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6.xml" ContentType="application/vnd.openxmlformats-officedocument.spreadsheetml.comments+xml"/>
  <Override PartName="/xl/threadedComments/threadedComment2.xml" ContentType="application/vnd.ms-excel.threadedcomments+xml"/>
  <Override PartName="/xl/drawings/drawing9.xml" ContentType="application/vnd.openxmlformats-officedocument.drawing+xml"/>
  <Override PartName="/xl/comments7.xml" ContentType="application/vnd.openxmlformats-officedocument.spreadsheetml.comments+xml"/>
  <Override PartName="/xl/threadedComments/threadedComment3.xml" ContentType="application/vnd.ms-excel.threadedcomments+xml"/>
  <Override PartName="/xl/comments8.xml" ContentType="application/vnd.openxmlformats-officedocument.spreadsheetml.comments+xml"/>
  <Override PartName="/xl/threadedComments/threadedComment4.xml" ContentType="application/vnd.ms-excel.threaded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threadedComments/threadedComment5.xml" ContentType="application/vnd.ms-excel.threadedcomments+xml"/>
  <Override PartName="/xl/comments12.xml" ContentType="application/vnd.openxmlformats-officedocument.spreadsheetml.comments+xml"/>
  <Override PartName="/xl/threadedComments/threadedComment6.xml" ContentType="application/vnd.ms-excel.threadedcomments+xml"/>
  <Override PartName="/xl/customProperty1.bin" ContentType="application/vnd.openxmlformats-officedocument.spreadsheetml.customProperty"/>
  <Override PartName="/xl/comments13.xml" ContentType="application/vnd.openxmlformats-officedocument.spreadsheetml.comments+xml"/>
  <Override PartName="/xl/threadedComments/threadedComment7.xml" ContentType="application/vnd.ms-excel.threadedcomments+xml"/>
  <Override PartName="/xl/comments14.xml" ContentType="application/vnd.openxmlformats-officedocument.spreadsheetml.comments+xml"/>
  <Override PartName="/xl/comments15.xml" ContentType="application/vnd.openxmlformats-officedocument.spreadsheetml.comments+xml"/>
  <Override PartName="/xl/tables/table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mc:AlternateContent xmlns:mc="http://schemas.openxmlformats.org/markup-compatibility/2006">
    <mc:Choice Requires="x15">
      <x15ac:absPath xmlns:x15ac="http://schemas.microsoft.com/office/spreadsheetml/2010/11/ac" url="K:\SASD\24CAFR\Packages\SIG\"/>
    </mc:Choice>
  </mc:AlternateContent>
  <xr:revisionPtr revIDLastSave="0" documentId="13_ncr:1_{B6075175-0E9E-401A-B57C-7CF44CE11A16}" xr6:coauthVersionLast="47" xr6:coauthVersionMax="47" xr10:uidLastSave="{00000000-0000-0000-0000-000000000000}"/>
  <bookViews>
    <workbookView xWindow="-120" yWindow="-120" windowWidth="29040" windowHeight="15720" tabRatio="954" xr2:uid="{00000000-000D-0000-FFFF-FFFF00000000}"/>
  </bookViews>
  <sheets>
    <sheet name="Instruct" sheetId="1" r:id="rId1"/>
    <sheet name="Pkg Updates" sheetId="103" r:id="rId2"/>
    <sheet name="Index" sheetId="2" r:id="rId3"/>
    <sheet name="Dashboard" sheetId="121" r:id="rId4"/>
    <sheet name="101" sheetId="3" r:id="rId5"/>
    <sheet name="105" sheetId="4" r:id="rId6"/>
    <sheet name="110" sheetId="89" r:id="rId7"/>
    <sheet name="120" sheetId="97" r:id="rId8"/>
    <sheet name="201" sheetId="5" r:id="rId9"/>
    <sheet name="202" sheetId="112" r:id="rId10"/>
    <sheet name="203" sheetId="113" r:id="rId11"/>
    <sheet name="210" sheetId="8" r:id="rId12"/>
    <sheet name="215" sheetId="9" r:id="rId13"/>
    <sheet name="220" sheetId="10" r:id="rId14"/>
    <sheet name="301" sheetId="11" r:id="rId15"/>
    <sheet name="302" sheetId="122" r:id="rId16"/>
    <sheet name="303" sheetId="129" r:id="rId17"/>
    <sheet name="304" sheetId="123" r:id="rId18"/>
    <sheet name="305" sheetId="12" r:id="rId19"/>
    <sheet name="310" sheetId="13" r:id="rId20"/>
    <sheet name="315" sheetId="14" r:id="rId21"/>
    <sheet name="320" sheetId="15" r:id="rId22"/>
    <sheet name="322" sheetId="16" r:id="rId23"/>
    <sheet name="323" sheetId="115" r:id="rId24"/>
    <sheet name="325" sheetId="17" r:id="rId25"/>
    <sheet name="330" sheetId="18" r:id="rId26"/>
    <sheet name="338" sheetId="95" r:id="rId27"/>
    <sheet name="340" sheetId="19" r:id="rId28"/>
    <sheet name="341" sheetId="20" r:id="rId29"/>
    <sheet name="342" sheetId="21" r:id="rId30"/>
    <sheet name="345" sheetId="22" r:id="rId31"/>
    <sheet name="350" sheetId="23" r:id="rId32"/>
    <sheet name="355" sheetId="24" r:id="rId33"/>
    <sheet name="365" sheetId="25" r:id="rId34"/>
    <sheet name="370" sheetId="26" r:id="rId35"/>
    <sheet name="375-A" sheetId="119" r:id="rId36"/>
    <sheet name="375-B" sheetId="120" r:id="rId37"/>
    <sheet name="401" sheetId="28" r:id="rId38"/>
    <sheet name="405" sheetId="29" r:id="rId39"/>
    <sheet name="410" sheetId="30" r:id="rId40"/>
    <sheet name="415" sheetId="31" r:id="rId41"/>
    <sheet name="420" sheetId="32" r:id="rId42"/>
    <sheet name="425" sheetId="33" r:id="rId43"/>
    <sheet name="430G" sheetId="34" r:id="rId44"/>
    <sheet name="430BTA" sheetId="94" r:id="rId45"/>
    <sheet name="430F" sheetId="118" r:id="rId46"/>
    <sheet name="431G" sheetId="35" r:id="rId47"/>
    <sheet name="431BTA" sheetId="98" r:id="rId48"/>
    <sheet name="431BTA-CU" sheetId="127" r:id="rId49"/>
    <sheet name="431F" sheetId="128" r:id="rId50"/>
    <sheet name="502" sheetId="130" r:id="rId51"/>
    <sheet name="505" sheetId="37" r:id="rId52"/>
    <sheet name="510" sheetId="38" r:id="rId53"/>
    <sheet name="515" sheetId="39" r:id="rId54"/>
    <sheet name="520" sheetId="40" r:id="rId55"/>
    <sheet name="525" sheetId="41" r:id="rId56"/>
    <sheet name="530" sheetId="42" r:id="rId57"/>
    <sheet name="535" sheetId="43" r:id="rId58"/>
    <sheet name="536" sheetId="132" r:id="rId59"/>
    <sheet name="542" sheetId="109" r:id="rId60"/>
    <sheet name="565" sheetId="46" r:id="rId61"/>
    <sheet name="570" sheetId="47" r:id="rId62"/>
    <sheet name="602" sheetId="117" r:id="rId63"/>
    <sheet name="605" sheetId="49" r:id="rId64"/>
    <sheet name="610" sheetId="50" r:id="rId65"/>
    <sheet name="615" sheetId="51" r:id="rId66"/>
    <sheet name="616" sheetId="105" r:id="rId67"/>
    <sheet name="620" sheetId="52" r:id="rId68"/>
    <sheet name="625" sheetId="53" r:id="rId69"/>
    <sheet name="635" sheetId="55" r:id="rId70"/>
    <sheet name="640" sheetId="104" r:id="rId71"/>
    <sheet name="705" sheetId="56" r:id="rId72"/>
    <sheet name="710" sheetId="57" r:id="rId73"/>
    <sheet name="715" sheetId="59" r:id="rId74"/>
    <sheet name="720" sheetId="60" r:id="rId75"/>
    <sheet name="725" sheetId="61" r:id="rId76"/>
    <sheet name="730" sheetId="62" r:id="rId77"/>
    <sheet name="735" sheetId="63" r:id="rId78"/>
    <sheet name="740" sheetId="64" r:id="rId79"/>
    <sheet name="745" sheetId="65" r:id="rId80"/>
    <sheet name="755" sheetId="101" r:id="rId81"/>
    <sheet name="756" sheetId="58" r:id="rId82"/>
    <sheet name="760" sheetId="100" r:id="rId83"/>
    <sheet name="765" sheetId="99" r:id="rId84"/>
    <sheet name="905" sheetId="66" r:id="rId85"/>
    <sheet name="For 905-NCFS Acct Roll-up" sheetId="67" r:id="rId86"/>
    <sheet name="905Hosp" sheetId="68" r:id="rId87"/>
    <sheet name="906-6B" sheetId="69" r:id="rId88"/>
    <sheet name="906-6C" sheetId="87" r:id="rId89"/>
    <sheet name="906-6BC" sheetId="88" r:id="rId90"/>
    <sheet name="907" sheetId="70" r:id="rId91"/>
    <sheet name="908" sheetId="125" r:id="rId92"/>
    <sheet name="910" sheetId="72" r:id="rId93"/>
    <sheet name="910Hosp" sheetId="90" r:id="rId94"/>
    <sheet name="Data" sheetId="81" state="hidden" r:id="rId95"/>
    <sheet name="911-6B" sheetId="74" r:id="rId96"/>
    <sheet name="911-6C" sheetId="92" r:id="rId97"/>
    <sheet name="Explanations" sheetId="75" r:id="rId98"/>
    <sheet name="Comments" sheetId="76" r:id="rId99"/>
    <sheet name="Agencies" sheetId="96" r:id="rId100"/>
    <sheet name="Functional" sheetId="78" r:id="rId101"/>
    <sheet name="NetPosition" sheetId="79" r:id="rId102"/>
    <sheet name="PriorYr905" sheetId="80" r:id="rId103"/>
    <sheet name="PriorYr906" sheetId="85" r:id="rId104"/>
    <sheet name="All Agencies" sheetId="77" r:id="rId105"/>
    <sheet name="OSC Analysts" sheetId="111" r:id="rId106"/>
    <sheet name="Errors" sheetId="82" state="hidden" r:id="rId107"/>
    <sheet name="Notes" sheetId="83" state="hidden" r:id="rId108"/>
    <sheet name="AgencyGASBRepository" sheetId="135" state="hidden" r:id="rId109"/>
  </sheets>
  <externalReferences>
    <externalReference r:id="rId110"/>
    <externalReference r:id="rId111"/>
  </externalReferences>
  <definedNames>
    <definedName name="__Agy301" localSheetId="16">'303'!$G$5</definedName>
    <definedName name="__Agy301" localSheetId="108">#REF!</definedName>
    <definedName name="__Agy301">'301'!$G$5</definedName>
    <definedName name="__AGY305" localSheetId="108">#REF!</definedName>
    <definedName name="__AGY305">'305'!$K$6</definedName>
    <definedName name="__AGY310" localSheetId="108">#REF!</definedName>
    <definedName name="__AGY310">'310'!$K$6</definedName>
    <definedName name="__Agy501" localSheetId="108">#REF!</definedName>
    <definedName name="__Agy501">#REF!</definedName>
    <definedName name="__Agy510" localSheetId="108">#REF!</definedName>
    <definedName name="__Agy510">'510'!$D$7</definedName>
    <definedName name="__Agy515" localSheetId="108">#REF!</definedName>
    <definedName name="__Agy515">'515'!$D$7</definedName>
    <definedName name="__Agy520" localSheetId="108">#REF!</definedName>
    <definedName name="__Agy520">'520'!$D$7</definedName>
    <definedName name="__Agy525" localSheetId="108">#REF!</definedName>
    <definedName name="__Agy525">'525'!$D$7</definedName>
    <definedName name="__Agy530" localSheetId="108">#REF!</definedName>
    <definedName name="__Agy530">'530'!$D$7</definedName>
    <definedName name="__FMD320" localSheetId="16">'303'!$M$46</definedName>
    <definedName name="__FMD320" localSheetId="108">#REF!</definedName>
    <definedName name="__FMD320">'320'!$M$46</definedName>
    <definedName name="__OID320" localSheetId="16">'303'!$M$36</definedName>
    <definedName name="__OID320" localSheetId="108">#REF!</definedName>
    <definedName name="__OID320">'320'!$M$36</definedName>
    <definedName name="__TO320" localSheetId="16">'303'!$P$42</definedName>
    <definedName name="__TO320" localSheetId="108">#REF!</definedName>
    <definedName name="__TO320">'320'!$P$42</definedName>
    <definedName name="_AGY201">'201'!$N$6</definedName>
    <definedName name="_AGY210">'210'!$I$5</definedName>
    <definedName name="_Agy301" localSheetId="16">'303'!$G$5</definedName>
    <definedName name="_Agy301">'301'!$G$5</definedName>
    <definedName name="_Agy302" localSheetId="16">'303'!$G$5</definedName>
    <definedName name="_Agy302" localSheetId="108">'[1]302'!$G$5</definedName>
    <definedName name="_Agy302">'302'!$G$5</definedName>
    <definedName name="_Agy303">'[1]301'!$G$5</definedName>
    <definedName name="_AGY305">'305'!$K$6</definedName>
    <definedName name="_AGY310">'310'!$K$6</definedName>
    <definedName name="_AGY315" localSheetId="20">'315'!$I$7</definedName>
    <definedName name="_AGY320">'320'!$I$7</definedName>
    <definedName name="_AGY325" localSheetId="16">'303'!$K$5</definedName>
    <definedName name="_AGY325" localSheetId="108">#REF!</definedName>
    <definedName name="_AGY325">'325'!$K$5</definedName>
    <definedName name="_Agy501">#REF!</definedName>
    <definedName name="_Agy510">'510'!$D$7</definedName>
    <definedName name="_Agy515">'515'!$D$7</definedName>
    <definedName name="_Agy520">'520'!$D$7</definedName>
    <definedName name="_Agy525">'525'!$D$7</definedName>
    <definedName name="_Agy530">'530'!$D$7</definedName>
    <definedName name="_Agy535" localSheetId="58">'536'!$D$7</definedName>
    <definedName name="_Agy535">'535'!$D$5</definedName>
    <definedName name="_Agy710">'710'!$M$6</definedName>
    <definedName name="_Agy720">'720'!$M$6</definedName>
    <definedName name="_COL201">'201'!$A$18:$X$18</definedName>
    <definedName name="_COL210">'210'!$A$15:$S$15</definedName>
    <definedName name="_COL305">'305'!$A$15:$R$15</definedName>
    <definedName name="_COL310">'310'!$A$15:$Q$15</definedName>
    <definedName name="_COL315" localSheetId="20">'315'!$A$31:$I$31</definedName>
    <definedName name="_COL320">'320'!$A$20:$K$20</definedName>
    <definedName name="_COL325">'325'!$B$16:$P$16</definedName>
    <definedName name="_Col705">'705'!$B$16:$Q$16</definedName>
    <definedName name="_Col710">'710'!$I$19:$Q$19</definedName>
    <definedName name="_Col715">'715'!$B$17:$Q$17</definedName>
    <definedName name="_Col720">'720'!$B$14:$Q$14</definedName>
    <definedName name="_Col725">'725'!$B$12:$S$12</definedName>
    <definedName name="_Col735">'735'!$B$22:$O$22</definedName>
    <definedName name="_Col740">'740'!$B$16:$O$16</definedName>
    <definedName name="_Col745">'745'!$B$17:$N$17</definedName>
    <definedName name="_Col755">'755'!$I$18:$U$18</definedName>
    <definedName name="_Data725">'725'!$B$12:$S$31</definedName>
    <definedName name="_xlnm._FilterDatabase" localSheetId="24" hidden="1">'325'!$G$11:$G$12</definedName>
    <definedName name="_xlnm._FilterDatabase" localSheetId="58" hidden="1">'536'!$AF$1:$AF$235</definedName>
    <definedName name="_xlnm._FilterDatabase" localSheetId="104" hidden="1">'All Agencies'!$A$1:$M$138</definedName>
    <definedName name="_xlnm._FilterDatabase" localSheetId="85" hidden="1">'For 905-NCFS Acct Roll-up'!$D$1:$E$300</definedName>
    <definedName name="_FMD315" localSheetId="20">'315'!$K$46</definedName>
    <definedName name="_FMD320">'320'!$M$46</definedName>
    <definedName name="_OID315" localSheetId="20">'315'!$K$36</definedName>
    <definedName name="_OID320">'320'!$M$36</definedName>
    <definedName name="_ROW201">'201'!$A$1:$A$61</definedName>
    <definedName name="_ROW210">'210'!$A$1:$A$42</definedName>
    <definedName name="_ROW305">'305'!$A$1:$A$45</definedName>
    <definedName name="_ROW310">'310'!$A$1:$A$57</definedName>
    <definedName name="_ROW315" localSheetId="20">'315'!$A$31:$B$46</definedName>
    <definedName name="_ROW320">'320'!$A$20:$A$46</definedName>
    <definedName name="_ROW325">'325'!$B$1:$B$55</definedName>
    <definedName name="_Row705">'705'!$B$16:$B$45</definedName>
    <definedName name="_Row710">'710'!$I$19:$I$76</definedName>
    <definedName name="_Row715">'715'!$B$17:$B$41</definedName>
    <definedName name="_Row720">'720'!$B$14:$B$56</definedName>
    <definedName name="_Row725">'725'!$B$12:$B$31</definedName>
    <definedName name="_Row735">'735'!$B$22:$B$32</definedName>
    <definedName name="_Row740">'740'!$B$16:$B$44</definedName>
    <definedName name="_Row745">'745'!$B$17:$B$23</definedName>
    <definedName name="_Row755">'755'!$I$18:$I$64</definedName>
    <definedName name="_TO315" localSheetId="20">'315'!$N$42</definedName>
    <definedName name="_TO320">'320'!$P$42</definedName>
    <definedName name="a905a">'905'!$A$13:$A$262</definedName>
    <definedName name="a905b">'905'!$F$13:$F$262</definedName>
    <definedName name="a905c">'905'!$F$240</definedName>
    <definedName name="a905Data">'905'!$A:$F</definedName>
    <definedName name="a905Ha" localSheetId="86">'905Hosp'!$A$14:$A$260</definedName>
    <definedName name="a905Hb" localSheetId="86">'905Hosp'!$F$14:$F$260</definedName>
    <definedName name="a905Hc" localSheetId="86">'905Hosp'!$F$238</definedName>
    <definedName name="a905HData">'905Hosp'!$A:$F</definedName>
    <definedName name="aFASB">[2]FASB_Stmts!$A$12:$A$79</definedName>
    <definedName name="aFASBADJ">[2]FASB_Adj!$A$13:$A$135</definedName>
    <definedName name="aGASB">[2]GASB_Stmts!$A$13:$A$191</definedName>
    <definedName name="AgyIdx" localSheetId="108">#REF!</definedName>
    <definedName name="AgyIdx">Index!$E$10</definedName>
    <definedName name="AgyName" localSheetId="16">'303'!$E$11</definedName>
    <definedName name="AgyName" localSheetId="108">#REF!</definedName>
    <definedName name="AgyName">Index!$E$11</definedName>
    <definedName name="AgyNum" localSheetId="108">#REF!</definedName>
    <definedName name="AgyNum">'All Agencies'!$C$3:$C$78</definedName>
    <definedName name="BeginningNetAssets" comment="Equals Ending net assets per prior year CAFR" localSheetId="101">NetPosition!$C$5:$C$33</definedName>
    <definedName name="bFASB">[2]FASB_Stmts!$F$12:$F$78</definedName>
    <definedName name="bFASBADJ">[2]FASB_Adj!$F$13:$F$135</definedName>
    <definedName name="bGASB">[2]GASB_Stmts!$F$13:$F$190</definedName>
    <definedName name="CCNameTable">#REF!</definedName>
    <definedName name="CCTable">#REF!</definedName>
    <definedName name="College_Name">#REF!</definedName>
    <definedName name="College_Number">#REF!</definedName>
    <definedName name="compgasb" localSheetId="108">#REF!</definedName>
    <definedName name="compgasb">'All Agencies'!$E$3:$E$138</definedName>
    <definedName name="compname" localSheetId="108">#REF!</definedName>
    <definedName name="compname">'All Agencies'!$D$3:$D$138</definedName>
    <definedName name="compnum" localSheetId="108">#REF!</definedName>
    <definedName name="compnum">'All Agencies'!$B$3:$B$138</definedName>
    <definedName name="compnumtxt" localSheetId="16">'303'!$B$3:$B$66</definedName>
    <definedName name="compnumtxt" localSheetId="108">#REF!</definedName>
    <definedName name="compnumtxt">Agencies!$B$3:$B$68</definedName>
    <definedName name="comptable" localSheetId="16">'303'!$A$3:$D$66</definedName>
    <definedName name="comptable" localSheetId="108">#REF!</definedName>
    <definedName name="comptable">Agencies!$A$3:$D$69</definedName>
    <definedName name="ConcNum" localSheetId="16">'303'!$A$3:$A$66</definedName>
    <definedName name="ConcNum" localSheetId="108">#REF!</definedName>
    <definedName name="ConcNum">Agencies!$A$3:$A$69</definedName>
    <definedName name="CurrentAssets">Notes!$R$4:$R$20</definedName>
    <definedName name="CurrentLiabilities" localSheetId="16">'303'!$R$37:$R$54</definedName>
    <definedName name="CurrentLiabilities" localSheetId="108">[1]Notes!$R$37:$R$54</definedName>
    <definedName name="CurrentLiabilities">Notes!$R$37:$R$54</definedName>
    <definedName name="DATA201" localSheetId="8">'201'!$A$1:$U$56</definedName>
    <definedName name="DATA210" localSheetId="11">'210'!$A$1:$S$39</definedName>
    <definedName name="DATA305">'305'!$A$1:$P$46</definedName>
    <definedName name="DATA310">'310'!$A$1:$P$59</definedName>
    <definedName name="DATA315" localSheetId="20">'315'!$A$31:$I$47</definedName>
    <definedName name="DATA320">'320'!$A$20:$K$47</definedName>
    <definedName name="DATA325">'325'!$B$1:$P$65</definedName>
    <definedName name="Data705">'705'!$B$16:$Q$45</definedName>
    <definedName name="Data710">'710'!$I$19:$Q$76</definedName>
    <definedName name="Data715">'715'!$B$17:$Q$41</definedName>
    <definedName name="Data720">'720'!$B$14:$Q$56</definedName>
    <definedName name="Data735">'735'!$B$22:$O$32</definedName>
    <definedName name="Data740">'740'!$B$16:$O$44</definedName>
    <definedName name="Data745">'745'!$B$17:$N$23</definedName>
    <definedName name="Data755">'755'!$I$18:$U$64</definedName>
    <definedName name="Deferredinflows">Notes!$R$81:$R$85</definedName>
    <definedName name="DeferredOutflows" localSheetId="16">'303'!$R$73:$R$78</definedName>
    <definedName name="DeferredOutflows" localSheetId="108">[1]Notes!$R$73:$R$78</definedName>
    <definedName name="DeferredOutflows">Notes!$R$72:$R$77</definedName>
    <definedName name="Derivative" localSheetId="16">'303'!$J$1:$J$8</definedName>
    <definedName name="Derivative" localSheetId="108">#REF!</definedName>
    <definedName name="Derivative">Notes!$J$1:$J$8</definedName>
    <definedName name="DF_PGData">#REF!</definedName>
    <definedName name="DF_PGRow">#REF!</definedName>
    <definedName name="EquityData">#REF!</definedName>
    <definedName name="EquityDataRow">#REF!</definedName>
    <definedName name="ErrorCode">Errors!$A$1:$A$216</definedName>
    <definedName name="ErrorKey" localSheetId="16">'303'!$B$1:$B$216</definedName>
    <definedName name="ErrorKey" localSheetId="108">#REF!</definedName>
    <definedName name="ErrorKey">'303'!$B$1:$B$216</definedName>
    <definedName name="ErrorTable" localSheetId="16">'303'!$A$1:$AD$216</definedName>
    <definedName name="ErrorTable" localSheetId="108">#REF!</definedName>
    <definedName name="ErrorTable">Errors!$A$1:$AD$216</definedName>
    <definedName name="FaCol301">'[1]301'!#REF!</definedName>
    <definedName name="FaDat301">'[1]301'!#REF!</definedName>
    <definedName name="FaRow301">'[1]301'!#REF!</definedName>
    <definedName name="FCCSent" localSheetId="16">#REF!</definedName>
    <definedName name="FCCSent" localSheetId="108">'[1]All Agencies'!$S$2:$T$21</definedName>
    <definedName name="FCCSent">'All Agencies'!$S$2:$T$21</definedName>
    <definedName name="FCCSnum" localSheetId="16">#REF!</definedName>
    <definedName name="FCCSnum" localSheetId="108">'[1]All Agencies'!$N$2:$P$77</definedName>
    <definedName name="FCCSnum">'All Agencies'!$N$2:$P$78</definedName>
    <definedName name="FileNameAgency">#REF!</definedName>
    <definedName name="FileNameTable">#REF!</definedName>
    <definedName name="FROM315" localSheetId="20">'315'!$K$42</definedName>
    <definedName name="FROM320" localSheetId="16">#REF!</definedName>
    <definedName name="FROM320" localSheetId="108">#REF!</definedName>
    <definedName name="FROM320">'320'!$M$42</definedName>
    <definedName name="function" localSheetId="16">#REF!</definedName>
    <definedName name="function" localSheetId="108">#REF!</definedName>
    <definedName name="function">Notes!$H$1:$H$15</definedName>
    <definedName name="functionA" localSheetId="16">#REF!</definedName>
    <definedName name="functionA" localSheetId="108">#REF!</definedName>
    <definedName name="functionA">Notes!$H$35:$H$47</definedName>
    <definedName name="functionC" localSheetId="16">#REF!</definedName>
    <definedName name="functionC" localSheetId="108">#REF!</definedName>
    <definedName name="functionC">Notes!$H$18:$H$32</definedName>
    <definedName name="Gasb510" localSheetId="108">#REF!</definedName>
    <definedName name="Gasb510">'510'!$D$9</definedName>
    <definedName name="Gasb515" localSheetId="108">#REF!</definedName>
    <definedName name="Gasb515">'515'!$D$9</definedName>
    <definedName name="Gasb520" localSheetId="108">#REF!</definedName>
    <definedName name="Gasb520">'520'!$D$9</definedName>
    <definedName name="Gasb525" localSheetId="108">#REF!</definedName>
    <definedName name="Gasb525">'525'!$D$9</definedName>
    <definedName name="Gasb530" localSheetId="108">#REF!</definedName>
    <definedName name="Gasb530">'530'!$D$9</definedName>
    <definedName name="Gasb535" localSheetId="58">'536'!$D$9</definedName>
    <definedName name="Gasb535">'535'!$D$7</definedName>
    <definedName name="hk">'All Agencies'!$C$3:$C$136</definedName>
    <definedName name="IdxNa">Index!$B$16:$B$116</definedName>
    <definedName name="IdxSheetNum" localSheetId="108">#REF!</definedName>
    <definedName name="IdxSheetNum">Index!$A$16:$A$116</definedName>
    <definedName name="IdxTable" localSheetId="108">#REF!</definedName>
    <definedName name="IdxTable">Index!$A$16:$AA$116</definedName>
    <definedName name="Leaseannualrental301" localSheetId="16">'303'!#REF!</definedName>
    <definedName name="Leaseannualrental301" localSheetId="108">#REF!</definedName>
    <definedName name="Leaseannualrental301">'301'!#REF!</definedName>
    <definedName name="Leaseasset301" localSheetId="16">'303'!#REF!</definedName>
    <definedName name="Leaseasset301" localSheetId="108">#REF!</definedName>
    <definedName name="Leaseasset301">'301'!#REF!</definedName>
    <definedName name="LeaseCol301" localSheetId="16">'303'!$A$27:$K$27</definedName>
    <definedName name="LeaseCol301">'301'!$A$27:$K$27</definedName>
    <definedName name="LeaseDat301" localSheetId="16">'303'!$A$20:$K$49</definedName>
    <definedName name="LeaseDat301">'301'!$A$20:$K$53</definedName>
    <definedName name="LeaseRow301" localSheetId="16">'303'!$B$20:$B$49</definedName>
    <definedName name="LeaseRow301">'301'!$B$20:$B$53</definedName>
    <definedName name="List505thru520" localSheetId="16">#REF!</definedName>
    <definedName name="List505thru520" localSheetId="108">[1]Agencies!$B$71:$B$104</definedName>
    <definedName name="List505thru520">Agencies!$B$73:$B$108</definedName>
    <definedName name="Listfor515and520">[2]Data!$A$15:$A$48</definedName>
    <definedName name="Listfor525and530" localSheetId="16">#REF!</definedName>
    <definedName name="Listfor525and530">Agencies!$B$109:$B$206</definedName>
    <definedName name="Listfor535" localSheetId="16">#REF!</definedName>
    <definedName name="Listfor535" localSheetId="108">[1]Agencies!$B$71:$B$201</definedName>
    <definedName name="Listfor535">Agencies!$B$73:$B$206</definedName>
    <definedName name="NetAssetsData" localSheetId="16">#REF!</definedName>
    <definedName name="NetAssetsData" localSheetId="108">#REF!</definedName>
    <definedName name="NetAssetsData">NetPosition!$A$4:$E$38</definedName>
    <definedName name="NetAssetsDataRow" localSheetId="16">#REF!</definedName>
    <definedName name="NetAssetsDataRow" localSheetId="108">#REF!</definedName>
    <definedName name="NetAssetsDataRow">NetPosition!$A$4:$A$38</definedName>
    <definedName name="NMcompnum">[2]Agencies!$B$3:$B$13</definedName>
    <definedName name="NMcompnumtxt">[2]Agencies!$C$3:$C$13</definedName>
    <definedName name="NMcomptable">[2]Agencies!$A$3:$G$13</definedName>
    <definedName name="NMConcNum">[2]Agencies!$A$3:$A$13</definedName>
    <definedName name="NoncurrentAssets">Notes!$R$25:$R$32</definedName>
    <definedName name="NoncurrentLiabilities" localSheetId="16">#REF!</definedName>
    <definedName name="NoncurrentLiabilities" localSheetId="108">[1]Notes!$R$57:$R$70</definedName>
    <definedName name="NoncurrentLiabilities">Notes!$R$57:$R$69</definedName>
    <definedName name="OfflineNetAssetsRow" comment="AgencyNumber for Offline Beginning Net Assets Balance" localSheetId="101">NetPosition!$A$5:$A$33</definedName>
    <definedName name="Pledged_Revenue" localSheetId="16">#REF!</definedName>
    <definedName name="Pledged_Revenue" localSheetId="108">#REF!</definedName>
    <definedName name="Pledged_Revenue">Notes!$K$1:$K$9</definedName>
    <definedName name="PreparerName">#REF!</definedName>
    <definedName name="PreparerPhone">#REF!</definedName>
    <definedName name="_xlnm.Print_Area" localSheetId="5">'105'!$A$1:$J$68</definedName>
    <definedName name="_xlnm.Print_Area" localSheetId="6">'110'!$A$1:$K$33</definedName>
    <definedName name="_xlnm.Print_Area" localSheetId="7">'120'!$A$1:$K$49</definedName>
    <definedName name="_xlnm.Print_Area" localSheetId="8">'201'!$A$1:$T$51</definedName>
    <definedName name="_xlnm.Print_Area" localSheetId="9">'202'!$B$1:$Q$74</definedName>
    <definedName name="_xlnm.Print_Area" localSheetId="10">'203'!$B$1:$S$91</definedName>
    <definedName name="_xlnm.Print_Area" localSheetId="11">'210'!$B$1:$Q$46</definedName>
    <definedName name="_xlnm.Print_Area" localSheetId="12">'215'!$A$1:$N$73</definedName>
    <definedName name="_xlnm.Print_Area" localSheetId="13">'220'!$A$1:$I$135</definedName>
    <definedName name="_xlnm.Print_Area" localSheetId="14">'301'!$C$1:$AE$87</definedName>
    <definedName name="_xlnm.Print_Area" localSheetId="15">'302'!$C$1:$Q$49</definedName>
    <definedName name="_xlnm.Print_Area" localSheetId="16">'303'!$C$1:$AK$49</definedName>
    <definedName name="_xlnm.Print_Area" localSheetId="17">'304'!$A$1:$P$49</definedName>
    <definedName name="_xlnm.Print_Area" localSheetId="18">'305'!$B$1:$P$46</definedName>
    <definedName name="_xlnm.Print_Area" localSheetId="19">'310'!$B$1:$P$47</definedName>
    <definedName name="_xlnm.Print_Area" localSheetId="20">'315'!$B$1:$Q$72</definedName>
    <definedName name="_xlnm.Print_Area" localSheetId="21">'320'!$B$1:$S$70</definedName>
    <definedName name="_xlnm.Print_Area" localSheetId="22">'322'!$A$1:$N$62</definedName>
    <definedName name="_xlnm.Print_Area" localSheetId="23">'323'!$B$1:$L$82</definedName>
    <definedName name="_xlnm.Print_Area" localSheetId="24">'325'!$C$1:$P$72</definedName>
    <definedName name="_xlnm.Print_Area" localSheetId="25">'330'!$B$1:$P$70</definedName>
    <definedName name="_xlnm.Print_Area" localSheetId="27">'340'!$A$1:$R$44</definedName>
    <definedName name="_xlnm.Print_Area" localSheetId="28">'341'!$A$1:$S$42</definedName>
    <definedName name="_xlnm.Print_Area" localSheetId="29">'342'!$A$1:$S$41</definedName>
    <definedName name="_xlnm.Print_Area" localSheetId="30">'345'!$B$1:$K$56</definedName>
    <definedName name="_xlnm.Print_Area" localSheetId="31">'350'!$A$1:$H$53</definedName>
    <definedName name="_xlnm.Print_Area" localSheetId="32">'355'!$A$1:$M$46</definedName>
    <definedName name="_xlnm.Print_Area" localSheetId="33">'365'!$A$1:$L$39</definedName>
    <definedName name="_xlnm.Print_Area" localSheetId="35">'375-A'!$A$1:$K$57</definedName>
    <definedName name="_xlnm.Print_Area" localSheetId="36">'375-B'!$A$1:$K$53</definedName>
    <definedName name="_xlnm.Print_Area" localSheetId="37">'401'!$A$1:$I$50</definedName>
    <definedName name="_xlnm.Print_Area" localSheetId="38">'405'!$A$1:$I$48</definedName>
    <definedName name="_xlnm.Print_Area" localSheetId="39">'410'!$A$1:$I$54</definedName>
    <definedName name="_xlnm.Print_Area" localSheetId="40">'415'!$A$1:$I$50</definedName>
    <definedName name="_xlnm.Print_Area" localSheetId="41">'420'!$B$1:$I$37</definedName>
    <definedName name="_xlnm.Print_Area" localSheetId="42">'425'!$A$1:$K$40</definedName>
    <definedName name="_xlnm.Print_Area" localSheetId="44">'430BTA'!$A$1:$R$47</definedName>
    <definedName name="_xlnm.Print_Area" localSheetId="45">'430F'!$A$1:$T$34</definedName>
    <definedName name="_xlnm.Print_Area" localSheetId="43">'430G'!$A$1:$R$54</definedName>
    <definedName name="_xlnm.Print_Area" localSheetId="47">'431BTA'!$A$1:$J$138</definedName>
    <definedName name="_xlnm.Print_Area" localSheetId="48">'431BTA-CU'!$A$1:$J$140</definedName>
    <definedName name="_xlnm.Print_Area" localSheetId="49">'431F'!$A$1:$J$110</definedName>
    <definedName name="_xlnm.Print_Area" localSheetId="46">'431G'!$A$1:$J$184</definedName>
    <definedName name="_xlnm.Print_Area" localSheetId="51">'505'!$B$1:$R$33</definedName>
    <definedName name="_xlnm.Print_Area" localSheetId="52">'510'!$A$1:$Q$36</definedName>
    <definedName name="_xlnm.Print_Area" localSheetId="53">'515'!$A$1:$Q$36</definedName>
    <definedName name="_xlnm.Print_Area" localSheetId="54">'520'!$A$1:$Q$35</definedName>
    <definedName name="_xlnm.Print_Area" localSheetId="55">'525'!$A$1:$Q$38</definedName>
    <definedName name="_xlnm.Print_Area" localSheetId="56">'530'!$A$1:$Q$35</definedName>
    <definedName name="_xlnm.Print_Area" localSheetId="57">'535'!$A$1:$P$35</definedName>
    <definedName name="_xlnm.Print_Area" localSheetId="58">'536'!$B$1:$L$35</definedName>
    <definedName name="_xlnm.Print_Area" localSheetId="59">'542'!$B$1:$AN$50</definedName>
    <definedName name="_xlnm.Print_Area" localSheetId="60">'565'!$A$1:$N$31</definedName>
    <definedName name="_xlnm.Print_Area" localSheetId="61">'570'!$B$1:$M$30</definedName>
    <definedName name="_xlnm.Print_Area" localSheetId="62">'602'!$B$1:$P$57</definedName>
    <definedName name="_xlnm.Print_Area" localSheetId="63">'605'!$B$1:$O$46</definedName>
    <definedName name="_xlnm.Print_Area" localSheetId="64">'610'!$A$1:$K$40</definedName>
    <definedName name="_xlnm.Print_Area" localSheetId="65">'615'!$A$1:$K$28</definedName>
    <definedName name="_xlnm.Print_Area" localSheetId="66">'616'!$A$1:$L$49</definedName>
    <definedName name="_xlnm.Print_Area" localSheetId="68">'625'!$A$1:$W$28</definedName>
    <definedName name="_xlnm.Print_Area" localSheetId="69">'635'!$B$1:$P$88</definedName>
    <definedName name="_xlnm.Print_Area" localSheetId="70">'640'!$A$1:$L$49</definedName>
    <definedName name="_xlnm.Print_Area" localSheetId="71">'705'!$C$1:$R$48</definedName>
    <definedName name="_xlnm.Print_Area" localSheetId="72">'710'!$B$1:$S$74</definedName>
    <definedName name="_xlnm.Print_Area" localSheetId="73">'715'!$C$1:$R$40</definedName>
    <definedName name="_xlnm.Print_Area" localSheetId="74">'720'!$A$1:$R$58</definedName>
    <definedName name="_xlnm.Print_Area" localSheetId="75">'725'!$C$1:$R$45</definedName>
    <definedName name="_xlnm.Print_Area" localSheetId="77">'735'!$A$1:$O$42</definedName>
    <definedName name="_xlnm.Print_Area" localSheetId="78">'740'!$A$1:$O$58</definedName>
    <definedName name="_xlnm.Print_Area" localSheetId="80">'755'!$B$1:$V$86</definedName>
    <definedName name="_xlnm.Print_Area" localSheetId="81">'756'!$B$1:$S$46</definedName>
    <definedName name="_xlnm.Print_Area" localSheetId="82">'760'!$A$1:$R$54</definedName>
    <definedName name="_xlnm.Print_Area" localSheetId="83">'765'!$A$1:$J$53</definedName>
    <definedName name="_xlnm.Print_Area" localSheetId="84">'905'!$A$1:$I$280</definedName>
    <definedName name="_xlnm.Print_Area" localSheetId="86">'905Hosp'!$A$1:$G$277</definedName>
    <definedName name="_xlnm.Print_Area" localSheetId="87">'906-6B'!$A$1:$L$90</definedName>
    <definedName name="_xlnm.Print_Area" localSheetId="89">'906-6BC'!$A$1:$K$91</definedName>
    <definedName name="_xlnm.Print_Area" localSheetId="88">'906-6C'!$A$1:$L$90</definedName>
    <definedName name="_xlnm.Print_Area" localSheetId="90">'907'!$A$1:$K$61</definedName>
    <definedName name="_xlnm.Print_Area" localSheetId="91">'908'!$A$1:$K$60</definedName>
    <definedName name="_xlnm.Print_Area" localSheetId="92">'910'!$A$1:$N$263</definedName>
    <definedName name="_xlnm.Print_Area" localSheetId="93">'910Hosp'!$A$1:$N$262</definedName>
    <definedName name="_xlnm.Print_Area" localSheetId="95">'911-6B'!$A$1:$K$94</definedName>
    <definedName name="_xlnm.Print_Area" localSheetId="96">'911-6C'!$A$1:$L$93</definedName>
    <definedName name="_xlnm.Print_Area" localSheetId="3">Dashboard!$A$1:$M$114</definedName>
    <definedName name="_xlnm.Print_Area" localSheetId="85">'For 905-NCFS Acct Roll-up'!$A:$E</definedName>
    <definedName name="_xlnm.Print_Area" localSheetId="2">Index!$A$1:$P$125</definedName>
    <definedName name="_xlnm.Print_Area" localSheetId="0">Instruct!$A$1:$C$53</definedName>
    <definedName name="_xlnm.Print_Area" localSheetId="101">NetPosition!$A$1:$E$46</definedName>
    <definedName name="_xlnm.Print_Area" localSheetId="102">PriorYr905!$A$1:$AH$355</definedName>
    <definedName name="_xlnm.Print_Titles" localSheetId="80">'755'!$1:$18</definedName>
    <definedName name="_xlnm.Print_Titles" localSheetId="84">'905'!$1:$9</definedName>
    <definedName name="_xlnm.Print_Titles" localSheetId="86">'905Hosp'!$A:$E,'905Hosp'!$1:$10</definedName>
    <definedName name="_xlnm.Print_Titles" localSheetId="92">'910'!$1:$10</definedName>
    <definedName name="_xlnm.Print_Titles" localSheetId="93">'910Hosp'!$1:$10</definedName>
    <definedName name="_xlnm.Print_Titles" localSheetId="104">'All Agencies'!$1:$2</definedName>
    <definedName name="_xlnm.Print_Titles" localSheetId="85">'For 905-NCFS Acct Roll-up'!$1:$2</definedName>
    <definedName name="_xlnm.Print_Titles" localSheetId="1">'Pkg Updates'!$1:$5</definedName>
    <definedName name="_xlnm.Print_Titles" localSheetId="102">PriorYr905!$A:$D,PriorYr905!$1:$11</definedName>
    <definedName name="PriorYear">#REF!</definedName>
    <definedName name="PY905Col" localSheetId="16">#REF!</definedName>
    <definedName name="PY905Col" localSheetId="108">#REF!</definedName>
    <definedName name="PY905Col">PriorYr905!$8:$8</definedName>
    <definedName name="PY905Data" localSheetId="16">#REF!</definedName>
    <definedName name="PY905Data" localSheetId="108">#REF!</definedName>
    <definedName name="PY905Data">PriorYr905!$A$1:$AH$1066</definedName>
    <definedName name="PY905Row" localSheetId="16">#REF!</definedName>
    <definedName name="PY905Row" localSheetId="108">#REF!</definedName>
    <definedName name="PY905Row">PriorYr905!$A:$A</definedName>
    <definedName name="Rent301" localSheetId="16">'303'!#REF!</definedName>
    <definedName name="Rent301" localSheetId="108">#REF!</definedName>
    <definedName name="Rent301">'301'!#REF!</definedName>
    <definedName name="TYPE315" localSheetId="20">'315'!$A$13</definedName>
    <definedName name="TYPE320">'320'!$A$13</definedName>
    <definedName name="ValuationTech" localSheetId="16">#REF!</definedName>
    <definedName name="ValuationTech" localSheetId="108">[1]Notes!$M$1:$M$9</definedName>
    <definedName name="ValuationTech">Notes!$M$1:$M$9</definedName>
    <definedName name="w220Data">'220'!$J$108:$J$118</definedName>
    <definedName name="w301DataA" localSheetId="16">'303'!$M$28:$AC$29</definedName>
    <definedName name="w301DataA">'301'!$M$28:$AC$29</definedName>
    <definedName name="w301DataB" localSheetId="16">'303'!#REF!</definedName>
    <definedName name="w301DataB" localSheetId="108">'[1]301'!#REF!</definedName>
    <definedName name="w301DataB">'301'!#REF!</definedName>
    <definedName name="w301DataC" localSheetId="16">'303'!#REF!</definedName>
    <definedName name="w301DataC" localSheetId="108">'[1]301'!#REF!</definedName>
    <definedName name="w301DataC">'301'!#REF!</definedName>
    <definedName name="w305Data">'305'!$Q$17:$Y$35</definedName>
    <definedName name="w310Data">'310'!$Q$17:$Y$38</definedName>
    <definedName name="w325col">'325'!$A$16:$Q$16</definedName>
    <definedName name="w325Data">'325'!$A$14:$Q$43</definedName>
    <definedName name="w325Row">'325'!$B$14:$B$42</definedName>
    <definedName name="w325Type">'325'!$C$11:$O$11</definedName>
    <definedName name="w501Data">#REF!</definedName>
    <definedName name="Z_1250FD07_FF56_4A9D_AF9E_C27124A7EBE9_.wvu.PrintArea" localSheetId="4" hidden="1">'101'!$B$1:$L$73</definedName>
    <definedName name="Z_1250FD07_FF56_4A9D_AF9E_C27124A7EBE9_.wvu.PrintArea" localSheetId="6" hidden="1">'110'!$B$1:$J$39</definedName>
    <definedName name="Z_1250FD07_FF56_4A9D_AF9E_C27124A7EBE9_.wvu.PrintArea" localSheetId="7" hidden="1">'120'!$B$1:$J$71</definedName>
    <definedName name="Z_1250FD07_FF56_4A9D_AF9E_C27124A7EBE9_.wvu.PrintArea" localSheetId="11" hidden="1">'210'!$B$1:$R$34</definedName>
    <definedName name="Z_1250FD07_FF56_4A9D_AF9E_C27124A7EBE9_.wvu.PrintArea" localSheetId="12" hidden="1">'215'!$A$1:$N$74</definedName>
    <definedName name="Z_1250FD07_FF56_4A9D_AF9E_C27124A7EBE9_.wvu.PrintArea" localSheetId="14" hidden="1">'301'!$C$1:$L$53</definedName>
    <definedName name="Z_1250FD07_FF56_4A9D_AF9E_C27124A7EBE9_.wvu.PrintArea" localSheetId="16" hidden="1">'303'!$C$1:$L$49</definedName>
    <definedName name="Z_1250FD07_FF56_4A9D_AF9E_C27124A7EBE9_.wvu.PrintArea" localSheetId="18" hidden="1">'305'!$B$1:$P$44</definedName>
    <definedName name="Z_1250FD07_FF56_4A9D_AF9E_C27124A7EBE9_.wvu.PrintArea" localSheetId="20" hidden="1">'315'!$B$1:$Q$71</definedName>
    <definedName name="Z_1250FD07_FF56_4A9D_AF9E_C27124A7EBE9_.wvu.PrintArea" localSheetId="21" hidden="1">'320'!$B$1:$S$62</definedName>
    <definedName name="Z_1250FD07_FF56_4A9D_AF9E_C27124A7EBE9_.wvu.PrintArea" localSheetId="22" hidden="1">'322'!$A$1:$N$10</definedName>
    <definedName name="Z_1250FD07_FF56_4A9D_AF9E_C27124A7EBE9_.wvu.PrintArea" localSheetId="23" hidden="1">'323'!$B$1:$K$125</definedName>
    <definedName name="Z_1250FD07_FF56_4A9D_AF9E_C27124A7EBE9_.wvu.PrintArea" localSheetId="24" hidden="1">'325'!$C$1:$P$60</definedName>
    <definedName name="Z_1250FD07_FF56_4A9D_AF9E_C27124A7EBE9_.wvu.PrintArea" localSheetId="25" hidden="1">'330'!$B$1:$N$59</definedName>
    <definedName name="Z_1250FD07_FF56_4A9D_AF9E_C27124A7EBE9_.wvu.PrintArea" localSheetId="27" hidden="1">'340'!$A$1:$R$9</definedName>
    <definedName name="Z_1250FD07_FF56_4A9D_AF9E_C27124A7EBE9_.wvu.PrintArea" localSheetId="28" hidden="1">'341'!$A$1:$R$9</definedName>
    <definedName name="Z_1250FD07_FF56_4A9D_AF9E_C27124A7EBE9_.wvu.PrintArea" localSheetId="29" hidden="1">'342'!$A$1:$R$9</definedName>
    <definedName name="Z_1250FD07_FF56_4A9D_AF9E_C27124A7EBE9_.wvu.PrintArea" localSheetId="30" hidden="1">'345'!$B$1:$L$53</definedName>
    <definedName name="Z_1250FD07_FF56_4A9D_AF9E_C27124A7EBE9_.wvu.PrintArea" localSheetId="31" hidden="1">'350'!$A$1:$H$41</definedName>
    <definedName name="Z_1250FD07_FF56_4A9D_AF9E_C27124A7EBE9_.wvu.PrintArea" localSheetId="32" hidden="1">'355'!$B$1:$M$52</definedName>
    <definedName name="Z_1250FD07_FF56_4A9D_AF9E_C27124A7EBE9_.wvu.PrintArea" localSheetId="41" hidden="1">'420'!$B$1:$M$23</definedName>
    <definedName name="Z_1250FD07_FF56_4A9D_AF9E_C27124A7EBE9_.wvu.PrintArea" localSheetId="42" hidden="1">'425'!$B$1:$L$35</definedName>
    <definedName name="Z_1250FD07_FF56_4A9D_AF9E_C27124A7EBE9_.wvu.PrintArea" localSheetId="52" hidden="1">'510'!$B$1:$P$35</definedName>
    <definedName name="Z_1250FD07_FF56_4A9D_AF9E_C27124A7EBE9_.wvu.PrintArea" localSheetId="53" hidden="1">'515'!$B$1:$P$35</definedName>
    <definedName name="Z_1250FD07_FF56_4A9D_AF9E_C27124A7EBE9_.wvu.PrintArea" localSheetId="54" hidden="1">'520'!$B$1:$P$34</definedName>
    <definedName name="Z_1250FD07_FF56_4A9D_AF9E_C27124A7EBE9_.wvu.PrintArea" localSheetId="55" hidden="1">'525'!$B$1:$P$29</definedName>
    <definedName name="Z_1250FD07_FF56_4A9D_AF9E_C27124A7EBE9_.wvu.PrintArea" localSheetId="56" hidden="1">'530'!$B$1:$P$34</definedName>
    <definedName name="Z_1250FD07_FF56_4A9D_AF9E_C27124A7EBE9_.wvu.PrintArea" localSheetId="57" hidden="1">'535'!$B$1:$P$36</definedName>
    <definedName name="Z_1250FD07_FF56_4A9D_AF9E_C27124A7EBE9_.wvu.PrintArea" localSheetId="58" hidden="1">'536'!$B$1:$L$82</definedName>
    <definedName name="Z_1250FD07_FF56_4A9D_AF9E_C27124A7EBE9_.wvu.PrintArea" localSheetId="59" hidden="1">'542'!$B$1:$Q$34</definedName>
    <definedName name="Z_1250FD07_FF56_4A9D_AF9E_C27124A7EBE9_.wvu.PrintArea" localSheetId="61" hidden="1">'570'!$B$1:$M$27</definedName>
    <definedName name="Z_1250FD07_FF56_4A9D_AF9E_C27124A7EBE9_.wvu.PrintArea" localSheetId="62" hidden="1">'602'!$B$1:$P$33</definedName>
    <definedName name="Z_1250FD07_FF56_4A9D_AF9E_C27124A7EBE9_.wvu.PrintArea" localSheetId="63" hidden="1">'605'!$B$1:$P$33</definedName>
    <definedName name="Z_1250FD07_FF56_4A9D_AF9E_C27124A7EBE9_.wvu.PrintArea" localSheetId="64" hidden="1">'610'!$A$1:$I$51</definedName>
    <definedName name="Z_1250FD07_FF56_4A9D_AF9E_C27124A7EBE9_.wvu.PrintArea" localSheetId="65" hidden="1">'615'!$A$1:$K$28</definedName>
    <definedName name="Z_1250FD07_FF56_4A9D_AF9E_C27124A7EBE9_.wvu.PrintArea" localSheetId="66" hidden="1">'616'!$A$1:$M$49</definedName>
    <definedName name="Z_1250FD07_FF56_4A9D_AF9E_C27124A7EBE9_.wvu.PrintArea" localSheetId="68" hidden="1">'625'!$B$1:$W$28</definedName>
    <definedName name="Z_1250FD07_FF56_4A9D_AF9E_C27124A7EBE9_.wvu.PrintArea" localSheetId="69" hidden="1">'635'!$B$1:$P$86</definedName>
    <definedName name="Z_1250FD07_FF56_4A9D_AF9E_C27124A7EBE9_.wvu.PrintArea" localSheetId="71" hidden="1">'705'!$C$1:$R$45</definedName>
    <definedName name="Z_1250FD07_FF56_4A9D_AF9E_C27124A7EBE9_.wvu.PrintArea" localSheetId="72" hidden="1">'710'!$B$1:$S$71</definedName>
    <definedName name="Z_1250FD07_FF56_4A9D_AF9E_C27124A7EBE9_.wvu.PrintArea" localSheetId="73" hidden="1">'715'!$C$1:$R$37</definedName>
    <definedName name="Z_1250FD07_FF56_4A9D_AF9E_C27124A7EBE9_.wvu.PrintArea" localSheetId="78" hidden="1">'740'!$C$1:$P$55</definedName>
    <definedName name="Z_1250FD07_FF56_4A9D_AF9E_C27124A7EBE9_.wvu.PrintArea" localSheetId="79" hidden="1">'745'!$C$1:$S$46</definedName>
    <definedName name="Z_1250FD07_FF56_4A9D_AF9E_C27124A7EBE9_.wvu.PrintArea" localSheetId="81" hidden="1">'756'!$B$1:$S$12</definedName>
    <definedName name="Z_1250FD07_FF56_4A9D_AF9E_C27124A7EBE9_.wvu.PrintArea" localSheetId="98" hidden="1">Comments!$A$1:$N$39</definedName>
    <definedName name="Z_1250FD07_FF56_4A9D_AF9E_C27124A7EBE9_.wvu.PrintArea" localSheetId="97" hidden="1">Explanations!$A$1:$N$9</definedName>
    <definedName name="Z_1250FD07_FF56_4A9D_AF9E_C27124A7EBE9_.wvu.PrintArea" localSheetId="2" hidden="1">Index!$A$1:$L$123</definedName>
    <definedName name="Z_1250FD07_FF56_4A9D_AF9E_C27124A7EBE9_.wvu.PrintTitles" localSheetId="2" hidden="1">Index!$1:$4</definedName>
    <definedName name="Z_1250FD07_FF56_4A9D_AF9E_C27124A7EBE9_.wvu.Rows" localSheetId="2" hidden="1">Index!$1291:$1357</definedName>
    <definedName name="Z_22EE6FEF_0954_4B41_9976_46012513457D_.wvu.Cols" localSheetId="59" hidden="1">'542'!#REF!,'542'!#REF!</definedName>
    <definedName name="Z_22EE6FEF_0954_4B41_9976_46012513457D_.wvu.PrintArea" localSheetId="8" hidden="1">'201'!$B$1:$P$49</definedName>
    <definedName name="Z_22EE6FEF_0954_4B41_9976_46012513457D_.wvu.PrintArea" localSheetId="11" hidden="1">'210'!$B$1:$R$34</definedName>
    <definedName name="Z_22EE6FEF_0954_4B41_9976_46012513457D_.wvu.PrintArea" localSheetId="14" hidden="1">'301'!$C$1:$K$53</definedName>
    <definedName name="Z_22EE6FEF_0954_4B41_9976_46012513457D_.wvu.PrintArea" localSheetId="16" hidden="1">'303'!$C$1:$K$49</definedName>
    <definedName name="Z_22EE6FEF_0954_4B41_9976_46012513457D_.wvu.PrintArea" localSheetId="30" hidden="1">'345'!$B$1:$K$53</definedName>
    <definedName name="Z_22EE6FEF_0954_4B41_9976_46012513457D_.wvu.PrintArea" localSheetId="41" hidden="1">'420'!$B$1:$K$16</definedName>
    <definedName name="Z_22EE6FEF_0954_4B41_9976_46012513457D_.wvu.PrintArea" localSheetId="52" hidden="1">'510'!$B$1:$P$34</definedName>
    <definedName name="Z_22EE6FEF_0954_4B41_9976_46012513457D_.wvu.PrintArea" localSheetId="53" hidden="1">'515'!$B$1:$P$28</definedName>
    <definedName name="Z_22EE6FEF_0954_4B41_9976_46012513457D_.wvu.PrintArea" localSheetId="54" hidden="1">'520'!$B$1:$P$33</definedName>
    <definedName name="Z_22EE6FEF_0954_4B41_9976_46012513457D_.wvu.PrintArea" localSheetId="55" hidden="1">'525'!$B$1:$P$29</definedName>
    <definedName name="Z_22EE6FEF_0954_4B41_9976_46012513457D_.wvu.PrintArea" localSheetId="56" hidden="1">'530'!$B$1:$P$33</definedName>
    <definedName name="Z_22EE6FEF_0954_4B41_9976_46012513457D_.wvu.PrintArea" localSheetId="57" hidden="1">'535'!$B$1:$P$35</definedName>
    <definedName name="Z_22EE6FEF_0954_4B41_9976_46012513457D_.wvu.PrintArea" localSheetId="58" hidden="1">'536'!$B$1:$K$81</definedName>
    <definedName name="Z_22EE6FEF_0954_4B41_9976_46012513457D_.wvu.PrintArea" localSheetId="59" hidden="1">'542'!$B$1:$P$30</definedName>
    <definedName name="Z_22EE6FEF_0954_4B41_9976_46012513457D_.wvu.PrintArea" localSheetId="68" hidden="1">'625'!$B$1:$V$28</definedName>
    <definedName name="Z_22EE6FEF_0954_4B41_9976_46012513457D_.wvu.PrintArea" localSheetId="71" hidden="1">'705'!$C$1:$Q$45</definedName>
    <definedName name="Z_22EE6FEF_0954_4B41_9976_46012513457D_.wvu.PrintArea" localSheetId="73" hidden="1">'715'!$C$1:$Q$35</definedName>
    <definedName name="Z_22EE6FEF_0954_4B41_9976_46012513457D_.wvu.Rows" localSheetId="8" hidden="1">'201'!#REF!,'201'!#REF!,'201'!#REF!</definedName>
    <definedName name="Z_22EE6FEF_0954_4B41_9976_46012513457D_.wvu.Rows" localSheetId="11" hidden="1">'210'!#REF!,'210'!#REF!,'210'!#REF!</definedName>
    <definedName name="Z_279D8F29_3A82_4EC4_B637_4060DE7A5F06_.wvu.Cols" localSheetId="51" hidden="1">'505'!$K:$K</definedName>
    <definedName name="Z_279D8F29_3A82_4EC4_B637_4060DE7A5F06_.wvu.PrintArea" localSheetId="51" hidden="1">'505'!$D$1:$Q$32</definedName>
    <definedName name="Z_3B9B908F_7E13_4791_A6FD_413206C417A3_.wvu.Cols" localSheetId="59" hidden="1">'542'!#REF!,'542'!#REF!</definedName>
    <definedName name="Z_3B9B908F_7E13_4791_A6FD_413206C417A3_.wvu.PrintArea" localSheetId="8" hidden="1">'201'!$B$1:$P$49</definedName>
    <definedName name="Z_3B9B908F_7E13_4791_A6FD_413206C417A3_.wvu.PrintArea" localSheetId="11" hidden="1">'210'!$B$1:$R$34</definedName>
    <definedName name="Z_3B9B908F_7E13_4791_A6FD_413206C417A3_.wvu.PrintArea" localSheetId="14" hidden="1">'301'!$C$1:$K$53</definedName>
    <definedName name="Z_3B9B908F_7E13_4791_A6FD_413206C417A3_.wvu.PrintArea" localSheetId="16" hidden="1">'303'!$C$1:$K$49</definedName>
    <definedName name="Z_3B9B908F_7E13_4791_A6FD_413206C417A3_.wvu.PrintArea" localSheetId="30" hidden="1">'345'!$B$1:$K$53</definedName>
    <definedName name="Z_3B9B908F_7E13_4791_A6FD_413206C417A3_.wvu.PrintArea" localSheetId="31" hidden="1">'350'!$A$1:$K$41</definedName>
    <definedName name="Z_3B9B908F_7E13_4791_A6FD_413206C417A3_.wvu.PrintArea" localSheetId="32" hidden="1">'355'!$B$1:$L$41</definedName>
    <definedName name="Z_3B9B908F_7E13_4791_A6FD_413206C417A3_.wvu.PrintArea" localSheetId="52" hidden="1">'510'!$B$1:$P$34</definedName>
    <definedName name="Z_3B9B908F_7E13_4791_A6FD_413206C417A3_.wvu.PrintArea" localSheetId="53" hidden="1">'515'!$B$1:$P$28</definedName>
    <definedName name="Z_3B9B908F_7E13_4791_A6FD_413206C417A3_.wvu.PrintArea" localSheetId="54" hidden="1">'520'!$B$1:$P$33</definedName>
    <definedName name="Z_3B9B908F_7E13_4791_A6FD_413206C417A3_.wvu.PrintArea" localSheetId="55" hidden="1">'525'!$B$1:$P$29</definedName>
    <definedName name="Z_3B9B908F_7E13_4791_A6FD_413206C417A3_.wvu.PrintArea" localSheetId="56" hidden="1">'530'!$B$1:$P$33</definedName>
    <definedName name="Z_3B9B908F_7E13_4791_A6FD_413206C417A3_.wvu.PrintArea" localSheetId="57" hidden="1">'535'!$B$1:$P$35</definedName>
    <definedName name="Z_3B9B908F_7E13_4791_A6FD_413206C417A3_.wvu.PrintArea" localSheetId="58" hidden="1">'536'!$B$1:$K$81</definedName>
    <definedName name="Z_3B9B908F_7E13_4791_A6FD_413206C417A3_.wvu.PrintArea" localSheetId="59" hidden="1">'542'!$B$1:$P$30</definedName>
    <definedName name="Z_3B9B908F_7E13_4791_A6FD_413206C417A3_.wvu.PrintArea" localSheetId="68" hidden="1">'625'!$B$1:$V$28</definedName>
    <definedName name="Z_3B9B908F_7E13_4791_A6FD_413206C417A3_.wvu.PrintArea" localSheetId="71" hidden="1">'705'!$C$1:$Q$45</definedName>
    <definedName name="Z_3B9B908F_7E13_4791_A6FD_413206C417A3_.wvu.PrintArea" localSheetId="73" hidden="1">'715'!$C$1:$Q$35</definedName>
    <definedName name="Z_3B9B908F_7E13_4791_A6FD_413206C417A3_.wvu.Rows" localSheetId="8" hidden="1">'201'!#REF!,'201'!#REF!,'201'!#REF!</definedName>
    <definedName name="Z_3B9B908F_7E13_4791_A6FD_413206C417A3_.wvu.Rows" localSheetId="11" hidden="1">'210'!#REF!,'210'!#REF!,'210'!#REF!</definedName>
    <definedName name="Z_9FCFC836_1CA5_48BF_958D_24D2EA94B219_.wvu.Cols" localSheetId="4" hidden="1">'101'!$A:$A</definedName>
    <definedName name="Z_9FCFC836_1CA5_48BF_958D_24D2EA94B219_.wvu.Cols" localSheetId="6" hidden="1">'110'!$A:$A</definedName>
    <definedName name="Z_9FCFC836_1CA5_48BF_958D_24D2EA94B219_.wvu.Cols" localSheetId="7" hidden="1">'120'!$A:$A</definedName>
    <definedName name="Z_9FCFC836_1CA5_48BF_958D_24D2EA94B219_.wvu.Cols" localSheetId="8" hidden="1">'201'!$A:$A</definedName>
    <definedName name="Z_9FCFC836_1CA5_48BF_958D_24D2EA94B219_.wvu.Cols" localSheetId="11" hidden="1">'210'!$A:$A</definedName>
    <definedName name="Z_9FCFC836_1CA5_48BF_958D_24D2EA94B219_.wvu.Cols" localSheetId="14" hidden="1">'301'!$A:$B,'301'!$M:$AC</definedName>
    <definedName name="Z_9FCFC836_1CA5_48BF_958D_24D2EA94B219_.wvu.Cols" localSheetId="16" hidden="1">'303'!$A:$B,'303'!$M:$AC</definedName>
    <definedName name="Z_9FCFC836_1CA5_48BF_958D_24D2EA94B219_.wvu.Cols" localSheetId="18" hidden="1">'305'!$A:$A,'305'!$Q:$Y</definedName>
    <definedName name="Z_9FCFC836_1CA5_48BF_958D_24D2EA94B219_.wvu.Cols" localSheetId="19" hidden="1">'310'!$A:$A,'310'!$Q:$Y</definedName>
    <definedName name="Z_9FCFC836_1CA5_48BF_958D_24D2EA94B219_.wvu.Cols" localSheetId="20" hidden="1">'315'!$A:$A,'315'!$R:$T</definedName>
    <definedName name="Z_9FCFC836_1CA5_48BF_958D_24D2EA94B219_.wvu.Cols" localSheetId="21" hidden="1">'320'!$A:$A,'320'!$T:$V</definedName>
    <definedName name="Z_9FCFC836_1CA5_48BF_958D_24D2EA94B219_.wvu.Cols" localSheetId="23" hidden="1">'323'!$A:$A</definedName>
    <definedName name="Z_9FCFC836_1CA5_48BF_958D_24D2EA94B219_.wvu.Cols" localSheetId="24" hidden="1">'325'!$B:$B</definedName>
    <definedName name="Z_9FCFC836_1CA5_48BF_958D_24D2EA94B219_.wvu.Cols" localSheetId="25" hidden="1">'330'!$A:$A</definedName>
    <definedName name="Z_9FCFC836_1CA5_48BF_958D_24D2EA94B219_.wvu.Cols" localSheetId="30" hidden="1">'345'!$A:$A</definedName>
    <definedName name="Z_9FCFC836_1CA5_48BF_958D_24D2EA94B219_.wvu.Cols" localSheetId="32" hidden="1">'355'!$A:$A</definedName>
    <definedName name="Z_9FCFC836_1CA5_48BF_958D_24D2EA94B219_.wvu.Cols" localSheetId="41" hidden="1">'420'!$A:$A</definedName>
    <definedName name="Z_9FCFC836_1CA5_48BF_958D_24D2EA94B219_.wvu.Cols" localSheetId="52" hidden="1">'510'!$A:$A,'510'!#REF!</definedName>
    <definedName name="Z_9FCFC836_1CA5_48BF_958D_24D2EA94B219_.wvu.Cols" localSheetId="53" hidden="1">'515'!$A:$A,'515'!#REF!,'515'!#REF!</definedName>
    <definedName name="Z_9FCFC836_1CA5_48BF_958D_24D2EA94B219_.wvu.Cols" localSheetId="54" hidden="1">'520'!$A:$A,'520'!#REF!,'520'!#REF!</definedName>
    <definedName name="Z_9FCFC836_1CA5_48BF_958D_24D2EA94B219_.wvu.Cols" localSheetId="55" hidden="1">'525'!$A:$A,'525'!#REF!,'525'!#REF!</definedName>
    <definedName name="Z_9FCFC836_1CA5_48BF_958D_24D2EA94B219_.wvu.Cols" localSheetId="56" hidden="1">'530'!$A:$A,'530'!#REF!,'530'!#REF!</definedName>
    <definedName name="Z_9FCFC836_1CA5_48BF_958D_24D2EA94B219_.wvu.Cols" localSheetId="57" hidden="1">'535'!$A:$A,'535'!#REF!</definedName>
    <definedName name="Z_9FCFC836_1CA5_48BF_958D_24D2EA94B219_.wvu.Cols" localSheetId="58" hidden="1">'536'!$A:$A,'536'!$M:$R</definedName>
    <definedName name="Z_9FCFC836_1CA5_48BF_958D_24D2EA94B219_.wvu.Cols" localSheetId="60" hidden="1">'565'!$A:$A,'565'!$P:$X</definedName>
    <definedName name="Z_9FCFC836_1CA5_48BF_958D_24D2EA94B219_.wvu.Cols" localSheetId="61" hidden="1">'570'!$A:$A</definedName>
    <definedName name="Z_9FCFC836_1CA5_48BF_958D_24D2EA94B219_.wvu.Cols" localSheetId="62" hidden="1">'602'!$A:$A,'602'!$Q:$Q</definedName>
    <definedName name="Z_9FCFC836_1CA5_48BF_958D_24D2EA94B219_.wvu.Cols" localSheetId="63" hidden="1">'605'!$A:$A,'605'!$Q:$Q</definedName>
    <definedName name="Z_9FCFC836_1CA5_48BF_958D_24D2EA94B219_.wvu.Cols" localSheetId="68" hidden="1">'625'!$A:$A</definedName>
    <definedName name="Z_9FCFC836_1CA5_48BF_958D_24D2EA94B219_.wvu.Cols" localSheetId="69" hidden="1">'635'!$A:$A</definedName>
    <definedName name="Z_9FCFC836_1CA5_48BF_958D_24D2EA94B219_.wvu.Cols" localSheetId="71" hidden="1">'705'!$A:$B,'705'!$S:$S</definedName>
    <definedName name="Z_9FCFC836_1CA5_48BF_958D_24D2EA94B219_.wvu.Cols" localSheetId="73" hidden="1">'715'!$A:$B,'715'!$S:$S</definedName>
    <definedName name="Z_9FCFC836_1CA5_48BF_958D_24D2EA94B219_.wvu.Cols" localSheetId="75" hidden="1">'725'!$A:$B</definedName>
    <definedName name="Z_9FCFC836_1CA5_48BF_958D_24D2EA94B219_.wvu.Cols" localSheetId="76" hidden="1">'730'!$A:$A</definedName>
    <definedName name="Z_9FCFC836_1CA5_48BF_958D_24D2EA94B219_.wvu.Cols" localSheetId="77" hidden="1">'735'!$A:$B</definedName>
    <definedName name="Z_9FCFC836_1CA5_48BF_958D_24D2EA94B219_.wvu.Cols" localSheetId="78" hidden="1">'740'!$A:$B</definedName>
    <definedName name="Z_9FCFC836_1CA5_48BF_958D_24D2EA94B219_.wvu.Cols" localSheetId="79" hidden="1">'745'!$A:$B</definedName>
    <definedName name="Z_9FCFC836_1CA5_48BF_958D_24D2EA94B219_.wvu.Cols" localSheetId="104" hidden="1">'All Agencies'!$A:$B</definedName>
    <definedName name="Z_9FCFC836_1CA5_48BF_958D_24D2EA94B219_.wvu.Cols" localSheetId="2" hidden="1">Index!$D:$D</definedName>
    <definedName name="Z_9FCFC836_1CA5_48BF_958D_24D2EA94B219_.wvu.Cols" localSheetId="0" hidden="1">Instruct!#REF!</definedName>
    <definedName name="Z_9FCFC836_1CA5_48BF_958D_24D2EA94B219_.wvu.PrintArea" localSheetId="4" hidden="1">'101'!$B$1:$L$80</definedName>
    <definedName name="Z_9FCFC836_1CA5_48BF_958D_24D2EA94B219_.wvu.PrintArea" localSheetId="5" hidden="1">'105'!$A$1:$K$58</definedName>
    <definedName name="Z_9FCFC836_1CA5_48BF_958D_24D2EA94B219_.wvu.PrintArea" localSheetId="6" hidden="1">'110'!$B$1:$J$46</definedName>
    <definedName name="Z_9FCFC836_1CA5_48BF_958D_24D2EA94B219_.wvu.PrintArea" localSheetId="7" hidden="1">'120'!$B$1:$J$78</definedName>
    <definedName name="Z_9FCFC836_1CA5_48BF_958D_24D2EA94B219_.wvu.PrintArea" localSheetId="8" hidden="1">'201'!$B$1:$T$61</definedName>
    <definedName name="Z_9FCFC836_1CA5_48BF_958D_24D2EA94B219_.wvu.PrintArea" localSheetId="11" hidden="1">'210'!$B$1:$Q$42</definedName>
    <definedName name="Z_9FCFC836_1CA5_48BF_958D_24D2EA94B219_.wvu.PrintArea" localSheetId="12" hidden="1">'215'!$A$1:$N$74</definedName>
    <definedName name="Z_9FCFC836_1CA5_48BF_958D_24D2EA94B219_.wvu.PrintArea" localSheetId="13" hidden="1">'220'!$A$1:$H$122</definedName>
    <definedName name="Z_9FCFC836_1CA5_48BF_958D_24D2EA94B219_.wvu.PrintArea" localSheetId="14" hidden="1">'301'!$C$1:$L$53</definedName>
    <definedName name="Z_9FCFC836_1CA5_48BF_958D_24D2EA94B219_.wvu.PrintArea" localSheetId="16" hidden="1">'303'!$C$1:$L$49</definedName>
    <definedName name="Z_9FCFC836_1CA5_48BF_958D_24D2EA94B219_.wvu.PrintArea" localSheetId="18" hidden="1">'305'!$B$1:$P$45</definedName>
    <definedName name="Z_9FCFC836_1CA5_48BF_958D_24D2EA94B219_.wvu.PrintArea" localSheetId="19" hidden="1">'310'!$A$1:$P$47</definedName>
    <definedName name="Z_9FCFC836_1CA5_48BF_958D_24D2EA94B219_.wvu.PrintArea" localSheetId="20" hidden="1">'315'!$B$1:$Q$71</definedName>
    <definedName name="Z_9FCFC836_1CA5_48BF_958D_24D2EA94B219_.wvu.PrintArea" localSheetId="21" hidden="1">'320'!$B$1:$S$69</definedName>
    <definedName name="Z_9FCFC836_1CA5_48BF_958D_24D2EA94B219_.wvu.PrintArea" localSheetId="22" hidden="1">'322'!$A$1:$N$62</definedName>
    <definedName name="Z_9FCFC836_1CA5_48BF_958D_24D2EA94B219_.wvu.PrintArea" localSheetId="23" hidden="1">'323'!$B$1:$K$132</definedName>
    <definedName name="Z_9FCFC836_1CA5_48BF_958D_24D2EA94B219_.wvu.PrintArea" localSheetId="24" hidden="1">'325'!$C$1:$P$47</definedName>
    <definedName name="Z_9FCFC836_1CA5_48BF_958D_24D2EA94B219_.wvu.PrintArea" localSheetId="25" hidden="1">'330'!$B$1:$N$59</definedName>
    <definedName name="Z_9FCFC836_1CA5_48BF_958D_24D2EA94B219_.wvu.PrintArea" localSheetId="27" hidden="1">'340'!$A$1:$R$44</definedName>
    <definedName name="Z_9FCFC836_1CA5_48BF_958D_24D2EA94B219_.wvu.PrintArea" localSheetId="28" hidden="1">'341'!$A$1:$R$41</definedName>
    <definedName name="Z_9FCFC836_1CA5_48BF_958D_24D2EA94B219_.wvu.PrintArea" localSheetId="29" hidden="1">'342'!$A$1:$R$40</definedName>
    <definedName name="Z_9FCFC836_1CA5_48BF_958D_24D2EA94B219_.wvu.PrintArea" localSheetId="30" hidden="1">'345'!$B$1:$L$53</definedName>
    <definedName name="Z_9FCFC836_1CA5_48BF_958D_24D2EA94B219_.wvu.PrintArea" localSheetId="31" hidden="1">'350'!$A$1:$G$55</definedName>
    <definedName name="Z_9FCFC836_1CA5_48BF_958D_24D2EA94B219_.wvu.PrintArea" localSheetId="32" hidden="1">'355'!$B$1:$M$52</definedName>
    <definedName name="Z_9FCFC836_1CA5_48BF_958D_24D2EA94B219_.wvu.PrintArea" localSheetId="37" hidden="1">'401'!$A$1:$H$50</definedName>
    <definedName name="Z_9FCFC836_1CA5_48BF_958D_24D2EA94B219_.wvu.PrintArea" localSheetId="38" hidden="1">'405'!$A$1:$H$47</definedName>
    <definedName name="Z_9FCFC836_1CA5_48BF_958D_24D2EA94B219_.wvu.PrintArea" localSheetId="39" hidden="1">'410'!$A$1:$H$46</definedName>
    <definedName name="Z_9FCFC836_1CA5_48BF_958D_24D2EA94B219_.wvu.PrintArea" localSheetId="40" hidden="1">'415'!$A$1:$H$47</definedName>
    <definedName name="Z_9FCFC836_1CA5_48BF_958D_24D2EA94B219_.wvu.PrintArea" localSheetId="41" hidden="1">'420'!$B$1:$M$23</definedName>
    <definedName name="Z_9FCFC836_1CA5_48BF_958D_24D2EA94B219_.wvu.PrintArea" localSheetId="42" hidden="1">'425'!$A$1:$L$35</definedName>
    <definedName name="Z_9FCFC836_1CA5_48BF_958D_24D2EA94B219_.wvu.PrintArea" localSheetId="51" hidden="1">'505'!$B$1:$R$33</definedName>
    <definedName name="Z_9FCFC836_1CA5_48BF_958D_24D2EA94B219_.wvu.PrintArea" localSheetId="52" hidden="1">'510'!$B$1:$P$35</definedName>
    <definedName name="Z_9FCFC836_1CA5_48BF_958D_24D2EA94B219_.wvu.PrintArea" localSheetId="53" hidden="1">'515'!$B$1:$P$35</definedName>
    <definedName name="Z_9FCFC836_1CA5_48BF_958D_24D2EA94B219_.wvu.PrintArea" localSheetId="54" hidden="1">'520'!$B$1:$P$34</definedName>
    <definedName name="Z_9FCFC836_1CA5_48BF_958D_24D2EA94B219_.wvu.PrintArea" localSheetId="55" hidden="1">'525'!$B$1:$P$41</definedName>
    <definedName name="Z_9FCFC836_1CA5_48BF_958D_24D2EA94B219_.wvu.PrintArea" localSheetId="56" hidden="1">'530'!$B$1:$P$34</definedName>
    <definedName name="Z_9FCFC836_1CA5_48BF_958D_24D2EA94B219_.wvu.PrintArea" localSheetId="57" hidden="1">'535'!$B$1:$P$36</definedName>
    <definedName name="Z_9FCFC836_1CA5_48BF_958D_24D2EA94B219_.wvu.PrintArea" localSheetId="58" hidden="1">'536'!$B$1:$L$82</definedName>
    <definedName name="Z_9FCFC836_1CA5_48BF_958D_24D2EA94B219_.wvu.PrintArea" localSheetId="60" hidden="1">'565'!$A$1:$O$31</definedName>
    <definedName name="Z_9FCFC836_1CA5_48BF_958D_24D2EA94B219_.wvu.PrintArea" localSheetId="61" hidden="1">'570'!$B$1:$M$27</definedName>
    <definedName name="Z_9FCFC836_1CA5_48BF_958D_24D2EA94B219_.wvu.PrintArea" localSheetId="62" hidden="1">'602'!$B$1:$P$33</definedName>
    <definedName name="Z_9FCFC836_1CA5_48BF_958D_24D2EA94B219_.wvu.PrintArea" localSheetId="63" hidden="1">'605'!$B$1:$P$33</definedName>
    <definedName name="Z_9FCFC836_1CA5_48BF_958D_24D2EA94B219_.wvu.PrintArea" localSheetId="64" hidden="1">'610'!$A$1:$I$51</definedName>
    <definedName name="Z_9FCFC836_1CA5_48BF_958D_24D2EA94B219_.wvu.PrintArea" localSheetId="65" hidden="1">'615'!$A$1:$K$28</definedName>
    <definedName name="Z_9FCFC836_1CA5_48BF_958D_24D2EA94B219_.wvu.PrintArea" localSheetId="66" hidden="1">'616'!$A$1:$M$49</definedName>
    <definedName name="Z_9FCFC836_1CA5_48BF_958D_24D2EA94B219_.wvu.PrintArea" localSheetId="68" hidden="1">'625'!$B$1:$W$28</definedName>
    <definedName name="Z_9FCFC836_1CA5_48BF_958D_24D2EA94B219_.wvu.PrintArea" localSheetId="69" hidden="1">'635'!$B$1:$P$86</definedName>
    <definedName name="Z_9FCFC836_1CA5_48BF_958D_24D2EA94B219_.wvu.PrintArea" localSheetId="71" hidden="1">'705'!$C$1:$R$45</definedName>
    <definedName name="Z_9FCFC836_1CA5_48BF_958D_24D2EA94B219_.wvu.PrintArea" localSheetId="72" hidden="1">'710'!$B$1:$S$71</definedName>
    <definedName name="Z_9FCFC836_1CA5_48BF_958D_24D2EA94B219_.wvu.PrintArea" localSheetId="73" hidden="1">'715'!$C$1:$R$37</definedName>
    <definedName name="Z_9FCFC836_1CA5_48BF_958D_24D2EA94B219_.wvu.PrintArea" localSheetId="75" hidden="1">'725'!$C$1:$R$45</definedName>
    <definedName name="Z_9FCFC836_1CA5_48BF_958D_24D2EA94B219_.wvu.PrintArea" localSheetId="78" hidden="1">'740'!$C$1:$P$55</definedName>
    <definedName name="Z_9FCFC836_1CA5_48BF_958D_24D2EA94B219_.wvu.PrintArea" localSheetId="79" hidden="1">'745'!$C$1:$S$46</definedName>
    <definedName name="Z_9FCFC836_1CA5_48BF_958D_24D2EA94B219_.wvu.PrintArea" localSheetId="81" hidden="1">'756'!$B$1:$S$45</definedName>
    <definedName name="Z_9FCFC836_1CA5_48BF_958D_24D2EA94B219_.wvu.PrintArea" localSheetId="87" hidden="1">'906-6B'!$B$1:$K$92</definedName>
    <definedName name="Z_9FCFC836_1CA5_48BF_958D_24D2EA94B219_.wvu.PrintArea" localSheetId="89" hidden="1">'906-6BC'!$B$1:$K$93</definedName>
    <definedName name="Z_9FCFC836_1CA5_48BF_958D_24D2EA94B219_.wvu.PrintArea" localSheetId="88" hidden="1">'906-6C'!$B$1:$K$92</definedName>
    <definedName name="Z_9FCFC836_1CA5_48BF_958D_24D2EA94B219_.wvu.PrintArea" localSheetId="90" hidden="1">'907'!$A$1:$L$38</definedName>
    <definedName name="Z_9FCFC836_1CA5_48BF_958D_24D2EA94B219_.wvu.PrintArea" localSheetId="91" hidden="1">'908'!$A$1:$L$50</definedName>
    <definedName name="Z_9FCFC836_1CA5_48BF_958D_24D2EA94B219_.wvu.PrintArea" localSheetId="92" hidden="1">'910'!$B$1:$N$263</definedName>
    <definedName name="Z_9FCFC836_1CA5_48BF_958D_24D2EA94B219_.wvu.PrintArea" localSheetId="93" hidden="1">'910Hosp'!$B$1:$N$262</definedName>
    <definedName name="Z_9FCFC836_1CA5_48BF_958D_24D2EA94B219_.wvu.PrintArea" localSheetId="95" hidden="1">'911-6B'!$B$1:$L$91</definedName>
    <definedName name="Z_9FCFC836_1CA5_48BF_958D_24D2EA94B219_.wvu.PrintArea" localSheetId="96" hidden="1">'911-6C'!$B$1:$L$91</definedName>
    <definedName name="Z_9FCFC836_1CA5_48BF_958D_24D2EA94B219_.wvu.PrintArea" localSheetId="104" hidden="1">'All Agencies'!$C$1:$J$148</definedName>
    <definedName name="Z_9FCFC836_1CA5_48BF_958D_24D2EA94B219_.wvu.PrintArea" localSheetId="98" hidden="1">Comments!$A$1:$N$39</definedName>
    <definedName name="Z_9FCFC836_1CA5_48BF_958D_24D2EA94B219_.wvu.PrintArea" localSheetId="97" hidden="1">Explanations!$A$1:$N$49</definedName>
    <definedName name="Z_9FCFC836_1CA5_48BF_958D_24D2EA94B219_.wvu.PrintArea" localSheetId="85" hidden="1">'For 905-NCFS Acct Roll-up'!#REF!</definedName>
    <definedName name="Z_9FCFC836_1CA5_48BF_958D_24D2EA94B219_.wvu.PrintArea" localSheetId="2" hidden="1">Index!$A$1:$P$125</definedName>
    <definedName name="Z_9FCFC836_1CA5_48BF_958D_24D2EA94B219_.wvu.PrintArea" localSheetId="103" hidden="1">PriorYr906!$B$1:$K$92</definedName>
    <definedName name="Z_9FCFC836_1CA5_48BF_958D_24D2EA94B219_.wvu.PrintTitles" localSheetId="13" hidden="1">'220'!$1:$10</definedName>
    <definedName name="Z_9FCFC836_1CA5_48BF_958D_24D2EA94B219_.wvu.PrintTitles" localSheetId="84" hidden="1">'905'!$1:$9</definedName>
    <definedName name="Z_9FCFC836_1CA5_48BF_958D_24D2EA94B219_.wvu.PrintTitles" localSheetId="86" hidden="1">'905Hosp'!$1:$10</definedName>
    <definedName name="Z_9FCFC836_1CA5_48BF_958D_24D2EA94B219_.wvu.PrintTitles" localSheetId="87" hidden="1">'906-6B'!$1:$9</definedName>
    <definedName name="Z_9FCFC836_1CA5_48BF_958D_24D2EA94B219_.wvu.PrintTitles" localSheetId="89" hidden="1">'906-6BC'!$1:$9</definedName>
    <definedName name="Z_9FCFC836_1CA5_48BF_958D_24D2EA94B219_.wvu.PrintTitles" localSheetId="88" hidden="1">'906-6C'!$1:$9</definedName>
    <definedName name="Z_9FCFC836_1CA5_48BF_958D_24D2EA94B219_.wvu.PrintTitles" localSheetId="92" hidden="1">'910'!$1:$10</definedName>
    <definedName name="Z_9FCFC836_1CA5_48BF_958D_24D2EA94B219_.wvu.PrintTitles" localSheetId="93" hidden="1">'910Hosp'!$1:$10</definedName>
    <definedName name="Z_9FCFC836_1CA5_48BF_958D_24D2EA94B219_.wvu.PrintTitles" localSheetId="95" hidden="1">'911-6B'!$1:$11</definedName>
    <definedName name="Z_9FCFC836_1CA5_48BF_958D_24D2EA94B219_.wvu.PrintTitles" localSheetId="96" hidden="1">'911-6C'!$1:$11</definedName>
    <definedName name="Z_9FCFC836_1CA5_48BF_958D_24D2EA94B219_.wvu.PrintTitles" localSheetId="104" hidden="1">'All Agencies'!$1:$2</definedName>
    <definedName name="Z_9FCFC836_1CA5_48BF_958D_24D2EA94B219_.wvu.PrintTitles" localSheetId="2" hidden="1">Index!$1:$16</definedName>
    <definedName name="Z_9FCFC836_1CA5_48BF_958D_24D2EA94B219_.wvu.PrintTitles" localSheetId="103" hidden="1">PriorYr906!$1:$9</definedName>
    <definedName name="Z_9FCFC836_1CA5_48BF_958D_24D2EA94B219_.wvu.Rows" localSheetId="11" hidden="1">'210'!$15:$15</definedName>
    <definedName name="Z_9FCFC836_1CA5_48BF_958D_24D2EA94B219_.wvu.Rows" localSheetId="14" hidden="1">'301'!#REF!,'301'!$27:$27,'301'!#REF!</definedName>
    <definedName name="Z_9FCFC836_1CA5_48BF_958D_24D2EA94B219_.wvu.Rows" localSheetId="16" hidden="1">'303'!#REF!,'303'!$27:$27,'303'!#REF!</definedName>
    <definedName name="Z_9FCFC836_1CA5_48BF_958D_24D2EA94B219_.wvu.Rows" localSheetId="20" hidden="1">'315'!$31:$31</definedName>
    <definedName name="Z_9FCFC836_1CA5_48BF_958D_24D2EA94B219_.wvu.Rows" localSheetId="44" hidden="1">'430BTA'!#REF!,'430BTA'!$19:$21</definedName>
    <definedName name="Z_9FCFC836_1CA5_48BF_958D_24D2EA94B219_.wvu.Rows" localSheetId="45" hidden="1">'430F'!#REF!,'430F'!$17:$19</definedName>
    <definedName name="Z_9FCFC836_1CA5_48BF_958D_24D2EA94B219_.wvu.Rows" localSheetId="43" hidden="1">'430G'!$18:$20,'430G'!#REF!</definedName>
    <definedName name="Z_B08879A4_635B_4C39_9937_AC7883D562FC_.wvu.Cols" localSheetId="4" hidden="1">'101'!$A:$A</definedName>
    <definedName name="Z_B08879A4_635B_4C39_9937_AC7883D562FC_.wvu.Cols" localSheetId="6" hidden="1">'110'!$A:$A</definedName>
    <definedName name="Z_B08879A4_635B_4C39_9937_AC7883D562FC_.wvu.Cols" localSheetId="7" hidden="1">'120'!$A:$A</definedName>
    <definedName name="Z_B08879A4_635B_4C39_9937_AC7883D562FC_.wvu.Cols" localSheetId="8" hidden="1">'201'!$A:$A</definedName>
    <definedName name="Z_B08879A4_635B_4C39_9937_AC7883D562FC_.wvu.Cols" localSheetId="11" hidden="1">'210'!$A:$A</definedName>
    <definedName name="Z_B08879A4_635B_4C39_9937_AC7883D562FC_.wvu.Cols" localSheetId="14" hidden="1">'301'!$A:$B,'301'!$M:$AC</definedName>
    <definedName name="Z_B08879A4_635B_4C39_9937_AC7883D562FC_.wvu.Cols" localSheetId="16" hidden="1">'303'!$A:$B,'303'!$M:$AC</definedName>
    <definedName name="Z_B08879A4_635B_4C39_9937_AC7883D562FC_.wvu.Cols" localSheetId="18" hidden="1">'305'!$A:$A,'305'!$Q:$Y</definedName>
    <definedName name="Z_B08879A4_635B_4C39_9937_AC7883D562FC_.wvu.Cols" localSheetId="19" hidden="1">'310'!$A:$A,'310'!$Q:$Y</definedName>
    <definedName name="Z_B08879A4_635B_4C39_9937_AC7883D562FC_.wvu.Cols" localSheetId="20" hidden="1">'315'!$A:$A,'315'!$R:$T</definedName>
    <definedName name="Z_B08879A4_635B_4C39_9937_AC7883D562FC_.wvu.Cols" localSheetId="21" hidden="1">'320'!$A:$A,'320'!$T:$V</definedName>
    <definedName name="Z_B08879A4_635B_4C39_9937_AC7883D562FC_.wvu.Cols" localSheetId="23" hidden="1">'323'!$A:$A</definedName>
    <definedName name="Z_B08879A4_635B_4C39_9937_AC7883D562FC_.wvu.Cols" localSheetId="24" hidden="1">'325'!$B:$B</definedName>
    <definedName name="Z_B08879A4_635B_4C39_9937_AC7883D562FC_.wvu.Cols" localSheetId="25" hidden="1">'330'!$A:$A</definedName>
    <definedName name="Z_B08879A4_635B_4C39_9937_AC7883D562FC_.wvu.Cols" localSheetId="30" hidden="1">'345'!$A:$A</definedName>
    <definedName name="Z_B08879A4_635B_4C39_9937_AC7883D562FC_.wvu.Cols" localSheetId="32" hidden="1">'355'!$A:$A</definedName>
    <definedName name="Z_B08879A4_635B_4C39_9937_AC7883D562FC_.wvu.Cols" localSheetId="41" hidden="1">'420'!$A:$A</definedName>
    <definedName name="Z_B08879A4_635B_4C39_9937_AC7883D562FC_.wvu.Cols" localSheetId="52" hidden="1">'510'!$A:$A,'510'!#REF!</definedName>
    <definedName name="Z_B08879A4_635B_4C39_9937_AC7883D562FC_.wvu.Cols" localSheetId="53" hidden="1">'515'!$A:$A,'515'!#REF!,'515'!#REF!</definedName>
    <definedName name="Z_B08879A4_635B_4C39_9937_AC7883D562FC_.wvu.Cols" localSheetId="54" hidden="1">'520'!$A:$A,'520'!#REF!,'520'!#REF!</definedName>
    <definedName name="Z_B08879A4_635B_4C39_9937_AC7883D562FC_.wvu.Cols" localSheetId="55" hidden="1">'525'!$A:$A,'525'!#REF!,'525'!#REF!</definedName>
    <definedName name="Z_B08879A4_635B_4C39_9937_AC7883D562FC_.wvu.Cols" localSheetId="56" hidden="1">'530'!$A:$A,'530'!#REF!,'530'!#REF!</definedName>
    <definedName name="Z_B08879A4_635B_4C39_9937_AC7883D562FC_.wvu.Cols" localSheetId="57" hidden="1">'535'!$A:$A,'535'!#REF!</definedName>
    <definedName name="Z_B08879A4_635B_4C39_9937_AC7883D562FC_.wvu.Cols" localSheetId="58" hidden="1">'536'!$A:$A,'536'!$M:$R</definedName>
    <definedName name="Z_B08879A4_635B_4C39_9937_AC7883D562FC_.wvu.Cols" localSheetId="60" hidden="1">'565'!$A:$A,'565'!$P:$X</definedName>
    <definedName name="Z_B08879A4_635B_4C39_9937_AC7883D562FC_.wvu.Cols" localSheetId="61" hidden="1">'570'!$A:$A</definedName>
    <definedName name="Z_B08879A4_635B_4C39_9937_AC7883D562FC_.wvu.Cols" localSheetId="62" hidden="1">'602'!$A:$A,'602'!$Q:$Q</definedName>
    <definedName name="Z_B08879A4_635B_4C39_9937_AC7883D562FC_.wvu.Cols" localSheetId="63" hidden="1">'605'!$A:$A,'605'!$Q:$Q</definedName>
    <definedName name="Z_B08879A4_635B_4C39_9937_AC7883D562FC_.wvu.Cols" localSheetId="68" hidden="1">'625'!$A:$A</definedName>
    <definedName name="Z_B08879A4_635B_4C39_9937_AC7883D562FC_.wvu.Cols" localSheetId="69" hidden="1">'635'!$A:$A</definedName>
    <definedName name="Z_B08879A4_635B_4C39_9937_AC7883D562FC_.wvu.Cols" localSheetId="71" hidden="1">'705'!$A:$B,'705'!$S:$S</definedName>
    <definedName name="Z_B08879A4_635B_4C39_9937_AC7883D562FC_.wvu.Cols" localSheetId="73" hidden="1">'715'!$A:$B,'715'!$S:$S</definedName>
    <definedName name="Z_B08879A4_635B_4C39_9937_AC7883D562FC_.wvu.Cols" localSheetId="75" hidden="1">'725'!$A:$B</definedName>
    <definedName name="Z_B08879A4_635B_4C39_9937_AC7883D562FC_.wvu.Cols" localSheetId="76" hidden="1">'730'!$A:$A</definedName>
    <definedName name="Z_B08879A4_635B_4C39_9937_AC7883D562FC_.wvu.Cols" localSheetId="77" hidden="1">'735'!$A:$B</definedName>
    <definedName name="Z_B08879A4_635B_4C39_9937_AC7883D562FC_.wvu.Cols" localSheetId="78" hidden="1">'740'!$A:$B</definedName>
    <definedName name="Z_B08879A4_635B_4C39_9937_AC7883D562FC_.wvu.Cols" localSheetId="79" hidden="1">'745'!$A:$B</definedName>
    <definedName name="Z_B08879A4_635B_4C39_9937_AC7883D562FC_.wvu.Cols" localSheetId="104" hidden="1">'All Agencies'!$A:$B</definedName>
    <definedName name="Z_B08879A4_635B_4C39_9937_AC7883D562FC_.wvu.Cols" localSheetId="2" hidden="1">Index!$D:$D</definedName>
    <definedName name="Z_B08879A4_635B_4C39_9937_AC7883D562FC_.wvu.Cols" localSheetId="0" hidden="1">Instruct!#REF!</definedName>
    <definedName name="Z_B08879A4_635B_4C39_9937_AC7883D562FC_.wvu.PrintArea" localSheetId="4" hidden="1">'101'!$B$1:$L$80</definedName>
    <definedName name="Z_B08879A4_635B_4C39_9937_AC7883D562FC_.wvu.PrintArea" localSheetId="5" hidden="1">'105'!$A$1:$K$58</definedName>
    <definedName name="Z_B08879A4_635B_4C39_9937_AC7883D562FC_.wvu.PrintArea" localSheetId="6" hidden="1">'110'!$B$1:$J$46</definedName>
    <definedName name="Z_B08879A4_635B_4C39_9937_AC7883D562FC_.wvu.PrintArea" localSheetId="7" hidden="1">'120'!$B$1:$J$78</definedName>
    <definedName name="Z_B08879A4_635B_4C39_9937_AC7883D562FC_.wvu.PrintArea" localSheetId="8" hidden="1">'201'!$B$1:$T$61</definedName>
    <definedName name="Z_B08879A4_635B_4C39_9937_AC7883D562FC_.wvu.PrintArea" localSheetId="11" hidden="1">'210'!$B$1:$Q$42</definedName>
    <definedName name="Z_B08879A4_635B_4C39_9937_AC7883D562FC_.wvu.PrintArea" localSheetId="12" hidden="1">'215'!$A$1:$N$74</definedName>
    <definedName name="Z_B08879A4_635B_4C39_9937_AC7883D562FC_.wvu.PrintArea" localSheetId="13" hidden="1">'220'!$A$1:$H$122</definedName>
    <definedName name="Z_B08879A4_635B_4C39_9937_AC7883D562FC_.wvu.PrintArea" localSheetId="14" hidden="1">'301'!$C$1:$L$53</definedName>
    <definedName name="Z_B08879A4_635B_4C39_9937_AC7883D562FC_.wvu.PrintArea" localSheetId="16" hidden="1">'303'!$C$1:$L$49</definedName>
    <definedName name="Z_B08879A4_635B_4C39_9937_AC7883D562FC_.wvu.PrintArea" localSheetId="18" hidden="1">'305'!$B$1:$P$45</definedName>
    <definedName name="Z_B08879A4_635B_4C39_9937_AC7883D562FC_.wvu.PrintArea" localSheetId="19" hidden="1">'310'!$A$1:$P$47</definedName>
    <definedName name="Z_B08879A4_635B_4C39_9937_AC7883D562FC_.wvu.PrintArea" localSheetId="20" hidden="1">'315'!$B$1:$Q$71</definedName>
    <definedName name="Z_B08879A4_635B_4C39_9937_AC7883D562FC_.wvu.PrintArea" localSheetId="21" hidden="1">'320'!$B$1:$S$69</definedName>
    <definedName name="Z_B08879A4_635B_4C39_9937_AC7883D562FC_.wvu.PrintArea" localSheetId="22" hidden="1">'322'!$A$1:$N$62</definedName>
    <definedName name="Z_B08879A4_635B_4C39_9937_AC7883D562FC_.wvu.PrintArea" localSheetId="23" hidden="1">'323'!$B$1:$K$132</definedName>
    <definedName name="Z_B08879A4_635B_4C39_9937_AC7883D562FC_.wvu.PrintArea" localSheetId="24" hidden="1">'325'!$C$1:$P$47</definedName>
    <definedName name="Z_B08879A4_635B_4C39_9937_AC7883D562FC_.wvu.PrintArea" localSheetId="25" hidden="1">'330'!$B$1:$N$59</definedName>
    <definedName name="Z_B08879A4_635B_4C39_9937_AC7883D562FC_.wvu.PrintArea" localSheetId="27" hidden="1">'340'!$A$1:$R$44</definedName>
    <definedName name="Z_B08879A4_635B_4C39_9937_AC7883D562FC_.wvu.PrintArea" localSheetId="28" hidden="1">'341'!$A$1:$R$41</definedName>
    <definedName name="Z_B08879A4_635B_4C39_9937_AC7883D562FC_.wvu.PrintArea" localSheetId="29" hidden="1">'342'!$A$1:$R$40</definedName>
    <definedName name="Z_B08879A4_635B_4C39_9937_AC7883D562FC_.wvu.PrintArea" localSheetId="30" hidden="1">'345'!$B$1:$L$53</definedName>
    <definedName name="Z_B08879A4_635B_4C39_9937_AC7883D562FC_.wvu.PrintArea" localSheetId="31" hidden="1">'350'!$A$1:$G$55</definedName>
    <definedName name="Z_B08879A4_635B_4C39_9937_AC7883D562FC_.wvu.PrintArea" localSheetId="32" hidden="1">'355'!$B$1:$M$52</definedName>
    <definedName name="Z_B08879A4_635B_4C39_9937_AC7883D562FC_.wvu.PrintArea" localSheetId="37" hidden="1">'401'!$A$1:$H$50</definedName>
    <definedName name="Z_B08879A4_635B_4C39_9937_AC7883D562FC_.wvu.PrintArea" localSheetId="38" hidden="1">'405'!$A$1:$H$47</definedName>
    <definedName name="Z_B08879A4_635B_4C39_9937_AC7883D562FC_.wvu.PrintArea" localSheetId="39" hidden="1">'410'!$A$1:$H$46</definedName>
    <definedName name="Z_B08879A4_635B_4C39_9937_AC7883D562FC_.wvu.PrintArea" localSheetId="40" hidden="1">'415'!$A$1:$H$47</definedName>
    <definedName name="Z_B08879A4_635B_4C39_9937_AC7883D562FC_.wvu.PrintArea" localSheetId="41" hidden="1">'420'!$B$1:$M$23</definedName>
    <definedName name="Z_B08879A4_635B_4C39_9937_AC7883D562FC_.wvu.PrintArea" localSheetId="42" hidden="1">'425'!$A$1:$L$35</definedName>
    <definedName name="Z_B08879A4_635B_4C39_9937_AC7883D562FC_.wvu.PrintArea" localSheetId="51" hidden="1">'505'!$B$1:$R$33</definedName>
    <definedName name="Z_B08879A4_635B_4C39_9937_AC7883D562FC_.wvu.PrintArea" localSheetId="52" hidden="1">'510'!$B$1:$P$35</definedName>
    <definedName name="Z_B08879A4_635B_4C39_9937_AC7883D562FC_.wvu.PrintArea" localSheetId="53" hidden="1">'515'!$B$1:$P$35</definedName>
    <definedName name="Z_B08879A4_635B_4C39_9937_AC7883D562FC_.wvu.PrintArea" localSheetId="54" hidden="1">'520'!$B$1:$P$34</definedName>
    <definedName name="Z_B08879A4_635B_4C39_9937_AC7883D562FC_.wvu.PrintArea" localSheetId="55" hidden="1">'525'!$B$1:$P$41</definedName>
    <definedName name="Z_B08879A4_635B_4C39_9937_AC7883D562FC_.wvu.PrintArea" localSheetId="56" hidden="1">'530'!$B$1:$P$34</definedName>
    <definedName name="Z_B08879A4_635B_4C39_9937_AC7883D562FC_.wvu.PrintArea" localSheetId="57" hidden="1">'535'!$B$1:$P$36</definedName>
    <definedName name="Z_B08879A4_635B_4C39_9937_AC7883D562FC_.wvu.PrintArea" localSheetId="58" hidden="1">'536'!$B$1:$L$82</definedName>
    <definedName name="Z_B08879A4_635B_4C39_9937_AC7883D562FC_.wvu.PrintArea" localSheetId="60" hidden="1">'565'!$A$1:$O$31</definedName>
    <definedName name="Z_B08879A4_635B_4C39_9937_AC7883D562FC_.wvu.PrintArea" localSheetId="61" hidden="1">'570'!$B$1:$M$27</definedName>
    <definedName name="Z_B08879A4_635B_4C39_9937_AC7883D562FC_.wvu.PrintArea" localSheetId="62" hidden="1">'602'!$B$1:$P$33</definedName>
    <definedName name="Z_B08879A4_635B_4C39_9937_AC7883D562FC_.wvu.PrintArea" localSheetId="63" hidden="1">'605'!$B$1:$P$33</definedName>
    <definedName name="Z_B08879A4_635B_4C39_9937_AC7883D562FC_.wvu.PrintArea" localSheetId="64" hidden="1">'610'!$A$1:$I$51</definedName>
    <definedName name="Z_B08879A4_635B_4C39_9937_AC7883D562FC_.wvu.PrintArea" localSheetId="65" hidden="1">'615'!$A$1:$K$28</definedName>
    <definedName name="Z_B08879A4_635B_4C39_9937_AC7883D562FC_.wvu.PrintArea" localSheetId="66" hidden="1">'616'!$A$1:$M$49</definedName>
    <definedName name="Z_B08879A4_635B_4C39_9937_AC7883D562FC_.wvu.PrintArea" localSheetId="68" hidden="1">'625'!$B$1:$W$28</definedName>
    <definedName name="Z_B08879A4_635B_4C39_9937_AC7883D562FC_.wvu.PrintArea" localSheetId="69" hidden="1">'635'!$B$1:$P$86</definedName>
    <definedName name="Z_B08879A4_635B_4C39_9937_AC7883D562FC_.wvu.PrintArea" localSheetId="71" hidden="1">'705'!$C$1:$R$45</definedName>
    <definedName name="Z_B08879A4_635B_4C39_9937_AC7883D562FC_.wvu.PrintArea" localSheetId="72" hidden="1">'710'!$B$1:$S$71</definedName>
    <definedName name="Z_B08879A4_635B_4C39_9937_AC7883D562FC_.wvu.PrintArea" localSheetId="73" hidden="1">'715'!$C$1:$R$37</definedName>
    <definedName name="Z_B08879A4_635B_4C39_9937_AC7883D562FC_.wvu.PrintArea" localSheetId="75" hidden="1">'725'!$C$1:$R$45</definedName>
    <definedName name="Z_B08879A4_635B_4C39_9937_AC7883D562FC_.wvu.PrintArea" localSheetId="78" hidden="1">'740'!$C$1:$P$55</definedName>
    <definedName name="Z_B08879A4_635B_4C39_9937_AC7883D562FC_.wvu.PrintArea" localSheetId="79" hidden="1">'745'!$C$1:$S$46</definedName>
    <definedName name="Z_B08879A4_635B_4C39_9937_AC7883D562FC_.wvu.PrintArea" localSheetId="81" hidden="1">'756'!$B$1:$S$45</definedName>
    <definedName name="Z_B08879A4_635B_4C39_9937_AC7883D562FC_.wvu.PrintArea" localSheetId="87" hidden="1">'906-6B'!$B$1:$K$92</definedName>
    <definedName name="Z_B08879A4_635B_4C39_9937_AC7883D562FC_.wvu.PrintArea" localSheetId="89" hidden="1">'906-6BC'!$B$1:$K$93</definedName>
    <definedName name="Z_B08879A4_635B_4C39_9937_AC7883D562FC_.wvu.PrintArea" localSheetId="88" hidden="1">'906-6C'!$B$1:$K$92</definedName>
    <definedName name="Z_B08879A4_635B_4C39_9937_AC7883D562FC_.wvu.PrintArea" localSheetId="90" hidden="1">'907'!$A$1:$L$38</definedName>
    <definedName name="Z_B08879A4_635B_4C39_9937_AC7883D562FC_.wvu.PrintArea" localSheetId="91" hidden="1">'908'!$A$1:$L$50</definedName>
    <definedName name="Z_B08879A4_635B_4C39_9937_AC7883D562FC_.wvu.PrintArea" localSheetId="92" hidden="1">'910'!$B$1:$N$263</definedName>
    <definedName name="Z_B08879A4_635B_4C39_9937_AC7883D562FC_.wvu.PrintArea" localSheetId="93" hidden="1">'910Hosp'!$B$1:$N$262</definedName>
    <definedName name="Z_B08879A4_635B_4C39_9937_AC7883D562FC_.wvu.PrintArea" localSheetId="95" hidden="1">'911-6B'!$B$1:$L$91</definedName>
    <definedName name="Z_B08879A4_635B_4C39_9937_AC7883D562FC_.wvu.PrintArea" localSheetId="96" hidden="1">'911-6C'!$B$1:$L$91</definedName>
    <definedName name="Z_B08879A4_635B_4C39_9937_AC7883D562FC_.wvu.PrintArea" localSheetId="104" hidden="1">'All Agencies'!$C$1:$J$148</definedName>
    <definedName name="Z_B08879A4_635B_4C39_9937_AC7883D562FC_.wvu.PrintArea" localSheetId="98" hidden="1">Comments!$A$1:$N$39</definedName>
    <definedName name="Z_B08879A4_635B_4C39_9937_AC7883D562FC_.wvu.PrintArea" localSheetId="97" hidden="1">Explanations!$A$1:$N$49</definedName>
    <definedName name="Z_B08879A4_635B_4C39_9937_AC7883D562FC_.wvu.PrintArea" localSheetId="85" hidden="1">'For 905-NCFS Acct Roll-up'!#REF!</definedName>
    <definedName name="Z_B08879A4_635B_4C39_9937_AC7883D562FC_.wvu.PrintArea" localSheetId="2" hidden="1">Index!$A$1:$P$125</definedName>
    <definedName name="Z_B08879A4_635B_4C39_9937_AC7883D562FC_.wvu.PrintArea" localSheetId="103" hidden="1">PriorYr906!$B$1:$K$92</definedName>
    <definedName name="Z_B08879A4_635B_4C39_9937_AC7883D562FC_.wvu.PrintTitles" localSheetId="13" hidden="1">'220'!$1:$10</definedName>
    <definedName name="Z_B08879A4_635B_4C39_9937_AC7883D562FC_.wvu.PrintTitles" localSheetId="84" hidden="1">'905'!$1:$9</definedName>
    <definedName name="Z_B08879A4_635B_4C39_9937_AC7883D562FC_.wvu.PrintTitles" localSheetId="86" hidden="1">'905Hosp'!$1:$10</definedName>
    <definedName name="Z_B08879A4_635B_4C39_9937_AC7883D562FC_.wvu.PrintTitles" localSheetId="87" hidden="1">'906-6B'!$1:$9</definedName>
    <definedName name="Z_B08879A4_635B_4C39_9937_AC7883D562FC_.wvu.PrintTitles" localSheetId="89" hidden="1">'906-6BC'!$1:$9</definedName>
    <definedName name="Z_B08879A4_635B_4C39_9937_AC7883D562FC_.wvu.PrintTitles" localSheetId="88" hidden="1">'906-6C'!$1:$9</definedName>
    <definedName name="Z_B08879A4_635B_4C39_9937_AC7883D562FC_.wvu.PrintTitles" localSheetId="92" hidden="1">'910'!$1:$10</definedName>
    <definedName name="Z_B08879A4_635B_4C39_9937_AC7883D562FC_.wvu.PrintTitles" localSheetId="93" hidden="1">'910Hosp'!$1:$10</definedName>
    <definedName name="Z_B08879A4_635B_4C39_9937_AC7883D562FC_.wvu.PrintTitles" localSheetId="95" hidden="1">'911-6B'!$1:$11</definedName>
    <definedName name="Z_B08879A4_635B_4C39_9937_AC7883D562FC_.wvu.PrintTitles" localSheetId="96" hidden="1">'911-6C'!$1:$11</definedName>
    <definedName name="Z_B08879A4_635B_4C39_9937_AC7883D562FC_.wvu.PrintTitles" localSheetId="104" hidden="1">'All Agencies'!$1:$2</definedName>
    <definedName name="Z_B08879A4_635B_4C39_9937_AC7883D562FC_.wvu.PrintTitles" localSheetId="2" hidden="1">Index!$1:$16</definedName>
    <definedName name="Z_B08879A4_635B_4C39_9937_AC7883D562FC_.wvu.PrintTitles" localSheetId="103" hidden="1">PriorYr906!$1:$9</definedName>
    <definedName name="Z_B08879A4_635B_4C39_9937_AC7883D562FC_.wvu.Rows" localSheetId="11" hidden="1">'210'!$15:$15</definedName>
    <definedName name="Z_B08879A4_635B_4C39_9937_AC7883D562FC_.wvu.Rows" localSheetId="14" hidden="1">'301'!#REF!,'301'!$27:$27,'301'!#REF!</definedName>
    <definedName name="Z_B08879A4_635B_4C39_9937_AC7883D562FC_.wvu.Rows" localSheetId="16" hidden="1">'303'!#REF!,'303'!$27:$27,'303'!#REF!</definedName>
    <definedName name="Z_B08879A4_635B_4C39_9937_AC7883D562FC_.wvu.Rows" localSheetId="20" hidden="1">'315'!$31:$31</definedName>
    <definedName name="Z_B08879A4_635B_4C39_9937_AC7883D562FC_.wvu.Rows" localSheetId="44" hidden="1">'430BTA'!#REF!,'430BTA'!$19:$21</definedName>
    <definedName name="Z_B08879A4_635B_4C39_9937_AC7883D562FC_.wvu.Rows" localSheetId="45" hidden="1">'430F'!#REF!,'430F'!$17:$19</definedName>
    <definedName name="Z_B08879A4_635B_4C39_9937_AC7883D562FC_.wvu.Rows" localSheetId="43" hidden="1">'430G'!$18:$20,'430G'!#REF!</definedName>
    <definedName name="Z_BEA4BE86_04D1_4C96_9358_7A260B9D2B2D_.wvu.PrintArea" localSheetId="4" hidden="1">'101'!$B$1:$L$73</definedName>
    <definedName name="Z_BEA4BE86_04D1_4C96_9358_7A260B9D2B2D_.wvu.PrintArea" localSheetId="6" hidden="1">'110'!$B$1:$J$39</definedName>
    <definedName name="Z_BEA4BE86_04D1_4C96_9358_7A260B9D2B2D_.wvu.PrintArea" localSheetId="7" hidden="1">'120'!$B$1:$J$71</definedName>
    <definedName name="Z_BEA4BE86_04D1_4C96_9358_7A260B9D2B2D_.wvu.PrintArea" localSheetId="11" hidden="1">'210'!$B$1:$R$34</definedName>
    <definedName name="Z_BEA4BE86_04D1_4C96_9358_7A260B9D2B2D_.wvu.PrintArea" localSheetId="12" hidden="1">'215'!$A$1:$N$74</definedName>
    <definedName name="Z_BEA4BE86_04D1_4C96_9358_7A260B9D2B2D_.wvu.PrintArea" localSheetId="14" hidden="1">'301'!$C$1:$L$53</definedName>
    <definedName name="Z_BEA4BE86_04D1_4C96_9358_7A260B9D2B2D_.wvu.PrintArea" localSheetId="16" hidden="1">'303'!$C$1:$L$49</definedName>
    <definedName name="Z_BEA4BE86_04D1_4C96_9358_7A260B9D2B2D_.wvu.PrintArea" localSheetId="18" hidden="1">'305'!$B$1:$P$44</definedName>
    <definedName name="Z_BEA4BE86_04D1_4C96_9358_7A260B9D2B2D_.wvu.PrintArea" localSheetId="20" hidden="1">'315'!$B$1:$Q$71</definedName>
    <definedName name="Z_BEA4BE86_04D1_4C96_9358_7A260B9D2B2D_.wvu.PrintArea" localSheetId="21" hidden="1">'320'!$B$1:$S$62</definedName>
    <definedName name="Z_BEA4BE86_04D1_4C96_9358_7A260B9D2B2D_.wvu.PrintArea" localSheetId="22" hidden="1">'322'!$A$1:$N$10</definedName>
    <definedName name="Z_BEA4BE86_04D1_4C96_9358_7A260B9D2B2D_.wvu.PrintArea" localSheetId="23" hidden="1">'323'!$B$1:$K$125</definedName>
    <definedName name="Z_BEA4BE86_04D1_4C96_9358_7A260B9D2B2D_.wvu.PrintArea" localSheetId="24" hidden="1">'325'!$C$1:$P$60</definedName>
    <definedName name="Z_BEA4BE86_04D1_4C96_9358_7A260B9D2B2D_.wvu.PrintArea" localSheetId="25" hidden="1">'330'!$B$1:$N$59</definedName>
    <definedName name="Z_BEA4BE86_04D1_4C96_9358_7A260B9D2B2D_.wvu.PrintArea" localSheetId="27" hidden="1">'340'!$A$1:$R$9</definedName>
    <definedName name="Z_BEA4BE86_04D1_4C96_9358_7A260B9D2B2D_.wvu.PrintArea" localSheetId="28" hidden="1">'341'!$A$1:$R$9</definedName>
    <definedName name="Z_BEA4BE86_04D1_4C96_9358_7A260B9D2B2D_.wvu.PrintArea" localSheetId="29" hidden="1">'342'!$A$1:$R$9</definedName>
    <definedName name="Z_BEA4BE86_04D1_4C96_9358_7A260B9D2B2D_.wvu.PrintArea" localSheetId="30" hidden="1">'345'!$B$1:$L$53</definedName>
    <definedName name="Z_BEA4BE86_04D1_4C96_9358_7A260B9D2B2D_.wvu.PrintArea" localSheetId="31" hidden="1">'350'!$A$1:$H$41</definedName>
    <definedName name="Z_BEA4BE86_04D1_4C96_9358_7A260B9D2B2D_.wvu.PrintArea" localSheetId="32" hidden="1">'355'!$B$1:$M$52</definedName>
    <definedName name="Z_BEA4BE86_04D1_4C96_9358_7A260B9D2B2D_.wvu.PrintArea" localSheetId="41" hidden="1">'420'!$B$1:$M$23</definedName>
    <definedName name="Z_BEA4BE86_04D1_4C96_9358_7A260B9D2B2D_.wvu.PrintArea" localSheetId="42" hidden="1">'425'!$B$1:$L$35</definedName>
    <definedName name="Z_BEA4BE86_04D1_4C96_9358_7A260B9D2B2D_.wvu.PrintArea" localSheetId="52" hidden="1">'510'!$B$1:$P$35</definedName>
    <definedName name="Z_BEA4BE86_04D1_4C96_9358_7A260B9D2B2D_.wvu.PrintArea" localSheetId="53" hidden="1">'515'!$B$1:$P$35</definedName>
    <definedName name="Z_BEA4BE86_04D1_4C96_9358_7A260B9D2B2D_.wvu.PrintArea" localSheetId="54" hidden="1">'520'!$B$1:$P$34</definedName>
    <definedName name="Z_BEA4BE86_04D1_4C96_9358_7A260B9D2B2D_.wvu.PrintArea" localSheetId="55" hidden="1">'525'!$B$1:$P$29</definedName>
    <definedName name="Z_BEA4BE86_04D1_4C96_9358_7A260B9D2B2D_.wvu.PrintArea" localSheetId="56" hidden="1">'530'!$B$1:$P$34</definedName>
    <definedName name="Z_BEA4BE86_04D1_4C96_9358_7A260B9D2B2D_.wvu.PrintArea" localSheetId="57" hidden="1">'535'!$B$1:$P$36</definedName>
    <definedName name="Z_BEA4BE86_04D1_4C96_9358_7A260B9D2B2D_.wvu.PrintArea" localSheetId="58" hidden="1">'536'!$B$1:$L$82</definedName>
    <definedName name="Z_BEA4BE86_04D1_4C96_9358_7A260B9D2B2D_.wvu.PrintArea" localSheetId="59" hidden="1">'542'!$B$1:$Q$34</definedName>
    <definedName name="Z_BEA4BE86_04D1_4C96_9358_7A260B9D2B2D_.wvu.PrintArea" localSheetId="61" hidden="1">'570'!$B$1:$M$27</definedName>
    <definedName name="Z_BEA4BE86_04D1_4C96_9358_7A260B9D2B2D_.wvu.PrintArea" localSheetId="62" hidden="1">'602'!$B$1:$P$33</definedName>
    <definedName name="Z_BEA4BE86_04D1_4C96_9358_7A260B9D2B2D_.wvu.PrintArea" localSheetId="63" hidden="1">'605'!$B$1:$P$33</definedName>
    <definedName name="Z_BEA4BE86_04D1_4C96_9358_7A260B9D2B2D_.wvu.PrintArea" localSheetId="64" hidden="1">'610'!$A$1:$I$51</definedName>
    <definedName name="Z_BEA4BE86_04D1_4C96_9358_7A260B9D2B2D_.wvu.PrintArea" localSheetId="65" hidden="1">'615'!$A$1:$K$28</definedName>
    <definedName name="Z_BEA4BE86_04D1_4C96_9358_7A260B9D2B2D_.wvu.PrintArea" localSheetId="66" hidden="1">'616'!$A$1:$M$49</definedName>
    <definedName name="Z_BEA4BE86_04D1_4C96_9358_7A260B9D2B2D_.wvu.PrintArea" localSheetId="68" hidden="1">'625'!$B$1:$W$28</definedName>
    <definedName name="Z_BEA4BE86_04D1_4C96_9358_7A260B9D2B2D_.wvu.PrintArea" localSheetId="69" hidden="1">'635'!$B$1:$P$86</definedName>
    <definedName name="Z_BEA4BE86_04D1_4C96_9358_7A260B9D2B2D_.wvu.PrintArea" localSheetId="71" hidden="1">'705'!$C$1:$R$45</definedName>
    <definedName name="Z_BEA4BE86_04D1_4C96_9358_7A260B9D2B2D_.wvu.PrintArea" localSheetId="72" hidden="1">'710'!$B$1:$S$71</definedName>
    <definedName name="Z_BEA4BE86_04D1_4C96_9358_7A260B9D2B2D_.wvu.PrintArea" localSheetId="73" hidden="1">'715'!$C$1:$R$37</definedName>
    <definedName name="Z_BEA4BE86_04D1_4C96_9358_7A260B9D2B2D_.wvu.PrintArea" localSheetId="78" hidden="1">'740'!$C$1:$P$55</definedName>
    <definedName name="Z_BEA4BE86_04D1_4C96_9358_7A260B9D2B2D_.wvu.PrintArea" localSheetId="79" hidden="1">'745'!$C$1:$S$46</definedName>
    <definedName name="Z_BEA4BE86_04D1_4C96_9358_7A260B9D2B2D_.wvu.PrintArea" localSheetId="81" hidden="1">'756'!$B$1:$S$12</definedName>
    <definedName name="Z_BEA4BE86_04D1_4C96_9358_7A260B9D2B2D_.wvu.PrintArea" localSheetId="98" hidden="1">Comments!$A$1:$N$39</definedName>
    <definedName name="Z_BEA4BE86_04D1_4C96_9358_7A260B9D2B2D_.wvu.PrintArea" localSheetId="97" hidden="1">Explanations!$A$1:$N$9</definedName>
    <definedName name="Z_BEA4BE86_04D1_4C96_9358_7A260B9D2B2D_.wvu.PrintArea" localSheetId="2" hidden="1">Index!$A$1:$L$123</definedName>
    <definedName name="Z_BEA4BE86_04D1_4C96_9358_7A260B9D2B2D_.wvu.PrintTitles" localSheetId="2" hidden="1">Index!$1:$4</definedName>
    <definedName name="Z_BEA4BE86_04D1_4C96_9358_7A260B9D2B2D_.wvu.Rows" localSheetId="2" hidden="1">Index!$1291:$1357</definedName>
  </definedNames>
  <calcPr calcId="191029" fullPrecision="0"/>
  <customWorkbookViews>
    <customWorkbookView name="amsquirewell - Personal View" guid="{9FCFC836-1CA5-48BF-958D-24D2EA94B219}" mergeInterval="0" personalView="1" maximized="1" xWindow="1" yWindow="1" windowWidth="1280" windowHeight="803" tabRatio="1000" activeSheetId="11"/>
    <customWorkbookView name="Darlene Langston - Personal View" guid="{BEA4BE86-04D1-4C96-9358-7A260B9D2B2D}" mergeInterval="0" personalView="1" maximized="1" windowWidth="1020" windowHeight="556" tabRatio="923" activeSheetId="9"/>
    <customWorkbookView name="Robert Alford - Personal View" guid="{1250FD07-FF56-4A9D-AF9E-C27124A7EBE9}" mergeInterval="0" personalView="1" maximized="1" windowWidth="1020" windowHeight="579" tabRatio="923" activeSheetId="1"/>
    <customWorkbookView name="cpvincent - Personal View" guid="{B08879A4-635B-4C39-9937-AC7883D562FC}" mergeInterval="0" personalView="1" maximized="1" xWindow="1" yWindow="1" windowWidth="1280" windowHeight="832" tabRatio="1000" activeSheetId="27"/>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6" i="121" l="1"/>
  <c r="M20" i="121"/>
  <c r="L5" i="109"/>
  <c r="L5" i="130" l="1"/>
  <c r="L6" i="109"/>
  <c r="D6" i="109"/>
  <c r="D6" i="130"/>
  <c r="L6" i="130"/>
  <c r="L8" i="37"/>
  <c r="L7" i="37"/>
  <c r="F136" i="127"/>
  <c r="D138" i="127"/>
  <c r="D71" i="127"/>
  <c r="F69" i="127"/>
  <c r="M65" i="113"/>
  <c r="T68" i="113"/>
  <c r="T55" i="113"/>
  <c r="T40" i="113"/>
  <c r="T22" i="113"/>
  <c r="T15" i="113" l="1"/>
  <c r="D279" i="80" l="1"/>
  <c r="M77" i="113"/>
  <c r="M78" i="113" s="1"/>
  <c r="A67" i="96"/>
  <c r="A68" i="96"/>
  <c r="B1226" i="67" l="1"/>
  <c r="D88" i="127" l="1"/>
  <c r="B211" i="67"/>
  <c r="B1164" i="67" l="1"/>
  <c r="G79" i="125"/>
  <c r="X13" i="46" l="1"/>
  <c r="X14" i="46"/>
  <c r="X15" i="46"/>
  <c r="X16" i="46"/>
  <c r="X17" i="46"/>
  <c r="X18" i="46"/>
  <c r="X19" i="46"/>
  <c r="X20" i="46"/>
  <c r="X21" i="46"/>
  <c r="X22" i="46"/>
  <c r="X23" i="46"/>
  <c r="X24" i="46"/>
  <c r="X25" i="46"/>
  <c r="X26" i="46"/>
  <c r="X27" i="46"/>
  <c r="X28" i="46"/>
  <c r="X12" i="46"/>
  <c r="W12" i="46" s="1"/>
  <c r="AM1000" i="135" l="1" a="1"/>
  <c r="AM1000" i="135" s="1"/>
  <c r="AL1000" i="135" a="1"/>
  <c r="AL1000" i="135" s="1"/>
  <c r="AK1000" i="135" a="1"/>
  <c r="AK1000" i="135" s="1"/>
  <c r="AJ1000" i="135" a="1"/>
  <c r="AJ1000" i="135" s="1"/>
  <c r="AI1000" i="135" a="1"/>
  <c r="AI1000" i="135" s="1"/>
  <c r="AH1000" i="135" a="1"/>
  <c r="AH1000" i="135" s="1"/>
  <c r="AG1000" i="135" a="1"/>
  <c r="AG1000" i="135" s="1"/>
  <c r="AF1000" i="135" a="1"/>
  <c r="AF1000" i="135" s="1"/>
  <c r="AE1000" i="135" a="1"/>
  <c r="AE1000" i="135" s="1"/>
  <c r="AD1000" i="135" a="1"/>
  <c r="AD1000" i="135" s="1"/>
  <c r="AC1000" i="135" a="1"/>
  <c r="AC1000" i="135" s="1"/>
  <c r="AB1000" i="135" a="1"/>
  <c r="AB1000" i="135" s="1"/>
  <c r="AA1000" i="135" a="1"/>
  <c r="AA1000" i="135" s="1"/>
  <c r="Z1000" i="135" a="1"/>
  <c r="Z1000" i="135" s="1"/>
  <c r="Y1000" i="135" a="1"/>
  <c r="Y1000" i="135" s="1"/>
  <c r="X1000" i="135" a="1"/>
  <c r="X1000" i="135" s="1"/>
  <c r="W1000" i="135" a="1"/>
  <c r="W1000" i="135" s="1"/>
  <c r="AM999" i="135" a="1"/>
  <c r="AM999" i="135" s="1"/>
  <c r="AL999" i="135" a="1"/>
  <c r="AL999" i="135" s="1"/>
  <c r="AK999" i="135" a="1"/>
  <c r="AK999" i="135" s="1"/>
  <c r="AJ999" i="135" a="1"/>
  <c r="AJ999" i="135" s="1"/>
  <c r="AI999" i="135" a="1"/>
  <c r="AI999" i="135" s="1"/>
  <c r="AH999" i="135" a="1"/>
  <c r="AH999" i="135" s="1"/>
  <c r="AG999" i="135" a="1"/>
  <c r="AG999" i="135" s="1"/>
  <c r="AF999" i="135" a="1"/>
  <c r="AF999" i="135" s="1"/>
  <c r="AE999" i="135" a="1"/>
  <c r="AE999" i="135" s="1"/>
  <c r="AD999" i="135" a="1"/>
  <c r="AD999" i="135" s="1"/>
  <c r="AC999" i="135" a="1"/>
  <c r="AC999" i="135" s="1"/>
  <c r="AB999" i="135" a="1"/>
  <c r="AB999" i="135" s="1"/>
  <c r="AA999" i="135" a="1"/>
  <c r="AA999" i="135" s="1"/>
  <c r="Z999" i="135" a="1"/>
  <c r="Z999" i="135" s="1"/>
  <c r="Y999" i="135" a="1"/>
  <c r="Y999" i="135" s="1"/>
  <c r="X999" i="135" a="1"/>
  <c r="X999" i="135" s="1"/>
  <c r="W999" i="135" a="1"/>
  <c r="W999" i="135" s="1"/>
  <c r="AM998" i="135" a="1"/>
  <c r="AM998" i="135" s="1"/>
  <c r="AL998" i="135" a="1"/>
  <c r="AL998" i="135" s="1"/>
  <c r="AK998" i="135" a="1"/>
  <c r="AK998" i="135" s="1"/>
  <c r="AJ998" i="135" a="1"/>
  <c r="AJ998" i="135" s="1"/>
  <c r="AI998" i="135" a="1"/>
  <c r="AI998" i="135" s="1"/>
  <c r="AH998" i="135" a="1"/>
  <c r="AH998" i="135" s="1"/>
  <c r="AG998" i="135" a="1"/>
  <c r="AG998" i="135" s="1"/>
  <c r="AF998" i="135" a="1"/>
  <c r="AF998" i="135" s="1"/>
  <c r="AE998" i="135" a="1"/>
  <c r="AE998" i="135" s="1"/>
  <c r="AD998" i="135" a="1"/>
  <c r="AD998" i="135" s="1"/>
  <c r="AC998" i="135" a="1"/>
  <c r="AC998" i="135" s="1"/>
  <c r="AB998" i="135" a="1"/>
  <c r="AB998" i="135" s="1"/>
  <c r="AA998" i="135" a="1"/>
  <c r="AA998" i="135" s="1"/>
  <c r="Z998" i="135" a="1"/>
  <c r="Z998" i="135" s="1"/>
  <c r="Y998" i="135" a="1"/>
  <c r="Y998" i="135" s="1"/>
  <c r="X998" i="135" a="1"/>
  <c r="X998" i="135" s="1"/>
  <c r="W998" i="135" a="1"/>
  <c r="W998" i="135" s="1"/>
  <c r="AM997" i="135" a="1"/>
  <c r="AM997" i="135" s="1"/>
  <c r="AL997" i="135" a="1"/>
  <c r="AL997" i="135" s="1"/>
  <c r="AK997" i="135" a="1"/>
  <c r="AK997" i="135" s="1"/>
  <c r="AJ997" i="135" a="1"/>
  <c r="AJ997" i="135" s="1"/>
  <c r="AI997" i="135" a="1"/>
  <c r="AI997" i="135" s="1"/>
  <c r="AH997" i="135" a="1"/>
  <c r="AH997" i="135" s="1"/>
  <c r="AG997" i="135" a="1"/>
  <c r="AG997" i="135" s="1"/>
  <c r="AF997" i="135" a="1"/>
  <c r="AF997" i="135" s="1"/>
  <c r="AE997" i="135" a="1"/>
  <c r="AE997" i="135" s="1"/>
  <c r="AD997" i="135" a="1"/>
  <c r="AD997" i="135" s="1"/>
  <c r="AC997" i="135" a="1"/>
  <c r="AC997" i="135" s="1"/>
  <c r="AB997" i="135" a="1"/>
  <c r="AB997" i="135" s="1"/>
  <c r="AA997" i="135" a="1"/>
  <c r="AA997" i="135" s="1"/>
  <c r="Z997" i="135" a="1"/>
  <c r="Z997" i="135" s="1"/>
  <c r="Y997" i="135" a="1"/>
  <c r="Y997" i="135" s="1"/>
  <c r="X997" i="135" a="1"/>
  <c r="X997" i="135" s="1"/>
  <c r="W997" i="135" a="1"/>
  <c r="W997" i="135" s="1"/>
  <c r="AM996" i="135" a="1"/>
  <c r="AM996" i="135" s="1"/>
  <c r="AL996" i="135" a="1"/>
  <c r="AL996" i="135" s="1"/>
  <c r="AK996" i="135" a="1"/>
  <c r="AK996" i="135" s="1"/>
  <c r="AJ996" i="135" a="1"/>
  <c r="AJ996" i="135" s="1"/>
  <c r="AI996" i="135" a="1"/>
  <c r="AI996" i="135" s="1"/>
  <c r="AH996" i="135" a="1"/>
  <c r="AH996" i="135" s="1"/>
  <c r="AG996" i="135" a="1"/>
  <c r="AG996" i="135" s="1"/>
  <c r="AF996" i="135" a="1"/>
  <c r="AF996" i="135" s="1"/>
  <c r="AE996" i="135" a="1"/>
  <c r="AE996" i="135" s="1"/>
  <c r="AD996" i="135" a="1"/>
  <c r="AD996" i="135" s="1"/>
  <c r="AC996" i="135" a="1"/>
  <c r="AC996" i="135" s="1"/>
  <c r="AB996" i="135" a="1"/>
  <c r="AB996" i="135" s="1"/>
  <c r="AA996" i="135" a="1"/>
  <c r="AA996" i="135" s="1"/>
  <c r="Z996" i="135" a="1"/>
  <c r="Z996" i="135" s="1"/>
  <c r="Y996" i="135" a="1"/>
  <c r="Y996" i="135" s="1"/>
  <c r="X996" i="135" a="1"/>
  <c r="X996" i="135" s="1"/>
  <c r="W996" i="135" a="1"/>
  <c r="W996" i="135" s="1"/>
  <c r="AM995" i="135" a="1"/>
  <c r="AM995" i="135" s="1"/>
  <c r="AL995" i="135" a="1"/>
  <c r="AL995" i="135" s="1"/>
  <c r="AK995" i="135" a="1"/>
  <c r="AK995" i="135" s="1"/>
  <c r="AJ995" i="135" a="1"/>
  <c r="AJ995" i="135" s="1"/>
  <c r="AI995" i="135" a="1"/>
  <c r="AI995" i="135" s="1"/>
  <c r="AH995" i="135" a="1"/>
  <c r="AH995" i="135" s="1"/>
  <c r="AG995" i="135" a="1"/>
  <c r="AG995" i="135" s="1"/>
  <c r="AF995" i="135" a="1"/>
  <c r="AF995" i="135" s="1"/>
  <c r="AE995" i="135" a="1"/>
  <c r="AE995" i="135" s="1"/>
  <c r="AD995" i="135" a="1"/>
  <c r="AD995" i="135" s="1"/>
  <c r="AC995" i="135" a="1"/>
  <c r="AC995" i="135" s="1"/>
  <c r="AB995" i="135" a="1"/>
  <c r="AB995" i="135" s="1"/>
  <c r="AA995" i="135" a="1"/>
  <c r="AA995" i="135" s="1"/>
  <c r="Z995" i="135" a="1"/>
  <c r="Z995" i="135" s="1"/>
  <c r="Y995" i="135" a="1"/>
  <c r="Y995" i="135" s="1"/>
  <c r="X995" i="135" a="1"/>
  <c r="X995" i="135" s="1"/>
  <c r="W995" i="135" a="1"/>
  <c r="W995" i="135" s="1"/>
  <c r="AM994" i="135" a="1"/>
  <c r="AM994" i="135" s="1"/>
  <c r="AL994" i="135" a="1"/>
  <c r="AL994" i="135" s="1"/>
  <c r="AK994" i="135" a="1"/>
  <c r="AK994" i="135" s="1"/>
  <c r="AJ994" i="135" a="1"/>
  <c r="AJ994" i="135" s="1"/>
  <c r="AI994" i="135" a="1"/>
  <c r="AI994" i="135" s="1"/>
  <c r="AH994" i="135" a="1"/>
  <c r="AH994" i="135" s="1"/>
  <c r="AG994" i="135" a="1"/>
  <c r="AG994" i="135" s="1"/>
  <c r="AF994" i="135" a="1"/>
  <c r="AF994" i="135" s="1"/>
  <c r="AE994" i="135" a="1"/>
  <c r="AE994" i="135" s="1"/>
  <c r="AD994" i="135" a="1"/>
  <c r="AD994" i="135" s="1"/>
  <c r="AC994" i="135" a="1"/>
  <c r="AC994" i="135" s="1"/>
  <c r="AB994" i="135" a="1"/>
  <c r="AB994" i="135" s="1"/>
  <c r="AA994" i="135" a="1"/>
  <c r="AA994" i="135" s="1"/>
  <c r="Z994" i="135" a="1"/>
  <c r="Z994" i="135" s="1"/>
  <c r="Y994" i="135" a="1"/>
  <c r="Y994" i="135" s="1"/>
  <c r="X994" i="135" a="1"/>
  <c r="X994" i="135" s="1"/>
  <c r="W994" i="135" a="1"/>
  <c r="W994" i="135" s="1"/>
  <c r="AM993" i="135" a="1"/>
  <c r="AM993" i="135" s="1"/>
  <c r="AL993" i="135" a="1"/>
  <c r="AL993" i="135" s="1"/>
  <c r="AK993" i="135" a="1"/>
  <c r="AK993" i="135" s="1"/>
  <c r="AJ993" i="135" a="1"/>
  <c r="AJ993" i="135" s="1"/>
  <c r="AI993" i="135" a="1"/>
  <c r="AI993" i="135" s="1"/>
  <c r="AH993" i="135" a="1"/>
  <c r="AH993" i="135" s="1"/>
  <c r="AG993" i="135" a="1"/>
  <c r="AG993" i="135" s="1"/>
  <c r="AF993" i="135" a="1"/>
  <c r="AF993" i="135" s="1"/>
  <c r="AE993" i="135" a="1"/>
  <c r="AE993" i="135" s="1"/>
  <c r="AD993" i="135" a="1"/>
  <c r="AD993" i="135" s="1"/>
  <c r="AC993" i="135" a="1"/>
  <c r="AC993" i="135" s="1"/>
  <c r="AB993" i="135" a="1"/>
  <c r="AB993" i="135" s="1"/>
  <c r="AA993" i="135" a="1"/>
  <c r="AA993" i="135" s="1"/>
  <c r="Z993" i="135" a="1"/>
  <c r="Z993" i="135" s="1"/>
  <c r="Y993" i="135" a="1"/>
  <c r="Y993" i="135" s="1"/>
  <c r="X993" i="135" a="1"/>
  <c r="X993" i="135" s="1"/>
  <c r="W993" i="135" a="1"/>
  <c r="W993" i="135" s="1"/>
  <c r="AM992" i="135" a="1"/>
  <c r="AM992" i="135" s="1"/>
  <c r="AL992" i="135" a="1"/>
  <c r="AL992" i="135" s="1"/>
  <c r="AK992" i="135" a="1"/>
  <c r="AK992" i="135" s="1"/>
  <c r="AJ992" i="135" a="1"/>
  <c r="AJ992" i="135" s="1"/>
  <c r="AI992" i="135" a="1"/>
  <c r="AI992" i="135" s="1"/>
  <c r="AH992" i="135" a="1"/>
  <c r="AH992" i="135" s="1"/>
  <c r="AG992" i="135" a="1"/>
  <c r="AG992" i="135" s="1"/>
  <c r="AF992" i="135" a="1"/>
  <c r="AF992" i="135" s="1"/>
  <c r="AE992" i="135" a="1"/>
  <c r="AE992" i="135" s="1"/>
  <c r="AD992" i="135" a="1"/>
  <c r="AD992" i="135" s="1"/>
  <c r="AC992" i="135" a="1"/>
  <c r="AC992" i="135" s="1"/>
  <c r="AB992" i="135" a="1"/>
  <c r="AB992" i="135" s="1"/>
  <c r="AA992" i="135" a="1"/>
  <c r="AA992" i="135" s="1"/>
  <c r="Z992" i="135" a="1"/>
  <c r="Z992" i="135" s="1"/>
  <c r="Y992" i="135" a="1"/>
  <c r="Y992" i="135" s="1"/>
  <c r="X992" i="135" a="1"/>
  <c r="X992" i="135" s="1"/>
  <c r="W992" i="135" a="1"/>
  <c r="W992" i="135" s="1"/>
  <c r="AM991" i="135" a="1"/>
  <c r="AM991" i="135" s="1"/>
  <c r="AL991" i="135" a="1"/>
  <c r="AL991" i="135" s="1"/>
  <c r="AK991" i="135" a="1"/>
  <c r="AK991" i="135" s="1"/>
  <c r="AJ991" i="135" a="1"/>
  <c r="AJ991" i="135" s="1"/>
  <c r="AI991" i="135" a="1"/>
  <c r="AI991" i="135" s="1"/>
  <c r="AH991" i="135" a="1"/>
  <c r="AH991" i="135" s="1"/>
  <c r="AG991" i="135" a="1"/>
  <c r="AG991" i="135" s="1"/>
  <c r="AF991" i="135" a="1"/>
  <c r="AF991" i="135" s="1"/>
  <c r="AE991" i="135" a="1"/>
  <c r="AE991" i="135" s="1"/>
  <c r="AD991" i="135" a="1"/>
  <c r="AD991" i="135" s="1"/>
  <c r="AC991" i="135" a="1"/>
  <c r="AC991" i="135" s="1"/>
  <c r="AB991" i="135" a="1"/>
  <c r="AB991" i="135" s="1"/>
  <c r="AA991" i="135" a="1"/>
  <c r="AA991" i="135" s="1"/>
  <c r="Z991" i="135" a="1"/>
  <c r="Z991" i="135" s="1"/>
  <c r="Y991" i="135" a="1"/>
  <c r="Y991" i="135" s="1"/>
  <c r="X991" i="135" a="1"/>
  <c r="X991" i="135" s="1"/>
  <c r="W991" i="135" a="1"/>
  <c r="W991" i="135" s="1"/>
  <c r="AM990" i="135" a="1"/>
  <c r="AM990" i="135" s="1"/>
  <c r="AL990" i="135" a="1"/>
  <c r="AL990" i="135" s="1"/>
  <c r="AK990" i="135" a="1"/>
  <c r="AK990" i="135" s="1"/>
  <c r="AJ990" i="135" a="1"/>
  <c r="AJ990" i="135" s="1"/>
  <c r="AI990" i="135" a="1"/>
  <c r="AI990" i="135" s="1"/>
  <c r="AH990" i="135" a="1"/>
  <c r="AH990" i="135" s="1"/>
  <c r="AG990" i="135" a="1"/>
  <c r="AG990" i="135" s="1"/>
  <c r="AF990" i="135" a="1"/>
  <c r="AF990" i="135" s="1"/>
  <c r="AE990" i="135" a="1"/>
  <c r="AE990" i="135" s="1"/>
  <c r="AD990" i="135" a="1"/>
  <c r="AD990" i="135" s="1"/>
  <c r="AC990" i="135" a="1"/>
  <c r="AC990" i="135" s="1"/>
  <c r="AB990" i="135" a="1"/>
  <c r="AB990" i="135" s="1"/>
  <c r="AA990" i="135" a="1"/>
  <c r="AA990" i="135" s="1"/>
  <c r="Z990" i="135" a="1"/>
  <c r="Z990" i="135" s="1"/>
  <c r="Y990" i="135" a="1"/>
  <c r="Y990" i="135" s="1"/>
  <c r="X990" i="135" a="1"/>
  <c r="X990" i="135" s="1"/>
  <c r="W990" i="135" a="1"/>
  <c r="W990" i="135" s="1"/>
  <c r="AM989" i="135" a="1"/>
  <c r="AM989" i="135" s="1"/>
  <c r="AL989" i="135" a="1"/>
  <c r="AL989" i="135" s="1"/>
  <c r="AK989" i="135" a="1"/>
  <c r="AK989" i="135" s="1"/>
  <c r="AJ989" i="135" a="1"/>
  <c r="AJ989" i="135" s="1"/>
  <c r="AI989" i="135" a="1"/>
  <c r="AI989" i="135" s="1"/>
  <c r="AH989" i="135" a="1"/>
  <c r="AH989" i="135" s="1"/>
  <c r="AG989" i="135" a="1"/>
  <c r="AG989" i="135" s="1"/>
  <c r="AF989" i="135" a="1"/>
  <c r="AF989" i="135" s="1"/>
  <c r="AE989" i="135" a="1"/>
  <c r="AE989" i="135" s="1"/>
  <c r="AD989" i="135" a="1"/>
  <c r="AD989" i="135" s="1"/>
  <c r="AC989" i="135" a="1"/>
  <c r="AC989" i="135" s="1"/>
  <c r="AB989" i="135" a="1"/>
  <c r="AB989" i="135" s="1"/>
  <c r="AA989" i="135" a="1"/>
  <c r="AA989" i="135" s="1"/>
  <c r="Z989" i="135" a="1"/>
  <c r="Z989" i="135" s="1"/>
  <c r="Y989" i="135" a="1"/>
  <c r="Y989" i="135" s="1"/>
  <c r="X989" i="135" a="1"/>
  <c r="X989" i="135" s="1"/>
  <c r="W989" i="135" a="1"/>
  <c r="W989" i="135" s="1"/>
  <c r="AM988" i="135" a="1"/>
  <c r="AM988" i="135" s="1"/>
  <c r="AL988" i="135" a="1"/>
  <c r="AL988" i="135" s="1"/>
  <c r="AK988" i="135" a="1"/>
  <c r="AK988" i="135" s="1"/>
  <c r="AJ988" i="135" a="1"/>
  <c r="AJ988" i="135" s="1"/>
  <c r="AI988" i="135" a="1"/>
  <c r="AI988" i="135" s="1"/>
  <c r="AH988" i="135" a="1"/>
  <c r="AH988" i="135" s="1"/>
  <c r="AG988" i="135" a="1"/>
  <c r="AG988" i="135" s="1"/>
  <c r="AF988" i="135" a="1"/>
  <c r="AF988" i="135" s="1"/>
  <c r="AE988" i="135" a="1"/>
  <c r="AE988" i="135" s="1"/>
  <c r="AD988" i="135" a="1"/>
  <c r="AD988" i="135" s="1"/>
  <c r="AC988" i="135" a="1"/>
  <c r="AC988" i="135" s="1"/>
  <c r="AB988" i="135" a="1"/>
  <c r="AB988" i="135" s="1"/>
  <c r="AA988" i="135" a="1"/>
  <c r="AA988" i="135" s="1"/>
  <c r="Z988" i="135" a="1"/>
  <c r="Z988" i="135" s="1"/>
  <c r="Y988" i="135" a="1"/>
  <c r="Y988" i="135" s="1"/>
  <c r="X988" i="135" a="1"/>
  <c r="X988" i="135" s="1"/>
  <c r="W988" i="135" a="1"/>
  <c r="W988" i="135" s="1"/>
  <c r="AM987" i="135" a="1"/>
  <c r="AM987" i="135" s="1"/>
  <c r="AL987" i="135" a="1"/>
  <c r="AL987" i="135" s="1"/>
  <c r="AK987" i="135" a="1"/>
  <c r="AK987" i="135" s="1"/>
  <c r="AJ987" i="135" a="1"/>
  <c r="AJ987" i="135" s="1"/>
  <c r="AI987" i="135" a="1"/>
  <c r="AI987" i="135" s="1"/>
  <c r="AH987" i="135" a="1"/>
  <c r="AH987" i="135" s="1"/>
  <c r="AG987" i="135" a="1"/>
  <c r="AG987" i="135" s="1"/>
  <c r="AF987" i="135" a="1"/>
  <c r="AF987" i="135" s="1"/>
  <c r="AE987" i="135" a="1"/>
  <c r="AE987" i="135" s="1"/>
  <c r="AD987" i="135" a="1"/>
  <c r="AD987" i="135" s="1"/>
  <c r="AC987" i="135" a="1"/>
  <c r="AC987" i="135" s="1"/>
  <c r="AB987" i="135" a="1"/>
  <c r="AB987" i="135" s="1"/>
  <c r="AA987" i="135" a="1"/>
  <c r="AA987" i="135" s="1"/>
  <c r="Z987" i="135" a="1"/>
  <c r="Z987" i="135" s="1"/>
  <c r="Y987" i="135" a="1"/>
  <c r="Y987" i="135" s="1"/>
  <c r="X987" i="135" a="1"/>
  <c r="X987" i="135" s="1"/>
  <c r="W987" i="135" a="1"/>
  <c r="W987" i="135" s="1"/>
  <c r="AM986" i="135" a="1"/>
  <c r="AM986" i="135" s="1"/>
  <c r="AL986" i="135" a="1"/>
  <c r="AL986" i="135" s="1"/>
  <c r="AK986" i="135" a="1"/>
  <c r="AK986" i="135" s="1"/>
  <c r="AJ986" i="135" a="1"/>
  <c r="AJ986" i="135" s="1"/>
  <c r="AI986" i="135" a="1"/>
  <c r="AI986" i="135" s="1"/>
  <c r="AH986" i="135" a="1"/>
  <c r="AH986" i="135" s="1"/>
  <c r="AG986" i="135" a="1"/>
  <c r="AG986" i="135" s="1"/>
  <c r="AF986" i="135" a="1"/>
  <c r="AF986" i="135" s="1"/>
  <c r="AE986" i="135" a="1"/>
  <c r="AE986" i="135" s="1"/>
  <c r="AD986" i="135" a="1"/>
  <c r="AD986" i="135" s="1"/>
  <c r="AC986" i="135" a="1"/>
  <c r="AC986" i="135" s="1"/>
  <c r="AB986" i="135" a="1"/>
  <c r="AB986" i="135" s="1"/>
  <c r="AA986" i="135" a="1"/>
  <c r="AA986" i="135" s="1"/>
  <c r="Z986" i="135" a="1"/>
  <c r="Z986" i="135" s="1"/>
  <c r="Y986" i="135" a="1"/>
  <c r="Y986" i="135" s="1"/>
  <c r="X986" i="135" a="1"/>
  <c r="X986" i="135" s="1"/>
  <c r="W986" i="135" a="1"/>
  <c r="W986" i="135" s="1"/>
  <c r="AM985" i="135" a="1"/>
  <c r="AM985" i="135" s="1"/>
  <c r="AL985" i="135" a="1"/>
  <c r="AL985" i="135" s="1"/>
  <c r="AK985" i="135" a="1"/>
  <c r="AK985" i="135" s="1"/>
  <c r="AJ985" i="135" a="1"/>
  <c r="AJ985" i="135" s="1"/>
  <c r="AI985" i="135" a="1"/>
  <c r="AI985" i="135" s="1"/>
  <c r="AH985" i="135" a="1"/>
  <c r="AH985" i="135" s="1"/>
  <c r="AG985" i="135" a="1"/>
  <c r="AG985" i="135" s="1"/>
  <c r="AF985" i="135" a="1"/>
  <c r="AF985" i="135" s="1"/>
  <c r="AE985" i="135" a="1"/>
  <c r="AE985" i="135" s="1"/>
  <c r="AD985" i="135" a="1"/>
  <c r="AD985" i="135" s="1"/>
  <c r="AC985" i="135" a="1"/>
  <c r="AC985" i="135" s="1"/>
  <c r="AB985" i="135" a="1"/>
  <c r="AB985" i="135" s="1"/>
  <c r="AA985" i="135" a="1"/>
  <c r="AA985" i="135" s="1"/>
  <c r="Z985" i="135" a="1"/>
  <c r="Z985" i="135" s="1"/>
  <c r="Y985" i="135" a="1"/>
  <c r="Y985" i="135" s="1"/>
  <c r="X985" i="135" a="1"/>
  <c r="X985" i="135" s="1"/>
  <c r="W985" i="135" a="1"/>
  <c r="W985" i="135" s="1"/>
  <c r="AM984" i="135" a="1"/>
  <c r="AM984" i="135" s="1"/>
  <c r="AL984" i="135" a="1"/>
  <c r="AL984" i="135" s="1"/>
  <c r="AK984" i="135" a="1"/>
  <c r="AK984" i="135" s="1"/>
  <c r="AJ984" i="135" a="1"/>
  <c r="AJ984" i="135" s="1"/>
  <c r="AI984" i="135" a="1"/>
  <c r="AI984" i="135" s="1"/>
  <c r="AH984" i="135" a="1"/>
  <c r="AH984" i="135" s="1"/>
  <c r="AG984" i="135" a="1"/>
  <c r="AG984" i="135" s="1"/>
  <c r="AF984" i="135" a="1"/>
  <c r="AF984" i="135" s="1"/>
  <c r="AE984" i="135" a="1"/>
  <c r="AE984" i="135" s="1"/>
  <c r="AD984" i="135" a="1"/>
  <c r="AD984" i="135" s="1"/>
  <c r="AC984" i="135" a="1"/>
  <c r="AC984" i="135" s="1"/>
  <c r="AB984" i="135" a="1"/>
  <c r="AB984" i="135" s="1"/>
  <c r="AA984" i="135" a="1"/>
  <c r="AA984" i="135" s="1"/>
  <c r="Z984" i="135" a="1"/>
  <c r="Z984" i="135" s="1"/>
  <c r="Y984" i="135" a="1"/>
  <c r="Y984" i="135" s="1"/>
  <c r="X984" i="135" a="1"/>
  <c r="X984" i="135" s="1"/>
  <c r="W984" i="135" a="1"/>
  <c r="W984" i="135" s="1"/>
  <c r="AM983" i="135" a="1"/>
  <c r="AM983" i="135" s="1"/>
  <c r="AL983" i="135" a="1"/>
  <c r="AL983" i="135" s="1"/>
  <c r="AK983" i="135" a="1"/>
  <c r="AK983" i="135" s="1"/>
  <c r="AJ983" i="135" a="1"/>
  <c r="AJ983" i="135" s="1"/>
  <c r="AI983" i="135" a="1"/>
  <c r="AI983" i="135" s="1"/>
  <c r="AH983" i="135" a="1"/>
  <c r="AH983" i="135" s="1"/>
  <c r="AG983" i="135" a="1"/>
  <c r="AG983" i="135" s="1"/>
  <c r="AF983" i="135" a="1"/>
  <c r="AF983" i="135" s="1"/>
  <c r="AE983" i="135" a="1"/>
  <c r="AE983" i="135" s="1"/>
  <c r="AD983" i="135" a="1"/>
  <c r="AD983" i="135" s="1"/>
  <c r="AC983" i="135" a="1"/>
  <c r="AC983" i="135" s="1"/>
  <c r="AB983" i="135" a="1"/>
  <c r="AB983" i="135" s="1"/>
  <c r="AA983" i="135" a="1"/>
  <c r="AA983" i="135" s="1"/>
  <c r="Z983" i="135" a="1"/>
  <c r="Z983" i="135" s="1"/>
  <c r="Y983" i="135" a="1"/>
  <c r="Y983" i="135" s="1"/>
  <c r="X983" i="135" a="1"/>
  <c r="X983" i="135" s="1"/>
  <c r="W983" i="135" a="1"/>
  <c r="W983" i="135" s="1"/>
  <c r="AM982" i="135" a="1"/>
  <c r="AM982" i="135" s="1"/>
  <c r="AL982" i="135" a="1"/>
  <c r="AL982" i="135" s="1"/>
  <c r="AK982" i="135" a="1"/>
  <c r="AK982" i="135" s="1"/>
  <c r="AJ982" i="135" a="1"/>
  <c r="AJ982" i="135" s="1"/>
  <c r="AI982" i="135" a="1"/>
  <c r="AI982" i="135" s="1"/>
  <c r="AH982" i="135" a="1"/>
  <c r="AH982" i="135" s="1"/>
  <c r="AG982" i="135" a="1"/>
  <c r="AG982" i="135" s="1"/>
  <c r="AF982" i="135" a="1"/>
  <c r="AF982" i="135" s="1"/>
  <c r="AE982" i="135" a="1"/>
  <c r="AE982" i="135" s="1"/>
  <c r="AD982" i="135" a="1"/>
  <c r="AD982" i="135" s="1"/>
  <c r="AC982" i="135" a="1"/>
  <c r="AC982" i="135" s="1"/>
  <c r="AB982" i="135" a="1"/>
  <c r="AB982" i="135" s="1"/>
  <c r="AA982" i="135" a="1"/>
  <c r="AA982" i="135" s="1"/>
  <c r="Z982" i="135" a="1"/>
  <c r="Z982" i="135" s="1"/>
  <c r="Y982" i="135" a="1"/>
  <c r="Y982" i="135" s="1"/>
  <c r="X982" i="135" a="1"/>
  <c r="X982" i="135" s="1"/>
  <c r="W982" i="135" a="1"/>
  <c r="W982" i="135" s="1"/>
  <c r="AM981" i="135" a="1"/>
  <c r="AM981" i="135" s="1"/>
  <c r="AL981" i="135" a="1"/>
  <c r="AL981" i="135" s="1"/>
  <c r="AK981" i="135" a="1"/>
  <c r="AK981" i="135" s="1"/>
  <c r="AJ981" i="135" a="1"/>
  <c r="AJ981" i="135" s="1"/>
  <c r="AI981" i="135" a="1"/>
  <c r="AI981" i="135" s="1"/>
  <c r="AH981" i="135" a="1"/>
  <c r="AH981" i="135" s="1"/>
  <c r="AG981" i="135" a="1"/>
  <c r="AG981" i="135" s="1"/>
  <c r="AF981" i="135" a="1"/>
  <c r="AF981" i="135" s="1"/>
  <c r="AE981" i="135" a="1"/>
  <c r="AE981" i="135" s="1"/>
  <c r="AD981" i="135" a="1"/>
  <c r="AD981" i="135" s="1"/>
  <c r="AC981" i="135" a="1"/>
  <c r="AC981" i="135" s="1"/>
  <c r="AB981" i="135" a="1"/>
  <c r="AB981" i="135" s="1"/>
  <c r="AA981" i="135" a="1"/>
  <c r="AA981" i="135" s="1"/>
  <c r="Z981" i="135" a="1"/>
  <c r="Z981" i="135" s="1"/>
  <c r="Y981" i="135" a="1"/>
  <c r="Y981" i="135" s="1"/>
  <c r="X981" i="135" a="1"/>
  <c r="X981" i="135" s="1"/>
  <c r="W981" i="135" a="1"/>
  <c r="W981" i="135" s="1"/>
  <c r="AM980" i="135" a="1"/>
  <c r="AM980" i="135" s="1"/>
  <c r="AL980" i="135" a="1"/>
  <c r="AL980" i="135" s="1"/>
  <c r="AK980" i="135" a="1"/>
  <c r="AK980" i="135" s="1"/>
  <c r="AJ980" i="135" a="1"/>
  <c r="AJ980" i="135" s="1"/>
  <c r="AI980" i="135" a="1"/>
  <c r="AI980" i="135" s="1"/>
  <c r="AH980" i="135" a="1"/>
  <c r="AH980" i="135" s="1"/>
  <c r="AG980" i="135" a="1"/>
  <c r="AG980" i="135" s="1"/>
  <c r="AF980" i="135" a="1"/>
  <c r="AF980" i="135" s="1"/>
  <c r="AE980" i="135" a="1"/>
  <c r="AE980" i="135" s="1"/>
  <c r="AD980" i="135" a="1"/>
  <c r="AD980" i="135" s="1"/>
  <c r="AC980" i="135" a="1"/>
  <c r="AC980" i="135" s="1"/>
  <c r="AB980" i="135" a="1"/>
  <c r="AB980" i="135" s="1"/>
  <c r="AA980" i="135" a="1"/>
  <c r="AA980" i="135" s="1"/>
  <c r="Z980" i="135" a="1"/>
  <c r="Z980" i="135" s="1"/>
  <c r="Y980" i="135" a="1"/>
  <c r="Y980" i="135" s="1"/>
  <c r="X980" i="135" a="1"/>
  <c r="X980" i="135" s="1"/>
  <c r="W980" i="135" a="1"/>
  <c r="W980" i="135" s="1"/>
  <c r="AM979" i="135" a="1"/>
  <c r="AM979" i="135" s="1"/>
  <c r="AL979" i="135" a="1"/>
  <c r="AL979" i="135" s="1"/>
  <c r="AK979" i="135" a="1"/>
  <c r="AK979" i="135" s="1"/>
  <c r="AJ979" i="135" a="1"/>
  <c r="AJ979" i="135" s="1"/>
  <c r="AI979" i="135" a="1"/>
  <c r="AI979" i="135" s="1"/>
  <c r="AH979" i="135" a="1"/>
  <c r="AH979" i="135" s="1"/>
  <c r="AG979" i="135" a="1"/>
  <c r="AG979" i="135" s="1"/>
  <c r="AF979" i="135" a="1"/>
  <c r="AF979" i="135" s="1"/>
  <c r="AE979" i="135" a="1"/>
  <c r="AE979" i="135" s="1"/>
  <c r="AD979" i="135" a="1"/>
  <c r="AD979" i="135" s="1"/>
  <c r="AC979" i="135" a="1"/>
  <c r="AC979" i="135" s="1"/>
  <c r="AB979" i="135" a="1"/>
  <c r="AB979" i="135" s="1"/>
  <c r="AA979" i="135" a="1"/>
  <c r="AA979" i="135" s="1"/>
  <c r="Z979" i="135" a="1"/>
  <c r="Z979" i="135" s="1"/>
  <c r="Y979" i="135" a="1"/>
  <c r="Y979" i="135" s="1"/>
  <c r="X979" i="135" a="1"/>
  <c r="X979" i="135" s="1"/>
  <c r="W979" i="135" a="1"/>
  <c r="W979" i="135" s="1"/>
  <c r="AM978" i="135" a="1"/>
  <c r="AM978" i="135" s="1"/>
  <c r="AL978" i="135" a="1"/>
  <c r="AL978" i="135" s="1"/>
  <c r="AK978" i="135" a="1"/>
  <c r="AK978" i="135" s="1"/>
  <c r="AJ978" i="135" a="1"/>
  <c r="AJ978" i="135" s="1"/>
  <c r="AI978" i="135" a="1"/>
  <c r="AI978" i="135" s="1"/>
  <c r="AH978" i="135" a="1"/>
  <c r="AH978" i="135" s="1"/>
  <c r="AG978" i="135" a="1"/>
  <c r="AG978" i="135" s="1"/>
  <c r="AF978" i="135" a="1"/>
  <c r="AF978" i="135" s="1"/>
  <c r="AE978" i="135" a="1"/>
  <c r="AE978" i="135" s="1"/>
  <c r="AD978" i="135" a="1"/>
  <c r="AD978" i="135" s="1"/>
  <c r="AC978" i="135" a="1"/>
  <c r="AC978" i="135" s="1"/>
  <c r="AB978" i="135" a="1"/>
  <c r="AB978" i="135" s="1"/>
  <c r="AA978" i="135" a="1"/>
  <c r="AA978" i="135" s="1"/>
  <c r="Z978" i="135" a="1"/>
  <c r="Z978" i="135" s="1"/>
  <c r="Y978" i="135" a="1"/>
  <c r="Y978" i="135" s="1"/>
  <c r="X978" i="135" a="1"/>
  <c r="X978" i="135" s="1"/>
  <c r="W978" i="135" a="1"/>
  <c r="W978" i="135" s="1"/>
  <c r="AM977" i="135" a="1"/>
  <c r="AM977" i="135" s="1"/>
  <c r="AL977" i="135" a="1"/>
  <c r="AL977" i="135" s="1"/>
  <c r="AK977" i="135" a="1"/>
  <c r="AK977" i="135" s="1"/>
  <c r="AJ977" i="135" a="1"/>
  <c r="AJ977" i="135" s="1"/>
  <c r="AI977" i="135" a="1"/>
  <c r="AI977" i="135" s="1"/>
  <c r="AH977" i="135" a="1"/>
  <c r="AH977" i="135" s="1"/>
  <c r="AG977" i="135" a="1"/>
  <c r="AG977" i="135" s="1"/>
  <c r="AF977" i="135" a="1"/>
  <c r="AF977" i="135" s="1"/>
  <c r="AE977" i="135" a="1"/>
  <c r="AE977" i="135" s="1"/>
  <c r="AD977" i="135" a="1"/>
  <c r="AD977" i="135" s="1"/>
  <c r="AC977" i="135" a="1"/>
  <c r="AC977" i="135" s="1"/>
  <c r="AB977" i="135" a="1"/>
  <c r="AB977" i="135" s="1"/>
  <c r="AA977" i="135" a="1"/>
  <c r="AA977" i="135" s="1"/>
  <c r="Z977" i="135" a="1"/>
  <c r="Z977" i="135" s="1"/>
  <c r="Y977" i="135" a="1"/>
  <c r="Y977" i="135" s="1"/>
  <c r="X977" i="135" a="1"/>
  <c r="X977" i="135" s="1"/>
  <c r="W977" i="135" a="1"/>
  <c r="W977" i="135" s="1"/>
  <c r="AM976" i="135" a="1"/>
  <c r="AM976" i="135" s="1"/>
  <c r="AL976" i="135" a="1"/>
  <c r="AL976" i="135" s="1"/>
  <c r="AK976" i="135" a="1"/>
  <c r="AK976" i="135" s="1"/>
  <c r="AJ976" i="135" a="1"/>
  <c r="AJ976" i="135" s="1"/>
  <c r="AI976" i="135" a="1"/>
  <c r="AI976" i="135" s="1"/>
  <c r="AH976" i="135" a="1"/>
  <c r="AH976" i="135" s="1"/>
  <c r="AG976" i="135" a="1"/>
  <c r="AG976" i="135" s="1"/>
  <c r="AF976" i="135" a="1"/>
  <c r="AF976" i="135" s="1"/>
  <c r="AE976" i="135" a="1"/>
  <c r="AE976" i="135" s="1"/>
  <c r="AD976" i="135" a="1"/>
  <c r="AD976" i="135" s="1"/>
  <c r="AC976" i="135" a="1"/>
  <c r="AC976" i="135" s="1"/>
  <c r="AB976" i="135" a="1"/>
  <c r="AB976" i="135" s="1"/>
  <c r="AA976" i="135" a="1"/>
  <c r="AA976" i="135" s="1"/>
  <c r="Z976" i="135" a="1"/>
  <c r="Z976" i="135" s="1"/>
  <c r="Y976" i="135" a="1"/>
  <c r="Y976" i="135" s="1"/>
  <c r="X976" i="135" a="1"/>
  <c r="X976" i="135" s="1"/>
  <c r="W976" i="135" a="1"/>
  <c r="W976" i="135" s="1"/>
  <c r="AM975" i="135" a="1"/>
  <c r="AM975" i="135" s="1"/>
  <c r="AL975" i="135" a="1"/>
  <c r="AL975" i="135" s="1"/>
  <c r="AK975" i="135" a="1"/>
  <c r="AK975" i="135" s="1"/>
  <c r="AJ975" i="135" a="1"/>
  <c r="AJ975" i="135" s="1"/>
  <c r="AI975" i="135" a="1"/>
  <c r="AI975" i="135" s="1"/>
  <c r="AH975" i="135" a="1"/>
  <c r="AH975" i="135" s="1"/>
  <c r="AG975" i="135" a="1"/>
  <c r="AG975" i="135" s="1"/>
  <c r="AF975" i="135" a="1"/>
  <c r="AF975" i="135" s="1"/>
  <c r="AE975" i="135" a="1"/>
  <c r="AE975" i="135" s="1"/>
  <c r="AD975" i="135" a="1"/>
  <c r="AD975" i="135" s="1"/>
  <c r="AC975" i="135" a="1"/>
  <c r="AC975" i="135" s="1"/>
  <c r="AB975" i="135" a="1"/>
  <c r="AB975" i="135" s="1"/>
  <c r="AA975" i="135" a="1"/>
  <c r="AA975" i="135" s="1"/>
  <c r="Z975" i="135" a="1"/>
  <c r="Z975" i="135" s="1"/>
  <c r="Y975" i="135" a="1"/>
  <c r="Y975" i="135" s="1"/>
  <c r="X975" i="135" a="1"/>
  <c r="X975" i="135" s="1"/>
  <c r="W975" i="135" a="1"/>
  <c r="W975" i="135" s="1"/>
  <c r="AM974" i="135" a="1"/>
  <c r="AM974" i="135" s="1"/>
  <c r="AL974" i="135" a="1"/>
  <c r="AL974" i="135" s="1"/>
  <c r="AK974" i="135" a="1"/>
  <c r="AK974" i="135" s="1"/>
  <c r="AJ974" i="135" a="1"/>
  <c r="AJ974" i="135" s="1"/>
  <c r="AI974" i="135" a="1"/>
  <c r="AI974" i="135" s="1"/>
  <c r="AH974" i="135" a="1"/>
  <c r="AH974" i="135" s="1"/>
  <c r="AG974" i="135" a="1"/>
  <c r="AG974" i="135" s="1"/>
  <c r="AF974" i="135" a="1"/>
  <c r="AF974" i="135" s="1"/>
  <c r="AE974" i="135" a="1"/>
  <c r="AE974" i="135" s="1"/>
  <c r="AD974" i="135" a="1"/>
  <c r="AD974" i="135" s="1"/>
  <c r="AC974" i="135" a="1"/>
  <c r="AC974" i="135" s="1"/>
  <c r="AB974" i="135" a="1"/>
  <c r="AB974" i="135" s="1"/>
  <c r="AA974" i="135" a="1"/>
  <c r="AA974" i="135" s="1"/>
  <c r="Z974" i="135" a="1"/>
  <c r="Z974" i="135" s="1"/>
  <c r="Y974" i="135" a="1"/>
  <c r="Y974" i="135" s="1"/>
  <c r="X974" i="135" a="1"/>
  <c r="X974" i="135" s="1"/>
  <c r="W974" i="135" a="1"/>
  <c r="W974" i="135" s="1"/>
  <c r="AM973" i="135" a="1"/>
  <c r="AM973" i="135" s="1"/>
  <c r="AL973" i="135" a="1"/>
  <c r="AL973" i="135" s="1"/>
  <c r="AK973" i="135" a="1"/>
  <c r="AK973" i="135" s="1"/>
  <c r="AJ973" i="135" a="1"/>
  <c r="AJ973" i="135" s="1"/>
  <c r="AI973" i="135" a="1"/>
  <c r="AI973" i="135" s="1"/>
  <c r="AH973" i="135" a="1"/>
  <c r="AH973" i="135" s="1"/>
  <c r="AG973" i="135" a="1"/>
  <c r="AG973" i="135" s="1"/>
  <c r="AF973" i="135" a="1"/>
  <c r="AF973" i="135" s="1"/>
  <c r="AE973" i="135" a="1"/>
  <c r="AE973" i="135" s="1"/>
  <c r="AD973" i="135" a="1"/>
  <c r="AD973" i="135" s="1"/>
  <c r="AC973" i="135" a="1"/>
  <c r="AC973" i="135" s="1"/>
  <c r="AB973" i="135" a="1"/>
  <c r="AB973" i="135" s="1"/>
  <c r="AA973" i="135" a="1"/>
  <c r="AA973" i="135" s="1"/>
  <c r="Z973" i="135" a="1"/>
  <c r="Z973" i="135" s="1"/>
  <c r="Y973" i="135" a="1"/>
  <c r="Y973" i="135" s="1"/>
  <c r="X973" i="135" a="1"/>
  <c r="X973" i="135" s="1"/>
  <c r="W973" i="135" a="1"/>
  <c r="W973" i="135" s="1"/>
  <c r="AM972" i="135" a="1"/>
  <c r="AM972" i="135" s="1"/>
  <c r="AL972" i="135" a="1"/>
  <c r="AL972" i="135" s="1"/>
  <c r="AK972" i="135" a="1"/>
  <c r="AK972" i="135" s="1"/>
  <c r="AJ972" i="135" a="1"/>
  <c r="AJ972" i="135" s="1"/>
  <c r="AI972" i="135" a="1"/>
  <c r="AI972" i="135" s="1"/>
  <c r="AH972" i="135" a="1"/>
  <c r="AH972" i="135" s="1"/>
  <c r="AG972" i="135" a="1"/>
  <c r="AG972" i="135" s="1"/>
  <c r="AF972" i="135" a="1"/>
  <c r="AF972" i="135" s="1"/>
  <c r="AE972" i="135" a="1"/>
  <c r="AE972" i="135" s="1"/>
  <c r="AD972" i="135" a="1"/>
  <c r="AD972" i="135" s="1"/>
  <c r="AC972" i="135" a="1"/>
  <c r="AC972" i="135" s="1"/>
  <c r="AB972" i="135" a="1"/>
  <c r="AB972" i="135" s="1"/>
  <c r="AA972" i="135" a="1"/>
  <c r="AA972" i="135" s="1"/>
  <c r="Z972" i="135" a="1"/>
  <c r="Z972" i="135" s="1"/>
  <c r="Y972" i="135" a="1"/>
  <c r="Y972" i="135" s="1"/>
  <c r="X972" i="135" a="1"/>
  <c r="X972" i="135" s="1"/>
  <c r="W972" i="135" a="1"/>
  <c r="W972" i="135" s="1"/>
  <c r="AM971" i="135" a="1"/>
  <c r="AM971" i="135" s="1"/>
  <c r="AL971" i="135" a="1"/>
  <c r="AL971" i="135" s="1"/>
  <c r="AK971" i="135" a="1"/>
  <c r="AK971" i="135" s="1"/>
  <c r="AJ971" i="135" a="1"/>
  <c r="AJ971" i="135" s="1"/>
  <c r="AI971" i="135" a="1"/>
  <c r="AI971" i="135" s="1"/>
  <c r="AH971" i="135" a="1"/>
  <c r="AH971" i="135" s="1"/>
  <c r="AG971" i="135" a="1"/>
  <c r="AG971" i="135" s="1"/>
  <c r="AF971" i="135" a="1"/>
  <c r="AF971" i="135" s="1"/>
  <c r="AE971" i="135" a="1"/>
  <c r="AE971" i="135" s="1"/>
  <c r="AD971" i="135" a="1"/>
  <c r="AD971" i="135" s="1"/>
  <c r="AC971" i="135" a="1"/>
  <c r="AC971" i="135" s="1"/>
  <c r="AB971" i="135" a="1"/>
  <c r="AB971" i="135" s="1"/>
  <c r="AA971" i="135" a="1"/>
  <c r="AA971" i="135" s="1"/>
  <c r="Z971" i="135" a="1"/>
  <c r="Z971" i="135" s="1"/>
  <c r="Y971" i="135" a="1"/>
  <c r="Y971" i="135" s="1"/>
  <c r="X971" i="135" a="1"/>
  <c r="X971" i="135" s="1"/>
  <c r="W971" i="135" a="1"/>
  <c r="W971" i="135" s="1"/>
  <c r="AM970" i="135" a="1"/>
  <c r="AM970" i="135" s="1"/>
  <c r="AL970" i="135" a="1"/>
  <c r="AL970" i="135" s="1"/>
  <c r="AK970" i="135" a="1"/>
  <c r="AK970" i="135" s="1"/>
  <c r="AJ970" i="135" a="1"/>
  <c r="AJ970" i="135" s="1"/>
  <c r="AI970" i="135" a="1"/>
  <c r="AI970" i="135" s="1"/>
  <c r="AH970" i="135" a="1"/>
  <c r="AH970" i="135" s="1"/>
  <c r="AG970" i="135" a="1"/>
  <c r="AG970" i="135" s="1"/>
  <c r="AF970" i="135" a="1"/>
  <c r="AF970" i="135" s="1"/>
  <c r="AE970" i="135" a="1"/>
  <c r="AE970" i="135" s="1"/>
  <c r="AD970" i="135" a="1"/>
  <c r="AD970" i="135" s="1"/>
  <c r="AC970" i="135" a="1"/>
  <c r="AC970" i="135" s="1"/>
  <c r="AB970" i="135" a="1"/>
  <c r="AB970" i="135" s="1"/>
  <c r="AA970" i="135" a="1"/>
  <c r="AA970" i="135" s="1"/>
  <c r="Z970" i="135" a="1"/>
  <c r="Z970" i="135" s="1"/>
  <c r="Y970" i="135" a="1"/>
  <c r="Y970" i="135" s="1"/>
  <c r="X970" i="135" a="1"/>
  <c r="X970" i="135" s="1"/>
  <c r="W970" i="135" a="1"/>
  <c r="W970" i="135" s="1"/>
  <c r="AM969" i="135" a="1"/>
  <c r="AM969" i="135" s="1"/>
  <c r="AL969" i="135" a="1"/>
  <c r="AL969" i="135" s="1"/>
  <c r="AK969" i="135" a="1"/>
  <c r="AK969" i="135" s="1"/>
  <c r="AJ969" i="135" a="1"/>
  <c r="AJ969" i="135" s="1"/>
  <c r="AI969" i="135" a="1"/>
  <c r="AI969" i="135" s="1"/>
  <c r="AH969" i="135" a="1"/>
  <c r="AH969" i="135" s="1"/>
  <c r="AG969" i="135" a="1"/>
  <c r="AG969" i="135" s="1"/>
  <c r="AF969" i="135" a="1"/>
  <c r="AF969" i="135" s="1"/>
  <c r="AE969" i="135" a="1"/>
  <c r="AE969" i="135" s="1"/>
  <c r="AD969" i="135" a="1"/>
  <c r="AD969" i="135" s="1"/>
  <c r="AC969" i="135" a="1"/>
  <c r="AC969" i="135" s="1"/>
  <c r="AB969" i="135" a="1"/>
  <c r="AB969" i="135" s="1"/>
  <c r="AA969" i="135" a="1"/>
  <c r="AA969" i="135" s="1"/>
  <c r="Z969" i="135" a="1"/>
  <c r="Z969" i="135" s="1"/>
  <c r="Y969" i="135" a="1"/>
  <c r="Y969" i="135" s="1"/>
  <c r="X969" i="135" a="1"/>
  <c r="X969" i="135" s="1"/>
  <c r="W969" i="135" a="1"/>
  <c r="W969" i="135" s="1"/>
  <c r="AM968" i="135" a="1"/>
  <c r="AM968" i="135" s="1"/>
  <c r="AL968" i="135" a="1"/>
  <c r="AL968" i="135" s="1"/>
  <c r="AK968" i="135" a="1"/>
  <c r="AK968" i="135" s="1"/>
  <c r="AJ968" i="135" a="1"/>
  <c r="AJ968" i="135" s="1"/>
  <c r="AI968" i="135" a="1"/>
  <c r="AI968" i="135" s="1"/>
  <c r="AH968" i="135" a="1"/>
  <c r="AH968" i="135" s="1"/>
  <c r="AG968" i="135" a="1"/>
  <c r="AG968" i="135" s="1"/>
  <c r="AF968" i="135" a="1"/>
  <c r="AF968" i="135" s="1"/>
  <c r="AE968" i="135" a="1"/>
  <c r="AE968" i="135" s="1"/>
  <c r="AD968" i="135" a="1"/>
  <c r="AD968" i="135" s="1"/>
  <c r="AC968" i="135" a="1"/>
  <c r="AC968" i="135" s="1"/>
  <c r="AB968" i="135" a="1"/>
  <c r="AB968" i="135" s="1"/>
  <c r="AA968" i="135" a="1"/>
  <c r="AA968" i="135" s="1"/>
  <c r="Z968" i="135" a="1"/>
  <c r="Z968" i="135" s="1"/>
  <c r="Y968" i="135" a="1"/>
  <c r="Y968" i="135" s="1"/>
  <c r="X968" i="135" a="1"/>
  <c r="X968" i="135" s="1"/>
  <c r="W968" i="135" a="1"/>
  <c r="W968" i="135" s="1"/>
  <c r="AM967" i="135" a="1"/>
  <c r="AM967" i="135" s="1"/>
  <c r="AL967" i="135" a="1"/>
  <c r="AL967" i="135" s="1"/>
  <c r="AK967" i="135" a="1"/>
  <c r="AK967" i="135" s="1"/>
  <c r="AJ967" i="135" a="1"/>
  <c r="AJ967" i="135" s="1"/>
  <c r="AI967" i="135" a="1"/>
  <c r="AI967" i="135" s="1"/>
  <c r="AH967" i="135" a="1"/>
  <c r="AH967" i="135" s="1"/>
  <c r="AG967" i="135" a="1"/>
  <c r="AG967" i="135" s="1"/>
  <c r="AF967" i="135" a="1"/>
  <c r="AF967" i="135" s="1"/>
  <c r="AE967" i="135" a="1"/>
  <c r="AE967" i="135" s="1"/>
  <c r="AD967" i="135" a="1"/>
  <c r="AD967" i="135" s="1"/>
  <c r="AC967" i="135" a="1"/>
  <c r="AC967" i="135" s="1"/>
  <c r="AB967" i="135" a="1"/>
  <c r="AB967" i="135" s="1"/>
  <c r="AA967" i="135" a="1"/>
  <c r="AA967" i="135" s="1"/>
  <c r="Z967" i="135" a="1"/>
  <c r="Z967" i="135" s="1"/>
  <c r="Y967" i="135" a="1"/>
  <c r="Y967" i="135" s="1"/>
  <c r="X967" i="135" a="1"/>
  <c r="X967" i="135" s="1"/>
  <c r="W967" i="135" a="1"/>
  <c r="W967" i="135" s="1"/>
  <c r="AM966" i="135" a="1"/>
  <c r="AM966" i="135" s="1"/>
  <c r="AL966" i="135" a="1"/>
  <c r="AL966" i="135" s="1"/>
  <c r="AK966" i="135" a="1"/>
  <c r="AK966" i="135" s="1"/>
  <c r="AJ966" i="135" a="1"/>
  <c r="AJ966" i="135" s="1"/>
  <c r="AI966" i="135" a="1"/>
  <c r="AI966" i="135" s="1"/>
  <c r="AH966" i="135" a="1"/>
  <c r="AH966" i="135" s="1"/>
  <c r="AG966" i="135" a="1"/>
  <c r="AG966" i="135" s="1"/>
  <c r="AF966" i="135" a="1"/>
  <c r="AF966" i="135" s="1"/>
  <c r="AE966" i="135" a="1"/>
  <c r="AE966" i="135" s="1"/>
  <c r="AD966" i="135" a="1"/>
  <c r="AD966" i="135" s="1"/>
  <c r="AC966" i="135" a="1"/>
  <c r="AC966" i="135" s="1"/>
  <c r="AB966" i="135" a="1"/>
  <c r="AB966" i="135" s="1"/>
  <c r="AA966" i="135" a="1"/>
  <c r="AA966" i="135" s="1"/>
  <c r="Z966" i="135" a="1"/>
  <c r="Z966" i="135" s="1"/>
  <c r="Y966" i="135" a="1"/>
  <c r="Y966" i="135" s="1"/>
  <c r="X966" i="135" a="1"/>
  <c r="X966" i="135" s="1"/>
  <c r="W966" i="135" a="1"/>
  <c r="W966" i="135" s="1"/>
  <c r="AM965" i="135" a="1"/>
  <c r="AM965" i="135" s="1"/>
  <c r="AL965" i="135" a="1"/>
  <c r="AL965" i="135" s="1"/>
  <c r="AK965" i="135" a="1"/>
  <c r="AK965" i="135" s="1"/>
  <c r="AJ965" i="135" a="1"/>
  <c r="AJ965" i="135" s="1"/>
  <c r="AI965" i="135" a="1"/>
  <c r="AI965" i="135" s="1"/>
  <c r="AH965" i="135" a="1"/>
  <c r="AH965" i="135" s="1"/>
  <c r="AG965" i="135" a="1"/>
  <c r="AG965" i="135" s="1"/>
  <c r="AF965" i="135" a="1"/>
  <c r="AF965" i="135" s="1"/>
  <c r="AE965" i="135" a="1"/>
  <c r="AE965" i="135" s="1"/>
  <c r="AD965" i="135" a="1"/>
  <c r="AD965" i="135" s="1"/>
  <c r="AC965" i="135" a="1"/>
  <c r="AC965" i="135" s="1"/>
  <c r="AB965" i="135" a="1"/>
  <c r="AB965" i="135" s="1"/>
  <c r="AA965" i="135" a="1"/>
  <c r="AA965" i="135" s="1"/>
  <c r="Z965" i="135" a="1"/>
  <c r="Z965" i="135" s="1"/>
  <c r="Y965" i="135" a="1"/>
  <c r="Y965" i="135" s="1"/>
  <c r="X965" i="135" a="1"/>
  <c r="X965" i="135" s="1"/>
  <c r="W965" i="135" a="1"/>
  <c r="W965" i="135" s="1"/>
  <c r="AM964" i="135" a="1"/>
  <c r="AM964" i="135" s="1"/>
  <c r="AL964" i="135" a="1"/>
  <c r="AL964" i="135" s="1"/>
  <c r="AK964" i="135" a="1"/>
  <c r="AK964" i="135" s="1"/>
  <c r="AJ964" i="135" a="1"/>
  <c r="AJ964" i="135" s="1"/>
  <c r="AI964" i="135" a="1"/>
  <c r="AI964" i="135" s="1"/>
  <c r="AH964" i="135" a="1"/>
  <c r="AH964" i="135" s="1"/>
  <c r="AG964" i="135" a="1"/>
  <c r="AG964" i="135" s="1"/>
  <c r="AF964" i="135" a="1"/>
  <c r="AF964" i="135" s="1"/>
  <c r="AE964" i="135" a="1"/>
  <c r="AE964" i="135" s="1"/>
  <c r="AD964" i="135" a="1"/>
  <c r="AD964" i="135" s="1"/>
  <c r="AC964" i="135" a="1"/>
  <c r="AC964" i="135" s="1"/>
  <c r="AB964" i="135" a="1"/>
  <c r="AB964" i="135" s="1"/>
  <c r="AA964" i="135" a="1"/>
  <c r="AA964" i="135" s="1"/>
  <c r="Z964" i="135" a="1"/>
  <c r="Z964" i="135" s="1"/>
  <c r="Y964" i="135" a="1"/>
  <c r="Y964" i="135" s="1"/>
  <c r="X964" i="135" a="1"/>
  <c r="X964" i="135" s="1"/>
  <c r="W964" i="135" a="1"/>
  <c r="W964" i="135" s="1"/>
  <c r="AM963" i="135" a="1"/>
  <c r="AM963" i="135" s="1"/>
  <c r="AL963" i="135" a="1"/>
  <c r="AL963" i="135" s="1"/>
  <c r="AK963" i="135" a="1"/>
  <c r="AK963" i="135" s="1"/>
  <c r="AJ963" i="135" a="1"/>
  <c r="AJ963" i="135" s="1"/>
  <c r="AI963" i="135" a="1"/>
  <c r="AI963" i="135" s="1"/>
  <c r="AH963" i="135" a="1"/>
  <c r="AH963" i="135" s="1"/>
  <c r="AG963" i="135" a="1"/>
  <c r="AG963" i="135" s="1"/>
  <c r="AF963" i="135" a="1"/>
  <c r="AF963" i="135" s="1"/>
  <c r="AE963" i="135" a="1"/>
  <c r="AE963" i="135" s="1"/>
  <c r="AD963" i="135" a="1"/>
  <c r="AD963" i="135" s="1"/>
  <c r="AC963" i="135" a="1"/>
  <c r="AC963" i="135" s="1"/>
  <c r="AB963" i="135" a="1"/>
  <c r="AB963" i="135" s="1"/>
  <c r="AA963" i="135" a="1"/>
  <c r="AA963" i="135" s="1"/>
  <c r="Z963" i="135" a="1"/>
  <c r="Z963" i="135" s="1"/>
  <c r="Y963" i="135" a="1"/>
  <c r="Y963" i="135" s="1"/>
  <c r="X963" i="135" a="1"/>
  <c r="X963" i="135" s="1"/>
  <c r="W963" i="135" a="1"/>
  <c r="W963" i="135" s="1"/>
  <c r="AM962" i="135" a="1"/>
  <c r="AM962" i="135" s="1"/>
  <c r="AL962" i="135" a="1"/>
  <c r="AL962" i="135" s="1"/>
  <c r="AK962" i="135" a="1"/>
  <c r="AK962" i="135" s="1"/>
  <c r="AJ962" i="135" a="1"/>
  <c r="AJ962" i="135" s="1"/>
  <c r="AI962" i="135" a="1"/>
  <c r="AI962" i="135" s="1"/>
  <c r="AH962" i="135" a="1"/>
  <c r="AH962" i="135" s="1"/>
  <c r="AG962" i="135" a="1"/>
  <c r="AG962" i="135" s="1"/>
  <c r="AF962" i="135" a="1"/>
  <c r="AF962" i="135" s="1"/>
  <c r="AE962" i="135" a="1"/>
  <c r="AE962" i="135" s="1"/>
  <c r="AD962" i="135" a="1"/>
  <c r="AD962" i="135" s="1"/>
  <c r="AC962" i="135" a="1"/>
  <c r="AC962" i="135" s="1"/>
  <c r="AB962" i="135" a="1"/>
  <c r="AB962" i="135" s="1"/>
  <c r="AA962" i="135" a="1"/>
  <c r="AA962" i="135" s="1"/>
  <c r="Z962" i="135" a="1"/>
  <c r="Z962" i="135" s="1"/>
  <c r="Y962" i="135" a="1"/>
  <c r="Y962" i="135" s="1"/>
  <c r="X962" i="135" a="1"/>
  <c r="X962" i="135" s="1"/>
  <c r="W962" i="135" a="1"/>
  <c r="W962" i="135" s="1"/>
  <c r="AM961" i="135" a="1"/>
  <c r="AM961" i="135" s="1"/>
  <c r="AL961" i="135" a="1"/>
  <c r="AL961" i="135" s="1"/>
  <c r="AK961" i="135" a="1"/>
  <c r="AK961" i="135" s="1"/>
  <c r="AJ961" i="135" a="1"/>
  <c r="AJ961" i="135" s="1"/>
  <c r="AI961" i="135" a="1"/>
  <c r="AI961" i="135" s="1"/>
  <c r="AH961" i="135" a="1"/>
  <c r="AH961" i="135" s="1"/>
  <c r="AG961" i="135" a="1"/>
  <c r="AG961" i="135" s="1"/>
  <c r="AF961" i="135" a="1"/>
  <c r="AF961" i="135" s="1"/>
  <c r="AE961" i="135" a="1"/>
  <c r="AE961" i="135" s="1"/>
  <c r="AD961" i="135" a="1"/>
  <c r="AD961" i="135" s="1"/>
  <c r="AC961" i="135" a="1"/>
  <c r="AC961" i="135" s="1"/>
  <c r="AB961" i="135" a="1"/>
  <c r="AB961" i="135" s="1"/>
  <c r="AA961" i="135" a="1"/>
  <c r="AA961" i="135" s="1"/>
  <c r="Z961" i="135" a="1"/>
  <c r="Z961" i="135" s="1"/>
  <c r="Y961" i="135" a="1"/>
  <c r="Y961" i="135" s="1"/>
  <c r="X961" i="135" a="1"/>
  <c r="X961" i="135" s="1"/>
  <c r="W961" i="135" a="1"/>
  <c r="W961" i="135" s="1"/>
  <c r="AM960" i="135" a="1"/>
  <c r="AM960" i="135" s="1"/>
  <c r="AL960" i="135" a="1"/>
  <c r="AL960" i="135" s="1"/>
  <c r="AK960" i="135" a="1"/>
  <c r="AK960" i="135" s="1"/>
  <c r="AJ960" i="135" a="1"/>
  <c r="AJ960" i="135" s="1"/>
  <c r="AI960" i="135" a="1"/>
  <c r="AI960" i="135" s="1"/>
  <c r="AH960" i="135" a="1"/>
  <c r="AH960" i="135" s="1"/>
  <c r="AG960" i="135" a="1"/>
  <c r="AG960" i="135" s="1"/>
  <c r="AF960" i="135" a="1"/>
  <c r="AF960" i="135" s="1"/>
  <c r="AE960" i="135" a="1"/>
  <c r="AE960" i="135" s="1"/>
  <c r="AD960" i="135" a="1"/>
  <c r="AD960" i="135" s="1"/>
  <c r="AC960" i="135" a="1"/>
  <c r="AC960" i="135" s="1"/>
  <c r="AB960" i="135" a="1"/>
  <c r="AB960" i="135" s="1"/>
  <c r="AA960" i="135" a="1"/>
  <c r="AA960" i="135" s="1"/>
  <c r="Z960" i="135" a="1"/>
  <c r="Z960" i="135" s="1"/>
  <c r="Y960" i="135" a="1"/>
  <c r="Y960" i="135" s="1"/>
  <c r="X960" i="135" a="1"/>
  <c r="X960" i="135" s="1"/>
  <c r="W960" i="135" a="1"/>
  <c r="W960" i="135" s="1"/>
  <c r="AM959" i="135" a="1"/>
  <c r="AM959" i="135" s="1"/>
  <c r="AL959" i="135" a="1"/>
  <c r="AL959" i="135" s="1"/>
  <c r="AK959" i="135" a="1"/>
  <c r="AK959" i="135" s="1"/>
  <c r="AJ959" i="135" a="1"/>
  <c r="AJ959" i="135" s="1"/>
  <c r="AI959" i="135" a="1"/>
  <c r="AI959" i="135" s="1"/>
  <c r="AH959" i="135" a="1"/>
  <c r="AH959" i="135" s="1"/>
  <c r="AG959" i="135" a="1"/>
  <c r="AG959" i="135" s="1"/>
  <c r="AF959" i="135" a="1"/>
  <c r="AF959" i="135" s="1"/>
  <c r="AE959" i="135" a="1"/>
  <c r="AE959" i="135" s="1"/>
  <c r="AD959" i="135" a="1"/>
  <c r="AD959" i="135" s="1"/>
  <c r="AC959" i="135" a="1"/>
  <c r="AC959" i="135" s="1"/>
  <c r="AB959" i="135" a="1"/>
  <c r="AB959" i="135" s="1"/>
  <c r="AA959" i="135" a="1"/>
  <c r="AA959" i="135" s="1"/>
  <c r="Z959" i="135" a="1"/>
  <c r="Z959" i="135" s="1"/>
  <c r="Y959" i="135" a="1"/>
  <c r="Y959" i="135" s="1"/>
  <c r="X959" i="135" a="1"/>
  <c r="X959" i="135" s="1"/>
  <c r="W959" i="135" a="1"/>
  <c r="W959" i="135" s="1"/>
  <c r="AM958" i="135" a="1"/>
  <c r="AM958" i="135" s="1"/>
  <c r="AL958" i="135" a="1"/>
  <c r="AL958" i="135" s="1"/>
  <c r="AK958" i="135" a="1"/>
  <c r="AK958" i="135" s="1"/>
  <c r="AJ958" i="135" a="1"/>
  <c r="AJ958" i="135" s="1"/>
  <c r="AI958" i="135" a="1"/>
  <c r="AI958" i="135" s="1"/>
  <c r="AH958" i="135" a="1"/>
  <c r="AH958" i="135" s="1"/>
  <c r="AG958" i="135" a="1"/>
  <c r="AG958" i="135" s="1"/>
  <c r="AF958" i="135" a="1"/>
  <c r="AF958" i="135" s="1"/>
  <c r="AE958" i="135" a="1"/>
  <c r="AE958" i="135" s="1"/>
  <c r="AD958" i="135" a="1"/>
  <c r="AD958" i="135" s="1"/>
  <c r="AC958" i="135" a="1"/>
  <c r="AC958" i="135" s="1"/>
  <c r="AB958" i="135" a="1"/>
  <c r="AB958" i="135" s="1"/>
  <c r="AA958" i="135" a="1"/>
  <c r="AA958" i="135" s="1"/>
  <c r="Z958" i="135" a="1"/>
  <c r="Z958" i="135" s="1"/>
  <c r="Y958" i="135" a="1"/>
  <c r="Y958" i="135" s="1"/>
  <c r="X958" i="135" a="1"/>
  <c r="X958" i="135" s="1"/>
  <c r="W958" i="135" a="1"/>
  <c r="W958" i="135" s="1"/>
  <c r="AM957" i="135" a="1"/>
  <c r="AM957" i="135" s="1"/>
  <c r="AL957" i="135" a="1"/>
  <c r="AL957" i="135" s="1"/>
  <c r="AK957" i="135" a="1"/>
  <c r="AK957" i="135" s="1"/>
  <c r="AJ957" i="135" a="1"/>
  <c r="AJ957" i="135" s="1"/>
  <c r="AI957" i="135" a="1"/>
  <c r="AI957" i="135" s="1"/>
  <c r="AH957" i="135" a="1"/>
  <c r="AH957" i="135" s="1"/>
  <c r="AG957" i="135" a="1"/>
  <c r="AG957" i="135" s="1"/>
  <c r="AF957" i="135" a="1"/>
  <c r="AF957" i="135" s="1"/>
  <c r="AE957" i="135" a="1"/>
  <c r="AE957" i="135" s="1"/>
  <c r="AD957" i="135" a="1"/>
  <c r="AD957" i="135" s="1"/>
  <c r="AC957" i="135" a="1"/>
  <c r="AC957" i="135" s="1"/>
  <c r="AB957" i="135" a="1"/>
  <c r="AB957" i="135" s="1"/>
  <c r="AA957" i="135" a="1"/>
  <c r="AA957" i="135" s="1"/>
  <c r="Z957" i="135" a="1"/>
  <c r="Z957" i="135" s="1"/>
  <c r="Y957" i="135" a="1"/>
  <c r="Y957" i="135" s="1"/>
  <c r="X957" i="135" a="1"/>
  <c r="X957" i="135" s="1"/>
  <c r="W957" i="135" a="1"/>
  <c r="W957" i="135" s="1"/>
  <c r="AM956" i="135" a="1"/>
  <c r="AM956" i="135" s="1"/>
  <c r="AL956" i="135" a="1"/>
  <c r="AL956" i="135" s="1"/>
  <c r="AK956" i="135" a="1"/>
  <c r="AK956" i="135" s="1"/>
  <c r="AJ956" i="135" a="1"/>
  <c r="AJ956" i="135" s="1"/>
  <c r="AI956" i="135" a="1"/>
  <c r="AI956" i="135" s="1"/>
  <c r="AH956" i="135" a="1"/>
  <c r="AH956" i="135" s="1"/>
  <c r="AG956" i="135" a="1"/>
  <c r="AG956" i="135" s="1"/>
  <c r="AF956" i="135" a="1"/>
  <c r="AF956" i="135" s="1"/>
  <c r="AE956" i="135" a="1"/>
  <c r="AE956" i="135" s="1"/>
  <c r="AD956" i="135" a="1"/>
  <c r="AD956" i="135" s="1"/>
  <c r="AC956" i="135" a="1"/>
  <c r="AC956" i="135" s="1"/>
  <c r="AB956" i="135" a="1"/>
  <c r="AB956" i="135" s="1"/>
  <c r="AA956" i="135" a="1"/>
  <c r="AA956" i="135" s="1"/>
  <c r="Z956" i="135" a="1"/>
  <c r="Z956" i="135" s="1"/>
  <c r="Y956" i="135" a="1"/>
  <c r="Y956" i="135" s="1"/>
  <c r="X956" i="135" a="1"/>
  <c r="X956" i="135" s="1"/>
  <c r="W956" i="135" a="1"/>
  <c r="W956" i="135" s="1"/>
  <c r="AM955" i="135" a="1"/>
  <c r="AM955" i="135" s="1"/>
  <c r="AL955" i="135" a="1"/>
  <c r="AL955" i="135" s="1"/>
  <c r="AK955" i="135" a="1"/>
  <c r="AK955" i="135" s="1"/>
  <c r="AJ955" i="135" a="1"/>
  <c r="AJ955" i="135" s="1"/>
  <c r="AI955" i="135" a="1"/>
  <c r="AI955" i="135" s="1"/>
  <c r="AH955" i="135" a="1"/>
  <c r="AH955" i="135" s="1"/>
  <c r="AG955" i="135" a="1"/>
  <c r="AG955" i="135" s="1"/>
  <c r="AF955" i="135" a="1"/>
  <c r="AF955" i="135" s="1"/>
  <c r="AE955" i="135" a="1"/>
  <c r="AE955" i="135" s="1"/>
  <c r="AD955" i="135" a="1"/>
  <c r="AD955" i="135" s="1"/>
  <c r="AC955" i="135" a="1"/>
  <c r="AC955" i="135" s="1"/>
  <c r="AB955" i="135" a="1"/>
  <c r="AB955" i="135" s="1"/>
  <c r="AA955" i="135" a="1"/>
  <c r="AA955" i="135" s="1"/>
  <c r="Z955" i="135" a="1"/>
  <c r="Z955" i="135" s="1"/>
  <c r="Y955" i="135" a="1"/>
  <c r="Y955" i="135" s="1"/>
  <c r="X955" i="135" a="1"/>
  <c r="X955" i="135" s="1"/>
  <c r="W955" i="135" a="1"/>
  <c r="W955" i="135" s="1"/>
  <c r="AM954" i="135" a="1"/>
  <c r="AM954" i="135" s="1"/>
  <c r="AL954" i="135" a="1"/>
  <c r="AL954" i="135" s="1"/>
  <c r="AK954" i="135" a="1"/>
  <c r="AK954" i="135" s="1"/>
  <c r="AJ954" i="135" a="1"/>
  <c r="AJ954" i="135" s="1"/>
  <c r="AI954" i="135" a="1"/>
  <c r="AI954" i="135" s="1"/>
  <c r="AH954" i="135" a="1"/>
  <c r="AH954" i="135" s="1"/>
  <c r="AG954" i="135" a="1"/>
  <c r="AG954" i="135" s="1"/>
  <c r="AF954" i="135" a="1"/>
  <c r="AF954" i="135" s="1"/>
  <c r="AE954" i="135" a="1"/>
  <c r="AE954" i="135" s="1"/>
  <c r="AD954" i="135" a="1"/>
  <c r="AD954" i="135" s="1"/>
  <c r="AC954" i="135" a="1"/>
  <c r="AC954" i="135" s="1"/>
  <c r="AB954" i="135" a="1"/>
  <c r="AB954" i="135" s="1"/>
  <c r="AA954" i="135" a="1"/>
  <c r="AA954" i="135" s="1"/>
  <c r="Z954" i="135" a="1"/>
  <c r="Z954" i="135" s="1"/>
  <c r="Y954" i="135" a="1"/>
  <c r="Y954" i="135" s="1"/>
  <c r="X954" i="135" a="1"/>
  <c r="X954" i="135" s="1"/>
  <c r="W954" i="135" a="1"/>
  <c r="W954" i="135" s="1"/>
  <c r="AM953" i="135" a="1"/>
  <c r="AM953" i="135" s="1"/>
  <c r="AL953" i="135" a="1"/>
  <c r="AL953" i="135" s="1"/>
  <c r="AK953" i="135" a="1"/>
  <c r="AK953" i="135" s="1"/>
  <c r="AJ953" i="135" a="1"/>
  <c r="AJ953" i="135" s="1"/>
  <c r="AI953" i="135" a="1"/>
  <c r="AI953" i="135" s="1"/>
  <c r="AH953" i="135" a="1"/>
  <c r="AH953" i="135" s="1"/>
  <c r="AG953" i="135" a="1"/>
  <c r="AG953" i="135" s="1"/>
  <c r="AF953" i="135" a="1"/>
  <c r="AF953" i="135" s="1"/>
  <c r="AE953" i="135" a="1"/>
  <c r="AE953" i="135" s="1"/>
  <c r="AD953" i="135" a="1"/>
  <c r="AD953" i="135" s="1"/>
  <c r="AC953" i="135" a="1"/>
  <c r="AC953" i="135" s="1"/>
  <c r="AB953" i="135" a="1"/>
  <c r="AB953" i="135" s="1"/>
  <c r="AA953" i="135" a="1"/>
  <c r="AA953" i="135" s="1"/>
  <c r="Z953" i="135" a="1"/>
  <c r="Z953" i="135" s="1"/>
  <c r="Y953" i="135" a="1"/>
  <c r="Y953" i="135" s="1"/>
  <c r="X953" i="135" a="1"/>
  <c r="X953" i="135" s="1"/>
  <c r="W953" i="135" a="1"/>
  <c r="W953" i="135" s="1"/>
  <c r="AM952" i="135" a="1"/>
  <c r="AM952" i="135" s="1"/>
  <c r="AL952" i="135" a="1"/>
  <c r="AL952" i="135" s="1"/>
  <c r="AK952" i="135" a="1"/>
  <c r="AK952" i="135" s="1"/>
  <c r="AJ952" i="135" a="1"/>
  <c r="AJ952" i="135" s="1"/>
  <c r="AI952" i="135" a="1"/>
  <c r="AI952" i="135" s="1"/>
  <c r="AH952" i="135" a="1"/>
  <c r="AH952" i="135" s="1"/>
  <c r="AG952" i="135" a="1"/>
  <c r="AG952" i="135" s="1"/>
  <c r="AF952" i="135" a="1"/>
  <c r="AF952" i="135" s="1"/>
  <c r="AE952" i="135" a="1"/>
  <c r="AE952" i="135" s="1"/>
  <c r="AD952" i="135" a="1"/>
  <c r="AD952" i="135" s="1"/>
  <c r="AC952" i="135" a="1"/>
  <c r="AC952" i="135" s="1"/>
  <c r="AB952" i="135" a="1"/>
  <c r="AB952" i="135" s="1"/>
  <c r="AA952" i="135" a="1"/>
  <c r="AA952" i="135" s="1"/>
  <c r="Z952" i="135" a="1"/>
  <c r="Z952" i="135" s="1"/>
  <c r="Y952" i="135" a="1"/>
  <c r="Y952" i="135" s="1"/>
  <c r="X952" i="135" a="1"/>
  <c r="X952" i="135" s="1"/>
  <c r="W952" i="135" a="1"/>
  <c r="W952" i="135" s="1"/>
  <c r="AM951" i="135" a="1"/>
  <c r="AM951" i="135" s="1"/>
  <c r="AL951" i="135" a="1"/>
  <c r="AL951" i="135" s="1"/>
  <c r="AK951" i="135" a="1"/>
  <c r="AK951" i="135" s="1"/>
  <c r="AJ951" i="135" a="1"/>
  <c r="AJ951" i="135" s="1"/>
  <c r="AI951" i="135" a="1"/>
  <c r="AI951" i="135" s="1"/>
  <c r="AH951" i="135" a="1"/>
  <c r="AH951" i="135" s="1"/>
  <c r="AG951" i="135" a="1"/>
  <c r="AG951" i="135" s="1"/>
  <c r="AF951" i="135" a="1"/>
  <c r="AF951" i="135" s="1"/>
  <c r="AE951" i="135" a="1"/>
  <c r="AE951" i="135" s="1"/>
  <c r="AD951" i="135" a="1"/>
  <c r="AD951" i="135" s="1"/>
  <c r="AC951" i="135" a="1"/>
  <c r="AC951" i="135" s="1"/>
  <c r="AB951" i="135" a="1"/>
  <c r="AB951" i="135" s="1"/>
  <c r="AA951" i="135" a="1"/>
  <c r="AA951" i="135" s="1"/>
  <c r="Z951" i="135" a="1"/>
  <c r="Z951" i="135" s="1"/>
  <c r="Y951" i="135" a="1"/>
  <c r="Y951" i="135" s="1"/>
  <c r="X951" i="135" a="1"/>
  <c r="X951" i="135" s="1"/>
  <c r="W951" i="135" a="1"/>
  <c r="W951" i="135" s="1"/>
  <c r="AM950" i="135" a="1"/>
  <c r="AM950" i="135" s="1"/>
  <c r="AL950" i="135" a="1"/>
  <c r="AL950" i="135" s="1"/>
  <c r="AK950" i="135" a="1"/>
  <c r="AK950" i="135" s="1"/>
  <c r="AJ950" i="135" a="1"/>
  <c r="AJ950" i="135" s="1"/>
  <c r="AI950" i="135" a="1"/>
  <c r="AI950" i="135" s="1"/>
  <c r="AH950" i="135" a="1"/>
  <c r="AH950" i="135" s="1"/>
  <c r="AG950" i="135" a="1"/>
  <c r="AG950" i="135" s="1"/>
  <c r="AF950" i="135" a="1"/>
  <c r="AF950" i="135" s="1"/>
  <c r="AE950" i="135" a="1"/>
  <c r="AE950" i="135" s="1"/>
  <c r="AD950" i="135" a="1"/>
  <c r="AD950" i="135" s="1"/>
  <c r="AC950" i="135" a="1"/>
  <c r="AC950" i="135" s="1"/>
  <c r="AB950" i="135" a="1"/>
  <c r="AB950" i="135" s="1"/>
  <c r="AA950" i="135" a="1"/>
  <c r="AA950" i="135" s="1"/>
  <c r="Z950" i="135" a="1"/>
  <c r="Z950" i="135" s="1"/>
  <c r="Y950" i="135" a="1"/>
  <c r="Y950" i="135" s="1"/>
  <c r="X950" i="135" a="1"/>
  <c r="X950" i="135" s="1"/>
  <c r="W950" i="135" a="1"/>
  <c r="W950" i="135" s="1"/>
  <c r="AM949" i="135" a="1"/>
  <c r="AM949" i="135" s="1"/>
  <c r="AL949" i="135" a="1"/>
  <c r="AL949" i="135" s="1"/>
  <c r="AK949" i="135" a="1"/>
  <c r="AK949" i="135" s="1"/>
  <c r="AJ949" i="135" a="1"/>
  <c r="AJ949" i="135" s="1"/>
  <c r="AI949" i="135" a="1"/>
  <c r="AI949" i="135" s="1"/>
  <c r="AH949" i="135" a="1"/>
  <c r="AH949" i="135" s="1"/>
  <c r="AG949" i="135" a="1"/>
  <c r="AG949" i="135" s="1"/>
  <c r="AF949" i="135" a="1"/>
  <c r="AF949" i="135" s="1"/>
  <c r="AE949" i="135" a="1"/>
  <c r="AE949" i="135" s="1"/>
  <c r="AD949" i="135" a="1"/>
  <c r="AD949" i="135" s="1"/>
  <c r="AC949" i="135" a="1"/>
  <c r="AC949" i="135" s="1"/>
  <c r="AB949" i="135" a="1"/>
  <c r="AB949" i="135" s="1"/>
  <c r="AA949" i="135" a="1"/>
  <c r="AA949" i="135" s="1"/>
  <c r="Z949" i="135" a="1"/>
  <c r="Z949" i="135" s="1"/>
  <c r="Y949" i="135" a="1"/>
  <c r="Y949" i="135" s="1"/>
  <c r="X949" i="135" a="1"/>
  <c r="X949" i="135" s="1"/>
  <c r="W949" i="135" a="1"/>
  <c r="W949" i="135" s="1"/>
  <c r="AM948" i="135" a="1"/>
  <c r="AM948" i="135" s="1"/>
  <c r="AL948" i="135" a="1"/>
  <c r="AL948" i="135" s="1"/>
  <c r="AK948" i="135" a="1"/>
  <c r="AK948" i="135" s="1"/>
  <c r="AJ948" i="135" a="1"/>
  <c r="AJ948" i="135" s="1"/>
  <c r="AI948" i="135" a="1"/>
  <c r="AI948" i="135" s="1"/>
  <c r="AH948" i="135" a="1"/>
  <c r="AH948" i="135" s="1"/>
  <c r="AG948" i="135" a="1"/>
  <c r="AG948" i="135" s="1"/>
  <c r="AF948" i="135" a="1"/>
  <c r="AF948" i="135" s="1"/>
  <c r="AE948" i="135" a="1"/>
  <c r="AE948" i="135" s="1"/>
  <c r="AD948" i="135" a="1"/>
  <c r="AD948" i="135" s="1"/>
  <c r="AC948" i="135" a="1"/>
  <c r="AC948" i="135" s="1"/>
  <c r="AB948" i="135" a="1"/>
  <c r="AB948" i="135" s="1"/>
  <c r="AA948" i="135" a="1"/>
  <c r="AA948" i="135" s="1"/>
  <c r="Z948" i="135" a="1"/>
  <c r="Z948" i="135" s="1"/>
  <c r="Y948" i="135" a="1"/>
  <c r="Y948" i="135" s="1"/>
  <c r="X948" i="135" a="1"/>
  <c r="X948" i="135" s="1"/>
  <c r="W948" i="135" a="1"/>
  <c r="W948" i="135" s="1"/>
  <c r="AM947" i="135" a="1"/>
  <c r="AM947" i="135" s="1"/>
  <c r="AL947" i="135" a="1"/>
  <c r="AL947" i="135" s="1"/>
  <c r="AK947" i="135" a="1"/>
  <c r="AK947" i="135" s="1"/>
  <c r="AJ947" i="135" a="1"/>
  <c r="AJ947" i="135" s="1"/>
  <c r="AI947" i="135" a="1"/>
  <c r="AI947" i="135" s="1"/>
  <c r="AH947" i="135" a="1"/>
  <c r="AH947" i="135" s="1"/>
  <c r="AG947" i="135" a="1"/>
  <c r="AG947" i="135" s="1"/>
  <c r="AF947" i="135" a="1"/>
  <c r="AF947" i="135" s="1"/>
  <c r="AE947" i="135" a="1"/>
  <c r="AE947" i="135" s="1"/>
  <c r="AD947" i="135" a="1"/>
  <c r="AD947" i="135" s="1"/>
  <c r="AC947" i="135" a="1"/>
  <c r="AC947" i="135" s="1"/>
  <c r="AB947" i="135" a="1"/>
  <c r="AB947" i="135" s="1"/>
  <c r="AA947" i="135" a="1"/>
  <c r="AA947" i="135" s="1"/>
  <c r="Z947" i="135" a="1"/>
  <c r="Z947" i="135" s="1"/>
  <c r="Y947" i="135" a="1"/>
  <c r="Y947" i="135" s="1"/>
  <c r="X947" i="135" a="1"/>
  <c r="X947" i="135" s="1"/>
  <c r="W947" i="135" a="1"/>
  <c r="W947" i="135" s="1"/>
  <c r="AM946" i="135" a="1"/>
  <c r="AM946" i="135" s="1"/>
  <c r="AL946" i="135" a="1"/>
  <c r="AL946" i="135" s="1"/>
  <c r="AK946" i="135" a="1"/>
  <c r="AK946" i="135" s="1"/>
  <c r="AJ946" i="135" a="1"/>
  <c r="AJ946" i="135" s="1"/>
  <c r="AI946" i="135" a="1"/>
  <c r="AI946" i="135" s="1"/>
  <c r="AH946" i="135" a="1"/>
  <c r="AH946" i="135" s="1"/>
  <c r="AG946" i="135" a="1"/>
  <c r="AG946" i="135" s="1"/>
  <c r="AF946" i="135" a="1"/>
  <c r="AF946" i="135" s="1"/>
  <c r="AE946" i="135" a="1"/>
  <c r="AE946" i="135" s="1"/>
  <c r="AD946" i="135" a="1"/>
  <c r="AD946" i="135" s="1"/>
  <c r="AC946" i="135" a="1"/>
  <c r="AC946" i="135" s="1"/>
  <c r="AB946" i="135" a="1"/>
  <c r="AB946" i="135" s="1"/>
  <c r="AA946" i="135" a="1"/>
  <c r="AA946" i="135" s="1"/>
  <c r="Z946" i="135" a="1"/>
  <c r="Z946" i="135" s="1"/>
  <c r="Y946" i="135" a="1"/>
  <c r="Y946" i="135" s="1"/>
  <c r="X946" i="135" a="1"/>
  <c r="X946" i="135" s="1"/>
  <c r="W946" i="135" a="1"/>
  <c r="W946" i="135" s="1"/>
  <c r="AM945" i="135" a="1"/>
  <c r="AM945" i="135" s="1"/>
  <c r="AL945" i="135" a="1"/>
  <c r="AL945" i="135" s="1"/>
  <c r="AK945" i="135" a="1"/>
  <c r="AK945" i="135" s="1"/>
  <c r="AJ945" i="135" a="1"/>
  <c r="AJ945" i="135" s="1"/>
  <c r="AI945" i="135" a="1"/>
  <c r="AI945" i="135" s="1"/>
  <c r="AH945" i="135" a="1"/>
  <c r="AH945" i="135" s="1"/>
  <c r="AG945" i="135" a="1"/>
  <c r="AG945" i="135" s="1"/>
  <c r="AF945" i="135" a="1"/>
  <c r="AF945" i="135" s="1"/>
  <c r="AE945" i="135" a="1"/>
  <c r="AE945" i="135" s="1"/>
  <c r="AD945" i="135" a="1"/>
  <c r="AD945" i="135" s="1"/>
  <c r="AC945" i="135" a="1"/>
  <c r="AC945" i="135" s="1"/>
  <c r="AB945" i="135" a="1"/>
  <c r="AB945" i="135" s="1"/>
  <c r="AA945" i="135" a="1"/>
  <c r="AA945" i="135" s="1"/>
  <c r="Z945" i="135" a="1"/>
  <c r="Z945" i="135" s="1"/>
  <c r="Y945" i="135" a="1"/>
  <c r="Y945" i="135" s="1"/>
  <c r="X945" i="135" a="1"/>
  <c r="X945" i="135" s="1"/>
  <c r="W945" i="135" a="1"/>
  <c r="W945" i="135" s="1"/>
  <c r="AM944" i="135" a="1"/>
  <c r="AM944" i="135" s="1"/>
  <c r="AL944" i="135" a="1"/>
  <c r="AL944" i="135" s="1"/>
  <c r="AK944" i="135" a="1"/>
  <c r="AK944" i="135" s="1"/>
  <c r="AJ944" i="135" a="1"/>
  <c r="AJ944" i="135" s="1"/>
  <c r="AI944" i="135" a="1"/>
  <c r="AI944" i="135" s="1"/>
  <c r="AH944" i="135" a="1"/>
  <c r="AH944" i="135" s="1"/>
  <c r="AG944" i="135" a="1"/>
  <c r="AG944" i="135" s="1"/>
  <c r="AF944" i="135" a="1"/>
  <c r="AF944" i="135" s="1"/>
  <c r="AE944" i="135" a="1"/>
  <c r="AE944" i="135" s="1"/>
  <c r="AD944" i="135" a="1"/>
  <c r="AD944" i="135" s="1"/>
  <c r="AC944" i="135" a="1"/>
  <c r="AC944" i="135" s="1"/>
  <c r="AB944" i="135" a="1"/>
  <c r="AB944" i="135" s="1"/>
  <c r="AA944" i="135" a="1"/>
  <c r="AA944" i="135" s="1"/>
  <c r="Z944" i="135" a="1"/>
  <c r="Z944" i="135" s="1"/>
  <c r="Y944" i="135" a="1"/>
  <c r="Y944" i="135" s="1"/>
  <c r="X944" i="135" a="1"/>
  <c r="X944" i="135" s="1"/>
  <c r="W944" i="135" a="1"/>
  <c r="W944" i="135" s="1"/>
  <c r="AM943" i="135" a="1"/>
  <c r="AM943" i="135" s="1"/>
  <c r="AL943" i="135" a="1"/>
  <c r="AL943" i="135" s="1"/>
  <c r="AK943" i="135" a="1"/>
  <c r="AK943" i="135" s="1"/>
  <c r="AJ943" i="135" a="1"/>
  <c r="AJ943" i="135" s="1"/>
  <c r="AI943" i="135" a="1"/>
  <c r="AI943" i="135" s="1"/>
  <c r="AH943" i="135" a="1"/>
  <c r="AH943" i="135" s="1"/>
  <c r="AG943" i="135" a="1"/>
  <c r="AG943" i="135" s="1"/>
  <c r="AF943" i="135" a="1"/>
  <c r="AF943" i="135" s="1"/>
  <c r="AE943" i="135" a="1"/>
  <c r="AE943" i="135" s="1"/>
  <c r="AD943" i="135" a="1"/>
  <c r="AD943" i="135" s="1"/>
  <c r="AC943" i="135" a="1"/>
  <c r="AC943" i="135" s="1"/>
  <c r="AB943" i="135" a="1"/>
  <c r="AB943" i="135" s="1"/>
  <c r="AA943" i="135" a="1"/>
  <c r="AA943" i="135" s="1"/>
  <c r="Z943" i="135" a="1"/>
  <c r="Z943" i="135" s="1"/>
  <c r="Y943" i="135" a="1"/>
  <c r="Y943" i="135" s="1"/>
  <c r="X943" i="135" a="1"/>
  <c r="X943" i="135" s="1"/>
  <c r="W943" i="135" a="1"/>
  <c r="W943" i="135" s="1"/>
  <c r="AM942" i="135" a="1"/>
  <c r="AM942" i="135" s="1"/>
  <c r="AL942" i="135" a="1"/>
  <c r="AL942" i="135" s="1"/>
  <c r="AK942" i="135" a="1"/>
  <c r="AK942" i="135" s="1"/>
  <c r="AJ942" i="135" a="1"/>
  <c r="AJ942" i="135" s="1"/>
  <c r="AI942" i="135" a="1"/>
  <c r="AI942" i="135" s="1"/>
  <c r="AH942" i="135" a="1"/>
  <c r="AH942" i="135" s="1"/>
  <c r="AG942" i="135" a="1"/>
  <c r="AG942" i="135" s="1"/>
  <c r="AF942" i="135" a="1"/>
  <c r="AF942" i="135" s="1"/>
  <c r="AE942" i="135" a="1"/>
  <c r="AE942" i="135" s="1"/>
  <c r="AD942" i="135" a="1"/>
  <c r="AD942" i="135" s="1"/>
  <c r="AC942" i="135" a="1"/>
  <c r="AC942" i="135" s="1"/>
  <c r="AB942" i="135" a="1"/>
  <c r="AB942" i="135" s="1"/>
  <c r="AA942" i="135" a="1"/>
  <c r="AA942" i="135" s="1"/>
  <c r="Z942" i="135" a="1"/>
  <c r="Z942" i="135" s="1"/>
  <c r="Y942" i="135" a="1"/>
  <c r="Y942" i="135" s="1"/>
  <c r="X942" i="135" a="1"/>
  <c r="X942" i="135" s="1"/>
  <c r="W942" i="135" a="1"/>
  <c r="W942" i="135" s="1"/>
  <c r="AM941" i="135" a="1"/>
  <c r="AM941" i="135" s="1"/>
  <c r="AL941" i="135" a="1"/>
  <c r="AL941" i="135" s="1"/>
  <c r="AK941" i="135" a="1"/>
  <c r="AK941" i="135" s="1"/>
  <c r="AJ941" i="135" a="1"/>
  <c r="AJ941" i="135" s="1"/>
  <c r="AI941" i="135" a="1"/>
  <c r="AI941" i="135" s="1"/>
  <c r="AH941" i="135" a="1"/>
  <c r="AH941" i="135" s="1"/>
  <c r="AG941" i="135" a="1"/>
  <c r="AG941" i="135" s="1"/>
  <c r="AF941" i="135" a="1"/>
  <c r="AF941" i="135" s="1"/>
  <c r="AE941" i="135" a="1"/>
  <c r="AE941" i="135" s="1"/>
  <c r="AD941" i="135" a="1"/>
  <c r="AD941" i="135" s="1"/>
  <c r="AC941" i="135" a="1"/>
  <c r="AC941" i="135" s="1"/>
  <c r="AB941" i="135" a="1"/>
  <c r="AB941" i="135" s="1"/>
  <c r="AA941" i="135" a="1"/>
  <c r="AA941" i="135" s="1"/>
  <c r="Z941" i="135" a="1"/>
  <c r="Z941" i="135" s="1"/>
  <c r="Y941" i="135" a="1"/>
  <c r="Y941" i="135" s="1"/>
  <c r="X941" i="135" a="1"/>
  <c r="X941" i="135" s="1"/>
  <c r="W941" i="135" a="1"/>
  <c r="W941" i="135" s="1"/>
  <c r="AM940" i="135" a="1"/>
  <c r="AM940" i="135" s="1"/>
  <c r="AL940" i="135" a="1"/>
  <c r="AL940" i="135" s="1"/>
  <c r="AK940" i="135" a="1"/>
  <c r="AK940" i="135" s="1"/>
  <c r="AJ940" i="135" a="1"/>
  <c r="AJ940" i="135" s="1"/>
  <c r="AI940" i="135" a="1"/>
  <c r="AI940" i="135" s="1"/>
  <c r="AH940" i="135" a="1"/>
  <c r="AH940" i="135" s="1"/>
  <c r="AG940" i="135" a="1"/>
  <c r="AG940" i="135" s="1"/>
  <c r="AF940" i="135" a="1"/>
  <c r="AF940" i="135" s="1"/>
  <c r="AE940" i="135" a="1"/>
  <c r="AE940" i="135" s="1"/>
  <c r="AD940" i="135" a="1"/>
  <c r="AD940" i="135" s="1"/>
  <c r="AC940" i="135" a="1"/>
  <c r="AC940" i="135" s="1"/>
  <c r="AB940" i="135" a="1"/>
  <c r="AB940" i="135" s="1"/>
  <c r="AA940" i="135" a="1"/>
  <c r="AA940" i="135" s="1"/>
  <c r="Z940" i="135" a="1"/>
  <c r="Z940" i="135" s="1"/>
  <c r="Y940" i="135" a="1"/>
  <c r="Y940" i="135" s="1"/>
  <c r="X940" i="135" a="1"/>
  <c r="X940" i="135" s="1"/>
  <c r="W940" i="135" a="1"/>
  <c r="W940" i="135" s="1"/>
  <c r="AM939" i="135" a="1"/>
  <c r="AM939" i="135" s="1"/>
  <c r="AL939" i="135" a="1"/>
  <c r="AL939" i="135" s="1"/>
  <c r="AK939" i="135" a="1"/>
  <c r="AK939" i="135" s="1"/>
  <c r="AJ939" i="135" a="1"/>
  <c r="AJ939" i="135" s="1"/>
  <c r="AI939" i="135" a="1"/>
  <c r="AI939" i="135" s="1"/>
  <c r="AH939" i="135" a="1"/>
  <c r="AH939" i="135" s="1"/>
  <c r="AG939" i="135" a="1"/>
  <c r="AG939" i="135" s="1"/>
  <c r="AF939" i="135" a="1"/>
  <c r="AF939" i="135" s="1"/>
  <c r="AE939" i="135" a="1"/>
  <c r="AE939" i="135" s="1"/>
  <c r="AD939" i="135" a="1"/>
  <c r="AD939" i="135" s="1"/>
  <c r="AC939" i="135" a="1"/>
  <c r="AC939" i="135" s="1"/>
  <c r="AB939" i="135" a="1"/>
  <c r="AB939" i="135" s="1"/>
  <c r="AA939" i="135" a="1"/>
  <c r="AA939" i="135" s="1"/>
  <c r="Z939" i="135" a="1"/>
  <c r="Z939" i="135" s="1"/>
  <c r="Y939" i="135" a="1"/>
  <c r="Y939" i="135" s="1"/>
  <c r="X939" i="135" a="1"/>
  <c r="X939" i="135" s="1"/>
  <c r="W939" i="135" a="1"/>
  <c r="W939" i="135" s="1"/>
  <c r="AM938" i="135" a="1"/>
  <c r="AM938" i="135" s="1"/>
  <c r="AL938" i="135" a="1"/>
  <c r="AL938" i="135" s="1"/>
  <c r="AK938" i="135" a="1"/>
  <c r="AK938" i="135" s="1"/>
  <c r="AJ938" i="135" a="1"/>
  <c r="AJ938" i="135" s="1"/>
  <c r="AI938" i="135" a="1"/>
  <c r="AI938" i="135" s="1"/>
  <c r="AH938" i="135" a="1"/>
  <c r="AH938" i="135" s="1"/>
  <c r="AG938" i="135" a="1"/>
  <c r="AG938" i="135" s="1"/>
  <c r="AF938" i="135" a="1"/>
  <c r="AF938" i="135" s="1"/>
  <c r="AE938" i="135" a="1"/>
  <c r="AE938" i="135" s="1"/>
  <c r="AD938" i="135" a="1"/>
  <c r="AD938" i="135" s="1"/>
  <c r="AC938" i="135" a="1"/>
  <c r="AC938" i="135" s="1"/>
  <c r="AB938" i="135" a="1"/>
  <c r="AB938" i="135" s="1"/>
  <c r="AA938" i="135" a="1"/>
  <c r="AA938" i="135" s="1"/>
  <c r="Z938" i="135" a="1"/>
  <c r="Z938" i="135" s="1"/>
  <c r="Y938" i="135" a="1"/>
  <c r="Y938" i="135" s="1"/>
  <c r="X938" i="135" a="1"/>
  <c r="X938" i="135" s="1"/>
  <c r="W938" i="135" a="1"/>
  <c r="W938" i="135" s="1"/>
  <c r="AM937" i="135" a="1"/>
  <c r="AM937" i="135" s="1"/>
  <c r="AL937" i="135" a="1"/>
  <c r="AL937" i="135" s="1"/>
  <c r="AK937" i="135" a="1"/>
  <c r="AK937" i="135" s="1"/>
  <c r="AJ937" i="135" a="1"/>
  <c r="AJ937" i="135" s="1"/>
  <c r="AI937" i="135" a="1"/>
  <c r="AI937" i="135" s="1"/>
  <c r="AH937" i="135" a="1"/>
  <c r="AH937" i="135" s="1"/>
  <c r="AG937" i="135" a="1"/>
  <c r="AG937" i="135" s="1"/>
  <c r="AF937" i="135" a="1"/>
  <c r="AF937" i="135" s="1"/>
  <c r="AE937" i="135" a="1"/>
  <c r="AE937" i="135" s="1"/>
  <c r="AD937" i="135" a="1"/>
  <c r="AD937" i="135" s="1"/>
  <c r="AC937" i="135" a="1"/>
  <c r="AC937" i="135" s="1"/>
  <c r="AB937" i="135" a="1"/>
  <c r="AB937" i="135" s="1"/>
  <c r="AA937" i="135" a="1"/>
  <c r="AA937" i="135" s="1"/>
  <c r="Z937" i="135" a="1"/>
  <c r="Z937" i="135" s="1"/>
  <c r="Y937" i="135" a="1"/>
  <c r="Y937" i="135" s="1"/>
  <c r="X937" i="135" a="1"/>
  <c r="X937" i="135" s="1"/>
  <c r="W937" i="135" a="1"/>
  <c r="W937" i="135" s="1"/>
  <c r="AM936" i="135" a="1"/>
  <c r="AM936" i="135" s="1"/>
  <c r="AL936" i="135" a="1"/>
  <c r="AL936" i="135" s="1"/>
  <c r="AK936" i="135" a="1"/>
  <c r="AK936" i="135" s="1"/>
  <c r="AJ936" i="135" a="1"/>
  <c r="AJ936" i="135" s="1"/>
  <c r="AI936" i="135" a="1"/>
  <c r="AI936" i="135" s="1"/>
  <c r="AH936" i="135" a="1"/>
  <c r="AH936" i="135" s="1"/>
  <c r="AG936" i="135" a="1"/>
  <c r="AG936" i="135" s="1"/>
  <c r="AF936" i="135" a="1"/>
  <c r="AF936" i="135" s="1"/>
  <c r="AE936" i="135" a="1"/>
  <c r="AE936" i="135" s="1"/>
  <c r="AD936" i="135" a="1"/>
  <c r="AD936" i="135" s="1"/>
  <c r="AC936" i="135" a="1"/>
  <c r="AC936" i="135" s="1"/>
  <c r="AB936" i="135" a="1"/>
  <c r="AB936" i="135" s="1"/>
  <c r="AA936" i="135" a="1"/>
  <c r="AA936" i="135" s="1"/>
  <c r="Z936" i="135" a="1"/>
  <c r="Z936" i="135" s="1"/>
  <c r="Y936" i="135" a="1"/>
  <c r="Y936" i="135" s="1"/>
  <c r="X936" i="135" a="1"/>
  <c r="X936" i="135" s="1"/>
  <c r="W936" i="135" a="1"/>
  <c r="W936" i="135" s="1"/>
  <c r="AM935" i="135" a="1"/>
  <c r="AM935" i="135" s="1"/>
  <c r="AL935" i="135" a="1"/>
  <c r="AL935" i="135" s="1"/>
  <c r="AK935" i="135" a="1"/>
  <c r="AK935" i="135" s="1"/>
  <c r="AJ935" i="135" a="1"/>
  <c r="AJ935" i="135" s="1"/>
  <c r="AI935" i="135" a="1"/>
  <c r="AI935" i="135" s="1"/>
  <c r="AH935" i="135" a="1"/>
  <c r="AH935" i="135" s="1"/>
  <c r="AG935" i="135" a="1"/>
  <c r="AG935" i="135" s="1"/>
  <c r="AF935" i="135" a="1"/>
  <c r="AF935" i="135" s="1"/>
  <c r="AE935" i="135" a="1"/>
  <c r="AE935" i="135" s="1"/>
  <c r="AD935" i="135" a="1"/>
  <c r="AD935" i="135" s="1"/>
  <c r="AC935" i="135" a="1"/>
  <c r="AC935" i="135" s="1"/>
  <c r="AB935" i="135" a="1"/>
  <c r="AB935" i="135" s="1"/>
  <c r="AA935" i="135" a="1"/>
  <c r="AA935" i="135" s="1"/>
  <c r="Z935" i="135" a="1"/>
  <c r="Z935" i="135" s="1"/>
  <c r="Y935" i="135" a="1"/>
  <c r="Y935" i="135" s="1"/>
  <c r="X935" i="135" a="1"/>
  <c r="X935" i="135" s="1"/>
  <c r="W935" i="135" a="1"/>
  <c r="W935" i="135" s="1"/>
  <c r="AM934" i="135" a="1"/>
  <c r="AM934" i="135" s="1"/>
  <c r="AL934" i="135" a="1"/>
  <c r="AL934" i="135" s="1"/>
  <c r="AK934" i="135" a="1"/>
  <c r="AK934" i="135" s="1"/>
  <c r="AJ934" i="135" a="1"/>
  <c r="AJ934" i="135" s="1"/>
  <c r="AI934" i="135" a="1"/>
  <c r="AI934" i="135" s="1"/>
  <c r="AH934" i="135" a="1"/>
  <c r="AH934" i="135" s="1"/>
  <c r="AG934" i="135" a="1"/>
  <c r="AG934" i="135" s="1"/>
  <c r="AF934" i="135" a="1"/>
  <c r="AF934" i="135" s="1"/>
  <c r="AE934" i="135" a="1"/>
  <c r="AE934" i="135" s="1"/>
  <c r="AD934" i="135" a="1"/>
  <c r="AD934" i="135" s="1"/>
  <c r="AC934" i="135" a="1"/>
  <c r="AC934" i="135" s="1"/>
  <c r="AB934" i="135" a="1"/>
  <c r="AB934" i="135" s="1"/>
  <c r="AA934" i="135" a="1"/>
  <c r="AA934" i="135" s="1"/>
  <c r="Z934" i="135" a="1"/>
  <c r="Z934" i="135" s="1"/>
  <c r="Y934" i="135" a="1"/>
  <c r="Y934" i="135" s="1"/>
  <c r="X934" i="135" a="1"/>
  <c r="X934" i="135" s="1"/>
  <c r="W934" i="135" a="1"/>
  <c r="W934" i="135" s="1"/>
  <c r="AM933" i="135" a="1"/>
  <c r="AM933" i="135" s="1"/>
  <c r="AL933" i="135" a="1"/>
  <c r="AL933" i="135" s="1"/>
  <c r="AK933" i="135" a="1"/>
  <c r="AK933" i="135" s="1"/>
  <c r="AJ933" i="135" a="1"/>
  <c r="AJ933" i="135" s="1"/>
  <c r="AI933" i="135" a="1"/>
  <c r="AI933" i="135" s="1"/>
  <c r="AH933" i="135" a="1"/>
  <c r="AH933" i="135" s="1"/>
  <c r="AG933" i="135" a="1"/>
  <c r="AG933" i="135" s="1"/>
  <c r="AF933" i="135" a="1"/>
  <c r="AF933" i="135" s="1"/>
  <c r="AE933" i="135" a="1"/>
  <c r="AE933" i="135" s="1"/>
  <c r="AD933" i="135" a="1"/>
  <c r="AD933" i="135" s="1"/>
  <c r="AC933" i="135" a="1"/>
  <c r="AC933" i="135" s="1"/>
  <c r="AB933" i="135" a="1"/>
  <c r="AB933" i="135" s="1"/>
  <c r="AA933" i="135" a="1"/>
  <c r="AA933" i="135" s="1"/>
  <c r="Z933" i="135" a="1"/>
  <c r="Z933" i="135" s="1"/>
  <c r="Y933" i="135" a="1"/>
  <c r="Y933" i="135" s="1"/>
  <c r="X933" i="135" a="1"/>
  <c r="X933" i="135" s="1"/>
  <c r="W933" i="135" a="1"/>
  <c r="W933" i="135" s="1"/>
  <c r="AM932" i="135" a="1"/>
  <c r="AM932" i="135" s="1"/>
  <c r="AL932" i="135" a="1"/>
  <c r="AL932" i="135" s="1"/>
  <c r="AK932" i="135" a="1"/>
  <c r="AK932" i="135" s="1"/>
  <c r="AJ932" i="135" a="1"/>
  <c r="AJ932" i="135" s="1"/>
  <c r="AI932" i="135" a="1"/>
  <c r="AI932" i="135" s="1"/>
  <c r="AH932" i="135" a="1"/>
  <c r="AH932" i="135" s="1"/>
  <c r="AG932" i="135" a="1"/>
  <c r="AG932" i="135" s="1"/>
  <c r="AF932" i="135" a="1"/>
  <c r="AF932" i="135" s="1"/>
  <c r="AE932" i="135" a="1"/>
  <c r="AE932" i="135" s="1"/>
  <c r="AD932" i="135" a="1"/>
  <c r="AD932" i="135" s="1"/>
  <c r="AC932" i="135" a="1"/>
  <c r="AC932" i="135" s="1"/>
  <c r="AB932" i="135" a="1"/>
  <c r="AB932" i="135" s="1"/>
  <c r="AA932" i="135" a="1"/>
  <c r="AA932" i="135" s="1"/>
  <c r="Z932" i="135" a="1"/>
  <c r="Z932" i="135" s="1"/>
  <c r="Y932" i="135" a="1"/>
  <c r="Y932" i="135" s="1"/>
  <c r="X932" i="135" a="1"/>
  <c r="X932" i="135" s="1"/>
  <c r="W932" i="135" a="1"/>
  <c r="W932" i="135" s="1"/>
  <c r="AM931" i="135" a="1"/>
  <c r="AM931" i="135" s="1"/>
  <c r="AL931" i="135" a="1"/>
  <c r="AL931" i="135" s="1"/>
  <c r="AK931" i="135" a="1"/>
  <c r="AK931" i="135" s="1"/>
  <c r="AJ931" i="135" a="1"/>
  <c r="AJ931" i="135" s="1"/>
  <c r="AI931" i="135" a="1"/>
  <c r="AI931" i="135" s="1"/>
  <c r="AH931" i="135" a="1"/>
  <c r="AH931" i="135" s="1"/>
  <c r="AG931" i="135" a="1"/>
  <c r="AG931" i="135" s="1"/>
  <c r="AF931" i="135" a="1"/>
  <c r="AF931" i="135" s="1"/>
  <c r="AE931" i="135" a="1"/>
  <c r="AE931" i="135" s="1"/>
  <c r="AD931" i="135" a="1"/>
  <c r="AD931" i="135" s="1"/>
  <c r="AC931" i="135" a="1"/>
  <c r="AC931" i="135" s="1"/>
  <c r="AB931" i="135" a="1"/>
  <c r="AB931" i="135" s="1"/>
  <c r="AA931" i="135" a="1"/>
  <c r="AA931" i="135" s="1"/>
  <c r="Z931" i="135" a="1"/>
  <c r="Z931" i="135" s="1"/>
  <c r="Y931" i="135" a="1"/>
  <c r="Y931" i="135" s="1"/>
  <c r="X931" i="135" a="1"/>
  <c r="X931" i="135" s="1"/>
  <c r="W931" i="135" a="1"/>
  <c r="W931" i="135" s="1"/>
  <c r="AM930" i="135" a="1"/>
  <c r="AM930" i="135" s="1"/>
  <c r="AL930" i="135" a="1"/>
  <c r="AL930" i="135" s="1"/>
  <c r="AK930" i="135" a="1"/>
  <c r="AK930" i="135" s="1"/>
  <c r="AJ930" i="135" a="1"/>
  <c r="AJ930" i="135" s="1"/>
  <c r="AI930" i="135" a="1"/>
  <c r="AI930" i="135" s="1"/>
  <c r="AH930" i="135" a="1"/>
  <c r="AH930" i="135" s="1"/>
  <c r="AG930" i="135" a="1"/>
  <c r="AG930" i="135" s="1"/>
  <c r="AF930" i="135" a="1"/>
  <c r="AF930" i="135" s="1"/>
  <c r="AE930" i="135" a="1"/>
  <c r="AE930" i="135" s="1"/>
  <c r="AD930" i="135" a="1"/>
  <c r="AD930" i="135" s="1"/>
  <c r="AC930" i="135" a="1"/>
  <c r="AC930" i="135" s="1"/>
  <c r="AB930" i="135" a="1"/>
  <c r="AB930" i="135" s="1"/>
  <c r="AA930" i="135" a="1"/>
  <c r="AA930" i="135" s="1"/>
  <c r="Z930" i="135" a="1"/>
  <c r="Z930" i="135" s="1"/>
  <c r="Y930" i="135" a="1"/>
  <c r="Y930" i="135" s="1"/>
  <c r="X930" i="135" a="1"/>
  <c r="X930" i="135" s="1"/>
  <c r="W930" i="135" a="1"/>
  <c r="W930" i="135" s="1"/>
  <c r="AM929" i="135" a="1"/>
  <c r="AM929" i="135" s="1"/>
  <c r="AL929" i="135" a="1"/>
  <c r="AL929" i="135" s="1"/>
  <c r="AK929" i="135" a="1"/>
  <c r="AK929" i="135" s="1"/>
  <c r="AJ929" i="135" a="1"/>
  <c r="AJ929" i="135" s="1"/>
  <c r="AI929" i="135" a="1"/>
  <c r="AI929" i="135" s="1"/>
  <c r="AH929" i="135" a="1"/>
  <c r="AH929" i="135" s="1"/>
  <c r="AG929" i="135" a="1"/>
  <c r="AG929" i="135" s="1"/>
  <c r="AF929" i="135" a="1"/>
  <c r="AF929" i="135" s="1"/>
  <c r="AE929" i="135" a="1"/>
  <c r="AE929" i="135" s="1"/>
  <c r="AD929" i="135" a="1"/>
  <c r="AD929" i="135" s="1"/>
  <c r="AC929" i="135" a="1"/>
  <c r="AC929" i="135" s="1"/>
  <c r="AB929" i="135" a="1"/>
  <c r="AB929" i="135" s="1"/>
  <c r="AA929" i="135" a="1"/>
  <c r="AA929" i="135" s="1"/>
  <c r="Z929" i="135" a="1"/>
  <c r="Z929" i="135" s="1"/>
  <c r="Y929" i="135" a="1"/>
  <c r="Y929" i="135" s="1"/>
  <c r="X929" i="135" a="1"/>
  <c r="X929" i="135" s="1"/>
  <c r="W929" i="135" a="1"/>
  <c r="W929" i="135" s="1"/>
  <c r="AM928" i="135" a="1"/>
  <c r="AM928" i="135" s="1"/>
  <c r="AL928" i="135" a="1"/>
  <c r="AL928" i="135" s="1"/>
  <c r="AK928" i="135" a="1"/>
  <c r="AK928" i="135" s="1"/>
  <c r="AJ928" i="135" a="1"/>
  <c r="AJ928" i="135" s="1"/>
  <c r="AI928" i="135" a="1"/>
  <c r="AI928" i="135" s="1"/>
  <c r="AH928" i="135" a="1"/>
  <c r="AH928" i="135" s="1"/>
  <c r="AG928" i="135" a="1"/>
  <c r="AG928" i="135" s="1"/>
  <c r="AF928" i="135" a="1"/>
  <c r="AF928" i="135" s="1"/>
  <c r="AE928" i="135" a="1"/>
  <c r="AE928" i="135" s="1"/>
  <c r="AD928" i="135" a="1"/>
  <c r="AD928" i="135" s="1"/>
  <c r="AC928" i="135" a="1"/>
  <c r="AC928" i="135" s="1"/>
  <c r="AB928" i="135" a="1"/>
  <c r="AB928" i="135" s="1"/>
  <c r="AA928" i="135" a="1"/>
  <c r="AA928" i="135" s="1"/>
  <c r="Z928" i="135" a="1"/>
  <c r="Z928" i="135" s="1"/>
  <c r="Y928" i="135" a="1"/>
  <c r="Y928" i="135" s="1"/>
  <c r="X928" i="135" a="1"/>
  <c r="X928" i="135" s="1"/>
  <c r="W928" i="135" a="1"/>
  <c r="W928" i="135" s="1"/>
  <c r="AM927" i="135" a="1"/>
  <c r="AM927" i="135" s="1"/>
  <c r="AL927" i="135" a="1"/>
  <c r="AL927" i="135" s="1"/>
  <c r="AK927" i="135" a="1"/>
  <c r="AK927" i="135" s="1"/>
  <c r="AJ927" i="135" a="1"/>
  <c r="AJ927" i="135" s="1"/>
  <c r="AI927" i="135" a="1"/>
  <c r="AI927" i="135" s="1"/>
  <c r="AH927" i="135" a="1"/>
  <c r="AH927" i="135" s="1"/>
  <c r="AG927" i="135" a="1"/>
  <c r="AG927" i="135" s="1"/>
  <c r="AF927" i="135" a="1"/>
  <c r="AF927" i="135" s="1"/>
  <c r="AE927" i="135" a="1"/>
  <c r="AE927" i="135" s="1"/>
  <c r="AD927" i="135" a="1"/>
  <c r="AD927" i="135" s="1"/>
  <c r="AC927" i="135" a="1"/>
  <c r="AC927" i="135" s="1"/>
  <c r="AB927" i="135" a="1"/>
  <c r="AB927" i="135" s="1"/>
  <c r="AA927" i="135" a="1"/>
  <c r="AA927" i="135" s="1"/>
  <c r="Z927" i="135" a="1"/>
  <c r="Z927" i="135" s="1"/>
  <c r="Y927" i="135" a="1"/>
  <c r="Y927" i="135" s="1"/>
  <c r="X927" i="135" a="1"/>
  <c r="X927" i="135" s="1"/>
  <c r="W927" i="135" a="1"/>
  <c r="W927" i="135" s="1"/>
  <c r="AM926" i="135" a="1"/>
  <c r="AM926" i="135" s="1"/>
  <c r="AL926" i="135" a="1"/>
  <c r="AL926" i="135" s="1"/>
  <c r="AK926" i="135" a="1"/>
  <c r="AK926" i="135" s="1"/>
  <c r="AJ926" i="135" a="1"/>
  <c r="AJ926" i="135" s="1"/>
  <c r="AI926" i="135" a="1"/>
  <c r="AI926" i="135" s="1"/>
  <c r="AH926" i="135" a="1"/>
  <c r="AH926" i="135" s="1"/>
  <c r="AG926" i="135" a="1"/>
  <c r="AG926" i="135" s="1"/>
  <c r="AF926" i="135" a="1"/>
  <c r="AF926" i="135" s="1"/>
  <c r="AE926" i="135" a="1"/>
  <c r="AE926" i="135" s="1"/>
  <c r="AD926" i="135" a="1"/>
  <c r="AD926" i="135" s="1"/>
  <c r="AC926" i="135" a="1"/>
  <c r="AC926" i="135" s="1"/>
  <c r="AB926" i="135" a="1"/>
  <c r="AB926" i="135" s="1"/>
  <c r="AA926" i="135" a="1"/>
  <c r="AA926" i="135" s="1"/>
  <c r="Z926" i="135" a="1"/>
  <c r="Z926" i="135" s="1"/>
  <c r="Y926" i="135" a="1"/>
  <c r="Y926" i="135" s="1"/>
  <c r="X926" i="135" a="1"/>
  <c r="X926" i="135" s="1"/>
  <c r="W926" i="135" a="1"/>
  <c r="W926" i="135" s="1"/>
  <c r="AM925" i="135" a="1"/>
  <c r="AM925" i="135" s="1"/>
  <c r="AL925" i="135" a="1"/>
  <c r="AL925" i="135" s="1"/>
  <c r="AK925" i="135" a="1"/>
  <c r="AK925" i="135" s="1"/>
  <c r="AJ925" i="135" a="1"/>
  <c r="AJ925" i="135" s="1"/>
  <c r="AI925" i="135" a="1"/>
  <c r="AI925" i="135" s="1"/>
  <c r="AH925" i="135" a="1"/>
  <c r="AH925" i="135" s="1"/>
  <c r="AG925" i="135" a="1"/>
  <c r="AG925" i="135" s="1"/>
  <c r="AF925" i="135" a="1"/>
  <c r="AF925" i="135" s="1"/>
  <c r="AE925" i="135" a="1"/>
  <c r="AE925" i="135" s="1"/>
  <c r="AD925" i="135" a="1"/>
  <c r="AD925" i="135" s="1"/>
  <c r="AC925" i="135" a="1"/>
  <c r="AC925" i="135" s="1"/>
  <c r="AB925" i="135" a="1"/>
  <c r="AB925" i="135" s="1"/>
  <c r="AA925" i="135" a="1"/>
  <c r="AA925" i="135" s="1"/>
  <c r="Z925" i="135" a="1"/>
  <c r="Z925" i="135" s="1"/>
  <c r="Y925" i="135" a="1"/>
  <c r="Y925" i="135" s="1"/>
  <c r="X925" i="135" a="1"/>
  <c r="X925" i="135" s="1"/>
  <c r="W925" i="135" a="1"/>
  <c r="W925" i="135" s="1"/>
  <c r="AM924" i="135" a="1"/>
  <c r="AM924" i="135" s="1"/>
  <c r="AL924" i="135" a="1"/>
  <c r="AL924" i="135" s="1"/>
  <c r="AK924" i="135" a="1"/>
  <c r="AK924" i="135" s="1"/>
  <c r="AJ924" i="135" a="1"/>
  <c r="AJ924" i="135" s="1"/>
  <c r="AI924" i="135" a="1"/>
  <c r="AI924" i="135" s="1"/>
  <c r="AH924" i="135" a="1"/>
  <c r="AH924" i="135" s="1"/>
  <c r="AG924" i="135" a="1"/>
  <c r="AG924" i="135" s="1"/>
  <c r="AF924" i="135" a="1"/>
  <c r="AF924" i="135" s="1"/>
  <c r="AE924" i="135" a="1"/>
  <c r="AE924" i="135" s="1"/>
  <c r="AD924" i="135" a="1"/>
  <c r="AD924" i="135" s="1"/>
  <c r="AC924" i="135" a="1"/>
  <c r="AC924" i="135" s="1"/>
  <c r="AB924" i="135" a="1"/>
  <c r="AB924" i="135" s="1"/>
  <c r="AA924" i="135" a="1"/>
  <c r="AA924" i="135" s="1"/>
  <c r="Z924" i="135" a="1"/>
  <c r="Z924" i="135" s="1"/>
  <c r="Y924" i="135" a="1"/>
  <c r="Y924" i="135" s="1"/>
  <c r="X924" i="135" a="1"/>
  <c r="X924" i="135" s="1"/>
  <c r="W924" i="135" a="1"/>
  <c r="W924" i="135" s="1"/>
  <c r="AM923" i="135" a="1"/>
  <c r="AM923" i="135" s="1"/>
  <c r="AL923" i="135" a="1"/>
  <c r="AL923" i="135" s="1"/>
  <c r="AK923" i="135" a="1"/>
  <c r="AK923" i="135" s="1"/>
  <c r="AJ923" i="135" a="1"/>
  <c r="AJ923" i="135" s="1"/>
  <c r="AI923" i="135" a="1"/>
  <c r="AI923" i="135" s="1"/>
  <c r="AH923" i="135" a="1"/>
  <c r="AH923" i="135" s="1"/>
  <c r="AG923" i="135" a="1"/>
  <c r="AG923" i="135" s="1"/>
  <c r="AF923" i="135" a="1"/>
  <c r="AF923" i="135" s="1"/>
  <c r="AE923" i="135" a="1"/>
  <c r="AE923" i="135" s="1"/>
  <c r="AD923" i="135" a="1"/>
  <c r="AD923" i="135" s="1"/>
  <c r="AC923" i="135" a="1"/>
  <c r="AC923" i="135" s="1"/>
  <c r="AB923" i="135" a="1"/>
  <c r="AB923" i="135" s="1"/>
  <c r="AA923" i="135" a="1"/>
  <c r="AA923" i="135" s="1"/>
  <c r="Z923" i="135" a="1"/>
  <c r="Z923" i="135" s="1"/>
  <c r="Y923" i="135" a="1"/>
  <c r="Y923" i="135" s="1"/>
  <c r="X923" i="135" a="1"/>
  <c r="X923" i="135" s="1"/>
  <c r="W923" i="135" a="1"/>
  <c r="W923" i="135" s="1"/>
  <c r="AM922" i="135" a="1"/>
  <c r="AM922" i="135" s="1"/>
  <c r="AL922" i="135" a="1"/>
  <c r="AL922" i="135" s="1"/>
  <c r="AK922" i="135" a="1"/>
  <c r="AK922" i="135" s="1"/>
  <c r="AJ922" i="135" a="1"/>
  <c r="AJ922" i="135" s="1"/>
  <c r="AI922" i="135" a="1"/>
  <c r="AI922" i="135" s="1"/>
  <c r="AH922" i="135" a="1"/>
  <c r="AH922" i="135" s="1"/>
  <c r="AG922" i="135" a="1"/>
  <c r="AG922" i="135" s="1"/>
  <c r="AF922" i="135" a="1"/>
  <c r="AF922" i="135" s="1"/>
  <c r="AE922" i="135" a="1"/>
  <c r="AE922" i="135" s="1"/>
  <c r="AD922" i="135" a="1"/>
  <c r="AD922" i="135" s="1"/>
  <c r="AC922" i="135" a="1"/>
  <c r="AC922" i="135" s="1"/>
  <c r="AB922" i="135" a="1"/>
  <c r="AB922" i="135" s="1"/>
  <c r="AA922" i="135" a="1"/>
  <c r="AA922" i="135" s="1"/>
  <c r="Z922" i="135" a="1"/>
  <c r="Z922" i="135" s="1"/>
  <c r="Y922" i="135" a="1"/>
  <c r="Y922" i="135" s="1"/>
  <c r="X922" i="135" a="1"/>
  <c r="X922" i="135" s="1"/>
  <c r="W922" i="135" a="1"/>
  <c r="W922" i="135" s="1"/>
  <c r="AM921" i="135" a="1"/>
  <c r="AM921" i="135" s="1"/>
  <c r="AL921" i="135" a="1"/>
  <c r="AL921" i="135" s="1"/>
  <c r="AK921" i="135" a="1"/>
  <c r="AK921" i="135" s="1"/>
  <c r="AJ921" i="135" a="1"/>
  <c r="AJ921" i="135" s="1"/>
  <c r="AI921" i="135" a="1"/>
  <c r="AI921" i="135" s="1"/>
  <c r="AH921" i="135" a="1"/>
  <c r="AH921" i="135" s="1"/>
  <c r="AG921" i="135" a="1"/>
  <c r="AG921" i="135" s="1"/>
  <c r="AF921" i="135" a="1"/>
  <c r="AF921" i="135" s="1"/>
  <c r="AE921" i="135" a="1"/>
  <c r="AE921" i="135" s="1"/>
  <c r="AD921" i="135" a="1"/>
  <c r="AD921" i="135" s="1"/>
  <c r="AC921" i="135" a="1"/>
  <c r="AC921" i="135" s="1"/>
  <c r="AB921" i="135" a="1"/>
  <c r="AB921" i="135" s="1"/>
  <c r="AA921" i="135" a="1"/>
  <c r="AA921" i="135" s="1"/>
  <c r="Z921" i="135" a="1"/>
  <c r="Z921" i="135" s="1"/>
  <c r="Y921" i="135" a="1"/>
  <c r="Y921" i="135" s="1"/>
  <c r="X921" i="135" a="1"/>
  <c r="X921" i="135" s="1"/>
  <c r="W921" i="135" a="1"/>
  <c r="W921" i="135" s="1"/>
  <c r="AM920" i="135" a="1"/>
  <c r="AM920" i="135" s="1"/>
  <c r="AL920" i="135" a="1"/>
  <c r="AL920" i="135" s="1"/>
  <c r="AK920" i="135" a="1"/>
  <c r="AK920" i="135" s="1"/>
  <c r="AJ920" i="135" a="1"/>
  <c r="AJ920" i="135" s="1"/>
  <c r="AI920" i="135" a="1"/>
  <c r="AI920" i="135" s="1"/>
  <c r="AH920" i="135" a="1"/>
  <c r="AH920" i="135" s="1"/>
  <c r="AG920" i="135" a="1"/>
  <c r="AG920" i="135" s="1"/>
  <c r="AF920" i="135" a="1"/>
  <c r="AF920" i="135" s="1"/>
  <c r="AE920" i="135" a="1"/>
  <c r="AE920" i="135" s="1"/>
  <c r="AD920" i="135" a="1"/>
  <c r="AD920" i="135" s="1"/>
  <c r="AC920" i="135" a="1"/>
  <c r="AC920" i="135" s="1"/>
  <c r="AB920" i="135" a="1"/>
  <c r="AB920" i="135" s="1"/>
  <c r="AA920" i="135" a="1"/>
  <c r="AA920" i="135" s="1"/>
  <c r="Z920" i="135" a="1"/>
  <c r="Z920" i="135" s="1"/>
  <c r="Y920" i="135" a="1"/>
  <c r="Y920" i="135" s="1"/>
  <c r="X920" i="135" a="1"/>
  <c r="X920" i="135" s="1"/>
  <c r="W920" i="135" a="1"/>
  <c r="W920" i="135" s="1"/>
  <c r="AM919" i="135" a="1"/>
  <c r="AM919" i="135" s="1"/>
  <c r="AL919" i="135" a="1"/>
  <c r="AL919" i="135" s="1"/>
  <c r="AK919" i="135" a="1"/>
  <c r="AK919" i="135" s="1"/>
  <c r="AJ919" i="135" a="1"/>
  <c r="AJ919" i="135" s="1"/>
  <c r="AI919" i="135" a="1"/>
  <c r="AI919" i="135" s="1"/>
  <c r="AH919" i="135" a="1"/>
  <c r="AH919" i="135" s="1"/>
  <c r="AG919" i="135" a="1"/>
  <c r="AG919" i="135" s="1"/>
  <c r="AF919" i="135" a="1"/>
  <c r="AF919" i="135" s="1"/>
  <c r="AE919" i="135" a="1"/>
  <c r="AE919" i="135" s="1"/>
  <c r="AD919" i="135" a="1"/>
  <c r="AD919" i="135" s="1"/>
  <c r="AC919" i="135" a="1"/>
  <c r="AC919" i="135" s="1"/>
  <c r="AB919" i="135" a="1"/>
  <c r="AB919" i="135" s="1"/>
  <c r="AA919" i="135" a="1"/>
  <c r="AA919" i="135" s="1"/>
  <c r="Z919" i="135" a="1"/>
  <c r="Z919" i="135" s="1"/>
  <c r="Y919" i="135" a="1"/>
  <c r="Y919" i="135" s="1"/>
  <c r="X919" i="135" a="1"/>
  <c r="X919" i="135" s="1"/>
  <c r="W919" i="135" a="1"/>
  <c r="W919" i="135" s="1"/>
  <c r="AM918" i="135" a="1"/>
  <c r="AM918" i="135" s="1"/>
  <c r="AL918" i="135" a="1"/>
  <c r="AL918" i="135" s="1"/>
  <c r="AK918" i="135" a="1"/>
  <c r="AK918" i="135" s="1"/>
  <c r="AJ918" i="135" a="1"/>
  <c r="AJ918" i="135" s="1"/>
  <c r="AI918" i="135" a="1"/>
  <c r="AI918" i="135" s="1"/>
  <c r="AH918" i="135" a="1"/>
  <c r="AH918" i="135" s="1"/>
  <c r="AG918" i="135" a="1"/>
  <c r="AG918" i="135" s="1"/>
  <c r="AF918" i="135" a="1"/>
  <c r="AF918" i="135" s="1"/>
  <c r="AE918" i="135" a="1"/>
  <c r="AE918" i="135" s="1"/>
  <c r="AD918" i="135" a="1"/>
  <c r="AD918" i="135" s="1"/>
  <c r="AC918" i="135" a="1"/>
  <c r="AC918" i="135" s="1"/>
  <c r="AB918" i="135" a="1"/>
  <c r="AB918" i="135" s="1"/>
  <c r="AA918" i="135" a="1"/>
  <c r="AA918" i="135" s="1"/>
  <c r="Z918" i="135" a="1"/>
  <c r="Z918" i="135" s="1"/>
  <c r="Y918" i="135" a="1"/>
  <c r="Y918" i="135" s="1"/>
  <c r="X918" i="135" a="1"/>
  <c r="X918" i="135" s="1"/>
  <c r="W918" i="135" a="1"/>
  <c r="W918" i="135" s="1"/>
  <c r="AM917" i="135" a="1"/>
  <c r="AM917" i="135" s="1"/>
  <c r="AL917" i="135" a="1"/>
  <c r="AL917" i="135" s="1"/>
  <c r="AK917" i="135" a="1"/>
  <c r="AK917" i="135" s="1"/>
  <c r="AJ917" i="135" a="1"/>
  <c r="AJ917" i="135" s="1"/>
  <c r="AI917" i="135" a="1"/>
  <c r="AI917" i="135" s="1"/>
  <c r="AH917" i="135" a="1"/>
  <c r="AH917" i="135" s="1"/>
  <c r="AG917" i="135" a="1"/>
  <c r="AG917" i="135" s="1"/>
  <c r="AF917" i="135" a="1"/>
  <c r="AF917" i="135" s="1"/>
  <c r="AE917" i="135" a="1"/>
  <c r="AE917" i="135" s="1"/>
  <c r="AD917" i="135" a="1"/>
  <c r="AD917" i="135" s="1"/>
  <c r="AC917" i="135" a="1"/>
  <c r="AC917" i="135" s="1"/>
  <c r="AB917" i="135" a="1"/>
  <c r="AB917" i="135" s="1"/>
  <c r="AA917" i="135" a="1"/>
  <c r="AA917" i="135" s="1"/>
  <c r="Z917" i="135" a="1"/>
  <c r="Z917" i="135" s="1"/>
  <c r="Y917" i="135" a="1"/>
  <c r="Y917" i="135" s="1"/>
  <c r="X917" i="135" a="1"/>
  <c r="X917" i="135" s="1"/>
  <c r="W917" i="135" a="1"/>
  <c r="W917" i="135" s="1"/>
  <c r="AM916" i="135" a="1"/>
  <c r="AM916" i="135" s="1"/>
  <c r="AL916" i="135" a="1"/>
  <c r="AL916" i="135" s="1"/>
  <c r="AK916" i="135" a="1"/>
  <c r="AK916" i="135" s="1"/>
  <c r="AJ916" i="135" a="1"/>
  <c r="AJ916" i="135" s="1"/>
  <c r="AI916" i="135" a="1"/>
  <c r="AI916" i="135" s="1"/>
  <c r="AH916" i="135" a="1"/>
  <c r="AH916" i="135" s="1"/>
  <c r="AG916" i="135" a="1"/>
  <c r="AG916" i="135" s="1"/>
  <c r="AF916" i="135" a="1"/>
  <c r="AF916" i="135" s="1"/>
  <c r="AE916" i="135" a="1"/>
  <c r="AE916" i="135" s="1"/>
  <c r="AD916" i="135" a="1"/>
  <c r="AD916" i="135" s="1"/>
  <c r="AC916" i="135" a="1"/>
  <c r="AC916" i="135" s="1"/>
  <c r="AB916" i="135" a="1"/>
  <c r="AB916" i="135" s="1"/>
  <c r="AA916" i="135" a="1"/>
  <c r="AA916" i="135" s="1"/>
  <c r="Z916" i="135" a="1"/>
  <c r="Z916" i="135" s="1"/>
  <c r="Y916" i="135" a="1"/>
  <c r="Y916" i="135" s="1"/>
  <c r="X916" i="135" a="1"/>
  <c r="X916" i="135" s="1"/>
  <c r="W916" i="135" a="1"/>
  <c r="W916" i="135" s="1"/>
  <c r="AM915" i="135" a="1"/>
  <c r="AM915" i="135" s="1"/>
  <c r="AL915" i="135" a="1"/>
  <c r="AL915" i="135" s="1"/>
  <c r="AK915" i="135" a="1"/>
  <c r="AK915" i="135" s="1"/>
  <c r="AJ915" i="135" a="1"/>
  <c r="AJ915" i="135" s="1"/>
  <c r="AI915" i="135" a="1"/>
  <c r="AI915" i="135" s="1"/>
  <c r="AH915" i="135" a="1"/>
  <c r="AH915" i="135" s="1"/>
  <c r="AG915" i="135" a="1"/>
  <c r="AG915" i="135" s="1"/>
  <c r="AF915" i="135" a="1"/>
  <c r="AF915" i="135" s="1"/>
  <c r="AE915" i="135" a="1"/>
  <c r="AE915" i="135" s="1"/>
  <c r="AD915" i="135" a="1"/>
  <c r="AD915" i="135" s="1"/>
  <c r="AC915" i="135" a="1"/>
  <c r="AC915" i="135" s="1"/>
  <c r="AB915" i="135" a="1"/>
  <c r="AB915" i="135" s="1"/>
  <c r="AA915" i="135" a="1"/>
  <c r="AA915" i="135" s="1"/>
  <c r="Z915" i="135" a="1"/>
  <c r="Z915" i="135" s="1"/>
  <c r="Y915" i="135" a="1"/>
  <c r="Y915" i="135" s="1"/>
  <c r="X915" i="135" a="1"/>
  <c r="X915" i="135" s="1"/>
  <c r="W915" i="135" a="1"/>
  <c r="W915" i="135" s="1"/>
  <c r="AM914" i="135" a="1"/>
  <c r="AM914" i="135" s="1"/>
  <c r="AL914" i="135" a="1"/>
  <c r="AL914" i="135" s="1"/>
  <c r="AK914" i="135" a="1"/>
  <c r="AK914" i="135" s="1"/>
  <c r="AJ914" i="135" a="1"/>
  <c r="AJ914" i="135" s="1"/>
  <c r="AI914" i="135" a="1"/>
  <c r="AI914" i="135" s="1"/>
  <c r="AH914" i="135" a="1"/>
  <c r="AH914" i="135" s="1"/>
  <c r="AG914" i="135" a="1"/>
  <c r="AG914" i="135" s="1"/>
  <c r="AF914" i="135" a="1"/>
  <c r="AF914" i="135" s="1"/>
  <c r="AE914" i="135" a="1"/>
  <c r="AE914" i="135" s="1"/>
  <c r="AD914" i="135" a="1"/>
  <c r="AD914" i="135" s="1"/>
  <c r="AC914" i="135" a="1"/>
  <c r="AC914" i="135" s="1"/>
  <c r="AB914" i="135" a="1"/>
  <c r="AB914" i="135" s="1"/>
  <c r="AA914" i="135" a="1"/>
  <c r="AA914" i="135" s="1"/>
  <c r="Z914" i="135" a="1"/>
  <c r="Z914" i="135" s="1"/>
  <c r="Y914" i="135" a="1"/>
  <c r="Y914" i="135" s="1"/>
  <c r="X914" i="135" a="1"/>
  <c r="X914" i="135" s="1"/>
  <c r="W914" i="135" a="1"/>
  <c r="W914" i="135" s="1"/>
  <c r="AM913" i="135" a="1"/>
  <c r="AM913" i="135" s="1"/>
  <c r="AL913" i="135" a="1"/>
  <c r="AL913" i="135" s="1"/>
  <c r="AK913" i="135" a="1"/>
  <c r="AK913" i="135" s="1"/>
  <c r="AJ913" i="135" a="1"/>
  <c r="AJ913" i="135" s="1"/>
  <c r="AI913" i="135" a="1"/>
  <c r="AI913" i="135" s="1"/>
  <c r="AH913" i="135" a="1"/>
  <c r="AH913" i="135" s="1"/>
  <c r="AG913" i="135" a="1"/>
  <c r="AG913" i="135" s="1"/>
  <c r="AF913" i="135" a="1"/>
  <c r="AF913" i="135" s="1"/>
  <c r="AE913" i="135" a="1"/>
  <c r="AE913" i="135" s="1"/>
  <c r="AD913" i="135" a="1"/>
  <c r="AD913" i="135" s="1"/>
  <c r="AC913" i="135" a="1"/>
  <c r="AC913" i="135" s="1"/>
  <c r="AB913" i="135" a="1"/>
  <c r="AB913" i="135" s="1"/>
  <c r="AA913" i="135" a="1"/>
  <c r="AA913" i="135" s="1"/>
  <c r="Z913" i="135" a="1"/>
  <c r="Z913" i="135" s="1"/>
  <c r="Y913" i="135" a="1"/>
  <c r="Y913" i="135" s="1"/>
  <c r="X913" i="135" a="1"/>
  <c r="X913" i="135" s="1"/>
  <c r="W913" i="135" a="1"/>
  <c r="W913" i="135" s="1"/>
  <c r="AM912" i="135" a="1"/>
  <c r="AM912" i="135" s="1"/>
  <c r="AL912" i="135" a="1"/>
  <c r="AL912" i="135" s="1"/>
  <c r="AK912" i="135" a="1"/>
  <c r="AK912" i="135" s="1"/>
  <c r="AJ912" i="135" a="1"/>
  <c r="AJ912" i="135" s="1"/>
  <c r="AI912" i="135" a="1"/>
  <c r="AI912" i="135" s="1"/>
  <c r="AH912" i="135" a="1"/>
  <c r="AH912" i="135" s="1"/>
  <c r="AG912" i="135" a="1"/>
  <c r="AG912" i="135" s="1"/>
  <c r="AF912" i="135" a="1"/>
  <c r="AF912" i="135" s="1"/>
  <c r="AE912" i="135" a="1"/>
  <c r="AE912" i="135" s="1"/>
  <c r="AD912" i="135" a="1"/>
  <c r="AD912" i="135" s="1"/>
  <c r="AC912" i="135" a="1"/>
  <c r="AC912" i="135" s="1"/>
  <c r="AB912" i="135" a="1"/>
  <c r="AB912" i="135" s="1"/>
  <c r="AA912" i="135" a="1"/>
  <c r="AA912" i="135" s="1"/>
  <c r="Z912" i="135" a="1"/>
  <c r="Z912" i="135" s="1"/>
  <c r="Y912" i="135" a="1"/>
  <c r="Y912" i="135" s="1"/>
  <c r="X912" i="135" a="1"/>
  <c r="X912" i="135" s="1"/>
  <c r="W912" i="135" a="1"/>
  <c r="W912" i="135" s="1"/>
  <c r="AM911" i="135" a="1"/>
  <c r="AM911" i="135" s="1"/>
  <c r="AL911" i="135" a="1"/>
  <c r="AL911" i="135" s="1"/>
  <c r="AK911" i="135" a="1"/>
  <c r="AK911" i="135" s="1"/>
  <c r="AJ911" i="135" a="1"/>
  <c r="AJ911" i="135" s="1"/>
  <c r="AI911" i="135" a="1"/>
  <c r="AI911" i="135" s="1"/>
  <c r="AH911" i="135" a="1"/>
  <c r="AH911" i="135" s="1"/>
  <c r="AG911" i="135" a="1"/>
  <c r="AG911" i="135" s="1"/>
  <c r="AF911" i="135" a="1"/>
  <c r="AF911" i="135" s="1"/>
  <c r="AE911" i="135" a="1"/>
  <c r="AE911" i="135" s="1"/>
  <c r="AD911" i="135" a="1"/>
  <c r="AD911" i="135" s="1"/>
  <c r="AC911" i="135" a="1"/>
  <c r="AC911" i="135" s="1"/>
  <c r="AB911" i="135" a="1"/>
  <c r="AB911" i="135" s="1"/>
  <c r="AA911" i="135" a="1"/>
  <c r="AA911" i="135" s="1"/>
  <c r="Z911" i="135" a="1"/>
  <c r="Z911" i="135" s="1"/>
  <c r="Y911" i="135" a="1"/>
  <c r="Y911" i="135" s="1"/>
  <c r="X911" i="135" a="1"/>
  <c r="X911" i="135" s="1"/>
  <c r="W911" i="135" a="1"/>
  <c r="W911" i="135" s="1"/>
  <c r="AM910" i="135" a="1"/>
  <c r="AM910" i="135" s="1"/>
  <c r="AL910" i="135" a="1"/>
  <c r="AL910" i="135" s="1"/>
  <c r="AK910" i="135" a="1"/>
  <c r="AK910" i="135" s="1"/>
  <c r="AJ910" i="135" a="1"/>
  <c r="AJ910" i="135" s="1"/>
  <c r="AI910" i="135" a="1"/>
  <c r="AI910" i="135" s="1"/>
  <c r="AH910" i="135" a="1"/>
  <c r="AH910" i="135" s="1"/>
  <c r="AG910" i="135" a="1"/>
  <c r="AG910" i="135" s="1"/>
  <c r="AF910" i="135" a="1"/>
  <c r="AF910" i="135" s="1"/>
  <c r="AE910" i="135" a="1"/>
  <c r="AE910" i="135" s="1"/>
  <c r="AD910" i="135" a="1"/>
  <c r="AD910" i="135" s="1"/>
  <c r="AC910" i="135" a="1"/>
  <c r="AC910" i="135" s="1"/>
  <c r="AB910" i="135" a="1"/>
  <c r="AB910" i="135" s="1"/>
  <c r="AA910" i="135" a="1"/>
  <c r="AA910" i="135" s="1"/>
  <c r="Z910" i="135" a="1"/>
  <c r="Z910" i="135" s="1"/>
  <c r="Y910" i="135" a="1"/>
  <c r="Y910" i="135" s="1"/>
  <c r="X910" i="135" a="1"/>
  <c r="X910" i="135" s="1"/>
  <c r="W910" i="135" a="1"/>
  <c r="W910" i="135" s="1"/>
  <c r="AM909" i="135" a="1"/>
  <c r="AM909" i="135" s="1"/>
  <c r="AL909" i="135" a="1"/>
  <c r="AL909" i="135" s="1"/>
  <c r="AK909" i="135" a="1"/>
  <c r="AK909" i="135" s="1"/>
  <c r="AJ909" i="135" a="1"/>
  <c r="AJ909" i="135" s="1"/>
  <c r="AI909" i="135" a="1"/>
  <c r="AI909" i="135" s="1"/>
  <c r="AH909" i="135" a="1"/>
  <c r="AH909" i="135" s="1"/>
  <c r="AG909" i="135" a="1"/>
  <c r="AG909" i="135" s="1"/>
  <c r="AF909" i="135" a="1"/>
  <c r="AF909" i="135" s="1"/>
  <c r="AE909" i="135" a="1"/>
  <c r="AE909" i="135" s="1"/>
  <c r="AD909" i="135" a="1"/>
  <c r="AD909" i="135" s="1"/>
  <c r="AC909" i="135" a="1"/>
  <c r="AC909" i="135" s="1"/>
  <c r="AB909" i="135" a="1"/>
  <c r="AB909" i="135" s="1"/>
  <c r="AA909" i="135" a="1"/>
  <c r="AA909" i="135" s="1"/>
  <c r="Z909" i="135" a="1"/>
  <c r="Z909" i="135" s="1"/>
  <c r="Y909" i="135" a="1"/>
  <c r="Y909" i="135" s="1"/>
  <c r="X909" i="135" a="1"/>
  <c r="X909" i="135" s="1"/>
  <c r="W909" i="135" a="1"/>
  <c r="W909" i="135" s="1"/>
  <c r="AM908" i="135" a="1"/>
  <c r="AM908" i="135" s="1"/>
  <c r="AL908" i="135" a="1"/>
  <c r="AL908" i="135" s="1"/>
  <c r="AK908" i="135" a="1"/>
  <c r="AK908" i="135" s="1"/>
  <c r="AJ908" i="135" a="1"/>
  <c r="AJ908" i="135" s="1"/>
  <c r="AI908" i="135" a="1"/>
  <c r="AI908" i="135" s="1"/>
  <c r="AH908" i="135" a="1"/>
  <c r="AH908" i="135" s="1"/>
  <c r="AG908" i="135" a="1"/>
  <c r="AG908" i="135" s="1"/>
  <c r="AF908" i="135" a="1"/>
  <c r="AF908" i="135" s="1"/>
  <c r="AE908" i="135" a="1"/>
  <c r="AE908" i="135" s="1"/>
  <c r="AD908" i="135" a="1"/>
  <c r="AD908" i="135" s="1"/>
  <c r="AC908" i="135" a="1"/>
  <c r="AC908" i="135" s="1"/>
  <c r="AB908" i="135" a="1"/>
  <c r="AB908" i="135" s="1"/>
  <c r="AA908" i="135" a="1"/>
  <c r="AA908" i="135" s="1"/>
  <c r="Z908" i="135" a="1"/>
  <c r="Z908" i="135" s="1"/>
  <c r="Y908" i="135" a="1"/>
  <c r="Y908" i="135" s="1"/>
  <c r="X908" i="135" a="1"/>
  <c r="X908" i="135" s="1"/>
  <c r="W908" i="135" a="1"/>
  <c r="W908" i="135" s="1"/>
  <c r="AM907" i="135" a="1"/>
  <c r="AM907" i="135" s="1"/>
  <c r="AL907" i="135" a="1"/>
  <c r="AL907" i="135" s="1"/>
  <c r="AK907" i="135" a="1"/>
  <c r="AK907" i="135" s="1"/>
  <c r="AJ907" i="135" a="1"/>
  <c r="AJ907" i="135" s="1"/>
  <c r="AI907" i="135" a="1"/>
  <c r="AI907" i="135" s="1"/>
  <c r="AH907" i="135" a="1"/>
  <c r="AH907" i="135" s="1"/>
  <c r="AG907" i="135" a="1"/>
  <c r="AG907" i="135" s="1"/>
  <c r="AF907" i="135" a="1"/>
  <c r="AF907" i="135" s="1"/>
  <c r="AE907" i="135" a="1"/>
  <c r="AE907" i="135" s="1"/>
  <c r="AD907" i="135" a="1"/>
  <c r="AD907" i="135" s="1"/>
  <c r="AC907" i="135" a="1"/>
  <c r="AC907" i="135" s="1"/>
  <c r="AB907" i="135" a="1"/>
  <c r="AB907" i="135" s="1"/>
  <c r="AA907" i="135" a="1"/>
  <c r="AA907" i="135" s="1"/>
  <c r="Z907" i="135" a="1"/>
  <c r="Z907" i="135" s="1"/>
  <c r="Y907" i="135" a="1"/>
  <c r="Y907" i="135" s="1"/>
  <c r="X907" i="135" a="1"/>
  <c r="X907" i="135" s="1"/>
  <c r="W907" i="135" a="1"/>
  <c r="W907" i="135" s="1"/>
  <c r="AM906" i="135" a="1"/>
  <c r="AM906" i="135" s="1"/>
  <c r="AL906" i="135" a="1"/>
  <c r="AL906" i="135" s="1"/>
  <c r="AK906" i="135" a="1"/>
  <c r="AK906" i="135" s="1"/>
  <c r="AJ906" i="135" a="1"/>
  <c r="AJ906" i="135" s="1"/>
  <c r="AI906" i="135" a="1"/>
  <c r="AI906" i="135" s="1"/>
  <c r="AH906" i="135" a="1"/>
  <c r="AH906" i="135" s="1"/>
  <c r="AG906" i="135" a="1"/>
  <c r="AG906" i="135" s="1"/>
  <c r="AF906" i="135" a="1"/>
  <c r="AF906" i="135" s="1"/>
  <c r="AE906" i="135" a="1"/>
  <c r="AE906" i="135" s="1"/>
  <c r="AD906" i="135" a="1"/>
  <c r="AD906" i="135" s="1"/>
  <c r="AC906" i="135" a="1"/>
  <c r="AC906" i="135" s="1"/>
  <c r="AB906" i="135" a="1"/>
  <c r="AB906" i="135" s="1"/>
  <c r="AA906" i="135" a="1"/>
  <c r="AA906" i="135" s="1"/>
  <c r="Z906" i="135" a="1"/>
  <c r="Z906" i="135" s="1"/>
  <c r="Y906" i="135" a="1"/>
  <c r="Y906" i="135" s="1"/>
  <c r="X906" i="135" a="1"/>
  <c r="X906" i="135" s="1"/>
  <c r="W906" i="135" a="1"/>
  <c r="W906" i="135" s="1"/>
  <c r="AM905" i="135" a="1"/>
  <c r="AM905" i="135" s="1"/>
  <c r="AL905" i="135" a="1"/>
  <c r="AL905" i="135" s="1"/>
  <c r="AK905" i="135" a="1"/>
  <c r="AK905" i="135" s="1"/>
  <c r="AJ905" i="135" a="1"/>
  <c r="AJ905" i="135" s="1"/>
  <c r="AI905" i="135" a="1"/>
  <c r="AI905" i="135" s="1"/>
  <c r="AH905" i="135" a="1"/>
  <c r="AH905" i="135" s="1"/>
  <c r="AG905" i="135" a="1"/>
  <c r="AG905" i="135" s="1"/>
  <c r="AF905" i="135" a="1"/>
  <c r="AF905" i="135" s="1"/>
  <c r="AE905" i="135" a="1"/>
  <c r="AE905" i="135" s="1"/>
  <c r="AD905" i="135" a="1"/>
  <c r="AD905" i="135" s="1"/>
  <c r="AC905" i="135" a="1"/>
  <c r="AC905" i="135" s="1"/>
  <c r="AB905" i="135" a="1"/>
  <c r="AB905" i="135" s="1"/>
  <c r="AA905" i="135" a="1"/>
  <c r="AA905" i="135" s="1"/>
  <c r="Z905" i="135" a="1"/>
  <c r="Z905" i="135" s="1"/>
  <c r="Y905" i="135" a="1"/>
  <c r="Y905" i="135" s="1"/>
  <c r="X905" i="135" a="1"/>
  <c r="X905" i="135" s="1"/>
  <c r="W905" i="135" a="1"/>
  <c r="W905" i="135" s="1"/>
  <c r="AM904" i="135" a="1"/>
  <c r="AM904" i="135" s="1"/>
  <c r="AL904" i="135" a="1"/>
  <c r="AL904" i="135" s="1"/>
  <c r="AK904" i="135" a="1"/>
  <c r="AK904" i="135" s="1"/>
  <c r="AJ904" i="135" a="1"/>
  <c r="AJ904" i="135" s="1"/>
  <c r="AI904" i="135" a="1"/>
  <c r="AI904" i="135" s="1"/>
  <c r="AH904" i="135" a="1"/>
  <c r="AH904" i="135" s="1"/>
  <c r="AG904" i="135" a="1"/>
  <c r="AG904" i="135" s="1"/>
  <c r="AF904" i="135" a="1"/>
  <c r="AF904" i="135" s="1"/>
  <c r="AE904" i="135" a="1"/>
  <c r="AE904" i="135" s="1"/>
  <c r="AD904" i="135" a="1"/>
  <c r="AD904" i="135" s="1"/>
  <c r="AC904" i="135" a="1"/>
  <c r="AC904" i="135" s="1"/>
  <c r="AB904" i="135" a="1"/>
  <c r="AB904" i="135" s="1"/>
  <c r="AA904" i="135" a="1"/>
  <c r="AA904" i="135" s="1"/>
  <c r="Z904" i="135" a="1"/>
  <c r="Z904" i="135" s="1"/>
  <c r="Y904" i="135" a="1"/>
  <c r="Y904" i="135" s="1"/>
  <c r="X904" i="135" a="1"/>
  <c r="X904" i="135" s="1"/>
  <c r="W904" i="135" a="1"/>
  <c r="W904" i="135" s="1"/>
  <c r="AM903" i="135" a="1"/>
  <c r="AM903" i="135" s="1"/>
  <c r="AL903" i="135" a="1"/>
  <c r="AL903" i="135" s="1"/>
  <c r="AK903" i="135" a="1"/>
  <c r="AK903" i="135" s="1"/>
  <c r="AJ903" i="135" a="1"/>
  <c r="AJ903" i="135" s="1"/>
  <c r="AI903" i="135" a="1"/>
  <c r="AI903" i="135" s="1"/>
  <c r="AH903" i="135" a="1"/>
  <c r="AH903" i="135" s="1"/>
  <c r="AG903" i="135" a="1"/>
  <c r="AG903" i="135" s="1"/>
  <c r="AF903" i="135" a="1"/>
  <c r="AF903" i="135" s="1"/>
  <c r="AE903" i="135" a="1"/>
  <c r="AE903" i="135" s="1"/>
  <c r="AD903" i="135" a="1"/>
  <c r="AD903" i="135" s="1"/>
  <c r="AC903" i="135" a="1"/>
  <c r="AC903" i="135" s="1"/>
  <c r="AB903" i="135" a="1"/>
  <c r="AB903" i="135" s="1"/>
  <c r="AA903" i="135" a="1"/>
  <c r="AA903" i="135" s="1"/>
  <c r="Z903" i="135" a="1"/>
  <c r="Z903" i="135" s="1"/>
  <c r="Y903" i="135" a="1"/>
  <c r="Y903" i="135" s="1"/>
  <c r="X903" i="135" a="1"/>
  <c r="X903" i="135" s="1"/>
  <c r="W903" i="135" a="1"/>
  <c r="W903" i="135" s="1"/>
  <c r="AM902" i="135" a="1"/>
  <c r="AM902" i="135" s="1"/>
  <c r="AL902" i="135" a="1"/>
  <c r="AL902" i="135" s="1"/>
  <c r="AK902" i="135" a="1"/>
  <c r="AK902" i="135" s="1"/>
  <c r="AJ902" i="135" a="1"/>
  <c r="AJ902" i="135" s="1"/>
  <c r="AI902" i="135" a="1"/>
  <c r="AI902" i="135" s="1"/>
  <c r="AH902" i="135" a="1"/>
  <c r="AH902" i="135" s="1"/>
  <c r="AG902" i="135" a="1"/>
  <c r="AG902" i="135" s="1"/>
  <c r="AF902" i="135" a="1"/>
  <c r="AF902" i="135" s="1"/>
  <c r="AE902" i="135" a="1"/>
  <c r="AE902" i="135" s="1"/>
  <c r="AD902" i="135" a="1"/>
  <c r="AD902" i="135" s="1"/>
  <c r="AC902" i="135" a="1"/>
  <c r="AC902" i="135" s="1"/>
  <c r="AB902" i="135" a="1"/>
  <c r="AB902" i="135" s="1"/>
  <c r="AA902" i="135" a="1"/>
  <c r="AA902" i="135" s="1"/>
  <c r="Z902" i="135" a="1"/>
  <c r="Z902" i="135" s="1"/>
  <c r="Y902" i="135" a="1"/>
  <c r="Y902" i="135" s="1"/>
  <c r="X902" i="135" a="1"/>
  <c r="X902" i="135" s="1"/>
  <c r="W902" i="135" a="1"/>
  <c r="W902" i="135" s="1"/>
  <c r="AM901" i="135" a="1"/>
  <c r="AM901" i="135" s="1"/>
  <c r="AL901" i="135" a="1"/>
  <c r="AL901" i="135" s="1"/>
  <c r="AK901" i="135" a="1"/>
  <c r="AK901" i="135" s="1"/>
  <c r="AJ901" i="135" a="1"/>
  <c r="AJ901" i="135" s="1"/>
  <c r="AI901" i="135" a="1"/>
  <c r="AI901" i="135" s="1"/>
  <c r="AH901" i="135" a="1"/>
  <c r="AH901" i="135" s="1"/>
  <c r="AG901" i="135" a="1"/>
  <c r="AG901" i="135" s="1"/>
  <c r="AF901" i="135" a="1"/>
  <c r="AF901" i="135" s="1"/>
  <c r="AE901" i="135" a="1"/>
  <c r="AE901" i="135" s="1"/>
  <c r="AD901" i="135" a="1"/>
  <c r="AD901" i="135" s="1"/>
  <c r="AC901" i="135" a="1"/>
  <c r="AC901" i="135" s="1"/>
  <c r="AB901" i="135" a="1"/>
  <c r="AB901" i="135" s="1"/>
  <c r="AA901" i="135" a="1"/>
  <c r="AA901" i="135" s="1"/>
  <c r="Z901" i="135" a="1"/>
  <c r="Z901" i="135" s="1"/>
  <c r="Y901" i="135" a="1"/>
  <c r="Y901" i="135" s="1"/>
  <c r="X901" i="135" a="1"/>
  <c r="X901" i="135" s="1"/>
  <c r="W901" i="135" a="1"/>
  <c r="W901" i="135" s="1"/>
  <c r="AM900" i="135" a="1"/>
  <c r="AM900" i="135" s="1"/>
  <c r="AL900" i="135" a="1"/>
  <c r="AL900" i="135" s="1"/>
  <c r="AK900" i="135" a="1"/>
  <c r="AK900" i="135" s="1"/>
  <c r="AJ900" i="135" a="1"/>
  <c r="AJ900" i="135" s="1"/>
  <c r="AI900" i="135" a="1"/>
  <c r="AI900" i="135" s="1"/>
  <c r="AH900" i="135" a="1"/>
  <c r="AH900" i="135" s="1"/>
  <c r="AG900" i="135" a="1"/>
  <c r="AG900" i="135" s="1"/>
  <c r="AF900" i="135" a="1"/>
  <c r="AF900" i="135" s="1"/>
  <c r="AE900" i="135" a="1"/>
  <c r="AE900" i="135" s="1"/>
  <c r="AD900" i="135" a="1"/>
  <c r="AD900" i="135" s="1"/>
  <c r="AC900" i="135" a="1"/>
  <c r="AC900" i="135" s="1"/>
  <c r="AB900" i="135" a="1"/>
  <c r="AB900" i="135" s="1"/>
  <c r="AA900" i="135" a="1"/>
  <c r="AA900" i="135" s="1"/>
  <c r="Z900" i="135" a="1"/>
  <c r="Z900" i="135" s="1"/>
  <c r="Y900" i="135" a="1"/>
  <c r="Y900" i="135" s="1"/>
  <c r="X900" i="135" a="1"/>
  <c r="X900" i="135" s="1"/>
  <c r="W900" i="135" a="1"/>
  <c r="W900" i="135" s="1"/>
  <c r="AM899" i="135" a="1"/>
  <c r="AM899" i="135" s="1"/>
  <c r="AL899" i="135" a="1"/>
  <c r="AL899" i="135" s="1"/>
  <c r="AK899" i="135" a="1"/>
  <c r="AK899" i="135" s="1"/>
  <c r="AJ899" i="135" a="1"/>
  <c r="AJ899" i="135" s="1"/>
  <c r="AI899" i="135" a="1"/>
  <c r="AI899" i="135" s="1"/>
  <c r="AH899" i="135" a="1"/>
  <c r="AH899" i="135" s="1"/>
  <c r="AG899" i="135" a="1"/>
  <c r="AG899" i="135" s="1"/>
  <c r="AF899" i="135" a="1"/>
  <c r="AF899" i="135" s="1"/>
  <c r="AE899" i="135" a="1"/>
  <c r="AE899" i="135" s="1"/>
  <c r="AD899" i="135" a="1"/>
  <c r="AD899" i="135" s="1"/>
  <c r="AC899" i="135" a="1"/>
  <c r="AC899" i="135" s="1"/>
  <c r="AB899" i="135" a="1"/>
  <c r="AB899" i="135" s="1"/>
  <c r="AA899" i="135" a="1"/>
  <c r="AA899" i="135" s="1"/>
  <c r="Z899" i="135" a="1"/>
  <c r="Z899" i="135" s="1"/>
  <c r="Y899" i="135" a="1"/>
  <c r="Y899" i="135" s="1"/>
  <c r="X899" i="135" a="1"/>
  <c r="X899" i="135" s="1"/>
  <c r="W899" i="135" a="1"/>
  <c r="W899" i="135" s="1"/>
  <c r="AM898" i="135" a="1"/>
  <c r="AM898" i="135" s="1"/>
  <c r="AL898" i="135" a="1"/>
  <c r="AL898" i="135" s="1"/>
  <c r="AK898" i="135" a="1"/>
  <c r="AK898" i="135" s="1"/>
  <c r="AJ898" i="135" a="1"/>
  <c r="AJ898" i="135" s="1"/>
  <c r="AI898" i="135" a="1"/>
  <c r="AI898" i="135" s="1"/>
  <c r="AH898" i="135" a="1"/>
  <c r="AH898" i="135" s="1"/>
  <c r="AG898" i="135" a="1"/>
  <c r="AG898" i="135" s="1"/>
  <c r="AF898" i="135" a="1"/>
  <c r="AF898" i="135" s="1"/>
  <c r="AE898" i="135" a="1"/>
  <c r="AE898" i="135" s="1"/>
  <c r="AD898" i="135" a="1"/>
  <c r="AD898" i="135" s="1"/>
  <c r="AC898" i="135" a="1"/>
  <c r="AC898" i="135" s="1"/>
  <c r="AB898" i="135" a="1"/>
  <c r="AB898" i="135" s="1"/>
  <c r="AA898" i="135" a="1"/>
  <c r="AA898" i="135" s="1"/>
  <c r="Z898" i="135" a="1"/>
  <c r="Z898" i="135" s="1"/>
  <c r="Y898" i="135" a="1"/>
  <c r="Y898" i="135" s="1"/>
  <c r="X898" i="135" a="1"/>
  <c r="X898" i="135" s="1"/>
  <c r="W898" i="135" a="1"/>
  <c r="W898" i="135" s="1"/>
  <c r="AM897" i="135" a="1"/>
  <c r="AM897" i="135" s="1"/>
  <c r="AL897" i="135" a="1"/>
  <c r="AL897" i="135" s="1"/>
  <c r="AK897" i="135" a="1"/>
  <c r="AK897" i="135" s="1"/>
  <c r="AJ897" i="135" a="1"/>
  <c r="AJ897" i="135" s="1"/>
  <c r="AI897" i="135" a="1"/>
  <c r="AI897" i="135" s="1"/>
  <c r="AH897" i="135" a="1"/>
  <c r="AH897" i="135" s="1"/>
  <c r="AG897" i="135" a="1"/>
  <c r="AG897" i="135" s="1"/>
  <c r="AF897" i="135" a="1"/>
  <c r="AF897" i="135" s="1"/>
  <c r="AE897" i="135" a="1"/>
  <c r="AE897" i="135" s="1"/>
  <c r="AD897" i="135" a="1"/>
  <c r="AD897" i="135" s="1"/>
  <c r="AC897" i="135" a="1"/>
  <c r="AC897" i="135" s="1"/>
  <c r="AB897" i="135" a="1"/>
  <c r="AB897" i="135" s="1"/>
  <c r="AA897" i="135" a="1"/>
  <c r="AA897" i="135" s="1"/>
  <c r="Z897" i="135" a="1"/>
  <c r="Z897" i="135" s="1"/>
  <c r="Y897" i="135" a="1"/>
  <c r="Y897" i="135" s="1"/>
  <c r="X897" i="135" a="1"/>
  <c r="X897" i="135" s="1"/>
  <c r="W897" i="135" a="1"/>
  <c r="W897" i="135" s="1"/>
  <c r="AM896" i="135" a="1"/>
  <c r="AM896" i="135" s="1"/>
  <c r="AL896" i="135" a="1"/>
  <c r="AL896" i="135" s="1"/>
  <c r="AK896" i="135" a="1"/>
  <c r="AK896" i="135" s="1"/>
  <c r="AJ896" i="135" a="1"/>
  <c r="AJ896" i="135" s="1"/>
  <c r="AI896" i="135" a="1"/>
  <c r="AI896" i="135" s="1"/>
  <c r="AH896" i="135" a="1"/>
  <c r="AH896" i="135" s="1"/>
  <c r="AG896" i="135" a="1"/>
  <c r="AG896" i="135" s="1"/>
  <c r="AF896" i="135" a="1"/>
  <c r="AF896" i="135" s="1"/>
  <c r="AE896" i="135" a="1"/>
  <c r="AE896" i="135" s="1"/>
  <c r="AD896" i="135" a="1"/>
  <c r="AD896" i="135" s="1"/>
  <c r="AC896" i="135" a="1"/>
  <c r="AC896" i="135" s="1"/>
  <c r="AB896" i="135" a="1"/>
  <c r="AB896" i="135" s="1"/>
  <c r="AA896" i="135" a="1"/>
  <c r="AA896" i="135" s="1"/>
  <c r="Z896" i="135" a="1"/>
  <c r="Z896" i="135" s="1"/>
  <c r="Y896" i="135" a="1"/>
  <c r="Y896" i="135" s="1"/>
  <c r="X896" i="135" a="1"/>
  <c r="X896" i="135" s="1"/>
  <c r="W896" i="135" a="1"/>
  <c r="W896" i="135" s="1"/>
  <c r="AM895" i="135" a="1"/>
  <c r="AM895" i="135" s="1"/>
  <c r="AL895" i="135" a="1"/>
  <c r="AL895" i="135" s="1"/>
  <c r="AK895" i="135" a="1"/>
  <c r="AK895" i="135" s="1"/>
  <c r="AJ895" i="135" a="1"/>
  <c r="AJ895" i="135" s="1"/>
  <c r="AI895" i="135" a="1"/>
  <c r="AI895" i="135" s="1"/>
  <c r="AH895" i="135" a="1"/>
  <c r="AH895" i="135" s="1"/>
  <c r="AG895" i="135" a="1"/>
  <c r="AG895" i="135" s="1"/>
  <c r="AF895" i="135" a="1"/>
  <c r="AF895" i="135" s="1"/>
  <c r="AE895" i="135" a="1"/>
  <c r="AE895" i="135" s="1"/>
  <c r="AD895" i="135" a="1"/>
  <c r="AD895" i="135" s="1"/>
  <c r="AC895" i="135" a="1"/>
  <c r="AC895" i="135" s="1"/>
  <c r="AB895" i="135" a="1"/>
  <c r="AB895" i="135" s="1"/>
  <c r="AA895" i="135" a="1"/>
  <c r="AA895" i="135" s="1"/>
  <c r="Z895" i="135" a="1"/>
  <c r="Z895" i="135" s="1"/>
  <c r="Y895" i="135" a="1"/>
  <c r="Y895" i="135" s="1"/>
  <c r="X895" i="135" a="1"/>
  <c r="X895" i="135" s="1"/>
  <c r="W895" i="135" a="1"/>
  <c r="W895" i="135" s="1"/>
  <c r="AM894" i="135" a="1"/>
  <c r="AM894" i="135" s="1"/>
  <c r="AL894" i="135" a="1"/>
  <c r="AL894" i="135" s="1"/>
  <c r="AK894" i="135" a="1"/>
  <c r="AK894" i="135" s="1"/>
  <c r="AJ894" i="135" a="1"/>
  <c r="AJ894" i="135" s="1"/>
  <c r="AI894" i="135" a="1"/>
  <c r="AI894" i="135" s="1"/>
  <c r="AH894" i="135" a="1"/>
  <c r="AH894" i="135" s="1"/>
  <c r="AG894" i="135" a="1"/>
  <c r="AG894" i="135" s="1"/>
  <c r="AF894" i="135" a="1"/>
  <c r="AF894" i="135" s="1"/>
  <c r="AE894" i="135" a="1"/>
  <c r="AE894" i="135" s="1"/>
  <c r="AD894" i="135" a="1"/>
  <c r="AD894" i="135" s="1"/>
  <c r="AC894" i="135" a="1"/>
  <c r="AC894" i="135" s="1"/>
  <c r="AB894" i="135" a="1"/>
  <c r="AB894" i="135" s="1"/>
  <c r="AA894" i="135" a="1"/>
  <c r="AA894" i="135" s="1"/>
  <c r="Z894" i="135" a="1"/>
  <c r="Z894" i="135" s="1"/>
  <c r="Y894" i="135" a="1"/>
  <c r="Y894" i="135" s="1"/>
  <c r="X894" i="135" a="1"/>
  <c r="X894" i="135" s="1"/>
  <c r="W894" i="135" a="1"/>
  <c r="W894" i="135" s="1"/>
  <c r="AM893" i="135" a="1"/>
  <c r="AM893" i="135" s="1"/>
  <c r="AL893" i="135" a="1"/>
  <c r="AL893" i="135" s="1"/>
  <c r="AK893" i="135" a="1"/>
  <c r="AK893" i="135" s="1"/>
  <c r="AJ893" i="135" a="1"/>
  <c r="AJ893" i="135" s="1"/>
  <c r="AI893" i="135" a="1"/>
  <c r="AI893" i="135" s="1"/>
  <c r="AH893" i="135" a="1"/>
  <c r="AH893" i="135" s="1"/>
  <c r="AG893" i="135" a="1"/>
  <c r="AG893" i="135" s="1"/>
  <c r="AF893" i="135" a="1"/>
  <c r="AF893" i="135" s="1"/>
  <c r="AE893" i="135" a="1"/>
  <c r="AE893" i="135" s="1"/>
  <c r="AD893" i="135" a="1"/>
  <c r="AD893" i="135" s="1"/>
  <c r="AC893" i="135" a="1"/>
  <c r="AC893" i="135" s="1"/>
  <c r="AB893" i="135" a="1"/>
  <c r="AB893" i="135" s="1"/>
  <c r="AA893" i="135" a="1"/>
  <c r="AA893" i="135" s="1"/>
  <c r="Z893" i="135" a="1"/>
  <c r="Z893" i="135" s="1"/>
  <c r="Y893" i="135" a="1"/>
  <c r="Y893" i="135" s="1"/>
  <c r="X893" i="135" a="1"/>
  <c r="X893" i="135" s="1"/>
  <c r="W893" i="135" a="1"/>
  <c r="W893" i="135" s="1"/>
  <c r="AM892" i="135" a="1"/>
  <c r="AM892" i="135" s="1"/>
  <c r="AL892" i="135" a="1"/>
  <c r="AL892" i="135" s="1"/>
  <c r="AK892" i="135" a="1"/>
  <c r="AK892" i="135" s="1"/>
  <c r="AJ892" i="135" a="1"/>
  <c r="AJ892" i="135" s="1"/>
  <c r="AI892" i="135" a="1"/>
  <c r="AI892" i="135" s="1"/>
  <c r="AH892" i="135" a="1"/>
  <c r="AH892" i="135" s="1"/>
  <c r="AG892" i="135" a="1"/>
  <c r="AG892" i="135" s="1"/>
  <c r="AF892" i="135" a="1"/>
  <c r="AF892" i="135" s="1"/>
  <c r="AE892" i="135" a="1"/>
  <c r="AE892" i="135" s="1"/>
  <c r="AD892" i="135" a="1"/>
  <c r="AD892" i="135" s="1"/>
  <c r="AC892" i="135" a="1"/>
  <c r="AC892" i="135" s="1"/>
  <c r="AB892" i="135" a="1"/>
  <c r="AB892" i="135" s="1"/>
  <c r="AA892" i="135" a="1"/>
  <c r="AA892" i="135" s="1"/>
  <c r="Z892" i="135" a="1"/>
  <c r="Z892" i="135" s="1"/>
  <c r="Y892" i="135" a="1"/>
  <c r="Y892" i="135" s="1"/>
  <c r="X892" i="135" a="1"/>
  <c r="X892" i="135" s="1"/>
  <c r="W892" i="135" a="1"/>
  <c r="W892" i="135" s="1"/>
  <c r="AM891" i="135" a="1"/>
  <c r="AM891" i="135" s="1"/>
  <c r="AL891" i="135" a="1"/>
  <c r="AL891" i="135" s="1"/>
  <c r="AK891" i="135" a="1"/>
  <c r="AK891" i="135" s="1"/>
  <c r="AJ891" i="135" a="1"/>
  <c r="AJ891" i="135" s="1"/>
  <c r="AI891" i="135" a="1"/>
  <c r="AI891" i="135" s="1"/>
  <c r="AH891" i="135" a="1"/>
  <c r="AH891" i="135" s="1"/>
  <c r="AG891" i="135" a="1"/>
  <c r="AG891" i="135" s="1"/>
  <c r="AF891" i="135" a="1"/>
  <c r="AF891" i="135" s="1"/>
  <c r="AE891" i="135" a="1"/>
  <c r="AE891" i="135" s="1"/>
  <c r="AD891" i="135" a="1"/>
  <c r="AD891" i="135" s="1"/>
  <c r="AC891" i="135" a="1"/>
  <c r="AC891" i="135" s="1"/>
  <c r="AB891" i="135" a="1"/>
  <c r="AB891" i="135" s="1"/>
  <c r="AA891" i="135" a="1"/>
  <c r="AA891" i="135" s="1"/>
  <c r="Z891" i="135" a="1"/>
  <c r="Z891" i="135" s="1"/>
  <c r="Y891" i="135" a="1"/>
  <c r="Y891" i="135" s="1"/>
  <c r="X891" i="135" a="1"/>
  <c r="X891" i="135" s="1"/>
  <c r="W891" i="135" a="1"/>
  <c r="W891" i="135" s="1"/>
  <c r="AM890" i="135" a="1"/>
  <c r="AM890" i="135" s="1"/>
  <c r="AL890" i="135" a="1"/>
  <c r="AL890" i="135" s="1"/>
  <c r="AK890" i="135" a="1"/>
  <c r="AK890" i="135" s="1"/>
  <c r="AJ890" i="135" a="1"/>
  <c r="AJ890" i="135" s="1"/>
  <c r="AI890" i="135" a="1"/>
  <c r="AI890" i="135" s="1"/>
  <c r="AH890" i="135" a="1"/>
  <c r="AH890" i="135" s="1"/>
  <c r="AG890" i="135" a="1"/>
  <c r="AG890" i="135" s="1"/>
  <c r="AF890" i="135" a="1"/>
  <c r="AF890" i="135" s="1"/>
  <c r="AE890" i="135" a="1"/>
  <c r="AE890" i="135" s="1"/>
  <c r="AD890" i="135" a="1"/>
  <c r="AD890" i="135" s="1"/>
  <c r="AC890" i="135" a="1"/>
  <c r="AC890" i="135" s="1"/>
  <c r="AB890" i="135" a="1"/>
  <c r="AB890" i="135" s="1"/>
  <c r="AA890" i="135" a="1"/>
  <c r="AA890" i="135" s="1"/>
  <c r="Z890" i="135" a="1"/>
  <c r="Z890" i="135" s="1"/>
  <c r="Y890" i="135" a="1"/>
  <c r="Y890" i="135" s="1"/>
  <c r="X890" i="135" a="1"/>
  <c r="X890" i="135" s="1"/>
  <c r="W890" i="135" a="1"/>
  <c r="W890" i="135" s="1"/>
  <c r="AM889" i="135" a="1"/>
  <c r="AM889" i="135" s="1"/>
  <c r="AL889" i="135" a="1"/>
  <c r="AL889" i="135" s="1"/>
  <c r="AK889" i="135" a="1"/>
  <c r="AK889" i="135" s="1"/>
  <c r="AJ889" i="135" a="1"/>
  <c r="AJ889" i="135" s="1"/>
  <c r="AI889" i="135" a="1"/>
  <c r="AI889" i="135" s="1"/>
  <c r="AH889" i="135" a="1"/>
  <c r="AH889" i="135" s="1"/>
  <c r="AG889" i="135" a="1"/>
  <c r="AG889" i="135" s="1"/>
  <c r="AF889" i="135" a="1"/>
  <c r="AF889" i="135" s="1"/>
  <c r="AE889" i="135" a="1"/>
  <c r="AE889" i="135" s="1"/>
  <c r="AD889" i="135" a="1"/>
  <c r="AD889" i="135" s="1"/>
  <c r="AC889" i="135" a="1"/>
  <c r="AC889" i="135" s="1"/>
  <c r="AB889" i="135" a="1"/>
  <c r="AB889" i="135" s="1"/>
  <c r="AA889" i="135" a="1"/>
  <c r="AA889" i="135" s="1"/>
  <c r="Z889" i="135" a="1"/>
  <c r="Z889" i="135" s="1"/>
  <c r="Y889" i="135" a="1"/>
  <c r="Y889" i="135" s="1"/>
  <c r="X889" i="135" a="1"/>
  <c r="X889" i="135" s="1"/>
  <c r="W889" i="135" a="1"/>
  <c r="W889" i="135" s="1"/>
  <c r="AM888" i="135" a="1"/>
  <c r="AM888" i="135" s="1"/>
  <c r="AL888" i="135" a="1"/>
  <c r="AL888" i="135" s="1"/>
  <c r="AK888" i="135" a="1"/>
  <c r="AK888" i="135" s="1"/>
  <c r="AJ888" i="135" a="1"/>
  <c r="AJ888" i="135" s="1"/>
  <c r="AI888" i="135" a="1"/>
  <c r="AI888" i="135" s="1"/>
  <c r="AH888" i="135" a="1"/>
  <c r="AH888" i="135" s="1"/>
  <c r="AG888" i="135" a="1"/>
  <c r="AG888" i="135" s="1"/>
  <c r="AF888" i="135" a="1"/>
  <c r="AF888" i="135" s="1"/>
  <c r="AE888" i="135" a="1"/>
  <c r="AE888" i="135" s="1"/>
  <c r="AD888" i="135" a="1"/>
  <c r="AD888" i="135" s="1"/>
  <c r="AC888" i="135" a="1"/>
  <c r="AC888" i="135" s="1"/>
  <c r="AB888" i="135" a="1"/>
  <c r="AB888" i="135" s="1"/>
  <c r="AA888" i="135" a="1"/>
  <c r="AA888" i="135" s="1"/>
  <c r="Z888" i="135" a="1"/>
  <c r="Z888" i="135" s="1"/>
  <c r="Y888" i="135" a="1"/>
  <c r="Y888" i="135" s="1"/>
  <c r="X888" i="135" a="1"/>
  <c r="X888" i="135" s="1"/>
  <c r="W888" i="135" a="1"/>
  <c r="W888" i="135" s="1"/>
  <c r="AM887" i="135" a="1"/>
  <c r="AM887" i="135" s="1"/>
  <c r="AL887" i="135" a="1"/>
  <c r="AL887" i="135" s="1"/>
  <c r="AK887" i="135" a="1"/>
  <c r="AK887" i="135" s="1"/>
  <c r="AJ887" i="135" a="1"/>
  <c r="AJ887" i="135" s="1"/>
  <c r="AI887" i="135" a="1"/>
  <c r="AI887" i="135" s="1"/>
  <c r="AH887" i="135" a="1"/>
  <c r="AH887" i="135" s="1"/>
  <c r="AG887" i="135" a="1"/>
  <c r="AG887" i="135" s="1"/>
  <c r="AF887" i="135" a="1"/>
  <c r="AF887" i="135" s="1"/>
  <c r="AE887" i="135" a="1"/>
  <c r="AE887" i="135" s="1"/>
  <c r="AD887" i="135" a="1"/>
  <c r="AD887" i="135" s="1"/>
  <c r="AC887" i="135" a="1"/>
  <c r="AC887" i="135" s="1"/>
  <c r="AB887" i="135" a="1"/>
  <c r="AB887" i="135" s="1"/>
  <c r="AA887" i="135" a="1"/>
  <c r="AA887" i="135" s="1"/>
  <c r="Z887" i="135" a="1"/>
  <c r="Z887" i="135" s="1"/>
  <c r="Y887" i="135" a="1"/>
  <c r="Y887" i="135" s="1"/>
  <c r="X887" i="135" a="1"/>
  <c r="X887" i="135" s="1"/>
  <c r="W887" i="135" a="1"/>
  <c r="W887" i="135" s="1"/>
  <c r="AM886" i="135" a="1"/>
  <c r="AM886" i="135" s="1"/>
  <c r="AL886" i="135" a="1"/>
  <c r="AL886" i="135" s="1"/>
  <c r="AK886" i="135" a="1"/>
  <c r="AK886" i="135" s="1"/>
  <c r="AJ886" i="135" a="1"/>
  <c r="AJ886" i="135" s="1"/>
  <c r="AI886" i="135" a="1"/>
  <c r="AI886" i="135" s="1"/>
  <c r="AH886" i="135" a="1"/>
  <c r="AH886" i="135" s="1"/>
  <c r="AG886" i="135" a="1"/>
  <c r="AG886" i="135" s="1"/>
  <c r="AF886" i="135" a="1"/>
  <c r="AF886" i="135" s="1"/>
  <c r="AE886" i="135" a="1"/>
  <c r="AE886" i="135" s="1"/>
  <c r="AD886" i="135" a="1"/>
  <c r="AD886" i="135" s="1"/>
  <c r="AC886" i="135" a="1"/>
  <c r="AC886" i="135" s="1"/>
  <c r="AB886" i="135" a="1"/>
  <c r="AB886" i="135" s="1"/>
  <c r="AA886" i="135" a="1"/>
  <c r="AA886" i="135" s="1"/>
  <c r="Z886" i="135" a="1"/>
  <c r="Z886" i="135" s="1"/>
  <c r="Y886" i="135" a="1"/>
  <c r="Y886" i="135" s="1"/>
  <c r="X886" i="135" a="1"/>
  <c r="X886" i="135" s="1"/>
  <c r="W886" i="135" a="1"/>
  <c r="W886" i="135" s="1"/>
  <c r="AM885" i="135" a="1"/>
  <c r="AM885" i="135" s="1"/>
  <c r="AL885" i="135" a="1"/>
  <c r="AL885" i="135" s="1"/>
  <c r="AK885" i="135" a="1"/>
  <c r="AK885" i="135" s="1"/>
  <c r="AJ885" i="135" a="1"/>
  <c r="AJ885" i="135" s="1"/>
  <c r="AI885" i="135" a="1"/>
  <c r="AI885" i="135" s="1"/>
  <c r="AH885" i="135" a="1"/>
  <c r="AH885" i="135" s="1"/>
  <c r="AG885" i="135" a="1"/>
  <c r="AG885" i="135" s="1"/>
  <c r="AF885" i="135" a="1"/>
  <c r="AF885" i="135" s="1"/>
  <c r="AE885" i="135" a="1"/>
  <c r="AE885" i="135" s="1"/>
  <c r="AD885" i="135" a="1"/>
  <c r="AD885" i="135" s="1"/>
  <c r="AC885" i="135" a="1"/>
  <c r="AC885" i="135" s="1"/>
  <c r="AB885" i="135" a="1"/>
  <c r="AB885" i="135" s="1"/>
  <c r="AA885" i="135" a="1"/>
  <c r="AA885" i="135" s="1"/>
  <c r="Z885" i="135" a="1"/>
  <c r="Z885" i="135" s="1"/>
  <c r="Y885" i="135" a="1"/>
  <c r="Y885" i="135" s="1"/>
  <c r="X885" i="135" a="1"/>
  <c r="X885" i="135" s="1"/>
  <c r="W885" i="135" a="1"/>
  <c r="W885" i="135" s="1"/>
  <c r="AM884" i="135" a="1"/>
  <c r="AM884" i="135" s="1"/>
  <c r="AL884" i="135" a="1"/>
  <c r="AL884" i="135" s="1"/>
  <c r="AK884" i="135" a="1"/>
  <c r="AK884" i="135" s="1"/>
  <c r="AJ884" i="135" a="1"/>
  <c r="AJ884" i="135" s="1"/>
  <c r="AI884" i="135" a="1"/>
  <c r="AI884" i="135" s="1"/>
  <c r="AH884" i="135" a="1"/>
  <c r="AH884" i="135" s="1"/>
  <c r="AG884" i="135" a="1"/>
  <c r="AG884" i="135" s="1"/>
  <c r="AF884" i="135" a="1"/>
  <c r="AF884" i="135" s="1"/>
  <c r="AE884" i="135" a="1"/>
  <c r="AE884" i="135" s="1"/>
  <c r="AD884" i="135" a="1"/>
  <c r="AD884" i="135" s="1"/>
  <c r="AC884" i="135" a="1"/>
  <c r="AC884" i="135" s="1"/>
  <c r="AB884" i="135" a="1"/>
  <c r="AB884" i="135" s="1"/>
  <c r="AA884" i="135" a="1"/>
  <c r="AA884" i="135" s="1"/>
  <c r="Z884" i="135" a="1"/>
  <c r="Z884" i="135" s="1"/>
  <c r="Y884" i="135" a="1"/>
  <c r="Y884" i="135" s="1"/>
  <c r="X884" i="135" a="1"/>
  <c r="X884" i="135" s="1"/>
  <c r="W884" i="135" a="1"/>
  <c r="W884" i="135" s="1"/>
  <c r="AM883" i="135" a="1"/>
  <c r="AM883" i="135" s="1"/>
  <c r="AL883" i="135" a="1"/>
  <c r="AL883" i="135" s="1"/>
  <c r="AK883" i="135" a="1"/>
  <c r="AK883" i="135" s="1"/>
  <c r="AJ883" i="135" a="1"/>
  <c r="AJ883" i="135" s="1"/>
  <c r="AI883" i="135" a="1"/>
  <c r="AI883" i="135" s="1"/>
  <c r="AH883" i="135" a="1"/>
  <c r="AH883" i="135" s="1"/>
  <c r="AG883" i="135" a="1"/>
  <c r="AG883" i="135" s="1"/>
  <c r="AF883" i="135" a="1"/>
  <c r="AF883" i="135" s="1"/>
  <c r="AE883" i="135" a="1"/>
  <c r="AE883" i="135" s="1"/>
  <c r="AD883" i="135" a="1"/>
  <c r="AD883" i="135" s="1"/>
  <c r="AC883" i="135" a="1"/>
  <c r="AC883" i="135" s="1"/>
  <c r="AB883" i="135" a="1"/>
  <c r="AB883" i="135" s="1"/>
  <c r="AA883" i="135" a="1"/>
  <c r="AA883" i="135" s="1"/>
  <c r="Z883" i="135" a="1"/>
  <c r="Z883" i="135" s="1"/>
  <c r="Y883" i="135" a="1"/>
  <c r="Y883" i="135" s="1"/>
  <c r="X883" i="135" a="1"/>
  <c r="X883" i="135" s="1"/>
  <c r="W883" i="135" a="1"/>
  <c r="W883" i="135" s="1"/>
  <c r="AM882" i="135" a="1"/>
  <c r="AM882" i="135" s="1"/>
  <c r="AL882" i="135" a="1"/>
  <c r="AL882" i="135" s="1"/>
  <c r="AK882" i="135" a="1"/>
  <c r="AK882" i="135" s="1"/>
  <c r="AJ882" i="135" a="1"/>
  <c r="AJ882" i="135" s="1"/>
  <c r="AI882" i="135" a="1"/>
  <c r="AI882" i="135" s="1"/>
  <c r="AH882" i="135" a="1"/>
  <c r="AH882" i="135" s="1"/>
  <c r="AG882" i="135" a="1"/>
  <c r="AG882" i="135" s="1"/>
  <c r="AF882" i="135" a="1"/>
  <c r="AF882" i="135" s="1"/>
  <c r="AE882" i="135" a="1"/>
  <c r="AE882" i="135" s="1"/>
  <c r="AD882" i="135" a="1"/>
  <c r="AD882" i="135" s="1"/>
  <c r="AC882" i="135" a="1"/>
  <c r="AC882" i="135" s="1"/>
  <c r="AB882" i="135" a="1"/>
  <c r="AB882" i="135" s="1"/>
  <c r="AA882" i="135" a="1"/>
  <c r="AA882" i="135" s="1"/>
  <c r="Z882" i="135" a="1"/>
  <c r="Z882" i="135" s="1"/>
  <c r="Y882" i="135" a="1"/>
  <c r="Y882" i="135" s="1"/>
  <c r="X882" i="135" a="1"/>
  <c r="X882" i="135" s="1"/>
  <c r="W882" i="135" a="1"/>
  <c r="W882" i="135" s="1"/>
  <c r="AM881" i="135" a="1"/>
  <c r="AM881" i="135" s="1"/>
  <c r="AL881" i="135" a="1"/>
  <c r="AL881" i="135" s="1"/>
  <c r="AK881" i="135" a="1"/>
  <c r="AK881" i="135" s="1"/>
  <c r="AJ881" i="135" a="1"/>
  <c r="AJ881" i="135" s="1"/>
  <c r="AI881" i="135" a="1"/>
  <c r="AI881" i="135" s="1"/>
  <c r="AH881" i="135" a="1"/>
  <c r="AH881" i="135" s="1"/>
  <c r="AG881" i="135" a="1"/>
  <c r="AG881" i="135" s="1"/>
  <c r="AF881" i="135" a="1"/>
  <c r="AF881" i="135" s="1"/>
  <c r="AE881" i="135" a="1"/>
  <c r="AE881" i="135" s="1"/>
  <c r="AD881" i="135" a="1"/>
  <c r="AD881" i="135" s="1"/>
  <c r="AC881" i="135" a="1"/>
  <c r="AC881" i="135" s="1"/>
  <c r="AB881" i="135" a="1"/>
  <c r="AB881" i="135" s="1"/>
  <c r="AA881" i="135" a="1"/>
  <c r="AA881" i="135" s="1"/>
  <c r="Z881" i="135" a="1"/>
  <c r="Z881" i="135" s="1"/>
  <c r="Y881" i="135" a="1"/>
  <c r="Y881" i="135" s="1"/>
  <c r="X881" i="135" a="1"/>
  <c r="X881" i="135" s="1"/>
  <c r="W881" i="135" a="1"/>
  <c r="W881" i="135" s="1"/>
  <c r="AM880" i="135" a="1"/>
  <c r="AM880" i="135" s="1"/>
  <c r="AL880" i="135" a="1"/>
  <c r="AL880" i="135" s="1"/>
  <c r="AK880" i="135" a="1"/>
  <c r="AK880" i="135" s="1"/>
  <c r="AJ880" i="135" a="1"/>
  <c r="AJ880" i="135" s="1"/>
  <c r="AI880" i="135" a="1"/>
  <c r="AI880" i="135" s="1"/>
  <c r="AH880" i="135" a="1"/>
  <c r="AH880" i="135" s="1"/>
  <c r="AG880" i="135" a="1"/>
  <c r="AG880" i="135" s="1"/>
  <c r="AF880" i="135" a="1"/>
  <c r="AF880" i="135" s="1"/>
  <c r="AE880" i="135" a="1"/>
  <c r="AE880" i="135" s="1"/>
  <c r="AD880" i="135" a="1"/>
  <c r="AD880" i="135" s="1"/>
  <c r="AC880" i="135" a="1"/>
  <c r="AC880" i="135" s="1"/>
  <c r="AB880" i="135" a="1"/>
  <c r="AB880" i="135" s="1"/>
  <c r="AA880" i="135" a="1"/>
  <c r="AA880" i="135" s="1"/>
  <c r="Z880" i="135" a="1"/>
  <c r="Z880" i="135" s="1"/>
  <c r="Y880" i="135" a="1"/>
  <c r="Y880" i="135" s="1"/>
  <c r="X880" i="135" a="1"/>
  <c r="X880" i="135" s="1"/>
  <c r="W880" i="135" a="1"/>
  <c r="W880" i="135" s="1"/>
  <c r="AM879" i="135" a="1"/>
  <c r="AM879" i="135" s="1"/>
  <c r="AL879" i="135" a="1"/>
  <c r="AL879" i="135" s="1"/>
  <c r="AK879" i="135" a="1"/>
  <c r="AK879" i="135" s="1"/>
  <c r="AJ879" i="135" a="1"/>
  <c r="AJ879" i="135" s="1"/>
  <c r="AI879" i="135" a="1"/>
  <c r="AI879" i="135" s="1"/>
  <c r="AH879" i="135" a="1"/>
  <c r="AH879" i="135" s="1"/>
  <c r="AG879" i="135" a="1"/>
  <c r="AG879" i="135" s="1"/>
  <c r="AF879" i="135" a="1"/>
  <c r="AF879" i="135" s="1"/>
  <c r="AE879" i="135" a="1"/>
  <c r="AE879" i="135" s="1"/>
  <c r="AD879" i="135" a="1"/>
  <c r="AD879" i="135" s="1"/>
  <c r="AC879" i="135" a="1"/>
  <c r="AC879" i="135" s="1"/>
  <c r="AB879" i="135" a="1"/>
  <c r="AB879" i="135" s="1"/>
  <c r="AA879" i="135" a="1"/>
  <c r="AA879" i="135" s="1"/>
  <c r="Z879" i="135" a="1"/>
  <c r="Z879" i="135" s="1"/>
  <c r="Y879" i="135" a="1"/>
  <c r="Y879" i="135" s="1"/>
  <c r="X879" i="135" a="1"/>
  <c r="X879" i="135" s="1"/>
  <c r="W879" i="135" a="1"/>
  <c r="W879" i="135" s="1"/>
  <c r="AM878" i="135" a="1"/>
  <c r="AM878" i="135" s="1"/>
  <c r="AL878" i="135" a="1"/>
  <c r="AL878" i="135" s="1"/>
  <c r="AK878" i="135" a="1"/>
  <c r="AK878" i="135" s="1"/>
  <c r="AJ878" i="135" a="1"/>
  <c r="AJ878" i="135" s="1"/>
  <c r="AI878" i="135" a="1"/>
  <c r="AI878" i="135" s="1"/>
  <c r="AH878" i="135" a="1"/>
  <c r="AH878" i="135" s="1"/>
  <c r="AG878" i="135" a="1"/>
  <c r="AG878" i="135" s="1"/>
  <c r="AF878" i="135" a="1"/>
  <c r="AF878" i="135" s="1"/>
  <c r="AE878" i="135" a="1"/>
  <c r="AE878" i="135" s="1"/>
  <c r="AD878" i="135" a="1"/>
  <c r="AD878" i="135" s="1"/>
  <c r="AC878" i="135" a="1"/>
  <c r="AC878" i="135" s="1"/>
  <c r="AB878" i="135" a="1"/>
  <c r="AB878" i="135" s="1"/>
  <c r="AA878" i="135" a="1"/>
  <c r="AA878" i="135" s="1"/>
  <c r="Z878" i="135" a="1"/>
  <c r="Z878" i="135" s="1"/>
  <c r="Y878" i="135" a="1"/>
  <c r="Y878" i="135" s="1"/>
  <c r="X878" i="135" a="1"/>
  <c r="X878" i="135" s="1"/>
  <c r="W878" i="135" a="1"/>
  <c r="W878" i="135" s="1"/>
  <c r="AM877" i="135" a="1"/>
  <c r="AM877" i="135" s="1"/>
  <c r="AL877" i="135" a="1"/>
  <c r="AL877" i="135" s="1"/>
  <c r="AK877" i="135" a="1"/>
  <c r="AK877" i="135" s="1"/>
  <c r="AJ877" i="135" a="1"/>
  <c r="AJ877" i="135" s="1"/>
  <c r="AI877" i="135" a="1"/>
  <c r="AI877" i="135" s="1"/>
  <c r="AH877" i="135" a="1"/>
  <c r="AH877" i="135" s="1"/>
  <c r="AG877" i="135" a="1"/>
  <c r="AG877" i="135" s="1"/>
  <c r="AF877" i="135" a="1"/>
  <c r="AF877" i="135" s="1"/>
  <c r="AE877" i="135" a="1"/>
  <c r="AE877" i="135" s="1"/>
  <c r="AD877" i="135" a="1"/>
  <c r="AD877" i="135" s="1"/>
  <c r="AC877" i="135" a="1"/>
  <c r="AC877" i="135" s="1"/>
  <c r="AB877" i="135" a="1"/>
  <c r="AB877" i="135" s="1"/>
  <c r="AA877" i="135" a="1"/>
  <c r="AA877" i="135" s="1"/>
  <c r="Z877" i="135" a="1"/>
  <c r="Z877" i="135" s="1"/>
  <c r="Y877" i="135" a="1"/>
  <c r="Y877" i="135" s="1"/>
  <c r="X877" i="135" a="1"/>
  <c r="X877" i="135" s="1"/>
  <c r="W877" i="135" a="1"/>
  <c r="W877" i="135" s="1"/>
  <c r="AM876" i="135" a="1"/>
  <c r="AM876" i="135" s="1"/>
  <c r="AL876" i="135" a="1"/>
  <c r="AL876" i="135" s="1"/>
  <c r="AK876" i="135" a="1"/>
  <c r="AK876" i="135" s="1"/>
  <c r="AJ876" i="135" a="1"/>
  <c r="AJ876" i="135" s="1"/>
  <c r="AI876" i="135" a="1"/>
  <c r="AI876" i="135" s="1"/>
  <c r="AH876" i="135" a="1"/>
  <c r="AH876" i="135" s="1"/>
  <c r="AG876" i="135" a="1"/>
  <c r="AG876" i="135" s="1"/>
  <c r="AF876" i="135" a="1"/>
  <c r="AF876" i="135" s="1"/>
  <c r="AE876" i="135" a="1"/>
  <c r="AE876" i="135" s="1"/>
  <c r="AD876" i="135" a="1"/>
  <c r="AD876" i="135" s="1"/>
  <c r="AC876" i="135" a="1"/>
  <c r="AC876" i="135" s="1"/>
  <c r="AB876" i="135" a="1"/>
  <c r="AB876" i="135" s="1"/>
  <c r="AA876" i="135" a="1"/>
  <c r="AA876" i="135" s="1"/>
  <c r="Z876" i="135" a="1"/>
  <c r="Z876" i="135" s="1"/>
  <c r="Y876" i="135" a="1"/>
  <c r="Y876" i="135" s="1"/>
  <c r="X876" i="135" a="1"/>
  <c r="X876" i="135" s="1"/>
  <c r="W876" i="135" a="1"/>
  <c r="W876" i="135" s="1"/>
  <c r="AM875" i="135" a="1"/>
  <c r="AM875" i="135" s="1"/>
  <c r="AL875" i="135" a="1"/>
  <c r="AL875" i="135" s="1"/>
  <c r="AK875" i="135" a="1"/>
  <c r="AK875" i="135" s="1"/>
  <c r="AJ875" i="135" a="1"/>
  <c r="AJ875" i="135" s="1"/>
  <c r="AI875" i="135" a="1"/>
  <c r="AI875" i="135" s="1"/>
  <c r="AH875" i="135" a="1"/>
  <c r="AH875" i="135" s="1"/>
  <c r="AG875" i="135" a="1"/>
  <c r="AG875" i="135" s="1"/>
  <c r="AF875" i="135" a="1"/>
  <c r="AF875" i="135" s="1"/>
  <c r="AE875" i="135" a="1"/>
  <c r="AE875" i="135" s="1"/>
  <c r="AD875" i="135" a="1"/>
  <c r="AD875" i="135" s="1"/>
  <c r="AC875" i="135" a="1"/>
  <c r="AC875" i="135" s="1"/>
  <c r="AB875" i="135" a="1"/>
  <c r="AB875" i="135" s="1"/>
  <c r="AA875" i="135" a="1"/>
  <c r="AA875" i="135" s="1"/>
  <c r="Z875" i="135" a="1"/>
  <c r="Z875" i="135" s="1"/>
  <c r="Y875" i="135" a="1"/>
  <c r="Y875" i="135" s="1"/>
  <c r="X875" i="135" a="1"/>
  <c r="X875" i="135" s="1"/>
  <c r="W875" i="135" a="1"/>
  <c r="W875" i="135" s="1"/>
  <c r="AM874" i="135" a="1"/>
  <c r="AM874" i="135" s="1"/>
  <c r="AL874" i="135" a="1"/>
  <c r="AL874" i="135" s="1"/>
  <c r="AK874" i="135" a="1"/>
  <c r="AK874" i="135" s="1"/>
  <c r="AJ874" i="135" a="1"/>
  <c r="AJ874" i="135" s="1"/>
  <c r="AI874" i="135" a="1"/>
  <c r="AI874" i="135" s="1"/>
  <c r="AH874" i="135" a="1"/>
  <c r="AH874" i="135" s="1"/>
  <c r="AG874" i="135" a="1"/>
  <c r="AG874" i="135" s="1"/>
  <c r="AF874" i="135" a="1"/>
  <c r="AF874" i="135" s="1"/>
  <c r="AE874" i="135" a="1"/>
  <c r="AE874" i="135" s="1"/>
  <c r="AD874" i="135" a="1"/>
  <c r="AD874" i="135" s="1"/>
  <c r="AC874" i="135" a="1"/>
  <c r="AC874" i="135" s="1"/>
  <c r="AB874" i="135" a="1"/>
  <c r="AB874" i="135" s="1"/>
  <c r="AA874" i="135" a="1"/>
  <c r="AA874" i="135" s="1"/>
  <c r="Z874" i="135" a="1"/>
  <c r="Z874" i="135" s="1"/>
  <c r="Y874" i="135" a="1"/>
  <c r="Y874" i="135" s="1"/>
  <c r="X874" i="135" a="1"/>
  <c r="X874" i="135" s="1"/>
  <c r="W874" i="135" a="1"/>
  <c r="W874" i="135" s="1"/>
  <c r="AM873" i="135" a="1"/>
  <c r="AM873" i="135" s="1"/>
  <c r="AL873" i="135" a="1"/>
  <c r="AL873" i="135" s="1"/>
  <c r="AK873" i="135" a="1"/>
  <c r="AK873" i="135" s="1"/>
  <c r="AJ873" i="135" a="1"/>
  <c r="AJ873" i="135" s="1"/>
  <c r="AI873" i="135" a="1"/>
  <c r="AI873" i="135" s="1"/>
  <c r="AH873" i="135" a="1"/>
  <c r="AH873" i="135" s="1"/>
  <c r="AG873" i="135" a="1"/>
  <c r="AG873" i="135" s="1"/>
  <c r="AF873" i="135" a="1"/>
  <c r="AF873" i="135" s="1"/>
  <c r="AE873" i="135" a="1"/>
  <c r="AE873" i="135" s="1"/>
  <c r="AD873" i="135" a="1"/>
  <c r="AD873" i="135" s="1"/>
  <c r="AC873" i="135" a="1"/>
  <c r="AC873" i="135" s="1"/>
  <c r="AB873" i="135" a="1"/>
  <c r="AB873" i="135" s="1"/>
  <c r="AA873" i="135" a="1"/>
  <c r="AA873" i="135" s="1"/>
  <c r="Z873" i="135" a="1"/>
  <c r="Z873" i="135" s="1"/>
  <c r="Y873" i="135" a="1"/>
  <c r="Y873" i="135" s="1"/>
  <c r="X873" i="135" a="1"/>
  <c r="X873" i="135" s="1"/>
  <c r="W873" i="135" a="1"/>
  <c r="W873" i="135" s="1"/>
  <c r="AM872" i="135" a="1"/>
  <c r="AM872" i="135" s="1"/>
  <c r="AL872" i="135" a="1"/>
  <c r="AL872" i="135" s="1"/>
  <c r="AK872" i="135" a="1"/>
  <c r="AK872" i="135" s="1"/>
  <c r="AJ872" i="135" a="1"/>
  <c r="AJ872" i="135" s="1"/>
  <c r="AI872" i="135" a="1"/>
  <c r="AI872" i="135" s="1"/>
  <c r="AH872" i="135" a="1"/>
  <c r="AH872" i="135" s="1"/>
  <c r="AG872" i="135" a="1"/>
  <c r="AG872" i="135" s="1"/>
  <c r="AF872" i="135" a="1"/>
  <c r="AF872" i="135" s="1"/>
  <c r="AE872" i="135" a="1"/>
  <c r="AE872" i="135" s="1"/>
  <c r="AD872" i="135" a="1"/>
  <c r="AD872" i="135" s="1"/>
  <c r="AC872" i="135" a="1"/>
  <c r="AC872" i="135" s="1"/>
  <c r="AB872" i="135" a="1"/>
  <c r="AB872" i="135" s="1"/>
  <c r="AA872" i="135" a="1"/>
  <c r="AA872" i="135" s="1"/>
  <c r="Z872" i="135" a="1"/>
  <c r="Z872" i="135" s="1"/>
  <c r="Y872" i="135" a="1"/>
  <c r="Y872" i="135" s="1"/>
  <c r="X872" i="135" a="1"/>
  <c r="X872" i="135" s="1"/>
  <c r="W872" i="135" a="1"/>
  <c r="W872" i="135" s="1"/>
  <c r="AM871" i="135" a="1"/>
  <c r="AM871" i="135" s="1"/>
  <c r="AL871" i="135" a="1"/>
  <c r="AL871" i="135" s="1"/>
  <c r="AK871" i="135" a="1"/>
  <c r="AK871" i="135" s="1"/>
  <c r="AJ871" i="135" a="1"/>
  <c r="AJ871" i="135" s="1"/>
  <c r="AI871" i="135" a="1"/>
  <c r="AI871" i="135" s="1"/>
  <c r="AH871" i="135" a="1"/>
  <c r="AH871" i="135" s="1"/>
  <c r="AG871" i="135" a="1"/>
  <c r="AG871" i="135" s="1"/>
  <c r="AF871" i="135" a="1"/>
  <c r="AF871" i="135" s="1"/>
  <c r="AE871" i="135" a="1"/>
  <c r="AE871" i="135" s="1"/>
  <c r="AD871" i="135" a="1"/>
  <c r="AD871" i="135" s="1"/>
  <c r="AC871" i="135" a="1"/>
  <c r="AC871" i="135" s="1"/>
  <c r="AB871" i="135" a="1"/>
  <c r="AB871" i="135" s="1"/>
  <c r="AA871" i="135" a="1"/>
  <c r="AA871" i="135" s="1"/>
  <c r="Z871" i="135" a="1"/>
  <c r="Z871" i="135" s="1"/>
  <c r="Y871" i="135" a="1"/>
  <c r="Y871" i="135" s="1"/>
  <c r="X871" i="135" a="1"/>
  <c r="X871" i="135" s="1"/>
  <c r="W871" i="135" a="1"/>
  <c r="W871" i="135" s="1"/>
  <c r="AM870" i="135" a="1"/>
  <c r="AM870" i="135" s="1"/>
  <c r="AL870" i="135" a="1"/>
  <c r="AL870" i="135" s="1"/>
  <c r="AK870" i="135" a="1"/>
  <c r="AK870" i="135" s="1"/>
  <c r="AJ870" i="135" a="1"/>
  <c r="AJ870" i="135" s="1"/>
  <c r="AI870" i="135" a="1"/>
  <c r="AI870" i="135" s="1"/>
  <c r="AH870" i="135" a="1"/>
  <c r="AH870" i="135" s="1"/>
  <c r="AG870" i="135" a="1"/>
  <c r="AG870" i="135" s="1"/>
  <c r="AF870" i="135" a="1"/>
  <c r="AF870" i="135" s="1"/>
  <c r="AE870" i="135" a="1"/>
  <c r="AE870" i="135" s="1"/>
  <c r="AD870" i="135" a="1"/>
  <c r="AD870" i="135" s="1"/>
  <c r="AC870" i="135" a="1"/>
  <c r="AC870" i="135" s="1"/>
  <c r="AB870" i="135" a="1"/>
  <c r="AB870" i="135" s="1"/>
  <c r="AA870" i="135" a="1"/>
  <c r="AA870" i="135" s="1"/>
  <c r="Z870" i="135" a="1"/>
  <c r="Z870" i="135" s="1"/>
  <c r="Y870" i="135" a="1"/>
  <c r="Y870" i="135" s="1"/>
  <c r="X870" i="135" a="1"/>
  <c r="X870" i="135" s="1"/>
  <c r="W870" i="135" a="1"/>
  <c r="W870" i="135" s="1"/>
  <c r="AM869" i="135" a="1"/>
  <c r="AM869" i="135" s="1"/>
  <c r="AL869" i="135" a="1"/>
  <c r="AL869" i="135" s="1"/>
  <c r="AK869" i="135" a="1"/>
  <c r="AK869" i="135" s="1"/>
  <c r="AJ869" i="135" a="1"/>
  <c r="AJ869" i="135" s="1"/>
  <c r="AI869" i="135" a="1"/>
  <c r="AI869" i="135" s="1"/>
  <c r="AH869" i="135" a="1"/>
  <c r="AH869" i="135" s="1"/>
  <c r="AG869" i="135" a="1"/>
  <c r="AG869" i="135" s="1"/>
  <c r="AF869" i="135" a="1"/>
  <c r="AF869" i="135" s="1"/>
  <c r="AE869" i="135" a="1"/>
  <c r="AE869" i="135" s="1"/>
  <c r="AD869" i="135" a="1"/>
  <c r="AD869" i="135" s="1"/>
  <c r="AC869" i="135" a="1"/>
  <c r="AC869" i="135" s="1"/>
  <c r="AB869" i="135" a="1"/>
  <c r="AB869" i="135" s="1"/>
  <c r="AA869" i="135" a="1"/>
  <c r="AA869" i="135" s="1"/>
  <c r="Z869" i="135" a="1"/>
  <c r="Z869" i="135" s="1"/>
  <c r="Y869" i="135" a="1"/>
  <c r="Y869" i="135" s="1"/>
  <c r="X869" i="135" a="1"/>
  <c r="X869" i="135" s="1"/>
  <c r="W869" i="135" a="1"/>
  <c r="W869" i="135" s="1"/>
  <c r="AM868" i="135" a="1"/>
  <c r="AM868" i="135" s="1"/>
  <c r="AL868" i="135" a="1"/>
  <c r="AL868" i="135" s="1"/>
  <c r="AK868" i="135" a="1"/>
  <c r="AK868" i="135" s="1"/>
  <c r="AJ868" i="135" a="1"/>
  <c r="AJ868" i="135" s="1"/>
  <c r="AI868" i="135" a="1"/>
  <c r="AI868" i="135" s="1"/>
  <c r="AH868" i="135" a="1"/>
  <c r="AH868" i="135" s="1"/>
  <c r="AG868" i="135" a="1"/>
  <c r="AG868" i="135" s="1"/>
  <c r="AF868" i="135" a="1"/>
  <c r="AF868" i="135" s="1"/>
  <c r="AE868" i="135" a="1"/>
  <c r="AE868" i="135" s="1"/>
  <c r="AD868" i="135" a="1"/>
  <c r="AD868" i="135" s="1"/>
  <c r="AC868" i="135" a="1"/>
  <c r="AC868" i="135" s="1"/>
  <c r="AB868" i="135" a="1"/>
  <c r="AB868" i="135" s="1"/>
  <c r="AA868" i="135" a="1"/>
  <c r="AA868" i="135" s="1"/>
  <c r="Z868" i="135" a="1"/>
  <c r="Z868" i="135" s="1"/>
  <c r="Y868" i="135" a="1"/>
  <c r="Y868" i="135" s="1"/>
  <c r="X868" i="135" a="1"/>
  <c r="X868" i="135" s="1"/>
  <c r="W868" i="135" a="1"/>
  <c r="W868" i="135" s="1"/>
  <c r="AM867" i="135" a="1"/>
  <c r="AM867" i="135" s="1"/>
  <c r="AL867" i="135" a="1"/>
  <c r="AL867" i="135" s="1"/>
  <c r="AK867" i="135" a="1"/>
  <c r="AK867" i="135" s="1"/>
  <c r="AJ867" i="135" a="1"/>
  <c r="AJ867" i="135" s="1"/>
  <c r="AI867" i="135" a="1"/>
  <c r="AI867" i="135" s="1"/>
  <c r="AH867" i="135" a="1"/>
  <c r="AH867" i="135" s="1"/>
  <c r="AG867" i="135" a="1"/>
  <c r="AG867" i="135" s="1"/>
  <c r="AF867" i="135" a="1"/>
  <c r="AF867" i="135" s="1"/>
  <c r="AE867" i="135" a="1"/>
  <c r="AE867" i="135" s="1"/>
  <c r="AD867" i="135" a="1"/>
  <c r="AD867" i="135" s="1"/>
  <c r="AC867" i="135" a="1"/>
  <c r="AC867" i="135" s="1"/>
  <c r="AB867" i="135" a="1"/>
  <c r="AB867" i="135" s="1"/>
  <c r="AA867" i="135" a="1"/>
  <c r="AA867" i="135" s="1"/>
  <c r="Z867" i="135" a="1"/>
  <c r="Z867" i="135" s="1"/>
  <c r="Y867" i="135" a="1"/>
  <c r="Y867" i="135" s="1"/>
  <c r="X867" i="135" a="1"/>
  <c r="X867" i="135" s="1"/>
  <c r="W867" i="135" a="1"/>
  <c r="W867" i="135" s="1"/>
  <c r="AM866" i="135" a="1"/>
  <c r="AM866" i="135" s="1"/>
  <c r="AL866" i="135" a="1"/>
  <c r="AL866" i="135" s="1"/>
  <c r="AK866" i="135" a="1"/>
  <c r="AK866" i="135" s="1"/>
  <c r="AJ866" i="135" a="1"/>
  <c r="AJ866" i="135" s="1"/>
  <c r="AI866" i="135" a="1"/>
  <c r="AI866" i="135" s="1"/>
  <c r="AH866" i="135" a="1"/>
  <c r="AH866" i="135" s="1"/>
  <c r="AG866" i="135" a="1"/>
  <c r="AG866" i="135" s="1"/>
  <c r="AF866" i="135" a="1"/>
  <c r="AF866" i="135" s="1"/>
  <c r="AE866" i="135" a="1"/>
  <c r="AE866" i="135" s="1"/>
  <c r="AD866" i="135" a="1"/>
  <c r="AD866" i="135" s="1"/>
  <c r="AC866" i="135" a="1"/>
  <c r="AC866" i="135" s="1"/>
  <c r="AB866" i="135" a="1"/>
  <c r="AB866" i="135" s="1"/>
  <c r="AA866" i="135" a="1"/>
  <c r="AA866" i="135" s="1"/>
  <c r="Z866" i="135" a="1"/>
  <c r="Z866" i="135" s="1"/>
  <c r="Y866" i="135" a="1"/>
  <c r="Y866" i="135" s="1"/>
  <c r="X866" i="135" a="1"/>
  <c r="X866" i="135" s="1"/>
  <c r="W866" i="135" a="1"/>
  <c r="W866" i="135" s="1"/>
  <c r="AM865" i="135" a="1"/>
  <c r="AM865" i="135" s="1"/>
  <c r="AL865" i="135" a="1"/>
  <c r="AL865" i="135" s="1"/>
  <c r="AK865" i="135" a="1"/>
  <c r="AK865" i="135" s="1"/>
  <c r="AJ865" i="135" a="1"/>
  <c r="AJ865" i="135" s="1"/>
  <c r="AI865" i="135" a="1"/>
  <c r="AI865" i="135" s="1"/>
  <c r="AH865" i="135" a="1"/>
  <c r="AH865" i="135" s="1"/>
  <c r="AG865" i="135" a="1"/>
  <c r="AG865" i="135" s="1"/>
  <c r="AF865" i="135" a="1"/>
  <c r="AF865" i="135" s="1"/>
  <c r="AE865" i="135" a="1"/>
  <c r="AE865" i="135" s="1"/>
  <c r="AD865" i="135" a="1"/>
  <c r="AD865" i="135" s="1"/>
  <c r="AC865" i="135" a="1"/>
  <c r="AC865" i="135" s="1"/>
  <c r="AB865" i="135" a="1"/>
  <c r="AB865" i="135" s="1"/>
  <c r="AA865" i="135" a="1"/>
  <c r="AA865" i="135" s="1"/>
  <c r="Z865" i="135" a="1"/>
  <c r="Z865" i="135" s="1"/>
  <c r="Y865" i="135" a="1"/>
  <c r="Y865" i="135" s="1"/>
  <c r="X865" i="135" a="1"/>
  <c r="X865" i="135" s="1"/>
  <c r="W865" i="135" a="1"/>
  <c r="W865" i="135" s="1"/>
  <c r="AM864" i="135" a="1"/>
  <c r="AM864" i="135" s="1"/>
  <c r="AL864" i="135" a="1"/>
  <c r="AL864" i="135" s="1"/>
  <c r="AK864" i="135" a="1"/>
  <c r="AK864" i="135" s="1"/>
  <c r="AJ864" i="135" a="1"/>
  <c r="AJ864" i="135" s="1"/>
  <c r="AI864" i="135" a="1"/>
  <c r="AI864" i="135" s="1"/>
  <c r="AH864" i="135" a="1"/>
  <c r="AH864" i="135" s="1"/>
  <c r="AG864" i="135" a="1"/>
  <c r="AG864" i="135" s="1"/>
  <c r="AF864" i="135" a="1"/>
  <c r="AF864" i="135" s="1"/>
  <c r="AE864" i="135" a="1"/>
  <c r="AE864" i="135" s="1"/>
  <c r="AD864" i="135" a="1"/>
  <c r="AD864" i="135" s="1"/>
  <c r="AC864" i="135" a="1"/>
  <c r="AC864" i="135" s="1"/>
  <c r="AB864" i="135" a="1"/>
  <c r="AB864" i="135" s="1"/>
  <c r="AA864" i="135" a="1"/>
  <c r="AA864" i="135" s="1"/>
  <c r="Z864" i="135" a="1"/>
  <c r="Z864" i="135" s="1"/>
  <c r="Y864" i="135" a="1"/>
  <c r="Y864" i="135" s="1"/>
  <c r="X864" i="135" a="1"/>
  <c r="X864" i="135" s="1"/>
  <c r="W864" i="135" a="1"/>
  <c r="W864" i="135" s="1"/>
  <c r="AM863" i="135" a="1"/>
  <c r="AM863" i="135" s="1"/>
  <c r="AL863" i="135" a="1"/>
  <c r="AL863" i="135" s="1"/>
  <c r="AK863" i="135" a="1"/>
  <c r="AK863" i="135" s="1"/>
  <c r="AJ863" i="135" a="1"/>
  <c r="AJ863" i="135" s="1"/>
  <c r="AI863" i="135" a="1"/>
  <c r="AI863" i="135" s="1"/>
  <c r="AH863" i="135" a="1"/>
  <c r="AH863" i="135" s="1"/>
  <c r="AG863" i="135" a="1"/>
  <c r="AG863" i="135" s="1"/>
  <c r="AF863" i="135" a="1"/>
  <c r="AF863" i="135" s="1"/>
  <c r="AE863" i="135" a="1"/>
  <c r="AE863" i="135" s="1"/>
  <c r="AD863" i="135" a="1"/>
  <c r="AD863" i="135" s="1"/>
  <c r="AC863" i="135" a="1"/>
  <c r="AC863" i="135" s="1"/>
  <c r="AB863" i="135" a="1"/>
  <c r="AB863" i="135" s="1"/>
  <c r="AA863" i="135" a="1"/>
  <c r="AA863" i="135" s="1"/>
  <c r="Z863" i="135" a="1"/>
  <c r="Z863" i="135" s="1"/>
  <c r="Y863" i="135" a="1"/>
  <c r="Y863" i="135" s="1"/>
  <c r="X863" i="135" a="1"/>
  <c r="X863" i="135" s="1"/>
  <c r="W863" i="135" a="1"/>
  <c r="W863" i="135" s="1"/>
  <c r="AM862" i="135" a="1"/>
  <c r="AM862" i="135" s="1"/>
  <c r="AL862" i="135" a="1"/>
  <c r="AL862" i="135" s="1"/>
  <c r="AK862" i="135" a="1"/>
  <c r="AK862" i="135" s="1"/>
  <c r="AJ862" i="135" a="1"/>
  <c r="AJ862" i="135" s="1"/>
  <c r="AI862" i="135" a="1"/>
  <c r="AI862" i="135" s="1"/>
  <c r="AH862" i="135" a="1"/>
  <c r="AH862" i="135" s="1"/>
  <c r="AG862" i="135" a="1"/>
  <c r="AG862" i="135" s="1"/>
  <c r="AF862" i="135" a="1"/>
  <c r="AF862" i="135" s="1"/>
  <c r="AE862" i="135" a="1"/>
  <c r="AE862" i="135" s="1"/>
  <c r="AD862" i="135" a="1"/>
  <c r="AD862" i="135" s="1"/>
  <c r="AC862" i="135" a="1"/>
  <c r="AC862" i="135" s="1"/>
  <c r="AB862" i="135" a="1"/>
  <c r="AB862" i="135" s="1"/>
  <c r="AA862" i="135" a="1"/>
  <c r="AA862" i="135" s="1"/>
  <c r="Z862" i="135" a="1"/>
  <c r="Z862" i="135" s="1"/>
  <c r="Y862" i="135" a="1"/>
  <c r="Y862" i="135" s="1"/>
  <c r="X862" i="135" a="1"/>
  <c r="X862" i="135" s="1"/>
  <c r="W862" i="135" a="1"/>
  <c r="W862" i="135" s="1"/>
  <c r="AM861" i="135" a="1"/>
  <c r="AM861" i="135" s="1"/>
  <c r="AL861" i="135" a="1"/>
  <c r="AL861" i="135" s="1"/>
  <c r="AK861" i="135" a="1"/>
  <c r="AK861" i="135" s="1"/>
  <c r="AJ861" i="135" a="1"/>
  <c r="AJ861" i="135" s="1"/>
  <c r="AI861" i="135" a="1"/>
  <c r="AI861" i="135" s="1"/>
  <c r="AH861" i="135" a="1"/>
  <c r="AH861" i="135" s="1"/>
  <c r="AG861" i="135" a="1"/>
  <c r="AG861" i="135" s="1"/>
  <c r="AF861" i="135" a="1"/>
  <c r="AF861" i="135" s="1"/>
  <c r="AE861" i="135" a="1"/>
  <c r="AE861" i="135" s="1"/>
  <c r="AD861" i="135" a="1"/>
  <c r="AD861" i="135" s="1"/>
  <c r="AC861" i="135" a="1"/>
  <c r="AC861" i="135" s="1"/>
  <c r="AB861" i="135" a="1"/>
  <c r="AB861" i="135" s="1"/>
  <c r="AA861" i="135" a="1"/>
  <c r="AA861" i="135" s="1"/>
  <c r="Z861" i="135" a="1"/>
  <c r="Z861" i="135" s="1"/>
  <c r="Y861" i="135" a="1"/>
  <c r="Y861" i="135" s="1"/>
  <c r="X861" i="135" a="1"/>
  <c r="X861" i="135" s="1"/>
  <c r="W861" i="135" a="1"/>
  <c r="W861" i="135" s="1"/>
  <c r="AM860" i="135" a="1"/>
  <c r="AM860" i="135" s="1"/>
  <c r="AL860" i="135" a="1"/>
  <c r="AL860" i="135" s="1"/>
  <c r="AK860" i="135" a="1"/>
  <c r="AK860" i="135" s="1"/>
  <c r="AJ860" i="135" a="1"/>
  <c r="AJ860" i="135" s="1"/>
  <c r="AI860" i="135" a="1"/>
  <c r="AI860" i="135" s="1"/>
  <c r="AH860" i="135" a="1"/>
  <c r="AH860" i="135" s="1"/>
  <c r="AG860" i="135" a="1"/>
  <c r="AG860" i="135" s="1"/>
  <c r="AF860" i="135" a="1"/>
  <c r="AF860" i="135" s="1"/>
  <c r="AE860" i="135" a="1"/>
  <c r="AE860" i="135" s="1"/>
  <c r="AD860" i="135" a="1"/>
  <c r="AD860" i="135" s="1"/>
  <c r="AC860" i="135" a="1"/>
  <c r="AC860" i="135" s="1"/>
  <c r="AB860" i="135" a="1"/>
  <c r="AB860" i="135" s="1"/>
  <c r="AA860" i="135" a="1"/>
  <c r="AA860" i="135" s="1"/>
  <c r="Z860" i="135" a="1"/>
  <c r="Z860" i="135" s="1"/>
  <c r="Y860" i="135" a="1"/>
  <c r="Y860" i="135" s="1"/>
  <c r="X860" i="135" a="1"/>
  <c r="X860" i="135" s="1"/>
  <c r="W860" i="135" a="1"/>
  <c r="W860" i="135" s="1"/>
  <c r="AM859" i="135" a="1"/>
  <c r="AM859" i="135" s="1"/>
  <c r="AL859" i="135" a="1"/>
  <c r="AL859" i="135" s="1"/>
  <c r="AK859" i="135" a="1"/>
  <c r="AK859" i="135" s="1"/>
  <c r="AJ859" i="135" a="1"/>
  <c r="AJ859" i="135" s="1"/>
  <c r="AI859" i="135" a="1"/>
  <c r="AI859" i="135" s="1"/>
  <c r="AH859" i="135" a="1"/>
  <c r="AH859" i="135" s="1"/>
  <c r="AG859" i="135" a="1"/>
  <c r="AG859" i="135" s="1"/>
  <c r="AF859" i="135" a="1"/>
  <c r="AF859" i="135" s="1"/>
  <c r="AE859" i="135" a="1"/>
  <c r="AE859" i="135" s="1"/>
  <c r="AD859" i="135" a="1"/>
  <c r="AD859" i="135" s="1"/>
  <c r="AC859" i="135" a="1"/>
  <c r="AC859" i="135" s="1"/>
  <c r="AB859" i="135" a="1"/>
  <c r="AB859" i="135" s="1"/>
  <c r="AA859" i="135" a="1"/>
  <c r="AA859" i="135" s="1"/>
  <c r="Z859" i="135" a="1"/>
  <c r="Z859" i="135" s="1"/>
  <c r="Y859" i="135" a="1"/>
  <c r="Y859" i="135" s="1"/>
  <c r="X859" i="135" a="1"/>
  <c r="X859" i="135" s="1"/>
  <c r="W859" i="135" a="1"/>
  <c r="W859" i="135" s="1"/>
  <c r="AM858" i="135" a="1"/>
  <c r="AM858" i="135" s="1"/>
  <c r="AL858" i="135" a="1"/>
  <c r="AL858" i="135" s="1"/>
  <c r="AK858" i="135" a="1"/>
  <c r="AK858" i="135" s="1"/>
  <c r="AJ858" i="135" a="1"/>
  <c r="AJ858" i="135" s="1"/>
  <c r="AI858" i="135" a="1"/>
  <c r="AI858" i="135" s="1"/>
  <c r="AH858" i="135" a="1"/>
  <c r="AH858" i="135" s="1"/>
  <c r="AG858" i="135" a="1"/>
  <c r="AG858" i="135" s="1"/>
  <c r="AF858" i="135" a="1"/>
  <c r="AF858" i="135" s="1"/>
  <c r="AE858" i="135" a="1"/>
  <c r="AE858" i="135" s="1"/>
  <c r="AD858" i="135" a="1"/>
  <c r="AD858" i="135" s="1"/>
  <c r="AC858" i="135" a="1"/>
  <c r="AC858" i="135" s="1"/>
  <c r="AB858" i="135" a="1"/>
  <c r="AB858" i="135" s="1"/>
  <c r="AA858" i="135" a="1"/>
  <c r="AA858" i="135" s="1"/>
  <c r="Z858" i="135" a="1"/>
  <c r="Z858" i="135" s="1"/>
  <c r="Y858" i="135" a="1"/>
  <c r="Y858" i="135" s="1"/>
  <c r="X858" i="135" a="1"/>
  <c r="X858" i="135" s="1"/>
  <c r="W858" i="135" a="1"/>
  <c r="W858" i="135" s="1"/>
  <c r="AM857" i="135" a="1"/>
  <c r="AM857" i="135" s="1"/>
  <c r="AL857" i="135" a="1"/>
  <c r="AL857" i="135" s="1"/>
  <c r="AK857" i="135" a="1"/>
  <c r="AK857" i="135" s="1"/>
  <c r="AJ857" i="135" a="1"/>
  <c r="AJ857" i="135" s="1"/>
  <c r="AI857" i="135" a="1"/>
  <c r="AI857" i="135" s="1"/>
  <c r="AH857" i="135" a="1"/>
  <c r="AH857" i="135" s="1"/>
  <c r="AG857" i="135" a="1"/>
  <c r="AG857" i="135" s="1"/>
  <c r="AF857" i="135" a="1"/>
  <c r="AF857" i="135" s="1"/>
  <c r="AE857" i="135" a="1"/>
  <c r="AE857" i="135" s="1"/>
  <c r="AD857" i="135" a="1"/>
  <c r="AD857" i="135" s="1"/>
  <c r="AC857" i="135" a="1"/>
  <c r="AC857" i="135" s="1"/>
  <c r="AB857" i="135" a="1"/>
  <c r="AB857" i="135" s="1"/>
  <c r="AA857" i="135" a="1"/>
  <c r="AA857" i="135" s="1"/>
  <c r="Z857" i="135" a="1"/>
  <c r="Z857" i="135" s="1"/>
  <c r="Y857" i="135" a="1"/>
  <c r="Y857" i="135" s="1"/>
  <c r="X857" i="135" a="1"/>
  <c r="X857" i="135" s="1"/>
  <c r="W857" i="135" a="1"/>
  <c r="W857" i="135" s="1"/>
  <c r="AM856" i="135" a="1"/>
  <c r="AM856" i="135" s="1"/>
  <c r="AL856" i="135" a="1"/>
  <c r="AL856" i="135" s="1"/>
  <c r="AK856" i="135" a="1"/>
  <c r="AK856" i="135" s="1"/>
  <c r="AJ856" i="135" a="1"/>
  <c r="AJ856" i="135" s="1"/>
  <c r="AI856" i="135" a="1"/>
  <c r="AI856" i="135" s="1"/>
  <c r="AH856" i="135" a="1"/>
  <c r="AH856" i="135" s="1"/>
  <c r="AG856" i="135" a="1"/>
  <c r="AG856" i="135" s="1"/>
  <c r="AF856" i="135" a="1"/>
  <c r="AF856" i="135" s="1"/>
  <c r="AE856" i="135" a="1"/>
  <c r="AE856" i="135" s="1"/>
  <c r="AD856" i="135" a="1"/>
  <c r="AD856" i="135" s="1"/>
  <c r="AC856" i="135" a="1"/>
  <c r="AC856" i="135" s="1"/>
  <c r="AB856" i="135" a="1"/>
  <c r="AB856" i="135" s="1"/>
  <c r="AA856" i="135" a="1"/>
  <c r="AA856" i="135" s="1"/>
  <c r="Z856" i="135" a="1"/>
  <c r="Z856" i="135" s="1"/>
  <c r="Y856" i="135" a="1"/>
  <c r="Y856" i="135" s="1"/>
  <c r="X856" i="135" a="1"/>
  <c r="X856" i="135" s="1"/>
  <c r="W856" i="135" a="1"/>
  <c r="W856" i="135" s="1"/>
  <c r="AM855" i="135" a="1"/>
  <c r="AM855" i="135" s="1"/>
  <c r="AL855" i="135" a="1"/>
  <c r="AL855" i="135" s="1"/>
  <c r="AK855" i="135" a="1"/>
  <c r="AK855" i="135" s="1"/>
  <c r="AJ855" i="135" a="1"/>
  <c r="AJ855" i="135" s="1"/>
  <c r="AI855" i="135" a="1"/>
  <c r="AI855" i="135" s="1"/>
  <c r="AH855" i="135" a="1"/>
  <c r="AH855" i="135" s="1"/>
  <c r="AG855" i="135" a="1"/>
  <c r="AG855" i="135" s="1"/>
  <c r="AF855" i="135" a="1"/>
  <c r="AF855" i="135" s="1"/>
  <c r="AE855" i="135" a="1"/>
  <c r="AE855" i="135" s="1"/>
  <c r="AD855" i="135" a="1"/>
  <c r="AD855" i="135" s="1"/>
  <c r="AC855" i="135" a="1"/>
  <c r="AC855" i="135" s="1"/>
  <c r="AB855" i="135" a="1"/>
  <c r="AB855" i="135" s="1"/>
  <c r="AA855" i="135" a="1"/>
  <c r="AA855" i="135" s="1"/>
  <c r="Z855" i="135" a="1"/>
  <c r="Z855" i="135" s="1"/>
  <c r="Y855" i="135" a="1"/>
  <c r="Y855" i="135" s="1"/>
  <c r="X855" i="135" a="1"/>
  <c r="X855" i="135" s="1"/>
  <c r="W855" i="135" a="1"/>
  <c r="W855" i="135" s="1"/>
  <c r="AM854" i="135" a="1"/>
  <c r="AM854" i="135" s="1"/>
  <c r="AL854" i="135" a="1"/>
  <c r="AL854" i="135" s="1"/>
  <c r="AK854" i="135" a="1"/>
  <c r="AK854" i="135" s="1"/>
  <c r="AJ854" i="135" a="1"/>
  <c r="AJ854" i="135" s="1"/>
  <c r="AI854" i="135" a="1"/>
  <c r="AI854" i="135" s="1"/>
  <c r="AH854" i="135" a="1"/>
  <c r="AH854" i="135" s="1"/>
  <c r="AG854" i="135" a="1"/>
  <c r="AG854" i="135" s="1"/>
  <c r="AF854" i="135" a="1"/>
  <c r="AF854" i="135" s="1"/>
  <c r="AE854" i="135" a="1"/>
  <c r="AE854" i="135" s="1"/>
  <c r="AD854" i="135" a="1"/>
  <c r="AD854" i="135" s="1"/>
  <c r="AC854" i="135" a="1"/>
  <c r="AC854" i="135" s="1"/>
  <c r="AB854" i="135" a="1"/>
  <c r="AB854" i="135" s="1"/>
  <c r="AA854" i="135" a="1"/>
  <c r="AA854" i="135" s="1"/>
  <c r="Z854" i="135" a="1"/>
  <c r="Z854" i="135" s="1"/>
  <c r="Y854" i="135" a="1"/>
  <c r="Y854" i="135" s="1"/>
  <c r="X854" i="135" a="1"/>
  <c r="X854" i="135" s="1"/>
  <c r="W854" i="135" a="1"/>
  <c r="W854" i="135" s="1"/>
  <c r="AM853" i="135" a="1"/>
  <c r="AM853" i="135" s="1"/>
  <c r="AL853" i="135" a="1"/>
  <c r="AL853" i="135" s="1"/>
  <c r="AK853" i="135" a="1"/>
  <c r="AK853" i="135" s="1"/>
  <c r="AJ853" i="135" a="1"/>
  <c r="AJ853" i="135" s="1"/>
  <c r="AI853" i="135" a="1"/>
  <c r="AI853" i="135" s="1"/>
  <c r="AH853" i="135" a="1"/>
  <c r="AH853" i="135" s="1"/>
  <c r="AG853" i="135" a="1"/>
  <c r="AG853" i="135" s="1"/>
  <c r="AF853" i="135" a="1"/>
  <c r="AF853" i="135" s="1"/>
  <c r="AE853" i="135" a="1"/>
  <c r="AE853" i="135" s="1"/>
  <c r="AD853" i="135" a="1"/>
  <c r="AD853" i="135" s="1"/>
  <c r="AC853" i="135" a="1"/>
  <c r="AC853" i="135" s="1"/>
  <c r="AB853" i="135" a="1"/>
  <c r="AB853" i="135" s="1"/>
  <c r="AA853" i="135" a="1"/>
  <c r="AA853" i="135" s="1"/>
  <c r="Z853" i="135" a="1"/>
  <c r="Z853" i="135" s="1"/>
  <c r="Y853" i="135" a="1"/>
  <c r="Y853" i="135" s="1"/>
  <c r="X853" i="135" a="1"/>
  <c r="X853" i="135" s="1"/>
  <c r="W853" i="135" a="1"/>
  <c r="W853" i="135" s="1"/>
  <c r="AM852" i="135" a="1"/>
  <c r="AM852" i="135" s="1"/>
  <c r="AL852" i="135" a="1"/>
  <c r="AL852" i="135" s="1"/>
  <c r="AK852" i="135" a="1"/>
  <c r="AK852" i="135" s="1"/>
  <c r="AJ852" i="135" a="1"/>
  <c r="AJ852" i="135" s="1"/>
  <c r="AI852" i="135" a="1"/>
  <c r="AI852" i="135" s="1"/>
  <c r="AH852" i="135" a="1"/>
  <c r="AH852" i="135" s="1"/>
  <c r="AG852" i="135" a="1"/>
  <c r="AG852" i="135" s="1"/>
  <c r="AF852" i="135" a="1"/>
  <c r="AF852" i="135" s="1"/>
  <c r="AE852" i="135" a="1"/>
  <c r="AE852" i="135" s="1"/>
  <c r="AD852" i="135" a="1"/>
  <c r="AD852" i="135" s="1"/>
  <c r="AC852" i="135" a="1"/>
  <c r="AC852" i="135" s="1"/>
  <c r="AB852" i="135" a="1"/>
  <c r="AB852" i="135" s="1"/>
  <c r="AA852" i="135" a="1"/>
  <c r="AA852" i="135" s="1"/>
  <c r="Z852" i="135" a="1"/>
  <c r="Z852" i="135" s="1"/>
  <c r="Y852" i="135" a="1"/>
  <c r="Y852" i="135" s="1"/>
  <c r="X852" i="135" a="1"/>
  <c r="X852" i="135" s="1"/>
  <c r="W852" i="135" a="1"/>
  <c r="W852" i="135" s="1"/>
  <c r="AM851" i="135" a="1"/>
  <c r="AM851" i="135" s="1"/>
  <c r="AL851" i="135" a="1"/>
  <c r="AL851" i="135" s="1"/>
  <c r="AK851" i="135" a="1"/>
  <c r="AK851" i="135" s="1"/>
  <c r="AJ851" i="135" a="1"/>
  <c r="AJ851" i="135" s="1"/>
  <c r="AI851" i="135" a="1"/>
  <c r="AI851" i="135" s="1"/>
  <c r="AH851" i="135" a="1"/>
  <c r="AH851" i="135" s="1"/>
  <c r="AG851" i="135" a="1"/>
  <c r="AG851" i="135" s="1"/>
  <c r="AF851" i="135" a="1"/>
  <c r="AF851" i="135" s="1"/>
  <c r="AE851" i="135" a="1"/>
  <c r="AE851" i="135" s="1"/>
  <c r="AD851" i="135" a="1"/>
  <c r="AD851" i="135" s="1"/>
  <c r="AC851" i="135" a="1"/>
  <c r="AC851" i="135" s="1"/>
  <c r="AB851" i="135" a="1"/>
  <c r="AB851" i="135" s="1"/>
  <c r="AA851" i="135" a="1"/>
  <c r="AA851" i="135" s="1"/>
  <c r="Z851" i="135" a="1"/>
  <c r="Z851" i="135" s="1"/>
  <c r="Y851" i="135" a="1"/>
  <c r="Y851" i="135" s="1"/>
  <c r="X851" i="135" a="1"/>
  <c r="X851" i="135" s="1"/>
  <c r="W851" i="135" a="1"/>
  <c r="W851" i="135" s="1"/>
  <c r="AM850" i="135" a="1"/>
  <c r="AM850" i="135" s="1"/>
  <c r="AL850" i="135" a="1"/>
  <c r="AL850" i="135" s="1"/>
  <c r="AK850" i="135" a="1"/>
  <c r="AK850" i="135" s="1"/>
  <c r="AJ850" i="135" a="1"/>
  <c r="AJ850" i="135" s="1"/>
  <c r="AI850" i="135" a="1"/>
  <c r="AI850" i="135" s="1"/>
  <c r="AH850" i="135" a="1"/>
  <c r="AH850" i="135" s="1"/>
  <c r="AG850" i="135" a="1"/>
  <c r="AG850" i="135" s="1"/>
  <c r="AF850" i="135" a="1"/>
  <c r="AF850" i="135" s="1"/>
  <c r="AE850" i="135" a="1"/>
  <c r="AE850" i="135" s="1"/>
  <c r="AD850" i="135" a="1"/>
  <c r="AD850" i="135" s="1"/>
  <c r="AC850" i="135" a="1"/>
  <c r="AC850" i="135" s="1"/>
  <c r="AB850" i="135" a="1"/>
  <c r="AB850" i="135" s="1"/>
  <c r="AA850" i="135" a="1"/>
  <c r="AA850" i="135" s="1"/>
  <c r="Z850" i="135" a="1"/>
  <c r="Z850" i="135" s="1"/>
  <c r="Y850" i="135" a="1"/>
  <c r="Y850" i="135" s="1"/>
  <c r="X850" i="135" a="1"/>
  <c r="X850" i="135" s="1"/>
  <c r="W850" i="135" a="1"/>
  <c r="W850" i="135" s="1"/>
  <c r="AM849" i="135" a="1"/>
  <c r="AM849" i="135" s="1"/>
  <c r="AL849" i="135" a="1"/>
  <c r="AL849" i="135" s="1"/>
  <c r="AK849" i="135" a="1"/>
  <c r="AK849" i="135" s="1"/>
  <c r="AJ849" i="135" a="1"/>
  <c r="AJ849" i="135" s="1"/>
  <c r="AI849" i="135" a="1"/>
  <c r="AI849" i="135" s="1"/>
  <c r="AH849" i="135" a="1"/>
  <c r="AH849" i="135" s="1"/>
  <c r="AG849" i="135" a="1"/>
  <c r="AG849" i="135" s="1"/>
  <c r="AF849" i="135" a="1"/>
  <c r="AF849" i="135" s="1"/>
  <c r="AE849" i="135" a="1"/>
  <c r="AE849" i="135" s="1"/>
  <c r="AD849" i="135" a="1"/>
  <c r="AD849" i="135" s="1"/>
  <c r="AC849" i="135" a="1"/>
  <c r="AC849" i="135" s="1"/>
  <c r="AB849" i="135" a="1"/>
  <c r="AB849" i="135" s="1"/>
  <c r="AA849" i="135" a="1"/>
  <c r="AA849" i="135" s="1"/>
  <c r="Z849" i="135" a="1"/>
  <c r="Z849" i="135" s="1"/>
  <c r="Y849" i="135" a="1"/>
  <c r="Y849" i="135" s="1"/>
  <c r="X849" i="135" a="1"/>
  <c r="X849" i="135" s="1"/>
  <c r="W849" i="135" a="1"/>
  <c r="W849" i="135" s="1"/>
  <c r="AM848" i="135" a="1"/>
  <c r="AM848" i="135" s="1"/>
  <c r="AL848" i="135" a="1"/>
  <c r="AL848" i="135" s="1"/>
  <c r="AK848" i="135" a="1"/>
  <c r="AK848" i="135" s="1"/>
  <c r="AJ848" i="135" a="1"/>
  <c r="AJ848" i="135" s="1"/>
  <c r="AI848" i="135" a="1"/>
  <c r="AI848" i="135" s="1"/>
  <c r="AH848" i="135" a="1"/>
  <c r="AH848" i="135" s="1"/>
  <c r="AG848" i="135" a="1"/>
  <c r="AG848" i="135" s="1"/>
  <c r="AF848" i="135" a="1"/>
  <c r="AF848" i="135" s="1"/>
  <c r="AE848" i="135" a="1"/>
  <c r="AE848" i="135" s="1"/>
  <c r="AD848" i="135" a="1"/>
  <c r="AD848" i="135" s="1"/>
  <c r="AC848" i="135" a="1"/>
  <c r="AC848" i="135" s="1"/>
  <c r="AB848" i="135" a="1"/>
  <c r="AB848" i="135" s="1"/>
  <c r="AA848" i="135" a="1"/>
  <c r="AA848" i="135" s="1"/>
  <c r="Z848" i="135" a="1"/>
  <c r="Z848" i="135" s="1"/>
  <c r="Y848" i="135" a="1"/>
  <c r="Y848" i="135" s="1"/>
  <c r="X848" i="135" a="1"/>
  <c r="X848" i="135" s="1"/>
  <c r="W848" i="135" a="1"/>
  <c r="W848" i="135" s="1"/>
  <c r="AM847" i="135" a="1"/>
  <c r="AM847" i="135" s="1"/>
  <c r="AL847" i="135" a="1"/>
  <c r="AL847" i="135" s="1"/>
  <c r="AK847" i="135" a="1"/>
  <c r="AK847" i="135" s="1"/>
  <c r="AJ847" i="135" a="1"/>
  <c r="AJ847" i="135" s="1"/>
  <c r="AI847" i="135" a="1"/>
  <c r="AI847" i="135" s="1"/>
  <c r="AH847" i="135" a="1"/>
  <c r="AH847" i="135" s="1"/>
  <c r="AG847" i="135" a="1"/>
  <c r="AG847" i="135" s="1"/>
  <c r="AF847" i="135" a="1"/>
  <c r="AF847" i="135" s="1"/>
  <c r="AE847" i="135" a="1"/>
  <c r="AE847" i="135" s="1"/>
  <c r="AD847" i="135" a="1"/>
  <c r="AD847" i="135" s="1"/>
  <c r="AC847" i="135" a="1"/>
  <c r="AC847" i="135" s="1"/>
  <c r="AB847" i="135" a="1"/>
  <c r="AB847" i="135" s="1"/>
  <c r="AA847" i="135" a="1"/>
  <c r="AA847" i="135" s="1"/>
  <c r="Z847" i="135" a="1"/>
  <c r="Z847" i="135" s="1"/>
  <c r="Y847" i="135" a="1"/>
  <c r="Y847" i="135" s="1"/>
  <c r="X847" i="135" a="1"/>
  <c r="X847" i="135" s="1"/>
  <c r="W847" i="135" a="1"/>
  <c r="W847" i="135" s="1"/>
  <c r="AM846" i="135" a="1"/>
  <c r="AM846" i="135" s="1"/>
  <c r="AL846" i="135" a="1"/>
  <c r="AL846" i="135" s="1"/>
  <c r="AK846" i="135" a="1"/>
  <c r="AK846" i="135" s="1"/>
  <c r="AJ846" i="135" a="1"/>
  <c r="AJ846" i="135" s="1"/>
  <c r="AI846" i="135" a="1"/>
  <c r="AI846" i="135" s="1"/>
  <c r="AH846" i="135" a="1"/>
  <c r="AH846" i="135" s="1"/>
  <c r="AG846" i="135" a="1"/>
  <c r="AG846" i="135" s="1"/>
  <c r="AF846" i="135" a="1"/>
  <c r="AF846" i="135" s="1"/>
  <c r="AE846" i="135" a="1"/>
  <c r="AE846" i="135" s="1"/>
  <c r="AD846" i="135" a="1"/>
  <c r="AD846" i="135" s="1"/>
  <c r="AC846" i="135" a="1"/>
  <c r="AC846" i="135" s="1"/>
  <c r="AB846" i="135" a="1"/>
  <c r="AB846" i="135" s="1"/>
  <c r="AA846" i="135" a="1"/>
  <c r="AA846" i="135" s="1"/>
  <c r="Z846" i="135" a="1"/>
  <c r="Z846" i="135" s="1"/>
  <c r="Y846" i="135" a="1"/>
  <c r="Y846" i="135" s="1"/>
  <c r="X846" i="135" a="1"/>
  <c r="X846" i="135" s="1"/>
  <c r="W846" i="135" a="1"/>
  <c r="W846" i="135" s="1"/>
  <c r="AM845" i="135" a="1"/>
  <c r="AM845" i="135" s="1"/>
  <c r="AL845" i="135" a="1"/>
  <c r="AL845" i="135" s="1"/>
  <c r="AK845" i="135" a="1"/>
  <c r="AK845" i="135" s="1"/>
  <c r="AJ845" i="135" a="1"/>
  <c r="AJ845" i="135" s="1"/>
  <c r="AI845" i="135" a="1"/>
  <c r="AI845" i="135" s="1"/>
  <c r="AH845" i="135" a="1"/>
  <c r="AH845" i="135" s="1"/>
  <c r="AG845" i="135" a="1"/>
  <c r="AG845" i="135" s="1"/>
  <c r="AF845" i="135" a="1"/>
  <c r="AF845" i="135" s="1"/>
  <c r="AE845" i="135" a="1"/>
  <c r="AE845" i="135" s="1"/>
  <c r="AD845" i="135" a="1"/>
  <c r="AD845" i="135" s="1"/>
  <c r="AC845" i="135" a="1"/>
  <c r="AC845" i="135" s="1"/>
  <c r="AB845" i="135" a="1"/>
  <c r="AB845" i="135" s="1"/>
  <c r="AA845" i="135" a="1"/>
  <c r="AA845" i="135" s="1"/>
  <c r="Z845" i="135" a="1"/>
  <c r="Z845" i="135" s="1"/>
  <c r="Y845" i="135" a="1"/>
  <c r="Y845" i="135" s="1"/>
  <c r="X845" i="135" a="1"/>
  <c r="X845" i="135" s="1"/>
  <c r="W845" i="135" a="1"/>
  <c r="W845" i="135" s="1"/>
  <c r="AM844" i="135" a="1"/>
  <c r="AM844" i="135" s="1"/>
  <c r="AL844" i="135" a="1"/>
  <c r="AL844" i="135" s="1"/>
  <c r="AK844" i="135" a="1"/>
  <c r="AK844" i="135" s="1"/>
  <c r="AJ844" i="135" a="1"/>
  <c r="AJ844" i="135" s="1"/>
  <c r="AI844" i="135" a="1"/>
  <c r="AI844" i="135" s="1"/>
  <c r="AH844" i="135" a="1"/>
  <c r="AH844" i="135" s="1"/>
  <c r="AG844" i="135" a="1"/>
  <c r="AG844" i="135" s="1"/>
  <c r="AF844" i="135" a="1"/>
  <c r="AF844" i="135" s="1"/>
  <c r="AE844" i="135" a="1"/>
  <c r="AE844" i="135" s="1"/>
  <c r="AD844" i="135" a="1"/>
  <c r="AD844" i="135" s="1"/>
  <c r="AC844" i="135" a="1"/>
  <c r="AC844" i="135" s="1"/>
  <c r="AB844" i="135" a="1"/>
  <c r="AB844" i="135" s="1"/>
  <c r="AA844" i="135" a="1"/>
  <c r="AA844" i="135" s="1"/>
  <c r="Z844" i="135" a="1"/>
  <c r="Z844" i="135" s="1"/>
  <c r="Y844" i="135" a="1"/>
  <c r="Y844" i="135" s="1"/>
  <c r="X844" i="135" a="1"/>
  <c r="X844" i="135" s="1"/>
  <c r="W844" i="135" a="1"/>
  <c r="W844" i="135" s="1"/>
  <c r="AM843" i="135" a="1"/>
  <c r="AM843" i="135" s="1"/>
  <c r="AL843" i="135" a="1"/>
  <c r="AL843" i="135" s="1"/>
  <c r="AK843" i="135" a="1"/>
  <c r="AK843" i="135" s="1"/>
  <c r="AJ843" i="135" a="1"/>
  <c r="AJ843" i="135" s="1"/>
  <c r="AI843" i="135" a="1"/>
  <c r="AI843" i="135" s="1"/>
  <c r="AH843" i="135" a="1"/>
  <c r="AH843" i="135" s="1"/>
  <c r="AG843" i="135" a="1"/>
  <c r="AG843" i="135" s="1"/>
  <c r="AF843" i="135" a="1"/>
  <c r="AF843" i="135" s="1"/>
  <c r="AE843" i="135" a="1"/>
  <c r="AE843" i="135" s="1"/>
  <c r="AD843" i="135" a="1"/>
  <c r="AD843" i="135" s="1"/>
  <c r="AC843" i="135" a="1"/>
  <c r="AC843" i="135" s="1"/>
  <c r="AB843" i="135" a="1"/>
  <c r="AB843" i="135" s="1"/>
  <c r="AA843" i="135" a="1"/>
  <c r="AA843" i="135" s="1"/>
  <c r="Z843" i="135" a="1"/>
  <c r="Z843" i="135" s="1"/>
  <c r="Y843" i="135" a="1"/>
  <c r="Y843" i="135" s="1"/>
  <c r="X843" i="135" a="1"/>
  <c r="X843" i="135" s="1"/>
  <c r="W843" i="135" a="1"/>
  <c r="W843" i="135" s="1"/>
  <c r="AM842" i="135" a="1"/>
  <c r="AM842" i="135" s="1"/>
  <c r="AL842" i="135" a="1"/>
  <c r="AL842" i="135" s="1"/>
  <c r="AK842" i="135" a="1"/>
  <c r="AK842" i="135" s="1"/>
  <c r="AJ842" i="135" a="1"/>
  <c r="AJ842" i="135" s="1"/>
  <c r="AI842" i="135" a="1"/>
  <c r="AI842" i="135" s="1"/>
  <c r="AH842" i="135" a="1"/>
  <c r="AH842" i="135" s="1"/>
  <c r="AG842" i="135" a="1"/>
  <c r="AG842" i="135" s="1"/>
  <c r="AF842" i="135" a="1"/>
  <c r="AF842" i="135" s="1"/>
  <c r="AE842" i="135" a="1"/>
  <c r="AE842" i="135" s="1"/>
  <c r="AD842" i="135" a="1"/>
  <c r="AD842" i="135" s="1"/>
  <c r="AC842" i="135" a="1"/>
  <c r="AC842" i="135" s="1"/>
  <c r="AB842" i="135" a="1"/>
  <c r="AB842" i="135" s="1"/>
  <c r="AA842" i="135" a="1"/>
  <c r="AA842" i="135" s="1"/>
  <c r="Z842" i="135" a="1"/>
  <c r="Z842" i="135" s="1"/>
  <c r="Y842" i="135" a="1"/>
  <c r="Y842" i="135" s="1"/>
  <c r="X842" i="135" a="1"/>
  <c r="X842" i="135" s="1"/>
  <c r="W842" i="135" a="1"/>
  <c r="W842" i="135" s="1"/>
  <c r="AM841" i="135" a="1"/>
  <c r="AM841" i="135" s="1"/>
  <c r="AL841" i="135" a="1"/>
  <c r="AL841" i="135" s="1"/>
  <c r="AK841" i="135" a="1"/>
  <c r="AK841" i="135" s="1"/>
  <c r="AJ841" i="135" a="1"/>
  <c r="AJ841" i="135" s="1"/>
  <c r="AI841" i="135" a="1"/>
  <c r="AI841" i="135" s="1"/>
  <c r="AH841" i="135" a="1"/>
  <c r="AH841" i="135" s="1"/>
  <c r="AG841" i="135" a="1"/>
  <c r="AG841" i="135" s="1"/>
  <c r="AF841" i="135" a="1"/>
  <c r="AF841" i="135" s="1"/>
  <c r="AE841" i="135" a="1"/>
  <c r="AE841" i="135" s="1"/>
  <c r="AD841" i="135" a="1"/>
  <c r="AD841" i="135" s="1"/>
  <c r="AC841" i="135" a="1"/>
  <c r="AC841" i="135" s="1"/>
  <c r="AB841" i="135" a="1"/>
  <c r="AB841" i="135" s="1"/>
  <c r="AA841" i="135" a="1"/>
  <c r="AA841" i="135" s="1"/>
  <c r="Z841" i="135" a="1"/>
  <c r="Z841" i="135" s="1"/>
  <c r="Y841" i="135" a="1"/>
  <c r="Y841" i="135" s="1"/>
  <c r="X841" i="135" a="1"/>
  <c r="X841" i="135" s="1"/>
  <c r="W841" i="135" a="1"/>
  <c r="W841" i="135" s="1"/>
  <c r="AM840" i="135" a="1"/>
  <c r="AM840" i="135" s="1"/>
  <c r="AL840" i="135" a="1"/>
  <c r="AL840" i="135" s="1"/>
  <c r="AK840" i="135" a="1"/>
  <c r="AK840" i="135" s="1"/>
  <c r="AJ840" i="135" a="1"/>
  <c r="AJ840" i="135" s="1"/>
  <c r="AI840" i="135" a="1"/>
  <c r="AI840" i="135" s="1"/>
  <c r="AH840" i="135" a="1"/>
  <c r="AH840" i="135" s="1"/>
  <c r="AG840" i="135" a="1"/>
  <c r="AG840" i="135" s="1"/>
  <c r="AF840" i="135" a="1"/>
  <c r="AF840" i="135" s="1"/>
  <c r="AE840" i="135" a="1"/>
  <c r="AE840" i="135" s="1"/>
  <c r="AD840" i="135" a="1"/>
  <c r="AD840" i="135" s="1"/>
  <c r="AC840" i="135" a="1"/>
  <c r="AC840" i="135" s="1"/>
  <c r="AB840" i="135" a="1"/>
  <c r="AB840" i="135" s="1"/>
  <c r="AA840" i="135" a="1"/>
  <c r="AA840" i="135" s="1"/>
  <c r="Z840" i="135" a="1"/>
  <c r="Z840" i="135" s="1"/>
  <c r="Y840" i="135" a="1"/>
  <c r="Y840" i="135" s="1"/>
  <c r="X840" i="135" a="1"/>
  <c r="X840" i="135" s="1"/>
  <c r="W840" i="135" a="1"/>
  <c r="W840" i="135" s="1"/>
  <c r="AM839" i="135" a="1"/>
  <c r="AM839" i="135" s="1"/>
  <c r="AL839" i="135" a="1"/>
  <c r="AL839" i="135" s="1"/>
  <c r="AK839" i="135" a="1"/>
  <c r="AK839" i="135" s="1"/>
  <c r="AJ839" i="135" a="1"/>
  <c r="AJ839" i="135" s="1"/>
  <c r="AI839" i="135" a="1"/>
  <c r="AI839" i="135" s="1"/>
  <c r="AH839" i="135" a="1"/>
  <c r="AH839" i="135" s="1"/>
  <c r="AG839" i="135" a="1"/>
  <c r="AG839" i="135" s="1"/>
  <c r="AF839" i="135" a="1"/>
  <c r="AF839" i="135" s="1"/>
  <c r="AE839" i="135" a="1"/>
  <c r="AE839" i="135" s="1"/>
  <c r="AD839" i="135" a="1"/>
  <c r="AD839" i="135" s="1"/>
  <c r="AC839" i="135" a="1"/>
  <c r="AC839" i="135" s="1"/>
  <c r="AB839" i="135" a="1"/>
  <c r="AB839" i="135" s="1"/>
  <c r="AA839" i="135" a="1"/>
  <c r="AA839" i="135" s="1"/>
  <c r="Z839" i="135" a="1"/>
  <c r="Z839" i="135" s="1"/>
  <c r="Y839" i="135" a="1"/>
  <c r="Y839" i="135" s="1"/>
  <c r="X839" i="135" a="1"/>
  <c r="X839" i="135" s="1"/>
  <c r="W839" i="135" a="1"/>
  <c r="W839" i="135" s="1"/>
  <c r="AM838" i="135" a="1"/>
  <c r="AM838" i="135" s="1"/>
  <c r="AL838" i="135" a="1"/>
  <c r="AL838" i="135" s="1"/>
  <c r="AK838" i="135" a="1"/>
  <c r="AK838" i="135" s="1"/>
  <c r="AJ838" i="135" a="1"/>
  <c r="AJ838" i="135" s="1"/>
  <c r="AI838" i="135" a="1"/>
  <c r="AI838" i="135" s="1"/>
  <c r="AH838" i="135" a="1"/>
  <c r="AH838" i="135" s="1"/>
  <c r="AG838" i="135" a="1"/>
  <c r="AG838" i="135" s="1"/>
  <c r="AF838" i="135" a="1"/>
  <c r="AF838" i="135" s="1"/>
  <c r="AE838" i="135" a="1"/>
  <c r="AE838" i="135" s="1"/>
  <c r="AD838" i="135" a="1"/>
  <c r="AD838" i="135" s="1"/>
  <c r="AC838" i="135" a="1"/>
  <c r="AC838" i="135" s="1"/>
  <c r="AB838" i="135" a="1"/>
  <c r="AB838" i="135" s="1"/>
  <c r="AA838" i="135" a="1"/>
  <c r="AA838" i="135" s="1"/>
  <c r="Z838" i="135" a="1"/>
  <c r="Z838" i="135" s="1"/>
  <c r="Y838" i="135" a="1"/>
  <c r="Y838" i="135" s="1"/>
  <c r="X838" i="135" a="1"/>
  <c r="X838" i="135" s="1"/>
  <c r="W838" i="135" a="1"/>
  <c r="W838" i="135" s="1"/>
  <c r="AM837" i="135" a="1"/>
  <c r="AM837" i="135" s="1"/>
  <c r="AL837" i="135" a="1"/>
  <c r="AL837" i="135" s="1"/>
  <c r="AK837" i="135" a="1"/>
  <c r="AK837" i="135" s="1"/>
  <c r="AJ837" i="135" a="1"/>
  <c r="AJ837" i="135" s="1"/>
  <c r="AI837" i="135" a="1"/>
  <c r="AI837" i="135" s="1"/>
  <c r="AH837" i="135" a="1"/>
  <c r="AH837" i="135" s="1"/>
  <c r="AG837" i="135" a="1"/>
  <c r="AG837" i="135" s="1"/>
  <c r="AF837" i="135" a="1"/>
  <c r="AF837" i="135" s="1"/>
  <c r="AE837" i="135" a="1"/>
  <c r="AE837" i="135" s="1"/>
  <c r="AD837" i="135" a="1"/>
  <c r="AD837" i="135" s="1"/>
  <c r="AC837" i="135" a="1"/>
  <c r="AC837" i="135" s="1"/>
  <c r="AB837" i="135" a="1"/>
  <c r="AB837" i="135" s="1"/>
  <c r="AA837" i="135" a="1"/>
  <c r="AA837" i="135" s="1"/>
  <c r="Z837" i="135" a="1"/>
  <c r="Z837" i="135" s="1"/>
  <c r="Y837" i="135" a="1"/>
  <c r="Y837" i="135" s="1"/>
  <c r="X837" i="135" a="1"/>
  <c r="X837" i="135" s="1"/>
  <c r="W837" i="135" a="1"/>
  <c r="W837" i="135" s="1"/>
  <c r="AM836" i="135" a="1"/>
  <c r="AM836" i="135" s="1"/>
  <c r="AL836" i="135" a="1"/>
  <c r="AL836" i="135" s="1"/>
  <c r="AK836" i="135" a="1"/>
  <c r="AK836" i="135" s="1"/>
  <c r="AJ836" i="135" a="1"/>
  <c r="AJ836" i="135" s="1"/>
  <c r="AI836" i="135" a="1"/>
  <c r="AI836" i="135" s="1"/>
  <c r="AH836" i="135" a="1"/>
  <c r="AH836" i="135" s="1"/>
  <c r="AG836" i="135" a="1"/>
  <c r="AG836" i="135" s="1"/>
  <c r="AF836" i="135" a="1"/>
  <c r="AF836" i="135" s="1"/>
  <c r="AE836" i="135" a="1"/>
  <c r="AE836" i="135" s="1"/>
  <c r="AD836" i="135" a="1"/>
  <c r="AD836" i="135" s="1"/>
  <c r="AC836" i="135" a="1"/>
  <c r="AC836" i="135" s="1"/>
  <c r="AB836" i="135" a="1"/>
  <c r="AB836" i="135" s="1"/>
  <c r="AA836" i="135" a="1"/>
  <c r="AA836" i="135" s="1"/>
  <c r="Z836" i="135" a="1"/>
  <c r="Z836" i="135" s="1"/>
  <c r="Y836" i="135" a="1"/>
  <c r="Y836" i="135" s="1"/>
  <c r="X836" i="135" a="1"/>
  <c r="X836" i="135" s="1"/>
  <c r="W836" i="135" a="1"/>
  <c r="W836" i="135" s="1"/>
  <c r="AM835" i="135" a="1"/>
  <c r="AM835" i="135" s="1"/>
  <c r="AL835" i="135" a="1"/>
  <c r="AL835" i="135" s="1"/>
  <c r="AK835" i="135" a="1"/>
  <c r="AK835" i="135" s="1"/>
  <c r="AJ835" i="135" a="1"/>
  <c r="AJ835" i="135" s="1"/>
  <c r="AI835" i="135" a="1"/>
  <c r="AI835" i="135" s="1"/>
  <c r="AH835" i="135" a="1"/>
  <c r="AH835" i="135" s="1"/>
  <c r="AG835" i="135" a="1"/>
  <c r="AG835" i="135" s="1"/>
  <c r="AF835" i="135" a="1"/>
  <c r="AF835" i="135" s="1"/>
  <c r="AE835" i="135" a="1"/>
  <c r="AE835" i="135" s="1"/>
  <c r="AD835" i="135" a="1"/>
  <c r="AD835" i="135" s="1"/>
  <c r="AC835" i="135" a="1"/>
  <c r="AC835" i="135" s="1"/>
  <c r="AB835" i="135" a="1"/>
  <c r="AB835" i="135" s="1"/>
  <c r="AA835" i="135" a="1"/>
  <c r="AA835" i="135" s="1"/>
  <c r="Z835" i="135" a="1"/>
  <c r="Z835" i="135" s="1"/>
  <c r="Y835" i="135" a="1"/>
  <c r="Y835" i="135" s="1"/>
  <c r="X835" i="135" a="1"/>
  <c r="X835" i="135" s="1"/>
  <c r="W835" i="135" a="1"/>
  <c r="W835" i="135" s="1"/>
  <c r="AM834" i="135" a="1"/>
  <c r="AM834" i="135" s="1"/>
  <c r="AL834" i="135" a="1"/>
  <c r="AL834" i="135" s="1"/>
  <c r="AK834" i="135" a="1"/>
  <c r="AK834" i="135" s="1"/>
  <c r="AJ834" i="135" a="1"/>
  <c r="AJ834" i="135" s="1"/>
  <c r="AI834" i="135" a="1"/>
  <c r="AI834" i="135" s="1"/>
  <c r="AH834" i="135" a="1"/>
  <c r="AH834" i="135" s="1"/>
  <c r="AG834" i="135" a="1"/>
  <c r="AG834" i="135" s="1"/>
  <c r="AF834" i="135" a="1"/>
  <c r="AF834" i="135" s="1"/>
  <c r="AE834" i="135" a="1"/>
  <c r="AE834" i="135" s="1"/>
  <c r="AD834" i="135" a="1"/>
  <c r="AD834" i="135" s="1"/>
  <c r="AC834" i="135" a="1"/>
  <c r="AC834" i="135" s="1"/>
  <c r="AB834" i="135" a="1"/>
  <c r="AB834" i="135" s="1"/>
  <c r="AA834" i="135" a="1"/>
  <c r="AA834" i="135" s="1"/>
  <c r="Z834" i="135" a="1"/>
  <c r="Z834" i="135" s="1"/>
  <c r="Y834" i="135" a="1"/>
  <c r="Y834" i="135" s="1"/>
  <c r="X834" i="135" a="1"/>
  <c r="X834" i="135" s="1"/>
  <c r="W834" i="135" a="1"/>
  <c r="W834" i="135" s="1"/>
  <c r="AM833" i="135" a="1"/>
  <c r="AM833" i="135" s="1"/>
  <c r="AL833" i="135" a="1"/>
  <c r="AL833" i="135" s="1"/>
  <c r="AK833" i="135" a="1"/>
  <c r="AK833" i="135" s="1"/>
  <c r="AJ833" i="135" a="1"/>
  <c r="AJ833" i="135" s="1"/>
  <c r="AI833" i="135" a="1"/>
  <c r="AI833" i="135" s="1"/>
  <c r="AH833" i="135" a="1"/>
  <c r="AH833" i="135" s="1"/>
  <c r="AG833" i="135" a="1"/>
  <c r="AG833" i="135" s="1"/>
  <c r="AF833" i="135" a="1"/>
  <c r="AF833" i="135" s="1"/>
  <c r="AE833" i="135" a="1"/>
  <c r="AE833" i="135" s="1"/>
  <c r="AD833" i="135" a="1"/>
  <c r="AD833" i="135" s="1"/>
  <c r="AC833" i="135" a="1"/>
  <c r="AC833" i="135" s="1"/>
  <c r="AB833" i="135" a="1"/>
  <c r="AB833" i="135" s="1"/>
  <c r="AA833" i="135" a="1"/>
  <c r="AA833" i="135" s="1"/>
  <c r="Z833" i="135" a="1"/>
  <c r="Z833" i="135" s="1"/>
  <c r="Y833" i="135" a="1"/>
  <c r="Y833" i="135" s="1"/>
  <c r="X833" i="135" a="1"/>
  <c r="X833" i="135" s="1"/>
  <c r="W833" i="135" a="1"/>
  <c r="W833" i="135" s="1"/>
  <c r="AM832" i="135" a="1"/>
  <c r="AM832" i="135" s="1"/>
  <c r="AL832" i="135" a="1"/>
  <c r="AL832" i="135" s="1"/>
  <c r="AK832" i="135" a="1"/>
  <c r="AK832" i="135" s="1"/>
  <c r="AJ832" i="135" a="1"/>
  <c r="AJ832" i="135" s="1"/>
  <c r="AI832" i="135" a="1"/>
  <c r="AI832" i="135" s="1"/>
  <c r="AH832" i="135" a="1"/>
  <c r="AH832" i="135" s="1"/>
  <c r="AG832" i="135" a="1"/>
  <c r="AG832" i="135" s="1"/>
  <c r="AF832" i="135" a="1"/>
  <c r="AF832" i="135" s="1"/>
  <c r="AE832" i="135" a="1"/>
  <c r="AE832" i="135" s="1"/>
  <c r="AD832" i="135" a="1"/>
  <c r="AD832" i="135" s="1"/>
  <c r="AC832" i="135" a="1"/>
  <c r="AC832" i="135" s="1"/>
  <c r="AB832" i="135" a="1"/>
  <c r="AB832" i="135" s="1"/>
  <c r="AA832" i="135" a="1"/>
  <c r="AA832" i="135" s="1"/>
  <c r="Z832" i="135" a="1"/>
  <c r="Z832" i="135" s="1"/>
  <c r="Y832" i="135" a="1"/>
  <c r="Y832" i="135" s="1"/>
  <c r="X832" i="135" a="1"/>
  <c r="X832" i="135" s="1"/>
  <c r="W832" i="135" a="1"/>
  <c r="W832" i="135" s="1"/>
  <c r="AM831" i="135" a="1"/>
  <c r="AM831" i="135" s="1"/>
  <c r="AL831" i="135" a="1"/>
  <c r="AL831" i="135" s="1"/>
  <c r="AK831" i="135" a="1"/>
  <c r="AK831" i="135" s="1"/>
  <c r="AJ831" i="135" a="1"/>
  <c r="AJ831" i="135" s="1"/>
  <c r="AI831" i="135" a="1"/>
  <c r="AI831" i="135" s="1"/>
  <c r="AH831" i="135" a="1"/>
  <c r="AH831" i="135" s="1"/>
  <c r="AG831" i="135" a="1"/>
  <c r="AG831" i="135" s="1"/>
  <c r="AF831" i="135" a="1"/>
  <c r="AF831" i="135" s="1"/>
  <c r="AE831" i="135" a="1"/>
  <c r="AE831" i="135" s="1"/>
  <c r="AD831" i="135" a="1"/>
  <c r="AD831" i="135" s="1"/>
  <c r="AC831" i="135" a="1"/>
  <c r="AC831" i="135" s="1"/>
  <c r="AB831" i="135" a="1"/>
  <c r="AB831" i="135" s="1"/>
  <c r="AA831" i="135" a="1"/>
  <c r="AA831" i="135" s="1"/>
  <c r="Z831" i="135" a="1"/>
  <c r="Z831" i="135" s="1"/>
  <c r="Y831" i="135" a="1"/>
  <c r="Y831" i="135" s="1"/>
  <c r="X831" i="135" a="1"/>
  <c r="X831" i="135" s="1"/>
  <c r="W831" i="135" a="1"/>
  <c r="W831" i="135" s="1"/>
  <c r="AM830" i="135" a="1"/>
  <c r="AM830" i="135" s="1"/>
  <c r="AL830" i="135" a="1"/>
  <c r="AL830" i="135" s="1"/>
  <c r="AK830" i="135" a="1"/>
  <c r="AK830" i="135" s="1"/>
  <c r="AJ830" i="135" a="1"/>
  <c r="AJ830" i="135" s="1"/>
  <c r="AI830" i="135" a="1"/>
  <c r="AI830" i="135" s="1"/>
  <c r="AH830" i="135" a="1"/>
  <c r="AH830" i="135" s="1"/>
  <c r="AG830" i="135" a="1"/>
  <c r="AG830" i="135" s="1"/>
  <c r="AF830" i="135" a="1"/>
  <c r="AF830" i="135" s="1"/>
  <c r="AE830" i="135" a="1"/>
  <c r="AE830" i="135" s="1"/>
  <c r="AD830" i="135" a="1"/>
  <c r="AD830" i="135" s="1"/>
  <c r="AC830" i="135" a="1"/>
  <c r="AC830" i="135" s="1"/>
  <c r="AB830" i="135" a="1"/>
  <c r="AB830" i="135" s="1"/>
  <c r="AA830" i="135" a="1"/>
  <c r="AA830" i="135" s="1"/>
  <c r="Z830" i="135" a="1"/>
  <c r="Z830" i="135" s="1"/>
  <c r="Y830" i="135" a="1"/>
  <c r="Y830" i="135" s="1"/>
  <c r="X830" i="135" a="1"/>
  <c r="X830" i="135" s="1"/>
  <c r="W830" i="135" a="1"/>
  <c r="W830" i="135" s="1"/>
  <c r="AM829" i="135" a="1"/>
  <c r="AM829" i="135" s="1"/>
  <c r="AL829" i="135" a="1"/>
  <c r="AL829" i="135" s="1"/>
  <c r="AK829" i="135" a="1"/>
  <c r="AK829" i="135" s="1"/>
  <c r="AJ829" i="135" a="1"/>
  <c r="AJ829" i="135" s="1"/>
  <c r="AI829" i="135" a="1"/>
  <c r="AI829" i="135" s="1"/>
  <c r="AH829" i="135" a="1"/>
  <c r="AH829" i="135" s="1"/>
  <c r="AG829" i="135" a="1"/>
  <c r="AG829" i="135" s="1"/>
  <c r="AF829" i="135" a="1"/>
  <c r="AF829" i="135" s="1"/>
  <c r="AE829" i="135" a="1"/>
  <c r="AE829" i="135" s="1"/>
  <c r="AD829" i="135" a="1"/>
  <c r="AD829" i="135" s="1"/>
  <c r="AC829" i="135" a="1"/>
  <c r="AC829" i="135" s="1"/>
  <c r="AB829" i="135" a="1"/>
  <c r="AB829" i="135" s="1"/>
  <c r="AA829" i="135" a="1"/>
  <c r="AA829" i="135" s="1"/>
  <c r="Z829" i="135" a="1"/>
  <c r="Z829" i="135" s="1"/>
  <c r="Y829" i="135" a="1"/>
  <c r="Y829" i="135" s="1"/>
  <c r="X829" i="135" a="1"/>
  <c r="X829" i="135" s="1"/>
  <c r="W829" i="135" a="1"/>
  <c r="W829" i="135" s="1"/>
  <c r="AM828" i="135" a="1"/>
  <c r="AM828" i="135" s="1"/>
  <c r="AL828" i="135" a="1"/>
  <c r="AL828" i="135" s="1"/>
  <c r="AK828" i="135" a="1"/>
  <c r="AK828" i="135" s="1"/>
  <c r="AJ828" i="135" a="1"/>
  <c r="AJ828" i="135" s="1"/>
  <c r="AI828" i="135" a="1"/>
  <c r="AI828" i="135" s="1"/>
  <c r="AH828" i="135" a="1"/>
  <c r="AH828" i="135" s="1"/>
  <c r="AG828" i="135" a="1"/>
  <c r="AG828" i="135" s="1"/>
  <c r="AF828" i="135" a="1"/>
  <c r="AF828" i="135" s="1"/>
  <c r="AE828" i="135" a="1"/>
  <c r="AE828" i="135" s="1"/>
  <c r="AD828" i="135" a="1"/>
  <c r="AD828" i="135" s="1"/>
  <c r="AC828" i="135" a="1"/>
  <c r="AC828" i="135" s="1"/>
  <c r="AB828" i="135" a="1"/>
  <c r="AB828" i="135" s="1"/>
  <c r="AA828" i="135" a="1"/>
  <c r="AA828" i="135" s="1"/>
  <c r="Z828" i="135" a="1"/>
  <c r="Z828" i="135" s="1"/>
  <c r="Y828" i="135" a="1"/>
  <c r="Y828" i="135" s="1"/>
  <c r="X828" i="135" a="1"/>
  <c r="X828" i="135" s="1"/>
  <c r="W828" i="135" a="1"/>
  <c r="W828" i="135" s="1"/>
  <c r="AM827" i="135" a="1"/>
  <c r="AM827" i="135" s="1"/>
  <c r="AL827" i="135" a="1"/>
  <c r="AL827" i="135" s="1"/>
  <c r="AK827" i="135" a="1"/>
  <c r="AK827" i="135" s="1"/>
  <c r="AJ827" i="135" a="1"/>
  <c r="AJ827" i="135" s="1"/>
  <c r="AI827" i="135" a="1"/>
  <c r="AI827" i="135" s="1"/>
  <c r="AH827" i="135" a="1"/>
  <c r="AH827" i="135" s="1"/>
  <c r="AG827" i="135" a="1"/>
  <c r="AG827" i="135" s="1"/>
  <c r="AF827" i="135" a="1"/>
  <c r="AF827" i="135" s="1"/>
  <c r="AE827" i="135" a="1"/>
  <c r="AE827" i="135" s="1"/>
  <c r="AD827" i="135" a="1"/>
  <c r="AD827" i="135" s="1"/>
  <c r="AC827" i="135" a="1"/>
  <c r="AC827" i="135" s="1"/>
  <c r="AB827" i="135" a="1"/>
  <c r="AB827" i="135" s="1"/>
  <c r="AA827" i="135" a="1"/>
  <c r="AA827" i="135" s="1"/>
  <c r="Z827" i="135" a="1"/>
  <c r="Z827" i="135" s="1"/>
  <c r="Y827" i="135" a="1"/>
  <c r="Y827" i="135" s="1"/>
  <c r="X827" i="135" a="1"/>
  <c r="X827" i="135" s="1"/>
  <c r="W827" i="135" a="1"/>
  <c r="W827" i="135" s="1"/>
  <c r="AM826" i="135" a="1"/>
  <c r="AM826" i="135" s="1"/>
  <c r="AL826" i="135" a="1"/>
  <c r="AL826" i="135" s="1"/>
  <c r="AK826" i="135" a="1"/>
  <c r="AK826" i="135" s="1"/>
  <c r="AJ826" i="135" a="1"/>
  <c r="AJ826" i="135" s="1"/>
  <c r="AI826" i="135" a="1"/>
  <c r="AI826" i="135" s="1"/>
  <c r="AH826" i="135" a="1"/>
  <c r="AH826" i="135" s="1"/>
  <c r="AG826" i="135" a="1"/>
  <c r="AG826" i="135" s="1"/>
  <c r="AF826" i="135" a="1"/>
  <c r="AF826" i="135" s="1"/>
  <c r="AE826" i="135" a="1"/>
  <c r="AE826" i="135" s="1"/>
  <c r="AD826" i="135" a="1"/>
  <c r="AD826" i="135" s="1"/>
  <c r="AC826" i="135" a="1"/>
  <c r="AC826" i="135" s="1"/>
  <c r="AB826" i="135" a="1"/>
  <c r="AB826" i="135" s="1"/>
  <c r="AA826" i="135" a="1"/>
  <c r="AA826" i="135" s="1"/>
  <c r="Z826" i="135" a="1"/>
  <c r="Z826" i="135" s="1"/>
  <c r="Y826" i="135" a="1"/>
  <c r="Y826" i="135" s="1"/>
  <c r="X826" i="135" a="1"/>
  <c r="X826" i="135" s="1"/>
  <c r="W826" i="135" a="1"/>
  <c r="W826" i="135" s="1"/>
  <c r="AM825" i="135" a="1"/>
  <c r="AM825" i="135" s="1"/>
  <c r="AL825" i="135" a="1"/>
  <c r="AL825" i="135" s="1"/>
  <c r="AK825" i="135" a="1"/>
  <c r="AK825" i="135" s="1"/>
  <c r="AJ825" i="135" a="1"/>
  <c r="AJ825" i="135" s="1"/>
  <c r="AI825" i="135" a="1"/>
  <c r="AI825" i="135" s="1"/>
  <c r="AH825" i="135" a="1"/>
  <c r="AH825" i="135" s="1"/>
  <c r="AG825" i="135" a="1"/>
  <c r="AG825" i="135" s="1"/>
  <c r="AF825" i="135" a="1"/>
  <c r="AF825" i="135" s="1"/>
  <c r="AE825" i="135" a="1"/>
  <c r="AE825" i="135" s="1"/>
  <c r="AD825" i="135" a="1"/>
  <c r="AD825" i="135" s="1"/>
  <c r="AC825" i="135" a="1"/>
  <c r="AC825" i="135" s="1"/>
  <c r="AB825" i="135" a="1"/>
  <c r="AB825" i="135" s="1"/>
  <c r="AA825" i="135" a="1"/>
  <c r="AA825" i="135" s="1"/>
  <c r="Z825" i="135" a="1"/>
  <c r="Z825" i="135" s="1"/>
  <c r="Y825" i="135" a="1"/>
  <c r="Y825" i="135" s="1"/>
  <c r="X825" i="135" a="1"/>
  <c r="X825" i="135" s="1"/>
  <c r="W825" i="135" a="1"/>
  <c r="W825" i="135" s="1"/>
  <c r="AM824" i="135" a="1"/>
  <c r="AM824" i="135" s="1"/>
  <c r="AL824" i="135" a="1"/>
  <c r="AL824" i="135" s="1"/>
  <c r="AK824" i="135" a="1"/>
  <c r="AK824" i="135" s="1"/>
  <c r="AJ824" i="135" a="1"/>
  <c r="AJ824" i="135" s="1"/>
  <c r="AI824" i="135" a="1"/>
  <c r="AI824" i="135" s="1"/>
  <c r="AH824" i="135" a="1"/>
  <c r="AH824" i="135" s="1"/>
  <c r="AG824" i="135" a="1"/>
  <c r="AG824" i="135" s="1"/>
  <c r="AF824" i="135" a="1"/>
  <c r="AF824" i="135" s="1"/>
  <c r="AE824" i="135" a="1"/>
  <c r="AE824" i="135" s="1"/>
  <c r="AD824" i="135" a="1"/>
  <c r="AD824" i="135" s="1"/>
  <c r="AC824" i="135" a="1"/>
  <c r="AC824" i="135" s="1"/>
  <c r="AB824" i="135" a="1"/>
  <c r="AB824" i="135" s="1"/>
  <c r="AA824" i="135" a="1"/>
  <c r="AA824" i="135" s="1"/>
  <c r="Z824" i="135" a="1"/>
  <c r="Z824" i="135" s="1"/>
  <c r="Y824" i="135" a="1"/>
  <c r="Y824" i="135" s="1"/>
  <c r="X824" i="135" a="1"/>
  <c r="X824" i="135" s="1"/>
  <c r="W824" i="135" a="1"/>
  <c r="W824" i="135" s="1"/>
  <c r="AM823" i="135" a="1"/>
  <c r="AM823" i="135" s="1"/>
  <c r="AL823" i="135" a="1"/>
  <c r="AL823" i="135" s="1"/>
  <c r="AK823" i="135" a="1"/>
  <c r="AK823" i="135" s="1"/>
  <c r="AJ823" i="135" a="1"/>
  <c r="AJ823" i="135" s="1"/>
  <c r="AI823" i="135" a="1"/>
  <c r="AI823" i="135" s="1"/>
  <c r="AH823" i="135" a="1"/>
  <c r="AH823" i="135" s="1"/>
  <c r="AG823" i="135" a="1"/>
  <c r="AG823" i="135" s="1"/>
  <c r="AF823" i="135" a="1"/>
  <c r="AF823" i="135" s="1"/>
  <c r="AE823" i="135" a="1"/>
  <c r="AE823" i="135" s="1"/>
  <c r="AD823" i="135" a="1"/>
  <c r="AD823" i="135" s="1"/>
  <c r="AC823" i="135" a="1"/>
  <c r="AC823" i="135" s="1"/>
  <c r="AB823" i="135" a="1"/>
  <c r="AB823" i="135" s="1"/>
  <c r="AA823" i="135" a="1"/>
  <c r="AA823" i="135" s="1"/>
  <c r="Z823" i="135" a="1"/>
  <c r="Z823" i="135" s="1"/>
  <c r="Y823" i="135" a="1"/>
  <c r="Y823" i="135" s="1"/>
  <c r="X823" i="135" a="1"/>
  <c r="X823" i="135" s="1"/>
  <c r="W823" i="135" a="1"/>
  <c r="W823" i="135" s="1"/>
  <c r="AM822" i="135" a="1"/>
  <c r="AM822" i="135" s="1"/>
  <c r="AL822" i="135" a="1"/>
  <c r="AL822" i="135" s="1"/>
  <c r="AK822" i="135" a="1"/>
  <c r="AK822" i="135" s="1"/>
  <c r="AJ822" i="135" a="1"/>
  <c r="AJ822" i="135" s="1"/>
  <c r="AI822" i="135" a="1"/>
  <c r="AI822" i="135" s="1"/>
  <c r="AH822" i="135" a="1"/>
  <c r="AH822" i="135" s="1"/>
  <c r="AG822" i="135" a="1"/>
  <c r="AG822" i="135" s="1"/>
  <c r="AF822" i="135" a="1"/>
  <c r="AF822" i="135" s="1"/>
  <c r="AE822" i="135" a="1"/>
  <c r="AE822" i="135" s="1"/>
  <c r="AD822" i="135" a="1"/>
  <c r="AD822" i="135" s="1"/>
  <c r="AC822" i="135" a="1"/>
  <c r="AC822" i="135" s="1"/>
  <c r="AB822" i="135" a="1"/>
  <c r="AB822" i="135" s="1"/>
  <c r="AA822" i="135" a="1"/>
  <c r="AA822" i="135" s="1"/>
  <c r="Z822" i="135" a="1"/>
  <c r="Z822" i="135" s="1"/>
  <c r="Y822" i="135" a="1"/>
  <c r="Y822" i="135" s="1"/>
  <c r="X822" i="135" a="1"/>
  <c r="X822" i="135" s="1"/>
  <c r="W822" i="135" a="1"/>
  <c r="W822" i="135" s="1"/>
  <c r="AM821" i="135" a="1"/>
  <c r="AM821" i="135" s="1"/>
  <c r="AL821" i="135" a="1"/>
  <c r="AL821" i="135" s="1"/>
  <c r="AK821" i="135" a="1"/>
  <c r="AK821" i="135" s="1"/>
  <c r="AJ821" i="135" a="1"/>
  <c r="AJ821" i="135" s="1"/>
  <c r="AI821" i="135" a="1"/>
  <c r="AI821" i="135" s="1"/>
  <c r="AH821" i="135" a="1"/>
  <c r="AH821" i="135" s="1"/>
  <c r="AG821" i="135" a="1"/>
  <c r="AG821" i="135" s="1"/>
  <c r="AF821" i="135" a="1"/>
  <c r="AF821" i="135" s="1"/>
  <c r="AE821" i="135" a="1"/>
  <c r="AE821" i="135" s="1"/>
  <c r="AD821" i="135" a="1"/>
  <c r="AD821" i="135" s="1"/>
  <c r="AC821" i="135" a="1"/>
  <c r="AC821" i="135" s="1"/>
  <c r="AB821" i="135" a="1"/>
  <c r="AB821" i="135" s="1"/>
  <c r="AA821" i="135" a="1"/>
  <c r="AA821" i="135" s="1"/>
  <c r="Z821" i="135" a="1"/>
  <c r="Z821" i="135" s="1"/>
  <c r="Y821" i="135" a="1"/>
  <c r="Y821" i="135" s="1"/>
  <c r="X821" i="135" a="1"/>
  <c r="X821" i="135" s="1"/>
  <c r="W821" i="135" a="1"/>
  <c r="W821" i="135" s="1"/>
  <c r="AM820" i="135" a="1"/>
  <c r="AM820" i="135" s="1"/>
  <c r="AL820" i="135" a="1"/>
  <c r="AL820" i="135" s="1"/>
  <c r="AK820" i="135" a="1"/>
  <c r="AK820" i="135" s="1"/>
  <c r="AJ820" i="135" a="1"/>
  <c r="AJ820" i="135" s="1"/>
  <c r="AI820" i="135" a="1"/>
  <c r="AI820" i="135" s="1"/>
  <c r="AH820" i="135" a="1"/>
  <c r="AH820" i="135" s="1"/>
  <c r="AG820" i="135" a="1"/>
  <c r="AG820" i="135" s="1"/>
  <c r="AF820" i="135" a="1"/>
  <c r="AF820" i="135" s="1"/>
  <c r="AE820" i="135" a="1"/>
  <c r="AE820" i="135" s="1"/>
  <c r="AD820" i="135" a="1"/>
  <c r="AD820" i="135" s="1"/>
  <c r="AC820" i="135" a="1"/>
  <c r="AC820" i="135" s="1"/>
  <c r="AB820" i="135" a="1"/>
  <c r="AB820" i="135" s="1"/>
  <c r="AA820" i="135" a="1"/>
  <c r="AA820" i="135" s="1"/>
  <c r="Z820" i="135" a="1"/>
  <c r="Z820" i="135" s="1"/>
  <c r="Y820" i="135" a="1"/>
  <c r="Y820" i="135" s="1"/>
  <c r="X820" i="135" a="1"/>
  <c r="X820" i="135" s="1"/>
  <c r="W820" i="135" a="1"/>
  <c r="W820" i="135" s="1"/>
  <c r="AM819" i="135" a="1"/>
  <c r="AM819" i="135" s="1"/>
  <c r="AL819" i="135" a="1"/>
  <c r="AL819" i="135" s="1"/>
  <c r="AK819" i="135" a="1"/>
  <c r="AK819" i="135" s="1"/>
  <c r="AJ819" i="135" a="1"/>
  <c r="AJ819" i="135" s="1"/>
  <c r="AI819" i="135" a="1"/>
  <c r="AI819" i="135" s="1"/>
  <c r="AH819" i="135" a="1"/>
  <c r="AH819" i="135" s="1"/>
  <c r="AG819" i="135" a="1"/>
  <c r="AG819" i="135" s="1"/>
  <c r="AF819" i="135" a="1"/>
  <c r="AF819" i="135" s="1"/>
  <c r="AE819" i="135" a="1"/>
  <c r="AE819" i="135" s="1"/>
  <c r="AD819" i="135" a="1"/>
  <c r="AD819" i="135" s="1"/>
  <c r="AC819" i="135" a="1"/>
  <c r="AC819" i="135" s="1"/>
  <c r="AB819" i="135" a="1"/>
  <c r="AB819" i="135" s="1"/>
  <c r="AA819" i="135" a="1"/>
  <c r="AA819" i="135" s="1"/>
  <c r="Z819" i="135" a="1"/>
  <c r="Z819" i="135" s="1"/>
  <c r="Y819" i="135" a="1"/>
  <c r="Y819" i="135" s="1"/>
  <c r="X819" i="135" a="1"/>
  <c r="X819" i="135" s="1"/>
  <c r="W819" i="135" a="1"/>
  <c r="W819" i="135" s="1"/>
  <c r="AM818" i="135" a="1"/>
  <c r="AM818" i="135" s="1"/>
  <c r="AL818" i="135" a="1"/>
  <c r="AL818" i="135" s="1"/>
  <c r="AK818" i="135" a="1"/>
  <c r="AK818" i="135" s="1"/>
  <c r="AJ818" i="135" a="1"/>
  <c r="AJ818" i="135" s="1"/>
  <c r="AI818" i="135" a="1"/>
  <c r="AI818" i="135" s="1"/>
  <c r="AH818" i="135" a="1"/>
  <c r="AH818" i="135" s="1"/>
  <c r="AG818" i="135" a="1"/>
  <c r="AG818" i="135" s="1"/>
  <c r="AF818" i="135" a="1"/>
  <c r="AF818" i="135" s="1"/>
  <c r="AE818" i="135" a="1"/>
  <c r="AE818" i="135" s="1"/>
  <c r="AD818" i="135" a="1"/>
  <c r="AD818" i="135" s="1"/>
  <c r="AC818" i="135" a="1"/>
  <c r="AC818" i="135" s="1"/>
  <c r="AB818" i="135" a="1"/>
  <c r="AB818" i="135" s="1"/>
  <c r="AA818" i="135" a="1"/>
  <c r="AA818" i="135" s="1"/>
  <c r="Z818" i="135" a="1"/>
  <c r="Z818" i="135" s="1"/>
  <c r="Y818" i="135" a="1"/>
  <c r="Y818" i="135" s="1"/>
  <c r="X818" i="135" a="1"/>
  <c r="X818" i="135" s="1"/>
  <c r="W818" i="135" a="1"/>
  <c r="W818" i="135" s="1"/>
  <c r="AM817" i="135" a="1"/>
  <c r="AM817" i="135" s="1"/>
  <c r="AL817" i="135" a="1"/>
  <c r="AL817" i="135" s="1"/>
  <c r="AK817" i="135" a="1"/>
  <c r="AK817" i="135" s="1"/>
  <c r="AJ817" i="135" a="1"/>
  <c r="AJ817" i="135" s="1"/>
  <c r="AI817" i="135" a="1"/>
  <c r="AI817" i="135" s="1"/>
  <c r="AH817" i="135" a="1"/>
  <c r="AH817" i="135" s="1"/>
  <c r="AG817" i="135" a="1"/>
  <c r="AG817" i="135" s="1"/>
  <c r="AF817" i="135" a="1"/>
  <c r="AF817" i="135" s="1"/>
  <c r="AE817" i="135" a="1"/>
  <c r="AE817" i="135" s="1"/>
  <c r="AD817" i="135" a="1"/>
  <c r="AD817" i="135" s="1"/>
  <c r="AC817" i="135" a="1"/>
  <c r="AC817" i="135" s="1"/>
  <c r="AB817" i="135" a="1"/>
  <c r="AB817" i="135" s="1"/>
  <c r="AA817" i="135" a="1"/>
  <c r="AA817" i="135" s="1"/>
  <c r="Z817" i="135" a="1"/>
  <c r="Z817" i="135" s="1"/>
  <c r="Y817" i="135" a="1"/>
  <c r="Y817" i="135" s="1"/>
  <c r="X817" i="135" a="1"/>
  <c r="X817" i="135" s="1"/>
  <c r="W817" i="135" a="1"/>
  <c r="W817" i="135" s="1"/>
  <c r="AM816" i="135" a="1"/>
  <c r="AM816" i="135" s="1"/>
  <c r="AL816" i="135" a="1"/>
  <c r="AL816" i="135" s="1"/>
  <c r="AK816" i="135" a="1"/>
  <c r="AK816" i="135" s="1"/>
  <c r="AJ816" i="135" a="1"/>
  <c r="AJ816" i="135" s="1"/>
  <c r="AI816" i="135" a="1"/>
  <c r="AI816" i="135" s="1"/>
  <c r="AH816" i="135" a="1"/>
  <c r="AH816" i="135" s="1"/>
  <c r="AG816" i="135" a="1"/>
  <c r="AG816" i="135" s="1"/>
  <c r="AF816" i="135" a="1"/>
  <c r="AF816" i="135" s="1"/>
  <c r="AE816" i="135" a="1"/>
  <c r="AE816" i="135" s="1"/>
  <c r="AD816" i="135" a="1"/>
  <c r="AD816" i="135" s="1"/>
  <c r="AC816" i="135" a="1"/>
  <c r="AC816" i="135" s="1"/>
  <c r="AB816" i="135" a="1"/>
  <c r="AB816" i="135" s="1"/>
  <c r="AA816" i="135" a="1"/>
  <c r="AA816" i="135" s="1"/>
  <c r="Z816" i="135" a="1"/>
  <c r="Z816" i="135" s="1"/>
  <c r="Y816" i="135" a="1"/>
  <c r="Y816" i="135" s="1"/>
  <c r="X816" i="135" a="1"/>
  <c r="X816" i="135" s="1"/>
  <c r="W816" i="135" a="1"/>
  <c r="W816" i="135" s="1"/>
  <c r="AM815" i="135" a="1"/>
  <c r="AM815" i="135" s="1"/>
  <c r="AL815" i="135" a="1"/>
  <c r="AL815" i="135" s="1"/>
  <c r="AK815" i="135" a="1"/>
  <c r="AK815" i="135" s="1"/>
  <c r="AJ815" i="135" a="1"/>
  <c r="AJ815" i="135" s="1"/>
  <c r="AI815" i="135" a="1"/>
  <c r="AI815" i="135" s="1"/>
  <c r="AH815" i="135" a="1"/>
  <c r="AH815" i="135" s="1"/>
  <c r="AG815" i="135" a="1"/>
  <c r="AG815" i="135" s="1"/>
  <c r="AF815" i="135" a="1"/>
  <c r="AF815" i="135" s="1"/>
  <c r="AE815" i="135" a="1"/>
  <c r="AE815" i="135" s="1"/>
  <c r="AD815" i="135" a="1"/>
  <c r="AD815" i="135" s="1"/>
  <c r="AC815" i="135" a="1"/>
  <c r="AC815" i="135" s="1"/>
  <c r="AB815" i="135" a="1"/>
  <c r="AB815" i="135" s="1"/>
  <c r="AA815" i="135" a="1"/>
  <c r="AA815" i="135" s="1"/>
  <c r="Z815" i="135" a="1"/>
  <c r="Z815" i="135" s="1"/>
  <c r="Y815" i="135" a="1"/>
  <c r="Y815" i="135" s="1"/>
  <c r="X815" i="135" a="1"/>
  <c r="X815" i="135" s="1"/>
  <c r="W815" i="135" a="1"/>
  <c r="W815" i="135" s="1"/>
  <c r="AM814" i="135" a="1"/>
  <c r="AM814" i="135" s="1"/>
  <c r="AL814" i="135" a="1"/>
  <c r="AL814" i="135" s="1"/>
  <c r="AK814" i="135" a="1"/>
  <c r="AK814" i="135" s="1"/>
  <c r="AJ814" i="135" a="1"/>
  <c r="AJ814" i="135" s="1"/>
  <c r="AI814" i="135" a="1"/>
  <c r="AI814" i="135" s="1"/>
  <c r="AH814" i="135" a="1"/>
  <c r="AH814" i="135" s="1"/>
  <c r="AG814" i="135" a="1"/>
  <c r="AG814" i="135" s="1"/>
  <c r="AF814" i="135" a="1"/>
  <c r="AF814" i="135" s="1"/>
  <c r="AE814" i="135" a="1"/>
  <c r="AE814" i="135" s="1"/>
  <c r="AD814" i="135" a="1"/>
  <c r="AD814" i="135" s="1"/>
  <c r="AC814" i="135" a="1"/>
  <c r="AC814" i="135" s="1"/>
  <c r="AB814" i="135" a="1"/>
  <c r="AB814" i="135" s="1"/>
  <c r="AA814" i="135" a="1"/>
  <c r="AA814" i="135" s="1"/>
  <c r="Z814" i="135" a="1"/>
  <c r="Z814" i="135" s="1"/>
  <c r="Y814" i="135" a="1"/>
  <c r="Y814" i="135" s="1"/>
  <c r="X814" i="135" a="1"/>
  <c r="X814" i="135" s="1"/>
  <c r="W814" i="135" a="1"/>
  <c r="W814" i="135" s="1"/>
  <c r="AM813" i="135" a="1"/>
  <c r="AM813" i="135" s="1"/>
  <c r="AL813" i="135" a="1"/>
  <c r="AL813" i="135" s="1"/>
  <c r="AK813" i="135" a="1"/>
  <c r="AK813" i="135" s="1"/>
  <c r="AJ813" i="135" a="1"/>
  <c r="AJ813" i="135" s="1"/>
  <c r="AI813" i="135" a="1"/>
  <c r="AI813" i="135" s="1"/>
  <c r="AH813" i="135" a="1"/>
  <c r="AH813" i="135" s="1"/>
  <c r="AG813" i="135" a="1"/>
  <c r="AG813" i="135" s="1"/>
  <c r="AF813" i="135" a="1"/>
  <c r="AF813" i="135" s="1"/>
  <c r="AE813" i="135" a="1"/>
  <c r="AE813" i="135" s="1"/>
  <c r="AD813" i="135" a="1"/>
  <c r="AD813" i="135" s="1"/>
  <c r="AC813" i="135" a="1"/>
  <c r="AC813" i="135" s="1"/>
  <c r="AB813" i="135" a="1"/>
  <c r="AB813" i="135" s="1"/>
  <c r="AA813" i="135" a="1"/>
  <c r="AA813" i="135" s="1"/>
  <c r="Z813" i="135" a="1"/>
  <c r="Z813" i="135" s="1"/>
  <c r="Y813" i="135" a="1"/>
  <c r="Y813" i="135" s="1"/>
  <c r="X813" i="135" a="1"/>
  <c r="X813" i="135" s="1"/>
  <c r="W813" i="135" a="1"/>
  <c r="W813" i="135" s="1"/>
  <c r="AM812" i="135" a="1"/>
  <c r="AM812" i="135" s="1"/>
  <c r="AL812" i="135" a="1"/>
  <c r="AL812" i="135" s="1"/>
  <c r="AK812" i="135" a="1"/>
  <c r="AK812" i="135" s="1"/>
  <c r="AJ812" i="135" a="1"/>
  <c r="AJ812" i="135" s="1"/>
  <c r="AI812" i="135" a="1"/>
  <c r="AI812" i="135" s="1"/>
  <c r="AH812" i="135" a="1"/>
  <c r="AH812" i="135" s="1"/>
  <c r="AG812" i="135" a="1"/>
  <c r="AG812" i="135" s="1"/>
  <c r="AF812" i="135" a="1"/>
  <c r="AF812" i="135" s="1"/>
  <c r="AE812" i="135" a="1"/>
  <c r="AE812" i="135" s="1"/>
  <c r="AD812" i="135" a="1"/>
  <c r="AD812" i="135" s="1"/>
  <c r="AC812" i="135" a="1"/>
  <c r="AC812" i="135" s="1"/>
  <c r="AB812" i="135" a="1"/>
  <c r="AB812" i="135" s="1"/>
  <c r="AA812" i="135" a="1"/>
  <c r="AA812" i="135" s="1"/>
  <c r="Z812" i="135" a="1"/>
  <c r="Z812" i="135" s="1"/>
  <c r="Y812" i="135" a="1"/>
  <c r="Y812" i="135" s="1"/>
  <c r="X812" i="135" a="1"/>
  <c r="X812" i="135" s="1"/>
  <c r="W812" i="135" a="1"/>
  <c r="W812" i="135" s="1"/>
  <c r="AM811" i="135" a="1"/>
  <c r="AM811" i="135" s="1"/>
  <c r="AL811" i="135" a="1"/>
  <c r="AL811" i="135" s="1"/>
  <c r="AK811" i="135" a="1"/>
  <c r="AK811" i="135" s="1"/>
  <c r="AJ811" i="135" a="1"/>
  <c r="AJ811" i="135" s="1"/>
  <c r="AI811" i="135" a="1"/>
  <c r="AI811" i="135" s="1"/>
  <c r="AH811" i="135" a="1"/>
  <c r="AH811" i="135" s="1"/>
  <c r="AG811" i="135" a="1"/>
  <c r="AG811" i="135" s="1"/>
  <c r="AF811" i="135" a="1"/>
  <c r="AF811" i="135" s="1"/>
  <c r="AE811" i="135" a="1"/>
  <c r="AE811" i="135" s="1"/>
  <c r="AD811" i="135" a="1"/>
  <c r="AD811" i="135" s="1"/>
  <c r="AC811" i="135" a="1"/>
  <c r="AC811" i="135" s="1"/>
  <c r="AB811" i="135" a="1"/>
  <c r="AB811" i="135" s="1"/>
  <c r="AA811" i="135" a="1"/>
  <c r="AA811" i="135" s="1"/>
  <c r="Z811" i="135" a="1"/>
  <c r="Z811" i="135" s="1"/>
  <c r="Y811" i="135" a="1"/>
  <c r="Y811" i="135" s="1"/>
  <c r="X811" i="135" a="1"/>
  <c r="X811" i="135" s="1"/>
  <c r="W811" i="135" a="1"/>
  <c r="W811" i="135" s="1"/>
  <c r="AM810" i="135" a="1"/>
  <c r="AM810" i="135" s="1"/>
  <c r="AL810" i="135" a="1"/>
  <c r="AL810" i="135" s="1"/>
  <c r="AK810" i="135" a="1"/>
  <c r="AK810" i="135" s="1"/>
  <c r="AJ810" i="135" a="1"/>
  <c r="AJ810" i="135" s="1"/>
  <c r="AI810" i="135" a="1"/>
  <c r="AI810" i="135" s="1"/>
  <c r="AH810" i="135" a="1"/>
  <c r="AH810" i="135" s="1"/>
  <c r="AG810" i="135" a="1"/>
  <c r="AG810" i="135" s="1"/>
  <c r="AF810" i="135" a="1"/>
  <c r="AF810" i="135" s="1"/>
  <c r="AE810" i="135" a="1"/>
  <c r="AE810" i="135" s="1"/>
  <c r="AD810" i="135" a="1"/>
  <c r="AD810" i="135" s="1"/>
  <c r="AC810" i="135" a="1"/>
  <c r="AC810" i="135" s="1"/>
  <c r="AB810" i="135" a="1"/>
  <c r="AB810" i="135" s="1"/>
  <c r="AA810" i="135" a="1"/>
  <c r="AA810" i="135" s="1"/>
  <c r="Z810" i="135" a="1"/>
  <c r="Z810" i="135" s="1"/>
  <c r="Y810" i="135" a="1"/>
  <c r="Y810" i="135" s="1"/>
  <c r="X810" i="135" a="1"/>
  <c r="X810" i="135" s="1"/>
  <c r="W810" i="135" a="1"/>
  <c r="W810" i="135" s="1"/>
  <c r="AM809" i="135" a="1"/>
  <c r="AM809" i="135" s="1"/>
  <c r="AL809" i="135" a="1"/>
  <c r="AL809" i="135" s="1"/>
  <c r="AK809" i="135" a="1"/>
  <c r="AK809" i="135" s="1"/>
  <c r="AJ809" i="135" a="1"/>
  <c r="AJ809" i="135" s="1"/>
  <c r="AI809" i="135" a="1"/>
  <c r="AI809" i="135" s="1"/>
  <c r="AH809" i="135" a="1"/>
  <c r="AH809" i="135" s="1"/>
  <c r="AG809" i="135" a="1"/>
  <c r="AG809" i="135" s="1"/>
  <c r="AF809" i="135" a="1"/>
  <c r="AF809" i="135" s="1"/>
  <c r="AE809" i="135" a="1"/>
  <c r="AE809" i="135" s="1"/>
  <c r="AD809" i="135" a="1"/>
  <c r="AD809" i="135" s="1"/>
  <c r="AC809" i="135" a="1"/>
  <c r="AC809" i="135" s="1"/>
  <c r="AB809" i="135" a="1"/>
  <c r="AB809" i="135" s="1"/>
  <c r="AA809" i="135" a="1"/>
  <c r="AA809" i="135" s="1"/>
  <c r="Z809" i="135" a="1"/>
  <c r="Z809" i="135" s="1"/>
  <c r="Y809" i="135" a="1"/>
  <c r="Y809" i="135" s="1"/>
  <c r="X809" i="135" a="1"/>
  <c r="X809" i="135" s="1"/>
  <c r="W809" i="135" a="1"/>
  <c r="W809" i="135" s="1"/>
  <c r="AM808" i="135" a="1"/>
  <c r="AM808" i="135" s="1"/>
  <c r="AL808" i="135" a="1"/>
  <c r="AL808" i="135" s="1"/>
  <c r="AK808" i="135" a="1"/>
  <c r="AK808" i="135" s="1"/>
  <c r="AJ808" i="135" a="1"/>
  <c r="AJ808" i="135" s="1"/>
  <c r="AI808" i="135" a="1"/>
  <c r="AI808" i="135" s="1"/>
  <c r="AH808" i="135" a="1"/>
  <c r="AH808" i="135" s="1"/>
  <c r="AG808" i="135" a="1"/>
  <c r="AG808" i="135" s="1"/>
  <c r="AF808" i="135" a="1"/>
  <c r="AF808" i="135" s="1"/>
  <c r="AE808" i="135" a="1"/>
  <c r="AE808" i="135" s="1"/>
  <c r="AD808" i="135" a="1"/>
  <c r="AD808" i="135" s="1"/>
  <c r="AC808" i="135" a="1"/>
  <c r="AC808" i="135" s="1"/>
  <c r="AB808" i="135" a="1"/>
  <c r="AB808" i="135" s="1"/>
  <c r="AA808" i="135" a="1"/>
  <c r="AA808" i="135" s="1"/>
  <c r="Z808" i="135" a="1"/>
  <c r="Z808" i="135" s="1"/>
  <c r="Y808" i="135" a="1"/>
  <c r="Y808" i="135" s="1"/>
  <c r="X808" i="135" a="1"/>
  <c r="X808" i="135" s="1"/>
  <c r="W808" i="135" a="1"/>
  <c r="W808" i="135" s="1"/>
  <c r="AM807" i="135" a="1"/>
  <c r="AM807" i="135" s="1"/>
  <c r="AL807" i="135" a="1"/>
  <c r="AL807" i="135" s="1"/>
  <c r="AK807" i="135" a="1"/>
  <c r="AK807" i="135" s="1"/>
  <c r="AJ807" i="135" a="1"/>
  <c r="AJ807" i="135" s="1"/>
  <c r="AI807" i="135" a="1"/>
  <c r="AI807" i="135" s="1"/>
  <c r="AH807" i="135" a="1"/>
  <c r="AH807" i="135" s="1"/>
  <c r="AG807" i="135" a="1"/>
  <c r="AG807" i="135" s="1"/>
  <c r="AF807" i="135" a="1"/>
  <c r="AF807" i="135" s="1"/>
  <c r="AE807" i="135" a="1"/>
  <c r="AE807" i="135" s="1"/>
  <c r="AD807" i="135" a="1"/>
  <c r="AD807" i="135" s="1"/>
  <c r="AC807" i="135" a="1"/>
  <c r="AC807" i="135" s="1"/>
  <c r="AB807" i="135" a="1"/>
  <c r="AB807" i="135" s="1"/>
  <c r="AA807" i="135" a="1"/>
  <c r="AA807" i="135" s="1"/>
  <c r="Z807" i="135" a="1"/>
  <c r="Z807" i="135" s="1"/>
  <c r="Y807" i="135" a="1"/>
  <c r="Y807" i="135" s="1"/>
  <c r="X807" i="135" a="1"/>
  <c r="X807" i="135" s="1"/>
  <c r="W807" i="135" a="1"/>
  <c r="W807" i="135" s="1"/>
  <c r="AM806" i="135" a="1"/>
  <c r="AM806" i="135" s="1"/>
  <c r="AL806" i="135" a="1"/>
  <c r="AL806" i="135" s="1"/>
  <c r="AK806" i="135" a="1"/>
  <c r="AK806" i="135" s="1"/>
  <c r="AJ806" i="135" a="1"/>
  <c r="AJ806" i="135" s="1"/>
  <c r="AI806" i="135" a="1"/>
  <c r="AI806" i="135" s="1"/>
  <c r="AH806" i="135" a="1"/>
  <c r="AH806" i="135" s="1"/>
  <c r="AG806" i="135" a="1"/>
  <c r="AG806" i="135" s="1"/>
  <c r="AF806" i="135" a="1"/>
  <c r="AF806" i="135" s="1"/>
  <c r="AE806" i="135" a="1"/>
  <c r="AE806" i="135" s="1"/>
  <c r="AD806" i="135" a="1"/>
  <c r="AD806" i="135" s="1"/>
  <c r="AC806" i="135" a="1"/>
  <c r="AC806" i="135" s="1"/>
  <c r="AB806" i="135" a="1"/>
  <c r="AB806" i="135" s="1"/>
  <c r="AA806" i="135" a="1"/>
  <c r="AA806" i="135" s="1"/>
  <c r="Z806" i="135" a="1"/>
  <c r="Z806" i="135" s="1"/>
  <c r="Y806" i="135" a="1"/>
  <c r="Y806" i="135" s="1"/>
  <c r="X806" i="135" a="1"/>
  <c r="X806" i="135" s="1"/>
  <c r="W806" i="135" a="1"/>
  <c r="W806" i="135" s="1"/>
  <c r="AM805" i="135" a="1"/>
  <c r="AM805" i="135" s="1"/>
  <c r="AL805" i="135" a="1"/>
  <c r="AL805" i="135" s="1"/>
  <c r="AK805" i="135" a="1"/>
  <c r="AK805" i="135" s="1"/>
  <c r="AJ805" i="135" a="1"/>
  <c r="AJ805" i="135" s="1"/>
  <c r="AI805" i="135" a="1"/>
  <c r="AI805" i="135" s="1"/>
  <c r="AH805" i="135" a="1"/>
  <c r="AH805" i="135" s="1"/>
  <c r="AG805" i="135" a="1"/>
  <c r="AG805" i="135" s="1"/>
  <c r="AF805" i="135" a="1"/>
  <c r="AF805" i="135" s="1"/>
  <c r="AE805" i="135" a="1"/>
  <c r="AE805" i="135" s="1"/>
  <c r="AD805" i="135" a="1"/>
  <c r="AD805" i="135" s="1"/>
  <c r="AC805" i="135" a="1"/>
  <c r="AC805" i="135" s="1"/>
  <c r="AB805" i="135" a="1"/>
  <c r="AB805" i="135" s="1"/>
  <c r="AA805" i="135" a="1"/>
  <c r="AA805" i="135" s="1"/>
  <c r="Z805" i="135" a="1"/>
  <c r="Z805" i="135" s="1"/>
  <c r="Y805" i="135" a="1"/>
  <c r="Y805" i="135" s="1"/>
  <c r="X805" i="135" a="1"/>
  <c r="X805" i="135" s="1"/>
  <c r="W805" i="135" a="1"/>
  <c r="W805" i="135" s="1"/>
  <c r="AM804" i="135" a="1"/>
  <c r="AM804" i="135" s="1"/>
  <c r="AL804" i="135" a="1"/>
  <c r="AL804" i="135" s="1"/>
  <c r="AK804" i="135" a="1"/>
  <c r="AK804" i="135" s="1"/>
  <c r="AJ804" i="135" a="1"/>
  <c r="AJ804" i="135" s="1"/>
  <c r="AI804" i="135" a="1"/>
  <c r="AI804" i="135" s="1"/>
  <c r="AH804" i="135" a="1"/>
  <c r="AH804" i="135" s="1"/>
  <c r="AG804" i="135" a="1"/>
  <c r="AG804" i="135" s="1"/>
  <c r="AF804" i="135" a="1"/>
  <c r="AF804" i="135" s="1"/>
  <c r="AE804" i="135" a="1"/>
  <c r="AE804" i="135" s="1"/>
  <c r="AD804" i="135" a="1"/>
  <c r="AD804" i="135" s="1"/>
  <c r="AC804" i="135" a="1"/>
  <c r="AC804" i="135" s="1"/>
  <c r="AB804" i="135" a="1"/>
  <c r="AB804" i="135" s="1"/>
  <c r="AA804" i="135" a="1"/>
  <c r="AA804" i="135" s="1"/>
  <c r="Z804" i="135" a="1"/>
  <c r="Z804" i="135" s="1"/>
  <c r="Y804" i="135" a="1"/>
  <c r="Y804" i="135" s="1"/>
  <c r="X804" i="135" a="1"/>
  <c r="X804" i="135" s="1"/>
  <c r="W804" i="135" a="1"/>
  <c r="W804" i="135" s="1"/>
  <c r="AM803" i="135" a="1"/>
  <c r="AM803" i="135" s="1"/>
  <c r="AL803" i="135" a="1"/>
  <c r="AL803" i="135" s="1"/>
  <c r="AK803" i="135" a="1"/>
  <c r="AK803" i="135" s="1"/>
  <c r="AJ803" i="135" a="1"/>
  <c r="AJ803" i="135" s="1"/>
  <c r="AI803" i="135" a="1"/>
  <c r="AI803" i="135" s="1"/>
  <c r="AH803" i="135" a="1"/>
  <c r="AH803" i="135" s="1"/>
  <c r="AG803" i="135" a="1"/>
  <c r="AG803" i="135" s="1"/>
  <c r="AF803" i="135" a="1"/>
  <c r="AF803" i="135" s="1"/>
  <c r="AE803" i="135" a="1"/>
  <c r="AE803" i="135" s="1"/>
  <c r="AD803" i="135" a="1"/>
  <c r="AD803" i="135" s="1"/>
  <c r="AC803" i="135" a="1"/>
  <c r="AC803" i="135" s="1"/>
  <c r="AB803" i="135" a="1"/>
  <c r="AB803" i="135" s="1"/>
  <c r="AA803" i="135" a="1"/>
  <c r="AA803" i="135" s="1"/>
  <c r="Z803" i="135" a="1"/>
  <c r="Z803" i="135" s="1"/>
  <c r="Y803" i="135" a="1"/>
  <c r="Y803" i="135" s="1"/>
  <c r="X803" i="135" a="1"/>
  <c r="X803" i="135" s="1"/>
  <c r="W803" i="135" a="1"/>
  <c r="W803" i="135" s="1"/>
  <c r="AM802" i="135" a="1"/>
  <c r="AM802" i="135" s="1"/>
  <c r="AL802" i="135" a="1"/>
  <c r="AL802" i="135" s="1"/>
  <c r="AK802" i="135" a="1"/>
  <c r="AK802" i="135" s="1"/>
  <c r="AJ802" i="135" a="1"/>
  <c r="AJ802" i="135" s="1"/>
  <c r="AI802" i="135" a="1"/>
  <c r="AI802" i="135" s="1"/>
  <c r="AH802" i="135" a="1"/>
  <c r="AH802" i="135" s="1"/>
  <c r="AG802" i="135" a="1"/>
  <c r="AG802" i="135" s="1"/>
  <c r="AF802" i="135" a="1"/>
  <c r="AF802" i="135" s="1"/>
  <c r="AE802" i="135" a="1"/>
  <c r="AE802" i="135" s="1"/>
  <c r="AD802" i="135" a="1"/>
  <c r="AD802" i="135" s="1"/>
  <c r="AC802" i="135" a="1"/>
  <c r="AC802" i="135" s="1"/>
  <c r="AB802" i="135" a="1"/>
  <c r="AB802" i="135" s="1"/>
  <c r="AA802" i="135" a="1"/>
  <c r="AA802" i="135" s="1"/>
  <c r="Z802" i="135" a="1"/>
  <c r="Z802" i="135" s="1"/>
  <c r="Y802" i="135" a="1"/>
  <c r="Y802" i="135" s="1"/>
  <c r="X802" i="135" a="1"/>
  <c r="X802" i="135" s="1"/>
  <c r="W802" i="135" a="1"/>
  <c r="W802" i="135" s="1"/>
  <c r="AM801" i="135" a="1"/>
  <c r="AM801" i="135" s="1"/>
  <c r="AL801" i="135" a="1"/>
  <c r="AL801" i="135" s="1"/>
  <c r="AK801" i="135" a="1"/>
  <c r="AK801" i="135" s="1"/>
  <c r="AJ801" i="135" a="1"/>
  <c r="AJ801" i="135" s="1"/>
  <c r="AI801" i="135" a="1"/>
  <c r="AI801" i="135" s="1"/>
  <c r="AH801" i="135" a="1"/>
  <c r="AH801" i="135" s="1"/>
  <c r="AG801" i="135" a="1"/>
  <c r="AG801" i="135" s="1"/>
  <c r="AF801" i="135" a="1"/>
  <c r="AF801" i="135" s="1"/>
  <c r="AE801" i="135" a="1"/>
  <c r="AE801" i="135" s="1"/>
  <c r="AD801" i="135" a="1"/>
  <c r="AD801" i="135" s="1"/>
  <c r="AC801" i="135" a="1"/>
  <c r="AC801" i="135" s="1"/>
  <c r="AB801" i="135" a="1"/>
  <c r="AB801" i="135" s="1"/>
  <c r="AA801" i="135" a="1"/>
  <c r="AA801" i="135" s="1"/>
  <c r="Z801" i="135" a="1"/>
  <c r="Z801" i="135" s="1"/>
  <c r="Y801" i="135" a="1"/>
  <c r="Y801" i="135" s="1"/>
  <c r="X801" i="135" a="1"/>
  <c r="X801" i="135" s="1"/>
  <c r="W801" i="135" a="1"/>
  <c r="W801" i="135" s="1"/>
  <c r="AM800" i="135" a="1"/>
  <c r="AM800" i="135" s="1"/>
  <c r="AL800" i="135" a="1"/>
  <c r="AL800" i="135" s="1"/>
  <c r="AK800" i="135" a="1"/>
  <c r="AK800" i="135" s="1"/>
  <c r="AJ800" i="135" a="1"/>
  <c r="AJ800" i="135" s="1"/>
  <c r="AI800" i="135" a="1"/>
  <c r="AI800" i="135" s="1"/>
  <c r="AH800" i="135" a="1"/>
  <c r="AH800" i="135" s="1"/>
  <c r="AG800" i="135" a="1"/>
  <c r="AG800" i="135" s="1"/>
  <c r="AF800" i="135" a="1"/>
  <c r="AF800" i="135" s="1"/>
  <c r="AE800" i="135" a="1"/>
  <c r="AE800" i="135" s="1"/>
  <c r="AD800" i="135" a="1"/>
  <c r="AD800" i="135" s="1"/>
  <c r="AC800" i="135" a="1"/>
  <c r="AC800" i="135" s="1"/>
  <c r="AB800" i="135" a="1"/>
  <c r="AB800" i="135" s="1"/>
  <c r="AA800" i="135" a="1"/>
  <c r="AA800" i="135" s="1"/>
  <c r="Z800" i="135" a="1"/>
  <c r="Z800" i="135" s="1"/>
  <c r="Y800" i="135" a="1"/>
  <c r="Y800" i="135" s="1"/>
  <c r="X800" i="135" a="1"/>
  <c r="X800" i="135" s="1"/>
  <c r="W800" i="135" a="1"/>
  <c r="W800" i="135" s="1"/>
  <c r="AM799" i="135" a="1"/>
  <c r="AM799" i="135" s="1"/>
  <c r="AL799" i="135" a="1"/>
  <c r="AL799" i="135" s="1"/>
  <c r="AK799" i="135" a="1"/>
  <c r="AK799" i="135" s="1"/>
  <c r="AJ799" i="135" a="1"/>
  <c r="AJ799" i="135" s="1"/>
  <c r="AI799" i="135" a="1"/>
  <c r="AI799" i="135" s="1"/>
  <c r="AH799" i="135" a="1"/>
  <c r="AH799" i="135" s="1"/>
  <c r="AG799" i="135" a="1"/>
  <c r="AG799" i="135" s="1"/>
  <c r="AF799" i="135" a="1"/>
  <c r="AF799" i="135" s="1"/>
  <c r="AE799" i="135" a="1"/>
  <c r="AE799" i="135" s="1"/>
  <c r="AD799" i="135" a="1"/>
  <c r="AD799" i="135" s="1"/>
  <c r="AC799" i="135" a="1"/>
  <c r="AC799" i="135" s="1"/>
  <c r="AB799" i="135" a="1"/>
  <c r="AB799" i="135" s="1"/>
  <c r="AA799" i="135" a="1"/>
  <c r="AA799" i="135" s="1"/>
  <c r="Z799" i="135" a="1"/>
  <c r="Z799" i="135" s="1"/>
  <c r="Y799" i="135" a="1"/>
  <c r="Y799" i="135" s="1"/>
  <c r="X799" i="135" a="1"/>
  <c r="X799" i="135" s="1"/>
  <c r="W799" i="135" a="1"/>
  <c r="W799" i="135" s="1"/>
  <c r="AM798" i="135" a="1"/>
  <c r="AM798" i="135" s="1"/>
  <c r="AL798" i="135" a="1"/>
  <c r="AL798" i="135" s="1"/>
  <c r="AK798" i="135" a="1"/>
  <c r="AK798" i="135" s="1"/>
  <c r="AJ798" i="135" a="1"/>
  <c r="AJ798" i="135" s="1"/>
  <c r="AI798" i="135" a="1"/>
  <c r="AI798" i="135" s="1"/>
  <c r="AH798" i="135" a="1"/>
  <c r="AH798" i="135" s="1"/>
  <c r="AG798" i="135" a="1"/>
  <c r="AG798" i="135" s="1"/>
  <c r="AF798" i="135" a="1"/>
  <c r="AF798" i="135" s="1"/>
  <c r="AE798" i="135" a="1"/>
  <c r="AE798" i="135" s="1"/>
  <c r="AD798" i="135" a="1"/>
  <c r="AD798" i="135" s="1"/>
  <c r="AC798" i="135" a="1"/>
  <c r="AC798" i="135" s="1"/>
  <c r="AB798" i="135" a="1"/>
  <c r="AB798" i="135" s="1"/>
  <c r="AA798" i="135" a="1"/>
  <c r="AA798" i="135" s="1"/>
  <c r="Z798" i="135" a="1"/>
  <c r="Z798" i="135" s="1"/>
  <c r="Y798" i="135" a="1"/>
  <c r="Y798" i="135" s="1"/>
  <c r="X798" i="135" a="1"/>
  <c r="X798" i="135" s="1"/>
  <c r="W798" i="135" a="1"/>
  <c r="W798" i="135" s="1"/>
  <c r="AM797" i="135" a="1"/>
  <c r="AM797" i="135" s="1"/>
  <c r="AL797" i="135" a="1"/>
  <c r="AL797" i="135" s="1"/>
  <c r="AK797" i="135" a="1"/>
  <c r="AK797" i="135" s="1"/>
  <c r="AJ797" i="135" a="1"/>
  <c r="AJ797" i="135" s="1"/>
  <c r="AI797" i="135" a="1"/>
  <c r="AI797" i="135" s="1"/>
  <c r="AH797" i="135" a="1"/>
  <c r="AH797" i="135" s="1"/>
  <c r="AG797" i="135" a="1"/>
  <c r="AG797" i="135" s="1"/>
  <c r="AF797" i="135" a="1"/>
  <c r="AF797" i="135" s="1"/>
  <c r="AE797" i="135" a="1"/>
  <c r="AE797" i="135" s="1"/>
  <c r="AD797" i="135" a="1"/>
  <c r="AD797" i="135" s="1"/>
  <c r="AC797" i="135" a="1"/>
  <c r="AC797" i="135" s="1"/>
  <c r="AB797" i="135" a="1"/>
  <c r="AB797" i="135" s="1"/>
  <c r="AA797" i="135" a="1"/>
  <c r="AA797" i="135" s="1"/>
  <c r="Z797" i="135" a="1"/>
  <c r="Z797" i="135" s="1"/>
  <c r="Y797" i="135" a="1"/>
  <c r="Y797" i="135" s="1"/>
  <c r="X797" i="135" a="1"/>
  <c r="X797" i="135" s="1"/>
  <c r="W797" i="135" a="1"/>
  <c r="W797" i="135" s="1"/>
  <c r="AM796" i="135" a="1"/>
  <c r="AM796" i="135" s="1"/>
  <c r="AL796" i="135" a="1"/>
  <c r="AL796" i="135" s="1"/>
  <c r="AK796" i="135" a="1"/>
  <c r="AK796" i="135" s="1"/>
  <c r="AJ796" i="135" a="1"/>
  <c r="AJ796" i="135" s="1"/>
  <c r="AI796" i="135" a="1"/>
  <c r="AI796" i="135" s="1"/>
  <c r="AH796" i="135" a="1"/>
  <c r="AH796" i="135" s="1"/>
  <c r="AG796" i="135" a="1"/>
  <c r="AG796" i="135" s="1"/>
  <c r="AF796" i="135" a="1"/>
  <c r="AF796" i="135" s="1"/>
  <c r="AE796" i="135" a="1"/>
  <c r="AE796" i="135" s="1"/>
  <c r="AD796" i="135" a="1"/>
  <c r="AD796" i="135" s="1"/>
  <c r="AC796" i="135" a="1"/>
  <c r="AC796" i="135" s="1"/>
  <c r="AB796" i="135" a="1"/>
  <c r="AB796" i="135" s="1"/>
  <c r="AA796" i="135" a="1"/>
  <c r="AA796" i="135" s="1"/>
  <c r="Z796" i="135" a="1"/>
  <c r="Z796" i="135" s="1"/>
  <c r="Y796" i="135" a="1"/>
  <c r="Y796" i="135" s="1"/>
  <c r="X796" i="135" a="1"/>
  <c r="X796" i="135" s="1"/>
  <c r="W796" i="135" a="1"/>
  <c r="W796" i="135" s="1"/>
  <c r="AM795" i="135" a="1"/>
  <c r="AM795" i="135" s="1"/>
  <c r="AL795" i="135" a="1"/>
  <c r="AL795" i="135" s="1"/>
  <c r="AK795" i="135" a="1"/>
  <c r="AK795" i="135" s="1"/>
  <c r="AJ795" i="135" a="1"/>
  <c r="AJ795" i="135" s="1"/>
  <c r="AI795" i="135" a="1"/>
  <c r="AI795" i="135" s="1"/>
  <c r="AH795" i="135" a="1"/>
  <c r="AH795" i="135" s="1"/>
  <c r="AG795" i="135" a="1"/>
  <c r="AG795" i="135" s="1"/>
  <c r="AF795" i="135" a="1"/>
  <c r="AF795" i="135" s="1"/>
  <c r="AE795" i="135" a="1"/>
  <c r="AE795" i="135" s="1"/>
  <c r="AD795" i="135" a="1"/>
  <c r="AD795" i="135" s="1"/>
  <c r="AC795" i="135" a="1"/>
  <c r="AC795" i="135" s="1"/>
  <c r="AB795" i="135" a="1"/>
  <c r="AB795" i="135" s="1"/>
  <c r="AA795" i="135" a="1"/>
  <c r="AA795" i="135" s="1"/>
  <c r="Z795" i="135" a="1"/>
  <c r="Z795" i="135" s="1"/>
  <c r="Y795" i="135" a="1"/>
  <c r="Y795" i="135" s="1"/>
  <c r="X795" i="135" a="1"/>
  <c r="X795" i="135" s="1"/>
  <c r="W795" i="135" a="1"/>
  <c r="W795" i="135" s="1"/>
  <c r="AM794" i="135" a="1"/>
  <c r="AM794" i="135" s="1"/>
  <c r="AL794" i="135" a="1"/>
  <c r="AL794" i="135" s="1"/>
  <c r="AK794" i="135" a="1"/>
  <c r="AK794" i="135" s="1"/>
  <c r="AJ794" i="135" a="1"/>
  <c r="AJ794" i="135" s="1"/>
  <c r="AI794" i="135" a="1"/>
  <c r="AI794" i="135" s="1"/>
  <c r="AH794" i="135" a="1"/>
  <c r="AH794" i="135" s="1"/>
  <c r="AG794" i="135" a="1"/>
  <c r="AG794" i="135" s="1"/>
  <c r="AF794" i="135" a="1"/>
  <c r="AF794" i="135" s="1"/>
  <c r="AE794" i="135" a="1"/>
  <c r="AE794" i="135" s="1"/>
  <c r="AD794" i="135" a="1"/>
  <c r="AD794" i="135" s="1"/>
  <c r="AC794" i="135" a="1"/>
  <c r="AC794" i="135" s="1"/>
  <c r="AB794" i="135" a="1"/>
  <c r="AB794" i="135" s="1"/>
  <c r="AA794" i="135" a="1"/>
  <c r="AA794" i="135" s="1"/>
  <c r="Z794" i="135" a="1"/>
  <c r="Z794" i="135" s="1"/>
  <c r="Y794" i="135" a="1"/>
  <c r="Y794" i="135" s="1"/>
  <c r="X794" i="135" a="1"/>
  <c r="X794" i="135" s="1"/>
  <c r="W794" i="135" a="1"/>
  <c r="W794" i="135" s="1"/>
  <c r="AM793" i="135" a="1"/>
  <c r="AM793" i="135" s="1"/>
  <c r="AL793" i="135" a="1"/>
  <c r="AL793" i="135" s="1"/>
  <c r="AK793" i="135" a="1"/>
  <c r="AK793" i="135" s="1"/>
  <c r="AJ793" i="135" a="1"/>
  <c r="AJ793" i="135" s="1"/>
  <c r="AI793" i="135" a="1"/>
  <c r="AI793" i="135" s="1"/>
  <c r="AH793" i="135" a="1"/>
  <c r="AH793" i="135" s="1"/>
  <c r="AG793" i="135" a="1"/>
  <c r="AG793" i="135" s="1"/>
  <c r="AF793" i="135" a="1"/>
  <c r="AF793" i="135" s="1"/>
  <c r="AE793" i="135" a="1"/>
  <c r="AE793" i="135" s="1"/>
  <c r="AD793" i="135" a="1"/>
  <c r="AD793" i="135" s="1"/>
  <c r="AC793" i="135" a="1"/>
  <c r="AC793" i="135" s="1"/>
  <c r="AB793" i="135" a="1"/>
  <c r="AB793" i="135" s="1"/>
  <c r="AA793" i="135" a="1"/>
  <c r="AA793" i="135" s="1"/>
  <c r="Z793" i="135" a="1"/>
  <c r="Z793" i="135" s="1"/>
  <c r="Y793" i="135" a="1"/>
  <c r="Y793" i="135" s="1"/>
  <c r="X793" i="135" a="1"/>
  <c r="X793" i="135" s="1"/>
  <c r="W793" i="135" a="1"/>
  <c r="W793" i="135" s="1"/>
  <c r="AM792" i="135" a="1"/>
  <c r="AM792" i="135" s="1"/>
  <c r="AL792" i="135" a="1"/>
  <c r="AL792" i="135" s="1"/>
  <c r="AK792" i="135" a="1"/>
  <c r="AK792" i="135" s="1"/>
  <c r="AJ792" i="135" a="1"/>
  <c r="AJ792" i="135" s="1"/>
  <c r="AI792" i="135" a="1"/>
  <c r="AI792" i="135" s="1"/>
  <c r="AH792" i="135" a="1"/>
  <c r="AH792" i="135" s="1"/>
  <c r="AG792" i="135" a="1"/>
  <c r="AG792" i="135" s="1"/>
  <c r="AF792" i="135" a="1"/>
  <c r="AF792" i="135" s="1"/>
  <c r="AE792" i="135" a="1"/>
  <c r="AE792" i="135" s="1"/>
  <c r="AD792" i="135" a="1"/>
  <c r="AD792" i="135" s="1"/>
  <c r="AC792" i="135" a="1"/>
  <c r="AC792" i="135" s="1"/>
  <c r="AB792" i="135" a="1"/>
  <c r="AB792" i="135" s="1"/>
  <c r="AA792" i="135" a="1"/>
  <c r="AA792" i="135" s="1"/>
  <c r="Z792" i="135" a="1"/>
  <c r="Z792" i="135" s="1"/>
  <c r="Y792" i="135" a="1"/>
  <c r="Y792" i="135" s="1"/>
  <c r="X792" i="135" a="1"/>
  <c r="X792" i="135" s="1"/>
  <c r="W792" i="135" a="1"/>
  <c r="W792" i="135" s="1"/>
  <c r="AM791" i="135" a="1"/>
  <c r="AM791" i="135" s="1"/>
  <c r="AL791" i="135" a="1"/>
  <c r="AL791" i="135" s="1"/>
  <c r="AK791" i="135" a="1"/>
  <c r="AK791" i="135" s="1"/>
  <c r="AJ791" i="135" a="1"/>
  <c r="AJ791" i="135" s="1"/>
  <c r="AI791" i="135" a="1"/>
  <c r="AI791" i="135" s="1"/>
  <c r="AH791" i="135" a="1"/>
  <c r="AH791" i="135" s="1"/>
  <c r="AG791" i="135" a="1"/>
  <c r="AG791" i="135" s="1"/>
  <c r="AF791" i="135" a="1"/>
  <c r="AF791" i="135" s="1"/>
  <c r="AE791" i="135" a="1"/>
  <c r="AE791" i="135" s="1"/>
  <c r="AD791" i="135" a="1"/>
  <c r="AD791" i="135" s="1"/>
  <c r="AC791" i="135" a="1"/>
  <c r="AC791" i="135" s="1"/>
  <c r="AB791" i="135" a="1"/>
  <c r="AB791" i="135" s="1"/>
  <c r="AA791" i="135" a="1"/>
  <c r="AA791" i="135" s="1"/>
  <c r="Z791" i="135" a="1"/>
  <c r="Z791" i="135" s="1"/>
  <c r="Y791" i="135" a="1"/>
  <c r="Y791" i="135" s="1"/>
  <c r="X791" i="135" a="1"/>
  <c r="X791" i="135" s="1"/>
  <c r="W791" i="135" a="1"/>
  <c r="W791" i="135" s="1"/>
  <c r="AM790" i="135" a="1"/>
  <c r="AM790" i="135" s="1"/>
  <c r="AL790" i="135" a="1"/>
  <c r="AL790" i="135" s="1"/>
  <c r="AK790" i="135" a="1"/>
  <c r="AK790" i="135" s="1"/>
  <c r="AJ790" i="135" a="1"/>
  <c r="AJ790" i="135" s="1"/>
  <c r="AI790" i="135" a="1"/>
  <c r="AI790" i="135" s="1"/>
  <c r="AH790" i="135" a="1"/>
  <c r="AH790" i="135" s="1"/>
  <c r="AG790" i="135" a="1"/>
  <c r="AG790" i="135" s="1"/>
  <c r="AF790" i="135" a="1"/>
  <c r="AF790" i="135" s="1"/>
  <c r="AE790" i="135" a="1"/>
  <c r="AE790" i="135" s="1"/>
  <c r="AD790" i="135" a="1"/>
  <c r="AD790" i="135" s="1"/>
  <c r="AC790" i="135" a="1"/>
  <c r="AC790" i="135" s="1"/>
  <c r="AB790" i="135" a="1"/>
  <c r="AB790" i="135" s="1"/>
  <c r="AA790" i="135" a="1"/>
  <c r="AA790" i="135" s="1"/>
  <c r="Z790" i="135" a="1"/>
  <c r="Z790" i="135" s="1"/>
  <c r="Y790" i="135" a="1"/>
  <c r="Y790" i="135" s="1"/>
  <c r="X790" i="135" a="1"/>
  <c r="X790" i="135" s="1"/>
  <c r="W790" i="135" a="1"/>
  <c r="W790" i="135" s="1"/>
  <c r="AM789" i="135" a="1"/>
  <c r="AM789" i="135" s="1"/>
  <c r="AL789" i="135" a="1"/>
  <c r="AL789" i="135" s="1"/>
  <c r="AK789" i="135" a="1"/>
  <c r="AK789" i="135" s="1"/>
  <c r="AJ789" i="135" a="1"/>
  <c r="AJ789" i="135" s="1"/>
  <c r="AI789" i="135" a="1"/>
  <c r="AI789" i="135" s="1"/>
  <c r="AH789" i="135" a="1"/>
  <c r="AH789" i="135" s="1"/>
  <c r="AG789" i="135" a="1"/>
  <c r="AG789" i="135" s="1"/>
  <c r="AF789" i="135" a="1"/>
  <c r="AF789" i="135" s="1"/>
  <c r="AE789" i="135" a="1"/>
  <c r="AE789" i="135" s="1"/>
  <c r="AD789" i="135" a="1"/>
  <c r="AD789" i="135" s="1"/>
  <c r="AC789" i="135" a="1"/>
  <c r="AC789" i="135" s="1"/>
  <c r="AB789" i="135" a="1"/>
  <c r="AB789" i="135" s="1"/>
  <c r="AA789" i="135" a="1"/>
  <c r="AA789" i="135" s="1"/>
  <c r="Z789" i="135" a="1"/>
  <c r="Z789" i="135" s="1"/>
  <c r="Y789" i="135" a="1"/>
  <c r="Y789" i="135" s="1"/>
  <c r="X789" i="135" a="1"/>
  <c r="X789" i="135" s="1"/>
  <c r="W789" i="135" a="1"/>
  <c r="W789" i="135" s="1"/>
  <c r="AM788" i="135" a="1"/>
  <c r="AM788" i="135" s="1"/>
  <c r="AL788" i="135" a="1"/>
  <c r="AL788" i="135" s="1"/>
  <c r="AK788" i="135" a="1"/>
  <c r="AK788" i="135" s="1"/>
  <c r="AJ788" i="135" a="1"/>
  <c r="AJ788" i="135" s="1"/>
  <c r="AI788" i="135" a="1"/>
  <c r="AI788" i="135" s="1"/>
  <c r="AH788" i="135" a="1"/>
  <c r="AH788" i="135" s="1"/>
  <c r="AG788" i="135" a="1"/>
  <c r="AG788" i="135" s="1"/>
  <c r="AF788" i="135" a="1"/>
  <c r="AF788" i="135" s="1"/>
  <c r="AE788" i="135" a="1"/>
  <c r="AE788" i="135" s="1"/>
  <c r="AD788" i="135" a="1"/>
  <c r="AD788" i="135" s="1"/>
  <c r="AC788" i="135" a="1"/>
  <c r="AC788" i="135" s="1"/>
  <c r="AB788" i="135" a="1"/>
  <c r="AB788" i="135" s="1"/>
  <c r="AA788" i="135" a="1"/>
  <c r="AA788" i="135" s="1"/>
  <c r="Z788" i="135" a="1"/>
  <c r="Z788" i="135" s="1"/>
  <c r="Y788" i="135" a="1"/>
  <c r="Y788" i="135" s="1"/>
  <c r="X788" i="135" a="1"/>
  <c r="X788" i="135" s="1"/>
  <c r="W788" i="135" a="1"/>
  <c r="W788" i="135" s="1"/>
  <c r="AM787" i="135" a="1"/>
  <c r="AM787" i="135" s="1"/>
  <c r="AL787" i="135" a="1"/>
  <c r="AL787" i="135" s="1"/>
  <c r="AK787" i="135" a="1"/>
  <c r="AK787" i="135" s="1"/>
  <c r="AJ787" i="135" a="1"/>
  <c r="AJ787" i="135" s="1"/>
  <c r="AI787" i="135" a="1"/>
  <c r="AI787" i="135" s="1"/>
  <c r="AH787" i="135" a="1"/>
  <c r="AH787" i="135" s="1"/>
  <c r="AG787" i="135" a="1"/>
  <c r="AG787" i="135" s="1"/>
  <c r="AF787" i="135" a="1"/>
  <c r="AF787" i="135" s="1"/>
  <c r="AE787" i="135" a="1"/>
  <c r="AE787" i="135" s="1"/>
  <c r="AD787" i="135" a="1"/>
  <c r="AD787" i="135" s="1"/>
  <c r="AC787" i="135" a="1"/>
  <c r="AC787" i="135" s="1"/>
  <c r="AB787" i="135" a="1"/>
  <c r="AB787" i="135" s="1"/>
  <c r="AA787" i="135" a="1"/>
  <c r="AA787" i="135" s="1"/>
  <c r="Z787" i="135" a="1"/>
  <c r="Z787" i="135" s="1"/>
  <c r="Y787" i="135" a="1"/>
  <c r="Y787" i="135" s="1"/>
  <c r="X787" i="135" a="1"/>
  <c r="X787" i="135" s="1"/>
  <c r="W787" i="135" a="1"/>
  <c r="W787" i="135" s="1"/>
  <c r="AM786" i="135" a="1"/>
  <c r="AM786" i="135" s="1"/>
  <c r="AL786" i="135" a="1"/>
  <c r="AL786" i="135" s="1"/>
  <c r="AK786" i="135" a="1"/>
  <c r="AK786" i="135" s="1"/>
  <c r="AJ786" i="135" a="1"/>
  <c r="AJ786" i="135" s="1"/>
  <c r="AI786" i="135" a="1"/>
  <c r="AI786" i="135" s="1"/>
  <c r="AH786" i="135" a="1"/>
  <c r="AH786" i="135" s="1"/>
  <c r="AG786" i="135" a="1"/>
  <c r="AG786" i="135" s="1"/>
  <c r="AF786" i="135" a="1"/>
  <c r="AF786" i="135" s="1"/>
  <c r="AE786" i="135" a="1"/>
  <c r="AE786" i="135" s="1"/>
  <c r="AD786" i="135" a="1"/>
  <c r="AD786" i="135" s="1"/>
  <c r="AC786" i="135" a="1"/>
  <c r="AC786" i="135" s="1"/>
  <c r="AB786" i="135" a="1"/>
  <c r="AB786" i="135" s="1"/>
  <c r="AA786" i="135" a="1"/>
  <c r="AA786" i="135" s="1"/>
  <c r="Z786" i="135" a="1"/>
  <c r="Z786" i="135" s="1"/>
  <c r="Y786" i="135" a="1"/>
  <c r="Y786" i="135" s="1"/>
  <c r="X786" i="135" a="1"/>
  <c r="X786" i="135" s="1"/>
  <c r="W786" i="135" a="1"/>
  <c r="W786" i="135" s="1"/>
  <c r="AM785" i="135" a="1"/>
  <c r="AM785" i="135" s="1"/>
  <c r="AL785" i="135" a="1"/>
  <c r="AL785" i="135" s="1"/>
  <c r="AK785" i="135" a="1"/>
  <c r="AK785" i="135" s="1"/>
  <c r="AJ785" i="135" a="1"/>
  <c r="AJ785" i="135" s="1"/>
  <c r="AI785" i="135" a="1"/>
  <c r="AI785" i="135" s="1"/>
  <c r="AH785" i="135" a="1"/>
  <c r="AH785" i="135" s="1"/>
  <c r="AG785" i="135" a="1"/>
  <c r="AG785" i="135" s="1"/>
  <c r="AF785" i="135" a="1"/>
  <c r="AF785" i="135" s="1"/>
  <c r="AE785" i="135" a="1"/>
  <c r="AE785" i="135" s="1"/>
  <c r="AD785" i="135" a="1"/>
  <c r="AD785" i="135" s="1"/>
  <c r="AC785" i="135" a="1"/>
  <c r="AC785" i="135" s="1"/>
  <c r="AB785" i="135" a="1"/>
  <c r="AB785" i="135" s="1"/>
  <c r="AA785" i="135" a="1"/>
  <c r="AA785" i="135" s="1"/>
  <c r="Z785" i="135" a="1"/>
  <c r="Z785" i="135" s="1"/>
  <c r="Y785" i="135" a="1"/>
  <c r="Y785" i="135" s="1"/>
  <c r="X785" i="135" a="1"/>
  <c r="X785" i="135" s="1"/>
  <c r="W785" i="135" a="1"/>
  <c r="W785" i="135" s="1"/>
  <c r="AM784" i="135" a="1"/>
  <c r="AM784" i="135" s="1"/>
  <c r="AL784" i="135" a="1"/>
  <c r="AL784" i="135" s="1"/>
  <c r="AK784" i="135" a="1"/>
  <c r="AK784" i="135" s="1"/>
  <c r="AJ784" i="135" a="1"/>
  <c r="AJ784" i="135" s="1"/>
  <c r="AI784" i="135" a="1"/>
  <c r="AI784" i="135" s="1"/>
  <c r="AH784" i="135" a="1"/>
  <c r="AH784" i="135" s="1"/>
  <c r="AG784" i="135" a="1"/>
  <c r="AG784" i="135" s="1"/>
  <c r="AF784" i="135" a="1"/>
  <c r="AF784" i="135" s="1"/>
  <c r="AE784" i="135" a="1"/>
  <c r="AE784" i="135" s="1"/>
  <c r="AD784" i="135" a="1"/>
  <c r="AD784" i="135" s="1"/>
  <c r="AC784" i="135" a="1"/>
  <c r="AC784" i="135" s="1"/>
  <c r="AB784" i="135" a="1"/>
  <c r="AB784" i="135" s="1"/>
  <c r="AA784" i="135" a="1"/>
  <c r="AA784" i="135" s="1"/>
  <c r="Z784" i="135" a="1"/>
  <c r="Z784" i="135" s="1"/>
  <c r="Y784" i="135" a="1"/>
  <c r="Y784" i="135" s="1"/>
  <c r="X784" i="135" a="1"/>
  <c r="X784" i="135" s="1"/>
  <c r="W784" i="135" a="1"/>
  <c r="W784" i="135" s="1"/>
  <c r="AM783" i="135" a="1"/>
  <c r="AM783" i="135" s="1"/>
  <c r="AL783" i="135" a="1"/>
  <c r="AL783" i="135" s="1"/>
  <c r="AK783" i="135" a="1"/>
  <c r="AK783" i="135" s="1"/>
  <c r="AJ783" i="135" a="1"/>
  <c r="AJ783" i="135" s="1"/>
  <c r="AI783" i="135" a="1"/>
  <c r="AI783" i="135" s="1"/>
  <c r="AH783" i="135" a="1"/>
  <c r="AH783" i="135" s="1"/>
  <c r="AG783" i="135" a="1"/>
  <c r="AG783" i="135" s="1"/>
  <c r="AF783" i="135" a="1"/>
  <c r="AF783" i="135" s="1"/>
  <c r="AE783" i="135" a="1"/>
  <c r="AE783" i="135" s="1"/>
  <c r="AD783" i="135" a="1"/>
  <c r="AD783" i="135" s="1"/>
  <c r="AC783" i="135" a="1"/>
  <c r="AC783" i="135" s="1"/>
  <c r="AB783" i="135" a="1"/>
  <c r="AB783" i="135" s="1"/>
  <c r="AA783" i="135" a="1"/>
  <c r="AA783" i="135" s="1"/>
  <c r="Z783" i="135" a="1"/>
  <c r="Z783" i="135" s="1"/>
  <c r="Y783" i="135" a="1"/>
  <c r="Y783" i="135" s="1"/>
  <c r="X783" i="135" a="1"/>
  <c r="X783" i="135" s="1"/>
  <c r="W783" i="135" a="1"/>
  <c r="W783" i="135" s="1"/>
  <c r="AM782" i="135" a="1"/>
  <c r="AM782" i="135" s="1"/>
  <c r="AL782" i="135" a="1"/>
  <c r="AL782" i="135" s="1"/>
  <c r="AK782" i="135" a="1"/>
  <c r="AK782" i="135" s="1"/>
  <c r="AJ782" i="135" a="1"/>
  <c r="AJ782" i="135" s="1"/>
  <c r="AI782" i="135" a="1"/>
  <c r="AI782" i="135" s="1"/>
  <c r="AH782" i="135" a="1"/>
  <c r="AH782" i="135" s="1"/>
  <c r="AG782" i="135" a="1"/>
  <c r="AG782" i="135" s="1"/>
  <c r="AF782" i="135" a="1"/>
  <c r="AF782" i="135" s="1"/>
  <c r="AE782" i="135" a="1"/>
  <c r="AE782" i="135" s="1"/>
  <c r="AD782" i="135" a="1"/>
  <c r="AD782" i="135" s="1"/>
  <c r="AC782" i="135" a="1"/>
  <c r="AC782" i="135" s="1"/>
  <c r="AB782" i="135" a="1"/>
  <c r="AB782" i="135" s="1"/>
  <c r="AA782" i="135" a="1"/>
  <c r="AA782" i="135" s="1"/>
  <c r="Z782" i="135" a="1"/>
  <c r="Z782" i="135" s="1"/>
  <c r="Y782" i="135" a="1"/>
  <c r="Y782" i="135" s="1"/>
  <c r="X782" i="135" a="1"/>
  <c r="X782" i="135" s="1"/>
  <c r="W782" i="135" a="1"/>
  <c r="W782" i="135" s="1"/>
  <c r="AM781" i="135" a="1"/>
  <c r="AM781" i="135" s="1"/>
  <c r="AL781" i="135" a="1"/>
  <c r="AL781" i="135" s="1"/>
  <c r="AK781" i="135" a="1"/>
  <c r="AK781" i="135" s="1"/>
  <c r="AJ781" i="135" a="1"/>
  <c r="AJ781" i="135" s="1"/>
  <c r="AI781" i="135" a="1"/>
  <c r="AI781" i="135" s="1"/>
  <c r="AH781" i="135" a="1"/>
  <c r="AH781" i="135" s="1"/>
  <c r="AG781" i="135" a="1"/>
  <c r="AG781" i="135" s="1"/>
  <c r="AF781" i="135" a="1"/>
  <c r="AF781" i="135" s="1"/>
  <c r="AE781" i="135" a="1"/>
  <c r="AE781" i="135" s="1"/>
  <c r="AD781" i="135" a="1"/>
  <c r="AD781" i="135" s="1"/>
  <c r="AC781" i="135" a="1"/>
  <c r="AC781" i="135" s="1"/>
  <c r="AB781" i="135" a="1"/>
  <c r="AB781" i="135" s="1"/>
  <c r="AA781" i="135" a="1"/>
  <c r="AA781" i="135" s="1"/>
  <c r="Z781" i="135" a="1"/>
  <c r="Z781" i="135" s="1"/>
  <c r="Y781" i="135" a="1"/>
  <c r="Y781" i="135" s="1"/>
  <c r="X781" i="135" a="1"/>
  <c r="X781" i="135" s="1"/>
  <c r="W781" i="135" a="1"/>
  <c r="W781" i="135" s="1"/>
  <c r="AM780" i="135" a="1"/>
  <c r="AM780" i="135" s="1"/>
  <c r="AL780" i="135" a="1"/>
  <c r="AL780" i="135" s="1"/>
  <c r="AK780" i="135" a="1"/>
  <c r="AK780" i="135" s="1"/>
  <c r="AJ780" i="135" a="1"/>
  <c r="AJ780" i="135" s="1"/>
  <c r="AI780" i="135" a="1"/>
  <c r="AI780" i="135" s="1"/>
  <c r="AH780" i="135" a="1"/>
  <c r="AH780" i="135" s="1"/>
  <c r="AG780" i="135" a="1"/>
  <c r="AG780" i="135" s="1"/>
  <c r="AF780" i="135" a="1"/>
  <c r="AF780" i="135" s="1"/>
  <c r="AE780" i="135" a="1"/>
  <c r="AE780" i="135" s="1"/>
  <c r="AD780" i="135" a="1"/>
  <c r="AD780" i="135" s="1"/>
  <c r="AC780" i="135" a="1"/>
  <c r="AC780" i="135" s="1"/>
  <c r="AB780" i="135" a="1"/>
  <c r="AB780" i="135" s="1"/>
  <c r="AA780" i="135" a="1"/>
  <c r="AA780" i="135" s="1"/>
  <c r="Z780" i="135" a="1"/>
  <c r="Z780" i="135" s="1"/>
  <c r="Y780" i="135" a="1"/>
  <c r="Y780" i="135" s="1"/>
  <c r="X780" i="135" a="1"/>
  <c r="X780" i="135" s="1"/>
  <c r="W780" i="135" a="1"/>
  <c r="W780" i="135" s="1"/>
  <c r="AM779" i="135" a="1"/>
  <c r="AM779" i="135" s="1"/>
  <c r="AL779" i="135" a="1"/>
  <c r="AL779" i="135" s="1"/>
  <c r="AK779" i="135" a="1"/>
  <c r="AK779" i="135" s="1"/>
  <c r="AJ779" i="135" a="1"/>
  <c r="AJ779" i="135" s="1"/>
  <c r="AI779" i="135" a="1"/>
  <c r="AI779" i="135" s="1"/>
  <c r="AH779" i="135" a="1"/>
  <c r="AH779" i="135" s="1"/>
  <c r="AG779" i="135" a="1"/>
  <c r="AG779" i="135" s="1"/>
  <c r="AF779" i="135" a="1"/>
  <c r="AF779" i="135" s="1"/>
  <c r="AE779" i="135" a="1"/>
  <c r="AE779" i="135" s="1"/>
  <c r="AD779" i="135" a="1"/>
  <c r="AD779" i="135" s="1"/>
  <c r="AC779" i="135" a="1"/>
  <c r="AC779" i="135" s="1"/>
  <c r="AB779" i="135" a="1"/>
  <c r="AB779" i="135" s="1"/>
  <c r="AA779" i="135" a="1"/>
  <c r="AA779" i="135" s="1"/>
  <c r="Z779" i="135" a="1"/>
  <c r="Z779" i="135" s="1"/>
  <c r="Y779" i="135" a="1"/>
  <c r="Y779" i="135" s="1"/>
  <c r="X779" i="135" a="1"/>
  <c r="X779" i="135" s="1"/>
  <c r="W779" i="135" a="1"/>
  <c r="W779" i="135" s="1"/>
  <c r="AM778" i="135" a="1"/>
  <c r="AM778" i="135" s="1"/>
  <c r="AL778" i="135" a="1"/>
  <c r="AL778" i="135" s="1"/>
  <c r="AK778" i="135" a="1"/>
  <c r="AK778" i="135" s="1"/>
  <c r="AJ778" i="135" a="1"/>
  <c r="AJ778" i="135" s="1"/>
  <c r="AI778" i="135" a="1"/>
  <c r="AI778" i="135" s="1"/>
  <c r="AH778" i="135" a="1"/>
  <c r="AH778" i="135" s="1"/>
  <c r="AG778" i="135" a="1"/>
  <c r="AG778" i="135" s="1"/>
  <c r="AF778" i="135" a="1"/>
  <c r="AF778" i="135" s="1"/>
  <c r="AE778" i="135" a="1"/>
  <c r="AE778" i="135" s="1"/>
  <c r="AD778" i="135" a="1"/>
  <c r="AD778" i="135" s="1"/>
  <c r="AC778" i="135" a="1"/>
  <c r="AC778" i="135" s="1"/>
  <c r="AB778" i="135" a="1"/>
  <c r="AB778" i="135" s="1"/>
  <c r="AA778" i="135" a="1"/>
  <c r="AA778" i="135" s="1"/>
  <c r="Z778" i="135" a="1"/>
  <c r="Z778" i="135" s="1"/>
  <c r="Y778" i="135" a="1"/>
  <c r="Y778" i="135" s="1"/>
  <c r="X778" i="135" a="1"/>
  <c r="X778" i="135" s="1"/>
  <c r="W778" i="135" a="1"/>
  <c r="W778" i="135" s="1"/>
  <c r="AM777" i="135" a="1"/>
  <c r="AM777" i="135" s="1"/>
  <c r="AL777" i="135" a="1"/>
  <c r="AL777" i="135" s="1"/>
  <c r="AK777" i="135" a="1"/>
  <c r="AK777" i="135" s="1"/>
  <c r="AJ777" i="135" a="1"/>
  <c r="AJ777" i="135" s="1"/>
  <c r="AI777" i="135" a="1"/>
  <c r="AI777" i="135" s="1"/>
  <c r="AH777" i="135" a="1"/>
  <c r="AH777" i="135" s="1"/>
  <c r="AG777" i="135" a="1"/>
  <c r="AG777" i="135" s="1"/>
  <c r="AF777" i="135" a="1"/>
  <c r="AF777" i="135" s="1"/>
  <c r="AE777" i="135" a="1"/>
  <c r="AE777" i="135" s="1"/>
  <c r="AD777" i="135" a="1"/>
  <c r="AD777" i="135" s="1"/>
  <c r="AC777" i="135" a="1"/>
  <c r="AC777" i="135" s="1"/>
  <c r="AB777" i="135" a="1"/>
  <c r="AB777" i="135" s="1"/>
  <c r="AA777" i="135" a="1"/>
  <c r="AA777" i="135" s="1"/>
  <c r="Z777" i="135" a="1"/>
  <c r="Z777" i="135" s="1"/>
  <c r="Y777" i="135" a="1"/>
  <c r="Y777" i="135" s="1"/>
  <c r="X777" i="135" a="1"/>
  <c r="X777" i="135" s="1"/>
  <c r="W777" i="135" a="1"/>
  <c r="W777" i="135" s="1"/>
  <c r="AM776" i="135" a="1"/>
  <c r="AM776" i="135" s="1"/>
  <c r="AL776" i="135" a="1"/>
  <c r="AL776" i="135" s="1"/>
  <c r="AK776" i="135" a="1"/>
  <c r="AK776" i="135" s="1"/>
  <c r="AJ776" i="135" a="1"/>
  <c r="AJ776" i="135" s="1"/>
  <c r="AI776" i="135" a="1"/>
  <c r="AI776" i="135" s="1"/>
  <c r="AH776" i="135" a="1"/>
  <c r="AH776" i="135" s="1"/>
  <c r="AG776" i="135" a="1"/>
  <c r="AG776" i="135" s="1"/>
  <c r="AF776" i="135" a="1"/>
  <c r="AF776" i="135" s="1"/>
  <c r="AE776" i="135" a="1"/>
  <c r="AE776" i="135" s="1"/>
  <c r="AD776" i="135" a="1"/>
  <c r="AD776" i="135" s="1"/>
  <c r="AC776" i="135" a="1"/>
  <c r="AC776" i="135" s="1"/>
  <c r="AB776" i="135" a="1"/>
  <c r="AB776" i="135" s="1"/>
  <c r="AA776" i="135" a="1"/>
  <c r="AA776" i="135" s="1"/>
  <c r="Z776" i="135" a="1"/>
  <c r="Z776" i="135" s="1"/>
  <c r="Y776" i="135" a="1"/>
  <c r="Y776" i="135" s="1"/>
  <c r="X776" i="135" a="1"/>
  <c r="X776" i="135" s="1"/>
  <c r="W776" i="135" a="1"/>
  <c r="W776" i="135" s="1"/>
  <c r="AM775" i="135" a="1"/>
  <c r="AM775" i="135" s="1"/>
  <c r="AL775" i="135" a="1"/>
  <c r="AL775" i="135" s="1"/>
  <c r="AK775" i="135" a="1"/>
  <c r="AK775" i="135" s="1"/>
  <c r="AJ775" i="135" a="1"/>
  <c r="AJ775" i="135" s="1"/>
  <c r="AI775" i="135" a="1"/>
  <c r="AI775" i="135" s="1"/>
  <c r="AH775" i="135" a="1"/>
  <c r="AH775" i="135" s="1"/>
  <c r="AG775" i="135" a="1"/>
  <c r="AG775" i="135" s="1"/>
  <c r="AF775" i="135" a="1"/>
  <c r="AF775" i="135" s="1"/>
  <c r="AE775" i="135" a="1"/>
  <c r="AE775" i="135" s="1"/>
  <c r="AD775" i="135" a="1"/>
  <c r="AD775" i="135" s="1"/>
  <c r="AC775" i="135" a="1"/>
  <c r="AC775" i="135" s="1"/>
  <c r="AB775" i="135" a="1"/>
  <c r="AB775" i="135" s="1"/>
  <c r="AA775" i="135" a="1"/>
  <c r="AA775" i="135" s="1"/>
  <c r="Z775" i="135" a="1"/>
  <c r="Z775" i="135" s="1"/>
  <c r="Y775" i="135" a="1"/>
  <c r="Y775" i="135" s="1"/>
  <c r="X775" i="135" a="1"/>
  <c r="X775" i="135" s="1"/>
  <c r="W775" i="135" a="1"/>
  <c r="W775" i="135" s="1"/>
  <c r="AM774" i="135" a="1"/>
  <c r="AM774" i="135" s="1"/>
  <c r="AL774" i="135" a="1"/>
  <c r="AL774" i="135" s="1"/>
  <c r="AK774" i="135" a="1"/>
  <c r="AK774" i="135" s="1"/>
  <c r="AJ774" i="135" a="1"/>
  <c r="AJ774" i="135" s="1"/>
  <c r="AI774" i="135" a="1"/>
  <c r="AI774" i="135" s="1"/>
  <c r="AH774" i="135" a="1"/>
  <c r="AH774" i="135" s="1"/>
  <c r="AG774" i="135" a="1"/>
  <c r="AG774" i="135" s="1"/>
  <c r="AF774" i="135" a="1"/>
  <c r="AF774" i="135" s="1"/>
  <c r="AE774" i="135" a="1"/>
  <c r="AE774" i="135" s="1"/>
  <c r="AD774" i="135" a="1"/>
  <c r="AD774" i="135" s="1"/>
  <c r="AC774" i="135" a="1"/>
  <c r="AC774" i="135" s="1"/>
  <c r="AB774" i="135" a="1"/>
  <c r="AB774" i="135" s="1"/>
  <c r="AA774" i="135" a="1"/>
  <c r="AA774" i="135" s="1"/>
  <c r="Z774" i="135" a="1"/>
  <c r="Z774" i="135" s="1"/>
  <c r="Y774" i="135" a="1"/>
  <c r="Y774" i="135" s="1"/>
  <c r="X774" i="135" a="1"/>
  <c r="X774" i="135" s="1"/>
  <c r="W774" i="135" a="1"/>
  <c r="W774" i="135" s="1"/>
  <c r="AM773" i="135" a="1"/>
  <c r="AM773" i="135" s="1"/>
  <c r="AL773" i="135" a="1"/>
  <c r="AL773" i="135" s="1"/>
  <c r="AK773" i="135" a="1"/>
  <c r="AK773" i="135" s="1"/>
  <c r="AJ773" i="135" a="1"/>
  <c r="AJ773" i="135" s="1"/>
  <c r="AI773" i="135" a="1"/>
  <c r="AI773" i="135" s="1"/>
  <c r="AH773" i="135" a="1"/>
  <c r="AH773" i="135" s="1"/>
  <c r="AG773" i="135" a="1"/>
  <c r="AG773" i="135" s="1"/>
  <c r="AF773" i="135" a="1"/>
  <c r="AF773" i="135" s="1"/>
  <c r="AE773" i="135" a="1"/>
  <c r="AE773" i="135" s="1"/>
  <c r="AD773" i="135" a="1"/>
  <c r="AD773" i="135" s="1"/>
  <c r="AC773" i="135" a="1"/>
  <c r="AC773" i="135" s="1"/>
  <c r="AB773" i="135" a="1"/>
  <c r="AB773" i="135" s="1"/>
  <c r="AA773" i="135" a="1"/>
  <c r="AA773" i="135" s="1"/>
  <c r="Z773" i="135" a="1"/>
  <c r="Z773" i="135" s="1"/>
  <c r="Y773" i="135" a="1"/>
  <c r="Y773" i="135" s="1"/>
  <c r="X773" i="135" a="1"/>
  <c r="X773" i="135" s="1"/>
  <c r="W773" i="135" a="1"/>
  <c r="W773" i="135" s="1"/>
  <c r="AM772" i="135" a="1"/>
  <c r="AM772" i="135" s="1"/>
  <c r="AL772" i="135" a="1"/>
  <c r="AL772" i="135" s="1"/>
  <c r="AK772" i="135" a="1"/>
  <c r="AK772" i="135" s="1"/>
  <c r="AJ772" i="135" a="1"/>
  <c r="AJ772" i="135" s="1"/>
  <c r="AI772" i="135" a="1"/>
  <c r="AI772" i="135" s="1"/>
  <c r="AH772" i="135" a="1"/>
  <c r="AH772" i="135" s="1"/>
  <c r="AG772" i="135" a="1"/>
  <c r="AG772" i="135" s="1"/>
  <c r="AF772" i="135" a="1"/>
  <c r="AF772" i="135" s="1"/>
  <c r="AE772" i="135" a="1"/>
  <c r="AE772" i="135" s="1"/>
  <c r="AD772" i="135" a="1"/>
  <c r="AD772" i="135" s="1"/>
  <c r="AC772" i="135" a="1"/>
  <c r="AC772" i="135" s="1"/>
  <c r="AB772" i="135" a="1"/>
  <c r="AB772" i="135" s="1"/>
  <c r="AA772" i="135" a="1"/>
  <c r="AA772" i="135" s="1"/>
  <c r="Z772" i="135" a="1"/>
  <c r="Z772" i="135" s="1"/>
  <c r="Y772" i="135" a="1"/>
  <c r="Y772" i="135" s="1"/>
  <c r="X772" i="135" a="1"/>
  <c r="X772" i="135" s="1"/>
  <c r="W772" i="135" a="1"/>
  <c r="W772" i="135" s="1"/>
  <c r="AM771" i="135" a="1"/>
  <c r="AM771" i="135" s="1"/>
  <c r="AL771" i="135" a="1"/>
  <c r="AL771" i="135" s="1"/>
  <c r="AK771" i="135" a="1"/>
  <c r="AK771" i="135" s="1"/>
  <c r="AJ771" i="135" a="1"/>
  <c r="AJ771" i="135" s="1"/>
  <c r="AI771" i="135" a="1"/>
  <c r="AI771" i="135" s="1"/>
  <c r="AH771" i="135" a="1"/>
  <c r="AH771" i="135" s="1"/>
  <c r="AG771" i="135" a="1"/>
  <c r="AG771" i="135" s="1"/>
  <c r="AF771" i="135" a="1"/>
  <c r="AF771" i="135" s="1"/>
  <c r="AE771" i="135" a="1"/>
  <c r="AE771" i="135" s="1"/>
  <c r="AD771" i="135" a="1"/>
  <c r="AD771" i="135" s="1"/>
  <c r="AC771" i="135" a="1"/>
  <c r="AC771" i="135" s="1"/>
  <c r="AB771" i="135" a="1"/>
  <c r="AB771" i="135" s="1"/>
  <c r="AA771" i="135" a="1"/>
  <c r="AA771" i="135" s="1"/>
  <c r="Z771" i="135" a="1"/>
  <c r="Z771" i="135" s="1"/>
  <c r="Y771" i="135" a="1"/>
  <c r="Y771" i="135" s="1"/>
  <c r="X771" i="135" a="1"/>
  <c r="X771" i="135" s="1"/>
  <c r="W771" i="135" a="1"/>
  <c r="W771" i="135" s="1"/>
  <c r="AM770" i="135" a="1"/>
  <c r="AM770" i="135" s="1"/>
  <c r="AL770" i="135" a="1"/>
  <c r="AL770" i="135" s="1"/>
  <c r="AK770" i="135" a="1"/>
  <c r="AK770" i="135" s="1"/>
  <c r="AJ770" i="135" a="1"/>
  <c r="AJ770" i="135" s="1"/>
  <c r="AI770" i="135" a="1"/>
  <c r="AI770" i="135" s="1"/>
  <c r="AH770" i="135" a="1"/>
  <c r="AH770" i="135" s="1"/>
  <c r="AG770" i="135" a="1"/>
  <c r="AG770" i="135" s="1"/>
  <c r="AF770" i="135" a="1"/>
  <c r="AF770" i="135" s="1"/>
  <c r="AE770" i="135" a="1"/>
  <c r="AE770" i="135" s="1"/>
  <c r="AD770" i="135" a="1"/>
  <c r="AD770" i="135" s="1"/>
  <c r="AC770" i="135" a="1"/>
  <c r="AC770" i="135" s="1"/>
  <c r="AB770" i="135" a="1"/>
  <c r="AB770" i="135" s="1"/>
  <c r="AA770" i="135" a="1"/>
  <c r="AA770" i="135" s="1"/>
  <c r="Z770" i="135" a="1"/>
  <c r="Z770" i="135" s="1"/>
  <c r="Y770" i="135" a="1"/>
  <c r="Y770" i="135" s="1"/>
  <c r="X770" i="135" a="1"/>
  <c r="X770" i="135" s="1"/>
  <c r="W770" i="135" a="1"/>
  <c r="W770" i="135" s="1"/>
  <c r="AM769" i="135" a="1"/>
  <c r="AM769" i="135" s="1"/>
  <c r="AL769" i="135" a="1"/>
  <c r="AL769" i="135" s="1"/>
  <c r="AK769" i="135" a="1"/>
  <c r="AK769" i="135" s="1"/>
  <c r="AJ769" i="135" a="1"/>
  <c r="AJ769" i="135" s="1"/>
  <c r="AI769" i="135" a="1"/>
  <c r="AI769" i="135" s="1"/>
  <c r="AH769" i="135" a="1"/>
  <c r="AH769" i="135" s="1"/>
  <c r="AG769" i="135" a="1"/>
  <c r="AG769" i="135" s="1"/>
  <c r="AF769" i="135" a="1"/>
  <c r="AF769" i="135" s="1"/>
  <c r="AE769" i="135" a="1"/>
  <c r="AE769" i="135" s="1"/>
  <c r="AD769" i="135" a="1"/>
  <c r="AD769" i="135" s="1"/>
  <c r="AC769" i="135" a="1"/>
  <c r="AC769" i="135" s="1"/>
  <c r="AB769" i="135" a="1"/>
  <c r="AB769" i="135" s="1"/>
  <c r="AA769" i="135" a="1"/>
  <c r="AA769" i="135" s="1"/>
  <c r="Z769" i="135" a="1"/>
  <c r="Z769" i="135" s="1"/>
  <c r="Y769" i="135" a="1"/>
  <c r="Y769" i="135" s="1"/>
  <c r="X769" i="135" a="1"/>
  <c r="X769" i="135" s="1"/>
  <c r="W769" i="135" a="1"/>
  <c r="W769" i="135" s="1"/>
  <c r="AM768" i="135" a="1"/>
  <c r="AM768" i="135" s="1"/>
  <c r="AL768" i="135" a="1"/>
  <c r="AL768" i="135" s="1"/>
  <c r="AK768" i="135" a="1"/>
  <c r="AK768" i="135" s="1"/>
  <c r="AJ768" i="135" a="1"/>
  <c r="AJ768" i="135" s="1"/>
  <c r="AI768" i="135" a="1"/>
  <c r="AI768" i="135" s="1"/>
  <c r="AH768" i="135" a="1"/>
  <c r="AH768" i="135" s="1"/>
  <c r="AG768" i="135" a="1"/>
  <c r="AG768" i="135" s="1"/>
  <c r="AF768" i="135" a="1"/>
  <c r="AF768" i="135" s="1"/>
  <c r="AE768" i="135" a="1"/>
  <c r="AE768" i="135" s="1"/>
  <c r="AD768" i="135" a="1"/>
  <c r="AD768" i="135" s="1"/>
  <c r="AC768" i="135" a="1"/>
  <c r="AC768" i="135" s="1"/>
  <c r="AB768" i="135" a="1"/>
  <c r="AB768" i="135" s="1"/>
  <c r="AA768" i="135" a="1"/>
  <c r="AA768" i="135" s="1"/>
  <c r="Z768" i="135" a="1"/>
  <c r="Z768" i="135" s="1"/>
  <c r="Y768" i="135" a="1"/>
  <c r="Y768" i="135" s="1"/>
  <c r="X768" i="135" a="1"/>
  <c r="X768" i="135" s="1"/>
  <c r="W768" i="135" a="1"/>
  <c r="W768" i="135" s="1"/>
  <c r="AM767" i="135" a="1"/>
  <c r="AM767" i="135" s="1"/>
  <c r="AL767" i="135" a="1"/>
  <c r="AL767" i="135" s="1"/>
  <c r="AK767" i="135" a="1"/>
  <c r="AK767" i="135" s="1"/>
  <c r="AJ767" i="135" a="1"/>
  <c r="AJ767" i="135" s="1"/>
  <c r="AI767" i="135" a="1"/>
  <c r="AI767" i="135" s="1"/>
  <c r="AH767" i="135" a="1"/>
  <c r="AH767" i="135" s="1"/>
  <c r="AG767" i="135" a="1"/>
  <c r="AG767" i="135" s="1"/>
  <c r="AF767" i="135" a="1"/>
  <c r="AF767" i="135" s="1"/>
  <c r="AE767" i="135" a="1"/>
  <c r="AE767" i="135" s="1"/>
  <c r="AD767" i="135" a="1"/>
  <c r="AD767" i="135" s="1"/>
  <c r="AC767" i="135" a="1"/>
  <c r="AC767" i="135" s="1"/>
  <c r="AB767" i="135" a="1"/>
  <c r="AB767" i="135" s="1"/>
  <c r="AA767" i="135" a="1"/>
  <c r="AA767" i="135" s="1"/>
  <c r="Z767" i="135" a="1"/>
  <c r="Z767" i="135" s="1"/>
  <c r="Y767" i="135" a="1"/>
  <c r="Y767" i="135" s="1"/>
  <c r="X767" i="135" a="1"/>
  <c r="X767" i="135" s="1"/>
  <c r="W767" i="135" a="1"/>
  <c r="W767" i="135" s="1"/>
  <c r="AM766" i="135" a="1"/>
  <c r="AM766" i="135" s="1"/>
  <c r="AL766" i="135" a="1"/>
  <c r="AL766" i="135" s="1"/>
  <c r="AK766" i="135" a="1"/>
  <c r="AK766" i="135" s="1"/>
  <c r="AJ766" i="135" a="1"/>
  <c r="AJ766" i="135" s="1"/>
  <c r="AI766" i="135" a="1"/>
  <c r="AI766" i="135" s="1"/>
  <c r="AH766" i="135" a="1"/>
  <c r="AH766" i="135" s="1"/>
  <c r="AG766" i="135" a="1"/>
  <c r="AG766" i="135" s="1"/>
  <c r="AF766" i="135" a="1"/>
  <c r="AF766" i="135" s="1"/>
  <c r="AE766" i="135" a="1"/>
  <c r="AE766" i="135" s="1"/>
  <c r="AD766" i="135" a="1"/>
  <c r="AD766" i="135" s="1"/>
  <c r="AC766" i="135" a="1"/>
  <c r="AC766" i="135" s="1"/>
  <c r="AB766" i="135" a="1"/>
  <c r="AB766" i="135" s="1"/>
  <c r="AA766" i="135" a="1"/>
  <c r="AA766" i="135" s="1"/>
  <c r="Z766" i="135" a="1"/>
  <c r="Z766" i="135" s="1"/>
  <c r="Y766" i="135" a="1"/>
  <c r="Y766" i="135" s="1"/>
  <c r="X766" i="135" a="1"/>
  <c r="X766" i="135" s="1"/>
  <c r="W766" i="135" a="1"/>
  <c r="W766" i="135" s="1"/>
  <c r="AM765" i="135" a="1"/>
  <c r="AM765" i="135" s="1"/>
  <c r="AL765" i="135" a="1"/>
  <c r="AL765" i="135" s="1"/>
  <c r="AK765" i="135" a="1"/>
  <c r="AK765" i="135" s="1"/>
  <c r="AJ765" i="135" a="1"/>
  <c r="AJ765" i="135" s="1"/>
  <c r="AI765" i="135" a="1"/>
  <c r="AI765" i="135" s="1"/>
  <c r="AH765" i="135" a="1"/>
  <c r="AH765" i="135" s="1"/>
  <c r="AG765" i="135" a="1"/>
  <c r="AG765" i="135" s="1"/>
  <c r="AF765" i="135" a="1"/>
  <c r="AF765" i="135" s="1"/>
  <c r="AE765" i="135" a="1"/>
  <c r="AE765" i="135" s="1"/>
  <c r="AD765" i="135" a="1"/>
  <c r="AD765" i="135" s="1"/>
  <c r="AC765" i="135" a="1"/>
  <c r="AC765" i="135" s="1"/>
  <c r="AB765" i="135" a="1"/>
  <c r="AB765" i="135" s="1"/>
  <c r="AA765" i="135" a="1"/>
  <c r="AA765" i="135" s="1"/>
  <c r="Z765" i="135" a="1"/>
  <c r="Z765" i="135" s="1"/>
  <c r="Y765" i="135" a="1"/>
  <c r="Y765" i="135" s="1"/>
  <c r="X765" i="135" a="1"/>
  <c r="X765" i="135" s="1"/>
  <c r="W765" i="135" a="1"/>
  <c r="W765" i="135" s="1"/>
  <c r="AM764" i="135" a="1"/>
  <c r="AM764" i="135" s="1"/>
  <c r="AL764" i="135" a="1"/>
  <c r="AL764" i="135" s="1"/>
  <c r="AK764" i="135" a="1"/>
  <c r="AK764" i="135" s="1"/>
  <c r="AJ764" i="135" a="1"/>
  <c r="AJ764" i="135" s="1"/>
  <c r="AI764" i="135" a="1"/>
  <c r="AI764" i="135" s="1"/>
  <c r="AH764" i="135" a="1"/>
  <c r="AH764" i="135" s="1"/>
  <c r="AG764" i="135" a="1"/>
  <c r="AG764" i="135" s="1"/>
  <c r="AF764" i="135" a="1"/>
  <c r="AF764" i="135" s="1"/>
  <c r="AE764" i="135" a="1"/>
  <c r="AE764" i="135" s="1"/>
  <c r="AD764" i="135" a="1"/>
  <c r="AD764" i="135" s="1"/>
  <c r="AC764" i="135" a="1"/>
  <c r="AC764" i="135" s="1"/>
  <c r="AB764" i="135" a="1"/>
  <c r="AB764" i="135" s="1"/>
  <c r="AA764" i="135" a="1"/>
  <c r="AA764" i="135" s="1"/>
  <c r="Z764" i="135" a="1"/>
  <c r="Z764" i="135" s="1"/>
  <c r="Y764" i="135" a="1"/>
  <c r="Y764" i="135" s="1"/>
  <c r="X764" i="135" a="1"/>
  <c r="X764" i="135" s="1"/>
  <c r="W764" i="135" a="1"/>
  <c r="W764" i="135" s="1"/>
  <c r="AM763" i="135" a="1"/>
  <c r="AM763" i="135" s="1"/>
  <c r="AL763" i="135" a="1"/>
  <c r="AL763" i="135" s="1"/>
  <c r="AK763" i="135" a="1"/>
  <c r="AK763" i="135" s="1"/>
  <c r="AJ763" i="135" a="1"/>
  <c r="AJ763" i="135" s="1"/>
  <c r="AI763" i="135" a="1"/>
  <c r="AI763" i="135" s="1"/>
  <c r="AH763" i="135" a="1"/>
  <c r="AH763" i="135" s="1"/>
  <c r="AG763" i="135" a="1"/>
  <c r="AG763" i="135" s="1"/>
  <c r="AF763" i="135" a="1"/>
  <c r="AF763" i="135" s="1"/>
  <c r="AE763" i="135" a="1"/>
  <c r="AE763" i="135" s="1"/>
  <c r="AD763" i="135" a="1"/>
  <c r="AD763" i="135" s="1"/>
  <c r="AC763" i="135" a="1"/>
  <c r="AC763" i="135" s="1"/>
  <c r="AB763" i="135" a="1"/>
  <c r="AB763" i="135" s="1"/>
  <c r="AA763" i="135" a="1"/>
  <c r="AA763" i="135" s="1"/>
  <c r="Z763" i="135" a="1"/>
  <c r="Z763" i="135" s="1"/>
  <c r="Y763" i="135" a="1"/>
  <c r="Y763" i="135" s="1"/>
  <c r="X763" i="135" a="1"/>
  <c r="X763" i="135" s="1"/>
  <c r="W763" i="135" a="1"/>
  <c r="W763" i="135" s="1"/>
  <c r="AM762" i="135" a="1"/>
  <c r="AM762" i="135" s="1"/>
  <c r="AL762" i="135" a="1"/>
  <c r="AL762" i="135" s="1"/>
  <c r="AK762" i="135" a="1"/>
  <c r="AK762" i="135" s="1"/>
  <c r="AJ762" i="135" a="1"/>
  <c r="AJ762" i="135" s="1"/>
  <c r="AI762" i="135" a="1"/>
  <c r="AI762" i="135" s="1"/>
  <c r="AH762" i="135" a="1"/>
  <c r="AH762" i="135" s="1"/>
  <c r="AG762" i="135" a="1"/>
  <c r="AG762" i="135" s="1"/>
  <c r="AF762" i="135" a="1"/>
  <c r="AF762" i="135" s="1"/>
  <c r="AE762" i="135" a="1"/>
  <c r="AE762" i="135" s="1"/>
  <c r="AD762" i="135" a="1"/>
  <c r="AD762" i="135" s="1"/>
  <c r="AC762" i="135" a="1"/>
  <c r="AC762" i="135" s="1"/>
  <c r="AB762" i="135" a="1"/>
  <c r="AB762" i="135" s="1"/>
  <c r="AA762" i="135" a="1"/>
  <c r="AA762" i="135" s="1"/>
  <c r="Z762" i="135" a="1"/>
  <c r="Z762" i="135" s="1"/>
  <c r="Y762" i="135" a="1"/>
  <c r="Y762" i="135" s="1"/>
  <c r="X762" i="135" a="1"/>
  <c r="X762" i="135" s="1"/>
  <c r="W762" i="135" a="1"/>
  <c r="W762" i="135" s="1"/>
  <c r="AM761" i="135" a="1"/>
  <c r="AM761" i="135" s="1"/>
  <c r="AL761" i="135" a="1"/>
  <c r="AL761" i="135" s="1"/>
  <c r="AK761" i="135" a="1"/>
  <c r="AK761" i="135" s="1"/>
  <c r="AJ761" i="135" a="1"/>
  <c r="AJ761" i="135" s="1"/>
  <c r="AI761" i="135" a="1"/>
  <c r="AI761" i="135" s="1"/>
  <c r="AH761" i="135" a="1"/>
  <c r="AH761" i="135" s="1"/>
  <c r="AG761" i="135" a="1"/>
  <c r="AG761" i="135" s="1"/>
  <c r="AF761" i="135" a="1"/>
  <c r="AF761" i="135" s="1"/>
  <c r="AE761" i="135" a="1"/>
  <c r="AE761" i="135" s="1"/>
  <c r="AD761" i="135" a="1"/>
  <c r="AD761" i="135" s="1"/>
  <c r="AC761" i="135" a="1"/>
  <c r="AC761" i="135" s="1"/>
  <c r="AB761" i="135" a="1"/>
  <c r="AB761" i="135" s="1"/>
  <c r="AA761" i="135" a="1"/>
  <c r="AA761" i="135" s="1"/>
  <c r="Z761" i="135" a="1"/>
  <c r="Z761" i="135" s="1"/>
  <c r="Y761" i="135" a="1"/>
  <c r="Y761" i="135" s="1"/>
  <c r="X761" i="135" a="1"/>
  <c r="X761" i="135" s="1"/>
  <c r="W761" i="135" a="1"/>
  <c r="W761" i="135" s="1"/>
  <c r="AM760" i="135" a="1"/>
  <c r="AM760" i="135" s="1"/>
  <c r="AL760" i="135" a="1"/>
  <c r="AL760" i="135" s="1"/>
  <c r="AK760" i="135" a="1"/>
  <c r="AK760" i="135" s="1"/>
  <c r="AJ760" i="135" a="1"/>
  <c r="AJ760" i="135" s="1"/>
  <c r="AI760" i="135" a="1"/>
  <c r="AI760" i="135" s="1"/>
  <c r="AH760" i="135" a="1"/>
  <c r="AH760" i="135" s="1"/>
  <c r="AG760" i="135" a="1"/>
  <c r="AG760" i="135" s="1"/>
  <c r="AF760" i="135" a="1"/>
  <c r="AF760" i="135" s="1"/>
  <c r="AE760" i="135" a="1"/>
  <c r="AE760" i="135" s="1"/>
  <c r="AD760" i="135" a="1"/>
  <c r="AD760" i="135" s="1"/>
  <c r="AC760" i="135" a="1"/>
  <c r="AC760" i="135" s="1"/>
  <c r="AB760" i="135" a="1"/>
  <c r="AB760" i="135" s="1"/>
  <c r="AA760" i="135" a="1"/>
  <c r="AA760" i="135" s="1"/>
  <c r="Z760" i="135" a="1"/>
  <c r="Z760" i="135" s="1"/>
  <c r="Y760" i="135" a="1"/>
  <c r="Y760" i="135" s="1"/>
  <c r="X760" i="135" a="1"/>
  <c r="X760" i="135" s="1"/>
  <c r="W760" i="135" a="1"/>
  <c r="W760" i="135" s="1"/>
  <c r="AM759" i="135" a="1"/>
  <c r="AM759" i="135" s="1"/>
  <c r="AL759" i="135" a="1"/>
  <c r="AL759" i="135" s="1"/>
  <c r="AK759" i="135" a="1"/>
  <c r="AK759" i="135" s="1"/>
  <c r="AJ759" i="135" a="1"/>
  <c r="AJ759" i="135" s="1"/>
  <c r="AI759" i="135" a="1"/>
  <c r="AI759" i="135" s="1"/>
  <c r="AH759" i="135" a="1"/>
  <c r="AH759" i="135" s="1"/>
  <c r="AG759" i="135" a="1"/>
  <c r="AG759" i="135" s="1"/>
  <c r="AF759" i="135" a="1"/>
  <c r="AF759" i="135" s="1"/>
  <c r="AE759" i="135" a="1"/>
  <c r="AE759" i="135" s="1"/>
  <c r="AD759" i="135" a="1"/>
  <c r="AD759" i="135" s="1"/>
  <c r="AC759" i="135" a="1"/>
  <c r="AC759" i="135" s="1"/>
  <c r="AB759" i="135" a="1"/>
  <c r="AB759" i="135" s="1"/>
  <c r="AA759" i="135" a="1"/>
  <c r="AA759" i="135" s="1"/>
  <c r="Z759" i="135" a="1"/>
  <c r="Z759" i="135" s="1"/>
  <c r="Y759" i="135" a="1"/>
  <c r="Y759" i="135" s="1"/>
  <c r="X759" i="135" a="1"/>
  <c r="X759" i="135" s="1"/>
  <c r="W759" i="135" a="1"/>
  <c r="W759" i="135" s="1"/>
  <c r="AM758" i="135" a="1"/>
  <c r="AM758" i="135" s="1"/>
  <c r="AL758" i="135" a="1"/>
  <c r="AL758" i="135" s="1"/>
  <c r="AK758" i="135" a="1"/>
  <c r="AK758" i="135" s="1"/>
  <c r="AJ758" i="135" a="1"/>
  <c r="AJ758" i="135" s="1"/>
  <c r="AI758" i="135" a="1"/>
  <c r="AI758" i="135" s="1"/>
  <c r="AH758" i="135" a="1"/>
  <c r="AH758" i="135" s="1"/>
  <c r="AG758" i="135" a="1"/>
  <c r="AG758" i="135" s="1"/>
  <c r="AF758" i="135" a="1"/>
  <c r="AF758" i="135" s="1"/>
  <c r="AE758" i="135" a="1"/>
  <c r="AE758" i="135" s="1"/>
  <c r="AD758" i="135" a="1"/>
  <c r="AD758" i="135" s="1"/>
  <c r="AC758" i="135" a="1"/>
  <c r="AC758" i="135" s="1"/>
  <c r="AB758" i="135" a="1"/>
  <c r="AB758" i="135" s="1"/>
  <c r="AA758" i="135" a="1"/>
  <c r="AA758" i="135" s="1"/>
  <c r="Z758" i="135" a="1"/>
  <c r="Z758" i="135" s="1"/>
  <c r="Y758" i="135" a="1"/>
  <c r="Y758" i="135" s="1"/>
  <c r="X758" i="135" a="1"/>
  <c r="X758" i="135" s="1"/>
  <c r="W758" i="135" a="1"/>
  <c r="W758" i="135" s="1"/>
  <c r="AM757" i="135" a="1"/>
  <c r="AM757" i="135" s="1"/>
  <c r="AL757" i="135" a="1"/>
  <c r="AL757" i="135" s="1"/>
  <c r="AK757" i="135" a="1"/>
  <c r="AK757" i="135" s="1"/>
  <c r="AJ757" i="135" a="1"/>
  <c r="AJ757" i="135" s="1"/>
  <c r="AI757" i="135" a="1"/>
  <c r="AI757" i="135" s="1"/>
  <c r="AH757" i="135" a="1"/>
  <c r="AH757" i="135" s="1"/>
  <c r="AG757" i="135" a="1"/>
  <c r="AG757" i="135" s="1"/>
  <c r="AF757" i="135" a="1"/>
  <c r="AF757" i="135" s="1"/>
  <c r="AE757" i="135" a="1"/>
  <c r="AE757" i="135" s="1"/>
  <c r="AD757" i="135" a="1"/>
  <c r="AD757" i="135" s="1"/>
  <c r="AC757" i="135" a="1"/>
  <c r="AC757" i="135" s="1"/>
  <c r="AB757" i="135" a="1"/>
  <c r="AB757" i="135" s="1"/>
  <c r="AA757" i="135" a="1"/>
  <c r="AA757" i="135" s="1"/>
  <c r="Z757" i="135" a="1"/>
  <c r="Z757" i="135" s="1"/>
  <c r="Y757" i="135" a="1"/>
  <c r="Y757" i="135" s="1"/>
  <c r="X757" i="135" a="1"/>
  <c r="X757" i="135" s="1"/>
  <c r="W757" i="135" a="1"/>
  <c r="W757" i="135" s="1"/>
  <c r="AM756" i="135" a="1"/>
  <c r="AM756" i="135" s="1"/>
  <c r="AL756" i="135" a="1"/>
  <c r="AL756" i="135" s="1"/>
  <c r="AK756" i="135" a="1"/>
  <c r="AK756" i="135" s="1"/>
  <c r="AJ756" i="135" a="1"/>
  <c r="AJ756" i="135" s="1"/>
  <c r="AI756" i="135" a="1"/>
  <c r="AI756" i="135" s="1"/>
  <c r="AH756" i="135" a="1"/>
  <c r="AH756" i="135" s="1"/>
  <c r="AG756" i="135" a="1"/>
  <c r="AG756" i="135" s="1"/>
  <c r="AF756" i="135" a="1"/>
  <c r="AF756" i="135" s="1"/>
  <c r="AE756" i="135" a="1"/>
  <c r="AE756" i="135" s="1"/>
  <c r="AD756" i="135" a="1"/>
  <c r="AD756" i="135" s="1"/>
  <c r="AC756" i="135" a="1"/>
  <c r="AC756" i="135" s="1"/>
  <c r="AB756" i="135" a="1"/>
  <c r="AB756" i="135" s="1"/>
  <c r="AA756" i="135" a="1"/>
  <c r="AA756" i="135" s="1"/>
  <c r="Z756" i="135" a="1"/>
  <c r="Z756" i="135" s="1"/>
  <c r="Y756" i="135" a="1"/>
  <c r="Y756" i="135" s="1"/>
  <c r="X756" i="135" a="1"/>
  <c r="X756" i="135" s="1"/>
  <c r="W756" i="135" a="1"/>
  <c r="W756" i="135" s="1"/>
  <c r="AM755" i="135" a="1"/>
  <c r="AM755" i="135" s="1"/>
  <c r="AL755" i="135" a="1"/>
  <c r="AL755" i="135" s="1"/>
  <c r="AK755" i="135" a="1"/>
  <c r="AK755" i="135" s="1"/>
  <c r="AJ755" i="135" a="1"/>
  <c r="AJ755" i="135" s="1"/>
  <c r="AI755" i="135" a="1"/>
  <c r="AI755" i="135" s="1"/>
  <c r="AH755" i="135" a="1"/>
  <c r="AH755" i="135" s="1"/>
  <c r="AG755" i="135" a="1"/>
  <c r="AG755" i="135" s="1"/>
  <c r="AF755" i="135" a="1"/>
  <c r="AF755" i="135" s="1"/>
  <c r="AE755" i="135" a="1"/>
  <c r="AE755" i="135" s="1"/>
  <c r="AD755" i="135" a="1"/>
  <c r="AD755" i="135" s="1"/>
  <c r="AC755" i="135" a="1"/>
  <c r="AC755" i="135" s="1"/>
  <c r="AB755" i="135" a="1"/>
  <c r="AB755" i="135" s="1"/>
  <c r="AA755" i="135" a="1"/>
  <c r="AA755" i="135" s="1"/>
  <c r="Z755" i="135" a="1"/>
  <c r="Z755" i="135" s="1"/>
  <c r="Y755" i="135" a="1"/>
  <c r="Y755" i="135" s="1"/>
  <c r="X755" i="135" a="1"/>
  <c r="X755" i="135" s="1"/>
  <c r="W755" i="135" a="1"/>
  <c r="W755" i="135" s="1"/>
  <c r="AM754" i="135" a="1"/>
  <c r="AM754" i="135" s="1"/>
  <c r="AL754" i="135" a="1"/>
  <c r="AL754" i="135" s="1"/>
  <c r="AK754" i="135" a="1"/>
  <c r="AK754" i="135" s="1"/>
  <c r="AJ754" i="135" a="1"/>
  <c r="AJ754" i="135" s="1"/>
  <c r="AI754" i="135" a="1"/>
  <c r="AI754" i="135" s="1"/>
  <c r="AH754" i="135" a="1"/>
  <c r="AH754" i="135" s="1"/>
  <c r="AG754" i="135" a="1"/>
  <c r="AG754" i="135" s="1"/>
  <c r="AF754" i="135" a="1"/>
  <c r="AF754" i="135" s="1"/>
  <c r="AE754" i="135" a="1"/>
  <c r="AE754" i="135" s="1"/>
  <c r="AD754" i="135" a="1"/>
  <c r="AD754" i="135" s="1"/>
  <c r="AC754" i="135" a="1"/>
  <c r="AC754" i="135" s="1"/>
  <c r="AB754" i="135" a="1"/>
  <c r="AB754" i="135" s="1"/>
  <c r="AA754" i="135" a="1"/>
  <c r="AA754" i="135" s="1"/>
  <c r="Z754" i="135" a="1"/>
  <c r="Z754" i="135" s="1"/>
  <c r="Y754" i="135" a="1"/>
  <c r="Y754" i="135" s="1"/>
  <c r="X754" i="135" a="1"/>
  <c r="X754" i="135" s="1"/>
  <c r="W754" i="135" a="1"/>
  <c r="W754" i="135" s="1"/>
  <c r="AM753" i="135" a="1"/>
  <c r="AM753" i="135" s="1"/>
  <c r="AL753" i="135" a="1"/>
  <c r="AL753" i="135" s="1"/>
  <c r="AK753" i="135" a="1"/>
  <c r="AK753" i="135" s="1"/>
  <c r="AJ753" i="135" a="1"/>
  <c r="AJ753" i="135" s="1"/>
  <c r="AI753" i="135" a="1"/>
  <c r="AI753" i="135" s="1"/>
  <c r="AH753" i="135" a="1"/>
  <c r="AH753" i="135" s="1"/>
  <c r="AG753" i="135" a="1"/>
  <c r="AG753" i="135" s="1"/>
  <c r="AF753" i="135" a="1"/>
  <c r="AF753" i="135" s="1"/>
  <c r="AE753" i="135" a="1"/>
  <c r="AE753" i="135" s="1"/>
  <c r="AD753" i="135" a="1"/>
  <c r="AD753" i="135" s="1"/>
  <c r="AC753" i="135" a="1"/>
  <c r="AC753" i="135" s="1"/>
  <c r="AB753" i="135" a="1"/>
  <c r="AB753" i="135" s="1"/>
  <c r="AA753" i="135" a="1"/>
  <c r="AA753" i="135" s="1"/>
  <c r="Z753" i="135" a="1"/>
  <c r="Z753" i="135" s="1"/>
  <c r="Y753" i="135" a="1"/>
  <c r="Y753" i="135" s="1"/>
  <c r="X753" i="135" a="1"/>
  <c r="X753" i="135" s="1"/>
  <c r="W753" i="135" a="1"/>
  <c r="W753" i="135" s="1"/>
  <c r="AM752" i="135" a="1"/>
  <c r="AM752" i="135" s="1"/>
  <c r="AL752" i="135" a="1"/>
  <c r="AL752" i="135" s="1"/>
  <c r="AK752" i="135" a="1"/>
  <c r="AK752" i="135" s="1"/>
  <c r="AJ752" i="135" a="1"/>
  <c r="AJ752" i="135" s="1"/>
  <c r="AI752" i="135" a="1"/>
  <c r="AI752" i="135" s="1"/>
  <c r="AH752" i="135" a="1"/>
  <c r="AH752" i="135" s="1"/>
  <c r="AG752" i="135" a="1"/>
  <c r="AG752" i="135" s="1"/>
  <c r="AF752" i="135" a="1"/>
  <c r="AF752" i="135" s="1"/>
  <c r="AE752" i="135" a="1"/>
  <c r="AE752" i="135" s="1"/>
  <c r="AD752" i="135" a="1"/>
  <c r="AD752" i="135" s="1"/>
  <c r="AC752" i="135" a="1"/>
  <c r="AC752" i="135" s="1"/>
  <c r="AB752" i="135" a="1"/>
  <c r="AB752" i="135" s="1"/>
  <c r="AA752" i="135" a="1"/>
  <c r="AA752" i="135" s="1"/>
  <c r="Z752" i="135" a="1"/>
  <c r="Z752" i="135" s="1"/>
  <c r="Y752" i="135" a="1"/>
  <c r="Y752" i="135" s="1"/>
  <c r="X752" i="135" a="1"/>
  <c r="X752" i="135" s="1"/>
  <c r="W752" i="135" a="1"/>
  <c r="W752" i="135" s="1"/>
  <c r="AM751" i="135" a="1"/>
  <c r="AM751" i="135" s="1"/>
  <c r="AL751" i="135" a="1"/>
  <c r="AL751" i="135" s="1"/>
  <c r="AK751" i="135" a="1"/>
  <c r="AK751" i="135" s="1"/>
  <c r="AJ751" i="135" a="1"/>
  <c r="AJ751" i="135" s="1"/>
  <c r="AI751" i="135" a="1"/>
  <c r="AI751" i="135" s="1"/>
  <c r="AH751" i="135" a="1"/>
  <c r="AH751" i="135" s="1"/>
  <c r="AG751" i="135" a="1"/>
  <c r="AG751" i="135" s="1"/>
  <c r="AF751" i="135" a="1"/>
  <c r="AF751" i="135" s="1"/>
  <c r="AE751" i="135" a="1"/>
  <c r="AE751" i="135" s="1"/>
  <c r="AD751" i="135" a="1"/>
  <c r="AD751" i="135" s="1"/>
  <c r="AC751" i="135" a="1"/>
  <c r="AC751" i="135" s="1"/>
  <c r="AB751" i="135" a="1"/>
  <c r="AB751" i="135" s="1"/>
  <c r="AA751" i="135" a="1"/>
  <c r="AA751" i="135" s="1"/>
  <c r="Z751" i="135" a="1"/>
  <c r="Z751" i="135" s="1"/>
  <c r="Y751" i="135" a="1"/>
  <c r="Y751" i="135" s="1"/>
  <c r="X751" i="135" a="1"/>
  <c r="X751" i="135" s="1"/>
  <c r="W751" i="135" a="1"/>
  <c r="W751" i="135" s="1"/>
  <c r="AM750" i="135" a="1"/>
  <c r="AM750" i="135" s="1"/>
  <c r="AL750" i="135" a="1"/>
  <c r="AL750" i="135" s="1"/>
  <c r="AK750" i="135" a="1"/>
  <c r="AK750" i="135" s="1"/>
  <c r="AJ750" i="135" a="1"/>
  <c r="AJ750" i="135" s="1"/>
  <c r="AI750" i="135" a="1"/>
  <c r="AI750" i="135" s="1"/>
  <c r="AH750" i="135" a="1"/>
  <c r="AH750" i="135" s="1"/>
  <c r="AG750" i="135" a="1"/>
  <c r="AG750" i="135" s="1"/>
  <c r="AF750" i="135" a="1"/>
  <c r="AF750" i="135" s="1"/>
  <c r="AE750" i="135" a="1"/>
  <c r="AE750" i="135" s="1"/>
  <c r="AD750" i="135" a="1"/>
  <c r="AD750" i="135" s="1"/>
  <c r="AC750" i="135" a="1"/>
  <c r="AC750" i="135" s="1"/>
  <c r="AB750" i="135" a="1"/>
  <c r="AB750" i="135" s="1"/>
  <c r="AA750" i="135" a="1"/>
  <c r="AA750" i="135" s="1"/>
  <c r="Z750" i="135" a="1"/>
  <c r="Z750" i="135" s="1"/>
  <c r="Y750" i="135" a="1"/>
  <c r="Y750" i="135" s="1"/>
  <c r="X750" i="135" a="1"/>
  <c r="X750" i="135" s="1"/>
  <c r="W750" i="135" a="1"/>
  <c r="W750" i="135" s="1"/>
  <c r="AM749" i="135" a="1"/>
  <c r="AM749" i="135" s="1"/>
  <c r="AL749" i="135" a="1"/>
  <c r="AL749" i="135" s="1"/>
  <c r="AK749" i="135" a="1"/>
  <c r="AK749" i="135" s="1"/>
  <c r="AJ749" i="135" a="1"/>
  <c r="AJ749" i="135" s="1"/>
  <c r="AI749" i="135" a="1"/>
  <c r="AI749" i="135" s="1"/>
  <c r="AH749" i="135" a="1"/>
  <c r="AH749" i="135" s="1"/>
  <c r="AG749" i="135" a="1"/>
  <c r="AG749" i="135" s="1"/>
  <c r="AF749" i="135" a="1"/>
  <c r="AF749" i="135" s="1"/>
  <c r="AE749" i="135" a="1"/>
  <c r="AE749" i="135" s="1"/>
  <c r="AD749" i="135" a="1"/>
  <c r="AD749" i="135" s="1"/>
  <c r="AC749" i="135" a="1"/>
  <c r="AC749" i="135" s="1"/>
  <c r="AB749" i="135" a="1"/>
  <c r="AB749" i="135" s="1"/>
  <c r="AA749" i="135" a="1"/>
  <c r="AA749" i="135" s="1"/>
  <c r="Z749" i="135" a="1"/>
  <c r="Z749" i="135" s="1"/>
  <c r="Y749" i="135" a="1"/>
  <c r="Y749" i="135" s="1"/>
  <c r="X749" i="135" a="1"/>
  <c r="X749" i="135" s="1"/>
  <c r="W749" i="135" a="1"/>
  <c r="W749" i="135" s="1"/>
  <c r="AM748" i="135" a="1"/>
  <c r="AM748" i="135" s="1"/>
  <c r="AL748" i="135" a="1"/>
  <c r="AL748" i="135" s="1"/>
  <c r="AK748" i="135" a="1"/>
  <c r="AK748" i="135" s="1"/>
  <c r="AJ748" i="135" a="1"/>
  <c r="AJ748" i="135" s="1"/>
  <c r="AI748" i="135" a="1"/>
  <c r="AI748" i="135" s="1"/>
  <c r="AH748" i="135" a="1"/>
  <c r="AH748" i="135" s="1"/>
  <c r="AG748" i="135" a="1"/>
  <c r="AG748" i="135" s="1"/>
  <c r="AF748" i="135" a="1"/>
  <c r="AF748" i="135" s="1"/>
  <c r="AE748" i="135" a="1"/>
  <c r="AE748" i="135" s="1"/>
  <c r="AD748" i="135" a="1"/>
  <c r="AD748" i="135" s="1"/>
  <c r="AC748" i="135" a="1"/>
  <c r="AC748" i="135" s="1"/>
  <c r="AB748" i="135" a="1"/>
  <c r="AB748" i="135" s="1"/>
  <c r="AA748" i="135" a="1"/>
  <c r="AA748" i="135" s="1"/>
  <c r="Z748" i="135" a="1"/>
  <c r="Z748" i="135" s="1"/>
  <c r="Y748" i="135" a="1"/>
  <c r="Y748" i="135" s="1"/>
  <c r="X748" i="135" a="1"/>
  <c r="X748" i="135" s="1"/>
  <c r="W748" i="135" a="1"/>
  <c r="W748" i="135" s="1"/>
  <c r="AM747" i="135" a="1"/>
  <c r="AM747" i="135" s="1"/>
  <c r="AL747" i="135" a="1"/>
  <c r="AL747" i="135" s="1"/>
  <c r="AK747" i="135" a="1"/>
  <c r="AK747" i="135" s="1"/>
  <c r="AJ747" i="135" a="1"/>
  <c r="AJ747" i="135" s="1"/>
  <c r="AI747" i="135" a="1"/>
  <c r="AI747" i="135" s="1"/>
  <c r="AH747" i="135" a="1"/>
  <c r="AH747" i="135" s="1"/>
  <c r="AG747" i="135" a="1"/>
  <c r="AG747" i="135" s="1"/>
  <c r="AF747" i="135" a="1"/>
  <c r="AF747" i="135" s="1"/>
  <c r="AE747" i="135" a="1"/>
  <c r="AE747" i="135" s="1"/>
  <c r="AD747" i="135" a="1"/>
  <c r="AD747" i="135" s="1"/>
  <c r="AC747" i="135" a="1"/>
  <c r="AC747" i="135" s="1"/>
  <c r="AB747" i="135" a="1"/>
  <c r="AB747" i="135" s="1"/>
  <c r="AA747" i="135" a="1"/>
  <c r="AA747" i="135" s="1"/>
  <c r="Z747" i="135" a="1"/>
  <c r="Z747" i="135" s="1"/>
  <c r="Y747" i="135" a="1"/>
  <c r="Y747" i="135" s="1"/>
  <c r="X747" i="135" a="1"/>
  <c r="X747" i="135" s="1"/>
  <c r="W747" i="135" a="1"/>
  <c r="W747" i="135" s="1"/>
  <c r="AM746" i="135" a="1"/>
  <c r="AM746" i="135" s="1"/>
  <c r="AL746" i="135" a="1"/>
  <c r="AL746" i="135" s="1"/>
  <c r="AK746" i="135" a="1"/>
  <c r="AK746" i="135" s="1"/>
  <c r="AJ746" i="135" a="1"/>
  <c r="AJ746" i="135" s="1"/>
  <c r="AI746" i="135" a="1"/>
  <c r="AI746" i="135" s="1"/>
  <c r="AH746" i="135" a="1"/>
  <c r="AH746" i="135" s="1"/>
  <c r="AG746" i="135" a="1"/>
  <c r="AG746" i="135" s="1"/>
  <c r="AF746" i="135" a="1"/>
  <c r="AF746" i="135" s="1"/>
  <c r="AE746" i="135" a="1"/>
  <c r="AE746" i="135" s="1"/>
  <c r="AD746" i="135" a="1"/>
  <c r="AD746" i="135" s="1"/>
  <c r="AC746" i="135" a="1"/>
  <c r="AC746" i="135" s="1"/>
  <c r="AB746" i="135" a="1"/>
  <c r="AB746" i="135" s="1"/>
  <c r="AA746" i="135" a="1"/>
  <c r="AA746" i="135" s="1"/>
  <c r="Z746" i="135" a="1"/>
  <c r="Z746" i="135" s="1"/>
  <c r="Y746" i="135" a="1"/>
  <c r="Y746" i="135" s="1"/>
  <c r="X746" i="135" a="1"/>
  <c r="X746" i="135" s="1"/>
  <c r="W746" i="135" a="1"/>
  <c r="W746" i="135" s="1"/>
  <c r="AM745" i="135" a="1"/>
  <c r="AM745" i="135" s="1"/>
  <c r="AL745" i="135" a="1"/>
  <c r="AL745" i="135" s="1"/>
  <c r="AK745" i="135" a="1"/>
  <c r="AK745" i="135" s="1"/>
  <c r="AJ745" i="135" a="1"/>
  <c r="AJ745" i="135" s="1"/>
  <c r="AI745" i="135" a="1"/>
  <c r="AI745" i="135" s="1"/>
  <c r="AH745" i="135" a="1"/>
  <c r="AH745" i="135" s="1"/>
  <c r="AG745" i="135" a="1"/>
  <c r="AG745" i="135" s="1"/>
  <c r="AF745" i="135" a="1"/>
  <c r="AF745" i="135" s="1"/>
  <c r="AE745" i="135" a="1"/>
  <c r="AE745" i="135" s="1"/>
  <c r="AD745" i="135" a="1"/>
  <c r="AD745" i="135" s="1"/>
  <c r="AC745" i="135" a="1"/>
  <c r="AC745" i="135" s="1"/>
  <c r="AB745" i="135" a="1"/>
  <c r="AB745" i="135" s="1"/>
  <c r="AA745" i="135" a="1"/>
  <c r="AA745" i="135" s="1"/>
  <c r="Z745" i="135" a="1"/>
  <c r="Z745" i="135" s="1"/>
  <c r="Y745" i="135" a="1"/>
  <c r="Y745" i="135" s="1"/>
  <c r="X745" i="135" a="1"/>
  <c r="X745" i="135" s="1"/>
  <c r="W745" i="135" a="1"/>
  <c r="W745" i="135" s="1"/>
  <c r="AM744" i="135" a="1"/>
  <c r="AM744" i="135" s="1"/>
  <c r="AL744" i="135" a="1"/>
  <c r="AL744" i="135" s="1"/>
  <c r="AK744" i="135" a="1"/>
  <c r="AK744" i="135" s="1"/>
  <c r="AJ744" i="135" a="1"/>
  <c r="AJ744" i="135" s="1"/>
  <c r="AI744" i="135" a="1"/>
  <c r="AI744" i="135" s="1"/>
  <c r="AH744" i="135" a="1"/>
  <c r="AH744" i="135" s="1"/>
  <c r="AG744" i="135" a="1"/>
  <c r="AG744" i="135" s="1"/>
  <c r="AF744" i="135" a="1"/>
  <c r="AF744" i="135" s="1"/>
  <c r="AE744" i="135" a="1"/>
  <c r="AE744" i="135" s="1"/>
  <c r="AD744" i="135" a="1"/>
  <c r="AD744" i="135" s="1"/>
  <c r="AC744" i="135" a="1"/>
  <c r="AC744" i="135" s="1"/>
  <c r="AB744" i="135" a="1"/>
  <c r="AB744" i="135" s="1"/>
  <c r="AA744" i="135" a="1"/>
  <c r="AA744" i="135" s="1"/>
  <c r="Z744" i="135" a="1"/>
  <c r="Z744" i="135" s="1"/>
  <c r="Y744" i="135" a="1"/>
  <c r="Y744" i="135" s="1"/>
  <c r="X744" i="135" a="1"/>
  <c r="X744" i="135" s="1"/>
  <c r="W744" i="135" a="1"/>
  <c r="W744" i="135" s="1"/>
  <c r="AM743" i="135" a="1"/>
  <c r="AM743" i="135" s="1"/>
  <c r="AL743" i="135" a="1"/>
  <c r="AL743" i="135" s="1"/>
  <c r="AK743" i="135" a="1"/>
  <c r="AK743" i="135" s="1"/>
  <c r="AJ743" i="135" a="1"/>
  <c r="AJ743" i="135" s="1"/>
  <c r="AI743" i="135" a="1"/>
  <c r="AI743" i="135" s="1"/>
  <c r="AH743" i="135" a="1"/>
  <c r="AH743" i="135" s="1"/>
  <c r="AG743" i="135" a="1"/>
  <c r="AG743" i="135" s="1"/>
  <c r="AF743" i="135" a="1"/>
  <c r="AF743" i="135" s="1"/>
  <c r="AE743" i="135" a="1"/>
  <c r="AE743" i="135" s="1"/>
  <c r="AD743" i="135" a="1"/>
  <c r="AD743" i="135" s="1"/>
  <c r="AC743" i="135" a="1"/>
  <c r="AC743" i="135" s="1"/>
  <c r="AB743" i="135" a="1"/>
  <c r="AB743" i="135" s="1"/>
  <c r="AA743" i="135" a="1"/>
  <c r="AA743" i="135" s="1"/>
  <c r="Z743" i="135" a="1"/>
  <c r="Z743" i="135" s="1"/>
  <c r="Y743" i="135" a="1"/>
  <c r="Y743" i="135" s="1"/>
  <c r="X743" i="135" a="1"/>
  <c r="X743" i="135" s="1"/>
  <c r="W743" i="135" a="1"/>
  <c r="W743" i="135" s="1"/>
  <c r="AM742" i="135" a="1"/>
  <c r="AM742" i="135" s="1"/>
  <c r="AL742" i="135" a="1"/>
  <c r="AL742" i="135" s="1"/>
  <c r="AK742" i="135" a="1"/>
  <c r="AK742" i="135" s="1"/>
  <c r="AJ742" i="135" a="1"/>
  <c r="AJ742" i="135" s="1"/>
  <c r="AI742" i="135" a="1"/>
  <c r="AI742" i="135" s="1"/>
  <c r="AH742" i="135" a="1"/>
  <c r="AH742" i="135" s="1"/>
  <c r="AG742" i="135" a="1"/>
  <c r="AG742" i="135" s="1"/>
  <c r="AF742" i="135" a="1"/>
  <c r="AF742" i="135" s="1"/>
  <c r="AE742" i="135" a="1"/>
  <c r="AE742" i="135" s="1"/>
  <c r="AD742" i="135" a="1"/>
  <c r="AD742" i="135" s="1"/>
  <c r="AC742" i="135" a="1"/>
  <c r="AC742" i="135" s="1"/>
  <c r="AB742" i="135" a="1"/>
  <c r="AB742" i="135" s="1"/>
  <c r="AA742" i="135" a="1"/>
  <c r="AA742" i="135" s="1"/>
  <c r="Z742" i="135" a="1"/>
  <c r="Z742" i="135" s="1"/>
  <c r="Y742" i="135" a="1"/>
  <c r="Y742" i="135" s="1"/>
  <c r="X742" i="135" a="1"/>
  <c r="X742" i="135" s="1"/>
  <c r="W742" i="135" a="1"/>
  <c r="W742" i="135" s="1"/>
  <c r="AM741" i="135" a="1"/>
  <c r="AM741" i="135" s="1"/>
  <c r="AL741" i="135" a="1"/>
  <c r="AL741" i="135" s="1"/>
  <c r="AK741" i="135" a="1"/>
  <c r="AK741" i="135" s="1"/>
  <c r="AJ741" i="135" a="1"/>
  <c r="AJ741" i="135" s="1"/>
  <c r="AI741" i="135" a="1"/>
  <c r="AI741" i="135" s="1"/>
  <c r="AH741" i="135" a="1"/>
  <c r="AH741" i="135" s="1"/>
  <c r="AG741" i="135" a="1"/>
  <c r="AG741" i="135" s="1"/>
  <c r="AF741" i="135" a="1"/>
  <c r="AF741" i="135" s="1"/>
  <c r="AE741" i="135" a="1"/>
  <c r="AE741" i="135" s="1"/>
  <c r="AD741" i="135" a="1"/>
  <c r="AD741" i="135" s="1"/>
  <c r="AC741" i="135" a="1"/>
  <c r="AC741" i="135" s="1"/>
  <c r="AB741" i="135" a="1"/>
  <c r="AB741" i="135" s="1"/>
  <c r="AA741" i="135" a="1"/>
  <c r="AA741" i="135" s="1"/>
  <c r="Z741" i="135" a="1"/>
  <c r="Z741" i="135" s="1"/>
  <c r="Y741" i="135" a="1"/>
  <c r="Y741" i="135" s="1"/>
  <c r="X741" i="135" a="1"/>
  <c r="X741" i="135" s="1"/>
  <c r="W741" i="135" a="1"/>
  <c r="W741" i="135" s="1"/>
  <c r="AM740" i="135" a="1"/>
  <c r="AM740" i="135" s="1"/>
  <c r="AL740" i="135" a="1"/>
  <c r="AL740" i="135" s="1"/>
  <c r="AK740" i="135" a="1"/>
  <c r="AK740" i="135" s="1"/>
  <c r="AJ740" i="135" a="1"/>
  <c r="AJ740" i="135" s="1"/>
  <c r="AI740" i="135" a="1"/>
  <c r="AI740" i="135" s="1"/>
  <c r="AH740" i="135" a="1"/>
  <c r="AH740" i="135" s="1"/>
  <c r="AG740" i="135" a="1"/>
  <c r="AG740" i="135" s="1"/>
  <c r="AF740" i="135" a="1"/>
  <c r="AF740" i="135" s="1"/>
  <c r="AE740" i="135" a="1"/>
  <c r="AE740" i="135" s="1"/>
  <c r="AD740" i="135" a="1"/>
  <c r="AD740" i="135" s="1"/>
  <c r="AC740" i="135" a="1"/>
  <c r="AC740" i="135" s="1"/>
  <c r="AB740" i="135" a="1"/>
  <c r="AB740" i="135" s="1"/>
  <c r="AA740" i="135" a="1"/>
  <c r="AA740" i="135" s="1"/>
  <c r="Z740" i="135" a="1"/>
  <c r="Z740" i="135" s="1"/>
  <c r="Y740" i="135" a="1"/>
  <c r="Y740" i="135" s="1"/>
  <c r="X740" i="135" a="1"/>
  <c r="X740" i="135" s="1"/>
  <c r="W740" i="135" a="1"/>
  <c r="W740" i="135" s="1"/>
  <c r="AM739" i="135" a="1"/>
  <c r="AM739" i="135" s="1"/>
  <c r="AL739" i="135" a="1"/>
  <c r="AL739" i="135" s="1"/>
  <c r="AK739" i="135" a="1"/>
  <c r="AK739" i="135" s="1"/>
  <c r="AJ739" i="135" a="1"/>
  <c r="AJ739" i="135" s="1"/>
  <c r="AI739" i="135" a="1"/>
  <c r="AI739" i="135" s="1"/>
  <c r="AH739" i="135" a="1"/>
  <c r="AH739" i="135" s="1"/>
  <c r="AG739" i="135" a="1"/>
  <c r="AG739" i="135" s="1"/>
  <c r="AF739" i="135" a="1"/>
  <c r="AF739" i="135" s="1"/>
  <c r="AE739" i="135" a="1"/>
  <c r="AE739" i="135" s="1"/>
  <c r="AD739" i="135" a="1"/>
  <c r="AD739" i="135" s="1"/>
  <c r="AC739" i="135" a="1"/>
  <c r="AC739" i="135" s="1"/>
  <c r="AB739" i="135" a="1"/>
  <c r="AB739" i="135" s="1"/>
  <c r="AA739" i="135" a="1"/>
  <c r="AA739" i="135" s="1"/>
  <c r="Z739" i="135" a="1"/>
  <c r="Z739" i="135" s="1"/>
  <c r="Y739" i="135" a="1"/>
  <c r="Y739" i="135" s="1"/>
  <c r="X739" i="135" a="1"/>
  <c r="X739" i="135" s="1"/>
  <c r="W739" i="135" a="1"/>
  <c r="W739" i="135" s="1"/>
  <c r="AM738" i="135" a="1"/>
  <c r="AM738" i="135" s="1"/>
  <c r="AL738" i="135" a="1"/>
  <c r="AL738" i="135" s="1"/>
  <c r="AK738" i="135" a="1"/>
  <c r="AK738" i="135" s="1"/>
  <c r="AJ738" i="135" a="1"/>
  <c r="AJ738" i="135" s="1"/>
  <c r="AI738" i="135" a="1"/>
  <c r="AI738" i="135" s="1"/>
  <c r="AH738" i="135" a="1"/>
  <c r="AH738" i="135" s="1"/>
  <c r="AG738" i="135" a="1"/>
  <c r="AG738" i="135" s="1"/>
  <c r="AF738" i="135" a="1"/>
  <c r="AF738" i="135" s="1"/>
  <c r="AE738" i="135" a="1"/>
  <c r="AE738" i="135" s="1"/>
  <c r="AD738" i="135" a="1"/>
  <c r="AD738" i="135" s="1"/>
  <c r="AC738" i="135" a="1"/>
  <c r="AC738" i="135" s="1"/>
  <c r="AB738" i="135" a="1"/>
  <c r="AB738" i="135" s="1"/>
  <c r="AA738" i="135" a="1"/>
  <c r="AA738" i="135" s="1"/>
  <c r="Z738" i="135" a="1"/>
  <c r="Z738" i="135" s="1"/>
  <c r="Y738" i="135" a="1"/>
  <c r="Y738" i="135" s="1"/>
  <c r="X738" i="135" a="1"/>
  <c r="X738" i="135" s="1"/>
  <c r="W738" i="135" a="1"/>
  <c r="W738" i="135" s="1"/>
  <c r="AM737" i="135" a="1"/>
  <c r="AM737" i="135" s="1"/>
  <c r="AL737" i="135" a="1"/>
  <c r="AL737" i="135" s="1"/>
  <c r="AK737" i="135" a="1"/>
  <c r="AK737" i="135" s="1"/>
  <c r="AJ737" i="135" a="1"/>
  <c r="AJ737" i="135" s="1"/>
  <c r="AI737" i="135" a="1"/>
  <c r="AI737" i="135" s="1"/>
  <c r="AH737" i="135" a="1"/>
  <c r="AH737" i="135" s="1"/>
  <c r="AG737" i="135" a="1"/>
  <c r="AG737" i="135" s="1"/>
  <c r="AF737" i="135" a="1"/>
  <c r="AF737" i="135" s="1"/>
  <c r="AE737" i="135" a="1"/>
  <c r="AE737" i="135" s="1"/>
  <c r="AD737" i="135" a="1"/>
  <c r="AD737" i="135" s="1"/>
  <c r="AC737" i="135" a="1"/>
  <c r="AC737" i="135" s="1"/>
  <c r="AB737" i="135" a="1"/>
  <c r="AB737" i="135" s="1"/>
  <c r="AA737" i="135" a="1"/>
  <c r="AA737" i="135" s="1"/>
  <c r="Z737" i="135" a="1"/>
  <c r="Z737" i="135" s="1"/>
  <c r="Y737" i="135" a="1"/>
  <c r="Y737" i="135" s="1"/>
  <c r="X737" i="135" a="1"/>
  <c r="X737" i="135" s="1"/>
  <c r="W737" i="135" a="1"/>
  <c r="W737" i="135" s="1"/>
  <c r="AM736" i="135" a="1"/>
  <c r="AM736" i="135" s="1"/>
  <c r="AL736" i="135" a="1"/>
  <c r="AL736" i="135" s="1"/>
  <c r="AK736" i="135" a="1"/>
  <c r="AK736" i="135" s="1"/>
  <c r="AJ736" i="135" a="1"/>
  <c r="AJ736" i="135" s="1"/>
  <c r="AI736" i="135" a="1"/>
  <c r="AI736" i="135" s="1"/>
  <c r="AH736" i="135" a="1"/>
  <c r="AH736" i="135" s="1"/>
  <c r="AG736" i="135" a="1"/>
  <c r="AG736" i="135" s="1"/>
  <c r="AF736" i="135" a="1"/>
  <c r="AF736" i="135" s="1"/>
  <c r="AE736" i="135" a="1"/>
  <c r="AE736" i="135" s="1"/>
  <c r="AD736" i="135" a="1"/>
  <c r="AD736" i="135" s="1"/>
  <c r="AC736" i="135" a="1"/>
  <c r="AC736" i="135" s="1"/>
  <c r="AB736" i="135" a="1"/>
  <c r="AB736" i="135" s="1"/>
  <c r="AA736" i="135" a="1"/>
  <c r="AA736" i="135" s="1"/>
  <c r="Z736" i="135" a="1"/>
  <c r="Z736" i="135" s="1"/>
  <c r="Y736" i="135" a="1"/>
  <c r="Y736" i="135" s="1"/>
  <c r="X736" i="135" a="1"/>
  <c r="X736" i="135" s="1"/>
  <c r="W736" i="135" a="1"/>
  <c r="W736" i="135" s="1"/>
  <c r="AM735" i="135" a="1"/>
  <c r="AM735" i="135" s="1"/>
  <c r="AL735" i="135" a="1"/>
  <c r="AL735" i="135" s="1"/>
  <c r="AK735" i="135" a="1"/>
  <c r="AK735" i="135" s="1"/>
  <c r="AJ735" i="135" a="1"/>
  <c r="AJ735" i="135" s="1"/>
  <c r="AI735" i="135" a="1"/>
  <c r="AI735" i="135" s="1"/>
  <c r="AH735" i="135" a="1"/>
  <c r="AH735" i="135" s="1"/>
  <c r="AG735" i="135" a="1"/>
  <c r="AG735" i="135" s="1"/>
  <c r="AF735" i="135" a="1"/>
  <c r="AF735" i="135" s="1"/>
  <c r="AE735" i="135" a="1"/>
  <c r="AE735" i="135" s="1"/>
  <c r="AD735" i="135" a="1"/>
  <c r="AD735" i="135" s="1"/>
  <c r="AC735" i="135" a="1"/>
  <c r="AC735" i="135" s="1"/>
  <c r="AB735" i="135" a="1"/>
  <c r="AB735" i="135" s="1"/>
  <c r="AA735" i="135" a="1"/>
  <c r="AA735" i="135" s="1"/>
  <c r="Z735" i="135" a="1"/>
  <c r="Z735" i="135" s="1"/>
  <c r="Y735" i="135" a="1"/>
  <c r="Y735" i="135" s="1"/>
  <c r="X735" i="135" a="1"/>
  <c r="X735" i="135" s="1"/>
  <c r="W735" i="135" a="1"/>
  <c r="W735" i="135" s="1"/>
  <c r="AM734" i="135" a="1"/>
  <c r="AM734" i="135" s="1"/>
  <c r="AL734" i="135" a="1"/>
  <c r="AL734" i="135" s="1"/>
  <c r="AK734" i="135" a="1"/>
  <c r="AK734" i="135" s="1"/>
  <c r="AJ734" i="135" a="1"/>
  <c r="AJ734" i="135" s="1"/>
  <c r="AI734" i="135" a="1"/>
  <c r="AI734" i="135" s="1"/>
  <c r="AH734" i="135" a="1"/>
  <c r="AH734" i="135" s="1"/>
  <c r="AG734" i="135" a="1"/>
  <c r="AG734" i="135" s="1"/>
  <c r="AF734" i="135" a="1"/>
  <c r="AF734" i="135" s="1"/>
  <c r="AE734" i="135" a="1"/>
  <c r="AE734" i="135" s="1"/>
  <c r="AD734" i="135" a="1"/>
  <c r="AD734" i="135" s="1"/>
  <c r="AC734" i="135" a="1"/>
  <c r="AC734" i="135" s="1"/>
  <c r="AB734" i="135" a="1"/>
  <c r="AB734" i="135" s="1"/>
  <c r="AA734" i="135" a="1"/>
  <c r="AA734" i="135" s="1"/>
  <c r="Z734" i="135" a="1"/>
  <c r="Z734" i="135" s="1"/>
  <c r="Y734" i="135" a="1"/>
  <c r="Y734" i="135" s="1"/>
  <c r="X734" i="135" a="1"/>
  <c r="X734" i="135" s="1"/>
  <c r="W734" i="135" a="1"/>
  <c r="W734" i="135" s="1"/>
  <c r="AM733" i="135" a="1"/>
  <c r="AM733" i="135" s="1"/>
  <c r="AL733" i="135" a="1"/>
  <c r="AL733" i="135" s="1"/>
  <c r="AK733" i="135" a="1"/>
  <c r="AK733" i="135" s="1"/>
  <c r="AJ733" i="135" a="1"/>
  <c r="AJ733" i="135" s="1"/>
  <c r="AI733" i="135" a="1"/>
  <c r="AI733" i="135" s="1"/>
  <c r="AH733" i="135" a="1"/>
  <c r="AH733" i="135" s="1"/>
  <c r="AG733" i="135" a="1"/>
  <c r="AG733" i="135" s="1"/>
  <c r="AF733" i="135" a="1"/>
  <c r="AF733" i="135" s="1"/>
  <c r="AE733" i="135" a="1"/>
  <c r="AE733" i="135" s="1"/>
  <c r="AD733" i="135" a="1"/>
  <c r="AD733" i="135" s="1"/>
  <c r="AC733" i="135" a="1"/>
  <c r="AC733" i="135" s="1"/>
  <c r="AB733" i="135" a="1"/>
  <c r="AB733" i="135" s="1"/>
  <c r="AA733" i="135" a="1"/>
  <c r="AA733" i="135" s="1"/>
  <c r="Z733" i="135" a="1"/>
  <c r="Z733" i="135" s="1"/>
  <c r="Y733" i="135" a="1"/>
  <c r="Y733" i="135" s="1"/>
  <c r="X733" i="135" a="1"/>
  <c r="X733" i="135" s="1"/>
  <c r="W733" i="135" a="1"/>
  <c r="W733" i="135" s="1"/>
  <c r="AM732" i="135" a="1"/>
  <c r="AM732" i="135" s="1"/>
  <c r="AL732" i="135" a="1"/>
  <c r="AL732" i="135" s="1"/>
  <c r="AK732" i="135" a="1"/>
  <c r="AK732" i="135" s="1"/>
  <c r="AJ732" i="135" a="1"/>
  <c r="AJ732" i="135" s="1"/>
  <c r="AI732" i="135" a="1"/>
  <c r="AI732" i="135" s="1"/>
  <c r="AH732" i="135" a="1"/>
  <c r="AH732" i="135" s="1"/>
  <c r="AG732" i="135" a="1"/>
  <c r="AG732" i="135" s="1"/>
  <c r="AF732" i="135" a="1"/>
  <c r="AF732" i="135" s="1"/>
  <c r="AE732" i="135" a="1"/>
  <c r="AE732" i="135" s="1"/>
  <c r="AD732" i="135" a="1"/>
  <c r="AD732" i="135" s="1"/>
  <c r="AC732" i="135" a="1"/>
  <c r="AC732" i="135" s="1"/>
  <c r="AB732" i="135" a="1"/>
  <c r="AB732" i="135" s="1"/>
  <c r="AA732" i="135" a="1"/>
  <c r="AA732" i="135" s="1"/>
  <c r="Z732" i="135" a="1"/>
  <c r="Z732" i="135" s="1"/>
  <c r="Y732" i="135" a="1"/>
  <c r="Y732" i="135" s="1"/>
  <c r="X732" i="135" a="1"/>
  <c r="X732" i="135" s="1"/>
  <c r="W732" i="135" a="1"/>
  <c r="W732" i="135" s="1"/>
  <c r="AM731" i="135" a="1"/>
  <c r="AM731" i="135" s="1"/>
  <c r="AL731" i="135" a="1"/>
  <c r="AL731" i="135" s="1"/>
  <c r="AK731" i="135" a="1"/>
  <c r="AK731" i="135" s="1"/>
  <c r="AJ731" i="135" a="1"/>
  <c r="AJ731" i="135" s="1"/>
  <c r="AI731" i="135" a="1"/>
  <c r="AI731" i="135" s="1"/>
  <c r="AH731" i="135" a="1"/>
  <c r="AH731" i="135" s="1"/>
  <c r="AG731" i="135" a="1"/>
  <c r="AG731" i="135" s="1"/>
  <c r="AF731" i="135" a="1"/>
  <c r="AF731" i="135" s="1"/>
  <c r="AE731" i="135" a="1"/>
  <c r="AE731" i="135" s="1"/>
  <c r="AD731" i="135" a="1"/>
  <c r="AD731" i="135" s="1"/>
  <c r="AC731" i="135" a="1"/>
  <c r="AC731" i="135" s="1"/>
  <c r="AB731" i="135" a="1"/>
  <c r="AB731" i="135" s="1"/>
  <c r="AA731" i="135" a="1"/>
  <c r="AA731" i="135" s="1"/>
  <c r="Z731" i="135" a="1"/>
  <c r="Z731" i="135" s="1"/>
  <c r="Y731" i="135" a="1"/>
  <c r="Y731" i="135" s="1"/>
  <c r="X731" i="135" a="1"/>
  <c r="X731" i="135" s="1"/>
  <c r="W731" i="135" a="1"/>
  <c r="W731" i="135" s="1"/>
  <c r="AM730" i="135" a="1"/>
  <c r="AM730" i="135" s="1"/>
  <c r="AL730" i="135" a="1"/>
  <c r="AL730" i="135" s="1"/>
  <c r="AK730" i="135" a="1"/>
  <c r="AK730" i="135" s="1"/>
  <c r="AJ730" i="135" a="1"/>
  <c r="AJ730" i="135" s="1"/>
  <c r="AI730" i="135" a="1"/>
  <c r="AI730" i="135" s="1"/>
  <c r="AH730" i="135" a="1"/>
  <c r="AH730" i="135" s="1"/>
  <c r="AG730" i="135" a="1"/>
  <c r="AG730" i="135" s="1"/>
  <c r="AF730" i="135" a="1"/>
  <c r="AF730" i="135" s="1"/>
  <c r="AE730" i="135" a="1"/>
  <c r="AE730" i="135" s="1"/>
  <c r="AD730" i="135" a="1"/>
  <c r="AD730" i="135" s="1"/>
  <c r="AC730" i="135" a="1"/>
  <c r="AC730" i="135" s="1"/>
  <c r="AB730" i="135" a="1"/>
  <c r="AB730" i="135" s="1"/>
  <c r="AA730" i="135" a="1"/>
  <c r="AA730" i="135" s="1"/>
  <c r="Z730" i="135" a="1"/>
  <c r="Z730" i="135" s="1"/>
  <c r="Y730" i="135" a="1"/>
  <c r="Y730" i="135" s="1"/>
  <c r="X730" i="135" a="1"/>
  <c r="X730" i="135" s="1"/>
  <c r="W730" i="135" a="1"/>
  <c r="W730" i="135" s="1"/>
  <c r="AM729" i="135" a="1"/>
  <c r="AM729" i="135" s="1"/>
  <c r="AL729" i="135" a="1"/>
  <c r="AL729" i="135" s="1"/>
  <c r="AK729" i="135" a="1"/>
  <c r="AK729" i="135" s="1"/>
  <c r="AJ729" i="135" a="1"/>
  <c r="AJ729" i="135" s="1"/>
  <c r="AI729" i="135" a="1"/>
  <c r="AI729" i="135" s="1"/>
  <c r="AH729" i="135" a="1"/>
  <c r="AH729" i="135" s="1"/>
  <c r="AG729" i="135" a="1"/>
  <c r="AG729" i="135" s="1"/>
  <c r="AF729" i="135" a="1"/>
  <c r="AF729" i="135" s="1"/>
  <c r="AE729" i="135" a="1"/>
  <c r="AE729" i="135" s="1"/>
  <c r="AD729" i="135" a="1"/>
  <c r="AD729" i="135" s="1"/>
  <c r="AC729" i="135" a="1"/>
  <c r="AC729" i="135" s="1"/>
  <c r="AB729" i="135" a="1"/>
  <c r="AB729" i="135" s="1"/>
  <c r="AA729" i="135" a="1"/>
  <c r="AA729" i="135" s="1"/>
  <c r="Z729" i="135" a="1"/>
  <c r="Z729" i="135" s="1"/>
  <c r="Y729" i="135" a="1"/>
  <c r="Y729" i="135" s="1"/>
  <c r="X729" i="135" a="1"/>
  <c r="X729" i="135" s="1"/>
  <c r="W729" i="135" a="1"/>
  <c r="W729" i="135" s="1"/>
  <c r="AM728" i="135" a="1"/>
  <c r="AM728" i="135" s="1"/>
  <c r="AL728" i="135" a="1"/>
  <c r="AL728" i="135" s="1"/>
  <c r="AK728" i="135" a="1"/>
  <c r="AK728" i="135" s="1"/>
  <c r="AJ728" i="135" a="1"/>
  <c r="AJ728" i="135" s="1"/>
  <c r="AI728" i="135" a="1"/>
  <c r="AI728" i="135" s="1"/>
  <c r="AH728" i="135" a="1"/>
  <c r="AH728" i="135" s="1"/>
  <c r="AG728" i="135" a="1"/>
  <c r="AG728" i="135" s="1"/>
  <c r="AF728" i="135" a="1"/>
  <c r="AF728" i="135" s="1"/>
  <c r="AE728" i="135" a="1"/>
  <c r="AE728" i="135" s="1"/>
  <c r="AD728" i="135" a="1"/>
  <c r="AD728" i="135" s="1"/>
  <c r="AC728" i="135" a="1"/>
  <c r="AC728" i="135" s="1"/>
  <c r="AB728" i="135" a="1"/>
  <c r="AB728" i="135" s="1"/>
  <c r="AA728" i="135" a="1"/>
  <c r="AA728" i="135" s="1"/>
  <c r="Z728" i="135" a="1"/>
  <c r="Z728" i="135" s="1"/>
  <c r="Y728" i="135" a="1"/>
  <c r="Y728" i="135" s="1"/>
  <c r="X728" i="135" a="1"/>
  <c r="X728" i="135" s="1"/>
  <c r="W728" i="135" a="1"/>
  <c r="W728" i="135" s="1"/>
  <c r="AM727" i="135" a="1"/>
  <c r="AM727" i="135" s="1"/>
  <c r="AL727" i="135" a="1"/>
  <c r="AL727" i="135" s="1"/>
  <c r="AK727" i="135" a="1"/>
  <c r="AK727" i="135" s="1"/>
  <c r="AJ727" i="135" a="1"/>
  <c r="AJ727" i="135" s="1"/>
  <c r="AI727" i="135" a="1"/>
  <c r="AI727" i="135" s="1"/>
  <c r="AH727" i="135" a="1"/>
  <c r="AH727" i="135" s="1"/>
  <c r="AG727" i="135" a="1"/>
  <c r="AG727" i="135" s="1"/>
  <c r="AF727" i="135" a="1"/>
  <c r="AF727" i="135" s="1"/>
  <c r="AE727" i="135" a="1"/>
  <c r="AE727" i="135" s="1"/>
  <c r="AD727" i="135" a="1"/>
  <c r="AD727" i="135" s="1"/>
  <c r="AC727" i="135" a="1"/>
  <c r="AC727" i="135" s="1"/>
  <c r="AB727" i="135" a="1"/>
  <c r="AB727" i="135" s="1"/>
  <c r="AA727" i="135" a="1"/>
  <c r="AA727" i="135" s="1"/>
  <c r="Z727" i="135" a="1"/>
  <c r="Z727" i="135" s="1"/>
  <c r="Y727" i="135" a="1"/>
  <c r="Y727" i="135" s="1"/>
  <c r="X727" i="135" a="1"/>
  <c r="X727" i="135" s="1"/>
  <c r="W727" i="135" a="1"/>
  <c r="W727" i="135" s="1"/>
  <c r="AM726" i="135" a="1"/>
  <c r="AM726" i="135" s="1"/>
  <c r="AL726" i="135" a="1"/>
  <c r="AL726" i="135" s="1"/>
  <c r="AK726" i="135" a="1"/>
  <c r="AK726" i="135" s="1"/>
  <c r="AJ726" i="135" a="1"/>
  <c r="AJ726" i="135" s="1"/>
  <c r="AI726" i="135" a="1"/>
  <c r="AI726" i="135" s="1"/>
  <c r="AH726" i="135" a="1"/>
  <c r="AH726" i="135" s="1"/>
  <c r="AG726" i="135" a="1"/>
  <c r="AG726" i="135" s="1"/>
  <c r="AF726" i="135" a="1"/>
  <c r="AF726" i="135" s="1"/>
  <c r="AE726" i="135" a="1"/>
  <c r="AE726" i="135" s="1"/>
  <c r="AD726" i="135" a="1"/>
  <c r="AD726" i="135" s="1"/>
  <c r="AC726" i="135" a="1"/>
  <c r="AC726" i="135" s="1"/>
  <c r="AB726" i="135" a="1"/>
  <c r="AB726" i="135" s="1"/>
  <c r="AA726" i="135" a="1"/>
  <c r="AA726" i="135" s="1"/>
  <c r="Z726" i="135" a="1"/>
  <c r="Z726" i="135" s="1"/>
  <c r="Y726" i="135" a="1"/>
  <c r="Y726" i="135" s="1"/>
  <c r="X726" i="135" a="1"/>
  <c r="X726" i="135" s="1"/>
  <c r="W726" i="135" a="1"/>
  <c r="W726" i="135" s="1"/>
  <c r="AM725" i="135" a="1"/>
  <c r="AM725" i="135" s="1"/>
  <c r="AL725" i="135" a="1"/>
  <c r="AL725" i="135" s="1"/>
  <c r="AK725" i="135" a="1"/>
  <c r="AK725" i="135" s="1"/>
  <c r="AJ725" i="135" a="1"/>
  <c r="AJ725" i="135" s="1"/>
  <c r="AI725" i="135" a="1"/>
  <c r="AI725" i="135" s="1"/>
  <c r="AH725" i="135" a="1"/>
  <c r="AH725" i="135" s="1"/>
  <c r="AG725" i="135" a="1"/>
  <c r="AG725" i="135" s="1"/>
  <c r="AF725" i="135" a="1"/>
  <c r="AF725" i="135" s="1"/>
  <c r="AE725" i="135" a="1"/>
  <c r="AE725" i="135" s="1"/>
  <c r="AD725" i="135" a="1"/>
  <c r="AD725" i="135" s="1"/>
  <c r="AC725" i="135" a="1"/>
  <c r="AC725" i="135" s="1"/>
  <c r="AB725" i="135" a="1"/>
  <c r="AB725" i="135" s="1"/>
  <c r="AA725" i="135" a="1"/>
  <c r="AA725" i="135" s="1"/>
  <c r="Z725" i="135" a="1"/>
  <c r="Z725" i="135" s="1"/>
  <c r="Y725" i="135" a="1"/>
  <c r="Y725" i="135" s="1"/>
  <c r="X725" i="135" a="1"/>
  <c r="X725" i="135" s="1"/>
  <c r="W725" i="135" a="1"/>
  <c r="W725" i="135" s="1"/>
  <c r="AM724" i="135" a="1"/>
  <c r="AM724" i="135" s="1"/>
  <c r="AL724" i="135" a="1"/>
  <c r="AL724" i="135" s="1"/>
  <c r="AK724" i="135" a="1"/>
  <c r="AK724" i="135" s="1"/>
  <c r="AJ724" i="135" a="1"/>
  <c r="AJ724" i="135" s="1"/>
  <c r="AI724" i="135" a="1"/>
  <c r="AI724" i="135" s="1"/>
  <c r="AH724" i="135" a="1"/>
  <c r="AH724" i="135" s="1"/>
  <c r="AG724" i="135" a="1"/>
  <c r="AG724" i="135" s="1"/>
  <c r="AF724" i="135" a="1"/>
  <c r="AF724" i="135" s="1"/>
  <c r="AE724" i="135" a="1"/>
  <c r="AE724" i="135" s="1"/>
  <c r="AD724" i="135" a="1"/>
  <c r="AD724" i="135" s="1"/>
  <c r="AC724" i="135" a="1"/>
  <c r="AC724" i="135" s="1"/>
  <c r="AB724" i="135" a="1"/>
  <c r="AB724" i="135" s="1"/>
  <c r="AA724" i="135" a="1"/>
  <c r="AA724" i="135" s="1"/>
  <c r="Z724" i="135" a="1"/>
  <c r="Z724" i="135" s="1"/>
  <c r="Y724" i="135" a="1"/>
  <c r="Y724" i="135" s="1"/>
  <c r="X724" i="135" a="1"/>
  <c r="X724" i="135" s="1"/>
  <c r="W724" i="135" a="1"/>
  <c r="W724" i="135" s="1"/>
  <c r="AM723" i="135" a="1"/>
  <c r="AM723" i="135" s="1"/>
  <c r="AL723" i="135" a="1"/>
  <c r="AL723" i="135" s="1"/>
  <c r="AK723" i="135" a="1"/>
  <c r="AK723" i="135" s="1"/>
  <c r="AJ723" i="135" a="1"/>
  <c r="AJ723" i="135" s="1"/>
  <c r="AI723" i="135" a="1"/>
  <c r="AI723" i="135" s="1"/>
  <c r="AH723" i="135" a="1"/>
  <c r="AH723" i="135" s="1"/>
  <c r="AG723" i="135" a="1"/>
  <c r="AG723" i="135" s="1"/>
  <c r="AF723" i="135" a="1"/>
  <c r="AF723" i="135" s="1"/>
  <c r="AE723" i="135" a="1"/>
  <c r="AE723" i="135" s="1"/>
  <c r="AD723" i="135" a="1"/>
  <c r="AD723" i="135" s="1"/>
  <c r="AC723" i="135" a="1"/>
  <c r="AC723" i="135" s="1"/>
  <c r="AB723" i="135" a="1"/>
  <c r="AB723" i="135" s="1"/>
  <c r="AA723" i="135" a="1"/>
  <c r="AA723" i="135" s="1"/>
  <c r="Z723" i="135" a="1"/>
  <c r="Z723" i="135" s="1"/>
  <c r="Y723" i="135" a="1"/>
  <c r="Y723" i="135" s="1"/>
  <c r="X723" i="135" a="1"/>
  <c r="X723" i="135" s="1"/>
  <c r="W723" i="135" a="1"/>
  <c r="W723" i="135" s="1"/>
  <c r="AM722" i="135" a="1"/>
  <c r="AM722" i="135" s="1"/>
  <c r="AL722" i="135" a="1"/>
  <c r="AL722" i="135" s="1"/>
  <c r="AK722" i="135" a="1"/>
  <c r="AK722" i="135" s="1"/>
  <c r="AJ722" i="135" a="1"/>
  <c r="AJ722" i="135" s="1"/>
  <c r="AI722" i="135" a="1"/>
  <c r="AI722" i="135" s="1"/>
  <c r="AH722" i="135" a="1"/>
  <c r="AH722" i="135" s="1"/>
  <c r="AG722" i="135" a="1"/>
  <c r="AG722" i="135" s="1"/>
  <c r="AF722" i="135" a="1"/>
  <c r="AF722" i="135" s="1"/>
  <c r="AE722" i="135" a="1"/>
  <c r="AE722" i="135" s="1"/>
  <c r="AD722" i="135" a="1"/>
  <c r="AD722" i="135" s="1"/>
  <c r="AC722" i="135" a="1"/>
  <c r="AC722" i="135" s="1"/>
  <c r="AB722" i="135" a="1"/>
  <c r="AB722" i="135" s="1"/>
  <c r="AA722" i="135" a="1"/>
  <c r="AA722" i="135" s="1"/>
  <c r="Z722" i="135" a="1"/>
  <c r="Z722" i="135" s="1"/>
  <c r="Y722" i="135" a="1"/>
  <c r="Y722" i="135" s="1"/>
  <c r="X722" i="135" a="1"/>
  <c r="X722" i="135" s="1"/>
  <c r="W722" i="135" a="1"/>
  <c r="W722" i="135" s="1"/>
  <c r="AM721" i="135" a="1"/>
  <c r="AM721" i="135" s="1"/>
  <c r="AL721" i="135" a="1"/>
  <c r="AL721" i="135" s="1"/>
  <c r="AK721" i="135" a="1"/>
  <c r="AK721" i="135" s="1"/>
  <c r="AJ721" i="135" a="1"/>
  <c r="AJ721" i="135" s="1"/>
  <c r="AI721" i="135" a="1"/>
  <c r="AI721" i="135" s="1"/>
  <c r="AH721" i="135" a="1"/>
  <c r="AH721" i="135" s="1"/>
  <c r="AG721" i="135" a="1"/>
  <c r="AG721" i="135" s="1"/>
  <c r="AF721" i="135" a="1"/>
  <c r="AF721" i="135" s="1"/>
  <c r="AE721" i="135" a="1"/>
  <c r="AE721" i="135" s="1"/>
  <c r="AD721" i="135" a="1"/>
  <c r="AD721" i="135" s="1"/>
  <c r="AC721" i="135" a="1"/>
  <c r="AC721" i="135" s="1"/>
  <c r="AB721" i="135" a="1"/>
  <c r="AB721" i="135" s="1"/>
  <c r="AA721" i="135" a="1"/>
  <c r="AA721" i="135" s="1"/>
  <c r="Z721" i="135" a="1"/>
  <c r="Z721" i="135" s="1"/>
  <c r="Y721" i="135" a="1"/>
  <c r="Y721" i="135" s="1"/>
  <c r="X721" i="135" a="1"/>
  <c r="X721" i="135" s="1"/>
  <c r="W721" i="135" a="1"/>
  <c r="W721" i="135" s="1"/>
  <c r="AM720" i="135" a="1"/>
  <c r="AM720" i="135" s="1"/>
  <c r="AL720" i="135" a="1"/>
  <c r="AL720" i="135" s="1"/>
  <c r="AK720" i="135" a="1"/>
  <c r="AK720" i="135" s="1"/>
  <c r="AJ720" i="135" a="1"/>
  <c r="AJ720" i="135" s="1"/>
  <c r="AI720" i="135" a="1"/>
  <c r="AI720" i="135" s="1"/>
  <c r="AH720" i="135" a="1"/>
  <c r="AH720" i="135" s="1"/>
  <c r="AG720" i="135" a="1"/>
  <c r="AG720" i="135" s="1"/>
  <c r="AF720" i="135" a="1"/>
  <c r="AF720" i="135" s="1"/>
  <c r="AE720" i="135" a="1"/>
  <c r="AE720" i="135" s="1"/>
  <c r="AD720" i="135" a="1"/>
  <c r="AD720" i="135" s="1"/>
  <c r="AC720" i="135" a="1"/>
  <c r="AC720" i="135" s="1"/>
  <c r="AB720" i="135" a="1"/>
  <c r="AB720" i="135" s="1"/>
  <c r="AA720" i="135" a="1"/>
  <c r="AA720" i="135" s="1"/>
  <c r="Z720" i="135" a="1"/>
  <c r="Z720" i="135" s="1"/>
  <c r="Y720" i="135" a="1"/>
  <c r="Y720" i="135" s="1"/>
  <c r="X720" i="135" a="1"/>
  <c r="X720" i="135" s="1"/>
  <c r="W720" i="135" a="1"/>
  <c r="W720" i="135" s="1"/>
  <c r="AM719" i="135" a="1"/>
  <c r="AM719" i="135" s="1"/>
  <c r="AL719" i="135" a="1"/>
  <c r="AL719" i="135" s="1"/>
  <c r="AK719" i="135" a="1"/>
  <c r="AK719" i="135" s="1"/>
  <c r="AJ719" i="135" a="1"/>
  <c r="AJ719" i="135" s="1"/>
  <c r="AI719" i="135" a="1"/>
  <c r="AI719" i="135" s="1"/>
  <c r="AH719" i="135" a="1"/>
  <c r="AH719" i="135" s="1"/>
  <c r="AG719" i="135" a="1"/>
  <c r="AG719" i="135" s="1"/>
  <c r="AF719" i="135" a="1"/>
  <c r="AF719" i="135" s="1"/>
  <c r="AE719" i="135" a="1"/>
  <c r="AE719" i="135" s="1"/>
  <c r="AD719" i="135" a="1"/>
  <c r="AD719" i="135" s="1"/>
  <c r="AC719" i="135" a="1"/>
  <c r="AC719" i="135" s="1"/>
  <c r="AB719" i="135" a="1"/>
  <c r="AB719" i="135" s="1"/>
  <c r="AA719" i="135" a="1"/>
  <c r="AA719" i="135" s="1"/>
  <c r="Z719" i="135" a="1"/>
  <c r="Z719" i="135" s="1"/>
  <c r="Y719" i="135" a="1"/>
  <c r="Y719" i="135" s="1"/>
  <c r="X719" i="135" a="1"/>
  <c r="X719" i="135" s="1"/>
  <c r="W719" i="135" a="1"/>
  <c r="W719" i="135" s="1"/>
  <c r="AM718" i="135" a="1"/>
  <c r="AM718" i="135" s="1"/>
  <c r="AL718" i="135" a="1"/>
  <c r="AL718" i="135" s="1"/>
  <c r="AK718" i="135" a="1"/>
  <c r="AK718" i="135" s="1"/>
  <c r="AJ718" i="135" a="1"/>
  <c r="AJ718" i="135" s="1"/>
  <c r="AI718" i="135" a="1"/>
  <c r="AI718" i="135" s="1"/>
  <c r="AH718" i="135" a="1"/>
  <c r="AH718" i="135" s="1"/>
  <c r="AG718" i="135" a="1"/>
  <c r="AG718" i="135" s="1"/>
  <c r="AF718" i="135" a="1"/>
  <c r="AF718" i="135" s="1"/>
  <c r="AE718" i="135" a="1"/>
  <c r="AE718" i="135" s="1"/>
  <c r="AD718" i="135" a="1"/>
  <c r="AD718" i="135" s="1"/>
  <c r="AC718" i="135" a="1"/>
  <c r="AC718" i="135" s="1"/>
  <c r="AB718" i="135" a="1"/>
  <c r="AB718" i="135" s="1"/>
  <c r="AA718" i="135" a="1"/>
  <c r="AA718" i="135" s="1"/>
  <c r="Z718" i="135" a="1"/>
  <c r="Z718" i="135" s="1"/>
  <c r="Y718" i="135" a="1"/>
  <c r="Y718" i="135" s="1"/>
  <c r="X718" i="135" a="1"/>
  <c r="X718" i="135" s="1"/>
  <c r="W718" i="135" a="1"/>
  <c r="W718" i="135" s="1"/>
  <c r="AM717" i="135" a="1"/>
  <c r="AM717" i="135" s="1"/>
  <c r="AL717" i="135" a="1"/>
  <c r="AL717" i="135" s="1"/>
  <c r="AK717" i="135" a="1"/>
  <c r="AK717" i="135" s="1"/>
  <c r="AJ717" i="135" a="1"/>
  <c r="AJ717" i="135" s="1"/>
  <c r="AI717" i="135" a="1"/>
  <c r="AI717" i="135" s="1"/>
  <c r="AH717" i="135" a="1"/>
  <c r="AH717" i="135" s="1"/>
  <c r="AG717" i="135" a="1"/>
  <c r="AG717" i="135" s="1"/>
  <c r="AF717" i="135" a="1"/>
  <c r="AF717" i="135" s="1"/>
  <c r="AE717" i="135" a="1"/>
  <c r="AE717" i="135" s="1"/>
  <c r="AD717" i="135" a="1"/>
  <c r="AD717" i="135" s="1"/>
  <c r="AC717" i="135" a="1"/>
  <c r="AC717" i="135" s="1"/>
  <c r="AB717" i="135" a="1"/>
  <c r="AB717" i="135" s="1"/>
  <c r="AA717" i="135" a="1"/>
  <c r="AA717" i="135" s="1"/>
  <c r="Z717" i="135" a="1"/>
  <c r="Z717" i="135" s="1"/>
  <c r="Y717" i="135" a="1"/>
  <c r="Y717" i="135" s="1"/>
  <c r="X717" i="135" a="1"/>
  <c r="X717" i="135" s="1"/>
  <c r="W717" i="135" a="1"/>
  <c r="W717" i="135" s="1"/>
  <c r="AM716" i="135" a="1"/>
  <c r="AM716" i="135" s="1"/>
  <c r="AL716" i="135" a="1"/>
  <c r="AL716" i="135" s="1"/>
  <c r="AK716" i="135" a="1"/>
  <c r="AK716" i="135" s="1"/>
  <c r="AJ716" i="135" a="1"/>
  <c r="AJ716" i="135" s="1"/>
  <c r="AI716" i="135" a="1"/>
  <c r="AI716" i="135" s="1"/>
  <c r="AH716" i="135" a="1"/>
  <c r="AH716" i="135" s="1"/>
  <c r="AG716" i="135" a="1"/>
  <c r="AG716" i="135" s="1"/>
  <c r="AF716" i="135" a="1"/>
  <c r="AF716" i="135" s="1"/>
  <c r="AE716" i="135" a="1"/>
  <c r="AE716" i="135" s="1"/>
  <c r="AD716" i="135" a="1"/>
  <c r="AD716" i="135" s="1"/>
  <c r="AC716" i="135" a="1"/>
  <c r="AC716" i="135" s="1"/>
  <c r="AB716" i="135" a="1"/>
  <c r="AB716" i="135" s="1"/>
  <c r="AA716" i="135" a="1"/>
  <c r="AA716" i="135" s="1"/>
  <c r="Z716" i="135" a="1"/>
  <c r="Z716" i="135" s="1"/>
  <c r="Y716" i="135" a="1"/>
  <c r="Y716" i="135" s="1"/>
  <c r="X716" i="135" a="1"/>
  <c r="X716" i="135" s="1"/>
  <c r="W716" i="135" a="1"/>
  <c r="W716" i="135" s="1"/>
  <c r="AM715" i="135" a="1"/>
  <c r="AM715" i="135" s="1"/>
  <c r="AL715" i="135" a="1"/>
  <c r="AL715" i="135" s="1"/>
  <c r="AK715" i="135" a="1"/>
  <c r="AK715" i="135" s="1"/>
  <c r="AJ715" i="135" a="1"/>
  <c r="AJ715" i="135" s="1"/>
  <c r="AI715" i="135" a="1"/>
  <c r="AI715" i="135" s="1"/>
  <c r="AH715" i="135" a="1"/>
  <c r="AH715" i="135" s="1"/>
  <c r="AG715" i="135" a="1"/>
  <c r="AG715" i="135" s="1"/>
  <c r="AF715" i="135" a="1"/>
  <c r="AF715" i="135" s="1"/>
  <c r="AE715" i="135" a="1"/>
  <c r="AE715" i="135" s="1"/>
  <c r="AD715" i="135" a="1"/>
  <c r="AD715" i="135" s="1"/>
  <c r="AC715" i="135" a="1"/>
  <c r="AC715" i="135" s="1"/>
  <c r="AB715" i="135" a="1"/>
  <c r="AB715" i="135" s="1"/>
  <c r="AA715" i="135" a="1"/>
  <c r="AA715" i="135" s="1"/>
  <c r="Z715" i="135" a="1"/>
  <c r="Z715" i="135" s="1"/>
  <c r="Y715" i="135" a="1"/>
  <c r="Y715" i="135" s="1"/>
  <c r="X715" i="135" a="1"/>
  <c r="X715" i="135" s="1"/>
  <c r="W715" i="135" a="1"/>
  <c r="W715" i="135" s="1"/>
  <c r="AM714" i="135" a="1"/>
  <c r="AM714" i="135" s="1"/>
  <c r="AL714" i="135" a="1"/>
  <c r="AL714" i="135" s="1"/>
  <c r="AK714" i="135" a="1"/>
  <c r="AK714" i="135" s="1"/>
  <c r="AJ714" i="135" a="1"/>
  <c r="AJ714" i="135" s="1"/>
  <c r="AI714" i="135" a="1"/>
  <c r="AI714" i="135" s="1"/>
  <c r="AH714" i="135" a="1"/>
  <c r="AH714" i="135" s="1"/>
  <c r="AG714" i="135" a="1"/>
  <c r="AG714" i="135" s="1"/>
  <c r="AF714" i="135" a="1"/>
  <c r="AF714" i="135" s="1"/>
  <c r="AE714" i="135" a="1"/>
  <c r="AE714" i="135" s="1"/>
  <c r="AD714" i="135" a="1"/>
  <c r="AD714" i="135" s="1"/>
  <c r="AC714" i="135" a="1"/>
  <c r="AC714" i="135" s="1"/>
  <c r="AB714" i="135" a="1"/>
  <c r="AB714" i="135" s="1"/>
  <c r="AA714" i="135" a="1"/>
  <c r="AA714" i="135" s="1"/>
  <c r="Z714" i="135" a="1"/>
  <c r="Z714" i="135" s="1"/>
  <c r="Y714" i="135" a="1"/>
  <c r="Y714" i="135" s="1"/>
  <c r="X714" i="135" a="1"/>
  <c r="X714" i="135" s="1"/>
  <c r="W714" i="135" a="1"/>
  <c r="W714" i="135" s="1"/>
  <c r="AM713" i="135" a="1"/>
  <c r="AM713" i="135" s="1"/>
  <c r="AL713" i="135" a="1"/>
  <c r="AL713" i="135" s="1"/>
  <c r="AK713" i="135" a="1"/>
  <c r="AK713" i="135" s="1"/>
  <c r="AJ713" i="135" a="1"/>
  <c r="AJ713" i="135" s="1"/>
  <c r="AI713" i="135" a="1"/>
  <c r="AI713" i="135" s="1"/>
  <c r="AH713" i="135" a="1"/>
  <c r="AH713" i="135" s="1"/>
  <c r="AG713" i="135" a="1"/>
  <c r="AG713" i="135" s="1"/>
  <c r="AF713" i="135" a="1"/>
  <c r="AF713" i="135" s="1"/>
  <c r="AE713" i="135" a="1"/>
  <c r="AE713" i="135" s="1"/>
  <c r="AD713" i="135" a="1"/>
  <c r="AD713" i="135" s="1"/>
  <c r="AC713" i="135" a="1"/>
  <c r="AC713" i="135" s="1"/>
  <c r="AB713" i="135" a="1"/>
  <c r="AB713" i="135" s="1"/>
  <c r="AA713" i="135" a="1"/>
  <c r="AA713" i="135" s="1"/>
  <c r="Z713" i="135" a="1"/>
  <c r="Z713" i="135" s="1"/>
  <c r="Y713" i="135" a="1"/>
  <c r="Y713" i="135" s="1"/>
  <c r="X713" i="135" a="1"/>
  <c r="X713" i="135" s="1"/>
  <c r="W713" i="135" a="1"/>
  <c r="W713" i="135" s="1"/>
  <c r="AM712" i="135" a="1"/>
  <c r="AM712" i="135" s="1"/>
  <c r="AL712" i="135" a="1"/>
  <c r="AL712" i="135" s="1"/>
  <c r="AK712" i="135" a="1"/>
  <c r="AK712" i="135" s="1"/>
  <c r="AJ712" i="135" a="1"/>
  <c r="AJ712" i="135" s="1"/>
  <c r="AI712" i="135" a="1"/>
  <c r="AI712" i="135" s="1"/>
  <c r="AH712" i="135" a="1"/>
  <c r="AH712" i="135" s="1"/>
  <c r="AG712" i="135" a="1"/>
  <c r="AG712" i="135" s="1"/>
  <c r="AF712" i="135" a="1"/>
  <c r="AF712" i="135" s="1"/>
  <c r="AE712" i="135" a="1"/>
  <c r="AE712" i="135" s="1"/>
  <c r="AD712" i="135" a="1"/>
  <c r="AD712" i="135" s="1"/>
  <c r="AC712" i="135" a="1"/>
  <c r="AC712" i="135" s="1"/>
  <c r="AB712" i="135" a="1"/>
  <c r="AB712" i="135" s="1"/>
  <c r="AA712" i="135" a="1"/>
  <c r="AA712" i="135" s="1"/>
  <c r="Z712" i="135" a="1"/>
  <c r="Z712" i="135" s="1"/>
  <c r="Y712" i="135" a="1"/>
  <c r="Y712" i="135" s="1"/>
  <c r="X712" i="135" a="1"/>
  <c r="X712" i="135" s="1"/>
  <c r="W712" i="135" a="1"/>
  <c r="W712" i="135" s="1"/>
  <c r="AM711" i="135" a="1"/>
  <c r="AM711" i="135" s="1"/>
  <c r="AL711" i="135" a="1"/>
  <c r="AL711" i="135" s="1"/>
  <c r="AK711" i="135" a="1"/>
  <c r="AK711" i="135" s="1"/>
  <c r="AJ711" i="135" a="1"/>
  <c r="AJ711" i="135" s="1"/>
  <c r="AI711" i="135" a="1"/>
  <c r="AI711" i="135" s="1"/>
  <c r="AH711" i="135" a="1"/>
  <c r="AH711" i="135" s="1"/>
  <c r="AG711" i="135" a="1"/>
  <c r="AG711" i="135" s="1"/>
  <c r="AF711" i="135" a="1"/>
  <c r="AF711" i="135" s="1"/>
  <c r="AE711" i="135" a="1"/>
  <c r="AE711" i="135" s="1"/>
  <c r="AD711" i="135" a="1"/>
  <c r="AD711" i="135" s="1"/>
  <c r="AC711" i="135" a="1"/>
  <c r="AC711" i="135" s="1"/>
  <c r="AB711" i="135" a="1"/>
  <c r="AB711" i="135" s="1"/>
  <c r="AA711" i="135" a="1"/>
  <c r="AA711" i="135" s="1"/>
  <c r="Z711" i="135" a="1"/>
  <c r="Z711" i="135" s="1"/>
  <c r="Y711" i="135" a="1"/>
  <c r="Y711" i="135" s="1"/>
  <c r="X711" i="135" a="1"/>
  <c r="X711" i="135" s="1"/>
  <c r="W711" i="135" a="1"/>
  <c r="W711" i="135" s="1"/>
  <c r="AM710" i="135" a="1"/>
  <c r="AM710" i="135" s="1"/>
  <c r="AL710" i="135" a="1"/>
  <c r="AL710" i="135" s="1"/>
  <c r="AK710" i="135" a="1"/>
  <c r="AK710" i="135" s="1"/>
  <c r="AJ710" i="135" a="1"/>
  <c r="AJ710" i="135" s="1"/>
  <c r="AI710" i="135" a="1"/>
  <c r="AI710" i="135" s="1"/>
  <c r="AH710" i="135" a="1"/>
  <c r="AH710" i="135" s="1"/>
  <c r="AG710" i="135" a="1"/>
  <c r="AG710" i="135" s="1"/>
  <c r="AF710" i="135" a="1"/>
  <c r="AF710" i="135" s="1"/>
  <c r="AE710" i="135" a="1"/>
  <c r="AE710" i="135" s="1"/>
  <c r="AD710" i="135" a="1"/>
  <c r="AD710" i="135" s="1"/>
  <c r="AC710" i="135" a="1"/>
  <c r="AC710" i="135" s="1"/>
  <c r="AB710" i="135" a="1"/>
  <c r="AB710" i="135" s="1"/>
  <c r="AA710" i="135" a="1"/>
  <c r="AA710" i="135" s="1"/>
  <c r="Z710" i="135" a="1"/>
  <c r="Z710" i="135" s="1"/>
  <c r="Y710" i="135" a="1"/>
  <c r="Y710" i="135" s="1"/>
  <c r="X710" i="135" a="1"/>
  <c r="X710" i="135" s="1"/>
  <c r="W710" i="135" a="1"/>
  <c r="W710" i="135" s="1"/>
  <c r="AM709" i="135" a="1"/>
  <c r="AM709" i="135" s="1"/>
  <c r="AL709" i="135" a="1"/>
  <c r="AL709" i="135" s="1"/>
  <c r="AK709" i="135" a="1"/>
  <c r="AK709" i="135" s="1"/>
  <c r="AJ709" i="135" a="1"/>
  <c r="AJ709" i="135" s="1"/>
  <c r="AI709" i="135" a="1"/>
  <c r="AI709" i="135" s="1"/>
  <c r="AH709" i="135" a="1"/>
  <c r="AH709" i="135" s="1"/>
  <c r="AG709" i="135" a="1"/>
  <c r="AG709" i="135" s="1"/>
  <c r="AF709" i="135" a="1"/>
  <c r="AF709" i="135" s="1"/>
  <c r="AE709" i="135" a="1"/>
  <c r="AE709" i="135" s="1"/>
  <c r="AD709" i="135" a="1"/>
  <c r="AD709" i="135" s="1"/>
  <c r="AC709" i="135" a="1"/>
  <c r="AC709" i="135" s="1"/>
  <c r="AB709" i="135" a="1"/>
  <c r="AB709" i="135" s="1"/>
  <c r="AA709" i="135" a="1"/>
  <c r="AA709" i="135" s="1"/>
  <c r="Z709" i="135" a="1"/>
  <c r="Z709" i="135" s="1"/>
  <c r="Y709" i="135" a="1"/>
  <c r="Y709" i="135" s="1"/>
  <c r="X709" i="135" a="1"/>
  <c r="X709" i="135" s="1"/>
  <c r="W709" i="135" a="1"/>
  <c r="W709" i="135" s="1"/>
  <c r="AM708" i="135" a="1"/>
  <c r="AM708" i="135" s="1"/>
  <c r="AL708" i="135" a="1"/>
  <c r="AL708" i="135" s="1"/>
  <c r="AK708" i="135" a="1"/>
  <c r="AK708" i="135" s="1"/>
  <c r="AJ708" i="135" a="1"/>
  <c r="AJ708" i="135" s="1"/>
  <c r="AI708" i="135" a="1"/>
  <c r="AI708" i="135" s="1"/>
  <c r="AH708" i="135" a="1"/>
  <c r="AH708" i="135" s="1"/>
  <c r="AG708" i="135" a="1"/>
  <c r="AG708" i="135" s="1"/>
  <c r="AF708" i="135" a="1"/>
  <c r="AF708" i="135" s="1"/>
  <c r="AE708" i="135" a="1"/>
  <c r="AE708" i="135" s="1"/>
  <c r="AD708" i="135" a="1"/>
  <c r="AD708" i="135" s="1"/>
  <c r="AC708" i="135" a="1"/>
  <c r="AC708" i="135" s="1"/>
  <c r="AB708" i="135" a="1"/>
  <c r="AB708" i="135" s="1"/>
  <c r="AA708" i="135" a="1"/>
  <c r="AA708" i="135" s="1"/>
  <c r="Z708" i="135" a="1"/>
  <c r="Z708" i="135" s="1"/>
  <c r="Y708" i="135" a="1"/>
  <c r="Y708" i="135" s="1"/>
  <c r="X708" i="135" a="1"/>
  <c r="X708" i="135" s="1"/>
  <c r="W708" i="135" a="1"/>
  <c r="W708" i="135" s="1"/>
  <c r="AM707" i="135" a="1"/>
  <c r="AM707" i="135" s="1"/>
  <c r="AL707" i="135" a="1"/>
  <c r="AL707" i="135" s="1"/>
  <c r="AK707" i="135" a="1"/>
  <c r="AK707" i="135" s="1"/>
  <c r="AJ707" i="135" a="1"/>
  <c r="AJ707" i="135" s="1"/>
  <c r="AI707" i="135" a="1"/>
  <c r="AI707" i="135" s="1"/>
  <c r="AH707" i="135" a="1"/>
  <c r="AH707" i="135" s="1"/>
  <c r="AG707" i="135" a="1"/>
  <c r="AG707" i="135" s="1"/>
  <c r="AF707" i="135" a="1"/>
  <c r="AF707" i="135" s="1"/>
  <c r="AE707" i="135" a="1"/>
  <c r="AE707" i="135" s="1"/>
  <c r="AD707" i="135" a="1"/>
  <c r="AD707" i="135" s="1"/>
  <c r="AC707" i="135" a="1"/>
  <c r="AC707" i="135" s="1"/>
  <c r="AB707" i="135" a="1"/>
  <c r="AB707" i="135" s="1"/>
  <c r="AA707" i="135" a="1"/>
  <c r="AA707" i="135" s="1"/>
  <c r="Z707" i="135" a="1"/>
  <c r="Z707" i="135" s="1"/>
  <c r="Y707" i="135" a="1"/>
  <c r="Y707" i="135" s="1"/>
  <c r="X707" i="135" a="1"/>
  <c r="X707" i="135" s="1"/>
  <c r="W707" i="135" a="1"/>
  <c r="W707" i="135" s="1"/>
  <c r="AM706" i="135" a="1"/>
  <c r="AM706" i="135" s="1"/>
  <c r="AL706" i="135" a="1"/>
  <c r="AL706" i="135" s="1"/>
  <c r="AK706" i="135" a="1"/>
  <c r="AK706" i="135" s="1"/>
  <c r="AJ706" i="135" a="1"/>
  <c r="AJ706" i="135" s="1"/>
  <c r="AI706" i="135" a="1"/>
  <c r="AI706" i="135" s="1"/>
  <c r="AH706" i="135" a="1"/>
  <c r="AH706" i="135" s="1"/>
  <c r="AG706" i="135" a="1"/>
  <c r="AG706" i="135" s="1"/>
  <c r="AF706" i="135" a="1"/>
  <c r="AF706" i="135" s="1"/>
  <c r="AE706" i="135" a="1"/>
  <c r="AE706" i="135" s="1"/>
  <c r="AD706" i="135" a="1"/>
  <c r="AD706" i="135" s="1"/>
  <c r="AC706" i="135" a="1"/>
  <c r="AC706" i="135" s="1"/>
  <c r="AB706" i="135" a="1"/>
  <c r="AB706" i="135" s="1"/>
  <c r="AA706" i="135" a="1"/>
  <c r="AA706" i="135" s="1"/>
  <c r="Z706" i="135" a="1"/>
  <c r="Z706" i="135" s="1"/>
  <c r="Y706" i="135" a="1"/>
  <c r="Y706" i="135" s="1"/>
  <c r="X706" i="135" a="1"/>
  <c r="X706" i="135" s="1"/>
  <c r="W706" i="135" a="1"/>
  <c r="W706" i="135" s="1"/>
  <c r="AM705" i="135" a="1"/>
  <c r="AM705" i="135" s="1"/>
  <c r="AL705" i="135" a="1"/>
  <c r="AL705" i="135" s="1"/>
  <c r="AK705" i="135" a="1"/>
  <c r="AK705" i="135" s="1"/>
  <c r="AJ705" i="135" a="1"/>
  <c r="AJ705" i="135" s="1"/>
  <c r="AI705" i="135" a="1"/>
  <c r="AI705" i="135" s="1"/>
  <c r="AH705" i="135" a="1"/>
  <c r="AH705" i="135" s="1"/>
  <c r="AG705" i="135" a="1"/>
  <c r="AG705" i="135" s="1"/>
  <c r="AF705" i="135" a="1"/>
  <c r="AF705" i="135" s="1"/>
  <c r="AE705" i="135" a="1"/>
  <c r="AE705" i="135" s="1"/>
  <c r="AD705" i="135" a="1"/>
  <c r="AD705" i="135" s="1"/>
  <c r="AC705" i="135" a="1"/>
  <c r="AC705" i="135" s="1"/>
  <c r="AB705" i="135" a="1"/>
  <c r="AB705" i="135" s="1"/>
  <c r="AA705" i="135" a="1"/>
  <c r="AA705" i="135" s="1"/>
  <c r="Z705" i="135" a="1"/>
  <c r="Z705" i="135" s="1"/>
  <c r="Y705" i="135" a="1"/>
  <c r="Y705" i="135" s="1"/>
  <c r="X705" i="135" a="1"/>
  <c r="X705" i="135" s="1"/>
  <c r="W705" i="135" a="1"/>
  <c r="W705" i="135" s="1"/>
  <c r="AM704" i="135" a="1"/>
  <c r="AM704" i="135" s="1"/>
  <c r="AL704" i="135" a="1"/>
  <c r="AL704" i="135" s="1"/>
  <c r="AK704" i="135" a="1"/>
  <c r="AK704" i="135" s="1"/>
  <c r="AJ704" i="135" a="1"/>
  <c r="AJ704" i="135" s="1"/>
  <c r="AI704" i="135" a="1"/>
  <c r="AI704" i="135" s="1"/>
  <c r="AH704" i="135" a="1"/>
  <c r="AH704" i="135" s="1"/>
  <c r="AG704" i="135" a="1"/>
  <c r="AG704" i="135" s="1"/>
  <c r="AF704" i="135" a="1"/>
  <c r="AF704" i="135" s="1"/>
  <c r="AE704" i="135" a="1"/>
  <c r="AE704" i="135" s="1"/>
  <c r="AD704" i="135" a="1"/>
  <c r="AD704" i="135" s="1"/>
  <c r="AC704" i="135" a="1"/>
  <c r="AC704" i="135" s="1"/>
  <c r="AB704" i="135" a="1"/>
  <c r="AB704" i="135" s="1"/>
  <c r="AA704" i="135" a="1"/>
  <c r="AA704" i="135" s="1"/>
  <c r="Z704" i="135" a="1"/>
  <c r="Z704" i="135" s="1"/>
  <c r="Y704" i="135" a="1"/>
  <c r="Y704" i="135" s="1"/>
  <c r="X704" i="135" a="1"/>
  <c r="X704" i="135" s="1"/>
  <c r="W704" i="135" a="1"/>
  <c r="W704" i="135" s="1"/>
  <c r="AM703" i="135" a="1"/>
  <c r="AM703" i="135" s="1"/>
  <c r="AL703" i="135" a="1"/>
  <c r="AL703" i="135" s="1"/>
  <c r="AK703" i="135" a="1"/>
  <c r="AK703" i="135" s="1"/>
  <c r="AJ703" i="135" a="1"/>
  <c r="AJ703" i="135" s="1"/>
  <c r="AI703" i="135" a="1"/>
  <c r="AI703" i="135" s="1"/>
  <c r="AH703" i="135" a="1"/>
  <c r="AH703" i="135" s="1"/>
  <c r="AG703" i="135" a="1"/>
  <c r="AG703" i="135" s="1"/>
  <c r="AF703" i="135" a="1"/>
  <c r="AF703" i="135" s="1"/>
  <c r="AE703" i="135" a="1"/>
  <c r="AE703" i="135" s="1"/>
  <c r="AD703" i="135" a="1"/>
  <c r="AD703" i="135" s="1"/>
  <c r="AC703" i="135" a="1"/>
  <c r="AC703" i="135" s="1"/>
  <c r="AB703" i="135" a="1"/>
  <c r="AB703" i="135" s="1"/>
  <c r="AA703" i="135" a="1"/>
  <c r="AA703" i="135" s="1"/>
  <c r="Z703" i="135" a="1"/>
  <c r="Z703" i="135" s="1"/>
  <c r="Y703" i="135" a="1"/>
  <c r="Y703" i="135" s="1"/>
  <c r="X703" i="135" a="1"/>
  <c r="X703" i="135" s="1"/>
  <c r="W703" i="135" a="1"/>
  <c r="W703" i="135" s="1"/>
  <c r="AM702" i="135" a="1"/>
  <c r="AM702" i="135" s="1"/>
  <c r="AL702" i="135" a="1"/>
  <c r="AL702" i="135" s="1"/>
  <c r="AK702" i="135" a="1"/>
  <c r="AK702" i="135" s="1"/>
  <c r="AJ702" i="135" a="1"/>
  <c r="AJ702" i="135" s="1"/>
  <c r="AI702" i="135" a="1"/>
  <c r="AI702" i="135" s="1"/>
  <c r="AH702" i="135" a="1"/>
  <c r="AH702" i="135" s="1"/>
  <c r="AG702" i="135" a="1"/>
  <c r="AG702" i="135" s="1"/>
  <c r="AF702" i="135" a="1"/>
  <c r="AF702" i="135" s="1"/>
  <c r="AE702" i="135" a="1"/>
  <c r="AE702" i="135" s="1"/>
  <c r="AD702" i="135" a="1"/>
  <c r="AD702" i="135" s="1"/>
  <c r="AC702" i="135" a="1"/>
  <c r="AC702" i="135" s="1"/>
  <c r="AB702" i="135" a="1"/>
  <c r="AB702" i="135" s="1"/>
  <c r="AA702" i="135" a="1"/>
  <c r="AA702" i="135" s="1"/>
  <c r="Z702" i="135" a="1"/>
  <c r="Z702" i="135" s="1"/>
  <c r="Y702" i="135" a="1"/>
  <c r="Y702" i="135" s="1"/>
  <c r="X702" i="135" a="1"/>
  <c r="X702" i="135" s="1"/>
  <c r="W702" i="135" a="1"/>
  <c r="W702" i="135" s="1"/>
  <c r="AM701" i="135" a="1"/>
  <c r="AM701" i="135" s="1"/>
  <c r="AL701" i="135" a="1"/>
  <c r="AL701" i="135" s="1"/>
  <c r="AK701" i="135" a="1"/>
  <c r="AK701" i="135" s="1"/>
  <c r="AJ701" i="135" a="1"/>
  <c r="AJ701" i="135" s="1"/>
  <c r="AI701" i="135" a="1"/>
  <c r="AI701" i="135" s="1"/>
  <c r="AH701" i="135" a="1"/>
  <c r="AH701" i="135" s="1"/>
  <c r="AG701" i="135" a="1"/>
  <c r="AG701" i="135" s="1"/>
  <c r="AF701" i="135" a="1"/>
  <c r="AF701" i="135" s="1"/>
  <c r="AE701" i="135" a="1"/>
  <c r="AE701" i="135" s="1"/>
  <c r="AD701" i="135" a="1"/>
  <c r="AD701" i="135" s="1"/>
  <c r="AC701" i="135" a="1"/>
  <c r="AC701" i="135" s="1"/>
  <c r="AB701" i="135" a="1"/>
  <c r="AB701" i="135" s="1"/>
  <c r="AA701" i="135" a="1"/>
  <c r="AA701" i="135" s="1"/>
  <c r="Z701" i="135" a="1"/>
  <c r="Z701" i="135" s="1"/>
  <c r="Y701" i="135" a="1"/>
  <c r="Y701" i="135" s="1"/>
  <c r="X701" i="135" a="1"/>
  <c r="X701" i="135" s="1"/>
  <c r="W701" i="135" a="1"/>
  <c r="W701" i="135" s="1"/>
  <c r="AM700" i="135" a="1"/>
  <c r="AM700" i="135" s="1"/>
  <c r="AL700" i="135" a="1"/>
  <c r="AL700" i="135" s="1"/>
  <c r="AK700" i="135" a="1"/>
  <c r="AK700" i="135" s="1"/>
  <c r="AJ700" i="135" a="1"/>
  <c r="AJ700" i="135" s="1"/>
  <c r="AI700" i="135" a="1"/>
  <c r="AI700" i="135" s="1"/>
  <c r="AH700" i="135" a="1"/>
  <c r="AH700" i="135" s="1"/>
  <c r="AG700" i="135" a="1"/>
  <c r="AG700" i="135" s="1"/>
  <c r="AF700" i="135" a="1"/>
  <c r="AF700" i="135" s="1"/>
  <c r="AE700" i="135" a="1"/>
  <c r="AE700" i="135" s="1"/>
  <c r="AD700" i="135" a="1"/>
  <c r="AD700" i="135" s="1"/>
  <c r="AC700" i="135" a="1"/>
  <c r="AC700" i="135" s="1"/>
  <c r="AB700" i="135" a="1"/>
  <c r="AB700" i="135" s="1"/>
  <c r="AA700" i="135" a="1"/>
  <c r="AA700" i="135" s="1"/>
  <c r="Z700" i="135" a="1"/>
  <c r="Z700" i="135" s="1"/>
  <c r="Y700" i="135" a="1"/>
  <c r="Y700" i="135" s="1"/>
  <c r="X700" i="135" a="1"/>
  <c r="X700" i="135" s="1"/>
  <c r="W700" i="135" a="1"/>
  <c r="W700" i="135" s="1"/>
  <c r="AM699" i="135" a="1"/>
  <c r="AM699" i="135" s="1"/>
  <c r="AL699" i="135" a="1"/>
  <c r="AL699" i="135" s="1"/>
  <c r="AK699" i="135" a="1"/>
  <c r="AK699" i="135" s="1"/>
  <c r="AJ699" i="135" a="1"/>
  <c r="AJ699" i="135" s="1"/>
  <c r="AI699" i="135" a="1"/>
  <c r="AI699" i="135" s="1"/>
  <c r="AH699" i="135" a="1"/>
  <c r="AH699" i="135" s="1"/>
  <c r="AG699" i="135" a="1"/>
  <c r="AG699" i="135" s="1"/>
  <c r="AF699" i="135" a="1"/>
  <c r="AF699" i="135" s="1"/>
  <c r="AE699" i="135" a="1"/>
  <c r="AE699" i="135" s="1"/>
  <c r="AD699" i="135" a="1"/>
  <c r="AD699" i="135" s="1"/>
  <c r="AC699" i="135" a="1"/>
  <c r="AC699" i="135" s="1"/>
  <c r="AB699" i="135" a="1"/>
  <c r="AB699" i="135" s="1"/>
  <c r="AA699" i="135" a="1"/>
  <c r="AA699" i="135" s="1"/>
  <c r="Z699" i="135" a="1"/>
  <c r="Z699" i="135" s="1"/>
  <c r="Y699" i="135" a="1"/>
  <c r="Y699" i="135" s="1"/>
  <c r="X699" i="135" a="1"/>
  <c r="X699" i="135" s="1"/>
  <c r="W699" i="135" a="1"/>
  <c r="W699" i="135" s="1"/>
  <c r="AM698" i="135" a="1"/>
  <c r="AM698" i="135" s="1"/>
  <c r="AL698" i="135" a="1"/>
  <c r="AL698" i="135" s="1"/>
  <c r="AK698" i="135" a="1"/>
  <c r="AK698" i="135" s="1"/>
  <c r="AJ698" i="135" a="1"/>
  <c r="AJ698" i="135" s="1"/>
  <c r="AI698" i="135" a="1"/>
  <c r="AI698" i="135" s="1"/>
  <c r="AH698" i="135" a="1"/>
  <c r="AH698" i="135" s="1"/>
  <c r="AG698" i="135" a="1"/>
  <c r="AG698" i="135" s="1"/>
  <c r="AF698" i="135" a="1"/>
  <c r="AF698" i="135" s="1"/>
  <c r="AE698" i="135" a="1"/>
  <c r="AE698" i="135" s="1"/>
  <c r="AD698" i="135" a="1"/>
  <c r="AD698" i="135" s="1"/>
  <c r="AC698" i="135" a="1"/>
  <c r="AC698" i="135" s="1"/>
  <c r="AB698" i="135" a="1"/>
  <c r="AB698" i="135" s="1"/>
  <c r="AA698" i="135" a="1"/>
  <c r="AA698" i="135" s="1"/>
  <c r="Z698" i="135" a="1"/>
  <c r="Z698" i="135" s="1"/>
  <c r="Y698" i="135" a="1"/>
  <c r="Y698" i="135" s="1"/>
  <c r="X698" i="135" a="1"/>
  <c r="X698" i="135" s="1"/>
  <c r="W698" i="135" a="1"/>
  <c r="W698" i="135" s="1"/>
  <c r="AM697" i="135" a="1"/>
  <c r="AM697" i="135" s="1"/>
  <c r="AL697" i="135" a="1"/>
  <c r="AL697" i="135" s="1"/>
  <c r="AK697" i="135" a="1"/>
  <c r="AK697" i="135" s="1"/>
  <c r="AJ697" i="135" a="1"/>
  <c r="AJ697" i="135" s="1"/>
  <c r="AI697" i="135" a="1"/>
  <c r="AI697" i="135" s="1"/>
  <c r="AH697" i="135" a="1"/>
  <c r="AH697" i="135" s="1"/>
  <c r="AG697" i="135" a="1"/>
  <c r="AG697" i="135" s="1"/>
  <c r="AF697" i="135" a="1"/>
  <c r="AF697" i="135" s="1"/>
  <c r="AE697" i="135" a="1"/>
  <c r="AE697" i="135" s="1"/>
  <c r="AD697" i="135" a="1"/>
  <c r="AD697" i="135" s="1"/>
  <c r="AC697" i="135" a="1"/>
  <c r="AC697" i="135" s="1"/>
  <c r="AB697" i="135" a="1"/>
  <c r="AB697" i="135" s="1"/>
  <c r="AA697" i="135" a="1"/>
  <c r="AA697" i="135" s="1"/>
  <c r="Z697" i="135" a="1"/>
  <c r="Z697" i="135" s="1"/>
  <c r="Y697" i="135" a="1"/>
  <c r="Y697" i="135" s="1"/>
  <c r="X697" i="135" a="1"/>
  <c r="X697" i="135" s="1"/>
  <c r="W697" i="135" a="1"/>
  <c r="W697" i="135" s="1"/>
  <c r="AM696" i="135" a="1"/>
  <c r="AM696" i="135" s="1"/>
  <c r="AL696" i="135" a="1"/>
  <c r="AL696" i="135" s="1"/>
  <c r="AK696" i="135" a="1"/>
  <c r="AK696" i="135" s="1"/>
  <c r="AJ696" i="135" a="1"/>
  <c r="AJ696" i="135" s="1"/>
  <c r="AI696" i="135" a="1"/>
  <c r="AI696" i="135" s="1"/>
  <c r="AH696" i="135" a="1"/>
  <c r="AH696" i="135" s="1"/>
  <c r="AG696" i="135" a="1"/>
  <c r="AG696" i="135" s="1"/>
  <c r="AF696" i="135" a="1"/>
  <c r="AF696" i="135" s="1"/>
  <c r="AE696" i="135" a="1"/>
  <c r="AE696" i="135" s="1"/>
  <c r="AD696" i="135" a="1"/>
  <c r="AD696" i="135" s="1"/>
  <c r="AC696" i="135" a="1"/>
  <c r="AC696" i="135" s="1"/>
  <c r="AB696" i="135" a="1"/>
  <c r="AB696" i="135" s="1"/>
  <c r="AA696" i="135" a="1"/>
  <c r="AA696" i="135" s="1"/>
  <c r="Z696" i="135" a="1"/>
  <c r="Z696" i="135" s="1"/>
  <c r="Y696" i="135" a="1"/>
  <c r="Y696" i="135" s="1"/>
  <c r="X696" i="135" a="1"/>
  <c r="X696" i="135" s="1"/>
  <c r="W696" i="135" a="1"/>
  <c r="W696" i="135" s="1"/>
  <c r="AM695" i="135" a="1"/>
  <c r="AM695" i="135" s="1"/>
  <c r="AL695" i="135" a="1"/>
  <c r="AL695" i="135" s="1"/>
  <c r="AK695" i="135" a="1"/>
  <c r="AK695" i="135" s="1"/>
  <c r="AJ695" i="135" a="1"/>
  <c r="AJ695" i="135" s="1"/>
  <c r="AI695" i="135" a="1"/>
  <c r="AI695" i="135" s="1"/>
  <c r="AH695" i="135" a="1"/>
  <c r="AH695" i="135" s="1"/>
  <c r="AG695" i="135" a="1"/>
  <c r="AG695" i="135" s="1"/>
  <c r="AF695" i="135" a="1"/>
  <c r="AF695" i="135" s="1"/>
  <c r="AE695" i="135" a="1"/>
  <c r="AE695" i="135" s="1"/>
  <c r="AD695" i="135" a="1"/>
  <c r="AD695" i="135" s="1"/>
  <c r="AC695" i="135" a="1"/>
  <c r="AC695" i="135" s="1"/>
  <c r="AB695" i="135" a="1"/>
  <c r="AB695" i="135" s="1"/>
  <c r="AA695" i="135" a="1"/>
  <c r="AA695" i="135" s="1"/>
  <c r="Z695" i="135" a="1"/>
  <c r="Z695" i="135" s="1"/>
  <c r="Y695" i="135" a="1"/>
  <c r="Y695" i="135" s="1"/>
  <c r="X695" i="135" a="1"/>
  <c r="X695" i="135" s="1"/>
  <c r="W695" i="135" a="1"/>
  <c r="W695" i="135" s="1"/>
  <c r="AM694" i="135" a="1"/>
  <c r="AM694" i="135" s="1"/>
  <c r="AL694" i="135" a="1"/>
  <c r="AL694" i="135" s="1"/>
  <c r="AK694" i="135" a="1"/>
  <c r="AK694" i="135" s="1"/>
  <c r="AJ694" i="135" a="1"/>
  <c r="AJ694" i="135" s="1"/>
  <c r="AI694" i="135" a="1"/>
  <c r="AI694" i="135" s="1"/>
  <c r="AH694" i="135" a="1"/>
  <c r="AH694" i="135" s="1"/>
  <c r="AG694" i="135" a="1"/>
  <c r="AG694" i="135" s="1"/>
  <c r="AF694" i="135" a="1"/>
  <c r="AF694" i="135" s="1"/>
  <c r="AE694" i="135" a="1"/>
  <c r="AE694" i="135" s="1"/>
  <c r="AD694" i="135" a="1"/>
  <c r="AD694" i="135" s="1"/>
  <c r="AC694" i="135" a="1"/>
  <c r="AC694" i="135" s="1"/>
  <c r="AB694" i="135" a="1"/>
  <c r="AB694" i="135" s="1"/>
  <c r="AA694" i="135" a="1"/>
  <c r="AA694" i="135" s="1"/>
  <c r="Z694" i="135" a="1"/>
  <c r="Z694" i="135" s="1"/>
  <c r="Y694" i="135" a="1"/>
  <c r="Y694" i="135" s="1"/>
  <c r="X694" i="135" a="1"/>
  <c r="X694" i="135" s="1"/>
  <c r="W694" i="135" a="1"/>
  <c r="W694" i="135" s="1"/>
  <c r="AM693" i="135" a="1"/>
  <c r="AM693" i="135" s="1"/>
  <c r="AL693" i="135" a="1"/>
  <c r="AL693" i="135" s="1"/>
  <c r="AK693" i="135" a="1"/>
  <c r="AK693" i="135" s="1"/>
  <c r="AJ693" i="135" a="1"/>
  <c r="AJ693" i="135" s="1"/>
  <c r="AI693" i="135" a="1"/>
  <c r="AI693" i="135" s="1"/>
  <c r="AH693" i="135" a="1"/>
  <c r="AH693" i="135" s="1"/>
  <c r="AG693" i="135" a="1"/>
  <c r="AG693" i="135" s="1"/>
  <c r="AF693" i="135" a="1"/>
  <c r="AF693" i="135" s="1"/>
  <c r="AE693" i="135" a="1"/>
  <c r="AE693" i="135" s="1"/>
  <c r="AD693" i="135" a="1"/>
  <c r="AD693" i="135" s="1"/>
  <c r="AC693" i="135" a="1"/>
  <c r="AC693" i="135" s="1"/>
  <c r="AB693" i="135" a="1"/>
  <c r="AB693" i="135" s="1"/>
  <c r="AA693" i="135" a="1"/>
  <c r="AA693" i="135" s="1"/>
  <c r="Z693" i="135" a="1"/>
  <c r="Z693" i="135" s="1"/>
  <c r="Y693" i="135" a="1"/>
  <c r="Y693" i="135" s="1"/>
  <c r="X693" i="135" a="1"/>
  <c r="X693" i="135" s="1"/>
  <c r="W693" i="135" a="1"/>
  <c r="W693" i="135" s="1"/>
  <c r="AM692" i="135" a="1"/>
  <c r="AM692" i="135" s="1"/>
  <c r="AL692" i="135" a="1"/>
  <c r="AL692" i="135" s="1"/>
  <c r="AK692" i="135" a="1"/>
  <c r="AK692" i="135" s="1"/>
  <c r="AJ692" i="135" a="1"/>
  <c r="AJ692" i="135" s="1"/>
  <c r="AI692" i="135" a="1"/>
  <c r="AI692" i="135" s="1"/>
  <c r="AH692" i="135" a="1"/>
  <c r="AH692" i="135" s="1"/>
  <c r="AG692" i="135" a="1"/>
  <c r="AG692" i="135" s="1"/>
  <c r="AF692" i="135" a="1"/>
  <c r="AF692" i="135" s="1"/>
  <c r="AE692" i="135" a="1"/>
  <c r="AE692" i="135" s="1"/>
  <c r="AD692" i="135" a="1"/>
  <c r="AD692" i="135" s="1"/>
  <c r="AC692" i="135" a="1"/>
  <c r="AC692" i="135" s="1"/>
  <c r="AB692" i="135" a="1"/>
  <c r="AB692" i="135" s="1"/>
  <c r="AA692" i="135" a="1"/>
  <c r="AA692" i="135" s="1"/>
  <c r="Z692" i="135" a="1"/>
  <c r="Z692" i="135" s="1"/>
  <c r="Y692" i="135" a="1"/>
  <c r="Y692" i="135" s="1"/>
  <c r="X692" i="135" a="1"/>
  <c r="X692" i="135" s="1"/>
  <c r="W692" i="135" a="1"/>
  <c r="W692" i="135" s="1"/>
  <c r="AM691" i="135" a="1"/>
  <c r="AM691" i="135" s="1"/>
  <c r="AL691" i="135" a="1"/>
  <c r="AL691" i="135" s="1"/>
  <c r="AK691" i="135" a="1"/>
  <c r="AK691" i="135" s="1"/>
  <c r="AJ691" i="135" a="1"/>
  <c r="AJ691" i="135" s="1"/>
  <c r="AI691" i="135" a="1"/>
  <c r="AI691" i="135" s="1"/>
  <c r="AH691" i="135" a="1"/>
  <c r="AH691" i="135" s="1"/>
  <c r="AG691" i="135" a="1"/>
  <c r="AG691" i="135" s="1"/>
  <c r="AF691" i="135" a="1"/>
  <c r="AF691" i="135" s="1"/>
  <c r="AE691" i="135" a="1"/>
  <c r="AE691" i="135" s="1"/>
  <c r="AD691" i="135" a="1"/>
  <c r="AD691" i="135" s="1"/>
  <c r="AC691" i="135" a="1"/>
  <c r="AC691" i="135" s="1"/>
  <c r="AB691" i="135" a="1"/>
  <c r="AB691" i="135" s="1"/>
  <c r="AA691" i="135" a="1"/>
  <c r="AA691" i="135" s="1"/>
  <c r="Z691" i="135" a="1"/>
  <c r="Z691" i="135" s="1"/>
  <c r="Y691" i="135" a="1"/>
  <c r="Y691" i="135" s="1"/>
  <c r="X691" i="135" a="1"/>
  <c r="X691" i="135" s="1"/>
  <c r="W691" i="135" a="1"/>
  <c r="W691" i="135" s="1"/>
  <c r="AM690" i="135" a="1"/>
  <c r="AM690" i="135" s="1"/>
  <c r="AL690" i="135" a="1"/>
  <c r="AL690" i="135" s="1"/>
  <c r="AK690" i="135" a="1"/>
  <c r="AK690" i="135" s="1"/>
  <c r="AJ690" i="135" a="1"/>
  <c r="AJ690" i="135" s="1"/>
  <c r="AI690" i="135" a="1"/>
  <c r="AI690" i="135" s="1"/>
  <c r="AH690" i="135" a="1"/>
  <c r="AH690" i="135" s="1"/>
  <c r="AG690" i="135" a="1"/>
  <c r="AG690" i="135" s="1"/>
  <c r="AF690" i="135" a="1"/>
  <c r="AF690" i="135" s="1"/>
  <c r="AE690" i="135" a="1"/>
  <c r="AE690" i="135" s="1"/>
  <c r="AD690" i="135" a="1"/>
  <c r="AD690" i="135" s="1"/>
  <c r="AC690" i="135" a="1"/>
  <c r="AC690" i="135" s="1"/>
  <c r="AB690" i="135" a="1"/>
  <c r="AB690" i="135" s="1"/>
  <c r="AA690" i="135" a="1"/>
  <c r="AA690" i="135" s="1"/>
  <c r="Z690" i="135" a="1"/>
  <c r="Z690" i="135" s="1"/>
  <c r="Y690" i="135" a="1"/>
  <c r="Y690" i="135" s="1"/>
  <c r="X690" i="135" a="1"/>
  <c r="X690" i="135" s="1"/>
  <c r="W690" i="135" a="1"/>
  <c r="W690" i="135" s="1"/>
  <c r="AM689" i="135" a="1"/>
  <c r="AM689" i="135" s="1"/>
  <c r="AL689" i="135" a="1"/>
  <c r="AL689" i="135" s="1"/>
  <c r="AK689" i="135" a="1"/>
  <c r="AK689" i="135" s="1"/>
  <c r="AJ689" i="135" a="1"/>
  <c r="AJ689" i="135" s="1"/>
  <c r="AI689" i="135" a="1"/>
  <c r="AI689" i="135" s="1"/>
  <c r="AH689" i="135" a="1"/>
  <c r="AH689" i="135" s="1"/>
  <c r="AG689" i="135" a="1"/>
  <c r="AG689" i="135" s="1"/>
  <c r="AF689" i="135" a="1"/>
  <c r="AF689" i="135" s="1"/>
  <c r="AE689" i="135" a="1"/>
  <c r="AE689" i="135" s="1"/>
  <c r="AD689" i="135" a="1"/>
  <c r="AD689" i="135" s="1"/>
  <c r="AC689" i="135" a="1"/>
  <c r="AC689" i="135" s="1"/>
  <c r="AB689" i="135" a="1"/>
  <c r="AB689" i="135" s="1"/>
  <c r="AA689" i="135" a="1"/>
  <c r="AA689" i="135" s="1"/>
  <c r="Z689" i="135" a="1"/>
  <c r="Z689" i="135" s="1"/>
  <c r="Y689" i="135" a="1"/>
  <c r="Y689" i="135" s="1"/>
  <c r="X689" i="135" a="1"/>
  <c r="X689" i="135" s="1"/>
  <c r="W689" i="135" a="1"/>
  <c r="W689" i="135" s="1"/>
  <c r="AM688" i="135" a="1"/>
  <c r="AM688" i="135" s="1"/>
  <c r="AL688" i="135" a="1"/>
  <c r="AL688" i="135" s="1"/>
  <c r="AK688" i="135" a="1"/>
  <c r="AK688" i="135" s="1"/>
  <c r="AJ688" i="135" a="1"/>
  <c r="AJ688" i="135" s="1"/>
  <c r="AI688" i="135" a="1"/>
  <c r="AI688" i="135" s="1"/>
  <c r="AH688" i="135" a="1"/>
  <c r="AH688" i="135" s="1"/>
  <c r="AG688" i="135" a="1"/>
  <c r="AG688" i="135" s="1"/>
  <c r="AF688" i="135" a="1"/>
  <c r="AF688" i="135" s="1"/>
  <c r="AE688" i="135" a="1"/>
  <c r="AE688" i="135" s="1"/>
  <c r="AD688" i="135" a="1"/>
  <c r="AD688" i="135" s="1"/>
  <c r="AC688" i="135" a="1"/>
  <c r="AC688" i="135" s="1"/>
  <c r="AB688" i="135" a="1"/>
  <c r="AB688" i="135" s="1"/>
  <c r="AA688" i="135" a="1"/>
  <c r="AA688" i="135" s="1"/>
  <c r="Z688" i="135" a="1"/>
  <c r="Z688" i="135" s="1"/>
  <c r="Y688" i="135" a="1"/>
  <c r="Y688" i="135" s="1"/>
  <c r="X688" i="135" a="1"/>
  <c r="X688" i="135" s="1"/>
  <c r="W688" i="135" a="1"/>
  <c r="W688" i="135" s="1"/>
  <c r="AM687" i="135" a="1"/>
  <c r="AM687" i="135" s="1"/>
  <c r="AL687" i="135" a="1"/>
  <c r="AL687" i="135" s="1"/>
  <c r="AK687" i="135" a="1"/>
  <c r="AK687" i="135" s="1"/>
  <c r="AJ687" i="135" a="1"/>
  <c r="AJ687" i="135" s="1"/>
  <c r="AI687" i="135" a="1"/>
  <c r="AI687" i="135" s="1"/>
  <c r="AH687" i="135" a="1"/>
  <c r="AH687" i="135" s="1"/>
  <c r="AG687" i="135" a="1"/>
  <c r="AG687" i="135" s="1"/>
  <c r="AF687" i="135" a="1"/>
  <c r="AF687" i="135" s="1"/>
  <c r="AE687" i="135" a="1"/>
  <c r="AE687" i="135" s="1"/>
  <c r="AD687" i="135" a="1"/>
  <c r="AD687" i="135" s="1"/>
  <c r="AC687" i="135" a="1"/>
  <c r="AC687" i="135" s="1"/>
  <c r="AB687" i="135" a="1"/>
  <c r="AB687" i="135" s="1"/>
  <c r="AA687" i="135" a="1"/>
  <c r="AA687" i="135" s="1"/>
  <c r="Z687" i="135" a="1"/>
  <c r="Z687" i="135" s="1"/>
  <c r="Y687" i="135" a="1"/>
  <c r="Y687" i="135" s="1"/>
  <c r="X687" i="135" a="1"/>
  <c r="X687" i="135" s="1"/>
  <c r="W687" i="135" a="1"/>
  <c r="W687" i="135" s="1"/>
  <c r="AM686" i="135" a="1"/>
  <c r="AM686" i="135" s="1"/>
  <c r="AL686" i="135" a="1"/>
  <c r="AL686" i="135" s="1"/>
  <c r="AK686" i="135" a="1"/>
  <c r="AK686" i="135" s="1"/>
  <c r="AJ686" i="135" a="1"/>
  <c r="AJ686" i="135" s="1"/>
  <c r="AI686" i="135" a="1"/>
  <c r="AI686" i="135" s="1"/>
  <c r="AH686" i="135" a="1"/>
  <c r="AH686" i="135" s="1"/>
  <c r="AG686" i="135" a="1"/>
  <c r="AG686" i="135" s="1"/>
  <c r="AF686" i="135" a="1"/>
  <c r="AF686" i="135" s="1"/>
  <c r="AE686" i="135" a="1"/>
  <c r="AE686" i="135" s="1"/>
  <c r="AD686" i="135" a="1"/>
  <c r="AD686" i="135" s="1"/>
  <c r="AC686" i="135" a="1"/>
  <c r="AC686" i="135" s="1"/>
  <c r="AB686" i="135" a="1"/>
  <c r="AB686" i="135" s="1"/>
  <c r="AA686" i="135" a="1"/>
  <c r="AA686" i="135" s="1"/>
  <c r="Z686" i="135" a="1"/>
  <c r="Z686" i="135" s="1"/>
  <c r="Y686" i="135" a="1"/>
  <c r="Y686" i="135" s="1"/>
  <c r="X686" i="135" a="1"/>
  <c r="X686" i="135" s="1"/>
  <c r="W686" i="135" a="1"/>
  <c r="W686" i="135" s="1"/>
  <c r="AM685" i="135" a="1"/>
  <c r="AM685" i="135" s="1"/>
  <c r="AL685" i="135" a="1"/>
  <c r="AL685" i="135" s="1"/>
  <c r="AK685" i="135" a="1"/>
  <c r="AK685" i="135" s="1"/>
  <c r="AJ685" i="135" a="1"/>
  <c r="AJ685" i="135" s="1"/>
  <c r="AI685" i="135" a="1"/>
  <c r="AI685" i="135" s="1"/>
  <c r="AH685" i="135" a="1"/>
  <c r="AH685" i="135" s="1"/>
  <c r="AG685" i="135" a="1"/>
  <c r="AG685" i="135" s="1"/>
  <c r="AF685" i="135" a="1"/>
  <c r="AF685" i="135" s="1"/>
  <c r="AE685" i="135" a="1"/>
  <c r="AE685" i="135" s="1"/>
  <c r="AD685" i="135" a="1"/>
  <c r="AD685" i="135" s="1"/>
  <c r="AC685" i="135" a="1"/>
  <c r="AC685" i="135" s="1"/>
  <c r="AB685" i="135" a="1"/>
  <c r="AB685" i="135" s="1"/>
  <c r="AA685" i="135" a="1"/>
  <c r="AA685" i="135" s="1"/>
  <c r="Z685" i="135" a="1"/>
  <c r="Z685" i="135" s="1"/>
  <c r="Y685" i="135" a="1"/>
  <c r="Y685" i="135" s="1"/>
  <c r="X685" i="135" a="1"/>
  <c r="X685" i="135" s="1"/>
  <c r="W685" i="135" a="1"/>
  <c r="W685" i="135" s="1"/>
  <c r="AM684" i="135" a="1"/>
  <c r="AM684" i="135" s="1"/>
  <c r="AL684" i="135" a="1"/>
  <c r="AL684" i="135" s="1"/>
  <c r="AK684" i="135" a="1"/>
  <c r="AK684" i="135" s="1"/>
  <c r="AJ684" i="135" a="1"/>
  <c r="AJ684" i="135" s="1"/>
  <c r="AI684" i="135" a="1"/>
  <c r="AI684" i="135" s="1"/>
  <c r="AH684" i="135" a="1"/>
  <c r="AH684" i="135" s="1"/>
  <c r="AG684" i="135" a="1"/>
  <c r="AG684" i="135" s="1"/>
  <c r="AF684" i="135" a="1"/>
  <c r="AF684" i="135" s="1"/>
  <c r="AE684" i="135" a="1"/>
  <c r="AE684" i="135" s="1"/>
  <c r="AD684" i="135" a="1"/>
  <c r="AD684" i="135" s="1"/>
  <c r="AC684" i="135" a="1"/>
  <c r="AC684" i="135" s="1"/>
  <c r="AB684" i="135" a="1"/>
  <c r="AB684" i="135" s="1"/>
  <c r="AA684" i="135" a="1"/>
  <c r="AA684" i="135" s="1"/>
  <c r="Z684" i="135" a="1"/>
  <c r="Z684" i="135" s="1"/>
  <c r="Y684" i="135" a="1"/>
  <c r="Y684" i="135" s="1"/>
  <c r="X684" i="135" a="1"/>
  <c r="X684" i="135" s="1"/>
  <c r="W684" i="135" a="1"/>
  <c r="W684" i="135" s="1"/>
  <c r="AM683" i="135" a="1"/>
  <c r="AM683" i="135" s="1"/>
  <c r="AL683" i="135" a="1"/>
  <c r="AL683" i="135" s="1"/>
  <c r="AK683" i="135" a="1"/>
  <c r="AK683" i="135" s="1"/>
  <c r="AJ683" i="135" a="1"/>
  <c r="AJ683" i="135" s="1"/>
  <c r="AI683" i="135" a="1"/>
  <c r="AI683" i="135" s="1"/>
  <c r="AH683" i="135" a="1"/>
  <c r="AH683" i="135" s="1"/>
  <c r="AG683" i="135" a="1"/>
  <c r="AG683" i="135" s="1"/>
  <c r="AF683" i="135" a="1"/>
  <c r="AF683" i="135" s="1"/>
  <c r="AE683" i="135" a="1"/>
  <c r="AE683" i="135" s="1"/>
  <c r="AD683" i="135" a="1"/>
  <c r="AD683" i="135" s="1"/>
  <c r="AC683" i="135" a="1"/>
  <c r="AC683" i="135" s="1"/>
  <c r="AB683" i="135" a="1"/>
  <c r="AB683" i="135" s="1"/>
  <c r="AA683" i="135" a="1"/>
  <c r="AA683" i="135" s="1"/>
  <c r="Z683" i="135" a="1"/>
  <c r="Z683" i="135" s="1"/>
  <c r="Y683" i="135" a="1"/>
  <c r="Y683" i="135" s="1"/>
  <c r="X683" i="135" a="1"/>
  <c r="X683" i="135" s="1"/>
  <c r="W683" i="135" a="1"/>
  <c r="W683" i="135" s="1"/>
  <c r="AM682" i="135" a="1"/>
  <c r="AM682" i="135" s="1"/>
  <c r="AL682" i="135" a="1"/>
  <c r="AL682" i="135" s="1"/>
  <c r="AK682" i="135" a="1"/>
  <c r="AK682" i="135" s="1"/>
  <c r="AJ682" i="135" a="1"/>
  <c r="AJ682" i="135" s="1"/>
  <c r="AI682" i="135" a="1"/>
  <c r="AI682" i="135" s="1"/>
  <c r="AH682" i="135" a="1"/>
  <c r="AH682" i="135" s="1"/>
  <c r="AG682" i="135" a="1"/>
  <c r="AG682" i="135" s="1"/>
  <c r="AF682" i="135" a="1"/>
  <c r="AF682" i="135" s="1"/>
  <c r="AE682" i="135" a="1"/>
  <c r="AE682" i="135" s="1"/>
  <c r="AD682" i="135" a="1"/>
  <c r="AD682" i="135" s="1"/>
  <c r="AC682" i="135" a="1"/>
  <c r="AC682" i="135" s="1"/>
  <c r="AB682" i="135" a="1"/>
  <c r="AB682" i="135" s="1"/>
  <c r="AA682" i="135" a="1"/>
  <c r="AA682" i="135" s="1"/>
  <c r="Z682" i="135" a="1"/>
  <c r="Z682" i="135" s="1"/>
  <c r="Y682" i="135" a="1"/>
  <c r="Y682" i="135" s="1"/>
  <c r="X682" i="135" a="1"/>
  <c r="X682" i="135" s="1"/>
  <c r="W682" i="135" a="1"/>
  <c r="W682" i="135" s="1"/>
  <c r="AM681" i="135" a="1"/>
  <c r="AM681" i="135" s="1"/>
  <c r="AL681" i="135" a="1"/>
  <c r="AL681" i="135" s="1"/>
  <c r="AK681" i="135" a="1"/>
  <c r="AK681" i="135" s="1"/>
  <c r="AJ681" i="135" a="1"/>
  <c r="AJ681" i="135" s="1"/>
  <c r="AI681" i="135" a="1"/>
  <c r="AI681" i="135" s="1"/>
  <c r="AH681" i="135" a="1"/>
  <c r="AH681" i="135" s="1"/>
  <c r="AG681" i="135" a="1"/>
  <c r="AG681" i="135" s="1"/>
  <c r="AF681" i="135" a="1"/>
  <c r="AF681" i="135" s="1"/>
  <c r="AE681" i="135" a="1"/>
  <c r="AE681" i="135" s="1"/>
  <c r="AD681" i="135" a="1"/>
  <c r="AD681" i="135" s="1"/>
  <c r="AC681" i="135" a="1"/>
  <c r="AC681" i="135" s="1"/>
  <c r="AB681" i="135" a="1"/>
  <c r="AB681" i="135" s="1"/>
  <c r="AA681" i="135" a="1"/>
  <c r="AA681" i="135" s="1"/>
  <c r="Z681" i="135" a="1"/>
  <c r="Z681" i="135" s="1"/>
  <c r="Y681" i="135" a="1"/>
  <c r="Y681" i="135" s="1"/>
  <c r="X681" i="135" a="1"/>
  <c r="X681" i="135" s="1"/>
  <c r="W681" i="135" a="1"/>
  <c r="W681" i="135" s="1"/>
  <c r="AM680" i="135" a="1"/>
  <c r="AM680" i="135" s="1"/>
  <c r="AL680" i="135" a="1"/>
  <c r="AL680" i="135" s="1"/>
  <c r="AK680" i="135" a="1"/>
  <c r="AK680" i="135" s="1"/>
  <c r="AJ680" i="135" a="1"/>
  <c r="AJ680" i="135" s="1"/>
  <c r="AI680" i="135" a="1"/>
  <c r="AI680" i="135" s="1"/>
  <c r="AH680" i="135" a="1"/>
  <c r="AH680" i="135" s="1"/>
  <c r="AG680" i="135" a="1"/>
  <c r="AG680" i="135" s="1"/>
  <c r="AF680" i="135" a="1"/>
  <c r="AF680" i="135" s="1"/>
  <c r="AE680" i="135" a="1"/>
  <c r="AE680" i="135" s="1"/>
  <c r="AD680" i="135" a="1"/>
  <c r="AD680" i="135" s="1"/>
  <c r="AC680" i="135" a="1"/>
  <c r="AC680" i="135" s="1"/>
  <c r="AB680" i="135" a="1"/>
  <c r="AB680" i="135" s="1"/>
  <c r="AA680" i="135" a="1"/>
  <c r="AA680" i="135" s="1"/>
  <c r="Z680" i="135" a="1"/>
  <c r="Z680" i="135" s="1"/>
  <c r="Y680" i="135" a="1"/>
  <c r="Y680" i="135" s="1"/>
  <c r="X680" i="135" a="1"/>
  <c r="X680" i="135" s="1"/>
  <c r="W680" i="135" a="1"/>
  <c r="W680" i="135" s="1"/>
  <c r="AM679" i="135" a="1"/>
  <c r="AM679" i="135" s="1"/>
  <c r="AL679" i="135" a="1"/>
  <c r="AL679" i="135" s="1"/>
  <c r="AK679" i="135" a="1"/>
  <c r="AK679" i="135" s="1"/>
  <c r="AJ679" i="135" a="1"/>
  <c r="AJ679" i="135" s="1"/>
  <c r="AI679" i="135" a="1"/>
  <c r="AI679" i="135" s="1"/>
  <c r="AH679" i="135" a="1"/>
  <c r="AH679" i="135" s="1"/>
  <c r="AG679" i="135" a="1"/>
  <c r="AG679" i="135" s="1"/>
  <c r="AF679" i="135" a="1"/>
  <c r="AF679" i="135" s="1"/>
  <c r="AE679" i="135" a="1"/>
  <c r="AE679" i="135" s="1"/>
  <c r="AD679" i="135" a="1"/>
  <c r="AD679" i="135" s="1"/>
  <c r="AC679" i="135" a="1"/>
  <c r="AC679" i="135" s="1"/>
  <c r="AB679" i="135" a="1"/>
  <c r="AB679" i="135" s="1"/>
  <c r="AA679" i="135" a="1"/>
  <c r="AA679" i="135" s="1"/>
  <c r="Z679" i="135" a="1"/>
  <c r="Z679" i="135" s="1"/>
  <c r="Y679" i="135" a="1"/>
  <c r="Y679" i="135" s="1"/>
  <c r="X679" i="135" a="1"/>
  <c r="X679" i="135" s="1"/>
  <c r="W679" i="135" a="1"/>
  <c r="W679" i="135" s="1"/>
  <c r="AM678" i="135" a="1"/>
  <c r="AM678" i="135" s="1"/>
  <c r="AL678" i="135" a="1"/>
  <c r="AL678" i="135" s="1"/>
  <c r="AK678" i="135" a="1"/>
  <c r="AK678" i="135" s="1"/>
  <c r="AJ678" i="135" a="1"/>
  <c r="AJ678" i="135" s="1"/>
  <c r="AI678" i="135" a="1"/>
  <c r="AI678" i="135" s="1"/>
  <c r="AH678" i="135" a="1"/>
  <c r="AH678" i="135" s="1"/>
  <c r="AG678" i="135" a="1"/>
  <c r="AG678" i="135" s="1"/>
  <c r="AF678" i="135" a="1"/>
  <c r="AF678" i="135" s="1"/>
  <c r="AE678" i="135" a="1"/>
  <c r="AE678" i="135" s="1"/>
  <c r="AD678" i="135" a="1"/>
  <c r="AD678" i="135" s="1"/>
  <c r="AC678" i="135" a="1"/>
  <c r="AC678" i="135" s="1"/>
  <c r="AB678" i="135" a="1"/>
  <c r="AB678" i="135" s="1"/>
  <c r="AA678" i="135" a="1"/>
  <c r="AA678" i="135" s="1"/>
  <c r="Z678" i="135" a="1"/>
  <c r="Z678" i="135" s="1"/>
  <c r="Y678" i="135" a="1"/>
  <c r="Y678" i="135" s="1"/>
  <c r="X678" i="135" a="1"/>
  <c r="X678" i="135" s="1"/>
  <c r="W678" i="135" a="1"/>
  <c r="W678" i="135" s="1"/>
  <c r="AM677" i="135" a="1"/>
  <c r="AM677" i="135" s="1"/>
  <c r="AL677" i="135" a="1"/>
  <c r="AL677" i="135" s="1"/>
  <c r="AK677" i="135" a="1"/>
  <c r="AK677" i="135" s="1"/>
  <c r="AJ677" i="135" a="1"/>
  <c r="AJ677" i="135" s="1"/>
  <c r="AI677" i="135" a="1"/>
  <c r="AI677" i="135" s="1"/>
  <c r="AH677" i="135" a="1"/>
  <c r="AH677" i="135" s="1"/>
  <c r="AG677" i="135" a="1"/>
  <c r="AG677" i="135" s="1"/>
  <c r="AF677" i="135" a="1"/>
  <c r="AF677" i="135" s="1"/>
  <c r="AE677" i="135" a="1"/>
  <c r="AE677" i="135" s="1"/>
  <c r="AD677" i="135" a="1"/>
  <c r="AD677" i="135" s="1"/>
  <c r="AC677" i="135" a="1"/>
  <c r="AC677" i="135" s="1"/>
  <c r="AB677" i="135" a="1"/>
  <c r="AB677" i="135" s="1"/>
  <c r="AA677" i="135" a="1"/>
  <c r="AA677" i="135" s="1"/>
  <c r="Z677" i="135" a="1"/>
  <c r="Z677" i="135" s="1"/>
  <c r="Y677" i="135" a="1"/>
  <c r="Y677" i="135" s="1"/>
  <c r="X677" i="135" a="1"/>
  <c r="X677" i="135" s="1"/>
  <c r="W677" i="135" a="1"/>
  <c r="W677" i="135" s="1"/>
  <c r="AM676" i="135" a="1"/>
  <c r="AM676" i="135" s="1"/>
  <c r="AL676" i="135" a="1"/>
  <c r="AL676" i="135" s="1"/>
  <c r="AK676" i="135" a="1"/>
  <c r="AK676" i="135" s="1"/>
  <c r="AJ676" i="135" a="1"/>
  <c r="AJ676" i="135" s="1"/>
  <c r="AI676" i="135" a="1"/>
  <c r="AI676" i="135" s="1"/>
  <c r="AH676" i="135" a="1"/>
  <c r="AH676" i="135" s="1"/>
  <c r="AG676" i="135" a="1"/>
  <c r="AG676" i="135" s="1"/>
  <c r="AF676" i="135" a="1"/>
  <c r="AF676" i="135" s="1"/>
  <c r="AE676" i="135" a="1"/>
  <c r="AE676" i="135" s="1"/>
  <c r="AD676" i="135" a="1"/>
  <c r="AD676" i="135" s="1"/>
  <c r="AC676" i="135" a="1"/>
  <c r="AC676" i="135" s="1"/>
  <c r="AB676" i="135" a="1"/>
  <c r="AB676" i="135" s="1"/>
  <c r="AA676" i="135" a="1"/>
  <c r="AA676" i="135" s="1"/>
  <c r="Z676" i="135" a="1"/>
  <c r="Z676" i="135" s="1"/>
  <c r="Y676" i="135" a="1"/>
  <c r="Y676" i="135" s="1"/>
  <c r="X676" i="135" a="1"/>
  <c r="X676" i="135" s="1"/>
  <c r="W676" i="135" a="1"/>
  <c r="W676" i="135" s="1"/>
  <c r="AM675" i="135" a="1"/>
  <c r="AM675" i="135" s="1"/>
  <c r="AL675" i="135" a="1"/>
  <c r="AL675" i="135" s="1"/>
  <c r="AK675" i="135" a="1"/>
  <c r="AK675" i="135" s="1"/>
  <c r="AJ675" i="135" a="1"/>
  <c r="AJ675" i="135" s="1"/>
  <c r="AI675" i="135" a="1"/>
  <c r="AI675" i="135" s="1"/>
  <c r="AH675" i="135" a="1"/>
  <c r="AH675" i="135" s="1"/>
  <c r="AG675" i="135" a="1"/>
  <c r="AG675" i="135" s="1"/>
  <c r="AF675" i="135" a="1"/>
  <c r="AF675" i="135" s="1"/>
  <c r="AE675" i="135" a="1"/>
  <c r="AE675" i="135" s="1"/>
  <c r="AD675" i="135" a="1"/>
  <c r="AD675" i="135" s="1"/>
  <c r="AC675" i="135" a="1"/>
  <c r="AC675" i="135" s="1"/>
  <c r="AB675" i="135" a="1"/>
  <c r="AB675" i="135" s="1"/>
  <c r="AA675" i="135" a="1"/>
  <c r="AA675" i="135" s="1"/>
  <c r="Z675" i="135" a="1"/>
  <c r="Z675" i="135" s="1"/>
  <c r="Y675" i="135" a="1"/>
  <c r="Y675" i="135" s="1"/>
  <c r="X675" i="135" a="1"/>
  <c r="X675" i="135" s="1"/>
  <c r="W675" i="135" a="1"/>
  <c r="W675" i="135" s="1"/>
  <c r="AM674" i="135" a="1"/>
  <c r="AM674" i="135" s="1"/>
  <c r="AL674" i="135" a="1"/>
  <c r="AL674" i="135" s="1"/>
  <c r="AK674" i="135" a="1"/>
  <c r="AK674" i="135" s="1"/>
  <c r="AJ674" i="135" a="1"/>
  <c r="AJ674" i="135" s="1"/>
  <c r="AI674" i="135" a="1"/>
  <c r="AI674" i="135" s="1"/>
  <c r="AH674" i="135" a="1"/>
  <c r="AH674" i="135" s="1"/>
  <c r="AG674" i="135" a="1"/>
  <c r="AG674" i="135" s="1"/>
  <c r="AF674" i="135" a="1"/>
  <c r="AF674" i="135" s="1"/>
  <c r="AE674" i="135" a="1"/>
  <c r="AE674" i="135" s="1"/>
  <c r="AD674" i="135" a="1"/>
  <c r="AD674" i="135" s="1"/>
  <c r="AC674" i="135" a="1"/>
  <c r="AC674" i="135" s="1"/>
  <c r="AB674" i="135" a="1"/>
  <c r="AB674" i="135" s="1"/>
  <c r="AA674" i="135" a="1"/>
  <c r="AA674" i="135" s="1"/>
  <c r="Z674" i="135" a="1"/>
  <c r="Z674" i="135" s="1"/>
  <c r="Y674" i="135" a="1"/>
  <c r="Y674" i="135" s="1"/>
  <c r="X674" i="135" a="1"/>
  <c r="X674" i="135" s="1"/>
  <c r="W674" i="135" a="1"/>
  <c r="W674" i="135" s="1"/>
  <c r="AM673" i="135" a="1"/>
  <c r="AM673" i="135" s="1"/>
  <c r="AL673" i="135" a="1"/>
  <c r="AL673" i="135" s="1"/>
  <c r="AK673" i="135" a="1"/>
  <c r="AK673" i="135" s="1"/>
  <c r="AJ673" i="135" a="1"/>
  <c r="AJ673" i="135" s="1"/>
  <c r="AI673" i="135" a="1"/>
  <c r="AI673" i="135" s="1"/>
  <c r="AH673" i="135" a="1"/>
  <c r="AH673" i="135" s="1"/>
  <c r="AG673" i="135" a="1"/>
  <c r="AG673" i="135" s="1"/>
  <c r="AF673" i="135" a="1"/>
  <c r="AF673" i="135" s="1"/>
  <c r="AE673" i="135" a="1"/>
  <c r="AE673" i="135" s="1"/>
  <c r="AD673" i="135" a="1"/>
  <c r="AD673" i="135" s="1"/>
  <c r="AC673" i="135" a="1"/>
  <c r="AC673" i="135" s="1"/>
  <c r="AB673" i="135" a="1"/>
  <c r="AB673" i="135" s="1"/>
  <c r="AA673" i="135" a="1"/>
  <c r="AA673" i="135" s="1"/>
  <c r="Z673" i="135" a="1"/>
  <c r="Z673" i="135" s="1"/>
  <c r="Y673" i="135" a="1"/>
  <c r="Y673" i="135" s="1"/>
  <c r="X673" i="135" a="1"/>
  <c r="X673" i="135" s="1"/>
  <c r="W673" i="135" a="1"/>
  <c r="W673" i="135" s="1"/>
  <c r="AM672" i="135" a="1"/>
  <c r="AM672" i="135" s="1"/>
  <c r="AL672" i="135" a="1"/>
  <c r="AL672" i="135" s="1"/>
  <c r="AK672" i="135" a="1"/>
  <c r="AK672" i="135" s="1"/>
  <c r="AJ672" i="135" a="1"/>
  <c r="AJ672" i="135" s="1"/>
  <c r="AI672" i="135" a="1"/>
  <c r="AI672" i="135" s="1"/>
  <c r="AH672" i="135" a="1"/>
  <c r="AH672" i="135" s="1"/>
  <c r="AG672" i="135" a="1"/>
  <c r="AG672" i="135" s="1"/>
  <c r="AF672" i="135" a="1"/>
  <c r="AF672" i="135" s="1"/>
  <c r="AE672" i="135" a="1"/>
  <c r="AE672" i="135" s="1"/>
  <c r="AD672" i="135" a="1"/>
  <c r="AD672" i="135" s="1"/>
  <c r="AC672" i="135" a="1"/>
  <c r="AC672" i="135" s="1"/>
  <c r="AB672" i="135" a="1"/>
  <c r="AB672" i="135" s="1"/>
  <c r="AA672" i="135" a="1"/>
  <c r="AA672" i="135" s="1"/>
  <c r="Z672" i="135" a="1"/>
  <c r="Z672" i="135" s="1"/>
  <c r="Y672" i="135" a="1"/>
  <c r="Y672" i="135" s="1"/>
  <c r="X672" i="135" a="1"/>
  <c r="X672" i="135" s="1"/>
  <c r="W672" i="135" a="1"/>
  <c r="W672" i="135" s="1"/>
  <c r="AM671" i="135" a="1"/>
  <c r="AM671" i="135" s="1"/>
  <c r="AL671" i="135" a="1"/>
  <c r="AL671" i="135" s="1"/>
  <c r="AK671" i="135" a="1"/>
  <c r="AK671" i="135" s="1"/>
  <c r="AJ671" i="135" a="1"/>
  <c r="AJ671" i="135" s="1"/>
  <c r="AI671" i="135" a="1"/>
  <c r="AI671" i="135" s="1"/>
  <c r="AH671" i="135" a="1"/>
  <c r="AH671" i="135" s="1"/>
  <c r="AG671" i="135" a="1"/>
  <c r="AG671" i="135" s="1"/>
  <c r="AF671" i="135" a="1"/>
  <c r="AF671" i="135" s="1"/>
  <c r="AE671" i="135" a="1"/>
  <c r="AE671" i="135" s="1"/>
  <c r="AD671" i="135" a="1"/>
  <c r="AD671" i="135" s="1"/>
  <c r="AC671" i="135" a="1"/>
  <c r="AC671" i="135" s="1"/>
  <c r="AB671" i="135" a="1"/>
  <c r="AB671" i="135" s="1"/>
  <c r="AA671" i="135" a="1"/>
  <c r="AA671" i="135" s="1"/>
  <c r="Z671" i="135" a="1"/>
  <c r="Z671" i="135" s="1"/>
  <c r="Y671" i="135" a="1"/>
  <c r="Y671" i="135" s="1"/>
  <c r="X671" i="135" a="1"/>
  <c r="X671" i="135" s="1"/>
  <c r="W671" i="135" a="1"/>
  <c r="W671" i="135" s="1"/>
  <c r="AM670" i="135" a="1"/>
  <c r="AM670" i="135" s="1"/>
  <c r="AL670" i="135" a="1"/>
  <c r="AL670" i="135" s="1"/>
  <c r="AK670" i="135" a="1"/>
  <c r="AK670" i="135" s="1"/>
  <c r="AJ670" i="135" a="1"/>
  <c r="AJ670" i="135" s="1"/>
  <c r="AI670" i="135" a="1"/>
  <c r="AI670" i="135" s="1"/>
  <c r="AH670" i="135" a="1"/>
  <c r="AH670" i="135" s="1"/>
  <c r="AG670" i="135" a="1"/>
  <c r="AG670" i="135" s="1"/>
  <c r="AF670" i="135" a="1"/>
  <c r="AF670" i="135" s="1"/>
  <c r="AE670" i="135" a="1"/>
  <c r="AE670" i="135" s="1"/>
  <c r="AD670" i="135" a="1"/>
  <c r="AD670" i="135" s="1"/>
  <c r="AC670" i="135" a="1"/>
  <c r="AC670" i="135" s="1"/>
  <c r="AB670" i="135" a="1"/>
  <c r="AB670" i="135" s="1"/>
  <c r="AA670" i="135" a="1"/>
  <c r="AA670" i="135" s="1"/>
  <c r="Z670" i="135" a="1"/>
  <c r="Z670" i="135" s="1"/>
  <c r="Y670" i="135" a="1"/>
  <c r="Y670" i="135" s="1"/>
  <c r="X670" i="135" a="1"/>
  <c r="X670" i="135" s="1"/>
  <c r="W670" i="135" a="1"/>
  <c r="W670" i="135" s="1"/>
  <c r="AM669" i="135" a="1"/>
  <c r="AM669" i="135" s="1"/>
  <c r="AL669" i="135" a="1"/>
  <c r="AL669" i="135" s="1"/>
  <c r="AK669" i="135" a="1"/>
  <c r="AK669" i="135" s="1"/>
  <c r="AJ669" i="135" a="1"/>
  <c r="AJ669" i="135" s="1"/>
  <c r="AI669" i="135" a="1"/>
  <c r="AI669" i="135" s="1"/>
  <c r="AH669" i="135" a="1"/>
  <c r="AH669" i="135" s="1"/>
  <c r="AG669" i="135" a="1"/>
  <c r="AG669" i="135" s="1"/>
  <c r="AF669" i="135" a="1"/>
  <c r="AF669" i="135" s="1"/>
  <c r="AE669" i="135" a="1"/>
  <c r="AE669" i="135" s="1"/>
  <c r="AD669" i="135" a="1"/>
  <c r="AD669" i="135" s="1"/>
  <c r="AC669" i="135" a="1"/>
  <c r="AC669" i="135" s="1"/>
  <c r="AB669" i="135" a="1"/>
  <c r="AB669" i="135" s="1"/>
  <c r="AA669" i="135" a="1"/>
  <c r="AA669" i="135" s="1"/>
  <c r="Z669" i="135" a="1"/>
  <c r="Z669" i="135" s="1"/>
  <c r="Y669" i="135" a="1"/>
  <c r="Y669" i="135" s="1"/>
  <c r="X669" i="135" a="1"/>
  <c r="X669" i="135" s="1"/>
  <c r="W669" i="135" a="1"/>
  <c r="W669" i="135" s="1"/>
  <c r="AM668" i="135" a="1"/>
  <c r="AM668" i="135" s="1"/>
  <c r="AL668" i="135" a="1"/>
  <c r="AL668" i="135" s="1"/>
  <c r="AK668" i="135" a="1"/>
  <c r="AK668" i="135" s="1"/>
  <c r="AJ668" i="135" a="1"/>
  <c r="AJ668" i="135" s="1"/>
  <c r="AI668" i="135" a="1"/>
  <c r="AI668" i="135" s="1"/>
  <c r="AH668" i="135" a="1"/>
  <c r="AH668" i="135" s="1"/>
  <c r="AG668" i="135" a="1"/>
  <c r="AG668" i="135" s="1"/>
  <c r="AF668" i="135" a="1"/>
  <c r="AF668" i="135" s="1"/>
  <c r="AE668" i="135" a="1"/>
  <c r="AE668" i="135" s="1"/>
  <c r="AD668" i="135" a="1"/>
  <c r="AD668" i="135" s="1"/>
  <c r="AC668" i="135" a="1"/>
  <c r="AC668" i="135" s="1"/>
  <c r="AB668" i="135" a="1"/>
  <c r="AB668" i="135" s="1"/>
  <c r="AA668" i="135" a="1"/>
  <c r="AA668" i="135" s="1"/>
  <c r="Z668" i="135" a="1"/>
  <c r="Z668" i="135" s="1"/>
  <c r="Y668" i="135" a="1"/>
  <c r="Y668" i="135" s="1"/>
  <c r="X668" i="135" a="1"/>
  <c r="X668" i="135" s="1"/>
  <c r="W668" i="135" a="1"/>
  <c r="W668" i="135" s="1"/>
  <c r="AM667" i="135" a="1"/>
  <c r="AM667" i="135" s="1"/>
  <c r="AL667" i="135" a="1"/>
  <c r="AL667" i="135" s="1"/>
  <c r="AK667" i="135" a="1"/>
  <c r="AK667" i="135" s="1"/>
  <c r="AJ667" i="135" a="1"/>
  <c r="AJ667" i="135" s="1"/>
  <c r="AI667" i="135" a="1"/>
  <c r="AI667" i="135" s="1"/>
  <c r="AH667" i="135" a="1"/>
  <c r="AH667" i="135" s="1"/>
  <c r="AG667" i="135" a="1"/>
  <c r="AG667" i="135" s="1"/>
  <c r="AF667" i="135" a="1"/>
  <c r="AF667" i="135" s="1"/>
  <c r="AE667" i="135" a="1"/>
  <c r="AE667" i="135" s="1"/>
  <c r="AD667" i="135" a="1"/>
  <c r="AD667" i="135" s="1"/>
  <c r="AC667" i="135" a="1"/>
  <c r="AC667" i="135" s="1"/>
  <c r="AB667" i="135" a="1"/>
  <c r="AB667" i="135" s="1"/>
  <c r="AA667" i="135" a="1"/>
  <c r="AA667" i="135" s="1"/>
  <c r="Z667" i="135" a="1"/>
  <c r="Z667" i="135" s="1"/>
  <c r="Y667" i="135" a="1"/>
  <c r="Y667" i="135" s="1"/>
  <c r="X667" i="135" a="1"/>
  <c r="X667" i="135" s="1"/>
  <c r="W667" i="135" a="1"/>
  <c r="W667" i="135" s="1"/>
  <c r="AM666" i="135" a="1"/>
  <c r="AM666" i="135" s="1"/>
  <c r="AL666" i="135" a="1"/>
  <c r="AL666" i="135" s="1"/>
  <c r="AK666" i="135" a="1"/>
  <c r="AK666" i="135" s="1"/>
  <c r="AJ666" i="135" a="1"/>
  <c r="AJ666" i="135" s="1"/>
  <c r="AI666" i="135" a="1"/>
  <c r="AI666" i="135" s="1"/>
  <c r="AH666" i="135" a="1"/>
  <c r="AH666" i="135" s="1"/>
  <c r="AG666" i="135" a="1"/>
  <c r="AG666" i="135" s="1"/>
  <c r="AF666" i="135" a="1"/>
  <c r="AF666" i="135" s="1"/>
  <c r="AE666" i="135" a="1"/>
  <c r="AE666" i="135" s="1"/>
  <c r="AD666" i="135" a="1"/>
  <c r="AD666" i="135" s="1"/>
  <c r="AC666" i="135" a="1"/>
  <c r="AC666" i="135" s="1"/>
  <c r="AB666" i="135" a="1"/>
  <c r="AB666" i="135" s="1"/>
  <c r="AA666" i="135" a="1"/>
  <c r="AA666" i="135" s="1"/>
  <c r="Z666" i="135" a="1"/>
  <c r="Z666" i="135" s="1"/>
  <c r="Y666" i="135" a="1"/>
  <c r="Y666" i="135" s="1"/>
  <c r="X666" i="135" a="1"/>
  <c r="X666" i="135" s="1"/>
  <c r="W666" i="135" a="1"/>
  <c r="W666" i="135" s="1"/>
  <c r="AM665" i="135" a="1"/>
  <c r="AM665" i="135" s="1"/>
  <c r="AL665" i="135" a="1"/>
  <c r="AL665" i="135" s="1"/>
  <c r="AK665" i="135" a="1"/>
  <c r="AK665" i="135" s="1"/>
  <c r="AJ665" i="135" a="1"/>
  <c r="AJ665" i="135" s="1"/>
  <c r="AI665" i="135" a="1"/>
  <c r="AI665" i="135" s="1"/>
  <c r="AH665" i="135" a="1"/>
  <c r="AH665" i="135" s="1"/>
  <c r="AG665" i="135" a="1"/>
  <c r="AG665" i="135" s="1"/>
  <c r="AF665" i="135" a="1"/>
  <c r="AF665" i="135" s="1"/>
  <c r="AE665" i="135" a="1"/>
  <c r="AE665" i="135" s="1"/>
  <c r="AD665" i="135" a="1"/>
  <c r="AD665" i="135" s="1"/>
  <c r="AC665" i="135" a="1"/>
  <c r="AC665" i="135" s="1"/>
  <c r="AB665" i="135" a="1"/>
  <c r="AB665" i="135" s="1"/>
  <c r="AA665" i="135" a="1"/>
  <c r="AA665" i="135" s="1"/>
  <c r="Z665" i="135" a="1"/>
  <c r="Z665" i="135" s="1"/>
  <c r="Y665" i="135" a="1"/>
  <c r="Y665" i="135" s="1"/>
  <c r="X665" i="135" a="1"/>
  <c r="X665" i="135" s="1"/>
  <c r="W665" i="135" a="1"/>
  <c r="W665" i="135" s="1"/>
  <c r="AM664" i="135" a="1"/>
  <c r="AM664" i="135" s="1"/>
  <c r="AL664" i="135" a="1"/>
  <c r="AL664" i="135" s="1"/>
  <c r="AK664" i="135" a="1"/>
  <c r="AK664" i="135" s="1"/>
  <c r="AJ664" i="135" a="1"/>
  <c r="AJ664" i="135" s="1"/>
  <c r="AI664" i="135" a="1"/>
  <c r="AI664" i="135" s="1"/>
  <c r="AH664" i="135" a="1"/>
  <c r="AH664" i="135" s="1"/>
  <c r="AG664" i="135" a="1"/>
  <c r="AG664" i="135" s="1"/>
  <c r="AF664" i="135" a="1"/>
  <c r="AF664" i="135" s="1"/>
  <c r="AE664" i="135" a="1"/>
  <c r="AE664" i="135" s="1"/>
  <c r="AD664" i="135" a="1"/>
  <c r="AD664" i="135" s="1"/>
  <c r="AC664" i="135" a="1"/>
  <c r="AC664" i="135" s="1"/>
  <c r="AB664" i="135" a="1"/>
  <c r="AB664" i="135" s="1"/>
  <c r="AA664" i="135" a="1"/>
  <c r="AA664" i="135" s="1"/>
  <c r="Z664" i="135" a="1"/>
  <c r="Z664" i="135" s="1"/>
  <c r="Y664" i="135" a="1"/>
  <c r="Y664" i="135" s="1"/>
  <c r="X664" i="135" a="1"/>
  <c r="X664" i="135" s="1"/>
  <c r="W664" i="135" a="1"/>
  <c r="W664" i="135" s="1"/>
  <c r="AM663" i="135" a="1"/>
  <c r="AM663" i="135" s="1"/>
  <c r="AL663" i="135" a="1"/>
  <c r="AL663" i="135" s="1"/>
  <c r="AK663" i="135" a="1"/>
  <c r="AK663" i="135" s="1"/>
  <c r="AJ663" i="135" a="1"/>
  <c r="AJ663" i="135" s="1"/>
  <c r="AI663" i="135" a="1"/>
  <c r="AI663" i="135" s="1"/>
  <c r="AH663" i="135" a="1"/>
  <c r="AH663" i="135" s="1"/>
  <c r="AG663" i="135" a="1"/>
  <c r="AG663" i="135" s="1"/>
  <c r="AF663" i="135" a="1"/>
  <c r="AF663" i="135" s="1"/>
  <c r="AE663" i="135" a="1"/>
  <c r="AE663" i="135" s="1"/>
  <c r="AD663" i="135" a="1"/>
  <c r="AD663" i="135" s="1"/>
  <c r="AC663" i="135" a="1"/>
  <c r="AC663" i="135" s="1"/>
  <c r="AB663" i="135" a="1"/>
  <c r="AB663" i="135" s="1"/>
  <c r="AA663" i="135" a="1"/>
  <c r="AA663" i="135" s="1"/>
  <c r="Z663" i="135" a="1"/>
  <c r="Z663" i="135" s="1"/>
  <c r="Y663" i="135" a="1"/>
  <c r="Y663" i="135" s="1"/>
  <c r="X663" i="135" a="1"/>
  <c r="X663" i="135" s="1"/>
  <c r="W663" i="135" a="1"/>
  <c r="W663" i="135" s="1"/>
  <c r="AM662" i="135" a="1"/>
  <c r="AM662" i="135" s="1"/>
  <c r="AL662" i="135" a="1"/>
  <c r="AL662" i="135" s="1"/>
  <c r="AK662" i="135" a="1"/>
  <c r="AK662" i="135" s="1"/>
  <c r="AJ662" i="135" a="1"/>
  <c r="AJ662" i="135" s="1"/>
  <c r="AI662" i="135" a="1"/>
  <c r="AI662" i="135" s="1"/>
  <c r="AH662" i="135" a="1"/>
  <c r="AH662" i="135" s="1"/>
  <c r="AG662" i="135" a="1"/>
  <c r="AG662" i="135" s="1"/>
  <c r="AF662" i="135" a="1"/>
  <c r="AF662" i="135" s="1"/>
  <c r="AE662" i="135" a="1"/>
  <c r="AE662" i="135" s="1"/>
  <c r="AD662" i="135" a="1"/>
  <c r="AD662" i="135" s="1"/>
  <c r="AC662" i="135" a="1"/>
  <c r="AC662" i="135" s="1"/>
  <c r="AB662" i="135" a="1"/>
  <c r="AB662" i="135" s="1"/>
  <c r="AA662" i="135" a="1"/>
  <c r="AA662" i="135" s="1"/>
  <c r="Z662" i="135" a="1"/>
  <c r="Z662" i="135" s="1"/>
  <c r="Y662" i="135" a="1"/>
  <c r="Y662" i="135" s="1"/>
  <c r="X662" i="135" a="1"/>
  <c r="X662" i="135" s="1"/>
  <c r="W662" i="135" a="1"/>
  <c r="W662" i="135" s="1"/>
  <c r="AM661" i="135" a="1"/>
  <c r="AM661" i="135" s="1"/>
  <c r="AL661" i="135" a="1"/>
  <c r="AL661" i="135" s="1"/>
  <c r="AK661" i="135" a="1"/>
  <c r="AK661" i="135" s="1"/>
  <c r="AJ661" i="135" a="1"/>
  <c r="AJ661" i="135" s="1"/>
  <c r="AI661" i="135" a="1"/>
  <c r="AI661" i="135" s="1"/>
  <c r="AH661" i="135" a="1"/>
  <c r="AH661" i="135" s="1"/>
  <c r="AG661" i="135" a="1"/>
  <c r="AG661" i="135" s="1"/>
  <c r="AF661" i="135" a="1"/>
  <c r="AF661" i="135" s="1"/>
  <c r="AE661" i="135" a="1"/>
  <c r="AE661" i="135" s="1"/>
  <c r="AD661" i="135" a="1"/>
  <c r="AD661" i="135" s="1"/>
  <c r="AC661" i="135" a="1"/>
  <c r="AC661" i="135" s="1"/>
  <c r="AB661" i="135" a="1"/>
  <c r="AB661" i="135" s="1"/>
  <c r="AA661" i="135" a="1"/>
  <c r="AA661" i="135" s="1"/>
  <c r="Z661" i="135" a="1"/>
  <c r="Z661" i="135" s="1"/>
  <c r="Y661" i="135" a="1"/>
  <c r="Y661" i="135" s="1"/>
  <c r="X661" i="135" a="1"/>
  <c r="X661" i="135" s="1"/>
  <c r="W661" i="135" a="1"/>
  <c r="W661" i="135" s="1"/>
  <c r="AM660" i="135" a="1"/>
  <c r="AM660" i="135" s="1"/>
  <c r="AL660" i="135" a="1"/>
  <c r="AL660" i="135" s="1"/>
  <c r="AK660" i="135" a="1"/>
  <c r="AK660" i="135" s="1"/>
  <c r="AJ660" i="135" a="1"/>
  <c r="AJ660" i="135" s="1"/>
  <c r="AI660" i="135" a="1"/>
  <c r="AI660" i="135" s="1"/>
  <c r="AH660" i="135" a="1"/>
  <c r="AH660" i="135" s="1"/>
  <c r="AG660" i="135" a="1"/>
  <c r="AG660" i="135" s="1"/>
  <c r="AF660" i="135" a="1"/>
  <c r="AF660" i="135" s="1"/>
  <c r="AE660" i="135" a="1"/>
  <c r="AE660" i="135" s="1"/>
  <c r="AD660" i="135" a="1"/>
  <c r="AD660" i="135" s="1"/>
  <c r="AC660" i="135" a="1"/>
  <c r="AC660" i="135" s="1"/>
  <c r="AB660" i="135" a="1"/>
  <c r="AB660" i="135" s="1"/>
  <c r="AA660" i="135" a="1"/>
  <c r="AA660" i="135" s="1"/>
  <c r="Z660" i="135" a="1"/>
  <c r="Z660" i="135" s="1"/>
  <c r="Y660" i="135" a="1"/>
  <c r="Y660" i="135" s="1"/>
  <c r="X660" i="135" a="1"/>
  <c r="X660" i="135" s="1"/>
  <c r="W660" i="135" a="1"/>
  <c r="W660" i="135" s="1"/>
  <c r="AM659" i="135" a="1"/>
  <c r="AM659" i="135" s="1"/>
  <c r="AL659" i="135" a="1"/>
  <c r="AL659" i="135" s="1"/>
  <c r="AK659" i="135" a="1"/>
  <c r="AK659" i="135" s="1"/>
  <c r="AJ659" i="135" a="1"/>
  <c r="AJ659" i="135" s="1"/>
  <c r="AI659" i="135" a="1"/>
  <c r="AI659" i="135" s="1"/>
  <c r="AH659" i="135" a="1"/>
  <c r="AH659" i="135" s="1"/>
  <c r="AG659" i="135" a="1"/>
  <c r="AG659" i="135" s="1"/>
  <c r="AF659" i="135" a="1"/>
  <c r="AF659" i="135" s="1"/>
  <c r="AE659" i="135" a="1"/>
  <c r="AE659" i="135" s="1"/>
  <c r="AD659" i="135" a="1"/>
  <c r="AD659" i="135" s="1"/>
  <c r="AC659" i="135" a="1"/>
  <c r="AC659" i="135" s="1"/>
  <c r="AB659" i="135" a="1"/>
  <c r="AB659" i="135" s="1"/>
  <c r="AA659" i="135" a="1"/>
  <c r="AA659" i="135" s="1"/>
  <c r="Z659" i="135" a="1"/>
  <c r="Z659" i="135" s="1"/>
  <c r="Y659" i="135" a="1"/>
  <c r="Y659" i="135" s="1"/>
  <c r="X659" i="135" a="1"/>
  <c r="X659" i="135" s="1"/>
  <c r="W659" i="135" a="1"/>
  <c r="W659" i="135" s="1"/>
  <c r="AM658" i="135" a="1"/>
  <c r="AM658" i="135" s="1"/>
  <c r="AL658" i="135" a="1"/>
  <c r="AL658" i="135" s="1"/>
  <c r="AK658" i="135" a="1"/>
  <c r="AK658" i="135" s="1"/>
  <c r="AJ658" i="135" a="1"/>
  <c r="AJ658" i="135" s="1"/>
  <c r="AI658" i="135" a="1"/>
  <c r="AI658" i="135" s="1"/>
  <c r="AH658" i="135" a="1"/>
  <c r="AH658" i="135" s="1"/>
  <c r="AG658" i="135" a="1"/>
  <c r="AG658" i="135" s="1"/>
  <c r="AF658" i="135" a="1"/>
  <c r="AF658" i="135" s="1"/>
  <c r="AE658" i="135" a="1"/>
  <c r="AE658" i="135" s="1"/>
  <c r="AD658" i="135" a="1"/>
  <c r="AD658" i="135" s="1"/>
  <c r="AC658" i="135" a="1"/>
  <c r="AC658" i="135" s="1"/>
  <c r="AB658" i="135" a="1"/>
  <c r="AB658" i="135" s="1"/>
  <c r="AA658" i="135" a="1"/>
  <c r="AA658" i="135" s="1"/>
  <c r="Z658" i="135" a="1"/>
  <c r="Z658" i="135" s="1"/>
  <c r="Y658" i="135" a="1"/>
  <c r="Y658" i="135" s="1"/>
  <c r="X658" i="135" a="1"/>
  <c r="X658" i="135" s="1"/>
  <c r="W658" i="135" a="1"/>
  <c r="W658" i="135" s="1"/>
  <c r="AM657" i="135" a="1"/>
  <c r="AM657" i="135" s="1"/>
  <c r="AL657" i="135" a="1"/>
  <c r="AL657" i="135" s="1"/>
  <c r="AK657" i="135" a="1"/>
  <c r="AK657" i="135" s="1"/>
  <c r="AJ657" i="135" a="1"/>
  <c r="AJ657" i="135" s="1"/>
  <c r="AI657" i="135" a="1"/>
  <c r="AI657" i="135" s="1"/>
  <c r="AH657" i="135" a="1"/>
  <c r="AH657" i="135" s="1"/>
  <c r="AG657" i="135" a="1"/>
  <c r="AG657" i="135" s="1"/>
  <c r="AF657" i="135" a="1"/>
  <c r="AF657" i="135" s="1"/>
  <c r="AE657" i="135" a="1"/>
  <c r="AE657" i="135" s="1"/>
  <c r="AD657" i="135" a="1"/>
  <c r="AD657" i="135" s="1"/>
  <c r="AC657" i="135" a="1"/>
  <c r="AC657" i="135" s="1"/>
  <c r="AB657" i="135" a="1"/>
  <c r="AB657" i="135" s="1"/>
  <c r="AA657" i="135" a="1"/>
  <c r="AA657" i="135" s="1"/>
  <c r="Z657" i="135" a="1"/>
  <c r="Z657" i="135" s="1"/>
  <c r="Y657" i="135" a="1"/>
  <c r="Y657" i="135" s="1"/>
  <c r="X657" i="135" a="1"/>
  <c r="X657" i="135" s="1"/>
  <c r="W657" i="135" a="1"/>
  <c r="W657" i="135" s="1"/>
  <c r="AM656" i="135" a="1"/>
  <c r="AM656" i="135" s="1"/>
  <c r="AL656" i="135" a="1"/>
  <c r="AL656" i="135" s="1"/>
  <c r="AK656" i="135" a="1"/>
  <c r="AK656" i="135" s="1"/>
  <c r="AJ656" i="135" a="1"/>
  <c r="AJ656" i="135" s="1"/>
  <c r="AI656" i="135" a="1"/>
  <c r="AI656" i="135" s="1"/>
  <c r="AH656" i="135" a="1"/>
  <c r="AH656" i="135" s="1"/>
  <c r="AG656" i="135" a="1"/>
  <c r="AG656" i="135" s="1"/>
  <c r="AF656" i="135" a="1"/>
  <c r="AF656" i="135" s="1"/>
  <c r="AE656" i="135" a="1"/>
  <c r="AE656" i="135" s="1"/>
  <c r="AD656" i="135" a="1"/>
  <c r="AD656" i="135" s="1"/>
  <c r="AC656" i="135" a="1"/>
  <c r="AC656" i="135" s="1"/>
  <c r="AB656" i="135" a="1"/>
  <c r="AB656" i="135" s="1"/>
  <c r="AA656" i="135" a="1"/>
  <c r="AA656" i="135" s="1"/>
  <c r="Z656" i="135" a="1"/>
  <c r="Z656" i="135" s="1"/>
  <c r="Y656" i="135" a="1"/>
  <c r="Y656" i="135" s="1"/>
  <c r="X656" i="135" a="1"/>
  <c r="X656" i="135" s="1"/>
  <c r="W656" i="135" a="1"/>
  <c r="W656" i="135" s="1"/>
  <c r="AM655" i="135" a="1"/>
  <c r="AM655" i="135" s="1"/>
  <c r="AL655" i="135" a="1"/>
  <c r="AL655" i="135" s="1"/>
  <c r="AK655" i="135" a="1"/>
  <c r="AK655" i="135" s="1"/>
  <c r="AJ655" i="135" a="1"/>
  <c r="AJ655" i="135" s="1"/>
  <c r="AI655" i="135" a="1"/>
  <c r="AI655" i="135" s="1"/>
  <c r="AH655" i="135" a="1"/>
  <c r="AH655" i="135" s="1"/>
  <c r="AG655" i="135" a="1"/>
  <c r="AG655" i="135" s="1"/>
  <c r="AF655" i="135" a="1"/>
  <c r="AF655" i="135" s="1"/>
  <c r="AE655" i="135" a="1"/>
  <c r="AE655" i="135" s="1"/>
  <c r="AD655" i="135" a="1"/>
  <c r="AD655" i="135" s="1"/>
  <c r="AC655" i="135" a="1"/>
  <c r="AC655" i="135" s="1"/>
  <c r="AB655" i="135" a="1"/>
  <c r="AB655" i="135" s="1"/>
  <c r="AA655" i="135" a="1"/>
  <c r="AA655" i="135" s="1"/>
  <c r="Z655" i="135" a="1"/>
  <c r="Z655" i="135" s="1"/>
  <c r="Y655" i="135" a="1"/>
  <c r="Y655" i="135" s="1"/>
  <c r="X655" i="135" a="1"/>
  <c r="X655" i="135" s="1"/>
  <c r="W655" i="135" a="1"/>
  <c r="W655" i="135" s="1"/>
  <c r="AM654" i="135" a="1"/>
  <c r="AM654" i="135" s="1"/>
  <c r="AL654" i="135" a="1"/>
  <c r="AL654" i="135" s="1"/>
  <c r="AK654" i="135" a="1"/>
  <c r="AK654" i="135" s="1"/>
  <c r="AJ654" i="135" a="1"/>
  <c r="AJ654" i="135" s="1"/>
  <c r="AI654" i="135" a="1"/>
  <c r="AI654" i="135" s="1"/>
  <c r="AH654" i="135" a="1"/>
  <c r="AH654" i="135" s="1"/>
  <c r="AG654" i="135" a="1"/>
  <c r="AG654" i="135" s="1"/>
  <c r="AF654" i="135" a="1"/>
  <c r="AF654" i="135" s="1"/>
  <c r="AE654" i="135" a="1"/>
  <c r="AE654" i="135" s="1"/>
  <c r="AD654" i="135" a="1"/>
  <c r="AD654" i="135" s="1"/>
  <c r="AC654" i="135" a="1"/>
  <c r="AC654" i="135" s="1"/>
  <c r="AB654" i="135" a="1"/>
  <c r="AB654" i="135" s="1"/>
  <c r="AA654" i="135" a="1"/>
  <c r="AA654" i="135" s="1"/>
  <c r="Z654" i="135" a="1"/>
  <c r="Z654" i="135" s="1"/>
  <c r="Y654" i="135" a="1"/>
  <c r="Y654" i="135" s="1"/>
  <c r="X654" i="135" a="1"/>
  <c r="X654" i="135" s="1"/>
  <c r="W654" i="135" a="1"/>
  <c r="W654" i="135" s="1"/>
  <c r="AM653" i="135" a="1"/>
  <c r="AM653" i="135" s="1"/>
  <c r="AL653" i="135" a="1"/>
  <c r="AL653" i="135" s="1"/>
  <c r="AK653" i="135" a="1"/>
  <c r="AK653" i="135" s="1"/>
  <c r="AJ653" i="135" a="1"/>
  <c r="AJ653" i="135" s="1"/>
  <c r="AI653" i="135" a="1"/>
  <c r="AI653" i="135" s="1"/>
  <c r="AH653" i="135" a="1"/>
  <c r="AH653" i="135" s="1"/>
  <c r="AG653" i="135" a="1"/>
  <c r="AG653" i="135" s="1"/>
  <c r="AF653" i="135" a="1"/>
  <c r="AF653" i="135" s="1"/>
  <c r="AE653" i="135" a="1"/>
  <c r="AE653" i="135" s="1"/>
  <c r="AD653" i="135" a="1"/>
  <c r="AD653" i="135" s="1"/>
  <c r="AC653" i="135" a="1"/>
  <c r="AC653" i="135" s="1"/>
  <c r="AB653" i="135" a="1"/>
  <c r="AB653" i="135" s="1"/>
  <c r="AA653" i="135" a="1"/>
  <c r="AA653" i="135" s="1"/>
  <c r="Z653" i="135" a="1"/>
  <c r="Z653" i="135" s="1"/>
  <c r="Y653" i="135" a="1"/>
  <c r="Y653" i="135" s="1"/>
  <c r="X653" i="135" a="1"/>
  <c r="X653" i="135" s="1"/>
  <c r="W653" i="135" a="1"/>
  <c r="W653" i="135" s="1"/>
  <c r="AM652" i="135" a="1"/>
  <c r="AM652" i="135" s="1"/>
  <c r="AL652" i="135" a="1"/>
  <c r="AL652" i="135" s="1"/>
  <c r="AK652" i="135" a="1"/>
  <c r="AK652" i="135" s="1"/>
  <c r="AJ652" i="135" a="1"/>
  <c r="AJ652" i="135" s="1"/>
  <c r="AI652" i="135" a="1"/>
  <c r="AI652" i="135" s="1"/>
  <c r="AH652" i="135" a="1"/>
  <c r="AH652" i="135" s="1"/>
  <c r="AG652" i="135" a="1"/>
  <c r="AG652" i="135" s="1"/>
  <c r="AF652" i="135" a="1"/>
  <c r="AF652" i="135" s="1"/>
  <c r="AE652" i="135" a="1"/>
  <c r="AE652" i="135" s="1"/>
  <c r="AD652" i="135" a="1"/>
  <c r="AD652" i="135" s="1"/>
  <c r="AC652" i="135" a="1"/>
  <c r="AC652" i="135" s="1"/>
  <c r="AB652" i="135" a="1"/>
  <c r="AB652" i="135" s="1"/>
  <c r="AA652" i="135" a="1"/>
  <c r="AA652" i="135" s="1"/>
  <c r="Z652" i="135" a="1"/>
  <c r="Z652" i="135" s="1"/>
  <c r="Y652" i="135" a="1"/>
  <c r="Y652" i="135" s="1"/>
  <c r="X652" i="135" a="1"/>
  <c r="X652" i="135" s="1"/>
  <c r="W652" i="135" a="1"/>
  <c r="W652" i="135" s="1"/>
  <c r="AM651" i="135" a="1"/>
  <c r="AM651" i="135" s="1"/>
  <c r="AL651" i="135" a="1"/>
  <c r="AL651" i="135" s="1"/>
  <c r="AK651" i="135" a="1"/>
  <c r="AK651" i="135" s="1"/>
  <c r="AJ651" i="135" a="1"/>
  <c r="AJ651" i="135" s="1"/>
  <c r="AI651" i="135" a="1"/>
  <c r="AI651" i="135" s="1"/>
  <c r="AH651" i="135" a="1"/>
  <c r="AH651" i="135" s="1"/>
  <c r="AG651" i="135" a="1"/>
  <c r="AG651" i="135" s="1"/>
  <c r="AF651" i="135" a="1"/>
  <c r="AF651" i="135" s="1"/>
  <c r="AE651" i="135" a="1"/>
  <c r="AE651" i="135" s="1"/>
  <c r="AD651" i="135" a="1"/>
  <c r="AD651" i="135" s="1"/>
  <c r="AC651" i="135" a="1"/>
  <c r="AC651" i="135" s="1"/>
  <c r="AB651" i="135" a="1"/>
  <c r="AB651" i="135" s="1"/>
  <c r="AA651" i="135" a="1"/>
  <c r="AA651" i="135" s="1"/>
  <c r="Z651" i="135" a="1"/>
  <c r="Z651" i="135" s="1"/>
  <c r="Y651" i="135" a="1"/>
  <c r="Y651" i="135" s="1"/>
  <c r="X651" i="135" a="1"/>
  <c r="X651" i="135" s="1"/>
  <c r="W651" i="135" a="1"/>
  <c r="W651" i="135" s="1"/>
  <c r="AM650" i="135" a="1"/>
  <c r="AM650" i="135" s="1"/>
  <c r="AL650" i="135" a="1"/>
  <c r="AL650" i="135" s="1"/>
  <c r="AK650" i="135" a="1"/>
  <c r="AK650" i="135" s="1"/>
  <c r="AJ650" i="135" a="1"/>
  <c r="AJ650" i="135" s="1"/>
  <c r="AI650" i="135" a="1"/>
  <c r="AI650" i="135" s="1"/>
  <c r="AH650" i="135" a="1"/>
  <c r="AH650" i="135" s="1"/>
  <c r="AG650" i="135" a="1"/>
  <c r="AG650" i="135" s="1"/>
  <c r="AF650" i="135" a="1"/>
  <c r="AF650" i="135" s="1"/>
  <c r="AE650" i="135" a="1"/>
  <c r="AE650" i="135" s="1"/>
  <c r="AD650" i="135" a="1"/>
  <c r="AD650" i="135" s="1"/>
  <c r="AC650" i="135" a="1"/>
  <c r="AC650" i="135" s="1"/>
  <c r="AB650" i="135" a="1"/>
  <c r="AB650" i="135" s="1"/>
  <c r="AA650" i="135" a="1"/>
  <c r="AA650" i="135" s="1"/>
  <c r="Z650" i="135" a="1"/>
  <c r="Z650" i="135" s="1"/>
  <c r="Y650" i="135" a="1"/>
  <c r="Y650" i="135" s="1"/>
  <c r="X650" i="135" a="1"/>
  <c r="X650" i="135" s="1"/>
  <c r="W650" i="135" a="1"/>
  <c r="W650" i="135" s="1"/>
  <c r="AM649" i="135" a="1"/>
  <c r="AM649" i="135" s="1"/>
  <c r="AL649" i="135" a="1"/>
  <c r="AL649" i="135" s="1"/>
  <c r="AK649" i="135" a="1"/>
  <c r="AK649" i="135" s="1"/>
  <c r="AJ649" i="135" a="1"/>
  <c r="AJ649" i="135" s="1"/>
  <c r="AI649" i="135" a="1"/>
  <c r="AI649" i="135" s="1"/>
  <c r="AH649" i="135" a="1"/>
  <c r="AH649" i="135" s="1"/>
  <c r="AG649" i="135" a="1"/>
  <c r="AG649" i="135" s="1"/>
  <c r="AF649" i="135" a="1"/>
  <c r="AF649" i="135" s="1"/>
  <c r="AE649" i="135" a="1"/>
  <c r="AE649" i="135" s="1"/>
  <c r="AD649" i="135" a="1"/>
  <c r="AD649" i="135" s="1"/>
  <c r="AC649" i="135" a="1"/>
  <c r="AC649" i="135" s="1"/>
  <c r="AB649" i="135" a="1"/>
  <c r="AB649" i="135" s="1"/>
  <c r="AA649" i="135" a="1"/>
  <c r="AA649" i="135" s="1"/>
  <c r="Z649" i="135" a="1"/>
  <c r="Z649" i="135" s="1"/>
  <c r="Y649" i="135" a="1"/>
  <c r="Y649" i="135" s="1"/>
  <c r="X649" i="135" a="1"/>
  <c r="X649" i="135" s="1"/>
  <c r="W649" i="135" a="1"/>
  <c r="W649" i="135" s="1"/>
  <c r="AM648" i="135" a="1"/>
  <c r="AM648" i="135" s="1"/>
  <c r="AL648" i="135" a="1"/>
  <c r="AL648" i="135" s="1"/>
  <c r="AK648" i="135" a="1"/>
  <c r="AK648" i="135" s="1"/>
  <c r="AJ648" i="135" a="1"/>
  <c r="AJ648" i="135" s="1"/>
  <c r="AI648" i="135" a="1"/>
  <c r="AI648" i="135" s="1"/>
  <c r="AH648" i="135" a="1"/>
  <c r="AH648" i="135" s="1"/>
  <c r="AG648" i="135" a="1"/>
  <c r="AG648" i="135" s="1"/>
  <c r="AF648" i="135" a="1"/>
  <c r="AF648" i="135" s="1"/>
  <c r="AE648" i="135" a="1"/>
  <c r="AE648" i="135" s="1"/>
  <c r="AD648" i="135" a="1"/>
  <c r="AD648" i="135" s="1"/>
  <c r="AC648" i="135" a="1"/>
  <c r="AC648" i="135" s="1"/>
  <c r="AB648" i="135" a="1"/>
  <c r="AB648" i="135" s="1"/>
  <c r="AA648" i="135" a="1"/>
  <c r="AA648" i="135" s="1"/>
  <c r="Z648" i="135" a="1"/>
  <c r="Z648" i="135" s="1"/>
  <c r="Y648" i="135" a="1"/>
  <c r="Y648" i="135" s="1"/>
  <c r="X648" i="135" a="1"/>
  <c r="X648" i="135" s="1"/>
  <c r="W648" i="135" a="1"/>
  <c r="W648" i="135" s="1"/>
  <c r="AM647" i="135" a="1"/>
  <c r="AM647" i="135" s="1"/>
  <c r="AL647" i="135" a="1"/>
  <c r="AL647" i="135" s="1"/>
  <c r="AK647" i="135" a="1"/>
  <c r="AK647" i="135" s="1"/>
  <c r="AJ647" i="135" a="1"/>
  <c r="AJ647" i="135" s="1"/>
  <c r="AI647" i="135" a="1"/>
  <c r="AI647" i="135" s="1"/>
  <c r="AH647" i="135" a="1"/>
  <c r="AH647" i="135" s="1"/>
  <c r="AG647" i="135" a="1"/>
  <c r="AG647" i="135" s="1"/>
  <c r="AF647" i="135" a="1"/>
  <c r="AF647" i="135" s="1"/>
  <c r="AE647" i="135" a="1"/>
  <c r="AE647" i="135" s="1"/>
  <c r="AD647" i="135" a="1"/>
  <c r="AD647" i="135" s="1"/>
  <c r="AC647" i="135" a="1"/>
  <c r="AC647" i="135" s="1"/>
  <c r="AB647" i="135" a="1"/>
  <c r="AB647" i="135" s="1"/>
  <c r="AA647" i="135" a="1"/>
  <c r="AA647" i="135" s="1"/>
  <c r="Z647" i="135" a="1"/>
  <c r="Z647" i="135" s="1"/>
  <c r="Y647" i="135" a="1"/>
  <c r="Y647" i="135" s="1"/>
  <c r="X647" i="135" a="1"/>
  <c r="X647" i="135" s="1"/>
  <c r="W647" i="135" a="1"/>
  <c r="W647" i="135" s="1"/>
  <c r="AM646" i="135" a="1"/>
  <c r="AM646" i="135" s="1"/>
  <c r="AL646" i="135" a="1"/>
  <c r="AL646" i="135" s="1"/>
  <c r="AK646" i="135" a="1"/>
  <c r="AK646" i="135" s="1"/>
  <c r="AJ646" i="135" a="1"/>
  <c r="AJ646" i="135" s="1"/>
  <c r="AI646" i="135" a="1"/>
  <c r="AI646" i="135" s="1"/>
  <c r="AH646" i="135" a="1"/>
  <c r="AH646" i="135" s="1"/>
  <c r="AG646" i="135" a="1"/>
  <c r="AG646" i="135" s="1"/>
  <c r="AF646" i="135" a="1"/>
  <c r="AF646" i="135" s="1"/>
  <c r="AE646" i="135" a="1"/>
  <c r="AE646" i="135" s="1"/>
  <c r="AD646" i="135" a="1"/>
  <c r="AD646" i="135" s="1"/>
  <c r="AC646" i="135" a="1"/>
  <c r="AC646" i="135" s="1"/>
  <c r="AB646" i="135" a="1"/>
  <c r="AB646" i="135" s="1"/>
  <c r="AA646" i="135" a="1"/>
  <c r="AA646" i="135" s="1"/>
  <c r="Z646" i="135" a="1"/>
  <c r="Z646" i="135" s="1"/>
  <c r="Y646" i="135" a="1"/>
  <c r="Y646" i="135" s="1"/>
  <c r="X646" i="135" a="1"/>
  <c r="X646" i="135" s="1"/>
  <c r="W646" i="135" a="1"/>
  <c r="W646" i="135" s="1"/>
  <c r="AM645" i="135" a="1"/>
  <c r="AM645" i="135" s="1"/>
  <c r="AL645" i="135" a="1"/>
  <c r="AL645" i="135" s="1"/>
  <c r="AK645" i="135" a="1"/>
  <c r="AK645" i="135" s="1"/>
  <c r="AJ645" i="135" a="1"/>
  <c r="AJ645" i="135" s="1"/>
  <c r="AI645" i="135" a="1"/>
  <c r="AI645" i="135" s="1"/>
  <c r="AH645" i="135" a="1"/>
  <c r="AH645" i="135" s="1"/>
  <c r="AG645" i="135" a="1"/>
  <c r="AG645" i="135" s="1"/>
  <c r="AF645" i="135" a="1"/>
  <c r="AF645" i="135" s="1"/>
  <c r="AE645" i="135" a="1"/>
  <c r="AE645" i="135" s="1"/>
  <c r="AD645" i="135" a="1"/>
  <c r="AD645" i="135" s="1"/>
  <c r="AC645" i="135" a="1"/>
  <c r="AC645" i="135" s="1"/>
  <c r="AB645" i="135" a="1"/>
  <c r="AB645" i="135" s="1"/>
  <c r="AA645" i="135" a="1"/>
  <c r="AA645" i="135" s="1"/>
  <c r="Z645" i="135" a="1"/>
  <c r="Z645" i="135" s="1"/>
  <c r="Y645" i="135" a="1"/>
  <c r="Y645" i="135" s="1"/>
  <c r="X645" i="135" a="1"/>
  <c r="X645" i="135" s="1"/>
  <c r="W645" i="135" a="1"/>
  <c r="W645" i="135" s="1"/>
  <c r="AM644" i="135" a="1"/>
  <c r="AM644" i="135" s="1"/>
  <c r="AL644" i="135" a="1"/>
  <c r="AL644" i="135" s="1"/>
  <c r="AK644" i="135" a="1"/>
  <c r="AK644" i="135" s="1"/>
  <c r="AJ644" i="135" a="1"/>
  <c r="AJ644" i="135" s="1"/>
  <c r="AI644" i="135" a="1"/>
  <c r="AI644" i="135" s="1"/>
  <c r="AH644" i="135" a="1"/>
  <c r="AH644" i="135" s="1"/>
  <c r="AG644" i="135" a="1"/>
  <c r="AG644" i="135" s="1"/>
  <c r="AF644" i="135" a="1"/>
  <c r="AF644" i="135" s="1"/>
  <c r="AE644" i="135" a="1"/>
  <c r="AE644" i="135" s="1"/>
  <c r="AD644" i="135" a="1"/>
  <c r="AD644" i="135" s="1"/>
  <c r="AC644" i="135" a="1"/>
  <c r="AC644" i="135" s="1"/>
  <c r="AB644" i="135" a="1"/>
  <c r="AB644" i="135" s="1"/>
  <c r="AA644" i="135" a="1"/>
  <c r="AA644" i="135" s="1"/>
  <c r="Z644" i="135" a="1"/>
  <c r="Z644" i="135" s="1"/>
  <c r="Y644" i="135" a="1"/>
  <c r="Y644" i="135" s="1"/>
  <c r="X644" i="135" a="1"/>
  <c r="X644" i="135" s="1"/>
  <c r="W644" i="135" a="1"/>
  <c r="W644" i="135" s="1"/>
  <c r="AM643" i="135" a="1"/>
  <c r="AM643" i="135" s="1"/>
  <c r="AL643" i="135" a="1"/>
  <c r="AL643" i="135" s="1"/>
  <c r="AK643" i="135" a="1"/>
  <c r="AK643" i="135" s="1"/>
  <c r="AJ643" i="135" a="1"/>
  <c r="AJ643" i="135" s="1"/>
  <c r="AI643" i="135" a="1"/>
  <c r="AI643" i="135" s="1"/>
  <c r="AH643" i="135" a="1"/>
  <c r="AH643" i="135" s="1"/>
  <c r="AG643" i="135" a="1"/>
  <c r="AG643" i="135" s="1"/>
  <c r="AF643" i="135" a="1"/>
  <c r="AF643" i="135" s="1"/>
  <c r="AE643" i="135" a="1"/>
  <c r="AE643" i="135" s="1"/>
  <c r="AD643" i="135" a="1"/>
  <c r="AD643" i="135" s="1"/>
  <c r="AC643" i="135" a="1"/>
  <c r="AC643" i="135" s="1"/>
  <c r="AB643" i="135" a="1"/>
  <c r="AB643" i="135" s="1"/>
  <c r="AA643" i="135" a="1"/>
  <c r="AA643" i="135" s="1"/>
  <c r="Z643" i="135" a="1"/>
  <c r="Z643" i="135" s="1"/>
  <c r="Y643" i="135" a="1"/>
  <c r="Y643" i="135" s="1"/>
  <c r="X643" i="135" a="1"/>
  <c r="X643" i="135" s="1"/>
  <c r="W643" i="135" a="1"/>
  <c r="W643" i="135" s="1"/>
  <c r="AM642" i="135" a="1"/>
  <c r="AM642" i="135" s="1"/>
  <c r="AL642" i="135" a="1"/>
  <c r="AL642" i="135" s="1"/>
  <c r="AK642" i="135" a="1"/>
  <c r="AK642" i="135" s="1"/>
  <c r="AJ642" i="135" a="1"/>
  <c r="AJ642" i="135" s="1"/>
  <c r="AI642" i="135" a="1"/>
  <c r="AI642" i="135" s="1"/>
  <c r="AH642" i="135" a="1"/>
  <c r="AH642" i="135" s="1"/>
  <c r="AG642" i="135" a="1"/>
  <c r="AG642" i="135" s="1"/>
  <c r="AF642" i="135" a="1"/>
  <c r="AF642" i="135" s="1"/>
  <c r="AE642" i="135" a="1"/>
  <c r="AE642" i="135" s="1"/>
  <c r="AD642" i="135" a="1"/>
  <c r="AD642" i="135" s="1"/>
  <c r="AC642" i="135" a="1"/>
  <c r="AC642" i="135" s="1"/>
  <c r="AB642" i="135" a="1"/>
  <c r="AB642" i="135" s="1"/>
  <c r="AA642" i="135" a="1"/>
  <c r="AA642" i="135" s="1"/>
  <c r="Z642" i="135" a="1"/>
  <c r="Z642" i="135" s="1"/>
  <c r="Y642" i="135" a="1"/>
  <c r="Y642" i="135" s="1"/>
  <c r="X642" i="135" a="1"/>
  <c r="X642" i="135" s="1"/>
  <c r="W642" i="135" a="1"/>
  <c r="W642" i="135" s="1"/>
  <c r="AM641" i="135" a="1"/>
  <c r="AM641" i="135" s="1"/>
  <c r="AL641" i="135" a="1"/>
  <c r="AL641" i="135" s="1"/>
  <c r="AK641" i="135" a="1"/>
  <c r="AK641" i="135" s="1"/>
  <c r="AJ641" i="135" a="1"/>
  <c r="AJ641" i="135" s="1"/>
  <c r="AI641" i="135" a="1"/>
  <c r="AI641" i="135" s="1"/>
  <c r="AH641" i="135" a="1"/>
  <c r="AH641" i="135" s="1"/>
  <c r="AG641" i="135" a="1"/>
  <c r="AG641" i="135" s="1"/>
  <c r="AF641" i="135" a="1"/>
  <c r="AF641" i="135" s="1"/>
  <c r="AE641" i="135" a="1"/>
  <c r="AE641" i="135" s="1"/>
  <c r="AD641" i="135" a="1"/>
  <c r="AD641" i="135" s="1"/>
  <c r="AC641" i="135" a="1"/>
  <c r="AC641" i="135" s="1"/>
  <c r="AB641" i="135" a="1"/>
  <c r="AB641" i="135" s="1"/>
  <c r="AA641" i="135" a="1"/>
  <c r="AA641" i="135" s="1"/>
  <c r="Z641" i="135" a="1"/>
  <c r="Z641" i="135" s="1"/>
  <c r="Y641" i="135" a="1"/>
  <c r="Y641" i="135" s="1"/>
  <c r="X641" i="135" a="1"/>
  <c r="X641" i="135" s="1"/>
  <c r="W641" i="135" a="1"/>
  <c r="W641" i="135" s="1"/>
  <c r="AM640" i="135" a="1"/>
  <c r="AM640" i="135" s="1"/>
  <c r="AL640" i="135" a="1"/>
  <c r="AL640" i="135" s="1"/>
  <c r="AK640" i="135" a="1"/>
  <c r="AK640" i="135" s="1"/>
  <c r="AJ640" i="135" a="1"/>
  <c r="AJ640" i="135" s="1"/>
  <c r="AI640" i="135" a="1"/>
  <c r="AI640" i="135" s="1"/>
  <c r="AH640" i="135" a="1"/>
  <c r="AH640" i="135" s="1"/>
  <c r="AG640" i="135" a="1"/>
  <c r="AG640" i="135" s="1"/>
  <c r="AF640" i="135" a="1"/>
  <c r="AF640" i="135" s="1"/>
  <c r="AE640" i="135" a="1"/>
  <c r="AE640" i="135" s="1"/>
  <c r="AD640" i="135" a="1"/>
  <c r="AD640" i="135" s="1"/>
  <c r="AC640" i="135" a="1"/>
  <c r="AC640" i="135" s="1"/>
  <c r="AB640" i="135" a="1"/>
  <c r="AB640" i="135" s="1"/>
  <c r="AA640" i="135" a="1"/>
  <c r="AA640" i="135" s="1"/>
  <c r="Z640" i="135" a="1"/>
  <c r="Z640" i="135" s="1"/>
  <c r="Y640" i="135" a="1"/>
  <c r="Y640" i="135" s="1"/>
  <c r="X640" i="135" a="1"/>
  <c r="X640" i="135" s="1"/>
  <c r="W640" i="135" a="1"/>
  <c r="W640" i="135" s="1"/>
  <c r="AM639" i="135" a="1"/>
  <c r="AM639" i="135" s="1"/>
  <c r="AL639" i="135" a="1"/>
  <c r="AL639" i="135" s="1"/>
  <c r="AK639" i="135" a="1"/>
  <c r="AK639" i="135" s="1"/>
  <c r="AJ639" i="135" a="1"/>
  <c r="AJ639" i="135" s="1"/>
  <c r="AI639" i="135" a="1"/>
  <c r="AI639" i="135" s="1"/>
  <c r="AH639" i="135" a="1"/>
  <c r="AH639" i="135" s="1"/>
  <c r="AG639" i="135" a="1"/>
  <c r="AG639" i="135" s="1"/>
  <c r="AF639" i="135" a="1"/>
  <c r="AF639" i="135" s="1"/>
  <c r="AE639" i="135" a="1"/>
  <c r="AE639" i="135" s="1"/>
  <c r="AD639" i="135" a="1"/>
  <c r="AD639" i="135" s="1"/>
  <c r="AC639" i="135" a="1"/>
  <c r="AC639" i="135" s="1"/>
  <c r="AB639" i="135" a="1"/>
  <c r="AB639" i="135" s="1"/>
  <c r="AA639" i="135" a="1"/>
  <c r="AA639" i="135" s="1"/>
  <c r="Z639" i="135" a="1"/>
  <c r="Z639" i="135" s="1"/>
  <c r="Y639" i="135" a="1"/>
  <c r="Y639" i="135" s="1"/>
  <c r="X639" i="135" a="1"/>
  <c r="X639" i="135" s="1"/>
  <c r="W639" i="135" a="1"/>
  <c r="W639" i="135" s="1"/>
  <c r="AM638" i="135" a="1"/>
  <c r="AM638" i="135" s="1"/>
  <c r="AL638" i="135" a="1"/>
  <c r="AL638" i="135" s="1"/>
  <c r="AK638" i="135" a="1"/>
  <c r="AK638" i="135" s="1"/>
  <c r="AJ638" i="135" a="1"/>
  <c r="AJ638" i="135" s="1"/>
  <c r="AI638" i="135" a="1"/>
  <c r="AI638" i="135" s="1"/>
  <c r="AH638" i="135" a="1"/>
  <c r="AH638" i="135" s="1"/>
  <c r="AG638" i="135" a="1"/>
  <c r="AG638" i="135" s="1"/>
  <c r="AF638" i="135" a="1"/>
  <c r="AF638" i="135" s="1"/>
  <c r="AE638" i="135" a="1"/>
  <c r="AE638" i="135" s="1"/>
  <c r="AD638" i="135" a="1"/>
  <c r="AD638" i="135" s="1"/>
  <c r="AC638" i="135" a="1"/>
  <c r="AC638" i="135" s="1"/>
  <c r="AB638" i="135" a="1"/>
  <c r="AB638" i="135" s="1"/>
  <c r="AA638" i="135" a="1"/>
  <c r="AA638" i="135" s="1"/>
  <c r="Z638" i="135" a="1"/>
  <c r="Z638" i="135" s="1"/>
  <c r="Y638" i="135" a="1"/>
  <c r="Y638" i="135" s="1"/>
  <c r="X638" i="135" a="1"/>
  <c r="X638" i="135" s="1"/>
  <c r="W638" i="135" a="1"/>
  <c r="W638" i="135" s="1"/>
  <c r="AM637" i="135" a="1"/>
  <c r="AM637" i="135" s="1"/>
  <c r="AL637" i="135" a="1"/>
  <c r="AL637" i="135" s="1"/>
  <c r="AK637" i="135" a="1"/>
  <c r="AK637" i="135" s="1"/>
  <c r="AJ637" i="135" a="1"/>
  <c r="AJ637" i="135" s="1"/>
  <c r="AI637" i="135" a="1"/>
  <c r="AI637" i="135" s="1"/>
  <c r="AH637" i="135" a="1"/>
  <c r="AH637" i="135" s="1"/>
  <c r="AG637" i="135" a="1"/>
  <c r="AG637" i="135" s="1"/>
  <c r="AF637" i="135" a="1"/>
  <c r="AF637" i="135" s="1"/>
  <c r="AE637" i="135" a="1"/>
  <c r="AE637" i="135" s="1"/>
  <c r="AD637" i="135" a="1"/>
  <c r="AD637" i="135" s="1"/>
  <c r="AC637" i="135" a="1"/>
  <c r="AC637" i="135" s="1"/>
  <c r="AB637" i="135" a="1"/>
  <c r="AB637" i="135" s="1"/>
  <c r="AA637" i="135" a="1"/>
  <c r="AA637" i="135" s="1"/>
  <c r="Z637" i="135" a="1"/>
  <c r="Z637" i="135" s="1"/>
  <c r="Y637" i="135" a="1"/>
  <c r="Y637" i="135" s="1"/>
  <c r="X637" i="135" a="1"/>
  <c r="X637" i="135" s="1"/>
  <c r="W637" i="135" a="1"/>
  <c r="W637" i="135" s="1"/>
  <c r="AM636" i="135" a="1"/>
  <c r="AM636" i="135" s="1"/>
  <c r="AL636" i="135" a="1"/>
  <c r="AL636" i="135" s="1"/>
  <c r="AK636" i="135" a="1"/>
  <c r="AK636" i="135" s="1"/>
  <c r="AJ636" i="135" a="1"/>
  <c r="AJ636" i="135" s="1"/>
  <c r="AI636" i="135" a="1"/>
  <c r="AI636" i="135" s="1"/>
  <c r="AH636" i="135" a="1"/>
  <c r="AH636" i="135" s="1"/>
  <c r="AG636" i="135" a="1"/>
  <c r="AG636" i="135" s="1"/>
  <c r="AF636" i="135" a="1"/>
  <c r="AF636" i="135" s="1"/>
  <c r="AE636" i="135" a="1"/>
  <c r="AE636" i="135" s="1"/>
  <c r="AD636" i="135" a="1"/>
  <c r="AD636" i="135" s="1"/>
  <c r="AC636" i="135" a="1"/>
  <c r="AC636" i="135" s="1"/>
  <c r="AB636" i="135" a="1"/>
  <c r="AB636" i="135" s="1"/>
  <c r="AA636" i="135" a="1"/>
  <c r="AA636" i="135" s="1"/>
  <c r="Z636" i="135" a="1"/>
  <c r="Z636" i="135" s="1"/>
  <c r="Y636" i="135" a="1"/>
  <c r="Y636" i="135" s="1"/>
  <c r="X636" i="135" a="1"/>
  <c r="X636" i="135" s="1"/>
  <c r="W636" i="135" a="1"/>
  <c r="W636" i="135" s="1"/>
  <c r="AM635" i="135" a="1"/>
  <c r="AM635" i="135" s="1"/>
  <c r="AL635" i="135" a="1"/>
  <c r="AL635" i="135" s="1"/>
  <c r="AK635" i="135" a="1"/>
  <c r="AK635" i="135" s="1"/>
  <c r="AJ635" i="135" a="1"/>
  <c r="AJ635" i="135" s="1"/>
  <c r="AI635" i="135" a="1"/>
  <c r="AI635" i="135" s="1"/>
  <c r="AH635" i="135" a="1"/>
  <c r="AH635" i="135" s="1"/>
  <c r="AG635" i="135" a="1"/>
  <c r="AG635" i="135" s="1"/>
  <c r="AF635" i="135" a="1"/>
  <c r="AF635" i="135" s="1"/>
  <c r="AE635" i="135" a="1"/>
  <c r="AE635" i="135" s="1"/>
  <c r="AD635" i="135" a="1"/>
  <c r="AD635" i="135" s="1"/>
  <c r="AC635" i="135" a="1"/>
  <c r="AC635" i="135" s="1"/>
  <c r="AB635" i="135" a="1"/>
  <c r="AB635" i="135" s="1"/>
  <c r="AA635" i="135" a="1"/>
  <c r="AA635" i="135" s="1"/>
  <c r="Z635" i="135" a="1"/>
  <c r="Z635" i="135" s="1"/>
  <c r="Y635" i="135" a="1"/>
  <c r="Y635" i="135" s="1"/>
  <c r="X635" i="135" a="1"/>
  <c r="X635" i="135" s="1"/>
  <c r="W635" i="135" a="1"/>
  <c r="W635" i="135" s="1"/>
  <c r="AM634" i="135" a="1"/>
  <c r="AM634" i="135" s="1"/>
  <c r="AL634" i="135" a="1"/>
  <c r="AL634" i="135" s="1"/>
  <c r="AK634" i="135" a="1"/>
  <c r="AK634" i="135" s="1"/>
  <c r="AJ634" i="135" a="1"/>
  <c r="AJ634" i="135" s="1"/>
  <c r="AI634" i="135" a="1"/>
  <c r="AI634" i="135" s="1"/>
  <c r="AH634" i="135" a="1"/>
  <c r="AH634" i="135" s="1"/>
  <c r="AG634" i="135" a="1"/>
  <c r="AG634" i="135" s="1"/>
  <c r="AF634" i="135" a="1"/>
  <c r="AF634" i="135" s="1"/>
  <c r="AE634" i="135" a="1"/>
  <c r="AE634" i="135" s="1"/>
  <c r="AD634" i="135" a="1"/>
  <c r="AD634" i="135" s="1"/>
  <c r="AC634" i="135" a="1"/>
  <c r="AC634" i="135" s="1"/>
  <c r="AB634" i="135" a="1"/>
  <c r="AB634" i="135" s="1"/>
  <c r="AA634" i="135" a="1"/>
  <c r="AA634" i="135" s="1"/>
  <c r="Z634" i="135" a="1"/>
  <c r="Z634" i="135" s="1"/>
  <c r="Y634" i="135" a="1"/>
  <c r="Y634" i="135" s="1"/>
  <c r="X634" i="135" a="1"/>
  <c r="X634" i="135" s="1"/>
  <c r="W634" i="135" a="1"/>
  <c r="W634" i="135" s="1"/>
  <c r="AM633" i="135" a="1"/>
  <c r="AM633" i="135" s="1"/>
  <c r="AL633" i="135" a="1"/>
  <c r="AL633" i="135" s="1"/>
  <c r="AK633" i="135" a="1"/>
  <c r="AK633" i="135" s="1"/>
  <c r="AJ633" i="135" a="1"/>
  <c r="AJ633" i="135" s="1"/>
  <c r="AI633" i="135" a="1"/>
  <c r="AI633" i="135" s="1"/>
  <c r="AH633" i="135" a="1"/>
  <c r="AH633" i="135" s="1"/>
  <c r="AG633" i="135" a="1"/>
  <c r="AG633" i="135" s="1"/>
  <c r="AF633" i="135" a="1"/>
  <c r="AF633" i="135" s="1"/>
  <c r="AE633" i="135" a="1"/>
  <c r="AE633" i="135" s="1"/>
  <c r="AD633" i="135" a="1"/>
  <c r="AD633" i="135" s="1"/>
  <c r="AC633" i="135" a="1"/>
  <c r="AC633" i="135" s="1"/>
  <c r="AB633" i="135" a="1"/>
  <c r="AB633" i="135" s="1"/>
  <c r="AA633" i="135" a="1"/>
  <c r="AA633" i="135" s="1"/>
  <c r="Z633" i="135" a="1"/>
  <c r="Z633" i="135" s="1"/>
  <c r="Y633" i="135" a="1"/>
  <c r="Y633" i="135" s="1"/>
  <c r="X633" i="135" a="1"/>
  <c r="X633" i="135" s="1"/>
  <c r="W633" i="135" a="1"/>
  <c r="W633" i="135" s="1"/>
  <c r="AM632" i="135" a="1"/>
  <c r="AM632" i="135" s="1"/>
  <c r="AL632" i="135" a="1"/>
  <c r="AL632" i="135" s="1"/>
  <c r="AK632" i="135" a="1"/>
  <c r="AK632" i="135" s="1"/>
  <c r="AJ632" i="135" a="1"/>
  <c r="AJ632" i="135" s="1"/>
  <c r="AI632" i="135" a="1"/>
  <c r="AI632" i="135" s="1"/>
  <c r="AH632" i="135" a="1"/>
  <c r="AH632" i="135" s="1"/>
  <c r="AG632" i="135" a="1"/>
  <c r="AG632" i="135" s="1"/>
  <c r="AF632" i="135" a="1"/>
  <c r="AF632" i="135" s="1"/>
  <c r="AE632" i="135" a="1"/>
  <c r="AE632" i="135" s="1"/>
  <c r="AD632" i="135" a="1"/>
  <c r="AD632" i="135" s="1"/>
  <c r="AC632" i="135" a="1"/>
  <c r="AC632" i="135" s="1"/>
  <c r="AB632" i="135" a="1"/>
  <c r="AB632" i="135" s="1"/>
  <c r="AA632" i="135" a="1"/>
  <c r="AA632" i="135" s="1"/>
  <c r="Z632" i="135" a="1"/>
  <c r="Z632" i="135" s="1"/>
  <c r="Y632" i="135" a="1"/>
  <c r="Y632" i="135" s="1"/>
  <c r="X632" i="135" a="1"/>
  <c r="X632" i="135" s="1"/>
  <c r="W632" i="135" a="1"/>
  <c r="W632" i="135" s="1"/>
  <c r="AM631" i="135" a="1"/>
  <c r="AM631" i="135" s="1"/>
  <c r="AL631" i="135" a="1"/>
  <c r="AL631" i="135" s="1"/>
  <c r="AK631" i="135" a="1"/>
  <c r="AK631" i="135" s="1"/>
  <c r="AJ631" i="135" a="1"/>
  <c r="AJ631" i="135" s="1"/>
  <c r="AI631" i="135" a="1"/>
  <c r="AI631" i="135" s="1"/>
  <c r="AH631" i="135" a="1"/>
  <c r="AH631" i="135" s="1"/>
  <c r="AG631" i="135" a="1"/>
  <c r="AG631" i="135" s="1"/>
  <c r="AF631" i="135" a="1"/>
  <c r="AF631" i="135" s="1"/>
  <c r="AE631" i="135" a="1"/>
  <c r="AE631" i="135" s="1"/>
  <c r="AD631" i="135" a="1"/>
  <c r="AD631" i="135" s="1"/>
  <c r="AC631" i="135" a="1"/>
  <c r="AC631" i="135" s="1"/>
  <c r="AB631" i="135" a="1"/>
  <c r="AB631" i="135" s="1"/>
  <c r="AA631" i="135" a="1"/>
  <c r="AA631" i="135" s="1"/>
  <c r="Z631" i="135" a="1"/>
  <c r="Z631" i="135" s="1"/>
  <c r="Y631" i="135" a="1"/>
  <c r="Y631" i="135" s="1"/>
  <c r="X631" i="135" a="1"/>
  <c r="X631" i="135" s="1"/>
  <c r="W631" i="135" a="1"/>
  <c r="W631" i="135" s="1"/>
  <c r="AM630" i="135" a="1"/>
  <c r="AM630" i="135" s="1"/>
  <c r="AL630" i="135" a="1"/>
  <c r="AL630" i="135" s="1"/>
  <c r="AK630" i="135" a="1"/>
  <c r="AK630" i="135" s="1"/>
  <c r="AJ630" i="135" a="1"/>
  <c r="AJ630" i="135" s="1"/>
  <c r="AI630" i="135" a="1"/>
  <c r="AI630" i="135" s="1"/>
  <c r="AH630" i="135" a="1"/>
  <c r="AH630" i="135" s="1"/>
  <c r="AG630" i="135" a="1"/>
  <c r="AG630" i="135" s="1"/>
  <c r="AF630" i="135" a="1"/>
  <c r="AF630" i="135" s="1"/>
  <c r="AE630" i="135" a="1"/>
  <c r="AE630" i="135" s="1"/>
  <c r="AD630" i="135" a="1"/>
  <c r="AD630" i="135" s="1"/>
  <c r="AC630" i="135" a="1"/>
  <c r="AC630" i="135" s="1"/>
  <c r="AB630" i="135" a="1"/>
  <c r="AB630" i="135" s="1"/>
  <c r="AA630" i="135" a="1"/>
  <c r="AA630" i="135" s="1"/>
  <c r="Z630" i="135" a="1"/>
  <c r="Z630" i="135" s="1"/>
  <c r="Y630" i="135" a="1"/>
  <c r="Y630" i="135" s="1"/>
  <c r="X630" i="135" a="1"/>
  <c r="X630" i="135" s="1"/>
  <c r="W630" i="135" a="1"/>
  <c r="W630" i="135" s="1"/>
  <c r="AM629" i="135" a="1"/>
  <c r="AM629" i="135" s="1"/>
  <c r="AL629" i="135" a="1"/>
  <c r="AL629" i="135" s="1"/>
  <c r="AK629" i="135" a="1"/>
  <c r="AK629" i="135" s="1"/>
  <c r="AJ629" i="135" a="1"/>
  <c r="AJ629" i="135" s="1"/>
  <c r="AI629" i="135" a="1"/>
  <c r="AI629" i="135" s="1"/>
  <c r="AH629" i="135" a="1"/>
  <c r="AH629" i="135" s="1"/>
  <c r="AG629" i="135" a="1"/>
  <c r="AG629" i="135" s="1"/>
  <c r="AF629" i="135" a="1"/>
  <c r="AF629" i="135" s="1"/>
  <c r="AE629" i="135" a="1"/>
  <c r="AE629" i="135" s="1"/>
  <c r="AD629" i="135" a="1"/>
  <c r="AD629" i="135" s="1"/>
  <c r="AC629" i="135" a="1"/>
  <c r="AC629" i="135" s="1"/>
  <c r="AB629" i="135" a="1"/>
  <c r="AB629" i="135" s="1"/>
  <c r="AA629" i="135" a="1"/>
  <c r="AA629" i="135" s="1"/>
  <c r="Z629" i="135" a="1"/>
  <c r="Z629" i="135" s="1"/>
  <c r="Y629" i="135" a="1"/>
  <c r="Y629" i="135" s="1"/>
  <c r="X629" i="135" a="1"/>
  <c r="X629" i="135" s="1"/>
  <c r="W629" i="135" a="1"/>
  <c r="W629" i="135" s="1"/>
  <c r="AM628" i="135" a="1"/>
  <c r="AM628" i="135" s="1"/>
  <c r="AL628" i="135" a="1"/>
  <c r="AL628" i="135" s="1"/>
  <c r="AK628" i="135" a="1"/>
  <c r="AK628" i="135" s="1"/>
  <c r="AJ628" i="135" a="1"/>
  <c r="AJ628" i="135" s="1"/>
  <c r="AI628" i="135" a="1"/>
  <c r="AI628" i="135" s="1"/>
  <c r="AH628" i="135" a="1"/>
  <c r="AH628" i="135" s="1"/>
  <c r="AG628" i="135" a="1"/>
  <c r="AG628" i="135" s="1"/>
  <c r="AF628" i="135" a="1"/>
  <c r="AF628" i="135" s="1"/>
  <c r="AE628" i="135" a="1"/>
  <c r="AE628" i="135" s="1"/>
  <c r="AD628" i="135" a="1"/>
  <c r="AD628" i="135" s="1"/>
  <c r="AC628" i="135" a="1"/>
  <c r="AC628" i="135" s="1"/>
  <c r="AB628" i="135" a="1"/>
  <c r="AB628" i="135" s="1"/>
  <c r="AA628" i="135" a="1"/>
  <c r="AA628" i="135" s="1"/>
  <c r="Z628" i="135" a="1"/>
  <c r="Z628" i="135" s="1"/>
  <c r="Y628" i="135" a="1"/>
  <c r="Y628" i="135" s="1"/>
  <c r="X628" i="135" a="1"/>
  <c r="X628" i="135" s="1"/>
  <c r="W628" i="135" a="1"/>
  <c r="W628" i="135" s="1"/>
  <c r="AM627" i="135" a="1"/>
  <c r="AM627" i="135" s="1"/>
  <c r="AL627" i="135" a="1"/>
  <c r="AL627" i="135" s="1"/>
  <c r="AK627" i="135" a="1"/>
  <c r="AK627" i="135" s="1"/>
  <c r="AJ627" i="135" a="1"/>
  <c r="AJ627" i="135" s="1"/>
  <c r="AI627" i="135" a="1"/>
  <c r="AI627" i="135" s="1"/>
  <c r="AH627" i="135" a="1"/>
  <c r="AH627" i="135" s="1"/>
  <c r="AG627" i="135" a="1"/>
  <c r="AG627" i="135" s="1"/>
  <c r="AF627" i="135" a="1"/>
  <c r="AF627" i="135" s="1"/>
  <c r="AE627" i="135" a="1"/>
  <c r="AE627" i="135" s="1"/>
  <c r="AD627" i="135" a="1"/>
  <c r="AD627" i="135" s="1"/>
  <c r="AC627" i="135" a="1"/>
  <c r="AC627" i="135" s="1"/>
  <c r="AB627" i="135" a="1"/>
  <c r="AB627" i="135" s="1"/>
  <c r="AA627" i="135" a="1"/>
  <c r="AA627" i="135" s="1"/>
  <c r="Z627" i="135" a="1"/>
  <c r="Z627" i="135" s="1"/>
  <c r="Y627" i="135" a="1"/>
  <c r="Y627" i="135" s="1"/>
  <c r="X627" i="135" a="1"/>
  <c r="X627" i="135" s="1"/>
  <c r="W627" i="135" a="1"/>
  <c r="W627" i="135" s="1"/>
  <c r="AM626" i="135" a="1"/>
  <c r="AM626" i="135" s="1"/>
  <c r="AL626" i="135" a="1"/>
  <c r="AL626" i="135" s="1"/>
  <c r="AK626" i="135" a="1"/>
  <c r="AK626" i="135" s="1"/>
  <c r="AJ626" i="135" a="1"/>
  <c r="AJ626" i="135" s="1"/>
  <c r="AI626" i="135" a="1"/>
  <c r="AI626" i="135" s="1"/>
  <c r="AH626" i="135" a="1"/>
  <c r="AH626" i="135" s="1"/>
  <c r="AG626" i="135" a="1"/>
  <c r="AG626" i="135" s="1"/>
  <c r="AF626" i="135" a="1"/>
  <c r="AF626" i="135" s="1"/>
  <c r="AE626" i="135" a="1"/>
  <c r="AE626" i="135" s="1"/>
  <c r="AD626" i="135" a="1"/>
  <c r="AD626" i="135" s="1"/>
  <c r="AC626" i="135" a="1"/>
  <c r="AC626" i="135" s="1"/>
  <c r="AB626" i="135" a="1"/>
  <c r="AB626" i="135" s="1"/>
  <c r="AA626" i="135" a="1"/>
  <c r="AA626" i="135" s="1"/>
  <c r="Z626" i="135" a="1"/>
  <c r="Z626" i="135" s="1"/>
  <c r="Y626" i="135" a="1"/>
  <c r="Y626" i="135" s="1"/>
  <c r="X626" i="135" a="1"/>
  <c r="X626" i="135" s="1"/>
  <c r="W626" i="135" a="1"/>
  <c r="W626" i="135" s="1"/>
  <c r="AM625" i="135" a="1"/>
  <c r="AM625" i="135" s="1"/>
  <c r="AL625" i="135" a="1"/>
  <c r="AL625" i="135" s="1"/>
  <c r="AK625" i="135" a="1"/>
  <c r="AK625" i="135" s="1"/>
  <c r="AJ625" i="135" a="1"/>
  <c r="AJ625" i="135" s="1"/>
  <c r="AI625" i="135" a="1"/>
  <c r="AI625" i="135" s="1"/>
  <c r="AH625" i="135" a="1"/>
  <c r="AH625" i="135" s="1"/>
  <c r="AG625" i="135" a="1"/>
  <c r="AG625" i="135" s="1"/>
  <c r="AF625" i="135" a="1"/>
  <c r="AF625" i="135" s="1"/>
  <c r="AE625" i="135" a="1"/>
  <c r="AE625" i="135" s="1"/>
  <c r="AD625" i="135" a="1"/>
  <c r="AD625" i="135" s="1"/>
  <c r="AC625" i="135" a="1"/>
  <c r="AC625" i="135" s="1"/>
  <c r="AB625" i="135" a="1"/>
  <c r="AB625" i="135" s="1"/>
  <c r="AA625" i="135" a="1"/>
  <c r="AA625" i="135" s="1"/>
  <c r="Z625" i="135" a="1"/>
  <c r="Z625" i="135" s="1"/>
  <c r="Y625" i="135" a="1"/>
  <c r="Y625" i="135" s="1"/>
  <c r="X625" i="135" a="1"/>
  <c r="X625" i="135" s="1"/>
  <c r="W625" i="135" a="1"/>
  <c r="W625" i="135" s="1"/>
  <c r="AM624" i="135" a="1"/>
  <c r="AM624" i="135" s="1"/>
  <c r="AL624" i="135" a="1"/>
  <c r="AL624" i="135" s="1"/>
  <c r="AK624" i="135" a="1"/>
  <c r="AK624" i="135" s="1"/>
  <c r="AJ624" i="135" a="1"/>
  <c r="AJ624" i="135" s="1"/>
  <c r="AI624" i="135" a="1"/>
  <c r="AI624" i="135" s="1"/>
  <c r="AH624" i="135" a="1"/>
  <c r="AH624" i="135" s="1"/>
  <c r="AG624" i="135" a="1"/>
  <c r="AG624" i="135" s="1"/>
  <c r="AF624" i="135" a="1"/>
  <c r="AF624" i="135" s="1"/>
  <c r="AE624" i="135" a="1"/>
  <c r="AE624" i="135" s="1"/>
  <c r="AD624" i="135" a="1"/>
  <c r="AD624" i="135" s="1"/>
  <c r="AC624" i="135" a="1"/>
  <c r="AC624" i="135" s="1"/>
  <c r="AB624" i="135" a="1"/>
  <c r="AB624" i="135" s="1"/>
  <c r="AA624" i="135" a="1"/>
  <c r="AA624" i="135" s="1"/>
  <c r="Z624" i="135" a="1"/>
  <c r="Z624" i="135" s="1"/>
  <c r="Y624" i="135" a="1"/>
  <c r="Y624" i="135" s="1"/>
  <c r="X624" i="135" a="1"/>
  <c r="X624" i="135" s="1"/>
  <c r="W624" i="135" a="1"/>
  <c r="W624" i="135" s="1"/>
  <c r="AM623" i="135" a="1"/>
  <c r="AM623" i="135" s="1"/>
  <c r="AL623" i="135" a="1"/>
  <c r="AL623" i="135" s="1"/>
  <c r="AK623" i="135" a="1"/>
  <c r="AK623" i="135" s="1"/>
  <c r="AJ623" i="135" a="1"/>
  <c r="AJ623" i="135" s="1"/>
  <c r="AI623" i="135" a="1"/>
  <c r="AI623" i="135" s="1"/>
  <c r="AH623" i="135" a="1"/>
  <c r="AH623" i="135" s="1"/>
  <c r="AG623" i="135" a="1"/>
  <c r="AG623" i="135" s="1"/>
  <c r="AF623" i="135" a="1"/>
  <c r="AF623" i="135" s="1"/>
  <c r="AE623" i="135" a="1"/>
  <c r="AE623" i="135" s="1"/>
  <c r="AD623" i="135" a="1"/>
  <c r="AD623" i="135" s="1"/>
  <c r="AC623" i="135" a="1"/>
  <c r="AC623" i="135" s="1"/>
  <c r="AB623" i="135" a="1"/>
  <c r="AB623" i="135" s="1"/>
  <c r="AA623" i="135" a="1"/>
  <c r="AA623" i="135" s="1"/>
  <c r="Z623" i="135" a="1"/>
  <c r="Z623" i="135" s="1"/>
  <c r="Y623" i="135" a="1"/>
  <c r="Y623" i="135" s="1"/>
  <c r="X623" i="135" a="1"/>
  <c r="X623" i="135" s="1"/>
  <c r="W623" i="135" a="1"/>
  <c r="W623" i="135" s="1"/>
  <c r="AM622" i="135" a="1"/>
  <c r="AM622" i="135" s="1"/>
  <c r="AL622" i="135" a="1"/>
  <c r="AL622" i="135" s="1"/>
  <c r="AK622" i="135" a="1"/>
  <c r="AK622" i="135" s="1"/>
  <c r="AJ622" i="135" a="1"/>
  <c r="AJ622" i="135" s="1"/>
  <c r="AI622" i="135" a="1"/>
  <c r="AI622" i="135" s="1"/>
  <c r="AH622" i="135" a="1"/>
  <c r="AH622" i="135" s="1"/>
  <c r="AG622" i="135" a="1"/>
  <c r="AG622" i="135" s="1"/>
  <c r="AF622" i="135" a="1"/>
  <c r="AF622" i="135" s="1"/>
  <c r="AE622" i="135" a="1"/>
  <c r="AE622" i="135" s="1"/>
  <c r="AD622" i="135" a="1"/>
  <c r="AD622" i="135" s="1"/>
  <c r="AC622" i="135" a="1"/>
  <c r="AC622" i="135" s="1"/>
  <c r="AB622" i="135" a="1"/>
  <c r="AB622" i="135" s="1"/>
  <c r="AA622" i="135" a="1"/>
  <c r="AA622" i="135" s="1"/>
  <c r="Z622" i="135" a="1"/>
  <c r="Z622" i="135" s="1"/>
  <c r="Y622" i="135" a="1"/>
  <c r="Y622" i="135" s="1"/>
  <c r="X622" i="135" a="1"/>
  <c r="X622" i="135" s="1"/>
  <c r="W622" i="135" a="1"/>
  <c r="W622" i="135" s="1"/>
  <c r="AM621" i="135" a="1"/>
  <c r="AM621" i="135" s="1"/>
  <c r="AL621" i="135" a="1"/>
  <c r="AL621" i="135" s="1"/>
  <c r="AK621" i="135" a="1"/>
  <c r="AK621" i="135" s="1"/>
  <c r="AJ621" i="135" a="1"/>
  <c r="AJ621" i="135" s="1"/>
  <c r="AI621" i="135" a="1"/>
  <c r="AI621" i="135" s="1"/>
  <c r="AH621" i="135" a="1"/>
  <c r="AH621" i="135" s="1"/>
  <c r="AG621" i="135" a="1"/>
  <c r="AG621" i="135" s="1"/>
  <c r="AF621" i="135" a="1"/>
  <c r="AF621" i="135" s="1"/>
  <c r="AE621" i="135" a="1"/>
  <c r="AE621" i="135" s="1"/>
  <c r="AD621" i="135" a="1"/>
  <c r="AD621" i="135" s="1"/>
  <c r="AC621" i="135" a="1"/>
  <c r="AC621" i="135" s="1"/>
  <c r="AB621" i="135" a="1"/>
  <c r="AB621" i="135" s="1"/>
  <c r="AA621" i="135" a="1"/>
  <c r="AA621" i="135" s="1"/>
  <c r="Z621" i="135" a="1"/>
  <c r="Z621" i="135" s="1"/>
  <c r="Y621" i="135" a="1"/>
  <c r="Y621" i="135" s="1"/>
  <c r="X621" i="135" a="1"/>
  <c r="X621" i="135" s="1"/>
  <c r="W621" i="135" a="1"/>
  <c r="W621" i="135" s="1"/>
  <c r="AM620" i="135" a="1"/>
  <c r="AM620" i="135" s="1"/>
  <c r="AL620" i="135" a="1"/>
  <c r="AL620" i="135" s="1"/>
  <c r="AK620" i="135" a="1"/>
  <c r="AK620" i="135" s="1"/>
  <c r="AJ620" i="135" a="1"/>
  <c r="AJ620" i="135" s="1"/>
  <c r="AI620" i="135" a="1"/>
  <c r="AI620" i="135" s="1"/>
  <c r="AH620" i="135" a="1"/>
  <c r="AH620" i="135" s="1"/>
  <c r="AG620" i="135" a="1"/>
  <c r="AG620" i="135" s="1"/>
  <c r="AF620" i="135" a="1"/>
  <c r="AF620" i="135" s="1"/>
  <c r="AE620" i="135" a="1"/>
  <c r="AE620" i="135" s="1"/>
  <c r="AD620" i="135" a="1"/>
  <c r="AD620" i="135" s="1"/>
  <c r="AC620" i="135" a="1"/>
  <c r="AC620" i="135" s="1"/>
  <c r="AB620" i="135" a="1"/>
  <c r="AB620" i="135" s="1"/>
  <c r="AA620" i="135" a="1"/>
  <c r="AA620" i="135" s="1"/>
  <c r="Z620" i="135" a="1"/>
  <c r="Z620" i="135" s="1"/>
  <c r="Y620" i="135" a="1"/>
  <c r="Y620" i="135" s="1"/>
  <c r="X620" i="135" a="1"/>
  <c r="X620" i="135" s="1"/>
  <c r="W620" i="135" a="1"/>
  <c r="W620" i="135" s="1"/>
  <c r="AM619" i="135" a="1"/>
  <c r="AM619" i="135" s="1"/>
  <c r="AL619" i="135" a="1"/>
  <c r="AL619" i="135" s="1"/>
  <c r="AK619" i="135" a="1"/>
  <c r="AK619" i="135" s="1"/>
  <c r="AJ619" i="135" a="1"/>
  <c r="AJ619" i="135" s="1"/>
  <c r="AI619" i="135" a="1"/>
  <c r="AI619" i="135" s="1"/>
  <c r="AH619" i="135" a="1"/>
  <c r="AH619" i="135" s="1"/>
  <c r="AG619" i="135" a="1"/>
  <c r="AG619" i="135" s="1"/>
  <c r="AF619" i="135" a="1"/>
  <c r="AF619" i="135" s="1"/>
  <c r="AE619" i="135" a="1"/>
  <c r="AE619" i="135" s="1"/>
  <c r="AD619" i="135" a="1"/>
  <c r="AD619" i="135" s="1"/>
  <c r="AC619" i="135" a="1"/>
  <c r="AC619" i="135" s="1"/>
  <c r="AB619" i="135" a="1"/>
  <c r="AB619" i="135" s="1"/>
  <c r="AA619" i="135" a="1"/>
  <c r="AA619" i="135" s="1"/>
  <c r="Z619" i="135" a="1"/>
  <c r="Z619" i="135" s="1"/>
  <c r="Y619" i="135" a="1"/>
  <c r="Y619" i="135" s="1"/>
  <c r="X619" i="135" a="1"/>
  <c r="X619" i="135" s="1"/>
  <c r="W619" i="135" a="1"/>
  <c r="W619" i="135" s="1"/>
  <c r="AM618" i="135" a="1"/>
  <c r="AM618" i="135" s="1"/>
  <c r="AL618" i="135" a="1"/>
  <c r="AL618" i="135" s="1"/>
  <c r="AK618" i="135" a="1"/>
  <c r="AK618" i="135" s="1"/>
  <c r="AJ618" i="135" a="1"/>
  <c r="AJ618" i="135" s="1"/>
  <c r="AI618" i="135" a="1"/>
  <c r="AI618" i="135" s="1"/>
  <c r="AH618" i="135" a="1"/>
  <c r="AH618" i="135" s="1"/>
  <c r="AG618" i="135" a="1"/>
  <c r="AG618" i="135" s="1"/>
  <c r="AF618" i="135" a="1"/>
  <c r="AF618" i="135" s="1"/>
  <c r="AE618" i="135" a="1"/>
  <c r="AE618" i="135" s="1"/>
  <c r="AD618" i="135" a="1"/>
  <c r="AD618" i="135" s="1"/>
  <c r="AC618" i="135" a="1"/>
  <c r="AC618" i="135" s="1"/>
  <c r="AB618" i="135" a="1"/>
  <c r="AB618" i="135" s="1"/>
  <c r="AA618" i="135" a="1"/>
  <c r="AA618" i="135" s="1"/>
  <c r="Z618" i="135" a="1"/>
  <c r="Z618" i="135" s="1"/>
  <c r="Y618" i="135" a="1"/>
  <c r="Y618" i="135" s="1"/>
  <c r="X618" i="135" a="1"/>
  <c r="X618" i="135" s="1"/>
  <c r="W618" i="135" a="1"/>
  <c r="W618" i="135" s="1"/>
  <c r="AM617" i="135" a="1"/>
  <c r="AM617" i="135" s="1"/>
  <c r="AL617" i="135" a="1"/>
  <c r="AL617" i="135" s="1"/>
  <c r="AK617" i="135" a="1"/>
  <c r="AK617" i="135" s="1"/>
  <c r="AJ617" i="135" a="1"/>
  <c r="AJ617" i="135" s="1"/>
  <c r="AI617" i="135" a="1"/>
  <c r="AI617" i="135" s="1"/>
  <c r="AH617" i="135" a="1"/>
  <c r="AH617" i="135" s="1"/>
  <c r="AG617" i="135" a="1"/>
  <c r="AG617" i="135" s="1"/>
  <c r="AF617" i="135" a="1"/>
  <c r="AF617" i="135" s="1"/>
  <c r="AE617" i="135" a="1"/>
  <c r="AE617" i="135" s="1"/>
  <c r="AD617" i="135" a="1"/>
  <c r="AD617" i="135" s="1"/>
  <c r="AC617" i="135" a="1"/>
  <c r="AC617" i="135" s="1"/>
  <c r="AB617" i="135" a="1"/>
  <c r="AB617" i="135" s="1"/>
  <c r="AA617" i="135" a="1"/>
  <c r="AA617" i="135" s="1"/>
  <c r="Z617" i="135" a="1"/>
  <c r="Z617" i="135" s="1"/>
  <c r="Y617" i="135" a="1"/>
  <c r="Y617" i="135" s="1"/>
  <c r="X617" i="135" a="1"/>
  <c r="X617" i="135" s="1"/>
  <c r="W617" i="135" a="1"/>
  <c r="W617" i="135" s="1"/>
  <c r="AM616" i="135" a="1"/>
  <c r="AM616" i="135" s="1"/>
  <c r="AL616" i="135" a="1"/>
  <c r="AL616" i="135" s="1"/>
  <c r="AK616" i="135" a="1"/>
  <c r="AK616" i="135" s="1"/>
  <c r="AJ616" i="135" a="1"/>
  <c r="AJ616" i="135" s="1"/>
  <c r="AI616" i="135" a="1"/>
  <c r="AI616" i="135" s="1"/>
  <c r="AH616" i="135" a="1"/>
  <c r="AH616" i="135" s="1"/>
  <c r="AG616" i="135" a="1"/>
  <c r="AG616" i="135" s="1"/>
  <c r="AF616" i="135" a="1"/>
  <c r="AF616" i="135" s="1"/>
  <c r="AE616" i="135" a="1"/>
  <c r="AE616" i="135" s="1"/>
  <c r="AD616" i="135" a="1"/>
  <c r="AD616" i="135" s="1"/>
  <c r="AC616" i="135" a="1"/>
  <c r="AC616" i="135" s="1"/>
  <c r="AB616" i="135" a="1"/>
  <c r="AB616" i="135" s="1"/>
  <c r="AA616" i="135" a="1"/>
  <c r="AA616" i="135" s="1"/>
  <c r="Z616" i="135" a="1"/>
  <c r="Z616" i="135" s="1"/>
  <c r="Y616" i="135" a="1"/>
  <c r="Y616" i="135" s="1"/>
  <c r="X616" i="135" a="1"/>
  <c r="X616" i="135" s="1"/>
  <c r="W616" i="135" a="1"/>
  <c r="W616" i="135" s="1"/>
  <c r="AM615" i="135" a="1"/>
  <c r="AM615" i="135" s="1"/>
  <c r="AL615" i="135" a="1"/>
  <c r="AL615" i="135" s="1"/>
  <c r="AK615" i="135" a="1"/>
  <c r="AK615" i="135" s="1"/>
  <c r="AJ615" i="135" a="1"/>
  <c r="AJ615" i="135" s="1"/>
  <c r="AI615" i="135" a="1"/>
  <c r="AI615" i="135" s="1"/>
  <c r="AH615" i="135" a="1"/>
  <c r="AH615" i="135" s="1"/>
  <c r="AG615" i="135" a="1"/>
  <c r="AG615" i="135" s="1"/>
  <c r="AF615" i="135" a="1"/>
  <c r="AF615" i="135" s="1"/>
  <c r="AE615" i="135" a="1"/>
  <c r="AE615" i="135" s="1"/>
  <c r="AD615" i="135" a="1"/>
  <c r="AD615" i="135" s="1"/>
  <c r="AC615" i="135" a="1"/>
  <c r="AC615" i="135" s="1"/>
  <c r="AB615" i="135" a="1"/>
  <c r="AB615" i="135" s="1"/>
  <c r="AA615" i="135" a="1"/>
  <c r="AA615" i="135" s="1"/>
  <c r="Z615" i="135" a="1"/>
  <c r="Z615" i="135" s="1"/>
  <c r="Y615" i="135" a="1"/>
  <c r="Y615" i="135" s="1"/>
  <c r="X615" i="135" a="1"/>
  <c r="X615" i="135" s="1"/>
  <c r="W615" i="135" a="1"/>
  <c r="W615" i="135" s="1"/>
  <c r="AM614" i="135" a="1"/>
  <c r="AM614" i="135" s="1"/>
  <c r="AL614" i="135" a="1"/>
  <c r="AL614" i="135" s="1"/>
  <c r="AK614" i="135" a="1"/>
  <c r="AK614" i="135" s="1"/>
  <c r="AJ614" i="135" a="1"/>
  <c r="AJ614" i="135" s="1"/>
  <c r="AI614" i="135" a="1"/>
  <c r="AI614" i="135" s="1"/>
  <c r="AH614" i="135" a="1"/>
  <c r="AH614" i="135" s="1"/>
  <c r="AG614" i="135" a="1"/>
  <c r="AG614" i="135" s="1"/>
  <c r="AF614" i="135" a="1"/>
  <c r="AF614" i="135" s="1"/>
  <c r="AE614" i="135" a="1"/>
  <c r="AE614" i="135" s="1"/>
  <c r="AD614" i="135" a="1"/>
  <c r="AD614" i="135" s="1"/>
  <c r="AC614" i="135" a="1"/>
  <c r="AC614" i="135" s="1"/>
  <c r="AB614" i="135" a="1"/>
  <c r="AB614" i="135" s="1"/>
  <c r="AA614" i="135" a="1"/>
  <c r="AA614" i="135" s="1"/>
  <c r="Z614" i="135" a="1"/>
  <c r="Z614" i="135" s="1"/>
  <c r="Y614" i="135" a="1"/>
  <c r="Y614" i="135" s="1"/>
  <c r="X614" i="135" a="1"/>
  <c r="X614" i="135" s="1"/>
  <c r="W614" i="135" a="1"/>
  <c r="W614" i="135" s="1"/>
  <c r="AM613" i="135" a="1"/>
  <c r="AM613" i="135" s="1"/>
  <c r="AL613" i="135" a="1"/>
  <c r="AL613" i="135" s="1"/>
  <c r="AK613" i="135" a="1"/>
  <c r="AK613" i="135" s="1"/>
  <c r="AJ613" i="135" a="1"/>
  <c r="AJ613" i="135" s="1"/>
  <c r="AI613" i="135" a="1"/>
  <c r="AI613" i="135" s="1"/>
  <c r="AH613" i="135" a="1"/>
  <c r="AH613" i="135" s="1"/>
  <c r="AG613" i="135" a="1"/>
  <c r="AG613" i="135" s="1"/>
  <c r="AF613" i="135" a="1"/>
  <c r="AF613" i="135" s="1"/>
  <c r="AE613" i="135" a="1"/>
  <c r="AE613" i="135" s="1"/>
  <c r="AD613" i="135" a="1"/>
  <c r="AD613" i="135" s="1"/>
  <c r="AC613" i="135" a="1"/>
  <c r="AC613" i="135" s="1"/>
  <c r="AB613" i="135" a="1"/>
  <c r="AB613" i="135" s="1"/>
  <c r="AA613" i="135" a="1"/>
  <c r="AA613" i="135" s="1"/>
  <c r="Z613" i="135" a="1"/>
  <c r="Z613" i="135" s="1"/>
  <c r="Y613" i="135" a="1"/>
  <c r="Y613" i="135" s="1"/>
  <c r="X613" i="135" a="1"/>
  <c r="X613" i="135" s="1"/>
  <c r="W613" i="135" a="1"/>
  <c r="W613" i="135" s="1"/>
  <c r="AM612" i="135" a="1"/>
  <c r="AM612" i="135" s="1"/>
  <c r="AL612" i="135" a="1"/>
  <c r="AL612" i="135" s="1"/>
  <c r="AK612" i="135" a="1"/>
  <c r="AK612" i="135" s="1"/>
  <c r="AJ612" i="135" a="1"/>
  <c r="AJ612" i="135" s="1"/>
  <c r="AI612" i="135" a="1"/>
  <c r="AI612" i="135" s="1"/>
  <c r="AH612" i="135" a="1"/>
  <c r="AH612" i="135" s="1"/>
  <c r="AG612" i="135" a="1"/>
  <c r="AG612" i="135" s="1"/>
  <c r="AF612" i="135" a="1"/>
  <c r="AF612" i="135" s="1"/>
  <c r="AE612" i="135" a="1"/>
  <c r="AE612" i="135" s="1"/>
  <c r="AD612" i="135" a="1"/>
  <c r="AD612" i="135" s="1"/>
  <c r="AC612" i="135" a="1"/>
  <c r="AC612" i="135" s="1"/>
  <c r="AB612" i="135" a="1"/>
  <c r="AB612" i="135" s="1"/>
  <c r="AA612" i="135" a="1"/>
  <c r="AA612" i="135" s="1"/>
  <c r="Z612" i="135" a="1"/>
  <c r="Z612" i="135" s="1"/>
  <c r="Y612" i="135" a="1"/>
  <c r="Y612" i="135" s="1"/>
  <c r="X612" i="135" a="1"/>
  <c r="X612" i="135" s="1"/>
  <c r="W612" i="135" a="1"/>
  <c r="W612" i="135" s="1"/>
  <c r="AM611" i="135" a="1"/>
  <c r="AM611" i="135" s="1"/>
  <c r="AL611" i="135" a="1"/>
  <c r="AL611" i="135" s="1"/>
  <c r="AK611" i="135" a="1"/>
  <c r="AK611" i="135" s="1"/>
  <c r="AJ611" i="135" a="1"/>
  <c r="AJ611" i="135" s="1"/>
  <c r="AI611" i="135" a="1"/>
  <c r="AI611" i="135" s="1"/>
  <c r="AH611" i="135" a="1"/>
  <c r="AH611" i="135" s="1"/>
  <c r="AG611" i="135" a="1"/>
  <c r="AG611" i="135" s="1"/>
  <c r="AF611" i="135" a="1"/>
  <c r="AF611" i="135" s="1"/>
  <c r="AE611" i="135" a="1"/>
  <c r="AE611" i="135" s="1"/>
  <c r="AD611" i="135" a="1"/>
  <c r="AD611" i="135" s="1"/>
  <c r="AC611" i="135" a="1"/>
  <c r="AC611" i="135" s="1"/>
  <c r="AB611" i="135" a="1"/>
  <c r="AB611" i="135" s="1"/>
  <c r="AA611" i="135" a="1"/>
  <c r="AA611" i="135" s="1"/>
  <c r="Z611" i="135" a="1"/>
  <c r="Z611" i="135" s="1"/>
  <c r="Y611" i="135" a="1"/>
  <c r="Y611" i="135" s="1"/>
  <c r="X611" i="135" a="1"/>
  <c r="X611" i="135" s="1"/>
  <c r="W611" i="135" a="1"/>
  <c r="W611" i="135" s="1"/>
  <c r="AM610" i="135" a="1"/>
  <c r="AM610" i="135" s="1"/>
  <c r="AL610" i="135" a="1"/>
  <c r="AL610" i="135" s="1"/>
  <c r="AK610" i="135" a="1"/>
  <c r="AK610" i="135" s="1"/>
  <c r="AJ610" i="135" a="1"/>
  <c r="AJ610" i="135" s="1"/>
  <c r="AI610" i="135" a="1"/>
  <c r="AI610" i="135" s="1"/>
  <c r="AH610" i="135" a="1"/>
  <c r="AH610" i="135" s="1"/>
  <c r="AG610" i="135" a="1"/>
  <c r="AG610" i="135" s="1"/>
  <c r="AF610" i="135" a="1"/>
  <c r="AF610" i="135" s="1"/>
  <c r="AE610" i="135" a="1"/>
  <c r="AE610" i="135" s="1"/>
  <c r="AD610" i="135" a="1"/>
  <c r="AD610" i="135" s="1"/>
  <c r="AC610" i="135" a="1"/>
  <c r="AC610" i="135" s="1"/>
  <c r="AB610" i="135" a="1"/>
  <c r="AB610" i="135" s="1"/>
  <c r="AA610" i="135" a="1"/>
  <c r="AA610" i="135" s="1"/>
  <c r="Z610" i="135" a="1"/>
  <c r="Z610" i="135" s="1"/>
  <c r="Y610" i="135" a="1"/>
  <c r="Y610" i="135" s="1"/>
  <c r="X610" i="135" a="1"/>
  <c r="X610" i="135" s="1"/>
  <c r="W610" i="135" a="1"/>
  <c r="W610" i="135" s="1"/>
  <c r="AM609" i="135" a="1"/>
  <c r="AM609" i="135" s="1"/>
  <c r="AL609" i="135" a="1"/>
  <c r="AL609" i="135" s="1"/>
  <c r="AK609" i="135" a="1"/>
  <c r="AK609" i="135" s="1"/>
  <c r="AJ609" i="135" a="1"/>
  <c r="AJ609" i="135" s="1"/>
  <c r="AI609" i="135" a="1"/>
  <c r="AI609" i="135" s="1"/>
  <c r="AH609" i="135" a="1"/>
  <c r="AH609" i="135" s="1"/>
  <c r="AG609" i="135" a="1"/>
  <c r="AG609" i="135" s="1"/>
  <c r="AF609" i="135" a="1"/>
  <c r="AF609" i="135" s="1"/>
  <c r="AE609" i="135" a="1"/>
  <c r="AE609" i="135" s="1"/>
  <c r="AD609" i="135" a="1"/>
  <c r="AD609" i="135" s="1"/>
  <c r="AC609" i="135" a="1"/>
  <c r="AC609" i="135" s="1"/>
  <c r="AB609" i="135" a="1"/>
  <c r="AB609" i="135" s="1"/>
  <c r="AA609" i="135" a="1"/>
  <c r="AA609" i="135" s="1"/>
  <c r="Z609" i="135" a="1"/>
  <c r="Z609" i="135" s="1"/>
  <c r="Y609" i="135" a="1"/>
  <c r="Y609" i="135" s="1"/>
  <c r="X609" i="135" a="1"/>
  <c r="X609" i="135" s="1"/>
  <c r="W609" i="135" a="1"/>
  <c r="W609" i="135" s="1"/>
  <c r="AM608" i="135" a="1"/>
  <c r="AM608" i="135" s="1"/>
  <c r="AL608" i="135" a="1"/>
  <c r="AL608" i="135" s="1"/>
  <c r="AK608" i="135" a="1"/>
  <c r="AK608" i="135" s="1"/>
  <c r="AJ608" i="135" a="1"/>
  <c r="AJ608" i="135" s="1"/>
  <c r="AI608" i="135" a="1"/>
  <c r="AI608" i="135" s="1"/>
  <c r="AH608" i="135" a="1"/>
  <c r="AH608" i="135" s="1"/>
  <c r="AG608" i="135" a="1"/>
  <c r="AG608" i="135" s="1"/>
  <c r="AF608" i="135" a="1"/>
  <c r="AF608" i="135" s="1"/>
  <c r="AE608" i="135" a="1"/>
  <c r="AE608" i="135" s="1"/>
  <c r="AD608" i="135" a="1"/>
  <c r="AD608" i="135" s="1"/>
  <c r="AC608" i="135" a="1"/>
  <c r="AC608" i="135" s="1"/>
  <c r="AB608" i="135" a="1"/>
  <c r="AB608" i="135" s="1"/>
  <c r="AA608" i="135" a="1"/>
  <c r="AA608" i="135" s="1"/>
  <c r="Z608" i="135" a="1"/>
  <c r="Z608" i="135" s="1"/>
  <c r="Y608" i="135" a="1"/>
  <c r="Y608" i="135" s="1"/>
  <c r="X608" i="135" a="1"/>
  <c r="X608" i="135" s="1"/>
  <c r="W608" i="135" a="1"/>
  <c r="W608" i="135" s="1"/>
  <c r="AM607" i="135" a="1"/>
  <c r="AM607" i="135" s="1"/>
  <c r="AL607" i="135" a="1"/>
  <c r="AL607" i="135" s="1"/>
  <c r="AK607" i="135" a="1"/>
  <c r="AK607" i="135" s="1"/>
  <c r="AJ607" i="135" a="1"/>
  <c r="AJ607" i="135" s="1"/>
  <c r="AI607" i="135" a="1"/>
  <c r="AI607" i="135" s="1"/>
  <c r="AH607" i="135" a="1"/>
  <c r="AH607" i="135" s="1"/>
  <c r="AG607" i="135" a="1"/>
  <c r="AG607" i="135" s="1"/>
  <c r="AF607" i="135" a="1"/>
  <c r="AF607" i="135" s="1"/>
  <c r="AE607" i="135" a="1"/>
  <c r="AE607" i="135" s="1"/>
  <c r="AD607" i="135" a="1"/>
  <c r="AD607" i="135" s="1"/>
  <c r="AC607" i="135" a="1"/>
  <c r="AC607" i="135" s="1"/>
  <c r="AB607" i="135" a="1"/>
  <c r="AB607" i="135" s="1"/>
  <c r="AA607" i="135" a="1"/>
  <c r="AA607" i="135" s="1"/>
  <c r="Z607" i="135" a="1"/>
  <c r="Z607" i="135" s="1"/>
  <c r="Y607" i="135" a="1"/>
  <c r="Y607" i="135" s="1"/>
  <c r="X607" i="135" a="1"/>
  <c r="X607" i="135" s="1"/>
  <c r="W607" i="135" a="1"/>
  <c r="W607" i="135" s="1"/>
  <c r="AM606" i="135" a="1"/>
  <c r="AM606" i="135" s="1"/>
  <c r="AL606" i="135" a="1"/>
  <c r="AL606" i="135" s="1"/>
  <c r="AK606" i="135" a="1"/>
  <c r="AK606" i="135" s="1"/>
  <c r="AJ606" i="135" a="1"/>
  <c r="AJ606" i="135" s="1"/>
  <c r="AI606" i="135" a="1"/>
  <c r="AI606" i="135" s="1"/>
  <c r="AH606" i="135" a="1"/>
  <c r="AH606" i="135" s="1"/>
  <c r="AG606" i="135" a="1"/>
  <c r="AG606" i="135" s="1"/>
  <c r="AF606" i="135" a="1"/>
  <c r="AF606" i="135" s="1"/>
  <c r="AE606" i="135" a="1"/>
  <c r="AE606" i="135" s="1"/>
  <c r="AD606" i="135" a="1"/>
  <c r="AD606" i="135" s="1"/>
  <c r="AC606" i="135" a="1"/>
  <c r="AC606" i="135" s="1"/>
  <c r="AB606" i="135" a="1"/>
  <c r="AB606" i="135" s="1"/>
  <c r="AA606" i="135" a="1"/>
  <c r="AA606" i="135" s="1"/>
  <c r="Z606" i="135" a="1"/>
  <c r="Z606" i="135" s="1"/>
  <c r="Y606" i="135" a="1"/>
  <c r="Y606" i="135" s="1"/>
  <c r="X606" i="135" a="1"/>
  <c r="X606" i="135" s="1"/>
  <c r="W606" i="135" a="1"/>
  <c r="W606" i="135" s="1"/>
  <c r="AM605" i="135" a="1"/>
  <c r="AM605" i="135" s="1"/>
  <c r="AL605" i="135" a="1"/>
  <c r="AL605" i="135" s="1"/>
  <c r="AK605" i="135" a="1"/>
  <c r="AK605" i="135" s="1"/>
  <c r="AJ605" i="135" a="1"/>
  <c r="AJ605" i="135" s="1"/>
  <c r="AI605" i="135" a="1"/>
  <c r="AI605" i="135" s="1"/>
  <c r="AH605" i="135" a="1"/>
  <c r="AH605" i="135" s="1"/>
  <c r="AG605" i="135" a="1"/>
  <c r="AG605" i="135" s="1"/>
  <c r="AF605" i="135" a="1"/>
  <c r="AF605" i="135" s="1"/>
  <c r="AE605" i="135" a="1"/>
  <c r="AE605" i="135" s="1"/>
  <c r="AD605" i="135" a="1"/>
  <c r="AD605" i="135" s="1"/>
  <c r="AC605" i="135" a="1"/>
  <c r="AC605" i="135" s="1"/>
  <c r="AB605" i="135" a="1"/>
  <c r="AB605" i="135" s="1"/>
  <c r="AA605" i="135" a="1"/>
  <c r="AA605" i="135" s="1"/>
  <c r="Z605" i="135" a="1"/>
  <c r="Z605" i="135" s="1"/>
  <c r="Y605" i="135" a="1"/>
  <c r="Y605" i="135" s="1"/>
  <c r="X605" i="135" a="1"/>
  <c r="X605" i="135" s="1"/>
  <c r="W605" i="135" a="1"/>
  <c r="W605" i="135" s="1"/>
  <c r="AM604" i="135" a="1"/>
  <c r="AM604" i="135" s="1"/>
  <c r="AL604" i="135" a="1"/>
  <c r="AL604" i="135" s="1"/>
  <c r="AK604" i="135" a="1"/>
  <c r="AK604" i="135" s="1"/>
  <c r="AJ604" i="135" a="1"/>
  <c r="AJ604" i="135" s="1"/>
  <c r="AI604" i="135" a="1"/>
  <c r="AI604" i="135" s="1"/>
  <c r="AH604" i="135" a="1"/>
  <c r="AH604" i="135" s="1"/>
  <c r="AG604" i="135" a="1"/>
  <c r="AG604" i="135" s="1"/>
  <c r="AF604" i="135" a="1"/>
  <c r="AF604" i="135" s="1"/>
  <c r="AE604" i="135" a="1"/>
  <c r="AE604" i="135" s="1"/>
  <c r="AD604" i="135" a="1"/>
  <c r="AD604" i="135" s="1"/>
  <c r="AC604" i="135" a="1"/>
  <c r="AC604" i="135" s="1"/>
  <c r="AB604" i="135" a="1"/>
  <c r="AB604" i="135" s="1"/>
  <c r="AA604" i="135" a="1"/>
  <c r="AA604" i="135" s="1"/>
  <c r="Z604" i="135" a="1"/>
  <c r="Z604" i="135" s="1"/>
  <c r="Y604" i="135" a="1"/>
  <c r="Y604" i="135" s="1"/>
  <c r="X604" i="135" a="1"/>
  <c r="X604" i="135" s="1"/>
  <c r="W604" i="135" a="1"/>
  <c r="W604" i="135" s="1"/>
  <c r="AM603" i="135" a="1"/>
  <c r="AM603" i="135" s="1"/>
  <c r="AL603" i="135" a="1"/>
  <c r="AL603" i="135" s="1"/>
  <c r="AK603" i="135" a="1"/>
  <c r="AK603" i="135" s="1"/>
  <c r="AJ603" i="135" a="1"/>
  <c r="AJ603" i="135" s="1"/>
  <c r="AI603" i="135" a="1"/>
  <c r="AI603" i="135" s="1"/>
  <c r="AH603" i="135" a="1"/>
  <c r="AH603" i="135" s="1"/>
  <c r="AG603" i="135" a="1"/>
  <c r="AG603" i="135" s="1"/>
  <c r="AF603" i="135" a="1"/>
  <c r="AF603" i="135" s="1"/>
  <c r="AE603" i="135" a="1"/>
  <c r="AE603" i="135" s="1"/>
  <c r="AD603" i="135" a="1"/>
  <c r="AD603" i="135" s="1"/>
  <c r="AC603" i="135" a="1"/>
  <c r="AC603" i="135" s="1"/>
  <c r="AB603" i="135" a="1"/>
  <c r="AB603" i="135" s="1"/>
  <c r="AA603" i="135" a="1"/>
  <c r="AA603" i="135" s="1"/>
  <c r="Z603" i="135" a="1"/>
  <c r="Z603" i="135" s="1"/>
  <c r="Y603" i="135" a="1"/>
  <c r="Y603" i="135" s="1"/>
  <c r="X603" i="135" a="1"/>
  <c r="X603" i="135" s="1"/>
  <c r="W603" i="135" a="1"/>
  <c r="W603" i="135" s="1"/>
  <c r="AM602" i="135" a="1"/>
  <c r="AM602" i="135" s="1"/>
  <c r="AL602" i="135" a="1"/>
  <c r="AL602" i="135" s="1"/>
  <c r="AK602" i="135" a="1"/>
  <c r="AK602" i="135" s="1"/>
  <c r="AJ602" i="135" a="1"/>
  <c r="AJ602" i="135" s="1"/>
  <c r="AI602" i="135" a="1"/>
  <c r="AI602" i="135" s="1"/>
  <c r="AH602" i="135" a="1"/>
  <c r="AH602" i="135" s="1"/>
  <c r="AG602" i="135" a="1"/>
  <c r="AG602" i="135" s="1"/>
  <c r="AF602" i="135" a="1"/>
  <c r="AF602" i="135" s="1"/>
  <c r="AE602" i="135" a="1"/>
  <c r="AE602" i="135" s="1"/>
  <c r="AD602" i="135" a="1"/>
  <c r="AD602" i="135" s="1"/>
  <c r="AC602" i="135" a="1"/>
  <c r="AC602" i="135" s="1"/>
  <c r="AB602" i="135" a="1"/>
  <c r="AB602" i="135" s="1"/>
  <c r="AA602" i="135" a="1"/>
  <c r="AA602" i="135" s="1"/>
  <c r="Z602" i="135" a="1"/>
  <c r="Z602" i="135" s="1"/>
  <c r="Y602" i="135" a="1"/>
  <c r="Y602" i="135" s="1"/>
  <c r="X602" i="135" a="1"/>
  <c r="X602" i="135" s="1"/>
  <c r="W602" i="135" a="1"/>
  <c r="W602" i="135" s="1"/>
  <c r="AM601" i="135" a="1"/>
  <c r="AM601" i="135" s="1"/>
  <c r="AL601" i="135" a="1"/>
  <c r="AL601" i="135" s="1"/>
  <c r="AK601" i="135" a="1"/>
  <c r="AK601" i="135" s="1"/>
  <c r="AJ601" i="135" a="1"/>
  <c r="AJ601" i="135" s="1"/>
  <c r="AI601" i="135" a="1"/>
  <c r="AI601" i="135" s="1"/>
  <c r="AH601" i="135" a="1"/>
  <c r="AH601" i="135" s="1"/>
  <c r="AG601" i="135" a="1"/>
  <c r="AG601" i="135" s="1"/>
  <c r="AF601" i="135" a="1"/>
  <c r="AF601" i="135" s="1"/>
  <c r="AE601" i="135" a="1"/>
  <c r="AE601" i="135" s="1"/>
  <c r="AD601" i="135" a="1"/>
  <c r="AD601" i="135" s="1"/>
  <c r="AC601" i="135" a="1"/>
  <c r="AC601" i="135" s="1"/>
  <c r="AB601" i="135" a="1"/>
  <c r="AB601" i="135" s="1"/>
  <c r="AA601" i="135" a="1"/>
  <c r="AA601" i="135" s="1"/>
  <c r="Z601" i="135" a="1"/>
  <c r="Z601" i="135" s="1"/>
  <c r="Y601" i="135" a="1"/>
  <c r="Y601" i="135" s="1"/>
  <c r="X601" i="135" a="1"/>
  <c r="X601" i="135" s="1"/>
  <c r="W601" i="135" a="1"/>
  <c r="W601" i="135" s="1"/>
  <c r="AM600" i="135" a="1"/>
  <c r="AM600" i="135" s="1"/>
  <c r="AL600" i="135" a="1"/>
  <c r="AL600" i="135" s="1"/>
  <c r="AK600" i="135" a="1"/>
  <c r="AK600" i="135" s="1"/>
  <c r="AJ600" i="135" a="1"/>
  <c r="AJ600" i="135" s="1"/>
  <c r="AI600" i="135" a="1"/>
  <c r="AI600" i="135" s="1"/>
  <c r="AH600" i="135" a="1"/>
  <c r="AH600" i="135" s="1"/>
  <c r="AG600" i="135" a="1"/>
  <c r="AG600" i="135" s="1"/>
  <c r="AF600" i="135" a="1"/>
  <c r="AF600" i="135" s="1"/>
  <c r="AE600" i="135" a="1"/>
  <c r="AE600" i="135" s="1"/>
  <c r="AD600" i="135" a="1"/>
  <c r="AD600" i="135" s="1"/>
  <c r="AC600" i="135" a="1"/>
  <c r="AC600" i="135" s="1"/>
  <c r="AB600" i="135" a="1"/>
  <c r="AB600" i="135" s="1"/>
  <c r="AA600" i="135" a="1"/>
  <c r="AA600" i="135" s="1"/>
  <c r="Z600" i="135" a="1"/>
  <c r="Z600" i="135" s="1"/>
  <c r="Y600" i="135" a="1"/>
  <c r="Y600" i="135" s="1"/>
  <c r="X600" i="135" a="1"/>
  <c r="X600" i="135" s="1"/>
  <c r="W600" i="135" a="1"/>
  <c r="W600" i="135" s="1"/>
  <c r="AM599" i="135" a="1"/>
  <c r="AM599" i="135" s="1"/>
  <c r="AL599" i="135" a="1"/>
  <c r="AL599" i="135" s="1"/>
  <c r="AK599" i="135" a="1"/>
  <c r="AK599" i="135" s="1"/>
  <c r="AJ599" i="135" a="1"/>
  <c r="AJ599" i="135" s="1"/>
  <c r="AI599" i="135" a="1"/>
  <c r="AI599" i="135" s="1"/>
  <c r="AH599" i="135" a="1"/>
  <c r="AH599" i="135" s="1"/>
  <c r="AG599" i="135" a="1"/>
  <c r="AG599" i="135" s="1"/>
  <c r="AF599" i="135" a="1"/>
  <c r="AF599" i="135" s="1"/>
  <c r="AE599" i="135" a="1"/>
  <c r="AE599" i="135" s="1"/>
  <c r="AD599" i="135" a="1"/>
  <c r="AD599" i="135" s="1"/>
  <c r="AC599" i="135" a="1"/>
  <c r="AC599" i="135" s="1"/>
  <c r="AB599" i="135" a="1"/>
  <c r="AB599" i="135" s="1"/>
  <c r="AA599" i="135" a="1"/>
  <c r="AA599" i="135" s="1"/>
  <c r="Z599" i="135" a="1"/>
  <c r="Z599" i="135" s="1"/>
  <c r="Y599" i="135" a="1"/>
  <c r="Y599" i="135" s="1"/>
  <c r="X599" i="135" a="1"/>
  <c r="X599" i="135" s="1"/>
  <c r="W599" i="135" a="1"/>
  <c r="W599" i="135" s="1"/>
  <c r="AM598" i="135" a="1"/>
  <c r="AM598" i="135" s="1"/>
  <c r="AL598" i="135" a="1"/>
  <c r="AL598" i="135" s="1"/>
  <c r="AK598" i="135" a="1"/>
  <c r="AK598" i="135" s="1"/>
  <c r="AJ598" i="135" a="1"/>
  <c r="AJ598" i="135" s="1"/>
  <c r="AI598" i="135" a="1"/>
  <c r="AI598" i="135" s="1"/>
  <c r="AH598" i="135" a="1"/>
  <c r="AH598" i="135" s="1"/>
  <c r="AG598" i="135" a="1"/>
  <c r="AG598" i="135" s="1"/>
  <c r="AF598" i="135" a="1"/>
  <c r="AF598" i="135" s="1"/>
  <c r="AE598" i="135" a="1"/>
  <c r="AE598" i="135" s="1"/>
  <c r="AD598" i="135" a="1"/>
  <c r="AD598" i="135" s="1"/>
  <c r="AC598" i="135" a="1"/>
  <c r="AC598" i="135" s="1"/>
  <c r="AB598" i="135" a="1"/>
  <c r="AB598" i="135" s="1"/>
  <c r="AA598" i="135" a="1"/>
  <c r="AA598" i="135" s="1"/>
  <c r="Z598" i="135" a="1"/>
  <c r="Z598" i="135" s="1"/>
  <c r="Y598" i="135" a="1"/>
  <c r="Y598" i="135" s="1"/>
  <c r="X598" i="135" a="1"/>
  <c r="X598" i="135" s="1"/>
  <c r="W598" i="135" a="1"/>
  <c r="W598" i="135" s="1"/>
  <c r="AM597" i="135" a="1"/>
  <c r="AM597" i="135" s="1"/>
  <c r="AL597" i="135" a="1"/>
  <c r="AL597" i="135" s="1"/>
  <c r="AK597" i="135" a="1"/>
  <c r="AK597" i="135" s="1"/>
  <c r="AJ597" i="135" a="1"/>
  <c r="AJ597" i="135" s="1"/>
  <c r="AI597" i="135" a="1"/>
  <c r="AI597" i="135" s="1"/>
  <c r="AH597" i="135" a="1"/>
  <c r="AH597" i="135" s="1"/>
  <c r="AG597" i="135" a="1"/>
  <c r="AG597" i="135" s="1"/>
  <c r="AF597" i="135" a="1"/>
  <c r="AF597" i="135" s="1"/>
  <c r="AE597" i="135" a="1"/>
  <c r="AE597" i="135" s="1"/>
  <c r="AD597" i="135" a="1"/>
  <c r="AD597" i="135" s="1"/>
  <c r="AC597" i="135" a="1"/>
  <c r="AC597" i="135" s="1"/>
  <c r="AB597" i="135" a="1"/>
  <c r="AB597" i="135" s="1"/>
  <c r="AA597" i="135" a="1"/>
  <c r="AA597" i="135" s="1"/>
  <c r="Z597" i="135" a="1"/>
  <c r="Z597" i="135" s="1"/>
  <c r="Y597" i="135" a="1"/>
  <c r="Y597" i="135" s="1"/>
  <c r="X597" i="135" a="1"/>
  <c r="X597" i="135" s="1"/>
  <c r="W597" i="135" a="1"/>
  <c r="W597" i="135" s="1"/>
  <c r="AM596" i="135" a="1"/>
  <c r="AM596" i="135" s="1"/>
  <c r="AL596" i="135" a="1"/>
  <c r="AL596" i="135" s="1"/>
  <c r="AK596" i="135" a="1"/>
  <c r="AK596" i="135" s="1"/>
  <c r="AJ596" i="135" a="1"/>
  <c r="AJ596" i="135" s="1"/>
  <c r="AI596" i="135" a="1"/>
  <c r="AI596" i="135" s="1"/>
  <c r="AH596" i="135" a="1"/>
  <c r="AH596" i="135" s="1"/>
  <c r="AG596" i="135" a="1"/>
  <c r="AG596" i="135" s="1"/>
  <c r="AF596" i="135" a="1"/>
  <c r="AF596" i="135" s="1"/>
  <c r="AE596" i="135" a="1"/>
  <c r="AE596" i="135" s="1"/>
  <c r="AD596" i="135" a="1"/>
  <c r="AD596" i="135" s="1"/>
  <c r="AC596" i="135" a="1"/>
  <c r="AC596" i="135" s="1"/>
  <c r="AB596" i="135" a="1"/>
  <c r="AB596" i="135" s="1"/>
  <c r="AA596" i="135" a="1"/>
  <c r="AA596" i="135" s="1"/>
  <c r="Z596" i="135" a="1"/>
  <c r="Z596" i="135" s="1"/>
  <c r="Y596" i="135" a="1"/>
  <c r="Y596" i="135" s="1"/>
  <c r="X596" i="135" a="1"/>
  <c r="X596" i="135" s="1"/>
  <c r="W596" i="135" a="1"/>
  <c r="W596" i="135" s="1"/>
  <c r="AM595" i="135" a="1"/>
  <c r="AM595" i="135" s="1"/>
  <c r="AL595" i="135" a="1"/>
  <c r="AL595" i="135" s="1"/>
  <c r="AK595" i="135" a="1"/>
  <c r="AK595" i="135" s="1"/>
  <c r="AJ595" i="135" a="1"/>
  <c r="AJ595" i="135" s="1"/>
  <c r="AI595" i="135" a="1"/>
  <c r="AI595" i="135" s="1"/>
  <c r="AH595" i="135" a="1"/>
  <c r="AH595" i="135" s="1"/>
  <c r="AG595" i="135" a="1"/>
  <c r="AG595" i="135" s="1"/>
  <c r="AF595" i="135" a="1"/>
  <c r="AF595" i="135" s="1"/>
  <c r="AE595" i="135" a="1"/>
  <c r="AE595" i="135" s="1"/>
  <c r="AD595" i="135" a="1"/>
  <c r="AD595" i="135" s="1"/>
  <c r="AC595" i="135" a="1"/>
  <c r="AC595" i="135" s="1"/>
  <c r="AB595" i="135" a="1"/>
  <c r="AB595" i="135" s="1"/>
  <c r="AA595" i="135" a="1"/>
  <c r="AA595" i="135" s="1"/>
  <c r="Z595" i="135" a="1"/>
  <c r="Z595" i="135" s="1"/>
  <c r="Y595" i="135" a="1"/>
  <c r="Y595" i="135" s="1"/>
  <c r="X595" i="135" a="1"/>
  <c r="X595" i="135" s="1"/>
  <c r="W595" i="135" a="1"/>
  <c r="W595" i="135" s="1"/>
  <c r="AM594" i="135" a="1"/>
  <c r="AM594" i="135" s="1"/>
  <c r="AL594" i="135" a="1"/>
  <c r="AL594" i="135" s="1"/>
  <c r="AK594" i="135" a="1"/>
  <c r="AK594" i="135" s="1"/>
  <c r="AJ594" i="135" a="1"/>
  <c r="AJ594" i="135" s="1"/>
  <c r="AI594" i="135" a="1"/>
  <c r="AI594" i="135" s="1"/>
  <c r="AH594" i="135" a="1"/>
  <c r="AH594" i="135" s="1"/>
  <c r="AG594" i="135" a="1"/>
  <c r="AG594" i="135" s="1"/>
  <c r="AF594" i="135" a="1"/>
  <c r="AF594" i="135" s="1"/>
  <c r="AE594" i="135" a="1"/>
  <c r="AE594" i="135" s="1"/>
  <c r="AD594" i="135" a="1"/>
  <c r="AD594" i="135" s="1"/>
  <c r="AC594" i="135" a="1"/>
  <c r="AC594" i="135" s="1"/>
  <c r="AB594" i="135" a="1"/>
  <c r="AB594" i="135" s="1"/>
  <c r="AA594" i="135" a="1"/>
  <c r="AA594" i="135" s="1"/>
  <c r="Z594" i="135" a="1"/>
  <c r="Z594" i="135" s="1"/>
  <c r="Y594" i="135" a="1"/>
  <c r="Y594" i="135" s="1"/>
  <c r="X594" i="135" a="1"/>
  <c r="X594" i="135" s="1"/>
  <c r="W594" i="135" a="1"/>
  <c r="W594" i="135" s="1"/>
  <c r="AM593" i="135" a="1"/>
  <c r="AM593" i="135" s="1"/>
  <c r="AL593" i="135" a="1"/>
  <c r="AL593" i="135" s="1"/>
  <c r="AK593" i="135" a="1"/>
  <c r="AK593" i="135" s="1"/>
  <c r="AJ593" i="135" a="1"/>
  <c r="AJ593" i="135" s="1"/>
  <c r="AI593" i="135" a="1"/>
  <c r="AI593" i="135" s="1"/>
  <c r="AH593" i="135" a="1"/>
  <c r="AH593" i="135" s="1"/>
  <c r="AG593" i="135" a="1"/>
  <c r="AG593" i="135" s="1"/>
  <c r="AF593" i="135" a="1"/>
  <c r="AF593" i="135" s="1"/>
  <c r="AE593" i="135" a="1"/>
  <c r="AE593" i="135" s="1"/>
  <c r="AD593" i="135" a="1"/>
  <c r="AD593" i="135" s="1"/>
  <c r="AC593" i="135" a="1"/>
  <c r="AC593" i="135" s="1"/>
  <c r="AB593" i="135" a="1"/>
  <c r="AB593" i="135" s="1"/>
  <c r="AA593" i="135" a="1"/>
  <c r="AA593" i="135" s="1"/>
  <c r="Z593" i="135" a="1"/>
  <c r="Z593" i="135" s="1"/>
  <c r="Y593" i="135" a="1"/>
  <c r="Y593" i="135" s="1"/>
  <c r="X593" i="135" a="1"/>
  <c r="X593" i="135" s="1"/>
  <c r="W593" i="135" a="1"/>
  <c r="W593" i="135" s="1"/>
  <c r="AM592" i="135" a="1"/>
  <c r="AM592" i="135" s="1"/>
  <c r="AL592" i="135" a="1"/>
  <c r="AL592" i="135" s="1"/>
  <c r="AK592" i="135" a="1"/>
  <c r="AK592" i="135" s="1"/>
  <c r="AJ592" i="135" a="1"/>
  <c r="AJ592" i="135" s="1"/>
  <c r="AI592" i="135" a="1"/>
  <c r="AI592" i="135" s="1"/>
  <c r="AH592" i="135" a="1"/>
  <c r="AH592" i="135" s="1"/>
  <c r="AG592" i="135" a="1"/>
  <c r="AG592" i="135" s="1"/>
  <c r="AF592" i="135" a="1"/>
  <c r="AF592" i="135" s="1"/>
  <c r="AE592" i="135" a="1"/>
  <c r="AE592" i="135" s="1"/>
  <c r="AD592" i="135" a="1"/>
  <c r="AD592" i="135" s="1"/>
  <c r="AC592" i="135" a="1"/>
  <c r="AC592" i="135" s="1"/>
  <c r="AB592" i="135" a="1"/>
  <c r="AB592" i="135" s="1"/>
  <c r="AA592" i="135" a="1"/>
  <c r="AA592" i="135" s="1"/>
  <c r="Z592" i="135" a="1"/>
  <c r="Z592" i="135" s="1"/>
  <c r="Y592" i="135" a="1"/>
  <c r="Y592" i="135" s="1"/>
  <c r="X592" i="135" a="1"/>
  <c r="X592" i="135" s="1"/>
  <c r="W592" i="135" a="1"/>
  <c r="W592" i="135" s="1"/>
  <c r="AM591" i="135" a="1"/>
  <c r="AM591" i="135" s="1"/>
  <c r="AL591" i="135" a="1"/>
  <c r="AL591" i="135" s="1"/>
  <c r="AK591" i="135" a="1"/>
  <c r="AK591" i="135" s="1"/>
  <c r="AJ591" i="135" a="1"/>
  <c r="AJ591" i="135" s="1"/>
  <c r="AI591" i="135" a="1"/>
  <c r="AI591" i="135" s="1"/>
  <c r="AH591" i="135" a="1"/>
  <c r="AH591" i="135" s="1"/>
  <c r="AG591" i="135" a="1"/>
  <c r="AG591" i="135" s="1"/>
  <c r="AF591" i="135" a="1"/>
  <c r="AF591" i="135" s="1"/>
  <c r="AE591" i="135" a="1"/>
  <c r="AE591" i="135" s="1"/>
  <c r="AD591" i="135" a="1"/>
  <c r="AD591" i="135" s="1"/>
  <c r="AC591" i="135" a="1"/>
  <c r="AC591" i="135" s="1"/>
  <c r="AB591" i="135" a="1"/>
  <c r="AB591" i="135" s="1"/>
  <c r="AA591" i="135" a="1"/>
  <c r="AA591" i="135" s="1"/>
  <c r="Z591" i="135" a="1"/>
  <c r="Z591" i="135" s="1"/>
  <c r="Y591" i="135" a="1"/>
  <c r="Y591" i="135" s="1"/>
  <c r="X591" i="135" a="1"/>
  <c r="X591" i="135" s="1"/>
  <c r="W591" i="135" a="1"/>
  <c r="W591" i="135" s="1"/>
  <c r="AM590" i="135" a="1"/>
  <c r="AM590" i="135" s="1"/>
  <c r="AL590" i="135" a="1"/>
  <c r="AL590" i="135" s="1"/>
  <c r="AK590" i="135" a="1"/>
  <c r="AK590" i="135" s="1"/>
  <c r="AJ590" i="135" a="1"/>
  <c r="AJ590" i="135" s="1"/>
  <c r="AI590" i="135" a="1"/>
  <c r="AI590" i="135" s="1"/>
  <c r="AH590" i="135" a="1"/>
  <c r="AH590" i="135" s="1"/>
  <c r="AG590" i="135" a="1"/>
  <c r="AG590" i="135" s="1"/>
  <c r="AF590" i="135" a="1"/>
  <c r="AF590" i="135" s="1"/>
  <c r="AE590" i="135" a="1"/>
  <c r="AE590" i="135" s="1"/>
  <c r="AD590" i="135" a="1"/>
  <c r="AD590" i="135" s="1"/>
  <c r="AC590" i="135" a="1"/>
  <c r="AC590" i="135" s="1"/>
  <c r="AB590" i="135" a="1"/>
  <c r="AB590" i="135" s="1"/>
  <c r="AA590" i="135" a="1"/>
  <c r="AA590" i="135" s="1"/>
  <c r="Z590" i="135" a="1"/>
  <c r="Z590" i="135" s="1"/>
  <c r="Y590" i="135" a="1"/>
  <c r="Y590" i="135" s="1"/>
  <c r="X590" i="135" a="1"/>
  <c r="X590" i="135" s="1"/>
  <c r="W590" i="135" a="1"/>
  <c r="W590" i="135" s="1"/>
  <c r="AM589" i="135" a="1"/>
  <c r="AM589" i="135" s="1"/>
  <c r="AL589" i="135" a="1"/>
  <c r="AL589" i="135" s="1"/>
  <c r="AK589" i="135" a="1"/>
  <c r="AK589" i="135" s="1"/>
  <c r="AJ589" i="135" a="1"/>
  <c r="AJ589" i="135" s="1"/>
  <c r="AI589" i="135" a="1"/>
  <c r="AI589" i="135" s="1"/>
  <c r="AH589" i="135" a="1"/>
  <c r="AH589" i="135" s="1"/>
  <c r="AG589" i="135" a="1"/>
  <c r="AG589" i="135" s="1"/>
  <c r="AF589" i="135" a="1"/>
  <c r="AF589" i="135" s="1"/>
  <c r="AE589" i="135" a="1"/>
  <c r="AE589" i="135" s="1"/>
  <c r="AD589" i="135" a="1"/>
  <c r="AD589" i="135" s="1"/>
  <c r="AC589" i="135" a="1"/>
  <c r="AC589" i="135" s="1"/>
  <c r="AB589" i="135" a="1"/>
  <c r="AB589" i="135" s="1"/>
  <c r="AA589" i="135" a="1"/>
  <c r="AA589" i="135" s="1"/>
  <c r="Z589" i="135" a="1"/>
  <c r="Z589" i="135" s="1"/>
  <c r="Y589" i="135" a="1"/>
  <c r="Y589" i="135" s="1"/>
  <c r="X589" i="135" a="1"/>
  <c r="X589" i="135" s="1"/>
  <c r="W589" i="135" a="1"/>
  <c r="W589" i="135" s="1"/>
  <c r="AM588" i="135" a="1"/>
  <c r="AM588" i="135" s="1"/>
  <c r="AL588" i="135" a="1"/>
  <c r="AL588" i="135" s="1"/>
  <c r="AK588" i="135" a="1"/>
  <c r="AK588" i="135" s="1"/>
  <c r="AJ588" i="135" a="1"/>
  <c r="AJ588" i="135" s="1"/>
  <c r="AI588" i="135" a="1"/>
  <c r="AI588" i="135" s="1"/>
  <c r="AH588" i="135" a="1"/>
  <c r="AH588" i="135" s="1"/>
  <c r="AG588" i="135" a="1"/>
  <c r="AG588" i="135" s="1"/>
  <c r="AF588" i="135" a="1"/>
  <c r="AF588" i="135" s="1"/>
  <c r="AE588" i="135" a="1"/>
  <c r="AE588" i="135" s="1"/>
  <c r="AD588" i="135" a="1"/>
  <c r="AD588" i="135" s="1"/>
  <c r="AC588" i="135" a="1"/>
  <c r="AC588" i="135" s="1"/>
  <c r="AB588" i="135" a="1"/>
  <c r="AB588" i="135" s="1"/>
  <c r="AA588" i="135" a="1"/>
  <c r="AA588" i="135" s="1"/>
  <c r="Z588" i="135" a="1"/>
  <c r="Z588" i="135" s="1"/>
  <c r="Y588" i="135" a="1"/>
  <c r="Y588" i="135" s="1"/>
  <c r="X588" i="135" a="1"/>
  <c r="X588" i="135" s="1"/>
  <c r="W588" i="135" a="1"/>
  <c r="W588" i="135" s="1"/>
  <c r="AM587" i="135" a="1"/>
  <c r="AM587" i="135" s="1"/>
  <c r="AL587" i="135" a="1"/>
  <c r="AL587" i="135" s="1"/>
  <c r="AK587" i="135" a="1"/>
  <c r="AK587" i="135" s="1"/>
  <c r="AJ587" i="135" a="1"/>
  <c r="AJ587" i="135" s="1"/>
  <c r="AI587" i="135" a="1"/>
  <c r="AI587" i="135" s="1"/>
  <c r="AH587" i="135" a="1"/>
  <c r="AH587" i="135" s="1"/>
  <c r="AG587" i="135" a="1"/>
  <c r="AG587" i="135" s="1"/>
  <c r="AF587" i="135" a="1"/>
  <c r="AF587" i="135" s="1"/>
  <c r="AE587" i="135" a="1"/>
  <c r="AE587" i="135" s="1"/>
  <c r="AD587" i="135" a="1"/>
  <c r="AD587" i="135" s="1"/>
  <c r="AC587" i="135" a="1"/>
  <c r="AC587" i="135" s="1"/>
  <c r="AB587" i="135" a="1"/>
  <c r="AB587" i="135" s="1"/>
  <c r="AA587" i="135" a="1"/>
  <c r="AA587" i="135" s="1"/>
  <c r="Z587" i="135" a="1"/>
  <c r="Z587" i="135" s="1"/>
  <c r="Y587" i="135" a="1"/>
  <c r="Y587" i="135" s="1"/>
  <c r="X587" i="135" a="1"/>
  <c r="X587" i="135" s="1"/>
  <c r="W587" i="135" a="1"/>
  <c r="W587" i="135" s="1"/>
  <c r="AM586" i="135" a="1"/>
  <c r="AM586" i="135" s="1"/>
  <c r="AL586" i="135" a="1"/>
  <c r="AL586" i="135" s="1"/>
  <c r="AK586" i="135" a="1"/>
  <c r="AK586" i="135" s="1"/>
  <c r="AJ586" i="135" a="1"/>
  <c r="AJ586" i="135" s="1"/>
  <c r="AI586" i="135" a="1"/>
  <c r="AI586" i="135" s="1"/>
  <c r="AH586" i="135" a="1"/>
  <c r="AH586" i="135" s="1"/>
  <c r="AG586" i="135" a="1"/>
  <c r="AG586" i="135" s="1"/>
  <c r="AF586" i="135" a="1"/>
  <c r="AF586" i="135" s="1"/>
  <c r="AE586" i="135" a="1"/>
  <c r="AE586" i="135" s="1"/>
  <c r="AD586" i="135" a="1"/>
  <c r="AD586" i="135" s="1"/>
  <c r="AC586" i="135" a="1"/>
  <c r="AC586" i="135" s="1"/>
  <c r="AB586" i="135" a="1"/>
  <c r="AB586" i="135" s="1"/>
  <c r="AA586" i="135" a="1"/>
  <c r="AA586" i="135" s="1"/>
  <c r="Z586" i="135" a="1"/>
  <c r="Z586" i="135" s="1"/>
  <c r="Y586" i="135" a="1"/>
  <c r="Y586" i="135" s="1"/>
  <c r="X586" i="135" a="1"/>
  <c r="X586" i="135" s="1"/>
  <c r="W586" i="135" a="1"/>
  <c r="W586" i="135" s="1"/>
  <c r="AM585" i="135" a="1"/>
  <c r="AM585" i="135" s="1"/>
  <c r="AL585" i="135" a="1"/>
  <c r="AL585" i="135" s="1"/>
  <c r="AK585" i="135" a="1"/>
  <c r="AK585" i="135" s="1"/>
  <c r="AJ585" i="135" a="1"/>
  <c r="AJ585" i="135" s="1"/>
  <c r="AI585" i="135" a="1"/>
  <c r="AI585" i="135" s="1"/>
  <c r="AH585" i="135" a="1"/>
  <c r="AH585" i="135" s="1"/>
  <c r="AG585" i="135" a="1"/>
  <c r="AG585" i="135" s="1"/>
  <c r="AF585" i="135" a="1"/>
  <c r="AF585" i="135" s="1"/>
  <c r="AE585" i="135" a="1"/>
  <c r="AE585" i="135" s="1"/>
  <c r="AD585" i="135" a="1"/>
  <c r="AD585" i="135" s="1"/>
  <c r="AC585" i="135" a="1"/>
  <c r="AC585" i="135" s="1"/>
  <c r="AB585" i="135" a="1"/>
  <c r="AB585" i="135" s="1"/>
  <c r="AA585" i="135" a="1"/>
  <c r="AA585" i="135" s="1"/>
  <c r="Z585" i="135" a="1"/>
  <c r="Z585" i="135" s="1"/>
  <c r="Y585" i="135" a="1"/>
  <c r="Y585" i="135" s="1"/>
  <c r="X585" i="135" a="1"/>
  <c r="X585" i="135" s="1"/>
  <c r="W585" i="135" a="1"/>
  <c r="W585" i="135" s="1"/>
  <c r="AM584" i="135" a="1"/>
  <c r="AM584" i="135" s="1"/>
  <c r="AL584" i="135" a="1"/>
  <c r="AL584" i="135" s="1"/>
  <c r="AK584" i="135" a="1"/>
  <c r="AK584" i="135" s="1"/>
  <c r="AJ584" i="135" a="1"/>
  <c r="AJ584" i="135" s="1"/>
  <c r="AI584" i="135" a="1"/>
  <c r="AI584" i="135" s="1"/>
  <c r="AH584" i="135" a="1"/>
  <c r="AH584" i="135" s="1"/>
  <c r="AG584" i="135" a="1"/>
  <c r="AG584" i="135" s="1"/>
  <c r="AF584" i="135" a="1"/>
  <c r="AF584" i="135" s="1"/>
  <c r="AE584" i="135" a="1"/>
  <c r="AE584" i="135" s="1"/>
  <c r="AD584" i="135" a="1"/>
  <c r="AD584" i="135" s="1"/>
  <c r="AC584" i="135" a="1"/>
  <c r="AC584" i="135" s="1"/>
  <c r="AB584" i="135" a="1"/>
  <c r="AB584" i="135" s="1"/>
  <c r="AA584" i="135" a="1"/>
  <c r="AA584" i="135" s="1"/>
  <c r="Z584" i="135" a="1"/>
  <c r="Z584" i="135" s="1"/>
  <c r="Y584" i="135" a="1"/>
  <c r="Y584" i="135" s="1"/>
  <c r="X584" i="135" a="1"/>
  <c r="X584" i="135" s="1"/>
  <c r="W584" i="135" a="1"/>
  <c r="W584" i="135" s="1"/>
  <c r="AM583" i="135" a="1"/>
  <c r="AM583" i="135" s="1"/>
  <c r="AL583" i="135" a="1"/>
  <c r="AL583" i="135" s="1"/>
  <c r="AK583" i="135" a="1"/>
  <c r="AK583" i="135" s="1"/>
  <c r="AJ583" i="135" a="1"/>
  <c r="AJ583" i="135" s="1"/>
  <c r="AI583" i="135" a="1"/>
  <c r="AI583" i="135" s="1"/>
  <c r="AH583" i="135" a="1"/>
  <c r="AH583" i="135" s="1"/>
  <c r="AG583" i="135" a="1"/>
  <c r="AG583" i="135" s="1"/>
  <c r="AF583" i="135" a="1"/>
  <c r="AF583" i="135" s="1"/>
  <c r="AE583" i="135" a="1"/>
  <c r="AE583" i="135" s="1"/>
  <c r="AD583" i="135" a="1"/>
  <c r="AD583" i="135" s="1"/>
  <c r="AC583" i="135" a="1"/>
  <c r="AC583" i="135" s="1"/>
  <c r="AB583" i="135" a="1"/>
  <c r="AB583" i="135" s="1"/>
  <c r="AA583" i="135" a="1"/>
  <c r="AA583" i="135" s="1"/>
  <c r="Z583" i="135" a="1"/>
  <c r="Z583" i="135" s="1"/>
  <c r="Y583" i="135" a="1"/>
  <c r="Y583" i="135" s="1"/>
  <c r="X583" i="135" a="1"/>
  <c r="X583" i="135" s="1"/>
  <c r="W583" i="135" a="1"/>
  <c r="W583" i="135" s="1"/>
  <c r="AM582" i="135" a="1"/>
  <c r="AM582" i="135" s="1"/>
  <c r="AL582" i="135" a="1"/>
  <c r="AL582" i="135" s="1"/>
  <c r="AK582" i="135" a="1"/>
  <c r="AK582" i="135" s="1"/>
  <c r="AJ582" i="135" a="1"/>
  <c r="AJ582" i="135" s="1"/>
  <c r="AI582" i="135" a="1"/>
  <c r="AI582" i="135" s="1"/>
  <c r="AH582" i="135" a="1"/>
  <c r="AH582" i="135" s="1"/>
  <c r="AG582" i="135" a="1"/>
  <c r="AG582" i="135" s="1"/>
  <c r="AF582" i="135" a="1"/>
  <c r="AF582" i="135" s="1"/>
  <c r="AE582" i="135" a="1"/>
  <c r="AE582" i="135" s="1"/>
  <c r="AD582" i="135" a="1"/>
  <c r="AD582" i="135" s="1"/>
  <c r="AC582" i="135" a="1"/>
  <c r="AC582" i="135" s="1"/>
  <c r="AB582" i="135" a="1"/>
  <c r="AB582" i="135" s="1"/>
  <c r="AA582" i="135" a="1"/>
  <c r="AA582" i="135" s="1"/>
  <c r="Z582" i="135" a="1"/>
  <c r="Z582" i="135" s="1"/>
  <c r="Y582" i="135" a="1"/>
  <c r="Y582" i="135" s="1"/>
  <c r="X582" i="135" a="1"/>
  <c r="X582" i="135" s="1"/>
  <c r="W582" i="135" a="1"/>
  <c r="W582" i="135" s="1"/>
  <c r="AM581" i="135" a="1"/>
  <c r="AM581" i="135" s="1"/>
  <c r="AL581" i="135" a="1"/>
  <c r="AL581" i="135" s="1"/>
  <c r="AK581" i="135" a="1"/>
  <c r="AK581" i="135" s="1"/>
  <c r="AJ581" i="135" a="1"/>
  <c r="AJ581" i="135" s="1"/>
  <c r="AI581" i="135" a="1"/>
  <c r="AI581" i="135" s="1"/>
  <c r="AH581" i="135" a="1"/>
  <c r="AH581" i="135" s="1"/>
  <c r="AG581" i="135" a="1"/>
  <c r="AG581" i="135" s="1"/>
  <c r="AF581" i="135" a="1"/>
  <c r="AF581" i="135" s="1"/>
  <c r="AE581" i="135" a="1"/>
  <c r="AE581" i="135" s="1"/>
  <c r="AD581" i="135" a="1"/>
  <c r="AD581" i="135" s="1"/>
  <c r="AC581" i="135" a="1"/>
  <c r="AC581" i="135" s="1"/>
  <c r="AB581" i="135" a="1"/>
  <c r="AB581" i="135" s="1"/>
  <c r="AA581" i="135" a="1"/>
  <c r="AA581" i="135" s="1"/>
  <c r="Z581" i="135" a="1"/>
  <c r="Z581" i="135" s="1"/>
  <c r="Y581" i="135" a="1"/>
  <c r="Y581" i="135" s="1"/>
  <c r="X581" i="135" a="1"/>
  <c r="X581" i="135" s="1"/>
  <c r="W581" i="135" a="1"/>
  <c r="W581" i="135" s="1"/>
  <c r="AM580" i="135" a="1"/>
  <c r="AM580" i="135" s="1"/>
  <c r="AL580" i="135" a="1"/>
  <c r="AL580" i="135" s="1"/>
  <c r="AK580" i="135" a="1"/>
  <c r="AK580" i="135" s="1"/>
  <c r="AJ580" i="135" a="1"/>
  <c r="AJ580" i="135" s="1"/>
  <c r="AI580" i="135" a="1"/>
  <c r="AI580" i="135" s="1"/>
  <c r="AH580" i="135" a="1"/>
  <c r="AH580" i="135" s="1"/>
  <c r="AG580" i="135" a="1"/>
  <c r="AG580" i="135" s="1"/>
  <c r="AF580" i="135" a="1"/>
  <c r="AF580" i="135" s="1"/>
  <c r="AE580" i="135" a="1"/>
  <c r="AE580" i="135" s="1"/>
  <c r="AD580" i="135" a="1"/>
  <c r="AD580" i="135" s="1"/>
  <c r="AC580" i="135" a="1"/>
  <c r="AC580" i="135" s="1"/>
  <c r="AB580" i="135" a="1"/>
  <c r="AB580" i="135" s="1"/>
  <c r="AA580" i="135" a="1"/>
  <c r="AA580" i="135" s="1"/>
  <c r="Z580" i="135" a="1"/>
  <c r="Z580" i="135" s="1"/>
  <c r="Y580" i="135" a="1"/>
  <c r="Y580" i="135" s="1"/>
  <c r="X580" i="135" a="1"/>
  <c r="X580" i="135" s="1"/>
  <c r="W580" i="135" a="1"/>
  <c r="W580" i="135" s="1"/>
  <c r="AM579" i="135" a="1"/>
  <c r="AM579" i="135" s="1"/>
  <c r="AL579" i="135" a="1"/>
  <c r="AL579" i="135" s="1"/>
  <c r="AK579" i="135" a="1"/>
  <c r="AK579" i="135" s="1"/>
  <c r="AJ579" i="135" a="1"/>
  <c r="AJ579" i="135" s="1"/>
  <c r="AI579" i="135" a="1"/>
  <c r="AI579" i="135" s="1"/>
  <c r="AH579" i="135" a="1"/>
  <c r="AH579" i="135" s="1"/>
  <c r="AG579" i="135" a="1"/>
  <c r="AG579" i="135" s="1"/>
  <c r="AF579" i="135" a="1"/>
  <c r="AF579" i="135" s="1"/>
  <c r="AE579" i="135" a="1"/>
  <c r="AE579" i="135" s="1"/>
  <c r="AD579" i="135" a="1"/>
  <c r="AD579" i="135" s="1"/>
  <c r="AC579" i="135" a="1"/>
  <c r="AC579" i="135" s="1"/>
  <c r="AB579" i="135" a="1"/>
  <c r="AB579" i="135" s="1"/>
  <c r="AA579" i="135" a="1"/>
  <c r="AA579" i="135" s="1"/>
  <c r="Z579" i="135" a="1"/>
  <c r="Z579" i="135" s="1"/>
  <c r="Y579" i="135" a="1"/>
  <c r="Y579" i="135" s="1"/>
  <c r="X579" i="135" a="1"/>
  <c r="X579" i="135" s="1"/>
  <c r="W579" i="135" a="1"/>
  <c r="W579" i="135" s="1"/>
  <c r="AM578" i="135" a="1"/>
  <c r="AM578" i="135" s="1"/>
  <c r="AL578" i="135" a="1"/>
  <c r="AL578" i="135" s="1"/>
  <c r="AK578" i="135" a="1"/>
  <c r="AK578" i="135" s="1"/>
  <c r="AJ578" i="135" a="1"/>
  <c r="AJ578" i="135" s="1"/>
  <c r="AI578" i="135" a="1"/>
  <c r="AI578" i="135" s="1"/>
  <c r="AH578" i="135" a="1"/>
  <c r="AH578" i="135" s="1"/>
  <c r="AG578" i="135" a="1"/>
  <c r="AG578" i="135" s="1"/>
  <c r="AF578" i="135" a="1"/>
  <c r="AF578" i="135" s="1"/>
  <c r="AE578" i="135" a="1"/>
  <c r="AE578" i="135" s="1"/>
  <c r="AD578" i="135" a="1"/>
  <c r="AD578" i="135" s="1"/>
  <c r="AC578" i="135" a="1"/>
  <c r="AC578" i="135" s="1"/>
  <c r="AB578" i="135" a="1"/>
  <c r="AB578" i="135" s="1"/>
  <c r="AA578" i="135" a="1"/>
  <c r="AA578" i="135" s="1"/>
  <c r="Z578" i="135" a="1"/>
  <c r="Z578" i="135" s="1"/>
  <c r="Y578" i="135" a="1"/>
  <c r="Y578" i="135" s="1"/>
  <c r="X578" i="135" a="1"/>
  <c r="X578" i="135" s="1"/>
  <c r="W578" i="135" a="1"/>
  <c r="W578" i="135" s="1"/>
  <c r="AM577" i="135" a="1"/>
  <c r="AM577" i="135" s="1"/>
  <c r="AL577" i="135" a="1"/>
  <c r="AL577" i="135" s="1"/>
  <c r="AK577" i="135" a="1"/>
  <c r="AK577" i="135" s="1"/>
  <c r="AJ577" i="135" a="1"/>
  <c r="AJ577" i="135" s="1"/>
  <c r="AI577" i="135" a="1"/>
  <c r="AI577" i="135" s="1"/>
  <c r="AH577" i="135" a="1"/>
  <c r="AH577" i="135" s="1"/>
  <c r="AG577" i="135" a="1"/>
  <c r="AG577" i="135" s="1"/>
  <c r="AF577" i="135" a="1"/>
  <c r="AF577" i="135" s="1"/>
  <c r="AE577" i="135" a="1"/>
  <c r="AE577" i="135" s="1"/>
  <c r="AD577" i="135" a="1"/>
  <c r="AD577" i="135" s="1"/>
  <c r="AC577" i="135" a="1"/>
  <c r="AC577" i="135" s="1"/>
  <c r="AB577" i="135" a="1"/>
  <c r="AB577" i="135" s="1"/>
  <c r="AA577" i="135" a="1"/>
  <c r="AA577" i="135" s="1"/>
  <c r="Z577" i="135" a="1"/>
  <c r="Z577" i="135" s="1"/>
  <c r="Y577" i="135" a="1"/>
  <c r="Y577" i="135" s="1"/>
  <c r="X577" i="135" a="1"/>
  <c r="X577" i="135" s="1"/>
  <c r="W577" i="135" a="1"/>
  <c r="W577" i="135" s="1"/>
  <c r="AM576" i="135" a="1"/>
  <c r="AM576" i="135" s="1"/>
  <c r="AL576" i="135" a="1"/>
  <c r="AL576" i="135" s="1"/>
  <c r="AK576" i="135" a="1"/>
  <c r="AK576" i="135" s="1"/>
  <c r="AJ576" i="135" a="1"/>
  <c r="AJ576" i="135" s="1"/>
  <c r="AI576" i="135" a="1"/>
  <c r="AI576" i="135" s="1"/>
  <c r="AH576" i="135" a="1"/>
  <c r="AH576" i="135" s="1"/>
  <c r="AG576" i="135" a="1"/>
  <c r="AG576" i="135" s="1"/>
  <c r="AF576" i="135" a="1"/>
  <c r="AF576" i="135" s="1"/>
  <c r="AE576" i="135" a="1"/>
  <c r="AE576" i="135" s="1"/>
  <c r="AD576" i="135" a="1"/>
  <c r="AD576" i="135" s="1"/>
  <c r="AC576" i="135" a="1"/>
  <c r="AC576" i="135" s="1"/>
  <c r="AB576" i="135" a="1"/>
  <c r="AB576" i="135" s="1"/>
  <c r="AA576" i="135" a="1"/>
  <c r="AA576" i="135" s="1"/>
  <c r="Z576" i="135" a="1"/>
  <c r="Z576" i="135" s="1"/>
  <c r="Y576" i="135" a="1"/>
  <c r="Y576" i="135" s="1"/>
  <c r="X576" i="135" a="1"/>
  <c r="X576" i="135" s="1"/>
  <c r="W576" i="135" a="1"/>
  <c r="W576" i="135" s="1"/>
  <c r="AM575" i="135" a="1"/>
  <c r="AM575" i="135" s="1"/>
  <c r="AL575" i="135" a="1"/>
  <c r="AL575" i="135" s="1"/>
  <c r="AK575" i="135" a="1"/>
  <c r="AK575" i="135" s="1"/>
  <c r="AJ575" i="135" a="1"/>
  <c r="AJ575" i="135" s="1"/>
  <c r="AI575" i="135" a="1"/>
  <c r="AI575" i="135" s="1"/>
  <c r="AH575" i="135" a="1"/>
  <c r="AH575" i="135" s="1"/>
  <c r="AG575" i="135" a="1"/>
  <c r="AG575" i="135" s="1"/>
  <c r="AF575" i="135" a="1"/>
  <c r="AF575" i="135" s="1"/>
  <c r="AE575" i="135" a="1"/>
  <c r="AE575" i="135" s="1"/>
  <c r="AD575" i="135" a="1"/>
  <c r="AD575" i="135" s="1"/>
  <c r="AC575" i="135" a="1"/>
  <c r="AC575" i="135" s="1"/>
  <c r="AB575" i="135" a="1"/>
  <c r="AB575" i="135" s="1"/>
  <c r="AA575" i="135" a="1"/>
  <c r="AA575" i="135" s="1"/>
  <c r="Z575" i="135" a="1"/>
  <c r="Z575" i="135" s="1"/>
  <c r="Y575" i="135" a="1"/>
  <c r="Y575" i="135" s="1"/>
  <c r="X575" i="135" a="1"/>
  <c r="X575" i="135" s="1"/>
  <c r="W575" i="135" a="1"/>
  <c r="W575" i="135" s="1"/>
  <c r="AM574" i="135" a="1"/>
  <c r="AM574" i="135" s="1"/>
  <c r="AL574" i="135" a="1"/>
  <c r="AL574" i="135" s="1"/>
  <c r="AK574" i="135" a="1"/>
  <c r="AK574" i="135" s="1"/>
  <c r="AJ574" i="135" a="1"/>
  <c r="AJ574" i="135" s="1"/>
  <c r="AI574" i="135" a="1"/>
  <c r="AI574" i="135" s="1"/>
  <c r="AH574" i="135" a="1"/>
  <c r="AH574" i="135" s="1"/>
  <c r="AG574" i="135" a="1"/>
  <c r="AG574" i="135" s="1"/>
  <c r="AF574" i="135" a="1"/>
  <c r="AF574" i="135" s="1"/>
  <c r="AE574" i="135" a="1"/>
  <c r="AE574" i="135" s="1"/>
  <c r="AD574" i="135" a="1"/>
  <c r="AD574" i="135" s="1"/>
  <c r="AC574" i="135" a="1"/>
  <c r="AC574" i="135" s="1"/>
  <c r="AB574" i="135" a="1"/>
  <c r="AB574" i="135" s="1"/>
  <c r="AA574" i="135" a="1"/>
  <c r="AA574" i="135" s="1"/>
  <c r="Z574" i="135" a="1"/>
  <c r="Z574" i="135" s="1"/>
  <c r="Y574" i="135" a="1"/>
  <c r="Y574" i="135" s="1"/>
  <c r="X574" i="135" a="1"/>
  <c r="X574" i="135" s="1"/>
  <c r="W574" i="135" a="1"/>
  <c r="W574" i="135" s="1"/>
  <c r="AM573" i="135" a="1"/>
  <c r="AM573" i="135" s="1"/>
  <c r="AL573" i="135" a="1"/>
  <c r="AL573" i="135" s="1"/>
  <c r="AK573" i="135" a="1"/>
  <c r="AK573" i="135" s="1"/>
  <c r="AJ573" i="135" a="1"/>
  <c r="AJ573" i="135" s="1"/>
  <c r="AI573" i="135" a="1"/>
  <c r="AI573" i="135" s="1"/>
  <c r="AH573" i="135" a="1"/>
  <c r="AH573" i="135" s="1"/>
  <c r="AG573" i="135" a="1"/>
  <c r="AG573" i="135" s="1"/>
  <c r="AF573" i="135" a="1"/>
  <c r="AF573" i="135" s="1"/>
  <c r="AE573" i="135" a="1"/>
  <c r="AE573" i="135" s="1"/>
  <c r="AD573" i="135" a="1"/>
  <c r="AD573" i="135" s="1"/>
  <c r="AC573" i="135" a="1"/>
  <c r="AC573" i="135" s="1"/>
  <c r="AB573" i="135" a="1"/>
  <c r="AB573" i="135" s="1"/>
  <c r="AA573" i="135" a="1"/>
  <c r="AA573" i="135" s="1"/>
  <c r="Z573" i="135" a="1"/>
  <c r="Z573" i="135" s="1"/>
  <c r="Y573" i="135" a="1"/>
  <c r="Y573" i="135" s="1"/>
  <c r="X573" i="135" a="1"/>
  <c r="X573" i="135" s="1"/>
  <c r="W573" i="135" a="1"/>
  <c r="W573" i="135" s="1"/>
  <c r="AM572" i="135" a="1"/>
  <c r="AM572" i="135" s="1"/>
  <c r="AL572" i="135" a="1"/>
  <c r="AL572" i="135" s="1"/>
  <c r="AK572" i="135" a="1"/>
  <c r="AK572" i="135" s="1"/>
  <c r="AJ572" i="135" a="1"/>
  <c r="AJ572" i="135" s="1"/>
  <c r="AI572" i="135" a="1"/>
  <c r="AI572" i="135" s="1"/>
  <c r="AH572" i="135" a="1"/>
  <c r="AH572" i="135" s="1"/>
  <c r="AG572" i="135" a="1"/>
  <c r="AG572" i="135" s="1"/>
  <c r="AF572" i="135" a="1"/>
  <c r="AF572" i="135" s="1"/>
  <c r="AE572" i="135" a="1"/>
  <c r="AE572" i="135" s="1"/>
  <c r="AD572" i="135" a="1"/>
  <c r="AD572" i="135" s="1"/>
  <c r="AC572" i="135" a="1"/>
  <c r="AC572" i="135" s="1"/>
  <c r="AB572" i="135" a="1"/>
  <c r="AB572" i="135" s="1"/>
  <c r="AA572" i="135" a="1"/>
  <c r="AA572" i="135" s="1"/>
  <c r="Z572" i="135" a="1"/>
  <c r="Z572" i="135" s="1"/>
  <c r="Y572" i="135" a="1"/>
  <c r="Y572" i="135" s="1"/>
  <c r="X572" i="135" a="1"/>
  <c r="X572" i="135" s="1"/>
  <c r="W572" i="135" a="1"/>
  <c r="W572" i="135" s="1"/>
  <c r="AM571" i="135" a="1"/>
  <c r="AM571" i="135" s="1"/>
  <c r="AL571" i="135" a="1"/>
  <c r="AL571" i="135" s="1"/>
  <c r="AK571" i="135" a="1"/>
  <c r="AK571" i="135" s="1"/>
  <c r="AJ571" i="135" a="1"/>
  <c r="AJ571" i="135" s="1"/>
  <c r="AI571" i="135" a="1"/>
  <c r="AI571" i="135" s="1"/>
  <c r="AH571" i="135" a="1"/>
  <c r="AH571" i="135" s="1"/>
  <c r="AG571" i="135" a="1"/>
  <c r="AG571" i="135" s="1"/>
  <c r="AF571" i="135" a="1"/>
  <c r="AF571" i="135" s="1"/>
  <c r="AE571" i="135" a="1"/>
  <c r="AE571" i="135" s="1"/>
  <c r="AD571" i="135" a="1"/>
  <c r="AD571" i="135" s="1"/>
  <c r="AC571" i="135" a="1"/>
  <c r="AC571" i="135" s="1"/>
  <c r="AB571" i="135" a="1"/>
  <c r="AB571" i="135" s="1"/>
  <c r="AA571" i="135" a="1"/>
  <c r="AA571" i="135" s="1"/>
  <c r="Z571" i="135" a="1"/>
  <c r="Z571" i="135" s="1"/>
  <c r="Y571" i="135" a="1"/>
  <c r="Y571" i="135" s="1"/>
  <c r="X571" i="135" a="1"/>
  <c r="X571" i="135" s="1"/>
  <c r="W571" i="135" a="1"/>
  <c r="W571" i="135" s="1"/>
  <c r="AM570" i="135" a="1"/>
  <c r="AM570" i="135" s="1"/>
  <c r="AL570" i="135" a="1"/>
  <c r="AL570" i="135" s="1"/>
  <c r="AK570" i="135" a="1"/>
  <c r="AK570" i="135" s="1"/>
  <c r="AJ570" i="135" a="1"/>
  <c r="AJ570" i="135" s="1"/>
  <c r="AI570" i="135" a="1"/>
  <c r="AI570" i="135" s="1"/>
  <c r="AH570" i="135" a="1"/>
  <c r="AH570" i="135" s="1"/>
  <c r="AG570" i="135" a="1"/>
  <c r="AG570" i="135" s="1"/>
  <c r="AF570" i="135" a="1"/>
  <c r="AF570" i="135" s="1"/>
  <c r="AE570" i="135" a="1"/>
  <c r="AE570" i="135" s="1"/>
  <c r="AD570" i="135" a="1"/>
  <c r="AD570" i="135" s="1"/>
  <c r="AC570" i="135" a="1"/>
  <c r="AC570" i="135" s="1"/>
  <c r="AB570" i="135" a="1"/>
  <c r="AB570" i="135" s="1"/>
  <c r="AA570" i="135" a="1"/>
  <c r="AA570" i="135" s="1"/>
  <c r="Z570" i="135" a="1"/>
  <c r="Z570" i="135" s="1"/>
  <c r="Y570" i="135" a="1"/>
  <c r="Y570" i="135" s="1"/>
  <c r="X570" i="135" a="1"/>
  <c r="X570" i="135" s="1"/>
  <c r="W570" i="135" a="1"/>
  <c r="W570" i="135" s="1"/>
  <c r="AM569" i="135" a="1"/>
  <c r="AM569" i="135" s="1"/>
  <c r="AL569" i="135" a="1"/>
  <c r="AL569" i="135" s="1"/>
  <c r="AK569" i="135" a="1"/>
  <c r="AK569" i="135" s="1"/>
  <c r="AJ569" i="135" a="1"/>
  <c r="AJ569" i="135" s="1"/>
  <c r="AI569" i="135" a="1"/>
  <c r="AI569" i="135" s="1"/>
  <c r="AH569" i="135" a="1"/>
  <c r="AH569" i="135" s="1"/>
  <c r="AG569" i="135" a="1"/>
  <c r="AG569" i="135" s="1"/>
  <c r="AF569" i="135" a="1"/>
  <c r="AF569" i="135" s="1"/>
  <c r="AE569" i="135" a="1"/>
  <c r="AE569" i="135" s="1"/>
  <c r="AD569" i="135" a="1"/>
  <c r="AD569" i="135" s="1"/>
  <c r="AC569" i="135" a="1"/>
  <c r="AC569" i="135" s="1"/>
  <c r="AB569" i="135" a="1"/>
  <c r="AB569" i="135" s="1"/>
  <c r="AA569" i="135" a="1"/>
  <c r="AA569" i="135" s="1"/>
  <c r="Z569" i="135" a="1"/>
  <c r="Z569" i="135" s="1"/>
  <c r="Y569" i="135" a="1"/>
  <c r="Y569" i="135" s="1"/>
  <c r="X569" i="135" a="1"/>
  <c r="X569" i="135" s="1"/>
  <c r="W569" i="135" a="1"/>
  <c r="W569" i="135" s="1"/>
  <c r="AM568" i="135" a="1"/>
  <c r="AM568" i="135" s="1"/>
  <c r="AL568" i="135" a="1"/>
  <c r="AL568" i="135" s="1"/>
  <c r="AK568" i="135" a="1"/>
  <c r="AK568" i="135" s="1"/>
  <c r="AJ568" i="135" a="1"/>
  <c r="AJ568" i="135" s="1"/>
  <c r="AI568" i="135" a="1"/>
  <c r="AI568" i="135" s="1"/>
  <c r="AH568" i="135" a="1"/>
  <c r="AH568" i="135" s="1"/>
  <c r="AG568" i="135" a="1"/>
  <c r="AG568" i="135" s="1"/>
  <c r="AF568" i="135" a="1"/>
  <c r="AF568" i="135" s="1"/>
  <c r="AE568" i="135" a="1"/>
  <c r="AE568" i="135" s="1"/>
  <c r="AD568" i="135" a="1"/>
  <c r="AD568" i="135" s="1"/>
  <c r="AC568" i="135" a="1"/>
  <c r="AC568" i="135" s="1"/>
  <c r="AB568" i="135" a="1"/>
  <c r="AB568" i="135" s="1"/>
  <c r="AA568" i="135" a="1"/>
  <c r="AA568" i="135" s="1"/>
  <c r="Z568" i="135" a="1"/>
  <c r="Z568" i="135" s="1"/>
  <c r="Y568" i="135" a="1"/>
  <c r="Y568" i="135" s="1"/>
  <c r="X568" i="135" a="1"/>
  <c r="X568" i="135" s="1"/>
  <c r="W568" i="135" a="1"/>
  <c r="W568" i="135" s="1"/>
  <c r="AM567" i="135" a="1"/>
  <c r="AM567" i="135" s="1"/>
  <c r="AL567" i="135" a="1"/>
  <c r="AL567" i="135" s="1"/>
  <c r="AK567" i="135" a="1"/>
  <c r="AK567" i="135" s="1"/>
  <c r="AJ567" i="135" a="1"/>
  <c r="AJ567" i="135" s="1"/>
  <c r="AI567" i="135" a="1"/>
  <c r="AI567" i="135" s="1"/>
  <c r="AH567" i="135" a="1"/>
  <c r="AH567" i="135" s="1"/>
  <c r="AG567" i="135" a="1"/>
  <c r="AG567" i="135" s="1"/>
  <c r="AF567" i="135" a="1"/>
  <c r="AF567" i="135" s="1"/>
  <c r="AE567" i="135" a="1"/>
  <c r="AE567" i="135" s="1"/>
  <c r="AD567" i="135" a="1"/>
  <c r="AD567" i="135" s="1"/>
  <c r="AC567" i="135" a="1"/>
  <c r="AC567" i="135" s="1"/>
  <c r="AB567" i="135" a="1"/>
  <c r="AB567" i="135" s="1"/>
  <c r="AA567" i="135" a="1"/>
  <c r="AA567" i="135" s="1"/>
  <c r="Z567" i="135" a="1"/>
  <c r="Z567" i="135" s="1"/>
  <c r="Y567" i="135" a="1"/>
  <c r="Y567" i="135" s="1"/>
  <c r="X567" i="135" a="1"/>
  <c r="X567" i="135" s="1"/>
  <c r="W567" i="135" a="1"/>
  <c r="W567" i="135" s="1"/>
  <c r="AM566" i="135" a="1"/>
  <c r="AM566" i="135" s="1"/>
  <c r="AL566" i="135" a="1"/>
  <c r="AL566" i="135" s="1"/>
  <c r="AK566" i="135" a="1"/>
  <c r="AK566" i="135" s="1"/>
  <c r="AJ566" i="135" a="1"/>
  <c r="AJ566" i="135" s="1"/>
  <c r="AI566" i="135" a="1"/>
  <c r="AI566" i="135" s="1"/>
  <c r="AH566" i="135" a="1"/>
  <c r="AH566" i="135" s="1"/>
  <c r="AG566" i="135" a="1"/>
  <c r="AG566" i="135" s="1"/>
  <c r="AF566" i="135" a="1"/>
  <c r="AF566" i="135" s="1"/>
  <c r="AE566" i="135" a="1"/>
  <c r="AE566" i="135" s="1"/>
  <c r="AD566" i="135" a="1"/>
  <c r="AD566" i="135" s="1"/>
  <c r="AC566" i="135" a="1"/>
  <c r="AC566" i="135" s="1"/>
  <c r="AB566" i="135" a="1"/>
  <c r="AB566" i="135" s="1"/>
  <c r="AA566" i="135" a="1"/>
  <c r="AA566" i="135" s="1"/>
  <c r="Z566" i="135" a="1"/>
  <c r="Z566" i="135" s="1"/>
  <c r="Y566" i="135" a="1"/>
  <c r="Y566" i="135" s="1"/>
  <c r="X566" i="135" a="1"/>
  <c r="X566" i="135" s="1"/>
  <c r="W566" i="135" a="1"/>
  <c r="W566" i="135" s="1"/>
  <c r="AM565" i="135" a="1"/>
  <c r="AM565" i="135" s="1"/>
  <c r="AL565" i="135" a="1"/>
  <c r="AL565" i="135" s="1"/>
  <c r="AK565" i="135" a="1"/>
  <c r="AK565" i="135" s="1"/>
  <c r="AJ565" i="135" a="1"/>
  <c r="AJ565" i="135" s="1"/>
  <c r="AI565" i="135" a="1"/>
  <c r="AI565" i="135" s="1"/>
  <c r="AH565" i="135" a="1"/>
  <c r="AH565" i="135" s="1"/>
  <c r="AG565" i="135" a="1"/>
  <c r="AG565" i="135" s="1"/>
  <c r="AF565" i="135" a="1"/>
  <c r="AF565" i="135" s="1"/>
  <c r="AE565" i="135" a="1"/>
  <c r="AE565" i="135" s="1"/>
  <c r="AD565" i="135" a="1"/>
  <c r="AD565" i="135" s="1"/>
  <c r="AC565" i="135" a="1"/>
  <c r="AC565" i="135" s="1"/>
  <c r="AB565" i="135" a="1"/>
  <c r="AB565" i="135" s="1"/>
  <c r="AA565" i="135" a="1"/>
  <c r="AA565" i="135" s="1"/>
  <c r="Z565" i="135" a="1"/>
  <c r="Z565" i="135" s="1"/>
  <c r="Y565" i="135" a="1"/>
  <c r="Y565" i="135" s="1"/>
  <c r="X565" i="135" a="1"/>
  <c r="X565" i="135" s="1"/>
  <c r="W565" i="135" a="1"/>
  <c r="W565" i="135" s="1"/>
  <c r="AM564" i="135" a="1"/>
  <c r="AM564" i="135" s="1"/>
  <c r="AL564" i="135" a="1"/>
  <c r="AL564" i="135" s="1"/>
  <c r="AK564" i="135" a="1"/>
  <c r="AK564" i="135" s="1"/>
  <c r="AJ564" i="135" a="1"/>
  <c r="AJ564" i="135" s="1"/>
  <c r="AI564" i="135" a="1"/>
  <c r="AI564" i="135" s="1"/>
  <c r="AH564" i="135" a="1"/>
  <c r="AH564" i="135" s="1"/>
  <c r="AG564" i="135" a="1"/>
  <c r="AG564" i="135" s="1"/>
  <c r="AF564" i="135" a="1"/>
  <c r="AF564" i="135" s="1"/>
  <c r="AE564" i="135" a="1"/>
  <c r="AE564" i="135" s="1"/>
  <c r="AD564" i="135" a="1"/>
  <c r="AD564" i="135" s="1"/>
  <c r="AC564" i="135" a="1"/>
  <c r="AC564" i="135" s="1"/>
  <c r="AB564" i="135" a="1"/>
  <c r="AB564" i="135" s="1"/>
  <c r="AA564" i="135" a="1"/>
  <c r="AA564" i="135" s="1"/>
  <c r="Z564" i="135" a="1"/>
  <c r="Z564" i="135" s="1"/>
  <c r="Y564" i="135" a="1"/>
  <c r="Y564" i="135" s="1"/>
  <c r="X564" i="135" a="1"/>
  <c r="X564" i="135" s="1"/>
  <c r="W564" i="135" a="1"/>
  <c r="W564" i="135" s="1"/>
  <c r="AM563" i="135" a="1"/>
  <c r="AM563" i="135" s="1"/>
  <c r="AL563" i="135" a="1"/>
  <c r="AL563" i="135" s="1"/>
  <c r="AK563" i="135" a="1"/>
  <c r="AK563" i="135" s="1"/>
  <c r="AJ563" i="135" a="1"/>
  <c r="AJ563" i="135" s="1"/>
  <c r="AI563" i="135" a="1"/>
  <c r="AI563" i="135" s="1"/>
  <c r="AH563" i="135" a="1"/>
  <c r="AH563" i="135" s="1"/>
  <c r="AG563" i="135" a="1"/>
  <c r="AG563" i="135" s="1"/>
  <c r="AF563" i="135" a="1"/>
  <c r="AF563" i="135" s="1"/>
  <c r="AE563" i="135" a="1"/>
  <c r="AE563" i="135" s="1"/>
  <c r="AD563" i="135" a="1"/>
  <c r="AD563" i="135" s="1"/>
  <c r="AC563" i="135" a="1"/>
  <c r="AC563" i="135" s="1"/>
  <c r="AB563" i="135" a="1"/>
  <c r="AB563" i="135" s="1"/>
  <c r="AA563" i="135" a="1"/>
  <c r="AA563" i="135" s="1"/>
  <c r="Z563" i="135" a="1"/>
  <c r="Z563" i="135" s="1"/>
  <c r="Y563" i="135" a="1"/>
  <c r="Y563" i="135" s="1"/>
  <c r="X563" i="135" a="1"/>
  <c r="X563" i="135" s="1"/>
  <c r="W563" i="135" a="1"/>
  <c r="W563" i="135" s="1"/>
  <c r="AM562" i="135" a="1"/>
  <c r="AM562" i="135" s="1"/>
  <c r="AL562" i="135" a="1"/>
  <c r="AL562" i="135" s="1"/>
  <c r="AK562" i="135" a="1"/>
  <c r="AK562" i="135" s="1"/>
  <c r="AJ562" i="135" a="1"/>
  <c r="AJ562" i="135" s="1"/>
  <c r="AI562" i="135" a="1"/>
  <c r="AI562" i="135" s="1"/>
  <c r="AH562" i="135" a="1"/>
  <c r="AH562" i="135" s="1"/>
  <c r="AG562" i="135" a="1"/>
  <c r="AG562" i="135" s="1"/>
  <c r="AF562" i="135" a="1"/>
  <c r="AF562" i="135" s="1"/>
  <c r="AE562" i="135" a="1"/>
  <c r="AE562" i="135" s="1"/>
  <c r="AD562" i="135" a="1"/>
  <c r="AD562" i="135" s="1"/>
  <c r="AC562" i="135" a="1"/>
  <c r="AC562" i="135" s="1"/>
  <c r="AB562" i="135" a="1"/>
  <c r="AB562" i="135" s="1"/>
  <c r="AA562" i="135" a="1"/>
  <c r="AA562" i="135" s="1"/>
  <c r="Z562" i="135" a="1"/>
  <c r="Z562" i="135" s="1"/>
  <c r="Y562" i="135" a="1"/>
  <c r="Y562" i="135" s="1"/>
  <c r="X562" i="135" a="1"/>
  <c r="X562" i="135" s="1"/>
  <c r="W562" i="135" a="1"/>
  <c r="W562" i="135" s="1"/>
  <c r="AM561" i="135" a="1"/>
  <c r="AM561" i="135" s="1"/>
  <c r="AL561" i="135" a="1"/>
  <c r="AL561" i="135" s="1"/>
  <c r="AK561" i="135" a="1"/>
  <c r="AK561" i="135" s="1"/>
  <c r="AJ561" i="135" a="1"/>
  <c r="AJ561" i="135" s="1"/>
  <c r="AI561" i="135" a="1"/>
  <c r="AI561" i="135" s="1"/>
  <c r="AH561" i="135" a="1"/>
  <c r="AH561" i="135" s="1"/>
  <c r="AG561" i="135" a="1"/>
  <c r="AG561" i="135" s="1"/>
  <c r="AF561" i="135" a="1"/>
  <c r="AF561" i="135" s="1"/>
  <c r="AE561" i="135" a="1"/>
  <c r="AE561" i="135" s="1"/>
  <c r="AD561" i="135" a="1"/>
  <c r="AD561" i="135" s="1"/>
  <c r="AC561" i="135" a="1"/>
  <c r="AC561" i="135" s="1"/>
  <c r="AB561" i="135" a="1"/>
  <c r="AB561" i="135" s="1"/>
  <c r="AA561" i="135" a="1"/>
  <c r="AA561" i="135" s="1"/>
  <c r="Z561" i="135" a="1"/>
  <c r="Z561" i="135" s="1"/>
  <c r="Y561" i="135" a="1"/>
  <c r="Y561" i="135" s="1"/>
  <c r="X561" i="135" a="1"/>
  <c r="X561" i="135" s="1"/>
  <c r="W561" i="135" a="1"/>
  <c r="W561" i="135" s="1"/>
  <c r="AM560" i="135" a="1"/>
  <c r="AM560" i="135" s="1"/>
  <c r="AL560" i="135" a="1"/>
  <c r="AL560" i="135" s="1"/>
  <c r="AK560" i="135" a="1"/>
  <c r="AK560" i="135" s="1"/>
  <c r="AJ560" i="135" a="1"/>
  <c r="AJ560" i="135" s="1"/>
  <c r="AI560" i="135" a="1"/>
  <c r="AI560" i="135" s="1"/>
  <c r="AH560" i="135" a="1"/>
  <c r="AH560" i="135" s="1"/>
  <c r="AG560" i="135" a="1"/>
  <c r="AG560" i="135" s="1"/>
  <c r="AF560" i="135" a="1"/>
  <c r="AF560" i="135" s="1"/>
  <c r="AE560" i="135" a="1"/>
  <c r="AE560" i="135" s="1"/>
  <c r="AD560" i="135" a="1"/>
  <c r="AD560" i="135" s="1"/>
  <c r="AC560" i="135" a="1"/>
  <c r="AC560" i="135" s="1"/>
  <c r="AB560" i="135" a="1"/>
  <c r="AB560" i="135" s="1"/>
  <c r="AA560" i="135" a="1"/>
  <c r="AA560" i="135" s="1"/>
  <c r="Z560" i="135" a="1"/>
  <c r="Z560" i="135" s="1"/>
  <c r="Y560" i="135" a="1"/>
  <c r="Y560" i="135" s="1"/>
  <c r="X560" i="135" a="1"/>
  <c r="X560" i="135" s="1"/>
  <c r="W560" i="135" a="1"/>
  <c r="W560" i="135" s="1"/>
  <c r="AM559" i="135" a="1"/>
  <c r="AM559" i="135" s="1"/>
  <c r="AL559" i="135" a="1"/>
  <c r="AL559" i="135" s="1"/>
  <c r="AK559" i="135" a="1"/>
  <c r="AK559" i="135" s="1"/>
  <c r="AJ559" i="135" a="1"/>
  <c r="AJ559" i="135" s="1"/>
  <c r="AI559" i="135" a="1"/>
  <c r="AI559" i="135" s="1"/>
  <c r="AH559" i="135" a="1"/>
  <c r="AH559" i="135" s="1"/>
  <c r="AG559" i="135" a="1"/>
  <c r="AG559" i="135" s="1"/>
  <c r="AF559" i="135" a="1"/>
  <c r="AF559" i="135" s="1"/>
  <c r="AE559" i="135" a="1"/>
  <c r="AE559" i="135" s="1"/>
  <c r="AD559" i="135" a="1"/>
  <c r="AD559" i="135" s="1"/>
  <c r="AC559" i="135" a="1"/>
  <c r="AC559" i="135" s="1"/>
  <c r="AB559" i="135" a="1"/>
  <c r="AB559" i="135" s="1"/>
  <c r="AA559" i="135" a="1"/>
  <c r="AA559" i="135" s="1"/>
  <c r="Z559" i="135" a="1"/>
  <c r="Z559" i="135" s="1"/>
  <c r="Y559" i="135" a="1"/>
  <c r="Y559" i="135" s="1"/>
  <c r="X559" i="135" a="1"/>
  <c r="X559" i="135" s="1"/>
  <c r="W559" i="135" a="1"/>
  <c r="W559" i="135" s="1"/>
  <c r="AM558" i="135" a="1"/>
  <c r="AM558" i="135" s="1"/>
  <c r="AL558" i="135" a="1"/>
  <c r="AL558" i="135" s="1"/>
  <c r="AK558" i="135" a="1"/>
  <c r="AK558" i="135" s="1"/>
  <c r="AJ558" i="135" a="1"/>
  <c r="AJ558" i="135" s="1"/>
  <c r="AI558" i="135" a="1"/>
  <c r="AI558" i="135" s="1"/>
  <c r="AH558" i="135" a="1"/>
  <c r="AH558" i="135" s="1"/>
  <c r="AG558" i="135" a="1"/>
  <c r="AG558" i="135" s="1"/>
  <c r="AF558" i="135" a="1"/>
  <c r="AF558" i="135" s="1"/>
  <c r="AE558" i="135" a="1"/>
  <c r="AE558" i="135" s="1"/>
  <c r="AD558" i="135" a="1"/>
  <c r="AD558" i="135" s="1"/>
  <c r="AC558" i="135" a="1"/>
  <c r="AC558" i="135" s="1"/>
  <c r="AB558" i="135" a="1"/>
  <c r="AB558" i="135" s="1"/>
  <c r="AA558" i="135" a="1"/>
  <c r="AA558" i="135" s="1"/>
  <c r="Z558" i="135" a="1"/>
  <c r="Z558" i="135" s="1"/>
  <c r="Y558" i="135" a="1"/>
  <c r="Y558" i="135" s="1"/>
  <c r="X558" i="135" a="1"/>
  <c r="X558" i="135" s="1"/>
  <c r="W558" i="135" a="1"/>
  <c r="W558" i="135" s="1"/>
  <c r="AM557" i="135" a="1"/>
  <c r="AM557" i="135" s="1"/>
  <c r="AL557" i="135" a="1"/>
  <c r="AL557" i="135" s="1"/>
  <c r="AK557" i="135" a="1"/>
  <c r="AK557" i="135" s="1"/>
  <c r="AJ557" i="135" a="1"/>
  <c r="AJ557" i="135" s="1"/>
  <c r="AI557" i="135" a="1"/>
  <c r="AI557" i="135" s="1"/>
  <c r="AH557" i="135" a="1"/>
  <c r="AH557" i="135" s="1"/>
  <c r="AG557" i="135" a="1"/>
  <c r="AG557" i="135" s="1"/>
  <c r="AF557" i="135" a="1"/>
  <c r="AF557" i="135" s="1"/>
  <c r="AE557" i="135" a="1"/>
  <c r="AE557" i="135" s="1"/>
  <c r="AD557" i="135" a="1"/>
  <c r="AD557" i="135" s="1"/>
  <c r="AC557" i="135" a="1"/>
  <c r="AC557" i="135" s="1"/>
  <c r="AB557" i="135" a="1"/>
  <c r="AB557" i="135" s="1"/>
  <c r="AA557" i="135" a="1"/>
  <c r="AA557" i="135" s="1"/>
  <c r="Z557" i="135" a="1"/>
  <c r="Z557" i="135" s="1"/>
  <c r="Y557" i="135" a="1"/>
  <c r="Y557" i="135" s="1"/>
  <c r="X557" i="135" a="1"/>
  <c r="X557" i="135" s="1"/>
  <c r="W557" i="135" a="1"/>
  <c r="W557" i="135" s="1"/>
  <c r="AM556" i="135" a="1"/>
  <c r="AM556" i="135" s="1"/>
  <c r="AL556" i="135" a="1"/>
  <c r="AL556" i="135" s="1"/>
  <c r="AK556" i="135" a="1"/>
  <c r="AK556" i="135" s="1"/>
  <c r="AJ556" i="135" a="1"/>
  <c r="AJ556" i="135" s="1"/>
  <c r="AI556" i="135" a="1"/>
  <c r="AI556" i="135" s="1"/>
  <c r="AH556" i="135" a="1"/>
  <c r="AH556" i="135" s="1"/>
  <c r="AG556" i="135" a="1"/>
  <c r="AG556" i="135" s="1"/>
  <c r="AF556" i="135" a="1"/>
  <c r="AF556" i="135" s="1"/>
  <c r="AE556" i="135" a="1"/>
  <c r="AE556" i="135" s="1"/>
  <c r="AD556" i="135" a="1"/>
  <c r="AD556" i="135" s="1"/>
  <c r="AC556" i="135" a="1"/>
  <c r="AC556" i="135" s="1"/>
  <c r="AB556" i="135" a="1"/>
  <c r="AB556" i="135" s="1"/>
  <c r="AA556" i="135" a="1"/>
  <c r="AA556" i="135" s="1"/>
  <c r="Z556" i="135" a="1"/>
  <c r="Z556" i="135" s="1"/>
  <c r="Y556" i="135" a="1"/>
  <c r="Y556" i="135" s="1"/>
  <c r="X556" i="135" a="1"/>
  <c r="X556" i="135" s="1"/>
  <c r="W556" i="135" a="1"/>
  <c r="W556" i="135" s="1"/>
  <c r="AM555" i="135" a="1"/>
  <c r="AM555" i="135" s="1"/>
  <c r="AL555" i="135" a="1"/>
  <c r="AL555" i="135" s="1"/>
  <c r="AK555" i="135" a="1"/>
  <c r="AK555" i="135" s="1"/>
  <c r="AJ555" i="135" a="1"/>
  <c r="AJ555" i="135" s="1"/>
  <c r="AI555" i="135" a="1"/>
  <c r="AI555" i="135" s="1"/>
  <c r="AH555" i="135" a="1"/>
  <c r="AH555" i="135" s="1"/>
  <c r="AG555" i="135" a="1"/>
  <c r="AG555" i="135" s="1"/>
  <c r="AF555" i="135" a="1"/>
  <c r="AF555" i="135" s="1"/>
  <c r="AE555" i="135" a="1"/>
  <c r="AE555" i="135" s="1"/>
  <c r="AD555" i="135" a="1"/>
  <c r="AD555" i="135" s="1"/>
  <c r="AC555" i="135" a="1"/>
  <c r="AC555" i="135" s="1"/>
  <c r="AB555" i="135" a="1"/>
  <c r="AB555" i="135" s="1"/>
  <c r="AA555" i="135" a="1"/>
  <c r="AA555" i="135" s="1"/>
  <c r="Z555" i="135" a="1"/>
  <c r="Z555" i="135" s="1"/>
  <c r="Y555" i="135" a="1"/>
  <c r="Y555" i="135" s="1"/>
  <c r="X555" i="135" a="1"/>
  <c r="X555" i="135" s="1"/>
  <c r="W555" i="135" a="1"/>
  <c r="W555" i="135" s="1"/>
  <c r="AM554" i="135" a="1"/>
  <c r="AM554" i="135" s="1"/>
  <c r="AL554" i="135" a="1"/>
  <c r="AL554" i="135" s="1"/>
  <c r="AK554" i="135" a="1"/>
  <c r="AK554" i="135" s="1"/>
  <c r="AJ554" i="135" a="1"/>
  <c r="AJ554" i="135" s="1"/>
  <c r="AI554" i="135" a="1"/>
  <c r="AI554" i="135" s="1"/>
  <c r="AH554" i="135" a="1"/>
  <c r="AH554" i="135" s="1"/>
  <c r="AG554" i="135" a="1"/>
  <c r="AG554" i="135" s="1"/>
  <c r="AF554" i="135" a="1"/>
  <c r="AF554" i="135" s="1"/>
  <c r="AE554" i="135" a="1"/>
  <c r="AE554" i="135" s="1"/>
  <c r="AD554" i="135" a="1"/>
  <c r="AD554" i="135" s="1"/>
  <c r="AC554" i="135" a="1"/>
  <c r="AC554" i="135" s="1"/>
  <c r="AB554" i="135" a="1"/>
  <c r="AB554" i="135" s="1"/>
  <c r="AA554" i="135" a="1"/>
  <c r="AA554" i="135" s="1"/>
  <c r="Z554" i="135" a="1"/>
  <c r="Z554" i="135" s="1"/>
  <c r="Y554" i="135" a="1"/>
  <c r="Y554" i="135" s="1"/>
  <c r="X554" i="135" a="1"/>
  <c r="X554" i="135" s="1"/>
  <c r="W554" i="135" a="1"/>
  <c r="W554" i="135" s="1"/>
  <c r="AM553" i="135" a="1"/>
  <c r="AM553" i="135" s="1"/>
  <c r="AL553" i="135" a="1"/>
  <c r="AL553" i="135" s="1"/>
  <c r="AK553" i="135" a="1"/>
  <c r="AK553" i="135" s="1"/>
  <c r="AJ553" i="135" a="1"/>
  <c r="AJ553" i="135" s="1"/>
  <c r="AI553" i="135" a="1"/>
  <c r="AI553" i="135" s="1"/>
  <c r="AH553" i="135" a="1"/>
  <c r="AH553" i="135" s="1"/>
  <c r="AG553" i="135" a="1"/>
  <c r="AG553" i="135" s="1"/>
  <c r="AF553" i="135" a="1"/>
  <c r="AF553" i="135" s="1"/>
  <c r="AE553" i="135" a="1"/>
  <c r="AE553" i="135" s="1"/>
  <c r="AD553" i="135" a="1"/>
  <c r="AD553" i="135" s="1"/>
  <c r="AC553" i="135" a="1"/>
  <c r="AC553" i="135" s="1"/>
  <c r="AB553" i="135" a="1"/>
  <c r="AB553" i="135" s="1"/>
  <c r="AA553" i="135" a="1"/>
  <c r="AA553" i="135" s="1"/>
  <c r="Z553" i="135" a="1"/>
  <c r="Z553" i="135" s="1"/>
  <c r="Y553" i="135" a="1"/>
  <c r="Y553" i="135" s="1"/>
  <c r="X553" i="135" a="1"/>
  <c r="X553" i="135" s="1"/>
  <c r="W553" i="135" a="1"/>
  <c r="W553" i="135" s="1"/>
  <c r="AM552" i="135" a="1"/>
  <c r="AM552" i="135" s="1"/>
  <c r="AL552" i="135" a="1"/>
  <c r="AL552" i="135" s="1"/>
  <c r="AK552" i="135" a="1"/>
  <c r="AK552" i="135" s="1"/>
  <c r="AJ552" i="135" a="1"/>
  <c r="AJ552" i="135" s="1"/>
  <c r="AI552" i="135" a="1"/>
  <c r="AI552" i="135" s="1"/>
  <c r="AH552" i="135" a="1"/>
  <c r="AH552" i="135" s="1"/>
  <c r="AG552" i="135" a="1"/>
  <c r="AG552" i="135" s="1"/>
  <c r="AF552" i="135" a="1"/>
  <c r="AF552" i="135" s="1"/>
  <c r="AE552" i="135" a="1"/>
  <c r="AE552" i="135" s="1"/>
  <c r="AD552" i="135" a="1"/>
  <c r="AD552" i="135" s="1"/>
  <c r="AC552" i="135" a="1"/>
  <c r="AC552" i="135" s="1"/>
  <c r="AB552" i="135" a="1"/>
  <c r="AB552" i="135" s="1"/>
  <c r="AA552" i="135" a="1"/>
  <c r="AA552" i="135" s="1"/>
  <c r="Z552" i="135" a="1"/>
  <c r="Z552" i="135" s="1"/>
  <c r="Y552" i="135" a="1"/>
  <c r="Y552" i="135" s="1"/>
  <c r="X552" i="135" a="1"/>
  <c r="X552" i="135" s="1"/>
  <c r="W552" i="135" a="1"/>
  <c r="W552" i="135" s="1"/>
  <c r="AM551" i="135" a="1"/>
  <c r="AM551" i="135" s="1"/>
  <c r="AL551" i="135" a="1"/>
  <c r="AL551" i="135" s="1"/>
  <c r="AK551" i="135" a="1"/>
  <c r="AK551" i="135" s="1"/>
  <c r="AJ551" i="135" a="1"/>
  <c r="AJ551" i="135" s="1"/>
  <c r="AI551" i="135" a="1"/>
  <c r="AI551" i="135" s="1"/>
  <c r="AH551" i="135" a="1"/>
  <c r="AH551" i="135" s="1"/>
  <c r="AG551" i="135" a="1"/>
  <c r="AG551" i="135" s="1"/>
  <c r="AF551" i="135" a="1"/>
  <c r="AF551" i="135" s="1"/>
  <c r="AE551" i="135" a="1"/>
  <c r="AE551" i="135" s="1"/>
  <c r="AD551" i="135" a="1"/>
  <c r="AD551" i="135" s="1"/>
  <c r="AC551" i="135" a="1"/>
  <c r="AC551" i="135" s="1"/>
  <c r="AB551" i="135" a="1"/>
  <c r="AB551" i="135" s="1"/>
  <c r="AA551" i="135" a="1"/>
  <c r="AA551" i="135" s="1"/>
  <c r="Z551" i="135" a="1"/>
  <c r="Z551" i="135" s="1"/>
  <c r="Y551" i="135" a="1"/>
  <c r="Y551" i="135" s="1"/>
  <c r="X551" i="135" a="1"/>
  <c r="X551" i="135" s="1"/>
  <c r="W551" i="135" a="1"/>
  <c r="W551" i="135" s="1"/>
  <c r="AM550" i="135" a="1"/>
  <c r="AM550" i="135" s="1"/>
  <c r="AL550" i="135" a="1"/>
  <c r="AL550" i="135" s="1"/>
  <c r="AK550" i="135" a="1"/>
  <c r="AK550" i="135" s="1"/>
  <c r="AJ550" i="135" a="1"/>
  <c r="AJ550" i="135" s="1"/>
  <c r="AI550" i="135" a="1"/>
  <c r="AI550" i="135" s="1"/>
  <c r="AH550" i="135" a="1"/>
  <c r="AH550" i="135" s="1"/>
  <c r="AG550" i="135" a="1"/>
  <c r="AG550" i="135" s="1"/>
  <c r="AF550" i="135" a="1"/>
  <c r="AF550" i="135" s="1"/>
  <c r="AE550" i="135" a="1"/>
  <c r="AE550" i="135" s="1"/>
  <c r="AD550" i="135" a="1"/>
  <c r="AD550" i="135" s="1"/>
  <c r="AC550" i="135" a="1"/>
  <c r="AC550" i="135" s="1"/>
  <c r="AB550" i="135" a="1"/>
  <c r="AB550" i="135" s="1"/>
  <c r="AA550" i="135" a="1"/>
  <c r="AA550" i="135" s="1"/>
  <c r="Z550" i="135" a="1"/>
  <c r="Z550" i="135" s="1"/>
  <c r="Y550" i="135" a="1"/>
  <c r="Y550" i="135" s="1"/>
  <c r="X550" i="135" a="1"/>
  <c r="X550" i="135" s="1"/>
  <c r="W550" i="135" a="1"/>
  <c r="W550" i="135" s="1"/>
  <c r="AM549" i="135" a="1"/>
  <c r="AM549" i="135" s="1"/>
  <c r="AL549" i="135" a="1"/>
  <c r="AL549" i="135" s="1"/>
  <c r="AK549" i="135" a="1"/>
  <c r="AK549" i="135" s="1"/>
  <c r="AJ549" i="135" a="1"/>
  <c r="AJ549" i="135" s="1"/>
  <c r="AI549" i="135" a="1"/>
  <c r="AI549" i="135" s="1"/>
  <c r="AH549" i="135" a="1"/>
  <c r="AH549" i="135" s="1"/>
  <c r="AG549" i="135" a="1"/>
  <c r="AG549" i="135" s="1"/>
  <c r="AF549" i="135" a="1"/>
  <c r="AF549" i="135" s="1"/>
  <c r="AE549" i="135" a="1"/>
  <c r="AE549" i="135" s="1"/>
  <c r="AD549" i="135" a="1"/>
  <c r="AD549" i="135" s="1"/>
  <c r="AC549" i="135" a="1"/>
  <c r="AC549" i="135" s="1"/>
  <c r="AB549" i="135" a="1"/>
  <c r="AB549" i="135" s="1"/>
  <c r="AA549" i="135" a="1"/>
  <c r="AA549" i="135" s="1"/>
  <c r="Z549" i="135" a="1"/>
  <c r="Z549" i="135" s="1"/>
  <c r="Y549" i="135" a="1"/>
  <c r="Y549" i="135" s="1"/>
  <c r="X549" i="135" a="1"/>
  <c r="X549" i="135" s="1"/>
  <c r="W549" i="135" a="1"/>
  <c r="W549" i="135" s="1"/>
  <c r="AM548" i="135" a="1"/>
  <c r="AM548" i="135" s="1"/>
  <c r="AL548" i="135" a="1"/>
  <c r="AL548" i="135" s="1"/>
  <c r="AK548" i="135" a="1"/>
  <c r="AK548" i="135" s="1"/>
  <c r="AJ548" i="135" a="1"/>
  <c r="AJ548" i="135" s="1"/>
  <c r="AI548" i="135" a="1"/>
  <c r="AI548" i="135" s="1"/>
  <c r="AH548" i="135" a="1"/>
  <c r="AH548" i="135" s="1"/>
  <c r="AG548" i="135" a="1"/>
  <c r="AG548" i="135" s="1"/>
  <c r="AF548" i="135" a="1"/>
  <c r="AF548" i="135" s="1"/>
  <c r="AE548" i="135" a="1"/>
  <c r="AE548" i="135" s="1"/>
  <c r="AD548" i="135" a="1"/>
  <c r="AD548" i="135" s="1"/>
  <c r="AC548" i="135" a="1"/>
  <c r="AC548" i="135" s="1"/>
  <c r="AB548" i="135" a="1"/>
  <c r="AB548" i="135" s="1"/>
  <c r="AA548" i="135" a="1"/>
  <c r="AA548" i="135" s="1"/>
  <c r="Z548" i="135" a="1"/>
  <c r="Z548" i="135" s="1"/>
  <c r="Y548" i="135" a="1"/>
  <c r="Y548" i="135" s="1"/>
  <c r="X548" i="135" a="1"/>
  <c r="X548" i="135" s="1"/>
  <c r="W548" i="135" a="1"/>
  <c r="W548" i="135" s="1"/>
  <c r="AM547" i="135" a="1"/>
  <c r="AM547" i="135" s="1"/>
  <c r="AL547" i="135" a="1"/>
  <c r="AL547" i="135" s="1"/>
  <c r="AK547" i="135" a="1"/>
  <c r="AK547" i="135" s="1"/>
  <c r="AJ547" i="135" a="1"/>
  <c r="AJ547" i="135" s="1"/>
  <c r="AI547" i="135" a="1"/>
  <c r="AI547" i="135" s="1"/>
  <c r="AH547" i="135" a="1"/>
  <c r="AH547" i="135" s="1"/>
  <c r="AG547" i="135" a="1"/>
  <c r="AG547" i="135" s="1"/>
  <c r="AF547" i="135" a="1"/>
  <c r="AF547" i="135" s="1"/>
  <c r="AE547" i="135" a="1"/>
  <c r="AE547" i="135" s="1"/>
  <c r="AD547" i="135" a="1"/>
  <c r="AD547" i="135" s="1"/>
  <c r="AC547" i="135" a="1"/>
  <c r="AC547" i="135" s="1"/>
  <c r="AB547" i="135" a="1"/>
  <c r="AB547" i="135" s="1"/>
  <c r="AA547" i="135" a="1"/>
  <c r="AA547" i="135" s="1"/>
  <c r="Z547" i="135" a="1"/>
  <c r="Z547" i="135" s="1"/>
  <c r="Y547" i="135" a="1"/>
  <c r="Y547" i="135" s="1"/>
  <c r="X547" i="135" a="1"/>
  <c r="X547" i="135" s="1"/>
  <c r="W547" i="135" a="1"/>
  <c r="W547" i="135" s="1"/>
  <c r="AM546" i="135" a="1"/>
  <c r="AM546" i="135" s="1"/>
  <c r="AL546" i="135" a="1"/>
  <c r="AL546" i="135" s="1"/>
  <c r="AK546" i="135" a="1"/>
  <c r="AK546" i="135" s="1"/>
  <c r="AJ546" i="135" a="1"/>
  <c r="AJ546" i="135" s="1"/>
  <c r="AI546" i="135" a="1"/>
  <c r="AI546" i="135" s="1"/>
  <c r="AH546" i="135" a="1"/>
  <c r="AH546" i="135" s="1"/>
  <c r="AG546" i="135" a="1"/>
  <c r="AG546" i="135" s="1"/>
  <c r="AF546" i="135" a="1"/>
  <c r="AF546" i="135" s="1"/>
  <c r="AE546" i="135" a="1"/>
  <c r="AE546" i="135" s="1"/>
  <c r="AD546" i="135" a="1"/>
  <c r="AD546" i="135" s="1"/>
  <c r="AC546" i="135" a="1"/>
  <c r="AC546" i="135" s="1"/>
  <c r="AB546" i="135" a="1"/>
  <c r="AB546" i="135" s="1"/>
  <c r="AA546" i="135" a="1"/>
  <c r="AA546" i="135" s="1"/>
  <c r="Z546" i="135" a="1"/>
  <c r="Z546" i="135" s="1"/>
  <c r="Y546" i="135" a="1"/>
  <c r="Y546" i="135" s="1"/>
  <c r="X546" i="135" a="1"/>
  <c r="X546" i="135" s="1"/>
  <c r="W546" i="135" a="1"/>
  <c r="W546" i="135" s="1"/>
  <c r="AM545" i="135" a="1"/>
  <c r="AM545" i="135" s="1"/>
  <c r="AL545" i="135" a="1"/>
  <c r="AL545" i="135" s="1"/>
  <c r="AK545" i="135" a="1"/>
  <c r="AK545" i="135" s="1"/>
  <c r="AJ545" i="135" a="1"/>
  <c r="AJ545" i="135" s="1"/>
  <c r="AI545" i="135" a="1"/>
  <c r="AI545" i="135" s="1"/>
  <c r="AH545" i="135" a="1"/>
  <c r="AH545" i="135" s="1"/>
  <c r="AG545" i="135" a="1"/>
  <c r="AG545" i="135" s="1"/>
  <c r="AF545" i="135" a="1"/>
  <c r="AF545" i="135" s="1"/>
  <c r="AE545" i="135" a="1"/>
  <c r="AE545" i="135" s="1"/>
  <c r="AD545" i="135" a="1"/>
  <c r="AD545" i="135" s="1"/>
  <c r="AC545" i="135" a="1"/>
  <c r="AC545" i="135" s="1"/>
  <c r="AB545" i="135" a="1"/>
  <c r="AB545" i="135" s="1"/>
  <c r="AA545" i="135" a="1"/>
  <c r="AA545" i="135" s="1"/>
  <c r="Z545" i="135" a="1"/>
  <c r="Z545" i="135" s="1"/>
  <c r="Y545" i="135" a="1"/>
  <c r="Y545" i="135" s="1"/>
  <c r="X545" i="135" a="1"/>
  <c r="X545" i="135" s="1"/>
  <c r="W545" i="135" a="1"/>
  <c r="W545" i="135" s="1"/>
  <c r="AM544" i="135" a="1"/>
  <c r="AM544" i="135" s="1"/>
  <c r="AL544" i="135" a="1"/>
  <c r="AL544" i="135" s="1"/>
  <c r="AK544" i="135" a="1"/>
  <c r="AK544" i="135" s="1"/>
  <c r="AJ544" i="135" a="1"/>
  <c r="AJ544" i="135" s="1"/>
  <c r="AI544" i="135" a="1"/>
  <c r="AI544" i="135" s="1"/>
  <c r="AH544" i="135" a="1"/>
  <c r="AH544" i="135" s="1"/>
  <c r="AG544" i="135" a="1"/>
  <c r="AG544" i="135" s="1"/>
  <c r="AF544" i="135" a="1"/>
  <c r="AF544" i="135" s="1"/>
  <c r="AE544" i="135" a="1"/>
  <c r="AE544" i="135" s="1"/>
  <c r="AD544" i="135" a="1"/>
  <c r="AD544" i="135" s="1"/>
  <c r="AC544" i="135" a="1"/>
  <c r="AC544" i="135" s="1"/>
  <c r="AB544" i="135" a="1"/>
  <c r="AB544" i="135" s="1"/>
  <c r="AA544" i="135" a="1"/>
  <c r="AA544" i="135" s="1"/>
  <c r="Z544" i="135" a="1"/>
  <c r="Z544" i="135" s="1"/>
  <c r="Y544" i="135" a="1"/>
  <c r="Y544" i="135" s="1"/>
  <c r="X544" i="135" a="1"/>
  <c r="X544" i="135" s="1"/>
  <c r="W544" i="135" a="1"/>
  <c r="W544" i="135" s="1"/>
  <c r="AM543" i="135" a="1"/>
  <c r="AM543" i="135" s="1"/>
  <c r="AL543" i="135" a="1"/>
  <c r="AL543" i="135" s="1"/>
  <c r="AK543" i="135" a="1"/>
  <c r="AK543" i="135" s="1"/>
  <c r="AJ543" i="135" a="1"/>
  <c r="AJ543" i="135" s="1"/>
  <c r="AI543" i="135" a="1"/>
  <c r="AI543" i="135" s="1"/>
  <c r="AH543" i="135" a="1"/>
  <c r="AH543" i="135" s="1"/>
  <c r="AG543" i="135" a="1"/>
  <c r="AG543" i="135" s="1"/>
  <c r="AF543" i="135" a="1"/>
  <c r="AF543" i="135" s="1"/>
  <c r="AE543" i="135" a="1"/>
  <c r="AE543" i="135" s="1"/>
  <c r="AD543" i="135" a="1"/>
  <c r="AD543" i="135" s="1"/>
  <c r="AC543" i="135" a="1"/>
  <c r="AC543" i="135" s="1"/>
  <c r="AB543" i="135" a="1"/>
  <c r="AB543" i="135" s="1"/>
  <c r="AA543" i="135" a="1"/>
  <c r="AA543" i="135" s="1"/>
  <c r="Z543" i="135" a="1"/>
  <c r="Z543" i="135" s="1"/>
  <c r="Y543" i="135" a="1"/>
  <c r="Y543" i="135" s="1"/>
  <c r="X543" i="135" a="1"/>
  <c r="X543" i="135" s="1"/>
  <c r="W543" i="135" a="1"/>
  <c r="W543" i="135" s="1"/>
  <c r="AM542" i="135" a="1"/>
  <c r="AM542" i="135" s="1"/>
  <c r="AL542" i="135" a="1"/>
  <c r="AL542" i="135" s="1"/>
  <c r="AK542" i="135" a="1"/>
  <c r="AK542" i="135" s="1"/>
  <c r="AJ542" i="135" a="1"/>
  <c r="AJ542" i="135" s="1"/>
  <c r="AI542" i="135" a="1"/>
  <c r="AI542" i="135" s="1"/>
  <c r="AH542" i="135" a="1"/>
  <c r="AH542" i="135" s="1"/>
  <c r="AG542" i="135" a="1"/>
  <c r="AG542" i="135" s="1"/>
  <c r="AF542" i="135" a="1"/>
  <c r="AF542" i="135" s="1"/>
  <c r="AE542" i="135" a="1"/>
  <c r="AE542" i="135" s="1"/>
  <c r="AD542" i="135" a="1"/>
  <c r="AD542" i="135" s="1"/>
  <c r="AC542" i="135" a="1"/>
  <c r="AC542" i="135" s="1"/>
  <c r="AB542" i="135" a="1"/>
  <c r="AB542" i="135" s="1"/>
  <c r="AA542" i="135" a="1"/>
  <c r="AA542" i="135" s="1"/>
  <c r="Z542" i="135" a="1"/>
  <c r="Z542" i="135" s="1"/>
  <c r="Y542" i="135" a="1"/>
  <c r="Y542" i="135" s="1"/>
  <c r="X542" i="135" a="1"/>
  <c r="X542" i="135" s="1"/>
  <c r="W542" i="135" a="1"/>
  <c r="W542" i="135" s="1"/>
  <c r="AM541" i="135" a="1"/>
  <c r="AM541" i="135" s="1"/>
  <c r="AL541" i="135" a="1"/>
  <c r="AL541" i="135" s="1"/>
  <c r="AK541" i="135" a="1"/>
  <c r="AK541" i="135" s="1"/>
  <c r="AJ541" i="135" a="1"/>
  <c r="AJ541" i="135" s="1"/>
  <c r="AI541" i="135" a="1"/>
  <c r="AI541" i="135" s="1"/>
  <c r="AH541" i="135" a="1"/>
  <c r="AH541" i="135" s="1"/>
  <c r="AG541" i="135" a="1"/>
  <c r="AG541" i="135" s="1"/>
  <c r="AF541" i="135" a="1"/>
  <c r="AF541" i="135" s="1"/>
  <c r="AE541" i="135" a="1"/>
  <c r="AE541" i="135" s="1"/>
  <c r="AD541" i="135" a="1"/>
  <c r="AD541" i="135" s="1"/>
  <c r="AC541" i="135" a="1"/>
  <c r="AC541" i="135" s="1"/>
  <c r="AB541" i="135" a="1"/>
  <c r="AB541" i="135" s="1"/>
  <c r="AA541" i="135" a="1"/>
  <c r="AA541" i="135" s="1"/>
  <c r="Z541" i="135" a="1"/>
  <c r="Z541" i="135" s="1"/>
  <c r="Y541" i="135" a="1"/>
  <c r="Y541" i="135" s="1"/>
  <c r="X541" i="135" a="1"/>
  <c r="X541" i="135" s="1"/>
  <c r="W541" i="135" a="1"/>
  <c r="W541" i="135" s="1"/>
  <c r="AM540" i="135" a="1"/>
  <c r="AM540" i="135" s="1"/>
  <c r="AL540" i="135" a="1"/>
  <c r="AL540" i="135" s="1"/>
  <c r="AK540" i="135" a="1"/>
  <c r="AK540" i="135" s="1"/>
  <c r="AJ540" i="135" a="1"/>
  <c r="AJ540" i="135" s="1"/>
  <c r="AI540" i="135" a="1"/>
  <c r="AI540" i="135" s="1"/>
  <c r="AH540" i="135" a="1"/>
  <c r="AH540" i="135" s="1"/>
  <c r="AG540" i="135" a="1"/>
  <c r="AG540" i="135" s="1"/>
  <c r="AF540" i="135" a="1"/>
  <c r="AF540" i="135" s="1"/>
  <c r="AE540" i="135" a="1"/>
  <c r="AE540" i="135" s="1"/>
  <c r="AD540" i="135" a="1"/>
  <c r="AD540" i="135" s="1"/>
  <c r="AC540" i="135" a="1"/>
  <c r="AC540" i="135" s="1"/>
  <c r="AB540" i="135" a="1"/>
  <c r="AB540" i="135" s="1"/>
  <c r="AA540" i="135" a="1"/>
  <c r="AA540" i="135" s="1"/>
  <c r="Z540" i="135" a="1"/>
  <c r="Z540" i="135" s="1"/>
  <c r="Y540" i="135" a="1"/>
  <c r="Y540" i="135" s="1"/>
  <c r="X540" i="135" a="1"/>
  <c r="X540" i="135" s="1"/>
  <c r="W540" i="135" a="1"/>
  <c r="W540" i="135" s="1"/>
  <c r="AM539" i="135" a="1"/>
  <c r="AM539" i="135" s="1"/>
  <c r="AL539" i="135" a="1"/>
  <c r="AL539" i="135" s="1"/>
  <c r="AK539" i="135" a="1"/>
  <c r="AK539" i="135" s="1"/>
  <c r="AJ539" i="135" a="1"/>
  <c r="AJ539" i="135" s="1"/>
  <c r="AI539" i="135" a="1"/>
  <c r="AI539" i="135" s="1"/>
  <c r="AH539" i="135" a="1"/>
  <c r="AH539" i="135" s="1"/>
  <c r="AG539" i="135" a="1"/>
  <c r="AG539" i="135" s="1"/>
  <c r="AF539" i="135" a="1"/>
  <c r="AF539" i="135" s="1"/>
  <c r="AE539" i="135" a="1"/>
  <c r="AE539" i="135" s="1"/>
  <c r="AD539" i="135" a="1"/>
  <c r="AD539" i="135" s="1"/>
  <c r="AC539" i="135" a="1"/>
  <c r="AC539" i="135" s="1"/>
  <c r="AB539" i="135" a="1"/>
  <c r="AB539" i="135" s="1"/>
  <c r="AA539" i="135" a="1"/>
  <c r="AA539" i="135" s="1"/>
  <c r="Z539" i="135" a="1"/>
  <c r="Z539" i="135" s="1"/>
  <c r="Y539" i="135" a="1"/>
  <c r="Y539" i="135" s="1"/>
  <c r="X539" i="135" a="1"/>
  <c r="X539" i="135" s="1"/>
  <c r="W539" i="135" a="1"/>
  <c r="W539" i="135" s="1"/>
  <c r="AM538" i="135" a="1"/>
  <c r="AM538" i="135" s="1"/>
  <c r="AL538" i="135" a="1"/>
  <c r="AL538" i="135" s="1"/>
  <c r="AK538" i="135" a="1"/>
  <c r="AK538" i="135" s="1"/>
  <c r="AJ538" i="135" a="1"/>
  <c r="AJ538" i="135" s="1"/>
  <c r="AI538" i="135" a="1"/>
  <c r="AI538" i="135" s="1"/>
  <c r="AH538" i="135" a="1"/>
  <c r="AH538" i="135" s="1"/>
  <c r="AG538" i="135" a="1"/>
  <c r="AG538" i="135" s="1"/>
  <c r="AF538" i="135" a="1"/>
  <c r="AF538" i="135" s="1"/>
  <c r="AE538" i="135" a="1"/>
  <c r="AE538" i="135" s="1"/>
  <c r="AD538" i="135" a="1"/>
  <c r="AD538" i="135" s="1"/>
  <c r="AC538" i="135" a="1"/>
  <c r="AC538" i="135" s="1"/>
  <c r="AB538" i="135" a="1"/>
  <c r="AB538" i="135" s="1"/>
  <c r="AA538" i="135" a="1"/>
  <c r="AA538" i="135" s="1"/>
  <c r="Z538" i="135" a="1"/>
  <c r="Z538" i="135" s="1"/>
  <c r="Y538" i="135" a="1"/>
  <c r="Y538" i="135" s="1"/>
  <c r="X538" i="135" a="1"/>
  <c r="X538" i="135" s="1"/>
  <c r="W538" i="135" a="1"/>
  <c r="W538" i="135" s="1"/>
  <c r="AM537" i="135" a="1"/>
  <c r="AM537" i="135" s="1"/>
  <c r="AL537" i="135" a="1"/>
  <c r="AL537" i="135" s="1"/>
  <c r="AK537" i="135" a="1"/>
  <c r="AK537" i="135" s="1"/>
  <c r="AJ537" i="135" a="1"/>
  <c r="AJ537" i="135" s="1"/>
  <c r="AI537" i="135" a="1"/>
  <c r="AI537" i="135" s="1"/>
  <c r="AH537" i="135" a="1"/>
  <c r="AH537" i="135" s="1"/>
  <c r="AG537" i="135" a="1"/>
  <c r="AG537" i="135" s="1"/>
  <c r="AF537" i="135" a="1"/>
  <c r="AF537" i="135" s="1"/>
  <c r="AE537" i="135" a="1"/>
  <c r="AE537" i="135" s="1"/>
  <c r="AD537" i="135" a="1"/>
  <c r="AD537" i="135" s="1"/>
  <c r="AC537" i="135" a="1"/>
  <c r="AC537" i="135" s="1"/>
  <c r="AB537" i="135" a="1"/>
  <c r="AB537" i="135" s="1"/>
  <c r="AA537" i="135" a="1"/>
  <c r="AA537" i="135" s="1"/>
  <c r="Z537" i="135" a="1"/>
  <c r="Z537" i="135" s="1"/>
  <c r="Y537" i="135" a="1"/>
  <c r="Y537" i="135" s="1"/>
  <c r="X537" i="135" a="1"/>
  <c r="X537" i="135" s="1"/>
  <c r="W537" i="135" a="1"/>
  <c r="W537" i="135" s="1"/>
  <c r="AM536" i="135" a="1"/>
  <c r="AM536" i="135" s="1"/>
  <c r="AL536" i="135" a="1"/>
  <c r="AL536" i="135" s="1"/>
  <c r="AK536" i="135" a="1"/>
  <c r="AK536" i="135" s="1"/>
  <c r="AJ536" i="135" a="1"/>
  <c r="AJ536" i="135" s="1"/>
  <c r="AI536" i="135" a="1"/>
  <c r="AI536" i="135" s="1"/>
  <c r="AH536" i="135" a="1"/>
  <c r="AH536" i="135" s="1"/>
  <c r="AG536" i="135" a="1"/>
  <c r="AG536" i="135" s="1"/>
  <c r="AF536" i="135" a="1"/>
  <c r="AF536" i="135" s="1"/>
  <c r="AE536" i="135" a="1"/>
  <c r="AE536" i="135" s="1"/>
  <c r="AD536" i="135" a="1"/>
  <c r="AD536" i="135" s="1"/>
  <c r="AC536" i="135" a="1"/>
  <c r="AC536" i="135" s="1"/>
  <c r="AB536" i="135" a="1"/>
  <c r="AB536" i="135" s="1"/>
  <c r="AA536" i="135" a="1"/>
  <c r="AA536" i="135" s="1"/>
  <c r="Z536" i="135" a="1"/>
  <c r="Z536" i="135" s="1"/>
  <c r="Y536" i="135" a="1"/>
  <c r="Y536" i="135" s="1"/>
  <c r="X536" i="135" a="1"/>
  <c r="X536" i="135" s="1"/>
  <c r="W536" i="135" a="1"/>
  <c r="W536" i="135" s="1"/>
  <c r="AM535" i="135" a="1"/>
  <c r="AM535" i="135" s="1"/>
  <c r="AL535" i="135" a="1"/>
  <c r="AL535" i="135" s="1"/>
  <c r="AK535" i="135" a="1"/>
  <c r="AK535" i="135" s="1"/>
  <c r="AJ535" i="135" a="1"/>
  <c r="AJ535" i="135" s="1"/>
  <c r="AI535" i="135" a="1"/>
  <c r="AI535" i="135" s="1"/>
  <c r="AH535" i="135" a="1"/>
  <c r="AH535" i="135" s="1"/>
  <c r="AG535" i="135" a="1"/>
  <c r="AG535" i="135" s="1"/>
  <c r="AF535" i="135" a="1"/>
  <c r="AF535" i="135" s="1"/>
  <c r="AE535" i="135" a="1"/>
  <c r="AE535" i="135" s="1"/>
  <c r="AD535" i="135" a="1"/>
  <c r="AD535" i="135" s="1"/>
  <c r="AC535" i="135" a="1"/>
  <c r="AC535" i="135" s="1"/>
  <c r="AB535" i="135" a="1"/>
  <c r="AB535" i="135" s="1"/>
  <c r="AA535" i="135" a="1"/>
  <c r="AA535" i="135" s="1"/>
  <c r="Z535" i="135" a="1"/>
  <c r="Z535" i="135" s="1"/>
  <c r="Y535" i="135" a="1"/>
  <c r="Y535" i="135" s="1"/>
  <c r="X535" i="135" a="1"/>
  <c r="X535" i="135" s="1"/>
  <c r="W535" i="135" a="1"/>
  <c r="W535" i="135" s="1"/>
  <c r="AM534" i="135" a="1"/>
  <c r="AM534" i="135" s="1"/>
  <c r="AL534" i="135" a="1"/>
  <c r="AL534" i="135" s="1"/>
  <c r="AK534" i="135" a="1"/>
  <c r="AK534" i="135" s="1"/>
  <c r="AJ534" i="135" a="1"/>
  <c r="AJ534" i="135" s="1"/>
  <c r="AI534" i="135" a="1"/>
  <c r="AI534" i="135" s="1"/>
  <c r="AH534" i="135" a="1"/>
  <c r="AH534" i="135" s="1"/>
  <c r="AG534" i="135" a="1"/>
  <c r="AG534" i="135" s="1"/>
  <c r="AF534" i="135" a="1"/>
  <c r="AF534" i="135" s="1"/>
  <c r="AE534" i="135" a="1"/>
  <c r="AE534" i="135" s="1"/>
  <c r="AD534" i="135" a="1"/>
  <c r="AD534" i="135" s="1"/>
  <c r="AC534" i="135" a="1"/>
  <c r="AC534" i="135" s="1"/>
  <c r="AB534" i="135" a="1"/>
  <c r="AB534" i="135" s="1"/>
  <c r="AA534" i="135" a="1"/>
  <c r="AA534" i="135" s="1"/>
  <c r="Z534" i="135" a="1"/>
  <c r="Z534" i="135" s="1"/>
  <c r="Y534" i="135" a="1"/>
  <c r="Y534" i="135" s="1"/>
  <c r="X534" i="135" a="1"/>
  <c r="X534" i="135" s="1"/>
  <c r="W534" i="135" a="1"/>
  <c r="W534" i="135" s="1"/>
  <c r="AM533" i="135" a="1"/>
  <c r="AM533" i="135" s="1"/>
  <c r="AL533" i="135" a="1"/>
  <c r="AL533" i="135" s="1"/>
  <c r="AK533" i="135" a="1"/>
  <c r="AK533" i="135" s="1"/>
  <c r="AJ533" i="135" a="1"/>
  <c r="AJ533" i="135" s="1"/>
  <c r="AI533" i="135" a="1"/>
  <c r="AI533" i="135" s="1"/>
  <c r="AH533" i="135" a="1"/>
  <c r="AH533" i="135" s="1"/>
  <c r="AG533" i="135" a="1"/>
  <c r="AG533" i="135" s="1"/>
  <c r="AF533" i="135" a="1"/>
  <c r="AF533" i="135" s="1"/>
  <c r="AE533" i="135" a="1"/>
  <c r="AE533" i="135" s="1"/>
  <c r="AD533" i="135" a="1"/>
  <c r="AD533" i="135" s="1"/>
  <c r="AC533" i="135" a="1"/>
  <c r="AC533" i="135" s="1"/>
  <c r="AB533" i="135" a="1"/>
  <c r="AB533" i="135" s="1"/>
  <c r="AA533" i="135" a="1"/>
  <c r="AA533" i="135" s="1"/>
  <c r="Z533" i="135" a="1"/>
  <c r="Z533" i="135" s="1"/>
  <c r="Y533" i="135" a="1"/>
  <c r="Y533" i="135" s="1"/>
  <c r="X533" i="135" a="1"/>
  <c r="X533" i="135" s="1"/>
  <c r="W533" i="135" a="1"/>
  <c r="W533" i="135" s="1"/>
  <c r="AM532" i="135" a="1"/>
  <c r="AM532" i="135" s="1"/>
  <c r="AL532" i="135" a="1"/>
  <c r="AL532" i="135" s="1"/>
  <c r="AK532" i="135" a="1"/>
  <c r="AK532" i="135" s="1"/>
  <c r="AJ532" i="135" a="1"/>
  <c r="AJ532" i="135" s="1"/>
  <c r="AI532" i="135" a="1"/>
  <c r="AI532" i="135" s="1"/>
  <c r="AH532" i="135" a="1"/>
  <c r="AH532" i="135" s="1"/>
  <c r="AG532" i="135" a="1"/>
  <c r="AG532" i="135" s="1"/>
  <c r="AF532" i="135" a="1"/>
  <c r="AF532" i="135" s="1"/>
  <c r="AE532" i="135" a="1"/>
  <c r="AE532" i="135" s="1"/>
  <c r="AD532" i="135" a="1"/>
  <c r="AD532" i="135" s="1"/>
  <c r="AC532" i="135" a="1"/>
  <c r="AC532" i="135" s="1"/>
  <c r="AB532" i="135" a="1"/>
  <c r="AB532" i="135" s="1"/>
  <c r="AA532" i="135" a="1"/>
  <c r="AA532" i="135" s="1"/>
  <c r="Z532" i="135" a="1"/>
  <c r="Z532" i="135" s="1"/>
  <c r="Y532" i="135" a="1"/>
  <c r="Y532" i="135" s="1"/>
  <c r="X532" i="135" a="1"/>
  <c r="X532" i="135" s="1"/>
  <c r="W532" i="135" a="1"/>
  <c r="W532" i="135" s="1"/>
  <c r="AM531" i="135" a="1"/>
  <c r="AM531" i="135" s="1"/>
  <c r="AL531" i="135" a="1"/>
  <c r="AL531" i="135" s="1"/>
  <c r="AK531" i="135" a="1"/>
  <c r="AK531" i="135" s="1"/>
  <c r="AJ531" i="135" a="1"/>
  <c r="AJ531" i="135" s="1"/>
  <c r="AI531" i="135" a="1"/>
  <c r="AI531" i="135" s="1"/>
  <c r="AH531" i="135" a="1"/>
  <c r="AH531" i="135" s="1"/>
  <c r="AG531" i="135" a="1"/>
  <c r="AG531" i="135" s="1"/>
  <c r="AF531" i="135" a="1"/>
  <c r="AF531" i="135" s="1"/>
  <c r="AE531" i="135" a="1"/>
  <c r="AE531" i="135" s="1"/>
  <c r="AD531" i="135" a="1"/>
  <c r="AD531" i="135" s="1"/>
  <c r="AC531" i="135" a="1"/>
  <c r="AC531" i="135" s="1"/>
  <c r="AB531" i="135" a="1"/>
  <c r="AB531" i="135" s="1"/>
  <c r="AA531" i="135" a="1"/>
  <c r="AA531" i="135" s="1"/>
  <c r="Z531" i="135" a="1"/>
  <c r="Z531" i="135" s="1"/>
  <c r="Y531" i="135" a="1"/>
  <c r="Y531" i="135" s="1"/>
  <c r="X531" i="135" a="1"/>
  <c r="X531" i="135" s="1"/>
  <c r="W531" i="135" a="1"/>
  <c r="W531" i="135" s="1"/>
  <c r="AM530" i="135" a="1"/>
  <c r="AM530" i="135" s="1"/>
  <c r="AL530" i="135" a="1"/>
  <c r="AL530" i="135" s="1"/>
  <c r="AK530" i="135" a="1"/>
  <c r="AK530" i="135" s="1"/>
  <c r="AJ530" i="135" a="1"/>
  <c r="AJ530" i="135" s="1"/>
  <c r="AI530" i="135" a="1"/>
  <c r="AI530" i="135" s="1"/>
  <c r="AH530" i="135" a="1"/>
  <c r="AH530" i="135" s="1"/>
  <c r="AG530" i="135" a="1"/>
  <c r="AG530" i="135" s="1"/>
  <c r="AF530" i="135" a="1"/>
  <c r="AF530" i="135" s="1"/>
  <c r="AE530" i="135" a="1"/>
  <c r="AE530" i="135" s="1"/>
  <c r="AD530" i="135" a="1"/>
  <c r="AD530" i="135" s="1"/>
  <c r="AC530" i="135" a="1"/>
  <c r="AC530" i="135" s="1"/>
  <c r="AB530" i="135" a="1"/>
  <c r="AB530" i="135" s="1"/>
  <c r="AA530" i="135" a="1"/>
  <c r="AA530" i="135" s="1"/>
  <c r="Z530" i="135" a="1"/>
  <c r="Z530" i="135" s="1"/>
  <c r="Y530" i="135" a="1"/>
  <c r="Y530" i="135" s="1"/>
  <c r="X530" i="135" a="1"/>
  <c r="X530" i="135" s="1"/>
  <c r="W530" i="135" a="1"/>
  <c r="W530" i="135" s="1"/>
  <c r="AM529" i="135" a="1"/>
  <c r="AM529" i="135" s="1"/>
  <c r="AL529" i="135" a="1"/>
  <c r="AL529" i="135" s="1"/>
  <c r="AK529" i="135" a="1"/>
  <c r="AK529" i="135" s="1"/>
  <c r="AJ529" i="135" a="1"/>
  <c r="AJ529" i="135" s="1"/>
  <c r="AI529" i="135" a="1"/>
  <c r="AI529" i="135" s="1"/>
  <c r="AH529" i="135" a="1"/>
  <c r="AH529" i="135" s="1"/>
  <c r="AG529" i="135" a="1"/>
  <c r="AG529" i="135" s="1"/>
  <c r="AF529" i="135" a="1"/>
  <c r="AF529" i="135" s="1"/>
  <c r="AE529" i="135" a="1"/>
  <c r="AE529" i="135" s="1"/>
  <c r="AD529" i="135" a="1"/>
  <c r="AD529" i="135" s="1"/>
  <c r="AC529" i="135" a="1"/>
  <c r="AC529" i="135" s="1"/>
  <c r="AB529" i="135" a="1"/>
  <c r="AB529" i="135" s="1"/>
  <c r="AA529" i="135" a="1"/>
  <c r="AA529" i="135" s="1"/>
  <c r="Z529" i="135" a="1"/>
  <c r="Z529" i="135" s="1"/>
  <c r="Y529" i="135" a="1"/>
  <c r="Y529" i="135" s="1"/>
  <c r="X529" i="135" a="1"/>
  <c r="X529" i="135" s="1"/>
  <c r="W529" i="135" a="1"/>
  <c r="W529" i="135" s="1"/>
  <c r="AM528" i="135" a="1"/>
  <c r="AM528" i="135" s="1"/>
  <c r="AL528" i="135" a="1"/>
  <c r="AL528" i="135" s="1"/>
  <c r="AK528" i="135" a="1"/>
  <c r="AK528" i="135" s="1"/>
  <c r="AJ528" i="135" a="1"/>
  <c r="AJ528" i="135" s="1"/>
  <c r="AI528" i="135" a="1"/>
  <c r="AI528" i="135" s="1"/>
  <c r="AH528" i="135" a="1"/>
  <c r="AH528" i="135" s="1"/>
  <c r="AG528" i="135" a="1"/>
  <c r="AG528" i="135" s="1"/>
  <c r="AF528" i="135" a="1"/>
  <c r="AF528" i="135" s="1"/>
  <c r="AE528" i="135" a="1"/>
  <c r="AE528" i="135" s="1"/>
  <c r="AD528" i="135" a="1"/>
  <c r="AD528" i="135" s="1"/>
  <c r="AC528" i="135" a="1"/>
  <c r="AC528" i="135" s="1"/>
  <c r="AB528" i="135" a="1"/>
  <c r="AB528" i="135" s="1"/>
  <c r="AA528" i="135" a="1"/>
  <c r="AA528" i="135" s="1"/>
  <c r="Z528" i="135" a="1"/>
  <c r="Z528" i="135" s="1"/>
  <c r="Y528" i="135" a="1"/>
  <c r="Y528" i="135" s="1"/>
  <c r="X528" i="135" a="1"/>
  <c r="X528" i="135" s="1"/>
  <c r="W528" i="135" a="1"/>
  <c r="W528" i="135" s="1"/>
  <c r="AM527" i="135" a="1"/>
  <c r="AM527" i="135" s="1"/>
  <c r="AL527" i="135" a="1"/>
  <c r="AL527" i="135" s="1"/>
  <c r="AK527" i="135" a="1"/>
  <c r="AK527" i="135" s="1"/>
  <c r="AJ527" i="135" a="1"/>
  <c r="AJ527" i="135" s="1"/>
  <c r="AI527" i="135" a="1"/>
  <c r="AI527" i="135" s="1"/>
  <c r="AH527" i="135" a="1"/>
  <c r="AH527" i="135" s="1"/>
  <c r="AG527" i="135" a="1"/>
  <c r="AG527" i="135" s="1"/>
  <c r="AF527" i="135" a="1"/>
  <c r="AF527" i="135" s="1"/>
  <c r="AE527" i="135" a="1"/>
  <c r="AE527" i="135" s="1"/>
  <c r="AD527" i="135" a="1"/>
  <c r="AD527" i="135" s="1"/>
  <c r="AC527" i="135" a="1"/>
  <c r="AC527" i="135" s="1"/>
  <c r="AB527" i="135" a="1"/>
  <c r="AB527" i="135" s="1"/>
  <c r="AA527" i="135" a="1"/>
  <c r="AA527" i="135" s="1"/>
  <c r="Z527" i="135" a="1"/>
  <c r="Z527" i="135" s="1"/>
  <c r="Y527" i="135" a="1"/>
  <c r="Y527" i="135" s="1"/>
  <c r="X527" i="135" a="1"/>
  <c r="X527" i="135" s="1"/>
  <c r="W527" i="135" a="1"/>
  <c r="W527" i="135" s="1"/>
  <c r="AM526" i="135" a="1"/>
  <c r="AM526" i="135" s="1"/>
  <c r="AL526" i="135" a="1"/>
  <c r="AL526" i="135" s="1"/>
  <c r="AK526" i="135" a="1"/>
  <c r="AK526" i="135" s="1"/>
  <c r="AJ526" i="135" a="1"/>
  <c r="AJ526" i="135" s="1"/>
  <c r="AI526" i="135" a="1"/>
  <c r="AI526" i="135" s="1"/>
  <c r="AH526" i="135" a="1"/>
  <c r="AH526" i="135" s="1"/>
  <c r="AG526" i="135" a="1"/>
  <c r="AG526" i="135" s="1"/>
  <c r="AF526" i="135" a="1"/>
  <c r="AF526" i="135" s="1"/>
  <c r="AE526" i="135" a="1"/>
  <c r="AE526" i="135" s="1"/>
  <c r="AD526" i="135" a="1"/>
  <c r="AD526" i="135" s="1"/>
  <c r="AC526" i="135" a="1"/>
  <c r="AC526" i="135" s="1"/>
  <c r="AB526" i="135" a="1"/>
  <c r="AB526" i="135" s="1"/>
  <c r="AA526" i="135" a="1"/>
  <c r="AA526" i="135" s="1"/>
  <c r="Z526" i="135" a="1"/>
  <c r="Z526" i="135" s="1"/>
  <c r="Y526" i="135" a="1"/>
  <c r="Y526" i="135" s="1"/>
  <c r="X526" i="135" a="1"/>
  <c r="X526" i="135" s="1"/>
  <c r="W526" i="135" a="1"/>
  <c r="W526" i="135" s="1"/>
  <c r="AM525" i="135" a="1"/>
  <c r="AM525" i="135" s="1"/>
  <c r="AL525" i="135" a="1"/>
  <c r="AL525" i="135" s="1"/>
  <c r="AK525" i="135" a="1"/>
  <c r="AK525" i="135" s="1"/>
  <c r="AJ525" i="135" a="1"/>
  <c r="AJ525" i="135" s="1"/>
  <c r="AI525" i="135" a="1"/>
  <c r="AI525" i="135" s="1"/>
  <c r="AH525" i="135" a="1"/>
  <c r="AH525" i="135" s="1"/>
  <c r="AG525" i="135" a="1"/>
  <c r="AG525" i="135" s="1"/>
  <c r="AF525" i="135" a="1"/>
  <c r="AF525" i="135" s="1"/>
  <c r="AE525" i="135" a="1"/>
  <c r="AE525" i="135" s="1"/>
  <c r="AD525" i="135" a="1"/>
  <c r="AD525" i="135" s="1"/>
  <c r="AC525" i="135" a="1"/>
  <c r="AC525" i="135" s="1"/>
  <c r="AB525" i="135" a="1"/>
  <c r="AB525" i="135" s="1"/>
  <c r="AA525" i="135" a="1"/>
  <c r="AA525" i="135" s="1"/>
  <c r="Z525" i="135" a="1"/>
  <c r="Z525" i="135" s="1"/>
  <c r="Y525" i="135" a="1"/>
  <c r="Y525" i="135" s="1"/>
  <c r="X525" i="135" a="1"/>
  <c r="X525" i="135" s="1"/>
  <c r="W525" i="135" a="1"/>
  <c r="W525" i="135" s="1"/>
  <c r="AM524" i="135" a="1"/>
  <c r="AM524" i="135" s="1"/>
  <c r="AL524" i="135" a="1"/>
  <c r="AL524" i="135" s="1"/>
  <c r="AK524" i="135" a="1"/>
  <c r="AK524" i="135" s="1"/>
  <c r="AJ524" i="135" a="1"/>
  <c r="AJ524" i="135" s="1"/>
  <c r="AI524" i="135" a="1"/>
  <c r="AI524" i="135" s="1"/>
  <c r="AH524" i="135" a="1"/>
  <c r="AH524" i="135" s="1"/>
  <c r="AG524" i="135" a="1"/>
  <c r="AG524" i="135" s="1"/>
  <c r="AF524" i="135" a="1"/>
  <c r="AF524" i="135" s="1"/>
  <c r="AE524" i="135" a="1"/>
  <c r="AE524" i="135" s="1"/>
  <c r="AD524" i="135" a="1"/>
  <c r="AD524" i="135" s="1"/>
  <c r="AC524" i="135" a="1"/>
  <c r="AC524" i="135" s="1"/>
  <c r="AB524" i="135" a="1"/>
  <c r="AB524" i="135" s="1"/>
  <c r="AA524" i="135" a="1"/>
  <c r="AA524" i="135" s="1"/>
  <c r="Z524" i="135" a="1"/>
  <c r="Z524" i="135" s="1"/>
  <c r="Y524" i="135" a="1"/>
  <c r="Y524" i="135" s="1"/>
  <c r="X524" i="135" a="1"/>
  <c r="X524" i="135" s="1"/>
  <c r="W524" i="135" a="1"/>
  <c r="W524" i="135" s="1"/>
  <c r="AM523" i="135" a="1"/>
  <c r="AM523" i="135" s="1"/>
  <c r="AL523" i="135" a="1"/>
  <c r="AL523" i="135" s="1"/>
  <c r="AK523" i="135" a="1"/>
  <c r="AK523" i="135" s="1"/>
  <c r="AJ523" i="135" a="1"/>
  <c r="AJ523" i="135" s="1"/>
  <c r="AI523" i="135" a="1"/>
  <c r="AI523" i="135" s="1"/>
  <c r="AH523" i="135" a="1"/>
  <c r="AH523" i="135" s="1"/>
  <c r="AG523" i="135" a="1"/>
  <c r="AG523" i="135" s="1"/>
  <c r="AF523" i="135" a="1"/>
  <c r="AF523" i="135" s="1"/>
  <c r="AE523" i="135" a="1"/>
  <c r="AE523" i="135" s="1"/>
  <c r="AD523" i="135" a="1"/>
  <c r="AD523" i="135" s="1"/>
  <c r="AC523" i="135" a="1"/>
  <c r="AC523" i="135" s="1"/>
  <c r="AB523" i="135" a="1"/>
  <c r="AB523" i="135" s="1"/>
  <c r="AA523" i="135" a="1"/>
  <c r="AA523" i="135" s="1"/>
  <c r="Z523" i="135" a="1"/>
  <c r="Z523" i="135" s="1"/>
  <c r="Y523" i="135" a="1"/>
  <c r="Y523" i="135" s="1"/>
  <c r="X523" i="135" a="1"/>
  <c r="X523" i="135" s="1"/>
  <c r="W523" i="135" a="1"/>
  <c r="W523" i="135" s="1"/>
  <c r="AM522" i="135" a="1"/>
  <c r="AM522" i="135" s="1"/>
  <c r="AL522" i="135" a="1"/>
  <c r="AL522" i="135" s="1"/>
  <c r="AK522" i="135" a="1"/>
  <c r="AK522" i="135" s="1"/>
  <c r="AJ522" i="135" a="1"/>
  <c r="AJ522" i="135" s="1"/>
  <c r="AI522" i="135" a="1"/>
  <c r="AI522" i="135" s="1"/>
  <c r="AH522" i="135" a="1"/>
  <c r="AH522" i="135" s="1"/>
  <c r="AG522" i="135" a="1"/>
  <c r="AG522" i="135" s="1"/>
  <c r="AF522" i="135" a="1"/>
  <c r="AF522" i="135" s="1"/>
  <c r="AE522" i="135" a="1"/>
  <c r="AE522" i="135" s="1"/>
  <c r="AD522" i="135" a="1"/>
  <c r="AD522" i="135" s="1"/>
  <c r="AC522" i="135" a="1"/>
  <c r="AC522" i="135" s="1"/>
  <c r="AB522" i="135" a="1"/>
  <c r="AB522" i="135" s="1"/>
  <c r="AA522" i="135" a="1"/>
  <c r="AA522" i="135" s="1"/>
  <c r="Z522" i="135" a="1"/>
  <c r="Z522" i="135" s="1"/>
  <c r="Y522" i="135" a="1"/>
  <c r="Y522" i="135" s="1"/>
  <c r="X522" i="135" a="1"/>
  <c r="X522" i="135" s="1"/>
  <c r="W522" i="135" a="1"/>
  <c r="W522" i="135" s="1"/>
  <c r="AM521" i="135" a="1"/>
  <c r="AM521" i="135" s="1"/>
  <c r="AL521" i="135" a="1"/>
  <c r="AL521" i="135" s="1"/>
  <c r="AK521" i="135" a="1"/>
  <c r="AK521" i="135" s="1"/>
  <c r="AJ521" i="135" a="1"/>
  <c r="AJ521" i="135" s="1"/>
  <c r="AI521" i="135" a="1"/>
  <c r="AI521" i="135" s="1"/>
  <c r="AH521" i="135" a="1"/>
  <c r="AH521" i="135" s="1"/>
  <c r="AG521" i="135" a="1"/>
  <c r="AG521" i="135" s="1"/>
  <c r="AF521" i="135" a="1"/>
  <c r="AF521" i="135" s="1"/>
  <c r="AE521" i="135" a="1"/>
  <c r="AE521" i="135" s="1"/>
  <c r="AD521" i="135" a="1"/>
  <c r="AD521" i="135" s="1"/>
  <c r="AC521" i="135" a="1"/>
  <c r="AC521" i="135" s="1"/>
  <c r="AB521" i="135" a="1"/>
  <c r="AB521" i="135" s="1"/>
  <c r="AA521" i="135" a="1"/>
  <c r="AA521" i="135" s="1"/>
  <c r="Z521" i="135" a="1"/>
  <c r="Z521" i="135" s="1"/>
  <c r="Y521" i="135" a="1"/>
  <c r="Y521" i="135" s="1"/>
  <c r="X521" i="135" a="1"/>
  <c r="X521" i="135" s="1"/>
  <c r="W521" i="135" a="1"/>
  <c r="W521" i="135" s="1"/>
  <c r="AM520" i="135" a="1"/>
  <c r="AM520" i="135" s="1"/>
  <c r="AL520" i="135" a="1"/>
  <c r="AL520" i="135" s="1"/>
  <c r="AK520" i="135" a="1"/>
  <c r="AK520" i="135" s="1"/>
  <c r="AJ520" i="135" a="1"/>
  <c r="AJ520" i="135" s="1"/>
  <c r="AI520" i="135" a="1"/>
  <c r="AI520" i="135" s="1"/>
  <c r="AH520" i="135" a="1"/>
  <c r="AH520" i="135" s="1"/>
  <c r="AG520" i="135" a="1"/>
  <c r="AG520" i="135" s="1"/>
  <c r="AF520" i="135" a="1"/>
  <c r="AF520" i="135" s="1"/>
  <c r="AE520" i="135" a="1"/>
  <c r="AE520" i="135" s="1"/>
  <c r="AD520" i="135" a="1"/>
  <c r="AD520" i="135" s="1"/>
  <c r="AC520" i="135" a="1"/>
  <c r="AC520" i="135" s="1"/>
  <c r="AB520" i="135" a="1"/>
  <c r="AB520" i="135" s="1"/>
  <c r="AA520" i="135" a="1"/>
  <c r="AA520" i="135" s="1"/>
  <c r="Z520" i="135" a="1"/>
  <c r="Z520" i="135" s="1"/>
  <c r="Y520" i="135" a="1"/>
  <c r="Y520" i="135" s="1"/>
  <c r="X520" i="135" a="1"/>
  <c r="X520" i="135" s="1"/>
  <c r="W520" i="135" a="1"/>
  <c r="W520" i="135" s="1"/>
  <c r="AM519" i="135" a="1"/>
  <c r="AM519" i="135" s="1"/>
  <c r="AL519" i="135" a="1"/>
  <c r="AL519" i="135" s="1"/>
  <c r="AK519" i="135" a="1"/>
  <c r="AK519" i="135" s="1"/>
  <c r="AJ519" i="135" a="1"/>
  <c r="AJ519" i="135" s="1"/>
  <c r="AI519" i="135" a="1"/>
  <c r="AI519" i="135" s="1"/>
  <c r="AH519" i="135" a="1"/>
  <c r="AH519" i="135" s="1"/>
  <c r="AG519" i="135" a="1"/>
  <c r="AG519" i="135" s="1"/>
  <c r="AF519" i="135" a="1"/>
  <c r="AF519" i="135" s="1"/>
  <c r="AE519" i="135" a="1"/>
  <c r="AE519" i="135" s="1"/>
  <c r="AD519" i="135" a="1"/>
  <c r="AD519" i="135" s="1"/>
  <c r="AC519" i="135" a="1"/>
  <c r="AC519" i="135" s="1"/>
  <c r="AB519" i="135" a="1"/>
  <c r="AB519" i="135" s="1"/>
  <c r="AA519" i="135" a="1"/>
  <c r="AA519" i="135" s="1"/>
  <c r="Z519" i="135" a="1"/>
  <c r="Z519" i="135" s="1"/>
  <c r="Y519" i="135" a="1"/>
  <c r="Y519" i="135" s="1"/>
  <c r="X519" i="135" a="1"/>
  <c r="X519" i="135" s="1"/>
  <c r="W519" i="135" a="1"/>
  <c r="W519" i="135" s="1"/>
  <c r="AM518" i="135" a="1"/>
  <c r="AM518" i="135" s="1"/>
  <c r="AL518" i="135" a="1"/>
  <c r="AL518" i="135" s="1"/>
  <c r="AK518" i="135" a="1"/>
  <c r="AK518" i="135" s="1"/>
  <c r="AJ518" i="135" a="1"/>
  <c r="AJ518" i="135" s="1"/>
  <c r="AI518" i="135" a="1"/>
  <c r="AI518" i="135" s="1"/>
  <c r="AH518" i="135" a="1"/>
  <c r="AH518" i="135" s="1"/>
  <c r="AG518" i="135" a="1"/>
  <c r="AG518" i="135" s="1"/>
  <c r="AF518" i="135" a="1"/>
  <c r="AF518" i="135" s="1"/>
  <c r="AE518" i="135" a="1"/>
  <c r="AE518" i="135" s="1"/>
  <c r="AD518" i="135" a="1"/>
  <c r="AD518" i="135" s="1"/>
  <c r="AC518" i="135" a="1"/>
  <c r="AC518" i="135" s="1"/>
  <c r="AB518" i="135" a="1"/>
  <c r="AB518" i="135" s="1"/>
  <c r="AA518" i="135" a="1"/>
  <c r="AA518" i="135" s="1"/>
  <c r="Z518" i="135" a="1"/>
  <c r="Z518" i="135" s="1"/>
  <c r="Y518" i="135" a="1"/>
  <c r="Y518" i="135" s="1"/>
  <c r="X518" i="135" a="1"/>
  <c r="X518" i="135" s="1"/>
  <c r="W518" i="135" a="1"/>
  <c r="W518" i="135" s="1"/>
  <c r="AM517" i="135" a="1"/>
  <c r="AM517" i="135" s="1"/>
  <c r="AL517" i="135" a="1"/>
  <c r="AL517" i="135" s="1"/>
  <c r="AK517" i="135" a="1"/>
  <c r="AK517" i="135" s="1"/>
  <c r="AJ517" i="135" a="1"/>
  <c r="AJ517" i="135" s="1"/>
  <c r="AI517" i="135" a="1"/>
  <c r="AI517" i="135" s="1"/>
  <c r="AH517" i="135" a="1"/>
  <c r="AH517" i="135" s="1"/>
  <c r="AG517" i="135" a="1"/>
  <c r="AG517" i="135" s="1"/>
  <c r="AF517" i="135" a="1"/>
  <c r="AF517" i="135" s="1"/>
  <c r="AE517" i="135" a="1"/>
  <c r="AE517" i="135" s="1"/>
  <c r="AD517" i="135" a="1"/>
  <c r="AD517" i="135" s="1"/>
  <c r="AC517" i="135" a="1"/>
  <c r="AC517" i="135" s="1"/>
  <c r="AB517" i="135" a="1"/>
  <c r="AB517" i="135" s="1"/>
  <c r="AA517" i="135" a="1"/>
  <c r="AA517" i="135" s="1"/>
  <c r="Z517" i="135" a="1"/>
  <c r="Z517" i="135" s="1"/>
  <c r="Y517" i="135" a="1"/>
  <c r="Y517" i="135" s="1"/>
  <c r="X517" i="135" a="1"/>
  <c r="X517" i="135" s="1"/>
  <c r="W517" i="135" a="1"/>
  <c r="W517" i="135" s="1"/>
  <c r="AM516" i="135" a="1"/>
  <c r="AM516" i="135" s="1"/>
  <c r="AL516" i="135" a="1"/>
  <c r="AL516" i="135" s="1"/>
  <c r="AK516" i="135" a="1"/>
  <c r="AK516" i="135" s="1"/>
  <c r="AJ516" i="135" a="1"/>
  <c r="AJ516" i="135" s="1"/>
  <c r="AI516" i="135" a="1"/>
  <c r="AI516" i="135" s="1"/>
  <c r="AH516" i="135" a="1"/>
  <c r="AH516" i="135" s="1"/>
  <c r="AG516" i="135" a="1"/>
  <c r="AG516" i="135" s="1"/>
  <c r="AF516" i="135" a="1"/>
  <c r="AF516" i="135" s="1"/>
  <c r="AE516" i="135" a="1"/>
  <c r="AE516" i="135" s="1"/>
  <c r="AD516" i="135" a="1"/>
  <c r="AD516" i="135" s="1"/>
  <c r="AC516" i="135" a="1"/>
  <c r="AC516" i="135" s="1"/>
  <c r="AB516" i="135" a="1"/>
  <c r="AB516" i="135" s="1"/>
  <c r="AA516" i="135" a="1"/>
  <c r="AA516" i="135" s="1"/>
  <c r="Z516" i="135" a="1"/>
  <c r="Z516" i="135" s="1"/>
  <c r="Y516" i="135" a="1"/>
  <c r="Y516" i="135" s="1"/>
  <c r="X516" i="135" a="1"/>
  <c r="X516" i="135" s="1"/>
  <c r="W516" i="135" a="1"/>
  <c r="W516" i="135" s="1"/>
  <c r="AM515" i="135" a="1"/>
  <c r="AM515" i="135" s="1"/>
  <c r="AL515" i="135" a="1"/>
  <c r="AL515" i="135" s="1"/>
  <c r="AK515" i="135" a="1"/>
  <c r="AK515" i="135" s="1"/>
  <c r="AJ515" i="135" a="1"/>
  <c r="AJ515" i="135" s="1"/>
  <c r="AI515" i="135" a="1"/>
  <c r="AI515" i="135" s="1"/>
  <c r="AH515" i="135" a="1"/>
  <c r="AH515" i="135" s="1"/>
  <c r="AG515" i="135" a="1"/>
  <c r="AG515" i="135" s="1"/>
  <c r="AF515" i="135" a="1"/>
  <c r="AF515" i="135" s="1"/>
  <c r="AE515" i="135" a="1"/>
  <c r="AE515" i="135" s="1"/>
  <c r="AD515" i="135" a="1"/>
  <c r="AD515" i="135" s="1"/>
  <c r="AC515" i="135" a="1"/>
  <c r="AC515" i="135" s="1"/>
  <c r="AB515" i="135" a="1"/>
  <c r="AB515" i="135" s="1"/>
  <c r="AA515" i="135" a="1"/>
  <c r="AA515" i="135" s="1"/>
  <c r="Z515" i="135" a="1"/>
  <c r="Z515" i="135" s="1"/>
  <c r="Y515" i="135" a="1"/>
  <c r="Y515" i="135" s="1"/>
  <c r="X515" i="135" a="1"/>
  <c r="X515" i="135" s="1"/>
  <c r="W515" i="135" a="1"/>
  <c r="W515" i="135" s="1"/>
  <c r="AM514" i="135" a="1"/>
  <c r="AM514" i="135" s="1"/>
  <c r="AL514" i="135" a="1"/>
  <c r="AL514" i="135" s="1"/>
  <c r="AK514" i="135" a="1"/>
  <c r="AK514" i="135" s="1"/>
  <c r="AJ514" i="135" a="1"/>
  <c r="AJ514" i="135" s="1"/>
  <c r="AI514" i="135" a="1"/>
  <c r="AI514" i="135" s="1"/>
  <c r="AH514" i="135" a="1"/>
  <c r="AH514" i="135" s="1"/>
  <c r="AG514" i="135" a="1"/>
  <c r="AG514" i="135" s="1"/>
  <c r="AF514" i="135" a="1"/>
  <c r="AF514" i="135" s="1"/>
  <c r="AE514" i="135" a="1"/>
  <c r="AE514" i="135" s="1"/>
  <c r="AD514" i="135" a="1"/>
  <c r="AD514" i="135" s="1"/>
  <c r="AC514" i="135" a="1"/>
  <c r="AC514" i="135" s="1"/>
  <c r="AB514" i="135" a="1"/>
  <c r="AB514" i="135" s="1"/>
  <c r="AA514" i="135" a="1"/>
  <c r="AA514" i="135" s="1"/>
  <c r="Z514" i="135" a="1"/>
  <c r="Z514" i="135" s="1"/>
  <c r="Y514" i="135" a="1"/>
  <c r="Y514" i="135" s="1"/>
  <c r="X514" i="135" a="1"/>
  <c r="X514" i="135" s="1"/>
  <c r="W514" i="135" a="1"/>
  <c r="W514" i="135" s="1"/>
  <c r="AM513" i="135" a="1"/>
  <c r="AM513" i="135" s="1"/>
  <c r="AL513" i="135" a="1"/>
  <c r="AL513" i="135" s="1"/>
  <c r="AK513" i="135" a="1"/>
  <c r="AK513" i="135" s="1"/>
  <c r="AJ513" i="135" a="1"/>
  <c r="AJ513" i="135" s="1"/>
  <c r="AI513" i="135" a="1"/>
  <c r="AI513" i="135" s="1"/>
  <c r="AH513" i="135" a="1"/>
  <c r="AH513" i="135" s="1"/>
  <c r="AG513" i="135" a="1"/>
  <c r="AG513" i="135" s="1"/>
  <c r="AF513" i="135" a="1"/>
  <c r="AF513" i="135" s="1"/>
  <c r="AE513" i="135" a="1"/>
  <c r="AE513" i="135" s="1"/>
  <c r="AD513" i="135" a="1"/>
  <c r="AD513" i="135" s="1"/>
  <c r="AC513" i="135" a="1"/>
  <c r="AC513" i="135" s="1"/>
  <c r="AB513" i="135" a="1"/>
  <c r="AB513" i="135" s="1"/>
  <c r="AA513" i="135" a="1"/>
  <c r="AA513" i="135" s="1"/>
  <c r="Z513" i="135" a="1"/>
  <c r="Z513" i="135" s="1"/>
  <c r="Y513" i="135" a="1"/>
  <c r="Y513" i="135" s="1"/>
  <c r="X513" i="135" a="1"/>
  <c r="X513" i="135" s="1"/>
  <c r="W513" i="135" a="1"/>
  <c r="W513" i="135" s="1"/>
  <c r="AM512" i="135" a="1"/>
  <c r="AM512" i="135" s="1"/>
  <c r="AL512" i="135" a="1"/>
  <c r="AL512" i="135" s="1"/>
  <c r="AK512" i="135" a="1"/>
  <c r="AK512" i="135" s="1"/>
  <c r="AJ512" i="135" a="1"/>
  <c r="AJ512" i="135" s="1"/>
  <c r="AI512" i="135" a="1"/>
  <c r="AI512" i="135" s="1"/>
  <c r="AH512" i="135" a="1"/>
  <c r="AH512" i="135" s="1"/>
  <c r="AG512" i="135" a="1"/>
  <c r="AG512" i="135" s="1"/>
  <c r="AF512" i="135" a="1"/>
  <c r="AF512" i="135" s="1"/>
  <c r="AE512" i="135" a="1"/>
  <c r="AE512" i="135" s="1"/>
  <c r="AD512" i="135" a="1"/>
  <c r="AD512" i="135" s="1"/>
  <c r="AC512" i="135" a="1"/>
  <c r="AC512" i="135" s="1"/>
  <c r="AB512" i="135" a="1"/>
  <c r="AB512" i="135" s="1"/>
  <c r="AA512" i="135" a="1"/>
  <c r="AA512" i="135" s="1"/>
  <c r="Z512" i="135" a="1"/>
  <c r="Z512" i="135" s="1"/>
  <c r="Y512" i="135" a="1"/>
  <c r="Y512" i="135" s="1"/>
  <c r="X512" i="135" a="1"/>
  <c r="X512" i="135" s="1"/>
  <c r="W512" i="135" a="1"/>
  <c r="W512" i="135" s="1"/>
  <c r="AM511" i="135" a="1"/>
  <c r="AM511" i="135" s="1"/>
  <c r="AL511" i="135" a="1"/>
  <c r="AL511" i="135" s="1"/>
  <c r="AK511" i="135" a="1"/>
  <c r="AK511" i="135" s="1"/>
  <c r="AJ511" i="135" a="1"/>
  <c r="AJ511" i="135" s="1"/>
  <c r="AI511" i="135" a="1"/>
  <c r="AI511" i="135" s="1"/>
  <c r="AH511" i="135" a="1"/>
  <c r="AH511" i="135" s="1"/>
  <c r="AG511" i="135" a="1"/>
  <c r="AG511" i="135" s="1"/>
  <c r="AF511" i="135" a="1"/>
  <c r="AF511" i="135" s="1"/>
  <c r="AE511" i="135" a="1"/>
  <c r="AE511" i="135" s="1"/>
  <c r="AD511" i="135" a="1"/>
  <c r="AD511" i="135" s="1"/>
  <c r="AC511" i="135" a="1"/>
  <c r="AC511" i="135" s="1"/>
  <c r="AB511" i="135" a="1"/>
  <c r="AB511" i="135" s="1"/>
  <c r="AA511" i="135" a="1"/>
  <c r="AA511" i="135" s="1"/>
  <c r="Z511" i="135" a="1"/>
  <c r="Z511" i="135" s="1"/>
  <c r="Y511" i="135" a="1"/>
  <c r="Y511" i="135" s="1"/>
  <c r="X511" i="135" a="1"/>
  <c r="X511" i="135" s="1"/>
  <c r="W511" i="135" a="1"/>
  <c r="W511" i="135" s="1"/>
  <c r="AM510" i="135" a="1"/>
  <c r="AM510" i="135" s="1"/>
  <c r="AL510" i="135" a="1"/>
  <c r="AL510" i="135" s="1"/>
  <c r="AK510" i="135" a="1"/>
  <c r="AK510" i="135" s="1"/>
  <c r="AJ510" i="135" a="1"/>
  <c r="AJ510" i="135" s="1"/>
  <c r="AI510" i="135" a="1"/>
  <c r="AI510" i="135" s="1"/>
  <c r="AH510" i="135" a="1"/>
  <c r="AH510" i="135" s="1"/>
  <c r="AG510" i="135" a="1"/>
  <c r="AG510" i="135" s="1"/>
  <c r="AF510" i="135" a="1"/>
  <c r="AF510" i="135" s="1"/>
  <c r="AE510" i="135" a="1"/>
  <c r="AE510" i="135" s="1"/>
  <c r="AD510" i="135" a="1"/>
  <c r="AD510" i="135" s="1"/>
  <c r="AC510" i="135" a="1"/>
  <c r="AC510" i="135" s="1"/>
  <c r="AB510" i="135" a="1"/>
  <c r="AB510" i="135" s="1"/>
  <c r="AA510" i="135" a="1"/>
  <c r="AA510" i="135" s="1"/>
  <c r="Z510" i="135" a="1"/>
  <c r="Z510" i="135" s="1"/>
  <c r="Y510" i="135" a="1"/>
  <c r="Y510" i="135" s="1"/>
  <c r="X510" i="135" a="1"/>
  <c r="X510" i="135" s="1"/>
  <c r="W510" i="135" a="1"/>
  <c r="W510" i="135" s="1"/>
  <c r="AM509" i="135" a="1"/>
  <c r="AM509" i="135" s="1"/>
  <c r="AL509" i="135" a="1"/>
  <c r="AL509" i="135" s="1"/>
  <c r="AK509" i="135" a="1"/>
  <c r="AK509" i="135" s="1"/>
  <c r="AJ509" i="135" a="1"/>
  <c r="AJ509" i="135" s="1"/>
  <c r="AI509" i="135" a="1"/>
  <c r="AI509" i="135" s="1"/>
  <c r="AH509" i="135" a="1"/>
  <c r="AH509" i="135" s="1"/>
  <c r="AG509" i="135" a="1"/>
  <c r="AG509" i="135" s="1"/>
  <c r="AF509" i="135" a="1"/>
  <c r="AF509" i="135" s="1"/>
  <c r="AE509" i="135" a="1"/>
  <c r="AE509" i="135" s="1"/>
  <c r="AD509" i="135" a="1"/>
  <c r="AD509" i="135" s="1"/>
  <c r="AC509" i="135" a="1"/>
  <c r="AC509" i="135" s="1"/>
  <c r="AB509" i="135" a="1"/>
  <c r="AB509" i="135" s="1"/>
  <c r="AA509" i="135" a="1"/>
  <c r="AA509" i="135" s="1"/>
  <c r="Z509" i="135" a="1"/>
  <c r="Z509" i="135" s="1"/>
  <c r="Y509" i="135" a="1"/>
  <c r="Y509" i="135" s="1"/>
  <c r="X509" i="135" a="1"/>
  <c r="X509" i="135" s="1"/>
  <c r="W509" i="135" a="1"/>
  <c r="W509" i="135" s="1"/>
  <c r="AM508" i="135" a="1"/>
  <c r="AM508" i="135" s="1"/>
  <c r="AL508" i="135" a="1"/>
  <c r="AL508" i="135" s="1"/>
  <c r="AK508" i="135" a="1"/>
  <c r="AK508" i="135" s="1"/>
  <c r="AJ508" i="135" a="1"/>
  <c r="AJ508" i="135" s="1"/>
  <c r="AI508" i="135" a="1"/>
  <c r="AI508" i="135" s="1"/>
  <c r="AH508" i="135" a="1"/>
  <c r="AH508" i="135" s="1"/>
  <c r="AG508" i="135" a="1"/>
  <c r="AG508" i="135" s="1"/>
  <c r="AF508" i="135" a="1"/>
  <c r="AF508" i="135" s="1"/>
  <c r="AE508" i="135" a="1"/>
  <c r="AE508" i="135" s="1"/>
  <c r="AD508" i="135" a="1"/>
  <c r="AD508" i="135" s="1"/>
  <c r="AC508" i="135" a="1"/>
  <c r="AC508" i="135" s="1"/>
  <c r="AB508" i="135" a="1"/>
  <c r="AB508" i="135" s="1"/>
  <c r="AA508" i="135" a="1"/>
  <c r="AA508" i="135" s="1"/>
  <c r="Z508" i="135" a="1"/>
  <c r="Z508" i="135" s="1"/>
  <c r="Y508" i="135" a="1"/>
  <c r="Y508" i="135" s="1"/>
  <c r="X508" i="135" a="1"/>
  <c r="X508" i="135" s="1"/>
  <c r="W508" i="135" a="1"/>
  <c r="W508" i="135" s="1"/>
  <c r="AM507" i="135" a="1"/>
  <c r="AM507" i="135" s="1"/>
  <c r="AL507" i="135" a="1"/>
  <c r="AL507" i="135" s="1"/>
  <c r="AK507" i="135" a="1"/>
  <c r="AK507" i="135" s="1"/>
  <c r="AJ507" i="135" a="1"/>
  <c r="AJ507" i="135" s="1"/>
  <c r="AI507" i="135" a="1"/>
  <c r="AI507" i="135" s="1"/>
  <c r="AH507" i="135" a="1"/>
  <c r="AH507" i="135" s="1"/>
  <c r="AG507" i="135" a="1"/>
  <c r="AG507" i="135" s="1"/>
  <c r="AF507" i="135" a="1"/>
  <c r="AF507" i="135" s="1"/>
  <c r="AE507" i="135" a="1"/>
  <c r="AE507" i="135" s="1"/>
  <c r="AD507" i="135" a="1"/>
  <c r="AD507" i="135" s="1"/>
  <c r="AC507" i="135" a="1"/>
  <c r="AC507" i="135" s="1"/>
  <c r="AB507" i="135" a="1"/>
  <c r="AB507" i="135" s="1"/>
  <c r="AA507" i="135" a="1"/>
  <c r="AA507" i="135" s="1"/>
  <c r="Z507" i="135" a="1"/>
  <c r="Z507" i="135" s="1"/>
  <c r="Y507" i="135" a="1"/>
  <c r="Y507" i="135" s="1"/>
  <c r="X507" i="135" a="1"/>
  <c r="X507" i="135" s="1"/>
  <c r="W507" i="135" a="1"/>
  <c r="W507" i="135" s="1"/>
  <c r="AM506" i="135" a="1"/>
  <c r="AM506" i="135" s="1"/>
  <c r="AL506" i="135" a="1"/>
  <c r="AL506" i="135" s="1"/>
  <c r="AK506" i="135" a="1"/>
  <c r="AK506" i="135" s="1"/>
  <c r="AJ506" i="135" a="1"/>
  <c r="AJ506" i="135" s="1"/>
  <c r="AI506" i="135" a="1"/>
  <c r="AI506" i="135" s="1"/>
  <c r="AH506" i="135" a="1"/>
  <c r="AH506" i="135" s="1"/>
  <c r="AG506" i="135" a="1"/>
  <c r="AG506" i="135" s="1"/>
  <c r="AF506" i="135" a="1"/>
  <c r="AF506" i="135" s="1"/>
  <c r="AE506" i="135" a="1"/>
  <c r="AE506" i="135" s="1"/>
  <c r="AD506" i="135" a="1"/>
  <c r="AD506" i="135" s="1"/>
  <c r="AC506" i="135" a="1"/>
  <c r="AC506" i="135" s="1"/>
  <c r="AB506" i="135" a="1"/>
  <c r="AB506" i="135" s="1"/>
  <c r="AA506" i="135" a="1"/>
  <c r="AA506" i="135" s="1"/>
  <c r="Z506" i="135" a="1"/>
  <c r="Z506" i="135" s="1"/>
  <c r="Y506" i="135" a="1"/>
  <c r="Y506" i="135" s="1"/>
  <c r="X506" i="135" a="1"/>
  <c r="X506" i="135" s="1"/>
  <c r="W506" i="135" a="1"/>
  <c r="W506" i="135" s="1"/>
  <c r="AM505" i="135" a="1"/>
  <c r="AM505" i="135" s="1"/>
  <c r="AL505" i="135" a="1"/>
  <c r="AL505" i="135" s="1"/>
  <c r="AK505" i="135" a="1"/>
  <c r="AK505" i="135" s="1"/>
  <c r="AJ505" i="135" a="1"/>
  <c r="AJ505" i="135" s="1"/>
  <c r="AI505" i="135" a="1"/>
  <c r="AI505" i="135" s="1"/>
  <c r="AH505" i="135" a="1"/>
  <c r="AH505" i="135" s="1"/>
  <c r="AG505" i="135" a="1"/>
  <c r="AG505" i="135" s="1"/>
  <c r="AF505" i="135" a="1"/>
  <c r="AF505" i="135" s="1"/>
  <c r="AE505" i="135" a="1"/>
  <c r="AE505" i="135" s="1"/>
  <c r="AD505" i="135" a="1"/>
  <c r="AD505" i="135" s="1"/>
  <c r="AC505" i="135" a="1"/>
  <c r="AC505" i="135" s="1"/>
  <c r="AB505" i="135" a="1"/>
  <c r="AB505" i="135" s="1"/>
  <c r="AA505" i="135" a="1"/>
  <c r="AA505" i="135" s="1"/>
  <c r="Z505" i="135" a="1"/>
  <c r="Z505" i="135" s="1"/>
  <c r="Y505" i="135" a="1"/>
  <c r="Y505" i="135" s="1"/>
  <c r="X505" i="135" a="1"/>
  <c r="X505" i="135" s="1"/>
  <c r="W505" i="135" a="1"/>
  <c r="W505" i="135" s="1"/>
  <c r="AM504" i="135" a="1"/>
  <c r="AM504" i="135" s="1"/>
  <c r="AL504" i="135" a="1"/>
  <c r="AL504" i="135" s="1"/>
  <c r="AK504" i="135" a="1"/>
  <c r="AK504" i="135" s="1"/>
  <c r="AJ504" i="135" a="1"/>
  <c r="AJ504" i="135" s="1"/>
  <c r="AI504" i="135" a="1"/>
  <c r="AI504" i="135" s="1"/>
  <c r="AH504" i="135" a="1"/>
  <c r="AH504" i="135" s="1"/>
  <c r="AG504" i="135" a="1"/>
  <c r="AG504" i="135" s="1"/>
  <c r="AF504" i="135" a="1"/>
  <c r="AF504" i="135" s="1"/>
  <c r="AE504" i="135" a="1"/>
  <c r="AE504" i="135" s="1"/>
  <c r="AD504" i="135" a="1"/>
  <c r="AD504" i="135" s="1"/>
  <c r="AC504" i="135" a="1"/>
  <c r="AC504" i="135" s="1"/>
  <c r="AB504" i="135" a="1"/>
  <c r="AB504" i="135" s="1"/>
  <c r="AA504" i="135" a="1"/>
  <c r="AA504" i="135" s="1"/>
  <c r="Z504" i="135" a="1"/>
  <c r="Z504" i="135" s="1"/>
  <c r="Y504" i="135" a="1"/>
  <c r="Y504" i="135" s="1"/>
  <c r="X504" i="135" a="1"/>
  <c r="X504" i="135" s="1"/>
  <c r="W504" i="135" a="1"/>
  <c r="W504" i="135" s="1"/>
  <c r="AM503" i="135" a="1"/>
  <c r="AM503" i="135" s="1"/>
  <c r="AL503" i="135" a="1"/>
  <c r="AL503" i="135" s="1"/>
  <c r="AK503" i="135" a="1"/>
  <c r="AK503" i="135" s="1"/>
  <c r="AJ503" i="135" a="1"/>
  <c r="AJ503" i="135" s="1"/>
  <c r="AI503" i="135" a="1"/>
  <c r="AI503" i="135" s="1"/>
  <c r="AH503" i="135" a="1"/>
  <c r="AH503" i="135" s="1"/>
  <c r="AG503" i="135" a="1"/>
  <c r="AG503" i="135" s="1"/>
  <c r="AF503" i="135" a="1"/>
  <c r="AF503" i="135" s="1"/>
  <c r="AE503" i="135" a="1"/>
  <c r="AE503" i="135" s="1"/>
  <c r="AD503" i="135" a="1"/>
  <c r="AD503" i="135" s="1"/>
  <c r="AC503" i="135" a="1"/>
  <c r="AC503" i="135" s="1"/>
  <c r="AB503" i="135" a="1"/>
  <c r="AB503" i="135" s="1"/>
  <c r="AA503" i="135" a="1"/>
  <c r="AA503" i="135" s="1"/>
  <c r="Z503" i="135" a="1"/>
  <c r="Z503" i="135" s="1"/>
  <c r="Y503" i="135" a="1"/>
  <c r="Y503" i="135" s="1"/>
  <c r="X503" i="135" a="1"/>
  <c r="X503" i="135" s="1"/>
  <c r="W503" i="135" a="1"/>
  <c r="W503" i="135" s="1"/>
  <c r="AM502" i="135" a="1"/>
  <c r="AM502" i="135" s="1"/>
  <c r="AL502" i="135" a="1"/>
  <c r="AL502" i="135" s="1"/>
  <c r="AK502" i="135" a="1"/>
  <c r="AK502" i="135" s="1"/>
  <c r="AJ502" i="135" a="1"/>
  <c r="AJ502" i="135" s="1"/>
  <c r="AI502" i="135" a="1"/>
  <c r="AI502" i="135" s="1"/>
  <c r="AH502" i="135" a="1"/>
  <c r="AH502" i="135" s="1"/>
  <c r="AG502" i="135" a="1"/>
  <c r="AG502" i="135" s="1"/>
  <c r="AF502" i="135" a="1"/>
  <c r="AF502" i="135" s="1"/>
  <c r="AE502" i="135" a="1"/>
  <c r="AE502" i="135" s="1"/>
  <c r="AD502" i="135" a="1"/>
  <c r="AD502" i="135" s="1"/>
  <c r="AC502" i="135" a="1"/>
  <c r="AC502" i="135" s="1"/>
  <c r="AB502" i="135" a="1"/>
  <c r="AB502" i="135" s="1"/>
  <c r="AA502" i="135" a="1"/>
  <c r="AA502" i="135" s="1"/>
  <c r="Z502" i="135" a="1"/>
  <c r="Z502" i="135" s="1"/>
  <c r="Y502" i="135" a="1"/>
  <c r="Y502" i="135" s="1"/>
  <c r="X502" i="135" a="1"/>
  <c r="X502" i="135" s="1"/>
  <c r="W502" i="135" a="1"/>
  <c r="W502" i="135" s="1"/>
  <c r="AM501" i="135" a="1"/>
  <c r="AM501" i="135" s="1"/>
  <c r="AL501" i="135" a="1"/>
  <c r="AL501" i="135" s="1"/>
  <c r="AK501" i="135" a="1"/>
  <c r="AK501" i="135" s="1"/>
  <c r="AJ501" i="135" a="1"/>
  <c r="AJ501" i="135" s="1"/>
  <c r="AI501" i="135" a="1"/>
  <c r="AI501" i="135" s="1"/>
  <c r="AH501" i="135" a="1"/>
  <c r="AH501" i="135" s="1"/>
  <c r="AG501" i="135" a="1"/>
  <c r="AG501" i="135" s="1"/>
  <c r="AF501" i="135" a="1"/>
  <c r="AF501" i="135" s="1"/>
  <c r="AE501" i="135" a="1"/>
  <c r="AE501" i="135" s="1"/>
  <c r="AD501" i="135" a="1"/>
  <c r="AD501" i="135" s="1"/>
  <c r="AC501" i="135" a="1"/>
  <c r="AC501" i="135" s="1"/>
  <c r="AB501" i="135" a="1"/>
  <c r="AB501" i="135" s="1"/>
  <c r="AA501" i="135" a="1"/>
  <c r="AA501" i="135" s="1"/>
  <c r="Z501" i="135" a="1"/>
  <c r="Z501" i="135" s="1"/>
  <c r="Y501" i="135" a="1"/>
  <c r="Y501" i="135" s="1"/>
  <c r="X501" i="135" a="1"/>
  <c r="X501" i="135" s="1"/>
  <c r="W501" i="135" a="1"/>
  <c r="W501" i="135" s="1"/>
  <c r="AM500" i="135" a="1"/>
  <c r="AM500" i="135" s="1"/>
  <c r="AL500" i="135" a="1"/>
  <c r="AL500" i="135" s="1"/>
  <c r="AK500" i="135" a="1"/>
  <c r="AK500" i="135" s="1"/>
  <c r="AJ500" i="135" a="1"/>
  <c r="AJ500" i="135" s="1"/>
  <c r="AI500" i="135" a="1"/>
  <c r="AI500" i="135" s="1"/>
  <c r="AH500" i="135" a="1"/>
  <c r="AH500" i="135" s="1"/>
  <c r="AG500" i="135" a="1"/>
  <c r="AG500" i="135" s="1"/>
  <c r="AF500" i="135" a="1"/>
  <c r="AF500" i="135" s="1"/>
  <c r="AE500" i="135" a="1"/>
  <c r="AE500" i="135" s="1"/>
  <c r="AD500" i="135" a="1"/>
  <c r="AD500" i="135" s="1"/>
  <c r="AC500" i="135" a="1"/>
  <c r="AC500" i="135" s="1"/>
  <c r="AB500" i="135" a="1"/>
  <c r="AB500" i="135" s="1"/>
  <c r="AA500" i="135" a="1"/>
  <c r="AA500" i="135" s="1"/>
  <c r="Z500" i="135" a="1"/>
  <c r="Z500" i="135" s="1"/>
  <c r="Y500" i="135" a="1"/>
  <c r="Y500" i="135" s="1"/>
  <c r="X500" i="135" a="1"/>
  <c r="X500" i="135" s="1"/>
  <c r="W500" i="135" a="1"/>
  <c r="W500" i="135" s="1"/>
  <c r="AM499" i="135" a="1"/>
  <c r="AM499" i="135" s="1"/>
  <c r="AL499" i="135" a="1"/>
  <c r="AL499" i="135" s="1"/>
  <c r="AK499" i="135" a="1"/>
  <c r="AK499" i="135" s="1"/>
  <c r="AJ499" i="135" a="1"/>
  <c r="AJ499" i="135" s="1"/>
  <c r="AI499" i="135" a="1"/>
  <c r="AI499" i="135" s="1"/>
  <c r="AH499" i="135" a="1"/>
  <c r="AH499" i="135" s="1"/>
  <c r="AG499" i="135" a="1"/>
  <c r="AG499" i="135" s="1"/>
  <c r="AF499" i="135" a="1"/>
  <c r="AF499" i="135" s="1"/>
  <c r="AE499" i="135" a="1"/>
  <c r="AE499" i="135" s="1"/>
  <c r="AD499" i="135" a="1"/>
  <c r="AD499" i="135" s="1"/>
  <c r="AC499" i="135" a="1"/>
  <c r="AC499" i="135" s="1"/>
  <c r="AB499" i="135" a="1"/>
  <c r="AB499" i="135" s="1"/>
  <c r="AA499" i="135" a="1"/>
  <c r="AA499" i="135" s="1"/>
  <c r="Z499" i="135" a="1"/>
  <c r="Z499" i="135" s="1"/>
  <c r="Y499" i="135" a="1"/>
  <c r="Y499" i="135" s="1"/>
  <c r="X499" i="135" a="1"/>
  <c r="X499" i="135" s="1"/>
  <c r="W499" i="135" a="1"/>
  <c r="W499" i="135" s="1"/>
  <c r="AM498" i="135" a="1"/>
  <c r="AM498" i="135" s="1"/>
  <c r="AL498" i="135" a="1"/>
  <c r="AL498" i="135" s="1"/>
  <c r="AK498" i="135" a="1"/>
  <c r="AK498" i="135" s="1"/>
  <c r="AJ498" i="135" a="1"/>
  <c r="AJ498" i="135" s="1"/>
  <c r="AI498" i="135" a="1"/>
  <c r="AI498" i="135" s="1"/>
  <c r="AH498" i="135" a="1"/>
  <c r="AH498" i="135" s="1"/>
  <c r="AG498" i="135" a="1"/>
  <c r="AG498" i="135" s="1"/>
  <c r="AF498" i="135" a="1"/>
  <c r="AF498" i="135" s="1"/>
  <c r="AE498" i="135" a="1"/>
  <c r="AE498" i="135" s="1"/>
  <c r="AD498" i="135" a="1"/>
  <c r="AD498" i="135" s="1"/>
  <c r="AC498" i="135" a="1"/>
  <c r="AC498" i="135" s="1"/>
  <c r="AB498" i="135" a="1"/>
  <c r="AB498" i="135" s="1"/>
  <c r="AA498" i="135" a="1"/>
  <c r="AA498" i="135" s="1"/>
  <c r="Z498" i="135" a="1"/>
  <c r="Z498" i="135" s="1"/>
  <c r="Y498" i="135" a="1"/>
  <c r="Y498" i="135" s="1"/>
  <c r="X498" i="135" a="1"/>
  <c r="X498" i="135" s="1"/>
  <c r="W498" i="135" a="1"/>
  <c r="W498" i="135" s="1"/>
  <c r="AM497" i="135" a="1"/>
  <c r="AM497" i="135" s="1"/>
  <c r="AL497" i="135" a="1"/>
  <c r="AL497" i="135" s="1"/>
  <c r="AK497" i="135" a="1"/>
  <c r="AK497" i="135" s="1"/>
  <c r="AJ497" i="135" a="1"/>
  <c r="AJ497" i="135" s="1"/>
  <c r="AI497" i="135" a="1"/>
  <c r="AI497" i="135" s="1"/>
  <c r="AH497" i="135" a="1"/>
  <c r="AH497" i="135" s="1"/>
  <c r="AG497" i="135" a="1"/>
  <c r="AG497" i="135" s="1"/>
  <c r="AF497" i="135" a="1"/>
  <c r="AF497" i="135" s="1"/>
  <c r="AE497" i="135" a="1"/>
  <c r="AE497" i="135" s="1"/>
  <c r="AD497" i="135" a="1"/>
  <c r="AD497" i="135" s="1"/>
  <c r="AC497" i="135" a="1"/>
  <c r="AC497" i="135" s="1"/>
  <c r="AB497" i="135" a="1"/>
  <c r="AB497" i="135" s="1"/>
  <c r="AA497" i="135" a="1"/>
  <c r="AA497" i="135" s="1"/>
  <c r="Z497" i="135" a="1"/>
  <c r="Z497" i="135" s="1"/>
  <c r="Y497" i="135" a="1"/>
  <c r="Y497" i="135" s="1"/>
  <c r="X497" i="135" a="1"/>
  <c r="X497" i="135" s="1"/>
  <c r="W497" i="135" a="1"/>
  <c r="W497" i="135" s="1"/>
  <c r="AM496" i="135" a="1"/>
  <c r="AM496" i="135" s="1"/>
  <c r="AL496" i="135" a="1"/>
  <c r="AL496" i="135" s="1"/>
  <c r="AK496" i="135" a="1"/>
  <c r="AK496" i="135" s="1"/>
  <c r="AJ496" i="135" a="1"/>
  <c r="AJ496" i="135" s="1"/>
  <c r="AI496" i="135" a="1"/>
  <c r="AI496" i="135" s="1"/>
  <c r="AH496" i="135" a="1"/>
  <c r="AH496" i="135" s="1"/>
  <c r="AG496" i="135" a="1"/>
  <c r="AG496" i="135" s="1"/>
  <c r="AF496" i="135" a="1"/>
  <c r="AF496" i="135" s="1"/>
  <c r="AE496" i="135" a="1"/>
  <c r="AE496" i="135" s="1"/>
  <c r="AD496" i="135" a="1"/>
  <c r="AD496" i="135" s="1"/>
  <c r="AC496" i="135" a="1"/>
  <c r="AC496" i="135" s="1"/>
  <c r="AB496" i="135" a="1"/>
  <c r="AB496" i="135" s="1"/>
  <c r="AA496" i="135" a="1"/>
  <c r="AA496" i="135" s="1"/>
  <c r="Z496" i="135" a="1"/>
  <c r="Z496" i="135" s="1"/>
  <c r="Y496" i="135" a="1"/>
  <c r="Y496" i="135" s="1"/>
  <c r="X496" i="135" a="1"/>
  <c r="X496" i="135" s="1"/>
  <c r="W496" i="135" a="1"/>
  <c r="W496" i="135" s="1"/>
  <c r="AM495" i="135" a="1"/>
  <c r="AM495" i="135" s="1"/>
  <c r="AL495" i="135" a="1"/>
  <c r="AL495" i="135" s="1"/>
  <c r="AK495" i="135" a="1"/>
  <c r="AK495" i="135" s="1"/>
  <c r="AJ495" i="135" a="1"/>
  <c r="AJ495" i="135" s="1"/>
  <c r="AI495" i="135" a="1"/>
  <c r="AI495" i="135" s="1"/>
  <c r="AH495" i="135" a="1"/>
  <c r="AH495" i="135" s="1"/>
  <c r="AG495" i="135" a="1"/>
  <c r="AG495" i="135" s="1"/>
  <c r="AF495" i="135" a="1"/>
  <c r="AF495" i="135" s="1"/>
  <c r="AE495" i="135" a="1"/>
  <c r="AE495" i="135" s="1"/>
  <c r="AD495" i="135" a="1"/>
  <c r="AD495" i="135" s="1"/>
  <c r="AC495" i="135" a="1"/>
  <c r="AC495" i="135" s="1"/>
  <c r="AB495" i="135" a="1"/>
  <c r="AB495" i="135" s="1"/>
  <c r="AA495" i="135" a="1"/>
  <c r="AA495" i="135" s="1"/>
  <c r="Z495" i="135" a="1"/>
  <c r="Z495" i="135" s="1"/>
  <c r="Y495" i="135" a="1"/>
  <c r="Y495" i="135" s="1"/>
  <c r="X495" i="135" a="1"/>
  <c r="X495" i="135" s="1"/>
  <c r="W495" i="135" a="1"/>
  <c r="W495" i="135" s="1"/>
  <c r="AM494" i="135" a="1"/>
  <c r="AM494" i="135" s="1"/>
  <c r="AL494" i="135" a="1"/>
  <c r="AL494" i="135" s="1"/>
  <c r="AK494" i="135" a="1"/>
  <c r="AK494" i="135" s="1"/>
  <c r="AJ494" i="135" a="1"/>
  <c r="AJ494" i="135" s="1"/>
  <c r="AI494" i="135" a="1"/>
  <c r="AI494" i="135" s="1"/>
  <c r="AH494" i="135" a="1"/>
  <c r="AH494" i="135" s="1"/>
  <c r="AG494" i="135" a="1"/>
  <c r="AG494" i="135" s="1"/>
  <c r="AF494" i="135" a="1"/>
  <c r="AF494" i="135" s="1"/>
  <c r="AE494" i="135" a="1"/>
  <c r="AE494" i="135" s="1"/>
  <c r="AD494" i="135" a="1"/>
  <c r="AD494" i="135" s="1"/>
  <c r="AC494" i="135" a="1"/>
  <c r="AC494" i="135" s="1"/>
  <c r="AB494" i="135" a="1"/>
  <c r="AB494" i="135" s="1"/>
  <c r="AA494" i="135" a="1"/>
  <c r="AA494" i="135" s="1"/>
  <c r="Z494" i="135" a="1"/>
  <c r="Z494" i="135" s="1"/>
  <c r="Y494" i="135" a="1"/>
  <c r="Y494" i="135" s="1"/>
  <c r="X494" i="135" a="1"/>
  <c r="X494" i="135" s="1"/>
  <c r="W494" i="135" a="1"/>
  <c r="W494" i="135" s="1"/>
  <c r="AM493" i="135" a="1"/>
  <c r="AM493" i="135" s="1"/>
  <c r="AL493" i="135" a="1"/>
  <c r="AL493" i="135" s="1"/>
  <c r="AK493" i="135" a="1"/>
  <c r="AK493" i="135" s="1"/>
  <c r="AJ493" i="135" a="1"/>
  <c r="AJ493" i="135" s="1"/>
  <c r="AI493" i="135" a="1"/>
  <c r="AI493" i="135" s="1"/>
  <c r="AH493" i="135" a="1"/>
  <c r="AH493" i="135" s="1"/>
  <c r="AG493" i="135" a="1"/>
  <c r="AG493" i="135" s="1"/>
  <c r="AF493" i="135" a="1"/>
  <c r="AF493" i="135" s="1"/>
  <c r="AE493" i="135" a="1"/>
  <c r="AE493" i="135" s="1"/>
  <c r="AD493" i="135" a="1"/>
  <c r="AD493" i="135" s="1"/>
  <c r="AC493" i="135" a="1"/>
  <c r="AC493" i="135" s="1"/>
  <c r="AB493" i="135" a="1"/>
  <c r="AB493" i="135" s="1"/>
  <c r="AA493" i="135" a="1"/>
  <c r="AA493" i="135" s="1"/>
  <c r="Z493" i="135" a="1"/>
  <c r="Z493" i="135" s="1"/>
  <c r="Y493" i="135" a="1"/>
  <c r="Y493" i="135" s="1"/>
  <c r="X493" i="135" a="1"/>
  <c r="X493" i="135" s="1"/>
  <c r="W493" i="135" a="1"/>
  <c r="W493" i="135" s="1"/>
  <c r="AM492" i="135" a="1"/>
  <c r="AM492" i="135" s="1"/>
  <c r="AL492" i="135" a="1"/>
  <c r="AL492" i="135" s="1"/>
  <c r="AK492" i="135" a="1"/>
  <c r="AK492" i="135" s="1"/>
  <c r="AJ492" i="135" a="1"/>
  <c r="AJ492" i="135" s="1"/>
  <c r="AI492" i="135" a="1"/>
  <c r="AI492" i="135" s="1"/>
  <c r="AH492" i="135" a="1"/>
  <c r="AH492" i="135" s="1"/>
  <c r="AG492" i="135" a="1"/>
  <c r="AG492" i="135" s="1"/>
  <c r="AF492" i="135" a="1"/>
  <c r="AF492" i="135" s="1"/>
  <c r="AE492" i="135" a="1"/>
  <c r="AE492" i="135" s="1"/>
  <c r="AD492" i="135" a="1"/>
  <c r="AD492" i="135" s="1"/>
  <c r="AC492" i="135" a="1"/>
  <c r="AC492" i="135" s="1"/>
  <c r="AB492" i="135" a="1"/>
  <c r="AB492" i="135" s="1"/>
  <c r="AA492" i="135" a="1"/>
  <c r="AA492" i="135" s="1"/>
  <c r="Z492" i="135" a="1"/>
  <c r="Z492" i="135" s="1"/>
  <c r="Y492" i="135" a="1"/>
  <c r="Y492" i="135" s="1"/>
  <c r="X492" i="135" a="1"/>
  <c r="X492" i="135" s="1"/>
  <c r="W492" i="135" a="1"/>
  <c r="W492" i="135" s="1"/>
  <c r="AM491" i="135" a="1"/>
  <c r="AM491" i="135" s="1"/>
  <c r="AL491" i="135" a="1"/>
  <c r="AL491" i="135" s="1"/>
  <c r="AK491" i="135" a="1"/>
  <c r="AK491" i="135" s="1"/>
  <c r="AJ491" i="135" a="1"/>
  <c r="AJ491" i="135" s="1"/>
  <c r="AI491" i="135" a="1"/>
  <c r="AI491" i="135" s="1"/>
  <c r="AH491" i="135" a="1"/>
  <c r="AH491" i="135" s="1"/>
  <c r="AG491" i="135" a="1"/>
  <c r="AG491" i="135" s="1"/>
  <c r="AF491" i="135" a="1"/>
  <c r="AF491" i="135" s="1"/>
  <c r="AE491" i="135" a="1"/>
  <c r="AE491" i="135" s="1"/>
  <c r="AD491" i="135" a="1"/>
  <c r="AD491" i="135" s="1"/>
  <c r="AC491" i="135" a="1"/>
  <c r="AC491" i="135" s="1"/>
  <c r="AB491" i="135" a="1"/>
  <c r="AB491" i="135" s="1"/>
  <c r="AA491" i="135" a="1"/>
  <c r="AA491" i="135" s="1"/>
  <c r="Z491" i="135" a="1"/>
  <c r="Z491" i="135" s="1"/>
  <c r="Y491" i="135" a="1"/>
  <c r="Y491" i="135" s="1"/>
  <c r="X491" i="135" a="1"/>
  <c r="X491" i="135" s="1"/>
  <c r="W491" i="135" a="1"/>
  <c r="W491" i="135" s="1"/>
  <c r="AM490" i="135" a="1"/>
  <c r="AM490" i="135" s="1"/>
  <c r="AL490" i="135" a="1"/>
  <c r="AL490" i="135" s="1"/>
  <c r="AK490" i="135" a="1"/>
  <c r="AK490" i="135" s="1"/>
  <c r="AJ490" i="135" a="1"/>
  <c r="AJ490" i="135" s="1"/>
  <c r="AI490" i="135" a="1"/>
  <c r="AI490" i="135" s="1"/>
  <c r="AH490" i="135" a="1"/>
  <c r="AH490" i="135" s="1"/>
  <c r="AG490" i="135" a="1"/>
  <c r="AG490" i="135" s="1"/>
  <c r="AF490" i="135" a="1"/>
  <c r="AF490" i="135" s="1"/>
  <c r="AE490" i="135" a="1"/>
  <c r="AE490" i="135" s="1"/>
  <c r="AD490" i="135" a="1"/>
  <c r="AD490" i="135" s="1"/>
  <c r="AC490" i="135" a="1"/>
  <c r="AC490" i="135" s="1"/>
  <c r="AB490" i="135" a="1"/>
  <c r="AB490" i="135" s="1"/>
  <c r="AA490" i="135" a="1"/>
  <c r="AA490" i="135" s="1"/>
  <c r="Z490" i="135" a="1"/>
  <c r="Z490" i="135" s="1"/>
  <c r="Y490" i="135" a="1"/>
  <c r="Y490" i="135" s="1"/>
  <c r="X490" i="135" a="1"/>
  <c r="X490" i="135" s="1"/>
  <c r="W490" i="135" a="1"/>
  <c r="W490" i="135" s="1"/>
  <c r="AM489" i="135" a="1"/>
  <c r="AM489" i="135" s="1"/>
  <c r="AL489" i="135" a="1"/>
  <c r="AL489" i="135" s="1"/>
  <c r="AK489" i="135" a="1"/>
  <c r="AK489" i="135" s="1"/>
  <c r="AJ489" i="135" a="1"/>
  <c r="AJ489" i="135" s="1"/>
  <c r="AI489" i="135" a="1"/>
  <c r="AI489" i="135" s="1"/>
  <c r="AH489" i="135" a="1"/>
  <c r="AH489" i="135" s="1"/>
  <c r="AG489" i="135" a="1"/>
  <c r="AG489" i="135" s="1"/>
  <c r="AF489" i="135" a="1"/>
  <c r="AF489" i="135" s="1"/>
  <c r="AE489" i="135" a="1"/>
  <c r="AE489" i="135" s="1"/>
  <c r="AD489" i="135" a="1"/>
  <c r="AD489" i="135" s="1"/>
  <c r="AC489" i="135" a="1"/>
  <c r="AC489" i="135" s="1"/>
  <c r="AB489" i="135" a="1"/>
  <c r="AB489" i="135" s="1"/>
  <c r="AA489" i="135" a="1"/>
  <c r="AA489" i="135" s="1"/>
  <c r="Z489" i="135" a="1"/>
  <c r="Z489" i="135" s="1"/>
  <c r="Y489" i="135" a="1"/>
  <c r="Y489" i="135" s="1"/>
  <c r="X489" i="135" a="1"/>
  <c r="X489" i="135" s="1"/>
  <c r="W489" i="135" a="1"/>
  <c r="W489" i="135" s="1"/>
  <c r="AM488" i="135" a="1"/>
  <c r="AM488" i="135" s="1"/>
  <c r="AL488" i="135" a="1"/>
  <c r="AL488" i="135" s="1"/>
  <c r="AK488" i="135" a="1"/>
  <c r="AK488" i="135" s="1"/>
  <c r="AJ488" i="135" a="1"/>
  <c r="AJ488" i="135" s="1"/>
  <c r="AI488" i="135" a="1"/>
  <c r="AI488" i="135" s="1"/>
  <c r="AH488" i="135" a="1"/>
  <c r="AH488" i="135" s="1"/>
  <c r="AG488" i="135" a="1"/>
  <c r="AG488" i="135" s="1"/>
  <c r="AF488" i="135" a="1"/>
  <c r="AF488" i="135" s="1"/>
  <c r="AE488" i="135" a="1"/>
  <c r="AE488" i="135" s="1"/>
  <c r="AD488" i="135" a="1"/>
  <c r="AD488" i="135" s="1"/>
  <c r="AC488" i="135" a="1"/>
  <c r="AC488" i="135" s="1"/>
  <c r="AB488" i="135" a="1"/>
  <c r="AB488" i="135" s="1"/>
  <c r="AA488" i="135" a="1"/>
  <c r="AA488" i="135" s="1"/>
  <c r="Z488" i="135" a="1"/>
  <c r="Z488" i="135" s="1"/>
  <c r="Y488" i="135" a="1"/>
  <c r="Y488" i="135" s="1"/>
  <c r="X488" i="135" a="1"/>
  <c r="X488" i="135" s="1"/>
  <c r="W488" i="135" a="1"/>
  <c r="W488" i="135" s="1"/>
  <c r="AM487" i="135" a="1"/>
  <c r="AM487" i="135" s="1"/>
  <c r="AL487" i="135" a="1"/>
  <c r="AL487" i="135" s="1"/>
  <c r="AK487" i="135" a="1"/>
  <c r="AK487" i="135" s="1"/>
  <c r="AJ487" i="135" a="1"/>
  <c r="AJ487" i="135" s="1"/>
  <c r="AI487" i="135" a="1"/>
  <c r="AI487" i="135" s="1"/>
  <c r="AH487" i="135" a="1"/>
  <c r="AH487" i="135" s="1"/>
  <c r="AG487" i="135" a="1"/>
  <c r="AG487" i="135" s="1"/>
  <c r="AF487" i="135" a="1"/>
  <c r="AF487" i="135" s="1"/>
  <c r="AE487" i="135" a="1"/>
  <c r="AE487" i="135" s="1"/>
  <c r="AD487" i="135" a="1"/>
  <c r="AD487" i="135" s="1"/>
  <c r="AC487" i="135" a="1"/>
  <c r="AC487" i="135" s="1"/>
  <c r="AB487" i="135" a="1"/>
  <c r="AB487" i="135" s="1"/>
  <c r="AA487" i="135" a="1"/>
  <c r="AA487" i="135" s="1"/>
  <c r="Z487" i="135" a="1"/>
  <c r="Z487" i="135" s="1"/>
  <c r="Y487" i="135" a="1"/>
  <c r="Y487" i="135" s="1"/>
  <c r="X487" i="135" a="1"/>
  <c r="X487" i="135" s="1"/>
  <c r="W487" i="135" a="1"/>
  <c r="W487" i="135" s="1"/>
  <c r="AM486" i="135" a="1"/>
  <c r="AM486" i="135" s="1"/>
  <c r="AL486" i="135" a="1"/>
  <c r="AL486" i="135" s="1"/>
  <c r="AK486" i="135" a="1"/>
  <c r="AK486" i="135" s="1"/>
  <c r="AJ486" i="135" a="1"/>
  <c r="AJ486" i="135" s="1"/>
  <c r="AI486" i="135" a="1"/>
  <c r="AI486" i="135" s="1"/>
  <c r="AH486" i="135" a="1"/>
  <c r="AH486" i="135" s="1"/>
  <c r="AG486" i="135" a="1"/>
  <c r="AG486" i="135" s="1"/>
  <c r="AF486" i="135" a="1"/>
  <c r="AF486" i="135" s="1"/>
  <c r="AE486" i="135" a="1"/>
  <c r="AE486" i="135" s="1"/>
  <c r="AD486" i="135" a="1"/>
  <c r="AD486" i="135" s="1"/>
  <c r="AC486" i="135" a="1"/>
  <c r="AC486" i="135" s="1"/>
  <c r="AB486" i="135" a="1"/>
  <c r="AB486" i="135" s="1"/>
  <c r="AA486" i="135" a="1"/>
  <c r="AA486" i="135" s="1"/>
  <c r="Z486" i="135" a="1"/>
  <c r="Z486" i="135" s="1"/>
  <c r="Y486" i="135" a="1"/>
  <c r="Y486" i="135" s="1"/>
  <c r="X486" i="135" a="1"/>
  <c r="X486" i="135" s="1"/>
  <c r="W486" i="135" a="1"/>
  <c r="W486" i="135" s="1"/>
  <c r="AM485" i="135" a="1"/>
  <c r="AM485" i="135" s="1"/>
  <c r="AL485" i="135" a="1"/>
  <c r="AL485" i="135" s="1"/>
  <c r="AK485" i="135" a="1"/>
  <c r="AK485" i="135" s="1"/>
  <c r="AJ485" i="135" a="1"/>
  <c r="AJ485" i="135" s="1"/>
  <c r="AI485" i="135" a="1"/>
  <c r="AI485" i="135" s="1"/>
  <c r="AH485" i="135" a="1"/>
  <c r="AH485" i="135" s="1"/>
  <c r="AG485" i="135" a="1"/>
  <c r="AG485" i="135" s="1"/>
  <c r="AF485" i="135" a="1"/>
  <c r="AF485" i="135" s="1"/>
  <c r="AE485" i="135" a="1"/>
  <c r="AE485" i="135" s="1"/>
  <c r="AD485" i="135" a="1"/>
  <c r="AD485" i="135" s="1"/>
  <c r="AC485" i="135" a="1"/>
  <c r="AC485" i="135" s="1"/>
  <c r="AB485" i="135" a="1"/>
  <c r="AB485" i="135" s="1"/>
  <c r="AA485" i="135" a="1"/>
  <c r="AA485" i="135" s="1"/>
  <c r="Z485" i="135" a="1"/>
  <c r="Z485" i="135" s="1"/>
  <c r="Y485" i="135" a="1"/>
  <c r="Y485" i="135" s="1"/>
  <c r="X485" i="135" a="1"/>
  <c r="X485" i="135" s="1"/>
  <c r="W485" i="135" a="1"/>
  <c r="W485" i="135" s="1"/>
  <c r="AM484" i="135" a="1"/>
  <c r="AM484" i="135" s="1"/>
  <c r="AL484" i="135" a="1"/>
  <c r="AL484" i="135" s="1"/>
  <c r="AK484" i="135" a="1"/>
  <c r="AK484" i="135" s="1"/>
  <c r="AJ484" i="135" a="1"/>
  <c r="AJ484" i="135" s="1"/>
  <c r="AI484" i="135" a="1"/>
  <c r="AI484" i="135" s="1"/>
  <c r="AH484" i="135" a="1"/>
  <c r="AH484" i="135" s="1"/>
  <c r="AG484" i="135" a="1"/>
  <c r="AG484" i="135" s="1"/>
  <c r="AF484" i="135" a="1"/>
  <c r="AF484" i="135" s="1"/>
  <c r="AE484" i="135" a="1"/>
  <c r="AE484" i="135" s="1"/>
  <c r="AD484" i="135" a="1"/>
  <c r="AD484" i="135" s="1"/>
  <c r="AC484" i="135" a="1"/>
  <c r="AC484" i="135" s="1"/>
  <c r="AB484" i="135" a="1"/>
  <c r="AB484" i="135" s="1"/>
  <c r="AA484" i="135" a="1"/>
  <c r="AA484" i="135" s="1"/>
  <c r="Z484" i="135" a="1"/>
  <c r="Z484" i="135" s="1"/>
  <c r="Y484" i="135" a="1"/>
  <c r="Y484" i="135" s="1"/>
  <c r="X484" i="135" a="1"/>
  <c r="X484" i="135" s="1"/>
  <c r="W484" i="135" a="1"/>
  <c r="W484" i="135" s="1"/>
  <c r="AM483" i="135" a="1"/>
  <c r="AM483" i="135" s="1"/>
  <c r="AL483" i="135" a="1"/>
  <c r="AL483" i="135" s="1"/>
  <c r="AK483" i="135" a="1"/>
  <c r="AK483" i="135" s="1"/>
  <c r="AJ483" i="135" a="1"/>
  <c r="AJ483" i="135" s="1"/>
  <c r="AI483" i="135" a="1"/>
  <c r="AI483" i="135" s="1"/>
  <c r="AH483" i="135" a="1"/>
  <c r="AH483" i="135" s="1"/>
  <c r="AG483" i="135" a="1"/>
  <c r="AG483" i="135" s="1"/>
  <c r="AF483" i="135" a="1"/>
  <c r="AF483" i="135" s="1"/>
  <c r="AE483" i="135" a="1"/>
  <c r="AE483" i="135" s="1"/>
  <c r="AD483" i="135" a="1"/>
  <c r="AD483" i="135" s="1"/>
  <c r="AC483" i="135" a="1"/>
  <c r="AC483" i="135" s="1"/>
  <c r="AB483" i="135" a="1"/>
  <c r="AB483" i="135" s="1"/>
  <c r="AA483" i="135" a="1"/>
  <c r="AA483" i="135" s="1"/>
  <c r="Z483" i="135" a="1"/>
  <c r="Z483" i="135" s="1"/>
  <c r="Y483" i="135" a="1"/>
  <c r="Y483" i="135" s="1"/>
  <c r="X483" i="135" a="1"/>
  <c r="X483" i="135" s="1"/>
  <c r="W483" i="135" a="1"/>
  <c r="W483" i="135" s="1"/>
  <c r="AM482" i="135" a="1"/>
  <c r="AM482" i="135" s="1"/>
  <c r="AL482" i="135" a="1"/>
  <c r="AL482" i="135" s="1"/>
  <c r="AK482" i="135" a="1"/>
  <c r="AK482" i="135" s="1"/>
  <c r="AJ482" i="135" a="1"/>
  <c r="AJ482" i="135" s="1"/>
  <c r="AI482" i="135" a="1"/>
  <c r="AI482" i="135" s="1"/>
  <c r="AH482" i="135" a="1"/>
  <c r="AH482" i="135" s="1"/>
  <c r="AG482" i="135" a="1"/>
  <c r="AG482" i="135" s="1"/>
  <c r="AF482" i="135" a="1"/>
  <c r="AF482" i="135" s="1"/>
  <c r="AE482" i="135" a="1"/>
  <c r="AE482" i="135" s="1"/>
  <c r="AD482" i="135" a="1"/>
  <c r="AD482" i="135" s="1"/>
  <c r="AC482" i="135" a="1"/>
  <c r="AC482" i="135" s="1"/>
  <c r="AB482" i="135" a="1"/>
  <c r="AB482" i="135" s="1"/>
  <c r="AA482" i="135" a="1"/>
  <c r="AA482" i="135" s="1"/>
  <c r="Z482" i="135" a="1"/>
  <c r="Z482" i="135" s="1"/>
  <c r="Y482" i="135" a="1"/>
  <c r="Y482" i="135" s="1"/>
  <c r="X482" i="135" a="1"/>
  <c r="X482" i="135" s="1"/>
  <c r="W482" i="135" a="1"/>
  <c r="W482" i="135" s="1"/>
  <c r="AM481" i="135" a="1"/>
  <c r="AM481" i="135" s="1"/>
  <c r="AL481" i="135" a="1"/>
  <c r="AL481" i="135" s="1"/>
  <c r="AK481" i="135" a="1"/>
  <c r="AK481" i="135" s="1"/>
  <c r="AJ481" i="135" a="1"/>
  <c r="AJ481" i="135" s="1"/>
  <c r="AI481" i="135" a="1"/>
  <c r="AI481" i="135" s="1"/>
  <c r="AH481" i="135" a="1"/>
  <c r="AH481" i="135" s="1"/>
  <c r="AG481" i="135" a="1"/>
  <c r="AG481" i="135" s="1"/>
  <c r="AF481" i="135" a="1"/>
  <c r="AF481" i="135" s="1"/>
  <c r="AE481" i="135" a="1"/>
  <c r="AE481" i="135" s="1"/>
  <c r="AD481" i="135" a="1"/>
  <c r="AD481" i="135" s="1"/>
  <c r="AC481" i="135" a="1"/>
  <c r="AC481" i="135" s="1"/>
  <c r="AB481" i="135" a="1"/>
  <c r="AB481" i="135" s="1"/>
  <c r="AA481" i="135" a="1"/>
  <c r="AA481" i="135" s="1"/>
  <c r="Z481" i="135" a="1"/>
  <c r="Z481" i="135" s="1"/>
  <c r="Y481" i="135" a="1"/>
  <c r="Y481" i="135" s="1"/>
  <c r="X481" i="135" a="1"/>
  <c r="X481" i="135" s="1"/>
  <c r="W481" i="135" a="1"/>
  <c r="W481" i="135" s="1"/>
  <c r="AM480" i="135" a="1"/>
  <c r="AM480" i="135" s="1"/>
  <c r="AL480" i="135" a="1"/>
  <c r="AL480" i="135" s="1"/>
  <c r="AK480" i="135" a="1"/>
  <c r="AK480" i="135" s="1"/>
  <c r="AJ480" i="135" a="1"/>
  <c r="AJ480" i="135" s="1"/>
  <c r="AI480" i="135" a="1"/>
  <c r="AI480" i="135" s="1"/>
  <c r="AH480" i="135" a="1"/>
  <c r="AH480" i="135" s="1"/>
  <c r="AG480" i="135" a="1"/>
  <c r="AG480" i="135" s="1"/>
  <c r="AF480" i="135" a="1"/>
  <c r="AF480" i="135" s="1"/>
  <c r="AE480" i="135" a="1"/>
  <c r="AE480" i="135" s="1"/>
  <c r="AD480" i="135" a="1"/>
  <c r="AD480" i="135" s="1"/>
  <c r="AC480" i="135" a="1"/>
  <c r="AC480" i="135" s="1"/>
  <c r="AB480" i="135" a="1"/>
  <c r="AB480" i="135" s="1"/>
  <c r="AA480" i="135" a="1"/>
  <c r="AA480" i="135" s="1"/>
  <c r="Z480" i="135" a="1"/>
  <c r="Z480" i="135" s="1"/>
  <c r="Y480" i="135" a="1"/>
  <c r="Y480" i="135" s="1"/>
  <c r="X480" i="135" a="1"/>
  <c r="X480" i="135" s="1"/>
  <c r="W480" i="135" a="1"/>
  <c r="W480" i="135" s="1"/>
  <c r="AM479" i="135" a="1"/>
  <c r="AM479" i="135" s="1"/>
  <c r="AL479" i="135" a="1"/>
  <c r="AL479" i="135" s="1"/>
  <c r="AK479" i="135" a="1"/>
  <c r="AK479" i="135" s="1"/>
  <c r="AJ479" i="135" a="1"/>
  <c r="AJ479" i="135" s="1"/>
  <c r="AI479" i="135" a="1"/>
  <c r="AI479" i="135" s="1"/>
  <c r="AH479" i="135" a="1"/>
  <c r="AH479" i="135" s="1"/>
  <c r="AG479" i="135" a="1"/>
  <c r="AG479" i="135" s="1"/>
  <c r="AF479" i="135" a="1"/>
  <c r="AF479" i="135" s="1"/>
  <c r="AE479" i="135" a="1"/>
  <c r="AE479" i="135" s="1"/>
  <c r="AD479" i="135" a="1"/>
  <c r="AD479" i="135" s="1"/>
  <c r="AC479" i="135" a="1"/>
  <c r="AC479" i="135" s="1"/>
  <c r="AB479" i="135" a="1"/>
  <c r="AB479" i="135" s="1"/>
  <c r="AA479" i="135" a="1"/>
  <c r="AA479" i="135" s="1"/>
  <c r="Z479" i="135" a="1"/>
  <c r="Z479" i="135" s="1"/>
  <c r="Y479" i="135" a="1"/>
  <c r="Y479" i="135" s="1"/>
  <c r="X479" i="135" a="1"/>
  <c r="X479" i="135" s="1"/>
  <c r="W479" i="135" a="1"/>
  <c r="W479" i="135" s="1"/>
  <c r="AM478" i="135" a="1"/>
  <c r="AM478" i="135" s="1"/>
  <c r="AL478" i="135" a="1"/>
  <c r="AL478" i="135" s="1"/>
  <c r="AK478" i="135" a="1"/>
  <c r="AK478" i="135" s="1"/>
  <c r="AJ478" i="135" a="1"/>
  <c r="AJ478" i="135" s="1"/>
  <c r="AI478" i="135" a="1"/>
  <c r="AI478" i="135" s="1"/>
  <c r="AH478" i="135" a="1"/>
  <c r="AH478" i="135" s="1"/>
  <c r="AG478" i="135" a="1"/>
  <c r="AG478" i="135" s="1"/>
  <c r="AF478" i="135" a="1"/>
  <c r="AF478" i="135" s="1"/>
  <c r="AE478" i="135" a="1"/>
  <c r="AE478" i="135" s="1"/>
  <c r="AD478" i="135" a="1"/>
  <c r="AD478" i="135" s="1"/>
  <c r="AC478" i="135" a="1"/>
  <c r="AC478" i="135" s="1"/>
  <c r="AB478" i="135" a="1"/>
  <c r="AB478" i="135" s="1"/>
  <c r="AA478" i="135" a="1"/>
  <c r="AA478" i="135" s="1"/>
  <c r="Z478" i="135" a="1"/>
  <c r="Z478" i="135" s="1"/>
  <c r="Y478" i="135" a="1"/>
  <c r="Y478" i="135" s="1"/>
  <c r="X478" i="135" a="1"/>
  <c r="X478" i="135" s="1"/>
  <c r="W478" i="135" a="1"/>
  <c r="W478" i="135" s="1"/>
  <c r="AM477" i="135" a="1"/>
  <c r="AM477" i="135" s="1"/>
  <c r="AL477" i="135" a="1"/>
  <c r="AL477" i="135" s="1"/>
  <c r="AK477" i="135" a="1"/>
  <c r="AK477" i="135" s="1"/>
  <c r="AJ477" i="135" a="1"/>
  <c r="AJ477" i="135" s="1"/>
  <c r="AI477" i="135" a="1"/>
  <c r="AI477" i="135" s="1"/>
  <c r="AH477" i="135" a="1"/>
  <c r="AH477" i="135" s="1"/>
  <c r="AG477" i="135" a="1"/>
  <c r="AG477" i="135" s="1"/>
  <c r="AF477" i="135" a="1"/>
  <c r="AF477" i="135" s="1"/>
  <c r="AE477" i="135" a="1"/>
  <c r="AE477" i="135" s="1"/>
  <c r="AD477" i="135" a="1"/>
  <c r="AD477" i="135" s="1"/>
  <c r="AC477" i="135" a="1"/>
  <c r="AC477" i="135" s="1"/>
  <c r="AB477" i="135" a="1"/>
  <c r="AB477" i="135" s="1"/>
  <c r="AA477" i="135" a="1"/>
  <c r="AA477" i="135" s="1"/>
  <c r="Z477" i="135" a="1"/>
  <c r="Z477" i="135" s="1"/>
  <c r="Y477" i="135" a="1"/>
  <c r="Y477" i="135" s="1"/>
  <c r="X477" i="135" a="1"/>
  <c r="X477" i="135" s="1"/>
  <c r="W477" i="135" a="1"/>
  <c r="W477" i="135" s="1"/>
  <c r="AM476" i="135" a="1"/>
  <c r="AM476" i="135" s="1"/>
  <c r="AL476" i="135" a="1"/>
  <c r="AL476" i="135" s="1"/>
  <c r="AK476" i="135" a="1"/>
  <c r="AK476" i="135" s="1"/>
  <c r="AJ476" i="135" a="1"/>
  <c r="AJ476" i="135" s="1"/>
  <c r="AI476" i="135" a="1"/>
  <c r="AI476" i="135" s="1"/>
  <c r="AH476" i="135" a="1"/>
  <c r="AH476" i="135" s="1"/>
  <c r="AG476" i="135" a="1"/>
  <c r="AG476" i="135" s="1"/>
  <c r="AF476" i="135" a="1"/>
  <c r="AF476" i="135" s="1"/>
  <c r="AE476" i="135" a="1"/>
  <c r="AE476" i="135" s="1"/>
  <c r="AD476" i="135" a="1"/>
  <c r="AD476" i="135" s="1"/>
  <c r="AC476" i="135" a="1"/>
  <c r="AC476" i="135" s="1"/>
  <c r="AB476" i="135" a="1"/>
  <c r="AB476" i="135" s="1"/>
  <c r="AA476" i="135" a="1"/>
  <c r="AA476" i="135" s="1"/>
  <c r="Z476" i="135" a="1"/>
  <c r="Z476" i="135" s="1"/>
  <c r="Y476" i="135" a="1"/>
  <c r="Y476" i="135" s="1"/>
  <c r="X476" i="135" a="1"/>
  <c r="X476" i="135" s="1"/>
  <c r="W476" i="135" a="1"/>
  <c r="W476" i="135" s="1"/>
  <c r="AM475" i="135" a="1"/>
  <c r="AM475" i="135" s="1"/>
  <c r="AL475" i="135" a="1"/>
  <c r="AL475" i="135" s="1"/>
  <c r="AK475" i="135" a="1"/>
  <c r="AK475" i="135" s="1"/>
  <c r="AJ475" i="135" a="1"/>
  <c r="AJ475" i="135" s="1"/>
  <c r="AI475" i="135" a="1"/>
  <c r="AI475" i="135" s="1"/>
  <c r="AH475" i="135" a="1"/>
  <c r="AH475" i="135" s="1"/>
  <c r="AG475" i="135" a="1"/>
  <c r="AG475" i="135" s="1"/>
  <c r="AF475" i="135" a="1"/>
  <c r="AF475" i="135" s="1"/>
  <c r="AE475" i="135" a="1"/>
  <c r="AE475" i="135" s="1"/>
  <c r="AD475" i="135" a="1"/>
  <c r="AD475" i="135" s="1"/>
  <c r="AC475" i="135" a="1"/>
  <c r="AC475" i="135" s="1"/>
  <c r="AB475" i="135" a="1"/>
  <c r="AB475" i="135" s="1"/>
  <c r="AA475" i="135" a="1"/>
  <c r="AA475" i="135" s="1"/>
  <c r="Z475" i="135" a="1"/>
  <c r="Z475" i="135" s="1"/>
  <c r="Y475" i="135" a="1"/>
  <c r="Y475" i="135" s="1"/>
  <c r="X475" i="135" a="1"/>
  <c r="X475" i="135" s="1"/>
  <c r="W475" i="135" a="1"/>
  <c r="W475" i="135" s="1"/>
  <c r="AM474" i="135" a="1"/>
  <c r="AM474" i="135" s="1"/>
  <c r="AL474" i="135" a="1"/>
  <c r="AL474" i="135" s="1"/>
  <c r="AK474" i="135" a="1"/>
  <c r="AK474" i="135" s="1"/>
  <c r="AJ474" i="135" a="1"/>
  <c r="AJ474" i="135" s="1"/>
  <c r="AI474" i="135" a="1"/>
  <c r="AI474" i="135" s="1"/>
  <c r="AH474" i="135" a="1"/>
  <c r="AH474" i="135" s="1"/>
  <c r="AG474" i="135" a="1"/>
  <c r="AG474" i="135" s="1"/>
  <c r="AF474" i="135" a="1"/>
  <c r="AF474" i="135" s="1"/>
  <c r="AE474" i="135" a="1"/>
  <c r="AE474" i="135" s="1"/>
  <c r="AD474" i="135" a="1"/>
  <c r="AD474" i="135" s="1"/>
  <c r="AC474" i="135" a="1"/>
  <c r="AC474" i="135" s="1"/>
  <c r="AB474" i="135" a="1"/>
  <c r="AB474" i="135" s="1"/>
  <c r="AA474" i="135" a="1"/>
  <c r="AA474" i="135" s="1"/>
  <c r="Z474" i="135" a="1"/>
  <c r="Z474" i="135" s="1"/>
  <c r="Y474" i="135" a="1"/>
  <c r="Y474" i="135" s="1"/>
  <c r="X474" i="135" a="1"/>
  <c r="X474" i="135" s="1"/>
  <c r="W474" i="135" a="1"/>
  <c r="W474" i="135" s="1"/>
  <c r="AM473" i="135" a="1"/>
  <c r="AM473" i="135" s="1"/>
  <c r="AL473" i="135" a="1"/>
  <c r="AL473" i="135" s="1"/>
  <c r="AK473" i="135" a="1"/>
  <c r="AK473" i="135" s="1"/>
  <c r="AJ473" i="135" a="1"/>
  <c r="AJ473" i="135" s="1"/>
  <c r="AI473" i="135" a="1"/>
  <c r="AI473" i="135" s="1"/>
  <c r="AH473" i="135" a="1"/>
  <c r="AH473" i="135" s="1"/>
  <c r="AG473" i="135" a="1"/>
  <c r="AG473" i="135" s="1"/>
  <c r="AF473" i="135" a="1"/>
  <c r="AF473" i="135" s="1"/>
  <c r="AE473" i="135" a="1"/>
  <c r="AE473" i="135" s="1"/>
  <c r="AD473" i="135" a="1"/>
  <c r="AD473" i="135" s="1"/>
  <c r="AC473" i="135" a="1"/>
  <c r="AC473" i="135" s="1"/>
  <c r="AB473" i="135" a="1"/>
  <c r="AB473" i="135" s="1"/>
  <c r="AA473" i="135" a="1"/>
  <c r="AA473" i="135" s="1"/>
  <c r="Z473" i="135" a="1"/>
  <c r="Z473" i="135" s="1"/>
  <c r="Y473" i="135" a="1"/>
  <c r="Y473" i="135" s="1"/>
  <c r="X473" i="135" a="1"/>
  <c r="X473" i="135" s="1"/>
  <c r="W473" i="135" a="1"/>
  <c r="W473" i="135" s="1"/>
  <c r="AM472" i="135" a="1"/>
  <c r="AM472" i="135" s="1"/>
  <c r="AL472" i="135" a="1"/>
  <c r="AL472" i="135" s="1"/>
  <c r="AK472" i="135" a="1"/>
  <c r="AK472" i="135" s="1"/>
  <c r="AJ472" i="135" a="1"/>
  <c r="AJ472" i="135" s="1"/>
  <c r="AI472" i="135" a="1"/>
  <c r="AI472" i="135" s="1"/>
  <c r="AH472" i="135" a="1"/>
  <c r="AH472" i="135" s="1"/>
  <c r="AG472" i="135" a="1"/>
  <c r="AG472" i="135" s="1"/>
  <c r="AF472" i="135" a="1"/>
  <c r="AF472" i="135" s="1"/>
  <c r="AE472" i="135" a="1"/>
  <c r="AE472" i="135" s="1"/>
  <c r="AD472" i="135" a="1"/>
  <c r="AD472" i="135" s="1"/>
  <c r="AC472" i="135" a="1"/>
  <c r="AC472" i="135" s="1"/>
  <c r="AB472" i="135" a="1"/>
  <c r="AB472" i="135" s="1"/>
  <c r="AA472" i="135" a="1"/>
  <c r="AA472" i="135" s="1"/>
  <c r="Z472" i="135" a="1"/>
  <c r="Z472" i="135" s="1"/>
  <c r="Y472" i="135" a="1"/>
  <c r="Y472" i="135" s="1"/>
  <c r="X472" i="135" a="1"/>
  <c r="X472" i="135" s="1"/>
  <c r="W472" i="135" a="1"/>
  <c r="W472" i="135" s="1"/>
  <c r="AM471" i="135" a="1"/>
  <c r="AM471" i="135" s="1"/>
  <c r="AL471" i="135" a="1"/>
  <c r="AL471" i="135" s="1"/>
  <c r="AK471" i="135" a="1"/>
  <c r="AK471" i="135" s="1"/>
  <c r="AJ471" i="135" a="1"/>
  <c r="AJ471" i="135" s="1"/>
  <c r="AI471" i="135" a="1"/>
  <c r="AI471" i="135" s="1"/>
  <c r="AH471" i="135" a="1"/>
  <c r="AH471" i="135" s="1"/>
  <c r="AG471" i="135" a="1"/>
  <c r="AG471" i="135" s="1"/>
  <c r="AF471" i="135" a="1"/>
  <c r="AF471" i="135" s="1"/>
  <c r="AE471" i="135" a="1"/>
  <c r="AE471" i="135" s="1"/>
  <c r="AD471" i="135" a="1"/>
  <c r="AD471" i="135" s="1"/>
  <c r="AC471" i="135" a="1"/>
  <c r="AC471" i="135" s="1"/>
  <c r="AB471" i="135" a="1"/>
  <c r="AB471" i="135" s="1"/>
  <c r="AA471" i="135" a="1"/>
  <c r="AA471" i="135" s="1"/>
  <c r="Z471" i="135" a="1"/>
  <c r="Z471" i="135" s="1"/>
  <c r="Y471" i="135" a="1"/>
  <c r="Y471" i="135" s="1"/>
  <c r="X471" i="135" a="1"/>
  <c r="X471" i="135" s="1"/>
  <c r="W471" i="135" a="1"/>
  <c r="W471" i="135" s="1"/>
  <c r="AM470" i="135" a="1"/>
  <c r="AM470" i="135" s="1"/>
  <c r="AL470" i="135" a="1"/>
  <c r="AL470" i="135" s="1"/>
  <c r="AK470" i="135" a="1"/>
  <c r="AK470" i="135" s="1"/>
  <c r="AJ470" i="135" a="1"/>
  <c r="AJ470" i="135" s="1"/>
  <c r="AI470" i="135" a="1"/>
  <c r="AI470" i="135" s="1"/>
  <c r="AH470" i="135" a="1"/>
  <c r="AH470" i="135" s="1"/>
  <c r="AG470" i="135" a="1"/>
  <c r="AG470" i="135" s="1"/>
  <c r="AF470" i="135" a="1"/>
  <c r="AF470" i="135" s="1"/>
  <c r="AE470" i="135" a="1"/>
  <c r="AE470" i="135" s="1"/>
  <c r="AD470" i="135" a="1"/>
  <c r="AD470" i="135" s="1"/>
  <c r="AC470" i="135" a="1"/>
  <c r="AC470" i="135" s="1"/>
  <c r="AB470" i="135" a="1"/>
  <c r="AB470" i="135" s="1"/>
  <c r="AA470" i="135" a="1"/>
  <c r="AA470" i="135" s="1"/>
  <c r="Z470" i="135" a="1"/>
  <c r="Z470" i="135" s="1"/>
  <c r="Y470" i="135" a="1"/>
  <c r="Y470" i="135" s="1"/>
  <c r="X470" i="135" a="1"/>
  <c r="X470" i="135" s="1"/>
  <c r="W470" i="135" a="1"/>
  <c r="W470" i="135" s="1"/>
  <c r="AM469" i="135" a="1"/>
  <c r="AM469" i="135" s="1"/>
  <c r="AL469" i="135" a="1"/>
  <c r="AL469" i="135" s="1"/>
  <c r="AK469" i="135" a="1"/>
  <c r="AK469" i="135" s="1"/>
  <c r="AJ469" i="135" a="1"/>
  <c r="AJ469" i="135" s="1"/>
  <c r="AI469" i="135" a="1"/>
  <c r="AI469" i="135" s="1"/>
  <c r="AH469" i="135" a="1"/>
  <c r="AH469" i="135" s="1"/>
  <c r="AG469" i="135" a="1"/>
  <c r="AG469" i="135" s="1"/>
  <c r="AF469" i="135" a="1"/>
  <c r="AF469" i="135" s="1"/>
  <c r="AE469" i="135" a="1"/>
  <c r="AE469" i="135" s="1"/>
  <c r="AD469" i="135" a="1"/>
  <c r="AD469" i="135" s="1"/>
  <c r="AC469" i="135" a="1"/>
  <c r="AC469" i="135" s="1"/>
  <c r="AB469" i="135" a="1"/>
  <c r="AB469" i="135" s="1"/>
  <c r="AA469" i="135" a="1"/>
  <c r="AA469" i="135" s="1"/>
  <c r="Z469" i="135" a="1"/>
  <c r="Z469" i="135" s="1"/>
  <c r="Y469" i="135" a="1"/>
  <c r="Y469" i="135" s="1"/>
  <c r="X469" i="135" a="1"/>
  <c r="X469" i="135" s="1"/>
  <c r="W469" i="135" a="1"/>
  <c r="W469" i="135" s="1"/>
  <c r="AM468" i="135" a="1"/>
  <c r="AM468" i="135" s="1"/>
  <c r="AL468" i="135" a="1"/>
  <c r="AL468" i="135" s="1"/>
  <c r="AK468" i="135" a="1"/>
  <c r="AK468" i="135" s="1"/>
  <c r="AJ468" i="135" a="1"/>
  <c r="AJ468" i="135" s="1"/>
  <c r="AI468" i="135" a="1"/>
  <c r="AI468" i="135" s="1"/>
  <c r="AH468" i="135" a="1"/>
  <c r="AH468" i="135" s="1"/>
  <c r="AG468" i="135" a="1"/>
  <c r="AG468" i="135" s="1"/>
  <c r="AF468" i="135" a="1"/>
  <c r="AF468" i="135" s="1"/>
  <c r="AE468" i="135" a="1"/>
  <c r="AE468" i="135" s="1"/>
  <c r="AD468" i="135" a="1"/>
  <c r="AD468" i="135" s="1"/>
  <c r="AC468" i="135" a="1"/>
  <c r="AC468" i="135" s="1"/>
  <c r="AB468" i="135" a="1"/>
  <c r="AB468" i="135" s="1"/>
  <c r="AA468" i="135" a="1"/>
  <c r="AA468" i="135" s="1"/>
  <c r="Z468" i="135" a="1"/>
  <c r="Z468" i="135" s="1"/>
  <c r="Y468" i="135" a="1"/>
  <c r="Y468" i="135" s="1"/>
  <c r="X468" i="135" a="1"/>
  <c r="X468" i="135" s="1"/>
  <c r="W468" i="135" a="1"/>
  <c r="W468" i="135" s="1"/>
  <c r="AM467" i="135" a="1"/>
  <c r="AM467" i="135" s="1"/>
  <c r="AL467" i="135" a="1"/>
  <c r="AL467" i="135" s="1"/>
  <c r="AK467" i="135" a="1"/>
  <c r="AK467" i="135" s="1"/>
  <c r="AJ467" i="135" a="1"/>
  <c r="AJ467" i="135" s="1"/>
  <c r="AI467" i="135" a="1"/>
  <c r="AI467" i="135" s="1"/>
  <c r="AH467" i="135" a="1"/>
  <c r="AH467" i="135" s="1"/>
  <c r="AG467" i="135" a="1"/>
  <c r="AG467" i="135" s="1"/>
  <c r="AF467" i="135" a="1"/>
  <c r="AF467" i="135" s="1"/>
  <c r="AE467" i="135" a="1"/>
  <c r="AE467" i="135" s="1"/>
  <c r="AD467" i="135" a="1"/>
  <c r="AD467" i="135" s="1"/>
  <c r="AC467" i="135" a="1"/>
  <c r="AC467" i="135" s="1"/>
  <c r="AB467" i="135" a="1"/>
  <c r="AB467" i="135" s="1"/>
  <c r="AA467" i="135" a="1"/>
  <c r="AA467" i="135" s="1"/>
  <c r="Z467" i="135" a="1"/>
  <c r="Z467" i="135" s="1"/>
  <c r="Y467" i="135" a="1"/>
  <c r="Y467" i="135" s="1"/>
  <c r="X467" i="135" a="1"/>
  <c r="X467" i="135" s="1"/>
  <c r="W467" i="135" a="1"/>
  <c r="W467" i="135" s="1"/>
  <c r="AM466" i="135" a="1"/>
  <c r="AM466" i="135" s="1"/>
  <c r="AL466" i="135" a="1"/>
  <c r="AL466" i="135" s="1"/>
  <c r="AK466" i="135" a="1"/>
  <c r="AK466" i="135" s="1"/>
  <c r="AJ466" i="135" a="1"/>
  <c r="AJ466" i="135" s="1"/>
  <c r="AI466" i="135" a="1"/>
  <c r="AI466" i="135" s="1"/>
  <c r="AH466" i="135" a="1"/>
  <c r="AH466" i="135" s="1"/>
  <c r="AG466" i="135" a="1"/>
  <c r="AG466" i="135" s="1"/>
  <c r="AF466" i="135" a="1"/>
  <c r="AF466" i="135" s="1"/>
  <c r="AE466" i="135" a="1"/>
  <c r="AE466" i="135" s="1"/>
  <c r="AD466" i="135" a="1"/>
  <c r="AD466" i="135" s="1"/>
  <c r="AC466" i="135" a="1"/>
  <c r="AC466" i="135" s="1"/>
  <c r="AB466" i="135" a="1"/>
  <c r="AB466" i="135" s="1"/>
  <c r="AA466" i="135" a="1"/>
  <c r="AA466" i="135" s="1"/>
  <c r="Z466" i="135" a="1"/>
  <c r="Z466" i="135" s="1"/>
  <c r="Y466" i="135" a="1"/>
  <c r="Y466" i="135" s="1"/>
  <c r="X466" i="135" a="1"/>
  <c r="X466" i="135" s="1"/>
  <c r="W466" i="135" a="1"/>
  <c r="W466" i="135" s="1"/>
  <c r="AM465" i="135" a="1"/>
  <c r="AM465" i="135" s="1"/>
  <c r="AL465" i="135" a="1"/>
  <c r="AL465" i="135" s="1"/>
  <c r="AK465" i="135" a="1"/>
  <c r="AK465" i="135" s="1"/>
  <c r="AJ465" i="135" a="1"/>
  <c r="AJ465" i="135" s="1"/>
  <c r="AI465" i="135" a="1"/>
  <c r="AI465" i="135" s="1"/>
  <c r="AH465" i="135" a="1"/>
  <c r="AH465" i="135" s="1"/>
  <c r="AG465" i="135" a="1"/>
  <c r="AG465" i="135" s="1"/>
  <c r="AF465" i="135" a="1"/>
  <c r="AF465" i="135" s="1"/>
  <c r="AE465" i="135" a="1"/>
  <c r="AE465" i="135" s="1"/>
  <c r="AD465" i="135" a="1"/>
  <c r="AD465" i="135" s="1"/>
  <c r="AC465" i="135" a="1"/>
  <c r="AC465" i="135" s="1"/>
  <c r="AB465" i="135" a="1"/>
  <c r="AB465" i="135" s="1"/>
  <c r="AA465" i="135" a="1"/>
  <c r="AA465" i="135" s="1"/>
  <c r="Z465" i="135" a="1"/>
  <c r="Z465" i="135" s="1"/>
  <c r="Y465" i="135" a="1"/>
  <c r="Y465" i="135" s="1"/>
  <c r="X465" i="135" a="1"/>
  <c r="X465" i="135" s="1"/>
  <c r="W465" i="135" a="1"/>
  <c r="W465" i="135" s="1"/>
  <c r="AM464" i="135" a="1"/>
  <c r="AM464" i="135" s="1"/>
  <c r="AL464" i="135" a="1"/>
  <c r="AL464" i="135" s="1"/>
  <c r="AK464" i="135" a="1"/>
  <c r="AK464" i="135" s="1"/>
  <c r="AJ464" i="135" a="1"/>
  <c r="AJ464" i="135" s="1"/>
  <c r="AI464" i="135" a="1"/>
  <c r="AI464" i="135" s="1"/>
  <c r="AH464" i="135" a="1"/>
  <c r="AH464" i="135" s="1"/>
  <c r="AG464" i="135" a="1"/>
  <c r="AG464" i="135" s="1"/>
  <c r="AF464" i="135" a="1"/>
  <c r="AF464" i="135" s="1"/>
  <c r="AE464" i="135" a="1"/>
  <c r="AE464" i="135" s="1"/>
  <c r="AD464" i="135" a="1"/>
  <c r="AD464" i="135" s="1"/>
  <c r="AC464" i="135" a="1"/>
  <c r="AC464" i="135" s="1"/>
  <c r="AB464" i="135" a="1"/>
  <c r="AB464" i="135" s="1"/>
  <c r="AA464" i="135" a="1"/>
  <c r="AA464" i="135" s="1"/>
  <c r="Z464" i="135" a="1"/>
  <c r="Z464" i="135" s="1"/>
  <c r="Y464" i="135" a="1"/>
  <c r="Y464" i="135" s="1"/>
  <c r="X464" i="135" a="1"/>
  <c r="X464" i="135" s="1"/>
  <c r="W464" i="135" a="1"/>
  <c r="W464" i="135" s="1"/>
  <c r="AM463" i="135" a="1"/>
  <c r="AM463" i="135" s="1"/>
  <c r="AL463" i="135" a="1"/>
  <c r="AL463" i="135" s="1"/>
  <c r="AK463" i="135" a="1"/>
  <c r="AK463" i="135" s="1"/>
  <c r="AJ463" i="135" a="1"/>
  <c r="AJ463" i="135" s="1"/>
  <c r="AI463" i="135" a="1"/>
  <c r="AI463" i="135" s="1"/>
  <c r="AH463" i="135" a="1"/>
  <c r="AH463" i="135" s="1"/>
  <c r="AG463" i="135" a="1"/>
  <c r="AG463" i="135" s="1"/>
  <c r="AF463" i="135" a="1"/>
  <c r="AF463" i="135" s="1"/>
  <c r="AE463" i="135" a="1"/>
  <c r="AE463" i="135" s="1"/>
  <c r="AD463" i="135" a="1"/>
  <c r="AD463" i="135" s="1"/>
  <c r="AC463" i="135" a="1"/>
  <c r="AC463" i="135" s="1"/>
  <c r="AB463" i="135" a="1"/>
  <c r="AB463" i="135" s="1"/>
  <c r="AA463" i="135" a="1"/>
  <c r="AA463" i="135" s="1"/>
  <c r="Z463" i="135" a="1"/>
  <c r="Z463" i="135" s="1"/>
  <c r="Y463" i="135" a="1"/>
  <c r="Y463" i="135" s="1"/>
  <c r="X463" i="135" a="1"/>
  <c r="X463" i="135" s="1"/>
  <c r="W463" i="135" a="1"/>
  <c r="W463" i="135" s="1"/>
  <c r="AM462" i="135" a="1"/>
  <c r="AM462" i="135" s="1"/>
  <c r="AL462" i="135" a="1"/>
  <c r="AL462" i="135" s="1"/>
  <c r="AK462" i="135" a="1"/>
  <c r="AK462" i="135" s="1"/>
  <c r="AJ462" i="135" a="1"/>
  <c r="AJ462" i="135" s="1"/>
  <c r="AI462" i="135" a="1"/>
  <c r="AI462" i="135" s="1"/>
  <c r="AH462" i="135" a="1"/>
  <c r="AH462" i="135" s="1"/>
  <c r="AG462" i="135" a="1"/>
  <c r="AG462" i="135" s="1"/>
  <c r="AF462" i="135" a="1"/>
  <c r="AF462" i="135" s="1"/>
  <c r="AE462" i="135" a="1"/>
  <c r="AE462" i="135" s="1"/>
  <c r="AD462" i="135" a="1"/>
  <c r="AD462" i="135" s="1"/>
  <c r="AC462" i="135" a="1"/>
  <c r="AC462" i="135" s="1"/>
  <c r="AB462" i="135" a="1"/>
  <c r="AB462" i="135" s="1"/>
  <c r="AA462" i="135" a="1"/>
  <c r="AA462" i="135" s="1"/>
  <c r="Z462" i="135" a="1"/>
  <c r="Z462" i="135" s="1"/>
  <c r="Y462" i="135" a="1"/>
  <c r="Y462" i="135" s="1"/>
  <c r="X462" i="135" a="1"/>
  <c r="X462" i="135" s="1"/>
  <c r="W462" i="135" a="1"/>
  <c r="W462" i="135" s="1"/>
  <c r="AM461" i="135" a="1"/>
  <c r="AM461" i="135" s="1"/>
  <c r="AL461" i="135" a="1"/>
  <c r="AL461" i="135" s="1"/>
  <c r="AK461" i="135" a="1"/>
  <c r="AK461" i="135" s="1"/>
  <c r="AJ461" i="135" a="1"/>
  <c r="AJ461" i="135" s="1"/>
  <c r="AI461" i="135" a="1"/>
  <c r="AI461" i="135" s="1"/>
  <c r="AH461" i="135" a="1"/>
  <c r="AH461" i="135" s="1"/>
  <c r="AG461" i="135" a="1"/>
  <c r="AG461" i="135" s="1"/>
  <c r="AF461" i="135" a="1"/>
  <c r="AF461" i="135" s="1"/>
  <c r="AE461" i="135" a="1"/>
  <c r="AE461" i="135" s="1"/>
  <c r="AD461" i="135" a="1"/>
  <c r="AD461" i="135" s="1"/>
  <c r="AC461" i="135" a="1"/>
  <c r="AC461" i="135" s="1"/>
  <c r="AB461" i="135" a="1"/>
  <c r="AB461" i="135" s="1"/>
  <c r="AA461" i="135" a="1"/>
  <c r="AA461" i="135" s="1"/>
  <c r="Z461" i="135" a="1"/>
  <c r="Z461" i="135" s="1"/>
  <c r="Y461" i="135" a="1"/>
  <c r="Y461" i="135" s="1"/>
  <c r="X461" i="135" a="1"/>
  <c r="X461" i="135" s="1"/>
  <c r="W461" i="135" a="1"/>
  <c r="W461" i="135" s="1"/>
  <c r="AM460" i="135" a="1"/>
  <c r="AM460" i="135" s="1"/>
  <c r="AL460" i="135" a="1"/>
  <c r="AL460" i="135" s="1"/>
  <c r="AK460" i="135" a="1"/>
  <c r="AK460" i="135" s="1"/>
  <c r="AJ460" i="135" a="1"/>
  <c r="AJ460" i="135" s="1"/>
  <c r="AI460" i="135" a="1"/>
  <c r="AI460" i="135" s="1"/>
  <c r="AH460" i="135" a="1"/>
  <c r="AH460" i="135" s="1"/>
  <c r="AG460" i="135" a="1"/>
  <c r="AG460" i="135" s="1"/>
  <c r="AF460" i="135" a="1"/>
  <c r="AF460" i="135" s="1"/>
  <c r="AE460" i="135" a="1"/>
  <c r="AE460" i="135" s="1"/>
  <c r="AD460" i="135" a="1"/>
  <c r="AD460" i="135" s="1"/>
  <c r="AC460" i="135" a="1"/>
  <c r="AC460" i="135" s="1"/>
  <c r="AB460" i="135" a="1"/>
  <c r="AB460" i="135" s="1"/>
  <c r="AA460" i="135" a="1"/>
  <c r="AA460" i="135" s="1"/>
  <c r="Z460" i="135" a="1"/>
  <c r="Z460" i="135" s="1"/>
  <c r="Y460" i="135" a="1"/>
  <c r="Y460" i="135" s="1"/>
  <c r="X460" i="135" a="1"/>
  <c r="X460" i="135" s="1"/>
  <c r="W460" i="135" a="1"/>
  <c r="W460" i="135" s="1"/>
  <c r="AM459" i="135" a="1"/>
  <c r="AM459" i="135" s="1"/>
  <c r="AL459" i="135" a="1"/>
  <c r="AL459" i="135" s="1"/>
  <c r="AK459" i="135" a="1"/>
  <c r="AK459" i="135" s="1"/>
  <c r="AJ459" i="135" a="1"/>
  <c r="AJ459" i="135" s="1"/>
  <c r="AI459" i="135" a="1"/>
  <c r="AI459" i="135" s="1"/>
  <c r="AH459" i="135" a="1"/>
  <c r="AH459" i="135" s="1"/>
  <c r="AG459" i="135" a="1"/>
  <c r="AG459" i="135" s="1"/>
  <c r="AF459" i="135" a="1"/>
  <c r="AF459" i="135" s="1"/>
  <c r="AE459" i="135" a="1"/>
  <c r="AE459" i="135" s="1"/>
  <c r="AD459" i="135" a="1"/>
  <c r="AD459" i="135" s="1"/>
  <c r="AC459" i="135" a="1"/>
  <c r="AC459" i="135" s="1"/>
  <c r="AB459" i="135" a="1"/>
  <c r="AB459" i="135" s="1"/>
  <c r="AA459" i="135" a="1"/>
  <c r="AA459" i="135" s="1"/>
  <c r="Z459" i="135" a="1"/>
  <c r="Z459" i="135" s="1"/>
  <c r="Y459" i="135" a="1"/>
  <c r="Y459" i="135" s="1"/>
  <c r="X459" i="135" a="1"/>
  <c r="X459" i="135" s="1"/>
  <c r="W459" i="135" a="1"/>
  <c r="W459" i="135" s="1"/>
  <c r="AM458" i="135" a="1"/>
  <c r="AM458" i="135" s="1"/>
  <c r="AL458" i="135" a="1"/>
  <c r="AL458" i="135" s="1"/>
  <c r="AK458" i="135" a="1"/>
  <c r="AK458" i="135" s="1"/>
  <c r="AJ458" i="135" a="1"/>
  <c r="AJ458" i="135" s="1"/>
  <c r="AI458" i="135" a="1"/>
  <c r="AI458" i="135" s="1"/>
  <c r="AH458" i="135" a="1"/>
  <c r="AH458" i="135" s="1"/>
  <c r="AG458" i="135" a="1"/>
  <c r="AG458" i="135" s="1"/>
  <c r="AF458" i="135" a="1"/>
  <c r="AF458" i="135" s="1"/>
  <c r="AE458" i="135" a="1"/>
  <c r="AE458" i="135" s="1"/>
  <c r="AD458" i="135" a="1"/>
  <c r="AD458" i="135" s="1"/>
  <c r="AC458" i="135" a="1"/>
  <c r="AC458" i="135" s="1"/>
  <c r="AB458" i="135" a="1"/>
  <c r="AB458" i="135" s="1"/>
  <c r="AA458" i="135" a="1"/>
  <c r="AA458" i="135" s="1"/>
  <c r="Z458" i="135" a="1"/>
  <c r="Z458" i="135" s="1"/>
  <c r="Y458" i="135" a="1"/>
  <c r="Y458" i="135" s="1"/>
  <c r="X458" i="135" a="1"/>
  <c r="X458" i="135" s="1"/>
  <c r="W458" i="135" a="1"/>
  <c r="W458" i="135" s="1"/>
  <c r="AM457" i="135" a="1"/>
  <c r="AM457" i="135" s="1"/>
  <c r="AL457" i="135" a="1"/>
  <c r="AL457" i="135" s="1"/>
  <c r="AK457" i="135" a="1"/>
  <c r="AK457" i="135" s="1"/>
  <c r="AJ457" i="135" a="1"/>
  <c r="AJ457" i="135" s="1"/>
  <c r="AI457" i="135" a="1"/>
  <c r="AI457" i="135" s="1"/>
  <c r="AH457" i="135" a="1"/>
  <c r="AH457" i="135" s="1"/>
  <c r="AG457" i="135" a="1"/>
  <c r="AG457" i="135" s="1"/>
  <c r="AF457" i="135" a="1"/>
  <c r="AF457" i="135" s="1"/>
  <c r="AE457" i="135" a="1"/>
  <c r="AE457" i="135" s="1"/>
  <c r="AD457" i="135" a="1"/>
  <c r="AD457" i="135" s="1"/>
  <c r="AC457" i="135" a="1"/>
  <c r="AC457" i="135" s="1"/>
  <c r="AB457" i="135" a="1"/>
  <c r="AB457" i="135" s="1"/>
  <c r="AA457" i="135" a="1"/>
  <c r="AA457" i="135" s="1"/>
  <c r="Z457" i="135" a="1"/>
  <c r="Z457" i="135" s="1"/>
  <c r="Y457" i="135" a="1"/>
  <c r="Y457" i="135" s="1"/>
  <c r="X457" i="135" a="1"/>
  <c r="X457" i="135" s="1"/>
  <c r="W457" i="135" a="1"/>
  <c r="W457" i="135" s="1"/>
  <c r="AM456" i="135" a="1"/>
  <c r="AM456" i="135" s="1"/>
  <c r="AL456" i="135" a="1"/>
  <c r="AL456" i="135" s="1"/>
  <c r="AK456" i="135" a="1"/>
  <c r="AK456" i="135" s="1"/>
  <c r="AJ456" i="135" a="1"/>
  <c r="AJ456" i="135" s="1"/>
  <c r="AI456" i="135" a="1"/>
  <c r="AI456" i="135" s="1"/>
  <c r="AH456" i="135" a="1"/>
  <c r="AH456" i="135" s="1"/>
  <c r="AG456" i="135" a="1"/>
  <c r="AG456" i="135" s="1"/>
  <c r="AF456" i="135" a="1"/>
  <c r="AF456" i="135" s="1"/>
  <c r="AE456" i="135" a="1"/>
  <c r="AE456" i="135" s="1"/>
  <c r="AD456" i="135" a="1"/>
  <c r="AD456" i="135" s="1"/>
  <c r="AC456" i="135" a="1"/>
  <c r="AC456" i="135" s="1"/>
  <c r="AB456" i="135" a="1"/>
  <c r="AB456" i="135" s="1"/>
  <c r="AA456" i="135" a="1"/>
  <c r="AA456" i="135" s="1"/>
  <c r="Z456" i="135" a="1"/>
  <c r="Z456" i="135" s="1"/>
  <c r="Y456" i="135" a="1"/>
  <c r="Y456" i="135" s="1"/>
  <c r="X456" i="135" a="1"/>
  <c r="X456" i="135" s="1"/>
  <c r="W456" i="135" a="1"/>
  <c r="W456" i="135" s="1"/>
  <c r="AM455" i="135" a="1"/>
  <c r="AM455" i="135" s="1"/>
  <c r="AL455" i="135" a="1"/>
  <c r="AL455" i="135" s="1"/>
  <c r="AK455" i="135" a="1"/>
  <c r="AK455" i="135" s="1"/>
  <c r="AJ455" i="135" a="1"/>
  <c r="AJ455" i="135" s="1"/>
  <c r="AI455" i="135" a="1"/>
  <c r="AI455" i="135" s="1"/>
  <c r="AH455" i="135" a="1"/>
  <c r="AH455" i="135" s="1"/>
  <c r="AG455" i="135" a="1"/>
  <c r="AG455" i="135" s="1"/>
  <c r="AF455" i="135" a="1"/>
  <c r="AF455" i="135" s="1"/>
  <c r="AE455" i="135" a="1"/>
  <c r="AE455" i="135" s="1"/>
  <c r="AD455" i="135" a="1"/>
  <c r="AD455" i="135" s="1"/>
  <c r="AC455" i="135" a="1"/>
  <c r="AC455" i="135" s="1"/>
  <c r="AB455" i="135" a="1"/>
  <c r="AB455" i="135" s="1"/>
  <c r="AA455" i="135" a="1"/>
  <c r="AA455" i="135" s="1"/>
  <c r="Z455" i="135" a="1"/>
  <c r="Z455" i="135" s="1"/>
  <c r="Y455" i="135" a="1"/>
  <c r="Y455" i="135" s="1"/>
  <c r="X455" i="135" a="1"/>
  <c r="X455" i="135" s="1"/>
  <c r="W455" i="135" a="1"/>
  <c r="W455" i="135" s="1"/>
  <c r="AM454" i="135" a="1"/>
  <c r="AM454" i="135" s="1"/>
  <c r="AL454" i="135" a="1"/>
  <c r="AL454" i="135" s="1"/>
  <c r="AK454" i="135" a="1"/>
  <c r="AK454" i="135" s="1"/>
  <c r="AJ454" i="135" a="1"/>
  <c r="AJ454" i="135" s="1"/>
  <c r="AI454" i="135" a="1"/>
  <c r="AI454" i="135" s="1"/>
  <c r="AH454" i="135" a="1"/>
  <c r="AH454" i="135" s="1"/>
  <c r="AG454" i="135" a="1"/>
  <c r="AG454" i="135" s="1"/>
  <c r="AF454" i="135" a="1"/>
  <c r="AF454" i="135" s="1"/>
  <c r="AE454" i="135" a="1"/>
  <c r="AE454" i="135" s="1"/>
  <c r="AD454" i="135" a="1"/>
  <c r="AD454" i="135" s="1"/>
  <c r="AC454" i="135" a="1"/>
  <c r="AC454" i="135" s="1"/>
  <c r="AB454" i="135" a="1"/>
  <c r="AB454" i="135" s="1"/>
  <c r="AA454" i="135" a="1"/>
  <c r="AA454" i="135" s="1"/>
  <c r="Z454" i="135" a="1"/>
  <c r="Z454" i="135" s="1"/>
  <c r="Y454" i="135" a="1"/>
  <c r="Y454" i="135" s="1"/>
  <c r="X454" i="135" a="1"/>
  <c r="X454" i="135" s="1"/>
  <c r="W454" i="135" a="1"/>
  <c r="W454" i="135" s="1"/>
  <c r="AM453" i="135" a="1"/>
  <c r="AM453" i="135" s="1"/>
  <c r="AL453" i="135" a="1"/>
  <c r="AL453" i="135" s="1"/>
  <c r="AK453" i="135" a="1"/>
  <c r="AK453" i="135" s="1"/>
  <c r="AJ453" i="135" a="1"/>
  <c r="AJ453" i="135" s="1"/>
  <c r="AI453" i="135" a="1"/>
  <c r="AI453" i="135" s="1"/>
  <c r="AH453" i="135" a="1"/>
  <c r="AH453" i="135" s="1"/>
  <c r="AG453" i="135" a="1"/>
  <c r="AG453" i="135" s="1"/>
  <c r="AF453" i="135" a="1"/>
  <c r="AF453" i="135" s="1"/>
  <c r="AE453" i="135" a="1"/>
  <c r="AE453" i="135" s="1"/>
  <c r="AD453" i="135" a="1"/>
  <c r="AD453" i="135" s="1"/>
  <c r="AC453" i="135" a="1"/>
  <c r="AC453" i="135" s="1"/>
  <c r="AB453" i="135" a="1"/>
  <c r="AB453" i="135" s="1"/>
  <c r="AA453" i="135" a="1"/>
  <c r="AA453" i="135" s="1"/>
  <c r="Z453" i="135" a="1"/>
  <c r="Z453" i="135" s="1"/>
  <c r="Y453" i="135" a="1"/>
  <c r="Y453" i="135" s="1"/>
  <c r="X453" i="135" a="1"/>
  <c r="X453" i="135" s="1"/>
  <c r="W453" i="135" a="1"/>
  <c r="W453" i="135" s="1"/>
  <c r="AM452" i="135" a="1"/>
  <c r="AM452" i="135" s="1"/>
  <c r="AL452" i="135" a="1"/>
  <c r="AL452" i="135" s="1"/>
  <c r="AK452" i="135" a="1"/>
  <c r="AK452" i="135" s="1"/>
  <c r="AJ452" i="135" a="1"/>
  <c r="AJ452" i="135" s="1"/>
  <c r="AI452" i="135" a="1"/>
  <c r="AI452" i="135" s="1"/>
  <c r="AH452" i="135" a="1"/>
  <c r="AH452" i="135" s="1"/>
  <c r="AG452" i="135" a="1"/>
  <c r="AG452" i="135" s="1"/>
  <c r="AF452" i="135" a="1"/>
  <c r="AF452" i="135" s="1"/>
  <c r="AE452" i="135" a="1"/>
  <c r="AE452" i="135" s="1"/>
  <c r="AD452" i="135" a="1"/>
  <c r="AD452" i="135" s="1"/>
  <c r="AC452" i="135" a="1"/>
  <c r="AC452" i="135" s="1"/>
  <c r="AB452" i="135" a="1"/>
  <c r="AB452" i="135" s="1"/>
  <c r="AA452" i="135" a="1"/>
  <c r="AA452" i="135" s="1"/>
  <c r="Z452" i="135" a="1"/>
  <c r="Z452" i="135" s="1"/>
  <c r="Y452" i="135" a="1"/>
  <c r="Y452" i="135" s="1"/>
  <c r="X452" i="135" a="1"/>
  <c r="X452" i="135" s="1"/>
  <c r="W452" i="135" a="1"/>
  <c r="W452" i="135" s="1"/>
  <c r="AM451" i="135" a="1"/>
  <c r="AM451" i="135" s="1"/>
  <c r="AL451" i="135" a="1"/>
  <c r="AL451" i="135" s="1"/>
  <c r="AK451" i="135" a="1"/>
  <c r="AK451" i="135" s="1"/>
  <c r="AJ451" i="135" a="1"/>
  <c r="AJ451" i="135" s="1"/>
  <c r="AI451" i="135" a="1"/>
  <c r="AI451" i="135" s="1"/>
  <c r="AH451" i="135" a="1"/>
  <c r="AH451" i="135" s="1"/>
  <c r="AG451" i="135" a="1"/>
  <c r="AG451" i="135" s="1"/>
  <c r="AF451" i="135" a="1"/>
  <c r="AF451" i="135" s="1"/>
  <c r="AE451" i="135" a="1"/>
  <c r="AE451" i="135" s="1"/>
  <c r="AD451" i="135" a="1"/>
  <c r="AD451" i="135" s="1"/>
  <c r="AC451" i="135" a="1"/>
  <c r="AC451" i="135" s="1"/>
  <c r="AB451" i="135" a="1"/>
  <c r="AB451" i="135" s="1"/>
  <c r="AA451" i="135" a="1"/>
  <c r="AA451" i="135" s="1"/>
  <c r="Z451" i="135" a="1"/>
  <c r="Z451" i="135" s="1"/>
  <c r="Y451" i="135" a="1"/>
  <c r="Y451" i="135" s="1"/>
  <c r="X451" i="135" a="1"/>
  <c r="X451" i="135" s="1"/>
  <c r="W451" i="135" a="1"/>
  <c r="W451" i="135" s="1"/>
  <c r="E8" i="135" a="1"/>
  <c r="E8" i="135" s="1"/>
  <c r="AA7" i="135"/>
  <c r="Z7" i="135"/>
  <c r="Y7" i="135"/>
  <c r="X7" i="135"/>
  <c r="Y6" i="135"/>
  <c r="X6" i="135"/>
  <c r="V6" i="135"/>
  <c r="D8" i="135" l="1"/>
  <c r="E9" i="135" a="1"/>
  <c r="E9" i="135" s="1"/>
  <c r="D9" i="135" s="1"/>
  <c r="AM9" i="135" l="1" a="1"/>
  <c r="AM9" i="135" s="1"/>
  <c r="AI9" i="135" a="1"/>
  <c r="AI9" i="135" s="1"/>
  <c r="AE9" i="135" a="1"/>
  <c r="AE9" i="135" s="1"/>
  <c r="AA9" i="135" a="1"/>
  <c r="AA9" i="135" s="1"/>
  <c r="W9" i="135" a="1"/>
  <c r="W9" i="135" s="1"/>
  <c r="S9" i="135" a="1"/>
  <c r="S9" i="135" s="1"/>
  <c r="O9" i="135" a="1"/>
  <c r="O9" i="135" s="1"/>
  <c r="K9" i="135" a="1"/>
  <c r="K9" i="135" s="1"/>
  <c r="G9" i="135" a="1"/>
  <c r="G9" i="135" s="1"/>
  <c r="AL9" i="135" a="1"/>
  <c r="AL9" i="135" s="1"/>
  <c r="AH9" i="135" a="1"/>
  <c r="AH9" i="135" s="1"/>
  <c r="AD9" i="135" a="1"/>
  <c r="AD9" i="135" s="1"/>
  <c r="Z9" i="135" a="1"/>
  <c r="Z9" i="135" s="1"/>
  <c r="V9" i="135" a="1"/>
  <c r="V9" i="135" s="1"/>
  <c r="R9" i="135" a="1"/>
  <c r="R9" i="135" s="1"/>
  <c r="N9" i="135" a="1"/>
  <c r="N9" i="135" s="1"/>
  <c r="J9" i="135" a="1"/>
  <c r="J9" i="135" s="1"/>
  <c r="F9" i="135" a="1"/>
  <c r="F9" i="135" s="1"/>
  <c r="AJ9" i="135" a="1"/>
  <c r="AJ9" i="135" s="1"/>
  <c r="AF9" i="135" a="1"/>
  <c r="AF9" i="135" s="1"/>
  <c r="AB9" i="135" a="1"/>
  <c r="AB9" i="135" s="1"/>
  <c r="X9" i="135" a="1"/>
  <c r="X9" i="135" s="1"/>
  <c r="T9" i="135" a="1"/>
  <c r="T9" i="135" s="1"/>
  <c r="P9" i="135" a="1"/>
  <c r="P9" i="135" s="1"/>
  <c r="L9" i="135" a="1"/>
  <c r="L9" i="135" s="1"/>
  <c r="H9" i="135" a="1"/>
  <c r="H9" i="135" s="1"/>
  <c r="AK9" i="135" a="1"/>
  <c r="AK9" i="135" s="1"/>
  <c r="AG9" i="135" a="1"/>
  <c r="AG9" i="135" s="1"/>
  <c r="AC9" i="135" a="1"/>
  <c r="AC9" i="135" s="1"/>
  <c r="Y9" i="135" a="1"/>
  <c r="Y9" i="135" s="1"/>
  <c r="U9" i="135" a="1"/>
  <c r="U9" i="135" s="1"/>
  <c r="Q9" i="135" a="1"/>
  <c r="Q9" i="135" s="1"/>
  <c r="M9" i="135" a="1"/>
  <c r="M9" i="135" s="1"/>
  <c r="I9" i="135" a="1"/>
  <c r="I9" i="135" s="1"/>
  <c r="AG8" i="135" a="1"/>
  <c r="AG8" i="135" s="1"/>
  <c r="U8" i="135" a="1"/>
  <c r="U8" i="135" s="1"/>
  <c r="AL8" i="135" a="1"/>
  <c r="AL8" i="135" s="1"/>
  <c r="AH8" i="135" a="1"/>
  <c r="AH8" i="135" s="1"/>
  <c r="AD8" i="135" a="1"/>
  <c r="AD8" i="135" s="1"/>
  <c r="Z8" i="135" a="1"/>
  <c r="Z8" i="135" s="1"/>
  <c r="V8" i="135" a="1"/>
  <c r="V8" i="135" s="1"/>
  <c r="R8" i="135" a="1"/>
  <c r="R8" i="135" s="1"/>
  <c r="N8" i="135" a="1"/>
  <c r="N8" i="135" s="1"/>
  <c r="J8" i="135" a="1"/>
  <c r="J8" i="135" s="1"/>
  <c r="F8" i="135" a="1"/>
  <c r="F8" i="135" s="1"/>
  <c r="AK8" i="135" a="1"/>
  <c r="AK8" i="135" s="1"/>
  <c r="Y8" i="135" a="1"/>
  <c r="Y8" i="135" s="1"/>
  <c r="Q8" i="135" a="1"/>
  <c r="Q8" i="135" s="1"/>
  <c r="I8" i="135" a="1"/>
  <c r="I8" i="135" s="1"/>
  <c r="AC8" i="135" a="1"/>
  <c r="AC8" i="135" s="1"/>
  <c r="M8" i="135" a="1"/>
  <c r="M8" i="135" s="1"/>
  <c r="AM8" i="135" a="1"/>
  <c r="AM8" i="135" s="1"/>
  <c r="AI8" i="135" a="1"/>
  <c r="AI8" i="135" s="1"/>
  <c r="AE8" i="135" a="1"/>
  <c r="AE8" i="135" s="1"/>
  <c r="AA8" i="135" a="1"/>
  <c r="AA8" i="135" s="1"/>
  <c r="W8" i="135" a="1"/>
  <c r="W8" i="135" s="1"/>
  <c r="S8" i="135" a="1"/>
  <c r="S8" i="135" s="1"/>
  <c r="O8" i="135" a="1"/>
  <c r="O8" i="135" s="1"/>
  <c r="K8" i="135" a="1"/>
  <c r="K8" i="135" s="1"/>
  <c r="G8" i="135" a="1"/>
  <c r="G8" i="135" s="1"/>
  <c r="AJ8" i="135" a="1"/>
  <c r="AJ8" i="135" s="1"/>
  <c r="AF8" i="135" a="1"/>
  <c r="AF8" i="135" s="1"/>
  <c r="AB8" i="135" a="1"/>
  <c r="AB8" i="135" s="1"/>
  <c r="X8" i="135" a="1"/>
  <c r="X8" i="135" s="1"/>
  <c r="T8" i="135" a="1"/>
  <c r="T8" i="135" s="1"/>
  <c r="P8" i="135" a="1"/>
  <c r="P8" i="135" s="1"/>
  <c r="L8" i="135" a="1"/>
  <c r="L8" i="135" s="1"/>
  <c r="H8" i="135" a="1"/>
  <c r="H8" i="135" s="1"/>
  <c r="E10" i="135" a="1"/>
  <c r="E10" i="135" s="1"/>
  <c r="E11" i="135" l="1" a="1"/>
  <c r="E11" i="135" s="1"/>
  <c r="D10" i="135"/>
  <c r="E12" i="135" l="1" a="1"/>
  <c r="E12" i="135" s="1"/>
  <c r="D11" i="135"/>
  <c r="AH10" i="135" a="1"/>
  <c r="AH10" i="135" s="1"/>
  <c r="V10" i="135" a="1"/>
  <c r="V10" i="135" s="1"/>
  <c r="AM10" i="135" a="1"/>
  <c r="AM10" i="135" s="1"/>
  <c r="AI10" i="135" a="1"/>
  <c r="AI10" i="135" s="1"/>
  <c r="AE10" i="135" a="1"/>
  <c r="AE10" i="135" s="1"/>
  <c r="AA10" i="135" a="1"/>
  <c r="AA10" i="135" s="1"/>
  <c r="W10" i="135" a="1"/>
  <c r="W10" i="135" s="1"/>
  <c r="S10" i="135" a="1"/>
  <c r="S10" i="135" s="1"/>
  <c r="O10" i="135" a="1"/>
  <c r="O10" i="135" s="1"/>
  <c r="K10" i="135" a="1"/>
  <c r="K10" i="135" s="1"/>
  <c r="G10" i="135" a="1"/>
  <c r="G10" i="135" s="1"/>
  <c r="AL10" i="135" a="1"/>
  <c r="AL10" i="135" s="1"/>
  <c r="Z10" i="135" a="1"/>
  <c r="Z10" i="135" s="1"/>
  <c r="N10" i="135" a="1"/>
  <c r="N10" i="135" s="1"/>
  <c r="J10" i="135" a="1"/>
  <c r="J10" i="135" s="1"/>
  <c r="AD10" i="135" a="1"/>
  <c r="AD10" i="135" s="1"/>
  <c r="R10" i="135" a="1"/>
  <c r="R10" i="135" s="1"/>
  <c r="F10" i="135" a="1"/>
  <c r="F10" i="135" s="1"/>
  <c r="AJ10" i="135" a="1"/>
  <c r="AJ10" i="135" s="1"/>
  <c r="AF10" i="135" a="1"/>
  <c r="AF10" i="135" s="1"/>
  <c r="AB10" i="135" a="1"/>
  <c r="AB10" i="135" s="1"/>
  <c r="X10" i="135" a="1"/>
  <c r="X10" i="135" s="1"/>
  <c r="T10" i="135" a="1"/>
  <c r="T10" i="135" s="1"/>
  <c r="P10" i="135" a="1"/>
  <c r="P10" i="135" s="1"/>
  <c r="L10" i="135" a="1"/>
  <c r="L10" i="135" s="1"/>
  <c r="H10" i="135" a="1"/>
  <c r="H10" i="135" s="1"/>
  <c r="AK10" i="135" a="1"/>
  <c r="AK10" i="135" s="1"/>
  <c r="AG10" i="135" a="1"/>
  <c r="AG10" i="135" s="1"/>
  <c r="AC10" i="135" a="1"/>
  <c r="AC10" i="135" s="1"/>
  <c r="Y10" i="135" a="1"/>
  <c r="Y10" i="135" s="1"/>
  <c r="U10" i="135" a="1"/>
  <c r="U10" i="135" s="1"/>
  <c r="Q10" i="135" a="1"/>
  <c r="Q10" i="135" s="1"/>
  <c r="M10" i="135" a="1"/>
  <c r="M10" i="135" s="1"/>
  <c r="I10" i="135" a="1"/>
  <c r="I10" i="135" s="1"/>
  <c r="E13" i="135" l="1" a="1"/>
  <c r="E13" i="135" s="1"/>
  <c r="D13" i="135" s="1"/>
  <c r="I13" i="135" s="1" a="1"/>
  <c r="I13" i="135" s="1"/>
  <c r="D12" i="135"/>
  <c r="AJ11" i="135" a="1"/>
  <c r="AJ11" i="135" s="1"/>
  <c r="AF11" i="135" a="1"/>
  <c r="AF11" i="135" s="1"/>
  <c r="AB11" i="135" a="1"/>
  <c r="AB11" i="135" s="1"/>
  <c r="X11" i="135" a="1"/>
  <c r="X11" i="135" s="1"/>
  <c r="T11" i="135" a="1"/>
  <c r="T11" i="135" s="1"/>
  <c r="P11" i="135" a="1"/>
  <c r="P11" i="135" s="1"/>
  <c r="L11" i="135" a="1"/>
  <c r="L11" i="135" s="1"/>
  <c r="H11" i="135" a="1"/>
  <c r="H11" i="135" s="1"/>
  <c r="AK11" i="135" a="1"/>
  <c r="AK11" i="135" s="1"/>
  <c r="AC11" i="135" a="1"/>
  <c r="AC11" i="135" s="1"/>
  <c r="U11" i="135" a="1"/>
  <c r="U11" i="135" s="1"/>
  <c r="M11" i="135" a="1"/>
  <c r="M11" i="135" s="1"/>
  <c r="AM11" i="135" a="1"/>
  <c r="AM11" i="135" s="1"/>
  <c r="AI11" i="135" a="1"/>
  <c r="AI11" i="135" s="1"/>
  <c r="AE11" i="135" a="1"/>
  <c r="AE11" i="135" s="1"/>
  <c r="AA11" i="135" a="1"/>
  <c r="AA11" i="135" s="1"/>
  <c r="W11" i="135" a="1"/>
  <c r="W11" i="135" s="1"/>
  <c r="S11" i="135" a="1"/>
  <c r="S11" i="135" s="1"/>
  <c r="O11" i="135" a="1"/>
  <c r="O11" i="135" s="1"/>
  <c r="K11" i="135" a="1"/>
  <c r="K11" i="135" s="1"/>
  <c r="G11" i="135" a="1"/>
  <c r="G11" i="135" s="1"/>
  <c r="AG11" i="135" a="1"/>
  <c r="AG11" i="135" s="1"/>
  <c r="Y11" i="135" a="1"/>
  <c r="Y11" i="135" s="1"/>
  <c r="Q11" i="135" a="1"/>
  <c r="Q11" i="135" s="1"/>
  <c r="I11" i="135" a="1"/>
  <c r="I11" i="135" s="1"/>
  <c r="AL11" i="135" a="1"/>
  <c r="AL11" i="135" s="1"/>
  <c r="AH11" i="135" a="1"/>
  <c r="AH11" i="135" s="1"/>
  <c r="AD11" i="135" a="1"/>
  <c r="AD11" i="135" s="1"/>
  <c r="Z11" i="135" a="1"/>
  <c r="Z11" i="135" s="1"/>
  <c r="V11" i="135" a="1"/>
  <c r="V11" i="135" s="1"/>
  <c r="R11" i="135" a="1"/>
  <c r="R11" i="135" s="1"/>
  <c r="N11" i="135" a="1"/>
  <c r="N11" i="135" s="1"/>
  <c r="J11" i="135" a="1"/>
  <c r="J11" i="135" s="1"/>
  <c r="F11" i="135" a="1"/>
  <c r="F11" i="135" s="1"/>
  <c r="E14" i="135" l="1" a="1"/>
  <c r="E14" i="135" s="1"/>
  <c r="D14" i="135" s="1"/>
  <c r="W13" i="135" a="1"/>
  <c r="W13" i="135" s="1"/>
  <c r="AH13" i="135" a="1"/>
  <c r="AH13" i="135" s="1"/>
  <c r="AJ13" i="135" a="1"/>
  <c r="AJ13" i="135" s="1"/>
  <c r="Q13" i="135" a="1"/>
  <c r="Q13" i="135" s="1"/>
  <c r="AA13" i="135" a="1"/>
  <c r="AA13" i="135" s="1"/>
  <c r="H13" i="135" a="1"/>
  <c r="H13" i="135" s="1"/>
  <c r="F13" i="135" a="1"/>
  <c r="F13" i="135" s="1"/>
  <c r="U13" i="135" a="1"/>
  <c r="U13" i="135" s="1"/>
  <c r="AE13" i="135" a="1"/>
  <c r="AE13" i="135" s="1"/>
  <c r="L13" i="135" a="1"/>
  <c r="L13" i="135" s="1"/>
  <c r="N13" i="135" a="1"/>
  <c r="N13" i="135" s="1"/>
  <c r="Y13" i="135" a="1"/>
  <c r="Y13" i="135" s="1"/>
  <c r="AB13" i="135" a="1"/>
  <c r="AB13" i="135" s="1"/>
  <c r="AI13" i="135" a="1"/>
  <c r="AI13" i="135" s="1"/>
  <c r="V13" i="135" a="1"/>
  <c r="V13" i="135" s="1"/>
  <c r="G13" i="135" a="1"/>
  <c r="G13" i="135" s="1"/>
  <c r="AM13" i="135" a="1"/>
  <c r="AM13" i="135" s="1"/>
  <c r="T13" i="135" a="1"/>
  <c r="T13" i="135" s="1"/>
  <c r="AD13" i="135" a="1"/>
  <c r="AD13" i="135" s="1"/>
  <c r="AG13" i="135" a="1"/>
  <c r="AG13" i="135" s="1"/>
  <c r="O13" i="135" a="1"/>
  <c r="O13" i="135" s="1"/>
  <c r="R13" i="135" a="1"/>
  <c r="R13" i="135" s="1"/>
  <c r="S13" i="135" a="1"/>
  <c r="S13" i="135" s="1"/>
  <c r="Z13" i="135" a="1"/>
  <c r="Z13" i="135" s="1"/>
  <c r="AF13" i="135" a="1"/>
  <c r="AF13" i="135" s="1"/>
  <c r="M13" i="135" a="1"/>
  <c r="M13" i="135" s="1"/>
  <c r="P13" i="135" a="1"/>
  <c r="P13" i="135" s="1"/>
  <c r="AC13" i="135" a="1"/>
  <c r="AC13" i="135" s="1"/>
  <c r="K13" i="135" a="1"/>
  <c r="K13" i="135" s="1"/>
  <c r="J13" i="135" a="1"/>
  <c r="J13" i="135" s="1"/>
  <c r="X13" i="135" a="1"/>
  <c r="X13" i="135" s="1"/>
  <c r="AL13" i="135" a="1"/>
  <c r="AL13" i="135" s="1"/>
  <c r="AK13" i="135" a="1"/>
  <c r="AK13" i="135" s="1"/>
  <c r="AK12" i="135" a="1"/>
  <c r="AK12" i="135" s="1"/>
  <c r="AG12" i="135" a="1"/>
  <c r="AG12" i="135" s="1"/>
  <c r="AC12" i="135" a="1"/>
  <c r="AC12" i="135" s="1"/>
  <c r="Y12" i="135" a="1"/>
  <c r="Y12" i="135" s="1"/>
  <c r="U12" i="135" a="1"/>
  <c r="U12" i="135" s="1"/>
  <c r="Q12" i="135" a="1"/>
  <c r="Q12" i="135" s="1"/>
  <c r="M12" i="135" a="1"/>
  <c r="M12" i="135" s="1"/>
  <c r="I12" i="135" a="1"/>
  <c r="I12" i="135" s="1"/>
  <c r="K12" i="135" a="1"/>
  <c r="K12" i="135" s="1"/>
  <c r="AJ12" i="135" a="1"/>
  <c r="AJ12" i="135" s="1"/>
  <c r="AF12" i="135" a="1"/>
  <c r="AF12" i="135" s="1"/>
  <c r="AB12" i="135" a="1"/>
  <c r="AB12" i="135" s="1"/>
  <c r="X12" i="135" a="1"/>
  <c r="X12" i="135" s="1"/>
  <c r="T12" i="135" a="1"/>
  <c r="T12" i="135" s="1"/>
  <c r="P12" i="135" a="1"/>
  <c r="P12" i="135" s="1"/>
  <c r="L12" i="135" a="1"/>
  <c r="L12" i="135" s="1"/>
  <c r="H12" i="135" a="1"/>
  <c r="H12" i="135" s="1"/>
  <c r="AI12" i="135" a="1"/>
  <c r="AI12" i="135" s="1"/>
  <c r="AA12" i="135" a="1"/>
  <c r="AA12" i="135" s="1"/>
  <c r="S12" i="135" a="1"/>
  <c r="S12" i="135" s="1"/>
  <c r="G12" i="135" a="1"/>
  <c r="G12" i="135" s="1"/>
  <c r="AM12" i="135" a="1"/>
  <c r="AM12" i="135" s="1"/>
  <c r="AE12" i="135" a="1"/>
  <c r="AE12" i="135" s="1"/>
  <c r="W12" i="135" a="1"/>
  <c r="W12" i="135" s="1"/>
  <c r="O12" i="135" a="1"/>
  <c r="O12" i="135" s="1"/>
  <c r="AL12" i="135" a="1"/>
  <c r="AL12" i="135" s="1"/>
  <c r="AH12" i="135" a="1"/>
  <c r="AH12" i="135" s="1"/>
  <c r="AD12" i="135" a="1"/>
  <c r="AD12" i="135" s="1"/>
  <c r="Z12" i="135" a="1"/>
  <c r="Z12" i="135" s="1"/>
  <c r="V12" i="135" a="1"/>
  <c r="V12" i="135" s="1"/>
  <c r="R12" i="135" a="1"/>
  <c r="R12" i="135" s="1"/>
  <c r="N12" i="135" a="1"/>
  <c r="N12" i="135" s="1"/>
  <c r="J12" i="135" a="1"/>
  <c r="J12" i="135" s="1"/>
  <c r="F12" i="135" a="1"/>
  <c r="F12" i="135" s="1"/>
  <c r="E15" i="135" l="1" a="1"/>
  <c r="E15" i="135" s="1"/>
  <c r="AP14" i="135" a="1"/>
  <c r="AP14" i="135" s="1"/>
  <c r="J14" i="135" a="1"/>
  <c r="J14" i="135" s="1"/>
  <c r="U14" i="135" a="1"/>
  <c r="U14" i="135" s="1"/>
  <c r="AB14" i="135" a="1"/>
  <c r="AB14" i="135" s="1"/>
  <c r="AI14" i="135" a="1"/>
  <c r="AI14" i="135" s="1"/>
  <c r="AS14" i="135" a="1"/>
  <c r="AS14" i="135" s="1"/>
  <c r="R14" i="135" a="1"/>
  <c r="R14" i="135" s="1"/>
  <c r="AC14" i="135" a="1"/>
  <c r="AC14" i="135" s="1"/>
  <c r="AJ14" i="135" a="1"/>
  <c r="AJ14" i="135" s="1"/>
  <c r="AQ14" i="135" a="1"/>
  <c r="AQ14" i="135" s="1"/>
  <c r="K14" i="135" a="1"/>
  <c r="K14" i="135" s="1"/>
  <c r="N14" i="135" a="1"/>
  <c r="N14" i="135" s="1"/>
  <c r="Y14" i="135" a="1"/>
  <c r="Y14" i="135" s="1"/>
  <c r="AF14" i="135" a="1"/>
  <c r="AF14" i="135" s="1"/>
  <c r="AM14" i="135" a="1"/>
  <c r="AM14" i="135" s="1"/>
  <c r="G14" i="135" a="1"/>
  <c r="G14" i="135" s="1"/>
  <c r="AL14" i="135" a="1"/>
  <c r="AL14" i="135" s="1"/>
  <c r="F14" i="135" a="1"/>
  <c r="F14" i="135" s="1"/>
  <c r="Q14" i="135" a="1"/>
  <c r="Q14" i="135" s="1"/>
  <c r="X14" i="135" a="1"/>
  <c r="X14" i="135" s="1"/>
  <c r="AE14" i="135" a="1"/>
  <c r="AE14" i="135" s="1"/>
  <c r="AH14" i="135" a="1"/>
  <c r="AH14" i="135" s="1"/>
  <c r="M14" i="135" a="1"/>
  <c r="M14" i="135" s="1"/>
  <c r="T14" i="135" a="1"/>
  <c r="T14" i="135" s="1"/>
  <c r="AA14" i="135" a="1"/>
  <c r="AA14" i="135" s="1"/>
  <c r="AD14" i="135" a="1"/>
  <c r="AD14" i="135" s="1"/>
  <c r="AO14" i="135" a="1"/>
  <c r="AO14" i="135" s="1"/>
  <c r="I14" i="135" a="1"/>
  <c r="I14" i="135" s="1"/>
  <c r="P14" i="135" a="1"/>
  <c r="P14" i="135" s="1"/>
  <c r="W14" i="135" a="1"/>
  <c r="W14" i="135" s="1"/>
  <c r="Z14" i="135" a="1"/>
  <c r="Z14" i="135" s="1"/>
  <c r="AK14" i="135" a="1"/>
  <c r="AK14" i="135" s="1"/>
  <c r="AR14" i="135" a="1"/>
  <c r="AR14" i="135" s="1"/>
  <c r="L14" i="135" a="1"/>
  <c r="L14" i="135" s="1"/>
  <c r="S14" i="135" a="1"/>
  <c r="S14" i="135" s="1"/>
  <c r="V14" i="135" a="1"/>
  <c r="V14" i="135" s="1"/>
  <c r="AG14" i="135" a="1"/>
  <c r="AG14" i="135" s="1"/>
  <c r="AN14" i="135" a="1"/>
  <c r="AN14" i="135" s="1"/>
  <c r="H14" i="135" a="1"/>
  <c r="H14" i="135" s="1"/>
  <c r="O14" i="135" a="1"/>
  <c r="O14" i="135" s="1"/>
  <c r="E16" i="135" l="1" a="1"/>
  <c r="E16" i="135" s="1"/>
  <c r="D16" i="135" s="1"/>
  <c r="D15" i="135"/>
  <c r="AJ15" i="135" l="1" a="1"/>
  <c r="AJ15" i="135" s="1"/>
  <c r="AK15" i="135" a="1"/>
  <c r="AK15" i="135" s="1"/>
  <c r="W15" i="135" a="1"/>
  <c r="W15" i="135" s="1"/>
  <c r="AD15" i="135" a="1"/>
  <c r="AD15" i="135" s="1"/>
  <c r="U15" i="135" a="1"/>
  <c r="U15" i="135" s="1"/>
  <c r="AF15" i="135" a="1"/>
  <c r="AF15" i="135" s="1"/>
  <c r="Y15" i="135" a="1"/>
  <c r="Y15" i="135" s="1"/>
  <c r="S15" i="135" a="1"/>
  <c r="S15" i="135" s="1"/>
  <c r="Z15" i="135" a="1"/>
  <c r="Z15" i="135" s="1"/>
  <c r="M15" i="135" a="1"/>
  <c r="M15" i="135" s="1"/>
  <c r="AB15" i="135" a="1"/>
  <c r="AB15" i="135" s="1"/>
  <c r="Q15" i="135" a="1"/>
  <c r="Q15" i="135" s="1"/>
  <c r="O15" i="135" a="1"/>
  <c r="O15" i="135" s="1"/>
  <c r="V15" i="135" a="1"/>
  <c r="V15" i="135" s="1"/>
  <c r="H15" i="135" a="1"/>
  <c r="H15" i="135" s="1"/>
  <c r="AA15" i="135" a="1"/>
  <c r="AA15" i="135" s="1"/>
  <c r="AH15" i="135" a="1"/>
  <c r="AH15" i="135" s="1"/>
  <c r="AG15" i="135" a="1"/>
  <c r="AG15" i="135" s="1"/>
  <c r="X15" i="135" a="1"/>
  <c r="X15" i="135" s="1"/>
  <c r="I15" i="135" a="1"/>
  <c r="I15" i="135" s="1"/>
  <c r="K15" i="135" a="1"/>
  <c r="K15" i="135" s="1"/>
  <c r="R15" i="135" a="1"/>
  <c r="R15" i="135" s="1"/>
  <c r="T15" i="135" a="1"/>
  <c r="T15" i="135" s="1"/>
  <c r="AM15" i="135" a="1"/>
  <c r="AM15" i="135" s="1"/>
  <c r="G15" i="135" a="1"/>
  <c r="G15" i="135" s="1"/>
  <c r="N15" i="135" a="1"/>
  <c r="N15" i="135" s="1"/>
  <c r="L15" i="135" a="1"/>
  <c r="L15" i="135" s="1"/>
  <c r="AE15" i="135" a="1"/>
  <c r="AE15" i="135" s="1"/>
  <c r="AL15" i="135" a="1"/>
  <c r="AL15" i="135" s="1"/>
  <c r="F15" i="135" a="1"/>
  <c r="F15" i="135" s="1"/>
  <c r="P15" i="135" a="1"/>
  <c r="P15" i="135" s="1"/>
  <c r="AI15" i="135" a="1"/>
  <c r="AI15" i="135" s="1"/>
  <c r="AC15" i="135" a="1"/>
  <c r="AC15" i="135" s="1"/>
  <c r="J15" i="135" a="1"/>
  <c r="J15" i="135" s="1"/>
  <c r="E17" i="135" a="1"/>
  <c r="E17" i="135" s="1"/>
  <c r="D17" i="135" s="1"/>
  <c r="U16" i="135" a="1"/>
  <c r="U16" i="135" s="1"/>
  <c r="T16" i="135" a="1"/>
  <c r="T16" i="135" s="1"/>
  <c r="W16" i="135" a="1"/>
  <c r="W16" i="135" s="1"/>
  <c r="Z16" i="135" a="1"/>
  <c r="Z16" i="135" s="1"/>
  <c r="Q16" i="135" a="1"/>
  <c r="Q16" i="135" s="1"/>
  <c r="P16" i="135" a="1"/>
  <c r="P16" i="135" s="1"/>
  <c r="S16" i="135" a="1"/>
  <c r="S16" i="135" s="1"/>
  <c r="V16" i="135" a="1"/>
  <c r="V16" i="135" s="1"/>
  <c r="M16" i="135" a="1"/>
  <c r="M16" i="135" s="1"/>
  <c r="L16" i="135" a="1"/>
  <c r="L16" i="135" s="1"/>
  <c r="O16" i="135" a="1"/>
  <c r="O16" i="135" s="1"/>
  <c r="R16" i="135" a="1"/>
  <c r="R16" i="135" s="1"/>
  <c r="Y16" i="135" a="1"/>
  <c r="Y16" i="135" s="1"/>
  <c r="X16" i="135" a="1"/>
  <c r="X16" i="135" s="1"/>
  <c r="AA16" i="135" a="1"/>
  <c r="AA16" i="135" s="1"/>
  <c r="AD16" i="135" a="1"/>
  <c r="AD16" i="135" s="1"/>
  <c r="I16" i="135" a="1"/>
  <c r="I16" i="135" s="1"/>
  <c r="H16" i="135" a="1"/>
  <c r="H16" i="135" s="1"/>
  <c r="K16" i="135" a="1"/>
  <c r="K16" i="135" s="1"/>
  <c r="N16" i="135" a="1"/>
  <c r="N16" i="135" s="1"/>
  <c r="AK16" i="135" a="1"/>
  <c r="AK16" i="135" s="1"/>
  <c r="AJ16" i="135" a="1"/>
  <c r="AJ16" i="135" s="1"/>
  <c r="AM16" i="135" a="1"/>
  <c r="AM16" i="135" s="1"/>
  <c r="G16" i="135" a="1"/>
  <c r="G16" i="135" s="1"/>
  <c r="J16" i="135" a="1"/>
  <c r="J16" i="135" s="1"/>
  <c r="AC16" i="135" a="1"/>
  <c r="AC16" i="135" s="1"/>
  <c r="AB16" i="135" a="1"/>
  <c r="AB16" i="135" s="1"/>
  <c r="AE16" i="135" a="1"/>
  <c r="AE16" i="135" s="1"/>
  <c r="AH16" i="135" a="1"/>
  <c r="AH16" i="135" s="1"/>
  <c r="AG16" i="135" a="1"/>
  <c r="AG16" i="135" s="1"/>
  <c r="AF16" i="135" a="1"/>
  <c r="AF16" i="135" s="1"/>
  <c r="AI16" i="135" a="1"/>
  <c r="AI16" i="135" s="1"/>
  <c r="AL16" i="135" a="1"/>
  <c r="AL16" i="135" s="1"/>
  <c r="F16" i="135" a="1"/>
  <c r="F16" i="135" s="1"/>
  <c r="E18" i="135" l="1" a="1"/>
  <c r="E18" i="135" s="1"/>
  <c r="D18" i="135" s="1"/>
  <c r="M17" i="135" a="1"/>
  <c r="M17" i="135" s="1"/>
  <c r="AB17" i="135" a="1"/>
  <c r="AB17" i="135" s="1"/>
  <c r="AI17" i="135" a="1"/>
  <c r="AI17" i="135" s="1"/>
  <c r="AL17" i="135" a="1"/>
  <c r="AL17" i="135" s="1"/>
  <c r="I17" i="135" a="1"/>
  <c r="I17" i="135" s="1"/>
  <c r="X17" i="135" a="1"/>
  <c r="X17" i="135" s="1"/>
  <c r="AE17" i="135" a="1"/>
  <c r="AE17" i="135" s="1"/>
  <c r="AD17" i="135" a="1"/>
  <c r="AD17" i="135" s="1"/>
  <c r="R17" i="135" a="1"/>
  <c r="R17" i="135" s="1"/>
  <c r="S17" i="135" a="1"/>
  <c r="S17" i="135" s="1"/>
  <c r="F17" i="135" a="1"/>
  <c r="F17" i="135" s="1"/>
  <c r="O17" i="135" a="1"/>
  <c r="O17" i="135" s="1"/>
  <c r="AJ17" i="135" a="1"/>
  <c r="AJ17" i="135" s="1"/>
  <c r="K17" i="135" a="1"/>
  <c r="K17" i="135" s="1"/>
  <c r="Q17" i="135" a="1"/>
  <c r="Q17" i="135" s="1"/>
  <c r="AF17" i="135" a="1"/>
  <c r="AF17" i="135" s="1"/>
  <c r="AM17" i="135" a="1"/>
  <c r="AM17" i="135" s="1"/>
  <c r="G17" i="135" a="1"/>
  <c r="G17" i="135" s="1"/>
  <c r="AK17" i="135" a="1"/>
  <c r="AK17" i="135" s="1"/>
  <c r="AH17" i="135" a="1"/>
  <c r="AH17" i="135" s="1"/>
  <c r="T17" i="135" a="1"/>
  <c r="T17" i="135" s="1"/>
  <c r="AA17" i="135" a="1"/>
  <c r="AA17" i="135" s="1"/>
  <c r="V17" i="135" a="1"/>
  <c r="V17" i="135" s="1"/>
  <c r="N17" i="135" a="1"/>
  <c r="N17" i="135" s="1"/>
  <c r="AG17" i="135" a="1"/>
  <c r="AG17" i="135" s="1"/>
  <c r="Z17" i="135" a="1"/>
  <c r="Z17" i="135" s="1"/>
  <c r="P17" i="135" a="1"/>
  <c r="P17" i="135" s="1"/>
  <c r="W17" i="135" a="1"/>
  <c r="W17" i="135" s="1"/>
  <c r="AC17" i="135" a="1"/>
  <c r="AC17" i="135" s="1"/>
  <c r="L17" i="135" a="1"/>
  <c r="L17" i="135" s="1"/>
  <c r="Y17" i="135" a="1"/>
  <c r="Y17" i="135" s="1"/>
  <c r="H17" i="135" a="1"/>
  <c r="H17" i="135" s="1"/>
  <c r="U17" i="135" a="1"/>
  <c r="U17" i="135" s="1"/>
  <c r="J17" i="135" a="1"/>
  <c r="J17" i="135" s="1"/>
  <c r="E19" i="135" l="1" a="1"/>
  <c r="E19" i="135" s="1"/>
  <c r="D19" i="135" s="1"/>
  <c r="J18" i="135" a="1"/>
  <c r="J18" i="135" s="1"/>
  <c r="M18" i="135" a="1"/>
  <c r="M18" i="135" s="1"/>
  <c r="L18" i="135" a="1"/>
  <c r="L18" i="135" s="1"/>
  <c r="O18" i="135" a="1"/>
  <c r="O18" i="135" s="1"/>
  <c r="F18" i="135" a="1"/>
  <c r="F18" i="135" s="1"/>
  <c r="H18" i="135" a="1"/>
  <c r="H18" i="135" s="1"/>
  <c r="AH18" i="135" a="1"/>
  <c r="AH18" i="135" s="1"/>
  <c r="AK18" i="135" a="1"/>
  <c r="AK18" i="135" s="1"/>
  <c r="AM18" i="135" a="1"/>
  <c r="AM18" i="135" s="1"/>
  <c r="Z18" i="135" a="1"/>
  <c r="Z18" i="135" s="1"/>
  <c r="AC18" i="135" a="1"/>
  <c r="AC18" i="135" s="1"/>
  <c r="AB18" i="135" a="1"/>
  <c r="AB18" i="135" s="1"/>
  <c r="AE18" i="135" a="1"/>
  <c r="AE18" i="135" s="1"/>
  <c r="AL18" i="135" a="1"/>
  <c r="AL18" i="135" s="1"/>
  <c r="I18" i="135" a="1"/>
  <c r="I18" i="135" s="1"/>
  <c r="K18" i="135" a="1"/>
  <c r="K18" i="135" s="1"/>
  <c r="AJ18" i="135" a="1"/>
  <c r="AJ18" i="135" s="1"/>
  <c r="G18" i="135" a="1"/>
  <c r="G18" i="135" s="1"/>
  <c r="AD18" i="135" a="1"/>
  <c r="AD18" i="135" s="1"/>
  <c r="AG18" i="135" a="1"/>
  <c r="AG18" i="135" s="1"/>
  <c r="AF18" i="135" a="1"/>
  <c r="AF18" i="135" s="1"/>
  <c r="AI18" i="135" a="1"/>
  <c r="AI18" i="135" s="1"/>
  <c r="V18" i="135" a="1"/>
  <c r="V18" i="135" s="1"/>
  <c r="Y18" i="135" a="1"/>
  <c r="Y18" i="135" s="1"/>
  <c r="X18" i="135" a="1"/>
  <c r="X18" i="135" s="1"/>
  <c r="AA18" i="135" a="1"/>
  <c r="AA18" i="135" s="1"/>
  <c r="R18" i="135" a="1"/>
  <c r="R18" i="135" s="1"/>
  <c r="U18" i="135" a="1"/>
  <c r="U18" i="135" s="1"/>
  <c r="T18" i="135" a="1"/>
  <c r="T18" i="135" s="1"/>
  <c r="W18" i="135" a="1"/>
  <c r="W18" i="135" s="1"/>
  <c r="N18" i="135" a="1"/>
  <c r="N18" i="135" s="1"/>
  <c r="Q18" i="135" a="1"/>
  <c r="Q18" i="135" s="1"/>
  <c r="P18" i="135" a="1"/>
  <c r="P18" i="135" s="1"/>
  <c r="S18" i="135" a="1"/>
  <c r="S18" i="135" s="1"/>
  <c r="E20" i="135" l="1" a="1"/>
  <c r="E20" i="135" s="1"/>
  <c r="D20" i="135" s="1"/>
  <c r="V19" i="135" a="1"/>
  <c r="V19" i="135" s="1"/>
  <c r="Y19" i="135" a="1"/>
  <c r="Y19" i="135" s="1"/>
  <c r="AB19" i="135" a="1"/>
  <c r="AB19" i="135" s="1"/>
  <c r="AA19" i="135" a="1"/>
  <c r="AA19" i="135" s="1"/>
  <c r="R19" i="135" a="1"/>
  <c r="R19" i="135" s="1"/>
  <c r="U19" i="135" a="1"/>
  <c r="U19" i="135" s="1"/>
  <c r="X19" i="135" a="1"/>
  <c r="X19" i="135" s="1"/>
  <c r="W19" i="135" a="1"/>
  <c r="W19" i="135" s="1"/>
  <c r="N19" i="135" a="1"/>
  <c r="N19" i="135" s="1"/>
  <c r="Q19" i="135" a="1"/>
  <c r="Q19" i="135" s="1"/>
  <c r="T19" i="135" a="1"/>
  <c r="T19" i="135" s="1"/>
  <c r="S19" i="135" a="1"/>
  <c r="S19" i="135" s="1"/>
  <c r="J19" i="135" a="1"/>
  <c r="J19" i="135" s="1"/>
  <c r="M19" i="135" a="1"/>
  <c r="M19" i="135" s="1"/>
  <c r="P19" i="135" a="1"/>
  <c r="P19" i="135" s="1"/>
  <c r="O19" i="135" a="1"/>
  <c r="O19" i="135" s="1"/>
  <c r="AL19" i="135" a="1"/>
  <c r="AL19" i="135" s="1"/>
  <c r="F19" i="135" a="1"/>
  <c r="F19" i="135" s="1"/>
  <c r="I19" i="135" a="1"/>
  <c r="I19" i="135" s="1"/>
  <c r="L19" i="135" a="1"/>
  <c r="L19" i="135" s="1"/>
  <c r="K19" i="135" a="1"/>
  <c r="K19" i="135" s="1"/>
  <c r="AH19" i="135" a="1"/>
  <c r="AH19" i="135" s="1"/>
  <c r="AK19" i="135" a="1"/>
  <c r="AK19" i="135" s="1"/>
  <c r="AM19" i="135" a="1"/>
  <c r="AM19" i="135" s="1"/>
  <c r="H19" i="135" a="1"/>
  <c r="H19" i="135" s="1"/>
  <c r="G19" i="135" a="1"/>
  <c r="G19" i="135" s="1"/>
  <c r="AD19" i="135" a="1"/>
  <c r="AD19" i="135" s="1"/>
  <c r="AG19" i="135" a="1"/>
  <c r="AG19" i="135" s="1"/>
  <c r="AJ19" i="135" a="1"/>
  <c r="AJ19" i="135" s="1"/>
  <c r="AI19" i="135" a="1"/>
  <c r="AI19" i="135" s="1"/>
  <c r="Z19" i="135" a="1"/>
  <c r="Z19" i="135" s="1"/>
  <c r="AC19" i="135" a="1"/>
  <c r="AC19" i="135" s="1"/>
  <c r="AF19" i="135" a="1"/>
  <c r="AF19" i="135" s="1"/>
  <c r="AE19" i="135" a="1"/>
  <c r="AE19" i="135" s="1"/>
  <c r="E21" i="135" l="1" a="1"/>
  <c r="E21" i="135" s="1"/>
  <c r="D21" i="135" s="1"/>
  <c r="AA20" i="135" a="1"/>
  <c r="AA20" i="135" s="1"/>
  <c r="AD20" i="135" a="1"/>
  <c r="AD20" i="135" s="1"/>
  <c r="AG20" i="135" a="1"/>
  <c r="AG20" i="135" s="1"/>
  <c r="AF20" i="135" a="1"/>
  <c r="AF20" i="135" s="1"/>
  <c r="W20" i="135" a="1"/>
  <c r="W20" i="135" s="1"/>
  <c r="Z20" i="135" a="1"/>
  <c r="Z20" i="135" s="1"/>
  <c r="AC20" i="135" a="1"/>
  <c r="AC20" i="135" s="1"/>
  <c r="AB20" i="135" a="1"/>
  <c r="AB20" i="135" s="1"/>
  <c r="S20" i="135" a="1"/>
  <c r="S20" i="135" s="1"/>
  <c r="V20" i="135" a="1"/>
  <c r="V20" i="135" s="1"/>
  <c r="Y20" i="135" a="1"/>
  <c r="Y20" i="135" s="1"/>
  <c r="X20" i="135" a="1"/>
  <c r="X20" i="135" s="1"/>
  <c r="K20" i="135" a="1"/>
  <c r="K20" i="135" s="1"/>
  <c r="N20" i="135" a="1"/>
  <c r="N20" i="135" s="1"/>
  <c r="Q20" i="135" a="1"/>
  <c r="Q20" i="135" s="1"/>
  <c r="P20" i="135" a="1"/>
  <c r="P20" i="135" s="1"/>
  <c r="AI20" i="135" a="1"/>
  <c r="AI20" i="135" s="1"/>
  <c r="AL20" i="135" a="1"/>
  <c r="AL20" i="135" s="1"/>
  <c r="F20" i="135" a="1"/>
  <c r="F20" i="135" s="1"/>
  <c r="I20" i="135" a="1"/>
  <c r="I20" i="135" s="1"/>
  <c r="H20" i="135" a="1"/>
  <c r="H20" i="135" s="1"/>
  <c r="AE20" i="135" a="1"/>
  <c r="AE20" i="135" s="1"/>
  <c r="AH20" i="135" a="1"/>
  <c r="AH20" i="135" s="1"/>
  <c r="AK20" i="135" a="1"/>
  <c r="AK20" i="135" s="1"/>
  <c r="AJ20" i="135" a="1"/>
  <c r="AJ20" i="135" s="1"/>
  <c r="O20" i="135" a="1"/>
  <c r="O20" i="135" s="1"/>
  <c r="R20" i="135" a="1"/>
  <c r="R20" i="135" s="1"/>
  <c r="U20" i="135" a="1"/>
  <c r="U20" i="135" s="1"/>
  <c r="T20" i="135" a="1"/>
  <c r="T20" i="135" s="1"/>
  <c r="AM20" i="135" a="1"/>
  <c r="AM20" i="135" s="1"/>
  <c r="G20" i="135" a="1"/>
  <c r="G20" i="135" s="1"/>
  <c r="J20" i="135" a="1"/>
  <c r="J20" i="135" s="1"/>
  <c r="M20" i="135" a="1"/>
  <c r="M20" i="135" s="1"/>
  <c r="L20" i="135" a="1"/>
  <c r="L20" i="135" s="1"/>
  <c r="E22" i="135" l="1" a="1"/>
  <c r="E22" i="135" s="1"/>
  <c r="D22" i="135" s="1"/>
  <c r="S21" i="135" a="1"/>
  <c r="S21" i="135" s="1"/>
  <c r="V21" i="135" a="1"/>
  <c r="V21" i="135" s="1"/>
  <c r="Y21" i="135" a="1"/>
  <c r="Y21" i="135" s="1"/>
  <c r="X21" i="135" a="1"/>
  <c r="X21" i="135" s="1"/>
  <c r="O21" i="135" a="1"/>
  <c r="O21" i="135" s="1"/>
  <c r="R21" i="135" a="1"/>
  <c r="R21" i="135" s="1"/>
  <c r="U21" i="135" a="1"/>
  <c r="U21" i="135" s="1"/>
  <c r="T21" i="135" a="1"/>
  <c r="T21" i="135" s="1"/>
  <c r="K21" i="135" a="1"/>
  <c r="K21" i="135" s="1"/>
  <c r="N21" i="135" a="1"/>
  <c r="N21" i="135" s="1"/>
  <c r="Q21" i="135" a="1"/>
  <c r="Q21" i="135" s="1"/>
  <c r="P21" i="135" a="1"/>
  <c r="P21" i="135" s="1"/>
  <c r="AE21" i="135" a="1"/>
  <c r="AE21" i="135" s="1"/>
  <c r="AK21" i="135" a="1"/>
  <c r="AK21" i="135" s="1"/>
  <c r="AF21" i="135" a="1"/>
  <c r="AF21" i="135" s="1"/>
  <c r="W21" i="135" a="1"/>
  <c r="W21" i="135" s="1"/>
  <c r="Z21" i="135" a="1"/>
  <c r="Z21" i="135" s="1"/>
  <c r="AC21" i="135" a="1"/>
  <c r="AC21" i="135" s="1"/>
  <c r="AB21" i="135" a="1"/>
  <c r="AB21" i="135" s="1"/>
  <c r="AM21" i="135" a="1"/>
  <c r="AM21" i="135" s="1"/>
  <c r="G21" i="135" a="1"/>
  <c r="G21" i="135" s="1"/>
  <c r="J21" i="135" a="1"/>
  <c r="J21" i="135" s="1"/>
  <c r="M21" i="135" a="1"/>
  <c r="M21" i="135" s="1"/>
  <c r="L21" i="135" a="1"/>
  <c r="L21" i="135" s="1"/>
  <c r="AI21" i="135" a="1"/>
  <c r="AI21" i="135" s="1"/>
  <c r="AL21" i="135" a="1"/>
  <c r="AL21" i="135" s="1"/>
  <c r="F21" i="135" a="1"/>
  <c r="F21" i="135" s="1"/>
  <c r="I21" i="135" a="1"/>
  <c r="I21" i="135" s="1"/>
  <c r="H21" i="135" a="1"/>
  <c r="H21" i="135" s="1"/>
  <c r="AH21" i="135" a="1"/>
  <c r="AH21" i="135" s="1"/>
  <c r="AJ21" i="135" a="1"/>
  <c r="AJ21" i="135" s="1"/>
  <c r="AA21" i="135" a="1"/>
  <c r="AA21" i="135" s="1"/>
  <c r="AD21" i="135" a="1"/>
  <c r="AD21" i="135" s="1"/>
  <c r="AG21" i="135" a="1"/>
  <c r="AG21" i="135" s="1"/>
  <c r="E23" i="135" l="1" a="1"/>
  <c r="E23" i="135" s="1"/>
  <c r="D23" i="135" s="1"/>
  <c r="X22" i="135" a="1"/>
  <c r="X22" i="135" s="1"/>
  <c r="AA22" i="135" a="1"/>
  <c r="AA22" i="135" s="1"/>
  <c r="AD22" i="135" a="1"/>
  <c r="AD22" i="135" s="1"/>
  <c r="AG22" i="135" a="1"/>
  <c r="AG22" i="135" s="1"/>
  <c r="T22" i="135" a="1"/>
  <c r="T22" i="135" s="1"/>
  <c r="W22" i="135" a="1"/>
  <c r="W22" i="135" s="1"/>
  <c r="Z22" i="135" a="1"/>
  <c r="Z22" i="135" s="1"/>
  <c r="AC22" i="135" a="1"/>
  <c r="AC22" i="135" s="1"/>
  <c r="P22" i="135" a="1"/>
  <c r="P22" i="135" s="1"/>
  <c r="S22" i="135" a="1"/>
  <c r="S22" i="135" s="1"/>
  <c r="V22" i="135" a="1"/>
  <c r="V22" i="135" s="1"/>
  <c r="Y22" i="135" a="1"/>
  <c r="Y22" i="135" s="1"/>
  <c r="L22" i="135" a="1"/>
  <c r="L22" i="135" s="1"/>
  <c r="O22" i="135" a="1"/>
  <c r="O22" i="135" s="1"/>
  <c r="R22" i="135" a="1"/>
  <c r="R22" i="135" s="1"/>
  <c r="U22" i="135" a="1"/>
  <c r="U22" i="135" s="1"/>
  <c r="H22" i="135" a="1"/>
  <c r="H22" i="135" s="1"/>
  <c r="K22" i="135" a="1"/>
  <c r="K22" i="135" s="1"/>
  <c r="N22" i="135" a="1"/>
  <c r="N22" i="135" s="1"/>
  <c r="Q22" i="135" a="1"/>
  <c r="Q22" i="135" s="1"/>
  <c r="AF22" i="135" a="1"/>
  <c r="AF22" i="135" s="1"/>
  <c r="AI22" i="135" a="1"/>
  <c r="AI22" i="135" s="1"/>
  <c r="AL22" i="135" a="1"/>
  <c r="AL22" i="135" s="1"/>
  <c r="F22" i="135" a="1"/>
  <c r="F22" i="135" s="1"/>
  <c r="I22" i="135" a="1"/>
  <c r="I22" i="135" s="1"/>
  <c r="AB22" i="135" a="1"/>
  <c r="AB22" i="135" s="1"/>
  <c r="AE22" i="135" a="1"/>
  <c r="AE22" i="135" s="1"/>
  <c r="AH22" i="135" a="1"/>
  <c r="AH22" i="135" s="1"/>
  <c r="AK22" i="135" a="1"/>
  <c r="AK22" i="135" s="1"/>
  <c r="AJ22" i="135" a="1"/>
  <c r="AJ22" i="135" s="1"/>
  <c r="AM22" i="135" a="1"/>
  <c r="AM22" i="135" s="1"/>
  <c r="G22" i="135" a="1"/>
  <c r="G22" i="135" s="1"/>
  <c r="J22" i="135" a="1"/>
  <c r="J22" i="135" s="1"/>
  <c r="M22" i="135" a="1"/>
  <c r="M22" i="135" s="1"/>
  <c r="Y23" i="135" l="1" a="1"/>
  <c r="Y23" i="135" s="1"/>
  <c r="X23" i="135" a="1"/>
  <c r="X23" i="135" s="1"/>
  <c r="AA23" i="135" a="1"/>
  <c r="AA23" i="135" s="1"/>
  <c r="AD23" i="135" a="1"/>
  <c r="AD23" i="135" s="1"/>
  <c r="U23" i="135" a="1"/>
  <c r="U23" i="135" s="1"/>
  <c r="T23" i="135" a="1"/>
  <c r="T23" i="135" s="1"/>
  <c r="W23" i="135" a="1"/>
  <c r="W23" i="135" s="1"/>
  <c r="Z23" i="135" a="1"/>
  <c r="Z23" i="135" s="1"/>
  <c r="Q23" i="135" a="1"/>
  <c r="Q23" i="135" s="1"/>
  <c r="P23" i="135" a="1"/>
  <c r="P23" i="135" s="1"/>
  <c r="S23" i="135" a="1"/>
  <c r="S23" i="135" s="1"/>
  <c r="V23" i="135" a="1"/>
  <c r="V23" i="135" s="1"/>
  <c r="I23" i="135" a="1"/>
  <c r="I23" i="135" s="1"/>
  <c r="H23" i="135" a="1"/>
  <c r="H23" i="135" s="1"/>
  <c r="K23" i="135" a="1"/>
  <c r="K23" i="135" s="1"/>
  <c r="N23" i="135" a="1"/>
  <c r="N23" i="135" s="1"/>
  <c r="AC23" i="135" a="1"/>
  <c r="AC23" i="135" s="1"/>
  <c r="AB23" i="135" a="1"/>
  <c r="AB23" i="135" s="1"/>
  <c r="AE23" i="135" a="1"/>
  <c r="AE23" i="135" s="1"/>
  <c r="AH23" i="135" a="1"/>
  <c r="AH23" i="135" s="1"/>
  <c r="M23" i="135" a="1"/>
  <c r="M23" i="135" s="1"/>
  <c r="L23" i="135" a="1"/>
  <c r="L23" i="135" s="1"/>
  <c r="O23" i="135" a="1"/>
  <c r="O23" i="135" s="1"/>
  <c r="R23" i="135" a="1"/>
  <c r="R23" i="135" s="1"/>
  <c r="AK23" i="135" a="1"/>
  <c r="AK23" i="135" s="1"/>
  <c r="AJ23" i="135" a="1"/>
  <c r="AJ23" i="135" s="1"/>
  <c r="AM23" i="135" a="1"/>
  <c r="AM23" i="135" s="1"/>
  <c r="G23" i="135" a="1"/>
  <c r="G23" i="135" s="1"/>
  <c r="J23" i="135" a="1"/>
  <c r="J23" i="135" s="1"/>
  <c r="AG23" i="135" a="1"/>
  <c r="AG23" i="135" s="1"/>
  <c r="AF23" i="135" a="1"/>
  <c r="AF23" i="135" s="1"/>
  <c r="AI23" i="135" a="1"/>
  <c r="AI23" i="135" s="1"/>
  <c r="AL23" i="135" a="1"/>
  <c r="AL23" i="135" s="1"/>
  <c r="F23" i="135" a="1"/>
  <c r="F23" i="135" s="1"/>
  <c r="E24" i="135" a="1"/>
  <c r="E24" i="135" s="1"/>
  <c r="D24" i="135" s="1"/>
  <c r="U24" i="135" l="1" a="1"/>
  <c r="U24" i="135" s="1"/>
  <c r="T24" i="135" a="1"/>
  <c r="T24" i="135" s="1"/>
  <c r="W24" i="135" a="1"/>
  <c r="W24" i="135" s="1"/>
  <c r="Z24" i="135" a="1"/>
  <c r="Z24" i="135" s="1"/>
  <c r="Q24" i="135" a="1"/>
  <c r="Q24" i="135" s="1"/>
  <c r="P24" i="135" a="1"/>
  <c r="P24" i="135" s="1"/>
  <c r="S24" i="135" a="1"/>
  <c r="S24" i="135" s="1"/>
  <c r="V24" i="135" a="1"/>
  <c r="V24" i="135" s="1"/>
  <c r="AC24" i="135" a="1"/>
  <c r="AC24" i="135" s="1"/>
  <c r="AB24" i="135" a="1"/>
  <c r="AB24" i="135" s="1"/>
  <c r="AE24" i="135" a="1"/>
  <c r="AE24" i="135" s="1"/>
  <c r="Y24" i="135" a="1"/>
  <c r="Y24" i="135" s="1"/>
  <c r="M24" i="135" a="1"/>
  <c r="M24" i="135" s="1"/>
  <c r="L24" i="135" a="1"/>
  <c r="L24" i="135" s="1"/>
  <c r="O24" i="135" a="1"/>
  <c r="O24" i="135" s="1"/>
  <c r="R24" i="135" a="1"/>
  <c r="R24" i="135" s="1"/>
  <c r="I24" i="135" a="1"/>
  <c r="I24" i="135" s="1"/>
  <c r="H24" i="135" a="1"/>
  <c r="H24" i="135" s="1"/>
  <c r="K24" i="135" a="1"/>
  <c r="K24" i="135" s="1"/>
  <c r="N24" i="135" a="1"/>
  <c r="N24" i="135" s="1"/>
  <c r="AF24" i="135" a="1"/>
  <c r="AF24" i="135" s="1"/>
  <c r="AL24" i="135" a="1"/>
  <c r="AL24" i="135" s="1"/>
  <c r="F24" i="135" a="1"/>
  <c r="F24" i="135" s="1"/>
  <c r="AK24" i="135" a="1"/>
  <c r="AK24" i="135" s="1"/>
  <c r="AJ24" i="135" a="1"/>
  <c r="AJ24" i="135" s="1"/>
  <c r="AM24" i="135" a="1"/>
  <c r="AM24" i="135" s="1"/>
  <c r="G24" i="135" a="1"/>
  <c r="G24" i="135" s="1"/>
  <c r="J24" i="135" a="1"/>
  <c r="J24" i="135" s="1"/>
  <c r="AG24" i="135" a="1"/>
  <c r="AG24" i="135" s="1"/>
  <c r="AI24" i="135" a="1"/>
  <c r="AI24" i="135" s="1"/>
  <c r="AH24" i="135" a="1"/>
  <c r="AH24" i="135" s="1"/>
  <c r="X24" i="135" a="1"/>
  <c r="X24" i="135" s="1"/>
  <c r="AA24" i="135" a="1"/>
  <c r="AA24" i="135" s="1"/>
  <c r="AD24" i="135" a="1"/>
  <c r="AD24" i="135" s="1"/>
  <c r="E25" i="135" a="1"/>
  <c r="E25" i="135" s="1"/>
  <c r="D25" i="135" s="1"/>
  <c r="E26" i="135" l="1" a="1"/>
  <c r="E26" i="135" s="1"/>
  <c r="D26" i="135" s="1"/>
  <c r="AD25" i="135" a="1"/>
  <c r="AD25" i="135" s="1"/>
  <c r="AG25" i="135" a="1"/>
  <c r="AG25" i="135" s="1"/>
  <c r="AF25" i="135" a="1"/>
  <c r="AF25" i="135" s="1"/>
  <c r="AI25" i="135" a="1"/>
  <c r="AI25" i="135" s="1"/>
  <c r="Z25" i="135" a="1"/>
  <c r="Z25" i="135" s="1"/>
  <c r="AC25" i="135" a="1"/>
  <c r="AC25" i="135" s="1"/>
  <c r="AB25" i="135" a="1"/>
  <c r="AB25" i="135" s="1"/>
  <c r="AE25" i="135" a="1"/>
  <c r="AE25" i="135" s="1"/>
  <c r="V25" i="135" a="1"/>
  <c r="V25" i="135" s="1"/>
  <c r="Y25" i="135" a="1"/>
  <c r="Y25" i="135" s="1"/>
  <c r="X25" i="135" a="1"/>
  <c r="X25" i="135" s="1"/>
  <c r="AA25" i="135" a="1"/>
  <c r="AA25" i="135" s="1"/>
  <c r="R25" i="135" a="1"/>
  <c r="R25" i="135" s="1"/>
  <c r="U25" i="135" a="1"/>
  <c r="U25" i="135" s="1"/>
  <c r="T25" i="135" a="1"/>
  <c r="T25" i="135" s="1"/>
  <c r="W25" i="135" a="1"/>
  <c r="W25" i="135" s="1"/>
  <c r="N25" i="135" a="1"/>
  <c r="N25" i="135" s="1"/>
  <c r="Q25" i="135" a="1"/>
  <c r="Q25" i="135" s="1"/>
  <c r="P25" i="135" a="1"/>
  <c r="P25" i="135" s="1"/>
  <c r="M25" i="135" a="1"/>
  <c r="M25" i="135" s="1"/>
  <c r="K25" i="135" a="1"/>
  <c r="K25" i="135" s="1"/>
  <c r="S25" i="135" a="1"/>
  <c r="S25" i="135" s="1"/>
  <c r="J25" i="135" a="1"/>
  <c r="J25" i="135" s="1"/>
  <c r="O25" i="135" a="1"/>
  <c r="O25" i="135" s="1"/>
  <c r="H25" i="135" a="1"/>
  <c r="H25" i="135" s="1"/>
  <c r="AH25" i="135" a="1"/>
  <c r="AH25" i="135" s="1"/>
  <c r="AK25" i="135" a="1"/>
  <c r="AK25" i="135" s="1"/>
  <c r="AM25" i="135" a="1"/>
  <c r="AM25" i="135" s="1"/>
  <c r="L25" i="135" a="1"/>
  <c r="L25" i="135" s="1"/>
  <c r="AL25" i="135" a="1"/>
  <c r="AL25" i="135" s="1"/>
  <c r="F25" i="135" a="1"/>
  <c r="F25" i="135" s="1"/>
  <c r="I25" i="135" a="1"/>
  <c r="I25" i="135" s="1"/>
  <c r="AJ25" i="135" a="1"/>
  <c r="AJ25" i="135" s="1"/>
  <c r="G25" i="135" a="1"/>
  <c r="G25" i="135" s="1"/>
  <c r="E27" i="135" l="1" a="1"/>
  <c r="E27" i="135" s="1"/>
  <c r="D27" i="135" s="1"/>
  <c r="AD26" i="135" a="1"/>
  <c r="AD26" i="135" s="1"/>
  <c r="AG26" i="135" a="1"/>
  <c r="AG26" i="135" s="1"/>
  <c r="AF26" i="135" a="1"/>
  <c r="AF26" i="135" s="1"/>
  <c r="AI26" i="135" a="1"/>
  <c r="AI26" i="135" s="1"/>
  <c r="AB26" i="135" a="1"/>
  <c r="AB26" i="135" s="1"/>
  <c r="Z26" i="135" a="1"/>
  <c r="Z26" i="135" s="1"/>
  <c r="AC26" i="135" a="1"/>
  <c r="AC26" i="135" s="1"/>
  <c r="AE26" i="135" a="1"/>
  <c r="AE26" i="135" s="1"/>
  <c r="V26" i="135" a="1"/>
  <c r="V26" i="135" s="1"/>
  <c r="Y26" i="135" a="1"/>
  <c r="Y26" i="135" s="1"/>
  <c r="X26" i="135" a="1"/>
  <c r="X26" i="135" s="1"/>
  <c r="AA26" i="135" a="1"/>
  <c r="AA26" i="135" s="1"/>
  <c r="AK26" i="135" a="1"/>
  <c r="AK26" i="135" s="1"/>
  <c r="G26" i="135" a="1"/>
  <c r="G26" i="135" s="1"/>
  <c r="R26" i="135" a="1"/>
  <c r="R26" i="135" s="1"/>
  <c r="U26" i="135" a="1"/>
  <c r="U26" i="135" s="1"/>
  <c r="T26" i="135" a="1"/>
  <c r="T26" i="135" s="1"/>
  <c r="W26" i="135" a="1"/>
  <c r="W26" i="135" s="1"/>
  <c r="N26" i="135" a="1"/>
  <c r="N26" i="135" s="1"/>
  <c r="Q26" i="135" a="1"/>
  <c r="Q26" i="135" s="1"/>
  <c r="P26" i="135" a="1"/>
  <c r="P26" i="135" s="1"/>
  <c r="S26" i="135" a="1"/>
  <c r="S26" i="135" s="1"/>
  <c r="J26" i="135" a="1"/>
  <c r="J26" i="135" s="1"/>
  <c r="M26" i="135" a="1"/>
  <c r="M26" i="135" s="1"/>
  <c r="L26" i="135" a="1"/>
  <c r="L26" i="135" s="1"/>
  <c r="O26" i="135" a="1"/>
  <c r="O26" i="135" s="1"/>
  <c r="AL26" i="135" a="1"/>
  <c r="AL26" i="135" s="1"/>
  <c r="F26" i="135" a="1"/>
  <c r="F26" i="135" s="1"/>
  <c r="I26" i="135" a="1"/>
  <c r="I26" i="135" s="1"/>
  <c r="H26" i="135" a="1"/>
  <c r="H26" i="135" s="1"/>
  <c r="K26" i="135" a="1"/>
  <c r="K26" i="135" s="1"/>
  <c r="AH26" i="135" a="1"/>
  <c r="AH26" i="135" s="1"/>
  <c r="AJ26" i="135" a="1"/>
  <c r="AJ26" i="135" s="1"/>
  <c r="AM26" i="135" a="1"/>
  <c r="AM26" i="135" s="1"/>
  <c r="E28" i="135" l="1" a="1"/>
  <c r="E28" i="135" s="1"/>
  <c r="D28" i="135" s="1"/>
  <c r="W27" i="135" a="1"/>
  <c r="W27" i="135" s="1"/>
  <c r="Z27" i="135" a="1"/>
  <c r="Z27" i="135" s="1"/>
  <c r="AC27" i="135" a="1"/>
  <c r="AC27" i="135" s="1"/>
  <c r="AB27" i="135" a="1"/>
  <c r="AB27" i="135" s="1"/>
  <c r="S27" i="135" a="1"/>
  <c r="S27" i="135" s="1"/>
  <c r="V27" i="135" a="1"/>
  <c r="V27" i="135" s="1"/>
  <c r="Y27" i="135" a="1"/>
  <c r="Y27" i="135" s="1"/>
  <c r="X27" i="135" a="1"/>
  <c r="X27" i="135" s="1"/>
  <c r="O27" i="135" a="1"/>
  <c r="O27" i="135" s="1"/>
  <c r="R27" i="135" a="1"/>
  <c r="R27" i="135" s="1"/>
  <c r="U27" i="135" a="1"/>
  <c r="U27" i="135" s="1"/>
  <c r="T27" i="135" a="1"/>
  <c r="T27" i="135" s="1"/>
  <c r="K27" i="135" a="1"/>
  <c r="K27" i="135" s="1"/>
  <c r="N27" i="135" a="1"/>
  <c r="N27" i="135" s="1"/>
  <c r="Q27" i="135" a="1"/>
  <c r="Q27" i="135" s="1"/>
  <c r="P27" i="135" a="1"/>
  <c r="P27" i="135" s="1"/>
  <c r="AI27" i="135" a="1"/>
  <c r="AI27" i="135" s="1"/>
  <c r="AL27" i="135" a="1"/>
  <c r="AL27" i="135" s="1"/>
  <c r="F27" i="135" a="1"/>
  <c r="F27" i="135" s="1"/>
  <c r="I27" i="135" a="1"/>
  <c r="I27" i="135" s="1"/>
  <c r="H27" i="135" a="1"/>
  <c r="H27" i="135" s="1"/>
  <c r="AM27" i="135" a="1"/>
  <c r="AM27" i="135" s="1"/>
  <c r="G27" i="135" a="1"/>
  <c r="G27" i="135" s="1"/>
  <c r="J27" i="135" a="1"/>
  <c r="J27" i="135" s="1"/>
  <c r="M27" i="135" a="1"/>
  <c r="M27" i="135" s="1"/>
  <c r="L27" i="135" a="1"/>
  <c r="L27" i="135" s="1"/>
  <c r="AE27" i="135" a="1"/>
  <c r="AE27" i="135" s="1"/>
  <c r="AH27" i="135" a="1"/>
  <c r="AH27" i="135" s="1"/>
  <c r="AK27" i="135" a="1"/>
  <c r="AK27" i="135" s="1"/>
  <c r="AJ27" i="135" a="1"/>
  <c r="AJ27" i="135" s="1"/>
  <c r="AA27" i="135" a="1"/>
  <c r="AA27" i="135" s="1"/>
  <c r="AD27" i="135" a="1"/>
  <c r="AD27" i="135" s="1"/>
  <c r="AG27" i="135" a="1"/>
  <c r="AG27" i="135" s="1"/>
  <c r="AF27" i="135" a="1"/>
  <c r="AF27" i="135" s="1"/>
  <c r="E29" i="135" l="1" a="1"/>
  <c r="E29" i="135" s="1"/>
  <c r="D29" i="135" s="1"/>
  <c r="AA28" i="135" a="1"/>
  <c r="AA28" i="135" s="1"/>
  <c r="AD28" i="135" a="1"/>
  <c r="AD28" i="135" s="1"/>
  <c r="AG28" i="135" a="1"/>
  <c r="AG28" i="135" s="1"/>
  <c r="AF28" i="135" a="1"/>
  <c r="AF28" i="135" s="1"/>
  <c r="Z28" i="135" a="1"/>
  <c r="Z28" i="135" s="1"/>
  <c r="AC28" i="135" a="1"/>
  <c r="AC28" i="135" s="1"/>
  <c r="W28" i="135" a="1"/>
  <c r="W28" i="135" s="1"/>
  <c r="AB28" i="135" a="1"/>
  <c r="AB28" i="135" s="1"/>
  <c r="S28" i="135" a="1"/>
  <c r="S28" i="135" s="1"/>
  <c r="V28" i="135" a="1"/>
  <c r="V28" i="135" s="1"/>
  <c r="Y28" i="135" a="1"/>
  <c r="Y28" i="135" s="1"/>
  <c r="X28" i="135" a="1"/>
  <c r="X28" i="135" s="1"/>
  <c r="O28" i="135" a="1"/>
  <c r="O28" i="135" s="1"/>
  <c r="R28" i="135" a="1"/>
  <c r="R28" i="135" s="1"/>
  <c r="U28" i="135" a="1"/>
  <c r="U28" i="135" s="1"/>
  <c r="T28" i="135" a="1"/>
  <c r="T28" i="135" s="1"/>
  <c r="K28" i="135" a="1"/>
  <c r="K28" i="135" s="1"/>
  <c r="N28" i="135" a="1"/>
  <c r="N28" i="135" s="1"/>
  <c r="Q28" i="135" a="1"/>
  <c r="Q28" i="135" s="1"/>
  <c r="P28" i="135" a="1"/>
  <c r="P28" i="135" s="1"/>
  <c r="AM28" i="135" a="1"/>
  <c r="AM28" i="135" s="1"/>
  <c r="G28" i="135" a="1"/>
  <c r="G28" i="135" s="1"/>
  <c r="J28" i="135" a="1"/>
  <c r="J28" i="135" s="1"/>
  <c r="M28" i="135" a="1"/>
  <c r="M28" i="135" s="1"/>
  <c r="L28" i="135" a="1"/>
  <c r="L28" i="135" s="1"/>
  <c r="AI28" i="135" a="1"/>
  <c r="AI28" i="135" s="1"/>
  <c r="AL28" i="135" a="1"/>
  <c r="AL28" i="135" s="1"/>
  <c r="F28" i="135" a="1"/>
  <c r="F28" i="135" s="1"/>
  <c r="I28" i="135" a="1"/>
  <c r="I28" i="135" s="1"/>
  <c r="H28" i="135" a="1"/>
  <c r="H28" i="135" s="1"/>
  <c r="AE28" i="135" a="1"/>
  <c r="AE28" i="135" s="1"/>
  <c r="AH28" i="135" a="1"/>
  <c r="AH28" i="135" s="1"/>
  <c r="AK28" i="135" a="1"/>
  <c r="AK28" i="135" s="1"/>
  <c r="AJ28" i="135" a="1"/>
  <c r="AJ28" i="135" s="1"/>
  <c r="E30" i="135" l="1" a="1"/>
  <c r="E30" i="135" s="1"/>
  <c r="D30" i="135" s="1"/>
  <c r="X29" i="135" a="1"/>
  <c r="X29" i="135" s="1"/>
  <c r="AA29" i="135" a="1"/>
  <c r="AA29" i="135" s="1"/>
  <c r="AD29" i="135" a="1"/>
  <c r="AD29" i="135" s="1"/>
  <c r="AG29" i="135" a="1"/>
  <c r="AG29" i="135" s="1"/>
  <c r="T29" i="135" a="1"/>
  <c r="T29" i="135" s="1"/>
  <c r="W29" i="135" a="1"/>
  <c r="W29" i="135" s="1"/>
  <c r="Z29" i="135" a="1"/>
  <c r="Z29" i="135" s="1"/>
  <c r="AC29" i="135" a="1"/>
  <c r="AC29" i="135" s="1"/>
  <c r="P29" i="135" a="1"/>
  <c r="P29" i="135" s="1"/>
  <c r="S29" i="135" a="1"/>
  <c r="S29" i="135" s="1"/>
  <c r="V29" i="135" a="1"/>
  <c r="V29" i="135" s="1"/>
  <c r="Y29" i="135" a="1"/>
  <c r="Y29" i="135" s="1"/>
  <c r="H29" i="135" a="1"/>
  <c r="H29" i="135" s="1"/>
  <c r="K29" i="135" a="1"/>
  <c r="K29" i="135" s="1"/>
  <c r="N29" i="135" a="1"/>
  <c r="N29" i="135" s="1"/>
  <c r="Q29" i="135" a="1"/>
  <c r="Q29" i="135" s="1"/>
  <c r="AF29" i="135" a="1"/>
  <c r="AF29" i="135" s="1"/>
  <c r="AI29" i="135" a="1"/>
  <c r="AI29" i="135" s="1"/>
  <c r="AL29" i="135" a="1"/>
  <c r="AL29" i="135" s="1"/>
  <c r="F29" i="135" a="1"/>
  <c r="F29" i="135" s="1"/>
  <c r="I29" i="135" a="1"/>
  <c r="I29" i="135" s="1"/>
  <c r="L29" i="135" a="1"/>
  <c r="L29" i="135" s="1"/>
  <c r="O29" i="135" a="1"/>
  <c r="O29" i="135" s="1"/>
  <c r="R29" i="135" a="1"/>
  <c r="R29" i="135" s="1"/>
  <c r="U29" i="135" a="1"/>
  <c r="U29" i="135" s="1"/>
  <c r="AB29" i="135" a="1"/>
  <c r="AB29" i="135" s="1"/>
  <c r="AE29" i="135" a="1"/>
  <c r="AE29" i="135" s="1"/>
  <c r="AH29" i="135" a="1"/>
  <c r="AH29" i="135" s="1"/>
  <c r="AK29" i="135" a="1"/>
  <c r="AK29" i="135" s="1"/>
  <c r="AJ29" i="135" a="1"/>
  <c r="AJ29" i="135" s="1"/>
  <c r="AM29" i="135" a="1"/>
  <c r="AM29" i="135" s="1"/>
  <c r="G29" i="135" a="1"/>
  <c r="G29" i="135" s="1"/>
  <c r="J29" i="135" a="1"/>
  <c r="J29" i="135" s="1"/>
  <c r="M29" i="135" a="1"/>
  <c r="M29" i="135" s="1"/>
  <c r="E31" i="135" l="1" a="1"/>
  <c r="E31" i="135" s="1"/>
  <c r="D31" i="135" s="1"/>
  <c r="T30" i="135" a="1"/>
  <c r="T30" i="135" s="1"/>
  <c r="W30" i="135" a="1"/>
  <c r="W30" i="135" s="1"/>
  <c r="Z30" i="135" a="1"/>
  <c r="Z30" i="135" s="1"/>
  <c r="AC30" i="135" a="1"/>
  <c r="AC30" i="135" s="1"/>
  <c r="P30" i="135" a="1"/>
  <c r="P30" i="135" s="1"/>
  <c r="S30" i="135" a="1"/>
  <c r="S30" i="135" s="1"/>
  <c r="V30" i="135" a="1"/>
  <c r="V30" i="135" s="1"/>
  <c r="Y30" i="135" a="1"/>
  <c r="Y30" i="135" s="1"/>
  <c r="H30" i="135" a="1"/>
  <c r="H30" i="135" s="1"/>
  <c r="K30" i="135" a="1"/>
  <c r="K30" i="135" s="1"/>
  <c r="N30" i="135" a="1"/>
  <c r="N30" i="135" s="1"/>
  <c r="Q30" i="135" a="1"/>
  <c r="Q30" i="135" s="1"/>
  <c r="AJ30" i="135" a="1"/>
  <c r="AJ30" i="135" s="1"/>
  <c r="AM30" i="135" a="1"/>
  <c r="AM30" i="135" s="1"/>
  <c r="G30" i="135" a="1"/>
  <c r="G30" i="135" s="1"/>
  <c r="J30" i="135" a="1"/>
  <c r="J30" i="135" s="1"/>
  <c r="M30" i="135" a="1"/>
  <c r="M30" i="135" s="1"/>
  <c r="L30" i="135" a="1"/>
  <c r="L30" i="135" s="1"/>
  <c r="O30" i="135" a="1"/>
  <c r="O30" i="135" s="1"/>
  <c r="R30" i="135" a="1"/>
  <c r="R30" i="135" s="1"/>
  <c r="U30" i="135" a="1"/>
  <c r="U30" i="135" s="1"/>
  <c r="AF30" i="135" a="1"/>
  <c r="AF30" i="135" s="1"/>
  <c r="AI30" i="135" a="1"/>
  <c r="AI30" i="135" s="1"/>
  <c r="AL30" i="135" a="1"/>
  <c r="AL30" i="135" s="1"/>
  <c r="F30" i="135" a="1"/>
  <c r="F30" i="135" s="1"/>
  <c r="I30" i="135" a="1"/>
  <c r="I30" i="135" s="1"/>
  <c r="AB30" i="135" a="1"/>
  <c r="AB30" i="135" s="1"/>
  <c r="AE30" i="135" a="1"/>
  <c r="AE30" i="135" s="1"/>
  <c r="AH30" i="135" a="1"/>
  <c r="AH30" i="135" s="1"/>
  <c r="AG30" i="135" a="1"/>
  <c r="AG30" i="135" s="1"/>
  <c r="AK30" i="135" a="1"/>
  <c r="AK30" i="135" s="1"/>
  <c r="X30" i="135" a="1"/>
  <c r="X30" i="135" s="1"/>
  <c r="AA30" i="135" a="1"/>
  <c r="AA30" i="135" s="1"/>
  <c r="AD30" i="135" a="1"/>
  <c r="AD30" i="135" s="1"/>
  <c r="E32" i="135" l="1" a="1"/>
  <c r="E32" i="135" s="1"/>
  <c r="D32" i="135" s="1"/>
  <c r="U31" i="135" a="1"/>
  <c r="U31" i="135" s="1"/>
  <c r="T31" i="135" a="1"/>
  <c r="T31" i="135" s="1"/>
  <c r="W31" i="135" a="1"/>
  <c r="W31" i="135" s="1"/>
  <c r="Z31" i="135" a="1"/>
  <c r="Z31" i="135" s="1"/>
  <c r="Q31" i="135" a="1"/>
  <c r="Q31" i="135" s="1"/>
  <c r="P31" i="135" a="1"/>
  <c r="P31" i="135" s="1"/>
  <c r="S31" i="135" a="1"/>
  <c r="S31" i="135" s="1"/>
  <c r="I31" i="135" a="1"/>
  <c r="I31" i="135" s="1"/>
  <c r="H31" i="135" a="1"/>
  <c r="H31" i="135" s="1"/>
  <c r="K31" i="135" a="1"/>
  <c r="K31" i="135" s="1"/>
  <c r="N31" i="135" a="1"/>
  <c r="N31" i="135" s="1"/>
  <c r="AK31" i="135" a="1"/>
  <c r="AK31" i="135" s="1"/>
  <c r="AJ31" i="135" a="1"/>
  <c r="AJ31" i="135" s="1"/>
  <c r="AM31" i="135" a="1"/>
  <c r="AM31" i="135" s="1"/>
  <c r="G31" i="135" a="1"/>
  <c r="G31" i="135" s="1"/>
  <c r="J31" i="135" a="1"/>
  <c r="J31" i="135" s="1"/>
  <c r="AG31" i="135" a="1"/>
  <c r="AG31" i="135" s="1"/>
  <c r="AF31" i="135" a="1"/>
  <c r="AF31" i="135" s="1"/>
  <c r="AI31" i="135" a="1"/>
  <c r="AI31" i="135" s="1"/>
  <c r="AL31" i="135" a="1"/>
  <c r="AL31" i="135" s="1"/>
  <c r="F31" i="135" a="1"/>
  <c r="F31" i="135" s="1"/>
  <c r="AC31" i="135" a="1"/>
  <c r="AC31" i="135" s="1"/>
  <c r="AB31" i="135" a="1"/>
  <c r="AB31" i="135" s="1"/>
  <c r="AE31" i="135" a="1"/>
  <c r="AE31" i="135" s="1"/>
  <c r="AH31" i="135" a="1"/>
  <c r="AH31" i="135" s="1"/>
  <c r="V31" i="135" a="1"/>
  <c r="V31" i="135" s="1"/>
  <c r="Y31" i="135" a="1"/>
  <c r="Y31" i="135" s="1"/>
  <c r="X31" i="135" a="1"/>
  <c r="X31" i="135" s="1"/>
  <c r="AA31" i="135" a="1"/>
  <c r="AA31" i="135" s="1"/>
  <c r="AD31" i="135" a="1"/>
  <c r="AD31" i="135" s="1"/>
  <c r="M31" i="135" a="1"/>
  <c r="M31" i="135" s="1"/>
  <c r="L31" i="135" a="1"/>
  <c r="L31" i="135" s="1"/>
  <c r="O31" i="135" a="1"/>
  <c r="O31" i="135" s="1"/>
  <c r="R31" i="135" a="1"/>
  <c r="R31" i="135" s="1"/>
  <c r="E33" i="135" l="1" a="1"/>
  <c r="E33" i="135" s="1"/>
  <c r="D33" i="135" s="1"/>
  <c r="U32" i="135" a="1"/>
  <c r="U32" i="135" s="1"/>
  <c r="T32" i="135" a="1"/>
  <c r="T32" i="135" s="1"/>
  <c r="W32" i="135" a="1"/>
  <c r="W32" i="135" s="1"/>
  <c r="Z32" i="135" a="1"/>
  <c r="Z32" i="135" s="1"/>
  <c r="Q32" i="135" a="1"/>
  <c r="Q32" i="135" s="1"/>
  <c r="P32" i="135" a="1"/>
  <c r="P32" i="135" s="1"/>
  <c r="S32" i="135" a="1"/>
  <c r="S32" i="135" s="1"/>
  <c r="V32" i="135" a="1"/>
  <c r="V32" i="135" s="1"/>
  <c r="M32" i="135" a="1"/>
  <c r="M32" i="135" s="1"/>
  <c r="L32" i="135" a="1"/>
  <c r="L32" i="135" s="1"/>
  <c r="O32" i="135" a="1"/>
  <c r="O32" i="135" s="1"/>
  <c r="R32" i="135" a="1"/>
  <c r="R32" i="135" s="1"/>
  <c r="I32" i="135" a="1"/>
  <c r="I32" i="135" s="1"/>
  <c r="H32" i="135" a="1"/>
  <c r="H32" i="135" s="1"/>
  <c r="K32" i="135" a="1"/>
  <c r="K32" i="135" s="1"/>
  <c r="N32" i="135" a="1"/>
  <c r="N32" i="135" s="1"/>
  <c r="AG32" i="135" a="1"/>
  <c r="AG32" i="135" s="1"/>
  <c r="AF32" i="135" a="1"/>
  <c r="AF32" i="135" s="1"/>
  <c r="AI32" i="135" a="1"/>
  <c r="AI32" i="135" s="1"/>
  <c r="AL32" i="135" a="1"/>
  <c r="AL32" i="135" s="1"/>
  <c r="F32" i="135" a="1"/>
  <c r="F32" i="135" s="1"/>
  <c r="AC32" i="135" a="1"/>
  <c r="AC32" i="135" s="1"/>
  <c r="AB32" i="135" a="1"/>
  <c r="AB32" i="135" s="1"/>
  <c r="AE32" i="135" a="1"/>
  <c r="AE32" i="135" s="1"/>
  <c r="AH32" i="135" a="1"/>
  <c r="AH32" i="135" s="1"/>
  <c r="Y32" i="135" a="1"/>
  <c r="Y32" i="135" s="1"/>
  <c r="X32" i="135" a="1"/>
  <c r="X32" i="135" s="1"/>
  <c r="AA32" i="135" a="1"/>
  <c r="AA32" i="135" s="1"/>
  <c r="AD32" i="135" a="1"/>
  <c r="AD32" i="135" s="1"/>
  <c r="AK32" i="135" a="1"/>
  <c r="AK32" i="135" s="1"/>
  <c r="AJ32" i="135" a="1"/>
  <c r="AJ32" i="135" s="1"/>
  <c r="AM32" i="135" a="1"/>
  <c r="AM32" i="135" s="1"/>
  <c r="G32" i="135" a="1"/>
  <c r="G32" i="135" s="1"/>
  <c r="J32" i="135" a="1"/>
  <c r="J32" i="135" s="1"/>
  <c r="E34" i="135" l="1" a="1"/>
  <c r="E34" i="135" s="1"/>
  <c r="D34" i="135" s="1"/>
  <c r="Z33" i="135" a="1"/>
  <c r="Z33" i="135" s="1"/>
  <c r="AC33" i="135" a="1"/>
  <c r="AC33" i="135" s="1"/>
  <c r="AB33" i="135" a="1"/>
  <c r="AB33" i="135" s="1"/>
  <c r="AE33" i="135" a="1"/>
  <c r="AE33" i="135" s="1"/>
  <c r="V33" i="135" a="1"/>
  <c r="V33" i="135" s="1"/>
  <c r="Y33" i="135" a="1"/>
  <c r="Y33" i="135" s="1"/>
  <c r="X33" i="135" a="1"/>
  <c r="X33" i="135" s="1"/>
  <c r="AA33" i="135" a="1"/>
  <c r="AA33" i="135" s="1"/>
  <c r="R33" i="135" a="1"/>
  <c r="R33" i="135" s="1"/>
  <c r="U33" i="135" a="1"/>
  <c r="U33" i="135" s="1"/>
  <c r="T33" i="135" a="1"/>
  <c r="T33" i="135" s="1"/>
  <c r="W33" i="135" a="1"/>
  <c r="W33" i="135" s="1"/>
  <c r="N33" i="135" a="1"/>
  <c r="N33" i="135" s="1"/>
  <c r="Q33" i="135" a="1"/>
  <c r="Q33" i="135" s="1"/>
  <c r="P33" i="135" a="1"/>
  <c r="P33" i="135" s="1"/>
  <c r="S33" i="135" a="1"/>
  <c r="S33" i="135" s="1"/>
  <c r="J33" i="135" a="1"/>
  <c r="J33" i="135" s="1"/>
  <c r="M33" i="135" a="1"/>
  <c r="M33" i="135" s="1"/>
  <c r="L33" i="135" a="1"/>
  <c r="L33" i="135" s="1"/>
  <c r="O33" i="135" a="1"/>
  <c r="O33" i="135" s="1"/>
  <c r="AH33" i="135" a="1"/>
  <c r="AH33" i="135" s="1"/>
  <c r="AK33" i="135" a="1"/>
  <c r="AK33" i="135" s="1"/>
  <c r="AJ33" i="135" a="1"/>
  <c r="AJ33" i="135" s="1"/>
  <c r="AM33" i="135" a="1"/>
  <c r="AM33" i="135" s="1"/>
  <c r="G33" i="135" a="1"/>
  <c r="G33" i="135" s="1"/>
  <c r="AD33" i="135" a="1"/>
  <c r="AD33" i="135" s="1"/>
  <c r="AG33" i="135" a="1"/>
  <c r="AG33" i="135" s="1"/>
  <c r="AF33" i="135" a="1"/>
  <c r="AF33" i="135" s="1"/>
  <c r="AI33" i="135" a="1"/>
  <c r="AI33" i="135" s="1"/>
  <c r="AL33" i="135" a="1"/>
  <c r="AL33" i="135" s="1"/>
  <c r="F33" i="135" a="1"/>
  <c r="F33" i="135" s="1"/>
  <c r="I33" i="135" a="1"/>
  <c r="I33" i="135" s="1"/>
  <c r="H33" i="135" a="1"/>
  <c r="H33" i="135" s="1"/>
  <c r="K33" i="135" a="1"/>
  <c r="K33" i="135" s="1"/>
  <c r="E35" i="135" l="1" a="1"/>
  <c r="E35" i="135" s="1"/>
  <c r="D35" i="135" s="1"/>
  <c r="V34" i="135" a="1"/>
  <c r="V34" i="135" s="1"/>
  <c r="Y34" i="135" a="1"/>
  <c r="Y34" i="135" s="1"/>
  <c r="X34" i="135" a="1"/>
  <c r="X34" i="135" s="1"/>
  <c r="AA34" i="135" a="1"/>
  <c r="AA34" i="135" s="1"/>
  <c r="G34" i="135" a="1"/>
  <c r="G34" i="135" s="1"/>
  <c r="AI34" i="135" a="1"/>
  <c r="AI34" i="135" s="1"/>
  <c r="AE34" i="135" a="1"/>
  <c r="AE34" i="135" s="1"/>
  <c r="R34" i="135" a="1"/>
  <c r="R34" i="135" s="1"/>
  <c r="U34" i="135" a="1"/>
  <c r="U34" i="135" s="1"/>
  <c r="T34" i="135" a="1"/>
  <c r="T34" i="135" s="1"/>
  <c r="W34" i="135" a="1"/>
  <c r="W34" i="135" s="1"/>
  <c r="AL34" i="135" a="1"/>
  <c r="AL34" i="135" s="1"/>
  <c r="F34" i="135" a="1"/>
  <c r="F34" i="135" s="1"/>
  <c r="I34" i="135" a="1"/>
  <c r="I34" i="135" s="1"/>
  <c r="H34" i="135" a="1"/>
  <c r="H34" i="135" s="1"/>
  <c r="K34" i="135" a="1"/>
  <c r="K34" i="135" s="1"/>
  <c r="N34" i="135" a="1"/>
  <c r="N34" i="135" s="1"/>
  <c r="Q34" i="135" a="1"/>
  <c r="Q34" i="135" s="1"/>
  <c r="P34" i="135" a="1"/>
  <c r="P34" i="135" s="1"/>
  <c r="S34" i="135" a="1"/>
  <c r="S34" i="135" s="1"/>
  <c r="J34" i="135" a="1"/>
  <c r="J34" i="135" s="1"/>
  <c r="M34" i="135" a="1"/>
  <c r="M34" i="135" s="1"/>
  <c r="L34" i="135" a="1"/>
  <c r="L34" i="135" s="1"/>
  <c r="O34" i="135" a="1"/>
  <c r="O34" i="135" s="1"/>
  <c r="AH34" i="135" a="1"/>
  <c r="AH34" i="135" s="1"/>
  <c r="AK34" i="135" a="1"/>
  <c r="AK34" i="135" s="1"/>
  <c r="AJ34" i="135" a="1"/>
  <c r="AJ34" i="135" s="1"/>
  <c r="AM34" i="135" a="1"/>
  <c r="AM34" i="135" s="1"/>
  <c r="AD34" i="135" a="1"/>
  <c r="AD34" i="135" s="1"/>
  <c r="AG34" i="135" a="1"/>
  <c r="AG34" i="135" s="1"/>
  <c r="AF34" i="135" a="1"/>
  <c r="AF34" i="135" s="1"/>
  <c r="Z34" i="135" a="1"/>
  <c r="Z34" i="135" s="1"/>
  <c r="AC34" i="135" a="1"/>
  <c r="AC34" i="135" s="1"/>
  <c r="AB34" i="135" a="1"/>
  <c r="AB34" i="135" s="1"/>
  <c r="E36" i="135" l="1" a="1"/>
  <c r="E36" i="135" s="1"/>
  <c r="D36" i="135" s="1"/>
  <c r="S35" i="135" a="1"/>
  <c r="S35" i="135" s="1"/>
  <c r="V35" i="135" a="1"/>
  <c r="V35" i="135" s="1"/>
  <c r="Y35" i="135" a="1"/>
  <c r="Y35" i="135" s="1"/>
  <c r="X35" i="135" a="1"/>
  <c r="X35" i="135" s="1"/>
  <c r="AA35" i="135" a="1"/>
  <c r="AA35" i="135" s="1"/>
  <c r="AD35" i="135" a="1"/>
  <c r="AD35" i="135" s="1"/>
  <c r="AG35" i="135" a="1"/>
  <c r="AG35" i="135" s="1"/>
  <c r="AF35" i="135" a="1"/>
  <c r="AF35" i="135" s="1"/>
  <c r="O35" i="135" a="1"/>
  <c r="O35" i="135" s="1"/>
  <c r="R35" i="135" a="1"/>
  <c r="R35" i="135" s="1"/>
  <c r="U35" i="135" a="1"/>
  <c r="U35" i="135" s="1"/>
  <c r="T35" i="135" a="1"/>
  <c r="T35" i="135" s="1"/>
  <c r="K35" i="135" a="1"/>
  <c r="K35" i="135" s="1"/>
  <c r="N35" i="135" a="1"/>
  <c r="N35" i="135" s="1"/>
  <c r="Q35" i="135" a="1"/>
  <c r="Q35" i="135" s="1"/>
  <c r="P35" i="135" a="1"/>
  <c r="P35" i="135" s="1"/>
  <c r="AI35" i="135" a="1"/>
  <c r="AI35" i="135" s="1"/>
  <c r="F35" i="135" a="1"/>
  <c r="F35" i="135" s="1"/>
  <c r="I35" i="135" a="1"/>
  <c r="I35" i="135" s="1"/>
  <c r="W35" i="135" a="1"/>
  <c r="W35" i="135" s="1"/>
  <c r="Z35" i="135" a="1"/>
  <c r="Z35" i="135" s="1"/>
  <c r="AC35" i="135" a="1"/>
  <c r="AC35" i="135" s="1"/>
  <c r="AB35" i="135" a="1"/>
  <c r="AB35" i="135" s="1"/>
  <c r="AM35" i="135" a="1"/>
  <c r="AM35" i="135" s="1"/>
  <c r="G35" i="135" a="1"/>
  <c r="G35" i="135" s="1"/>
  <c r="J35" i="135" a="1"/>
  <c r="J35" i="135" s="1"/>
  <c r="M35" i="135" a="1"/>
  <c r="M35" i="135" s="1"/>
  <c r="L35" i="135" a="1"/>
  <c r="L35" i="135" s="1"/>
  <c r="AL35" i="135" a="1"/>
  <c r="AL35" i="135" s="1"/>
  <c r="H35" i="135" a="1"/>
  <c r="H35" i="135" s="1"/>
  <c r="AE35" i="135" a="1"/>
  <c r="AE35" i="135" s="1"/>
  <c r="AH35" i="135" a="1"/>
  <c r="AH35" i="135" s="1"/>
  <c r="AK35" i="135" a="1"/>
  <c r="AK35" i="135" s="1"/>
  <c r="AJ35" i="135" a="1"/>
  <c r="AJ35" i="135" s="1"/>
  <c r="E37" i="135" l="1" a="1"/>
  <c r="E37" i="135" s="1"/>
  <c r="D37" i="135" s="1"/>
  <c r="AA36" i="135" a="1"/>
  <c r="AA36" i="135" s="1"/>
  <c r="AD36" i="135" a="1"/>
  <c r="AD36" i="135" s="1"/>
  <c r="AG36" i="135" a="1"/>
  <c r="AG36" i="135" s="1"/>
  <c r="AF36" i="135" a="1"/>
  <c r="AF36" i="135" s="1"/>
  <c r="S36" i="135" a="1"/>
  <c r="S36" i="135" s="1"/>
  <c r="X36" i="135" a="1"/>
  <c r="X36" i="135" s="1"/>
  <c r="W36" i="135" a="1"/>
  <c r="W36" i="135" s="1"/>
  <c r="Z36" i="135" a="1"/>
  <c r="Z36" i="135" s="1"/>
  <c r="AC36" i="135" a="1"/>
  <c r="AC36" i="135" s="1"/>
  <c r="AB36" i="135" a="1"/>
  <c r="AB36" i="135" s="1"/>
  <c r="V36" i="135" a="1"/>
  <c r="V36" i="135" s="1"/>
  <c r="Y36" i="135" a="1"/>
  <c r="Y36" i="135" s="1"/>
  <c r="K36" i="135" a="1"/>
  <c r="K36" i="135" s="1"/>
  <c r="N36" i="135" a="1"/>
  <c r="N36" i="135" s="1"/>
  <c r="Q36" i="135" a="1"/>
  <c r="Q36" i="135" s="1"/>
  <c r="P36" i="135" a="1"/>
  <c r="P36" i="135" s="1"/>
  <c r="AM36" i="135" a="1"/>
  <c r="AM36" i="135" s="1"/>
  <c r="G36" i="135" a="1"/>
  <c r="G36" i="135" s="1"/>
  <c r="J36" i="135" a="1"/>
  <c r="J36" i="135" s="1"/>
  <c r="M36" i="135" a="1"/>
  <c r="M36" i="135" s="1"/>
  <c r="L36" i="135" a="1"/>
  <c r="L36" i="135" s="1"/>
  <c r="AI36" i="135" a="1"/>
  <c r="AI36" i="135" s="1"/>
  <c r="AL36" i="135" a="1"/>
  <c r="AL36" i="135" s="1"/>
  <c r="F36" i="135" a="1"/>
  <c r="F36" i="135" s="1"/>
  <c r="I36" i="135" a="1"/>
  <c r="I36" i="135" s="1"/>
  <c r="H36" i="135" a="1"/>
  <c r="H36" i="135" s="1"/>
  <c r="AE36" i="135" a="1"/>
  <c r="AE36" i="135" s="1"/>
  <c r="AH36" i="135" a="1"/>
  <c r="AH36" i="135" s="1"/>
  <c r="AK36" i="135" a="1"/>
  <c r="AK36" i="135" s="1"/>
  <c r="AJ36" i="135" a="1"/>
  <c r="AJ36" i="135" s="1"/>
  <c r="O36" i="135" a="1"/>
  <c r="O36" i="135" s="1"/>
  <c r="R36" i="135" a="1"/>
  <c r="R36" i="135" s="1"/>
  <c r="U36" i="135" a="1"/>
  <c r="U36" i="135" s="1"/>
  <c r="T36" i="135" a="1"/>
  <c r="T36" i="135" s="1"/>
  <c r="E38" i="135" l="1" a="1"/>
  <c r="E38" i="135" s="1"/>
  <c r="D38" i="135" s="1"/>
  <c r="P37" i="135" a="1"/>
  <c r="P37" i="135" s="1"/>
  <c r="S37" i="135" a="1"/>
  <c r="S37" i="135" s="1"/>
  <c r="V37" i="135" a="1"/>
  <c r="V37" i="135" s="1"/>
  <c r="Y37" i="135" a="1"/>
  <c r="Y37" i="135" s="1"/>
  <c r="L37" i="135" a="1"/>
  <c r="L37" i="135" s="1"/>
  <c r="O37" i="135" a="1"/>
  <c r="O37" i="135" s="1"/>
  <c r="R37" i="135" a="1"/>
  <c r="R37" i="135" s="1"/>
  <c r="U37" i="135" a="1"/>
  <c r="U37" i="135" s="1"/>
  <c r="H37" i="135" a="1"/>
  <c r="H37" i="135" s="1"/>
  <c r="K37" i="135" a="1"/>
  <c r="K37" i="135" s="1"/>
  <c r="N37" i="135" a="1"/>
  <c r="N37" i="135" s="1"/>
  <c r="Q37" i="135" a="1"/>
  <c r="Q37" i="135" s="1"/>
  <c r="AJ37" i="135" a="1"/>
  <c r="AJ37" i="135" s="1"/>
  <c r="AM37" i="135" a="1"/>
  <c r="AM37" i="135" s="1"/>
  <c r="G37" i="135" a="1"/>
  <c r="G37" i="135" s="1"/>
  <c r="J37" i="135" a="1"/>
  <c r="J37" i="135" s="1"/>
  <c r="M37" i="135" a="1"/>
  <c r="M37" i="135" s="1"/>
  <c r="AF37" i="135" a="1"/>
  <c r="AF37" i="135" s="1"/>
  <c r="AI37" i="135" a="1"/>
  <c r="AI37" i="135" s="1"/>
  <c r="AL37" i="135" a="1"/>
  <c r="AL37" i="135" s="1"/>
  <c r="F37" i="135" a="1"/>
  <c r="F37" i="135" s="1"/>
  <c r="I37" i="135" a="1"/>
  <c r="I37" i="135" s="1"/>
  <c r="AB37" i="135" a="1"/>
  <c r="AB37" i="135" s="1"/>
  <c r="AE37" i="135" a="1"/>
  <c r="AE37" i="135" s="1"/>
  <c r="AH37" i="135" a="1"/>
  <c r="AH37" i="135" s="1"/>
  <c r="AK37" i="135" a="1"/>
  <c r="AK37" i="135" s="1"/>
  <c r="X37" i="135" a="1"/>
  <c r="X37" i="135" s="1"/>
  <c r="AA37" i="135" a="1"/>
  <c r="AA37" i="135" s="1"/>
  <c r="AD37" i="135" a="1"/>
  <c r="AD37" i="135" s="1"/>
  <c r="AG37" i="135" a="1"/>
  <c r="AG37" i="135" s="1"/>
  <c r="T37" i="135" a="1"/>
  <c r="T37" i="135" s="1"/>
  <c r="W37" i="135" a="1"/>
  <c r="W37" i="135" s="1"/>
  <c r="Z37" i="135" a="1"/>
  <c r="Z37" i="135" s="1"/>
  <c r="AC37" i="135" a="1"/>
  <c r="AC37" i="135" s="1"/>
  <c r="E39" i="135" l="1" a="1"/>
  <c r="E39" i="135" s="1"/>
  <c r="D39" i="135" s="1"/>
  <c r="T38" i="135" a="1"/>
  <c r="T38" i="135" s="1"/>
  <c r="W38" i="135" a="1"/>
  <c r="W38" i="135" s="1"/>
  <c r="Z38" i="135" a="1"/>
  <c r="Z38" i="135" s="1"/>
  <c r="AC38" i="135" a="1"/>
  <c r="AC38" i="135" s="1"/>
  <c r="P38" i="135" a="1"/>
  <c r="P38" i="135" s="1"/>
  <c r="S38" i="135" a="1"/>
  <c r="S38" i="135" s="1"/>
  <c r="V38" i="135" a="1"/>
  <c r="V38" i="135" s="1"/>
  <c r="Y38" i="135" a="1"/>
  <c r="Y38" i="135" s="1"/>
  <c r="J38" i="135" a="1"/>
  <c r="J38" i="135" s="1"/>
  <c r="AF38" i="135" a="1"/>
  <c r="AF38" i="135" s="1"/>
  <c r="I38" i="135" a="1"/>
  <c r="I38" i="135" s="1"/>
  <c r="AE38" i="135" a="1"/>
  <c r="AE38" i="135" s="1"/>
  <c r="X38" i="135" a="1"/>
  <c r="X38" i="135" s="1"/>
  <c r="AG38" i="135" a="1"/>
  <c r="AG38" i="135" s="1"/>
  <c r="AJ38" i="135" a="1"/>
  <c r="AJ38" i="135" s="1"/>
  <c r="AL38" i="135" a="1"/>
  <c r="AL38" i="135" s="1"/>
  <c r="AH38" i="135" a="1"/>
  <c r="AH38" i="135" s="1"/>
  <c r="AD38" i="135" a="1"/>
  <c r="AD38" i="135" s="1"/>
  <c r="L38" i="135" a="1"/>
  <c r="L38" i="135" s="1"/>
  <c r="O38" i="135" a="1"/>
  <c r="O38" i="135" s="1"/>
  <c r="R38" i="135" a="1"/>
  <c r="R38" i="135" s="1"/>
  <c r="U38" i="135" a="1"/>
  <c r="U38" i="135" s="1"/>
  <c r="H38" i="135" a="1"/>
  <c r="H38" i="135" s="1"/>
  <c r="K38" i="135" a="1"/>
  <c r="K38" i="135" s="1"/>
  <c r="N38" i="135" a="1"/>
  <c r="N38" i="135" s="1"/>
  <c r="Q38" i="135" a="1"/>
  <c r="Q38" i="135" s="1"/>
  <c r="AM38" i="135" a="1"/>
  <c r="AM38" i="135" s="1"/>
  <c r="G38" i="135" a="1"/>
  <c r="G38" i="135" s="1"/>
  <c r="M38" i="135" a="1"/>
  <c r="M38" i="135" s="1"/>
  <c r="AI38" i="135" a="1"/>
  <c r="AI38" i="135" s="1"/>
  <c r="F38" i="135" a="1"/>
  <c r="F38" i="135" s="1"/>
  <c r="AB38" i="135" a="1"/>
  <c r="AB38" i="135" s="1"/>
  <c r="AK38" i="135" a="1"/>
  <c r="AK38" i="135" s="1"/>
  <c r="AA38" i="135" a="1"/>
  <c r="AA38" i="135" s="1"/>
  <c r="E40" i="135" l="1" a="1"/>
  <c r="E40" i="135" s="1"/>
  <c r="D40" i="135" s="1"/>
  <c r="Y39" i="135" a="1"/>
  <c r="Y39" i="135" s="1"/>
  <c r="X39" i="135" a="1"/>
  <c r="X39" i="135" s="1"/>
  <c r="AA39" i="135" a="1"/>
  <c r="AA39" i="135" s="1"/>
  <c r="AD39" i="135" a="1"/>
  <c r="AD39" i="135" s="1"/>
  <c r="U39" i="135" a="1"/>
  <c r="U39" i="135" s="1"/>
  <c r="T39" i="135" a="1"/>
  <c r="T39" i="135" s="1"/>
  <c r="W39" i="135" a="1"/>
  <c r="W39" i="135" s="1"/>
  <c r="Z39" i="135" a="1"/>
  <c r="Z39" i="135" s="1"/>
  <c r="Q39" i="135" a="1"/>
  <c r="Q39" i="135" s="1"/>
  <c r="P39" i="135" a="1"/>
  <c r="P39" i="135" s="1"/>
  <c r="S39" i="135" a="1"/>
  <c r="S39" i="135" s="1"/>
  <c r="V39" i="135" a="1"/>
  <c r="V39" i="135" s="1"/>
  <c r="M39" i="135" a="1"/>
  <c r="M39" i="135" s="1"/>
  <c r="L39" i="135" a="1"/>
  <c r="L39" i="135" s="1"/>
  <c r="O39" i="135" a="1"/>
  <c r="O39" i="135" s="1"/>
  <c r="I39" i="135" a="1"/>
  <c r="I39" i="135" s="1"/>
  <c r="H39" i="135" a="1"/>
  <c r="H39" i="135" s="1"/>
  <c r="K39" i="135" a="1"/>
  <c r="K39" i="135" s="1"/>
  <c r="N39" i="135" a="1"/>
  <c r="N39" i="135" s="1"/>
  <c r="AK39" i="135" a="1"/>
  <c r="AK39" i="135" s="1"/>
  <c r="AJ39" i="135" a="1"/>
  <c r="AJ39" i="135" s="1"/>
  <c r="AM39" i="135" a="1"/>
  <c r="AM39" i="135" s="1"/>
  <c r="G39" i="135" a="1"/>
  <c r="G39" i="135" s="1"/>
  <c r="J39" i="135" a="1"/>
  <c r="J39" i="135" s="1"/>
  <c r="AI39" i="135" a="1"/>
  <c r="AI39" i="135" s="1"/>
  <c r="F39" i="135" a="1"/>
  <c r="F39" i="135" s="1"/>
  <c r="AC39" i="135" a="1"/>
  <c r="AC39" i="135" s="1"/>
  <c r="AB39" i="135" a="1"/>
  <c r="AB39" i="135" s="1"/>
  <c r="AH39" i="135" a="1"/>
  <c r="AH39" i="135" s="1"/>
  <c r="R39" i="135" a="1"/>
  <c r="R39" i="135" s="1"/>
  <c r="AG39" i="135" a="1"/>
  <c r="AG39" i="135" s="1"/>
  <c r="AL39" i="135" a="1"/>
  <c r="AL39" i="135" s="1"/>
  <c r="AE39" i="135" a="1"/>
  <c r="AE39" i="135" s="1"/>
  <c r="AF39" i="135" a="1"/>
  <c r="AF39" i="135" s="1"/>
  <c r="E41" i="135" l="1" a="1"/>
  <c r="E41" i="135" s="1"/>
  <c r="D41" i="135" s="1"/>
  <c r="AM40" i="135" a="1"/>
  <c r="AM40" i="135" s="1"/>
  <c r="AF40" i="135" a="1"/>
  <c r="AF40" i="135" s="1"/>
  <c r="AE40" i="135" a="1"/>
  <c r="AE40" i="135" s="1"/>
  <c r="AD40" i="135" a="1"/>
  <c r="AD40" i="135" s="1"/>
  <c r="AH40" i="135" a="1"/>
  <c r="AH40" i="135" s="1"/>
  <c r="AB40" i="135" a="1"/>
  <c r="AB40" i="135" s="1"/>
  <c r="AA40" i="135" a="1"/>
  <c r="AA40" i="135" s="1"/>
  <c r="Z40" i="135" a="1"/>
  <c r="Z40" i="135" s="1"/>
  <c r="AC40" i="135" a="1"/>
  <c r="AC40" i="135" s="1"/>
  <c r="X40" i="135" a="1"/>
  <c r="X40" i="135" s="1"/>
  <c r="W40" i="135" a="1"/>
  <c r="W40" i="135" s="1"/>
  <c r="V40" i="135" a="1"/>
  <c r="V40" i="135" s="1"/>
  <c r="Y40" i="135" a="1"/>
  <c r="Y40" i="135" s="1"/>
  <c r="T40" i="135" a="1"/>
  <c r="T40" i="135" s="1"/>
  <c r="S40" i="135" a="1"/>
  <c r="S40" i="135" s="1"/>
  <c r="R40" i="135" a="1"/>
  <c r="R40" i="135" s="1"/>
  <c r="U40" i="135" a="1"/>
  <c r="U40" i="135" s="1"/>
  <c r="P40" i="135" a="1"/>
  <c r="P40" i="135" s="1"/>
  <c r="O40" i="135" a="1"/>
  <c r="O40" i="135" s="1"/>
  <c r="N40" i="135" a="1"/>
  <c r="N40" i="135" s="1"/>
  <c r="AK40" i="135" a="1"/>
  <c r="AK40" i="135" s="1"/>
  <c r="Q40" i="135" a="1"/>
  <c r="Q40" i="135" s="1"/>
  <c r="L40" i="135" a="1"/>
  <c r="L40" i="135" s="1"/>
  <c r="K40" i="135" a="1"/>
  <c r="K40" i="135" s="1"/>
  <c r="J40" i="135" a="1"/>
  <c r="J40" i="135" s="1"/>
  <c r="AG40" i="135" a="1"/>
  <c r="AG40" i="135" s="1"/>
  <c r="M40" i="135" a="1"/>
  <c r="M40" i="135" s="1"/>
  <c r="G40" i="135" a="1"/>
  <c r="G40" i="135" s="1"/>
  <c r="F40" i="135" a="1"/>
  <c r="F40" i="135" s="1"/>
  <c r="I40" i="135" a="1"/>
  <c r="I40" i="135" s="1"/>
  <c r="AI40" i="135" a="1"/>
  <c r="AI40" i="135" s="1"/>
  <c r="H40" i="135" a="1"/>
  <c r="H40" i="135" s="1"/>
  <c r="AL40" i="135" a="1"/>
  <c r="AL40" i="135" s="1"/>
  <c r="AJ40" i="135" a="1"/>
  <c r="AJ40" i="135" s="1"/>
  <c r="N41" i="135" l="1" a="1"/>
  <c r="N41" i="135" s="1"/>
  <c r="R41" i="135" a="1"/>
  <c r="R41" i="135" s="1"/>
  <c r="AL41" i="135" a="1"/>
  <c r="AL41" i="135" s="1"/>
  <c r="K41" i="135" a="1"/>
  <c r="K41" i="135" s="1"/>
  <c r="I41" i="135" a="1"/>
  <c r="I41" i="135" s="1"/>
  <c r="AC41" i="135" a="1"/>
  <c r="AC41" i="135" s="1"/>
  <c r="AG41" i="135" a="1"/>
  <c r="AG41" i="135" s="1"/>
  <c r="F41" i="135" a="1"/>
  <c r="F41" i="135" s="1"/>
  <c r="J41" i="135" a="1"/>
  <c r="J41" i="135" s="1"/>
  <c r="X41" i="135" a="1"/>
  <c r="X41" i="135" s="1"/>
  <c r="AB41" i="135" a="1"/>
  <c r="AB41" i="135" s="1"/>
  <c r="AK41" i="135" a="1"/>
  <c r="AK41" i="135" s="1"/>
  <c r="AJ41" i="135" a="1"/>
  <c r="AJ41" i="135" s="1"/>
  <c r="S41" i="135" a="1"/>
  <c r="S41" i="135" s="1"/>
  <c r="W41" i="135" a="1"/>
  <c r="W41" i="135" s="1"/>
  <c r="AF41" i="135" a="1"/>
  <c r="AF41" i="135" s="1"/>
  <c r="AE41" i="135" a="1"/>
  <c r="AE41" i="135" s="1"/>
  <c r="AI41" i="135" a="1"/>
  <c r="AI41" i="135" s="1"/>
  <c r="AM41" i="135" a="1"/>
  <c r="AM41" i="135" s="1"/>
  <c r="V41" i="135" a="1"/>
  <c r="V41" i="135" s="1"/>
  <c r="Z41" i="135" a="1"/>
  <c r="Z41" i="135" s="1"/>
  <c r="M41" i="135" a="1"/>
  <c r="M41" i="135" s="1"/>
  <c r="Q41" i="135" a="1"/>
  <c r="Q41" i="135" s="1"/>
  <c r="AA41" i="135" a="1"/>
  <c r="AA41" i="135" s="1"/>
  <c r="Y41" i="135" a="1"/>
  <c r="Y41" i="135" s="1"/>
  <c r="H41" i="135" a="1"/>
  <c r="H41" i="135" s="1"/>
  <c r="L41" i="135" a="1"/>
  <c r="L41" i="135" s="1"/>
  <c r="U41" i="135" a="1"/>
  <c r="U41" i="135" s="1"/>
  <c r="T41" i="135" a="1"/>
  <c r="T41" i="135" s="1"/>
  <c r="AD41" i="135" a="1"/>
  <c r="AD41" i="135" s="1"/>
  <c r="AH41" i="135" a="1"/>
  <c r="AH41" i="135" s="1"/>
  <c r="G41" i="135" a="1"/>
  <c r="G41" i="135" s="1"/>
  <c r="P41" i="135" a="1"/>
  <c r="P41" i="135" s="1"/>
  <c r="O41" i="135" a="1"/>
  <c r="O41" i="135" s="1"/>
  <c r="E42" i="135" a="1"/>
  <c r="E42" i="135" s="1"/>
  <c r="D42" i="135" s="1"/>
  <c r="V42" i="135" l="1" a="1"/>
  <c r="V42" i="135" s="1"/>
  <c r="Y42" i="135" a="1"/>
  <c r="Y42" i="135" s="1"/>
  <c r="AA42" i="135" a="1"/>
  <c r="AA42" i="135" s="1"/>
  <c r="AJ42" i="135" a="1"/>
  <c r="AJ42" i="135" s="1"/>
  <c r="H42" i="135" a="1"/>
  <c r="H42" i="135" s="1"/>
  <c r="AL42" i="135" a="1"/>
  <c r="AL42" i="135" s="1"/>
  <c r="K42" i="135" a="1"/>
  <c r="K42" i="135" s="1"/>
  <c r="AK42" i="135" a="1"/>
  <c r="AK42" i="135" s="1"/>
  <c r="G42" i="135" a="1"/>
  <c r="G42" i="135" s="1"/>
  <c r="AD42" i="135" a="1"/>
  <c r="AD42" i="135" s="1"/>
  <c r="AI42" i="135" a="1"/>
  <c r="AI42" i="135" s="1"/>
  <c r="L42" i="135" a="1"/>
  <c r="L42" i="135" s="1"/>
  <c r="R42" i="135" a="1"/>
  <c r="R42" i="135" s="1"/>
  <c r="U42" i="135" a="1"/>
  <c r="U42" i="135" s="1"/>
  <c r="W42" i="135" a="1"/>
  <c r="W42" i="135" s="1"/>
  <c r="P42" i="135" a="1"/>
  <c r="P42" i="135" s="1"/>
  <c r="S42" i="135" a="1"/>
  <c r="S42" i="135" s="1"/>
  <c r="N42" i="135" a="1"/>
  <c r="N42" i="135" s="1"/>
  <c r="Q42" i="135" a="1"/>
  <c r="Q42" i="135" s="1"/>
  <c r="AB42" i="135" a="1"/>
  <c r="AB42" i="135" s="1"/>
  <c r="J42" i="135" a="1"/>
  <c r="J42" i="135" s="1"/>
  <c r="M42" i="135" a="1"/>
  <c r="M42" i="135" s="1"/>
  <c r="O42" i="135" a="1"/>
  <c r="O42" i="135" s="1"/>
  <c r="F42" i="135" a="1"/>
  <c r="F42" i="135" s="1"/>
  <c r="I42" i="135" a="1"/>
  <c r="I42" i="135" s="1"/>
  <c r="T42" i="135" a="1"/>
  <c r="T42" i="135" s="1"/>
  <c r="AH42" i="135" a="1"/>
  <c r="AH42" i="135" s="1"/>
  <c r="AM42" i="135" a="1"/>
  <c r="AM42" i="135" s="1"/>
  <c r="AF42" i="135" a="1"/>
  <c r="AF42" i="135" s="1"/>
  <c r="AG42" i="135" a="1"/>
  <c r="AG42" i="135" s="1"/>
  <c r="Z42" i="135" a="1"/>
  <c r="Z42" i="135" s="1"/>
  <c r="AC42" i="135" a="1"/>
  <c r="AC42" i="135" s="1"/>
  <c r="AE42" i="135" a="1"/>
  <c r="AE42" i="135" s="1"/>
  <c r="X42" i="135" a="1"/>
  <c r="X42" i="135" s="1"/>
  <c r="E43" i="135" a="1"/>
  <c r="E43" i="135" s="1"/>
  <c r="D43" i="135" s="1"/>
  <c r="E44" i="135" l="1" a="1"/>
  <c r="E44" i="135" s="1"/>
  <c r="D44" i="135" s="1"/>
  <c r="U43" i="135" a="1"/>
  <c r="U43" i="135" s="1"/>
  <c r="T43" i="135" a="1"/>
  <c r="T43" i="135" s="1"/>
  <c r="AK43" i="135" a="1"/>
  <c r="AK43" i="135" s="1"/>
  <c r="AJ43" i="135" a="1"/>
  <c r="AJ43" i="135" s="1"/>
  <c r="O43" i="135" a="1"/>
  <c r="O43" i="135" s="1"/>
  <c r="M43" i="135" a="1"/>
  <c r="M43" i="135" s="1"/>
  <c r="AE43" i="135" a="1"/>
  <c r="AE43" i="135" s="1"/>
  <c r="AC43" i="135" a="1"/>
  <c r="AC43" i="135" s="1"/>
  <c r="AG43" i="135" a="1"/>
  <c r="AG43" i="135" s="1"/>
  <c r="G43" i="135" a="1"/>
  <c r="G43" i="135" s="1"/>
  <c r="R43" i="135" a="1"/>
  <c r="R43" i="135" s="1"/>
  <c r="W43" i="135" a="1"/>
  <c r="W43" i="135" s="1"/>
  <c r="AA43" i="135" a="1"/>
  <c r="AA43" i="135" s="1"/>
  <c r="AL43" i="135" a="1"/>
  <c r="AL43" i="135" s="1"/>
  <c r="L43" i="135" a="1"/>
  <c r="L43" i="135" s="1"/>
  <c r="J43" i="135" a="1"/>
  <c r="J43" i="135" s="1"/>
  <c r="N43" i="135" a="1"/>
  <c r="N43" i="135" s="1"/>
  <c r="AF43" i="135" a="1"/>
  <c r="AF43" i="135" s="1"/>
  <c r="AD43" i="135" a="1"/>
  <c r="AD43" i="135" s="1"/>
  <c r="AI43" i="135" a="1"/>
  <c r="AI43" i="135" s="1"/>
  <c r="H43" i="135" a="1"/>
  <c r="H43" i="135" s="1"/>
  <c r="Y43" i="135" a="1"/>
  <c r="Y43" i="135" s="1"/>
  <c r="X43" i="135" a="1"/>
  <c r="X43" i="135" s="1"/>
  <c r="V43" i="135" a="1"/>
  <c r="V43" i="135" s="1"/>
  <c r="AB43" i="135" a="1"/>
  <c r="AB43" i="135" s="1"/>
  <c r="Z43" i="135" a="1"/>
  <c r="Z43" i="135" s="1"/>
  <c r="F43" i="135" a="1"/>
  <c r="F43" i="135" s="1"/>
  <c r="K43" i="135" a="1"/>
  <c r="K43" i="135" s="1"/>
  <c r="I43" i="135" a="1"/>
  <c r="I43" i="135" s="1"/>
  <c r="AH43" i="135" a="1"/>
  <c r="AH43" i="135" s="1"/>
  <c r="AM43" i="135" a="1"/>
  <c r="AM43" i="135" s="1"/>
  <c r="S43" i="135" a="1"/>
  <c r="S43" i="135" s="1"/>
  <c r="Q43" i="135" a="1"/>
  <c r="Q43" i="135" s="1"/>
  <c r="P43" i="135" a="1"/>
  <c r="P43" i="135" s="1"/>
  <c r="E45" i="135" l="1" a="1"/>
  <c r="E45" i="135" s="1"/>
  <c r="D45" i="135" s="1"/>
  <c r="AE44" i="135" a="1"/>
  <c r="AE44" i="135" s="1"/>
  <c r="AH44" i="135" a="1"/>
  <c r="AH44" i="135" s="1"/>
  <c r="AK44" i="135" a="1"/>
  <c r="AK44" i="135" s="1"/>
  <c r="AA44" i="135" a="1"/>
  <c r="AA44" i="135" s="1"/>
  <c r="AD44" i="135" a="1"/>
  <c r="AD44" i="135" s="1"/>
  <c r="AF44" i="135" a="1"/>
  <c r="AF44" i="135" s="1"/>
  <c r="Q44" i="135" a="1"/>
  <c r="Q44" i="135" s="1"/>
  <c r="W44" i="135" a="1"/>
  <c r="W44" i="135" s="1"/>
  <c r="Z44" i="135" a="1"/>
  <c r="Z44" i="135" s="1"/>
  <c r="AB44" i="135" a="1"/>
  <c r="AB44" i="135" s="1"/>
  <c r="AC44" i="135" a="1"/>
  <c r="AC44" i="135" s="1"/>
  <c r="S44" i="135" a="1"/>
  <c r="S44" i="135" s="1"/>
  <c r="V44" i="135" a="1"/>
  <c r="V44" i="135" s="1"/>
  <c r="X44" i="135" a="1"/>
  <c r="X44" i="135" s="1"/>
  <c r="I44" i="135" a="1"/>
  <c r="I44" i="135" s="1"/>
  <c r="O44" i="135" a="1"/>
  <c r="O44" i="135" s="1"/>
  <c r="R44" i="135" a="1"/>
  <c r="R44" i="135" s="1"/>
  <c r="T44" i="135" a="1"/>
  <c r="T44" i="135" s="1"/>
  <c r="U44" i="135" a="1"/>
  <c r="U44" i="135" s="1"/>
  <c r="K44" i="135" a="1"/>
  <c r="K44" i="135" s="1"/>
  <c r="N44" i="135" a="1"/>
  <c r="N44" i="135" s="1"/>
  <c r="P44" i="135" a="1"/>
  <c r="P44" i="135" s="1"/>
  <c r="AG44" i="135" a="1"/>
  <c r="AG44" i="135" s="1"/>
  <c r="F44" i="135" a="1"/>
  <c r="F44" i="135" s="1"/>
  <c r="Y44" i="135" a="1"/>
  <c r="Y44" i="135" s="1"/>
  <c r="AJ44" i="135" a="1"/>
  <c r="AJ44" i="135" s="1"/>
  <c r="AM44" i="135" a="1"/>
  <c r="AM44" i="135" s="1"/>
  <c r="G44" i="135" a="1"/>
  <c r="G44" i="135" s="1"/>
  <c r="J44" i="135" a="1"/>
  <c r="J44" i="135" s="1"/>
  <c r="L44" i="135" a="1"/>
  <c r="L44" i="135" s="1"/>
  <c r="M44" i="135" a="1"/>
  <c r="M44" i="135" s="1"/>
  <c r="AI44" i="135" a="1"/>
  <c r="AI44" i="135" s="1"/>
  <c r="AL44" i="135" a="1"/>
  <c r="AL44" i="135" s="1"/>
  <c r="H44" i="135" a="1"/>
  <c r="H44" i="135" s="1"/>
  <c r="E46" i="135" l="1" a="1"/>
  <c r="E46" i="135" s="1"/>
  <c r="D46" i="135" s="1"/>
  <c r="AC45" i="135" a="1"/>
  <c r="AC45" i="135" s="1"/>
  <c r="P45" i="135" a="1"/>
  <c r="P45" i="135" s="1"/>
  <c r="AD45" i="135" a="1"/>
  <c r="AD45" i="135" s="1"/>
  <c r="AI45" i="135" a="1"/>
  <c r="AI45" i="135" s="1"/>
  <c r="Y45" i="135" a="1"/>
  <c r="Y45" i="135" s="1"/>
  <c r="H45" i="135" a="1"/>
  <c r="H45" i="135" s="1"/>
  <c r="V45" i="135" a="1"/>
  <c r="V45" i="135" s="1"/>
  <c r="AA45" i="135" a="1"/>
  <c r="AA45" i="135" s="1"/>
  <c r="AK45" i="135" a="1"/>
  <c r="AK45" i="135" s="1"/>
  <c r="AF45" i="135" a="1"/>
  <c r="AF45" i="135" s="1"/>
  <c r="G45" i="135" a="1"/>
  <c r="G45" i="135" s="1"/>
  <c r="T45" i="135" a="1"/>
  <c r="T45" i="135" s="1"/>
  <c r="R45" i="135" a="1"/>
  <c r="R45" i="135" s="1"/>
  <c r="AG45" i="135" a="1"/>
  <c r="AG45" i="135" s="1"/>
  <c r="X45" i="135" a="1"/>
  <c r="X45" i="135" s="1"/>
  <c r="AL45" i="135" a="1"/>
  <c r="AL45" i="135" s="1"/>
  <c r="L45" i="135" a="1"/>
  <c r="L45" i="135" s="1"/>
  <c r="J45" i="135" a="1"/>
  <c r="J45" i="135" s="1"/>
  <c r="U45" i="135" a="1"/>
  <c r="U45" i="135" s="1"/>
  <c r="AM45" i="135" a="1"/>
  <c r="AM45" i="135" s="1"/>
  <c r="N45" i="135" a="1"/>
  <c r="N45" i="135" s="1"/>
  <c r="S45" i="135" a="1"/>
  <c r="S45" i="135" s="1"/>
  <c r="Q45" i="135" a="1"/>
  <c r="Q45" i="135" s="1"/>
  <c r="AE45" i="135" a="1"/>
  <c r="AE45" i="135" s="1"/>
  <c r="F45" i="135" a="1"/>
  <c r="F45" i="135" s="1"/>
  <c r="K45" i="135" a="1"/>
  <c r="K45" i="135" s="1"/>
  <c r="M45" i="135" a="1"/>
  <c r="M45" i="135" s="1"/>
  <c r="W45" i="135" a="1"/>
  <c r="W45" i="135" s="1"/>
  <c r="AJ45" i="135" a="1"/>
  <c r="AJ45" i="135" s="1"/>
  <c r="AH45" i="135" a="1"/>
  <c r="AH45" i="135" s="1"/>
  <c r="I45" i="135" a="1"/>
  <c r="I45" i="135" s="1"/>
  <c r="O45" i="135" a="1"/>
  <c r="O45" i="135" s="1"/>
  <c r="AB45" i="135" a="1"/>
  <c r="AB45" i="135" s="1"/>
  <c r="Z45" i="135" a="1"/>
  <c r="Z45" i="135" s="1"/>
  <c r="E47" i="135" l="1" a="1"/>
  <c r="E47" i="135" s="1"/>
  <c r="D47" i="135" s="1"/>
  <c r="T46" i="135" a="1"/>
  <c r="T46" i="135" s="1"/>
  <c r="W46" i="135" a="1"/>
  <c r="W46" i="135" s="1"/>
  <c r="Y46" i="135" a="1"/>
  <c r="Y46" i="135" s="1"/>
  <c r="N46" i="135" a="1"/>
  <c r="N46" i="135" s="1"/>
  <c r="P46" i="135" a="1"/>
  <c r="P46" i="135" s="1"/>
  <c r="S46" i="135" a="1"/>
  <c r="S46" i="135" s="1"/>
  <c r="U46" i="135" a="1"/>
  <c r="U46" i="135" s="1"/>
  <c r="F46" i="135" a="1"/>
  <c r="F46" i="135" s="1"/>
  <c r="Q46" i="135" a="1"/>
  <c r="Q46" i="135" s="1"/>
  <c r="AH46" i="135" a="1"/>
  <c r="AH46" i="135" s="1"/>
  <c r="L46" i="135" a="1"/>
  <c r="L46" i="135" s="1"/>
  <c r="O46" i="135" a="1"/>
  <c r="O46" i="135" s="1"/>
  <c r="H46" i="135" a="1"/>
  <c r="H46" i="135" s="1"/>
  <c r="K46" i="135" a="1"/>
  <c r="K46" i="135" s="1"/>
  <c r="M46" i="135" a="1"/>
  <c r="M46" i="135" s="1"/>
  <c r="Z46" i="135" a="1"/>
  <c r="Z46" i="135" s="1"/>
  <c r="AF46" i="135" a="1"/>
  <c r="AF46" i="135" s="1"/>
  <c r="AK46" i="135" a="1"/>
  <c r="AK46" i="135" s="1"/>
  <c r="J46" i="135" a="1"/>
  <c r="J46" i="135" s="1"/>
  <c r="AB46" i="135" a="1"/>
  <c r="AB46" i="135" s="1"/>
  <c r="AG46" i="135" a="1"/>
  <c r="AG46" i="135" s="1"/>
  <c r="AJ46" i="135" a="1"/>
  <c r="AJ46" i="135" s="1"/>
  <c r="AM46" i="135" a="1"/>
  <c r="AM46" i="135" s="1"/>
  <c r="G46" i="135" a="1"/>
  <c r="G46" i="135" s="1"/>
  <c r="I46" i="135" a="1"/>
  <c r="I46" i="135" s="1"/>
  <c r="R46" i="135" a="1"/>
  <c r="R46" i="135" s="1"/>
  <c r="AI46" i="135" a="1"/>
  <c r="AI46" i="135" s="1"/>
  <c r="AL46" i="135" a="1"/>
  <c r="AL46" i="135" s="1"/>
  <c r="AE46" i="135" a="1"/>
  <c r="AE46" i="135" s="1"/>
  <c r="AD46" i="135" a="1"/>
  <c r="AD46" i="135" s="1"/>
  <c r="X46" i="135" a="1"/>
  <c r="X46" i="135" s="1"/>
  <c r="AA46" i="135" a="1"/>
  <c r="AA46" i="135" s="1"/>
  <c r="AC46" i="135" a="1"/>
  <c r="AC46" i="135" s="1"/>
  <c r="V46" i="135" a="1"/>
  <c r="V46" i="135" s="1"/>
  <c r="E48" i="135" l="1" a="1"/>
  <c r="E48" i="135" s="1"/>
  <c r="D48" i="135" s="1"/>
  <c r="Z47" i="135" a="1"/>
  <c r="Z47" i="135" s="1"/>
  <c r="Q47" i="135" a="1"/>
  <c r="Q47" i="135" s="1"/>
  <c r="W47" i="135" a="1"/>
  <c r="W47" i="135" s="1"/>
  <c r="AB47" i="135" a="1"/>
  <c r="AB47" i="135" s="1"/>
  <c r="AF47" i="135" a="1"/>
  <c r="AF47" i="135" s="1"/>
  <c r="G47" i="135" a="1"/>
  <c r="G47" i="135" s="1"/>
  <c r="J47" i="135" a="1"/>
  <c r="J47" i="135" s="1"/>
  <c r="P47" i="135" a="1"/>
  <c r="P47" i="135" s="1"/>
  <c r="AC47" i="135" a="1"/>
  <c r="AC47" i="135" s="1"/>
  <c r="AL47" i="135" a="1"/>
  <c r="AL47" i="135" s="1"/>
  <c r="F47" i="135" a="1"/>
  <c r="F47" i="135" s="1"/>
  <c r="H47" i="135" a="1"/>
  <c r="H47" i="135" s="1"/>
  <c r="U47" i="135" a="1"/>
  <c r="U47" i="135" s="1"/>
  <c r="S47" i="135" a="1"/>
  <c r="S47" i="135" s="1"/>
  <c r="V47" i="135" a="1"/>
  <c r="V47" i="135" s="1"/>
  <c r="I47" i="135" a="1"/>
  <c r="I47" i="135" s="1"/>
  <c r="O47" i="135" a="1"/>
  <c r="O47" i="135" s="1"/>
  <c r="T47" i="135" a="1"/>
  <c r="T47" i="135" s="1"/>
  <c r="R47" i="135" a="1"/>
  <c r="R47" i="135" s="1"/>
  <c r="L47" i="135" a="1"/>
  <c r="L47" i="135" s="1"/>
  <c r="AA47" i="135" a="1"/>
  <c r="AA47" i="135" s="1"/>
  <c r="AH47" i="135" a="1"/>
  <c r="AH47" i="135" s="1"/>
  <c r="AG47" i="135" a="1"/>
  <c r="AG47" i="135" s="1"/>
  <c r="AM47" i="135" a="1"/>
  <c r="AM47" i="135" s="1"/>
  <c r="M47" i="135" a="1"/>
  <c r="M47" i="135" s="1"/>
  <c r="K47" i="135" a="1"/>
  <c r="K47" i="135" s="1"/>
  <c r="AD47" i="135" a="1"/>
  <c r="AD47" i="135" s="1"/>
  <c r="Y47" i="135" a="1"/>
  <c r="Y47" i="135" s="1"/>
  <c r="AE47" i="135" a="1"/>
  <c r="AE47" i="135" s="1"/>
  <c r="AJ47" i="135" a="1"/>
  <c r="AJ47" i="135" s="1"/>
  <c r="N47" i="135" a="1"/>
  <c r="N47" i="135" s="1"/>
  <c r="X47" i="135" a="1"/>
  <c r="X47" i="135" s="1"/>
  <c r="AK47" i="135" a="1"/>
  <c r="AK47" i="135" s="1"/>
  <c r="AI47" i="135" a="1"/>
  <c r="AI47" i="135" s="1"/>
  <c r="E49" i="135" l="1" a="1"/>
  <c r="E49" i="135" s="1"/>
  <c r="D49" i="135" s="1"/>
  <c r="Y48" i="135" a="1"/>
  <c r="Y48" i="135" s="1"/>
  <c r="X48" i="135" a="1"/>
  <c r="X48" i="135" s="1"/>
  <c r="W48" i="135" a="1"/>
  <c r="W48" i="135" s="1"/>
  <c r="U48" i="135" a="1"/>
  <c r="U48" i="135" s="1"/>
  <c r="T48" i="135" a="1"/>
  <c r="T48" i="135" s="1"/>
  <c r="V48" i="135" a="1"/>
  <c r="V48" i="135" s="1"/>
  <c r="O48" i="135" a="1"/>
  <c r="O48" i="135" s="1"/>
  <c r="Q48" i="135" a="1"/>
  <c r="Q48" i="135" s="1"/>
  <c r="P48" i="135" a="1"/>
  <c r="P48" i="135" s="1"/>
  <c r="R48" i="135" a="1"/>
  <c r="R48" i="135" s="1"/>
  <c r="G48" i="135" a="1"/>
  <c r="G48" i="135" s="1"/>
  <c r="M48" i="135" a="1"/>
  <c r="M48" i="135" s="1"/>
  <c r="L48" i="135" a="1"/>
  <c r="L48" i="135" s="1"/>
  <c r="N48" i="135" a="1"/>
  <c r="N48" i="135" s="1"/>
  <c r="AI48" i="135" a="1"/>
  <c r="AI48" i="135" s="1"/>
  <c r="I48" i="135" a="1"/>
  <c r="I48" i="135" s="1"/>
  <c r="H48" i="135" a="1"/>
  <c r="H48" i="135" s="1"/>
  <c r="J48" i="135" a="1"/>
  <c r="J48" i="135" s="1"/>
  <c r="AA48" i="135" a="1"/>
  <c r="AA48" i="135" s="1"/>
  <c r="AK48" i="135" a="1"/>
  <c r="AK48" i="135" s="1"/>
  <c r="AJ48" i="135" a="1"/>
  <c r="AJ48" i="135" s="1"/>
  <c r="AL48" i="135" a="1"/>
  <c r="AL48" i="135" s="1"/>
  <c r="F48" i="135" a="1"/>
  <c r="F48" i="135" s="1"/>
  <c r="S48" i="135" a="1"/>
  <c r="S48" i="135" s="1"/>
  <c r="AG48" i="135" a="1"/>
  <c r="AG48" i="135" s="1"/>
  <c r="AF48" i="135" a="1"/>
  <c r="AF48" i="135" s="1"/>
  <c r="AH48" i="135" a="1"/>
  <c r="AH48" i="135" s="1"/>
  <c r="AM48" i="135" a="1"/>
  <c r="AM48" i="135" s="1"/>
  <c r="K48" i="135" a="1"/>
  <c r="K48" i="135" s="1"/>
  <c r="AC48" i="135" a="1"/>
  <c r="AC48" i="135" s="1"/>
  <c r="AB48" i="135" a="1"/>
  <c r="AB48" i="135" s="1"/>
  <c r="AD48" i="135" a="1"/>
  <c r="AD48" i="135" s="1"/>
  <c r="AE48" i="135" a="1"/>
  <c r="AE48" i="135" s="1"/>
  <c r="Z48" i="135" a="1"/>
  <c r="Z48" i="135" s="1"/>
  <c r="E50" i="135" l="1" a="1"/>
  <c r="E50" i="135" s="1"/>
  <c r="D50" i="135" s="1"/>
  <c r="AA49" i="135" a="1"/>
  <c r="AA49" i="135" s="1"/>
  <c r="R49" i="135" a="1"/>
  <c r="R49" i="135" s="1"/>
  <c r="P49" i="135" a="1"/>
  <c r="P49" i="135" s="1"/>
  <c r="AC49" i="135" a="1"/>
  <c r="AC49" i="135" s="1"/>
  <c r="S49" i="135" a="1"/>
  <c r="S49" i="135" s="1"/>
  <c r="AG49" i="135" a="1"/>
  <c r="AG49" i="135" s="1"/>
  <c r="AL49" i="135" a="1"/>
  <c r="AL49" i="135" s="1"/>
  <c r="M49" i="135" a="1"/>
  <c r="M49" i="135" s="1"/>
  <c r="O49" i="135" a="1"/>
  <c r="O49" i="135" s="1"/>
  <c r="Y49" i="135" a="1"/>
  <c r="Y49" i="135" s="1"/>
  <c r="AD49" i="135" a="1"/>
  <c r="AD49" i="135" s="1"/>
  <c r="AJ49" i="135" a="1"/>
  <c r="AJ49" i="135" s="1"/>
  <c r="K49" i="135" a="1"/>
  <c r="K49" i="135" s="1"/>
  <c r="Q49" i="135" a="1"/>
  <c r="Q49" i="135" s="1"/>
  <c r="V49" i="135" a="1"/>
  <c r="V49" i="135" s="1"/>
  <c r="AB49" i="135" a="1"/>
  <c r="AB49" i="135" s="1"/>
  <c r="AM49" i="135" a="1"/>
  <c r="AM49" i="135" s="1"/>
  <c r="G49" i="135" a="1"/>
  <c r="G49" i="135" s="1"/>
  <c r="I49" i="135" a="1"/>
  <c r="I49" i="135" s="1"/>
  <c r="N49" i="135" a="1"/>
  <c r="N49" i="135" s="1"/>
  <c r="T49" i="135" a="1"/>
  <c r="T49" i="135" s="1"/>
  <c r="AH49" i="135" a="1"/>
  <c r="AH49" i="135" s="1"/>
  <c r="F49" i="135" a="1"/>
  <c r="F49" i="135" s="1"/>
  <c r="L49" i="135" a="1"/>
  <c r="L49" i="135" s="1"/>
  <c r="Z49" i="135" a="1"/>
  <c r="Z49" i="135" s="1"/>
  <c r="AK49" i="135" a="1"/>
  <c r="AK49" i="135" s="1"/>
  <c r="W49" i="135" a="1"/>
  <c r="W49" i="135" s="1"/>
  <c r="J49" i="135" a="1"/>
  <c r="J49" i="135" s="1"/>
  <c r="H49" i="135" a="1"/>
  <c r="H49" i="135" s="1"/>
  <c r="U49" i="135" a="1"/>
  <c r="U49" i="135" s="1"/>
  <c r="AF49" i="135" a="1"/>
  <c r="AF49" i="135" s="1"/>
  <c r="AE49" i="135" a="1"/>
  <c r="AE49" i="135" s="1"/>
  <c r="X49" i="135" a="1"/>
  <c r="X49" i="135" s="1"/>
  <c r="AI49" i="135" a="1"/>
  <c r="AI49" i="135" s="1"/>
  <c r="E51" i="135" l="1" a="1"/>
  <c r="E51" i="135" s="1"/>
  <c r="D51" i="135" s="1"/>
  <c r="AC50" i="135" a="1"/>
  <c r="AC50" i="135" s="1"/>
  <c r="V50" i="135" a="1"/>
  <c r="V50" i="135" s="1"/>
  <c r="Y50" i="135" a="1"/>
  <c r="Y50" i="135" s="1"/>
  <c r="AA50" i="135" a="1"/>
  <c r="AA50" i="135" s="1"/>
  <c r="P50" i="135" a="1"/>
  <c r="P50" i="135" s="1"/>
  <c r="R50" i="135" a="1"/>
  <c r="R50" i="135" s="1"/>
  <c r="U50" i="135" a="1"/>
  <c r="U50" i="135" s="1"/>
  <c r="W50" i="135" a="1"/>
  <c r="W50" i="135" s="1"/>
  <c r="H50" i="135" a="1"/>
  <c r="H50" i="135" s="1"/>
  <c r="AD50" i="135" a="1"/>
  <c r="AD50" i="135" s="1"/>
  <c r="AG50" i="135" a="1"/>
  <c r="AG50" i="135" s="1"/>
  <c r="AF50" i="135" a="1"/>
  <c r="AF50" i="135" s="1"/>
  <c r="N50" i="135" a="1"/>
  <c r="N50" i="135" s="1"/>
  <c r="Q50" i="135" a="1"/>
  <c r="Q50" i="135" s="1"/>
  <c r="S50" i="135" a="1"/>
  <c r="S50" i="135" s="1"/>
  <c r="AJ50" i="135" a="1"/>
  <c r="AJ50" i="135" s="1"/>
  <c r="J50" i="135" a="1"/>
  <c r="J50" i="135" s="1"/>
  <c r="M50" i="135" a="1"/>
  <c r="M50" i="135" s="1"/>
  <c r="O50" i="135" a="1"/>
  <c r="O50" i="135" s="1"/>
  <c r="AB50" i="135" a="1"/>
  <c r="AB50" i="135" s="1"/>
  <c r="AL50" i="135" a="1"/>
  <c r="AL50" i="135" s="1"/>
  <c r="F50" i="135" a="1"/>
  <c r="F50" i="135" s="1"/>
  <c r="I50" i="135" a="1"/>
  <c r="I50" i="135" s="1"/>
  <c r="K50" i="135" a="1"/>
  <c r="K50" i="135" s="1"/>
  <c r="T50" i="135" a="1"/>
  <c r="T50" i="135" s="1"/>
  <c r="AI50" i="135" a="1"/>
  <c r="AI50" i="135" s="1"/>
  <c r="Z50" i="135" a="1"/>
  <c r="Z50" i="135" s="1"/>
  <c r="AE50" i="135" a="1"/>
  <c r="AE50" i="135" s="1"/>
  <c r="X50" i="135" a="1"/>
  <c r="X50" i="135" s="1"/>
  <c r="AH50" i="135" a="1"/>
  <c r="AH50" i="135" s="1"/>
  <c r="AK50" i="135" a="1"/>
  <c r="AK50" i="135" s="1"/>
  <c r="AM50" i="135" a="1"/>
  <c r="AM50" i="135" s="1"/>
  <c r="G50" i="135" a="1"/>
  <c r="G50" i="135" s="1"/>
  <c r="L50" i="135" a="1"/>
  <c r="L50" i="135" s="1"/>
  <c r="E52" i="135" l="1" a="1"/>
  <c r="E52" i="135" s="1"/>
  <c r="D52" i="135" s="1"/>
  <c r="Y51" i="135" a="1"/>
  <c r="Y51" i="135" s="1"/>
  <c r="X51" i="135" a="1"/>
  <c r="X51" i="135" s="1"/>
  <c r="N51" i="135" a="1"/>
  <c r="N51" i="135" s="1"/>
  <c r="S51" i="135" a="1"/>
  <c r="S51" i="135" s="1"/>
  <c r="U51" i="135" a="1"/>
  <c r="U51" i="135" s="1"/>
  <c r="T51" i="135" a="1"/>
  <c r="T51" i="135" s="1"/>
  <c r="AH51" i="135" a="1"/>
  <c r="AH51" i="135" s="1"/>
  <c r="AM51" i="135" a="1"/>
  <c r="AM51" i="135" s="1"/>
  <c r="Q51" i="135" a="1"/>
  <c r="Q51" i="135" s="1"/>
  <c r="P51" i="135" a="1"/>
  <c r="P51" i="135" s="1"/>
  <c r="W51" i="135" a="1"/>
  <c r="W51" i="135" s="1"/>
  <c r="R51" i="135" a="1"/>
  <c r="R51" i="135" s="1"/>
  <c r="I51" i="135" a="1"/>
  <c r="I51" i="135" s="1"/>
  <c r="H51" i="135" a="1"/>
  <c r="H51" i="135" s="1"/>
  <c r="K51" i="135" a="1"/>
  <c r="K51" i="135" s="1"/>
  <c r="AL51" i="135" a="1"/>
  <c r="AL51" i="135" s="1"/>
  <c r="AG51" i="135" a="1"/>
  <c r="AG51" i="135" s="1"/>
  <c r="AF51" i="135" a="1"/>
  <c r="AF51" i="135" s="1"/>
  <c r="O51" i="135" a="1"/>
  <c r="O51" i="135" s="1"/>
  <c r="J51" i="135" a="1"/>
  <c r="J51" i="135" s="1"/>
  <c r="F51" i="135" a="1"/>
  <c r="F51" i="135" s="1"/>
  <c r="AC51" i="135" a="1"/>
  <c r="AC51" i="135" s="1"/>
  <c r="AB51" i="135" a="1"/>
  <c r="AB51" i="135" s="1"/>
  <c r="AI51" i="135" a="1"/>
  <c r="AI51" i="135" s="1"/>
  <c r="AD51" i="135" a="1"/>
  <c r="AD51" i="135" s="1"/>
  <c r="M51" i="135" a="1"/>
  <c r="M51" i="135" s="1"/>
  <c r="L51" i="135" a="1"/>
  <c r="L51" i="135" s="1"/>
  <c r="V51" i="135" a="1"/>
  <c r="V51" i="135" s="1"/>
  <c r="G51" i="135" a="1"/>
  <c r="G51" i="135" s="1"/>
  <c r="AK51" i="135" a="1"/>
  <c r="AK51" i="135" s="1"/>
  <c r="AJ51" i="135" a="1"/>
  <c r="AJ51" i="135" s="1"/>
  <c r="Z51" i="135" a="1"/>
  <c r="Z51" i="135" s="1"/>
  <c r="AE51" i="135" a="1"/>
  <c r="AE51" i="135" s="1"/>
  <c r="AA51" i="135" a="1"/>
  <c r="AA51" i="135" s="1"/>
  <c r="E53" i="135" l="1" a="1"/>
  <c r="E53" i="135" s="1"/>
  <c r="D53" i="135" s="1"/>
  <c r="W52" i="135" a="1"/>
  <c r="W52" i="135" s="1"/>
  <c r="Z52" i="135" a="1"/>
  <c r="Z52" i="135" s="1"/>
  <c r="AC52" i="135" a="1"/>
  <c r="AC52" i="135" s="1"/>
  <c r="AB52" i="135" a="1"/>
  <c r="AB52" i="135" s="1"/>
  <c r="S52" i="135" a="1"/>
  <c r="S52" i="135" s="1"/>
  <c r="V52" i="135" a="1"/>
  <c r="V52" i="135" s="1"/>
  <c r="Y52" i="135" a="1"/>
  <c r="Y52" i="135" s="1"/>
  <c r="X52" i="135" a="1"/>
  <c r="X52" i="135" s="1"/>
  <c r="O52" i="135" a="1"/>
  <c r="O52" i="135" s="1"/>
  <c r="R52" i="135" a="1"/>
  <c r="R52" i="135" s="1"/>
  <c r="U52" i="135" a="1"/>
  <c r="U52" i="135" s="1"/>
  <c r="T52" i="135" a="1"/>
  <c r="T52" i="135" s="1"/>
  <c r="K52" i="135" a="1"/>
  <c r="K52" i="135" s="1"/>
  <c r="N52" i="135" a="1"/>
  <c r="N52" i="135" s="1"/>
  <c r="Q52" i="135" a="1"/>
  <c r="Q52" i="135" s="1"/>
  <c r="P52" i="135" a="1"/>
  <c r="P52" i="135" s="1"/>
  <c r="AM52" i="135" a="1"/>
  <c r="AM52" i="135" s="1"/>
  <c r="G52" i="135" a="1"/>
  <c r="G52" i="135" s="1"/>
  <c r="J52" i="135" a="1"/>
  <c r="J52" i="135" s="1"/>
  <c r="M52" i="135" a="1"/>
  <c r="M52" i="135" s="1"/>
  <c r="L52" i="135" a="1"/>
  <c r="L52" i="135" s="1"/>
  <c r="AI52" i="135" a="1"/>
  <c r="AI52" i="135" s="1"/>
  <c r="AL52" i="135" a="1"/>
  <c r="AL52" i="135" s="1"/>
  <c r="I52" i="135" a="1"/>
  <c r="I52" i="135" s="1"/>
  <c r="H52" i="135" a="1"/>
  <c r="H52" i="135" s="1"/>
  <c r="AE52" i="135" a="1"/>
  <c r="AE52" i="135" s="1"/>
  <c r="AH52" i="135" a="1"/>
  <c r="AH52" i="135" s="1"/>
  <c r="AK52" i="135" a="1"/>
  <c r="AK52" i="135" s="1"/>
  <c r="F52" i="135" a="1"/>
  <c r="F52" i="135" s="1"/>
  <c r="AJ52" i="135" a="1"/>
  <c r="AJ52" i="135" s="1"/>
  <c r="AA52" i="135" a="1"/>
  <c r="AA52" i="135" s="1"/>
  <c r="AD52" i="135" a="1"/>
  <c r="AD52" i="135" s="1"/>
  <c r="AG52" i="135" a="1"/>
  <c r="AG52" i="135" s="1"/>
  <c r="AF52" i="135" a="1"/>
  <c r="AF52" i="135" s="1"/>
  <c r="E54" i="135" l="1" a="1"/>
  <c r="E54" i="135" s="1"/>
  <c r="D54" i="135" s="1"/>
  <c r="Z53" i="135" a="1"/>
  <c r="Z53" i="135" s="1"/>
  <c r="AC53" i="135" a="1"/>
  <c r="AC53" i="135" s="1"/>
  <c r="AA53" i="135" a="1"/>
  <c r="AA53" i="135" s="1"/>
  <c r="T53" i="135" a="1"/>
  <c r="T53" i="135" s="1"/>
  <c r="R53" i="135" a="1"/>
  <c r="R53" i="135" s="1"/>
  <c r="X53" i="135" a="1"/>
  <c r="X53" i="135" s="1"/>
  <c r="J53" i="135" a="1"/>
  <c r="J53" i="135" s="1"/>
  <c r="M53" i="135" a="1"/>
  <c r="M53" i="135" s="1"/>
  <c r="AM53" i="135" a="1"/>
  <c r="AM53" i="135" s="1"/>
  <c r="P53" i="135" a="1"/>
  <c r="P53" i="135" s="1"/>
  <c r="O53" i="135" a="1"/>
  <c r="O53" i="135" s="1"/>
  <c r="AJ53" i="135" a="1"/>
  <c r="AJ53" i="135" s="1"/>
  <c r="V53" i="135" a="1"/>
  <c r="V53" i="135" s="1"/>
  <c r="Y53" i="135" a="1"/>
  <c r="Y53" i="135" s="1"/>
  <c r="K53" i="135" a="1"/>
  <c r="K53" i="135" s="1"/>
  <c r="AI53" i="135" a="1"/>
  <c r="AI53" i="135" s="1"/>
  <c r="U53" i="135" a="1"/>
  <c r="U53" i="135" s="1"/>
  <c r="S53" i="135" a="1"/>
  <c r="S53" i="135" s="1"/>
  <c r="N53" i="135" a="1"/>
  <c r="N53" i="135" s="1"/>
  <c r="Q53" i="135" a="1"/>
  <c r="Q53" i="135" s="1"/>
  <c r="H53" i="135" a="1"/>
  <c r="H53" i="135" s="1"/>
  <c r="AF53" i="135" a="1"/>
  <c r="AF53" i="135" s="1"/>
  <c r="AL53" i="135" a="1"/>
  <c r="AL53" i="135" s="1"/>
  <c r="I53" i="135" a="1"/>
  <c r="I53" i="135" s="1"/>
  <c r="W53" i="135" a="1"/>
  <c r="W53" i="135" s="1"/>
  <c r="AE53" i="135" a="1"/>
  <c r="AE53" i="135" s="1"/>
  <c r="AH53" i="135" a="1"/>
  <c r="AH53" i="135" s="1"/>
  <c r="AK53" i="135" a="1"/>
  <c r="AK53" i="135" s="1"/>
  <c r="G53" i="135" a="1"/>
  <c r="G53" i="135" s="1"/>
  <c r="F53" i="135" a="1"/>
  <c r="F53" i="135" s="1"/>
  <c r="AB53" i="135" a="1"/>
  <c r="AB53" i="135" s="1"/>
  <c r="AD53" i="135" a="1"/>
  <c r="AD53" i="135" s="1"/>
  <c r="AG53" i="135" a="1"/>
  <c r="AG53" i="135" s="1"/>
  <c r="L53" i="135" a="1"/>
  <c r="L53" i="135" s="1"/>
  <c r="E55" i="135" l="1" a="1"/>
  <c r="E55" i="135" s="1"/>
  <c r="D55" i="135" s="1"/>
  <c r="L54" i="135" a="1"/>
  <c r="L54" i="135" s="1"/>
  <c r="O54" i="135" a="1"/>
  <c r="O54" i="135" s="1"/>
  <c r="R54" i="135" a="1"/>
  <c r="R54" i="135" s="1"/>
  <c r="U54" i="135" a="1"/>
  <c r="U54" i="135" s="1"/>
  <c r="AJ54" i="135" a="1"/>
  <c r="AJ54" i="135" s="1"/>
  <c r="AM54" i="135" a="1"/>
  <c r="AM54" i="135" s="1"/>
  <c r="G54" i="135" a="1"/>
  <c r="G54" i="135" s="1"/>
  <c r="J54" i="135" a="1"/>
  <c r="J54" i="135" s="1"/>
  <c r="M54" i="135" a="1"/>
  <c r="M54" i="135" s="1"/>
  <c r="AF54" i="135" a="1"/>
  <c r="AF54" i="135" s="1"/>
  <c r="AI54" i="135" a="1"/>
  <c r="AI54" i="135" s="1"/>
  <c r="AL54" i="135" a="1"/>
  <c r="AL54" i="135" s="1"/>
  <c r="F54" i="135" a="1"/>
  <c r="F54" i="135" s="1"/>
  <c r="I54" i="135" a="1"/>
  <c r="I54" i="135" s="1"/>
  <c r="AB54" i="135" a="1"/>
  <c r="AB54" i="135" s="1"/>
  <c r="AE54" i="135" a="1"/>
  <c r="AE54" i="135" s="1"/>
  <c r="AH54" i="135" a="1"/>
  <c r="AH54" i="135" s="1"/>
  <c r="AK54" i="135" a="1"/>
  <c r="AK54" i="135" s="1"/>
  <c r="X54" i="135" a="1"/>
  <c r="X54" i="135" s="1"/>
  <c r="AA54" i="135" a="1"/>
  <c r="AA54" i="135" s="1"/>
  <c r="AD54" i="135" a="1"/>
  <c r="AD54" i="135" s="1"/>
  <c r="AG54" i="135" a="1"/>
  <c r="AG54" i="135" s="1"/>
  <c r="T54" i="135" a="1"/>
  <c r="T54" i="135" s="1"/>
  <c r="W54" i="135" a="1"/>
  <c r="W54" i="135" s="1"/>
  <c r="Z54" i="135" a="1"/>
  <c r="Z54" i="135" s="1"/>
  <c r="AC54" i="135" a="1"/>
  <c r="AC54" i="135" s="1"/>
  <c r="P54" i="135" a="1"/>
  <c r="P54" i="135" s="1"/>
  <c r="S54" i="135" a="1"/>
  <c r="S54" i="135" s="1"/>
  <c r="V54" i="135" a="1"/>
  <c r="V54" i="135" s="1"/>
  <c r="Y54" i="135" a="1"/>
  <c r="Y54" i="135" s="1"/>
  <c r="H54" i="135" a="1"/>
  <c r="H54" i="135" s="1"/>
  <c r="K54" i="135" a="1"/>
  <c r="K54" i="135" s="1"/>
  <c r="N54" i="135" a="1"/>
  <c r="N54" i="135" s="1"/>
  <c r="Q54" i="135" a="1"/>
  <c r="Q54" i="135" s="1"/>
  <c r="E56" i="135" l="1" a="1"/>
  <c r="E56" i="135" s="1"/>
  <c r="D56" i="135" s="1"/>
  <c r="W55" i="135" a="1"/>
  <c r="W55" i="135" s="1"/>
  <c r="Z55" i="135" a="1"/>
  <c r="Z55" i="135" s="1"/>
  <c r="AJ55" i="135" a="1"/>
  <c r="AJ55" i="135" s="1"/>
  <c r="AB55" i="135" a="1"/>
  <c r="AB55" i="135" s="1"/>
  <c r="S55" i="135" a="1"/>
  <c r="S55" i="135" s="1"/>
  <c r="V55" i="135" a="1"/>
  <c r="V55" i="135" s="1"/>
  <c r="T55" i="135" a="1"/>
  <c r="T55" i="135" s="1"/>
  <c r="L55" i="135" a="1"/>
  <c r="L55" i="135" s="1"/>
  <c r="AM55" i="135" a="1"/>
  <c r="AM55" i="135" s="1"/>
  <c r="G55" i="135" a="1"/>
  <c r="G55" i="135" s="1"/>
  <c r="J55" i="135" a="1"/>
  <c r="J55" i="135" s="1"/>
  <c r="AF55" i="135" a="1"/>
  <c r="AF55" i="135" s="1"/>
  <c r="X55" i="135" a="1"/>
  <c r="X55" i="135" s="1"/>
  <c r="AE55" i="135" a="1"/>
  <c r="AE55" i="135" s="1"/>
  <c r="AH55" i="135" a="1"/>
  <c r="AH55" i="135" s="1"/>
  <c r="AK55" i="135" a="1"/>
  <c r="AK55" i="135" s="1"/>
  <c r="AC55" i="135" a="1"/>
  <c r="AC55" i="135" s="1"/>
  <c r="O55" i="135" a="1"/>
  <c r="O55" i="135" s="1"/>
  <c r="R55" i="135" a="1"/>
  <c r="R55" i="135" s="1"/>
  <c r="AG55" i="135" a="1"/>
  <c r="AG55" i="135" s="1"/>
  <c r="Y55" i="135" a="1"/>
  <c r="Y55" i="135" s="1"/>
  <c r="K55" i="135" a="1"/>
  <c r="K55" i="135" s="1"/>
  <c r="N55" i="135" a="1"/>
  <c r="N55" i="135" s="1"/>
  <c r="Q55" i="135" a="1"/>
  <c r="Q55" i="135" s="1"/>
  <c r="I55" i="135" a="1"/>
  <c r="I55" i="135" s="1"/>
  <c r="AI55" i="135" a="1"/>
  <c r="AI55" i="135" s="1"/>
  <c r="AL55" i="135" a="1"/>
  <c r="AL55" i="135" s="1"/>
  <c r="F55" i="135" a="1"/>
  <c r="F55" i="135" s="1"/>
  <c r="P55" i="135" a="1"/>
  <c r="P55" i="135" s="1"/>
  <c r="H55" i="135" a="1"/>
  <c r="H55" i="135" s="1"/>
  <c r="AA55" i="135" a="1"/>
  <c r="AA55" i="135" s="1"/>
  <c r="AD55" i="135" a="1"/>
  <c r="AD55" i="135" s="1"/>
  <c r="U55" i="135" a="1"/>
  <c r="U55" i="135" s="1"/>
  <c r="M55" i="135" a="1"/>
  <c r="M55" i="135" s="1"/>
  <c r="E57" i="135" l="1" a="1"/>
  <c r="E57" i="135" s="1"/>
  <c r="D57" i="135" s="1"/>
  <c r="Y56" i="135" a="1"/>
  <c r="Y56" i="135" s="1"/>
  <c r="U56" i="135" a="1"/>
  <c r="U56" i="135" s="1"/>
  <c r="T56" i="135" a="1"/>
  <c r="T56" i="135" s="1"/>
  <c r="W56" i="135" a="1"/>
  <c r="W56" i="135" s="1"/>
  <c r="Z56" i="135" a="1"/>
  <c r="Z56" i="135" s="1"/>
  <c r="Q56" i="135" a="1"/>
  <c r="Q56" i="135" s="1"/>
  <c r="P56" i="135" a="1"/>
  <c r="P56" i="135" s="1"/>
  <c r="S56" i="135" a="1"/>
  <c r="S56" i="135" s="1"/>
  <c r="V56" i="135" a="1"/>
  <c r="V56" i="135" s="1"/>
  <c r="I56" i="135" a="1"/>
  <c r="I56" i="135" s="1"/>
  <c r="H56" i="135" a="1"/>
  <c r="H56" i="135" s="1"/>
  <c r="K56" i="135" a="1"/>
  <c r="K56" i="135" s="1"/>
  <c r="N56" i="135" a="1"/>
  <c r="N56" i="135" s="1"/>
  <c r="AK56" i="135" a="1"/>
  <c r="AK56" i="135" s="1"/>
  <c r="AJ56" i="135" a="1"/>
  <c r="AJ56" i="135" s="1"/>
  <c r="AM56" i="135" a="1"/>
  <c r="AM56" i="135" s="1"/>
  <c r="G56" i="135" a="1"/>
  <c r="G56" i="135" s="1"/>
  <c r="J56" i="135" a="1"/>
  <c r="J56" i="135" s="1"/>
  <c r="AG56" i="135" a="1"/>
  <c r="AG56" i="135" s="1"/>
  <c r="AI56" i="135" a="1"/>
  <c r="AI56" i="135" s="1"/>
  <c r="AL56" i="135" a="1"/>
  <c r="AL56" i="135" s="1"/>
  <c r="F56" i="135" a="1"/>
  <c r="F56" i="135" s="1"/>
  <c r="AC56" i="135" a="1"/>
  <c r="AC56" i="135" s="1"/>
  <c r="AB56" i="135" a="1"/>
  <c r="AB56" i="135" s="1"/>
  <c r="AE56" i="135" a="1"/>
  <c r="AE56" i="135" s="1"/>
  <c r="AH56" i="135" a="1"/>
  <c r="AH56" i="135" s="1"/>
  <c r="X56" i="135" a="1"/>
  <c r="X56" i="135" s="1"/>
  <c r="AA56" i="135" a="1"/>
  <c r="AA56" i="135" s="1"/>
  <c r="AD56" i="135" a="1"/>
  <c r="AD56" i="135" s="1"/>
  <c r="M56" i="135" a="1"/>
  <c r="M56" i="135" s="1"/>
  <c r="L56" i="135" a="1"/>
  <c r="L56" i="135" s="1"/>
  <c r="O56" i="135" a="1"/>
  <c r="O56" i="135" s="1"/>
  <c r="R56" i="135" a="1"/>
  <c r="R56" i="135" s="1"/>
  <c r="AF56" i="135" a="1"/>
  <c r="AF56" i="135" s="1"/>
  <c r="E58" i="135" l="1" a="1"/>
  <c r="E58" i="135" s="1"/>
  <c r="D58" i="135" s="1"/>
  <c r="Q57" i="135" a="1"/>
  <c r="Q57" i="135" s="1"/>
  <c r="P57" i="135" a="1"/>
  <c r="P57" i="135" s="1"/>
  <c r="S57" i="135" a="1"/>
  <c r="S57" i="135" s="1"/>
  <c r="J57" i="135" a="1"/>
  <c r="J57" i="135" s="1"/>
  <c r="M57" i="135" a="1"/>
  <c r="M57" i="135" s="1"/>
  <c r="L57" i="135" a="1"/>
  <c r="L57" i="135" s="1"/>
  <c r="O57" i="135" a="1"/>
  <c r="O57" i="135" s="1"/>
  <c r="AL57" i="135" a="1"/>
  <c r="AL57" i="135" s="1"/>
  <c r="I57" i="135" a="1"/>
  <c r="I57" i="135" s="1"/>
  <c r="H57" i="135" a="1"/>
  <c r="H57" i="135" s="1"/>
  <c r="K57" i="135" a="1"/>
  <c r="K57" i="135" s="1"/>
  <c r="F57" i="135" a="1"/>
  <c r="F57" i="135" s="1"/>
  <c r="AK57" i="135" a="1"/>
  <c r="AK57" i="135" s="1"/>
  <c r="AJ57" i="135" a="1"/>
  <c r="AJ57" i="135" s="1"/>
  <c r="AM57" i="135" a="1"/>
  <c r="AM57" i="135" s="1"/>
  <c r="G57" i="135" a="1"/>
  <c r="G57" i="135" s="1"/>
  <c r="AH57" i="135" a="1"/>
  <c r="AH57" i="135" s="1"/>
  <c r="U57" i="135" a="1"/>
  <c r="U57" i="135" s="1"/>
  <c r="T57" i="135" a="1"/>
  <c r="T57" i="135" s="1"/>
  <c r="W57" i="135" a="1"/>
  <c r="W57" i="135" s="1"/>
  <c r="N57" i="135" a="1"/>
  <c r="N57" i="135" s="1"/>
  <c r="AG57" i="135" a="1"/>
  <c r="AG57" i="135" s="1"/>
  <c r="AF57" i="135" a="1"/>
  <c r="AF57" i="135" s="1"/>
  <c r="AI57" i="135" a="1"/>
  <c r="AI57" i="135" s="1"/>
  <c r="Z57" i="135" a="1"/>
  <c r="Z57" i="135" s="1"/>
  <c r="AD57" i="135" a="1"/>
  <c r="AD57" i="135" s="1"/>
  <c r="AC57" i="135" a="1"/>
  <c r="AC57" i="135" s="1"/>
  <c r="AB57" i="135" a="1"/>
  <c r="AB57" i="135" s="1"/>
  <c r="AE57" i="135" a="1"/>
  <c r="AE57" i="135" s="1"/>
  <c r="V57" i="135" a="1"/>
  <c r="V57" i="135" s="1"/>
  <c r="X57" i="135" a="1"/>
  <c r="X57" i="135" s="1"/>
  <c r="AA57" i="135" a="1"/>
  <c r="AA57" i="135" s="1"/>
  <c r="R57" i="135" a="1"/>
  <c r="R57" i="135" s="1"/>
  <c r="Y57" i="135" a="1"/>
  <c r="Y57" i="135" s="1"/>
  <c r="E59" i="135" l="1" a="1"/>
  <c r="E59" i="135" s="1"/>
  <c r="D59" i="135" s="1"/>
  <c r="R58" i="135" a="1"/>
  <c r="R58" i="135" s="1"/>
  <c r="U58" i="135" a="1"/>
  <c r="U58" i="135" s="1"/>
  <c r="T58" i="135" a="1"/>
  <c r="T58" i="135" s="1"/>
  <c r="W58" i="135" a="1"/>
  <c r="W58" i="135" s="1"/>
  <c r="Q58" i="135" a="1"/>
  <c r="Q58" i="135" s="1"/>
  <c r="P58" i="135" a="1"/>
  <c r="P58" i="135" s="1"/>
  <c r="J58" i="135" a="1"/>
  <c r="J58" i="135" s="1"/>
  <c r="L58" i="135" a="1"/>
  <c r="L58" i="135" s="1"/>
  <c r="N58" i="135" a="1"/>
  <c r="N58" i="135" s="1"/>
  <c r="S58" i="135" a="1"/>
  <c r="S58" i="135" s="1"/>
  <c r="M58" i="135" a="1"/>
  <c r="M58" i="135" s="1"/>
  <c r="O58" i="135" a="1"/>
  <c r="O58" i="135" s="1"/>
  <c r="AL58" i="135" a="1"/>
  <c r="AL58" i="135" s="1"/>
  <c r="F58" i="135" a="1"/>
  <c r="F58" i="135" s="1"/>
  <c r="I58" i="135" a="1"/>
  <c r="I58" i="135" s="1"/>
  <c r="H58" i="135" a="1"/>
  <c r="H58" i="135" s="1"/>
  <c r="K58" i="135" a="1"/>
  <c r="K58" i="135" s="1"/>
  <c r="AH58" i="135" a="1"/>
  <c r="AH58" i="135" s="1"/>
  <c r="AK58" i="135" a="1"/>
  <c r="AK58" i="135" s="1"/>
  <c r="AJ58" i="135" a="1"/>
  <c r="AJ58" i="135" s="1"/>
  <c r="AM58" i="135" a="1"/>
  <c r="AM58" i="135" s="1"/>
  <c r="G58" i="135" a="1"/>
  <c r="G58" i="135" s="1"/>
  <c r="AD58" i="135" a="1"/>
  <c r="AD58" i="135" s="1"/>
  <c r="AG58" i="135" a="1"/>
  <c r="AG58" i="135" s="1"/>
  <c r="AF58" i="135" a="1"/>
  <c r="AF58" i="135" s="1"/>
  <c r="AI58" i="135" a="1"/>
  <c r="AI58" i="135" s="1"/>
  <c r="Z58" i="135" a="1"/>
  <c r="Z58" i="135" s="1"/>
  <c r="AC58" i="135" a="1"/>
  <c r="AC58" i="135" s="1"/>
  <c r="AB58" i="135" a="1"/>
  <c r="AB58" i="135" s="1"/>
  <c r="AE58" i="135" a="1"/>
  <c r="AE58" i="135" s="1"/>
  <c r="V58" i="135" a="1"/>
  <c r="V58" i="135" s="1"/>
  <c r="Y58" i="135" a="1"/>
  <c r="Y58" i="135" s="1"/>
  <c r="X58" i="135" a="1"/>
  <c r="X58" i="135" s="1"/>
  <c r="AA58" i="135" a="1"/>
  <c r="AA58" i="135" s="1"/>
  <c r="E60" i="135" l="1" a="1"/>
  <c r="E60" i="135" s="1"/>
  <c r="D60" i="135" s="1"/>
  <c r="V59" i="135" a="1"/>
  <c r="V59" i="135" s="1"/>
  <c r="Y59" i="135" a="1"/>
  <c r="Y59" i="135" s="1"/>
  <c r="X59" i="135" a="1"/>
  <c r="X59" i="135" s="1"/>
  <c r="AM59" i="135" a="1"/>
  <c r="AM59" i="135" s="1"/>
  <c r="N59" i="135" a="1"/>
  <c r="N59" i="135" s="1"/>
  <c r="Q59" i="135" a="1"/>
  <c r="Q59" i="135" s="1"/>
  <c r="P59" i="135" a="1"/>
  <c r="P59" i="135" s="1"/>
  <c r="AI59" i="135" a="1"/>
  <c r="AI59" i="135" s="1"/>
  <c r="J59" i="135" a="1"/>
  <c r="J59" i="135" s="1"/>
  <c r="M59" i="135" a="1"/>
  <c r="M59" i="135" s="1"/>
  <c r="L59" i="135" a="1"/>
  <c r="L59" i="135" s="1"/>
  <c r="AE59" i="135" a="1"/>
  <c r="AE59" i="135" s="1"/>
  <c r="AH59" i="135" a="1"/>
  <c r="AH59" i="135" s="1"/>
  <c r="AJ59" i="135" a="1"/>
  <c r="AJ59" i="135" s="1"/>
  <c r="S59" i="135" a="1"/>
  <c r="S59" i="135" s="1"/>
  <c r="AD59" i="135" a="1"/>
  <c r="AD59" i="135" s="1"/>
  <c r="AG59" i="135" a="1"/>
  <c r="AG59" i="135" s="1"/>
  <c r="AF59" i="135" a="1"/>
  <c r="AF59" i="135" s="1"/>
  <c r="O59" i="135" a="1"/>
  <c r="O59" i="135" s="1"/>
  <c r="Z59" i="135" a="1"/>
  <c r="Z59" i="135" s="1"/>
  <c r="AC59" i="135" a="1"/>
  <c r="AC59" i="135" s="1"/>
  <c r="AB59" i="135" a="1"/>
  <c r="AB59" i="135" s="1"/>
  <c r="K59" i="135" a="1"/>
  <c r="K59" i="135" s="1"/>
  <c r="R59" i="135" a="1"/>
  <c r="R59" i="135" s="1"/>
  <c r="U59" i="135" a="1"/>
  <c r="U59" i="135" s="1"/>
  <c r="T59" i="135" a="1"/>
  <c r="T59" i="135" s="1"/>
  <c r="G59" i="135" a="1"/>
  <c r="G59" i="135" s="1"/>
  <c r="AL59" i="135" a="1"/>
  <c r="AL59" i="135" s="1"/>
  <c r="F59" i="135" a="1"/>
  <c r="F59" i="135" s="1"/>
  <c r="I59" i="135" a="1"/>
  <c r="I59" i="135" s="1"/>
  <c r="H59" i="135" a="1"/>
  <c r="H59" i="135" s="1"/>
  <c r="AA59" i="135" a="1"/>
  <c r="AA59" i="135" s="1"/>
  <c r="AK59" i="135" a="1"/>
  <c r="AK59" i="135" s="1"/>
  <c r="W59" i="135" a="1"/>
  <c r="W59" i="135" s="1"/>
  <c r="E61" i="135" l="1" a="1"/>
  <c r="E61" i="135" s="1"/>
  <c r="D61" i="135" s="1"/>
  <c r="S60" i="135" a="1"/>
  <c r="S60" i="135" s="1"/>
  <c r="V60" i="135" a="1"/>
  <c r="V60" i="135" s="1"/>
  <c r="Y60" i="135" a="1"/>
  <c r="Y60" i="135" s="1"/>
  <c r="X60" i="135" a="1"/>
  <c r="X60" i="135" s="1"/>
  <c r="N60" i="135" a="1"/>
  <c r="N60" i="135" s="1"/>
  <c r="P60" i="135" a="1"/>
  <c r="P60" i="135" s="1"/>
  <c r="AL60" i="135" a="1"/>
  <c r="AL60" i="135" s="1"/>
  <c r="H60" i="135" a="1"/>
  <c r="H60" i="135" s="1"/>
  <c r="AE60" i="135" a="1"/>
  <c r="AE60" i="135" s="1"/>
  <c r="AK60" i="135" a="1"/>
  <c r="AK60" i="135" s="1"/>
  <c r="AG60" i="135" a="1"/>
  <c r="AG60" i="135" s="1"/>
  <c r="Z60" i="135" a="1"/>
  <c r="Z60" i="135" s="1"/>
  <c r="AB60" i="135" a="1"/>
  <c r="AB60" i="135" s="1"/>
  <c r="O60" i="135" a="1"/>
  <c r="O60" i="135" s="1"/>
  <c r="R60" i="135" a="1"/>
  <c r="R60" i="135" s="1"/>
  <c r="U60" i="135" a="1"/>
  <c r="U60" i="135" s="1"/>
  <c r="T60" i="135" a="1"/>
  <c r="T60" i="135" s="1"/>
  <c r="K60" i="135" a="1"/>
  <c r="K60" i="135" s="1"/>
  <c r="Q60" i="135" a="1"/>
  <c r="Q60" i="135" s="1"/>
  <c r="M60" i="135" a="1"/>
  <c r="M60" i="135" s="1"/>
  <c r="L60" i="135" a="1"/>
  <c r="L60" i="135" s="1"/>
  <c r="F60" i="135" a="1"/>
  <c r="F60" i="135" s="1"/>
  <c r="AM60" i="135" a="1"/>
  <c r="AM60" i="135" s="1"/>
  <c r="G60" i="135" a="1"/>
  <c r="G60" i="135" s="1"/>
  <c r="J60" i="135" a="1"/>
  <c r="J60" i="135" s="1"/>
  <c r="I60" i="135" a="1"/>
  <c r="I60" i="135" s="1"/>
  <c r="AI60" i="135" a="1"/>
  <c r="AI60" i="135" s="1"/>
  <c r="AH60" i="135" a="1"/>
  <c r="AH60" i="135" s="1"/>
  <c r="AJ60" i="135" a="1"/>
  <c r="AJ60" i="135" s="1"/>
  <c r="AA60" i="135" a="1"/>
  <c r="AA60" i="135" s="1"/>
  <c r="AD60" i="135" a="1"/>
  <c r="AD60" i="135" s="1"/>
  <c r="AF60" i="135" a="1"/>
  <c r="AF60" i="135" s="1"/>
  <c r="W60" i="135" a="1"/>
  <c r="W60" i="135" s="1"/>
  <c r="AC60" i="135" a="1"/>
  <c r="AC60" i="135" s="1"/>
  <c r="E62" i="135" l="1" a="1"/>
  <c r="E62" i="135" s="1"/>
  <c r="D62" i="135" s="1"/>
  <c r="AA61" i="135" a="1"/>
  <c r="AA61" i="135" s="1"/>
  <c r="AD61" i="135" a="1"/>
  <c r="AD61" i="135" s="1"/>
  <c r="AG61" i="135" a="1"/>
  <c r="AG61" i="135" s="1"/>
  <c r="H61" i="135" a="1"/>
  <c r="H61" i="135" s="1"/>
  <c r="W61" i="135" a="1"/>
  <c r="W61" i="135" s="1"/>
  <c r="Z61" i="135" a="1"/>
  <c r="Z61" i="135" s="1"/>
  <c r="AC61" i="135" a="1"/>
  <c r="AC61" i="135" s="1"/>
  <c r="AJ61" i="135" a="1"/>
  <c r="AJ61" i="135" s="1"/>
  <c r="AK61" i="135" a="1"/>
  <c r="AK61" i="135" s="1"/>
  <c r="S61" i="135" a="1"/>
  <c r="S61" i="135" s="1"/>
  <c r="V61" i="135" a="1"/>
  <c r="V61" i="135" s="1"/>
  <c r="Y61" i="135" a="1"/>
  <c r="Y61" i="135" s="1"/>
  <c r="AF61" i="135" a="1"/>
  <c r="AF61" i="135" s="1"/>
  <c r="O61" i="135" a="1"/>
  <c r="O61" i="135" s="1"/>
  <c r="U61" i="135" a="1"/>
  <c r="U61" i="135" s="1"/>
  <c r="AB61" i="135" a="1"/>
  <c r="AB61" i="135" s="1"/>
  <c r="AH61" i="135" a="1"/>
  <c r="AH61" i="135" s="1"/>
  <c r="R61" i="135" a="1"/>
  <c r="R61" i="135" s="1"/>
  <c r="K61" i="135" a="1"/>
  <c r="K61" i="135" s="1"/>
  <c r="N61" i="135" a="1"/>
  <c r="N61" i="135" s="1"/>
  <c r="Q61" i="135" a="1"/>
  <c r="Q61" i="135" s="1"/>
  <c r="X61" i="135" a="1"/>
  <c r="X61" i="135" s="1"/>
  <c r="AM61" i="135" a="1"/>
  <c r="AM61" i="135" s="1"/>
  <c r="G61" i="135" a="1"/>
  <c r="G61" i="135" s="1"/>
  <c r="J61" i="135" a="1"/>
  <c r="J61" i="135" s="1"/>
  <c r="M61" i="135" a="1"/>
  <c r="M61" i="135" s="1"/>
  <c r="T61" i="135" a="1"/>
  <c r="T61" i="135" s="1"/>
  <c r="AE61" i="135" a="1"/>
  <c r="AE61" i="135" s="1"/>
  <c r="AI61" i="135" a="1"/>
  <c r="AI61" i="135" s="1"/>
  <c r="AL61" i="135" a="1"/>
  <c r="AL61" i="135" s="1"/>
  <c r="F61" i="135" a="1"/>
  <c r="F61" i="135" s="1"/>
  <c r="I61" i="135" a="1"/>
  <c r="I61" i="135" s="1"/>
  <c r="P61" i="135" a="1"/>
  <c r="P61" i="135" s="1"/>
  <c r="L61" i="135" a="1"/>
  <c r="L61" i="135" s="1"/>
  <c r="E63" i="135" l="1" a="1"/>
  <c r="E63" i="135" s="1"/>
  <c r="D63" i="135" s="1"/>
  <c r="P62" i="135" a="1"/>
  <c r="P62" i="135" s="1"/>
  <c r="S62" i="135" a="1"/>
  <c r="S62" i="135" s="1"/>
  <c r="V62" i="135" a="1"/>
  <c r="V62" i="135" s="1"/>
  <c r="Y62" i="135" a="1"/>
  <c r="Y62" i="135" s="1"/>
  <c r="L62" i="135" a="1"/>
  <c r="L62" i="135" s="1"/>
  <c r="O62" i="135" a="1"/>
  <c r="O62" i="135" s="1"/>
  <c r="R62" i="135" a="1"/>
  <c r="R62" i="135" s="1"/>
  <c r="U62" i="135" a="1"/>
  <c r="U62" i="135" s="1"/>
  <c r="H62" i="135" a="1"/>
  <c r="H62" i="135" s="1"/>
  <c r="K62" i="135" a="1"/>
  <c r="K62" i="135" s="1"/>
  <c r="N62" i="135" a="1"/>
  <c r="N62" i="135" s="1"/>
  <c r="Q62" i="135" a="1"/>
  <c r="Q62" i="135" s="1"/>
  <c r="AF62" i="135" a="1"/>
  <c r="AF62" i="135" s="1"/>
  <c r="AI62" i="135" a="1"/>
  <c r="AI62" i="135" s="1"/>
  <c r="AL62" i="135" a="1"/>
  <c r="AL62" i="135" s="1"/>
  <c r="F62" i="135" a="1"/>
  <c r="F62" i="135" s="1"/>
  <c r="I62" i="135" a="1"/>
  <c r="I62" i="135" s="1"/>
  <c r="AC62" i="135" a="1"/>
  <c r="AC62" i="135" s="1"/>
  <c r="AJ62" i="135" a="1"/>
  <c r="AJ62" i="135" s="1"/>
  <c r="AM62" i="135" a="1"/>
  <c r="AM62" i="135" s="1"/>
  <c r="G62" i="135" a="1"/>
  <c r="G62" i="135" s="1"/>
  <c r="J62" i="135" a="1"/>
  <c r="J62" i="135" s="1"/>
  <c r="M62" i="135" a="1"/>
  <c r="M62" i="135" s="1"/>
  <c r="T62" i="135" a="1"/>
  <c r="T62" i="135" s="1"/>
  <c r="W62" i="135" a="1"/>
  <c r="W62" i="135" s="1"/>
  <c r="Z62" i="135" a="1"/>
  <c r="Z62" i="135" s="1"/>
  <c r="AB62" i="135" a="1"/>
  <c r="AB62" i="135" s="1"/>
  <c r="AE62" i="135" a="1"/>
  <c r="AE62" i="135" s="1"/>
  <c r="AH62" i="135" a="1"/>
  <c r="AH62" i="135" s="1"/>
  <c r="AK62" i="135" a="1"/>
  <c r="AK62" i="135" s="1"/>
  <c r="X62" i="135" a="1"/>
  <c r="X62" i="135" s="1"/>
  <c r="AA62" i="135" a="1"/>
  <c r="AA62" i="135" s="1"/>
  <c r="AD62" i="135" a="1"/>
  <c r="AD62" i="135" s="1"/>
  <c r="AG62" i="135" a="1"/>
  <c r="AG62" i="135" s="1"/>
  <c r="E64" i="135" l="1" a="1"/>
  <c r="E64" i="135" s="1"/>
  <c r="D64" i="135" s="1"/>
  <c r="X63" i="135" a="1"/>
  <c r="X63" i="135" s="1"/>
  <c r="AA63" i="135" a="1"/>
  <c r="AA63" i="135" s="1"/>
  <c r="AD63" i="135" a="1"/>
  <c r="AD63" i="135" s="1"/>
  <c r="AG63" i="135" a="1"/>
  <c r="AG63" i="135" s="1"/>
  <c r="T63" i="135" a="1"/>
  <c r="T63" i="135" s="1"/>
  <c r="W63" i="135" a="1"/>
  <c r="W63" i="135" s="1"/>
  <c r="Z63" i="135" a="1"/>
  <c r="Z63" i="135" s="1"/>
  <c r="AC63" i="135" a="1"/>
  <c r="AC63" i="135" s="1"/>
  <c r="P63" i="135" a="1"/>
  <c r="P63" i="135" s="1"/>
  <c r="S63" i="135" a="1"/>
  <c r="S63" i="135" s="1"/>
  <c r="V63" i="135" a="1"/>
  <c r="V63" i="135" s="1"/>
  <c r="Y63" i="135" a="1"/>
  <c r="Y63" i="135" s="1"/>
  <c r="AB63" i="135" a="1"/>
  <c r="AB63" i="135" s="1"/>
  <c r="AE63" i="135" a="1"/>
  <c r="AE63" i="135" s="1"/>
  <c r="AH63" i="135" a="1"/>
  <c r="AH63" i="135" s="1"/>
  <c r="AK63" i="135" a="1"/>
  <c r="AK63" i="135" s="1"/>
  <c r="L63" i="135" a="1"/>
  <c r="L63" i="135" s="1"/>
  <c r="O63" i="135" a="1"/>
  <c r="O63" i="135" s="1"/>
  <c r="R63" i="135" a="1"/>
  <c r="R63" i="135" s="1"/>
  <c r="U63" i="135" a="1"/>
  <c r="U63" i="135" s="1"/>
  <c r="H63" i="135" a="1"/>
  <c r="H63" i="135" s="1"/>
  <c r="K63" i="135" a="1"/>
  <c r="K63" i="135" s="1"/>
  <c r="N63" i="135" a="1"/>
  <c r="N63" i="135" s="1"/>
  <c r="Q63" i="135" a="1"/>
  <c r="Q63" i="135" s="1"/>
  <c r="AJ63" i="135" a="1"/>
  <c r="AJ63" i="135" s="1"/>
  <c r="AM63" i="135" a="1"/>
  <c r="AM63" i="135" s="1"/>
  <c r="G63" i="135" a="1"/>
  <c r="G63" i="135" s="1"/>
  <c r="J63" i="135" a="1"/>
  <c r="J63" i="135" s="1"/>
  <c r="M63" i="135" a="1"/>
  <c r="M63" i="135" s="1"/>
  <c r="AF63" i="135" a="1"/>
  <c r="AF63" i="135" s="1"/>
  <c r="AI63" i="135" a="1"/>
  <c r="AI63" i="135" s="1"/>
  <c r="AL63" i="135" a="1"/>
  <c r="AL63" i="135" s="1"/>
  <c r="F63" i="135" a="1"/>
  <c r="F63" i="135" s="1"/>
  <c r="I63" i="135" a="1"/>
  <c r="I63" i="135" s="1"/>
  <c r="E65" i="135" l="1" a="1"/>
  <c r="E65" i="135" s="1"/>
  <c r="D65" i="135" s="1"/>
  <c r="Q64" i="135" a="1"/>
  <c r="Q64" i="135" s="1"/>
  <c r="P64" i="135" a="1"/>
  <c r="P64" i="135" s="1"/>
  <c r="S64" i="135" a="1"/>
  <c r="S64" i="135" s="1"/>
  <c r="V64" i="135" a="1"/>
  <c r="V64" i="135" s="1"/>
  <c r="M64" i="135" a="1"/>
  <c r="M64" i="135" s="1"/>
  <c r="L64" i="135" a="1"/>
  <c r="L64" i="135" s="1"/>
  <c r="O64" i="135" a="1"/>
  <c r="O64" i="135" s="1"/>
  <c r="R64" i="135" a="1"/>
  <c r="R64" i="135" s="1"/>
  <c r="I64" i="135" a="1"/>
  <c r="I64" i="135" s="1"/>
  <c r="H64" i="135" a="1"/>
  <c r="H64" i="135" s="1"/>
  <c r="K64" i="135" a="1"/>
  <c r="K64" i="135" s="1"/>
  <c r="N64" i="135" a="1"/>
  <c r="N64" i="135" s="1"/>
  <c r="AA64" i="135" a="1"/>
  <c r="AA64" i="135" s="1"/>
  <c r="AK64" i="135" a="1"/>
  <c r="AK64" i="135" s="1"/>
  <c r="AJ64" i="135" a="1"/>
  <c r="AJ64" i="135" s="1"/>
  <c r="AM64" i="135" a="1"/>
  <c r="AM64" i="135" s="1"/>
  <c r="G64" i="135" a="1"/>
  <c r="G64" i="135" s="1"/>
  <c r="J64" i="135" a="1"/>
  <c r="J64" i="135" s="1"/>
  <c r="AG64" i="135" a="1"/>
  <c r="AG64" i="135" s="1"/>
  <c r="AF64" i="135" a="1"/>
  <c r="AF64" i="135" s="1"/>
  <c r="AI64" i="135" a="1"/>
  <c r="AI64" i="135" s="1"/>
  <c r="AL64" i="135" a="1"/>
  <c r="AL64" i="135" s="1"/>
  <c r="F64" i="135" a="1"/>
  <c r="F64" i="135" s="1"/>
  <c r="Y64" i="135" a="1"/>
  <c r="Y64" i="135" s="1"/>
  <c r="X64" i="135" a="1"/>
  <c r="X64" i="135" s="1"/>
  <c r="AC64" i="135" a="1"/>
  <c r="AC64" i="135" s="1"/>
  <c r="AB64" i="135" a="1"/>
  <c r="AB64" i="135" s="1"/>
  <c r="AE64" i="135" a="1"/>
  <c r="AE64" i="135" s="1"/>
  <c r="AH64" i="135" a="1"/>
  <c r="AH64" i="135" s="1"/>
  <c r="AD64" i="135" a="1"/>
  <c r="AD64" i="135" s="1"/>
  <c r="U64" i="135" a="1"/>
  <c r="U64" i="135" s="1"/>
  <c r="T64" i="135" a="1"/>
  <c r="T64" i="135" s="1"/>
  <c r="W64" i="135" a="1"/>
  <c r="W64" i="135" s="1"/>
  <c r="Z64" i="135" a="1"/>
  <c r="Z64" i="135" s="1"/>
  <c r="E66" i="135" l="1" a="1"/>
  <c r="E66" i="135" s="1"/>
  <c r="D66" i="135" s="1"/>
  <c r="U65" i="135" a="1"/>
  <c r="U65" i="135" s="1"/>
  <c r="T65" i="135" a="1"/>
  <c r="T65" i="135" s="1"/>
  <c r="W65" i="135" a="1"/>
  <c r="W65" i="135" s="1"/>
  <c r="Z65" i="135" a="1"/>
  <c r="Z65" i="135" s="1"/>
  <c r="Q65" i="135" a="1"/>
  <c r="Q65" i="135" s="1"/>
  <c r="P65" i="135" a="1"/>
  <c r="P65" i="135" s="1"/>
  <c r="S65" i="135" a="1"/>
  <c r="S65" i="135" s="1"/>
  <c r="V65" i="135" a="1"/>
  <c r="V65" i="135" s="1"/>
  <c r="L65" i="135" a="1"/>
  <c r="L65" i="135" s="1"/>
  <c r="R65" i="135" a="1"/>
  <c r="R65" i="135" s="1"/>
  <c r="H65" i="135" a="1"/>
  <c r="H65" i="135" s="1"/>
  <c r="N65" i="135" a="1"/>
  <c r="N65" i="135" s="1"/>
  <c r="AI65" i="135" a="1"/>
  <c r="AI65" i="135" s="1"/>
  <c r="AD65" i="135" a="1"/>
  <c r="AD65" i="135" s="1"/>
  <c r="M65" i="135" a="1"/>
  <c r="M65" i="135" s="1"/>
  <c r="O65" i="135" a="1"/>
  <c r="O65" i="135" s="1"/>
  <c r="I65" i="135" a="1"/>
  <c r="I65" i="135" s="1"/>
  <c r="K65" i="135" a="1"/>
  <c r="K65" i="135" s="1"/>
  <c r="AG65" i="135" a="1"/>
  <c r="AG65" i="135" s="1"/>
  <c r="AF65" i="135" a="1"/>
  <c r="AF65" i="135" s="1"/>
  <c r="AL65" i="135" a="1"/>
  <c r="AL65" i="135" s="1"/>
  <c r="AB65" i="135" a="1"/>
  <c r="AB65" i="135" s="1"/>
  <c r="AH65" i="135" a="1"/>
  <c r="AH65" i="135" s="1"/>
  <c r="X65" i="135" a="1"/>
  <c r="X65" i="135" s="1"/>
  <c r="AK65" i="135" a="1"/>
  <c r="AK65" i="135" s="1"/>
  <c r="AJ65" i="135" a="1"/>
  <c r="AJ65" i="135" s="1"/>
  <c r="AM65" i="135" a="1"/>
  <c r="AM65" i="135" s="1"/>
  <c r="G65" i="135" a="1"/>
  <c r="G65" i="135" s="1"/>
  <c r="J65" i="135" a="1"/>
  <c r="J65" i="135" s="1"/>
  <c r="F65" i="135" a="1"/>
  <c r="F65" i="135" s="1"/>
  <c r="AC65" i="135" a="1"/>
  <c r="AC65" i="135" s="1"/>
  <c r="AE65" i="135" a="1"/>
  <c r="AE65" i="135" s="1"/>
  <c r="Y65" i="135" a="1"/>
  <c r="Y65" i="135" s="1"/>
  <c r="AA65" i="135" a="1"/>
  <c r="AA65" i="135" s="1"/>
  <c r="E67" i="135" l="1" a="1"/>
  <c r="E67" i="135" s="1"/>
  <c r="D67" i="135" s="1"/>
  <c r="N66" i="135" a="1"/>
  <c r="N66" i="135" s="1"/>
  <c r="Q66" i="135" a="1"/>
  <c r="Q66" i="135" s="1"/>
  <c r="P66" i="135" a="1"/>
  <c r="P66" i="135" s="1"/>
  <c r="S66" i="135" a="1"/>
  <c r="S66" i="135" s="1"/>
  <c r="J66" i="135" a="1"/>
  <c r="J66" i="135" s="1"/>
  <c r="M66" i="135" a="1"/>
  <c r="M66" i="135" s="1"/>
  <c r="L66" i="135" a="1"/>
  <c r="L66" i="135" s="1"/>
  <c r="O66" i="135" a="1"/>
  <c r="O66" i="135" s="1"/>
  <c r="V66" i="135" a="1"/>
  <c r="V66" i="135" s="1"/>
  <c r="Y66" i="135" a="1"/>
  <c r="Y66" i="135" s="1"/>
  <c r="AA66" i="135" a="1"/>
  <c r="AA66" i="135" s="1"/>
  <c r="U66" i="135" a="1"/>
  <c r="U66" i="135" s="1"/>
  <c r="W66" i="135" a="1"/>
  <c r="W66" i="135" s="1"/>
  <c r="AL66" i="135" a="1"/>
  <c r="AL66" i="135" s="1"/>
  <c r="F66" i="135" a="1"/>
  <c r="F66" i="135" s="1"/>
  <c r="I66" i="135" a="1"/>
  <c r="I66" i="135" s="1"/>
  <c r="H66" i="135" a="1"/>
  <c r="H66" i="135" s="1"/>
  <c r="K66" i="135" a="1"/>
  <c r="K66" i="135" s="1"/>
  <c r="AG66" i="135" a="1"/>
  <c r="AG66" i="135" s="1"/>
  <c r="AI66" i="135" a="1"/>
  <c r="AI66" i="135" s="1"/>
  <c r="X66" i="135" a="1"/>
  <c r="X66" i="135" s="1"/>
  <c r="R66" i="135" a="1"/>
  <c r="R66" i="135" s="1"/>
  <c r="T66" i="135" a="1"/>
  <c r="T66" i="135" s="1"/>
  <c r="AH66" i="135" a="1"/>
  <c r="AH66" i="135" s="1"/>
  <c r="AK66" i="135" a="1"/>
  <c r="AK66" i="135" s="1"/>
  <c r="AJ66" i="135" a="1"/>
  <c r="AJ66" i="135" s="1"/>
  <c r="AM66" i="135" a="1"/>
  <c r="AM66" i="135" s="1"/>
  <c r="G66" i="135" a="1"/>
  <c r="G66" i="135" s="1"/>
  <c r="AD66" i="135" a="1"/>
  <c r="AD66" i="135" s="1"/>
  <c r="AF66" i="135" a="1"/>
  <c r="AF66" i="135" s="1"/>
  <c r="Z66" i="135" a="1"/>
  <c r="Z66" i="135" s="1"/>
  <c r="AC66" i="135" a="1"/>
  <c r="AC66" i="135" s="1"/>
  <c r="AB66" i="135" a="1"/>
  <c r="AB66" i="135" s="1"/>
  <c r="AE66" i="135" a="1"/>
  <c r="AE66" i="135" s="1"/>
  <c r="E68" i="135" l="1" a="1"/>
  <c r="E68" i="135" s="1"/>
  <c r="D68" i="135" s="1"/>
  <c r="Z67" i="135" a="1"/>
  <c r="Z67" i="135" s="1"/>
  <c r="AC67" i="135" a="1"/>
  <c r="AC67" i="135" s="1"/>
  <c r="AB67" i="135" a="1"/>
  <c r="AB67" i="135" s="1"/>
  <c r="AE67" i="135" a="1"/>
  <c r="AE67" i="135" s="1"/>
  <c r="AH67" i="135" a="1"/>
  <c r="AH67" i="135" s="1"/>
  <c r="AK67" i="135" a="1"/>
  <c r="AK67" i="135" s="1"/>
  <c r="G67" i="135" a="1"/>
  <c r="G67" i="135" s="1"/>
  <c r="V67" i="135" a="1"/>
  <c r="V67" i="135" s="1"/>
  <c r="Y67" i="135" a="1"/>
  <c r="Y67" i="135" s="1"/>
  <c r="X67" i="135" a="1"/>
  <c r="X67" i="135" s="1"/>
  <c r="AA67" i="135" a="1"/>
  <c r="AA67" i="135" s="1"/>
  <c r="R67" i="135" a="1"/>
  <c r="R67" i="135" s="1"/>
  <c r="U67" i="135" a="1"/>
  <c r="U67" i="135" s="1"/>
  <c r="T67" i="135" a="1"/>
  <c r="T67" i="135" s="1"/>
  <c r="W67" i="135" a="1"/>
  <c r="W67" i="135" s="1"/>
  <c r="AF67" i="135" a="1"/>
  <c r="AF67" i="135" s="1"/>
  <c r="N67" i="135" a="1"/>
  <c r="N67" i="135" s="1"/>
  <c r="Q67" i="135" a="1"/>
  <c r="Q67" i="135" s="1"/>
  <c r="P67" i="135" a="1"/>
  <c r="P67" i="135" s="1"/>
  <c r="S67" i="135" a="1"/>
  <c r="S67" i="135" s="1"/>
  <c r="J67" i="135" a="1"/>
  <c r="J67" i="135" s="1"/>
  <c r="M67" i="135" a="1"/>
  <c r="M67" i="135" s="1"/>
  <c r="L67" i="135" a="1"/>
  <c r="L67" i="135" s="1"/>
  <c r="O67" i="135" a="1"/>
  <c r="O67" i="135" s="1"/>
  <c r="AJ67" i="135" a="1"/>
  <c r="AJ67" i="135" s="1"/>
  <c r="AD67" i="135" a="1"/>
  <c r="AD67" i="135" s="1"/>
  <c r="AI67" i="135" a="1"/>
  <c r="AI67" i="135" s="1"/>
  <c r="AL67" i="135" a="1"/>
  <c r="AL67" i="135" s="1"/>
  <c r="F67" i="135" a="1"/>
  <c r="F67" i="135" s="1"/>
  <c r="I67" i="135" a="1"/>
  <c r="I67" i="135" s="1"/>
  <c r="H67" i="135" a="1"/>
  <c r="H67" i="135" s="1"/>
  <c r="K67" i="135" a="1"/>
  <c r="K67" i="135" s="1"/>
  <c r="AM67" i="135" a="1"/>
  <c r="AM67" i="135" s="1"/>
  <c r="AG67" i="135" a="1"/>
  <c r="AG67" i="135" s="1"/>
  <c r="E69" i="135" l="1" a="1"/>
  <c r="E69" i="135" s="1"/>
  <c r="D69" i="135" s="1"/>
  <c r="O68" i="135" a="1"/>
  <c r="O68" i="135" s="1"/>
  <c r="R68" i="135" a="1"/>
  <c r="R68" i="135" s="1"/>
  <c r="U68" i="135" a="1"/>
  <c r="U68" i="135" s="1"/>
  <c r="T68" i="135" a="1"/>
  <c r="T68" i="135" s="1"/>
  <c r="K68" i="135" a="1"/>
  <c r="K68" i="135" s="1"/>
  <c r="N68" i="135" a="1"/>
  <c r="N68" i="135" s="1"/>
  <c r="Q68" i="135" a="1"/>
  <c r="Q68" i="135" s="1"/>
  <c r="P68" i="135" a="1"/>
  <c r="P68" i="135" s="1"/>
  <c r="AM68" i="135" a="1"/>
  <c r="AM68" i="135" s="1"/>
  <c r="G68" i="135" a="1"/>
  <c r="G68" i="135" s="1"/>
  <c r="J68" i="135" a="1"/>
  <c r="J68" i="135" s="1"/>
  <c r="M68" i="135" a="1"/>
  <c r="M68" i="135" s="1"/>
  <c r="L68" i="135" a="1"/>
  <c r="L68" i="135" s="1"/>
  <c r="AF68" i="135" a="1"/>
  <c r="AF68" i="135" s="1"/>
  <c r="W68" i="135" a="1"/>
  <c r="W68" i="135" s="1"/>
  <c r="Z68" i="135" a="1"/>
  <c r="Z68" i="135" s="1"/>
  <c r="AC68" i="135" a="1"/>
  <c r="AC68" i="135" s="1"/>
  <c r="AB68" i="135" a="1"/>
  <c r="AB68" i="135" s="1"/>
  <c r="S68" i="135" a="1"/>
  <c r="S68" i="135" s="1"/>
  <c r="V68" i="135" a="1"/>
  <c r="V68" i="135" s="1"/>
  <c r="Y68" i="135" a="1"/>
  <c r="Y68" i="135" s="1"/>
  <c r="X68" i="135" a="1"/>
  <c r="X68" i="135" s="1"/>
  <c r="AI68" i="135" a="1"/>
  <c r="AI68" i="135" s="1"/>
  <c r="AL68" i="135" a="1"/>
  <c r="AL68" i="135" s="1"/>
  <c r="F68" i="135" a="1"/>
  <c r="F68" i="135" s="1"/>
  <c r="I68" i="135" a="1"/>
  <c r="I68" i="135" s="1"/>
  <c r="H68" i="135" a="1"/>
  <c r="H68" i="135" s="1"/>
  <c r="AJ68" i="135" a="1"/>
  <c r="AJ68" i="135" s="1"/>
  <c r="AA68" i="135" a="1"/>
  <c r="AA68" i="135" s="1"/>
  <c r="AD68" i="135" a="1"/>
  <c r="AD68" i="135" s="1"/>
  <c r="AG68" i="135" a="1"/>
  <c r="AG68" i="135" s="1"/>
  <c r="AE68" i="135" a="1"/>
  <c r="AE68" i="135" s="1"/>
  <c r="AH68" i="135" a="1"/>
  <c r="AH68" i="135" s="1"/>
  <c r="AK68" i="135" a="1"/>
  <c r="AK68" i="135" s="1"/>
  <c r="E70" i="135" l="1" a="1"/>
  <c r="E70" i="135" s="1"/>
  <c r="D70" i="135" s="1"/>
  <c r="S69" i="135" a="1"/>
  <c r="S69" i="135" s="1"/>
  <c r="V69" i="135" a="1"/>
  <c r="V69" i="135" s="1"/>
  <c r="Y69" i="135" a="1"/>
  <c r="Y69" i="135" s="1"/>
  <c r="X69" i="135" a="1"/>
  <c r="X69" i="135" s="1"/>
  <c r="N69" i="135" a="1"/>
  <c r="N69" i="135" s="1"/>
  <c r="Q69" i="135" a="1"/>
  <c r="Q69" i="135" s="1"/>
  <c r="I69" i="135" a="1"/>
  <c r="I69" i="135" s="1"/>
  <c r="O69" i="135" a="1"/>
  <c r="O69" i="135" s="1"/>
  <c r="R69" i="135" a="1"/>
  <c r="R69" i="135" s="1"/>
  <c r="U69" i="135" a="1"/>
  <c r="U69" i="135" s="1"/>
  <c r="T69" i="135" a="1"/>
  <c r="T69" i="135" s="1"/>
  <c r="K69" i="135" a="1"/>
  <c r="K69" i="135" s="1"/>
  <c r="P69" i="135" a="1"/>
  <c r="P69" i="135" s="1"/>
  <c r="H69" i="135" a="1"/>
  <c r="H69" i="135" s="1"/>
  <c r="AH69" i="135" a="1"/>
  <c r="AH69" i="135" s="1"/>
  <c r="AJ69" i="135" a="1"/>
  <c r="AJ69" i="135" s="1"/>
  <c r="AA69" i="135" a="1"/>
  <c r="AA69" i="135" s="1"/>
  <c r="AD69" i="135" a="1"/>
  <c r="AD69" i="135" s="1"/>
  <c r="AG69" i="135" a="1"/>
  <c r="AG69" i="135" s="1"/>
  <c r="AF69" i="135" a="1"/>
  <c r="AF69" i="135" s="1"/>
  <c r="AM69" i="135" a="1"/>
  <c r="AM69" i="135" s="1"/>
  <c r="G69" i="135" a="1"/>
  <c r="G69" i="135" s="1"/>
  <c r="J69" i="135" a="1"/>
  <c r="J69" i="135" s="1"/>
  <c r="M69" i="135" a="1"/>
  <c r="M69" i="135" s="1"/>
  <c r="L69" i="135" a="1"/>
  <c r="L69" i="135" s="1"/>
  <c r="AI69" i="135" a="1"/>
  <c r="AI69" i="135" s="1"/>
  <c r="AL69" i="135" a="1"/>
  <c r="AL69" i="135" s="1"/>
  <c r="F69" i="135" a="1"/>
  <c r="F69" i="135" s="1"/>
  <c r="AE69" i="135" a="1"/>
  <c r="AE69" i="135" s="1"/>
  <c r="AK69" i="135" a="1"/>
  <c r="AK69" i="135" s="1"/>
  <c r="W69" i="135" a="1"/>
  <c r="W69" i="135" s="1"/>
  <c r="AC69" i="135" a="1"/>
  <c r="AC69" i="135" s="1"/>
  <c r="AB69" i="135" a="1"/>
  <c r="AB69" i="135" s="1"/>
  <c r="Z69" i="135" a="1"/>
  <c r="Z69" i="135" s="1"/>
  <c r="E71" i="135" l="1" a="1"/>
  <c r="E71" i="135" s="1"/>
  <c r="D71" i="135" s="1"/>
  <c r="T70" i="135" a="1"/>
  <c r="T70" i="135" s="1"/>
  <c r="W70" i="135" a="1"/>
  <c r="W70" i="135" s="1"/>
  <c r="Z70" i="135" a="1"/>
  <c r="Z70" i="135" s="1"/>
  <c r="AC70" i="135" a="1"/>
  <c r="AC70" i="135" s="1"/>
  <c r="P70" i="135" a="1"/>
  <c r="P70" i="135" s="1"/>
  <c r="S70" i="135" a="1"/>
  <c r="S70" i="135" s="1"/>
  <c r="V70" i="135" a="1"/>
  <c r="V70" i="135" s="1"/>
  <c r="Y70" i="135" a="1"/>
  <c r="Y70" i="135" s="1"/>
  <c r="L70" i="135" a="1"/>
  <c r="L70" i="135" s="1"/>
  <c r="O70" i="135" a="1"/>
  <c r="O70" i="135" s="1"/>
  <c r="R70" i="135" a="1"/>
  <c r="R70" i="135" s="1"/>
  <c r="U70" i="135" a="1"/>
  <c r="U70" i="135" s="1"/>
  <c r="H70" i="135" a="1"/>
  <c r="H70" i="135" s="1"/>
  <c r="K70" i="135" a="1"/>
  <c r="K70" i="135" s="1"/>
  <c r="Q70" i="135" a="1"/>
  <c r="Q70" i="135" s="1"/>
  <c r="AJ70" i="135" a="1"/>
  <c r="AJ70" i="135" s="1"/>
  <c r="G70" i="135" a="1"/>
  <c r="G70" i="135" s="1"/>
  <c r="J70" i="135" a="1"/>
  <c r="J70" i="135" s="1"/>
  <c r="AI70" i="135" a="1"/>
  <c r="AI70" i="135" s="1"/>
  <c r="AD70" i="135" a="1"/>
  <c r="AD70" i="135" s="1"/>
  <c r="N70" i="135" a="1"/>
  <c r="N70" i="135" s="1"/>
  <c r="AM70" i="135" a="1"/>
  <c r="AM70" i="135" s="1"/>
  <c r="AF70" i="135" a="1"/>
  <c r="AF70" i="135" s="1"/>
  <c r="AL70" i="135" a="1"/>
  <c r="AL70" i="135" s="1"/>
  <c r="I70" i="135" a="1"/>
  <c r="I70" i="135" s="1"/>
  <c r="AB70" i="135" a="1"/>
  <c r="AB70" i="135" s="1"/>
  <c r="AH70" i="135" a="1"/>
  <c r="AH70" i="135" s="1"/>
  <c r="M70" i="135" a="1"/>
  <c r="M70" i="135" s="1"/>
  <c r="F70" i="135" a="1"/>
  <c r="F70" i="135" s="1"/>
  <c r="AE70" i="135" a="1"/>
  <c r="AE70" i="135" s="1"/>
  <c r="AK70" i="135" a="1"/>
  <c r="AK70" i="135" s="1"/>
  <c r="X70" i="135" a="1"/>
  <c r="X70" i="135" s="1"/>
  <c r="AA70" i="135" a="1"/>
  <c r="AA70" i="135" s="1"/>
  <c r="AG70" i="135" a="1"/>
  <c r="AG70" i="135" s="1"/>
  <c r="E72" i="135" l="1" a="1"/>
  <c r="E72" i="135" s="1"/>
  <c r="D72" i="135" s="1"/>
  <c r="L71" i="135" a="1"/>
  <c r="L71" i="135" s="1"/>
  <c r="O71" i="135" a="1"/>
  <c r="O71" i="135" s="1"/>
  <c r="R71" i="135" a="1"/>
  <c r="R71" i="135" s="1"/>
  <c r="U71" i="135" a="1"/>
  <c r="U71" i="135" s="1"/>
  <c r="H71" i="135" a="1"/>
  <c r="H71" i="135" s="1"/>
  <c r="K71" i="135" a="1"/>
  <c r="K71" i="135" s="1"/>
  <c r="N71" i="135" a="1"/>
  <c r="N71" i="135" s="1"/>
  <c r="Q71" i="135" a="1"/>
  <c r="Q71" i="135" s="1"/>
  <c r="AF71" i="135" a="1"/>
  <c r="AF71" i="135" s="1"/>
  <c r="AL71" i="135" a="1"/>
  <c r="AL71" i="135" s="1"/>
  <c r="I71" i="135" a="1"/>
  <c r="I71" i="135" s="1"/>
  <c r="AD71" i="135" a="1"/>
  <c r="AD71" i="135" s="1"/>
  <c r="W71" i="135" a="1"/>
  <c r="W71" i="135" s="1"/>
  <c r="AC71" i="135" a="1"/>
  <c r="AC71" i="135" s="1"/>
  <c r="S71" i="135" a="1"/>
  <c r="S71" i="135" s="1"/>
  <c r="Y71" i="135" a="1"/>
  <c r="Y71" i="135" s="1"/>
  <c r="AJ71" i="135" a="1"/>
  <c r="AJ71" i="135" s="1"/>
  <c r="AM71" i="135" a="1"/>
  <c r="AM71" i="135" s="1"/>
  <c r="G71" i="135" a="1"/>
  <c r="G71" i="135" s="1"/>
  <c r="J71" i="135" a="1"/>
  <c r="J71" i="135" s="1"/>
  <c r="M71" i="135" a="1"/>
  <c r="M71" i="135" s="1"/>
  <c r="AI71" i="135" a="1"/>
  <c r="AI71" i="135" s="1"/>
  <c r="F71" i="135" a="1"/>
  <c r="F71" i="135" s="1"/>
  <c r="AG71" i="135" a="1"/>
  <c r="AG71" i="135" s="1"/>
  <c r="T71" i="135" a="1"/>
  <c r="T71" i="135" s="1"/>
  <c r="Z71" i="135" a="1"/>
  <c r="Z71" i="135" s="1"/>
  <c r="P71" i="135" a="1"/>
  <c r="P71" i="135" s="1"/>
  <c r="V71" i="135" a="1"/>
  <c r="V71" i="135" s="1"/>
  <c r="AB71" i="135" a="1"/>
  <c r="AB71" i="135" s="1"/>
  <c r="AE71" i="135" a="1"/>
  <c r="AE71" i="135" s="1"/>
  <c r="AH71" i="135" a="1"/>
  <c r="AH71" i="135" s="1"/>
  <c r="AK71" i="135" a="1"/>
  <c r="AK71" i="135" s="1"/>
  <c r="X71" i="135" a="1"/>
  <c r="X71" i="135" s="1"/>
  <c r="AA71" i="135" a="1"/>
  <c r="AA71" i="135" s="1"/>
  <c r="E73" i="135" l="1" a="1"/>
  <c r="E73" i="135" s="1"/>
  <c r="D73" i="135" s="1"/>
  <c r="Y72" i="135" a="1"/>
  <c r="Y72" i="135" s="1"/>
  <c r="X72" i="135" a="1"/>
  <c r="X72" i="135" s="1"/>
  <c r="AA72" i="135" a="1"/>
  <c r="AA72" i="135" s="1"/>
  <c r="AD72" i="135" a="1"/>
  <c r="AD72" i="135" s="1"/>
  <c r="U72" i="135" a="1"/>
  <c r="U72" i="135" s="1"/>
  <c r="T72" i="135" a="1"/>
  <c r="T72" i="135" s="1"/>
  <c r="W72" i="135" a="1"/>
  <c r="W72" i="135" s="1"/>
  <c r="Z72" i="135" a="1"/>
  <c r="Z72" i="135" s="1"/>
  <c r="Q72" i="135" a="1"/>
  <c r="Q72" i="135" s="1"/>
  <c r="S72" i="135" a="1"/>
  <c r="S72" i="135" s="1"/>
  <c r="V72" i="135" a="1"/>
  <c r="V72" i="135" s="1"/>
  <c r="L72" i="135" a="1"/>
  <c r="L72" i="135" s="1"/>
  <c r="R72" i="135" a="1"/>
  <c r="R72" i="135" s="1"/>
  <c r="I72" i="135" a="1"/>
  <c r="I72" i="135" s="1"/>
  <c r="K72" i="135" a="1"/>
  <c r="K72" i="135" s="1"/>
  <c r="AG72" i="135" a="1"/>
  <c r="AG72" i="135" s="1"/>
  <c r="AI72" i="135" a="1"/>
  <c r="AI72" i="135" s="1"/>
  <c r="AB72" i="135" a="1"/>
  <c r="AB72" i="135" s="1"/>
  <c r="AH72" i="135" a="1"/>
  <c r="AH72" i="135" s="1"/>
  <c r="P72" i="135" a="1"/>
  <c r="P72" i="135" s="1"/>
  <c r="O72" i="135" a="1"/>
  <c r="O72" i="135" s="1"/>
  <c r="M72" i="135" a="1"/>
  <c r="M72" i="135" s="1"/>
  <c r="H72" i="135" a="1"/>
  <c r="H72" i="135" s="1"/>
  <c r="N72" i="135" a="1"/>
  <c r="N72" i="135" s="1"/>
  <c r="AF72" i="135" a="1"/>
  <c r="AF72" i="135" s="1"/>
  <c r="AL72" i="135" a="1"/>
  <c r="AL72" i="135" s="1"/>
  <c r="AK72" i="135" a="1"/>
  <c r="AK72" i="135" s="1"/>
  <c r="AJ72" i="135" a="1"/>
  <c r="AJ72" i="135" s="1"/>
  <c r="AM72" i="135" a="1"/>
  <c r="AM72" i="135" s="1"/>
  <c r="G72" i="135" a="1"/>
  <c r="G72" i="135" s="1"/>
  <c r="J72" i="135" a="1"/>
  <c r="J72" i="135" s="1"/>
  <c r="F72" i="135" a="1"/>
  <c r="F72" i="135" s="1"/>
  <c r="AC72" i="135" a="1"/>
  <c r="AC72" i="135" s="1"/>
  <c r="AE72" i="135" a="1"/>
  <c r="AE72" i="135" s="1"/>
  <c r="E74" i="135" l="1" a="1"/>
  <c r="E74" i="135" s="1"/>
  <c r="D74" i="135" s="1"/>
  <c r="Q73" i="135" a="1"/>
  <c r="Q73" i="135" s="1"/>
  <c r="P73" i="135" a="1"/>
  <c r="P73" i="135" s="1"/>
  <c r="S73" i="135" a="1"/>
  <c r="S73" i="135" s="1"/>
  <c r="V73" i="135" a="1"/>
  <c r="V73" i="135" s="1"/>
  <c r="O73" i="135" a="1"/>
  <c r="O73" i="135" s="1"/>
  <c r="I73" i="135" a="1"/>
  <c r="I73" i="135" s="1"/>
  <c r="H73" i="135" a="1"/>
  <c r="H73" i="135" s="1"/>
  <c r="N73" i="135" a="1"/>
  <c r="N73" i="135" s="1"/>
  <c r="X73" i="135" a="1"/>
  <c r="X73" i="135" s="1"/>
  <c r="M73" i="135" a="1"/>
  <c r="M73" i="135" s="1"/>
  <c r="L73" i="135" a="1"/>
  <c r="L73" i="135" s="1"/>
  <c r="R73" i="135" a="1"/>
  <c r="R73" i="135" s="1"/>
  <c r="K73" i="135" a="1"/>
  <c r="K73" i="135" s="1"/>
  <c r="AK73" i="135" a="1"/>
  <c r="AK73" i="135" s="1"/>
  <c r="AJ73" i="135" a="1"/>
  <c r="AJ73" i="135" s="1"/>
  <c r="AM73" i="135" a="1"/>
  <c r="AM73" i="135" s="1"/>
  <c r="G73" i="135" a="1"/>
  <c r="G73" i="135" s="1"/>
  <c r="J73" i="135" a="1"/>
  <c r="J73" i="135" s="1"/>
  <c r="F73" i="135" a="1"/>
  <c r="F73" i="135" s="1"/>
  <c r="AB73" i="135" a="1"/>
  <c r="AB73" i="135" s="1"/>
  <c r="AH73" i="135" a="1"/>
  <c r="AH73" i="135" s="1"/>
  <c r="Y73" i="135" a="1"/>
  <c r="Y73" i="135" s="1"/>
  <c r="AD73" i="135" a="1"/>
  <c r="AD73" i="135" s="1"/>
  <c r="U73" i="135" a="1"/>
  <c r="U73" i="135" s="1"/>
  <c r="Z73" i="135" a="1"/>
  <c r="Z73" i="135" s="1"/>
  <c r="AG73" i="135" a="1"/>
  <c r="AG73" i="135" s="1"/>
  <c r="AF73" i="135" a="1"/>
  <c r="AF73" i="135" s="1"/>
  <c r="AI73" i="135" a="1"/>
  <c r="AI73" i="135" s="1"/>
  <c r="AL73" i="135" a="1"/>
  <c r="AL73" i="135" s="1"/>
  <c r="AC73" i="135" a="1"/>
  <c r="AC73" i="135" s="1"/>
  <c r="AE73" i="135" a="1"/>
  <c r="AE73" i="135" s="1"/>
  <c r="AA73" i="135" a="1"/>
  <c r="AA73" i="135" s="1"/>
  <c r="T73" i="135" a="1"/>
  <c r="T73" i="135" s="1"/>
  <c r="W73" i="135" a="1"/>
  <c r="W73" i="135" s="1"/>
  <c r="E75" i="135" l="1" a="1"/>
  <c r="E75" i="135" s="1"/>
  <c r="D75" i="135" s="1"/>
  <c r="N74" i="135" a="1"/>
  <c r="N74" i="135" s="1"/>
  <c r="Q74" i="135" a="1"/>
  <c r="Q74" i="135" s="1"/>
  <c r="P74" i="135" a="1"/>
  <c r="P74" i="135" s="1"/>
  <c r="S74" i="135" a="1"/>
  <c r="S74" i="135" s="1"/>
  <c r="Z74" i="135" a="1"/>
  <c r="Z74" i="135" s="1"/>
  <c r="AC74" i="135" a="1"/>
  <c r="AC74" i="135" s="1"/>
  <c r="AE74" i="135" a="1"/>
  <c r="AE74" i="135" s="1"/>
  <c r="AA74" i="135" a="1"/>
  <c r="AA74" i="135" s="1"/>
  <c r="J74" i="135" a="1"/>
  <c r="J74" i="135" s="1"/>
  <c r="M74" i="135" a="1"/>
  <c r="M74" i="135" s="1"/>
  <c r="L74" i="135" a="1"/>
  <c r="L74" i="135" s="1"/>
  <c r="O74" i="135" a="1"/>
  <c r="O74" i="135" s="1"/>
  <c r="AB74" i="135" a="1"/>
  <c r="AB74" i="135" s="1"/>
  <c r="X74" i="135" a="1"/>
  <c r="X74" i="135" s="1"/>
  <c r="T74" i="135" a="1"/>
  <c r="T74" i="135" s="1"/>
  <c r="AL74" i="135" a="1"/>
  <c r="AL74" i="135" s="1"/>
  <c r="F74" i="135" a="1"/>
  <c r="F74" i="135" s="1"/>
  <c r="I74" i="135" a="1"/>
  <c r="I74" i="135" s="1"/>
  <c r="H74" i="135" a="1"/>
  <c r="H74" i="135" s="1"/>
  <c r="K74" i="135" a="1"/>
  <c r="K74" i="135" s="1"/>
  <c r="AI74" i="135" a="1"/>
  <c r="AI74" i="135" s="1"/>
  <c r="V74" i="135" a="1"/>
  <c r="V74" i="135" s="1"/>
  <c r="U74" i="135" a="1"/>
  <c r="U74" i="135" s="1"/>
  <c r="AH74" i="135" a="1"/>
  <c r="AH74" i="135" s="1"/>
  <c r="AK74" i="135" a="1"/>
  <c r="AK74" i="135" s="1"/>
  <c r="AJ74" i="135" a="1"/>
  <c r="AJ74" i="135" s="1"/>
  <c r="AM74" i="135" a="1"/>
  <c r="AM74" i="135" s="1"/>
  <c r="G74" i="135" a="1"/>
  <c r="G74" i="135" s="1"/>
  <c r="AF74" i="135" a="1"/>
  <c r="AF74" i="135" s="1"/>
  <c r="AD74" i="135" a="1"/>
  <c r="AD74" i="135" s="1"/>
  <c r="AG74" i="135" a="1"/>
  <c r="AG74" i="135" s="1"/>
  <c r="Y74" i="135" a="1"/>
  <c r="Y74" i="135" s="1"/>
  <c r="R74" i="135" a="1"/>
  <c r="R74" i="135" s="1"/>
  <c r="W74" i="135" a="1"/>
  <c r="W74" i="135" s="1"/>
  <c r="E76" i="135" l="1" a="1"/>
  <c r="E76" i="135" s="1"/>
  <c r="D76" i="135" s="1"/>
  <c r="V75" i="135" a="1"/>
  <c r="V75" i="135" s="1"/>
  <c r="Y75" i="135" a="1"/>
  <c r="Y75" i="135" s="1"/>
  <c r="X75" i="135" a="1"/>
  <c r="X75" i="135" s="1"/>
  <c r="AA75" i="135" a="1"/>
  <c r="AA75" i="135" s="1"/>
  <c r="P75" i="135" a="1"/>
  <c r="P75" i="135" s="1"/>
  <c r="J75" i="135" a="1"/>
  <c r="J75" i="135" s="1"/>
  <c r="L75" i="135" a="1"/>
  <c r="L75" i="135" s="1"/>
  <c r="AM75" i="135" a="1"/>
  <c r="AM75" i="135" s="1"/>
  <c r="AD75" i="135" a="1"/>
  <c r="AD75" i="135" s="1"/>
  <c r="AI75" i="135" a="1"/>
  <c r="AI75" i="135" s="1"/>
  <c r="AC75" i="135" a="1"/>
  <c r="AC75" i="135" s="1"/>
  <c r="R75" i="135" a="1"/>
  <c r="R75" i="135" s="1"/>
  <c r="U75" i="135" a="1"/>
  <c r="U75" i="135" s="1"/>
  <c r="T75" i="135" a="1"/>
  <c r="T75" i="135" s="1"/>
  <c r="W75" i="135" a="1"/>
  <c r="W75" i="135" s="1"/>
  <c r="N75" i="135" a="1"/>
  <c r="N75" i="135" s="1"/>
  <c r="Q75" i="135" a="1"/>
  <c r="Q75" i="135" s="1"/>
  <c r="S75" i="135" a="1"/>
  <c r="S75" i="135" s="1"/>
  <c r="M75" i="135" a="1"/>
  <c r="M75" i="135" s="1"/>
  <c r="O75" i="135" a="1"/>
  <c r="O75" i="135" s="1"/>
  <c r="AG75" i="135" a="1"/>
  <c r="AG75" i="135" s="1"/>
  <c r="AF75" i="135" a="1"/>
  <c r="AF75" i="135" s="1"/>
  <c r="AE75" i="135" a="1"/>
  <c r="AE75" i="135" s="1"/>
  <c r="AL75" i="135" a="1"/>
  <c r="AL75" i="135" s="1"/>
  <c r="F75" i="135" a="1"/>
  <c r="F75" i="135" s="1"/>
  <c r="I75" i="135" a="1"/>
  <c r="I75" i="135" s="1"/>
  <c r="H75" i="135" a="1"/>
  <c r="H75" i="135" s="1"/>
  <c r="K75" i="135" a="1"/>
  <c r="K75" i="135" s="1"/>
  <c r="AH75" i="135" a="1"/>
  <c r="AH75" i="135" s="1"/>
  <c r="AK75" i="135" a="1"/>
  <c r="AK75" i="135" s="1"/>
  <c r="AJ75" i="135" a="1"/>
  <c r="AJ75" i="135" s="1"/>
  <c r="G75" i="135" a="1"/>
  <c r="G75" i="135" s="1"/>
  <c r="Z75" i="135" a="1"/>
  <c r="Z75" i="135" s="1"/>
  <c r="AB75" i="135" a="1"/>
  <c r="AB75" i="135" s="1"/>
  <c r="S76" i="135" l="1" a="1"/>
  <c r="S76" i="135" s="1"/>
  <c r="V76" i="135" a="1"/>
  <c r="V76" i="135" s="1"/>
  <c r="Y76" i="135" a="1"/>
  <c r="Y76" i="135" s="1"/>
  <c r="X76" i="135" a="1"/>
  <c r="X76" i="135" s="1"/>
  <c r="K76" i="135" a="1"/>
  <c r="K76" i="135" s="1"/>
  <c r="N76" i="135" a="1"/>
  <c r="N76" i="135" s="1"/>
  <c r="Q76" i="135" a="1"/>
  <c r="Q76" i="135" s="1"/>
  <c r="P76" i="135" a="1"/>
  <c r="P76" i="135" s="1"/>
  <c r="AM76" i="135" a="1"/>
  <c r="AM76" i="135" s="1"/>
  <c r="G76" i="135" a="1"/>
  <c r="G76" i="135" s="1"/>
  <c r="J76" i="135" a="1"/>
  <c r="J76" i="135" s="1"/>
  <c r="M76" i="135" a="1"/>
  <c r="M76" i="135" s="1"/>
  <c r="L76" i="135" a="1"/>
  <c r="L76" i="135" s="1"/>
  <c r="AL76" i="135" a="1"/>
  <c r="AL76" i="135" s="1"/>
  <c r="F76" i="135" a="1"/>
  <c r="F76" i="135" s="1"/>
  <c r="I76" i="135" a="1"/>
  <c r="I76" i="135" s="1"/>
  <c r="H76" i="135" a="1"/>
  <c r="H76" i="135" s="1"/>
  <c r="W76" i="135" a="1"/>
  <c r="W76" i="135" s="1"/>
  <c r="Z76" i="135" a="1"/>
  <c r="Z76" i="135" s="1"/>
  <c r="AC76" i="135" a="1"/>
  <c r="AC76" i="135" s="1"/>
  <c r="AB76" i="135" a="1"/>
  <c r="AB76" i="135" s="1"/>
  <c r="O76" i="135" a="1"/>
  <c r="O76" i="135" s="1"/>
  <c r="R76" i="135" a="1"/>
  <c r="R76" i="135" s="1"/>
  <c r="U76" i="135" a="1"/>
  <c r="U76" i="135" s="1"/>
  <c r="T76" i="135" a="1"/>
  <c r="T76" i="135" s="1"/>
  <c r="AI76" i="135" a="1"/>
  <c r="AI76" i="135" s="1"/>
  <c r="AE76" i="135" a="1"/>
  <c r="AE76" i="135" s="1"/>
  <c r="AH76" i="135" a="1"/>
  <c r="AH76" i="135" s="1"/>
  <c r="AK76" i="135" a="1"/>
  <c r="AK76" i="135" s="1"/>
  <c r="AJ76" i="135" a="1"/>
  <c r="AJ76" i="135" s="1"/>
  <c r="AA76" i="135" a="1"/>
  <c r="AA76" i="135" s="1"/>
  <c r="AD76" i="135" a="1"/>
  <c r="AD76" i="135" s="1"/>
  <c r="AG76" i="135" a="1"/>
  <c r="AG76" i="135" s="1"/>
  <c r="AF76" i="135" a="1"/>
  <c r="AF76" i="135" s="1"/>
  <c r="E77" i="135" a="1"/>
  <c r="E77" i="135" s="1"/>
  <c r="D77" i="135" s="1"/>
  <c r="E78" i="135" l="1" a="1"/>
  <c r="E78" i="135" s="1"/>
  <c r="D78" i="135" s="1"/>
  <c r="AH77" i="135" a="1"/>
  <c r="AH77" i="135" s="1"/>
  <c r="AK77" i="135" a="1"/>
  <c r="AK77" i="135" s="1"/>
  <c r="AE77" i="135" a="1"/>
  <c r="AE77" i="135" s="1"/>
  <c r="AJ77" i="135" a="1"/>
  <c r="AJ77" i="135" s="1"/>
  <c r="AA77" i="135" a="1"/>
  <c r="AA77" i="135" s="1"/>
  <c r="AD77" i="135" a="1"/>
  <c r="AD77" i="135" s="1"/>
  <c r="AG77" i="135" a="1"/>
  <c r="AG77" i="135" s="1"/>
  <c r="AF77" i="135" a="1"/>
  <c r="AF77" i="135" s="1"/>
  <c r="W77" i="135" a="1"/>
  <c r="W77" i="135" s="1"/>
  <c r="Z77" i="135" a="1"/>
  <c r="Z77" i="135" s="1"/>
  <c r="AC77" i="135" a="1"/>
  <c r="AC77" i="135" s="1"/>
  <c r="AB77" i="135" a="1"/>
  <c r="AB77" i="135" s="1"/>
  <c r="S77" i="135" a="1"/>
  <c r="S77" i="135" s="1"/>
  <c r="V77" i="135" a="1"/>
  <c r="V77" i="135" s="1"/>
  <c r="Y77" i="135" a="1"/>
  <c r="Y77" i="135" s="1"/>
  <c r="X77" i="135" a="1"/>
  <c r="X77" i="135" s="1"/>
  <c r="K77" i="135" a="1"/>
  <c r="K77" i="135" s="1"/>
  <c r="Q77" i="135" a="1"/>
  <c r="Q77" i="135" s="1"/>
  <c r="AM77" i="135" a="1"/>
  <c r="AM77" i="135" s="1"/>
  <c r="G77" i="135" a="1"/>
  <c r="G77" i="135" s="1"/>
  <c r="M77" i="135" a="1"/>
  <c r="M77" i="135" s="1"/>
  <c r="L77" i="135" a="1"/>
  <c r="L77" i="135" s="1"/>
  <c r="O77" i="135" a="1"/>
  <c r="O77" i="135" s="1"/>
  <c r="R77" i="135" a="1"/>
  <c r="R77" i="135" s="1"/>
  <c r="U77" i="135" a="1"/>
  <c r="U77" i="135" s="1"/>
  <c r="T77" i="135" a="1"/>
  <c r="T77" i="135" s="1"/>
  <c r="N77" i="135" a="1"/>
  <c r="N77" i="135" s="1"/>
  <c r="P77" i="135" a="1"/>
  <c r="P77" i="135" s="1"/>
  <c r="J77" i="135" a="1"/>
  <c r="J77" i="135" s="1"/>
  <c r="AI77" i="135" a="1"/>
  <c r="AI77" i="135" s="1"/>
  <c r="AL77" i="135" a="1"/>
  <c r="AL77" i="135" s="1"/>
  <c r="F77" i="135" a="1"/>
  <c r="F77" i="135" s="1"/>
  <c r="I77" i="135" a="1"/>
  <c r="I77" i="135" s="1"/>
  <c r="H77" i="135" a="1"/>
  <c r="H77" i="135" s="1"/>
  <c r="E79" i="135" l="1" a="1"/>
  <c r="E79" i="135" s="1"/>
  <c r="D79" i="135" s="1"/>
  <c r="AJ78" i="135" a="1"/>
  <c r="AJ78" i="135" s="1"/>
  <c r="AM78" i="135" a="1"/>
  <c r="AM78" i="135" s="1"/>
  <c r="G78" i="135" a="1"/>
  <c r="G78" i="135" s="1"/>
  <c r="J78" i="135" a="1"/>
  <c r="J78" i="135" s="1"/>
  <c r="M78" i="135" a="1"/>
  <c r="M78" i="135" s="1"/>
  <c r="AE78" i="135" a="1"/>
  <c r="AE78" i="135" s="1"/>
  <c r="AK78" i="135" a="1"/>
  <c r="AK78" i="135" s="1"/>
  <c r="X78" i="135" a="1"/>
  <c r="X78" i="135" s="1"/>
  <c r="AA78" i="135" a="1"/>
  <c r="AA78" i="135" s="1"/>
  <c r="AG78" i="135" a="1"/>
  <c r="AG78" i="135" s="1"/>
  <c r="AF78" i="135" a="1"/>
  <c r="AF78" i="135" s="1"/>
  <c r="AI78" i="135" a="1"/>
  <c r="AI78" i="135" s="1"/>
  <c r="AL78" i="135" a="1"/>
  <c r="AL78" i="135" s="1"/>
  <c r="F78" i="135" a="1"/>
  <c r="F78" i="135" s="1"/>
  <c r="I78" i="135" a="1"/>
  <c r="I78" i="135" s="1"/>
  <c r="AB78" i="135" a="1"/>
  <c r="AB78" i="135" s="1"/>
  <c r="AH78" i="135" a="1"/>
  <c r="AH78" i="135" s="1"/>
  <c r="AD78" i="135" a="1"/>
  <c r="AD78" i="135" s="1"/>
  <c r="T78" i="135" a="1"/>
  <c r="T78" i="135" s="1"/>
  <c r="W78" i="135" a="1"/>
  <c r="W78" i="135" s="1"/>
  <c r="Z78" i="135" a="1"/>
  <c r="Z78" i="135" s="1"/>
  <c r="AC78" i="135" a="1"/>
  <c r="AC78" i="135" s="1"/>
  <c r="P78" i="135" a="1"/>
  <c r="P78" i="135" s="1"/>
  <c r="S78" i="135" a="1"/>
  <c r="S78" i="135" s="1"/>
  <c r="V78" i="135" a="1"/>
  <c r="V78" i="135" s="1"/>
  <c r="Y78" i="135" a="1"/>
  <c r="Y78" i="135" s="1"/>
  <c r="L78" i="135" a="1"/>
  <c r="L78" i="135" s="1"/>
  <c r="O78" i="135" a="1"/>
  <c r="O78" i="135" s="1"/>
  <c r="R78" i="135" a="1"/>
  <c r="R78" i="135" s="1"/>
  <c r="U78" i="135" a="1"/>
  <c r="U78" i="135" s="1"/>
  <c r="H78" i="135" a="1"/>
  <c r="H78" i="135" s="1"/>
  <c r="K78" i="135" a="1"/>
  <c r="K78" i="135" s="1"/>
  <c r="N78" i="135" a="1"/>
  <c r="N78" i="135" s="1"/>
  <c r="Q78" i="135" a="1"/>
  <c r="Q78" i="135" s="1"/>
  <c r="E80" i="135" l="1" a="1"/>
  <c r="E80" i="135" s="1"/>
  <c r="D80" i="135" s="1"/>
  <c r="T79" i="135" a="1"/>
  <c r="T79" i="135" s="1"/>
  <c r="W79" i="135" a="1"/>
  <c r="W79" i="135" s="1"/>
  <c r="Z79" i="135" a="1"/>
  <c r="Z79" i="135" s="1"/>
  <c r="AC79" i="135" a="1"/>
  <c r="AC79" i="135" s="1"/>
  <c r="P79" i="135" a="1"/>
  <c r="P79" i="135" s="1"/>
  <c r="S79" i="135" a="1"/>
  <c r="S79" i="135" s="1"/>
  <c r="V79" i="135" a="1"/>
  <c r="V79" i="135" s="1"/>
  <c r="Y79" i="135" a="1"/>
  <c r="Y79" i="135" s="1"/>
  <c r="L79" i="135" a="1"/>
  <c r="L79" i="135" s="1"/>
  <c r="O79" i="135" a="1"/>
  <c r="O79" i="135" s="1"/>
  <c r="R79" i="135" a="1"/>
  <c r="R79" i="135" s="1"/>
  <c r="U79" i="135" a="1"/>
  <c r="U79" i="135" s="1"/>
  <c r="H79" i="135" a="1"/>
  <c r="H79" i="135" s="1"/>
  <c r="N79" i="135" a="1"/>
  <c r="N79" i="135" s="1"/>
  <c r="Q79" i="135" a="1"/>
  <c r="Q79" i="135" s="1"/>
  <c r="AJ79" i="135" a="1"/>
  <c r="AJ79" i="135" s="1"/>
  <c r="G79" i="135" a="1"/>
  <c r="G79" i="135" s="1"/>
  <c r="M79" i="135" a="1"/>
  <c r="M79" i="135" s="1"/>
  <c r="AI79" i="135" a="1"/>
  <c r="AI79" i="135" s="1"/>
  <c r="AL79" i="135" a="1"/>
  <c r="AL79" i="135" s="1"/>
  <c r="I79" i="135" a="1"/>
  <c r="I79" i="135" s="1"/>
  <c r="K79" i="135" a="1"/>
  <c r="K79" i="135" s="1"/>
  <c r="AM79" i="135" a="1"/>
  <c r="AM79" i="135" s="1"/>
  <c r="J79" i="135" a="1"/>
  <c r="J79" i="135" s="1"/>
  <c r="AF79" i="135" a="1"/>
  <c r="AF79" i="135" s="1"/>
  <c r="F79" i="135" a="1"/>
  <c r="F79" i="135" s="1"/>
  <c r="AB79" i="135" a="1"/>
  <c r="AB79" i="135" s="1"/>
  <c r="AE79" i="135" a="1"/>
  <c r="AE79" i="135" s="1"/>
  <c r="AH79" i="135" a="1"/>
  <c r="AH79" i="135" s="1"/>
  <c r="AK79" i="135" a="1"/>
  <c r="AK79" i="135" s="1"/>
  <c r="X79" i="135" a="1"/>
  <c r="X79" i="135" s="1"/>
  <c r="AA79" i="135" a="1"/>
  <c r="AA79" i="135" s="1"/>
  <c r="AD79" i="135" a="1"/>
  <c r="AD79" i="135" s="1"/>
  <c r="AG79" i="135" a="1"/>
  <c r="AG79" i="135" s="1"/>
  <c r="E81" i="135" l="1" a="1"/>
  <c r="E81" i="135" s="1"/>
  <c r="D81" i="135" s="1"/>
  <c r="Q80" i="135" a="1"/>
  <c r="Q80" i="135" s="1"/>
  <c r="P80" i="135" a="1"/>
  <c r="P80" i="135" s="1"/>
  <c r="S80" i="135" a="1"/>
  <c r="S80" i="135" s="1"/>
  <c r="V80" i="135" a="1"/>
  <c r="V80" i="135" s="1"/>
  <c r="M80" i="135" a="1"/>
  <c r="M80" i="135" s="1"/>
  <c r="L80" i="135" a="1"/>
  <c r="L80" i="135" s="1"/>
  <c r="O80" i="135" a="1"/>
  <c r="O80" i="135" s="1"/>
  <c r="R80" i="135" a="1"/>
  <c r="R80" i="135" s="1"/>
  <c r="I80" i="135" a="1"/>
  <c r="I80" i="135" s="1"/>
  <c r="H80" i="135" a="1"/>
  <c r="H80" i="135" s="1"/>
  <c r="K80" i="135" a="1"/>
  <c r="K80" i="135" s="1"/>
  <c r="N80" i="135" a="1"/>
  <c r="N80" i="135" s="1"/>
  <c r="AK80" i="135" a="1"/>
  <c r="AK80" i="135" s="1"/>
  <c r="AJ80" i="135" a="1"/>
  <c r="AJ80" i="135" s="1"/>
  <c r="AM80" i="135" a="1"/>
  <c r="AM80" i="135" s="1"/>
  <c r="G80" i="135" a="1"/>
  <c r="G80" i="135" s="1"/>
  <c r="J80" i="135" a="1"/>
  <c r="J80" i="135" s="1"/>
  <c r="AC80" i="135" a="1"/>
  <c r="AC80" i="135" s="1"/>
  <c r="AB80" i="135" a="1"/>
  <c r="AB80" i="135" s="1"/>
  <c r="AE80" i="135" a="1"/>
  <c r="AE80" i="135" s="1"/>
  <c r="AH80" i="135" a="1"/>
  <c r="AH80" i="135" s="1"/>
  <c r="Y80" i="135" a="1"/>
  <c r="Y80" i="135" s="1"/>
  <c r="AA80" i="135" a="1"/>
  <c r="AA80" i="135" s="1"/>
  <c r="AD80" i="135" a="1"/>
  <c r="AD80" i="135" s="1"/>
  <c r="U80" i="135" a="1"/>
  <c r="U80" i="135" s="1"/>
  <c r="T80" i="135" a="1"/>
  <c r="T80" i="135" s="1"/>
  <c r="W80" i="135" a="1"/>
  <c r="W80" i="135" s="1"/>
  <c r="Z80" i="135" a="1"/>
  <c r="Z80" i="135" s="1"/>
  <c r="AG80" i="135" a="1"/>
  <c r="AG80" i="135" s="1"/>
  <c r="AF80" i="135" a="1"/>
  <c r="AF80" i="135" s="1"/>
  <c r="AI80" i="135" a="1"/>
  <c r="AI80" i="135" s="1"/>
  <c r="AL80" i="135" a="1"/>
  <c r="AL80" i="135" s="1"/>
  <c r="F80" i="135" a="1"/>
  <c r="F80" i="135" s="1"/>
  <c r="X80" i="135" a="1"/>
  <c r="X80" i="135" s="1"/>
  <c r="E82" i="135" l="1" a="1"/>
  <c r="E82" i="135" s="1"/>
  <c r="D82" i="135" s="1"/>
  <c r="U81" i="135" a="1"/>
  <c r="U81" i="135" s="1"/>
  <c r="T81" i="135" a="1"/>
  <c r="T81" i="135" s="1"/>
  <c r="W81" i="135" a="1"/>
  <c r="W81" i="135" s="1"/>
  <c r="Z81" i="135" a="1"/>
  <c r="Z81" i="135" s="1"/>
  <c r="Q81" i="135" a="1"/>
  <c r="Q81" i="135" s="1"/>
  <c r="P81" i="135" a="1"/>
  <c r="P81" i="135" s="1"/>
  <c r="S81" i="135" a="1"/>
  <c r="S81" i="135" s="1"/>
  <c r="V81" i="135" a="1"/>
  <c r="V81" i="135" s="1"/>
  <c r="AK81" i="135" a="1"/>
  <c r="AK81" i="135" s="1"/>
  <c r="AM81" i="135" a="1"/>
  <c r="AM81" i="135" s="1"/>
  <c r="G81" i="135" a="1"/>
  <c r="G81" i="135" s="1"/>
  <c r="AG81" i="135" a="1"/>
  <c r="AG81" i="135" s="1"/>
  <c r="AI81" i="135" a="1"/>
  <c r="AI81" i="135" s="1"/>
  <c r="AC81" i="135" a="1"/>
  <c r="AC81" i="135" s="1"/>
  <c r="AE81" i="135" a="1"/>
  <c r="AE81" i="135" s="1"/>
  <c r="X81" i="135" a="1"/>
  <c r="X81" i="135" s="1"/>
  <c r="AD81" i="135" a="1"/>
  <c r="AD81" i="135" s="1"/>
  <c r="M81" i="135" a="1"/>
  <c r="M81" i="135" s="1"/>
  <c r="L81" i="135" a="1"/>
  <c r="L81" i="135" s="1"/>
  <c r="O81" i="135" a="1"/>
  <c r="O81" i="135" s="1"/>
  <c r="R81" i="135" a="1"/>
  <c r="R81" i="135" s="1"/>
  <c r="I81" i="135" a="1"/>
  <c r="I81" i="135" s="1"/>
  <c r="H81" i="135" a="1"/>
  <c r="H81" i="135" s="1"/>
  <c r="K81" i="135" a="1"/>
  <c r="K81" i="135" s="1"/>
  <c r="N81" i="135" a="1"/>
  <c r="N81" i="135" s="1"/>
  <c r="AJ81" i="135" a="1"/>
  <c r="AJ81" i="135" s="1"/>
  <c r="J81" i="135" a="1"/>
  <c r="J81" i="135" s="1"/>
  <c r="AF81" i="135" a="1"/>
  <c r="AF81" i="135" s="1"/>
  <c r="AL81" i="135" a="1"/>
  <c r="AL81" i="135" s="1"/>
  <c r="F81" i="135" a="1"/>
  <c r="F81" i="135" s="1"/>
  <c r="AB81" i="135" a="1"/>
  <c r="AB81" i="135" s="1"/>
  <c r="AH81" i="135" a="1"/>
  <c r="AH81" i="135" s="1"/>
  <c r="Y81" i="135" a="1"/>
  <c r="Y81" i="135" s="1"/>
  <c r="AA81" i="135" a="1"/>
  <c r="AA81" i="135" s="1"/>
  <c r="E83" i="135" l="1" a="1"/>
  <c r="E83" i="135" s="1"/>
  <c r="D83" i="135" s="1"/>
  <c r="N82" i="135" a="1"/>
  <c r="N82" i="135" s="1"/>
  <c r="Q82" i="135" a="1"/>
  <c r="Q82" i="135" s="1"/>
  <c r="P82" i="135" a="1"/>
  <c r="P82" i="135" s="1"/>
  <c r="S82" i="135" a="1"/>
  <c r="S82" i="135" s="1"/>
  <c r="J82" i="135" a="1"/>
  <c r="J82" i="135" s="1"/>
  <c r="M82" i="135" a="1"/>
  <c r="M82" i="135" s="1"/>
  <c r="L82" i="135" a="1"/>
  <c r="L82" i="135" s="1"/>
  <c r="O82" i="135" a="1"/>
  <c r="O82" i="135" s="1"/>
  <c r="G82" i="135" a="1"/>
  <c r="G82" i="135" s="1"/>
  <c r="Z82" i="135" a="1"/>
  <c r="Z82" i="135" s="1"/>
  <c r="AB82" i="135" a="1"/>
  <c r="AB82" i="135" s="1"/>
  <c r="AL82" i="135" a="1"/>
  <c r="AL82" i="135" s="1"/>
  <c r="F82" i="135" a="1"/>
  <c r="F82" i="135" s="1"/>
  <c r="I82" i="135" a="1"/>
  <c r="I82" i="135" s="1"/>
  <c r="H82" i="135" a="1"/>
  <c r="H82" i="135" s="1"/>
  <c r="K82" i="135" a="1"/>
  <c r="K82" i="135" s="1"/>
  <c r="AH82" i="135" a="1"/>
  <c r="AH82" i="135" s="1"/>
  <c r="AK82" i="135" a="1"/>
  <c r="AK82" i="135" s="1"/>
  <c r="AJ82" i="135" a="1"/>
  <c r="AJ82" i="135" s="1"/>
  <c r="AM82" i="135" a="1"/>
  <c r="AM82" i="135" s="1"/>
  <c r="AE82" i="135" a="1"/>
  <c r="AE82" i="135" s="1"/>
  <c r="Y82" i="135" a="1"/>
  <c r="Y82" i="135" s="1"/>
  <c r="X82" i="135" a="1"/>
  <c r="X82" i="135" s="1"/>
  <c r="R82" i="135" a="1"/>
  <c r="R82" i="135" s="1"/>
  <c r="T82" i="135" a="1"/>
  <c r="T82" i="135" s="1"/>
  <c r="AD82" i="135" a="1"/>
  <c r="AD82" i="135" s="1"/>
  <c r="AG82" i="135" a="1"/>
  <c r="AG82" i="135" s="1"/>
  <c r="AF82" i="135" a="1"/>
  <c r="AF82" i="135" s="1"/>
  <c r="AI82" i="135" a="1"/>
  <c r="AI82" i="135" s="1"/>
  <c r="AC82" i="135" a="1"/>
  <c r="AC82" i="135" s="1"/>
  <c r="V82" i="135" a="1"/>
  <c r="V82" i="135" s="1"/>
  <c r="AA82" i="135" a="1"/>
  <c r="AA82" i="135" s="1"/>
  <c r="U82" i="135" a="1"/>
  <c r="U82" i="135" s="1"/>
  <c r="W82" i="135" a="1"/>
  <c r="W82" i="135" s="1"/>
  <c r="E84" i="135" l="1" a="1"/>
  <c r="E84" i="135" s="1"/>
  <c r="D84" i="135" s="1"/>
  <c r="Z83" i="135" a="1"/>
  <c r="Z83" i="135" s="1"/>
  <c r="AC83" i="135" a="1"/>
  <c r="AC83" i="135" s="1"/>
  <c r="AB83" i="135" a="1"/>
  <c r="AB83" i="135" s="1"/>
  <c r="AE83" i="135" a="1"/>
  <c r="AE83" i="135" s="1"/>
  <c r="R83" i="135" a="1"/>
  <c r="R83" i="135" s="1"/>
  <c r="T83" i="135" a="1"/>
  <c r="T83" i="135" s="1"/>
  <c r="AL83" i="135" a="1"/>
  <c r="AL83" i="135" s="1"/>
  <c r="I83" i="135" a="1"/>
  <c r="I83" i="135" s="1"/>
  <c r="K83" i="135" a="1"/>
  <c r="K83" i="135" s="1"/>
  <c r="AK83" i="135" a="1"/>
  <c r="AK83" i="135" s="1"/>
  <c r="AM83" i="135" a="1"/>
  <c r="AM83" i="135" s="1"/>
  <c r="AG83" i="135" a="1"/>
  <c r="AG83" i="135" s="1"/>
  <c r="AI83" i="135" a="1"/>
  <c r="AI83" i="135" s="1"/>
  <c r="V83" i="135" a="1"/>
  <c r="V83" i="135" s="1"/>
  <c r="Y83" i="135" a="1"/>
  <c r="Y83" i="135" s="1"/>
  <c r="X83" i="135" a="1"/>
  <c r="X83" i="135" s="1"/>
  <c r="AA83" i="135" a="1"/>
  <c r="AA83" i="135" s="1"/>
  <c r="U83" i="135" a="1"/>
  <c r="U83" i="135" s="1"/>
  <c r="W83" i="135" a="1"/>
  <c r="W83" i="135" s="1"/>
  <c r="O83" i="135" a="1"/>
  <c r="O83" i="135" s="1"/>
  <c r="F83" i="135" a="1"/>
  <c r="F83" i="135" s="1"/>
  <c r="H83" i="135" a="1"/>
  <c r="H83" i="135" s="1"/>
  <c r="AH83" i="135" a="1"/>
  <c r="AH83" i="135" s="1"/>
  <c r="AJ83" i="135" a="1"/>
  <c r="AJ83" i="135" s="1"/>
  <c r="G83" i="135" a="1"/>
  <c r="G83" i="135" s="1"/>
  <c r="AD83" i="135" a="1"/>
  <c r="AD83" i="135" s="1"/>
  <c r="AF83" i="135" a="1"/>
  <c r="AF83" i="135" s="1"/>
  <c r="N83" i="135" a="1"/>
  <c r="N83" i="135" s="1"/>
  <c r="Q83" i="135" a="1"/>
  <c r="Q83" i="135" s="1"/>
  <c r="P83" i="135" a="1"/>
  <c r="P83" i="135" s="1"/>
  <c r="S83" i="135" a="1"/>
  <c r="S83" i="135" s="1"/>
  <c r="J83" i="135" a="1"/>
  <c r="J83" i="135" s="1"/>
  <c r="M83" i="135" a="1"/>
  <c r="M83" i="135" s="1"/>
  <c r="L83" i="135" a="1"/>
  <c r="L83" i="135" s="1"/>
  <c r="E85" i="135" l="1" a="1"/>
  <c r="E85" i="135" s="1"/>
  <c r="D85" i="135" s="1"/>
  <c r="W84" i="135" a="1"/>
  <c r="W84" i="135" s="1"/>
  <c r="Z84" i="135" a="1"/>
  <c r="Z84" i="135" s="1"/>
  <c r="AC84" i="135" a="1"/>
  <c r="AC84" i="135" s="1"/>
  <c r="AB84" i="135" a="1"/>
  <c r="AB84" i="135" s="1"/>
  <c r="S84" i="135" a="1"/>
  <c r="S84" i="135" s="1"/>
  <c r="V84" i="135" a="1"/>
  <c r="V84" i="135" s="1"/>
  <c r="Y84" i="135" a="1"/>
  <c r="Y84" i="135" s="1"/>
  <c r="X84" i="135" a="1"/>
  <c r="X84" i="135" s="1"/>
  <c r="P84" i="135" a="1"/>
  <c r="P84" i="135" s="1"/>
  <c r="G84" i="135" a="1"/>
  <c r="G84" i="135" s="1"/>
  <c r="M84" i="135" a="1"/>
  <c r="M84" i="135" s="1"/>
  <c r="L84" i="135" a="1"/>
  <c r="L84" i="135" s="1"/>
  <c r="F84" i="135" a="1"/>
  <c r="F84" i="135" s="1"/>
  <c r="H84" i="135" a="1"/>
  <c r="H84" i="135" s="1"/>
  <c r="AH84" i="135" a="1"/>
  <c r="AH84" i="135" s="1"/>
  <c r="AD84" i="135" a="1"/>
  <c r="AD84" i="135" s="1"/>
  <c r="AF84" i="135" a="1"/>
  <c r="AF84" i="135" s="1"/>
  <c r="O84" i="135" a="1"/>
  <c r="O84" i="135" s="1"/>
  <c r="R84" i="135" a="1"/>
  <c r="R84" i="135" s="1"/>
  <c r="U84" i="135" a="1"/>
  <c r="U84" i="135" s="1"/>
  <c r="T84" i="135" a="1"/>
  <c r="T84" i="135" s="1"/>
  <c r="K84" i="135" a="1"/>
  <c r="K84" i="135" s="1"/>
  <c r="N84" i="135" a="1"/>
  <c r="N84" i="135" s="1"/>
  <c r="Q84" i="135" a="1"/>
  <c r="Q84" i="135" s="1"/>
  <c r="AM84" i="135" a="1"/>
  <c r="AM84" i="135" s="1"/>
  <c r="J84" i="135" a="1"/>
  <c r="J84" i="135" s="1"/>
  <c r="AI84" i="135" a="1"/>
  <c r="AI84" i="135" s="1"/>
  <c r="AL84" i="135" a="1"/>
  <c r="AL84" i="135" s="1"/>
  <c r="I84" i="135" a="1"/>
  <c r="I84" i="135" s="1"/>
  <c r="AE84" i="135" a="1"/>
  <c r="AE84" i="135" s="1"/>
  <c r="AK84" i="135" a="1"/>
  <c r="AK84" i="135" s="1"/>
  <c r="AJ84" i="135" a="1"/>
  <c r="AJ84" i="135" s="1"/>
  <c r="AA84" i="135" a="1"/>
  <c r="AA84" i="135" s="1"/>
  <c r="AG84" i="135" a="1"/>
  <c r="AG84" i="135" s="1"/>
  <c r="E86" i="135" l="1" a="1"/>
  <c r="E86" i="135" s="1"/>
  <c r="D86" i="135" s="1"/>
  <c r="AA85" i="135" a="1"/>
  <c r="AA85" i="135" s="1"/>
  <c r="AD85" i="135" a="1"/>
  <c r="AD85" i="135" s="1"/>
  <c r="AG85" i="135" a="1"/>
  <c r="AG85" i="135" s="1"/>
  <c r="AF85" i="135" a="1"/>
  <c r="AF85" i="135" s="1"/>
  <c r="AB85" i="135" a="1"/>
  <c r="AB85" i="135" s="1"/>
  <c r="V85" i="135" a="1"/>
  <c r="V85" i="135" s="1"/>
  <c r="AI85" i="135" a="1"/>
  <c r="AI85" i="135" s="1"/>
  <c r="AL85" i="135" a="1"/>
  <c r="AL85" i="135" s="1"/>
  <c r="I85" i="135" a="1"/>
  <c r="I85" i="135" s="1"/>
  <c r="W85" i="135" a="1"/>
  <c r="W85" i="135" s="1"/>
  <c r="Z85" i="135" a="1"/>
  <c r="Z85" i="135" s="1"/>
  <c r="AC85" i="135" a="1"/>
  <c r="AC85" i="135" s="1"/>
  <c r="S85" i="135" a="1"/>
  <c r="S85" i="135" s="1"/>
  <c r="Y85" i="135" a="1"/>
  <c r="Y85" i="135" s="1"/>
  <c r="X85" i="135" a="1"/>
  <c r="X85" i="135" s="1"/>
  <c r="K85" i="135" a="1"/>
  <c r="K85" i="135" s="1"/>
  <c r="N85" i="135" a="1"/>
  <c r="N85" i="135" s="1"/>
  <c r="Q85" i="135" a="1"/>
  <c r="Q85" i="135" s="1"/>
  <c r="P85" i="135" a="1"/>
  <c r="P85" i="135" s="1"/>
  <c r="H85" i="135" a="1"/>
  <c r="H85" i="135" s="1"/>
  <c r="AH85" i="135" a="1"/>
  <c r="AH85" i="135" s="1"/>
  <c r="AK85" i="135" a="1"/>
  <c r="AK85" i="135" s="1"/>
  <c r="O85" i="135" a="1"/>
  <c r="O85" i="135" s="1"/>
  <c r="R85" i="135" a="1"/>
  <c r="R85" i="135" s="1"/>
  <c r="U85" i="135" a="1"/>
  <c r="U85" i="135" s="1"/>
  <c r="T85" i="135" a="1"/>
  <c r="T85" i="135" s="1"/>
  <c r="AM85" i="135" a="1"/>
  <c r="AM85" i="135" s="1"/>
  <c r="G85" i="135" a="1"/>
  <c r="G85" i="135" s="1"/>
  <c r="J85" i="135" a="1"/>
  <c r="J85" i="135" s="1"/>
  <c r="M85" i="135" a="1"/>
  <c r="M85" i="135" s="1"/>
  <c r="L85" i="135" a="1"/>
  <c r="L85" i="135" s="1"/>
  <c r="F85" i="135" a="1"/>
  <c r="F85" i="135" s="1"/>
  <c r="AE85" i="135" a="1"/>
  <c r="AE85" i="135" s="1"/>
  <c r="AJ85" i="135" a="1"/>
  <c r="AJ85" i="135" s="1"/>
  <c r="E87" i="135" l="1" a="1"/>
  <c r="E87" i="135" s="1"/>
  <c r="D87" i="135" s="1"/>
  <c r="X86" i="135" a="1"/>
  <c r="X86" i="135" s="1"/>
  <c r="AA86" i="135" a="1"/>
  <c r="AA86" i="135" s="1"/>
  <c r="AD86" i="135" a="1"/>
  <c r="AD86" i="135" s="1"/>
  <c r="AG86" i="135" a="1"/>
  <c r="AG86" i="135" s="1"/>
  <c r="P86" i="135" a="1"/>
  <c r="P86" i="135" s="1"/>
  <c r="V86" i="135" a="1"/>
  <c r="V86" i="135" s="1"/>
  <c r="L86" i="135" a="1"/>
  <c r="L86" i="135" s="1"/>
  <c r="R86" i="135" a="1"/>
  <c r="R86" i="135" s="1"/>
  <c r="H86" i="135" a="1"/>
  <c r="H86" i="135" s="1"/>
  <c r="K86" i="135" a="1"/>
  <c r="K86" i="135" s="1"/>
  <c r="Q86" i="135" a="1"/>
  <c r="Q86" i="135" s="1"/>
  <c r="AI86" i="135" a="1"/>
  <c r="AI86" i="135" s="1"/>
  <c r="F86" i="135" a="1"/>
  <c r="F86" i="135" s="1"/>
  <c r="AB86" i="135" a="1"/>
  <c r="AB86" i="135" s="1"/>
  <c r="AH86" i="135" a="1"/>
  <c r="AH86" i="135" s="1"/>
  <c r="T86" i="135" a="1"/>
  <c r="T86" i="135" s="1"/>
  <c r="W86" i="135" a="1"/>
  <c r="W86" i="135" s="1"/>
  <c r="Z86" i="135" a="1"/>
  <c r="Z86" i="135" s="1"/>
  <c r="AC86" i="135" a="1"/>
  <c r="AC86" i="135" s="1"/>
  <c r="S86" i="135" a="1"/>
  <c r="S86" i="135" s="1"/>
  <c r="Y86" i="135" a="1"/>
  <c r="Y86" i="135" s="1"/>
  <c r="O86" i="135" a="1"/>
  <c r="O86" i="135" s="1"/>
  <c r="U86" i="135" a="1"/>
  <c r="U86" i="135" s="1"/>
  <c r="N86" i="135" a="1"/>
  <c r="N86" i="135" s="1"/>
  <c r="AF86" i="135" a="1"/>
  <c r="AF86" i="135" s="1"/>
  <c r="AL86" i="135" a="1"/>
  <c r="AL86" i="135" s="1"/>
  <c r="I86" i="135" a="1"/>
  <c r="I86" i="135" s="1"/>
  <c r="AE86" i="135" a="1"/>
  <c r="AE86" i="135" s="1"/>
  <c r="AJ86" i="135" a="1"/>
  <c r="AJ86" i="135" s="1"/>
  <c r="AM86" i="135" a="1"/>
  <c r="AM86" i="135" s="1"/>
  <c r="G86" i="135" a="1"/>
  <c r="G86" i="135" s="1"/>
  <c r="J86" i="135" a="1"/>
  <c r="J86" i="135" s="1"/>
  <c r="M86" i="135" a="1"/>
  <c r="M86" i="135" s="1"/>
  <c r="AK86" i="135" a="1"/>
  <c r="AK86" i="135" s="1"/>
  <c r="E88" i="135" l="1" a="1"/>
  <c r="E88" i="135" s="1"/>
  <c r="D88" i="135" s="1"/>
  <c r="X87" i="135" a="1"/>
  <c r="X87" i="135" s="1"/>
  <c r="AA87" i="135" a="1"/>
  <c r="AA87" i="135" s="1"/>
  <c r="AD87" i="135" a="1"/>
  <c r="AD87" i="135" s="1"/>
  <c r="AG87" i="135" a="1"/>
  <c r="AG87" i="135" s="1"/>
  <c r="P87" i="135" a="1"/>
  <c r="P87" i="135" s="1"/>
  <c r="V87" i="135" a="1"/>
  <c r="V87" i="135" s="1"/>
  <c r="H87" i="135" a="1"/>
  <c r="H87" i="135" s="1"/>
  <c r="N87" i="135" a="1"/>
  <c r="N87" i="135" s="1"/>
  <c r="I87" i="135" a="1"/>
  <c r="I87" i="135" s="1"/>
  <c r="AB87" i="135" a="1"/>
  <c r="AB87" i="135" s="1"/>
  <c r="AK87" i="135" a="1"/>
  <c r="AK87" i="135" s="1"/>
  <c r="T87" i="135" a="1"/>
  <c r="T87" i="135" s="1"/>
  <c r="W87" i="135" a="1"/>
  <c r="W87" i="135" s="1"/>
  <c r="Z87" i="135" a="1"/>
  <c r="Z87" i="135" s="1"/>
  <c r="AC87" i="135" a="1"/>
  <c r="AC87" i="135" s="1"/>
  <c r="S87" i="135" a="1"/>
  <c r="S87" i="135" s="1"/>
  <c r="Y87" i="135" a="1"/>
  <c r="Y87" i="135" s="1"/>
  <c r="L87" i="135" a="1"/>
  <c r="L87" i="135" s="1"/>
  <c r="O87" i="135" a="1"/>
  <c r="O87" i="135" s="1"/>
  <c r="R87" i="135" a="1"/>
  <c r="R87" i="135" s="1"/>
  <c r="U87" i="135" a="1"/>
  <c r="U87" i="135" s="1"/>
  <c r="K87" i="135" a="1"/>
  <c r="K87" i="135" s="1"/>
  <c r="Q87" i="135" a="1"/>
  <c r="Q87" i="135" s="1"/>
  <c r="AF87" i="135" a="1"/>
  <c r="AF87" i="135" s="1"/>
  <c r="AI87" i="135" a="1"/>
  <c r="AI87" i="135" s="1"/>
  <c r="F87" i="135" a="1"/>
  <c r="F87" i="135" s="1"/>
  <c r="AH87" i="135" a="1"/>
  <c r="AH87" i="135" s="1"/>
  <c r="AJ87" i="135" a="1"/>
  <c r="AJ87" i="135" s="1"/>
  <c r="AM87" i="135" a="1"/>
  <c r="AM87" i="135" s="1"/>
  <c r="G87" i="135" a="1"/>
  <c r="G87" i="135" s="1"/>
  <c r="J87" i="135" a="1"/>
  <c r="J87" i="135" s="1"/>
  <c r="M87" i="135" a="1"/>
  <c r="M87" i="135" s="1"/>
  <c r="AL87" i="135" a="1"/>
  <c r="AL87" i="135" s="1"/>
  <c r="AE87" i="135" a="1"/>
  <c r="AE87" i="135" s="1"/>
  <c r="E89" i="135" l="1" a="1"/>
  <c r="E89" i="135" s="1"/>
  <c r="D89" i="135" s="1"/>
  <c r="Y88" i="135" a="1"/>
  <c r="Y88" i="135" s="1"/>
  <c r="X88" i="135" a="1"/>
  <c r="X88" i="135" s="1"/>
  <c r="AA88" i="135" a="1"/>
  <c r="AA88" i="135" s="1"/>
  <c r="AD88" i="135" a="1"/>
  <c r="AD88" i="135" s="1"/>
  <c r="P88" i="135" a="1"/>
  <c r="P88" i="135" s="1"/>
  <c r="V88" i="135" a="1"/>
  <c r="V88" i="135" s="1"/>
  <c r="U88" i="135" a="1"/>
  <c r="U88" i="135" s="1"/>
  <c r="T88" i="135" a="1"/>
  <c r="T88" i="135" s="1"/>
  <c r="W88" i="135" a="1"/>
  <c r="W88" i="135" s="1"/>
  <c r="Z88" i="135" a="1"/>
  <c r="Z88" i="135" s="1"/>
  <c r="Q88" i="135" a="1"/>
  <c r="Q88" i="135" s="1"/>
  <c r="S88" i="135" a="1"/>
  <c r="S88" i="135" s="1"/>
  <c r="M88" i="135" a="1"/>
  <c r="M88" i="135" s="1"/>
  <c r="L88" i="135" a="1"/>
  <c r="L88" i="135" s="1"/>
  <c r="O88" i="135" a="1"/>
  <c r="O88" i="135" s="1"/>
  <c r="R88" i="135" a="1"/>
  <c r="R88" i="135" s="1"/>
  <c r="I88" i="135" a="1"/>
  <c r="I88" i="135" s="1"/>
  <c r="H88" i="135" a="1"/>
  <c r="H88" i="135" s="1"/>
  <c r="K88" i="135" a="1"/>
  <c r="K88" i="135" s="1"/>
  <c r="N88" i="135" a="1"/>
  <c r="N88" i="135" s="1"/>
  <c r="AG88" i="135" a="1"/>
  <c r="AG88" i="135" s="1"/>
  <c r="AF88" i="135" a="1"/>
  <c r="AF88" i="135" s="1"/>
  <c r="AI88" i="135" a="1"/>
  <c r="AI88" i="135" s="1"/>
  <c r="F88" i="135" a="1"/>
  <c r="F88" i="135" s="1"/>
  <c r="AC88" i="135" a="1"/>
  <c r="AC88" i="135" s="1"/>
  <c r="AE88" i="135" a="1"/>
  <c r="AE88" i="135" s="1"/>
  <c r="AK88" i="135" a="1"/>
  <c r="AK88" i="135" s="1"/>
  <c r="AJ88" i="135" a="1"/>
  <c r="AJ88" i="135" s="1"/>
  <c r="AM88" i="135" a="1"/>
  <c r="AM88" i="135" s="1"/>
  <c r="G88" i="135" a="1"/>
  <c r="G88" i="135" s="1"/>
  <c r="J88" i="135" a="1"/>
  <c r="J88" i="135" s="1"/>
  <c r="AL88" i="135" a="1"/>
  <c r="AL88" i="135" s="1"/>
  <c r="AB88" i="135" a="1"/>
  <c r="AB88" i="135" s="1"/>
  <c r="AH88" i="135" a="1"/>
  <c r="AH88" i="135" s="1"/>
  <c r="E90" i="135" l="1" a="1"/>
  <c r="E90" i="135" s="1"/>
  <c r="D90" i="135" s="1"/>
  <c r="Y89" i="135" a="1"/>
  <c r="Y89" i="135" s="1"/>
  <c r="X89" i="135" a="1"/>
  <c r="X89" i="135" s="1"/>
  <c r="AA89" i="135" a="1"/>
  <c r="AA89" i="135" s="1"/>
  <c r="AD89" i="135" a="1"/>
  <c r="AD89" i="135" s="1"/>
  <c r="U89" i="135" a="1"/>
  <c r="U89" i="135" s="1"/>
  <c r="T89" i="135" a="1"/>
  <c r="T89" i="135" s="1"/>
  <c r="W89" i="135" a="1"/>
  <c r="W89" i="135" s="1"/>
  <c r="Z89" i="135" a="1"/>
  <c r="Z89" i="135" s="1"/>
  <c r="Q89" i="135" a="1"/>
  <c r="Q89" i="135" s="1"/>
  <c r="P89" i="135" a="1"/>
  <c r="P89" i="135" s="1"/>
  <c r="S89" i="135" a="1"/>
  <c r="S89" i="135" s="1"/>
  <c r="V89" i="135" a="1"/>
  <c r="V89" i="135" s="1"/>
  <c r="N89" i="135" a="1"/>
  <c r="N89" i="135" s="1"/>
  <c r="AI89" i="135" a="1"/>
  <c r="AI89" i="135" s="1"/>
  <c r="AB89" i="135" a="1"/>
  <c r="AB89" i="135" s="1"/>
  <c r="AH89" i="135" a="1"/>
  <c r="AH89" i="135" s="1"/>
  <c r="M89" i="135" a="1"/>
  <c r="M89" i="135" s="1"/>
  <c r="L89" i="135" a="1"/>
  <c r="L89" i="135" s="1"/>
  <c r="O89" i="135" a="1"/>
  <c r="O89" i="135" s="1"/>
  <c r="R89" i="135" a="1"/>
  <c r="R89" i="135" s="1"/>
  <c r="I89" i="135" a="1"/>
  <c r="I89" i="135" s="1"/>
  <c r="H89" i="135" a="1"/>
  <c r="H89" i="135" s="1"/>
  <c r="K89" i="135" a="1"/>
  <c r="K89" i="135" s="1"/>
  <c r="AC89" i="135" a="1"/>
  <c r="AC89" i="135" s="1"/>
  <c r="AE89" i="135" a="1"/>
  <c r="AE89" i="135" s="1"/>
  <c r="AK89" i="135" a="1"/>
  <c r="AK89" i="135" s="1"/>
  <c r="AJ89" i="135" a="1"/>
  <c r="AJ89" i="135" s="1"/>
  <c r="AM89" i="135" a="1"/>
  <c r="AM89" i="135" s="1"/>
  <c r="G89" i="135" a="1"/>
  <c r="G89" i="135" s="1"/>
  <c r="J89" i="135" a="1"/>
  <c r="J89" i="135" s="1"/>
  <c r="AG89" i="135" a="1"/>
  <c r="AG89" i="135" s="1"/>
  <c r="AF89" i="135" a="1"/>
  <c r="AF89" i="135" s="1"/>
  <c r="AL89" i="135" a="1"/>
  <c r="AL89" i="135" s="1"/>
  <c r="F89" i="135" a="1"/>
  <c r="F89" i="135" s="1"/>
  <c r="E91" i="135" l="1" a="1"/>
  <c r="E91" i="135" s="1"/>
  <c r="D91" i="135" s="1"/>
  <c r="N90" i="135" a="1"/>
  <c r="N90" i="135" s="1"/>
  <c r="Q90" i="135" a="1"/>
  <c r="Q90" i="135" s="1"/>
  <c r="P90" i="135" a="1"/>
  <c r="P90" i="135" s="1"/>
  <c r="S90" i="135" a="1"/>
  <c r="S90" i="135" s="1"/>
  <c r="Z90" i="135" a="1"/>
  <c r="Z90" i="135" s="1"/>
  <c r="AC90" i="135" a="1"/>
  <c r="AC90" i="135" s="1"/>
  <c r="AE90" i="135" a="1"/>
  <c r="AE90" i="135" s="1"/>
  <c r="J90" i="135" a="1"/>
  <c r="J90" i="135" s="1"/>
  <c r="M90" i="135" a="1"/>
  <c r="M90" i="135" s="1"/>
  <c r="L90" i="135" a="1"/>
  <c r="L90" i="135" s="1"/>
  <c r="O90" i="135" a="1"/>
  <c r="O90" i="135" s="1"/>
  <c r="AH90" i="135" a="1"/>
  <c r="AH90" i="135" s="1"/>
  <c r="AJ90" i="135" a="1"/>
  <c r="AJ90" i="135" s="1"/>
  <c r="G90" i="135" a="1"/>
  <c r="G90" i="135" s="1"/>
  <c r="V90" i="135" a="1"/>
  <c r="V90" i="135" s="1"/>
  <c r="X90" i="135" a="1"/>
  <c r="X90" i="135" s="1"/>
  <c r="AA90" i="135" a="1"/>
  <c r="AA90" i="135" s="1"/>
  <c r="R90" i="135" a="1"/>
  <c r="R90" i="135" s="1"/>
  <c r="U90" i="135" a="1"/>
  <c r="U90" i="135" s="1"/>
  <c r="T90" i="135" a="1"/>
  <c r="T90" i="135" s="1"/>
  <c r="W90" i="135" a="1"/>
  <c r="W90" i="135" s="1"/>
  <c r="AL90" i="135" a="1"/>
  <c r="AL90" i="135" s="1"/>
  <c r="F90" i="135" a="1"/>
  <c r="F90" i="135" s="1"/>
  <c r="I90" i="135" a="1"/>
  <c r="I90" i="135" s="1"/>
  <c r="H90" i="135" a="1"/>
  <c r="H90" i="135" s="1"/>
  <c r="K90" i="135" a="1"/>
  <c r="K90" i="135" s="1"/>
  <c r="AK90" i="135" a="1"/>
  <c r="AK90" i="135" s="1"/>
  <c r="AM90" i="135" a="1"/>
  <c r="AM90" i="135" s="1"/>
  <c r="AD90" i="135" a="1"/>
  <c r="AD90" i="135" s="1"/>
  <c r="AG90" i="135" a="1"/>
  <c r="AG90" i="135" s="1"/>
  <c r="AF90" i="135" a="1"/>
  <c r="AF90" i="135" s="1"/>
  <c r="AI90" i="135" a="1"/>
  <c r="AI90" i="135" s="1"/>
  <c r="AB90" i="135" a="1"/>
  <c r="AB90" i="135" s="1"/>
  <c r="Y90" i="135" a="1"/>
  <c r="Y90" i="135" s="1"/>
  <c r="E92" i="135" l="1" a="1"/>
  <c r="E92" i="135" s="1"/>
  <c r="D92" i="135" s="1"/>
  <c r="Z91" i="135" a="1"/>
  <c r="Z91" i="135" s="1"/>
  <c r="AC91" i="135" a="1"/>
  <c r="AC91" i="135" s="1"/>
  <c r="AB91" i="135" a="1"/>
  <c r="AB91" i="135" s="1"/>
  <c r="AE91" i="135" a="1"/>
  <c r="AE91" i="135" s="1"/>
  <c r="V91" i="135" a="1"/>
  <c r="V91" i="135" s="1"/>
  <c r="Y91" i="135" a="1"/>
  <c r="Y91" i="135" s="1"/>
  <c r="X91" i="135" a="1"/>
  <c r="X91" i="135" s="1"/>
  <c r="AA91" i="135" a="1"/>
  <c r="AA91" i="135" s="1"/>
  <c r="R91" i="135" a="1"/>
  <c r="R91" i="135" s="1"/>
  <c r="U91" i="135" a="1"/>
  <c r="U91" i="135" s="1"/>
  <c r="T91" i="135" a="1"/>
  <c r="T91" i="135" s="1"/>
  <c r="W91" i="135" a="1"/>
  <c r="W91" i="135" s="1"/>
  <c r="AK91" i="135" a="1"/>
  <c r="AK91" i="135" s="1"/>
  <c r="AM91" i="135" a="1"/>
  <c r="AM91" i="135" s="1"/>
  <c r="AD91" i="135" a="1"/>
  <c r="AD91" i="135" s="1"/>
  <c r="AF91" i="135" a="1"/>
  <c r="AF91" i="135" s="1"/>
  <c r="AI91" i="135" a="1"/>
  <c r="AI91" i="135" s="1"/>
  <c r="N91" i="135" a="1"/>
  <c r="N91" i="135" s="1"/>
  <c r="Q91" i="135" a="1"/>
  <c r="Q91" i="135" s="1"/>
  <c r="P91" i="135" a="1"/>
  <c r="P91" i="135" s="1"/>
  <c r="S91" i="135" a="1"/>
  <c r="S91" i="135" s="1"/>
  <c r="J91" i="135" a="1"/>
  <c r="J91" i="135" s="1"/>
  <c r="M91" i="135" a="1"/>
  <c r="M91" i="135" s="1"/>
  <c r="L91" i="135" a="1"/>
  <c r="L91" i="135" s="1"/>
  <c r="O91" i="135" a="1"/>
  <c r="O91" i="135" s="1"/>
  <c r="F91" i="135" a="1"/>
  <c r="F91" i="135" s="1"/>
  <c r="I91" i="135" a="1"/>
  <c r="I91" i="135" s="1"/>
  <c r="H91" i="135" a="1"/>
  <c r="H91" i="135" s="1"/>
  <c r="AG91" i="135" a="1"/>
  <c r="AG91" i="135" s="1"/>
  <c r="AL91" i="135" a="1"/>
  <c r="AL91" i="135" s="1"/>
  <c r="K91" i="135" a="1"/>
  <c r="K91" i="135" s="1"/>
  <c r="AH91" i="135" a="1"/>
  <c r="AH91" i="135" s="1"/>
  <c r="AJ91" i="135" a="1"/>
  <c r="AJ91" i="135" s="1"/>
  <c r="G91" i="135" a="1"/>
  <c r="G91" i="135" s="1"/>
  <c r="E93" i="135" l="1" a="1"/>
  <c r="E93" i="135" s="1"/>
  <c r="D93" i="135" s="1"/>
  <c r="AA92" i="135" a="1"/>
  <c r="AA92" i="135" s="1"/>
  <c r="AD92" i="135" a="1"/>
  <c r="AD92" i="135" s="1"/>
  <c r="AG92" i="135" a="1"/>
  <c r="AG92" i="135" s="1"/>
  <c r="AF92" i="135" a="1"/>
  <c r="AF92" i="135" s="1"/>
  <c r="V92" i="135" a="1"/>
  <c r="V92" i="135" s="1"/>
  <c r="X92" i="135" a="1"/>
  <c r="X92" i="135" s="1"/>
  <c r="W92" i="135" a="1"/>
  <c r="W92" i="135" s="1"/>
  <c r="Z92" i="135" a="1"/>
  <c r="Z92" i="135" s="1"/>
  <c r="AC92" i="135" a="1"/>
  <c r="AC92" i="135" s="1"/>
  <c r="AB92" i="135" a="1"/>
  <c r="AB92" i="135" s="1"/>
  <c r="S92" i="135" a="1"/>
  <c r="S92" i="135" s="1"/>
  <c r="Y92" i="135" a="1"/>
  <c r="Y92" i="135" s="1"/>
  <c r="K92" i="135" a="1"/>
  <c r="K92" i="135" s="1"/>
  <c r="P92" i="135" a="1"/>
  <c r="P92" i="135" s="1"/>
  <c r="M92" i="135" a="1"/>
  <c r="M92" i="135" s="1"/>
  <c r="AI92" i="135" a="1"/>
  <c r="AI92" i="135" s="1"/>
  <c r="AL92" i="135" a="1"/>
  <c r="AL92" i="135" s="1"/>
  <c r="F92" i="135" a="1"/>
  <c r="F92" i="135" s="1"/>
  <c r="I92" i="135" a="1"/>
  <c r="I92" i="135" s="1"/>
  <c r="H92" i="135" a="1"/>
  <c r="H92" i="135" s="1"/>
  <c r="AE92" i="135" a="1"/>
  <c r="AE92" i="135" s="1"/>
  <c r="AH92" i="135" a="1"/>
  <c r="AH92" i="135" s="1"/>
  <c r="AK92" i="135" a="1"/>
  <c r="AK92" i="135" s="1"/>
  <c r="AJ92" i="135" a="1"/>
  <c r="AJ92" i="135" s="1"/>
  <c r="O92" i="135" a="1"/>
  <c r="O92" i="135" s="1"/>
  <c r="R92" i="135" a="1"/>
  <c r="R92" i="135" s="1"/>
  <c r="U92" i="135" a="1"/>
  <c r="U92" i="135" s="1"/>
  <c r="T92" i="135" a="1"/>
  <c r="T92" i="135" s="1"/>
  <c r="N92" i="135" a="1"/>
  <c r="N92" i="135" s="1"/>
  <c r="Q92" i="135" a="1"/>
  <c r="Q92" i="135" s="1"/>
  <c r="AM92" i="135" a="1"/>
  <c r="AM92" i="135" s="1"/>
  <c r="G92" i="135" a="1"/>
  <c r="G92" i="135" s="1"/>
  <c r="J92" i="135" a="1"/>
  <c r="J92" i="135" s="1"/>
  <c r="L92" i="135" a="1"/>
  <c r="L92" i="135" s="1"/>
  <c r="E94" i="135" l="1" a="1"/>
  <c r="E94" i="135" s="1"/>
  <c r="D94" i="135" s="1"/>
  <c r="S93" i="135" a="1"/>
  <c r="S93" i="135" s="1"/>
  <c r="V93" i="135" a="1"/>
  <c r="V93" i="135" s="1"/>
  <c r="Y93" i="135" a="1"/>
  <c r="Y93" i="135" s="1"/>
  <c r="X93" i="135" a="1"/>
  <c r="X93" i="135" s="1"/>
  <c r="O93" i="135" a="1"/>
  <c r="O93" i="135" s="1"/>
  <c r="R93" i="135" a="1"/>
  <c r="R93" i="135" s="1"/>
  <c r="U93" i="135" a="1"/>
  <c r="U93" i="135" s="1"/>
  <c r="T93" i="135" a="1"/>
  <c r="T93" i="135" s="1"/>
  <c r="K93" i="135" a="1"/>
  <c r="K93" i="135" s="1"/>
  <c r="N93" i="135" a="1"/>
  <c r="N93" i="135" s="1"/>
  <c r="Q93" i="135" a="1"/>
  <c r="Q93" i="135" s="1"/>
  <c r="P93" i="135" a="1"/>
  <c r="P93" i="135" s="1"/>
  <c r="L93" i="135" a="1"/>
  <c r="L93" i="135" s="1"/>
  <c r="AA93" i="135" a="1"/>
  <c r="AA93" i="135" s="1"/>
  <c r="AF93" i="135" a="1"/>
  <c r="AF93" i="135" s="1"/>
  <c r="Z93" i="135" a="1"/>
  <c r="Z93" i="135" s="1"/>
  <c r="AB93" i="135" a="1"/>
  <c r="AB93" i="135" s="1"/>
  <c r="AM93" i="135" a="1"/>
  <c r="AM93" i="135" s="1"/>
  <c r="G93" i="135" a="1"/>
  <c r="G93" i="135" s="1"/>
  <c r="J93" i="135" a="1"/>
  <c r="J93" i="135" s="1"/>
  <c r="M93" i="135" a="1"/>
  <c r="M93" i="135" s="1"/>
  <c r="AD93" i="135" a="1"/>
  <c r="AD93" i="135" s="1"/>
  <c r="W93" i="135" a="1"/>
  <c r="W93" i="135" s="1"/>
  <c r="AC93" i="135" a="1"/>
  <c r="AC93" i="135" s="1"/>
  <c r="AI93" i="135" a="1"/>
  <c r="AI93" i="135" s="1"/>
  <c r="AL93" i="135" a="1"/>
  <c r="AL93" i="135" s="1"/>
  <c r="F93" i="135" a="1"/>
  <c r="F93" i="135" s="1"/>
  <c r="I93" i="135" a="1"/>
  <c r="I93" i="135" s="1"/>
  <c r="H93" i="135" a="1"/>
  <c r="H93" i="135" s="1"/>
  <c r="AG93" i="135" a="1"/>
  <c r="AG93" i="135" s="1"/>
  <c r="AE93" i="135" a="1"/>
  <c r="AE93" i="135" s="1"/>
  <c r="AH93" i="135" a="1"/>
  <c r="AH93" i="135" s="1"/>
  <c r="AK93" i="135" a="1"/>
  <c r="AK93" i="135" s="1"/>
  <c r="AJ93" i="135" a="1"/>
  <c r="AJ93" i="135" s="1"/>
  <c r="E95" i="135" l="1" a="1"/>
  <c r="E95" i="135" s="1"/>
  <c r="D95" i="135" s="1"/>
  <c r="T94" i="135" a="1"/>
  <c r="T94" i="135" s="1"/>
  <c r="W94" i="135" a="1"/>
  <c r="W94" i="135" s="1"/>
  <c r="Z94" i="135" a="1"/>
  <c r="Z94" i="135" s="1"/>
  <c r="AC94" i="135" a="1"/>
  <c r="AC94" i="135" s="1"/>
  <c r="P94" i="135" a="1"/>
  <c r="P94" i="135" s="1"/>
  <c r="S94" i="135" a="1"/>
  <c r="S94" i="135" s="1"/>
  <c r="V94" i="135" a="1"/>
  <c r="V94" i="135" s="1"/>
  <c r="Y94" i="135" a="1"/>
  <c r="Y94" i="135" s="1"/>
  <c r="U94" i="135" a="1"/>
  <c r="U94" i="135" s="1"/>
  <c r="H94" i="135" a="1"/>
  <c r="H94" i="135" s="1"/>
  <c r="N94" i="135" a="1"/>
  <c r="N94" i="135" s="1"/>
  <c r="AJ94" i="135" a="1"/>
  <c r="AJ94" i="135" s="1"/>
  <c r="AM94" i="135" a="1"/>
  <c r="AM94" i="135" s="1"/>
  <c r="G94" i="135" a="1"/>
  <c r="G94" i="135" s="1"/>
  <c r="M94" i="135" a="1"/>
  <c r="M94" i="135" s="1"/>
  <c r="AF94" i="135" a="1"/>
  <c r="AF94" i="135" s="1"/>
  <c r="AL94" i="135" a="1"/>
  <c r="AL94" i="135" s="1"/>
  <c r="I94" i="135" a="1"/>
  <c r="I94" i="135" s="1"/>
  <c r="AB94" i="135" a="1"/>
  <c r="AB94" i="135" s="1"/>
  <c r="AH94" i="135" a="1"/>
  <c r="AH94" i="135" s="1"/>
  <c r="AK94" i="135" a="1"/>
  <c r="AK94" i="135" s="1"/>
  <c r="AA94" i="135" a="1"/>
  <c r="AA94" i="135" s="1"/>
  <c r="AG94" i="135" a="1"/>
  <c r="AG94" i="135" s="1"/>
  <c r="L94" i="135" a="1"/>
  <c r="L94" i="135" s="1"/>
  <c r="O94" i="135" a="1"/>
  <c r="O94" i="135" s="1"/>
  <c r="R94" i="135" a="1"/>
  <c r="R94" i="135" s="1"/>
  <c r="K94" i="135" a="1"/>
  <c r="K94" i="135" s="1"/>
  <c r="Q94" i="135" a="1"/>
  <c r="Q94" i="135" s="1"/>
  <c r="J94" i="135" a="1"/>
  <c r="J94" i="135" s="1"/>
  <c r="AI94" i="135" a="1"/>
  <c r="AI94" i="135" s="1"/>
  <c r="F94" i="135" a="1"/>
  <c r="F94" i="135" s="1"/>
  <c r="AE94" i="135" a="1"/>
  <c r="AE94" i="135" s="1"/>
  <c r="X94" i="135" a="1"/>
  <c r="X94" i="135" s="1"/>
  <c r="AD94" i="135" a="1"/>
  <c r="AD94" i="135" s="1"/>
  <c r="E96" i="135" l="1" a="1"/>
  <c r="E96" i="135" s="1"/>
  <c r="D96" i="135" s="1"/>
  <c r="P95" i="135" a="1"/>
  <c r="P95" i="135" s="1"/>
  <c r="S95" i="135" a="1"/>
  <c r="S95" i="135" s="1"/>
  <c r="V95" i="135" a="1"/>
  <c r="V95" i="135" s="1"/>
  <c r="Y95" i="135" a="1"/>
  <c r="Y95" i="135" s="1"/>
  <c r="L95" i="135" a="1"/>
  <c r="L95" i="135" s="1"/>
  <c r="O95" i="135" a="1"/>
  <c r="O95" i="135" s="1"/>
  <c r="R95" i="135" a="1"/>
  <c r="R95" i="135" s="1"/>
  <c r="U95" i="135" a="1"/>
  <c r="U95" i="135" s="1"/>
  <c r="H95" i="135" a="1"/>
  <c r="H95" i="135" s="1"/>
  <c r="K95" i="135" a="1"/>
  <c r="K95" i="135" s="1"/>
  <c r="N95" i="135" a="1"/>
  <c r="N95" i="135" s="1"/>
  <c r="Q95" i="135" a="1"/>
  <c r="Q95" i="135" s="1"/>
  <c r="AM95" i="135" a="1"/>
  <c r="AM95" i="135" s="1"/>
  <c r="G95" i="135" a="1"/>
  <c r="G95" i="135" s="1"/>
  <c r="M95" i="135" a="1"/>
  <c r="M95" i="135" s="1"/>
  <c r="AG95" i="135" a="1"/>
  <c r="AG95" i="135" s="1"/>
  <c r="AJ95" i="135" a="1"/>
  <c r="AJ95" i="135" s="1"/>
  <c r="J95" i="135" a="1"/>
  <c r="J95" i="135" s="1"/>
  <c r="AD95" i="135" a="1"/>
  <c r="AD95" i="135" s="1"/>
  <c r="T95" i="135" a="1"/>
  <c r="T95" i="135" s="1"/>
  <c r="Z95" i="135" a="1"/>
  <c r="Z95" i="135" s="1"/>
  <c r="AF95" i="135" a="1"/>
  <c r="AF95" i="135" s="1"/>
  <c r="AI95" i="135" a="1"/>
  <c r="AI95" i="135" s="1"/>
  <c r="AL95" i="135" a="1"/>
  <c r="AL95" i="135" s="1"/>
  <c r="F95" i="135" a="1"/>
  <c r="F95" i="135" s="1"/>
  <c r="I95" i="135" a="1"/>
  <c r="I95" i="135" s="1"/>
  <c r="AB95" i="135" a="1"/>
  <c r="AB95" i="135" s="1"/>
  <c r="AE95" i="135" a="1"/>
  <c r="AE95" i="135" s="1"/>
  <c r="AH95" i="135" a="1"/>
  <c r="AH95" i="135" s="1"/>
  <c r="AA95" i="135" a="1"/>
  <c r="AA95" i="135" s="1"/>
  <c r="W95" i="135" a="1"/>
  <c r="W95" i="135" s="1"/>
  <c r="AC95" i="135" a="1"/>
  <c r="AC95" i="135" s="1"/>
  <c r="AK95" i="135" a="1"/>
  <c r="AK95" i="135" s="1"/>
  <c r="X95" i="135" a="1"/>
  <c r="X95" i="135" s="1"/>
  <c r="E97" i="135" l="1" a="1"/>
  <c r="E97" i="135" s="1"/>
  <c r="D97" i="135" s="1"/>
  <c r="Q96" i="135" a="1"/>
  <c r="Q96" i="135" s="1"/>
  <c r="P96" i="135" a="1"/>
  <c r="P96" i="135" s="1"/>
  <c r="S96" i="135" a="1"/>
  <c r="S96" i="135" s="1"/>
  <c r="V96" i="135" a="1"/>
  <c r="V96" i="135" s="1"/>
  <c r="I96" i="135" a="1"/>
  <c r="I96" i="135" s="1"/>
  <c r="K96" i="135" a="1"/>
  <c r="K96" i="135" s="1"/>
  <c r="X96" i="135" a="1"/>
  <c r="X96" i="135" s="1"/>
  <c r="W96" i="135" a="1"/>
  <c r="W96" i="135" s="1"/>
  <c r="M96" i="135" a="1"/>
  <c r="M96" i="135" s="1"/>
  <c r="L96" i="135" a="1"/>
  <c r="L96" i="135" s="1"/>
  <c r="O96" i="135" a="1"/>
  <c r="O96" i="135" s="1"/>
  <c r="R96" i="135" a="1"/>
  <c r="R96" i="135" s="1"/>
  <c r="H96" i="135" a="1"/>
  <c r="H96" i="135" s="1"/>
  <c r="N96" i="135" a="1"/>
  <c r="N96" i="135" s="1"/>
  <c r="Y96" i="135" a="1"/>
  <c r="Y96" i="135" s="1"/>
  <c r="AA96" i="135" a="1"/>
  <c r="AA96" i="135" s="1"/>
  <c r="AD96" i="135" a="1"/>
  <c r="AD96" i="135" s="1"/>
  <c r="U96" i="135" a="1"/>
  <c r="U96" i="135" s="1"/>
  <c r="T96" i="135" a="1"/>
  <c r="T96" i="135" s="1"/>
  <c r="Z96" i="135" a="1"/>
  <c r="Z96" i="135" s="1"/>
  <c r="AK96" i="135" a="1"/>
  <c r="AK96" i="135" s="1"/>
  <c r="AJ96" i="135" a="1"/>
  <c r="AJ96" i="135" s="1"/>
  <c r="AM96" i="135" a="1"/>
  <c r="AM96" i="135" s="1"/>
  <c r="G96" i="135" a="1"/>
  <c r="G96" i="135" s="1"/>
  <c r="J96" i="135" a="1"/>
  <c r="J96" i="135" s="1"/>
  <c r="AH96" i="135" a="1"/>
  <c r="AH96" i="135" s="1"/>
  <c r="AG96" i="135" a="1"/>
  <c r="AG96" i="135" s="1"/>
  <c r="AF96" i="135" a="1"/>
  <c r="AF96" i="135" s="1"/>
  <c r="AI96" i="135" a="1"/>
  <c r="AI96" i="135" s="1"/>
  <c r="AL96" i="135" a="1"/>
  <c r="AL96" i="135" s="1"/>
  <c r="F96" i="135" a="1"/>
  <c r="F96" i="135" s="1"/>
  <c r="AC96" i="135" a="1"/>
  <c r="AC96" i="135" s="1"/>
  <c r="AB96" i="135" a="1"/>
  <c r="AB96" i="135" s="1"/>
  <c r="AE96" i="135" a="1"/>
  <c r="AE96" i="135" s="1"/>
  <c r="E98" i="135" l="1" a="1"/>
  <c r="E98" i="135" s="1"/>
  <c r="D98" i="135" s="1"/>
  <c r="U97" i="135" a="1"/>
  <c r="U97" i="135" s="1"/>
  <c r="T97" i="135" a="1"/>
  <c r="T97" i="135" s="1"/>
  <c r="W97" i="135" a="1"/>
  <c r="W97" i="135" s="1"/>
  <c r="Z97" i="135" a="1"/>
  <c r="Z97" i="135" s="1"/>
  <c r="Q97" i="135" a="1"/>
  <c r="Q97" i="135" s="1"/>
  <c r="P97" i="135" a="1"/>
  <c r="P97" i="135" s="1"/>
  <c r="S97" i="135" a="1"/>
  <c r="S97" i="135" s="1"/>
  <c r="V97" i="135" a="1"/>
  <c r="V97" i="135" s="1"/>
  <c r="R97" i="135" a="1"/>
  <c r="R97" i="135" s="1"/>
  <c r="H97" i="135" a="1"/>
  <c r="H97" i="135" s="1"/>
  <c r="N97" i="135" a="1"/>
  <c r="N97" i="135" s="1"/>
  <c r="AK97" i="135" a="1"/>
  <c r="AK97" i="135" s="1"/>
  <c r="AM97" i="135" a="1"/>
  <c r="AM97" i="135" s="1"/>
  <c r="J97" i="135" a="1"/>
  <c r="J97" i="135" s="1"/>
  <c r="AF97" i="135" a="1"/>
  <c r="AF97" i="135" s="1"/>
  <c r="F97" i="135" a="1"/>
  <c r="F97" i="135" s="1"/>
  <c r="AC97" i="135" a="1"/>
  <c r="AC97" i="135" s="1"/>
  <c r="AE97" i="135" a="1"/>
  <c r="AE97" i="135" s="1"/>
  <c r="AH97" i="135" a="1"/>
  <c r="AH97" i="135" s="1"/>
  <c r="M97" i="135" a="1"/>
  <c r="M97" i="135" s="1"/>
  <c r="L97" i="135" a="1"/>
  <c r="L97" i="135" s="1"/>
  <c r="O97" i="135" a="1"/>
  <c r="O97" i="135" s="1"/>
  <c r="I97" i="135" a="1"/>
  <c r="I97" i="135" s="1"/>
  <c r="K97" i="135" a="1"/>
  <c r="K97" i="135" s="1"/>
  <c r="AJ97" i="135" a="1"/>
  <c r="AJ97" i="135" s="1"/>
  <c r="G97" i="135" a="1"/>
  <c r="G97" i="135" s="1"/>
  <c r="AG97" i="135" a="1"/>
  <c r="AG97" i="135" s="1"/>
  <c r="AI97" i="135" a="1"/>
  <c r="AI97" i="135" s="1"/>
  <c r="AL97" i="135" a="1"/>
  <c r="AL97" i="135" s="1"/>
  <c r="AB97" i="135" a="1"/>
  <c r="AB97" i="135" s="1"/>
  <c r="Y97" i="135" a="1"/>
  <c r="Y97" i="135" s="1"/>
  <c r="X97" i="135" a="1"/>
  <c r="X97" i="135" s="1"/>
  <c r="AA97" i="135" a="1"/>
  <c r="AA97" i="135" s="1"/>
  <c r="AD97" i="135" a="1"/>
  <c r="AD97" i="135" s="1"/>
  <c r="E99" i="135" l="1" a="1"/>
  <c r="E99" i="135" s="1"/>
  <c r="D99" i="135" s="1"/>
  <c r="R98" i="135" a="1"/>
  <c r="R98" i="135" s="1"/>
  <c r="U98" i="135" a="1"/>
  <c r="U98" i="135" s="1"/>
  <c r="T98" i="135" a="1"/>
  <c r="T98" i="135" s="1"/>
  <c r="W98" i="135" a="1"/>
  <c r="W98" i="135" s="1"/>
  <c r="M98" i="135" a="1"/>
  <c r="M98" i="135" s="1"/>
  <c r="L98" i="135" a="1"/>
  <c r="L98" i="135" s="1"/>
  <c r="I98" i="135" a="1"/>
  <c r="I98" i="135" s="1"/>
  <c r="AG98" i="135" a="1"/>
  <c r="AG98" i="135" s="1"/>
  <c r="Z98" i="135" a="1"/>
  <c r="Z98" i="135" s="1"/>
  <c r="AA98" i="135" a="1"/>
  <c r="AA98" i="135" s="1"/>
  <c r="N98" i="135" a="1"/>
  <c r="N98" i="135" s="1"/>
  <c r="Q98" i="135" a="1"/>
  <c r="Q98" i="135" s="1"/>
  <c r="P98" i="135" a="1"/>
  <c r="P98" i="135" s="1"/>
  <c r="S98" i="135" a="1"/>
  <c r="S98" i="135" s="1"/>
  <c r="J98" i="135" a="1"/>
  <c r="J98" i="135" s="1"/>
  <c r="O98" i="135" a="1"/>
  <c r="O98" i="135" s="1"/>
  <c r="K98" i="135" a="1"/>
  <c r="K98" i="135" s="1"/>
  <c r="AI98" i="135" a="1"/>
  <c r="AI98" i="135" s="1"/>
  <c r="AE98" i="135" a="1"/>
  <c r="AE98" i="135" s="1"/>
  <c r="AL98" i="135" a="1"/>
  <c r="AL98" i="135" s="1"/>
  <c r="F98" i="135" a="1"/>
  <c r="F98" i="135" s="1"/>
  <c r="H98" i="135" a="1"/>
  <c r="H98" i="135" s="1"/>
  <c r="AH98" i="135" a="1"/>
  <c r="AH98" i="135" s="1"/>
  <c r="AK98" i="135" a="1"/>
  <c r="AK98" i="135" s="1"/>
  <c r="AJ98" i="135" a="1"/>
  <c r="AJ98" i="135" s="1"/>
  <c r="AM98" i="135" a="1"/>
  <c r="AM98" i="135" s="1"/>
  <c r="G98" i="135" a="1"/>
  <c r="G98" i="135" s="1"/>
  <c r="AF98" i="135" a="1"/>
  <c r="AF98" i="135" s="1"/>
  <c r="AB98" i="135" a="1"/>
  <c r="AB98" i="135" s="1"/>
  <c r="V98" i="135" a="1"/>
  <c r="V98" i="135" s="1"/>
  <c r="Y98" i="135" a="1"/>
  <c r="Y98" i="135" s="1"/>
  <c r="X98" i="135" a="1"/>
  <c r="X98" i="135" s="1"/>
  <c r="AD98" i="135" a="1"/>
  <c r="AD98" i="135" s="1"/>
  <c r="AC98" i="135" a="1"/>
  <c r="AC98" i="135" s="1"/>
  <c r="E100" i="135" l="1" a="1"/>
  <c r="E100" i="135" s="1"/>
  <c r="D100" i="135" s="1"/>
  <c r="Z99" i="135" a="1"/>
  <c r="Z99" i="135" s="1"/>
  <c r="AC99" i="135" a="1"/>
  <c r="AC99" i="135" s="1"/>
  <c r="AB99" i="135" a="1"/>
  <c r="AB99" i="135" s="1"/>
  <c r="AE99" i="135" a="1"/>
  <c r="AE99" i="135" s="1"/>
  <c r="R99" i="135" a="1"/>
  <c r="R99" i="135" s="1"/>
  <c r="W99" i="135" a="1"/>
  <c r="W99" i="135" s="1"/>
  <c r="N99" i="135" a="1"/>
  <c r="N99" i="135" s="1"/>
  <c r="S99" i="135" a="1"/>
  <c r="S99" i="135" s="1"/>
  <c r="M99" i="135" a="1"/>
  <c r="M99" i="135" s="1"/>
  <c r="O99" i="135" a="1"/>
  <c r="O99" i="135" s="1"/>
  <c r="AH99" i="135" a="1"/>
  <c r="AH99" i="135" s="1"/>
  <c r="AJ99" i="135" a="1"/>
  <c r="AJ99" i="135" s="1"/>
  <c r="AM99" i="135" a="1"/>
  <c r="AM99" i="135" s="1"/>
  <c r="AD99" i="135" a="1"/>
  <c r="AD99" i="135" s="1"/>
  <c r="AI99" i="135" a="1"/>
  <c r="AI99" i="135" s="1"/>
  <c r="V99" i="135" a="1"/>
  <c r="V99" i="135" s="1"/>
  <c r="Y99" i="135" a="1"/>
  <c r="Y99" i="135" s="1"/>
  <c r="X99" i="135" a="1"/>
  <c r="X99" i="135" s="1"/>
  <c r="AA99" i="135" a="1"/>
  <c r="AA99" i="135" s="1"/>
  <c r="U99" i="135" a="1"/>
  <c r="U99" i="135" s="1"/>
  <c r="T99" i="135" a="1"/>
  <c r="T99" i="135" s="1"/>
  <c r="Q99" i="135" a="1"/>
  <c r="Q99" i="135" s="1"/>
  <c r="P99" i="135" a="1"/>
  <c r="P99" i="135" s="1"/>
  <c r="J99" i="135" a="1"/>
  <c r="J99" i="135" s="1"/>
  <c r="AG99" i="135" a="1"/>
  <c r="AG99" i="135" s="1"/>
  <c r="L99" i="135" a="1"/>
  <c r="L99" i="135" s="1"/>
  <c r="AF99" i="135" a="1"/>
  <c r="AF99" i="135" s="1"/>
  <c r="AL99" i="135" a="1"/>
  <c r="AL99" i="135" s="1"/>
  <c r="F99" i="135" a="1"/>
  <c r="F99" i="135" s="1"/>
  <c r="I99" i="135" a="1"/>
  <c r="I99" i="135" s="1"/>
  <c r="H99" i="135" a="1"/>
  <c r="H99" i="135" s="1"/>
  <c r="K99" i="135" a="1"/>
  <c r="K99" i="135" s="1"/>
  <c r="AK99" i="135" a="1"/>
  <c r="AK99" i="135" s="1"/>
  <c r="G99" i="135" a="1"/>
  <c r="G99" i="135" s="1"/>
  <c r="E101" i="135" l="1" a="1"/>
  <c r="E101" i="135" s="1"/>
  <c r="D101" i="135" s="1"/>
  <c r="AA100" i="135" a="1"/>
  <c r="AA100" i="135" s="1"/>
  <c r="AD100" i="135" a="1"/>
  <c r="AD100" i="135" s="1"/>
  <c r="AG100" i="135" a="1"/>
  <c r="AG100" i="135" s="1"/>
  <c r="AF100" i="135" a="1"/>
  <c r="AF100" i="135" s="1"/>
  <c r="S100" i="135" a="1"/>
  <c r="S100" i="135" s="1"/>
  <c r="Y100" i="135" a="1"/>
  <c r="Y100" i="135" s="1"/>
  <c r="K100" i="135" a="1"/>
  <c r="K100" i="135" s="1"/>
  <c r="N100" i="135" a="1"/>
  <c r="N100" i="135" s="1"/>
  <c r="Q100" i="135" a="1"/>
  <c r="Q100" i="135" s="1"/>
  <c r="P100" i="135" a="1"/>
  <c r="P100" i="135" s="1"/>
  <c r="H100" i="135" a="1"/>
  <c r="H100" i="135" s="1"/>
  <c r="AE100" i="135" a="1"/>
  <c r="AE100" i="135" s="1"/>
  <c r="AK100" i="135" a="1"/>
  <c r="AK100" i="135" s="1"/>
  <c r="W100" i="135" a="1"/>
  <c r="W100" i="135" s="1"/>
  <c r="Z100" i="135" a="1"/>
  <c r="Z100" i="135" s="1"/>
  <c r="AC100" i="135" a="1"/>
  <c r="AC100" i="135" s="1"/>
  <c r="AB100" i="135" a="1"/>
  <c r="AB100" i="135" s="1"/>
  <c r="V100" i="135" a="1"/>
  <c r="V100" i="135" s="1"/>
  <c r="X100" i="135" a="1"/>
  <c r="X100" i="135" s="1"/>
  <c r="O100" i="135" a="1"/>
  <c r="O100" i="135" s="1"/>
  <c r="R100" i="135" a="1"/>
  <c r="R100" i="135" s="1"/>
  <c r="U100" i="135" a="1"/>
  <c r="U100" i="135" s="1"/>
  <c r="T100" i="135" a="1"/>
  <c r="T100" i="135" s="1"/>
  <c r="I100" i="135" a="1"/>
  <c r="I100" i="135" s="1"/>
  <c r="AH100" i="135" a="1"/>
  <c r="AH100" i="135" s="1"/>
  <c r="AJ100" i="135" a="1"/>
  <c r="AJ100" i="135" s="1"/>
  <c r="AM100" i="135" a="1"/>
  <c r="AM100" i="135" s="1"/>
  <c r="G100" i="135" a="1"/>
  <c r="G100" i="135" s="1"/>
  <c r="J100" i="135" a="1"/>
  <c r="J100" i="135" s="1"/>
  <c r="M100" i="135" a="1"/>
  <c r="M100" i="135" s="1"/>
  <c r="L100" i="135" a="1"/>
  <c r="L100" i="135" s="1"/>
  <c r="AI100" i="135" a="1"/>
  <c r="AI100" i="135" s="1"/>
  <c r="AL100" i="135" a="1"/>
  <c r="AL100" i="135" s="1"/>
  <c r="F100" i="135" a="1"/>
  <c r="F100" i="135" s="1"/>
  <c r="E102" i="135" l="1" a="1"/>
  <c r="E102" i="135" s="1"/>
  <c r="D102" i="135" s="1"/>
  <c r="S101" i="135" a="1"/>
  <c r="S101" i="135" s="1"/>
  <c r="V101" i="135" a="1"/>
  <c r="V101" i="135" s="1"/>
  <c r="Y101" i="135" a="1"/>
  <c r="Y101" i="135" s="1"/>
  <c r="X101" i="135" a="1"/>
  <c r="X101" i="135" s="1"/>
  <c r="K101" i="135" a="1"/>
  <c r="K101" i="135" s="1"/>
  <c r="Q101" i="135" a="1"/>
  <c r="Q101" i="135" s="1"/>
  <c r="H101" i="135" a="1"/>
  <c r="H101" i="135" s="1"/>
  <c r="AA101" i="135" a="1"/>
  <c r="AA101" i="135" s="1"/>
  <c r="AG101" i="135" a="1"/>
  <c r="AG101" i="135" s="1"/>
  <c r="O101" i="135" a="1"/>
  <c r="O101" i="135" s="1"/>
  <c r="R101" i="135" a="1"/>
  <c r="R101" i="135" s="1"/>
  <c r="U101" i="135" a="1"/>
  <c r="U101" i="135" s="1"/>
  <c r="T101" i="135" a="1"/>
  <c r="T101" i="135" s="1"/>
  <c r="N101" i="135" a="1"/>
  <c r="N101" i="135" s="1"/>
  <c r="P101" i="135" a="1"/>
  <c r="P101" i="135" s="1"/>
  <c r="AE101" i="135" a="1"/>
  <c r="AE101" i="135" s="1"/>
  <c r="AK101" i="135" a="1"/>
  <c r="AK101" i="135" s="1"/>
  <c r="AD101" i="135" a="1"/>
  <c r="AD101" i="135" s="1"/>
  <c r="AF101" i="135" a="1"/>
  <c r="AF101" i="135" s="1"/>
  <c r="W101" i="135" a="1"/>
  <c r="W101" i="135" s="1"/>
  <c r="Z101" i="135" a="1"/>
  <c r="Z101" i="135" s="1"/>
  <c r="AB101" i="135" a="1"/>
  <c r="AB101" i="135" s="1"/>
  <c r="AM101" i="135" a="1"/>
  <c r="AM101" i="135" s="1"/>
  <c r="G101" i="135" a="1"/>
  <c r="G101" i="135" s="1"/>
  <c r="J101" i="135" a="1"/>
  <c r="J101" i="135" s="1"/>
  <c r="M101" i="135" a="1"/>
  <c r="M101" i="135" s="1"/>
  <c r="L101" i="135" a="1"/>
  <c r="L101" i="135" s="1"/>
  <c r="AI101" i="135" a="1"/>
  <c r="AI101" i="135" s="1"/>
  <c r="AL101" i="135" a="1"/>
  <c r="AL101" i="135" s="1"/>
  <c r="F101" i="135" a="1"/>
  <c r="F101" i="135" s="1"/>
  <c r="I101" i="135" a="1"/>
  <c r="I101" i="135" s="1"/>
  <c r="AH101" i="135" a="1"/>
  <c r="AH101" i="135" s="1"/>
  <c r="AJ101" i="135" a="1"/>
  <c r="AJ101" i="135" s="1"/>
  <c r="AC101" i="135" a="1"/>
  <c r="AC101" i="135" s="1"/>
  <c r="E103" i="135" l="1" a="1"/>
  <c r="E103" i="135" s="1"/>
  <c r="D103" i="135" s="1"/>
  <c r="L102" i="135" a="1"/>
  <c r="L102" i="135" s="1"/>
  <c r="O102" i="135" a="1"/>
  <c r="O102" i="135" s="1"/>
  <c r="R102" i="135" a="1"/>
  <c r="R102" i="135" s="1"/>
  <c r="U102" i="135" a="1"/>
  <c r="U102" i="135" s="1"/>
  <c r="H102" i="135" a="1"/>
  <c r="H102" i="135" s="1"/>
  <c r="K102" i="135" a="1"/>
  <c r="K102" i="135" s="1"/>
  <c r="N102" i="135" a="1"/>
  <c r="N102" i="135" s="1"/>
  <c r="Q102" i="135" a="1"/>
  <c r="Q102" i="135" s="1"/>
  <c r="AJ102" i="135" a="1"/>
  <c r="AJ102" i="135" s="1"/>
  <c r="AM102" i="135" a="1"/>
  <c r="AM102" i="135" s="1"/>
  <c r="G102" i="135" a="1"/>
  <c r="G102" i="135" s="1"/>
  <c r="J102" i="135" a="1"/>
  <c r="J102" i="135" s="1"/>
  <c r="M102" i="135" a="1"/>
  <c r="M102" i="135" s="1"/>
  <c r="AF102" i="135" a="1"/>
  <c r="AF102" i="135" s="1"/>
  <c r="AI102" i="135" a="1"/>
  <c r="AI102" i="135" s="1"/>
  <c r="AL102" i="135" a="1"/>
  <c r="AL102" i="135" s="1"/>
  <c r="F102" i="135" a="1"/>
  <c r="F102" i="135" s="1"/>
  <c r="I102" i="135" a="1"/>
  <c r="I102" i="135" s="1"/>
  <c r="T102" i="135" a="1"/>
  <c r="T102" i="135" s="1"/>
  <c r="W102" i="135" a="1"/>
  <c r="W102" i="135" s="1"/>
  <c r="Z102" i="135" a="1"/>
  <c r="Z102" i="135" s="1"/>
  <c r="AC102" i="135" a="1"/>
  <c r="AC102" i="135" s="1"/>
  <c r="P102" i="135" a="1"/>
  <c r="P102" i="135" s="1"/>
  <c r="S102" i="135" a="1"/>
  <c r="S102" i="135" s="1"/>
  <c r="V102" i="135" a="1"/>
  <c r="V102" i="135" s="1"/>
  <c r="Y102" i="135" a="1"/>
  <c r="Y102" i="135" s="1"/>
  <c r="AB102" i="135" a="1"/>
  <c r="AB102" i="135" s="1"/>
  <c r="AE102" i="135" a="1"/>
  <c r="AE102" i="135" s="1"/>
  <c r="AH102" i="135" a="1"/>
  <c r="AH102" i="135" s="1"/>
  <c r="AK102" i="135" a="1"/>
  <c r="AK102" i="135" s="1"/>
  <c r="X102" i="135" a="1"/>
  <c r="X102" i="135" s="1"/>
  <c r="AA102" i="135" a="1"/>
  <c r="AA102" i="135" s="1"/>
  <c r="AD102" i="135" a="1"/>
  <c r="AD102" i="135" s="1"/>
  <c r="AG102" i="135" a="1"/>
  <c r="AG102" i="135" s="1"/>
  <c r="E104" i="135" l="1" a="1"/>
  <c r="E104" i="135" s="1"/>
  <c r="D104" i="135" s="1"/>
  <c r="T103" i="135" a="1"/>
  <c r="T103" i="135" s="1"/>
  <c r="W103" i="135" a="1"/>
  <c r="W103" i="135" s="1"/>
  <c r="Z103" i="135" a="1"/>
  <c r="Z103" i="135" s="1"/>
  <c r="AC103" i="135" a="1"/>
  <c r="AC103" i="135" s="1"/>
  <c r="L103" i="135" a="1"/>
  <c r="L103" i="135" s="1"/>
  <c r="R103" i="135" a="1"/>
  <c r="R103" i="135" s="1"/>
  <c r="K103" i="135" a="1"/>
  <c r="K103" i="135" s="1"/>
  <c r="Q103" i="135" a="1"/>
  <c r="Q103" i="135" s="1"/>
  <c r="AB103" i="135" a="1"/>
  <c r="AB103" i="135" s="1"/>
  <c r="AE103" i="135" a="1"/>
  <c r="AE103" i="135" s="1"/>
  <c r="AK103" i="135" a="1"/>
  <c r="AK103" i="135" s="1"/>
  <c r="AA103" i="135" a="1"/>
  <c r="AA103" i="135" s="1"/>
  <c r="P103" i="135" a="1"/>
  <c r="P103" i="135" s="1"/>
  <c r="S103" i="135" a="1"/>
  <c r="S103" i="135" s="1"/>
  <c r="V103" i="135" a="1"/>
  <c r="V103" i="135" s="1"/>
  <c r="Y103" i="135" a="1"/>
  <c r="Y103" i="135" s="1"/>
  <c r="U103" i="135" a="1"/>
  <c r="U103" i="135" s="1"/>
  <c r="H103" i="135" a="1"/>
  <c r="H103" i="135" s="1"/>
  <c r="N103" i="135" a="1"/>
  <c r="N103" i="135" s="1"/>
  <c r="F103" i="135" a="1"/>
  <c r="F103" i="135" s="1"/>
  <c r="AG103" i="135" a="1"/>
  <c r="AG103" i="135" s="1"/>
  <c r="O103" i="135" a="1"/>
  <c r="O103" i="135" s="1"/>
  <c r="AF103" i="135" a="1"/>
  <c r="AF103" i="135" s="1"/>
  <c r="AI103" i="135" a="1"/>
  <c r="AI103" i="135" s="1"/>
  <c r="AL103" i="135" a="1"/>
  <c r="AL103" i="135" s="1"/>
  <c r="I103" i="135" a="1"/>
  <c r="I103" i="135" s="1"/>
  <c r="AH103" i="135" a="1"/>
  <c r="AH103" i="135" s="1"/>
  <c r="X103" i="135" a="1"/>
  <c r="X103" i="135" s="1"/>
  <c r="AD103" i="135" a="1"/>
  <c r="AD103" i="135" s="1"/>
  <c r="AJ103" i="135" a="1"/>
  <c r="AJ103" i="135" s="1"/>
  <c r="AM103" i="135" a="1"/>
  <c r="AM103" i="135" s="1"/>
  <c r="G103" i="135" a="1"/>
  <c r="G103" i="135" s="1"/>
  <c r="J103" i="135" a="1"/>
  <c r="J103" i="135" s="1"/>
  <c r="M103" i="135" a="1"/>
  <c r="M103" i="135" s="1"/>
  <c r="E105" i="135" l="1" a="1"/>
  <c r="E105" i="135" s="1"/>
  <c r="D105" i="135" s="1"/>
  <c r="M104" i="135" a="1"/>
  <c r="M104" i="135" s="1"/>
  <c r="L104" i="135" a="1"/>
  <c r="L104" i="135" s="1"/>
  <c r="O104" i="135" a="1"/>
  <c r="O104" i="135" s="1"/>
  <c r="R104" i="135" a="1"/>
  <c r="R104" i="135" s="1"/>
  <c r="I104" i="135" a="1"/>
  <c r="I104" i="135" s="1"/>
  <c r="H104" i="135" a="1"/>
  <c r="H104" i="135" s="1"/>
  <c r="K104" i="135" a="1"/>
  <c r="K104" i="135" s="1"/>
  <c r="N104" i="135" a="1"/>
  <c r="N104" i="135" s="1"/>
  <c r="Y104" i="135" a="1"/>
  <c r="Y104" i="135" s="1"/>
  <c r="X104" i="135" a="1"/>
  <c r="X104" i="135" s="1"/>
  <c r="AA104" i="135" a="1"/>
  <c r="AA104" i="135" s="1"/>
  <c r="Z104" i="135" a="1"/>
  <c r="Z104" i="135" s="1"/>
  <c r="S104" i="135" a="1"/>
  <c r="S104" i="135" s="1"/>
  <c r="AK104" i="135" a="1"/>
  <c r="AK104" i="135" s="1"/>
  <c r="AJ104" i="135" a="1"/>
  <c r="AJ104" i="135" s="1"/>
  <c r="AM104" i="135" a="1"/>
  <c r="AM104" i="135" s="1"/>
  <c r="G104" i="135" a="1"/>
  <c r="G104" i="135" s="1"/>
  <c r="J104" i="135" a="1"/>
  <c r="J104" i="135" s="1"/>
  <c r="AI104" i="135" a="1"/>
  <c r="AI104" i="135" s="1"/>
  <c r="F104" i="135" a="1"/>
  <c r="F104" i="135" s="1"/>
  <c r="AC104" i="135" a="1"/>
  <c r="AC104" i="135" s="1"/>
  <c r="AE104" i="135" a="1"/>
  <c r="AE104" i="135" s="1"/>
  <c r="AD104" i="135" a="1"/>
  <c r="AD104" i="135" s="1"/>
  <c r="U104" i="135" a="1"/>
  <c r="U104" i="135" s="1"/>
  <c r="T104" i="135" a="1"/>
  <c r="T104" i="135" s="1"/>
  <c r="W104" i="135" a="1"/>
  <c r="W104" i="135" s="1"/>
  <c r="Q104" i="135" a="1"/>
  <c r="Q104" i="135" s="1"/>
  <c r="P104" i="135" a="1"/>
  <c r="P104" i="135" s="1"/>
  <c r="V104" i="135" a="1"/>
  <c r="V104" i="135" s="1"/>
  <c r="AG104" i="135" a="1"/>
  <c r="AG104" i="135" s="1"/>
  <c r="AF104" i="135" a="1"/>
  <c r="AF104" i="135" s="1"/>
  <c r="AL104" i="135" a="1"/>
  <c r="AL104" i="135" s="1"/>
  <c r="AH104" i="135" a="1"/>
  <c r="AH104" i="135" s="1"/>
  <c r="AB104" i="135" a="1"/>
  <c r="AB104" i="135" s="1"/>
  <c r="E106" i="135" l="1" a="1"/>
  <c r="E106" i="135" s="1"/>
  <c r="D106" i="135" s="1"/>
  <c r="Y105" i="135" a="1"/>
  <c r="Y105" i="135" s="1"/>
  <c r="X105" i="135" a="1"/>
  <c r="X105" i="135" s="1"/>
  <c r="AA105" i="135" a="1"/>
  <c r="AA105" i="135" s="1"/>
  <c r="AD105" i="135" a="1"/>
  <c r="AD105" i="135" s="1"/>
  <c r="U105" i="135" a="1"/>
  <c r="U105" i="135" s="1"/>
  <c r="T105" i="135" a="1"/>
  <c r="T105" i="135" s="1"/>
  <c r="W105" i="135" a="1"/>
  <c r="W105" i="135" s="1"/>
  <c r="Z105" i="135" a="1"/>
  <c r="Z105" i="135" s="1"/>
  <c r="P105" i="135" a="1"/>
  <c r="P105" i="135" s="1"/>
  <c r="S105" i="135" a="1"/>
  <c r="S105" i="135" s="1"/>
  <c r="M105" i="135" a="1"/>
  <c r="M105" i="135" s="1"/>
  <c r="L105" i="135" a="1"/>
  <c r="L105" i="135" s="1"/>
  <c r="R105" i="135" a="1"/>
  <c r="R105" i="135" s="1"/>
  <c r="H105" i="135" a="1"/>
  <c r="H105" i="135" s="1"/>
  <c r="N105" i="135" a="1"/>
  <c r="N105" i="135" s="1"/>
  <c r="AL105" i="135" a="1"/>
  <c r="AL105" i="135" s="1"/>
  <c r="AC105" i="135" a="1"/>
  <c r="AC105" i="135" s="1"/>
  <c r="AE105" i="135" a="1"/>
  <c r="AE105" i="135" s="1"/>
  <c r="AH105" i="135" a="1"/>
  <c r="AH105" i="135" s="1"/>
  <c r="Q105" i="135" a="1"/>
  <c r="Q105" i="135" s="1"/>
  <c r="V105" i="135" a="1"/>
  <c r="V105" i="135" s="1"/>
  <c r="O105" i="135" a="1"/>
  <c r="O105" i="135" s="1"/>
  <c r="I105" i="135" a="1"/>
  <c r="I105" i="135" s="1"/>
  <c r="K105" i="135" a="1"/>
  <c r="K105" i="135" s="1"/>
  <c r="AI105" i="135" a="1"/>
  <c r="AI105" i="135" s="1"/>
  <c r="F105" i="135" a="1"/>
  <c r="F105" i="135" s="1"/>
  <c r="AB105" i="135" a="1"/>
  <c r="AB105" i="135" s="1"/>
  <c r="AK105" i="135" a="1"/>
  <c r="AK105" i="135" s="1"/>
  <c r="AJ105" i="135" a="1"/>
  <c r="AJ105" i="135" s="1"/>
  <c r="AM105" i="135" a="1"/>
  <c r="AM105" i="135" s="1"/>
  <c r="G105" i="135" a="1"/>
  <c r="G105" i="135" s="1"/>
  <c r="J105" i="135" a="1"/>
  <c r="J105" i="135" s="1"/>
  <c r="AG105" i="135" a="1"/>
  <c r="AG105" i="135" s="1"/>
  <c r="AF105" i="135" a="1"/>
  <c r="AF105" i="135" s="1"/>
  <c r="E107" i="135" l="1" a="1"/>
  <c r="E107" i="135" s="1"/>
  <c r="D107" i="135" s="1"/>
  <c r="R106" i="135" a="1"/>
  <c r="R106" i="135" s="1"/>
  <c r="U106" i="135" a="1"/>
  <c r="U106" i="135" s="1"/>
  <c r="T106" i="135" a="1"/>
  <c r="T106" i="135" s="1"/>
  <c r="W106" i="135" a="1"/>
  <c r="W106" i="135" s="1"/>
  <c r="J106" i="135" a="1"/>
  <c r="J106" i="135" s="1"/>
  <c r="L106" i="135" a="1"/>
  <c r="L106" i="135" s="1"/>
  <c r="O106" i="135" a="1"/>
  <c r="O106" i="135" s="1"/>
  <c r="AL106" i="135" a="1"/>
  <c r="AL106" i="135" s="1"/>
  <c r="F106" i="135" a="1"/>
  <c r="F106" i="135" s="1"/>
  <c r="I106" i="135" a="1"/>
  <c r="I106" i="135" s="1"/>
  <c r="H106" i="135" a="1"/>
  <c r="H106" i="135" s="1"/>
  <c r="Z106" i="135" a="1"/>
  <c r="Z106" i="135" s="1"/>
  <c r="AE106" i="135" a="1"/>
  <c r="AE106" i="135" s="1"/>
  <c r="V106" i="135" a="1"/>
  <c r="V106" i="135" s="1"/>
  <c r="X106" i="135" a="1"/>
  <c r="X106" i="135" s="1"/>
  <c r="N106" i="135" a="1"/>
  <c r="N106" i="135" s="1"/>
  <c r="Q106" i="135" a="1"/>
  <c r="Q106" i="135" s="1"/>
  <c r="P106" i="135" a="1"/>
  <c r="P106" i="135" s="1"/>
  <c r="S106" i="135" a="1"/>
  <c r="S106" i="135" s="1"/>
  <c r="M106" i="135" a="1"/>
  <c r="M106" i="135" s="1"/>
  <c r="K106" i="135" a="1"/>
  <c r="K106" i="135" s="1"/>
  <c r="AC106" i="135" a="1"/>
  <c r="AC106" i="135" s="1"/>
  <c r="AH106" i="135" a="1"/>
  <c r="AH106" i="135" s="1"/>
  <c r="AK106" i="135" a="1"/>
  <c r="AK106" i="135" s="1"/>
  <c r="AJ106" i="135" a="1"/>
  <c r="AJ106" i="135" s="1"/>
  <c r="AM106" i="135" a="1"/>
  <c r="AM106" i="135" s="1"/>
  <c r="G106" i="135" a="1"/>
  <c r="G106" i="135" s="1"/>
  <c r="AB106" i="135" a="1"/>
  <c r="AB106" i="135" s="1"/>
  <c r="Y106" i="135" a="1"/>
  <c r="Y106" i="135" s="1"/>
  <c r="AA106" i="135" a="1"/>
  <c r="AA106" i="135" s="1"/>
  <c r="AD106" i="135" a="1"/>
  <c r="AD106" i="135" s="1"/>
  <c r="AG106" i="135" a="1"/>
  <c r="AG106" i="135" s="1"/>
  <c r="AF106" i="135" a="1"/>
  <c r="AF106" i="135" s="1"/>
  <c r="AI106" i="135" a="1"/>
  <c r="AI106" i="135" s="1"/>
  <c r="E108" i="135" l="1" a="1"/>
  <c r="E108" i="135" s="1"/>
  <c r="D108" i="135" s="1"/>
  <c r="R107" i="135" a="1"/>
  <c r="R107" i="135" s="1"/>
  <c r="U107" i="135" a="1"/>
  <c r="U107" i="135" s="1"/>
  <c r="T107" i="135" a="1"/>
  <c r="T107" i="135" s="1"/>
  <c r="W107" i="135" a="1"/>
  <c r="W107" i="135" s="1"/>
  <c r="N107" i="135" a="1"/>
  <c r="N107" i="135" s="1"/>
  <c r="Q107" i="135" a="1"/>
  <c r="Q107" i="135" s="1"/>
  <c r="P107" i="135" a="1"/>
  <c r="P107" i="135" s="1"/>
  <c r="S107" i="135" a="1"/>
  <c r="S107" i="135" s="1"/>
  <c r="J107" i="135" a="1"/>
  <c r="J107" i="135" s="1"/>
  <c r="M107" i="135" a="1"/>
  <c r="M107" i="135" s="1"/>
  <c r="L107" i="135" a="1"/>
  <c r="L107" i="135" s="1"/>
  <c r="O107" i="135" a="1"/>
  <c r="O107" i="135" s="1"/>
  <c r="AL107" i="135" a="1"/>
  <c r="AL107" i="135" s="1"/>
  <c r="F107" i="135" a="1"/>
  <c r="F107" i="135" s="1"/>
  <c r="I107" i="135" a="1"/>
  <c r="I107" i="135" s="1"/>
  <c r="H107" i="135" a="1"/>
  <c r="H107" i="135" s="1"/>
  <c r="K107" i="135" a="1"/>
  <c r="K107" i="135" s="1"/>
  <c r="AB107" i="135" a="1"/>
  <c r="AB107" i="135" s="1"/>
  <c r="X107" i="135" a="1"/>
  <c r="X107" i="135" s="1"/>
  <c r="AH107" i="135" a="1"/>
  <c r="AH107" i="135" s="1"/>
  <c r="AK107" i="135" a="1"/>
  <c r="AK107" i="135" s="1"/>
  <c r="AJ107" i="135" a="1"/>
  <c r="AJ107" i="135" s="1"/>
  <c r="AM107" i="135" a="1"/>
  <c r="AM107" i="135" s="1"/>
  <c r="G107" i="135" a="1"/>
  <c r="G107" i="135" s="1"/>
  <c r="Z107" i="135" a="1"/>
  <c r="Z107" i="135" s="1"/>
  <c r="AC107" i="135" a="1"/>
  <c r="AC107" i="135" s="1"/>
  <c r="AE107" i="135" a="1"/>
  <c r="AE107" i="135" s="1"/>
  <c r="V107" i="135" a="1"/>
  <c r="V107" i="135" s="1"/>
  <c r="Y107" i="135" a="1"/>
  <c r="Y107" i="135" s="1"/>
  <c r="AA107" i="135" a="1"/>
  <c r="AA107" i="135" s="1"/>
  <c r="AD107" i="135" a="1"/>
  <c r="AD107" i="135" s="1"/>
  <c r="AG107" i="135" a="1"/>
  <c r="AG107" i="135" s="1"/>
  <c r="AF107" i="135" a="1"/>
  <c r="AF107" i="135" s="1"/>
  <c r="AI107" i="135" a="1"/>
  <c r="AI107" i="135" s="1"/>
  <c r="E109" i="135" l="1" a="1"/>
  <c r="E109" i="135" s="1"/>
  <c r="D109" i="135" s="1"/>
  <c r="S108" i="135" a="1"/>
  <c r="S108" i="135" s="1"/>
  <c r="V108" i="135" a="1"/>
  <c r="V108" i="135" s="1"/>
  <c r="Y108" i="135" a="1"/>
  <c r="Y108" i="135" s="1"/>
  <c r="X108" i="135" a="1"/>
  <c r="X108" i="135" s="1"/>
  <c r="N108" i="135" a="1"/>
  <c r="N108" i="135" s="1"/>
  <c r="P108" i="135" a="1"/>
  <c r="P108" i="135" s="1"/>
  <c r="I108" i="135" a="1"/>
  <c r="I108" i="135" s="1"/>
  <c r="AE108" i="135" a="1"/>
  <c r="AE108" i="135" s="1"/>
  <c r="AK108" i="135" a="1"/>
  <c r="AK108" i="135" s="1"/>
  <c r="AC108" i="135" a="1"/>
  <c r="AC108" i="135" s="1"/>
  <c r="O108" i="135" a="1"/>
  <c r="O108" i="135" s="1"/>
  <c r="R108" i="135" a="1"/>
  <c r="R108" i="135" s="1"/>
  <c r="U108" i="135" a="1"/>
  <c r="U108" i="135" s="1"/>
  <c r="T108" i="135" a="1"/>
  <c r="T108" i="135" s="1"/>
  <c r="K108" i="135" a="1"/>
  <c r="K108" i="135" s="1"/>
  <c r="Q108" i="135" a="1"/>
  <c r="Q108" i="135" s="1"/>
  <c r="AI108" i="135" a="1"/>
  <c r="AI108" i="135" s="1"/>
  <c r="F108" i="135" a="1"/>
  <c r="F108" i="135" s="1"/>
  <c r="H108" i="135" a="1"/>
  <c r="H108" i="135" s="1"/>
  <c r="AH108" i="135" a="1"/>
  <c r="AH108" i="135" s="1"/>
  <c r="AJ108" i="135" a="1"/>
  <c r="AJ108" i="135" s="1"/>
  <c r="AD108" i="135" a="1"/>
  <c r="AD108" i="135" s="1"/>
  <c r="AF108" i="135" a="1"/>
  <c r="AF108" i="135" s="1"/>
  <c r="W108" i="135" a="1"/>
  <c r="W108" i="135" s="1"/>
  <c r="AM108" i="135" a="1"/>
  <c r="AM108" i="135" s="1"/>
  <c r="G108" i="135" a="1"/>
  <c r="G108" i="135" s="1"/>
  <c r="J108" i="135" a="1"/>
  <c r="J108" i="135" s="1"/>
  <c r="M108" i="135" a="1"/>
  <c r="M108" i="135" s="1"/>
  <c r="L108" i="135" a="1"/>
  <c r="L108" i="135" s="1"/>
  <c r="AL108" i="135" a="1"/>
  <c r="AL108" i="135" s="1"/>
  <c r="AA108" i="135" a="1"/>
  <c r="AA108" i="135" s="1"/>
  <c r="AG108" i="135" a="1"/>
  <c r="AG108" i="135" s="1"/>
  <c r="Z108" i="135" a="1"/>
  <c r="Z108" i="135" s="1"/>
  <c r="AB108" i="135" a="1"/>
  <c r="AB108" i="135" s="1"/>
  <c r="E110" i="135" l="1" a="1"/>
  <c r="E110" i="135" s="1"/>
  <c r="D110" i="135" s="1"/>
  <c r="Q109" i="135" a="1"/>
  <c r="Q109" i="135" s="1"/>
  <c r="L109" i="135" a="1"/>
  <c r="L109" i="135" s="1"/>
  <c r="AL109" i="135" a="1"/>
  <c r="AL109" i="135" s="1"/>
  <c r="W109" i="135" a="1"/>
  <c r="W109" i="135" s="1"/>
  <c r="AD109" i="135" a="1"/>
  <c r="AD109" i="135" s="1"/>
  <c r="O109" i="135" a="1"/>
  <c r="O109" i="135" s="1"/>
  <c r="AJ109" i="135" a="1"/>
  <c r="AJ109" i="135" s="1"/>
  <c r="F109" i="135" a="1"/>
  <c r="F109" i="135" s="1"/>
  <c r="AC109" i="135" a="1"/>
  <c r="AC109" i="135" s="1"/>
  <c r="S109" i="135" a="1"/>
  <c r="S109" i="135" s="1"/>
  <c r="Y109" i="135" a="1"/>
  <c r="Y109" i="135" s="1"/>
  <c r="T109" i="135" a="1"/>
  <c r="T109" i="135" s="1"/>
  <c r="M109" i="135" a="1"/>
  <c r="M109" i="135" s="1"/>
  <c r="AM109" i="135" a="1"/>
  <c r="AM109" i="135" s="1"/>
  <c r="X109" i="135" a="1"/>
  <c r="X109" i="135" s="1"/>
  <c r="N109" i="135" a="1"/>
  <c r="N109" i="135" s="1"/>
  <c r="I109" i="135" a="1"/>
  <c r="I109" i="135" s="1"/>
  <c r="H109" i="135" a="1"/>
  <c r="H109" i="135" s="1"/>
  <c r="J109" i="135" a="1"/>
  <c r="J109" i="135" s="1"/>
  <c r="U109" i="135" a="1"/>
  <c r="U109" i="135" s="1"/>
  <c r="AF109" i="135" a="1"/>
  <c r="AF109" i="135" s="1"/>
  <c r="AK109" i="135" a="1"/>
  <c r="AK109" i="135" s="1"/>
  <c r="AE109" i="135" a="1"/>
  <c r="AE109" i="135" s="1"/>
  <c r="P109" i="135" a="1"/>
  <c r="P109" i="135" s="1"/>
  <c r="AA109" i="135" a="1"/>
  <c r="AA109" i="135" s="1"/>
  <c r="AH109" i="135" a="1"/>
  <c r="AH109" i="135" s="1"/>
  <c r="K109" i="135" a="1"/>
  <c r="K109" i="135" s="1"/>
  <c r="AG109" i="135" a="1"/>
  <c r="AG109" i="135" s="1"/>
  <c r="V109" i="135" a="1"/>
  <c r="V109" i="135" s="1"/>
  <c r="G109" i="135" a="1"/>
  <c r="G109" i="135" s="1"/>
  <c r="AB109" i="135" a="1"/>
  <c r="AB109" i="135" s="1"/>
  <c r="R109" i="135" a="1"/>
  <c r="R109" i="135" s="1"/>
  <c r="AI109" i="135" a="1"/>
  <c r="AI109" i="135" s="1"/>
  <c r="Z109" i="135" a="1"/>
  <c r="Z109" i="135" s="1"/>
  <c r="E111" i="135" l="1" a="1"/>
  <c r="E111" i="135" s="1"/>
  <c r="D111" i="135" s="1"/>
  <c r="I110" i="135" a="1"/>
  <c r="I110" i="135" s="1"/>
  <c r="H110" i="135" a="1"/>
  <c r="H110" i="135" s="1"/>
  <c r="P110" i="135" a="1"/>
  <c r="P110" i="135" s="1"/>
  <c r="X110" i="135" a="1"/>
  <c r="X110" i="135" s="1"/>
  <c r="AJ110" i="135" a="1"/>
  <c r="AJ110" i="135" s="1"/>
  <c r="AI110" i="135" a="1"/>
  <c r="AI110" i="135" s="1"/>
  <c r="G110" i="135" a="1"/>
  <c r="G110" i="135" s="1"/>
  <c r="O110" i="135" a="1"/>
  <c r="O110" i="135" s="1"/>
  <c r="AA110" i="135" a="1"/>
  <c r="AA110" i="135" s="1"/>
  <c r="Z110" i="135" a="1"/>
  <c r="Z110" i="135" s="1"/>
  <c r="AH110" i="135" a="1"/>
  <c r="AH110" i="135" s="1"/>
  <c r="F110" i="135" a="1"/>
  <c r="F110" i="135" s="1"/>
  <c r="AL110" i="135" a="1"/>
  <c r="AL110" i="135" s="1"/>
  <c r="N110" i="135" a="1"/>
  <c r="N110" i="135" s="1"/>
  <c r="Y110" i="135" a="1"/>
  <c r="Y110" i="135" s="1"/>
  <c r="R110" i="135" a="1"/>
  <c r="R110" i="135" s="1"/>
  <c r="U110" i="135" a="1"/>
  <c r="U110" i="135" s="1"/>
  <c r="AC110" i="135" a="1"/>
  <c r="AC110" i="135" s="1"/>
  <c r="AK110" i="135" a="1"/>
  <c r="AK110" i="135" s="1"/>
  <c r="M110" i="135" a="1"/>
  <c r="M110" i="135" s="1"/>
  <c r="L110" i="135" a="1"/>
  <c r="L110" i="135" s="1"/>
  <c r="T110" i="135" a="1"/>
  <c r="T110" i="135" s="1"/>
  <c r="AB110" i="135" a="1"/>
  <c r="AB110" i="135" s="1"/>
  <c r="J110" i="135" a="1"/>
  <c r="J110" i="135" s="1"/>
  <c r="Q110" i="135" a="1"/>
  <c r="Q110" i="135" s="1"/>
  <c r="AG110" i="135" a="1"/>
  <c r="AG110" i="135" s="1"/>
  <c r="AF110" i="135" a="1"/>
  <c r="AF110" i="135" s="1"/>
  <c r="AE110" i="135" a="1"/>
  <c r="AE110" i="135" s="1"/>
  <c r="AM110" i="135" a="1"/>
  <c r="AM110" i="135" s="1"/>
  <c r="K110" i="135" a="1"/>
  <c r="K110" i="135" s="1"/>
  <c r="S110" i="135" a="1"/>
  <c r="S110" i="135" s="1"/>
  <c r="W110" i="135" a="1"/>
  <c r="W110" i="135" s="1"/>
  <c r="V110" i="135" a="1"/>
  <c r="V110" i="135" s="1"/>
  <c r="AD110" i="135" a="1"/>
  <c r="AD110" i="135" s="1"/>
  <c r="E112" i="135" l="1" a="1"/>
  <c r="E112" i="135" s="1"/>
  <c r="D112" i="135" s="1"/>
  <c r="V111" i="135" a="1"/>
  <c r="V111" i="135" s="1"/>
  <c r="AK111" i="135" a="1"/>
  <c r="AK111" i="135" s="1"/>
  <c r="M111" i="135" a="1"/>
  <c r="M111" i="135" s="1"/>
  <c r="Y111" i="135" a="1"/>
  <c r="Y111" i="135" s="1"/>
  <c r="H111" i="135" a="1"/>
  <c r="H111" i="135" s="1"/>
  <c r="AG111" i="135" a="1"/>
  <c r="AG111" i="135" s="1"/>
  <c r="U111" i="135" a="1"/>
  <c r="U111" i="135" s="1"/>
  <c r="AD111" i="135" a="1"/>
  <c r="AD111" i="135" s="1"/>
  <c r="Z111" i="135" a="1"/>
  <c r="Z111" i="135" s="1"/>
  <c r="AM111" i="135" a="1"/>
  <c r="AM111" i="135" s="1"/>
  <c r="R111" i="135" a="1"/>
  <c r="R111" i="135" s="1"/>
  <c r="AB111" i="135" a="1"/>
  <c r="AB111" i="135" s="1"/>
  <c r="AE111" i="135" a="1"/>
  <c r="AE111" i="135" s="1"/>
  <c r="P111" i="135" a="1"/>
  <c r="P111" i="135" s="1"/>
  <c r="AF111" i="135" a="1"/>
  <c r="AF111" i="135" s="1"/>
  <c r="AC111" i="135" a="1"/>
  <c r="AC111" i="135" s="1"/>
  <c r="AJ111" i="135" a="1"/>
  <c r="AJ111" i="135" s="1"/>
  <c r="O111" i="135" a="1"/>
  <c r="O111" i="135" s="1"/>
  <c r="N111" i="135" a="1"/>
  <c r="N111" i="135" s="1"/>
  <c r="S111" i="135" a="1"/>
  <c r="S111" i="135" s="1"/>
  <c r="Q111" i="135" a="1"/>
  <c r="Q111" i="135" s="1"/>
  <c r="G111" i="135" a="1"/>
  <c r="G111" i="135" s="1"/>
  <c r="J111" i="135" a="1"/>
  <c r="J111" i="135" s="1"/>
  <c r="L111" i="135" a="1"/>
  <c r="L111" i="135" s="1"/>
  <c r="AA111" i="135" a="1"/>
  <c r="AA111" i="135" s="1"/>
  <c r="AL111" i="135" a="1"/>
  <c r="AL111" i="135" s="1"/>
  <c r="F111" i="135" a="1"/>
  <c r="F111" i="135" s="1"/>
  <c r="W111" i="135" a="1"/>
  <c r="W111" i="135" s="1"/>
  <c r="AI111" i="135" a="1"/>
  <c r="AI111" i="135" s="1"/>
  <c r="T111" i="135" a="1"/>
  <c r="T111" i="135" s="1"/>
  <c r="AH111" i="135" a="1"/>
  <c r="AH111" i="135" s="1"/>
  <c r="I111" i="135" a="1"/>
  <c r="I111" i="135" s="1"/>
  <c r="K111" i="135" a="1"/>
  <c r="K111" i="135" s="1"/>
  <c r="X111" i="135" a="1"/>
  <c r="X111" i="135" s="1"/>
  <c r="E113" i="135" l="1" a="1"/>
  <c r="E113" i="135" s="1"/>
  <c r="D113" i="135" s="1"/>
  <c r="P112" i="135" a="1"/>
  <c r="P112" i="135" s="1"/>
  <c r="X112" i="135" a="1"/>
  <c r="X112" i="135" s="1"/>
  <c r="W112" i="135" a="1"/>
  <c r="W112" i="135" s="1"/>
  <c r="Z112" i="135" a="1"/>
  <c r="Z112" i="135" s="1"/>
  <c r="J112" i="135" a="1"/>
  <c r="J112" i="135" s="1"/>
  <c r="H112" i="135" a="1"/>
  <c r="H112" i="135" s="1"/>
  <c r="AC112" i="135" a="1"/>
  <c r="AC112" i="135" s="1"/>
  <c r="AK112" i="135" a="1"/>
  <c r="AK112" i="135" s="1"/>
  <c r="AJ112" i="135" a="1"/>
  <c r="AJ112" i="135" s="1"/>
  <c r="T112" i="135" a="1"/>
  <c r="T112" i="135" s="1"/>
  <c r="AB112" i="135" a="1"/>
  <c r="AB112" i="135" s="1"/>
  <c r="AA112" i="135" a="1"/>
  <c r="AA112" i="135" s="1"/>
  <c r="AD112" i="135" a="1"/>
  <c r="AD112" i="135" s="1"/>
  <c r="AH112" i="135" a="1"/>
  <c r="AH112" i="135" s="1"/>
  <c r="F112" i="135" a="1"/>
  <c r="F112" i="135" s="1"/>
  <c r="N112" i="135" a="1"/>
  <c r="N112" i="135" s="1"/>
  <c r="M112" i="135" a="1"/>
  <c r="M112" i="135" s="1"/>
  <c r="Y112" i="135" a="1"/>
  <c r="Y112" i="135" s="1"/>
  <c r="AG112" i="135" a="1"/>
  <c r="AG112" i="135" s="1"/>
  <c r="AF112" i="135" a="1"/>
  <c r="AF112" i="135" s="1"/>
  <c r="G112" i="135" a="1"/>
  <c r="G112" i="135" s="1"/>
  <c r="O112" i="135" a="1"/>
  <c r="O112" i="135" s="1"/>
  <c r="R112" i="135" a="1"/>
  <c r="R112" i="135" s="1"/>
  <c r="Q112" i="135" a="1"/>
  <c r="Q112" i="135" s="1"/>
  <c r="AL112" i="135" a="1"/>
  <c r="AL112" i="135" s="1"/>
  <c r="I112" i="135" a="1"/>
  <c r="I112" i="135" s="1"/>
  <c r="AI112" i="135" a="1"/>
  <c r="AI112" i="135" s="1"/>
  <c r="AM112" i="135" a="1"/>
  <c r="AM112" i="135" s="1"/>
  <c r="K112" i="135" a="1"/>
  <c r="K112" i="135" s="1"/>
  <c r="S112" i="135" a="1"/>
  <c r="S112" i="135" s="1"/>
  <c r="V112" i="135" a="1"/>
  <c r="V112" i="135" s="1"/>
  <c r="U112" i="135" a="1"/>
  <c r="U112" i="135" s="1"/>
  <c r="L112" i="135" a="1"/>
  <c r="L112" i="135" s="1"/>
  <c r="AE112" i="135" a="1"/>
  <c r="AE112" i="135" s="1"/>
  <c r="E114" i="135" l="1" a="1"/>
  <c r="E114" i="135" s="1"/>
  <c r="D114" i="135" s="1"/>
  <c r="S113" i="135" a="1"/>
  <c r="S113" i="135" s="1"/>
  <c r="U113" i="135" a="1"/>
  <c r="U113" i="135" s="1"/>
  <c r="F113" i="135" a="1"/>
  <c r="F113" i="135" s="1"/>
  <c r="R113" i="135" a="1"/>
  <c r="R113" i="135" s="1"/>
  <c r="L113" i="135" a="1"/>
  <c r="L113" i="135" s="1"/>
  <c r="I113" i="135" a="1"/>
  <c r="I113" i="135" s="1"/>
  <c r="O113" i="135" a="1"/>
  <c r="O113" i="135" s="1"/>
  <c r="AG113" i="135" a="1"/>
  <c r="AG113" i="135" s="1"/>
  <c r="K113" i="135" a="1"/>
  <c r="K113" i="135" s="1"/>
  <c r="AH113" i="135" a="1"/>
  <c r="AH113" i="135" s="1"/>
  <c r="X113" i="135" a="1"/>
  <c r="X113" i="135" s="1"/>
  <c r="AJ113" i="135" a="1"/>
  <c r="AJ113" i="135" s="1"/>
  <c r="AI113" i="135" a="1"/>
  <c r="AI113" i="135" s="1"/>
  <c r="Z113" i="135" a="1"/>
  <c r="Z113" i="135" s="1"/>
  <c r="P113" i="135" a="1"/>
  <c r="P113" i="135" s="1"/>
  <c r="M113" i="135" a="1"/>
  <c r="M113" i="135" s="1"/>
  <c r="AA113" i="135" a="1"/>
  <c r="AA113" i="135" s="1"/>
  <c r="AC113" i="135" a="1"/>
  <c r="AC113" i="135" s="1"/>
  <c r="W113" i="135" a="1"/>
  <c r="W113" i="135" s="1"/>
  <c r="T113" i="135" a="1"/>
  <c r="T113" i="135" s="1"/>
  <c r="AM113" i="135" a="1"/>
  <c r="AM113" i="135" s="1"/>
  <c r="G113" i="135" a="1"/>
  <c r="G113" i="135" s="1"/>
  <c r="Y113" i="135" a="1"/>
  <c r="Y113" i="135" s="1"/>
  <c r="J113" i="135" a="1"/>
  <c r="J113" i="135" s="1"/>
  <c r="V113" i="135" a="1"/>
  <c r="V113" i="135" s="1"/>
  <c r="AK113" i="135" a="1"/>
  <c r="AK113" i="135" s="1"/>
  <c r="H113" i="135" a="1"/>
  <c r="H113" i="135" s="1"/>
  <c r="N113" i="135" a="1"/>
  <c r="N113" i="135" s="1"/>
  <c r="AD113" i="135" a="1"/>
  <c r="AD113" i="135" s="1"/>
  <c r="AF113" i="135" a="1"/>
  <c r="AF113" i="135" s="1"/>
  <c r="AE113" i="135" a="1"/>
  <c r="AE113" i="135" s="1"/>
  <c r="Q113" i="135" a="1"/>
  <c r="Q113" i="135" s="1"/>
  <c r="AL113" i="135" a="1"/>
  <c r="AL113" i="135" s="1"/>
  <c r="AB113" i="135" a="1"/>
  <c r="AB113" i="135" s="1"/>
  <c r="E115" i="135" l="1" a="1"/>
  <c r="E115" i="135" s="1"/>
  <c r="D115" i="135" s="1"/>
  <c r="AK114" i="135" a="1"/>
  <c r="AK114" i="135" s="1"/>
  <c r="AD114" i="135" a="1"/>
  <c r="AD114" i="135" s="1"/>
  <c r="AC114" i="135" a="1"/>
  <c r="AC114" i="135" s="1"/>
  <c r="AG114" i="135" a="1"/>
  <c r="AG114" i="135" s="1"/>
  <c r="AF114" i="135" a="1"/>
  <c r="AF114" i="135" s="1"/>
  <c r="U114" i="135" a="1"/>
  <c r="U114" i="135" s="1"/>
  <c r="T114" i="135" a="1"/>
  <c r="T114" i="135" s="1"/>
  <c r="AB114" i="135" a="1"/>
  <c r="AB114" i="135" s="1"/>
  <c r="AE114" i="135" a="1"/>
  <c r="AE114" i="135" s="1"/>
  <c r="Z114" i="135" a="1"/>
  <c r="Z114" i="135" s="1"/>
  <c r="X114" i="135" a="1"/>
  <c r="X114" i="135" s="1"/>
  <c r="S114" i="135" a="1"/>
  <c r="S114" i="135" s="1"/>
  <c r="AM114" i="135" a="1"/>
  <c r="AM114" i="135" s="1"/>
  <c r="V114" i="135" a="1"/>
  <c r="V114" i="135" s="1"/>
  <c r="L114" i="135" a="1"/>
  <c r="L114" i="135" s="1"/>
  <c r="O114" i="135" a="1"/>
  <c r="O114" i="135" s="1"/>
  <c r="W114" i="135" a="1"/>
  <c r="W114" i="135" s="1"/>
  <c r="AI114" i="135" a="1"/>
  <c r="AI114" i="135" s="1"/>
  <c r="M114" i="135" a="1"/>
  <c r="M114" i="135" s="1"/>
  <c r="G114" i="135" a="1"/>
  <c r="G114" i="135" s="1"/>
  <c r="F114" i="135" a="1"/>
  <c r="F114" i="135" s="1"/>
  <c r="N114" i="135" a="1"/>
  <c r="N114" i="135" s="1"/>
  <c r="Y114" i="135" a="1"/>
  <c r="Y114" i="135" s="1"/>
  <c r="AA114" i="135" a="1"/>
  <c r="AA114" i="135" s="1"/>
  <c r="Q114" i="135" a="1"/>
  <c r="Q114" i="135" s="1"/>
  <c r="P114" i="135" a="1"/>
  <c r="P114" i="135" s="1"/>
  <c r="R114" i="135" a="1"/>
  <c r="R114" i="135" s="1"/>
  <c r="H114" i="135" a="1"/>
  <c r="H114" i="135" s="1"/>
  <c r="K114" i="135" a="1"/>
  <c r="K114" i="135" s="1"/>
  <c r="J114" i="135" a="1"/>
  <c r="J114" i="135" s="1"/>
  <c r="I114" i="135" a="1"/>
  <c r="I114" i="135" s="1"/>
  <c r="AJ114" i="135" a="1"/>
  <c r="AJ114" i="135" s="1"/>
  <c r="AH114" i="135" a="1"/>
  <c r="AH114" i="135" s="1"/>
  <c r="AL114" i="135" a="1"/>
  <c r="AL114" i="135" s="1"/>
  <c r="E116" i="135" l="1" a="1"/>
  <c r="E116" i="135" s="1"/>
  <c r="D116" i="135" s="1"/>
  <c r="AF115" i="135" a="1"/>
  <c r="AF115" i="135" s="1"/>
  <c r="AI115" i="135" a="1"/>
  <c r="AI115" i="135" s="1"/>
  <c r="V115" i="135" a="1"/>
  <c r="V115" i="135" s="1"/>
  <c r="J115" i="135" a="1"/>
  <c r="J115" i="135" s="1"/>
  <c r="AB115" i="135" a="1"/>
  <c r="AB115" i="135" s="1"/>
  <c r="AC115" i="135" a="1"/>
  <c r="AC115" i="135" s="1"/>
  <c r="Q115" i="135" a="1"/>
  <c r="Q115" i="135" s="1"/>
  <c r="AL115" i="135" a="1"/>
  <c r="AL115" i="135" s="1"/>
  <c r="X115" i="135" a="1"/>
  <c r="X115" i="135" s="1"/>
  <c r="W115" i="135" a="1"/>
  <c r="W115" i="135" s="1"/>
  <c r="K115" i="135" a="1"/>
  <c r="K115" i="135" s="1"/>
  <c r="AD115" i="135" a="1"/>
  <c r="AD115" i="135" s="1"/>
  <c r="I115" i="135" a="1"/>
  <c r="I115" i="135" s="1"/>
  <c r="AJ115" i="135" a="1"/>
  <c r="AJ115" i="135" s="1"/>
  <c r="AM115" i="135" a="1"/>
  <c r="AM115" i="135" s="1"/>
  <c r="O115" i="135" a="1"/>
  <c r="O115" i="135" s="1"/>
  <c r="T115" i="135" a="1"/>
  <c r="T115" i="135" s="1"/>
  <c r="R115" i="135" a="1"/>
  <c r="R115" i="135" s="1"/>
  <c r="F115" i="135" a="1"/>
  <c r="F115" i="135" s="1"/>
  <c r="Y115" i="135" a="1"/>
  <c r="Y115" i="135" s="1"/>
  <c r="P115" i="135" a="1"/>
  <c r="P115" i="135" s="1"/>
  <c r="M115" i="135" a="1"/>
  <c r="M115" i="135" s="1"/>
  <c r="AE115" i="135" a="1"/>
  <c r="AE115" i="135" s="1"/>
  <c r="S115" i="135" a="1"/>
  <c r="S115" i="135" s="1"/>
  <c r="AH115" i="135" a="1"/>
  <c r="AH115" i="135" s="1"/>
  <c r="AA115" i="135" a="1"/>
  <c r="AA115" i="135" s="1"/>
  <c r="AK115" i="135" a="1"/>
  <c r="AK115" i="135" s="1"/>
  <c r="L115" i="135" a="1"/>
  <c r="L115" i="135" s="1"/>
  <c r="G115" i="135" a="1"/>
  <c r="G115" i="135" s="1"/>
  <c r="Z115" i="135" a="1"/>
  <c r="Z115" i="135" s="1"/>
  <c r="N115" i="135" a="1"/>
  <c r="N115" i="135" s="1"/>
  <c r="AG115" i="135" a="1"/>
  <c r="AG115" i="135" s="1"/>
  <c r="H115" i="135" a="1"/>
  <c r="H115" i="135" s="1"/>
  <c r="U115" i="135" a="1"/>
  <c r="U115" i="135" s="1"/>
  <c r="E117" i="135" l="1" a="1"/>
  <c r="E117" i="135" s="1"/>
  <c r="D117" i="135" s="1"/>
  <c r="Q116" i="135" a="1"/>
  <c r="Q116" i="135" s="1"/>
  <c r="P116" i="135" a="1"/>
  <c r="P116" i="135" s="1"/>
  <c r="AA116" i="135" a="1"/>
  <c r="AA116" i="135" s="1"/>
  <c r="N116" i="135" a="1"/>
  <c r="N116" i="135" s="1"/>
  <c r="AH116" i="135" a="1"/>
  <c r="AH116" i="135" s="1"/>
  <c r="I116" i="135" a="1"/>
  <c r="I116" i="135" s="1"/>
  <c r="AL116" i="135" a="1"/>
  <c r="AL116" i="135" s="1"/>
  <c r="AE116" i="135" a="1"/>
  <c r="AE116" i="135" s="1"/>
  <c r="AG116" i="135" a="1"/>
  <c r="AG116" i="135" s="1"/>
  <c r="AF116" i="135" a="1"/>
  <c r="AF116" i="135" s="1"/>
  <c r="J116" i="135" a="1"/>
  <c r="J116" i="135" s="1"/>
  <c r="F116" i="135" a="1"/>
  <c r="F116" i="135" s="1"/>
  <c r="AC116" i="135" a="1"/>
  <c r="AC116" i="135" s="1"/>
  <c r="AM116" i="135" a="1"/>
  <c r="AM116" i="135" s="1"/>
  <c r="Y116" i="135" a="1"/>
  <c r="Y116" i="135" s="1"/>
  <c r="AD116" i="135" a="1"/>
  <c r="AD116" i="135" s="1"/>
  <c r="M116" i="135" a="1"/>
  <c r="M116" i="135" s="1"/>
  <c r="L116" i="135" a="1"/>
  <c r="L116" i="135" s="1"/>
  <c r="R116" i="135" a="1"/>
  <c r="R116" i="135" s="1"/>
  <c r="H116" i="135" a="1"/>
  <c r="H116" i="135" s="1"/>
  <c r="K116" i="135" a="1"/>
  <c r="K116" i="135" s="1"/>
  <c r="AK116" i="135" a="1"/>
  <c r="AK116" i="135" s="1"/>
  <c r="AJ116" i="135" a="1"/>
  <c r="AJ116" i="135" s="1"/>
  <c r="S116" i="135" a="1"/>
  <c r="S116" i="135" s="1"/>
  <c r="O116" i="135" a="1"/>
  <c r="O116" i="135" s="1"/>
  <c r="V116" i="135" a="1"/>
  <c r="V116" i="135" s="1"/>
  <c r="AB116" i="135" a="1"/>
  <c r="AB116" i="135" s="1"/>
  <c r="AI116" i="135" a="1"/>
  <c r="AI116" i="135" s="1"/>
  <c r="X116" i="135" a="1"/>
  <c r="X116" i="135" s="1"/>
  <c r="Z116" i="135" a="1"/>
  <c r="Z116" i="135" s="1"/>
  <c r="U116" i="135" a="1"/>
  <c r="U116" i="135" s="1"/>
  <c r="T116" i="135" a="1"/>
  <c r="T116" i="135" s="1"/>
  <c r="G116" i="135" a="1"/>
  <c r="G116" i="135" s="1"/>
  <c r="W116" i="135" a="1"/>
  <c r="W116" i="135" s="1"/>
  <c r="E118" i="135" l="1" a="1"/>
  <c r="E118" i="135" s="1"/>
  <c r="D118" i="135" s="1"/>
  <c r="Z117" i="135" a="1"/>
  <c r="Z117" i="135" s="1"/>
  <c r="AC117" i="135" a="1"/>
  <c r="AC117" i="135" s="1"/>
  <c r="AB117" i="135" a="1"/>
  <c r="AB117" i="135" s="1"/>
  <c r="AI117" i="135" a="1"/>
  <c r="AI117" i="135" s="1"/>
  <c r="W117" i="135" a="1"/>
  <c r="W117" i="135" s="1"/>
  <c r="V117" i="135" a="1"/>
  <c r="V117" i="135" s="1"/>
  <c r="Y117" i="135" a="1"/>
  <c r="Y117" i="135" s="1"/>
  <c r="X117" i="135" a="1"/>
  <c r="X117" i="135" s="1"/>
  <c r="R117" i="135" a="1"/>
  <c r="R117" i="135" s="1"/>
  <c r="U117" i="135" a="1"/>
  <c r="U117" i="135" s="1"/>
  <c r="T117" i="135" a="1"/>
  <c r="T117" i="135" s="1"/>
  <c r="K117" i="135" a="1"/>
  <c r="K117" i="135" s="1"/>
  <c r="S117" i="135" a="1"/>
  <c r="S117" i="135" s="1"/>
  <c r="AH117" i="135" a="1"/>
  <c r="AH117" i="135" s="1"/>
  <c r="AK117" i="135" a="1"/>
  <c r="AK117" i="135" s="1"/>
  <c r="AA117" i="135" a="1"/>
  <c r="AA117" i="135" s="1"/>
  <c r="G117" i="135" a="1"/>
  <c r="G117" i="135" s="1"/>
  <c r="AD117" i="135" a="1"/>
  <c r="AD117" i="135" s="1"/>
  <c r="AF117" i="135" a="1"/>
  <c r="AF117" i="135" s="1"/>
  <c r="N117" i="135" a="1"/>
  <c r="N117" i="135" s="1"/>
  <c r="Q117" i="135" a="1"/>
  <c r="Q117" i="135" s="1"/>
  <c r="P117" i="135" a="1"/>
  <c r="P117" i="135" s="1"/>
  <c r="AE117" i="135" a="1"/>
  <c r="AE117" i="135" s="1"/>
  <c r="J117" i="135" a="1"/>
  <c r="J117" i="135" s="1"/>
  <c r="M117" i="135" a="1"/>
  <c r="M117" i="135" s="1"/>
  <c r="L117" i="135" a="1"/>
  <c r="L117" i="135" s="1"/>
  <c r="AG117" i="135" a="1"/>
  <c r="AG117" i="135" s="1"/>
  <c r="O117" i="135" a="1"/>
  <c r="O117" i="135" s="1"/>
  <c r="AL117" i="135" a="1"/>
  <c r="AL117" i="135" s="1"/>
  <c r="F117" i="135" a="1"/>
  <c r="F117" i="135" s="1"/>
  <c r="I117" i="135" a="1"/>
  <c r="I117" i="135" s="1"/>
  <c r="H117" i="135" a="1"/>
  <c r="H117" i="135" s="1"/>
  <c r="AM117" i="135" a="1"/>
  <c r="AM117" i="135" s="1"/>
  <c r="AJ117" i="135" a="1"/>
  <c r="AJ117" i="135" s="1"/>
  <c r="E119" i="135" l="1" a="1"/>
  <c r="E119" i="135" s="1"/>
  <c r="D119" i="135" s="1"/>
  <c r="N118" i="135" a="1"/>
  <c r="N118" i="135" s="1"/>
  <c r="Q118" i="135" a="1"/>
  <c r="Q118" i="135" s="1"/>
  <c r="K118" i="135" a="1"/>
  <c r="K118" i="135" s="1"/>
  <c r="AJ118" i="135" a="1"/>
  <c r="AJ118" i="135" s="1"/>
  <c r="AI118" i="135" a="1"/>
  <c r="AI118" i="135" s="1"/>
  <c r="AD118" i="135" a="1"/>
  <c r="AD118" i="135" s="1"/>
  <c r="L118" i="135" a="1"/>
  <c r="L118" i="135" s="1"/>
  <c r="AC118" i="135" a="1"/>
  <c r="AC118" i="135" s="1"/>
  <c r="J118" i="135" a="1"/>
  <c r="J118" i="135" s="1"/>
  <c r="M118" i="135" a="1"/>
  <c r="M118" i="135" s="1"/>
  <c r="AE118" i="135" a="1"/>
  <c r="AE118" i="135" s="1"/>
  <c r="AA118" i="135" a="1"/>
  <c r="AA118" i="135" s="1"/>
  <c r="AL118" i="135" a="1"/>
  <c r="AL118" i="135" s="1"/>
  <c r="F118" i="135" a="1"/>
  <c r="F118" i="135" s="1"/>
  <c r="I118" i="135" a="1"/>
  <c r="I118" i="135" s="1"/>
  <c r="H118" i="135" a="1"/>
  <c r="H118" i="135" s="1"/>
  <c r="X118" i="135" a="1"/>
  <c r="X118" i="135" s="1"/>
  <c r="AH118" i="135" a="1"/>
  <c r="AH118" i="135" s="1"/>
  <c r="AK118" i="135" a="1"/>
  <c r="AK118" i="135" s="1"/>
  <c r="AB118" i="135" a="1"/>
  <c r="AB118" i="135" s="1"/>
  <c r="O118" i="135" a="1"/>
  <c r="O118" i="135" s="1"/>
  <c r="AG118" i="135" a="1"/>
  <c r="AG118" i="135" s="1"/>
  <c r="S118" i="135" a="1"/>
  <c r="S118" i="135" s="1"/>
  <c r="Z118" i="135" a="1"/>
  <c r="Z118" i="135" s="1"/>
  <c r="AF118" i="135" a="1"/>
  <c r="AF118" i="135" s="1"/>
  <c r="AM118" i="135" a="1"/>
  <c r="AM118" i="135" s="1"/>
  <c r="V118" i="135" a="1"/>
  <c r="V118" i="135" s="1"/>
  <c r="Y118" i="135" a="1"/>
  <c r="Y118" i="135" s="1"/>
  <c r="W118" i="135" a="1"/>
  <c r="W118" i="135" s="1"/>
  <c r="P118" i="135" a="1"/>
  <c r="P118" i="135" s="1"/>
  <c r="R118" i="135" a="1"/>
  <c r="R118" i="135" s="1"/>
  <c r="U118" i="135" a="1"/>
  <c r="U118" i="135" s="1"/>
  <c r="T118" i="135" a="1"/>
  <c r="T118" i="135" s="1"/>
  <c r="G118" i="135" a="1"/>
  <c r="G118" i="135" s="1"/>
  <c r="E120" i="135" l="1" a="1"/>
  <c r="E120" i="135" s="1"/>
  <c r="D120" i="135" s="1"/>
  <c r="S119" i="135" a="1"/>
  <c r="S119" i="135" s="1"/>
  <c r="V119" i="135" a="1"/>
  <c r="V119" i="135" s="1"/>
  <c r="Y119" i="135" a="1"/>
  <c r="Y119" i="135" s="1"/>
  <c r="P119" i="135" a="1"/>
  <c r="P119" i="135" s="1"/>
  <c r="K119" i="135" a="1"/>
  <c r="K119" i="135" s="1"/>
  <c r="N119" i="135" a="1"/>
  <c r="N119" i="135" s="1"/>
  <c r="Q119" i="135" a="1"/>
  <c r="Q119" i="135" s="1"/>
  <c r="X119" i="135" a="1"/>
  <c r="X119" i="135" s="1"/>
  <c r="AI119" i="135" a="1"/>
  <c r="AI119" i="135" s="1"/>
  <c r="AL119" i="135" a="1"/>
  <c r="AL119" i="135" s="1"/>
  <c r="I119" i="135" a="1"/>
  <c r="I119" i="135" s="1"/>
  <c r="AE119" i="135" a="1"/>
  <c r="AE119" i="135" s="1"/>
  <c r="AH119" i="135" a="1"/>
  <c r="AH119" i="135" s="1"/>
  <c r="AK119" i="135" a="1"/>
  <c r="AK119" i="135" s="1"/>
  <c r="T119" i="135" a="1"/>
  <c r="T119" i="135" s="1"/>
  <c r="AA119" i="135" a="1"/>
  <c r="AA119" i="135" s="1"/>
  <c r="AD119" i="135" a="1"/>
  <c r="AD119" i="135" s="1"/>
  <c r="AG119" i="135" a="1"/>
  <c r="AG119" i="135" s="1"/>
  <c r="H119" i="135" a="1"/>
  <c r="H119" i="135" s="1"/>
  <c r="O119" i="135" a="1"/>
  <c r="O119" i="135" s="1"/>
  <c r="R119" i="135" a="1"/>
  <c r="R119" i="135" s="1"/>
  <c r="U119" i="135" a="1"/>
  <c r="U119" i="135" s="1"/>
  <c r="AJ119" i="135" a="1"/>
  <c r="AJ119" i="135" s="1"/>
  <c r="AM119" i="135" a="1"/>
  <c r="AM119" i="135" s="1"/>
  <c r="G119" i="135" a="1"/>
  <c r="G119" i="135" s="1"/>
  <c r="J119" i="135" a="1"/>
  <c r="J119" i="135" s="1"/>
  <c r="M119" i="135" a="1"/>
  <c r="M119" i="135" s="1"/>
  <c r="L119" i="135" a="1"/>
  <c r="L119" i="135" s="1"/>
  <c r="F119" i="135" a="1"/>
  <c r="F119" i="135" s="1"/>
  <c r="AF119" i="135" a="1"/>
  <c r="AF119" i="135" s="1"/>
  <c r="W119" i="135" a="1"/>
  <c r="W119" i="135" s="1"/>
  <c r="Z119" i="135" a="1"/>
  <c r="Z119" i="135" s="1"/>
  <c r="AC119" i="135" a="1"/>
  <c r="AC119" i="135" s="1"/>
  <c r="AB119" i="135" a="1"/>
  <c r="AB119" i="135" s="1"/>
  <c r="E121" i="135" l="1" a="1"/>
  <c r="E121" i="135" s="1"/>
  <c r="D121" i="135" s="1"/>
  <c r="AA120" i="135" a="1"/>
  <c r="AA120" i="135" s="1"/>
  <c r="AD120" i="135" a="1"/>
  <c r="AD120" i="135" s="1"/>
  <c r="AG120" i="135" a="1"/>
  <c r="AG120" i="135" s="1"/>
  <c r="H120" i="135" a="1"/>
  <c r="H120" i="135" s="1"/>
  <c r="Z120" i="135" a="1"/>
  <c r="Z120" i="135" s="1"/>
  <c r="AC120" i="135" a="1"/>
  <c r="AC120" i="135" s="1"/>
  <c r="AJ120" i="135" a="1"/>
  <c r="AJ120" i="135" s="1"/>
  <c r="S120" i="135" a="1"/>
  <c r="S120" i="135" s="1"/>
  <c r="V120" i="135" a="1"/>
  <c r="V120" i="135" s="1"/>
  <c r="Y120" i="135" a="1"/>
  <c r="Y120" i="135" s="1"/>
  <c r="T120" i="135" a="1"/>
  <c r="T120" i="135" s="1"/>
  <c r="G120" i="135" a="1"/>
  <c r="G120" i="135" s="1"/>
  <c r="J120" i="135" a="1"/>
  <c r="J120" i="135" s="1"/>
  <c r="M120" i="135" a="1"/>
  <c r="M120" i="135" s="1"/>
  <c r="AI120" i="135" a="1"/>
  <c r="AI120" i="135" s="1"/>
  <c r="AL120" i="135" a="1"/>
  <c r="AL120" i="135" s="1"/>
  <c r="F120" i="135" a="1"/>
  <c r="F120" i="135" s="1"/>
  <c r="L120" i="135" a="1"/>
  <c r="L120" i="135" s="1"/>
  <c r="X120" i="135" a="1"/>
  <c r="X120" i="135" s="1"/>
  <c r="W120" i="135" a="1"/>
  <c r="W120" i="135" s="1"/>
  <c r="AM120" i="135" a="1"/>
  <c r="AM120" i="135" s="1"/>
  <c r="AB120" i="135" a="1"/>
  <c r="AB120" i="135" s="1"/>
  <c r="I120" i="135" a="1"/>
  <c r="I120" i="135" s="1"/>
  <c r="AE120" i="135" a="1"/>
  <c r="AE120" i="135" s="1"/>
  <c r="AH120" i="135" a="1"/>
  <c r="AH120" i="135" s="1"/>
  <c r="AK120" i="135" a="1"/>
  <c r="AK120" i="135" s="1"/>
  <c r="O120" i="135" a="1"/>
  <c r="O120" i="135" s="1"/>
  <c r="R120" i="135" a="1"/>
  <c r="R120" i="135" s="1"/>
  <c r="U120" i="135" a="1"/>
  <c r="U120" i="135" s="1"/>
  <c r="AF120" i="135" a="1"/>
  <c r="AF120" i="135" s="1"/>
  <c r="K120" i="135" a="1"/>
  <c r="K120" i="135" s="1"/>
  <c r="N120" i="135" a="1"/>
  <c r="N120" i="135" s="1"/>
  <c r="Q120" i="135" a="1"/>
  <c r="Q120" i="135" s="1"/>
  <c r="P120" i="135" a="1"/>
  <c r="P120" i="135" s="1"/>
  <c r="E122" i="135" l="1" a="1"/>
  <c r="E122" i="135" s="1"/>
  <c r="D122" i="135" s="1"/>
  <c r="L121" i="135" a="1"/>
  <c r="L121" i="135" s="1"/>
  <c r="O121" i="135" a="1"/>
  <c r="O121" i="135" s="1"/>
  <c r="R121" i="135" a="1"/>
  <c r="R121" i="135" s="1"/>
  <c r="U121" i="135" a="1"/>
  <c r="U121" i="135" s="1"/>
  <c r="M121" i="135" a="1"/>
  <c r="M121" i="135" s="1"/>
  <c r="I121" i="135" a="1"/>
  <c r="I121" i="135" s="1"/>
  <c r="AK121" i="135" a="1"/>
  <c r="AK121" i="135" s="1"/>
  <c r="AA121" i="135" a="1"/>
  <c r="AA121" i="135" s="1"/>
  <c r="W121" i="135" a="1"/>
  <c r="W121" i="135" s="1"/>
  <c r="S121" i="135" a="1"/>
  <c r="S121" i="135" s="1"/>
  <c r="Y121" i="135" a="1"/>
  <c r="Y121" i="135" s="1"/>
  <c r="H121" i="135" a="1"/>
  <c r="H121" i="135" s="1"/>
  <c r="K121" i="135" a="1"/>
  <c r="K121" i="135" s="1"/>
  <c r="N121" i="135" a="1"/>
  <c r="N121" i="135" s="1"/>
  <c r="Q121" i="135" a="1"/>
  <c r="Q121" i="135" s="1"/>
  <c r="J121" i="135" a="1"/>
  <c r="J121" i="135" s="1"/>
  <c r="AB121" i="135" a="1"/>
  <c r="AB121" i="135" s="1"/>
  <c r="AD121" i="135" a="1"/>
  <c r="AD121" i="135" s="1"/>
  <c r="T121" i="135" a="1"/>
  <c r="T121" i="135" s="1"/>
  <c r="Z121" i="135" a="1"/>
  <c r="Z121" i="135" s="1"/>
  <c r="AC121" i="135" a="1"/>
  <c r="AC121" i="135" s="1"/>
  <c r="P121" i="135" a="1"/>
  <c r="P121" i="135" s="1"/>
  <c r="V121" i="135" a="1"/>
  <c r="V121" i="135" s="1"/>
  <c r="AJ121" i="135" a="1"/>
  <c r="AJ121" i="135" s="1"/>
  <c r="AM121" i="135" a="1"/>
  <c r="AM121" i="135" s="1"/>
  <c r="G121" i="135" a="1"/>
  <c r="G121" i="135" s="1"/>
  <c r="AE121" i="135" a="1"/>
  <c r="AE121" i="135" s="1"/>
  <c r="AF121" i="135" a="1"/>
  <c r="AF121" i="135" s="1"/>
  <c r="AI121" i="135" a="1"/>
  <c r="AI121" i="135" s="1"/>
  <c r="AL121" i="135" a="1"/>
  <c r="AL121" i="135" s="1"/>
  <c r="F121" i="135" a="1"/>
  <c r="F121" i="135" s="1"/>
  <c r="AH121" i="135" a="1"/>
  <c r="AH121" i="135" s="1"/>
  <c r="X121" i="135" a="1"/>
  <c r="X121" i="135" s="1"/>
  <c r="AG121" i="135" a="1"/>
  <c r="AG121" i="135" s="1"/>
  <c r="E123" i="135" l="1" a="1"/>
  <c r="E123" i="135" s="1"/>
  <c r="D123" i="135" s="1"/>
  <c r="T122" i="135" a="1"/>
  <c r="T122" i="135" s="1"/>
  <c r="W122" i="135" a="1"/>
  <c r="W122" i="135" s="1"/>
  <c r="Z122" i="135" a="1"/>
  <c r="Z122" i="135" s="1"/>
  <c r="Y122" i="135" a="1"/>
  <c r="Y122" i="135" s="1"/>
  <c r="P122" i="135" a="1"/>
  <c r="P122" i="135" s="1"/>
  <c r="S122" i="135" a="1"/>
  <c r="S122" i="135" s="1"/>
  <c r="V122" i="135" a="1"/>
  <c r="V122" i="135" s="1"/>
  <c r="U122" i="135" a="1"/>
  <c r="U122" i="135" s="1"/>
  <c r="H122" i="135" a="1"/>
  <c r="H122" i="135" s="1"/>
  <c r="K122" i="135" a="1"/>
  <c r="K122" i="135" s="1"/>
  <c r="N122" i="135" a="1"/>
  <c r="N122" i="135" s="1"/>
  <c r="M122" i="135" a="1"/>
  <c r="M122" i="135" s="1"/>
  <c r="AJ122" i="135" a="1"/>
  <c r="AJ122" i="135" s="1"/>
  <c r="AM122" i="135" a="1"/>
  <c r="AM122" i="135" s="1"/>
  <c r="G122" i="135" a="1"/>
  <c r="G122" i="135" s="1"/>
  <c r="J122" i="135" a="1"/>
  <c r="J122" i="135" s="1"/>
  <c r="I122" i="135" a="1"/>
  <c r="I122" i="135" s="1"/>
  <c r="AF122" i="135" a="1"/>
  <c r="AF122" i="135" s="1"/>
  <c r="AI122" i="135" a="1"/>
  <c r="AI122" i="135" s="1"/>
  <c r="AL122" i="135" a="1"/>
  <c r="AL122" i="135" s="1"/>
  <c r="F122" i="135" a="1"/>
  <c r="F122" i="135" s="1"/>
  <c r="AK122" i="135" a="1"/>
  <c r="AK122" i="135" s="1"/>
  <c r="AB122" i="135" a="1"/>
  <c r="AB122" i="135" s="1"/>
  <c r="AE122" i="135" a="1"/>
  <c r="AE122" i="135" s="1"/>
  <c r="AH122" i="135" a="1"/>
  <c r="AH122" i="135" s="1"/>
  <c r="AG122" i="135" a="1"/>
  <c r="AG122" i="135" s="1"/>
  <c r="X122" i="135" a="1"/>
  <c r="X122" i="135" s="1"/>
  <c r="AA122" i="135" a="1"/>
  <c r="AA122" i="135" s="1"/>
  <c r="AD122" i="135" a="1"/>
  <c r="AD122" i="135" s="1"/>
  <c r="AC122" i="135" a="1"/>
  <c r="AC122" i="135" s="1"/>
  <c r="L122" i="135" a="1"/>
  <c r="L122" i="135" s="1"/>
  <c r="O122" i="135" a="1"/>
  <c r="O122" i="135" s="1"/>
  <c r="R122" i="135" a="1"/>
  <c r="R122" i="135" s="1"/>
  <c r="Q122" i="135" a="1"/>
  <c r="Q122" i="135" s="1"/>
  <c r="E124" i="135" l="1" a="1"/>
  <c r="E124" i="135" s="1"/>
  <c r="D124" i="135" s="1"/>
  <c r="Y123" i="135" a="1"/>
  <c r="Y123" i="135" s="1"/>
  <c r="X123" i="135" a="1"/>
  <c r="X123" i="135" s="1"/>
  <c r="AA123" i="135" a="1"/>
  <c r="AA123" i="135" s="1"/>
  <c r="AD123" i="135" a="1"/>
  <c r="AD123" i="135" s="1"/>
  <c r="U123" i="135" a="1"/>
  <c r="U123" i="135" s="1"/>
  <c r="T123" i="135" a="1"/>
  <c r="T123" i="135" s="1"/>
  <c r="W123" i="135" a="1"/>
  <c r="W123" i="135" s="1"/>
  <c r="Z123" i="135" a="1"/>
  <c r="Z123" i="135" s="1"/>
  <c r="Q123" i="135" a="1"/>
  <c r="Q123" i="135" s="1"/>
  <c r="P123" i="135" a="1"/>
  <c r="P123" i="135" s="1"/>
  <c r="S123" i="135" a="1"/>
  <c r="S123" i="135" s="1"/>
  <c r="V123" i="135" a="1"/>
  <c r="V123" i="135" s="1"/>
  <c r="AH123" i="135" a="1"/>
  <c r="AH123" i="135" s="1"/>
  <c r="M123" i="135" a="1"/>
  <c r="M123" i="135" s="1"/>
  <c r="L123" i="135" a="1"/>
  <c r="L123" i="135" s="1"/>
  <c r="O123" i="135" a="1"/>
  <c r="O123" i="135" s="1"/>
  <c r="R123" i="135" a="1"/>
  <c r="R123" i="135" s="1"/>
  <c r="I123" i="135" a="1"/>
  <c r="I123" i="135" s="1"/>
  <c r="H123" i="135" a="1"/>
  <c r="H123" i="135" s="1"/>
  <c r="K123" i="135" a="1"/>
  <c r="K123" i="135" s="1"/>
  <c r="N123" i="135" a="1"/>
  <c r="N123" i="135" s="1"/>
  <c r="AG123" i="135" a="1"/>
  <c r="AG123" i="135" s="1"/>
  <c r="AF123" i="135" a="1"/>
  <c r="AF123" i="135" s="1"/>
  <c r="AI123" i="135" a="1"/>
  <c r="AI123" i="135" s="1"/>
  <c r="AL123" i="135" a="1"/>
  <c r="AL123" i="135" s="1"/>
  <c r="F123" i="135" a="1"/>
  <c r="F123" i="135" s="1"/>
  <c r="AC123" i="135" a="1"/>
  <c r="AC123" i="135" s="1"/>
  <c r="AB123" i="135" a="1"/>
  <c r="AB123" i="135" s="1"/>
  <c r="AE123" i="135" a="1"/>
  <c r="AE123" i="135" s="1"/>
  <c r="AK123" i="135" a="1"/>
  <c r="AK123" i="135" s="1"/>
  <c r="AJ123" i="135" a="1"/>
  <c r="AJ123" i="135" s="1"/>
  <c r="AM123" i="135" a="1"/>
  <c r="AM123" i="135" s="1"/>
  <c r="G123" i="135" a="1"/>
  <c r="G123" i="135" s="1"/>
  <c r="J123" i="135" a="1"/>
  <c r="J123" i="135" s="1"/>
  <c r="E125" i="135" l="1" a="1"/>
  <c r="E125" i="135" s="1"/>
  <c r="D125" i="135" s="1"/>
  <c r="Y124" i="135" a="1"/>
  <c r="Y124" i="135" s="1"/>
  <c r="X124" i="135" a="1"/>
  <c r="X124" i="135" s="1"/>
  <c r="AA124" i="135" a="1"/>
  <c r="AA124" i="135" s="1"/>
  <c r="R124" i="135" a="1"/>
  <c r="R124" i="135" s="1"/>
  <c r="S124" i="135" a="1"/>
  <c r="S124" i="135" s="1"/>
  <c r="L124" i="135" a="1"/>
  <c r="L124" i="135" s="1"/>
  <c r="O124" i="135" a="1"/>
  <c r="O124" i="135" s="1"/>
  <c r="U124" i="135" a="1"/>
  <c r="U124" i="135" s="1"/>
  <c r="T124" i="135" a="1"/>
  <c r="T124" i="135" s="1"/>
  <c r="W124" i="135" a="1"/>
  <c r="W124" i="135" s="1"/>
  <c r="N124" i="135" a="1"/>
  <c r="N124" i="135" s="1"/>
  <c r="Q124" i="135" a="1"/>
  <c r="Q124" i="135" s="1"/>
  <c r="P124" i="135" a="1"/>
  <c r="P124" i="135" s="1"/>
  <c r="J124" i="135" a="1"/>
  <c r="J124" i="135" s="1"/>
  <c r="AL124" i="135" a="1"/>
  <c r="AL124" i="135" s="1"/>
  <c r="AK124" i="135" a="1"/>
  <c r="AK124" i="135" s="1"/>
  <c r="AJ124" i="135" a="1"/>
  <c r="AJ124" i="135" s="1"/>
  <c r="G124" i="135" a="1"/>
  <c r="G124" i="135" s="1"/>
  <c r="AG124" i="135" a="1"/>
  <c r="AG124" i="135" s="1"/>
  <c r="AF124" i="135" a="1"/>
  <c r="AF124" i="135" s="1"/>
  <c r="Z124" i="135" a="1"/>
  <c r="Z124" i="135" s="1"/>
  <c r="AD124" i="135" a="1"/>
  <c r="AD124" i="135" s="1"/>
  <c r="AC124" i="135" a="1"/>
  <c r="AC124" i="135" s="1"/>
  <c r="AE124" i="135" a="1"/>
  <c r="AE124" i="135" s="1"/>
  <c r="M124" i="135" a="1"/>
  <c r="M124" i="135" s="1"/>
  <c r="I124" i="135" a="1"/>
  <c r="I124" i="135" s="1"/>
  <c r="H124" i="135" a="1"/>
  <c r="H124" i="135" s="1"/>
  <c r="K124" i="135" a="1"/>
  <c r="K124" i="135" s="1"/>
  <c r="F124" i="135" a="1"/>
  <c r="F124" i="135" s="1"/>
  <c r="AM124" i="135" a="1"/>
  <c r="AM124" i="135" s="1"/>
  <c r="AH124" i="135" a="1"/>
  <c r="AH124" i="135" s="1"/>
  <c r="AI124" i="135" a="1"/>
  <c r="AI124" i="135" s="1"/>
  <c r="AB124" i="135" a="1"/>
  <c r="AB124" i="135" s="1"/>
  <c r="V124" i="135" a="1"/>
  <c r="V124" i="135" s="1"/>
  <c r="E126" i="135" l="1" a="1"/>
  <c r="E126" i="135" s="1"/>
  <c r="D126" i="135" s="1"/>
  <c r="Z125" i="135" a="1"/>
  <c r="Z125" i="135" s="1"/>
  <c r="AC125" i="135" a="1"/>
  <c r="AC125" i="135" s="1"/>
  <c r="AB125" i="135" a="1"/>
  <c r="AB125" i="135" s="1"/>
  <c r="AE125" i="135" a="1"/>
  <c r="AE125" i="135" s="1"/>
  <c r="V125" i="135" a="1"/>
  <c r="V125" i="135" s="1"/>
  <c r="Y125" i="135" a="1"/>
  <c r="Y125" i="135" s="1"/>
  <c r="X125" i="135" a="1"/>
  <c r="X125" i="135" s="1"/>
  <c r="AA125" i="135" a="1"/>
  <c r="AA125" i="135" s="1"/>
  <c r="R125" i="135" a="1"/>
  <c r="R125" i="135" s="1"/>
  <c r="U125" i="135" a="1"/>
  <c r="U125" i="135" s="1"/>
  <c r="T125" i="135" a="1"/>
  <c r="T125" i="135" s="1"/>
  <c r="W125" i="135" a="1"/>
  <c r="W125" i="135" s="1"/>
  <c r="I125" i="135" a="1"/>
  <c r="I125" i="135" s="1"/>
  <c r="AH125" i="135" a="1"/>
  <c r="AH125" i="135" s="1"/>
  <c r="AJ125" i="135" a="1"/>
  <c r="AJ125" i="135" s="1"/>
  <c r="G125" i="135" a="1"/>
  <c r="G125" i="135" s="1"/>
  <c r="AG125" i="135" a="1"/>
  <c r="AG125" i="135" s="1"/>
  <c r="AI125" i="135" a="1"/>
  <c r="AI125" i="135" s="1"/>
  <c r="N125" i="135" a="1"/>
  <c r="N125" i="135" s="1"/>
  <c r="Q125" i="135" a="1"/>
  <c r="Q125" i="135" s="1"/>
  <c r="P125" i="135" a="1"/>
  <c r="P125" i="135" s="1"/>
  <c r="S125" i="135" a="1"/>
  <c r="S125" i="135" s="1"/>
  <c r="J125" i="135" a="1"/>
  <c r="J125" i="135" s="1"/>
  <c r="M125" i="135" a="1"/>
  <c r="M125" i="135" s="1"/>
  <c r="L125" i="135" a="1"/>
  <c r="L125" i="135" s="1"/>
  <c r="O125" i="135" a="1"/>
  <c r="O125" i="135" s="1"/>
  <c r="AL125" i="135" a="1"/>
  <c r="AL125" i="135" s="1"/>
  <c r="F125" i="135" a="1"/>
  <c r="F125" i="135" s="1"/>
  <c r="H125" i="135" a="1"/>
  <c r="H125" i="135" s="1"/>
  <c r="K125" i="135" a="1"/>
  <c r="K125" i="135" s="1"/>
  <c r="AK125" i="135" a="1"/>
  <c r="AK125" i="135" s="1"/>
  <c r="AM125" i="135" a="1"/>
  <c r="AM125" i="135" s="1"/>
  <c r="AD125" i="135" a="1"/>
  <c r="AD125" i="135" s="1"/>
  <c r="AF125" i="135" a="1"/>
  <c r="AF125" i="135" s="1"/>
  <c r="E127" i="135" l="1" a="1"/>
  <c r="E127" i="135" s="1"/>
  <c r="D127" i="135" s="1"/>
  <c r="N126" i="135" a="1"/>
  <c r="N126" i="135" s="1"/>
  <c r="Q126" i="135" a="1"/>
  <c r="Q126" i="135" s="1"/>
  <c r="P126" i="135" a="1"/>
  <c r="P126" i="135" s="1"/>
  <c r="AI126" i="135" a="1"/>
  <c r="AI126" i="135" s="1"/>
  <c r="W126" i="135" a="1"/>
  <c r="W126" i="135" s="1"/>
  <c r="AF126" i="135" a="1"/>
  <c r="AF126" i="135" s="1"/>
  <c r="AC126" i="135" a="1"/>
  <c r="AC126" i="135" s="1"/>
  <c r="J126" i="135" a="1"/>
  <c r="J126" i="135" s="1"/>
  <c r="M126" i="135" a="1"/>
  <c r="M126" i="135" s="1"/>
  <c r="L126" i="135" a="1"/>
  <c r="L126" i="135" s="1"/>
  <c r="AE126" i="135" a="1"/>
  <c r="AE126" i="135" s="1"/>
  <c r="H126" i="135" a="1"/>
  <c r="H126" i="135" s="1"/>
  <c r="S126" i="135" a="1"/>
  <c r="S126" i="135" s="1"/>
  <c r="AD126" i="135" a="1"/>
  <c r="AD126" i="135" s="1"/>
  <c r="AB126" i="135" a="1"/>
  <c r="AB126" i="135" s="1"/>
  <c r="R126" i="135" a="1"/>
  <c r="R126" i="135" s="1"/>
  <c r="T126" i="135" a="1"/>
  <c r="T126" i="135" s="1"/>
  <c r="AL126" i="135" a="1"/>
  <c r="AL126" i="135" s="1"/>
  <c r="F126" i="135" a="1"/>
  <c r="F126" i="135" s="1"/>
  <c r="I126" i="135" a="1"/>
  <c r="I126" i="135" s="1"/>
  <c r="AA126" i="135" a="1"/>
  <c r="AA126" i="135" s="1"/>
  <c r="AG126" i="135" a="1"/>
  <c r="AG126" i="135" s="1"/>
  <c r="V126" i="135" a="1"/>
  <c r="V126" i="135" s="1"/>
  <c r="X126" i="135" a="1"/>
  <c r="X126" i="135" s="1"/>
  <c r="AH126" i="135" a="1"/>
  <c r="AH126" i="135" s="1"/>
  <c r="AK126" i="135" a="1"/>
  <c r="AK126" i="135" s="1"/>
  <c r="AJ126" i="135" a="1"/>
  <c r="AJ126" i="135" s="1"/>
  <c r="O126" i="135" a="1"/>
  <c r="O126" i="135" s="1"/>
  <c r="Z126" i="135" a="1"/>
  <c r="Z126" i="135" s="1"/>
  <c r="K126" i="135" a="1"/>
  <c r="K126" i="135" s="1"/>
  <c r="Y126" i="135" a="1"/>
  <c r="Y126" i="135" s="1"/>
  <c r="AM126" i="135" a="1"/>
  <c r="AM126" i="135" s="1"/>
  <c r="U126" i="135" a="1"/>
  <c r="U126" i="135" s="1"/>
  <c r="G126" i="135" a="1"/>
  <c r="G126" i="135" s="1"/>
  <c r="E128" i="135" l="1" a="1"/>
  <c r="E128" i="135" s="1"/>
  <c r="D128" i="135" s="1"/>
  <c r="AA127" i="135" a="1"/>
  <c r="AA127" i="135" s="1"/>
  <c r="AD127" i="135" a="1"/>
  <c r="AD127" i="135" s="1"/>
  <c r="AG127" i="135" a="1"/>
  <c r="AG127" i="135" s="1"/>
  <c r="AF127" i="135" a="1"/>
  <c r="AF127" i="135" s="1"/>
  <c r="S127" i="135" a="1"/>
  <c r="S127" i="135" s="1"/>
  <c r="Y127" i="135" a="1"/>
  <c r="Y127" i="135" s="1"/>
  <c r="Q127" i="135" a="1"/>
  <c r="Q127" i="135" s="1"/>
  <c r="J127" i="135" a="1"/>
  <c r="J127" i="135" s="1"/>
  <c r="AI127" i="135" a="1"/>
  <c r="AI127" i="135" s="1"/>
  <c r="F127" i="135" a="1"/>
  <c r="F127" i="135" s="1"/>
  <c r="H127" i="135" a="1"/>
  <c r="H127" i="135" s="1"/>
  <c r="AK127" i="135" a="1"/>
  <c r="AK127" i="135" s="1"/>
  <c r="W127" i="135" a="1"/>
  <c r="W127" i="135" s="1"/>
  <c r="Z127" i="135" a="1"/>
  <c r="Z127" i="135" s="1"/>
  <c r="AC127" i="135" a="1"/>
  <c r="AC127" i="135" s="1"/>
  <c r="AB127" i="135" a="1"/>
  <c r="AB127" i="135" s="1"/>
  <c r="V127" i="135" a="1"/>
  <c r="V127" i="135" s="1"/>
  <c r="X127" i="135" a="1"/>
  <c r="X127" i="135" s="1"/>
  <c r="O127" i="135" a="1"/>
  <c r="O127" i="135" s="1"/>
  <c r="R127" i="135" a="1"/>
  <c r="R127" i="135" s="1"/>
  <c r="U127" i="135" a="1"/>
  <c r="U127" i="135" s="1"/>
  <c r="T127" i="135" a="1"/>
  <c r="T127" i="135" s="1"/>
  <c r="K127" i="135" a="1"/>
  <c r="K127" i="135" s="1"/>
  <c r="N127" i="135" a="1"/>
  <c r="N127" i="135" s="1"/>
  <c r="P127" i="135" a="1"/>
  <c r="P127" i="135" s="1"/>
  <c r="AM127" i="135" a="1"/>
  <c r="AM127" i="135" s="1"/>
  <c r="G127" i="135" a="1"/>
  <c r="G127" i="135" s="1"/>
  <c r="M127" i="135" a="1"/>
  <c r="M127" i="135" s="1"/>
  <c r="L127" i="135" a="1"/>
  <c r="L127" i="135" s="1"/>
  <c r="AL127" i="135" a="1"/>
  <c r="AL127" i="135" s="1"/>
  <c r="I127" i="135" a="1"/>
  <c r="I127" i="135" s="1"/>
  <c r="AE127" i="135" a="1"/>
  <c r="AE127" i="135" s="1"/>
  <c r="AH127" i="135" a="1"/>
  <c r="AH127" i="135" s="1"/>
  <c r="AJ127" i="135" a="1"/>
  <c r="AJ127" i="135" s="1"/>
  <c r="E129" i="135" l="1" a="1"/>
  <c r="E129" i="135" s="1"/>
  <c r="D129" i="135" s="1"/>
  <c r="S128" i="135" a="1"/>
  <c r="S128" i="135" s="1"/>
  <c r="V128" i="135" a="1"/>
  <c r="V128" i="135" s="1"/>
  <c r="Y128" i="135" a="1"/>
  <c r="Y128" i="135" s="1"/>
  <c r="AF128" i="135" a="1"/>
  <c r="AF128" i="135" s="1"/>
  <c r="O128" i="135" a="1"/>
  <c r="O128" i="135" s="1"/>
  <c r="R128" i="135" a="1"/>
  <c r="R128" i="135" s="1"/>
  <c r="U128" i="135" a="1"/>
  <c r="U128" i="135" s="1"/>
  <c r="AB128" i="135" a="1"/>
  <c r="AB128" i="135" s="1"/>
  <c r="K128" i="135" a="1"/>
  <c r="K128" i="135" s="1"/>
  <c r="N128" i="135" a="1"/>
  <c r="N128" i="135" s="1"/>
  <c r="Q128" i="135" a="1"/>
  <c r="Q128" i="135" s="1"/>
  <c r="X128" i="135" a="1"/>
  <c r="X128" i="135" s="1"/>
  <c r="AL128" i="135" a="1"/>
  <c r="AL128" i="135" s="1"/>
  <c r="I128" i="135" a="1"/>
  <c r="I128" i="135" s="1"/>
  <c r="W128" i="135" a="1"/>
  <c r="W128" i="135" s="1"/>
  <c r="AC128" i="135" a="1"/>
  <c r="AC128" i="135" s="1"/>
  <c r="AM128" i="135" a="1"/>
  <c r="AM128" i="135" s="1"/>
  <c r="G128" i="135" a="1"/>
  <c r="G128" i="135" s="1"/>
  <c r="J128" i="135" a="1"/>
  <c r="J128" i="135" s="1"/>
  <c r="M128" i="135" a="1"/>
  <c r="M128" i="135" s="1"/>
  <c r="T128" i="135" a="1"/>
  <c r="T128" i="135" s="1"/>
  <c r="AI128" i="135" a="1"/>
  <c r="AI128" i="135" s="1"/>
  <c r="F128" i="135" a="1"/>
  <c r="F128" i="135" s="1"/>
  <c r="P128" i="135" a="1"/>
  <c r="P128" i="135" s="1"/>
  <c r="AA128" i="135" a="1"/>
  <c r="AA128" i="135" s="1"/>
  <c r="AG128" i="135" a="1"/>
  <c r="AG128" i="135" s="1"/>
  <c r="H128" i="135" a="1"/>
  <c r="H128" i="135" s="1"/>
  <c r="Z128" i="135" a="1"/>
  <c r="Z128" i="135" s="1"/>
  <c r="AJ128" i="135" a="1"/>
  <c r="AJ128" i="135" s="1"/>
  <c r="AE128" i="135" a="1"/>
  <c r="AE128" i="135" s="1"/>
  <c r="AH128" i="135" a="1"/>
  <c r="AH128" i="135" s="1"/>
  <c r="AK128" i="135" a="1"/>
  <c r="AK128" i="135" s="1"/>
  <c r="L128" i="135" a="1"/>
  <c r="L128" i="135" s="1"/>
  <c r="AD128" i="135" a="1"/>
  <c r="AD128" i="135" s="1"/>
  <c r="E130" i="135" l="1" a="1"/>
  <c r="E130" i="135" s="1"/>
  <c r="D130" i="135" s="1"/>
  <c r="X129" i="135" a="1"/>
  <c r="X129" i="135" s="1"/>
  <c r="AA129" i="135" a="1"/>
  <c r="AA129" i="135" s="1"/>
  <c r="AD129" i="135" a="1"/>
  <c r="AD129" i="135" s="1"/>
  <c r="AG129" i="135" a="1"/>
  <c r="AG129" i="135" s="1"/>
  <c r="T129" i="135" a="1"/>
  <c r="T129" i="135" s="1"/>
  <c r="W129" i="135" a="1"/>
  <c r="W129" i="135" s="1"/>
  <c r="Z129" i="135" a="1"/>
  <c r="Z129" i="135" s="1"/>
  <c r="AC129" i="135" a="1"/>
  <c r="AC129" i="135" s="1"/>
  <c r="P129" i="135" a="1"/>
  <c r="P129" i="135" s="1"/>
  <c r="S129" i="135" a="1"/>
  <c r="S129" i="135" s="1"/>
  <c r="V129" i="135" a="1"/>
  <c r="V129" i="135" s="1"/>
  <c r="Y129" i="135" a="1"/>
  <c r="Y129" i="135" s="1"/>
  <c r="AB129" i="135" a="1"/>
  <c r="AB129" i="135" s="1"/>
  <c r="AE129" i="135" a="1"/>
  <c r="AE129" i="135" s="1"/>
  <c r="AK129" i="135" a="1"/>
  <c r="AK129" i="135" s="1"/>
  <c r="L129" i="135" a="1"/>
  <c r="L129" i="135" s="1"/>
  <c r="O129" i="135" a="1"/>
  <c r="O129" i="135" s="1"/>
  <c r="R129" i="135" a="1"/>
  <c r="R129" i="135" s="1"/>
  <c r="U129" i="135" a="1"/>
  <c r="U129" i="135" s="1"/>
  <c r="H129" i="135" a="1"/>
  <c r="H129" i="135" s="1"/>
  <c r="K129" i="135" a="1"/>
  <c r="K129" i="135" s="1"/>
  <c r="N129" i="135" a="1"/>
  <c r="N129" i="135" s="1"/>
  <c r="Q129" i="135" a="1"/>
  <c r="Q129" i="135" s="1"/>
  <c r="AL129" i="135" a="1"/>
  <c r="AL129" i="135" s="1"/>
  <c r="AH129" i="135" a="1"/>
  <c r="AH129" i="135" s="1"/>
  <c r="AJ129" i="135" a="1"/>
  <c r="AJ129" i="135" s="1"/>
  <c r="AM129" i="135" a="1"/>
  <c r="AM129" i="135" s="1"/>
  <c r="G129" i="135" a="1"/>
  <c r="G129" i="135" s="1"/>
  <c r="J129" i="135" a="1"/>
  <c r="J129" i="135" s="1"/>
  <c r="M129" i="135" a="1"/>
  <c r="M129" i="135" s="1"/>
  <c r="AF129" i="135" a="1"/>
  <c r="AF129" i="135" s="1"/>
  <c r="AI129" i="135" a="1"/>
  <c r="AI129" i="135" s="1"/>
  <c r="F129" i="135" a="1"/>
  <c r="F129" i="135" s="1"/>
  <c r="I129" i="135" a="1"/>
  <c r="I129" i="135" s="1"/>
  <c r="E131" i="135" l="1" a="1"/>
  <c r="E131" i="135" s="1"/>
  <c r="D131" i="135" s="1"/>
  <c r="P130" i="135" a="1"/>
  <c r="P130" i="135" s="1"/>
  <c r="S130" i="135" a="1"/>
  <c r="S130" i="135" s="1"/>
  <c r="V130" i="135" a="1"/>
  <c r="V130" i="135" s="1"/>
  <c r="Y130" i="135" a="1"/>
  <c r="Y130" i="135" s="1"/>
  <c r="H130" i="135" a="1"/>
  <c r="H130" i="135" s="1"/>
  <c r="N130" i="135" a="1"/>
  <c r="N130" i="135" s="1"/>
  <c r="F130" i="135" a="1"/>
  <c r="F130" i="135" s="1"/>
  <c r="AK130" i="135" a="1"/>
  <c r="AK130" i="135" s="1"/>
  <c r="X130" i="135" a="1"/>
  <c r="X130" i="135" s="1"/>
  <c r="AD130" i="135" a="1"/>
  <c r="AD130" i="135" s="1"/>
  <c r="W130" i="135" a="1"/>
  <c r="W130" i="135" s="1"/>
  <c r="AC130" i="135" a="1"/>
  <c r="AC130" i="135" s="1"/>
  <c r="L130" i="135" a="1"/>
  <c r="L130" i="135" s="1"/>
  <c r="O130" i="135" a="1"/>
  <c r="O130" i="135" s="1"/>
  <c r="R130" i="135" a="1"/>
  <c r="R130" i="135" s="1"/>
  <c r="U130" i="135" a="1"/>
  <c r="U130" i="135" s="1"/>
  <c r="K130" i="135" a="1"/>
  <c r="K130" i="135" s="1"/>
  <c r="Q130" i="135" a="1"/>
  <c r="Q130" i="135" s="1"/>
  <c r="AI130" i="135" a="1"/>
  <c r="AI130" i="135" s="1"/>
  <c r="I130" i="135" a="1"/>
  <c r="I130" i="135" s="1"/>
  <c r="AB130" i="135" a="1"/>
  <c r="AB130" i="135" s="1"/>
  <c r="AE130" i="135" a="1"/>
  <c r="AE130" i="135" s="1"/>
  <c r="AH130" i="135" a="1"/>
  <c r="AH130" i="135" s="1"/>
  <c r="AA130" i="135" a="1"/>
  <c r="AA130" i="135" s="1"/>
  <c r="AG130" i="135" a="1"/>
  <c r="AG130" i="135" s="1"/>
  <c r="T130" i="135" a="1"/>
  <c r="T130" i="135" s="1"/>
  <c r="Z130" i="135" a="1"/>
  <c r="Z130" i="135" s="1"/>
  <c r="AJ130" i="135" a="1"/>
  <c r="AJ130" i="135" s="1"/>
  <c r="AM130" i="135" a="1"/>
  <c r="AM130" i="135" s="1"/>
  <c r="G130" i="135" a="1"/>
  <c r="G130" i="135" s="1"/>
  <c r="J130" i="135" a="1"/>
  <c r="J130" i="135" s="1"/>
  <c r="M130" i="135" a="1"/>
  <c r="M130" i="135" s="1"/>
  <c r="AF130" i="135" a="1"/>
  <c r="AF130" i="135" s="1"/>
  <c r="AL130" i="135" a="1"/>
  <c r="AL130" i="135" s="1"/>
  <c r="E132" i="135" l="1" a="1"/>
  <c r="E132" i="135" s="1"/>
  <c r="D132" i="135" s="1"/>
  <c r="U131" i="135" a="1"/>
  <c r="U131" i="135" s="1"/>
  <c r="T131" i="135" a="1"/>
  <c r="T131" i="135" s="1"/>
  <c r="W131" i="135" a="1"/>
  <c r="W131" i="135" s="1"/>
  <c r="Z131" i="135" a="1"/>
  <c r="Z131" i="135" s="1"/>
  <c r="Q131" i="135" a="1"/>
  <c r="Q131" i="135" s="1"/>
  <c r="P131" i="135" a="1"/>
  <c r="P131" i="135" s="1"/>
  <c r="S131" i="135" a="1"/>
  <c r="S131" i="135" s="1"/>
  <c r="V131" i="135" a="1"/>
  <c r="V131" i="135" s="1"/>
  <c r="AK131" i="135" a="1"/>
  <c r="AK131" i="135" s="1"/>
  <c r="AM131" i="135" a="1"/>
  <c r="AM131" i="135" s="1"/>
  <c r="J131" i="135" a="1"/>
  <c r="J131" i="135" s="1"/>
  <c r="AI131" i="135" a="1"/>
  <c r="AI131" i="135" s="1"/>
  <c r="AC131" i="135" a="1"/>
  <c r="AC131" i="135" s="1"/>
  <c r="AB131" i="135" a="1"/>
  <c r="AB131" i="135" s="1"/>
  <c r="AH131" i="135" a="1"/>
  <c r="AH131" i="135" s="1"/>
  <c r="Y131" i="135" a="1"/>
  <c r="Y131" i="135" s="1"/>
  <c r="AA131" i="135" a="1"/>
  <c r="AA131" i="135" s="1"/>
  <c r="M131" i="135" a="1"/>
  <c r="M131" i="135" s="1"/>
  <c r="L131" i="135" a="1"/>
  <c r="L131" i="135" s="1"/>
  <c r="O131" i="135" a="1"/>
  <c r="O131" i="135" s="1"/>
  <c r="R131" i="135" a="1"/>
  <c r="R131" i="135" s="1"/>
  <c r="I131" i="135" a="1"/>
  <c r="I131" i="135" s="1"/>
  <c r="H131" i="135" a="1"/>
  <c r="H131" i="135" s="1"/>
  <c r="K131" i="135" a="1"/>
  <c r="K131" i="135" s="1"/>
  <c r="N131" i="135" a="1"/>
  <c r="N131" i="135" s="1"/>
  <c r="AJ131" i="135" a="1"/>
  <c r="AJ131" i="135" s="1"/>
  <c r="G131" i="135" a="1"/>
  <c r="G131" i="135" s="1"/>
  <c r="AG131" i="135" a="1"/>
  <c r="AG131" i="135" s="1"/>
  <c r="AF131" i="135" a="1"/>
  <c r="AF131" i="135" s="1"/>
  <c r="AL131" i="135" a="1"/>
  <c r="AL131" i="135" s="1"/>
  <c r="F131" i="135" a="1"/>
  <c r="F131" i="135" s="1"/>
  <c r="AE131" i="135" a="1"/>
  <c r="AE131" i="135" s="1"/>
  <c r="X131" i="135" a="1"/>
  <c r="X131" i="135" s="1"/>
  <c r="AD131" i="135" a="1"/>
  <c r="AD131" i="135" s="1"/>
  <c r="E133" i="135" l="1" a="1"/>
  <c r="E133" i="135" s="1"/>
  <c r="D133" i="135" s="1"/>
  <c r="Q132" i="135" a="1"/>
  <c r="Q132" i="135" s="1"/>
  <c r="P132" i="135" a="1"/>
  <c r="P132" i="135" s="1"/>
  <c r="S132" i="135" a="1"/>
  <c r="S132" i="135" s="1"/>
  <c r="V132" i="135" a="1"/>
  <c r="V132" i="135" s="1"/>
  <c r="I132" i="135" a="1"/>
  <c r="I132" i="135" s="1"/>
  <c r="N132" i="135" a="1"/>
  <c r="N132" i="135" s="1"/>
  <c r="Y132" i="135" a="1"/>
  <c r="Y132" i="135" s="1"/>
  <c r="X132" i="135" a="1"/>
  <c r="X132" i="135" s="1"/>
  <c r="AA132" i="135" a="1"/>
  <c r="AA132" i="135" s="1"/>
  <c r="AD132" i="135" a="1"/>
  <c r="AD132" i="135" s="1"/>
  <c r="M132" i="135" a="1"/>
  <c r="M132" i="135" s="1"/>
  <c r="L132" i="135" a="1"/>
  <c r="L132" i="135" s="1"/>
  <c r="O132" i="135" a="1"/>
  <c r="O132" i="135" s="1"/>
  <c r="R132" i="135" a="1"/>
  <c r="R132" i="135" s="1"/>
  <c r="H132" i="135" a="1"/>
  <c r="H132" i="135" s="1"/>
  <c r="K132" i="135" a="1"/>
  <c r="K132" i="135" s="1"/>
  <c r="U132" i="135" a="1"/>
  <c r="U132" i="135" s="1"/>
  <c r="W132" i="135" a="1"/>
  <c r="W132" i="135" s="1"/>
  <c r="AK132" i="135" a="1"/>
  <c r="AK132" i="135" s="1"/>
  <c r="AJ132" i="135" a="1"/>
  <c r="AJ132" i="135" s="1"/>
  <c r="AM132" i="135" a="1"/>
  <c r="AM132" i="135" s="1"/>
  <c r="G132" i="135" a="1"/>
  <c r="G132" i="135" s="1"/>
  <c r="J132" i="135" a="1"/>
  <c r="J132" i="135" s="1"/>
  <c r="AG132" i="135" a="1"/>
  <c r="AG132" i="135" s="1"/>
  <c r="AF132" i="135" a="1"/>
  <c r="AF132" i="135" s="1"/>
  <c r="AI132" i="135" a="1"/>
  <c r="AI132" i="135" s="1"/>
  <c r="AL132" i="135" a="1"/>
  <c r="AL132" i="135" s="1"/>
  <c r="F132" i="135" a="1"/>
  <c r="F132" i="135" s="1"/>
  <c r="AH132" i="135" a="1"/>
  <c r="AH132" i="135" s="1"/>
  <c r="AC132" i="135" a="1"/>
  <c r="AC132" i="135" s="1"/>
  <c r="AB132" i="135" a="1"/>
  <c r="AB132" i="135" s="1"/>
  <c r="AE132" i="135" a="1"/>
  <c r="AE132" i="135" s="1"/>
  <c r="T132" i="135" a="1"/>
  <c r="T132" i="135" s="1"/>
  <c r="Z132" i="135" a="1"/>
  <c r="Z132" i="135" s="1"/>
  <c r="E134" i="135" l="1" a="1"/>
  <c r="E134" i="135" s="1"/>
  <c r="D134" i="135" s="1"/>
  <c r="Z133" i="135" a="1"/>
  <c r="Z133" i="135" s="1"/>
  <c r="AC133" i="135" a="1"/>
  <c r="AC133" i="135" s="1"/>
  <c r="AB133" i="135" a="1"/>
  <c r="AB133" i="135" s="1"/>
  <c r="AE133" i="135" a="1"/>
  <c r="AE133" i="135" s="1"/>
  <c r="U133" i="135" a="1"/>
  <c r="U133" i="135" s="1"/>
  <c r="W133" i="135" a="1"/>
  <c r="W133" i="135" s="1"/>
  <c r="O133" i="135" a="1"/>
  <c r="O133" i="135" s="1"/>
  <c r="H133" i="135" a="1"/>
  <c r="H133" i="135" s="1"/>
  <c r="AM133" i="135" a="1"/>
  <c r="AM133" i="135" s="1"/>
  <c r="AG133" i="135" a="1"/>
  <c r="AG133" i="135" s="1"/>
  <c r="AI133" i="135" a="1"/>
  <c r="AI133" i="135" s="1"/>
  <c r="V133" i="135" a="1"/>
  <c r="V133" i="135" s="1"/>
  <c r="Y133" i="135" a="1"/>
  <c r="Y133" i="135" s="1"/>
  <c r="X133" i="135" a="1"/>
  <c r="X133" i="135" s="1"/>
  <c r="AA133" i="135" a="1"/>
  <c r="AA133" i="135" s="1"/>
  <c r="R133" i="135" a="1"/>
  <c r="R133" i="135" s="1"/>
  <c r="T133" i="135" a="1"/>
  <c r="T133" i="135" s="1"/>
  <c r="AL133" i="135" a="1"/>
  <c r="AL133" i="135" s="1"/>
  <c r="F133" i="135" a="1"/>
  <c r="F133" i="135" s="1"/>
  <c r="I133" i="135" a="1"/>
  <c r="I133" i="135" s="1"/>
  <c r="N133" i="135" a="1"/>
  <c r="N133" i="135" s="1"/>
  <c r="Q133" i="135" a="1"/>
  <c r="Q133" i="135" s="1"/>
  <c r="P133" i="135" a="1"/>
  <c r="P133" i="135" s="1"/>
  <c r="S133" i="135" a="1"/>
  <c r="S133" i="135" s="1"/>
  <c r="J133" i="135" a="1"/>
  <c r="J133" i="135" s="1"/>
  <c r="M133" i="135" a="1"/>
  <c r="M133" i="135" s="1"/>
  <c r="L133" i="135" a="1"/>
  <c r="L133" i="135" s="1"/>
  <c r="K133" i="135" a="1"/>
  <c r="K133" i="135" s="1"/>
  <c r="AH133" i="135" a="1"/>
  <c r="AH133" i="135" s="1"/>
  <c r="AK133" i="135" a="1"/>
  <c r="AK133" i="135" s="1"/>
  <c r="AJ133" i="135" a="1"/>
  <c r="AJ133" i="135" s="1"/>
  <c r="G133" i="135" a="1"/>
  <c r="G133" i="135" s="1"/>
  <c r="AD133" i="135" a="1"/>
  <c r="AD133" i="135" s="1"/>
  <c r="AF133" i="135" a="1"/>
  <c r="AF133" i="135" s="1"/>
  <c r="E135" i="135" l="1" a="1"/>
  <c r="E135" i="135" s="1"/>
  <c r="D135" i="135" s="1"/>
  <c r="R134" i="135" a="1"/>
  <c r="R134" i="135" s="1"/>
  <c r="U134" i="135" a="1"/>
  <c r="U134" i="135" s="1"/>
  <c r="T134" i="135" a="1"/>
  <c r="T134" i="135" s="1"/>
  <c r="W134" i="135" a="1"/>
  <c r="W134" i="135" s="1"/>
  <c r="P134" i="135" a="1"/>
  <c r="P134" i="135" s="1"/>
  <c r="J134" i="135" a="1"/>
  <c r="J134" i="135" s="1"/>
  <c r="L134" i="135" a="1"/>
  <c r="L134" i="135" s="1"/>
  <c r="AL134" i="135" a="1"/>
  <c r="AL134" i="135" s="1"/>
  <c r="I134" i="135" a="1"/>
  <c r="I134" i="135" s="1"/>
  <c r="K134" i="135" a="1"/>
  <c r="K134" i="135" s="1"/>
  <c r="AD134" i="135" a="1"/>
  <c r="AD134" i="135" s="1"/>
  <c r="AG134" i="135" a="1"/>
  <c r="AG134" i="135" s="1"/>
  <c r="AF134" i="135" a="1"/>
  <c r="AF134" i="135" s="1"/>
  <c r="AI134" i="135" a="1"/>
  <c r="AI134" i="135" s="1"/>
  <c r="AB134" i="135" a="1"/>
  <c r="AB134" i="135" s="1"/>
  <c r="V134" i="135" a="1"/>
  <c r="V134" i="135" s="1"/>
  <c r="X134" i="135" a="1"/>
  <c r="X134" i="135" s="1"/>
  <c r="N134" i="135" a="1"/>
  <c r="N134" i="135" s="1"/>
  <c r="Q134" i="135" a="1"/>
  <c r="Q134" i="135" s="1"/>
  <c r="S134" i="135" a="1"/>
  <c r="S134" i="135" s="1"/>
  <c r="M134" i="135" a="1"/>
  <c r="M134" i="135" s="1"/>
  <c r="O134" i="135" a="1"/>
  <c r="O134" i="135" s="1"/>
  <c r="F134" i="135" a="1"/>
  <c r="F134" i="135" s="1"/>
  <c r="H134" i="135" a="1"/>
  <c r="H134" i="135" s="1"/>
  <c r="Z134" i="135" a="1"/>
  <c r="Z134" i="135" s="1"/>
  <c r="AC134" i="135" a="1"/>
  <c r="AC134" i="135" s="1"/>
  <c r="AH134" i="135" a="1"/>
  <c r="AH134" i="135" s="1"/>
  <c r="AK134" i="135" a="1"/>
  <c r="AK134" i="135" s="1"/>
  <c r="AJ134" i="135" a="1"/>
  <c r="AJ134" i="135" s="1"/>
  <c r="AM134" i="135" a="1"/>
  <c r="AM134" i="135" s="1"/>
  <c r="G134" i="135" a="1"/>
  <c r="G134" i="135" s="1"/>
  <c r="AE134" i="135" a="1"/>
  <c r="AE134" i="135" s="1"/>
  <c r="Y134" i="135" a="1"/>
  <c r="Y134" i="135" s="1"/>
  <c r="AA134" i="135" a="1"/>
  <c r="AA134" i="135" s="1"/>
  <c r="E136" i="135" l="1" a="1"/>
  <c r="E136" i="135" s="1"/>
  <c r="D136" i="135" s="1"/>
  <c r="AA135" i="135" a="1"/>
  <c r="AA135" i="135" s="1"/>
  <c r="AD135" i="135" a="1"/>
  <c r="AD135" i="135" s="1"/>
  <c r="AG135" i="135" a="1"/>
  <c r="AG135" i="135" s="1"/>
  <c r="AF135" i="135" a="1"/>
  <c r="AF135" i="135" s="1"/>
  <c r="S135" i="135" a="1"/>
  <c r="S135" i="135" s="1"/>
  <c r="V135" i="135" a="1"/>
  <c r="V135" i="135" s="1"/>
  <c r="Y135" i="135" a="1"/>
  <c r="Y135" i="135" s="1"/>
  <c r="X135" i="135" a="1"/>
  <c r="X135" i="135" s="1"/>
  <c r="N135" i="135" a="1"/>
  <c r="N135" i="135" s="1"/>
  <c r="P135" i="135" a="1"/>
  <c r="P135" i="135" s="1"/>
  <c r="W135" i="135" a="1"/>
  <c r="W135" i="135" s="1"/>
  <c r="Z135" i="135" a="1"/>
  <c r="Z135" i="135" s="1"/>
  <c r="AC135" i="135" a="1"/>
  <c r="AC135" i="135" s="1"/>
  <c r="AB135" i="135" a="1"/>
  <c r="AB135" i="135" s="1"/>
  <c r="O135" i="135" a="1"/>
  <c r="O135" i="135" s="1"/>
  <c r="R135" i="135" a="1"/>
  <c r="R135" i="135" s="1"/>
  <c r="U135" i="135" a="1"/>
  <c r="U135" i="135" s="1"/>
  <c r="T135" i="135" a="1"/>
  <c r="T135" i="135" s="1"/>
  <c r="K135" i="135" a="1"/>
  <c r="K135" i="135" s="1"/>
  <c r="Q135" i="135" a="1"/>
  <c r="Q135" i="135" s="1"/>
  <c r="H135" i="135" a="1"/>
  <c r="H135" i="135" s="1"/>
  <c r="AE135" i="135" a="1"/>
  <c r="AE135" i="135" s="1"/>
  <c r="AK135" i="135" a="1"/>
  <c r="AK135" i="135" s="1"/>
  <c r="AJ135" i="135" a="1"/>
  <c r="AJ135" i="135" s="1"/>
  <c r="AM135" i="135" a="1"/>
  <c r="AM135" i="135" s="1"/>
  <c r="G135" i="135" a="1"/>
  <c r="G135" i="135" s="1"/>
  <c r="J135" i="135" a="1"/>
  <c r="J135" i="135" s="1"/>
  <c r="M135" i="135" a="1"/>
  <c r="M135" i="135" s="1"/>
  <c r="L135" i="135" a="1"/>
  <c r="L135" i="135" s="1"/>
  <c r="AI135" i="135" a="1"/>
  <c r="AI135" i="135" s="1"/>
  <c r="AL135" i="135" a="1"/>
  <c r="AL135" i="135" s="1"/>
  <c r="F135" i="135" a="1"/>
  <c r="F135" i="135" s="1"/>
  <c r="I135" i="135" a="1"/>
  <c r="I135" i="135" s="1"/>
  <c r="AH135" i="135" a="1"/>
  <c r="AH135" i="135" s="1"/>
  <c r="E137" i="135" l="1" a="1"/>
  <c r="E137" i="135" s="1"/>
  <c r="D137" i="135" s="1"/>
  <c r="O136" i="135" a="1"/>
  <c r="O136" i="135" s="1"/>
  <c r="R136" i="135" a="1"/>
  <c r="R136" i="135" s="1"/>
  <c r="U136" i="135" a="1"/>
  <c r="U136" i="135" s="1"/>
  <c r="T136" i="135" a="1"/>
  <c r="T136" i="135" s="1"/>
  <c r="P136" i="135" a="1"/>
  <c r="P136" i="135" s="1"/>
  <c r="AJ136" i="135" a="1"/>
  <c r="AJ136" i="135" s="1"/>
  <c r="AC136" i="135" a="1"/>
  <c r="AC136" i="135" s="1"/>
  <c r="V136" i="135" a="1"/>
  <c r="V136" i="135" s="1"/>
  <c r="Y136" i="135" a="1"/>
  <c r="Y136" i="135" s="1"/>
  <c r="K136" i="135" a="1"/>
  <c r="K136" i="135" s="1"/>
  <c r="N136" i="135" a="1"/>
  <c r="N136" i="135" s="1"/>
  <c r="Q136" i="135" a="1"/>
  <c r="Q136" i="135" s="1"/>
  <c r="AA136" i="135" a="1"/>
  <c r="AA136" i="135" s="1"/>
  <c r="AD136" i="135" a="1"/>
  <c r="AD136" i="135" s="1"/>
  <c r="AM136" i="135" a="1"/>
  <c r="AM136" i="135" s="1"/>
  <c r="G136" i="135" a="1"/>
  <c r="G136" i="135" s="1"/>
  <c r="J136" i="135" a="1"/>
  <c r="J136" i="135" s="1"/>
  <c r="M136" i="135" a="1"/>
  <c r="M136" i="135" s="1"/>
  <c r="L136" i="135" a="1"/>
  <c r="L136" i="135" s="1"/>
  <c r="AH136" i="135" a="1"/>
  <c r="AH136" i="135" s="1"/>
  <c r="AG136" i="135" a="1"/>
  <c r="AG136" i="135" s="1"/>
  <c r="AI136" i="135" a="1"/>
  <c r="AI136" i="135" s="1"/>
  <c r="AL136" i="135" a="1"/>
  <c r="AL136" i="135" s="1"/>
  <c r="F136" i="135" a="1"/>
  <c r="F136" i="135" s="1"/>
  <c r="I136" i="135" a="1"/>
  <c r="I136" i="135" s="1"/>
  <c r="H136" i="135" a="1"/>
  <c r="H136" i="135" s="1"/>
  <c r="AK136" i="135" a="1"/>
  <c r="AK136" i="135" s="1"/>
  <c r="AF136" i="135" a="1"/>
  <c r="AF136" i="135" s="1"/>
  <c r="Z136" i="135" a="1"/>
  <c r="Z136" i="135" s="1"/>
  <c r="S136" i="135" a="1"/>
  <c r="S136" i="135" s="1"/>
  <c r="X136" i="135" a="1"/>
  <c r="X136" i="135" s="1"/>
  <c r="AE136" i="135" a="1"/>
  <c r="AE136" i="135" s="1"/>
  <c r="W136" i="135" a="1"/>
  <c r="W136" i="135" s="1"/>
  <c r="AB136" i="135" a="1"/>
  <c r="AB136" i="135" s="1"/>
  <c r="E138" i="135" l="1" a="1"/>
  <c r="E138" i="135" s="1"/>
  <c r="D138" i="135" s="1"/>
  <c r="X137" i="135" a="1"/>
  <c r="X137" i="135" s="1"/>
  <c r="AA137" i="135" a="1"/>
  <c r="AA137" i="135" s="1"/>
  <c r="AD137" i="135" a="1"/>
  <c r="AD137" i="135" s="1"/>
  <c r="AG137" i="135" a="1"/>
  <c r="AG137" i="135" s="1"/>
  <c r="Z137" i="135" a="1"/>
  <c r="Z137" i="135" s="1"/>
  <c r="P137" i="135" a="1"/>
  <c r="P137" i="135" s="1"/>
  <c r="S137" i="135" a="1"/>
  <c r="S137" i="135" s="1"/>
  <c r="Y137" i="135" a="1"/>
  <c r="Y137" i="135" s="1"/>
  <c r="K137" i="135" a="1"/>
  <c r="K137" i="135" s="1"/>
  <c r="Q137" i="135" a="1"/>
  <c r="Q137" i="135" s="1"/>
  <c r="AM137" i="135" a="1"/>
  <c r="AM137" i="135" s="1"/>
  <c r="AF137" i="135" a="1"/>
  <c r="AF137" i="135" s="1"/>
  <c r="F137" i="135" a="1"/>
  <c r="F137" i="135" s="1"/>
  <c r="AH137" i="135" a="1"/>
  <c r="AH137" i="135" s="1"/>
  <c r="T137" i="135" a="1"/>
  <c r="T137" i="135" s="1"/>
  <c r="W137" i="135" a="1"/>
  <c r="W137" i="135" s="1"/>
  <c r="AC137" i="135" a="1"/>
  <c r="AC137" i="135" s="1"/>
  <c r="V137" i="135" a="1"/>
  <c r="V137" i="135" s="1"/>
  <c r="U137" i="135" a="1"/>
  <c r="U137" i="135" s="1"/>
  <c r="N137" i="135" a="1"/>
  <c r="N137" i="135" s="1"/>
  <c r="G137" i="135" a="1"/>
  <c r="G137" i="135" s="1"/>
  <c r="AL137" i="135" a="1"/>
  <c r="AL137" i="135" s="1"/>
  <c r="AE137" i="135" a="1"/>
  <c r="AE137" i="135" s="1"/>
  <c r="L137" i="135" a="1"/>
  <c r="L137" i="135" s="1"/>
  <c r="O137" i="135" a="1"/>
  <c r="O137" i="135" s="1"/>
  <c r="R137" i="135" a="1"/>
  <c r="R137" i="135" s="1"/>
  <c r="H137" i="135" a="1"/>
  <c r="H137" i="135" s="1"/>
  <c r="AJ137" i="135" a="1"/>
  <c r="AJ137" i="135" s="1"/>
  <c r="J137" i="135" a="1"/>
  <c r="J137" i="135" s="1"/>
  <c r="AI137" i="135" a="1"/>
  <c r="AI137" i="135" s="1"/>
  <c r="I137" i="135" a="1"/>
  <c r="I137" i="135" s="1"/>
  <c r="AB137" i="135" a="1"/>
  <c r="AB137" i="135" s="1"/>
  <c r="AK137" i="135" a="1"/>
  <c r="AK137" i="135" s="1"/>
  <c r="M137" i="135" a="1"/>
  <c r="M137" i="135" s="1"/>
  <c r="E139" i="135" l="1" a="1"/>
  <c r="E139" i="135" s="1"/>
  <c r="D139" i="135" s="1"/>
  <c r="P138" i="135" a="1"/>
  <c r="P138" i="135" s="1"/>
  <c r="S138" i="135" a="1"/>
  <c r="S138" i="135" s="1"/>
  <c r="V138" i="135" a="1"/>
  <c r="V138" i="135" s="1"/>
  <c r="Y138" i="135" a="1"/>
  <c r="Y138" i="135" s="1"/>
  <c r="R138" i="135" a="1"/>
  <c r="R138" i="135" s="1"/>
  <c r="H138" i="135" a="1"/>
  <c r="H138" i="135" s="1"/>
  <c r="N138" i="135" a="1"/>
  <c r="N138" i="135" s="1"/>
  <c r="AK138" i="135" a="1"/>
  <c r="AK138" i="135" s="1"/>
  <c r="AG138" i="135" a="1"/>
  <c r="AG138" i="135" s="1"/>
  <c r="L138" i="135" a="1"/>
  <c r="L138" i="135" s="1"/>
  <c r="O138" i="135" a="1"/>
  <c r="O138" i="135" s="1"/>
  <c r="U138" i="135" a="1"/>
  <c r="U138" i="135" s="1"/>
  <c r="K138" i="135" a="1"/>
  <c r="K138" i="135" s="1"/>
  <c r="Q138" i="135" a="1"/>
  <c r="Q138" i="135" s="1"/>
  <c r="T138" i="135" a="1"/>
  <c r="T138" i="135" s="1"/>
  <c r="AJ138" i="135" a="1"/>
  <c r="AJ138" i="135" s="1"/>
  <c r="AM138" i="135" a="1"/>
  <c r="AM138" i="135" s="1"/>
  <c r="G138" i="135" a="1"/>
  <c r="G138" i="135" s="1"/>
  <c r="J138" i="135" a="1"/>
  <c r="J138" i="135" s="1"/>
  <c r="M138" i="135" a="1"/>
  <c r="M138" i="135" s="1"/>
  <c r="AI138" i="135" a="1"/>
  <c r="AI138" i="135" s="1"/>
  <c r="AL138" i="135" a="1"/>
  <c r="AL138" i="135" s="1"/>
  <c r="F138" i="135" a="1"/>
  <c r="F138" i="135" s="1"/>
  <c r="AH138" i="135" a="1"/>
  <c r="AH138" i="135" s="1"/>
  <c r="AD138" i="135" a="1"/>
  <c r="AD138" i="135" s="1"/>
  <c r="Z138" i="135" a="1"/>
  <c r="Z138" i="135" s="1"/>
  <c r="AF138" i="135" a="1"/>
  <c r="AF138" i="135" s="1"/>
  <c r="I138" i="135" a="1"/>
  <c r="I138" i="135" s="1"/>
  <c r="W138" i="135" a="1"/>
  <c r="W138" i="135" s="1"/>
  <c r="AC138" i="135" a="1"/>
  <c r="AC138" i="135" s="1"/>
  <c r="AB138" i="135" a="1"/>
  <c r="AB138" i="135" s="1"/>
  <c r="AE138" i="135" a="1"/>
  <c r="AE138" i="135" s="1"/>
  <c r="X138" i="135" a="1"/>
  <c r="X138" i="135" s="1"/>
  <c r="AA138" i="135" a="1"/>
  <c r="AA138" i="135" s="1"/>
  <c r="E140" i="135" l="1" a="1"/>
  <c r="E140" i="135" s="1"/>
  <c r="D140" i="135" s="1"/>
  <c r="Y139" i="135" a="1"/>
  <c r="Y139" i="135" s="1"/>
  <c r="X139" i="135" a="1"/>
  <c r="X139" i="135" s="1"/>
  <c r="AA139" i="135" a="1"/>
  <c r="AA139" i="135" s="1"/>
  <c r="AD139" i="135" a="1"/>
  <c r="AD139" i="135" s="1"/>
  <c r="U139" i="135" a="1"/>
  <c r="U139" i="135" s="1"/>
  <c r="T139" i="135" a="1"/>
  <c r="T139" i="135" s="1"/>
  <c r="W139" i="135" a="1"/>
  <c r="W139" i="135" s="1"/>
  <c r="Z139" i="135" a="1"/>
  <c r="Z139" i="135" s="1"/>
  <c r="Q139" i="135" a="1"/>
  <c r="Q139" i="135" s="1"/>
  <c r="P139" i="135" a="1"/>
  <c r="P139" i="135" s="1"/>
  <c r="S139" i="135" a="1"/>
  <c r="S139" i="135" s="1"/>
  <c r="V139" i="135" a="1"/>
  <c r="V139" i="135" s="1"/>
  <c r="M139" i="135" a="1"/>
  <c r="M139" i="135" s="1"/>
  <c r="L139" i="135" a="1"/>
  <c r="L139" i="135" s="1"/>
  <c r="O139" i="135" a="1"/>
  <c r="O139" i="135" s="1"/>
  <c r="R139" i="135" a="1"/>
  <c r="R139" i="135" s="1"/>
  <c r="I139" i="135" a="1"/>
  <c r="I139" i="135" s="1"/>
  <c r="H139" i="135" a="1"/>
  <c r="H139" i="135" s="1"/>
  <c r="K139" i="135" a="1"/>
  <c r="K139" i="135" s="1"/>
  <c r="N139" i="135" a="1"/>
  <c r="N139" i="135" s="1"/>
  <c r="AG139" i="135" a="1"/>
  <c r="AG139" i="135" s="1"/>
  <c r="AF139" i="135" a="1"/>
  <c r="AF139" i="135" s="1"/>
  <c r="AL139" i="135" a="1"/>
  <c r="AL139" i="135" s="1"/>
  <c r="F139" i="135" a="1"/>
  <c r="F139" i="135" s="1"/>
  <c r="AB139" i="135" a="1"/>
  <c r="AB139" i="135" s="1"/>
  <c r="AH139" i="135" a="1"/>
  <c r="AH139" i="135" s="1"/>
  <c r="AK139" i="135" a="1"/>
  <c r="AK139" i="135" s="1"/>
  <c r="AJ139" i="135" a="1"/>
  <c r="AJ139" i="135" s="1"/>
  <c r="AM139" i="135" a="1"/>
  <c r="AM139" i="135" s="1"/>
  <c r="G139" i="135" a="1"/>
  <c r="G139" i="135" s="1"/>
  <c r="J139" i="135" a="1"/>
  <c r="J139" i="135" s="1"/>
  <c r="AI139" i="135" a="1"/>
  <c r="AI139" i="135" s="1"/>
  <c r="AC139" i="135" a="1"/>
  <c r="AC139" i="135" s="1"/>
  <c r="AE139" i="135" a="1"/>
  <c r="AE139" i="135" s="1"/>
  <c r="E141" i="135" l="1" a="1"/>
  <c r="E141" i="135" s="1"/>
  <c r="D141" i="135" s="1"/>
  <c r="Y140" i="135" a="1"/>
  <c r="Y140" i="135" s="1"/>
  <c r="X140" i="135" a="1"/>
  <c r="X140" i="135" s="1"/>
  <c r="AA140" i="135" a="1"/>
  <c r="AA140" i="135" s="1"/>
  <c r="AD140" i="135" a="1"/>
  <c r="AD140" i="135" s="1"/>
  <c r="P140" i="135" a="1"/>
  <c r="P140" i="135" s="1"/>
  <c r="V140" i="135" a="1"/>
  <c r="V140" i="135" s="1"/>
  <c r="U140" i="135" a="1"/>
  <c r="U140" i="135" s="1"/>
  <c r="T140" i="135" a="1"/>
  <c r="T140" i="135" s="1"/>
  <c r="W140" i="135" a="1"/>
  <c r="W140" i="135" s="1"/>
  <c r="Z140" i="135" a="1"/>
  <c r="Z140" i="135" s="1"/>
  <c r="Q140" i="135" a="1"/>
  <c r="Q140" i="135" s="1"/>
  <c r="S140" i="135" a="1"/>
  <c r="S140" i="135" s="1"/>
  <c r="K140" i="135" a="1"/>
  <c r="K140" i="135" s="1"/>
  <c r="AK140" i="135" a="1"/>
  <c r="AK140" i="135" s="1"/>
  <c r="AM140" i="135" a="1"/>
  <c r="AM140" i="135" s="1"/>
  <c r="J140" i="135" a="1"/>
  <c r="J140" i="135" s="1"/>
  <c r="AL140" i="135" a="1"/>
  <c r="AL140" i="135" s="1"/>
  <c r="AB140" i="135" a="1"/>
  <c r="AB140" i="135" s="1"/>
  <c r="AH140" i="135" a="1"/>
  <c r="AH140" i="135" s="1"/>
  <c r="M140" i="135" a="1"/>
  <c r="M140" i="135" s="1"/>
  <c r="L140" i="135" a="1"/>
  <c r="L140" i="135" s="1"/>
  <c r="O140" i="135" a="1"/>
  <c r="O140" i="135" s="1"/>
  <c r="R140" i="135" a="1"/>
  <c r="R140" i="135" s="1"/>
  <c r="I140" i="135" a="1"/>
  <c r="I140" i="135" s="1"/>
  <c r="H140" i="135" a="1"/>
  <c r="H140" i="135" s="1"/>
  <c r="N140" i="135" a="1"/>
  <c r="N140" i="135" s="1"/>
  <c r="AJ140" i="135" a="1"/>
  <c r="AJ140" i="135" s="1"/>
  <c r="G140" i="135" a="1"/>
  <c r="G140" i="135" s="1"/>
  <c r="AG140" i="135" a="1"/>
  <c r="AG140" i="135" s="1"/>
  <c r="AF140" i="135" a="1"/>
  <c r="AF140" i="135" s="1"/>
  <c r="AI140" i="135" a="1"/>
  <c r="AI140" i="135" s="1"/>
  <c r="F140" i="135" a="1"/>
  <c r="F140" i="135" s="1"/>
  <c r="AC140" i="135" a="1"/>
  <c r="AC140" i="135" s="1"/>
  <c r="AE140" i="135" a="1"/>
  <c r="AE140" i="135" s="1"/>
  <c r="E142" i="135" l="1" a="1"/>
  <c r="E142" i="135" s="1"/>
  <c r="D142" i="135" s="1"/>
  <c r="N141" i="135" a="1"/>
  <c r="N141" i="135" s="1"/>
  <c r="Q141" i="135" a="1"/>
  <c r="Q141" i="135" s="1"/>
  <c r="P141" i="135" a="1"/>
  <c r="P141" i="135" s="1"/>
  <c r="S141" i="135" a="1"/>
  <c r="S141" i="135" s="1"/>
  <c r="AA141" i="135" a="1"/>
  <c r="AA141" i="135" s="1"/>
  <c r="T141" i="135" a="1"/>
  <c r="T141" i="135" s="1"/>
  <c r="J141" i="135" a="1"/>
  <c r="J141" i="135" s="1"/>
  <c r="M141" i="135" a="1"/>
  <c r="M141" i="135" s="1"/>
  <c r="L141" i="135" a="1"/>
  <c r="L141" i="135" s="1"/>
  <c r="O141" i="135" a="1"/>
  <c r="O141" i="135" s="1"/>
  <c r="AL141" i="135" a="1"/>
  <c r="AL141" i="135" s="1"/>
  <c r="F141" i="135" a="1"/>
  <c r="F141" i="135" s="1"/>
  <c r="H141" i="135" a="1"/>
  <c r="H141" i="135" s="1"/>
  <c r="K141" i="135" a="1"/>
  <c r="K141" i="135" s="1"/>
  <c r="AJ141" i="135" a="1"/>
  <c r="AJ141" i="135" s="1"/>
  <c r="AE141" i="135" a="1"/>
  <c r="AE141" i="135" s="1"/>
  <c r="X141" i="135" a="1"/>
  <c r="X141" i="135" s="1"/>
  <c r="I141" i="135" a="1"/>
  <c r="I141" i="135" s="1"/>
  <c r="G141" i="135" a="1"/>
  <c r="G141" i="135" s="1"/>
  <c r="AB141" i="135" a="1"/>
  <c r="AB141" i="135" s="1"/>
  <c r="V141" i="135" a="1"/>
  <c r="V141" i="135" s="1"/>
  <c r="R141" i="135" a="1"/>
  <c r="R141" i="135" s="1"/>
  <c r="W141" i="135" a="1"/>
  <c r="W141" i="135" s="1"/>
  <c r="AH141" i="135" a="1"/>
  <c r="AH141" i="135" s="1"/>
  <c r="AK141" i="135" a="1"/>
  <c r="AK141" i="135" s="1"/>
  <c r="AM141" i="135" a="1"/>
  <c r="AM141" i="135" s="1"/>
  <c r="Y141" i="135" a="1"/>
  <c r="Y141" i="135" s="1"/>
  <c r="U141" i="135" a="1"/>
  <c r="U141" i="135" s="1"/>
  <c r="AD141" i="135" a="1"/>
  <c r="AD141" i="135" s="1"/>
  <c r="AG141" i="135" a="1"/>
  <c r="AG141" i="135" s="1"/>
  <c r="AF141" i="135" a="1"/>
  <c r="AF141" i="135" s="1"/>
  <c r="AI141" i="135" a="1"/>
  <c r="AI141" i="135" s="1"/>
  <c r="Z141" i="135" a="1"/>
  <c r="Z141" i="135" s="1"/>
  <c r="AC141" i="135" a="1"/>
  <c r="AC141" i="135" s="1"/>
  <c r="E143" i="135" l="1" a="1"/>
  <c r="E143" i="135" s="1"/>
  <c r="D143" i="135" s="1"/>
  <c r="Z142" i="135" a="1"/>
  <c r="Z142" i="135" s="1"/>
  <c r="AC142" i="135" a="1"/>
  <c r="AC142" i="135" s="1"/>
  <c r="AB142" i="135" a="1"/>
  <c r="AB142" i="135" s="1"/>
  <c r="AE142" i="135" a="1"/>
  <c r="AE142" i="135" s="1"/>
  <c r="T142" i="135" a="1"/>
  <c r="T142" i="135" s="1"/>
  <c r="S142" i="135" a="1"/>
  <c r="S142" i="135" s="1"/>
  <c r="L142" i="135" a="1"/>
  <c r="L142" i="135" s="1"/>
  <c r="AK142" i="135" a="1"/>
  <c r="AK142" i="135" s="1"/>
  <c r="AJ142" i="135" a="1"/>
  <c r="AJ142" i="135" s="1"/>
  <c r="G142" i="135" a="1"/>
  <c r="G142" i="135" s="1"/>
  <c r="V142" i="135" a="1"/>
  <c r="V142" i="135" s="1"/>
  <c r="Y142" i="135" a="1"/>
  <c r="Y142" i="135" s="1"/>
  <c r="X142" i="135" a="1"/>
  <c r="X142" i="135" s="1"/>
  <c r="AA142" i="135" a="1"/>
  <c r="AA142" i="135" s="1"/>
  <c r="R142" i="135" a="1"/>
  <c r="R142" i="135" s="1"/>
  <c r="U142" i="135" a="1"/>
  <c r="U142" i="135" s="1"/>
  <c r="W142" i="135" a="1"/>
  <c r="W142" i="135" s="1"/>
  <c r="J142" i="135" a="1"/>
  <c r="J142" i="135" s="1"/>
  <c r="M142" i="135" a="1"/>
  <c r="M142" i="135" s="1"/>
  <c r="O142" i="135" a="1"/>
  <c r="O142" i="135" s="1"/>
  <c r="AD142" i="135" a="1"/>
  <c r="AD142" i="135" s="1"/>
  <c r="AF142" i="135" a="1"/>
  <c r="AF142" i="135" s="1"/>
  <c r="N142" i="135" a="1"/>
  <c r="N142" i="135" s="1"/>
  <c r="Q142" i="135" a="1"/>
  <c r="Q142" i="135" s="1"/>
  <c r="P142" i="135" a="1"/>
  <c r="P142" i="135" s="1"/>
  <c r="AL142" i="135" a="1"/>
  <c r="AL142" i="135" s="1"/>
  <c r="F142" i="135" a="1"/>
  <c r="F142" i="135" s="1"/>
  <c r="I142" i="135" a="1"/>
  <c r="I142" i="135" s="1"/>
  <c r="H142" i="135" a="1"/>
  <c r="H142" i="135" s="1"/>
  <c r="K142" i="135" a="1"/>
  <c r="K142" i="135" s="1"/>
  <c r="AH142" i="135" a="1"/>
  <c r="AH142" i="135" s="1"/>
  <c r="AM142" i="135" a="1"/>
  <c r="AM142" i="135" s="1"/>
  <c r="AG142" i="135" a="1"/>
  <c r="AG142" i="135" s="1"/>
  <c r="AI142" i="135" a="1"/>
  <c r="AI142" i="135" s="1"/>
  <c r="E144" i="135" l="1" a="1"/>
  <c r="E144" i="135" s="1"/>
  <c r="D144" i="135" s="1"/>
  <c r="S143" i="135" a="1"/>
  <c r="S143" i="135" s="1"/>
  <c r="V143" i="135" a="1"/>
  <c r="V143" i="135" s="1"/>
  <c r="Y143" i="135" a="1"/>
  <c r="Y143" i="135" s="1"/>
  <c r="X143" i="135" a="1"/>
  <c r="X143" i="135" s="1"/>
  <c r="N143" i="135" a="1"/>
  <c r="N143" i="135" s="1"/>
  <c r="P143" i="135" a="1"/>
  <c r="P143" i="135" s="1"/>
  <c r="AM143" i="135" a="1"/>
  <c r="AM143" i="135" s="1"/>
  <c r="J143" i="135" a="1"/>
  <c r="J143" i="135" s="1"/>
  <c r="L143" i="135" a="1"/>
  <c r="L143" i="135" s="1"/>
  <c r="AD143" i="135" a="1"/>
  <c r="AD143" i="135" s="1"/>
  <c r="W143" i="135" a="1"/>
  <c r="W143" i="135" s="1"/>
  <c r="Z143" i="135" a="1"/>
  <c r="Z143" i="135" s="1"/>
  <c r="AB143" i="135" a="1"/>
  <c r="AB143" i="135" s="1"/>
  <c r="O143" i="135" a="1"/>
  <c r="O143" i="135" s="1"/>
  <c r="R143" i="135" a="1"/>
  <c r="R143" i="135" s="1"/>
  <c r="U143" i="135" a="1"/>
  <c r="U143" i="135" s="1"/>
  <c r="T143" i="135" a="1"/>
  <c r="T143" i="135" s="1"/>
  <c r="K143" i="135" a="1"/>
  <c r="K143" i="135" s="1"/>
  <c r="Q143" i="135" a="1"/>
  <c r="Q143" i="135" s="1"/>
  <c r="G143" i="135" a="1"/>
  <c r="G143" i="135" s="1"/>
  <c r="M143" i="135" a="1"/>
  <c r="M143" i="135" s="1"/>
  <c r="AG143" i="135" a="1"/>
  <c r="AG143" i="135" s="1"/>
  <c r="AI143" i="135" a="1"/>
  <c r="AI143" i="135" s="1"/>
  <c r="AL143" i="135" a="1"/>
  <c r="AL143" i="135" s="1"/>
  <c r="F143" i="135" a="1"/>
  <c r="F143" i="135" s="1"/>
  <c r="I143" i="135" a="1"/>
  <c r="I143" i="135" s="1"/>
  <c r="H143" i="135" a="1"/>
  <c r="H143" i="135" s="1"/>
  <c r="AA143" i="135" a="1"/>
  <c r="AA143" i="135" s="1"/>
  <c r="AF143" i="135" a="1"/>
  <c r="AF143" i="135" s="1"/>
  <c r="AE143" i="135" a="1"/>
  <c r="AE143" i="135" s="1"/>
  <c r="AH143" i="135" a="1"/>
  <c r="AH143" i="135" s="1"/>
  <c r="AK143" i="135" a="1"/>
  <c r="AK143" i="135" s="1"/>
  <c r="AJ143" i="135" a="1"/>
  <c r="AJ143" i="135" s="1"/>
  <c r="AC143" i="135" a="1"/>
  <c r="AC143" i="135" s="1"/>
  <c r="E145" i="135" l="1" a="1"/>
  <c r="E145" i="135" s="1"/>
  <c r="D145" i="135" s="1"/>
  <c r="AA144" i="135" a="1"/>
  <c r="AA144" i="135" s="1"/>
  <c r="AD144" i="135" a="1"/>
  <c r="AD144" i="135" s="1"/>
  <c r="AG144" i="135" a="1"/>
  <c r="AG144" i="135" s="1"/>
  <c r="AF144" i="135" a="1"/>
  <c r="AF144" i="135" s="1"/>
  <c r="W144" i="135" a="1"/>
  <c r="W144" i="135" s="1"/>
  <c r="Z144" i="135" a="1"/>
  <c r="Z144" i="135" s="1"/>
  <c r="AC144" i="135" a="1"/>
  <c r="AC144" i="135" s="1"/>
  <c r="AB144" i="135" a="1"/>
  <c r="AB144" i="135" s="1"/>
  <c r="S144" i="135" a="1"/>
  <c r="S144" i="135" s="1"/>
  <c r="V144" i="135" a="1"/>
  <c r="V144" i="135" s="1"/>
  <c r="Y144" i="135" a="1"/>
  <c r="Y144" i="135" s="1"/>
  <c r="X144" i="135" a="1"/>
  <c r="X144" i="135" s="1"/>
  <c r="K144" i="135" a="1"/>
  <c r="K144" i="135" s="1"/>
  <c r="N144" i="135" a="1"/>
  <c r="N144" i="135" s="1"/>
  <c r="Q144" i="135" a="1"/>
  <c r="Q144" i="135" s="1"/>
  <c r="P144" i="135" a="1"/>
  <c r="P144" i="135" s="1"/>
  <c r="F144" i="135" a="1"/>
  <c r="F144" i="135" s="1"/>
  <c r="H144" i="135" a="1"/>
  <c r="H144" i="135" s="1"/>
  <c r="AH144" i="135" a="1"/>
  <c r="AH144" i="135" s="1"/>
  <c r="AJ144" i="135" a="1"/>
  <c r="AJ144" i="135" s="1"/>
  <c r="O144" i="135" a="1"/>
  <c r="O144" i="135" s="1"/>
  <c r="R144" i="135" a="1"/>
  <c r="R144" i="135" s="1"/>
  <c r="U144" i="135" a="1"/>
  <c r="U144" i="135" s="1"/>
  <c r="T144" i="135" a="1"/>
  <c r="T144" i="135" s="1"/>
  <c r="AM144" i="135" a="1"/>
  <c r="AM144" i="135" s="1"/>
  <c r="G144" i="135" a="1"/>
  <c r="G144" i="135" s="1"/>
  <c r="J144" i="135" a="1"/>
  <c r="J144" i="135" s="1"/>
  <c r="M144" i="135" a="1"/>
  <c r="M144" i="135" s="1"/>
  <c r="L144" i="135" a="1"/>
  <c r="L144" i="135" s="1"/>
  <c r="AI144" i="135" a="1"/>
  <c r="AI144" i="135" s="1"/>
  <c r="AL144" i="135" a="1"/>
  <c r="AL144" i="135" s="1"/>
  <c r="I144" i="135" a="1"/>
  <c r="I144" i="135" s="1"/>
  <c r="AE144" i="135" a="1"/>
  <c r="AE144" i="135" s="1"/>
  <c r="AK144" i="135" a="1"/>
  <c r="AK144" i="135" s="1"/>
  <c r="H145" i="135" l="1" a="1"/>
  <c r="H145" i="135" s="1"/>
  <c r="K145" i="135" a="1"/>
  <c r="K145" i="135" s="1"/>
  <c r="N145" i="135" a="1"/>
  <c r="N145" i="135" s="1"/>
  <c r="Q145" i="135" a="1"/>
  <c r="Q145" i="135" s="1"/>
  <c r="AJ145" i="135" a="1"/>
  <c r="AJ145" i="135" s="1"/>
  <c r="AM145" i="135" a="1"/>
  <c r="AM145" i="135" s="1"/>
  <c r="G145" i="135" a="1"/>
  <c r="G145" i="135" s="1"/>
  <c r="J145" i="135" a="1"/>
  <c r="J145" i="135" s="1"/>
  <c r="M145" i="135" a="1"/>
  <c r="M145" i="135" s="1"/>
  <c r="AE145" i="135" a="1"/>
  <c r="AE145" i="135" s="1"/>
  <c r="X145" i="135" a="1"/>
  <c r="X145" i="135" s="1"/>
  <c r="AA145" i="135" a="1"/>
  <c r="AA145" i="135" s="1"/>
  <c r="AD145" i="135" a="1"/>
  <c r="AD145" i="135" s="1"/>
  <c r="AF145" i="135" a="1"/>
  <c r="AF145" i="135" s="1"/>
  <c r="AI145" i="135" a="1"/>
  <c r="AI145" i="135" s="1"/>
  <c r="AL145" i="135" a="1"/>
  <c r="AL145" i="135" s="1"/>
  <c r="F145" i="135" a="1"/>
  <c r="F145" i="135" s="1"/>
  <c r="I145" i="135" a="1"/>
  <c r="I145" i="135" s="1"/>
  <c r="AB145" i="135" a="1"/>
  <c r="AB145" i="135" s="1"/>
  <c r="AH145" i="135" a="1"/>
  <c r="AH145" i="135" s="1"/>
  <c r="AK145" i="135" a="1"/>
  <c r="AK145" i="135" s="1"/>
  <c r="AG145" i="135" a="1"/>
  <c r="AG145" i="135" s="1"/>
  <c r="T145" i="135" a="1"/>
  <c r="T145" i="135" s="1"/>
  <c r="W145" i="135" a="1"/>
  <c r="W145" i="135" s="1"/>
  <c r="Z145" i="135" a="1"/>
  <c r="Z145" i="135" s="1"/>
  <c r="AC145" i="135" a="1"/>
  <c r="AC145" i="135" s="1"/>
  <c r="P145" i="135" a="1"/>
  <c r="P145" i="135" s="1"/>
  <c r="S145" i="135" a="1"/>
  <c r="S145" i="135" s="1"/>
  <c r="V145" i="135" a="1"/>
  <c r="V145" i="135" s="1"/>
  <c r="Y145" i="135" a="1"/>
  <c r="Y145" i="135" s="1"/>
  <c r="L145" i="135" a="1"/>
  <c r="L145" i="135" s="1"/>
  <c r="O145" i="135" a="1"/>
  <c r="O145" i="135" s="1"/>
  <c r="R145" i="135" a="1"/>
  <c r="R145" i="135" s="1"/>
  <c r="U145" i="135" a="1"/>
  <c r="U145" i="135" s="1"/>
  <c r="E146" i="135" a="1"/>
  <c r="E146" i="135" s="1"/>
  <c r="D146" i="135" s="1"/>
  <c r="E147" i="135" l="1" a="1"/>
  <c r="E147" i="135" s="1"/>
  <c r="D147" i="135" s="1"/>
  <c r="H146" i="135" a="1"/>
  <c r="H146" i="135" s="1"/>
  <c r="K146" i="135" a="1"/>
  <c r="K146" i="135" s="1"/>
  <c r="N146" i="135" a="1"/>
  <c r="N146" i="135" s="1"/>
  <c r="Q146" i="135" a="1"/>
  <c r="Q146" i="135" s="1"/>
  <c r="AG146" i="135" a="1"/>
  <c r="AG146" i="135" s="1"/>
  <c r="T146" i="135" a="1"/>
  <c r="T146" i="135" s="1"/>
  <c r="Z146" i="135" a="1"/>
  <c r="Z146" i="135" s="1"/>
  <c r="L146" i="135" a="1"/>
  <c r="L146" i="135" s="1"/>
  <c r="O146" i="135" a="1"/>
  <c r="O146" i="135" s="1"/>
  <c r="U146" i="135" a="1"/>
  <c r="U146" i="135" s="1"/>
  <c r="AJ146" i="135" a="1"/>
  <c r="AJ146" i="135" s="1"/>
  <c r="AM146" i="135" a="1"/>
  <c r="AM146" i="135" s="1"/>
  <c r="G146" i="135" a="1"/>
  <c r="G146" i="135" s="1"/>
  <c r="J146" i="135" a="1"/>
  <c r="J146" i="135" s="1"/>
  <c r="M146" i="135" a="1"/>
  <c r="M146" i="135" s="1"/>
  <c r="X146" i="135" a="1"/>
  <c r="X146" i="135" s="1"/>
  <c r="AD146" i="135" a="1"/>
  <c r="AD146" i="135" s="1"/>
  <c r="W146" i="135" a="1"/>
  <c r="W146" i="135" s="1"/>
  <c r="AC146" i="135" a="1"/>
  <c r="AC146" i="135" s="1"/>
  <c r="P146" i="135" a="1"/>
  <c r="P146" i="135" s="1"/>
  <c r="V146" i="135" a="1"/>
  <c r="V146" i="135" s="1"/>
  <c r="R146" i="135" a="1"/>
  <c r="R146" i="135" s="1"/>
  <c r="AF146" i="135" a="1"/>
  <c r="AF146" i="135" s="1"/>
  <c r="AI146" i="135" a="1"/>
  <c r="AI146" i="135" s="1"/>
  <c r="AL146" i="135" a="1"/>
  <c r="AL146" i="135" s="1"/>
  <c r="F146" i="135" a="1"/>
  <c r="F146" i="135" s="1"/>
  <c r="I146" i="135" a="1"/>
  <c r="I146" i="135" s="1"/>
  <c r="AB146" i="135" a="1"/>
  <c r="AB146" i="135" s="1"/>
  <c r="AE146" i="135" a="1"/>
  <c r="AE146" i="135" s="1"/>
  <c r="AH146" i="135" a="1"/>
  <c r="AH146" i="135" s="1"/>
  <c r="AK146" i="135" a="1"/>
  <c r="AK146" i="135" s="1"/>
  <c r="AA146" i="135" a="1"/>
  <c r="AA146" i="135" s="1"/>
  <c r="S146" i="135" a="1"/>
  <c r="S146" i="135" s="1"/>
  <c r="Y146" i="135" a="1"/>
  <c r="Y146" i="135" s="1"/>
  <c r="E148" i="135" l="1" a="1"/>
  <c r="E148" i="135" s="1"/>
  <c r="D148" i="135" s="1"/>
  <c r="Y147" i="135" a="1"/>
  <c r="Y147" i="135" s="1"/>
  <c r="X147" i="135" a="1"/>
  <c r="X147" i="135" s="1"/>
  <c r="AA147" i="135" a="1"/>
  <c r="AA147" i="135" s="1"/>
  <c r="AD147" i="135" a="1"/>
  <c r="AD147" i="135" s="1"/>
  <c r="U147" i="135" a="1"/>
  <c r="U147" i="135" s="1"/>
  <c r="T147" i="135" a="1"/>
  <c r="T147" i="135" s="1"/>
  <c r="W147" i="135" a="1"/>
  <c r="W147" i="135" s="1"/>
  <c r="Z147" i="135" a="1"/>
  <c r="Z147" i="135" s="1"/>
  <c r="Q147" i="135" a="1"/>
  <c r="Q147" i="135" s="1"/>
  <c r="P147" i="135" a="1"/>
  <c r="P147" i="135" s="1"/>
  <c r="S147" i="135" a="1"/>
  <c r="S147" i="135" s="1"/>
  <c r="V147" i="135" a="1"/>
  <c r="V147" i="135" s="1"/>
  <c r="H147" i="135" a="1"/>
  <c r="H147" i="135" s="1"/>
  <c r="K147" i="135" a="1"/>
  <c r="K147" i="135" s="1"/>
  <c r="N147" i="135" a="1"/>
  <c r="N147" i="135" s="1"/>
  <c r="AF147" i="135" a="1"/>
  <c r="AF147" i="135" s="1"/>
  <c r="F147" i="135" a="1"/>
  <c r="F147" i="135" s="1"/>
  <c r="M147" i="135" a="1"/>
  <c r="M147" i="135" s="1"/>
  <c r="L147" i="135" a="1"/>
  <c r="L147" i="135" s="1"/>
  <c r="O147" i="135" a="1"/>
  <c r="O147" i="135" s="1"/>
  <c r="R147" i="135" a="1"/>
  <c r="R147" i="135" s="1"/>
  <c r="I147" i="135" a="1"/>
  <c r="I147" i="135" s="1"/>
  <c r="AI147" i="135" a="1"/>
  <c r="AI147" i="135" s="1"/>
  <c r="AH147" i="135" a="1"/>
  <c r="AH147" i="135" s="1"/>
  <c r="AK147" i="135" a="1"/>
  <c r="AK147" i="135" s="1"/>
  <c r="AJ147" i="135" a="1"/>
  <c r="AJ147" i="135" s="1"/>
  <c r="AM147" i="135" a="1"/>
  <c r="AM147" i="135" s="1"/>
  <c r="G147" i="135" a="1"/>
  <c r="G147" i="135" s="1"/>
  <c r="J147" i="135" a="1"/>
  <c r="J147" i="135" s="1"/>
  <c r="AG147" i="135" a="1"/>
  <c r="AG147" i="135" s="1"/>
  <c r="AL147" i="135" a="1"/>
  <c r="AL147" i="135" s="1"/>
  <c r="AC147" i="135" a="1"/>
  <c r="AC147" i="135" s="1"/>
  <c r="AB147" i="135" a="1"/>
  <c r="AB147" i="135" s="1"/>
  <c r="AE147" i="135" a="1"/>
  <c r="AE147" i="135" s="1"/>
  <c r="E149" i="135" l="1" a="1"/>
  <c r="E149" i="135" s="1"/>
  <c r="D149" i="135" s="1"/>
  <c r="M148" i="135" a="1"/>
  <c r="M148" i="135" s="1"/>
  <c r="L148" i="135" a="1"/>
  <c r="L148" i="135" s="1"/>
  <c r="O148" i="135" a="1"/>
  <c r="O148" i="135" s="1"/>
  <c r="R148" i="135" a="1"/>
  <c r="R148" i="135" s="1"/>
  <c r="AK148" i="135" a="1"/>
  <c r="AK148" i="135" s="1"/>
  <c r="AJ148" i="135" a="1"/>
  <c r="AJ148" i="135" s="1"/>
  <c r="AM148" i="135" a="1"/>
  <c r="AM148" i="135" s="1"/>
  <c r="G148" i="135" a="1"/>
  <c r="G148" i="135" s="1"/>
  <c r="J148" i="135" a="1"/>
  <c r="J148" i="135" s="1"/>
  <c r="AG148" i="135" a="1"/>
  <c r="AG148" i="135" s="1"/>
  <c r="AF148" i="135" a="1"/>
  <c r="AF148" i="135" s="1"/>
  <c r="AI148" i="135" a="1"/>
  <c r="AI148" i="135" s="1"/>
  <c r="AL148" i="135" a="1"/>
  <c r="AL148" i="135" s="1"/>
  <c r="F148" i="135" a="1"/>
  <c r="F148" i="135" s="1"/>
  <c r="AC148" i="135" a="1"/>
  <c r="AC148" i="135" s="1"/>
  <c r="AB148" i="135" a="1"/>
  <c r="AB148" i="135" s="1"/>
  <c r="AE148" i="135" a="1"/>
  <c r="AE148" i="135" s="1"/>
  <c r="AH148" i="135" a="1"/>
  <c r="AH148" i="135" s="1"/>
  <c r="Y148" i="135" a="1"/>
  <c r="Y148" i="135" s="1"/>
  <c r="X148" i="135" a="1"/>
  <c r="X148" i="135" s="1"/>
  <c r="AA148" i="135" a="1"/>
  <c r="AA148" i="135" s="1"/>
  <c r="AD148" i="135" a="1"/>
  <c r="AD148" i="135" s="1"/>
  <c r="U148" i="135" a="1"/>
  <c r="U148" i="135" s="1"/>
  <c r="T148" i="135" a="1"/>
  <c r="T148" i="135" s="1"/>
  <c r="W148" i="135" a="1"/>
  <c r="W148" i="135" s="1"/>
  <c r="Z148" i="135" a="1"/>
  <c r="Z148" i="135" s="1"/>
  <c r="Q148" i="135" a="1"/>
  <c r="Q148" i="135" s="1"/>
  <c r="P148" i="135" a="1"/>
  <c r="P148" i="135" s="1"/>
  <c r="S148" i="135" a="1"/>
  <c r="S148" i="135" s="1"/>
  <c r="V148" i="135" a="1"/>
  <c r="V148" i="135" s="1"/>
  <c r="I148" i="135" a="1"/>
  <c r="I148" i="135" s="1"/>
  <c r="H148" i="135" a="1"/>
  <c r="H148" i="135" s="1"/>
  <c r="K148" i="135" a="1"/>
  <c r="K148" i="135" s="1"/>
  <c r="N148" i="135" a="1"/>
  <c r="N148" i="135" s="1"/>
  <c r="E150" i="135" l="1" a="1"/>
  <c r="E150" i="135" s="1"/>
  <c r="D150" i="135" s="1"/>
  <c r="R149" i="135" a="1"/>
  <c r="R149" i="135" s="1"/>
  <c r="U149" i="135" a="1"/>
  <c r="U149" i="135" s="1"/>
  <c r="T149" i="135" a="1"/>
  <c r="T149" i="135" s="1"/>
  <c r="W149" i="135" a="1"/>
  <c r="W149" i="135" s="1"/>
  <c r="N149" i="135" a="1"/>
  <c r="N149" i="135" s="1"/>
  <c r="Q149" i="135" a="1"/>
  <c r="Q149" i="135" s="1"/>
  <c r="P149" i="135" a="1"/>
  <c r="P149" i="135" s="1"/>
  <c r="S149" i="135" a="1"/>
  <c r="S149" i="135" s="1"/>
  <c r="J149" i="135" a="1"/>
  <c r="J149" i="135" s="1"/>
  <c r="M149" i="135" a="1"/>
  <c r="M149" i="135" s="1"/>
  <c r="L149" i="135" a="1"/>
  <c r="L149" i="135" s="1"/>
  <c r="O149" i="135" a="1"/>
  <c r="O149" i="135" s="1"/>
  <c r="AL149" i="135" a="1"/>
  <c r="AL149" i="135" s="1"/>
  <c r="F149" i="135" a="1"/>
  <c r="F149" i="135" s="1"/>
  <c r="I149" i="135" a="1"/>
  <c r="I149" i="135" s="1"/>
  <c r="H149" i="135" a="1"/>
  <c r="H149" i="135" s="1"/>
  <c r="K149" i="135" a="1"/>
  <c r="K149" i="135" s="1"/>
  <c r="Z149" i="135" a="1"/>
  <c r="Z149" i="135" s="1"/>
  <c r="AB149" i="135" a="1"/>
  <c r="AB149" i="135" s="1"/>
  <c r="AE149" i="135" a="1"/>
  <c r="AE149" i="135" s="1"/>
  <c r="V149" i="135" a="1"/>
  <c r="V149" i="135" s="1"/>
  <c r="Y149" i="135" a="1"/>
  <c r="Y149" i="135" s="1"/>
  <c r="X149" i="135" a="1"/>
  <c r="X149" i="135" s="1"/>
  <c r="AA149" i="135" a="1"/>
  <c r="AA149" i="135" s="1"/>
  <c r="AH149" i="135" a="1"/>
  <c r="AH149" i="135" s="1"/>
  <c r="AK149" i="135" a="1"/>
  <c r="AK149" i="135" s="1"/>
  <c r="AJ149" i="135" a="1"/>
  <c r="AJ149" i="135" s="1"/>
  <c r="AM149" i="135" a="1"/>
  <c r="AM149" i="135" s="1"/>
  <c r="G149" i="135" a="1"/>
  <c r="G149" i="135" s="1"/>
  <c r="AC149" i="135" a="1"/>
  <c r="AC149" i="135" s="1"/>
  <c r="AD149" i="135" a="1"/>
  <c r="AD149" i="135" s="1"/>
  <c r="AG149" i="135" a="1"/>
  <c r="AG149" i="135" s="1"/>
  <c r="AF149" i="135" a="1"/>
  <c r="AF149" i="135" s="1"/>
  <c r="AI149" i="135" a="1"/>
  <c r="AI149" i="135" s="1"/>
  <c r="E151" i="135" l="1" a="1"/>
  <c r="E151" i="135" s="1"/>
  <c r="D151" i="135" s="1"/>
  <c r="R150" i="135" a="1"/>
  <c r="R150" i="135" s="1"/>
  <c r="N150" i="135" a="1"/>
  <c r="N150" i="135" s="1"/>
  <c r="Q150" i="135" a="1"/>
  <c r="Q150" i="135" s="1"/>
  <c r="P150" i="135" a="1"/>
  <c r="P150" i="135" s="1"/>
  <c r="S150" i="135" a="1"/>
  <c r="S150" i="135" s="1"/>
  <c r="J150" i="135" a="1"/>
  <c r="J150" i="135" s="1"/>
  <c r="M150" i="135" a="1"/>
  <c r="M150" i="135" s="1"/>
  <c r="L150" i="135" a="1"/>
  <c r="L150" i="135" s="1"/>
  <c r="AL150" i="135" a="1"/>
  <c r="AL150" i="135" s="1"/>
  <c r="F150" i="135" a="1"/>
  <c r="F150" i="135" s="1"/>
  <c r="I150" i="135" a="1"/>
  <c r="I150" i="135" s="1"/>
  <c r="K150" i="135" a="1"/>
  <c r="K150" i="135" s="1"/>
  <c r="AJ150" i="135" a="1"/>
  <c r="AJ150" i="135" s="1"/>
  <c r="AB150" i="135" a="1"/>
  <c r="AB150" i="135" s="1"/>
  <c r="O150" i="135" a="1"/>
  <c r="O150" i="135" s="1"/>
  <c r="AH150" i="135" a="1"/>
  <c r="AH150" i="135" s="1"/>
  <c r="AM150" i="135" a="1"/>
  <c r="AM150" i="135" s="1"/>
  <c r="H150" i="135" a="1"/>
  <c r="H150" i="135" s="1"/>
  <c r="AK150" i="135" a="1"/>
  <c r="AK150" i="135" s="1"/>
  <c r="G150" i="135" a="1"/>
  <c r="G150" i="135" s="1"/>
  <c r="Z150" i="135" a="1"/>
  <c r="Z150" i="135" s="1"/>
  <c r="AC150" i="135" a="1"/>
  <c r="AC150" i="135" s="1"/>
  <c r="AE150" i="135" a="1"/>
  <c r="AE150" i="135" s="1"/>
  <c r="V150" i="135" a="1"/>
  <c r="V150" i="135" s="1"/>
  <c r="Y150" i="135" a="1"/>
  <c r="Y150" i="135" s="1"/>
  <c r="X150" i="135" a="1"/>
  <c r="X150" i="135" s="1"/>
  <c r="AA150" i="135" a="1"/>
  <c r="AA150" i="135" s="1"/>
  <c r="U150" i="135" a="1"/>
  <c r="U150" i="135" s="1"/>
  <c r="T150" i="135" a="1"/>
  <c r="T150" i="135" s="1"/>
  <c r="W150" i="135" a="1"/>
  <c r="W150" i="135" s="1"/>
  <c r="AD150" i="135" a="1"/>
  <c r="AD150" i="135" s="1"/>
  <c r="AG150" i="135" a="1"/>
  <c r="AG150" i="135" s="1"/>
  <c r="AF150" i="135" a="1"/>
  <c r="AF150" i="135" s="1"/>
  <c r="AI150" i="135" a="1"/>
  <c r="AI150" i="135" s="1"/>
  <c r="E152" i="135" l="1" a="1"/>
  <c r="E152" i="135" s="1"/>
  <c r="D152" i="135" s="1"/>
  <c r="AA151" i="135" a="1"/>
  <c r="AA151" i="135" s="1"/>
  <c r="AD151" i="135" a="1"/>
  <c r="AD151" i="135" s="1"/>
  <c r="AG151" i="135" a="1"/>
  <c r="AG151" i="135" s="1"/>
  <c r="AF151" i="135" a="1"/>
  <c r="AF151" i="135" s="1"/>
  <c r="W151" i="135" a="1"/>
  <c r="W151" i="135" s="1"/>
  <c r="Z151" i="135" a="1"/>
  <c r="Z151" i="135" s="1"/>
  <c r="AC151" i="135" a="1"/>
  <c r="AC151" i="135" s="1"/>
  <c r="AB151" i="135" a="1"/>
  <c r="AB151" i="135" s="1"/>
  <c r="S151" i="135" a="1"/>
  <c r="S151" i="135" s="1"/>
  <c r="V151" i="135" a="1"/>
  <c r="V151" i="135" s="1"/>
  <c r="Y151" i="135" a="1"/>
  <c r="Y151" i="135" s="1"/>
  <c r="X151" i="135" a="1"/>
  <c r="X151" i="135" s="1"/>
  <c r="K151" i="135" a="1"/>
  <c r="K151" i="135" s="1"/>
  <c r="N151" i="135" a="1"/>
  <c r="N151" i="135" s="1"/>
  <c r="Q151" i="135" a="1"/>
  <c r="Q151" i="135" s="1"/>
  <c r="P151" i="135" a="1"/>
  <c r="P151" i="135" s="1"/>
  <c r="AM151" i="135" a="1"/>
  <c r="AM151" i="135" s="1"/>
  <c r="J151" i="135" a="1"/>
  <c r="J151" i="135" s="1"/>
  <c r="L151" i="135" a="1"/>
  <c r="L151" i="135" s="1"/>
  <c r="F151" i="135" a="1"/>
  <c r="F151" i="135" s="1"/>
  <c r="H151" i="135" a="1"/>
  <c r="H151" i="135" s="1"/>
  <c r="AE151" i="135" a="1"/>
  <c r="AE151" i="135" s="1"/>
  <c r="AH151" i="135" a="1"/>
  <c r="AH151" i="135" s="1"/>
  <c r="AK151" i="135" a="1"/>
  <c r="AK151" i="135" s="1"/>
  <c r="AJ151" i="135" a="1"/>
  <c r="AJ151" i="135" s="1"/>
  <c r="O151" i="135" a="1"/>
  <c r="O151" i="135" s="1"/>
  <c r="R151" i="135" a="1"/>
  <c r="R151" i="135" s="1"/>
  <c r="U151" i="135" a="1"/>
  <c r="U151" i="135" s="1"/>
  <c r="T151" i="135" a="1"/>
  <c r="T151" i="135" s="1"/>
  <c r="G151" i="135" a="1"/>
  <c r="G151" i="135" s="1"/>
  <c r="M151" i="135" a="1"/>
  <c r="M151" i="135" s="1"/>
  <c r="AI151" i="135" a="1"/>
  <c r="AI151" i="135" s="1"/>
  <c r="AL151" i="135" a="1"/>
  <c r="AL151" i="135" s="1"/>
  <c r="I151" i="135" a="1"/>
  <c r="I151" i="135" s="1"/>
  <c r="E153" i="135" l="1" a="1"/>
  <c r="E153" i="135" s="1"/>
  <c r="D153" i="135" s="1"/>
  <c r="W152" i="135" a="1"/>
  <c r="W152" i="135" s="1"/>
  <c r="X152" i="135" a="1"/>
  <c r="X152" i="135" s="1"/>
  <c r="AC152" i="135" a="1"/>
  <c r="AC152" i="135" s="1"/>
  <c r="Y152" i="135" a="1"/>
  <c r="Y152" i="135" s="1"/>
  <c r="O152" i="135" a="1"/>
  <c r="O152" i="135" s="1"/>
  <c r="R152" i="135" a="1"/>
  <c r="R152" i="135" s="1"/>
  <c r="U152" i="135" a="1"/>
  <c r="U152" i="135" s="1"/>
  <c r="T152" i="135" a="1"/>
  <c r="T152" i="135" s="1"/>
  <c r="K152" i="135" a="1"/>
  <c r="K152" i="135" s="1"/>
  <c r="N152" i="135" a="1"/>
  <c r="N152" i="135" s="1"/>
  <c r="Q152" i="135" a="1"/>
  <c r="Q152" i="135" s="1"/>
  <c r="P152" i="135" a="1"/>
  <c r="P152" i="135" s="1"/>
  <c r="AI152" i="135" a="1"/>
  <c r="AI152" i="135" s="1"/>
  <c r="AL152" i="135" a="1"/>
  <c r="AL152" i="135" s="1"/>
  <c r="F152" i="135" a="1"/>
  <c r="F152" i="135" s="1"/>
  <c r="I152" i="135" a="1"/>
  <c r="I152" i="135" s="1"/>
  <c r="H152" i="135" a="1"/>
  <c r="H152" i="135" s="1"/>
  <c r="AE152" i="135" a="1"/>
  <c r="AE152" i="135" s="1"/>
  <c r="AH152" i="135" a="1"/>
  <c r="AH152" i="135" s="1"/>
  <c r="AK152" i="135" a="1"/>
  <c r="AK152" i="135" s="1"/>
  <c r="AJ152" i="135" a="1"/>
  <c r="AJ152" i="135" s="1"/>
  <c r="AA152" i="135" a="1"/>
  <c r="AA152" i="135" s="1"/>
  <c r="AD152" i="135" a="1"/>
  <c r="AD152" i="135" s="1"/>
  <c r="AG152" i="135" a="1"/>
  <c r="AG152" i="135" s="1"/>
  <c r="AF152" i="135" a="1"/>
  <c r="AF152" i="135" s="1"/>
  <c r="Z152" i="135" a="1"/>
  <c r="Z152" i="135" s="1"/>
  <c r="AB152" i="135" a="1"/>
  <c r="AB152" i="135" s="1"/>
  <c r="S152" i="135" a="1"/>
  <c r="S152" i="135" s="1"/>
  <c r="V152" i="135" a="1"/>
  <c r="V152" i="135" s="1"/>
  <c r="AM152" i="135" a="1"/>
  <c r="AM152" i="135" s="1"/>
  <c r="G152" i="135" a="1"/>
  <c r="G152" i="135" s="1"/>
  <c r="J152" i="135" a="1"/>
  <c r="J152" i="135" s="1"/>
  <c r="M152" i="135" a="1"/>
  <c r="M152" i="135" s="1"/>
  <c r="L152" i="135" a="1"/>
  <c r="L152" i="135" s="1"/>
  <c r="H153" i="135" l="1" a="1"/>
  <c r="H153" i="135" s="1"/>
  <c r="K153" i="135" a="1"/>
  <c r="K153" i="135" s="1"/>
  <c r="N153" i="135" a="1"/>
  <c r="N153" i="135" s="1"/>
  <c r="Q153" i="135" a="1"/>
  <c r="Q153" i="135" s="1"/>
  <c r="AM153" i="135" a="1"/>
  <c r="AM153" i="135" s="1"/>
  <c r="G153" i="135" a="1"/>
  <c r="G153" i="135" s="1"/>
  <c r="M153" i="135" a="1"/>
  <c r="M153" i="135" s="1"/>
  <c r="AL153" i="135" a="1"/>
  <c r="AL153" i="135" s="1"/>
  <c r="AG153" i="135" a="1"/>
  <c r="AG153" i="135" s="1"/>
  <c r="AJ153" i="135" a="1"/>
  <c r="AJ153" i="135" s="1"/>
  <c r="J153" i="135" a="1"/>
  <c r="J153" i="135" s="1"/>
  <c r="AF153" i="135" a="1"/>
  <c r="AF153" i="135" s="1"/>
  <c r="AI153" i="135" a="1"/>
  <c r="AI153" i="135" s="1"/>
  <c r="F153" i="135" a="1"/>
  <c r="F153" i="135" s="1"/>
  <c r="I153" i="135" a="1"/>
  <c r="I153" i="135" s="1"/>
  <c r="T153" i="135" a="1"/>
  <c r="T153" i="135" s="1"/>
  <c r="W153" i="135" a="1"/>
  <c r="W153" i="135" s="1"/>
  <c r="Z153" i="135" a="1"/>
  <c r="Z153" i="135" s="1"/>
  <c r="AC153" i="135" a="1"/>
  <c r="AC153" i="135" s="1"/>
  <c r="P153" i="135" a="1"/>
  <c r="P153" i="135" s="1"/>
  <c r="S153" i="135" a="1"/>
  <c r="S153" i="135" s="1"/>
  <c r="V153" i="135" a="1"/>
  <c r="V153" i="135" s="1"/>
  <c r="Y153" i="135" a="1"/>
  <c r="Y153" i="135" s="1"/>
  <c r="L153" i="135" a="1"/>
  <c r="L153" i="135" s="1"/>
  <c r="O153" i="135" a="1"/>
  <c r="O153" i="135" s="1"/>
  <c r="R153" i="135" a="1"/>
  <c r="R153" i="135" s="1"/>
  <c r="U153" i="135" a="1"/>
  <c r="U153" i="135" s="1"/>
  <c r="AB153" i="135" a="1"/>
  <c r="AB153" i="135" s="1"/>
  <c r="AE153" i="135" a="1"/>
  <c r="AE153" i="135" s="1"/>
  <c r="AH153" i="135" a="1"/>
  <c r="AH153" i="135" s="1"/>
  <c r="AK153" i="135" a="1"/>
  <c r="AK153" i="135" s="1"/>
  <c r="X153" i="135" a="1"/>
  <c r="X153" i="135" s="1"/>
  <c r="AA153" i="135" a="1"/>
  <c r="AA153" i="135" s="1"/>
  <c r="AD153" i="135" a="1"/>
  <c r="AD153" i="135" s="1"/>
  <c r="E154" i="135" a="1"/>
  <c r="E154" i="135" s="1"/>
  <c r="D154" i="135" s="1"/>
  <c r="E155" i="135" l="1" a="1"/>
  <c r="E155" i="135" s="1"/>
  <c r="D155" i="135" s="1"/>
  <c r="T154" i="135" a="1"/>
  <c r="T154" i="135" s="1"/>
  <c r="W154" i="135" a="1"/>
  <c r="W154" i="135" s="1"/>
  <c r="Z154" i="135" a="1"/>
  <c r="Z154" i="135" s="1"/>
  <c r="AC154" i="135" a="1"/>
  <c r="AC154" i="135" s="1"/>
  <c r="H154" i="135" a="1"/>
  <c r="H154" i="135" s="1"/>
  <c r="N154" i="135" a="1"/>
  <c r="N154" i="135" s="1"/>
  <c r="Q154" i="135" a="1"/>
  <c r="Q154" i="135" s="1"/>
  <c r="AB154" i="135" a="1"/>
  <c r="AB154" i="135" s="1"/>
  <c r="AE154" i="135" a="1"/>
  <c r="AE154" i="135" s="1"/>
  <c r="AH154" i="135" a="1"/>
  <c r="AH154" i="135" s="1"/>
  <c r="AG154" i="135" a="1"/>
  <c r="AG154" i="135" s="1"/>
  <c r="P154" i="135" a="1"/>
  <c r="P154" i="135" s="1"/>
  <c r="S154" i="135" a="1"/>
  <c r="S154" i="135" s="1"/>
  <c r="V154" i="135" a="1"/>
  <c r="V154" i="135" s="1"/>
  <c r="Y154" i="135" a="1"/>
  <c r="Y154" i="135" s="1"/>
  <c r="L154" i="135" a="1"/>
  <c r="L154" i="135" s="1"/>
  <c r="O154" i="135" a="1"/>
  <c r="O154" i="135" s="1"/>
  <c r="R154" i="135" a="1"/>
  <c r="R154" i="135" s="1"/>
  <c r="U154" i="135" a="1"/>
  <c r="U154" i="135" s="1"/>
  <c r="K154" i="135" a="1"/>
  <c r="K154" i="135" s="1"/>
  <c r="AF154" i="135" a="1"/>
  <c r="AF154" i="135" s="1"/>
  <c r="AI154" i="135" a="1"/>
  <c r="AI154" i="135" s="1"/>
  <c r="F154" i="135" a="1"/>
  <c r="F154" i="135" s="1"/>
  <c r="I154" i="135" a="1"/>
  <c r="I154" i="135" s="1"/>
  <c r="AJ154" i="135" a="1"/>
  <c r="AJ154" i="135" s="1"/>
  <c r="AM154" i="135" a="1"/>
  <c r="AM154" i="135" s="1"/>
  <c r="G154" i="135" a="1"/>
  <c r="G154" i="135" s="1"/>
  <c r="J154" i="135" a="1"/>
  <c r="J154" i="135" s="1"/>
  <c r="M154" i="135" a="1"/>
  <c r="M154" i="135" s="1"/>
  <c r="AL154" i="135" a="1"/>
  <c r="AL154" i="135" s="1"/>
  <c r="AK154" i="135" a="1"/>
  <c r="AK154" i="135" s="1"/>
  <c r="X154" i="135" a="1"/>
  <c r="X154" i="135" s="1"/>
  <c r="AA154" i="135" a="1"/>
  <c r="AA154" i="135" s="1"/>
  <c r="AD154" i="135" a="1"/>
  <c r="AD154" i="135" s="1"/>
  <c r="Y155" i="135" l="1" a="1"/>
  <c r="Y155" i="135" s="1"/>
  <c r="X155" i="135" a="1"/>
  <c r="X155" i="135" s="1"/>
  <c r="AA155" i="135" a="1"/>
  <c r="AA155" i="135" s="1"/>
  <c r="AD155" i="135" a="1"/>
  <c r="AD155" i="135" s="1"/>
  <c r="U155" i="135" a="1"/>
  <c r="U155" i="135" s="1"/>
  <c r="T155" i="135" a="1"/>
  <c r="T155" i="135" s="1"/>
  <c r="W155" i="135" a="1"/>
  <c r="W155" i="135" s="1"/>
  <c r="Z155" i="135" a="1"/>
  <c r="Z155" i="135" s="1"/>
  <c r="Q155" i="135" a="1"/>
  <c r="Q155" i="135" s="1"/>
  <c r="P155" i="135" a="1"/>
  <c r="P155" i="135" s="1"/>
  <c r="S155" i="135" a="1"/>
  <c r="S155" i="135" s="1"/>
  <c r="V155" i="135" a="1"/>
  <c r="V155" i="135" s="1"/>
  <c r="M155" i="135" a="1"/>
  <c r="M155" i="135" s="1"/>
  <c r="L155" i="135" a="1"/>
  <c r="L155" i="135" s="1"/>
  <c r="O155" i="135" a="1"/>
  <c r="O155" i="135" s="1"/>
  <c r="R155" i="135" a="1"/>
  <c r="R155" i="135" s="1"/>
  <c r="I155" i="135" a="1"/>
  <c r="I155" i="135" s="1"/>
  <c r="H155" i="135" a="1"/>
  <c r="H155" i="135" s="1"/>
  <c r="K155" i="135" a="1"/>
  <c r="K155" i="135" s="1"/>
  <c r="N155" i="135" a="1"/>
  <c r="N155" i="135" s="1"/>
  <c r="AG155" i="135" a="1"/>
  <c r="AG155" i="135" s="1"/>
  <c r="AF155" i="135" a="1"/>
  <c r="AF155" i="135" s="1"/>
  <c r="AL155" i="135" a="1"/>
  <c r="AL155" i="135" s="1"/>
  <c r="F155" i="135" a="1"/>
  <c r="F155" i="135" s="1"/>
  <c r="AI155" i="135" a="1"/>
  <c r="AI155" i="135" s="1"/>
  <c r="AK155" i="135" a="1"/>
  <c r="AK155" i="135" s="1"/>
  <c r="AJ155" i="135" a="1"/>
  <c r="AJ155" i="135" s="1"/>
  <c r="AM155" i="135" a="1"/>
  <c r="AM155" i="135" s="1"/>
  <c r="G155" i="135" a="1"/>
  <c r="G155" i="135" s="1"/>
  <c r="J155" i="135" a="1"/>
  <c r="J155" i="135" s="1"/>
  <c r="AC155" i="135" a="1"/>
  <c r="AC155" i="135" s="1"/>
  <c r="AB155" i="135" a="1"/>
  <c r="AB155" i="135" s="1"/>
  <c r="AE155" i="135" a="1"/>
  <c r="AE155" i="135" s="1"/>
  <c r="AH155" i="135" a="1"/>
  <c r="AH155" i="135" s="1"/>
  <c r="E156" i="135" a="1"/>
  <c r="E156" i="135" s="1"/>
  <c r="D156" i="135" s="1"/>
  <c r="U156" i="135" l="1" a="1"/>
  <c r="U156" i="135" s="1"/>
  <c r="T156" i="135" a="1"/>
  <c r="T156" i="135" s="1"/>
  <c r="W156" i="135" a="1"/>
  <c r="W156" i="135" s="1"/>
  <c r="Z156" i="135" a="1"/>
  <c r="Z156" i="135" s="1"/>
  <c r="Q156" i="135" a="1"/>
  <c r="Q156" i="135" s="1"/>
  <c r="P156" i="135" a="1"/>
  <c r="P156" i="135" s="1"/>
  <c r="S156" i="135" a="1"/>
  <c r="S156" i="135" s="1"/>
  <c r="V156" i="135" a="1"/>
  <c r="V156" i="135" s="1"/>
  <c r="M156" i="135" a="1"/>
  <c r="M156" i="135" s="1"/>
  <c r="L156" i="135" a="1"/>
  <c r="L156" i="135" s="1"/>
  <c r="O156" i="135" a="1"/>
  <c r="O156" i="135" s="1"/>
  <c r="R156" i="135" a="1"/>
  <c r="R156" i="135" s="1"/>
  <c r="I156" i="135" a="1"/>
  <c r="I156" i="135" s="1"/>
  <c r="H156" i="135" a="1"/>
  <c r="H156" i="135" s="1"/>
  <c r="K156" i="135" a="1"/>
  <c r="K156" i="135" s="1"/>
  <c r="N156" i="135" a="1"/>
  <c r="N156" i="135" s="1"/>
  <c r="AG156" i="135" a="1"/>
  <c r="AG156" i="135" s="1"/>
  <c r="AF156" i="135" a="1"/>
  <c r="AF156" i="135" s="1"/>
  <c r="AI156" i="135" a="1"/>
  <c r="AI156" i="135" s="1"/>
  <c r="AL156" i="135" a="1"/>
  <c r="AL156" i="135" s="1"/>
  <c r="F156" i="135" a="1"/>
  <c r="F156" i="135" s="1"/>
  <c r="AC156" i="135" a="1"/>
  <c r="AC156" i="135" s="1"/>
  <c r="AB156" i="135" a="1"/>
  <c r="AB156" i="135" s="1"/>
  <c r="AE156" i="135" a="1"/>
  <c r="AE156" i="135" s="1"/>
  <c r="AH156" i="135" a="1"/>
  <c r="AH156" i="135" s="1"/>
  <c r="Y156" i="135" a="1"/>
  <c r="Y156" i="135" s="1"/>
  <c r="X156" i="135" a="1"/>
  <c r="X156" i="135" s="1"/>
  <c r="AA156" i="135" a="1"/>
  <c r="AA156" i="135" s="1"/>
  <c r="AD156" i="135" a="1"/>
  <c r="AD156" i="135" s="1"/>
  <c r="AK156" i="135" a="1"/>
  <c r="AK156" i="135" s="1"/>
  <c r="AJ156" i="135" a="1"/>
  <c r="AJ156" i="135" s="1"/>
  <c r="AM156" i="135" a="1"/>
  <c r="AM156" i="135" s="1"/>
  <c r="G156" i="135" a="1"/>
  <c r="G156" i="135" s="1"/>
  <c r="J156" i="135" a="1"/>
  <c r="J156" i="135" s="1"/>
  <c r="E157" i="135" a="1"/>
  <c r="E157" i="135" s="1"/>
  <c r="D157" i="135" s="1"/>
  <c r="N157" i="135" l="1" a="1"/>
  <c r="N157" i="135" s="1"/>
  <c r="Q157" i="135" a="1"/>
  <c r="Q157" i="135" s="1"/>
  <c r="P157" i="135" a="1"/>
  <c r="P157" i="135" s="1"/>
  <c r="S157" i="135" a="1"/>
  <c r="S157" i="135" s="1"/>
  <c r="J157" i="135" a="1"/>
  <c r="J157" i="135" s="1"/>
  <c r="M157" i="135" a="1"/>
  <c r="M157" i="135" s="1"/>
  <c r="L157" i="135" a="1"/>
  <c r="L157" i="135" s="1"/>
  <c r="O157" i="135" a="1"/>
  <c r="O157" i="135" s="1"/>
  <c r="AL157" i="135" a="1"/>
  <c r="AL157" i="135" s="1"/>
  <c r="F157" i="135" a="1"/>
  <c r="F157" i="135" s="1"/>
  <c r="I157" i="135" a="1"/>
  <c r="I157" i="135" s="1"/>
  <c r="H157" i="135" a="1"/>
  <c r="H157" i="135" s="1"/>
  <c r="K157" i="135" a="1"/>
  <c r="K157" i="135" s="1"/>
  <c r="AK157" i="135" a="1"/>
  <c r="AK157" i="135" s="1"/>
  <c r="G157" i="135" a="1"/>
  <c r="G157" i="135" s="1"/>
  <c r="AB157" i="135" a="1"/>
  <c r="AB157" i="135" s="1"/>
  <c r="V157" i="135" a="1"/>
  <c r="V157" i="135" s="1"/>
  <c r="Y157" i="135" a="1"/>
  <c r="Y157" i="135" s="1"/>
  <c r="X157" i="135" a="1"/>
  <c r="X157" i="135" s="1"/>
  <c r="AA157" i="135" a="1"/>
  <c r="AA157" i="135" s="1"/>
  <c r="R157" i="135" a="1"/>
  <c r="R157" i="135" s="1"/>
  <c r="U157" i="135" a="1"/>
  <c r="U157" i="135" s="1"/>
  <c r="T157" i="135" a="1"/>
  <c r="T157" i="135" s="1"/>
  <c r="W157" i="135" a="1"/>
  <c r="W157" i="135" s="1"/>
  <c r="AH157" i="135" a="1"/>
  <c r="AH157" i="135" s="1"/>
  <c r="AJ157" i="135" a="1"/>
  <c r="AJ157" i="135" s="1"/>
  <c r="AM157" i="135" a="1"/>
  <c r="AM157" i="135" s="1"/>
  <c r="Z157" i="135" a="1"/>
  <c r="Z157" i="135" s="1"/>
  <c r="AC157" i="135" a="1"/>
  <c r="AC157" i="135" s="1"/>
  <c r="AE157" i="135" a="1"/>
  <c r="AE157" i="135" s="1"/>
  <c r="AD157" i="135" a="1"/>
  <c r="AD157" i="135" s="1"/>
  <c r="AG157" i="135" a="1"/>
  <c r="AG157" i="135" s="1"/>
  <c r="AF157" i="135" a="1"/>
  <c r="AF157" i="135" s="1"/>
  <c r="AI157" i="135" a="1"/>
  <c r="AI157" i="135" s="1"/>
  <c r="E158" i="135" a="1"/>
  <c r="E158" i="135" s="1"/>
  <c r="D158" i="135" s="1"/>
  <c r="AD158" i="135" l="1" a="1"/>
  <c r="AD158" i="135" s="1"/>
  <c r="AG158" i="135" a="1"/>
  <c r="AG158" i="135" s="1"/>
  <c r="AF158" i="135" a="1"/>
  <c r="AF158" i="135" s="1"/>
  <c r="AI158" i="135" a="1"/>
  <c r="AI158" i="135" s="1"/>
  <c r="Z158" i="135" a="1"/>
  <c r="Z158" i="135" s="1"/>
  <c r="AC158" i="135" a="1"/>
  <c r="AC158" i="135" s="1"/>
  <c r="AB158" i="135" a="1"/>
  <c r="AB158" i="135" s="1"/>
  <c r="AE158" i="135" a="1"/>
  <c r="AE158" i="135" s="1"/>
  <c r="V158" i="135" a="1"/>
  <c r="V158" i="135" s="1"/>
  <c r="Y158" i="135" a="1"/>
  <c r="Y158" i="135" s="1"/>
  <c r="X158" i="135" a="1"/>
  <c r="X158" i="135" s="1"/>
  <c r="AA158" i="135" a="1"/>
  <c r="AA158" i="135" s="1"/>
  <c r="R158" i="135" a="1"/>
  <c r="R158" i="135" s="1"/>
  <c r="T158" i="135" a="1"/>
  <c r="T158" i="135" s="1"/>
  <c r="Q158" i="135" a="1"/>
  <c r="Q158" i="135" s="1"/>
  <c r="S158" i="135" a="1"/>
  <c r="S158" i="135" s="1"/>
  <c r="AL158" i="135" a="1"/>
  <c r="AL158" i="135" s="1"/>
  <c r="F158" i="135" a="1"/>
  <c r="F158" i="135" s="1"/>
  <c r="I158" i="135" a="1"/>
  <c r="I158" i="135" s="1"/>
  <c r="H158" i="135" a="1"/>
  <c r="H158" i="135" s="1"/>
  <c r="K158" i="135" a="1"/>
  <c r="K158" i="135" s="1"/>
  <c r="AH158" i="135" a="1"/>
  <c r="AH158" i="135" s="1"/>
  <c r="AK158" i="135" a="1"/>
  <c r="AK158" i="135" s="1"/>
  <c r="AJ158" i="135" a="1"/>
  <c r="AJ158" i="135" s="1"/>
  <c r="AM158" i="135" a="1"/>
  <c r="AM158" i="135" s="1"/>
  <c r="G158" i="135" a="1"/>
  <c r="G158" i="135" s="1"/>
  <c r="U158" i="135" a="1"/>
  <c r="U158" i="135" s="1"/>
  <c r="W158" i="135" a="1"/>
  <c r="W158" i="135" s="1"/>
  <c r="N158" i="135" a="1"/>
  <c r="N158" i="135" s="1"/>
  <c r="P158" i="135" a="1"/>
  <c r="P158" i="135" s="1"/>
  <c r="J158" i="135" a="1"/>
  <c r="J158" i="135" s="1"/>
  <c r="M158" i="135" a="1"/>
  <c r="M158" i="135" s="1"/>
  <c r="L158" i="135" a="1"/>
  <c r="L158" i="135" s="1"/>
  <c r="O158" i="135" a="1"/>
  <c r="O158" i="135" s="1"/>
  <c r="E159" i="135" a="1"/>
  <c r="E159" i="135" s="1"/>
  <c r="D159" i="135" s="1"/>
  <c r="AA159" i="135" l="1" a="1"/>
  <c r="AA159" i="135" s="1"/>
  <c r="AD159" i="135" a="1"/>
  <c r="AD159" i="135" s="1"/>
  <c r="AG159" i="135" a="1"/>
  <c r="AG159" i="135" s="1"/>
  <c r="AF159" i="135" a="1"/>
  <c r="AF159" i="135" s="1"/>
  <c r="S159" i="135" a="1"/>
  <c r="S159" i="135" s="1"/>
  <c r="V159" i="135" a="1"/>
  <c r="V159" i="135" s="1"/>
  <c r="Y159" i="135" a="1"/>
  <c r="Y159" i="135" s="1"/>
  <c r="X159" i="135" a="1"/>
  <c r="X159" i="135" s="1"/>
  <c r="T159" i="135" a="1"/>
  <c r="T159" i="135" s="1"/>
  <c r="AM159" i="135" a="1"/>
  <c r="AM159" i="135" s="1"/>
  <c r="G159" i="135" a="1"/>
  <c r="G159" i="135" s="1"/>
  <c r="J159" i="135" a="1"/>
  <c r="J159" i="135" s="1"/>
  <c r="M159" i="135" a="1"/>
  <c r="M159" i="135" s="1"/>
  <c r="L159" i="135" a="1"/>
  <c r="L159" i="135" s="1"/>
  <c r="O159" i="135" a="1"/>
  <c r="O159" i="135" s="1"/>
  <c r="R159" i="135" a="1"/>
  <c r="R159" i="135" s="1"/>
  <c r="U159" i="135" a="1"/>
  <c r="U159" i="135" s="1"/>
  <c r="K159" i="135" a="1"/>
  <c r="K159" i="135" s="1"/>
  <c r="N159" i="135" a="1"/>
  <c r="N159" i="135" s="1"/>
  <c r="Q159" i="135" a="1"/>
  <c r="Q159" i="135" s="1"/>
  <c r="P159" i="135" a="1"/>
  <c r="P159" i="135" s="1"/>
  <c r="AI159" i="135" a="1"/>
  <c r="AI159" i="135" s="1"/>
  <c r="AL159" i="135" a="1"/>
  <c r="AL159" i="135" s="1"/>
  <c r="F159" i="135" a="1"/>
  <c r="F159" i="135" s="1"/>
  <c r="I159" i="135" a="1"/>
  <c r="I159" i="135" s="1"/>
  <c r="H159" i="135" a="1"/>
  <c r="H159" i="135" s="1"/>
  <c r="W159" i="135" a="1"/>
  <c r="W159" i="135" s="1"/>
  <c r="Z159" i="135" a="1"/>
  <c r="Z159" i="135" s="1"/>
  <c r="AC159" i="135" a="1"/>
  <c r="AC159" i="135" s="1"/>
  <c r="AB159" i="135" a="1"/>
  <c r="AB159" i="135" s="1"/>
  <c r="AE159" i="135" a="1"/>
  <c r="AE159" i="135" s="1"/>
  <c r="AH159" i="135" a="1"/>
  <c r="AH159" i="135" s="1"/>
  <c r="AK159" i="135" a="1"/>
  <c r="AK159" i="135" s="1"/>
  <c r="AJ159" i="135" a="1"/>
  <c r="AJ159" i="135" s="1"/>
  <c r="E160" i="135" a="1"/>
  <c r="E160" i="135" s="1"/>
  <c r="D160" i="135" s="1"/>
  <c r="AI160" i="135" l="1" a="1"/>
  <c r="AI160" i="135" s="1"/>
  <c r="AL160" i="135" a="1"/>
  <c r="AL160" i="135" s="1"/>
  <c r="F160" i="135" a="1"/>
  <c r="F160" i="135" s="1"/>
  <c r="I160" i="135" a="1"/>
  <c r="I160" i="135" s="1"/>
  <c r="H160" i="135" a="1"/>
  <c r="H160" i="135" s="1"/>
  <c r="AA160" i="135" a="1"/>
  <c r="AA160" i="135" s="1"/>
  <c r="AD160" i="135" a="1"/>
  <c r="AD160" i="135" s="1"/>
  <c r="AG160" i="135" a="1"/>
  <c r="AG160" i="135" s="1"/>
  <c r="AF160" i="135" a="1"/>
  <c r="AF160" i="135" s="1"/>
  <c r="W160" i="135" a="1"/>
  <c r="W160" i="135" s="1"/>
  <c r="Z160" i="135" a="1"/>
  <c r="Z160" i="135" s="1"/>
  <c r="AC160" i="135" a="1"/>
  <c r="AC160" i="135" s="1"/>
  <c r="AB160" i="135" a="1"/>
  <c r="AB160" i="135" s="1"/>
  <c r="S160" i="135" a="1"/>
  <c r="S160" i="135" s="1"/>
  <c r="V160" i="135" a="1"/>
  <c r="V160" i="135" s="1"/>
  <c r="Y160" i="135" a="1"/>
  <c r="Y160" i="135" s="1"/>
  <c r="X160" i="135" a="1"/>
  <c r="X160" i="135" s="1"/>
  <c r="O160" i="135" a="1"/>
  <c r="O160" i="135" s="1"/>
  <c r="R160" i="135" a="1"/>
  <c r="R160" i="135" s="1"/>
  <c r="U160" i="135" a="1"/>
  <c r="U160" i="135" s="1"/>
  <c r="T160" i="135" a="1"/>
  <c r="T160" i="135" s="1"/>
  <c r="K160" i="135" a="1"/>
  <c r="K160" i="135" s="1"/>
  <c r="N160" i="135" a="1"/>
  <c r="N160" i="135" s="1"/>
  <c r="Q160" i="135" a="1"/>
  <c r="Q160" i="135" s="1"/>
  <c r="P160" i="135" a="1"/>
  <c r="P160" i="135" s="1"/>
  <c r="AM160" i="135" a="1"/>
  <c r="AM160" i="135" s="1"/>
  <c r="G160" i="135" a="1"/>
  <c r="G160" i="135" s="1"/>
  <c r="J160" i="135" a="1"/>
  <c r="J160" i="135" s="1"/>
  <c r="M160" i="135" a="1"/>
  <c r="M160" i="135" s="1"/>
  <c r="L160" i="135" a="1"/>
  <c r="L160" i="135" s="1"/>
  <c r="AE160" i="135" a="1"/>
  <c r="AE160" i="135" s="1"/>
  <c r="AH160" i="135" a="1"/>
  <c r="AH160" i="135" s="1"/>
  <c r="AK160" i="135" a="1"/>
  <c r="AK160" i="135" s="1"/>
  <c r="AJ160" i="135" a="1"/>
  <c r="AJ160" i="135" s="1"/>
  <c r="E161" i="135" a="1"/>
  <c r="E161" i="135" s="1"/>
  <c r="D161" i="135" s="1"/>
  <c r="E162" i="135" l="1" a="1"/>
  <c r="E162" i="135" s="1"/>
  <c r="D162" i="135" s="1"/>
  <c r="AF161" i="135" a="1"/>
  <c r="AF161" i="135" s="1"/>
  <c r="AI161" i="135" a="1"/>
  <c r="AI161" i="135" s="1"/>
  <c r="AL161" i="135" a="1"/>
  <c r="AL161" i="135" s="1"/>
  <c r="F161" i="135" a="1"/>
  <c r="F161" i="135" s="1"/>
  <c r="I161" i="135" a="1"/>
  <c r="I161" i="135" s="1"/>
  <c r="AB161" i="135" a="1"/>
  <c r="AB161" i="135" s="1"/>
  <c r="AE161" i="135" a="1"/>
  <c r="AE161" i="135" s="1"/>
  <c r="AH161" i="135" a="1"/>
  <c r="AH161" i="135" s="1"/>
  <c r="AK161" i="135" a="1"/>
  <c r="AK161" i="135" s="1"/>
  <c r="AA161" i="135" a="1"/>
  <c r="AA161" i="135" s="1"/>
  <c r="AD161" i="135" a="1"/>
  <c r="AD161" i="135" s="1"/>
  <c r="Z161" i="135" a="1"/>
  <c r="Z161" i="135" s="1"/>
  <c r="P161" i="135" a="1"/>
  <c r="P161" i="135" s="1"/>
  <c r="V161" i="135" a="1"/>
  <c r="V161" i="135" s="1"/>
  <c r="X161" i="135" a="1"/>
  <c r="X161" i="135" s="1"/>
  <c r="AG161" i="135" a="1"/>
  <c r="AG161" i="135" s="1"/>
  <c r="T161" i="135" a="1"/>
  <c r="T161" i="135" s="1"/>
  <c r="W161" i="135" a="1"/>
  <c r="W161" i="135" s="1"/>
  <c r="AC161" i="135" a="1"/>
  <c r="AC161" i="135" s="1"/>
  <c r="S161" i="135" a="1"/>
  <c r="S161" i="135" s="1"/>
  <c r="Y161" i="135" a="1"/>
  <c r="Y161" i="135" s="1"/>
  <c r="L161" i="135" a="1"/>
  <c r="L161" i="135" s="1"/>
  <c r="O161" i="135" a="1"/>
  <c r="O161" i="135" s="1"/>
  <c r="R161" i="135" a="1"/>
  <c r="R161" i="135" s="1"/>
  <c r="U161" i="135" a="1"/>
  <c r="U161" i="135" s="1"/>
  <c r="H161" i="135" a="1"/>
  <c r="H161" i="135" s="1"/>
  <c r="K161" i="135" a="1"/>
  <c r="K161" i="135" s="1"/>
  <c r="N161" i="135" a="1"/>
  <c r="N161" i="135" s="1"/>
  <c r="Q161" i="135" a="1"/>
  <c r="Q161" i="135" s="1"/>
  <c r="AJ161" i="135" a="1"/>
  <c r="AJ161" i="135" s="1"/>
  <c r="AM161" i="135" a="1"/>
  <c r="AM161" i="135" s="1"/>
  <c r="G161" i="135" a="1"/>
  <c r="G161" i="135" s="1"/>
  <c r="J161" i="135" a="1"/>
  <c r="J161" i="135" s="1"/>
  <c r="M161" i="135" a="1"/>
  <c r="M161" i="135" s="1"/>
  <c r="E163" i="135" l="1" a="1"/>
  <c r="E163" i="135" s="1"/>
  <c r="D163" i="135" s="1"/>
  <c r="AB162" i="135" a="1"/>
  <c r="AB162" i="135" s="1"/>
  <c r="AE162" i="135" a="1"/>
  <c r="AE162" i="135" s="1"/>
  <c r="AH162" i="135" a="1"/>
  <c r="AH162" i="135" s="1"/>
  <c r="AK162" i="135" a="1"/>
  <c r="AK162" i="135" s="1"/>
  <c r="T162" i="135" a="1"/>
  <c r="T162" i="135" s="1"/>
  <c r="W162" i="135" a="1"/>
  <c r="W162" i="135" s="1"/>
  <c r="Z162" i="135" a="1"/>
  <c r="Z162" i="135" s="1"/>
  <c r="AC162" i="135" a="1"/>
  <c r="AC162" i="135" s="1"/>
  <c r="P162" i="135" a="1"/>
  <c r="P162" i="135" s="1"/>
  <c r="S162" i="135" a="1"/>
  <c r="S162" i="135" s="1"/>
  <c r="V162" i="135" a="1"/>
  <c r="V162" i="135" s="1"/>
  <c r="Y162" i="135" a="1"/>
  <c r="Y162" i="135" s="1"/>
  <c r="G162" i="135" a="1"/>
  <c r="G162" i="135" s="1"/>
  <c r="M162" i="135" a="1"/>
  <c r="M162" i="135" s="1"/>
  <c r="AI162" i="135" a="1"/>
  <c r="AI162" i="135" s="1"/>
  <c r="F162" i="135" a="1"/>
  <c r="F162" i="135" s="1"/>
  <c r="X162" i="135" a="1"/>
  <c r="X162" i="135" s="1"/>
  <c r="AA162" i="135" a="1"/>
  <c r="AA162" i="135" s="1"/>
  <c r="AD162" i="135" a="1"/>
  <c r="AD162" i="135" s="1"/>
  <c r="AG162" i="135" a="1"/>
  <c r="AG162" i="135" s="1"/>
  <c r="L162" i="135" a="1"/>
  <c r="L162" i="135" s="1"/>
  <c r="O162" i="135" a="1"/>
  <c r="O162" i="135" s="1"/>
  <c r="R162" i="135" a="1"/>
  <c r="R162" i="135" s="1"/>
  <c r="U162" i="135" a="1"/>
  <c r="U162" i="135" s="1"/>
  <c r="H162" i="135" a="1"/>
  <c r="H162" i="135" s="1"/>
  <c r="K162" i="135" a="1"/>
  <c r="K162" i="135" s="1"/>
  <c r="N162" i="135" a="1"/>
  <c r="N162" i="135" s="1"/>
  <c r="Q162" i="135" a="1"/>
  <c r="Q162" i="135" s="1"/>
  <c r="AJ162" i="135" a="1"/>
  <c r="AJ162" i="135" s="1"/>
  <c r="AM162" i="135" a="1"/>
  <c r="AM162" i="135" s="1"/>
  <c r="J162" i="135" a="1"/>
  <c r="J162" i="135" s="1"/>
  <c r="AF162" i="135" a="1"/>
  <c r="AF162" i="135" s="1"/>
  <c r="AL162" i="135" a="1"/>
  <c r="AL162" i="135" s="1"/>
  <c r="I162" i="135" a="1"/>
  <c r="I162" i="135" s="1"/>
  <c r="E164" i="135" l="1" a="1"/>
  <c r="E164" i="135" s="1"/>
  <c r="D164" i="135" s="1"/>
  <c r="Q163" i="135" a="1"/>
  <c r="Q163" i="135" s="1"/>
  <c r="P163" i="135" a="1"/>
  <c r="P163" i="135" s="1"/>
  <c r="S163" i="135" a="1"/>
  <c r="S163" i="135" s="1"/>
  <c r="V163" i="135" a="1"/>
  <c r="V163" i="135" s="1"/>
  <c r="AK163" i="135" a="1"/>
  <c r="AK163" i="135" s="1"/>
  <c r="AJ163" i="135" a="1"/>
  <c r="AJ163" i="135" s="1"/>
  <c r="G163" i="135" a="1"/>
  <c r="G163" i="135" s="1"/>
  <c r="J163" i="135" a="1"/>
  <c r="J163" i="135" s="1"/>
  <c r="F163" i="135" a="1"/>
  <c r="F163" i="135" s="1"/>
  <c r="AD163" i="135" a="1"/>
  <c r="AD163" i="135" s="1"/>
  <c r="W163" i="135" a="1"/>
  <c r="W163" i="135" s="1"/>
  <c r="M163" i="135" a="1"/>
  <c r="M163" i="135" s="1"/>
  <c r="L163" i="135" a="1"/>
  <c r="L163" i="135" s="1"/>
  <c r="O163" i="135" a="1"/>
  <c r="O163" i="135" s="1"/>
  <c r="R163" i="135" a="1"/>
  <c r="R163" i="135" s="1"/>
  <c r="I163" i="135" a="1"/>
  <c r="I163" i="135" s="1"/>
  <c r="H163" i="135" a="1"/>
  <c r="H163" i="135" s="1"/>
  <c r="K163" i="135" a="1"/>
  <c r="K163" i="135" s="1"/>
  <c r="N163" i="135" a="1"/>
  <c r="N163" i="135" s="1"/>
  <c r="AM163" i="135" a="1"/>
  <c r="AM163" i="135" s="1"/>
  <c r="AL163" i="135" a="1"/>
  <c r="AL163" i="135" s="1"/>
  <c r="AC163" i="135" a="1"/>
  <c r="AC163" i="135" s="1"/>
  <c r="AB163" i="135" a="1"/>
  <c r="AB163" i="135" s="1"/>
  <c r="AH163" i="135" a="1"/>
  <c r="AH163" i="135" s="1"/>
  <c r="AA163" i="135" a="1"/>
  <c r="AA163" i="135" s="1"/>
  <c r="U163" i="135" a="1"/>
  <c r="U163" i="135" s="1"/>
  <c r="T163" i="135" a="1"/>
  <c r="T163" i="135" s="1"/>
  <c r="Z163" i="135" a="1"/>
  <c r="Z163" i="135" s="1"/>
  <c r="AG163" i="135" a="1"/>
  <c r="AG163" i="135" s="1"/>
  <c r="AF163" i="135" a="1"/>
  <c r="AF163" i="135" s="1"/>
  <c r="AI163" i="135" a="1"/>
  <c r="AI163" i="135" s="1"/>
  <c r="AE163" i="135" a="1"/>
  <c r="AE163" i="135" s="1"/>
  <c r="Y163" i="135" a="1"/>
  <c r="Y163" i="135" s="1"/>
  <c r="X163" i="135" a="1"/>
  <c r="X163" i="135" s="1"/>
  <c r="E165" i="135" l="1" a="1"/>
  <c r="E165" i="135" s="1"/>
  <c r="D165" i="135" s="1"/>
  <c r="Y164" i="135" a="1"/>
  <c r="Y164" i="135" s="1"/>
  <c r="X164" i="135" a="1"/>
  <c r="X164" i="135" s="1"/>
  <c r="AA164" i="135" a="1"/>
  <c r="AA164" i="135" s="1"/>
  <c r="AD164" i="135" a="1"/>
  <c r="AD164" i="135" s="1"/>
  <c r="T164" i="135" a="1"/>
  <c r="T164" i="135" s="1"/>
  <c r="W164" i="135" a="1"/>
  <c r="W164" i="135" s="1"/>
  <c r="Z164" i="135" a="1"/>
  <c r="Z164" i="135" s="1"/>
  <c r="Q164" i="135" a="1"/>
  <c r="Q164" i="135" s="1"/>
  <c r="S164" i="135" a="1"/>
  <c r="S164" i="135" s="1"/>
  <c r="U164" i="135" a="1"/>
  <c r="U164" i="135" s="1"/>
  <c r="P164" i="135" a="1"/>
  <c r="P164" i="135" s="1"/>
  <c r="V164" i="135" a="1"/>
  <c r="V164" i="135" s="1"/>
  <c r="I164" i="135" a="1"/>
  <c r="I164" i="135" s="1"/>
  <c r="K164" i="135" a="1"/>
  <c r="K164" i="135" s="1"/>
  <c r="N164" i="135" a="1"/>
  <c r="N164" i="135" s="1"/>
  <c r="AF164" i="135" a="1"/>
  <c r="AF164" i="135" s="1"/>
  <c r="AL164" i="135" a="1"/>
  <c r="AL164" i="135" s="1"/>
  <c r="M164" i="135" a="1"/>
  <c r="M164" i="135" s="1"/>
  <c r="L164" i="135" a="1"/>
  <c r="L164" i="135" s="1"/>
  <c r="O164" i="135" a="1"/>
  <c r="O164" i="135" s="1"/>
  <c r="R164" i="135" a="1"/>
  <c r="R164" i="135" s="1"/>
  <c r="H164" i="135" a="1"/>
  <c r="H164" i="135" s="1"/>
  <c r="AG164" i="135" a="1"/>
  <c r="AG164" i="135" s="1"/>
  <c r="AI164" i="135" a="1"/>
  <c r="AI164" i="135" s="1"/>
  <c r="F164" i="135" a="1"/>
  <c r="F164" i="135" s="1"/>
  <c r="AK164" i="135" a="1"/>
  <c r="AK164" i="135" s="1"/>
  <c r="AJ164" i="135" a="1"/>
  <c r="AJ164" i="135" s="1"/>
  <c r="AM164" i="135" a="1"/>
  <c r="AM164" i="135" s="1"/>
  <c r="G164" i="135" a="1"/>
  <c r="G164" i="135" s="1"/>
  <c r="J164" i="135" a="1"/>
  <c r="J164" i="135" s="1"/>
  <c r="AC164" i="135" a="1"/>
  <c r="AC164" i="135" s="1"/>
  <c r="AB164" i="135" a="1"/>
  <c r="AB164" i="135" s="1"/>
  <c r="AE164" i="135" a="1"/>
  <c r="AE164" i="135" s="1"/>
  <c r="AH164" i="135" a="1"/>
  <c r="AH164" i="135" s="1"/>
  <c r="E166" i="135" l="1" a="1"/>
  <c r="E166" i="135" s="1"/>
  <c r="D166" i="135" s="1"/>
  <c r="N165" i="135" a="1"/>
  <c r="N165" i="135" s="1"/>
  <c r="Q165" i="135" a="1"/>
  <c r="Q165" i="135" s="1"/>
  <c r="P165" i="135" a="1"/>
  <c r="P165" i="135" s="1"/>
  <c r="S165" i="135" a="1"/>
  <c r="S165" i="135" s="1"/>
  <c r="J165" i="135" a="1"/>
  <c r="J165" i="135" s="1"/>
  <c r="M165" i="135" a="1"/>
  <c r="M165" i="135" s="1"/>
  <c r="L165" i="135" a="1"/>
  <c r="L165" i="135" s="1"/>
  <c r="O165" i="135" a="1"/>
  <c r="O165" i="135" s="1"/>
  <c r="R165" i="135" a="1"/>
  <c r="R165" i="135" s="1"/>
  <c r="U165" i="135" a="1"/>
  <c r="U165" i="135" s="1"/>
  <c r="W165" i="135" a="1"/>
  <c r="W165" i="135" s="1"/>
  <c r="AL165" i="135" a="1"/>
  <c r="AL165" i="135" s="1"/>
  <c r="F165" i="135" a="1"/>
  <c r="F165" i="135" s="1"/>
  <c r="I165" i="135" a="1"/>
  <c r="I165" i="135" s="1"/>
  <c r="H165" i="135" a="1"/>
  <c r="H165" i="135" s="1"/>
  <c r="K165" i="135" a="1"/>
  <c r="K165" i="135" s="1"/>
  <c r="Z165" i="135" a="1"/>
  <c r="Z165" i="135" s="1"/>
  <c r="AC165" i="135" a="1"/>
  <c r="AC165" i="135" s="1"/>
  <c r="AB165" i="135" a="1"/>
  <c r="AB165" i="135" s="1"/>
  <c r="V165" i="135" a="1"/>
  <c r="V165" i="135" s="1"/>
  <c r="Y165" i="135" a="1"/>
  <c r="Y165" i="135" s="1"/>
  <c r="X165" i="135" a="1"/>
  <c r="X165" i="135" s="1"/>
  <c r="AH165" i="135" a="1"/>
  <c r="AH165" i="135" s="1"/>
  <c r="AK165" i="135" a="1"/>
  <c r="AK165" i="135" s="1"/>
  <c r="AJ165" i="135" a="1"/>
  <c r="AJ165" i="135" s="1"/>
  <c r="AM165" i="135" a="1"/>
  <c r="AM165" i="135" s="1"/>
  <c r="G165" i="135" a="1"/>
  <c r="G165" i="135" s="1"/>
  <c r="AD165" i="135" a="1"/>
  <c r="AD165" i="135" s="1"/>
  <c r="AG165" i="135" a="1"/>
  <c r="AG165" i="135" s="1"/>
  <c r="AF165" i="135" a="1"/>
  <c r="AF165" i="135" s="1"/>
  <c r="AI165" i="135" a="1"/>
  <c r="AI165" i="135" s="1"/>
  <c r="AE165" i="135" a="1"/>
  <c r="AE165" i="135" s="1"/>
  <c r="AA165" i="135" a="1"/>
  <c r="AA165" i="135" s="1"/>
  <c r="T165" i="135" a="1"/>
  <c r="T165" i="135" s="1"/>
  <c r="E167" i="135" l="1" a="1"/>
  <c r="E167" i="135" s="1"/>
  <c r="D167" i="135" s="1"/>
  <c r="R166" i="135" a="1"/>
  <c r="R166" i="135" s="1"/>
  <c r="U166" i="135" a="1"/>
  <c r="U166" i="135" s="1"/>
  <c r="T166" i="135" a="1"/>
  <c r="T166" i="135" s="1"/>
  <c r="W166" i="135" a="1"/>
  <c r="W166" i="135" s="1"/>
  <c r="J166" i="135" a="1"/>
  <c r="J166" i="135" s="1"/>
  <c r="M166" i="135" a="1"/>
  <c r="M166" i="135" s="1"/>
  <c r="L166" i="135" a="1"/>
  <c r="L166" i="135" s="1"/>
  <c r="O166" i="135" a="1"/>
  <c r="O166" i="135" s="1"/>
  <c r="AH166" i="135" a="1"/>
  <c r="AH166" i="135" s="1"/>
  <c r="AJ166" i="135" a="1"/>
  <c r="AJ166" i="135" s="1"/>
  <c r="AM166" i="135" a="1"/>
  <c r="AM166" i="135" s="1"/>
  <c r="AG166" i="135" a="1"/>
  <c r="AG166" i="135" s="1"/>
  <c r="AI166" i="135" a="1"/>
  <c r="AI166" i="135" s="1"/>
  <c r="Z166" i="135" a="1"/>
  <c r="Z166" i="135" s="1"/>
  <c r="AC166" i="135" a="1"/>
  <c r="AC166" i="135" s="1"/>
  <c r="AE166" i="135" a="1"/>
  <c r="AE166" i="135" s="1"/>
  <c r="N166" i="135" a="1"/>
  <c r="N166" i="135" s="1"/>
  <c r="Q166" i="135" a="1"/>
  <c r="Q166" i="135" s="1"/>
  <c r="P166" i="135" a="1"/>
  <c r="P166" i="135" s="1"/>
  <c r="S166" i="135" a="1"/>
  <c r="S166" i="135" s="1"/>
  <c r="AL166" i="135" a="1"/>
  <c r="AL166" i="135" s="1"/>
  <c r="F166" i="135" a="1"/>
  <c r="F166" i="135" s="1"/>
  <c r="I166" i="135" a="1"/>
  <c r="I166" i="135" s="1"/>
  <c r="H166" i="135" a="1"/>
  <c r="H166" i="135" s="1"/>
  <c r="K166" i="135" a="1"/>
  <c r="K166" i="135" s="1"/>
  <c r="AK166" i="135" a="1"/>
  <c r="AK166" i="135" s="1"/>
  <c r="G166" i="135" a="1"/>
  <c r="G166" i="135" s="1"/>
  <c r="AD166" i="135" a="1"/>
  <c r="AD166" i="135" s="1"/>
  <c r="AF166" i="135" a="1"/>
  <c r="AF166" i="135" s="1"/>
  <c r="AB166" i="135" a="1"/>
  <c r="AB166" i="135" s="1"/>
  <c r="V166" i="135" a="1"/>
  <c r="V166" i="135" s="1"/>
  <c r="Y166" i="135" a="1"/>
  <c r="Y166" i="135" s="1"/>
  <c r="X166" i="135" a="1"/>
  <c r="X166" i="135" s="1"/>
  <c r="AA166" i="135" a="1"/>
  <c r="AA166" i="135" s="1"/>
  <c r="E168" i="135" l="1" a="1"/>
  <c r="E168" i="135" s="1"/>
  <c r="D168" i="135" s="1"/>
  <c r="S167" i="135" a="1"/>
  <c r="S167" i="135" s="1"/>
  <c r="V167" i="135" a="1"/>
  <c r="V167" i="135" s="1"/>
  <c r="Y167" i="135" a="1"/>
  <c r="Y167" i="135" s="1"/>
  <c r="X167" i="135" a="1"/>
  <c r="X167" i="135" s="1"/>
  <c r="N167" i="135" a="1"/>
  <c r="N167" i="135" s="1"/>
  <c r="P167" i="135" a="1"/>
  <c r="P167" i="135" s="1"/>
  <c r="AA167" i="135" a="1"/>
  <c r="AA167" i="135" s="1"/>
  <c r="O167" i="135" a="1"/>
  <c r="O167" i="135" s="1"/>
  <c r="R167" i="135" a="1"/>
  <c r="R167" i="135" s="1"/>
  <c r="U167" i="135" a="1"/>
  <c r="U167" i="135" s="1"/>
  <c r="T167" i="135" a="1"/>
  <c r="T167" i="135" s="1"/>
  <c r="K167" i="135" a="1"/>
  <c r="K167" i="135" s="1"/>
  <c r="Q167" i="135" a="1"/>
  <c r="Q167" i="135" s="1"/>
  <c r="AI167" i="135" a="1"/>
  <c r="AI167" i="135" s="1"/>
  <c r="AL167" i="135" a="1"/>
  <c r="AL167" i="135" s="1"/>
  <c r="I167" i="135" a="1"/>
  <c r="I167" i="135" s="1"/>
  <c r="AG167" i="135" a="1"/>
  <c r="AG167" i="135" s="1"/>
  <c r="AF167" i="135" a="1"/>
  <c r="AF167" i="135" s="1"/>
  <c r="AM167" i="135" a="1"/>
  <c r="AM167" i="135" s="1"/>
  <c r="G167" i="135" a="1"/>
  <c r="G167" i="135" s="1"/>
  <c r="J167" i="135" a="1"/>
  <c r="J167" i="135" s="1"/>
  <c r="M167" i="135" a="1"/>
  <c r="M167" i="135" s="1"/>
  <c r="L167" i="135" a="1"/>
  <c r="L167" i="135" s="1"/>
  <c r="F167" i="135" a="1"/>
  <c r="F167" i="135" s="1"/>
  <c r="H167" i="135" a="1"/>
  <c r="H167" i="135" s="1"/>
  <c r="AE167" i="135" a="1"/>
  <c r="AE167" i="135" s="1"/>
  <c r="AH167" i="135" a="1"/>
  <c r="AH167" i="135" s="1"/>
  <c r="AK167" i="135" a="1"/>
  <c r="AK167" i="135" s="1"/>
  <c r="AJ167" i="135" a="1"/>
  <c r="AJ167" i="135" s="1"/>
  <c r="W167" i="135" a="1"/>
  <c r="W167" i="135" s="1"/>
  <c r="Z167" i="135" a="1"/>
  <c r="Z167" i="135" s="1"/>
  <c r="AC167" i="135" a="1"/>
  <c r="AC167" i="135" s="1"/>
  <c r="AD167" i="135" a="1"/>
  <c r="AD167" i="135" s="1"/>
  <c r="AB167" i="135" a="1"/>
  <c r="AB167" i="135" s="1"/>
  <c r="E169" i="135" l="1" a="1"/>
  <c r="E169" i="135" s="1"/>
  <c r="D169" i="135" s="1"/>
  <c r="AA168" i="135" a="1"/>
  <c r="AA168" i="135" s="1"/>
  <c r="AD168" i="135" a="1"/>
  <c r="AD168" i="135" s="1"/>
  <c r="AG168" i="135" a="1"/>
  <c r="AG168" i="135" s="1"/>
  <c r="AF168" i="135" a="1"/>
  <c r="AF168" i="135" s="1"/>
  <c r="S168" i="135" a="1"/>
  <c r="S168" i="135" s="1"/>
  <c r="Y168" i="135" a="1"/>
  <c r="Y168" i="135" s="1"/>
  <c r="K168" i="135" a="1"/>
  <c r="K168" i="135" s="1"/>
  <c r="N168" i="135" a="1"/>
  <c r="N168" i="135" s="1"/>
  <c r="Q168" i="135" a="1"/>
  <c r="Q168" i="135" s="1"/>
  <c r="W168" i="135" a="1"/>
  <c r="W168" i="135" s="1"/>
  <c r="Z168" i="135" a="1"/>
  <c r="Z168" i="135" s="1"/>
  <c r="AC168" i="135" a="1"/>
  <c r="AC168" i="135" s="1"/>
  <c r="AB168" i="135" a="1"/>
  <c r="AB168" i="135" s="1"/>
  <c r="V168" i="135" a="1"/>
  <c r="V168" i="135" s="1"/>
  <c r="X168" i="135" a="1"/>
  <c r="X168" i="135" s="1"/>
  <c r="O168" i="135" a="1"/>
  <c r="O168" i="135" s="1"/>
  <c r="R168" i="135" a="1"/>
  <c r="R168" i="135" s="1"/>
  <c r="U168" i="135" a="1"/>
  <c r="U168" i="135" s="1"/>
  <c r="T168" i="135" a="1"/>
  <c r="T168" i="135" s="1"/>
  <c r="P168" i="135" a="1"/>
  <c r="P168" i="135" s="1"/>
  <c r="AM168" i="135" a="1"/>
  <c r="AM168" i="135" s="1"/>
  <c r="G168" i="135" a="1"/>
  <c r="G168" i="135" s="1"/>
  <c r="J168" i="135" a="1"/>
  <c r="J168" i="135" s="1"/>
  <c r="M168" i="135" a="1"/>
  <c r="M168" i="135" s="1"/>
  <c r="L168" i="135" a="1"/>
  <c r="L168" i="135" s="1"/>
  <c r="AI168" i="135" a="1"/>
  <c r="AI168" i="135" s="1"/>
  <c r="AL168" i="135" a="1"/>
  <c r="AL168" i="135" s="1"/>
  <c r="F168" i="135" a="1"/>
  <c r="F168" i="135" s="1"/>
  <c r="I168" i="135" a="1"/>
  <c r="I168" i="135" s="1"/>
  <c r="H168" i="135" a="1"/>
  <c r="H168" i="135" s="1"/>
  <c r="AE168" i="135" a="1"/>
  <c r="AE168" i="135" s="1"/>
  <c r="AH168" i="135" a="1"/>
  <c r="AH168" i="135" s="1"/>
  <c r="AK168" i="135" a="1"/>
  <c r="AK168" i="135" s="1"/>
  <c r="AJ168" i="135" a="1"/>
  <c r="AJ168" i="135" s="1"/>
  <c r="E170" i="135" l="1" a="1"/>
  <c r="E170" i="135" s="1"/>
  <c r="D170" i="135" s="1"/>
  <c r="T169" i="135" a="1"/>
  <c r="T169" i="135" s="1"/>
  <c r="W169" i="135" a="1"/>
  <c r="W169" i="135" s="1"/>
  <c r="Z169" i="135" a="1"/>
  <c r="Z169" i="135" s="1"/>
  <c r="AC169" i="135" a="1"/>
  <c r="AC169" i="135" s="1"/>
  <c r="Y169" i="135" a="1"/>
  <c r="Y169" i="135" s="1"/>
  <c r="U169" i="135" a="1"/>
  <c r="U169" i="135" s="1"/>
  <c r="N169" i="135" a="1"/>
  <c r="N169" i="135" s="1"/>
  <c r="I169" i="135" a="1"/>
  <c r="I169" i="135" s="1"/>
  <c r="AB169" i="135" a="1"/>
  <c r="AB169" i="135" s="1"/>
  <c r="X169" i="135" a="1"/>
  <c r="X169" i="135" s="1"/>
  <c r="AG169" i="135" a="1"/>
  <c r="AG169" i="135" s="1"/>
  <c r="P169" i="135" a="1"/>
  <c r="P169" i="135" s="1"/>
  <c r="S169" i="135" a="1"/>
  <c r="S169" i="135" s="1"/>
  <c r="V169" i="135" a="1"/>
  <c r="V169" i="135" s="1"/>
  <c r="H169" i="135" a="1"/>
  <c r="H169" i="135" s="1"/>
  <c r="F169" i="135" a="1"/>
  <c r="F169" i="135" s="1"/>
  <c r="AD169" i="135" a="1"/>
  <c r="AD169" i="135" s="1"/>
  <c r="L169" i="135" a="1"/>
  <c r="L169" i="135" s="1"/>
  <c r="O169" i="135" a="1"/>
  <c r="O169" i="135" s="1"/>
  <c r="R169" i="135" a="1"/>
  <c r="R169" i="135" s="1"/>
  <c r="K169" i="135" a="1"/>
  <c r="K169" i="135" s="1"/>
  <c r="Q169" i="135" a="1"/>
  <c r="Q169" i="135" s="1"/>
  <c r="AE169" i="135" a="1"/>
  <c r="AE169" i="135" s="1"/>
  <c r="AK169" i="135" a="1"/>
  <c r="AK169" i="135" s="1"/>
  <c r="AJ169" i="135" a="1"/>
  <c r="AJ169" i="135" s="1"/>
  <c r="AM169" i="135" a="1"/>
  <c r="AM169" i="135" s="1"/>
  <c r="G169" i="135" a="1"/>
  <c r="G169" i="135" s="1"/>
  <c r="J169" i="135" a="1"/>
  <c r="J169" i="135" s="1"/>
  <c r="M169" i="135" a="1"/>
  <c r="M169" i="135" s="1"/>
  <c r="AF169" i="135" a="1"/>
  <c r="AF169" i="135" s="1"/>
  <c r="AI169" i="135" a="1"/>
  <c r="AI169" i="135" s="1"/>
  <c r="AL169" i="135" a="1"/>
  <c r="AL169" i="135" s="1"/>
  <c r="AH169" i="135" a="1"/>
  <c r="AH169" i="135" s="1"/>
  <c r="AA169" i="135" a="1"/>
  <c r="AA169" i="135" s="1"/>
  <c r="E171" i="135" l="1" a="1"/>
  <c r="E171" i="135" s="1"/>
  <c r="D171" i="135" s="1"/>
  <c r="L170" i="135" a="1"/>
  <c r="L170" i="135" s="1"/>
  <c r="O170" i="135" a="1"/>
  <c r="O170" i="135" s="1"/>
  <c r="R170" i="135" a="1"/>
  <c r="R170" i="135" s="1"/>
  <c r="U170" i="135" a="1"/>
  <c r="U170" i="135" s="1"/>
  <c r="AA170" i="135" a="1"/>
  <c r="AA170" i="135" s="1"/>
  <c r="P170" i="135" a="1"/>
  <c r="P170" i="135" s="1"/>
  <c r="V170" i="135" a="1"/>
  <c r="V170" i="135" s="1"/>
  <c r="H170" i="135" a="1"/>
  <c r="H170" i="135" s="1"/>
  <c r="K170" i="135" a="1"/>
  <c r="K170" i="135" s="1"/>
  <c r="N170" i="135" a="1"/>
  <c r="N170" i="135" s="1"/>
  <c r="Q170" i="135" a="1"/>
  <c r="Q170" i="135" s="1"/>
  <c r="AF170" i="135" a="1"/>
  <c r="AF170" i="135" s="1"/>
  <c r="AL170" i="135" a="1"/>
  <c r="AL170" i="135" s="1"/>
  <c r="I170" i="135" a="1"/>
  <c r="I170" i="135" s="1"/>
  <c r="AD170" i="135" a="1"/>
  <c r="AD170" i="135" s="1"/>
  <c r="T170" i="135" a="1"/>
  <c r="T170" i="135" s="1"/>
  <c r="Z170" i="135" a="1"/>
  <c r="Z170" i="135" s="1"/>
  <c r="AC170" i="135" a="1"/>
  <c r="AC170" i="135" s="1"/>
  <c r="AJ170" i="135" a="1"/>
  <c r="AJ170" i="135" s="1"/>
  <c r="AM170" i="135" a="1"/>
  <c r="AM170" i="135" s="1"/>
  <c r="G170" i="135" a="1"/>
  <c r="G170" i="135" s="1"/>
  <c r="J170" i="135" a="1"/>
  <c r="J170" i="135" s="1"/>
  <c r="M170" i="135" a="1"/>
  <c r="M170" i="135" s="1"/>
  <c r="AI170" i="135" a="1"/>
  <c r="AI170" i="135" s="1"/>
  <c r="F170" i="135" a="1"/>
  <c r="F170" i="135" s="1"/>
  <c r="X170" i="135" a="1"/>
  <c r="X170" i="135" s="1"/>
  <c r="AB170" i="135" a="1"/>
  <c r="AB170" i="135" s="1"/>
  <c r="AE170" i="135" a="1"/>
  <c r="AE170" i="135" s="1"/>
  <c r="AH170" i="135" a="1"/>
  <c r="AH170" i="135" s="1"/>
  <c r="AK170" i="135" a="1"/>
  <c r="AK170" i="135" s="1"/>
  <c r="AG170" i="135" a="1"/>
  <c r="AG170" i="135" s="1"/>
  <c r="W170" i="135" a="1"/>
  <c r="W170" i="135" s="1"/>
  <c r="S170" i="135" a="1"/>
  <c r="S170" i="135" s="1"/>
  <c r="Y170" i="135" a="1"/>
  <c r="Y170" i="135" s="1"/>
  <c r="E172" i="135" l="1" a="1"/>
  <c r="E172" i="135" s="1"/>
  <c r="D172" i="135" s="1"/>
  <c r="Q171" i="135" a="1"/>
  <c r="Q171" i="135" s="1"/>
  <c r="P171" i="135" a="1"/>
  <c r="P171" i="135" s="1"/>
  <c r="S171" i="135" a="1"/>
  <c r="S171" i="135" s="1"/>
  <c r="V171" i="135" a="1"/>
  <c r="V171" i="135" s="1"/>
  <c r="H171" i="135" a="1"/>
  <c r="H171" i="135" s="1"/>
  <c r="K171" i="135" a="1"/>
  <c r="K171" i="135" s="1"/>
  <c r="AA171" i="135" a="1"/>
  <c r="AA171" i="135" s="1"/>
  <c r="U171" i="135" a="1"/>
  <c r="U171" i="135" s="1"/>
  <c r="W171" i="135" a="1"/>
  <c r="W171" i="135" s="1"/>
  <c r="M171" i="135" a="1"/>
  <c r="M171" i="135" s="1"/>
  <c r="L171" i="135" a="1"/>
  <c r="L171" i="135" s="1"/>
  <c r="O171" i="135" a="1"/>
  <c r="O171" i="135" s="1"/>
  <c r="R171" i="135" a="1"/>
  <c r="R171" i="135" s="1"/>
  <c r="I171" i="135" a="1"/>
  <c r="I171" i="135" s="1"/>
  <c r="N171" i="135" a="1"/>
  <c r="N171" i="135" s="1"/>
  <c r="AK171" i="135" a="1"/>
  <c r="AK171" i="135" s="1"/>
  <c r="AJ171" i="135" a="1"/>
  <c r="AJ171" i="135" s="1"/>
  <c r="AM171" i="135" a="1"/>
  <c r="AM171" i="135" s="1"/>
  <c r="G171" i="135" a="1"/>
  <c r="G171" i="135" s="1"/>
  <c r="J171" i="135" a="1"/>
  <c r="J171" i="135" s="1"/>
  <c r="Y171" i="135" a="1"/>
  <c r="Y171" i="135" s="1"/>
  <c r="AD171" i="135" a="1"/>
  <c r="AD171" i="135" s="1"/>
  <c r="T171" i="135" a="1"/>
  <c r="T171" i="135" s="1"/>
  <c r="AG171" i="135" a="1"/>
  <c r="AG171" i="135" s="1"/>
  <c r="AF171" i="135" a="1"/>
  <c r="AF171" i="135" s="1"/>
  <c r="AI171" i="135" a="1"/>
  <c r="AI171" i="135" s="1"/>
  <c r="AL171" i="135" a="1"/>
  <c r="AL171" i="135" s="1"/>
  <c r="F171" i="135" a="1"/>
  <c r="F171" i="135" s="1"/>
  <c r="X171" i="135" a="1"/>
  <c r="X171" i="135" s="1"/>
  <c r="AC171" i="135" a="1"/>
  <c r="AC171" i="135" s="1"/>
  <c r="AB171" i="135" a="1"/>
  <c r="AB171" i="135" s="1"/>
  <c r="AE171" i="135" a="1"/>
  <c r="AE171" i="135" s="1"/>
  <c r="AH171" i="135" a="1"/>
  <c r="AH171" i="135" s="1"/>
  <c r="Z171" i="135" a="1"/>
  <c r="Z171" i="135" s="1"/>
  <c r="E173" i="135" l="1" a="1"/>
  <c r="E173" i="135" s="1"/>
  <c r="D173" i="135" s="1"/>
  <c r="M172" i="135" a="1"/>
  <c r="M172" i="135" s="1"/>
  <c r="L172" i="135" a="1"/>
  <c r="L172" i="135" s="1"/>
  <c r="O172" i="135" a="1"/>
  <c r="O172" i="135" s="1"/>
  <c r="R172" i="135" a="1"/>
  <c r="R172" i="135" s="1"/>
  <c r="I172" i="135" a="1"/>
  <c r="I172" i="135" s="1"/>
  <c r="H172" i="135" a="1"/>
  <c r="H172" i="135" s="1"/>
  <c r="K172" i="135" a="1"/>
  <c r="K172" i="135" s="1"/>
  <c r="N172" i="135" a="1"/>
  <c r="N172" i="135" s="1"/>
  <c r="AE172" i="135" a="1"/>
  <c r="AE172" i="135" s="1"/>
  <c r="X172" i="135" a="1"/>
  <c r="X172" i="135" s="1"/>
  <c r="T172" i="135" a="1"/>
  <c r="T172" i="135" s="1"/>
  <c r="AK172" i="135" a="1"/>
  <c r="AK172" i="135" s="1"/>
  <c r="AJ172" i="135" a="1"/>
  <c r="AJ172" i="135" s="1"/>
  <c r="AM172" i="135" a="1"/>
  <c r="AM172" i="135" s="1"/>
  <c r="G172" i="135" a="1"/>
  <c r="G172" i="135" s="1"/>
  <c r="J172" i="135" a="1"/>
  <c r="J172" i="135" s="1"/>
  <c r="P172" i="135" a="1"/>
  <c r="P172" i="135" s="1"/>
  <c r="V172" i="135" a="1"/>
  <c r="V172" i="135" s="1"/>
  <c r="AG172" i="135" a="1"/>
  <c r="AG172" i="135" s="1"/>
  <c r="AF172" i="135" a="1"/>
  <c r="AF172" i="135" s="1"/>
  <c r="AI172" i="135" a="1"/>
  <c r="AI172" i="135" s="1"/>
  <c r="AL172" i="135" a="1"/>
  <c r="AL172" i="135" s="1"/>
  <c r="F172" i="135" a="1"/>
  <c r="F172" i="135" s="1"/>
  <c r="AH172" i="135" a="1"/>
  <c r="AH172" i="135" s="1"/>
  <c r="Y172" i="135" a="1"/>
  <c r="Y172" i="135" s="1"/>
  <c r="AA172" i="135" a="1"/>
  <c r="AA172" i="135" s="1"/>
  <c r="AC172" i="135" a="1"/>
  <c r="AC172" i="135" s="1"/>
  <c r="AB172" i="135" a="1"/>
  <c r="AB172" i="135" s="1"/>
  <c r="AD172" i="135" a="1"/>
  <c r="AD172" i="135" s="1"/>
  <c r="U172" i="135" a="1"/>
  <c r="U172" i="135" s="1"/>
  <c r="W172" i="135" a="1"/>
  <c r="W172" i="135" s="1"/>
  <c r="Z172" i="135" a="1"/>
  <c r="Z172" i="135" s="1"/>
  <c r="Q172" i="135" a="1"/>
  <c r="Q172" i="135" s="1"/>
  <c r="S172" i="135" a="1"/>
  <c r="S172" i="135" s="1"/>
  <c r="E174" i="135" l="1" a="1"/>
  <c r="E174" i="135" s="1"/>
  <c r="D174" i="135" s="1"/>
  <c r="V173" i="135" a="1"/>
  <c r="V173" i="135" s="1"/>
  <c r="Y173" i="135" a="1"/>
  <c r="Y173" i="135" s="1"/>
  <c r="X173" i="135" a="1"/>
  <c r="X173" i="135" s="1"/>
  <c r="AA173" i="135" a="1"/>
  <c r="AA173" i="135" s="1"/>
  <c r="U173" i="135" a="1"/>
  <c r="U173" i="135" s="1"/>
  <c r="T173" i="135" a="1"/>
  <c r="T173" i="135" s="1"/>
  <c r="W173" i="135" a="1"/>
  <c r="W173" i="135" s="1"/>
  <c r="Q173" i="135" a="1"/>
  <c r="Q173" i="135" s="1"/>
  <c r="P173" i="135" a="1"/>
  <c r="P173" i="135" s="1"/>
  <c r="S173" i="135" a="1"/>
  <c r="S173" i="135" s="1"/>
  <c r="M173" i="135" a="1"/>
  <c r="M173" i="135" s="1"/>
  <c r="L173" i="135" a="1"/>
  <c r="L173" i="135" s="1"/>
  <c r="F173" i="135" a="1"/>
  <c r="F173" i="135" s="1"/>
  <c r="H173" i="135" a="1"/>
  <c r="H173" i="135" s="1"/>
  <c r="AK173" i="135" a="1"/>
  <c r="AK173" i="135" s="1"/>
  <c r="G173" i="135" a="1"/>
  <c r="G173" i="135" s="1"/>
  <c r="AD173" i="135" a="1"/>
  <c r="AD173" i="135" s="1"/>
  <c r="AF173" i="135" a="1"/>
  <c r="AF173" i="135" s="1"/>
  <c r="AI173" i="135" a="1"/>
  <c r="AI173" i="135" s="1"/>
  <c r="Z173" i="135" a="1"/>
  <c r="Z173" i="135" s="1"/>
  <c r="AB173" i="135" a="1"/>
  <c r="AB173" i="135" s="1"/>
  <c r="R173" i="135" a="1"/>
  <c r="R173" i="135" s="1"/>
  <c r="N173" i="135" a="1"/>
  <c r="N173" i="135" s="1"/>
  <c r="J173" i="135" a="1"/>
  <c r="J173" i="135" s="1"/>
  <c r="O173" i="135" a="1"/>
  <c r="O173" i="135" s="1"/>
  <c r="I173" i="135" a="1"/>
  <c r="I173" i="135" s="1"/>
  <c r="K173" i="135" a="1"/>
  <c r="K173" i="135" s="1"/>
  <c r="AJ173" i="135" a="1"/>
  <c r="AJ173" i="135" s="1"/>
  <c r="AL173" i="135" a="1"/>
  <c r="AL173" i="135" s="1"/>
  <c r="AH173" i="135" a="1"/>
  <c r="AH173" i="135" s="1"/>
  <c r="AM173" i="135" a="1"/>
  <c r="AM173" i="135" s="1"/>
  <c r="AG173" i="135" a="1"/>
  <c r="AG173" i="135" s="1"/>
  <c r="AC173" i="135" a="1"/>
  <c r="AC173" i="135" s="1"/>
  <c r="AE173" i="135" a="1"/>
  <c r="AE173" i="135" s="1"/>
  <c r="E175" i="135" l="1" a="1"/>
  <c r="E175" i="135" s="1"/>
  <c r="D175" i="135" s="1"/>
  <c r="R174" i="135" a="1"/>
  <c r="R174" i="135" s="1"/>
  <c r="U174" i="135" a="1"/>
  <c r="U174" i="135" s="1"/>
  <c r="T174" i="135" a="1"/>
  <c r="T174" i="135" s="1"/>
  <c r="W174" i="135" a="1"/>
  <c r="W174" i="135" s="1"/>
  <c r="Q174" i="135" a="1"/>
  <c r="Q174" i="135" s="1"/>
  <c r="S174" i="135" a="1"/>
  <c r="S174" i="135" s="1"/>
  <c r="J174" i="135" a="1"/>
  <c r="J174" i="135" s="1"/>
  <c r="L174" i="135" a="1"/>
  <c r="L174" i="135" s="1"/>
  <c r="AC174" i="135" a="1"/>
  <c r="AC174" i="135" s="1"/>
  <c r="AE174" i="135" a="1"/>
  <c r="AE174" i="135" s="1"/>
  <c r="Y174" i="135" a="1"/>
  <c r="Y174" i="135" s="1"/>
  <c r="AA174" i="135" a="1"/>
  <c r="AA174" i="135" s="1"/>
  <c r="N174" i="135" a="1"/>
  <c r="N174" i="135" s="1"/>
  <c r="P174" i="135" a="1"/>
  <c r="P174" i="135" s="1"/>
  <c r="M174" i="135" a="1"/>
  <c r="M174" i="135" s="1"/>
  <c r="O174" i="135" a="1"/>
  <c r="O174" i="135" s="1"/>
  <c r="AL174" i="135" a="1"/>
  <c r="AL174" i="135" s="1"/>
  <c r="F174" i="135" a="1"/>
  <c r="F174" i="135" s="1"/>
  <c r="I174" i="135" a="1"/>
  <c r="I174" i="135" s="1"/>
  <c r="H174" i="135" a="1"/>
  <c r="H174" i="135" s="1"/>
  <c r="K174" i="135" a="1"/>
  <c r="K174" i="135" s="1"/>
  <c r="AM174" i="135" a="1"/>
  <c r="AM174" i="135" s="1"/>
  <c r="AG174" i="135" a="1"/>
  <c r="AG174" i="135" s="1"/>
  <c r="V174" i="135" a="1"/>
  <c r="V174" i="135" s="1"/>
  <c r="X174" i="135" a="1"/>
  <c r="X174" i="135" s="1"/>
  <c r="AH174" i="135" a="1"/>
  <c r="AH174" i="135" s="1"/>
  <c r="AK174" i="135" a="1"/>
  <c r="AK174" i="135" s="1"/>
  <c r="AJ174" i="135" a="1"/>
  <c r="AJ174" i="135" s="1"/>
  <c r="G174" i="135" a="1"/>
  <c r="G174" i="135" s="1"/>
  <c r="AD174" i="135" a="1"/>
  <c r="AD174" i="135" s="1"/>
  <c r="AF174" i="135" a="1"/>
  <c r="AF174" i="135" s="1"/>
  <c r="AI174" i="135" a="1"/>
  <c r="AI174" i="135" s="1"/>
  <c r="Z174" i="135" a="1"/>
  <c r="Z174" i="135" s="1"/>
  <c r="AB174" i="135" a="1"/>
  <c r="AB174" i="135" s="1"/>
  <c r="E176" i="135" l="1" a="1"/>
  <c r="E176" i="135" s="1"/>
  <c r="D176" i="135" s="1"/>
  <c r="AA175" i="135" a="1"/>
  <c r="AA175" i="135" s="1"/>
  <c r="AD175" i="135" a="1"/>
  <c r="AD175" i="135" s="1"/>
  <c r="AG175" i="135" a="1"/>
  <c r="AG175" i="135" s="1"/>
  <c r="AF175" i="135" a="1"/>
  <c r="AF175" i="135" s="1"/>
  <c r="V175" i="135" a="1"/>
  <c r="V175" i="135" s="1"/>
  <c r="Y175" i="135" a="1"/>
  <c r="Y175" i="135" s="1"/>
  <c r="R175" i="135" a="1"/>
  <c r="R175" i="135" s="1"/>
  <c r="N175" i="135" a="1"/>
  <c r="N175" i="135" s="1"/>
  <c r="P175" i="135" a="1"/>
  <c r="P175" i="135" s="1"/>
  <c r="AL175" i="135" a="1"/>
  <c r="AL175" i="135" s="1"/>
  <c r="I175" i="135" a="1"/>
  <c r="I175" i="135" s="1"/>
  <c r="W175" i="135" a="1"/>
  <c r="W175" i="135" s="1"/>
  <c r="Z175" i="135" a="1"/>
  <c r="Z175" i="135" s="1"/>
  <c r="AC175" i="135" a="1"/>
  <c r="AC175" i="135" s="1"/>
  <c r="AB175" i="135" a="1"/>
  <c r="AB175" i="135" s="1"/>
  <c r="S175" i="135" a="1"/>
  <c r="S175" i="135" s="1"/>
  <c r="X175" i="135" a="1"/>
  <c r="X175" i="135" s="1"/>
  <c r="U175" i="135" a="1"/>
  <c r="U175" i="135" s="1"/>
  <c r="K175" i="135" a="1"/>
  <c r="K175" i="135" s="1"/>
  <c r="Q175" i="135" a="1"/>
  <c r="Q175" i="135" s="1"/>
  <c r="F175" i="135" a="1"/>
  <c r="F175" i="135" s="1"/>
  <c r="AE175" i="135" a="1"/>
  <c r="AE175" i="135" s="1"/>
  <c r="AK175" i="135" a="1"/>
  <c r="AK175" i="135" s="1"/>
  <c r="AJ175" i="135" a="1"/>
  <c r="AJ175" i="135" s="1"/>
  <c r="O175" i="135" a="1"/>
  <c r="O175" i="135" s="1"/>
  <c r="T175" i="135" a="1"/>
  <c r="T175" i="135" s="1"/>
  <c r="AM175" i="135" a="1"/>
  <c r="AM175" i="135" s="1"/>
  <c r="G175" i="135" a="1"/>
  <c r="G175" i="135" s="1"/>
  <c r="J175" i="135" a="1"/>
  <c r="J175" i="135" s="1"/>
  <c r="M175" i="135" a="1"/>
  <c r="M175" i="135" s="1"/>
  <c r="L175" i="135" a="1"/>
  <c r="L175" i="135" s="1"/>
  <c r="AI175" i="135" a="1"/>
  <c r="AI175" i="135" s="1"/>
  <c r="H175" i="135" a="1"/>
  <c r="H175" i="135" s="1"/>
  <c r="AH175" i="135" a="1"/>
  <c r="AH175" i="135" s="1"/>
  <c r="E177" i="135" l="1" a="1"/>
  <c r="E177" i="135" s="1"/>
  <c r="D177" i="135" s="1"/>
  <c r="S176" i="135" a="1"/>
  <c r="S176" i="135" s="1"/>
  <c r="V176" i="135" a="1"/>
  <c r="V176" i="135" s="1"/>
  <c r="Y176" i="135" a="1"/>
  <c r="Y176" i="135" s="1"/>
  <c r="X176" i="135" a="1"/>
  <c r="X176" i="135" s="1"/>
  <c r="O176" i="135" a="1"/>
  <c r="O176" i="135" s="1"/>
  <c r="R176" i="135" a="1"/>
  <c r="R176" i="135" s="1"/>
  <c r="U176" i="135" a="1"/>
  <c r="U176" i="135" s="1"/>
  <c r="T176" i="135" a="1"/>
  <c r="T176" i="135" s="1"/>
  <c r="K176" i="135" a="1"/>
  <c r="K176" i="135" s="1"/>
  <c r="N176" i="135" a="1"/>
  <c r="N176" i="135" s="1"/>
  <c r="Q176" i="135" a="1"/>
  <c r="Q176" i="135" s="1"/>
  <c r="P176" i="135" a="1"/>
  <c r="P176" i="135" s="1"/>
  <c r="AD176" i="135" a="1"/>
  <c r="AD176" i="135" s="1"/>
  <c r="AM176" i="135" a="1"/>
  <c r="AM176" i="135" s="1"/>
  <c r="G176" i="135" a="1"/>
  <c r="G176" i="135" s="1"/>
  <c r="J176" i="135" a="1"/>
  <c r="J176" i="135" s="1"/>
  <c r="M176" i="135" a="1"/>
  <c r="M176" i="135" s="1"/>
  <c r="L176" i="135" a="1"/>
  <c r="L176" i="135" s="1"/>
  <c r="AE176" i="135" a="1"/>
  <c r="AE176" i="135" s="1"/>
  <c r="AK176" i="135" a="1"/>
  <c r="AK176" i="135" s="1"/>
  <c r="AJ176" i="135" a="1"/>
  <c r="AJ176" i="135" s="1"/>
  <c r="AA176" i="135" a="1"/>
  <c r="AA176" i="135" s="1"/>
  <c r="AF176" i="135" a="1"/>
  <c r="AF176" i="135" s="1"/>
  <c r="AB176" i="135" a="1"/>
  <c r="AB176" i="135" s="1"/>
  <c r="AI176" i="135" a="1"/>
  <c r="AI176" i="135" s="1"/>
  <c r="AL176" i="135" a="1"/>
  <c r="AL176" i="135" s="1"/>
  <c r="F176" i="135" a="1"/>
  <c r="F176" i="135" s="1"/>
  <c r="I176" i="135" a="1"/>
  <c r="I176" i="135" s="1"/>
  <c r="H176" i="135" a="1"/>
  <c r="H176" i="135" s="1"/>
  <c r="AH176" i="135" a="1"/>
  <c r="AH176" i="135" s="1"/>
  <c r="AG176" i="135" a="1"/>
  <c r="AG176" i="135" s="1"/>
  <c r="W176" i="135" a="1"/>
  <c r="W176" i="135" s="1"/>
  <c r="Z176" i="135" a="1"/>
  <c r="Z176" i="135" s="1"/>
  <c r="AC176" i="135" a="1"/>
  <c r="AC176" i="135" s="1"/>
  <c r="E178" i="135" l="1" a="1"/>
  <c r="E178" i="135" s="1"/>
  <c r="D178" i="135" s="1"/>
  <c r="X177" i="135" a="1"/>
  <c r="X177" i="135" s="1"/>
  <c r="AA177" i="135" a="1"/>
  <c r="AA177" i="135" s="1"/>
  <c r="AD177" i="135" a="1"/>
  <c r="AD177" i="135" s="1"/>
  <c r="AG177" i="135" a="1"/>
  <c r="AG177" i="135" s="1"/>
  <c r="H177" i="135" a="1"/>
  <c r="H177" i="135" s="1"/>
  <c r="K177" i="135" a="1"/>
  <c r="K177" i="135" s="1"/>
  <c r="N177" i="135" a="1"/>
  <c r="N177" i="135" s="1"/>
  <c r="Q177" i="135" a="1"/>
  <c r="Q177" i="135" s="1"/>
  <c r="AM177" i="135" a="1"/>
  <c r="AM177" i="135" s="1"/>
  <c r="AI177" i="135" a="1"/>
  <c r="AI177" i="135" s="1"/>
  <c r="I177" i="135" a="1"/>
  <c r="I177" i="135" s="1"/>
  <c r="AE177" i="135" a="1"/>
  <c r="AE177" i="135" s="1"/>
  <c r="T177" i="135" a="1"/>
  <c r="T177" i="135" s="1"/>
  <c r="W177" i="135" a="1"/>
  <c r="W177" i="135" s="1"/>
  <c r="Z177" i="135" a="1"/>
  <c r="Z177" i="135" s="1"/>
  <c r="AC177" i="135" a="1"/>
  <c r="AC177" i="135" s="1"/>
  <c r="P177" i="135" a="1"/>
  <c r="P177" i="135" s="1"/>
  <c r="S177" i="135" a="1"/>
  <c r="S177" i="135" s="1"/>
  <c r="V177" i="135" a="1"/>
  <c r="V177" i="135" s="1"/>
  <c r="Y177" i="135" a="1"/>
  <c r="Y177" i="135" s="1"/>
  <c r="AJ177" i="135" a="1"/>
  <c r="AJ177" i="135" s="1"/>
  <c r="G177" i="135" a="1"/>
  <c r="G177" i="135" s="1"/>
  <c r="J177" i="135" a="1"/>
  <c r="J177" i="135" s="1"/>
  <c r="M177" i="135" a="1"/>
  <c r="M177" i="135" s="1"/>
  <c r="AF177" i="135" a="1"/>
  <c r="AF177" i="135" s="1"/>
  <c r="AL177" i="135" a="1"/>
  <c r="AL177" i="135" s="1"/>
  <c r="F177" i="135" a="1"/>
  <c r="F177" i="135" s="1"/>
  <c r="AB177" i="135" a="1"/>
  <c r="AB177" i="135" s="1"/>
  <c r="AH177" i="135" a="1"/>
  <c r="AH177" i="135" s="1"/>
  <c r="AK177" i="135" a="1"/>
  <c r="AK177" i="135" s="1"/>
  <c r="L177" i="135" a="1"/>
  <c r="L177" i="135" s="1"/>
  <c r="O177" i="135" a="1"/>
  <c r="O177" i="135" s="1"/>
  <c r="R177" i="135" a="1"/>
  <c r="R177" i="135" s="1"/>
  <c r="U177" i="135" a="1"/>
  <c r="U177" i="135" s="1"/>
  <c r="E179" i="135" l="1" a="1"/>
  <c r="E179" i="135" s="1"/>
  <c r="D179" i="135" s="1"/>
  <c r="L178" i="135" a="1"/>
  <c r="L178" i="135" s="1"/>
  <c r="O178" i="135" a="1"/>
  <c r="O178" i="135" s="1"/>
  <c r="R178" i="135" a="1"/>
  <c r="R178" i="135" s="1"/>
  <c r="U178" i="135" a="1"/>
  <c r="U178" i="135" s="1"/>
  <c r="AM178" i="135" a="1"/>
  <c r="AM178" i="135" s="1"/>
  <c r="J178" i="135" a="1"/>
  <c r="J178" i="135" s="1"/>
  <c r="AF178" i="135" a="1"/>
  <c r="AF178" i="135" s="1"/>
  <c r="AL178" i="135" a="1"/>
  <c r="AL178" i="135" s="1"/>
  <c r="I178" i="135" a="1"/>
  <c r="I178" i="135" s="1"/>
  <c r="AA178" i="135" a="1"/>
  <c r="AA178" i="135" s="1"/>
  <c r="AG178" i="135" a="1"/>
  <c r="AG178" i="135" s="1"/>
  <c r="T178" i="135" a="1"/>
  <c r="T178" i="135" s="1"/>
  <c r="W178" i="135" a="1"/>
  <c r="W178" i="135" s="1"/>
  <c r="Z178" i="135" a="1"/>
  <c r="Z178" i="135" s="1"/>
  <c r="V178" i="135" a="1"/>
  <c r="V178" i="135" s="1"/>
  <c r="H178" i="135" a="1"/>
  <c r="H178" i="135" s="1"/>
  <c r="K178" i="135" a="1"/>
  <c r="K178" i="135" s="1"/>
  <c r="N178" i="135" a="1"/>
  <c r="N178" i="135" s="1"/>
  <c r="Q178" i="135" a="1"/>
  <c r="Q178" i="135" s="1"/>
  <c r="AJ178" i="135" a="1"/>
  <c r="AJ178" i="135" s="1"/>
  <c r="G178" i="135" a="1"/>
  <c r="G178" i="135" s="1"/>
  <c r="M178" i="135" a="1"/>
  <c r="M178" i="135" s="1"/>
  <c r="AI178" i="135" a="1"/>
  <c r="AI178" i="135" s="1"/>
  <c r="F178" i="135" a="1"/>
  <c r="F178" i="135" s="1"/>
  <c r="AC178" i="135" a="1"/>
  <c r="AC178" i="135" s="1"/>
  <c r="P178" i="135" a="1"/>
  <c r="P178" i="135" s="1"/>
  <c r="S178" i="135" a="1"/>
  <c r="S178" i="135" s="1"/>
  <c r="Y178" i="135" a="1"/>
  <c r="Y178" i="135" s="1"/>
  <c r="AB178" i="135" a="1"/>
  <c r="AB178" i="135" s="1"/>
  <c r="AE178" i="135" a="1"/>
  <c r="AE178" i="135" s="1"/>
  <c r="AH178" i="135" a="1"/>
  <c r="AH178" i="135" s="1"/>
  <c r="AK178" i="135" a="1"/>
  <c r="AK178" i="135" s="1"/>
  <c r="X178" i="135" a="1"/>
  <c r="X178" i="135" s="1"/>
  <c r="AD178" i="135" a="1"/>
  <c r="AD178" i="135" s="1"/>
  <c r="E180" i="135" l="1" a="1"/>
  <c r="E180" i="135" s="1"/>
  <c r="D180" i="135" s="1"/>
  <c r="Q179" i="135" a="1"/>
  <c r="Q179" i="135" s="1"/>
  <c r="P179" i="135" a="1"/>
  <c r="P179" i="135" s="1"/>
  <c r="S179" i="135" a="1"/>
  <c r="S179" i="135" s="1"/>
  <c r="V179" i="135" a="1"/>
  <c r="V179" i="135" s="1"/>
  <c r="M179" i="135" a="1"/>
  <c r="M179" i="135" s="1"/>
  <c r="L179" i="135" a="1"/>
  <c r="L179" i="135" s="1"/>
  <c r="O179" i="135" a="1"/>
  <c r="O179" i="135" s="1"/>
  <c r="R179" i="135" a="1"/>
  <c r="R179" i="135" s="1"/>
  <c r="I179" i="135" a="1"/>
  <c r="I179" i="135" s="1"/>
  <c r="H179" i="135" a="1"/>
  <c r="H179" i="135" s="1"/>
  <c r="K179" i="135" a="1"/>
  <c r="K179" i="135" s="1"/>
  <c r="N179" i="135" a="1"/>
  <c r="N179" i="135" s="1"/>
  <c r="Y179" i="135" a="1"/>
  <c r="Y179" i="135" s="1"/>
  <c r="X179" i="135" a="1"/>
  <c r="X179" i="135" s="1"/>
  <c r="AA179" i="135" a="1"/>
  <c r="AA179" i="135" s="1"/>
  <c r="U179" i="135" a="1"/>
  <c r="U179" i="135" s="1"/>
  <c r="T179" i="135" a="1"/>
  <c r="T179" i="135" s="1"/>
  <c r="W179" i="135" a="1"/>
  <c r="W179" i="135" s="1"/>
  <c r="AK179" i="135" a="1"/>
  <c r="AK179" i="135" s="1"/>
  <c r="AJ179" i="135" a="1"/>
  <c r="AJ179" i="135" s="1"/>
  <c r="AM179" i="135" a="1"/>
  <c r="AM179" i="135" s="1"/>
  <c r="G179" i="135" a="1"/>
  <c r="G179" i="135" s="1"/>
  <c r="J179" i="135" a="1"/>
  <c r="J179" i="135" s="1"/>
  <c r="AC179" i="135" a="1"/>
  <c r="AC179" i="135" s="1"/>
  <c r="AB179" i="135" a="1"/>
  <c r="AB179" i="135" s="1"/>
  <c r="AE179" i="135" a="1"/>
  <c r="AE179" i="135" s="1"/>
  <c r="AH179" i="135" a="1"/>
  <c r="AH179" i="135" s="1"/>
  <c r="AG179" i="135" a="1"/>
  <c r="AG179" i="135" s="1"/>
  <c r="AF179" i="135" a="1"/>
  <c r="AF179" i="135" s="1"/>
  <c r="AI179" i="135" a="1"/>
  <c r="AI179" i="135" s="1"/>
  <c r="AL179" i="135" a="1"/>
  <c r="AL179" i="135" s="1"/>
  <c r="F179" i="135" a="1"/>
  <c r="F179" i="135" s="1"/>
  <c r="AD179" i="135" a="1"/>
  <c r="AD179" i="135" s="1"/>
  <c r="Z179" i="135" a="1"/>
  <c r="Z179" i="135" s="1"/>
  <c r="E181" i="135" l="1" a="1"/>
  <c r="E181" i="135" s="1"/>
  <c r="D181" i="135" s="1"/>
  <c r="Q180" i="135" a="1"/>
  <c r="Q180" i="135" s="1"/>
  <c r="Y180" i="135" a="1"/>
  <c r="Y180" i="135" s="1"/>
  <c r="X180" i="135" a="1"/>
  <c r="X180" i="135" s="1"/>
  <c r="W180" i="135" a="1"/>
  <c r="W180" i="135" s="1"/>
  <c r="L180" i="135" a="1"/>
  <c r="L180" i="135" s="1"/>
  <c r="N180" i="135" a="1"/>
  <c r="N180" i="135" s="1"/>
  <c r="J180" i="135" a="1"/>
  <c r="J180" i="135" s="1"/>
  <c r="AL180" i="135" a="1"/>
  <c r="AL180" i="135" s="1"/>
  <c r="AE180" i="135" a="1"/>
  <c r="AE180" i="135" s="1"/>
  <c r="AM180" i="135" a="1"/>
  <c r="AM180" i="135" s="1"/>
  <c r="S180" i="135" a="1"/>
  <c r="S180" i="135" s="1"/>
  <c r="AH180" i="135" a="1"/>
  <c r="AH180" i="135" s="1"/>
  <c r="M180" i="135" a="1"/>
  <c r="M180" i="135" s="1"/>
  <c r="P180" i="135" a="1"/>
  <c r="P180" i="135" s="1"/>
  <c r="O180" i="135" a="1"/>
  <c r="O180" i="135" s="1"/>
  <c r="R180" i="135" a="1"/>
  <c r="R180" i="135" s="1"/>
  <c r="I180" i="135" a="1"/>
  <c r="I180" i="135" s="1"/>
  <c r="K180" i="135" a="1"/>
  <c r="K180" i="135" s="1"/>
  <c r="H180" i="135" a="1"/>
  <c r="H180" i="135" s="1"/>
  <c r="AD180" i="135" a="1"/>
  <c r="AD180" i="135" s="1"/>
  <c r="F180" i="135" a="1"/>
  <c r="F180" i="135" s="1"/>
  <c r="AJ180" i="135" a="1"/>
  <c r="AJ180" i="135" s="1"/>
  <c r="AI180" i="135" a="1"/>
  <c r="AI180" i="135" s="1"/>
  <c r="G180" i="135" a="1"/>
  <c r="G180" i="135" s="1"/>
  <c r="AK180" i="135" a="1"/>
  <c r="AK180" i="135" s="1"/>
  <c r="AC180" i="135" a="1"/>
  <c r="AC180" i="135" s="1"/>
  <c r="T180" i="135" a="1"/>
  <c r="T180" i="135" s="1"/>
  <c r="Z180" i="135" a="1"/>
  <c r="Z180" i="135" s="1"/>
  <c r="AF180" i="135" a="1"/>
  <c r="AF180" i="135" s="1"/>
  <c r="AA180" i="135" a="1"/>
  <c r="AA180" i="135" s="1"/>
  <c r="V180" i="135" a="1"/>
  <c r="V180" i="135" s="1"/>
  <c r="U180" i="135" a="1"/>
  <c r="U180" i="135" s="1"/>
  <c r="AB180" i="135" a="1"/>
  <c r="AB180" i="135" s="1"/>
  <c r="AG180" i="135" a="1"/>
  <c r="AG180" i="135" s="1"/>
  <c r="E182" i="135" l="1" a="1"/>
  <c r="E182" i="135" s="1"/>
  <c r="D182" i="135" s="1"/>
  <c r="AA181" i="135" a="1"/>
  <c r="AA181" i="135" s="1"/>
  <c r="Z181" i="135" a="1"/>
  <c r="Z181" i="135" s="1"/>
  <c r="N181" i="135" a="1"/>
  <c r="N181" i="135" s="1"/>
  <c r="AL181" i="135" a="1"/>
  <c r="AL181" i="135" s="1"/>
  <c r="P181" i="135" a="1"/>
  <c r="P181" i="135" s="1"/>
  <c r="AB181" i="135" a="1"/>
  <c r="AB181" i="135" s="1"/>
  <c r="O181" i="135" a="1"/>
  <c r="O181" i="135" s="1"/>
  <c r="V181" i="135" a="1"/>
  <c r="V181" i="135" s="1"/>
  <c r="W181" i="135" a="1"/>
  <c r="W181" i="135" s="1"/>
  <c r="U181" i="135" a="1"/>
  <c r="U181" i="135" s="1"/>
  <c r="I181" i="135" a="1"/>
  <c r="I181" i="135" s="1"/>
  <c r="AG181" i="135" a="1"/>
  <c r="AG181" i="135" s="1"/>
  <c r="S181" i="135" a="1"/>
  <c r="S181" i="135" s="1"/>
  <c r="AH181" i="135" a="1"/>
  <c r="AH181" i="135" s="1"/>
  <c r="J181" i="135" a="1"/>
  <c r="J181" i="135" s="1"/>
  <c r="AJ181" i="135" a="1"/>
  <c r="AJ181" i="135" s="1"/>
  <c r="Q181" i="135" a="1"/>
  <c r="Q181" i="135" s="1"/>
  <c r="AK181" i="135" a="1"/>
  <c r="AK181" i="135" s="1"/>
  <c r="F181" i="135" a="1"/>
  <c r="F181" i="135" s="1"/>
  <c r="AF181" i="135" a="1"/>
  <c r="AF181" i="135" s="1"/>
  <c r="H181" i="135" a="1"/>
  <c r="H181" i="135" s="1"/>
  <c r="AC181" i="135" a="1"/>
  <c r="AC181" i="135" s="1"/>
  <c r="K181" i="135" a="1"/>
  <c r="K181" i="135" s="1"/>
  <c r="X181" i="135" a="1"/>
  <c r="X181" i="135" s="1"/>
  <c r="Y181" i="135" a="1"/>
  <c r="Y181" i="135" s="1"/>
  <c r="AE181" i="135" a="1"/>
  <c r="AE181" i="135" s="1"/>
  <c r="T181" i="135" a="1"/>
  <c r="T181" i="135" s="1"/>
  <c r="AM181" i="135" a="1"/>
  <c r="AM181" i="135" s="1"/>
  <c r="G181" i="135" a="1"/>
  <c r="G181" i="135" s="1"/>
  <c r="AD181" i="135" a="1"/>
  <c r="AD181" i="135" s="1"/>
  <c r="R181" i="135" a="1"/>
  <c r="R181" i="135" s="1"/>
  <c r="L181" i="135" a="1"/>
  <c r="L181" i="135" s="1"/>
  <c r="AI181" i="135" a="1"/>
  <c r="AI181" i="135" s="1"/>
  <c r="M181" i="135" a="1"/>
  <c r="M181" i="135" s="1"/>
  <c r="E183" i="135" l="1" a="1"/>
  <c r="E183" i="135" s="1"/>
  <c r="D183" i="135" s="1"/>
  <c r="Q182" i="135" a="1"/>
  <c r="Q182" i="135" s="1"/>
  <c r="P182" i="135" a="1"/>
  <c r="P182" i="135" s="1"/>
  <c r="AL182" i="135" a="1"/>
  <c r="AL182" i="135" s="1"/>
  <c r="J182" i="135" a="1"/>
  <c r="J182" i="135" s="1"/>
  <c r="AF182" i="135" a="1"/>
  <c r="AF182" i="135" s="1"/>
  <c r="AA182" i="135" a="1"/>
  <c r="AA182" i="135" s="1"/>
  <c r="M182" i="135" a="1"/>
  <c r="M182" i="135" s="1"/>
  <c r="L182" i="135" a="1"/>
  <c r="L182" i="135" s="1"/>
  <c r="AE182" i="135" a="1"/>
  <c r="AE182" i="135" s="1"/>
  <c r="V182" i="135" a="1"/>
  <c r="V182" i="135" s="1"/>
  <c r="I182" i="135" a="1"/>
  <c r="I182" i="135" s="1"/>
  <c r="H182" i="135" a="1"/>
  <c r="H182" i="135" s="1"/>
  <c r="F182" i="135" a="1"/>
  <c r="F182" i="135" s="1"/>
  <c r="O182" i="135" a="1"/>
  <c r="O182" i="135" s="1"/>
  <c r="AK182" i="135" a="1"/>
  <c r="AK182" i="135" s="1"/>
  <c r="AJ182" i="135" a="1"/>
  <c r="AJ182" i="135" s="1"/>
  <c r="AM182" i="135" a="1"/>
  <c r="AM182" i="135" s="1"/>
  <c r="R182" i="135" a="1"/>
  <c r="R182" i="135" s="1"/>
  <c r="AH182" i="135" a="1"/>
  <c r="AH182" i="135" s="1"/>
  <c r="AG182" i="135" a="1"/>
  <c r="AG182" i="135" s="1"/>
  <c r="N182" i="135" a="1"/>
  <c r="N182" i="135" s="1"/>
  <c r="K182" i="135" a="1"/>
  <c r="K182" i="135" s="1"/>
  <c r="Z182" i="135" a="1"/>
  <c r="Z182" i="135" s="1"/>
  <c r="T182" i="135" a="1"/>
  <c r="T182" i="135" s="1"/>
  <c r="AI182" i="135" a="1"/>
  <c r="AI182" i="135" s="1"/>
  <c r="AC182" i="135" a="1"/>
  <c r="AC182" i="135" s="1"/>
  <c r="AB182" i="135" a="1"/>
  <c r="AB182" i="135" s="1"/>
  <c r="G182" i="135" a="1"/>
  <c r="G182" i="135" s="1"/>
  <c r="AD182" i="135" a="1"/>
  <c r="AD182" i="135" s="1"/>
  <c r="Y182" i="135" a="1"/>
  <c r="Y182" i="135" s="1"/>
  <c r="X182" i="135" a="1"/>
  <c r="X182" i="135" s="1"/>
  <c r="W182" i="135" a="1"/>
  <c r="W182" i="135" s="1"/>
  <c r="U182" i="135" a="1"/>
  <c r="U182" i="135" s="1"/>
  <c r="S182" i="135" a="1"/>
  <c r="S182" i="135" s="1"/>
  <c r="E184" i="135" l="1" a="1"/>
  <c r="E184" i="135" s="1"/>
  <c r="D184" i="135" s="1"/>
  <c r="L183" i="135" a="1"/>
  <c r="L183" i="135" s="1"/>
  <c r="V183" i="135" a="1"/>
  <c r="V183" i="135" s="1"/>
  <c r="N183" i="135" a="1"/>
  <c r="N183" i="135" s="1"/>
  <c r="F183" i="135" a="1"/>
  <c r="F183" i="135" s="1"/>
  <c r="R183" i="135" a="1"/>
  <c r="R183" i="135" s="1"/>
  <c r="U183" i="135" a="1"/>
  <c r="U183" i="135" s="1"/>
  <c r="H183" i="135" a="1"/>
  <c r="H183" i="135" s="1"/>
  <c r="O183" i="135" a="1"/>
  <c r="O183" i="135" s="1"/>
  <c r="G183" i="135" a="1"/>
  <c r="G183" i="135" s="1"/>
  <c r="AK183" i="135" a="1"/>
  <c r="AK183" i="135" s="1"/>
  <c r="AJ183" i="135" a="1"/>
  <c r="AJ183" i="135" s="1"/>
  <c r="AD183" i="135" a="1"/>
  <c r="AD183" i="135" s="1"/>
  <c r="I183" i="135" a="1"/>
  <c r="I183" i="135" s="1"/>
  <c r="Z183" i="135" a="1"/>
  <c r="Z183" i="135" s="1"/>
  <c r="AI183" i="135" a="1"/>
  <c r="AI183" i="135" s="1"/>
  <c r="AC183" i="135" a="1"/>
  <c r="AC183" i="135" s="1"/>
  <c r="AE183" i="135" a="1"/>
  <c r="AE183" i="135" s="1"/>
  <c r="AF183" i="135" a="1"/>
  <c r="AF183" i="135" s="1"/>
  <c r="W183" i="135" a="1"/>
  <c r="W183" i="135" s="1"/>
  <c r="AH183" i="135" a="1"/>
  <c r="AH183" i="135" s="1"/>
  <c r="S183" i="135" a="1"/>
  <c r="S183" i="135" s="1"/>
  <c r="K183" i="135" a="1"/>
  <c r="K183" i="135" s="1"/>
  <c r="AB183" i="135" a="1"/>
  <c r="AB183" i="135" s="1"/>
  <c r="AA183" i="135" a="1"/>
  <c r="AA183" i="135" s="1"/>
  <c r="M183" i="135" a="1"/>
  <c r="M183" i="135" s="1"/>
  <c r="T183" i="135" a="1"/>
  <c r="T183" i="135" s="1"/>
  <c r="AM183" i="135" a="1"/>
  <c r="AM183" i="135" s="1"/>
  <c r="P183" i="135" a="1"/>
  <c r="P183" i="135" s="1"/>
  <c r="Y183" i="135" a="1"/>
  <c r="Y183" i="135" s="1"/>
  <c r="Q183" i="135" a="1"/>
  <c r="Q183" i="135" s="1"/>
  <c r="X183" i="135" a="1"/>
  <c r="X183" i="135" s="1"/>
  <c r="AL183" i="135" a="1"/>
  <c r="AL183" i="135" s="1"/>
  <c r="J183" i="135" a="1"/>
  <c r="J183" i="135" s="1"/>
  <c r="AG183" i="135" a="1"/>
  <c r="AG183" i="135" s="1"/>
  <c r="E185" i="135" l="1" a="1"/>
  <c r="E185" i="135" s="1"/>
  <c r="D185" i="135" s="1"/>
  <c r="V184" i="135" a="1"/>
  <c r="V184" i="135" s="1"/>
  <c r="Y184" i="135" a="1"/>
  <c r="Y184" i="135" s="1"/>
  <c r="S184" i="135" a="1"/>
  <c r="S184" i="135" s="1"/>
  <c r="AI184" i="135" a="1"/>
  <c r="AI184" i="135" s="1"/>
  <c r="X184" i="135" a="1"/>
  <c r="X184" i="135" s="1"/>
  <c r="AM184" i="135" a="1"/>
  <c r="AM184" i="135" s="1"/>
  <c r="AD184" i="135" a="1"/>
  <c r="AD184" i="135" s="1"/>
  <c r="AF184" i="135" a="1"/>
  <c r="AF184" i="135" s="1"/>
  <c r="AC184" i="135" a="1"/>
  <c r="AC184" i="135" s="1"/>
  <c r="P184" i="135" a="1"/>
  <c r="P184" i="135" s="1"/>
  <c r="R184" i="135" a="1"/>
  <c r="R184" i="135" s="1"/>
  <c r="U184" i="135" a="1"/>
  <c r="U184" i="135" s="1"/>
  <c r="L184" i="135" a="1"/>
  <c r="L184" i="135" s="1"/>
  <c r="AB184" i="135" a="1"/>
  <c r="AB184" i="135" s="1"/>
  <c r="M184" i="135" a="1"/>
  <c r="M184" i="135" s="1"/>
  <c r="H184" i="135" a="1"/>
  <c r="H184" i="135" s="1"/>
  <c r="AL184" i="135" a="1"/>
  <c r="AL184" i="135" s="1"/>
  <c r="F184" i="135" a="1"/>
  <c r="F184" i="135" s="1"/>
  <c r="I184" i="135" a="1"/>
  <c r="I184" i="135" s="1"/>
  <c r="AJ184" i="135" a="1"/>
  <c r="AJ184" i="135" s="1"/>
  <c r="AH184" i="135" a="1"/>
  <c r="AH184" i="135" s="1"/>
  <c r="AK184" i="135" a="1"/>
  <c r="AK184" i="135" s="1"/>
  <c r="K184" i="135" a="1"/>
  <c r="K184" i="135" s="1"/>
  <c r="T184" i="135" a="1"/>
  <c r="T184" i="135" s="1"/>
  <c r="Z184" i="135" a="1"/>
  <c r="Z184" i="135" s="1"/>
  <c r="G184" i="135" a="1"/>
  <c r="G184" i="135" s="1"/>
  <c r="N184" i="135" a="1"/>
  <c r="N184" i="135" s="1"/>
  <c r="Q184" i="135" a="1"/>
  <c r="Q184" i="135" s="1"/>
  <c r="AE184" i="135" a="1"/>
  <c r="AE184" i="135" s="1"/>
  <c r="O184" i="135" a="1"/>
  <c r="O184" i="135" s="1"/>
  <c r="J184" i="135" a="1"/>
  <c r="J184" i="135" s="1"/>
  <c r="AA184" i="135" a="1"/>
  <c r="AA184" i="135" s="1"/>
  <c r="AG184" i="135" a="1"/>
  <c r="AG184" i="135" s="1"/>
  <c r="W184" i="135" a="1"/>
  <c r="W184" i="135" s="1"/>
  <c r="E186" i="135" l="1" a="1"/>
  <c r="E186" i="135" s="1"/>
  <c r="D186" i="135" s="1"/>
  <c r="Q185" i="135" a="1"/>
  <c r="Q185" i="135" s="1"/>
  <c r="V185" i="135" a="1"/>
  <c r="V185" i="135" s="1"/>
  <c r="AF185" i="135" a="1"/>
  <c r="AF185" i="135" s="1"/>
  <c r="X185" i="135" a="1"/>
  <c r="X185" i="135" s="1"/>
  <c r="I185" i="135" a="1"/>
  <c r="I185" i="135" s="1"/>
  <c r="O185" i="135" a="1"/>
  <c r="O185" i="135" s="1"/>
  <c r="AJ185" i="135" a="1"/>
  <c r="AJ185" i="135" s="1"/>
  <c r="W185" i="135" a="1"/>
  <c r="W185" i="135" s="1"/>
  <c r="AD185" i="135" a="1"/>
  <c r="AD185" i="135" s="1"/>
  <c r="Y185" i="135" a="1"/>
  <c r="Y185" i="135" s="1"/>
  <c r="N185" i="135" a="1"/>
  <c r="N185" i="135" s="1"/>
  <c r="AB185" i="135" a="1"/>
  <c r="AB185" i="135" s="1"/>
  <c r="M185" i="135" a="1"/>
  <c r="M185" i="135" s="1"/>
  <c r="AH185" i="135" a="1"/>
  <c r="AH185" i="135" s="1"/>
  <c r="Z185" i="135" a="1"/>
  <c r="Z185" i="135" s="1"/>
  <c r="R185" i="135" a="1"/>
  <c r="R185" i="135" s="1"/>
  <c r="G185" i="135" a="1"/>
  <c r="G185" i="135" s="1"/>
  <c r="AK185" i="135" a="1"/>
  <c r="AK185" i="135" s="1"/>
  <c r="H185" i="135" a="1"/>
  <c r="H185" i="135" s="1"/>
  <c r="AL185" i="135" a="1"/>
  <c r="AL185" i="135" s="1"/>
  <c r="AG185" i="135" a="1"/>
  <c r="AG185" i="135" s="1"/>
  <c r="P185" i="135" a="1"/>
  <c r="P185" i="135" s="1"/>
  <c r="AA185" i="135" a="1"/>
  <c r="AA185" i="135" s="1"/>
  <c r="S185" i="135" a="1"/>
  <c r="S185" i="135" s="1"/>
  <c r="K185" i="135" a="1"/>
  <c r="K185" i="135" s="1"/>
  <c r="J185" i="135" a="1"/>
  <c r="J185" i="135" s="1"/>
  <c r="L185" i="135" a="1"/>
  <c r="L185" i="135" s="1"/>
  <c r="F185" i="135" a="1"/>
  <c r="F185" i="135" s="1"/>
  <c r="U185" i="135" a="1"/>
  <c r="U185" i="135" s="1"/>
  <c r="AM185" i="135" a="1"/>
  <c r="AM185" i="135" s="1"/>
  <c r="AE185" i="135" a="1"/>
  <c r="AE185" i="135" s="1"/>
  <c r="AC185" i="135" a="1"/>
  <c r="AC185" i="135" s="1"/>
  <c r="T185" i="135" a="1"/>
  <c r="T185" i="135" s="1"/>
  <c r="AI185" i="135" a="1"/>
  <c r="AI185" i="135" s="1"/>
  <c r="E187" i="135" l="1" a="1"/>
  <c r="E187" i="135" s="1"/>
  <c r="D187" i="135" s="1"/>
  <c r="Q186" i="135" a="1"/>
  <c r="Q186" i="135" s="1"/>
  <c r="S186" i="135" a="1"/>
  <c r="S186" i="135" s="1"/>
  <c r="V186" i="135" a="1"/>
  <c r="V186" i="135" s="1"/>
  <c r="L186" i="135" a="1"/>
  <c r="L186" i="135" s="1"/>
  <c r="M186" i="135" a="1"/>
  <c r="M186" i="135" s="1"/>
  <c r="O186" i="135" a="1"/>
  <c r="O186" i="135" s="1"/>
  <c r="R186" i="135" a="1"/>
  <c r="R186" i="135" s="1"/>
  <c r="AF186" i="135" a="1"/>
  <c r="AF186" i="135" s="1"/>
  <c r="I186" i="135" a="1"/>
  <c r="I186" i="135" s="1"/>
  <c r="K186" i="135" a="1"/>
  <c r="K186" i="135" s="1"/>
  <c r="N186" i="135" a="1"/>
  <c r="N186" i="135" s="1"/>
  <c r="X186" i="135" a="1"/>
  <c r="X186" i="135" s="1"/>
  <c r="W186" i="135" a="1"/>
  <c r="W186" i="135" s="1"/>
  <c r="T186" i="135" a="1"/>
  <c r="T186" i="135" s="1"/>
  <c r="AK186" i="135" a="1"/>
  <c r="AK186" i="135" s="1"/>
  <c r="AM186" i="135" a="1"/>
  <c r="AM186" i="135" s="1"/>
  <c r="G186" i="135" a="1"/>
  <c r="G186" i="135" s="1"/>
  <c r="J186" i="135" a="1"/>
  <c r="J186" i="135" s="1"/>
  <c r="P186" i="135" a="1"/>
  <c r="P186" i="135" s="1"/>
  <c r="Y186" i="135" a="1"/>
  <c r="Y186" i="135" s="1"/>
  <c r="AA186" i="135" a="1"/>
  <c r="AA186" i="135" s="1"/>
  <c r="AD186" i="135" a="1"/>
  <c r="AD186" i="135" s="1"/>
  <c r="Z186" i="135" a="1"/>
  <c r="Z186" i="135" s="1"/>
  <c r="AG186" i="135" a="1"/>
  <c r="AG186" i="135" s="1"/>
  <c r="AI186" i="135" a="1"/>
  <c r="AI186" i="135" s="1"/>
  <c r="AL186" i="135" a="1"/>
  <c r="AL186" i="135" s="1"/>
  <c r="F186" i="135" a="1"/>
  <c r="F186" i="135" s="1"/>
  <c r="H186" i="135" a="1"/>
  <c r="H186" i="135" s="1"/>
  <c r="AE186" i="135" a="1"/>
  <c r="AE186" i="135" s="1"/>
  <c r="AJ186" i="135" a="1"/>
  <c r="AJ186" i="135" s="1"/>
  <c r="AB186" i="135" a="1"/>
  <c r="AB186" i="135" s="1"/>
  <c r="U186" i="135" a="1"/>
  <c r="U186" i="135" s="1"/>
  <c r="AC186" i="135" a="1"/>
  <c r="AC186" i="135" s="1"/>
  <c r="AH186" i="135" a="1"/>
  <c r="AH186" i="135" s="1"/>
  <c r="E188" i="135" l="1" a="1"/>
  <c r="E188" i="135" s="1"/>
  <c r="D188" i="135" s="1"/>
  <c r="Z187" i="135" a="1"/>
  <c r="Z187" i="135" s="1"/>
  <c r="T187" i="135" a="1"/>
  <c r="T187" i="135" s="1"/>
  <c r="Q187" i="135" a="1"/>
  <c r="Q187" i="135" s="1"/>
  <c r="W187" i="135" a="1"/>
  <c r="W187" i="135" s="1"/>
  <c r="G187" i="135" a="1"/>
  <c r="G187" i="135" s="1"/>
  <c r="N187" i="135" a="1"/>
  <c r="N187" i="135" s="1"/>
  <c r="AA187" i="135" a="1"/>
  <c r="AA187" i="135" s="1"/>
  <c r="X187" i="135" a="1"/>
  <c r="X187" i="135" s="1"/>
  <c r="AK187" i="135" a="1"/>
  <c r="AK187" i="135" s="1"/>
  <c r="V187" i="135" a="1"/>
  <c r="V187" i="135" s="1"/>
  <c r="L187" i="135" a="1"/>
  <c r="L187" i="135" s="1"/>
  <c r="I187" i="135" a="1"/>
  <c r="I187" i="135" s="1"/>
  <c r="O187" i="135" a="1"/>
  <c r="O187" i="135" s="1"/>
  <c r="R187" i="135" a="1"/>
  <c r="R187" i="135" s="1"/>
  <c r="AI187" i="135" a="1"/>
  <c r="AI187" i="135" s="1"/>
  <c r="AF187" i="135" a="1"/>
  <c r="AF187" i="135" s="1"/>
  <c r="J187" i="135" a="1"/>
  <c r="J187" i="135" s="1"/>
  <c r="S187" i="135" a="1"/>
  <c r="S187" i="135" s="1"/>
  <c r="P187" i="135" a="1"/>
  <c r="P187" i="135" s="1"/>
  <c r="AC187" i="135" a="1"/>
  <c r="AC187" i="135" s="1"/>
  <c r="AD187" i="135" a="1"/>
  <c r="AD187" i="135" s="1"/>
  <c r="AB187" i="135" a="1"/>
  <c r="AB187" i="135" s="1"/>
  <c r="Y187" i="135" a="1"/>
  <c r="Y187" i="135" s="1"/>
  <c r="AE187" i="135" a="1"/>
  <c r="AE187" i="135" s="1"/>
  <c r="AL187" i="135" a="1"/>
  <c r="AL187" i="135" s="1"/>
  <c r="F187" i="135" a="1"/>
  <c r="F187" i="135" s="1"/>
  <c r="K187" i="135" a="1"/>
  <c r="K187" i="135" s="1"/>
  <c r="H187" i="135" a="1"/>
  <c r="H187" i="135" s="1"/>
  <c r="U187" i="135" a="1"/>
  <c r="U187" i="135" s="1"/>
  <c r="AH187" i="135" a="1"/>
  <c r="AH187" i="135" s="1"/>
  <c r="AJ187" i="135" a="1"/>
  <c r="AJ187" i="135" s="1"/>
  <c r="AG187" i="135" a="1"/>
  <c r="AG187" i="135" s="1"/>
  <c r="AM187" i="135" a="1"/>
  <c r="AM187" i="135" s="1"/>
  <c r="M187" i="135" a="1"/>
  <c r="M187" i="135" s="1"/>
  <c r="E189" i="135" l="1" a="1"/>
  <c r="E189" i="135" s="1"/>
  <c r="D189" i="135" s="1"/>
  <c r="R188" i="135" a="1"/>
  <c r="R188" i="135" s="1"/>
  <c r="T188" i="135" a="1"/>
  <c r="T188" i="135" s="1"/>
  <c r="W188" i="135" a="1"/>
  <c r="W188" i="135" s="1"/>
  <c r="M188" i="135" a="1"/>
  <c r="M188" i="135" s="1"/>
  <c r="N188" i="135" a="1"/>
  <c r="N188" i="135" s="1"/>
  <c r="P188" i="135" a="1"/>
  <c r="P188" i="135" s="1"/>
  <c r="S188" i="135" a="1"/>
  <c r="S188" i="135" s="1"/>
  <c r="AG188" i="135" a="1"/>
  <c r="AG188" i="135" s="1"/>
  <c r="J188" i="135" a="1"/>
  <c r="J188" i="135" s="1"/>
  <c r="L188" i="135" a="1"/>
  <c r="L188" i="135" s="1"/>
  <c r="O188" i="135" a="1"/>
  <c r="O188" i="135" s="1"/>
  <c r="Y188" i="135" a="1"/>
  <c r="Y188" i="135" s="1"/>
  <c r="H188" i="135" a="1"/>
  <c r="H188" i="135" s="1"/>
  <c r="Q188" i="135" a="1"/>
  <c r="Q188" i="135" s="1"/>
  <c r="X188" i="135" a="1"/>
  <c r="X188" i="135" s="1"/>
  <c r="U188" i="135" a="1"/>
  <c r="U188" i="135" s="1"/>
  <c r="AL188" i="135" a="1"/>
  <c r="AL188" i="135" s="1"/>
  <c r="F188" i="135" a="1"/>
  <c r="F188" i="135" s="1"/>
  <c r="K188" i="135" a="1"/>
  <c r="K188" i="135" s="1"/>
  <c r="Z188" i="135" a="1"/>
  <c r="Z188" i="135" s="1"/>
  <c r="AE188" i="135" a="1"/>
  <c r="AE188" i="135" s="1"/>
  <c r="AC188" i="135" a="1"/>
  <c r="AC188" i="135" s="1"/>
  <c r="AH188" i="135" a="1"/>
  <c r="AH188" i="135" s="1"/>
  <c r="AJ188" i="135" a="1"/>
  <c r="AJ188" i="135" s="1"/>
  <c r="AM188" i="135" a="1"/>
  <c r="AM188" i="135" s="1"/>
  <c r="G188" i="135" a="1"/>
  <c r="G188" i="135" s="1"/>
  <c r="I188" i="135" a="1"/>
  <c r="I188" i="135" s="1"/>
  <c r="AD188" i="135" a="1"/>
  <c r="AD188" i="135" s="1"/>
  <c r="AF188" i="135" a="1"/>
  <c r="AF188" i="135" s="1"/>
  <c r="AK188" i="135" a="1"/>
  <c r="AK188" i="135" s="1"/>
  <c r="AI188" i="135" a="1"/>
  <c r="AI188" i="135" s="1"/>
  <c r="AB188" i="135" a="1"/>
  <c r="AB188" i="135" s="1"/>
  <c r="V188" i="135" a="1"/>
  <c r="V188" i="135" s="1"/>
  <c r="AA188" i="135" a="1"/>
  <c r="AA188" i="135" s="1"/>
  <c r="AC189" i="135" l="1" a="1"/>
  <c r="AC189" i="135" s="1"/>
  <c r="W189" i="135" a="1"/>
  <c r="W189" i="135" s="1"/>
  <c r="Y189" i="135" a="1"/>
  <c r="Y189" i="135" s="1"/>
  <c r="N189" i="135" a="1"/>
  <c r="N189" i="135" s="1"/>
  <c r="T189" i="135" a="1"/>
  <c r="T189" i="135" s="1"/>
  <c r="S189" i="135" a="1"/>
  <c r="S189" i="135" s="1"/>
  <c r="U189" i="135" a="1"/>
  <c r="U189" i="135" s="1"/>
  <c r="AH189" i="135" a="1"/>
  <c r="AH189" i="135" s="1"/>
  <c r="R189" i="135" a="1"/>
  <c r="R189" i="135" s="1"/>
  <c r="O189" i="135" a="1"/>
  <c r="O189" i="135" s="1"/>
  <c r="Q189" i="135" a="1"/>
  <c r="Q189" i="135" s="1"/>
  <c r="X189" i="135" a="1"/>
  <c r="X189" i="135" s="1"/>
  <c r="H189" i="135" a="1"/>
  <c r="H189" i="135" s="1"/>
  <c r="K189" i="135" a="1"/>
  <c r="K189" i="135" s="1"/>
  <c r="M189" i="135" a="1"/>
  <c r="M189" i="135" s="1"/>
  <c r="V189" i="135" a="1"/>
  <c r="V189" i="135" s="1"/>
  <c r="AL189" i="135" a="1"/>
  <c r="AL189" i="135" s="1"/>
  <c r="AI189" i="135" a="1"/>
  <c r="AI189" i="135" s="1"/>
  <c r="AK189" i="135" a="1"/>
  <c r="AK189" i="135" s="1"/>
  <c r="Z189" i="135" a="1"/>
  <c r="Z189" i="135" s="1"/>
  <c r="AF189" i="135" a="1"/>
  <c r="AF189" i="135" s="1"/>
  <c r="F189" i="135" a="1"/>
  <c r="F189" i="135" s="1"/>
  <c r="AE189" i="135" a="1"/>
  <c r="AE189" i="135" s="1"/>
  <c r="AG189" i="135" a="1"/>
  <c r="AG189" i="135" s="1"/>
  <c r="P189" i="135" a="1"/>
  <c r="P189" i="135" s="1"/>
  <c r="J189" i="135" a="1"/>
  <c r="J189" i="135" s="1"/>
  <c r="AA189" i="135" a="1"/>
  <c r="AA189" i="135" s="1"/>
  <c r="AJ189" i="135" a="1"/>
  <c r="AJ189" i="135" s="1"/>
  <c r="AD189" i="135" a="1"/>
  <c r="AD189" i="135" s="1"/>
  <c r="AM189" i="135" a="1"/>
  <c r="AM189" i="135" s="1"/>
  <c r="G189" i="135" a="1"/>
  <c r="G189" i="135" s="1"/>
  <c r="I189" i="135" a="1"/>
  <c r="I189" i="135" s="1"/>
  <c r="L189" i="135" a="1"/>
  <c r="L189" i="135" s="1"/>
  <c r="AB189" i="135" a="1"/>
  <c r="AB189" i="135" s="1"/>
  <c r="E190" i="135" a="1"/>
  <c r="E190" i="135" s="1"/>
  <c r="D190" i="135" s="1"/>
  <c r="O190" i="135" l="1" a="1"/>
  <c r="O190" i="135" s="1"/>
  <c r="Q190" i="135" a="1"/>
  <c r="Q190" i="135" s="1"/>
  <c r="P190" i="135" a="1"/>
  <c r="P190" i="135" s="1"/>
  <c r="AL190" i="135" a="1"/>
  <c r="AL190" i="135" s="1"/>
  <c r="K190" i="135" a="1"/>
  <c r="K190" i="135" s="1"/>
  <c r="M190" i="135" a="1"/>
  <c r="M190" i="135" s="1"/>
  <c r="L190" i="135" a="1"/>
  <c r="L190" i="135" s="1"/>
  <c r="F190" i="135" a="1"/>
  <c r="F190" i="135" s="1"/>
  <c r="I190" i="135" a="1"/>
  <c r="I190" i="135" s="1"/>
  <c r="Z190" i="135" a="1"/>
  <c r="Z190" i="135" s="1"/>
  <c r="AF190" i="135" a="1"/>
  <c r="AF190" i="135" s="1"/>
  <c r="AA190" i="135" a="1"/>
  <c r="AA190" i="135" s="1"/>
  <c r="AB190" i="135" a="1"/>
  <c r="AB190" i="135" s="1"/>
  <c r="AM190" i="135" a="1"/>
  <c r="AM190" i="135" s="1"/>
  <c r="G190" i="135" a="1"/>
  <c r="G190" i="135" s="1"/>
  <c r="H190" i="135" a="1"/>
  <c r="H190" i="135" s="1"/>
  <c r="AD190" i="135" a="1"/>
  <c r="AD190" i="135" s="1"/>
  <c r="T190" i="135" a="1"/>
  <c r="T190" i="135" s="1"/>
  <c r="AI190" i="135" a="1"/>
  <c r="AI190" i="135" s="1"/>
  <c r="AK190" i="135" a="1"/>
  <c r="AK190" i="135" s="1"/>
  <c r="AJ190" i="135" a="1"/>
  <c r="AJ190" i="135" s="1"/>
  <c r="AH190" i="135" a="1"/>
  <c r="AH190" i="135" s="1"/>
  <c r="N190" i="135" a="1"/>
  <c r="N190" i="135" s="1"/>
  <c r="AE190" i="135" a="1"/>
  <c r="AE190" i="135" s="1"/>
  <c r="AG190" i="135" a="1"/>
  <c r="AG190" i="135" s="1"/>
  <c r="V190" i="135" a="1"/>
  <c r="V190" i="135" s="1"/>
  <c r="AC190" i="135" a="1"/>
  <c r="AC190" i="135" s="1"/>
  <c r="J190" i="135" a="1"/>
  <c r="J190" i="135" s="1"/>
  <c r="W190" i="135" a="1"/>
  <c r="W190" i="135" s="1"/>
  <c r="Y190" i="135" a="1"/>
  <c r="Y190" i="135" s="1"/>
  <c r="X190" i="135" a="1"/>
  <c r="X190" i="135" s="1"/>
  <c r="S190" i="135" a="1"/>
  <c r="S190" i="135" s="1"/>
  <c r="U190" i="135" a="1"/>
  <c r="U190" i="135" s="1"/>
  <c r="R190" i="135" a="1"/>
  <c r="R190" i="135" s="1"/>
  <c r="E191" i="135" a="1"/>
  <c r="E191" i="135" s="1"/>
  <c r="D191" i="135" s="1"/>
  <c r="E192" i="135" l="1" a="1"/>
  <c r="E192" i="135" s="1"/>
  <c r="D192" i="135" s="1"/>
  <c r="AB191" i="135" a="1"/>
  <c r="AB191" i="135" s="1"/>
  <c r="AD191" i="135" a="1"/>
  <c r="AD191" i="135" s="1"/>
  <c r="AG191" i="135" a="1"/>
  <c r="AG191" i="135" s="1"/>
  <c r="K191" i="135" a="1"/>
  <c r="K191" i="135" s="1"/>
  <c r="V191" i="135" a="1"/>
  <c r="V191" i="135" s="1"/>
  <c r="Y191" i="135" a="1"/>
  <c r="Y191" i="135" s="1"/>
  <c r="J191" i="135" a="1"/>
  <c r="J191" i="135" s="1"/>
  <c r="S191" i="135" a="1"/>
  <c r="S191" i="135" s="1"/>
  <c r="X191" i="135" a="1"/>
  <c r="X191" i="135" s="1"/>
  <c r="Z191" i="135" a="1"/>
  <c r="Z191" i="135" s="1"/>
  <c r="AC191" i="135" a="1"/>
  <c r="AC191" i="135" s="1"/>
  <c r="AM191" i="135" a="1"/>
  <c r="AM191" i="135" s="1"/>
  <c r="T191" i="135" a="1"/>
  <c r="T191" i="135" s="1"/>
  <c r="W191" i="135" a="1"/>
  <c r="W191" i="135" s="1"/>
  <c r="P191" i="135" a="1"/>
  <c r="P191" i="135" s="1"/>
  <c r="R191" i="135" a="1"/>
  <c r="R191" i="135" s="1"/>
  <c r="U191" i="135" a="1"/>
  <c r="U191" i="135" s="1"/>
  <c r="G191" i="135" a="1"/>
  <c r="G191" i="135" s="1"/>
  <c r="H191" i="135" a="1"/>
  <c r="H191" i="135" s="1"/>
  <c r="M191" i="135" a="1"/>
  <c r="M191" i="135" s="1"/>
  <c r="AA191" i="135" a="1"/>
  <c r="AA191" i="135" s="1"/>
  <c r="L191" i="135" a="1"/>
  <c r="L191" i="135" s="1"/>
  <c r="N191" i="135" a="1"/>
  <c r="N191" i="135" s="1"/>
  <c r="Q191" i="135" a="1"/>
  <c r="Q191" i="135" s="1"/>
  <c r="AI191" i="135" a="1"/>
  <c r="AI191" i="135" s="1"/>
  <c r="AJ191" i="135" a="1"/>
  <c r="AJ191" i="135" s="1"/>
  <c r="AL191" i="135" a="1"/>
  <c r="AL191" i="135" s="1"/>
  <c r="F191" i="135" a="1"/>
  <c r="F191" i="135" s="1"/>
  <c r="I191" i="135" a="1"/>
  <c r="I191" i="135" s="1"/>
  <c r="AE191" i="135" a="1"/>
  <c r="AE191" i="135" s="1"/>
  <c r="AF191" i="135" a="1"/>
  <c r="AF191" i="135" s="1"/>
  <c r="AH191" i="135" a="1"/>
  <c r="AH191" i="135" s="1"/>
  <c r="AK191" i="135" a="1"/>
  <c r="AK191" i="135" s="1"/>
  <c r="O191" i="135" a="1"/>
  <c r="O191" i="135" s="1"/>
  <c r="E193" i="135" l="1" a="1"/>
  <c r="E193" i="135" s="1"/>
  <c r="D193" i="135" s="1"/>
  <c r="T192" i="135" a="1"/>
  <c r="T192" i="135" s="1"/>
  <c r="V192" i="135" a="1"/>
  <c r="V192" i="135" s="1"/>
  <c r="Y192" i="135" a="1"/>
  <c r="Y192" i="135" s="1"/>
  <c r="AI192" i="135" a="1"/>
  <c r="AI192" i="135" s="1"/>
  <c r="N192" i="135" a="1"/>
  <c r="N192" i="135" s="1"/>
  <c r="AE192" i="135" a="1"/>
  <c r="AE192" i="135" s="1"/>
  <c r="J192" i="135" a="1"/>
  <c r="J192" i="135" s="1"/>
  <c r="O192" i="135" a="1"/>
  <c r="O192" i="135" s="1"/>
  <c r="AK192" i="135" a="1"/>
  <c r="AK192" i="135" s="1"/>
  <c r="P192" i="135" a="1"/>
  <c r="P192" i="135" s="1"/>
  <c r="R192" i="135" a="1"/>
  <c r="R192" i="135" s="1"/>
  <c r="U192" i="135" a="1"/>
  <c r="U192" i="135" s="1"/>
  <c r="S192" i="135" a="1"/>
  <c r="S192" i="135" s="1"/>
  <c r="L192" i="135" a="1"/>
  <c r="L192" i="135" s="1"/>
  <c r="Q192" i="135" a="1"/>
  <c r="Q192" i="135" s="1"/>
  <c r="H192" i="135" a="1"/>
  <c r="H192" i="135" s="1"/>
  <c r="M192" i="135" a="1"/>
  <c r="M192" i="135" s="1"/>
  <c r="AH192" i="135" a="1"/>
  <c r="AH192" i="135" s="1"/>
  <c r="K192" i="135" a="1"/>
  <c r="K192" i="135" s="1"/>
  <c r="X192" i="135" a="1"/>
  <c r="X192" i="135" s="1"/>
  <c r="G192" i="135" a="1"/>
  <c r="G192" i="135" s="1"/>
  <c r="AJ192" i="135" a="1"/>
  <c r="AJ192" i="135" s="1"/>
  <c r="AL192" i="135" a="1"/>
  <c r="AL192" i="135" s="1"/>
  <c r="F192" i="135" a="1"/>
  <c r="F192" i="135" s="1"/>
  <c r="I192" i="135" a="1"/>
  <c r="I192" i="135" s="1"/>
  <c r="AA192" i="135" a="1"/>
  <c r="AA192" i="135" s="1"/>
  <c r="AF192" i="135" a="1"/>
  <c r="AF192" i="135" s="1"/>
  <c r="AM192" i="135" a="1"/>
  <c r="AM192" i="135" s="1"/>
  <c r="Z192" i="135" a="1"/>
  <c r="Z192" i="135" s="1"/>
  <c r="AC192" i="135" a="1"/>
  <c r="AC192" i="135" s="1"/>
  <c r="AB192" i="135" a="1"/>
  <c r="AB192" i="135" s="1"/>
  <c r="AD192" i="135" a="1"/>
  <c r="AD192" i="135" s="1"/>
  <c r="AG192" i="135" a="1"/>
  <c r="AG192" i="135" s="1"/>
  <c r="W192" i="135" a="1"/>
  <c r="W192" i="135" s="1"/>
  <c r="AC193" i="135" l="1" a="1"/>
  <c r="AC193" i="135" s="1"/>
  <c r="AE193" i="135" a="1"/>
  <c r="AE193" i="135" s="1"/>
  <c r="AH193" i="135" a="1"/>
  <c r="AH193" i="135" s="1"/>
  <c r="AJ193" i="135" a="1"/>
  <c r="AJ193" i="135" s="1"/>
  <c r="Z193" i="135" a="1"/>
  <c r="Z193" i="135" s="1"/>
  <c r="Y193" i="135" a="1"/>
  <c r="Y193" i="135" s="1"/>
  <c r="AA193" i="135" a="1"/>
  <c r="AA193" i="135" s="1"/>
  <c r="AD193" i="135" a="1"/>
  <c r="AD193" i="135" s="1"/>
  <c r="T193" i="135" a="1"/>
  <c r="T193" i="135" s="1"/>
  <c r="U193" i="135" a="1"/>
  <c r="U193" i="135" s="1"/>
  <c r="W193" i="135" a="1"/>
  <c r="W193" i="135" s="1"/>
  <c r="AF193" i="135" a="1"/>
  <c r="AF193" i="135" s="1"/>
  <c r="Q193" i="135" a="1"/>
  <c r="Q193" i="135" s="1"/>
  <c r="S193" i="135" a="1"/>
  <c r="S193" i="135" s="1"/>
  <c r="V193" i="135" a="1"/>
  <c r="V193" i="135" s="1"/>
  <c r="P193" i="135" a="1"/>
  <c r="P193" i="135" s="1"/>
  <c r="M193" i="135" a="1"/>
  <c r="M193" i="135" s="1"/>
  <c r="O193" i="135" a="1"/>
  <c r="O193" i="135" s="1"/>
  <c r="R193" i="135" a="1"/>
  <c r="R193" i="135" s="1"/>
  <c r="AB193" i="135" a="1"/>
  <c r="AB193" i="135" s="1"/>
  <c r="I193" i="135" a="1"/>
  <c r="I193" i="135" s="1"/>
  <c r="K193" i="135" a="1"/>
  <c r="K193" i="135" s="1"/>
  <c r="N193" i="135" a="1"/>
  <c r="N193" i="135" s="1"/>
  <c r="AK193" i="135" a="1"/>
  <c r="AK193" i="135" s="1"/>
  <c r="AM193" i="135" a="1"/>
  <c r="AM193" i="135" s="1"/>
  <c r="G193" i="135" a="1"/>
  <c r="G193" i="135" s="1"/>
  <c r="J193" i="135" a="1"/>
  <c r="J193" i="135" s="1"/>
  <c r="X193" i="135" a="1"/>
  <c r="X193" i="135" s="1"/>
  <c r="AG193" i="135" a="1"/>
  <c r="AG193" i="135" s="1"/>
  <c r="AI193" i="135" a="1"/>
  <c r="AI193" i="135" s="1"/>
  <c r="AL193" i="135" a="1"/>
  <c r="AL193" i="135" s="1"/>
  <c r="F193" i="135" a="1"/>
  <c r="F193" i="135" s="1"/>
  <c r="H193" i="135" a="1"/>
  <c r="H193" i="135" s="1"/>
  <c r="L193" i="135" a="1"/>
  <c r="L193" i="135" s="1"/>
  <c r="E194" i="135" a="1"/>
  <c r="E194" i="135" s="1"/>
  <c r="D194" i="135" s="1"/>
  <c r="M194" i="135" l="1" a="1"/>
  <c r="M194" i="135" s="1"/>
  <c r="O194" i="135" a="1"/>
  <c r="O194" i="135" s="1"/>
  <c r="R194" i="135" a="1"/>
  <c r="R194" i="135" s="1"/>
  <c r="X194" i="135" a="1"/>
  <c r="X194" i="135" s="1"/>
  <c r="AK194" i="135" a="1"/>
  <c r="AK194" i="135" s="1"/>
  <c r="G194" i="135" a="1"/>
  <c r="G194" i="135" s="1"/>
  <c r="J194" i="135" a="1"/>
  <c r="J194" i="135" s="1"/>
  <c r="AA194" i="135" a="1"/>
  <c r="AA194" i="135" s="1"/>
  <c r="AD194" i="135" a="1"/>
  <c r="AD194" i="135" s="1"/>
  <c r="I194" i="135" a="1"/>
  <c r="I194" i="135" s="1"/>
  <c r="K194" i="135" a="1"/>
  <c r="K194" i="135" s="1"/>
  <c r="N194" i="135" a="1"/>
  <c r="N194" i="135" s="1"/>
  <c r="H194" i="135" a="1"/>
  <c r="H194" i="135" s="1"/>
  <c r="AM194" i="135" a="1"/>
  <c r="AM194" i="135" s="1"/>
  <c r="AJ194" i="135" a="1"/>
  <c r="AJ194" i="135" s="1"/>
  <c r="P194" i="135" a="1"/>
  <c r="P194" i="135" s="1"/>
  <c r="W194" i="135" a="1"/>
  <c r="W194" i="135" s="1"/>
  <c r="AB194" i="135" a="1"/>
  <c r="AB194" i="135" s="1"/>
  <c r="AG194" i="135" a="1"/>
  <c r="AG194" i="135" s="1"/>
  <c r="AI194" i="135" a="1"/>
  <c r="AI194" i="135" s="1"/>
  <c r="AL194" i="135" a="1"/>
  <c r="AL194" i="135" s="1"/>
  <c r="F194" i="135" a="1"/>
  <c r="F194" i="135" s="1"/>
  <c r="T194" i="135" a="1"/>
  <c r="T194" i="135" s="1"/>
  <c r="AC194" i="135" a="1"/>
  <c r="AC194" i="135" s="1"/>
  <c r="AH194" i="135" a="1"/>
  <c r="AH194" i="135" s="1"/>
  <c r="AF194" i="135" a="1"/>
  <c r="AF194" i="135" s="1"/>
  <c r="U194" i="135" a="1"/>
  <c r="U194" i="135" s="1"/>
  <c r="Z194" i="135" a="1"/>
  <c r="Z194" i="135" s="1"/>
  <c r="Q194" i="135" a="1"/>
  <c r="Q194" i="135" s="1"/>
  <c r="S194" i="135" a="1"/>
  <c r="S194" i="135" s="1"/>
  <c r="V194" i="135" a="1"/>
  <c r="V194" i="135" s="1"/>
  <c r="L194" i="135" a="1"/>
  <c r="L194" i="135" s="1"/>
  <c r="AE194" i="135" a="1"/>
  <c r="AE194" i="135" s="1"/>
  <c r="Y194" i="135" a="1"/>
  <c r="Y194" i="135" s="1"/>
  <c r="E195" i="135" a="1"/>
  <c r="E195" i="135" s="1"/>
  <c r="D195" i="135" s="1"/>
  <c r="E196" i="135" l="1" a="1"/>
  <c r="E196" i="135" s="1"/>
  <c r="D196" i="135" s="1"/>
  <c r="Z195" i="135" a="1"/>
  <c r="Z195" i="135" s="1"/>
  <c r="AC195" i="135" a="1"/>
  <c r="AC195" i="135" s="1"/>
  <c r="AB195" i="135" a="1"/>
  <c r="AB195" i="135" s="1"/>
  <c r="AE195" i="135" a="1"/>
  <c r="AE195" i="135" s="1"/>
  <c r="U195" i="135" a="1"/>
  <c r="U195" i="135" s="1"/>
  <c r="W195" i="135" a="1"/>
  <c r="W195" i="135" s="1"/>
  <c r="P195" i="135" a="1"/>
  <c r="P195" i="135" s="1"/>
  <c r="J195" i="135" a="1"/>
  <c r="J195" i="135" s="1"/>
  <c r="O195" i="135" a="1"/>
  <c r="O195" i="135" s="1"/>
  <c r="AK195" i="135" a="1"/>
  <c r="AK195" i="135" s="1"/>
  <c r="G195" i="135" a="1"/>
  <c r="G195" i="135" s="1"/>
  <c r="V195" i="135" a="1"/>
  <c r="V195" i="135" s="1"/>
  <c r="Y195" i="135" a="1"/>
  <c r="Y195" i="135" s="1"/>
  <c r="X195" i="135" a="1"/>
  <c r="X195" i="135" s="1"/>
  <c r="AA195" i="135" a="1"/>
  <c r="AA195" i="135" s="1"/>
  <c r="R195" i="135" a="1"/>
  <c r="R195" i="135" s="1"/>
  <c r="T195" i="135" a="1"/>
  <c r="T195" i="135" s="1"/>
  <c r="Q195" i="135" a="1"/>
  <c r="Q195" i="135" s="1"/>
  <c r="M195" i="135" a="1"/>
  <c r="M195" i="135" s="1"/>
  <c r="AH195" i="135" a="1"/>
  <c r="AH195" i="135" s="1"/>
  <c r="AJ195" i="135" a="1"/>
  <c r="AJ195" i="135" s="1"/>
  <c r="AD195" i="135" a="1"/>
  <c r="AD195" i="135" s="1"/>
  <c r="AI195" i="135" a="1"/>
  <c r="AI195" i="135" s="1"/>
  <c r="N195" i="135" a="1"/>
  <c r="N195" i="135" s="1"/>
  <c r="S195" i="135" a="1"/>
  <c r="S195" i="135" s="1"/>
  <c r="L195" i="135" a="1"/>
  <c r="L195" i="135" s="1"/>
  <c r="AL195" i="135" a="1"/>
  <c r="AL195" i="135" s="1"/>
  <c r="F195" i="135" a="1"/>
  <c r="F195" i="135" s="1"/>
  <c r="I195" i="135" a="1"/>
  <c r="I195" i="135" s="1"/>
  <c r="H195" i="135" a="1"/>
  <c r="H195" i="135" s="1"/>
  <c r="K195" i="135" a="1"/>
  <c r="K195" i="135" s="1"/>
  <c r="AM195" i="135" a="1"/>
  <c r="AM195" i="135" s="1"/>
  <c r="AG195" i="135" a="1"/>
  <c r="AG195" i="135" s="1"/>
  <c r="AF195" i="135" a="1"/>
  <c r="AF195" i="135" s="1"/>
  <c r="E197" i="135" l="1" a="1"/>
  <c r="E197" i="135" s="1"/>
  <c r="D197" i="135" s="1"/>
  <c r="V196" i="135" a="1"/>
  <c r="V196" i="135" s="1"/>
  <c r="X196" i="135" a="1"/>
  <c r="X196" i="135" s="1"/>
  <c r="AA196" i="135" a="1"/>
  <c r="AA196" i="135" s="1"/>
  <c r="M196" i="135" a="1"/>
  <c r="M196" i="135" s="1"/>
  <c r="I196" i="135" a="1"/>
  <c r="I196" i="135" s="1"/>
  <c r="P196" i="135" a="1"/>
  <c r="P196" i="135" s="1"/>
  <c r="S196" i="135" a="1"/>
  <c r="S196" i="135" s="1"/>
  <c r="J196" i="135" a="1"/>
  <c r="J196" i="135" s="1"/>
  <c r="O196" i="135" a="1"/>
  <c r="O196" i="135" s="1"/>
  <c r="AM196" i="135" a="1"/>
  <c r="AM196" i="135" s="1"/>
  <c r="Y196" i="135" a="1"/>
  <c r="Y196" i="135" s="1"/>
  <c r="Z196" i="135" a="1"/>
  <c r="Z196" i="135" s="1"/>
  <c r="AB196" i="135" a="1"/>
  <c r="AB196" i="135" s="1"/>
  <c r="Q196" i="135" a="1"/>
  <c r="Q196" i="135" s="1"/>
  <c r="R196" i="135" a="1"/>
  <c r="R196" i="135" s="1"/>
  <c r="T196" i="135" a="1"/>
  <c r="T196" i="135" s="1"/>
  <c r="W196" i="135" a="1"/>
  <c r="W196" i="135" s="1"/>
  <c r="N196" i="135" a="1"/>
  <c r="N196" i="135" s="1"/>
  <c r="AK196" i="135" a="1"/>
  <c r="AK196" i="135" s="1"/>
  <c r="L196" i="135" a="1"/>
  <c r="L196" i="135" s="1"/>
  <c r="AG196" i="135" a="1"/>
  <c r="AG196" i="135" s="1"/>
  <c r="AL196" i="135" a="1"/>
  <c r="AL196" i="135" s="1"/>
  <c r="F196" i="135" a="1"/>
  <c r="F196" i="135" s="1"/>
  <c r="H196" i="135" a="1"/>
  <c r="H196" i="135" s="1"/>
  <c r="K196" i="135" a="1"/>
  <c r="K196" i="135" s="1"/>
  <c r="AC196" i="135" a="1"/>
  <c r="AC196" i="135" s="1"/>
  <c r="AH196" i="135" a="1"/>
  <c r="AH196" i="135" s="1"/>
  <c r="AJ196" i="135" a="1"/>
  <c r="AJ196" i="135" s="1"/>
  <c r="G196" i="135" a="1"/>
  <c r="G196" i="135" s="1"/>
  <c r="AD196" i="135" a="1"/>
  <c r="AD196" i="135" s="1"/>
  <c r="AF196" i="135" a="1"/>
  <c r="AF196" i="135" s="1"/>
  <c r="AI196" i="135" a="1"/>
  <c r="AI196" i="135" s="1"/>
  <c r="U196" i="135" a="1"/>
  <c r="U196" i="135" s="1"/>
  <c r="AE196" i="135" a="1"/>
  <c r="AE196" i="135" s="1"/>
  <c r="E198" i="135" l="1" a="1"/>
  <c r="E198" i="135" s="1"/>
  <c r="D198" i="135" s="1"/>
  <c r="AA197" i="135" a="1"/>
  <c r="AA197" i="135" s="1"/>
  <c r="AD197" i="135" a="1"/>
  <c r="AD197" i="135" s="1"/>
  <c r="AG197" i="135" a="1"/>
  <c r="AG197" i="135" s="1"/>
  <c r="AF197" i="135" a="1"/>
  <c r="AF197" i="135" s="1"/>
  <c r="W197" i="135" a="1"/>
  <c r="W197" i="135" s="1"/>
  <c r="Z197" i="135" a="1"/>
  <c r="Z197" i="135" s="1"/>
  <c r="AC197" i="135" a="1"/>
  <c r="AC197" i="135" s="1"/>
  <c r="AB197" i="135" a="1"/>
  <c r="AB197" i="135" s="1"/>
  <c r="O197" i="135" a="1"/>
  <c r="O197" i="135" s="1"/>
  <c r="R197" i="135" a="1"/>
  <c r="R197" i="135" s="1"/>
  <c r="U197" i="135" a="1"/>
  <c r="U197" i="135" s="1"/>
  <c r="T197" i="135" a="1"/>
  <c r="T197" i="135" s="1"/>
  <c r="K197" i="135" a="1"/>
  <c r="K197" i="135" s="1"/>
  <c r="N197" i="135" a="1"/>
  <c r="N197" i="135" s="1"/>
  <c r="Q197" i="135" a="1"/>
  <c r="Q197" i="135" s="1"/>
  <c r="P197" i="135" a="1"/>
  <c r="P197" i="135" s="1"/>
  <c r="AI197" i="135" a="1"/>
  <c r="AI197" i="135" s="1"/>
  <c r="F197" i="135" a="1"/>
  <c r="F197" i="135" s="1"/>
  <c r="I197" i="135" a="1"/>
  <c r="I197" i="135" s="1"/>
  <c r="AK197" i="135" a="1"/>
  <c r="AK197" i="135" s="1"/>
  <c r="S197" i="135" a="1"/>
  <c r="S197" i="135" s="1"/>
  <c r="V197" i="135" a="1"/>
  <c r="V197" i="135" s="1"/>
  <c r="Y197" i="135" a="1"/>
  <c r="Y197" i="135" s="1"/>
  <c r="X197" i="135" a="1"/>
  <c r="X197" i="135" s="1"/>
  <c r="AM197" i="135" a="1"/>
  <c r="AM197" i="135" s="1"/>
  <c r="G197" i="135" a="1"/>
  <c r="G197" i="135" s="1"/>
  <c r="J197" i="135" a="1"/>
  <c r="J197" i="135" s="1"/>
  <c r="M197" i="135" a="1"/>
  <c r="M197" i="135" s="1"/>
  <c r="L197" i="135" a="1"/>
  <c r="L197" i="135" s="1"/>
  <c r="AL197" i="135" a="1"/>
  <c r="AL197" i="135" s="1"/>
  <c r="H197" i="135" a="1"/>
  <c r="H197" i="135" s="1"/>
  <c r="AE197" i="135" a="1"/>
  <c r="AE197" i="135" s="1"/>
  <c r="AH197" i="135" a="1"/>
  <c r="AH197" i="135" s="1"/>
  <c r="AJ197" i="135" a="1"/>
  <c r="AJ197" i="135" s="1"/>
  <c r="E199" i="135" l="1" a="1"/>
  <c r="E199" i="135" s="1"/>
  <c r="D199" i="135" s="1"/>
  <c r="W198" i="135" a="1"/>
  <c r="W198" i="135" s="1"/>
  <c r="Y198" i="135" a="1"/>
  <c r="Y198" i="135" s="1"/>
  <c r="X198" i="135" a="1"/>
  <c r="X198" i="135" s="1"/>
  <c r="F198" i="135" a="1"/>
  <c r="F198" i="135" s="1"/>
  <c r="K198" i="135" a="1"/>
  <c r="K198" i="135" s="1"/>
  <c r="AK198" i="135" a="1"/>
  <c r="AK198" i="135" s="1"/>
  <c r="AJ198" i="135" a="1"/>
  <c r="AJ198" i="135" s="1"/>
  <c r="R198" i="135" a="1"/>
  <c r="R198" i="135" s="1"/>
  <c r="AG198" i="135" a="1"/>
  <c r="AG198" i="135" s="1"/>
  <c r="S198" i="135" a="1"/>
  <c r="S198" i="135" s="1"/>
  <c r="U198" i="135" a="1"/>
  <c r="U198" i="135" s="1"/>
  <c r="T198" i="135" a="1"/>
  <c r="T198" i="135" s="1"/>
  <c r="AH198" i="135" a="1"/>
  <c r="AH198" i="135" s="1"/>
  <c r="AD198" i="135" a="1"/>
  <c r="AD198" i="135" s="1"/>
  <c r="M198" i="135" a="1"/>
  <c r="M198" i="135" s="1"/>
  <c r="AF198" i="135" a="1"/>
  <c r="AF198" i="135" s="1"/>
  <c r="AA198" i="135" a="1"/>
  <c r="AA198" i="135" s="1"/>
  <c r="AL198" i="135" a="1"/>
  <c r="AL198" i="135" s="1"/>
  <c r="O198" i="135" a="1"/>
  <c r="O198" i="135" s="1"/>
  <c r="Q198" i="135" a="1"/>
  <c r="Q198" i="135" s="1"/>
  <c r="P198" i="135" a="1"/>
  <c r="P198" i="135" s="1"/>
  <c r="L198" i="135" a="1"/>
  <c r="L198" i="135" s="1"/>
  <c r="Z198" i="135" a="1"/>
  <c r="Z198" i="135" s="1"/>
  <c r="AI198" i="135" a="1"/>
  <c r="AI198" i="135" s="1"/>
  <c r="N198" i="135" a="1"/>
  <c r="N198" i="135" s="1"/>
  <c r="AE198" i="135" a="1"/>
  <c r="AE198" i="135" s="1"/>
  <c r="J198" i="135" a="1"/>
  <c r="J198" i="135" s="1"/>
  <c r="AC198" i="135" a="1"/>
  <c r="AC198" i="135" s="1"/>
  <c r="AB198" i="135" a="1"/>
  <c r="AB198" i="135" s="1"/>
  <c r="AM198" i="135" a="1"/>
  <c r="AM198" i="135" s="1"/>
  <c r="G198" i="135" a="1"/>
  <c r="G198" i="135" s="1"/>
  <c r="I198" i="135" a="1"/>
  <c r="I198" i="135" s="1"/>
  <c r="H198" i="135" a="1"/>
  <c r="H198" i="135" s="1"/>
  <c r="V198" i="135" a="1"/>
  <c r="V198" i="135" s="1"/>
  <c r="E200" i="135" l="1" a="1"/>
  <c r="E200" i="135" s="1"/>
  <c r="D200" i="135" s="1"/>
  <c r="T199" i="135" a="1"/>
  <c r="T199" i="135" s="1"/>
  <c r="W199" i="135" a="1"/>
  <c r="W199" i="135" s="1"/>
  <c r="Z199" i="135" a="1"/>
  <c r="Z199" i="135" s="1"/>
  <c r="AC199" i="135" a="1"/>
  <c r="AC199" i="135" s="1"/>
  <c r="P199" i="135" a="1"/>
  <c r="P199" i="135" s="1"/>
  <c r="S199" i="135" a="1"/>
  <c r="S199" i="135" s="1"/>
  <c r="V199" i="135" a="1"/>
  <c r="V199" i="135" s="1"/>
  <c r="Y199" i="135" a="1"/>
  <c r="Y199" i="135" s="1"/>
  <c r="AK199" i="135" a="1"/>
  <c r="AK199" i="135" s="1"/>
  <c r="X199" i="135" a="1"/>
  <c r="X199" i="135" s="1"/>
  <c r="AA199" i="135" a="1"/>
  <c r="AA199" i="135" s="1"/>
  <c r="AD199" i="135" a="1"/>
  <c r="AD199" i="135" s="1"/>
  <c r="AG199" i="135" a="1"/>
  <c r="AG199" i="135" s="1"/>
  <c r="L199" i="135" a="1"/>
  <c r="L199" i="135" s="1"/>
  <c r="O199" i="135" a="1"/>
  <c r="O199" i="135" s="1"/>
  <c r="R199" i="135" a="1"/>
  <c r="R199" i="135" s="1"/>
  <c r="U199" i="135" a="1"/>
  <c r="U199" i="135" s="1"/>
  <c r="H199" i="135" a="1"/>
  <c r="H199" i="135" s="1"/>
  <c r="K199" i="135" a="1"/>
  <c r="K199" i="135" s="1"/>
  <c r="N199" i="135" a="1"/>
  <c r="N199" i="135" s="1"/>
  <c r="Q199" i="135" a="1"/>
  <c r="Q199" i="135" s="1"/>
  <c r="AF199" i="135" a="1"/>
  <c r="AF199" i="135" s="1"/>
  <c r="AI199" i="135" a="1"/>
  <c r="AI199" i="135" s="1"/>
  <c r="F199" i="135" a="1"/>
  <c r="F199" i="135" s="1"/>
  <c r="AJ199" i="135" a="1"/>
  <c r="AJ199" i="135" s="1"/>
  <c r="AM199" i="135" a="1"/>
  <c r="AM199" i="135" s="1"/>
  <c r="G199" i="135" a="1"/>
  <c r="G199" i="135" s="1"/>
  <c r="J199" i="135" a="1"/>
  <c r="J199" i="135" s="1"/>
  <c r="M199" i="135" a="1"/>
  <c r="M199" i="135" s="1"/>
  <c r="AL199" i="135" a="1"/>
  <c r="AL199" i="135" s="1"/>
  <c r="I199" i="135" a="1"/>
  <c r="I199" i="135" s="1"/>
  <c r="AB199" i="135" a="1"/>
  <c r="AB199" i="135" s="1"/>
  <c r="AE199" i="135" a="1"/>
  <c r="AE199" i="135" s="1"/>
  <c r="AH199" i="135" a="1"/>
  <c r="AH199" i="135" s="1"/>
  <c r="E201" i="135" l="1" a="1"/>
  <c r="E201" i="135" s="1"/>
  <c r="D201" i="135" s="1"/>
  <c r="P200" i="135" a="1"/>
  <c r="P200" i="135" s="1"/>
  <c r="R200" i="135" a="1"/>
  <c r="R200" i="135" s="1"/>
  <c r="U200" i="135" a="1"/>
  <c r="U200" i="135" s="1"/>
  <c r="AA200" i="135" a="1"/>
  <c r="AA200" i="135" s="1"/>
  <c r="M200" i="135" a="1"/>
  <c r="M200" i="135" s="1"/>
  <c r="S200" i="135" a="1"/>
  <c r="S200" i="135" s="1"/>
  <c r="F200" i="135" a="1"/>
  <c r="F200" i="135" s="1"/>
  <c r="Z200" i="135" a="1"/>
  <c r="Z200" i="135" s="1"/>
  <c r="AI200" i="135" a="1"/>
  <c r="AI200" i="135" s="1"/>
  <c r="T200" i="135" a="1"/>
  <c r="T200" i="135" s="1"/>
  <c r="Y200" i="135" a="1"/>
  <c r="Y200" i="135" s="1"/>
  <c r="AE200" i="135" a="1"/>
  <c r="AE200" i="135" s="1"/>
  <c r="L200" i="135" a="1"/>
  <c r="L200" i="135" s="1"/>
  <c r="N200" i="135" a="1"/>
  <c r="N200" i="135" s="1"/>
  <c r="Q200" i="135" a="1"/>
  <c r="Q200" i="135" s="1"/>
  <c r="W200" i="135" a="1"/>
  <c r="W200" i="135" s="1"/>
  <c r="H200" i="135" a="1"/>
  <c r="H200" i="135" s="1"/>
  <c r="J200" i="135" a="1"/>
  <c r="J200" i="135" s="1"/>
  <c r="AJ200" i="135" a="1"/>
  <c r="AJ200" i="135" s="1"/>
  <c r="AL200" i="135" a="1"/>
  <c r="AL200" i="135" s="1"/>
  <c r="I200" i="135" a="1"/>
  <c r="I200" i="135" s="1"/>
  <c r="O200" i="135" a="1"/>
  <c r="O200" i="135" s="1"/>
  <c r="V200" i="135" a="1"/>
  <c r="V200" i="135" s="1"/>
  <c r="AF200" i="135" a="1"/>
  <c r="AF200" i="135" s="1"/>
  <c r="AH200" i="135" a="1"/>
  <c r="AH200" i="135" s="1"/>
  <c r="AK200" i="135" a="1"/>
  <c r="AK200" i="135" s="1"/>
  <c r="AM200" i="135" a="1"/>
  <c r="AM200" i="135" s="1"/>
  <c r="K200" i="135" a="1"/>
  <c r="K200" i="135" s="1"/>
  <c r="AD200" i="135" a="1"/>
  <c r="AD200" i="135" s="1"/>
  <c r="AG200" i="135" a="1"/>
  <c r="AG200" i="135" s="1"/>
  <c r="AB200" i="135" a="1"/>
  <c r="AB200" i="135" s="1"/>
  <c r="G200" i="135" a="1"/>
  <c r="G200" i="135" s="1"/>
  <c r="X200" i="135" a="1"/>
  <c r="X200" i="135" s="1"/>
  <c r="AC200" i="135" a="1"/>
  <c r="AC200" i="135" s="1"/>
  <c r="E202" i="135" l="1" a="1"/>
  <c r="E202" i="135" s="1"/>
  <c r="D202" i="135" s="1"/>
  <c r="M201" i="135" a="1"/>
  <c r="M201" i="135" s="1"/>
  <c r="L201" i="135" a="1"/>
  <c r="L201" i="135" s="1"/>
  <c r="O201" i="135" a="1"/>
  <c r="O201" i="135" s="1"/>
  <c r="R201" i="135" a="1"/>
  <c r="R201" i="135" s="1"/>
  <c r="Y201" i="135" a="1"/>
  <c r="Y201" i="135" s="1"/>
  <c r="I201" i="135" a="1"/>
  <c r="I201" i="135" s="1"/>
  <c r="H201" i="135" a="1"/>
  <c r="H201" i="135" s="1"/>
  <c r="K201" i="135" a="1"/>
  <c r="K201" i="135" s="1"/>
  <c r="N201" i="135" a="1"/>
  <c r="N201" i="135" s="1"/>
  <c r="X201" i="135" a="1"/>
  <c r="X201" i="135" s="1"/>
  <c r="W201" i="135" a="1"/>
  <c r="W201" i="135" s="1"/>
  <c r="AK201" i="135" a="1"/>
  <c r="AK201" i="135" s="1"/>
  <c r="AJ201" i="135" a="1"/>
  <c r="AJ201" i="135" s="1"/>
  <c r="AM201" i="135" a="1"/>
  <c r="AM201" i="135" s="1"/>
  <c r="G201" i="135" a="1"/>
  <c r="G201" i="135" s="1"/>
  <c r="J201" i="135" a="1"/>
  <c r="J201" i="135" s="1"/>
  <c r="F201" i="135" a="1"/>
  <c r="F201" i="135" s="1"/>
  <c r="AH201" i="135" a="1"/>
  <c r="AH201" i="135" s="1"/>
  <c r="AD201" i="135" a="1"/>
  <c r="AD201" i="135" s="1"/>
  <c r="T201" i="135" a="1"/>
  <c r="T201" i="135" s="1"/>
  <c r="P201" i="135" a="1"/>
  <c r="P201" i="135" s="1"/>
  <c r="AG201" i="135" a="1"/>
  <c r="AG201" i="135" s="1"/>
  <c r="AF201" i="135" a="1"/>
  <c r="AF201" i="135" s="1"/>
  <c r="AI201" i="135" a="1"/>
  <c r="AI201" i="135" s="1"/>
  <c r="AL201" i="135" a="1"/>
  <c r="AL201" i="135" s="1"/>
  <c r="AA201" i="135" a="1"/>
  <c r="AA201" i="135" s="1"/>
  <c r="U201" i="135" a="1"/>
  <c r="U201" i="135" s="1"/>
  <c r="Z201" i="135" a="1"/>
  <c r="Z201" i="135" s="1"/>
  <c r="Q201" i="135" a="1"/>
  <c r="Q201" i="135" s="1"/>
  <c r="S201" i="135" a="1"/>
  <c r="S201" i="135" s="1"/>
  <c r="AC201" i="135" a="1"/>
  <c r="AC201" i="135" s="1"/>
  <c r="AB201" i="135" a="1"/>
  <c r="AB201" i="135" s="1"/>
  <c r="AE201" i="135" a="1"/>
  <c r="AE201" i="135" s="1"/>
  <c r="V201" i="135" a="1"/>
  <c r="V201" i="135" s="1"/>
  <c r="AE202" i="135" l="1" a="1"/>
  <c r="AE202" i="135" s="1"/>
  <c r="AF202" i="135" a="1"/>
  <c r="AF202" i="135" s="1"/>
  <c r="AC202" i="135" a="1"/>
  <c r="AC202" i="135" s="1"/>
  <c r="AH202" i="135" a="1"/>
  <c r="AH202" i="135" s="1"/>
  <c r="Y202" i="135" a="1"/>
  <c r="Y202" i="135" s="1"/>
  <c r="AA202" i="135" a="1"/>
  <c r="AA202" i="135" s="1"/>
  <c r="AD202" i="135" a="1"/>
  <c r="AD202" i="135" s="1"/>
  <c r="AB202" i="135" a="1"/>
  <c r="AB202" i="135" s="1"/>
  <c r="N202" i="135" a="1"/>
  <c r="N202" i="135" s="1"/>
  <c r="AG202" i="135" a="1"/>
  <c r="AG202" i="135" s="1"/>
  <c r="AI202" i="135" a="1"/>
  <c r="AI202" i="135" s="1"/>
  <c r="AL202" i="135" a="1"/>
  <c r="AL202" i="135" s="1"/>
  <c r="F202" i="135" a="1"/>
  <c r="F202" i="135" s="1"/>
  <c r="AJ202" i="135" a="1"/>
  <c r="AJ202" i="135" s="1"/>
  <c r="U202" i="135" a="1"/>
  <c r="U202" i="135" s="1"/>
  <c r="W202" i="135" a="1"/>
  <c r="W202" i="135" s="1"/>
  <c r="Z202" i="135" a="1"/>
  <c r="Z202" i="135" s="1"/>
  <c r="X202" i="135" a="1"/>
  <c r="X202" i="135" s="1"/>
  <c r="Q202" i="135" a="1"/>
  <c r="Q202" i="135" s="1"/>
  <c r="S202" i="135" a="1"/>
  <c r="S202" i="135" s="1"/>
  <c r="V202" i="135" a="1"/>
  <c r="V202" i="135" s="1"/>
  <c r="T202" i="135" a="1"/>
  <c r="T202" i="135" s="1"/>
  <c r="P202" i="135" a="1"/>
  <c r="P202" i="135" s="1"/>
  <c r="M202" i="135" a="1"/>
  <c r="M202" i="135" s="1"/>
  <c r="O202" i="135" a="1"/>
  <c r="O202" i="135" s="1"/>
  <c r="R202" i="135" a="1"/>
  <c r="R202" i="135" s="1"/>
  <c r="I202" i="135" a="1"/>
  <c r="I202" i="135" s="1"/>
  <c r="K202" i="135" a="1"/>
  <c r="K202" i="135" s="1"/>
  <c r="L202" i="135" a="1"/>
  <c r="L202" i="135" s="1"/>
  <c r="AK202" i="135" a="1"/>
  <c r="AK202" i="135" s="1"/>
  <c r="AM202" i="135" a="1"/>
  <c r="AM202" i="135" s="1"/>
  <c r="G202" i="135" a="1"/>
  <c r="G202" i="135" s="1"/>
  <c r="J202" i="135" a="1"/>
  <c r="J202" i="135" s="1"/>
  <c r="H202" i="135" a="1"/>
  <c r="H202" i="135" s="1"/>
  <c r="E203" i="135" a="1"/>
  <c r="E203" i="135" s="1"/>
  <c r="D203" i="135" s="1"/>
  <c r="J203" i="135" l="1" a="1"/>
  <c r="J203" i="135" s="1"/>
  <c r="M203" i="135" a="1"/>
  <c r="M203" i="135" s="1"/>
  <c r="L203" i="135" a="1"/>
  <c r="L203" i="135" s="1"/>
  <c r="O203" i="135" a="1"/>
  <c r="O203" i="135" s="1"/>
  <c r="AH203" i="135" a="1"/>
  <c r="AH203" i="135" s="1"/>
  <c r="AJ203" i="135" a="1"/>
  <c r="AJ203" i="135" s="1"/>
  <c r="AM203" i="135" a="1"/>
  <c r="AM203" i="135" s="1"/>
  <c r="AC203" i="135" a="1"/>
  <c r="AC203" i="135" s="1"/>
  <c r="AE203" i="135" a="1"/>
  <c r="AE203" i="135" s="1"/>
  <c r="V203" i="135" a="1"/>
  <c r="V203" i="135" s="1"/>
  <c r="Y203" i="135" a="1"/>
  <c r="Y203" i="135" s="1"/>
  <c r="X203" i="135" a="1"/>
  <c r="X203" i="135" s="1"/>
  <c r="R203" i="135" a="1"/>
  <c r="R203" i="135" s="1"/>
  <c r="U203" i="135" a="1"/>
  <c r="U203" i="135" s="1"/>
  <c r="W203" i="135" a="1"/>
  <c r="W203" i="135" s="1"/>
  <c r="N203" i="135" a="1"/>
  <c r="N203" i="135" s="1"/>
  <c r="Q203" i="135" a="1"/>
  <c r="Q203" i="135" s="1"/>
  <c r="S203" i="135" a="1"/>
  <c r="S203" i="135" s="1"/>
  <c r="AL203" i="135" a="1"/>
  <c r="AL203" i="135" s="1"/>
  <c r="F203" i="135" a="1"/>
  <c r="F203" i="135" s="1"/>
  <c r="I203" i="135" a="1"/>
  <c r="I203" i="135" s="1"/>
  <c r="H203" i="135" a="1"/>
  <c r="H203" i="135" s="1"/>
  <c r="K203" i="135" a="1"/>
  <c r="K203" i="135" s="1"/>
  <c r="AK203" i="135" a="1"/>
  <c r="AK203" i="135" s="1"/>
  <c r="G203" i="135" a="1"/>
  <c r="G203" i="135" s="1"/>
  <c r="Z203" i="135" a="1"/>
  <c r="Z203" i="135" s="1"/>
  <c r="AB203" i="135" a="1"/>
  <c r="AB203" i="135" s="1"/>
  <c r="AA203" i="135" a="1"/>
  <c r="AA203" i="135" s="1"/>
  <c r="T203" i="135" a="1"/>
  <c r="T203" i="135" s="1"/>
  <c r="P203" i="135" a="1"/>
  <c r="P203" i="135" s="1"/>
  <c r="AD203" i="135" a="1"/>
  <c r="AD203" i="135" s="1"/>
  <c r="AG203" i="135" a="1"/>
  <c r="AG203" i="135" s="1"/>
  <c r="AF203" i="135" a="1"/>
  <c r="AF203" i="135" s="1"/>
  <c r="AI203" i="135" a="1"/>
  <c r="AI203" i="135" s="1"/>
  <c r="E204" i="135" a="1"/>
  <c r="E204" i="135" s="1"/>
  <c r="D204" i="135" s="1"/>
  <c r="E205" i="135" l="1" a="1"/>
  <c r="E205" i="135" s="1"/>
  <c r="D205" i="135" s="1"/>
  <c r="Z204" i="135" a="1"/>
  <c r="Z204" i="135" s="1"/>
  <c r="AB204" i="135" a="1"/>
  <c r="AB204" i="135" s="1"/>
  <c r="AE204" i="135" a="1"/>
  <c r="AE204" i="135" s="1"/>
  <c r="U204" i="135" a="1"/>
  <c r="U204" i="135" s="1"/>
  <c r="V204" i="135" a="1"/>
  <c r="V204" i="135" s="1"/>
  <c r="AA204" i="135" a="1"/>
  <c r="AA204" i="135" s="1"/>
  <c r="Q204" i="135" a="1"/>
  <c r="Q204" i="135" s="1"/>
  <c r="R204" i="135" a="1"/>
  <c r="R204" i="135" s="1"/>
  <c r="T204" i="135" a="1"/>
  <c r="T204" i="135" s="1"/>
  <c r="W204" i="135" a="1"/>
  <c r="W204" i="135" s="1"/>
  <c r="M204" i="135" a="1"/>
  <c r="M204" i="135" s="1"/>
  <c r="P204" i="135" a="1"/>
  <c r="P204" i="135" s="1"/>
  <c r="S204" i="135" a="1"/>
  <c r="S204" i="135" s="1"/>
  <c r="J204" i="135" a="1"/>
  <c r="J204" i="135" s="1"/>
  <c r="O204" i="135" a="1"/>
  <c r="O204" i="135" s="1"/>
  <c r="AF204" i="135" a="1"/>
  <c r="AF204" i="135" s="1"/>
  <c r="Y204" i="135" a="1"/>
  <c r="Y204" i="135" s="1"/>
  <c r="X204" i="135" a="1"/>
  <c r="X204" i="135" s="1"/>
  <c r="I204" i="135" a="1"/>
  <c r="I204" i="135" s="1"/>
  <c r="N204" i="135" a="1"/>
  <c r="N204" i="135" s="1"/>
  <c r="L204" i="135" a="1"/>
  <c r="L204" i="135" s="1"/>
  <c r="AK204" i="135" a="1"/>
  <c r="AK204" i="135" s="1"/>
  <c r="AJ204" i="135" a="1"/>
  <c r="AJ204" i="135" s="1"/>
  <c r="AM204" i="135" a="1"/>
  <c r="AM204" i="135" s="1"/>
  <c r="AC204" i="135" a="1"/>
  <c r="AC204" i="135" s="1"/>
  <c r="AD204" i="135" a="1"/>
  <c r="AD204" i="135" s="1"/>
  <c r="AI204" i="135" a="1"/>
  <c r="AI204" i="135" s="1"/>
  <c r="AL204" i="135" a="1"/>
  <c r="AL204" i="135" s="1"/>
  <c r="F204" i="135" a="1"/>
  <c r="F204" i="135" s="1"/>
  <c r="H204" i="135" a="1"/>
  <c r="H204" i="135" s="1"/>
  <c r="K204" i="135" a="1"/>
  <c r="K204" i="135" s="1"/>
  <c r="AG204" i="135" a="1"/>
  <c r="AG204" i="135" s="1"/>
  <c r="AH204" i="135" a="1"/>
  <c r="AH204" i="135" s="1"/>
  <c r="G204" i="135" a="1"/>
  <c r="G204" i="135" s="1"/>
  <c r="E206" i="135" l="1" a="1"/>
  <c r="E206" i="135" s="1"/>
  <c r="D206" i="135" s="1"/>
  <c r="AA205" i="135" a="1"/>
  <c r="AA205" i="135" s="1"/>
  <c r="AD205" i="135" a="1"/>
  <c r="AD205" i="135" s="1"/>
  <c r="AG205" i="135" a="1"/>
  <c r="AG205" i="135" s="1"/>
  <c r="AF205" i="135" a="1"/>
  <c r="AF205" i="135" s="1"/>
  <c r="W205" i="135" a="1"/>
  <c r="W205" i="135" s="1"/>
  <c r="Z205" i="135" a="1"/>
  <c r="Z205" i="135" s="1"/>
  <c r="AC205" i="135" a="1"/>
  <c r="AC205" i="135" s="1"/>
  <c r="AB205" i="135" a="1"/>
  <c r="AB205" i="135" s="1"/>
  <c r="S205" i="135" a="1"/>
  <c r="S205" i="135" s="1"/>
  <c r="V205" i="135" a="1"/>
  <c r="V205" i="135" s="1"/>
  <c r="Y205" i="135" a="1"/>
  <c r="Y205" i="135" s="1"/>
  <c r="X205" i="135" a="1"/>
  <c r="X205" i="135" s="1"/>
  <c r="AM205" i="135" a="1"/>
  <c r="AM205" i="135" s="1"/>
  <c r="G205" i="135" a="1"/>
  <c r="G205" i="135" s="1"/>
  <c r="J205" i="135" a="1"/>
  <c r="J205" i="135" s="1"/>
  <c r="M205" i="135" a="1"/>
  <c r="M205" i="135" s="1"/>
  <c r="L205" i="135" a="1"/>
  <c r="L205" i="135" s="1"/>
  <c r="AL205" i="135" a="1"/>
  <c r="AL205" i="135" s="1"/>
  <c r="I205" i="135" a="1"/>
  <c r="I205" i="135" s="1"/>
  <c r="O205" i="135" a="1"/>
  <c r="O205" i="135" s="1"/>
  <c r="T205" i="135" a="1"/>
  <c r="T205" i="135" s="1"/>
  <c r="N205" i="135" a="1"/>
  <c r="N205" i="135" s="1"/>
  <c r="P205" i="135" a="1"/>
  <c r="P205" i="135" s="1"/>
  <c r="AI205" i="135" a="1"/>
  <c r="AI205" i="135" s="1"/>
  <c r="F205" i="135" a="1"/>
  <c r="F205" i="135" s="1"/>
  <c r="H205" i="135" a="1"/>
  <c r="H205" i="135" s="1"/>
  <c r="AE205" i="135" a="1"/>
  <c r="AE205" i="135" s="1"/>
  <c r="AH205" i="135" a="1"/>
  <c r="AH205" i="135" s="1"/>
  <c r="AK205" i="135" a="1"/>
  <c r="AK205" i="135" s="1"/>
  <c r="AJ205" i="135" a="1"/>
  <c r="AJ205" i="135" s="1"/>
  <c r="U205" i="135" a="1"/>
  <c r="U205" i="135" s="1"/>
  <c r="K205" i="135" a="1"/>
  <c r="K205" i="135" s="1"/>
  <c r="Q205" i="135" a="1"/>
  <c r="Q205" i="135" s="1"/>
  <c r="R205" i="135" a="1"/>
  <c r="R205" i="135" s="1"/>
  <c r="AA206" i="135" l="1" a="1"/>
  <c r="AA206" i="135" s="1"/>
  <c r="AC206" i="135" a="1"/>
  <c r="AC206" i="135" s="1"/>
  <c r="AB206" i="135" a="1"/>
  <c r="AB206" i="135" s="1"/>
  <c r="J206" i="135" a="1"/>
  <c r="J206" i="135" s="1"/>
  <c r="S206" i="135" a="1"/>
  <c r="S206" i="135" s="1"/>
  <c r="T206" i="135" a="1"/>
  <c r="T206" i="135" s="1"/>
  <c r="K206" i="135" a="1"/>
  <c r="K206" i="135" s="1"/>
  <c r="L206" i="135" a="1"/>
  <c r="L206" i="135" s="1"/>
  <c r="AD206" i="135" a="1"/>
  <c r="AD206" i="135" s="1"/>
  <c r="R206" i="135" a="1"/>
  <c r="R206" i="135" s="1"/>
  <c r="AG206" i="135" a="1"/>
  <c r="AG206" i="135" s="1"/>
  <c r="N206" i="135" a="1"/>
  <c r="N206" i="135" s="1"/>
  <c r="W206" i="135" a="1"/>
  <c r="W206" i="135" s="1"/>
  <c r="Y206" i="135" a="1"/>
  <c r="Y206" i="135" s="1"/>
  <c r="X206" i="135" a="1"/>
  <c r="X206" i="135" s="1"/>
  <c r="AL206" i="135" a="1"/>
  <c r="AL206" i="135" s="1"/>
  <c r="U206" i="135" a="1"/>
  <c r="U206" i="135" s="1"/>
  <c r="F206" i="135" a="1"/>
  <c r="F206" i="135" s="1"/>
  <c r="M206" i="135" a="1"/>
  <c r="M206" i="135" s="1"/>
  <c r="AI206" i="135" a="1"/>
  <c r="AI206" i="135" s="1"/>
  <c r="AJ206" i="135" a="1"/>
  <c r="AJ206" i="135" s="1"/>
  <c r="O206" i="135" a="1"/>
  <c r="O206" i="135" s="1"/>
  <c r="Q206" i="135" a="1"/>
  <c r="Q206" i="135" s="1"/>
  <c r="P206" i="135" a="1"/>
  <c r="P206" i="135" s="1"/>
  <c r="AH206" i="135" a="1"/>
  <c r="AH206" i="135" s="1"/>
  <c r="AM206" i="135" a="1"/>
  <c r="AM206" i="135" s="1"/>
  <c r="G206" i="135" a="1"/>
  <c r="G206" i="135" s="1"/>
  <c r="I206" i="135" a="1"/>
  <c r="I206" i="135" s="1"/>
  <c r="H206" i="135" a="1"/>
  <c r="H206" i="135" s="1"/>
  <c r="Z206" i="135" a="1"/>
  <c r="Z206" i="135" s="1"/>
  <c r="AK206" i="135" a="1"/>
  <c r="AK206" i="135" s="1"/>
  <c r="V206" i="135" a="1"/>
  <c r="V206" i="135" s="1"/>
  <c r="AE206" i="135" a="1"/>
  <c r="AE206" i="135" s="1"/>
  <c r="AF206" i="135" a="1"/>
  <c r="AF206" i="135" s="1"/>
  <c r="E207" i="135" a="1"/>
  <c r="E207" i="135" s="1"/>
  <c r="D207" i="135" s="1"/>
  <c r="E208" i="135" l="1" a="1"/>
  <c r="E208" i="135" s="1"/>
  <c r="D208" i="135" s="1"/>
  <c r="P207" i="135" a="1"/>
  <c r="P207" i="135" s="1"/>
  <c r="S207" i="135" a="1"/>
  <c r="S207" i="135" s="1"/>
  <c r="V207" i="135" a="1"/>
  <c r="V207" i="135" s="1"/>
  <c r="Y207" i="135" a="1"/>
  <c r="Y207" i="135" s="1"/>
  <c r="L207" i="135" a="1"/>
  <c r="L207" i="135" s="1"/>
  <c r="O207" i="135" a="1"/>
  <c r="O207" i="135" s="1"/>
  <c r="R207" i="135" a="1"/>
  <c r="R207" i="135" s="1"/>
  <c r="U207" i="135" a="1"/>
  <c r="U207" i="135" s="1"/>
  <c r="H207" i="135" a="1"/>
  <c r="H207" i="135" s="1"/>
  <c r="K207" i="135" a="1"/>
  <c r="K207" i="135" s="1"/>
  <c r="N207" i="135" a="1"/>
  <c r="N207" i="135" s="1"/>
  <c r="Q207" i="135" a="1"/>
  <c r="Q207" i="135" s="1"/>
  <c r="AI207" i="135" a="1"/>
  <c r="AI207" i="135" s="1"/>
  <c r="F207" i="135" a="1"/>
  <c r="F207" i="135" s="1"/>
  <c r="I207" i="135" a="1"/>
  <c r="I207" i="135" s="1"/>
  <c r="AH207" i="135" a="1"/>
  <c r="AH207" i="135" s="1"/>
  <c r="AD207" i="135" a="1"/>
  <c r="AD207" i="135" s="1"/>
  <c r="AC207" i="135" a="1"/>
  <c r="AC207" i="135" s="1"/>
  <c r="AJ207" i="135" a="1"/>
  <c r="AJ207" i="135" s="1"/>
  <c r="AM207" i="135" a="1"/>
  <c r="AM207" i="135" s="1"/>
  <c r="G207" i="135" a="1"/>
  <c r="G207" i="135" s="1"/>
  <c r="J207" i="135" a="1"/>
  <c r="J207" i="135" s="1"/>
  <c r="M207" i="135" a="1"/>
  <c r="M207" i="135" s="1"/>
  <c r="AF207" i="135" a="1"/>
  <c r="AF207" i="135" s="1"/>
  <c r="AL207" i="135" a="1"/>
  <c r="AL207" i="135" s="1"/>
  <c r="AB207" i="135" a="1"/>
  <c r="AB207" i="135" s="1"/>
  <c r="AE207" i="135" a="1"/>
  <c r="AE207" i="135" s="1"/>
  <c r="AK207" i="135" a="1"/>
  <c r="AK207" i="135" s="1"/>
  <c r="X207" i="135" a="1"/>
  <c r="X207" i="135" s="1"/>
  <c r="AA207" i="135" a="1"/>
  <c r="AA207" i="135" s="1"/>
  <c r="AG207" i="135" a="1"/>
  <c r="AG207" i="135" s="1"/>
  <c r="T207" i="135" a="1"/>
  <c r="T207" i="135" s="1"/>
  <c r="W207" i="135" a="1"/>
  <c r="W207" i="135" s="1"/>
  <c r="Z207" i="135" a="1"/>
  <c r="Z207" i="135" s="1"/>
  <c r="E209" i="135" l="1" a="1"/>
  <c r="E209" i="135" s="1"/>
  <c r="D209" i="135" s="1"/>
  <c r="T208" i="135" a="1"/>
  <c r="T208" i="135" s="1"/>
  <c r="V208" i="135" a="1"/>
  <c r="V208" i="135" s="1"/>
  <c r="Y208" i="135" a="1"/>
  <c r="Y208" i="135" s="1"/>
  <c r="AI208" i="135" a="1"/>
  <c r="AI208" i="135" s="1"/>
  <c r="P208" i="135" a="1"/>
  <c r="P208" i="135" s="1"/>
  <c r="R208" i="135" a="1"/>
  <c r="R208" i="135" s="1"/>
  <c r="U208" i="135" a="1"/>
  <c r="U208" i="135" s="1"/>
  <c r="AE208" i="135" a="1"/>
  <c r="AE208" i="135" s="1"/>
  <c r="L208" i="135" a="1"/>
  <c r="L208" i="135" s="1"/>
  <c r="N208" i="135" a="1"/>
  <c r="N208" i="135" s="1"/>
  <c r="Q208" i="135" a="1"/>
  <c r="Q208" i="135" s="1"/>
  <c r="AA208" i="135" a="1"/>
  <c r="AA208" i="135" s="1"/>
  <c r="H208" i="135" a="1"/>
  <c r="H208" i="135" s="1"/>
  <c r="J208" i="135" a="1"/>
  <c r="J208" i="135" s="1"/>
  <c r="M208" i="135" a="1"/>
  <c r="M208" i="135" s="1"/>
  <c r="W208" i="135" a="1"/>
  <c r="W208" i="135" s="1"/>
  <c r="AM208" i="135" a="1"/>
  <c r="AM208" i="135" s="1"/>
  <c r="AJ208" i="135" a="1"/>
  <c r="AJ208" i="135" s="1"/>
  <c r="AL208" i="135" a="1"/>
  <c r="AL208" i="135" s="1"/>
  <c r="F208" i="135" a="1"/>
  <c r="F208" i="135" s="1"/>
  <c r="I208" i="135" a="1"/>
  <c r="I208" i="135" s="1"/>
  <c r="S208" i="135" a="1"/>
  <c r="S208" i="135" s="1"/>
  <c r="AF208" i="135" a="1"/>
  <c r="AF208" i="135" s="1"/>
  <c r="AH208" i="135" a="1"/>
  <c r="AH208" i="135" s="1"/>
  <c r="AK208" i="135" a="1"/>
  <c r="AK208" i="135" s="1"/>
  <c r="K208" i="135" a="1"/>
  <c r="K208" i="135" s="1"/>
  <c r="O208" i="135" a="1"/>
  <c r="O208" i="135" s="1"/>
  <c r="AB208" i="135" a="1"/>
  <c r="AB208" i="135" s="1"/>
  <c r="AD208" i="135" a="1"/>
  <c r="AD208" i="135" s="1"/>
  <c r="AG208" i="135" a="1"/>
  <c r="AG208" i="135" s="1"/>
  <c r="X208" i="135" a="1"/>
  <c r="X208" i="135" s="1"/>
  <c r="Z208" i="135" a="1"/>
  <c r="Z208" i="135" s="1"/>
  <c r="AC208" i="135" a="1"/>
  <c r="AC208" i="135" s="1"/>
  <c r="G208" i="135" a="1"/>
  <c r="G208" i="135" s="1"/>
  <c r="E210" i="135" l="1" a="1"/>
  <c r="E210" i="135" s="1"/>
  <c r="D210" i="135" s="1"/>
  <c r="Y209" i="135" a="1"/>
  <c r="Y209" i="135" s="1"/>
  <c r="X209" i="135" a="1"/>
  <c r="X209" i="135" s="1"/>
  <c r="AA209" i="135" a="1"/>
  <c r="AA209" i="135" s="1"/>
  <c r="AD209" i="135" a="1"/>
  <c r="AD209" i="135" s="1"/>
  <c r="V209" i="135" a="1"/>
  <c r="V209" i="135" s="1"/>
  <c r="L209" i="135" a="1"/>
  <c r="L209" i="135" s="1"/>
  <c r="H209" i="135" a="1"/>
  <c r="H209" i="135" s="1"/>
  <c r="N209" i="135" a="1"/>
  <c r="N209" i="135" s="1"/>
  <c r="AK209" i="135" a="1"/>
  <c r="AK209" i="135" s="1"/>
  <c r="AJ209" i="135" a="1"/>
  <c r="AJ209" i="135" s="1"/>
  <c r="AM209" i="135" a="1"/>
  <c r="AM209" i="135" s="1"/>
  <c r="G209" i="135" a="1"/>
  <c r="G209" i="135" s="1"/>
  <c r="AF209" i="135" a="1"/>
  <c r="AF209" i="135" s="1"/>
  <c r="F209" i="135" a="1"/>
  <c r="F209" i="135" s="1"/>
  <c r="U209" i="135" a="1"/>
  <c r="U209" i="135" s="1"/>
  <c r="T209" i="135" a="1"/>
  <c r="T209" i="135" s="1"/>
  <c r="W209" i="135" a="1"/>
  <c r="W209" i="135" s="1"/>
  <c r="Z209" i="135" a="1"/>
  <c r="Z209" i="135" s="1"/>
  <c r="Q209" i="135" a="1"/>
  <c r="Q209" i="135" s="1"/>
  <c r="P209" i="135" a="1"/>
  <c r="P209" i="135" s="1"/>
  <c r="S209" i="135" a="1"/>
  <c r="S209" i="135" s="1"/>
  <c r="M209" i="135" a="1"/>
  <c r="M209" i="135" s="1"/>
  <c r="R209" i="135" a="1"/>
  <c r="R209" i="135" s="1"/>
  <c r="I209" i="135" a="1"/>
  <c r="I209" i="135" s="1"/>
  <c r="K209" i="135" a="1"/>
  <c r="K209" i="135" s="1"/>
  <c r="J209" i="135" a="1"/>
  <c r="J209" i="135" s="1"/>
  <c r="AC209" i="135" a="1"/>
  <c r="AC209" i="135" s="1"/>
  <c r="AE209" i="135" a="1"/>
  <c r="AE209" i="135" s="1"/>
  <c r="O209" i="135" a="1"/>
  <c r="O209" i="135" s="1"/>
  <c r="AG209" i="135" a="1"/>
  <c r="AG209" i="135" s="1"/>
  <c r="AI209" i="135" a="1"/>
  <c r="AI209" i="135" s="1"/>
  <c r="AL209" i="135" a="1"/>
  <c r="AL209" i="135" s="1"/>
  <c r="AB209" i="135" a="1"/>
  <c r="AB209" i="135" s="1"/>
  <c r="AH209" i="135" a="1"/>
  <c r="AH209" i="135" s="1"/>
  <c r="E211" i="135" l="1" a="1"/>
  <c r="E211" i="135" s="1"/>
  <c r="D211" i="135" s="1"/>
  <c r="Q210" i="135" a="1"/>
  <c r="Q210" i="135" s="1"/>
  <c r="S210" i="135" a="1"/>
  <c r="S210" i="135" s="1"/>
  <c r="V210" i="135" a="1"/>
  <c r="V210" i="135" s="1"/>
  <c r="X210" i="135" a="1"/>
  <c r="X210" i="135" s="1"/>
  <c r="K210" i="135" a="1"/>
  <c r="K210" i="135" s="1"/>
  <c r="P210" i="135" a="1"/>
  <c r="P210" i="135" s="1"/>
  <c r="AK210" i="135" a="1"/>
  <c r="AK210" i="135" s="1"/>
  <c r="AM210" i="135" a="1"/>
  <c r="AM210" i="135" s="1"/>
  <c r="G210" i="135" a="1"/>
  <c r="G210" i="135" s="1"/>
  <c r="J210" i="135" a="1"/>
  <c r="J210" i="135" s="1"/>
  <c r="L210" i="135" a="1"/>
  <c r="L210" i="135" s="1"/>
  <c r="AG210" i="135" a="1"/>
  <c r="AG210" i="135" s="1"/>
  <c r="AI210" i="135" a="1"/>
  <c r="AI210" i="135" s="1"/>
  <c r="AL210" i="135" a="1"/>
  <c r="AL210" i="135" s="1"/>
  <c r="F210" i="135" a="1"/>
  <c r="F210" i="135" s="1"/>
  <c r="H210" i="135" a="1"/>
  <c r="H210" i="135" s="1"/>
  <c r="U210" i="135" a="1"/>
  <c r="U210" i="135" s="1"/>
  <c r="W210" i="135" a="1"/>
  <c r="W210" i="135" s="1"/>
  <c r="Z210" i="135" a="1"/>
  <c r="Z210" i="135" s="1"/>
  <c r="AB210" i="135" a="1"/>
  <c r="AB210" i="135" s="1"/>
  <c r="M210" i="135" a="1"/>
  <c r="M210" i="135" s="1"/>
  <c r="O210" i="135" a="1"/>
  <c r="O210" i="135" s="1"/>
  <c r="R210" i="135" a="1"/>
  <c r="R210" i="135" s="1"/>
  <c r="T210" i="135" a="1"/>
  <c r="T210" i="135" s="1"/>
  <c r="I210" i="135" a="1"/>
  <c r="I210" i="135" s="1"/>
  <c r="N210" i="135" a="1"/>
  <c r="N210" i="135" s="1"/>
  <c r="AC210" i="135" a="1"/>
  <c r="AC210" i="135" s="1"/>
  <c r="AE210" i="135" a="1"/>
  <c r="AE210" i="135" s="1"/>
  <c r="AH210" i="135" a="1"/>
  <c r="AH210" i="135" s="1"/>
  <c r="AJ210" i="135" a="1"/>
  <c r="AJ210" i="135" s="1"/>
  <c r="Y210" i="135" a="1"/>
  <c r="Y210" i="135" s="1"/>
  <c r="AA210" i="135" a="1"/>
  <c r="AA210" i="135" s="1"/>
  <c r="AD210" i="135" a="1"/>
  <c r="AD210" i="135" s="1"/>
  <c r="AF210" i="135" a="1"/>
  <c r="AF210" i="135" s="1"/>
  <c r="E212" i="135" l="1" a="1"/>
  <c r="E212" i="135" s="1"/>
  <c r="D212" i="135" s="1"/>
  <c r="Z211" i="135" a="1"/>
  <c r="Z211" i="135" s="1"/>
  <c r="AC211" i="135" a="1"/>
  <c r="AC211" i="135" s="1"/>
  <c r="AB211" i="135" a="1"/>
  <c r="AB211" i="135" s="1"/>
  <c r="AE211" i="135" a="1"/>
  <c r="AE211" i="135" s="1"/>
  <c r="R211" i="135" a="1"/>
  <c r="R211" i="135" s="1"/>
  <c r="W211" i="135" a="1"/>
  <c r="W211" i="135" s="1"/>
  <c r="H211" i="135" a="1"/>
  <c r="H211" i="135" s="1"/>
  <c r="AK211" i="135" a="1"/>
  <c r="AK211" i="135" s="1"/>
  <c r="AM211" i="135" a="1"/>
  <c r="AM211" i="135" s="1"/>
  <c r="AD211" i="135" a="1"/>
  <c r="AD211" i="135" s="1"/>
  <c r="AF211" i="135" a="1"/>
  <c r="AF211" i="135" s="1"/>
  <c r="V211" i="135" a="1"/>
  <c r="V211" i="135" s="1"/>
  <c r="Y211" i="135" a="1"/>
  <c r="Y211" i="135" s="1"/>
  <c r="X211" i="135" a="1"/>
  <c r="X211" i="135" s="1"/>
  <c r="AA211" i="135" a="1"/>
  <c r="AA211" i="135" s="1"/>
  <c r="U211" i="135" a="1"/>
  <c r="U211" i="135" s="1"/>
  <c r="T211" i="135" a="1"/>
  <c r="T211" i="135" s="1"/>
  <c r="N211" i="135" a="1"/>
  <c r="N211" i="135" s="1"/>
  <c r="Q211" i="135" a="1"/>
  <c r="Q211" i="135" s="1"/>
  <c r="P211" i="135" a="1"/>
  <c r="P211" i="135" s="1"/>
  <c r="S211" i="135" a="1"/>
  <c r="S211" i="135" s="1"/>
  <c r="J211" i="135" a="1"/>
  <c r="J211" i="135" s="1"/>
  <c r="M211" i="135" a="1"/>
  <c r="M211" i="135" s="1"/>
  <c r="L211" i="135" a="1"/>
  <c r="L211" i="135" s="1"/>
  <c r="O211" i="135" a="1"/>
  <c r="O211" i="135" s="1"/>
  <c r="AL211" i="135" a="1"/>
  <c r="AL211" i="135" s="1"/>
  <c r="F211" i="135" a="1"/>
  <c r="F211" i="135" s="1"/>
  <c r="I211" i="135" a="1"/>
  <c r="I211" i="135" s="1"/>
  <c r="K211" i="135" a="1"/>
  <c r="K211" i="135" s="1"/>
  <c r="AH211" i="135" a="1"/>
  <c r="AH211" i="135" s="1"/>
  <c r="AJ211" i="135" a="1"/>
  <c r="AJ211" i="135" s="1"/>
  <c r="G211" i="135" a="1"/>
  <c r="G211" i="135" s="1"/>
  <c r="AG211" i="135" a="1"/>
  <c r="AG211" i="135" s="1"/>
  <c r="AI211" i="135" a="1"/>
  <c r="AI211" i="135" s="1"/>
  <c r="E213" i="135" l="1" a="1"/>
  <c r="E213" i="135" s="1"/>
  <c r="D213" i="135" s="1"/>
  <c r="R212" i="135" a="1"/>
  <c r="R212" i="135" s="1"/>
  <c r="T212" i="135" a="1"/>
  <c r="T212" i="135" s="1"/>
  <c r="W212" i="135" a="1"/>
  <c r="W212" i="135" s="1"/>
  <c r="Q212" i="135" a="1"/>
  <c r="Q212" i="135" s="1"/>
  <c r="L212" i="135" a="1"/>
  <c r="L212" i="135" s="1"/>
  <c r="O212" i="135" a="1"/>
  <c r="O212" i="135" s="1"/>
  <c r="AJ212" i="135" a="1"/>
  <c r="AJ212" i="135" s="1"/>
  <c r="AG212" i="135" a="1"/>
  <c r="AG212" i="135" s="1"/>
  <c r="AB212" i="135" a="1"/>
  <c r="AB212" i="135" s="1"/>
  <c r="X212" i="135" a="1"/>
  <c r="X212" i="135" s="1"/>
  <c r="U212" i="135" a="1"/>
  <c r="U212" i="135" s="1"/>
  <c r="N212" i="135" a="1"/>
  <c r="N212" i="135" s="1"/>
  <c r="P212" i="135" a="1"/>
  <c r="P212" i="135" s="1"/>
  <c r="S212" i="135" a="1"/>
  <c r="S212" i="135" s="1"/>
  <c r="M212" i="135" a="1"/>
  <c r="M212" i="135" s="1"/>
  <c r="J212" i="135" a="1"/>
  <c r="J212" i="135" s="1"/>
  <c r="I212" i="135" a="1"/>
  <c r="I212" i="135" s="1"/>
  <c r="G212" i="135" a="1"/>
  <c r="G212" i="135" s="1"/>
  <c r="AL212" i="135" a="1"/>
  <c r="AL212" i="135" s="1"/>
  <c r="F212" i="135" a="1"/>
  <c r="F212" i="135" s="1"/>
  <c r="H212" i="135" a="1"/>
  <c r="H212" i="135" s="1"/>
  <c r="K212" i="135" a="1"/>
  <c r="K212" i="135" s="1"/>
  <c r="AK212" i="135" a="1"/>
  <c r="AK212" i="135" s="1"/>
  <c r="AH212" i="135" a="1"/>
  <c r="AH212" i="135" s="1"/>
  <c r="Z212" i="135" a="1"/>
  <c r="Z212" i="135" s="1"/>
  <c r="Y212" i="135" a="1"/>
  <c r="Y212" i="135" s="1"/>
  <c r="AM212" i="135" a="1"/>
  <c r="AM212" i="135" s="1"/>
  <c r="AE212" i="135" a="1"/>
  <c r="AE212" i="135" s="1"/>
  <c r="V212" i="135" a="1"/>
  <c r="V212" i="135" s="1"/>
  <c r="AA212" i="135" a="1"/>
  <c r="AA212" i="135" s="1"/>
  <c r="AD212" i="135" a="1"/>
  <c r="AD212" i="135" s="1"/>
  <c r="AF212" i="135" a="1"/>
  <c r="AF212" i="135" s="1"/>
  <c r="AI212" i="135" a="1"/>
  <c r="AI212" i="135" s="1"/>
  <c r="AC212" i="135" a="1"/>
  <c r="AC212" i="135" s="1"/>
  <c r="E214" i="135" l="1" a="1"/>
  <c r="E214" i="135" s="1"/>
  <c r="D214" i="135" s="1"/>
  <c r="AA213" i="135" a="1"/>
  <c r="AA213" i="135" s="1"/>
  <c r="W213" i="135" a="1"/>
  <c r="W213" i="135" s="1"/>
  <c r="Z213" i="135" a="1"/>
  <c r="Z213" i="135" s="1"/>
  <c r="AC213" i="135" a="1"/>
  <c r="AC213" i="135" s="1"/>
  <c r="AB213" i="135" a="1"/>
  <c r="AB213" i="135" s="1"/>
  <c r="O213" i="135" a="1"/>
  <c r="O213" i="135" s="1"/>
  <c r="R213" i="135" a="1"/>
  <c r="R213" i="135" s="1"/>
  <c r="U213" i="135" a="1"/>
  <c r="U213" i="135" s="1"/>
  <c r="T213" i="135" a="1"/>
  <c r="T213" i="135" s="1"/>
  <c r="K213" i="135" a="1"/>
  <c r="K213" i="135" s="1"/>
  <c r="N213" i="135" a="1"/>
  <c r="N213" i="135" s="1"/>
  <c r="Q213" i="135" a="1"/>
  <c r="Q213" i="135" s="1"/>
  <c r="P213" i="135" a="1"/>
  <c r="P213" i="135" s="1"/>
  <c r="AM213" i="135" a="1"/>
  <c r="AM213" i="135" s="1"/>
  <c r="G213" i="135" a="1"/>
  <c r="G213" i="135" s="1"/>
  <c r="J213" i="135" a="1"/>
  <c r="J213" i="135" s="1"/>
  <c r="M213" i="135" a="1"/>
  <c r="M213" i="135" s="1"/>
  <c r="L213" i="135" a="1"/>
  <c r="L213" i="135" s="1"/>
  <c r="AI213" i="135" a="1"/>
  <c r="AI213" i="135" s="1"/>
  <c r="AL213" i="135" a="1"/>
  <c r="AL213" i="135" s="1"/>
  <c r="F213" i="135" a="1"/>
  <c r="F213" i="135" s="1"/>
  <c r="I213" i="135" a="1"/>
  <c r="I213" i="135" s="1"/>
  <c r="H213" i="135" a="1"/>
  <c r="H213" i="135" s="1"/>
  <c r="AE213" i="135" a="1"/>
  <c r="AE213" i="135" s="1"/>
  <c r="AH213" i="135" a="1"/>
  <c r="AH213" i="135" s="1"/>
  <c r="AK213" i="135" a="1"/>
  <c r="AK213" i="135" s="1"/>
  <c r="AJ213" i="135" a="1"/>
  <c r="AJ213" i="135" s="1"/>
  <c r="AD213" i="135" a="1"/>
  <c r="AD213" i="135" s="1"/>
  <c r="AG213" i="135" a="1"/>
  <c r="AG213" i="135" s="1"/>
  <c r="AF213" i="135" a="1"/>
  <c r="AF213" i="135" s="1"/>
  <c r="S213" i="135" a="1"/>
  <c r="S213" i="135" s="1"/>
  <c r="V213" i="135" a="1"/>
  <c r="V213" i="135" s="1"/>
  <c r="Y213" i="135" a="1"/>
  <c r="Y213" i="135" s="1"/>
  <c r="X213" i="135" a="1"/>
  <c r="X213" i="135" s="1"/>
  <c r="E215" i="135" l="1" a="1"/>
  <c r="E215" i="135" s="1"/>
  <c r="D215" i="135" s="1"/>
  <c r="AA214" i="135" a="1"/>
  <c r="AA214" i="135" s="1"/>
  <c r="AC214" i="135" a="1"/>
  <c r="AC214" i="135" s="1"/>
  <c r="AB214" i="135" a="1"/>
  <c r="AB214" i="135" s="1"/>
  <c r="N214" i="135" a="1"/>
  <c r="N214" i="135" s="1"/>
  <c r="U214" i="135" a="1"/>
  <c r="U214" i="135" s="1"/>
  <c r="AL214" i="135" a="1"/>
  <c r="AL214" i="135" s="1"/>
  <c r="AM214" i="135" a="1"/>
  <c r="AM214" i="135" s="1"/>
  <c r="H214" i="135" a="1"/>
  <c r="H214" i="135" s="1"/>
  <c r="AG214" i="135" a="1"/>
  <c r="AG214" i="135" s="1"/>
  <c r="R214" i="135" a="1"/>
  <c r="R214" i="135" s="1"/>
  <c r="W214" i="135" a="1"/>
  <c r="W214" i="135" s="1"/>
  <c r="Y214" i="135" a="1"/>
  <c r="Y214" i="135" s="1"/>
  <c r="X214" i="135" a="1"/>
  <c r="X214" i="135" s="1"/>
  <c r="J214" i="135" a="1"/>
  <c r="J214" i="135" s="1"/>
  <c r="S214" i="135" a="1"/>
  <c r="S214" i="135" s="1"/>
  <c r="T214" i="135" a="1"/>
  <c r="T214" i="135" s="1"/>
  <c r="AH214" i="135" a="1"/>
  <c r="AH214" i="135" s="1"/>
  <c r="AK214" i="135" a="1"/>
  <c r="AK214" i="135" s="1"/>
  <c r="V214" i="135" a="1"/>
  <c r="V214" i="135" s="1"/>
  <c r="AE214" i="135" a="1"/>
  <c r="AE214" i="135" s="1"/>
  <c r="AF214" i="135" a="1"/>
  <c r="AF214" i="135" s="1"/>
  <c r="O214" i="135" a="1"/>
  <c r="O214" i="135" s="1"/>
  <c r="Q214" i="135" a="1"/>
  <c r="Q214" i="135" s="1"/>
  <c r="P214" i="135" a="1"/>
  <c r="P214" i="135" s="1"/>
  <c r="F214" i="135" a="1"/>
  <c r="F214" i="135" s="1"/>
  <c r="K214" i="135" a="1"/>
  <c r="K214" i="135" s="1"/>
  <c r="M214" i="135" a="1"/>
  <c r="M214" i="135" s="1"/>
  <c r="L214" i="135" a="1"/>
  <c r="L214" i="135" s="1"/>
  <c r="G214" i="135" a="1"/>
  <c r="G214" i="135" s="1"/>
  <c r="I214" i="135" a="1"/>
  <c r="I214" i="135" s="1"/>
  <c r="AD214" i="135" a="1"/>
  <c r="AD214" i="135" s="1"/>
  <c r="AI214" i="135" a="1"/>
  <c r="AI214" i="135" s="1"/>
  <c r="AJ214" i="135" a="1"/>
  <c r="AJ214" i="135" s="1"/>
  <c r="Z214" i="135" a="1"/>
  <c r="Z214" i="135" s="1"/>
  <c r="E216" i="135" l="1" a="1"/>
  <c r="E216" i="135" s="1"/>
  <c r="D216" i="135" s="1"/>
  <c r="X215" i="135" a="1"/>
  <c r="X215" i="135" s="1"/>
  <c r="AA215" i="135" a="1"/>
  <c r="AA215" i="135" s="1"/>
  <c r="AD215" i="135" a="1"/>
  <c r="AD215" i="135" s="1"/>
  <c r="AG215" i="135" a="1"/>
  <c r="AG215" i="135" s="1"/>
  <c r="S215" i="135" a="1"/>
  <c r="S215" i="135" s="1"/>
  <c r="Y215" i="135" a="1"/>
  <c r="Y215" i="135" s="1"/>
  <c r="AF215" i="135" a="1"/>
  <c r="AF215" i="135" s="1"/>
  <c r="F215" i="135" a="1"/>
  <c r="F215" i="135" s="1"/>
  <c r="T215" i="135" a="1"/>
  <c r="T215" i="135" s="1"/>
  <c r="W215" i="135" a="1"/>
  <c r="W215" i="135" s="1"/>
  <c r="Z215" i="135" a="1"/>
  <c r="Z215" i="135" s="1"/>
  <c r="AC215" i="135" a="1"/>
  <c r="AC215" i="135" s="1"/>
  <c r="P215" i="135" a="1"/>
  <c r="P215" i="135" s="1"/>
  <c r="V215" i="135" a="1"/>
  <c r="V215" i="135" s="1"/>
  <c r="AL215" i="135" a="1"/>
  <c r="AL215" i="135" s="1"/>
  <c r="L215" i="135" a="1"/>
  <c r="L215" i="135" s="1"/>
  <c r="O215" i="135" a="1"/>
  <c r="O215" i="135" s="1"/>
  <c r="R215" i="135" a="1"/>
  <c r="R215" i="135" s="1"/>
  <c r="U215" i="135" a="1"/>
  <c r="U215" i="135" s="1"/>
  <c r="H215" i="135" a="1"/>
  <c r="H215" i="135" s="1"/>
  <c r="K215" i="135" a="1"/>
  <c r="K215" i="135" s="1"/>
  <c r="N215" i="135" a="1"/>
  <c r="N215" i="135" s="1"/>
  <c r="Q215" i="135" a="1"/>
  <c r="Q215" i="135" s="1"/>
  <c r="AM215" i="135" a="1"/>
  <c r="AM215" i="135" s="1"/>
  <c r="J215" i="135" a="1"/>
  <c r="J215" i="135" s="1"/>
  <c r="M215" i="135" a="1"/>
  <c r="M215" i="135" s="1"/>
  <c r="AI215" i="135" a="1"/>
  <c r="AI215" i="135" s="1"/>
  <c r="I215" i="135" a="1"/>
  <c r="I215" i="135" s="1"/>
  <c r="AJ215" i="135" a="1"/>
  <c r="AJ215" i="135" s="1"/>
  <c r="G215" i="135" a="1"/>
  <c r="G215" i="135" s="1"/>
  <c r="AB215" i="135" a="1"/>
  <c r="AB215" i="135" s="1"/>
  <c r="AE215" i="135" a="1"/>
  <c r="AE215" i="135" s="1"/>
  <c r="AH215" i="135" a="1"/>
  <c r="AH215" i="135" s="1"/>
  <c r="AK215" i="135" a="1"/>
  <c r="AK215" i="135" s="1"/>
  <c r="E217" i="135" l="1" a="1"/>
  <c r="E217" i="135" s="1"/>
  <c r="D217" i="135" s="1"/>
  <c r="X216" i="135" a="1"/>
  <c r="X216" i="135" s="1"/>
  <c r="Z216" i="135" a="1"/>
  <c r="Z216" i="135" s="1"/>
  <c r="AC216" i="135" a="1"/>
  <c r="AC216" i="135" s="1"/>
  <c r="AM216" i="135" a="1"/>
  <c r="AM216" i="135" s="1"/>
  <c r="T216" i="135" a="1"/>
  <c r="T216" i="135" s="1"/>
  <c r="V216" i="135" a="1"/>
  <c r="V216" i="135" s="1"/>
  <c r="Y216" i="135" a="1"/>
  <c r="Y216" i="135" s="1"/>
  <c r="G216" i="135" a="1"/>
  <c r="G216" i="135" s="1"/>
  <c r="H216" i="135" a="1"/>
  <c r="H216" i="135" s="1"/>
  <c r="J216" i="135" a="1"/>
  <c r="J216" i="135" s="1"/>
  <c r="M216" i="135" a="1"/>
  <c r="M216" i="135" s="1"/>
  <c r="AA216" i="135" a="1"/>
  <c r="AA216" i="135" s="1"/>
  <c r="AJ216" i="135" a="1"/>
  <c r="AJ216" i="135" s="1"/>
  <c r="AL216" i="135" a="1"/>
  <c r="AL216" i="135" s="1"/>
  <c r="F216" i="135" a="1"/>
  <c r="F216" i="135" s="1"/>
  <c r="I216" i="135" a="1"/>
  <c r="I216" i="135" s="1"/>
  <c r="W216" i="135" a="1"/>
  <c r="W216" i="135" s="1"/>
  <c r="P216" i="135" a="1"/>
  <c r="P216" i="135" s="1"/>
  <c r="R216" i="135" a="1"/>
  <c r="R216" i="135" s="1"/>
  <c r="U216" i="135" a="1"/>
  <c r="U216" i="135" s="1"/>
  <c r="AI216" i="135" a="1"/>
  <c r="AI216" i="135" s="1"/>
  <c r="L216" i="135" a="1"/>
  <c r="L216" i="135" s="1"/>
  <c r="N216" i="135" a="1"/>
  <c r="N216" i="135" s="1"/>
  <c r="Q216" i="135" a="1"/>
  <c r="Q216" i="135" s="1"/>
  <c r="AE216" i="135" a="1"/>
  <c r="AE216" i="135" s="1"/>
  <c r="AD216" i="135" a="1"/>
  <c r="AD216" i="135" s="1"/>
  <c r="AF216" i="135" a="1"/>
  <c r="AF216" i="135" s="1"/>
  <c r="AH216" i="135" a="1"/>
  <c r="AH216" i="135" s="1"/>
  <c r="AK216" i="135" a="1"/>
  <c r="AK216" i="135" s="1"/>
  <c r="O216" i="135" a="1"/>
  <c r="O216" i="135" s="1"/>
  <c r="S216" i="135" a="1"/>
  <c r="S216" i="135" s="1"/>
  <c r="AB216" i="135" a="1"/>
  <c r="AB216" i="135" s="1"/>
  <c r="AG216" i="135" a="1"/>
  <c r="AG216" i="135" s="1"/>
  <c r="K216" i="135" a="1"/>
  <c r="K216" i="135" s="1"/>
  <c r="E218" i="135" l="1" a="1"/>
  <c r="E218" i="135" s="1"/>
  <c r="D218" i="135" s="1"/>
  <c r="Y217" i="135" a="1"/>
  <c r="Y217" i="135" s="1"/>
  <c r="X217" i="135" a="1"/>
  <c r="X217" i="135" s="1"/>
  <c r="AA217" i="135" a="1"/>
  <c r="AA217" i="135" s="1"/>
  <c r="AD217" i="135" a="1"/>
  <c r="AD217" i="135" s="1"/>
  <c r="F217" i="135" a="1"/>
  <c r="F217" i="135" s="1"/>
  <c r="U217" i="135" a="1"/>
  <c r="U217" i="135" s="1"/>
  <c r="T217" i="135" a="1"/>
  <c r="T217" i="135" s="1"/>
  <c r="W217" i="135" a="1"/>
  <c r="W217" i="135" s="1"/>
  <c r="Z217" i="135" a="1"/>
  <c r="Z217" i="135" s="1"/>
  <c r="Q217" i="135" a="1"/>
  <c r="Q217" i="135" s="1"/>
  <c r="P217" i="135" a="1"/>
  <c r="P217" i="135" s="1"/>
  <c r="S217" i="135" a="1"/>
  <c r="S217" i="135" s="1"/>
  <c r="V217" i="135" a="1"/>
  <c r="V217" i="135" s="1"/>
  <c r="M217" i="135" a="1"/>
  <c r="M217" i="135" s="1"/>
  <c r="L217" i="135" a="1"/>
  <c r="L217" i="135" s="1"/>
  <c r="O217" i="135" a="1"/>
  <c r="O217" i="135" s="1"/>
  <c r="R217" i="135" a="1"/>
  <c r="R217" i="135" s="1"/>
  <c r="AK217" i="135" a="1"/>
  <c r="AK217" i="135" s="1"/>
  <c r="AJ217" i="135" a="1"/>
  <c r="AJ217" i="135" s="1"/>
  <c r="AM217" i="135" a="1"/>
  <c r="AM217" i="135" s="1"/>
  <c r="G217" i="135" a="1"/>
  <c r="G217" i="135" s="1"/>
  <c r="J217" i="135" a="1"/>
  <c r="J217" i="135" s="1"/>
  <c r="AC217" i="135" a="1"/>
  <c r="AC217" i="135" s="1"/>
  <c r="AB217" i="135" a="1"/>
  <c r="AB217" i="135" s="1"/>
  <c r="AE217" i="135" a="1"/>
  <c r="AE217" i="135" s="1"/>
  <c r="AH217" i="135" a="1"/>
  <c r="AH217" i="135" s="1"/>
  <c r="I217" i="135" a="1"/>
  <c r="I217" i="135" s="1"/>
  <c r="H217" i="135" a="1"/>
  <c r="H217" i="135" s="1"/>
  <c r="K217" i="135" a="1"/>
  <c r="K217" i="135" s="1"/>
  <c r="N217" i="135" a="1"/>
  <c r="N217" i="135" s="1"/>
  <c r="AG217" i="135" a="1"/>
  <c r="AG217" i="135" s="1"/>
  <c r="AF217" i="135" a="1"/>
  <c r="AF217" i="135" s="1"/>
  <c r="AI217" i="135" a="1"/>
  <c r="AI217" i="135" s="1"/>
  <c r="AL217" i="135" a="1"/>
  <c r="AL217" i="135" s="1"/>
  <c r="E219" i="135" l="1" a="1"/>
  <c r="E219" i="135" s="1"/>
  <c r="D219" i="135" s="1"/>
  <c r="Y218" i="135" a="1"/>
  <c r="Y218" i="135" s="1"/>
  <c r="AA218" i="135" a="1"/>
  <c r="AA218" i="135" s="1"/>
  <c r="AD218" i="135" a="1"/>
  <c r="AD218" i="135" s="1"/>
  <c r="AJ218" i="135" a="1"/>
  <c r="AJ218" i="135" s="1"/>
  <c r="U218" i="135" a="1"/>
  <c r="U218" i="135" s="1"/>
  <c r="W218" i="135" a="1"/>
  <c r="W218" i="135" s="1"/>
  <c r="Z218" i="135" a="1"/>
  <c r="Z218" i="135" s="1"/>
  <c r="AF218" i="135" a="1"/>
  <c r="AF218" i="135" s="1"/>
  <c r="Q218" i="135" a="1"/>
  <c r="Q218" i="135" s="1"/>
  <c r="S218" i="135" a="1"/>
  <c r="S218" i="135" s="1"/>
  <c r="V218" i="135" a="1"/>
  <c r="V218" i="135" s="1"/>
  <c r="AB218" i="135" a="1"/>
  <c r="AB218" i="135" s="1"/>
  <c r="M218" i="135" a="1"/>
  <c r="M218" i="135" s="1"/>
  <c r="O218" i="135" a="1"/>
  <c r="O218" i="135" s="1"/>
  <c r="R218" i="135" a="1"/>
  <c r="R218" i="135" s="1"/>
  <c r="X218" i="135" a="1"/>
  <c r="X218" i="135" s="1"/>
  <c r="I218" i="135" a="1"/>
  <c r="I218" i="135" s="1"/>
  <c r="K218" i="135" a="1"/>
  <c r="K218" i="135" s="1"/>
  <c r="N218" i="135" a="1"/>
  <c r="N218" i="135" s="1"/>
  <c r="T218" i="135" a="1"/>
  <c r="T218" i="135" s="1"/>
  <c r="AK218" i="135" a="1"/>
  <c r="AK218" i="135" s="1"/>
  <c r="AM218" i="135" a="1"/>
  <c r="AM218" i="135" s="1"/>
  <c r="G218" i="135" a="1"/>
  <c r="G218" i="135" s="1"/>
  <c r="J218" i="135" a="1"/>
  <c r="J218" i="135" s="1"/>
  <c r="P218" i="135" a="1"/>
  <c r="P218" i="135" s="1"/>
  <c r="AG218" i="135" a="1"/>
  <c r="AG218" i="135" s="1"/>
  <c r="AI218" i="135" a="1"/>
  <c r="AI218" i="135" s="1"/>
  <c r="AL218" i="135" a="1"/>
  <c r="AL218" i="135" s="1"/>
  <c r="F218" i="135" a="1"/>
  <c r="F218" i="135" s="1"/>
  <c r="L218" i="135" a="1"/>
  <c r="L218" i="135" s="1"/>
  <c r="AC218" i="135" a="1"/>
  <c r="AC218" i="135" s="1"/>
  <c r="AE218" i="135" a="1"/>
  <c r="AE218" i="135" s="1"/>
  <c r="AH218" i="135" a="1"/>
  <c r="AH218" i="135" s="1"/>
  <c r="H218" i="135" a="1"/>
  <c r="H218" i="135" s="1"/>
  <c r="E220" i="135" l="1" a="1"/>
  <c r="E220" i="135" s="1"/>
  <c r="D220" i="135" s="1"/>
  <c r="Z219" i="135" a="1"/>
  <c r="Z219" i="135" s="1"/>
  <c r="AC219" i="135" a="1"/>
  <c r="AC219" i="135" s="1"/>
  <c r="AB219" i="135" a="1"/>
  <c r="AB219" i="135" s="1"/>
  <c r="AE219" i="135" a="1"/>
  <c r="AE219" i="135" s="1"/>
  <c r="Y219" i="135" a="1"/>
  <c r="Y219" i="135" s="1"/>
  <c r="AA219" i="135" a="1"/>
  <c r="AA219" i="135" s="1"/>
  <c r="R219" i="135" a="1"/>
  <c r="R219" i="135" s="1"/>
  <c r="U219" i="135" a="1"/>
  <c r="U219" i="135" s="1"/>
  <c r="T219" i="135" a="1"/>
  <c r="T219" i="135" s="1"/>
  <c r="W219" i="135" a="1"/>
  <c r="W219" i="135" s="1"/>
  <c r="V219" i="135" a="1"/>
  <c r="V219" i="135" s="1"/>
  <c r="X219" i="135" a="1"/>
  <c r="X219" i="135" s="1"/>
  <c r="J219" i="135" a="1"/>
  <c r="J219" i="135" s="1"/>
  <c r="M219" i="135" a="1"/>
  <c r="M219" i="135" s="1"/>
  <c r="L219" i="135" a="1"/>
  <c r="L219" i="135" s="1"/>
  <c r="O219" i="135" a="1"/>
  <c r="O219" i="135" s="1"/>
  <c r="AL219" i="135" a="1"/>
  <c r="AL219" i="135" s="1"/>
  <c r="F219" i="135" a="1"/>
  <c r="F219" i="135" s="1"/>
  <c r="I219" i="135" a="1"/>
  <c r="I219" i="135" s="1"/>
  <c r="H219" i="135" a="1"/>
  <c r="H219" i="135" s="1"/>
  <c r="K219" i="135" a="1"/>
  <c r="K219" i="135" s="1"/>
  <c r="N219" i="135" a="1"/>
  <c r="N219" i="135" s="1"/>
  <c r="Q219" i="135" a="1"/>
  <c r="Q219" i="135" s="1"/>
  <c r="P219" i="135" a="1"/>
  <c r="P219" i="135" s="1"/>
  <c r="S219" i="135" a="1"/>
  <c r="S219" i="135" s="1"/>
  <c r="AH219" i="135" a="1"/>
  <c r="AH219" i="135" s="1"/>
  <c r="AK219" i="135" a="1"/>
  <c r="AK219" i="135" s="1"/>
  <c r="AJ219" i="135" a="1"/>
  <c r="AJ219" i="135" s="1"/>
  <c r="AM219" i="135" a="1"/>
  <c r="AM219" i="135" s="1"/>
  <c r="G219" i="135" a="1"/>
  <c r="G219" i="135" s="1"/>
  <c r="AD219" i="135" a="1"/>
  <c r="AD219" i="135" s="1"/>
  <c r="AG219" i="135" a="1"/>
  <c r="AG219" i="135" s="1"/>
  <c r="AF219" i="135" a="1"/>
  <c r="AF219" i="135" s="1"/>
  <c r="AI219" i="135" a="1"/>
  <c r="AI219" i="135" s="1"/>
  <c r="E221" i="135" l="1" a="1"/>
  <c r="E221" i="135" s="1"/>
  <c r="D221" i="135" s="1"/>
  <c r="Z220" i="135" a="1"/>
  <c r="Z220" i="135" s="1"/>
  <c r="AB220" i="135" a="1"/>
  <c r="AB220" i="135" s="1"/>
  <c r="AE220" i="135" a="1"/>
  <c r="AE220" i="135" s="1"/>
  <c r="AC220" i="135" a="1"/>
  <c r="AC220" i="135" s="1"/>
  <c r="V220" i="135" a="1"/>
  <c r="V220" i="135" s="1"/>
  <c r="X220" i="135" a="1"/>
  <c r="X220" i="135" s="1"/>
  <c r="AA220" i="135" a="1"/>
  <c r="AA220" i="135" s="1"/>
  <c r="Y220" i="135" a="1"/>
  <c r="Y220" i="135" s="1"/>
  <c r="R220" i="135" a="1"/>
  <c r="R220" i="135" s="1"/>
  <c r="T220" i="135" a="1"/>
  <c r="T220" i="135" s="1"/>
  <c r="W220" i="135" a="1"/>
  <c r="W220" i="135" s="1"/>
  <c r="U220" i="135" a="1"/>
  <c r="U220" i="135" s="1"/>
  <c r="AJ220" i="135" a="1"/>
  <c r="AJ220" i="135" s="1"/>
  <c r="AM220" i="135" a="1"/>
  <c r="AM220" i="135" s="1"/>
  <c r="G220" i="135" a="1"/>
  <c r="G220" i="135" s="1"/>
  <c r="AD220" i="135" a="1"/>
  <c r="AD220" i="135" s="1"/>
  <c r="AF220" i="135" a="1"/>
  <c r="AF220" i="135" s="1"/>
  <c r="AI220" i="135" a="1"/>
  <c r="AI220" i="135" s="1"/>
  <c r="AG220" i="135" a="1"/>
  <c r="AG220" i="135" s="1"/>
  <c r="AH220" i="135" a="1"/>
  <c r="AH220" i="135" s="1"/>
  <c r="N220" i="135" a="1"/>
  <c r="N220" i="135" s="1"/>
  <c r="P220" i="135" a="1"/>
  <c r="P220" i="135" s="1"/>
  <c r="S220" i="135" a="1"/>
  <c r="S220" i="135" s="1"/>
  <c r="Q220" i="135" a="1"/>
  <c r="Q220" i="135" s="1"/>
  <c r="J220" i="135" a="1"/>
  <c r="J220" i="135" s="1"/>
  <c r="L220" i="135" a="1"/>
  <c r="L220" i="135" s="1"/>
  <c r="O220" i="135" a="1"/>
  <c r="O220" i="135" s="1"/>
  <c r="M220" i="135" a="1"/>
  <c r="M220" i="135" s="1"/>
  <c r="AL220" i="135" a="1"/>
  <c r="AL220" i="135" s="1"/>
  <c r="F220" i="135" a="1"/>
  <c r="F220" i="135" s="1"/>
  <c r="H220" i="135" a="1"/>
  <c r="H220" i="135" s="1"/>
  <c r="K220" i="135" a="1"/>
  <c r="K220" i="135" s="1"/>
  <c r="I220" i="135" a="1"/>
  <c r="I220" i="135" s="1"/>
  <c r="AK220" i="135" a="1"/>
  <c r="AK220" i="135" s="1"/>
  <c r="E222" i="135" l="1" a="1"/>
  <c r="E222" i="135" s="1"/>
  <c r="D222" i="135" s="1"/>
  <c r="AA221" i="135" a="1"/>
  <c r="AA221" i="135" s="1"/>
  <c r="AD221" i="135" a="1"/>
  <c r="AD221" i="135" s="1"/>
  <c r="AG221" i="135" a="1"/>
  <c r="AG221" i="135" s="1"/>
  <c r="AF221" i="135" a="1"/>
  <c r="AF221" i="135" s="1"/>
  <c r="AI221" i="135" a="1"/>
  <c r="AI221" i="135" s="1"/>
  <c r="AL221" i="135" a="1"/>
  <c r="AL221" i="135" s="1"/>
  <c r="H221" i="135" a="1"/>
  <c r="H221" i="135" s="1"/>
  <c r="W221" i="135" a="1"/>
  <c r="W221" i="135" s="1"/>
  <c r="Z221" i="135" a="1"/>
  <c r="Z221" i="135" s="1"/>
  <c r="AC221" i="135" a="1"/>
  <c r="AC221" i="135" s="1"/>
  <c r="AB221" i="135" a="1"/>
  <c r="AB221" i="135" s="1"/>
  <c r="S221" i="135" a="1"/>
  <c r="S221" i="135" s="1"/>
  <c r="V221" i="135" a="1"/>
  <c r="V221" i="135" s="1"/>
  <c r="Y221" i="135" a="1"/>
  <c r="Y221" i="135" s="1"/>
  <c r="X221" i="135" a="1"/>
  <c r="X221" i="135" s="1"/>
  <c r="G221" i="135" a="1"/>
  <c r="G221" i="135" s="1"/>
  <c r="M221" i="135" a="1"/>
  <c r="M221" i="135" s="1"/>
  <c r="I221" i="135" a="1"/>
  <c r="I221" i="135" s="1"/>
  <c r="O221" i="135" a="1"/>
  <c r="O221" i="135" s="1"/>
  <c r="R221" i="135" a="1"/>
  <c r="R221" i="135" s="1"/>
  <c r="U221" i="135" a="1"/>
  <c r="U221" i="135" s="1"/>
  <c r="T221" i="135" a="1"/>
  <c r="T221" i="135" s="1"/>
  <c r="K221" i="135" a="1"/>
  <c r="K221" i="135" s="1"/>
  <c r="N221" i="135" a="1"/>
  <c r="N221" i="135" s="1"/>
  <c r="Q221" i="135" a="1"/>
  <c r="Q221" i="135" s="1"/>
  <c r="P221" i="135" a="1"/>
  <c r="P221" i="135" s="1"/>
  <c r="AM221" i="135" a="1"/>
  <c r="AM221" i="135" s="1"/>
  <c r="J221" i="135" a="1"/>
  <c r="J221" i="135" s="1"/>
  <c r="L221" i="135" a="1"/>
  <c r="L221" i="135" s="1"/>
  <c r="F221" i="135" a="1"/>
  <c r="F221" i="135" s="1"/>
  <c r="AE221" i="135" a="1"/>
  <c r="AE221" i="135" s="1"/>
  <c r="AH221" i="135" a="1"/>
  <c r="AH221" i="135" s="1"/>
  <c r="AK221" i="135" a="1"/>
  <c r="AK221" i="135" s="1"/>
  <c r="AJ221" i="135" a="1"/>
  <c r="AJ221" i="135" s="1"/>
  <c r="E223" i="135" l="1" a="1"/>
  <c r="E223" i="135" s="1"/>
  <c r="D223" i="135" s="1"/>
  <c r="AA222" i="135" a="1"/>
  <c r="AA222" i="135" s="1"/>
  <c r="AC222" i="135" a="1"/>
  <c r="AC222" i="135" s="1"/>
  <c r="AB222" i="135" a="1"/>
  <c r="AB222" i="135" s="1"/>
  <c r="R222" i="135" a="1"/>
  <c r="R222" i="135" s="1"/>
  <c r="AI222" i="135" a="1"/>
  <c r="AI222" i="135" s="1"/>
  <c r="AK222" i="135" a="1"/>
  <c r="AK222" i="135" s="1"/>
  <c r="AJ222" i="135" a="1"/>
  <c r="AJ222" i="135" s="1"/>
  <c r="AD222" i="135" a="1"/>
  <c r="AD222" i="135" s="1"/>
  <c r="AE222" i="135" a="1"/>
  <c r="AE222" i="135" s="1"/>
  <c r="AF222" i="135" a="1"/>
  <c r="AF222" i="135" s="1"/>
  <c r="W222" i="135" a="1"/>
  <c r="W222" i="135" s="1"/>
  <c r="Y222" i="135" a="1"/>
  <c r="Y222" i="135" s="1"/>
  <c r="X222" i="135" a="1"/>
  <c r="X222" i="135" s="1"/>
  <c r="N222" i="135" a="1"/>
  <c r="N222" i="135" s="1"/>
  <c r="S222" i="135" a="1"/>
  <c r="S222" i="135" s="1"/>
  <c r="U222" i="135" a="1"/>
  <c r="U222" i="135" s="1"/>
  <c r="T222" i="135" a="1"/>
  <c r="T222" i="135" s="1"/>
  <c r="J222" i="135" a="1"/>
  <c r="J222" i="135" s="1"/>
  <c r="O222" i="135" a="1"/>
  <c r="O222" i="135" s="1"/>
  <c r="Q222" i="135" a="1"/>
  <c r="Q222" i="135" s="1"/>
  <c r="AL222" i="135" a="1"/>
  <c r="AL222" i="135" s="1"/>
  <c r="K222" i="135" a="1"/>
  <c r="K222" i="135" s="1"/>
  <c r="M222" i="135" a="1"/>
  <c r="M222" i="135" s="1"/>
  <c r="L222" i="135" a="1"/>
  <c r="L222" i="135" s="1"/>
  <c r="F222" i="135" a="1"/>
  <c r="F222" i="135" s="1"/>
  <c r="Z222" i="135" a="1"/>
  <c r="Z222" i="135" s="1"/>
  <c r="P222" i="135" a="1"/>
  <c r="P222" i="135" s="1"/>
  <c r="AM222" i="135" a="1"/>
  <c r="AM222" i="135" s="1"/>
  <c r="G222" i="135" a="1"/>
  <c r="G222" i="135" s="1"/>
  <c r="I222" i="135" a="1"/>
  <c r="I222" i="135" s="1"/>
  <c r="H222" i="135" a="1"/>
  <c r="H222" i="135" s="1"/>
  <c r="AH222" i="135" a="1"/>
  <c r="AH222" i="135" s="1"/>
  <c r="AG222" i="135" a="1"/>
  <c r="AG222" i="135" s="1"/>
  <c r="V222" i="135" a="1"/>
  <c r="V222" i="135" s="1"/>
  <c r="E224" i="135" l="1" a="1"/>
  <c r="E224" i="135" s="1"/>
  <c r="D224" i="135" s="1"/>
  <c r="X223" i="135" a="1"/>
  <c r="X223" i="135" s="1"/>
  <c r="AA223" i="135" a="1"/>
  <c r="AA223" i="135" s="1"/>
  <c r="AD223" i="135" a="1"/>
  <c r="AD223" i="135" s="1"/>
  <c r="AG223" i="135" a="1"/>
  <c r="AG223" i="135" s="1"/>
  <c r="S223" i="135" a="1"/>
  <c r="S223" i="135" s="1"/>
  <c r="Y223" i="135" a="1"/>
  <c r="Y223" i="135" s="1"/>
  <c r="L223" i="135" a="1"/>
  <c r="L223" i="135" s="1"/>
  <c r="O223" i="135" a="1"/>
  <c r="O223" i="135" s="1"/>
  <c r="R223" i="135" a="1"/>
  <c r="R223" i="135" s="1"/>
  <c r="U223" i="135" a="1"/>
  <c r="U223" i="135" s="1"/>
  <c r="T223" i="135" a="1"/>
  <c r="T223" i="135" s="1"/>
  <c r="W223" i="135" a="1"/>
  <c r="W223" i="135" s="1"/>
  <c r="Z223" i="135" a="1"/>
  <c r="Z223" i="135" s="1"/>
  <c r="AC223" i="135" a="1"/>
  <c r="AC223" i="135" s="1"/>
  <c r="P223" i="135" a="1"/>
  <c r="P223" i="135" s="1"/>
  <c r="V223" i="135" a="1"/>
  <c r="V223" i="135" s="1"/>
  <c r="H223" i="135" a="1"/>
  <c r="H223" i="135" s="1"/>
  <c r="K223" i="135" a="1"/>
  <c r="K223" i="135" s="1"/>
  <c r="N223" i="135" a="1"/>
  <c r="N223" i="135" s="1"/>
  <c r="Q223" i="135" a="1"/>
  <c r="Q223" i="135" s="1"/>
  <c r="AB223" i="135" a="1"/>
  <c r="AB223" i="135" s="1"/>
  <c r="AE223" i="135" a="1"/>
  <c r="AE223" i="135" s="1"/>
  <c r="AH223" i="135" a="1"/>
  <c r="AH223" i="135" s="1"/>
  <c r="AK223" i="135" a="1"/>
  <c r="AK223" i="135" s="1"/>
  <c r="AF223" i="135" a="1"/>
  <c r="AF223" i="135" s="1"/>
  <c r="AI223" i="135" a="1"/>
  <c r="AI223" i="135" s="1"/>
  <c r="AL223" i="135" a="1"/>
  <c r="AL223" i="135" s="1"/>
  <c r="F223" i="135" a="1"/>
  <c r="F223" i="135" s="1"/>
  <c r="I223" i="135" a="1"/>
  <c r="I223" i="135" s="1"/>
  <c r="AJ223" i="135" a="1"/>
  <c r="AJ223" i="135" s="1"/>
  <c r="AM223" i="135" a="1"/>
  <c r="AM223" i="135" s="1"/>
  <c r="G223" i="135" a="1"/>
  <c r="G223" i="135" s="1"/>
  <c r="J223" i="135" a="1"/>
  <c r="J223" i="135" s="1"/>
  <c r="M223" i="135" a="1"/>
  <c r="M223" i="135" s="1"/>
  <c r="E225" i="135" l="1" a="1"/>
  <c r="E225" i="135" s="1"/>
  <c r="D225" i="135" s="1"/>
  <c r="X224" i="135" a="1"/>
  <c r="X224" i="135" s="1"/>
  <c r="Z224" i="135" a="1"/>
  <c r="Z224" i="135" s="1"/>
  <c r="AC224" i="135" a="1"/>
  <c r="AC224" i="135" s="1"/>
  <c r="K224" i="135" a="1"/>
  <c r="K224" i="135" s="1"/>
  <c r="AD224" i="135" a="1"/>
  <c r="AD224" i="135" s="1"/>
  <c r="T224" i="135" a="1"/>
  <c r="T224" i="135" s="1"/>
  <c r="V224" i="135" a="1"/>
  <c r="V224" i="135" s="1"/>
  <c r="Y224" i="135" a="1"/>
  <c r="Y224" i="135" s="1"/>
  <c r="AM224" i="135" a="1"/>
  <c r="AM224" i="135" s="1"/>
  <c r="P224" i="135" a="1"/>
  <c r="P224" i="135" s="1"/>
  <c r="R224" i="135" a="1"/>
  <c r="R224" i="135" s="1"/>
  <c r="U224" i="135" a="1"/>
  <c r="U224" i="135" s="1"/>
  <c r="G224" i="135" a="1"/>
  <c r="G224" i="135" s="1"/>
  <c r="AJ224" i="135" a="1"/>
  <c r="AJ224" i="135" s="1"/>
  <c r="F224" i="135" a="1"/>
  <c r="F224" i="135" s="1"/>
  <c r="AA224" i="135" a="1"/>
  <c r="AA224" i="135" s="1"/>
  <c r="AB224" i="135" a="1"/>
  <c r="AB224" i="135" s="1"/>
  <c r="AG224" i="135" a="1"/>
  <c r="AG224" i="135" s="1"/>
  <c r="O224" i="135" a="1"/>
  <c r="O224" i="135" s="1"/>
  <c r="L224" i="135" a="1"/>
  <c r="L224" i="135" s="1"/>
  <c r="N224" i="135" a="1"/>
  <c r="N224" i="135" s="1"/>
  <c r="Q224" i="135" a="1"/>
  <c r="Q224" i="135" s="1"/>
  <c r="AI224" i="135" a="1"/>
  <c r="AI224" i="135" s="1"/>
  <c r="H224" i="135" a="1"/>
  <c r="H224" i="135" s="1"/>
  <c r="J224" i="135" a="1"/>
  <c r="J224" i="135" s="1"/>
  <c r="M224" i="135" a="1"/>
  <c r="M224" i="135" s="1"/>
  <c r="AE224" i="135" a="1"/>
  <c r="AE224" i="135" s="1"/>
  <c r="AL224" i="135" a="1"/>
  <c r="AL224" i="135" s="1"/>
  <c r="I224" i="135" a="1"/>
  <c r="I224" i="135" s="1"/>
  <c r="AF224" i="135" a="1"/>
  <c r="AF224" i="135" s="1"/>
  <c r="AH224" i="135" a="1"/>
  <c r="AH224" i="135" s="1"/>
  <c r="AK224" i="135" a="1"/>
  <c r="AK224" i="135" s="1"/>
  <c r="S224" i="135" a="1"/>
  <c r="S224" i="135" s="1"/>
  <c r="W224" i="135" a="1"/>
  <c r="W224" i="135" s="1"/>
  <c r="E226" i="135" l="1" a="1"/>
  <c r="E226" i="135" s="1"/>
  <c r="D226" i="135" s="1"/>
  <c r="U225" i="135" a="1"/>
  <c r="U225" i="135" s="1"/>
  <c r="T225" i="135" a="1"/>
  <c r="T225" i="135" s="1"/>
  <c r="W225" i="135" a="1"/>
  <c r="W225" i="135" s="1"/>
  <c r="Z225" i="135" a="1"/>
  <c r="Z225" i="135" s="1"/>
  <c r="Q225" i="135" a="1"/>
  <c r="Q225" i="135" s="1"/>
  <c r="P225" i="135" a="1"/>
  <c r="P225" i="135" s="1"/>
  <c r="S225" i="135" a="1"/>
  <c r="S225" i="135" s="1"/>
  <c r="V225" i="135" a="1"/>
  <c r="V225" i="135" s="1"/>
  <c r="AC225" i="135" a="1"/>
  <c r="AC225" i="135" s="1"/>
  <c r="AB225" i="135" a="1"/>
  <c r="AB225" i="135" s="1"/>
  <c r="AE225" i="135" a="1"/>
  <c r="AE225" i="135" s="1"/>
  <c r="AH225" i="135" a="1"/>
  <c r="AH225" i="135" s="1"/>
  <c r="M225" i="135" a="1"/>
  <c r="M225" i="135" s="1"/>
  <c r="L225" i="135" a="1"/>
  <c r="L225" i="135" s="1"/>
  <c r="O225" i="135" a="1"/>
  <c r="O225" i="135" s="1"/>
  <c r="R225" i="135" a="1"/>
  <c r="R225" i="135" s="1"/>
  <c r="I225" i="135" a="1"/>
  <c r="I225" i="135" s="1"/>
  <c r="H225" i="135" a="1"/>
  <c r="H225" i="135" s="1"/>
  <c r="K225" i="135" a="1"/>
  <c r="K225" i="135" s="1"/>
  <c r="N225" i="135" a="1"/>
  <c r="N225" i="135" s="1"/>
  <c r="F225" i="135" a="1"/>
  <c r="F225" i="135" s="1"/>
  <c r="Y225" i="135" a="1"/>
  <c r="Y225" i="135" s="1"/>
  <c r="X225" i="135" a="1"/>
  <c r="X225" i="135" s="1"/>
  <c r="AA225" i="135" a="1"/>
  <c r="AA225" i="135" s="1"/>
  <c r="AD225" i="135" a="1"/>
  <c r="AD225" i="135" s="1"/>
  <c r="AK225" i="135" a="1"/>
  <c r="AK225" i="135" s="1"/>
  <c r="AJ225" i="135" a="1"/>
  <c r="AJ225" i="135" s="1"/>
  <c r="AM225" i="135" a="1"/>
  <c r="AM225" i="135" s="1"/>
  <c r="G225" i="135" a="1"/>
  <c r="G225" i="135" s="1"/>
  <c r="J225" i="135" a="1"/>
  <c r="J225" i="135" s="1"/>
  <c r="AG225" i="135" a="1"/>
  <c r="AG225" i="135" s="1"/>
  <c r="AF225" i="135" a="1"/>
  <c r="AF225" i="135" s="1"/>
  <c r="AI225" i="135" a="1"/>
  <c r="AI225" i="135" s="1"/>
  <c r="AL225" i="135" a="1"/>
  <c r="AL225" i="135" s="1"/>
  <c r="E227" i="135" l="1" a="1"/>
  <c r="E227" i="135" s="1"/>
  <c r="D227" i="135" s="1"/>
  <c r="Y226" i="135" a="1"/>
  <c r="Y226" i="135" s="1"/>
  <c r="AA226" i="135" a="1"/>
  <c r="AA226" i="135" s="1"/>
  <c r="AD226" i="135" a="1"/>
  <c r="AD226" i="135" s="1"/>
  <c r="H226" i="135" a="1"/>
  <c r="H226" i="135" s="1"/>
  <c r="S226" i="135" a="1"/>
  <c r="S226" i="135" s="1"/>
  <c r="AF226" i="135" a="1"/>
  <c r="AF226" i="135" s="1"/>
  <c r="M226" i="135" a="1"/>
  <c r="M226" i="135" s="1"/>
  <c r="O226" i="135" a="1"/>
  <c r="O226" i="135" s="1"/>
  <c r="AB226" i="135" a="1"/>
  <c r="AB226" i="135" s="1"/>
  <c r="U226" i="135" a="1"/>
  <c r="U226" i="135" s="1"/>
  <c r="W226" i="135" a="1"/>
  <c r="W226" i="135" s="1"/>
  <c r="Z226" i="135" a="1"/>
  <c r="Z226" i="135" s="1"/>
  <c r="AJ226" i="135" a="1"/>
  <c r="AJ226" i="135" s="1"/>
  <c r="Q226" i="135" a="1"/>
  <c r="Q226" i="135" s="1"/>
  <c r="V226" i="135" a="1"/>
  <c r="V226" i="135" s="1"/>
  <c r="R226" i="135" a="1"/>
  <c r="R226" i="135" s="1"/>
  <c r="I226" i="135" a="1"/>
  <c r="I226" i="135" s="1"/>
  <c r="K226" i="135" a="1"/>
  <c r="K226" i="135" s="1"/>
  <c r="N226" i="135" a="1"/>
  <c r="N226" i="135" s="1"/>
  <c r="X226" i="135" a="1"/>
  <c r="X226" i="135" s="1"/>
  <c r="AE226" i="135" a="1"/>
  <c r="AE226" i="135" s="1"/>
  <c r="AG226" i="135" a="1"/>
  <c r="AG226" i="135" s="1"/>
  <c r="AI226" i="135" a="1"/>
  <c r="AI226" i="135" s="1"/>
  <c r="AL226" i="135" a="1"/>
  <c r="AL226" i="135" s="1"/>
  <c r="F226" i="135" a="1"/>
  <c r="F226" i="135" s="1"/>
  <c r="P226" i="135" a="1"/>
  <c r="P226" i="135" s="1"/>
  <c r="AK226" i="135" a="1"/>
  <c r="AK226" i="135" s="1"/>
  <c r="AM226" i="135" a="1"/>
  <c r="AM226" i="135" s="1"/>
  <c r="G226" i="135" a="1"/>
  <c r="G226" i="135" s="1"/>
  <c r="J226" i="135" a="1"/>
  <c r="J226" i="135" s="1"/>
  <c r="T226" i="135" a="1"/>
  <c r="T226" i="135" s="1"/>
  <c r="AC226" i="135" a="1"/>
  <c r="AC226" i="135" s="1"/>
  <c r="AH226" i="135" a="1"/>
  <c r="AH226" i="135" s="1"/>
  <c r="L226" i="135" a="1"/>
  <c r="L226" i="135" s="1"/>
  <c r="E228" i="135" l="1" a="1"/>
  <c r="E228" i="135" s="1"/>
  <c r="D228" i="135" s="1"/>
  <c r="Z227" i="135" a="1"/>
  <c r="Z227" i="135" s="1"/>
  <c r="AC227" i="135" a="1"/>
  <c r="AC227" i="135" s="1"/>
  <c r="AB227" i="135" a="1"/>
  <c r="AB227" i="135" s="1"/>
  <c r="AE227" i="135" a="1"/>
  <c r="AE227" i="135" s="1"/>
  <c r="AF227" i="135" a="1"/>
  <c r="AF227" i="135" s="1"/>
  <c r="V227" i="135" a="1"/>
  <c r="V227" i="135" s="1"/>
  <c r="Y227" i="135" a="1"/>
  <c r="Y227" i="135" s="1"/>
  <c r="X227" i="135" a="1"/>
  <c r="X227" i="135" s="1"/>
  <c r="AA227" i="135" a="1"/>
  <c r="AA227" i="135" s="1"/>
  <c r="R227" i="135" a="1"/>
  <c r="R227" i="135" s="1"/>
  <c r="U227" i="135" a="1"/>
  <c r="U227" i="135" s="1"/>
  <c r="T227" i="135" a="1"/>
  <c r="T227" i="135" s="1"/>
  <c r="W227" i="135" a="1"/>
  <c r="W227" i="135" s="1"/>
  <c r="J227" i="135" a="1"/>
  <c r="J227" i="135" s="1"/>
  <c r="M227" i="135" a="1"/>
  <c r="M227" i="135" s="1"/>
  <c r="L227" i="135" a="1"/>
  <c r="L227" i="135" s="1"/>
  <c r="O227" i="135" a="1"/>
  <c r="O227" i="135" s="1"/>
  <c r="AL227" i="135" a="1"/>
  <c r="AL227" i="135" s="1"/>
  <c r="F227" i="135" a="1"/>
  <c r="F227" i="135" s="1"/>
  <c r="I227" i="135" a="1"/>
  <c r="I227" i="135" s="1"/>
  <c r="H227" i="135" a="1"/>
  <c r="H227" i="135" s="1"/>
  <c r="K227" i="135" a="1"/>
  <c r="K227" i="135" s="1"/>
  <c r="AD227" i="135" a="1"/>
  <c r="AD227" i="135" s="1"/>
  <c r="AG227" i="135" a="1"/>
  <c r="AG227" i="135" s="1"/>
  <c r="AI227" i="135" a="1"/>
  <c r="AI227" i="135" s="1"/>
  <c r="N227" i="135" a="1"/>
  <c r="N227" i="135" s="1"/>
  <c r="Q227" i="135" a="1"/>
  <c r="Q227" i="135" s="1"/>
  <c r="P227" i="135" a="1"/>
  <c r="P227" i="135" s="1"/>
  <c r="S227" i="135" a="1"/>
  <c r="S227" i="135" s="1"/>
  <c r="AH227" i="135" a="1"/>
  <c r="AH227" i="135" s="1"/>
  <c r="AK227" i="135" a="1"/>
  <c r="AK227" i="135" s="1"/>
  <c r="AM227" i="135" a="1"/>
  <c r="AM227" i="135" s="1"/>
  <c r="G227" i="135" a="1"/>
  <c r="G227" i="135" s="1"/>
  <c r="AJ227" i="135" a="1"/>
  <c r="AJ227" i="135" s="1"/>
  <c r="E229" i="135" l="1" a="1"/>
  <c r="E229" i="135" s="1"/>
  <c r="D229" i="135" s="1"/>
  <c r="V228" i="135" a="1"/>
  <c r="V228" i="135" s="1"/>
  <c r="Y228" i="135" a="1"/>
  <c r="Y228" i="135" s="1"/>
  <c r="X228" i="135" a="1"/>
  <c r="X228" i="135" s="1"/>
  <c r="AA228" i="135" a="1"/>
  <c r="AA228" i="135" s="1"/>
  <c r="AC228" i="135" a="1"/>
  <c r="AC228" i="135" s="1"/>
  <c r="R228" i="135" a="1"/>
  <c r="R228" i="135" s="1"/>
  <c r="U228" i="135" a="1"/>
  <c r="U228" i="135" s="1"/>
  <c r="T228" i="135" a="1"/>
  <c r="T228" i="135" s="1"/>
  <c r="W228" i="135" a="1"/>
  <c r="W228" i="135" s="1"/>
  <c r="AL228" i="135" a="1"/>
  <c r="AL228" i="135" s="1"/>
  <c r="F228" i="135" a="1"/>
  <c r="F228" i="135" s="1"/>
  <c r="I228" i="135" a="1"/>
  <c r="I228" i="135" s="1"/>
  <c r="H228" i="135" a="1"/>
  <c r="H228" i="135" s="1"/>
  <c r="K228" i="135" a="1"/>
  <c r="K228" i="135" s="1"/>
  <c r="N228" i="135" a="1"/>
  <c r="N228" i="135" s="1"/>
  <c r="Q228" i="135" a="1"/>
  <c r="Q228" i="135" s="1"/>
  <c r="P228" i="135" a="1"/>
  <c r="P228" i="135" s="1"/>
  <c r="S228" i="135" a="1"/>
  <c r="S228" i="135" s="1"/>
  <c r="J228" i="135" a="1"/>
  <c r="J228" i="135" s="1"/>
  <c r="M228" i="135" a="1"/>
  <c r="M228" i="135" s="1"/>
  <c r="L228" i="135" a="1"/>
  <c r="L228" i="135" s="1"/>
  <c r="O228" i="135" a="1"/>
  <c r="O228" i="135" s="1"/>
  <c r="AH228" i="135" a="1"/>
  <c r="AH228" i="135" s="1"/>
  <c r="AK228" i="135" a="1"/>
  <c r="AK228" i="135" s="1"/>
  <c r="AJ228" i="135" a="1"/>
  <c r="AJ228" i="135" s="1"/>
  <c r="AM228" i="135" a="1"/>
  <c r="AM228" i="135" s="1"/>
  <c r="G228" i="135" a="1"/>
  <c r="G228" i="135" s="1"/>
  <c r="AD228" i="135" a="1"/>
  <c r="AD228" i="135" s="1"/>
  <c r="AG228" i="135" a="1"/>
  <c r="AG228" i="135" s="1"/>
  <c r="AF228" i="135" a="1"/>
  <c r="AF228" i="135" s="1"/>
  <c r="AI228" i="135" a="1"/>
  <c r="AI228" i="135" s="1"/>
  <c r="Z228" i="135" a="1"/>
  <c r="Z228" i="135" s="1"/>
  <c r="AB228" i="135" a="1"/>
  <c r="AB228" i="135" s="1"/>
  <c r="AE228" i="135" a="1"/>
  <c r="AE228" i="135" s="1"/>
  <c r="E230" i="135" l="1" a="1"/>
  <c r="E230" i="135" s="1"/>
  <c r="D230" i="135" s="1"/>
  <c r="AA229" i="135" a="1"/>
  <c r="AA229" i="135" s="1"/>
  <c r="AD229" i="135" a="1"/>
  <c r="AD229" i="135" s="1"/>
  <c r="AG229" i="135" a="1"/>
  <c r="AG229" i="135" s="1"/>
  <c r="AF229" i="135" a="1"/>
  <c r="AF229" i="135" s="1"/>
  <c r="S229" i="135" a="1"/>
  <c r="S229" i="135" s="1"/>
  <c r="V229" i="135" a="1"/>
  <c r="V229" i="135" s="1"/>
  <c r="Y229" i="135" a="1"/>
  <c r="Y229" i="135" s="1"/>
  <c r="X229" i="135" a="1"/>
  <c r="X229" i="135" s="1"/>
  <c r="O229" i="135" a="1"/>
  <c r="O229" i="135" s="1"/>
  <c r="R229" i="135" a="1"/>
  <c r="R229" i="135" s="1"/>
  <c r="U229" i="135" a="1"/>
  <c r="U229" i="135" s="1"/>
  <c r="T229" i="135" a="1"/>
  <c r="T229" i="135" s="1"/>
  <c r="K229" i="135" a="1"/>
  <c r="K229" i="135" s="1"/>
  <c r="N229" i="135" a="1"/>
  <c r="N229" i="135" s="1"/>
  <c r="Q229" i="135" a="1"/>
  <c r="Q229" i="135" s="1"/>
  <c r="P229" i="135" a="1"/>
  <c r="P229" i="135" s="1"/>
  <c r="AI229" i="135" a="1"/>
  <c r="AI229" i="135" s="1"/>
  <c r="AL229" i="135" a="1"/>
  <c r="AL229" i="135" s="1"/>
  <c r="F229" i="135" a="1"/>
  <c r="F229" i="135" s="1"/>
  <c r="I229" i="135" a="1"/>
  <c r="I229" i="135" s="1"/>
  <c r="H229" i="135" a="1"/>
  <c r="H229" i="135" s="1"/>
  <c r="W229" i="135" a="1"/>
  <c r="W229" i="135" s="1"/>
  <c r="Z229" i="135" a="1"/>
  <c r="Z229" i="135" s="1"/>
  <c r="AC229" i="135" a="1"/>
  <c r="AC229" i="135" s="1"/>
  <c r="AB229" i="135" a="1"/>
  <c r="AB229" i="135" s="1"/>
  <c r="AE229" i="135" a="1"/>
  <c r="AE229" i="135" s="1"/>
  <c r="AH229" i="135" a="1"/>
  <c r="AH229" i="135" s="1"/>
  <c r="AK229" i="135" a="1"/>
  <c r="AK229" i="135" s="1"/>
  <c r="AJ229" i="135" a="1"/>
  <c r="AJ229" i="135" s="1"/>
  <c r="AM229" i="135" a="1"/>
  <c r="AM229" i="135" s="1"/>
  <c r="G229" i="135" a="1"/>
  <c r="G229" i="135" s="1"/>
  <c r="J229" i="135" a="1"/>
  <c r="J229" i="135" s="1"/>
  <c r="M229" i="135" a="1"/>
  <c r="M229" i="135" s="1"/>
  <c r="L229" i="135" a="1"/>
  <c r="L229" i="135" s="1"/>
  <c r="E231" i="135" l="1" a="1"/>
  <c r="E231" i="135" s="1"/>
  <c r="D231" i="135" s="1"/>
  <c r="AA230" i="135" a="1"/>
  <c r="AA230" i="135" s="1"/>
  <c r="AD230" i="135" a="1"/>
  <c r="AD230" i="135" s="1"/>
  <c r="AG230" i="135" a="1"/>
  <c r="AG230" i="135" s="1"/>
  <c r="AF230" i="135" a="1"/>
  <c r="AF230" i="135" s="1"/>
  <c r="AI230" i="135" a="1"/>
  <c r="AI230" i="135" s="1"/>
  <c r="AL230" i="135" a="1"/>
  <c r="AL230" i="135" s="1"/>
  <c r="F230" i="135" a="1"/>
  <c r="F230" i="135" s="1"/>
  <c r="I230" i="135" a="1"/>
  <c r="I230" i="135" s="1"/>
  <c r="H230" i="135" a="1"/>
  <c r="H230" i="135" s="1"/>
  <c r="W230" i="135" a="1"/>
  <c r="W230" i="135" s="1"/>
  <c r="Z230" i="135" a="1"/>
  <c r="Z230" i="135" s="1"/>
  <c r="AC230" i="135" a="1"/>
  <c r="AC230" i="135" s="1"/>
  <c r="AB230" i="135" a="1"/>
  <c r="AB230" i="135" s="1"/>
  <c r="S230" i="135" a="1"/>
  <c r="S230" i="135" s="1"/>
  <c r="V230" i="135" a="1"/>
  <c r="V230" i="135" s="1"/>
  <c r="Y230" i="135" a="1"/>
  <c r="Y230" i="135" s="1"/>
  <c r="X230" i="135" a="1"/>
  <c r="X230" i="135" s="1"/>
  <c r="R230" i="135" a="1"/>
  <c r="R230" i="135" s="1"/>
  <c r="U230" i="135" a="1"/>
  <c r="U230" i="135" s="1"/>
  <c r="K230" i="135" a="1"/>
  <c r="K230" i="135" s="1"/>
  <c r="Q230" i="135" a="1"/>
  <c r="Q230" i="135" s="1"/>
  <c r="L230" i="135" a="1"/>
  <c r="L230" i="135" s="1"/>
  <c r="AE230" i="135" a="1"/>
  <c r="AE230" i="135" s="1"/>
  <c r="AH230" i="135" a="1"/>
  <c r="AH230" i="135" s="1"/>
  <c r="AK230" i="135" a="1"/>
  <c r="AK230" i="135" s="1"/>
  <c r="AJ230" i="135" a="1"/>
  <c r="AJ230" i="135" s="1"/>
  <c r="O230" i="135" a="1"/>
  <c r="O230" i="135" s="1"/>
  <c r="T230" i="135" a="1"/>
  <c r="T230" i="135" s="1"/>
  <c r="N230" i="135" a="1"/>
  <c r="N230" i="135" s="1"/>
  <c r="P230" i="135" a="1"/>
  <c r="P230" i="135" s="1"/>
  <c r="AM230" i="135" a="1"/>
  <c r="AM230" i="135" s="1"/>
  <c r="G230" i="135" a="1"/>
  <c r="G230" i="135" s="1"/>
  <c r="J230" i="135" a="1"/>
  <c r="J230" i="135" s="1"/>
  <c r="M230" i="135" a="1"/>
  <c r="M230" i="135" s="1"/>
  <c r="E232" i="135" l="1" a="1"/>
  <c r="E232" i="135" s="1"/>
  <c r="D232" i="135" s="1"/>
  <c r="T231" i="135" a="1"/>
  <c r="T231" i="135" s="1"/>
  <c r="W231" i="135" a="1"/>
  <c r="W231" i="135" s="1"/>
  <c r="Z231" i="135" a="1"/>
  <c r="Z231" i="135" s="1"/>
  <c r="AC231" i="135" a="1"/>
  <c r="AC231" i="135" s="1"/>
  <c r="P231" i="135" a="1"/>
  <c r="P231" i="135" s="1"/>
  <c r="S231" i="135" a="1"/>
  <c r="S231" i="135" s="1"/>
  <c r="V231" i="135" a="1"/>
  <c r="V231" i="135" s="1"/>
  <c r="Y231" i="135" a="1"/>
  <c r="Y231" i="135" s="1"/>
  <c r="L231" i="135" a="1"/>
  <c r="L231" i="135" s="1"/>
  <c r="O231" i="135" a="1"/>
  <c r="O231" i="135" s="1"/>
  <c r="R231" i="135" a="1"/>
  <c r="R231" i="135" s="1"/>
  <c r="AI231" i="135" a="1"/>
  <c r="AI231" i="135" s="1"/>
  <c r="F231" i="135" a="1"/>
  <c r="F231" i="135" s="1"/>
  <c r="U231" i="135" a="1"/>
  <c r="U231" i="135" s="1"/>
  <c r="H231" i="135" a="1"/>
  <c r="H231" i="135" s="1"/>
  <c r="K231" i="135" a="1"/>
  <c r="K231" i="135" s="1"/>
  <c r="N231" i="135" a="1"/>
  <c r="N231" i="135" s="1"/>
  <c r="Q231" i="135" a="1"/>
  <c r="Q231" i="135" s="1"/>
  <c r="AB231" i="135" a="1"/>
  <c r="AB231" i="135" s="1"/>
  <c r="AE231" i="135" a="1"/>
  <c r="AE231" i="135" s="1"/>
  <c r="AH231" i="135" a="1"/>
  <c r="AH231" i="135" s="1"/>
  <c r="AK231" i="135" a="1"/>
  <c r="AK231" i="135" s="1"/>
  <c r="X231" i="135" a="1"/>
  <c r="X231" i="135" s="1"/>
  <c r="AA231" i="135" a="1"/>
  <c r="AA231" i="135" s="1"/>
  <c r="AD231" i="135" a="1"/>
  <c r="AD231" i="135" s="1"/>
  <c r="AG231" i="135" a="1"/>
  <c r="AG231" i="135" s="1"/>
  <c r="AJ231" i="135" a="1"/>
  <c r="AJ231" i="135" s="1"/>
  <c r="AM231" i="135" a="1"/>
  <c r="AM231" i="135" s="1"/>
  <c r="G231" i="135" a="1"/>
  <c r="G231" i="135" s="1"/>
  <c r="J231" i="135" a="1"/>
  <c r="J231" i="135" s="1"/>
  <c r="M231" i="135" a="1"/>
  <c r="M231" i="135" s="1"/>
  <c r="AF231" i="135" a="1"/>
  <c r="AF231" i="135" s="1"/>
  <c r="AL231" i="135" a="1"/>
  <c r="AL231" i="135" s="1"/>
  <c r="I231" i="135" a="1"/>
  <c r="I231" i="135" s="1"/>
  <c r="E233" i="135" l="1" a="1"/>
  <c r="E233" i="135" s="1"/>
  <c r="D233" i="135" s="1"/>
  <c r="X232" i="135" a="1"/>
  <c r="X232" i="135" s="1"/>
  <c r="AA232" i="135" a="1"/>
  <c r="AA232" i="135" s="1"/>
  <c r="AD232" i="135" a="1"/>
  <c r="AD232" i="135" s="1"/>
  <c r="AG232" i="135" a="1"/>
  <c r="AG232" i="135" s="1"/>
  <c r="T232" i="135" a="1"/>
  <c r="T232" i="135" s="1"/>
  <c r="W232" i="135" a="1"/>
  <c r="W232" i="135" s="1"/>
  <c r="Z232" i="135" a="1"/>
  <c r="Z232" i="135" s="1"/>
  <c r="AC232" i="135" a="1"/>
  <c r="AC232" i="135" s="1"/>
  <c r="P232" i="135" a="1"/>
  <c r="P232" i="135" s="1"/>
  <c r="S232" i="135" a="1"/>
  <c r="S232" i="135" s="1"/>
  <c r="V232" i="135" a="1"/>
  <c r="V232" i="135" s="1"/>
  <c r="Y232" i="135" a="1"/>
  <c r="Y232" i="135" s="1"/>
  <c r="Q232" i="135" a="1"/>
  <c r="Q232" i="135" s="1"/>
  <c r="F232" i="135" a="1"/>
  <c r="F232" i="135" s="1"/>
  <c r="AJ232" i="135" a="1"/>
  <c r="AJ232" i="135" s="1"/>
  <c r="G232" i="135" a="1"/>
  <c r="G232" i="135" s="1"/>
  <c r="M232" i="135" a="1"/>
  <c r="M232" i="135" s="1"/>
  <c r="AB232" i="135" a="1"/>
  <c r="AB232" i="135" s="1"/>
  <c r="AH232" i="135" a="1"/>
  <c r="AH232" i="135" s="1"/>
  <c r="AK232" i="135" a="1"/>
  <c r="AK232" i="135" s="1"/>
  <c r="L232" i="135" a="1"/>
  <c r="L232" i="135" s="1"/>
  <c r="O232" i="135" a="1"/>
  <c r="O232" i="135" s="1"/>
  <c r="R232" i="135" a="1"/>
  <c r="R232" i="135" s="1"/>
  <c r="U232" i="135" a="1"/>
  <c r="U232" i="135" s="1"/>
  <c r="H232" i="135" a="1"/>
  <c r="H232" i="135" s="1"/>
  <c r="K232" i="135" a="1"/>
  <c r="K232" i="135" s="1"/>
  <c r="N232" i="135" a="1"/>
  <c r="N232" i="135" s="1"/>
  <c r="AM232" i="135" a="1"/>
  <c r="AM232" i="135" s="1"/>
  <c r="J232" i="135" a="1"/>
  <c r="J232" i="135" s="1"/>
  <c r="AF232" i="135" a="1"/>
  <c r="AF232" i="135" s="1"/>
  <c r="AI232" i="135" a="1"/>
  <c r="AI232" i="135" s="1"/>
  <c r="AL232" i="135" a="1"/>
  <c r="AL232" i="135" s="1"/>
  <c r="I232" i="135" a="1"/>
  <c r="I232" i="135" s="1"/>
  <c r="AE232" i="135" a="1"/>
  <c r="AE232" i="135" s="1"/>
  <c r="E234" i="135" l="1" a="1"/>
  <c r="E234" i="135" s="1"/>
  <c r="D234" i="135" s="1"/>
  <c r="Y233" i="135" a="1"/>
  <c r="Y233" i="135" s="1"/>
  <c r="X233" i="135" a="1"/>
  <c r="X233" i="135" s="1"/>
  <c r="AA233" i="135" a="1"/>
  <c r="AA233" i="135" s="1"/>
  <c r="AD233" i="135" a="1"/>
  <c r="AD233" i="135" s="1"/>
  <c r="AC233" i="135" a="1"/>
  <c r="AC233" i="135" s="1"/>
  <c r="AB233" i="135" a="1"/>
  <c r="AB233" i="135" s="1"/>
  <c r="AE233" i="135" a="1"/>
  <c r="AE233" i="135" s="1"/>
  <c r="AH233" i="135" a="1"/>
  <c r="AH233" i="135" s="1"/>
  <c r="U233" i="135" a="1"/>
  <c r="U233" i="135" s="1"/>
  <c r="T233" i="135" a="1"/>
  <c r="T233" i="135" s="1"/>
  <c r="W233" i="135" a="1"/>
  <c r="W233" i="135" s="1"/>
  <c r="Z233" i="135" a="1"/>
  <c r="Z233" i="135" s="1"/>
  <c r="Q233" i="135" a="1"/>
  <c r="Q233" i="135" s="1"/>
  <c r="P233" i="135" a="1"/>
  <c r="P233" i="135" s="1"/>
  <c r="S233" i="135" a="1"/>
  <c r="S233" i="135" s="1"/>
  <c r="V233" i="135" a="1"/>
  <c r="V233" i="135" s="1"/>
  <c r="M233" i="135" a="1"/>
  <c r="M233" i="135" s="1"/>
  <c r="L233" i="135" a="1"/>
  <c r="L233" i="135" s="1"/>
  <c r="O233" i="135" a="1"/>
  <c r="O233" i="135" s="1"/>
  <c r="R233" i="135" a="1"/>
  <c r="R233" i="135" s="1"/>
  <c r="I233" i="135" a="1"/>
  <c r="I233" i="135" s="1"/>
  <c r="H233" i="135" a="1"/>
  <c r="H233" i="135" s="1"/>
  <c r="K233" i="135" a="1"/>
  <c r="K233" i="135" s="1"/>
  <c r="N233" i="135" a="1"/>
  <c r="N233" i="135" s="1"/>
  <c r="AK233" i="135" a="1"/>
  <c r="AK233" i="135" s="1"/>
  <c r="AJ233" i="135" a="1"/>
  <c r="AJ233" i="135" s="1"/>
  <c r="AM233" i="135" a="1"/>
  <c r="AM233" i="135" s="1"/>
  <c r="G233" i="135" a="1"/>
  <c r="G233" i="135" s="1"/>
  <c r="J233" i="135" a="1"/>
  <c r="J233" i="135" s="1"/>
  <c r="AG233" i="135" a="1"/>
  <c r="AG233" i="135" s="1"/>
  <c r="AF233" i="135" a="1"/>
  <c r="AF233" i="135" s="1"/>
  <c r="AI233" i="135" a="1"/>
  <c r="AI233" i="135" s="1"/>
  <c r="AL233" i="135" a="1"/>
  <c r="AL233" i="135" s="1"/>
  <c r="F233" i="135" a="1"/>
  <c r="F233" i="135" s="1"/>
  <c r="E235" i="135" l="1" a="1"/>
  <c r="E235" i="135" s="1"/>
  <c r="D235" i="135" s="1"/>
  <c r="U234" i="135" a="1"/>
  <c r="U234" i="135" s="1"/>
  <c r="T234" i="135" a="1"/>
  <c r="T234" i="135" s="1"/>
  <c r="W234" i="135" a="1"/>
  <c r="W234" i="135" s="1"/>
  <c r="Z234" i="135" a="1"/>
  <c r="Z234" i="135" s="1"/>
  <c r="Q234" i="135" a="1"/>
  <c r="Q234" i="135" s="1"/>
  <c r="P234" i="135" a="1"/>
  <c r="P234" i="135" s="1"/>
  <c r="S234" i="135" a="1"/>
  <c r="S234" i="135" s="1"/>
  <c r="V234" i="135" a="1"/>
  <c r="V234" i="135" s="1"/>
  <c r="M234" i="135" a="1"/>
  <c r="M234" i="135" s="1"/>
  <c r="L234" i="135" a="1"/>
  <c r="L234" i="135" s="1"/>
  <c r="O234" i="135" a="1"/>
  <c r="O234" i="135" s="1"/>
  <c r="R234" i="135" a="1"/>
  <c r="R234" i="135" s="1"/>
  <c r="I234" i="135" a="1"/>
  <c r="I234" i="135" s="1"/>
  <c r="H234" i="135" a="1"/>
  <c r="H234" i="135" s="1"/>
  <c r="K234" i="135" a="1"/>
  <c r="K234" i="135" s="1"/>
  <c r="N234" i="135" a="1"/>
  <c r="N234" i="135" s="1"/>
  <c r="AG234" i="135" a="1"/>
  <c r="AG234" i="135" s="1"/>
  <c r="AF234" i="135" a="1"/>
  <c r="AF234" i="135" s="1"/>
  <c r="AI234" i="135" a="1"/>
  <c r="AI234" i="135" s="1"/>
  <c r="AL234" i="135" a="1"/>
  <c r="AL234" i="135" s="1"/>
  <c r="F234" i="135" a="1"/>
  <c r="F234" i="135" s="1"/>
  <c r="AK234" i="135" a="1"/>
  <c r="AK234" i="135" s="1"/>
  <c r="AJ234" i="135" a="1"/>
  <c r="AJ234" i="135" s="1"/>
  <c r="AM234" i="135" a="1"/>
  <c r="AM234" i="135" s="1"/>
  <c r="G234" i="135" a="1"/>
  <c r="G234" i="135" s="1"/>
  <c r="J234" i="135" a="1"/>
  <c r="J234" i="135" s="1"/>
  <c r="AC234" i="135" a="1"/>
  <c r="AC234" i="135" s="1"/>
  <c r="AB234" i="135" a="1"/>
  <c r="AB234" i="135" s="1"/>
  <c r="AE234" i="135" a="1"/>
  <c r="AE234" i="135" s="1"/>
  <c r="AH234" i="135" a="1"/>
  <c r="AH234" i="135" s="1"/>
  <c r="Y234" i="135" a="1"/>
  <c r="Y234" i="135" s="1"/>
  <c r="X234" i="135" a="1"/>
  <c r="X234" i="135" s="1"/>
  <c r="AA234" i="135" a="1"/>
  <c r="AA234" i="135" s="1"/>
  <c r="AD234" i="135" a="1"/>
  <c r="AD234" i="135" s="1"/>
  <c r="E236" i="135" l="1" a="1"/>
  <c r="E236" i="135" s="1"/>
  <c r="D236" i="135" s="1"/>
  <c r="Z235" i="135" a="1"/>
  <c r="Z235" i="135" s="1"/>
  <c r="AC235" i="135" a="1"/>
  <c r="AC235" i="135" s="1"/>
  <c r="AB235" i="135" a="1"/>
  <c r="AB235" i="135" s="1"/>
  <c r="AE235" i="135" a="1"/>
  <c r="AE235" i="135" s="1"/>
  <c r="V235" i="135" a="1"/>
  <c r="V235" i="135" s="1"/>
  <c r="Y235" i="135" a="1"/>
  <c r="Y235" i="135" s="1"/>
  <c r="X235" i="135" a="1"/>
  <c r="X235" i="135" s="1"/>
  <c r="AA235" i="135" a="1"/>
  <c r="AA235" i="135" s="1"/>
  <c r="R235" i="135" a="1"/>
  <c r="R235" i="135" s="1"/>
  <c r="U235" i="135" a="1"/>
  <c r="U235" i="135" s="1"/>
  <c r="T235" i="135" a="1"/>
  <c r="T235" i="135" s="1"/>
  <c r="W235" i="135" a="1"/>
  <c r="W235" i="135" s="1"/>
  <c r="J235" i="135" a="1"/>
  <c r="J235" i="135" s="1"/>
  <c r="M235" i="135" a="1"/>
  <c r="M235" i="135" s="1"/>
  <c r="L235" i="135" a="1"/>
  <c r="L235" i="135" s="1"/>
  <c r="O235" i="135" a="1"/>
  <c r="O235" i="135" s="1"/>
  <c r="AI235" i="135" a="1"/>
  <c r="AI235" i="135" s="1"/>
  <c r="AD235" i="135" a="1"/>
  <c r="AD235" i="135" s="1"/>
  <c r="AG235" i="135" a="1"/>
  <c r="AG235" i="135" s="1"/>
  <c r="AF235" i="135" a="1"/>
  <c r="AF235" i="135" s="1"/>
  <c r="N235" i="135" a="1"/>
  <c r="N235" i="135" s="1"/>
  <c r="Q235" i="135" a="1"/>
  <c r="Q235" i="135" s="1"/>
  <c r="P235" i="135" a="1"/>
  <c r="P235" i="135" s="1"/>
  <c r="S235" i="135" a="1"/>
  <c r="S235" i="135" s="1"/>
  <c r="AH235" i="135" a="1"/>
  <c r="AH235" i="135" s="1"/>
  <c r="AK235" i="135" a="1"/>
  <c r="AK235" i="135" s="1"/>
  <c r="AJ235" i="135" a="1"/>
  <c r="AJ235" i="135" s="1"/>
  <c r="AM235" i="135" a="1"/>
  <c r="AM235" i="135" s="1"/>
  <c r="AL235" i="135" a="1"/>
  <c r="AL235" i="135" s="1"/>
  <c r="F235" i="135" a="1"/>
  <c r="F235" i="135" s="1"/>
  <c r="I235" i="135" a="1"/>
  <c r="I235" i="135" s="1"/>
  <c r="H235" i="135" a="1"/>
  <c r="H235" i="135" s="1"/>
  <c r="K235" i="135" a="1"/>
  <c r="K235" i="135" s="1"/>
  <c r="G235" i="135" a="1"/>
  <c r="G235" i="135" s="1"/>
  <c r="E237" i="135" l="1" a="1"/>
  <c r="E237" i="135" s="1"/>
  <c r="D237" i="135" s="1"/>
  <c r="Z236" i="135" a="1"/>
  <c r="Z236" i="135" s="1"/>
  <c r="AC236" i="135" a="1"/>
  <c r="AC236" i="135" s="1"/>
  <c r="AB236" i="135" a="1"/>
  <c r="AB236" i="135" s="1"/>
  <c r="AE236" i="135" a="1"/>
  <c r="AE236" i="135" s="1"/>
  <c r="AG236" i="135" a="1"/>
  <c r="AG236" i="135" s="1"/>
  <c r="AI236" i="135" a="1"/>
  <c r="AI236" i="135" s="1"/>
  <c r="V236" i="135" a="1"/>
  <c r="V236" i="135" s="1"/>
  <c r="Y236" i="135" a="1"/>
  <c r="Y236" i="135" s="1"/>
  <c r="X236" i="135" a="1"/>
  <c r="X236" i="135" s="1"/>
  <c r="AA236" i="135" a="1"/>
  <c r="AA236" i="135" s="1"/>
  <c r="R236" i="135" a="1"/>
  <c r="R236" i="135" s="1"/>
  <c r="U236" i="135" a="1"/>
  <c r="U236" i="135" s="1"/>
  <c r="T236" i="135" a="1"/>
  <c r="T236" i="135" s="1"/>
  <c r="W236" i="135" a="1"/>
  <c r="W236" i="135" s="1"/>
  <c r="N236" i="135" a="1"/>
  <c r="N236" i="135" s="1"/>
  <c r="Q236" i="135" a="1"/>
  <c r="Q236" i="135" s="1"/>
  <c r="P236" i="135" a="1"/>
  <c r="P236" i="135" s="1"/>
  <c r="S236" i="135" a="1"/>
  <c r="S236" i="135" s="1"/>
  <c r="J236" i="135" a="1"/>
  <c r="J236" i="135" s="1"/>
  <c r="M236" i="135" a="1"/>
  <c r="M236" i="135" s="1"/>
  <c r="L236" i="135" a="1"/>
  <c r="L236" i="135" s="1"/>
  <c r="O236" i="135" a="1"/>
  <c r="O236" i="135" s="1"/>
  <c r="AD236" i="135" a="1"/>
  <c r="AD236" i="135" s="1"/>
  <c r="AF236" i="135" a="1"/>
  <c r="AF236" i="135" s="1"/>
  <c r="AL236" i="135" a="1"/>
  <c r="AL236" i="135" s="1"/>
  <c r="F236" i="135" a="1"/>
  <c r="F236" i="135" s="1"/>
  <c r="I236" i="135" a="1"/>
  <c r="I236" i="135" s="1"/>
  <c r="H236" i="135" a="1"/>
  <c r="H236" i="135" s="1"/>
  <c r="K236" i="135" a="1"/>
  <c r="K236" i="135" s="1"/>
  <c r="AH236" i="135" a="1"/>
  <c r="AH236" i="135" s="1"/>
  <c r="AK236" i="135" a="1"/>
  <c r="AK236" i="135" s="1"/>
  <c r="AJ236" i="135" a="1"/>
  <c r="AJ236" i="135" s="1"/>
  <c r="AM236" i="135" a="1"/>
  <c r="AM236" i="135" s="1"/>
  <c r="G236" i="135" a="1"/>
  <c r="G236" i="135" s="1"/>
  <c r="E238" i="135" l="1" a="1"/>
  <c r="E238" i="135" s="1"/>
  <c r="D238" i="135" s="1"/>
  <c r="AA237" i="135" a="1"/>
  <c r="AA237" i="135" s="1"/>
  <c r="AD237" i="135" a="1"/>
  <c r="AD237" i="135" s="1"/>
  <c r="AG237" i="135" a="1"/>
  <c r="AG237" i="135" s="1"/>
  <c r="AF237" i="135" a="1"/>
  <c r="AF237" i="135" s="1"/>
  <c r="W237" i="135" a="1"/>
  <c r="W237" i="135" s="1"/>
  <c r="Z237" i="135" a="1"/>
  <c r="Z237" i="135" s="1"/>
  <c r="AC237" i="135" a="1"/>
  <c r="AC237" i="135" s="1"/>
  <c r="AB237" i="135" a="1"/>
  <c r="AB237" i="135" s="1"/>
  <c r="S237" i="135" a="1"/>
  <c r="S237" i="135" s="1"/>
  <c r="V237" i="135" a="1"/>
  <c r="V237" i="135" s="1"/>
  <c r="Y237" i="135" a="1"/>
  <c r="Y237" i="135" s="1"/>
  <c r="X237" i="135" a="1"/>
  <c r="X237" i="135" s="1"/>
  <c r="AM237" i="135" a="1"/>
  <c r="AM237" i="135" s="1"/>
  <c r="G237" i="135" a="1"/>
  <c r="G237" i="135" s="1"/>
  <c r="J237" i="135" a="1"/>
  <c r="J237" i="135" s="1"/>
  <c r="M237" i="135" a="1"/>
  <c r="M237" i="135" s="1"/>
  <c r="L237" i="135" a="1"/>
  <c r="L237" i="135" s="1"/>
  <c r="AE237" i="135" a="1"/>
  <c r="AE237" i="135" s="1"/>
  <c r="AH237" i="135" a="1"/>
  <c r="AH237" i="135" s="1"/>
  <c r="AK237" i="135" a="1"/>
  <c r="AK237" i="135" s="1"/>
  <c r="AJ237" i="135" a="1"/>
  <c r="AJ237" i="135" s="1"/>
  <c r="O237" i="135" a="1"/>
  <c r="O237" i="135" s="1"/>
  <c r="R237" i="135" a="1"/>
  <c r="R237" i="135" s="1"/>
  <c r="U237" i="135" a="1"/>
  <c r="U237" i="135" s="1"/>
  <c r="T237" i="135" a="1"/>
  <c r="T237" i="135" s="1"/>
  <c r="K237" i="135" a="1"/>
  <c r="K237" i="135" s="1"/>
  <c r="N237" i="135" a="1"/>
  <c r="N237" i="135" s="1"/>
  <c r="Q237" i="135" a="1"/>
  <c r="Q237" i="135" s="1"/>
  <c r="P237" i="135" a="1"/>
  <c r="P237" i="135" s="1"/>
  <c r="AI237" i="135" a="1"/>
  <c r="AI237" i="135" s="1"/>
  <c r="AL237" i="135" a="1"/>
  <c r="AL237" i="135" s="1"/>
  <c r="F237" i="135" a="1"/>
  <c r="F237" i="135" s="1"/>
  <c r="I237" i="135" a="1"/>
  <c r="I237" i="135" s="1"/>
  <c r="H237" i="135" a="1"/>
  <c r="H237" i="135" s="1"/>
  <c r="E239" i="135" l="1" a="1"/>
  <c r="E239" i="135" s="1"/>
  <c r="D239" i="135" s="1"/>
  <c r="S238" i="135" a="1"/>
  <c r="S238" i="135" s="1"/>
  <c r="V238" i="135" a="1"/>
  <c r="V238" i="135" s="1"/>
  <c r="Y238" i="135" a="1"/>
  <c r="Y238" i="135" s="1"/>
  <c r="X238" i="135" a="1"/>
  <c r="X238" i="135" s="1"/>
  <c r="K238" i="135" a="1"/>
  <c r="K238" i="135" s="1"/>
  <c r="N238" i="135" a="1"/>
  <c r="N238" i="135" s="1"/>
  <c r="Q238" i="135" a="1"/>
  <c r="Q238" i="135" s="1"/>
  <c r="P238" i="135" a="1"/>
  <c r="P238" i="135" s="1"/>
  <c r="AM238" i="135" a="1"/>
  <c r="AM238" i="135" s="1"/>
  <c r="G238" i="135" a="1"/>
  <c r="G238" i="135" s="1"/>
  <c r="J238" i="135" a="1"/>
  <c r="J238" i="135" s="1"/>
  <c r="M238" i="135" a="1"/>
  <c r="M238" i="135" s="1"/>
  <c r="L238" i="135" a="1"/>
  <c r="L238" i="135" s="1"/>
  <c r="AI238" i="135" a="1"/>
  <c r="AI238" i="135" s="1"/>
  <c r="AL238" i="135" a="1"/>
  <c r="AL238" i="135" s="1"/>
  <c r="F238" i="135" a="1"/>
  <c r="F238" i="135" s="1"/>
  <c r="I238" i="135" a="1"/>
  <c r="I238" i="135" s="1"/>
  <c r="H238" i="135" a="1"/>
  <c r="H238" i="135" s="1"/>
  <c r="AA238" i="135" a="1"/>
  <c r="AA238" i="135" s="1"/>
  <c r="AD238" i="135" a="1"/>
  <c r="AD238" i="135" s="1"/>
  <c r="AG238" i="135" a="1"/>
  <c r="AG238" i="135" s="1"/>
  <c r="AF238" i="135" a="1"/>
  <c r="AF238" i="135" s="1"/>
  <c r="O238" i="135" a="1"/>
  <c r="O238" i="135" s="1"/>
  <c r="R238" i="135" a="1"/>
  <c r="R238" i="135" s="1"/>
  <c r="U238" i="135" a="1"/>
  <c r="U238" i="135" s="1"/>
  <c r="T238" i="135" a="1"/>
  <c r="T238" i="135" s="1"/>
  <c r="Z238" i="135" a="1"/>
  <c r="Z238" i="135" s="1"/>
  <c r="AE238" i="135" a="1"/>
  <c r="AE238" i="135" s="1"/>
  <c r="AH238" i="135" a="1"/>
  <c r="AH238" i="135" s="1"/>
  <c r="AK238" i="135" a="1"/>
  <c r="AK238" i="135" s="1"/>
  <c r="AJ238" i="135" a="1"/>
  <c r="AJ238" i="135" s="1"/>
  <c r="W238" i="135" a="1"/>
  <c r="W238" i="135" s="1"/>
  <c r="AC238" i="135" a="1"/>
  <c r="AC238" i="135" s="1"/>
  <c r="AB238" i="135" a="1"/>
  <c r="AB238" i="135" s="1"/>
  <c r="E240" i="135" l="1" a="1"/>
  <c r="E240" i="135" s="1"/>
  <c r="D240" i="135" s="1"/>
  <c r="T239" i="135" a="1"/>
  <c r="T239" i="135" s="1"/>
  <c r="W239" i="135" a="1"/>
  <c r="W239" i="135" s="1"/>
  <c r="Z239" i="135" a="1"/>
  <c r="Z239" i="135" s="1"/>
  <c r="AC239" i="135" a="1"/>
  <c r="AC239" i="135" s="1"/>
  <c r="P239" i="135" a="1"/>
  <c r="P239" i="135" s="1"/>
  <c r="S239" i="135" a="1"/>
  <c r="S239" i="135" s="1"/>
  <c r="V239" i="135" a="1"/>
  <c r="V239" i="135" s="1"/>
  <c r="Y239" i="135" a="1"/>
  <c r="Y239" i="135" s="1"/>
  <c r="L239" i="135" a="1"/>
  <c r="L239" i="135" s="1"/>
  <c r="O239" i="135" a="1"/>
  <c r="O239" i="135" s="1"/>
  <c r="R239" i="135" a="1"/>
  <c r="R239" i="135" s="1"/>
  <c r="U239" i="135" a="1"/>
  <c r="U239" i="135" s="1"/>
  <c r="H239" i="135" a="1"/>
  <c r="H239" i="135" s="1"/>
  <c r="K239" i="135" a="1"/>
  <c r="K239" i="135" s="1"/>
  <c r="N239" i="135" a="1"/>
  <c r="N239" i="135" s="1"/>
  <c r="Q239" i="135" a="1"/>
  <c r="Q239" i="135" s="1"/>
  <c r="AJ239" i="135" a="1"/>
  <c r="AJ239" i="135" s="1"/>
  <c r="AM239" i="135" a="1"/>
  <c r="AM239" i="135" s="1"/>
  <c r="G239" i="135" a="1"/>
  <c r="G239" i="135" s="1"/>
  <c r="J239" i="135" a="1"/>
  <c r="J239" i="135" s="1"/>
  <c r="M239" i="135" a="1"/>
  <c r="M239" i="135" s="1"/>
  <c r="AF239" i="135" a="1"/>
  <c r="AF239" i="135" s="1"/>
  <c r="AI239" i="135" a="1"/>
  <c r="AI239" i="135" s="1"/>
  <c r="AL239" i="135" a="1"/>
  <c r="AL239" i="135" s="1"/>
  <c r="F239" i="135" a="1"/>
  <c r="F239" i="135" s="1"/>
  <c r="I239" i="135" a="1"/>
  <c r="I239" i="135" s="1"/>
  <c r="AB239" i="135" a="1"/>
  <c r="AB239" i="135" s="1"/>
  <c r="AE239" i="135" a="1"/>
  <c r="AE239" i="135" s="1"/>
  <c r="AH239" i="135" a="1"/>
  <c r="AH239" i="135" s="1"/>
  <c r="AK239" i="135" a="1"/>
  <c r="AK239" i="135" s="1"/>
  <c r="X239" i="135" a="1"/>
  <c r="X239" i="135" s="1"/>
  <c r="AA239" i="135" a="1"/>
  <c r="AA239" i="135" s="1"/>
  <c r="AD239" i="135" a="1"/>
  <c r="AD239" i="135" s="1"/>
  <c r="AG239" i="135" a="1"/>
  <c r="AG239" i="135" s="1"/>
  <c r="E241" i="135" l="1" a="1"/>
  <c r="E241" i="135" s="1"/>
  <c r="D241" i="135" s="1"/>
  <c r="T240" i="135" a="1"/>
  <c r="T240" i="135" s="1"/>
  <c r="W240" i="135" a="1"/>
  <c r="W240" i="135" s="1"/>
  <c r="Z240" i="135" a="1"/>
  <c r="Z240" i="135" s="1"/>
  <c r="AC240" i="135" a="1"/>
  <c r="AC240" i="135" s="1"/>
  <c r="X240" i="135" a="1"/>
  <c r="X240" i="135" s="1"/>
  <c r="AA240" i="135" a="1"/>
  <c r="AA240" i="135" s="1"/>
  <c r="AD240" i="135" a="1"/>
  <c r="AD240" i="135" s="1"/>
  <c r="P240" i="135" a="1"/>
  <c r="P240" i="135" s="1"/>
  <c r="S240" i="135" a="1"/>
  <c r="S240" i="135" s="1"/>
  <c r="V240" i="135" a="1"/>
  <c r="V240" i="135" s="1"/>
  <c r="Y240" i="135" a="1"/>
  <c r="Y240" i="135" s="1"/>
  <c r="L240" i="135" a="1"/>
  <c r="L240" i="135" s="1"/>
  <c r="O240" i="135" a="1"/>
  <c r="O240" i="135" s="1"/>
  <c r="R240" i="135" a="1"/>
  <c r="R240" i="135" s="1"/>
  <c r="U240" i="135" a="1"/>
  <c r="U240" i="135" s="1"/>
  <c r="H240" i="135" a="1"/>
  <c r="H240" i="135" s="1"/>
  <c r="K240" i="135" a="1"/>
  <c r="K240" i="135" s="1"/>
  <c r="N240" i="135" a="1"/>
  <c r="N240" i="135" s="1"/>
  <c r="Q240" i="135" a="1"/>
  <c r="Q240" i="135" s="1"/>
  <c r="AJ240" i="135" a="1"/>
  <c r="AJ240" i="135" s="1"/>
  <c r="AM240" i="135" a="1"/>
  <c r="AM240" i="135" s="1"/>
  <c r="G240" i="135" a="1"/>
  <c r="G240" i="135" s="1"/>
  <c r="J240" i="135" a="1"/>
  <c r="J240" i="135" s="1"/>
  <c r="M240" i="135" a="1"/>
  <c r="M240" i="135" s="1"/>
  <c r="AF240" i="135" a="1"/>
  <c r="AF240" i="135" s="1"/>
  <c r="AI240" i="135" a="1"/>
  <c r="AI240" i="135" s="1"/>
  <c r="AL240" i="135" a="1"/>
  <c r="AL240" i="135" s="1"/>
  <c r="F240" i="135" a="1"/>
  <c r="F240" i="135" s="1"/>
  <c r="I240" i="135" a="1"/>
  <c r="I240" i="135" s="1"/>
  <c r="AB240" i="135" a="1"/>
  <c r="AB240" i="135" s="1"/>
  <c r="AE240" i="135" a="1"/>
  <c r="AE240" i="135" s="1"/>
  <c r="AH240" i="135" a="1"/>
  <c r="AH240" i="135" s="1"/>
  <c r="AK240" i="135" a="1"/>
  <c r="AK240" i="135" s="1"/>
  <c r="AG240" i="135" a="1"/>
  <c r="AG240" i="135" s="1"/>
  <c r="E242" i="135" l="1" a="1"/>
  <c r="E242" i="135" s="1"/>
  <c r="D242" i="135" s="1"/>
  <c r="Y241" i="135" a="1"/>
  <c r="Y241" i="135" s="1"/>
  <c r="U241" i="135" a="1"/>
  <c r="U241" i="135" s="1"/>
  <c r="T241" i="135" a="1"/>
  <c r="T241" i="135" s="1"/>
  <c r="W241" i="135" a="1"/>
  <c r="W241" i="135" s="1"/>
  <c r="Z241" i="135" a="1"/>
  <c r="Z241" i="135" s="1"/>
  <c r="Q241" i="135" a="1"/>
  <c r="Q241" i="135" s="1"/>
  <c r="P241" i="135" a="1"/>
  <c r="P241" i="135" s="1"/>
  <c r="S241" i="135" a="1"/>
  <c r="S241" i="135" s="1"/>
  <c r="V241" i="135" a="1"/>
  <c r="V241" i="135" s="1"/>
  <c r="I241" i="135" a="1"/>
  <c r="I241" i="135" s="1"/>
  <c r="H241" i="135" a="1"/>
  <c r="H241" i="135" s="1"/>
  <c r="K241" i="135" a="1"/>
  <c r="K241" i="135" s="1"/>
  <c r="N241" i="135" a="1"/>
  <c r="N241" i="135" s="1"/>
  <c r="M241" i="135" a="1"/>
  <c r="M241" i="135" s="1"/>
  <c r="L241" i="135" a="1"/>
  <c r="L241" i="135" s="1"/>
  <c r="O241" i="135" a="1"/>
  <c r="O241" i="135" s="1"/>
  <c r="R241" i="135" a="1"/>
  <c r="R241" i="135" s="1"/>
  <c r="AC241" i="135" a="1"/>
  <c r="AC241" i="135" s="1"/>
  <c r="AB241" i="135" a="1"/>
  <c r="AB241" i="135" s="1"/>
  <c r="AE241" i="135" a="1"/>
  <c r="AE241" i="135" s="1"/>
  <c r="AH241" i="135" a="1"/>
  <c r="AH241" i="135" s="1"/>
  <c r="X241" i="135" a="1"/>
  <c r="X241" i="135" s="1"/>
  <c r="AA241" i="135" a="1"/>
  <c r="AA241" i="135" s="1"/>
  <c r="AD241" i="135" a="1"/>
  <c r="AD241" i="135" s="1"/>
  <c r="AK241" i="135" a="1"/>
  <c r="AK241" i="135" s="1"/>
  <c r="AJ241" i="135" a="1"/>
  <c r="AJ241" i="135" s="1"/>
  <c r="AM241" i="135" a="1"/>
  <c r="AM241" i="135" s="1"/>
  <c r="G241" i="135" a="1"/>
  <c r="G241" i="135" s="1"/>
  <c r="J241" i="135" a="1"/>
  <c r="J241" i="135" s="1"/>
  <c r="AG241" i="135" a="1"/>
  <c r="AG241" i="135" s="1"/>
  <c r="AF241" i="135" a="1"/>
  <c r="AF241" i="135" s="1"/>
  <c r="AI241" i="135" a="1"/>
  <c r="AI241" i="135" s="1"/>
  <c r="AL241" i="135" a="1"/>
  <c r="AL241" i="135" s="1"/>
  <c r="F241" i="135" a="1"/>
  <c r="F241" i="135" s="1"/>
  <c r="E243" i="135" l="1" a="1"/>
  <c r="E243" i="135" s="1"/>
  <c r="D243" i="135" s="1"/>
  <c r="Y242" i="135" a="1"/>
  <c r="Y242" i="135" s="1"/>
  <c r="X242" i="135" a="1"/>
  <c r="X242" i="135" s="1"/>
  <c r="AA242" i="135" a="1"/>
  <c r="AA242" i="135" s="1"/>
  <c r="AD242" i="135" a="1"/>
  <c r="AD242" i="135" s="1"/>
  <c r="U242" i="135" a="1"/>
  <c r="U242" i="135" s="1"/>
  <c r="T242" i="135" a="1"/>
  <c r="T242" i="135" s="1"/>
  <c r="W242" i="135" a="1"/>
  <c r="W242" i="135" s="1"/>
  <c r="Z242" i="135" a="1"/>
  <c r="Z242" i="135" s="1"/>
  <c r="Q242" i="135" a="1"/>
  <c r="Q242" i="135" s="1"/>
  <c r="P242" i="135" a="1"/>
  <c r="P242" i="135" s="1"/>
  <c r="S242" i="135" a="1"/>
  <c r="S242" i="135" s="1"/>
  <c r="V242" i="135" a="1"/>
  <c r="V242" i="135" s="1"/>
  <c r="AG242" i="135" a="1"/>
  <c r="AG242" i="135" s="1"/>
  <c r="AF242" i="135" a="1"/>
  <c r="AF242" i="135" s="1"/>
  <c r="AI242" i="135" a="1"/>
  <c r="AI242" i="135" s="1"/>
  <c r="AL242" i="135" a="1"/>
  <c r="AL242" i="135" s="1"/>
  <c r="F242" i="135" a="1"/>
  <c r="F242" i="135" s="1"/>
  <c r="AB242" i="135" a="1"/>
  <c r="AB242" i="135" s="1"/>
  <c r="M242" i="135" a="1"/>
  <c r="M242" i="135" s="1"/>
  <c r="L242" i="135" a="1"/>
  <c r="L242" i="135" s="1"/>
  <c r="O242" i="135" a="1"/>
  <c r="O242" i="135" s="1"/>
  <c r="R242" i="135" a="1"/>
  <c r="R242" i="135" s="1"/>
  <c r="I242" i="135" a="1"/>
  <c r="I242" i="135" s="1"/>
  <c r="H242" i="135" a="1"/>
  <c r="H242" i="135" s="1"/>
  <c r="K242" i="135" a="1"/>
  <c r="K242" i="135" s="1"/>
  <c r="N242" i="135" a="1"/>
  <c r="N242" i="135" s="1"/>
  <c r="AK242" i="135" a="1"/>
  <c r="AK242" i="135" s="1"/>
  <c r="AJ242" i="135" a="1"/>
  <c r="AJ242" i="135" s="1"/>
  <c r="AM242" i="135" a="1"/>
  <c r="AM242" i="135" s="1"/>
  <c r="G242" i="135" a="1"/>
  <c r="G242" i="135" s="1"/>
  <c r="J242" i="135" a="1"/>
  <c r="J242" i="135" s="1"/>
  <c r="AC242" i="135" a="1"/>
  <c r="AC242" i="135" s="1"/>
  <c r="AE242" i="135" a="1"/>
  <c r="AE242" i="135" s="1"/>
  <c r="AH242" i="135" a="1"/>
  <c r="AH242" i="135" s="1"/>
  <c r="E244" i="135" l="1" a="1"/>
  <c r="E244" i="135" s="1"/>
  <c r="D244" i="135" s="1"/>
  <c r="Z243" i="135" a="1"/>
  <c r="Z243" i="135" s="1"/>
  <c r="AC243" i="135" a="1"/>
  <c r="AC243" i="135" s="1"/>
  <c r="AB243" i="135" a="1"/>
  <c r="AB243" i="135" s="1"/>
  <c r="AE243" i="135" a="1"/>
  <c r="AE243" i="135" s="1"/>
  <c r="V243" i="135" a="1"/>
  <c r="V243" i="135" s="1"/>
  <c r="Y243" i="135" a="1"/>
  <c r="Y243" i="135" s="1"/>
  <c r="X243" i="135" a="1"/>
  <c r="X243" i="135" s="1"/>
  <c r="AA243" i="135" a="1"/>
  <c r="AA243" i="135" s="1"/>
  <c r="R243" i="135" a="1"/>
  <c r="R243" i="135" s="1"/>
  <c r="U243" i="135" a="1"/>
  <c r="U243" i="135" s="1"/>
  <c r="T243" i="135" a="1"/>
  <c r="T243" i="135" s="1"/>
  <c r="W243" i="135" a="1"/>
  <c r="W243" i="135" s="1"/>
  <c r="AH243" i="135" a="1"/>
  <c r="AH243" i="135" s="1"/>
  <c r="AK243" i="135" a="1"/>
  <c r="AK243" i="135" s="1"/>
  <c r="AJ243" i="135" a="1"/>
  <c r="AJ243" i="135" s="1"/>
  <c r="AM243" i="135" a="1"/>
  <c r="AM243" i="135" s="1"/>
  <c r="G243" i="135" a="1"/>
  <c r="G243" i="135" s="1"/>
  <c r="AF243" i="135" a="1"/>
  <c r="AF243" i="135" s="1"/>
  <c r="AD243" i="135" a="1"/>
  <c r="AD243" i="135" s="1"/>
  <c r="N243" i="135" a="1"/>
  <c r="N243" i="135" s="1"/>
  <c r="Q243" i="135" a="1"/>
  <c r="Q243" i="135" s="1"/>
  <c r="P243" i="135" a="1"/>
  <c r="P243" i="135" s="1"/>
  <c r="S243" i="135" a="1"/>
  <c r="S243" i="135" s="1"/>
  <c r="J243" i="135" a="1"/>
  <c r="J243" i="135" s="1"/>
  <c r="M243" i="135" a="1"/>
  <c r="M243" i="135" s="1"/>
  <c r="L243" i="135" a="1"/>
  <c r="L243" i="135" s="1"/>
  <c r="O243" i="135" a="1"/>
  <c r="O243" i="135" s="1"/>
  <c r="AG243" i="135" a="1"/>
  <c r="AG243" i="135" s="1"/>
  <c r="AI243" i="135" a="1"/>
  <c r="AI243" i="135" s="1"/>
  <c r="AL243" i="135" a="1"/>
  <c r="AL243" i="135" s="1"/>
  <c r="F243" i="135" a="1"/>
  <c r="F243" i="135" s="1"/>
  <c r="I243" i="135" a="1"/>
  <c r="I243" i="135" s="1"/>
  <c r="H243" i="135" a="1"/>
  <c r="H243" i="135" s="1"/>
  <c r="K243" i="135" a="1"/>
  <c r="K243" i="135" s="1"/>
  <c r="E245" i="135" l="1" a="1"/>
  <c r="E245" i="135" s="1"/>
  <c r="D245" i="135" s="1"/>
  <c r="Z244" i="135" a="1"/>
  <c r="Z244" i="135" s="1"/>
  <c r="AC244" i="135" a="1"/>
  <c r="AC244" i="135" s="1"/>
  <c r="AB244" i="135" a="1"/>
  <c r="AB244" i="135" s="1"/>
  <c r="AE244" i="135" a="1"/>
  <c r="AE244" i="135" s="1"/>
  <c r="AD244" i="135" a="1"/>
  <c r="AD244" i="135" s="1"/>
  <c r="AG244" i="135" a="1"/>
  <c r="AG244" i="135" s="1"/>
  <c r="AF244" i="135" a="1"/>
  <c r="AF244" i="135" s="1"/>
  <c r="AI244" i="135" a="1"/>
  <c r="AI244" i="135" s="1"/>
  <c r="V244" i="135" a="1"/>
  <c r="V244" i="135" s="1"/>
  <c r="Y244" i="135" a="1"/>
  <c r="Y244" i="135" s="1"/>
  <c r="X244" i="135" a="1"/>
  <c r="X244" i="135" s="1"/>
  <c r="AA244" i="135" a="1"/>
  <c r="AA244" i="135" s="1"/>
  <c r="R244" i="135" a="1"/>
  <c r="R244" i="135" s="1"/>
  <c r="U244" i="135" a="1"/>
  <c r="U244" i="135" s="1"/>
  <c r="T244" i="135" a="1"/>
  <c r="T244" i="135" s="1"/>
  <c r="W244" i="135" a="1"/>
  <c r="W244" i="135" s="1"/>
  <c r="N244" i="135" a="1"/>
  <c r="N244" i="135" s="1"/>
  <c r="Q244" i="135" a="1"/>
  <c r="Q244" i="135" s="1"/>
  <c r="P244" i="135" a="1"/>
  <c r="P244" i="135" s="1"/>
  <c r="S244" i="135" a="1"/>
  <c r="S244" i="135" s="1"/>
  <c r="J244" i="135" a="1"/>
  <c r="J244" i="135" s="1"/>
  <c r="L244" i="135" a="1"/>
  <c r="L244" i="135" s="1"/>
  <c r="O244" i="135" a="1"/>
  <c r="O244" i="135" s="1"/>
  <c r="AL244" i="135" a="1"/>
  <c r="AL244" i="135" s="1"/>
  <c r="F244" i="135" a="1"/>
  <c r="F244" i="135" s="1"/>
  <c r="H244" i="135" a="1"/>
  <c r="H244" i="135" s="1"/>
  <c r="M244" i="135" a="1"/>
  <c r="M244" i="135" s="1"/>
  <c r="I244" i="135" a="1"/>
  <c r="I244" i="135" s="1"/>
  <c r="K244" i="135" a="1"/>
  <c r="K244" i="135" s="1"/>
  <c r="AH244" i="135" a="1"/>
  <c r="AH244" i="135" s="1"/>
  <c r="AK244" i="135" a="1"/>
  <c r="AK244" i="135" s="1"/>
  <c r="AJ244" i="135" a="1"/>
  <c r="AJ244" i="135" s="1"/>
  <c r="AM244" i="135" a="1"/>
  <c r="AM244" i="135" s="1"/>
  <c r="G244" i="135" a="1"/>
  <c r="G244" i="135" s="1"/>
  <c r="E246" i="135" l="1" a="1"/>
  <c r="E246" i="135" s="1"/>
  <c r="D246" i="135" s="1"/>
  <c r="W245" i="135" a="1"/>
  <c r="W245" i="135" s="1"/>
  <c r="Z245" i="135" a="1"/>
  <c r="Z245" i="135" s="1"/>
  <c r="AC245" i="135" a="1"/>
  <c r="AC245" i="135" s="1"/>
  <c r="AB245" i="135" a="1"/>
  <c r="AB245" i="135" s="1"/>
  <c r="S245" i="135" a="1"/>
  <c r="S245" i="135" s="1"/>
  <c r="V245" i="135" a="1"/>
  <c r="V245" i="135" s="1"/>
  <c r="Y245" i="135" a="1"/>
  <c r="Y245" i="135" s="1"/>
  <c r="X245" i="135" a="1"/>
  <c r="X245" i="135" s="1"/>
  <c r="O245" i="135" a="1"/>
  <c r="O245" i="135" s="1"/>
  <c r="R245" i="135" a="1"/>
  <c r="R245" i="135" s="1"/>
  <c r="U245" i="135" a="1"/>
  <c r="U245" i="135" s="1"/>
  <c r="T245" i="135" a="1"/>
  <c r="T245" i="135" s="1"/>
  <c r="K245" i="135" a="1"/>
  <c r="K245" i="135" s="1"/>
  <c r="N245" i="135" a="1"/>
  <c r="N245" i="135" s="1"/>
  <c r="Q245" i="135" a="1"/>
  <c r="Q245" i="135" s="1"/>
  <c r="P245" i="135" a="1"/>
  <c r="P245" i="135" s="1"/>
  <c r="AI245" i="135" a="1"/>
  <c r="AI245" i="135" s="1"/>
  <c r="AL245" i="135" a="1"/>
  <c r="AL245" i="135" s="1"/>
  <c r="F245" i="135" a="1"/>
  <c r="F245" i="135" s="1"/>
  <c r="I245" i="135" a="1"/>
  <c r="I245" i="135" s="1"/>
  <c r="H245" i="135" a="1"/>
  <c r="H245" i="135" s="1"/>
  <c r="AM245" i="135" a="1"/>
  <c r="AM245" i="135" s="1"/>
  <c r="G245" i="135" a="1"/>
  <c r="G245" i="135" s="1"/>
  <c r="J245" i="135" a="1"/>
  <c r="J245" i="135" s="1"/>
  <c r="M245" i="135" a="1"/>
  <c r="M245" i="135" s="1"/>
  <c r="L245" i="135" a="1"/>
  <c r="L245" i="135" s="1"/>
  <c r="AE245" i="135" a="1"/>
  <c r="AE245" i="135" s="1"/>
  <c r="AH245" i="135" a="1"/>
  <c r="AH245" i="135" s="1"/>
  <c r="AK245" i="135" a="1"/>
  <c r="AK245" i="135" s="1"/>
  <c r="AJ245" i="135" a="1"/>
  <c r="AJ245" i="135" s="1"/>
  <c r="AA245" i="135" a="1"/>
  <c r="AA245" i="135" s="1"/>
  <c r="AD245" i="135" a="1"/>
  <c r="AD245" i="135" s="1"/>
  <c r="AG245" i="135" a="1"/>
  <c r="AG245" i="135" s="1"/>
  <c r="AF245" i="135" a="1"/>
  <c r="AF245" i="135" s="1"/>
  <c r="E247" i="135" l="1" a="1"/>
  <c r="E247" i="135" s="1"/>
  <c r="D247" i="135" s="1"/>
  <c r="O246" i="135" a="1"/>
  <c r="O246" i="135" s="1"/>
  <c r="R246" i="135" a="1"/>
  <c r="R246" i="135" s="1"/>
  <c r="U246" i="135" a="1"/>
  <c r="U246" i="135" s="1"/>
  <c r="T246" i="135" a="1"/>
  <c r="T246" i="135" s="1"/>
  <c r="K246" i="135" a="1"/>
  <c r="K246" i="135" s="1"/>
  <c r="N246" i="135" a="1"/>
  <c r="N246" i="135" s="1"/>
  <c r="Q246" i="135" a="1"/>
  <c r="Q246" i="135" s="1"/>
  <c r="P246" i="135" a="1"/>
  <c r="P246" i="135" s="1"/>
  <c r="AF246" i="135" a="1"/>
  <c r="AF246" i="135" s="1"/>
  <c r="Z246" i="135" a="1"/>
  <c r="Z246" i="135" s="1"/>
  <c r="AM246" i="135" a="1"/>
  <c r="AM246" i="135" s="1"/>
  <c r="G246" i="135" a="1"/>
  <c r="G246" i="135" s="1"/>
  <c r="J246" i="135" a="1"/>
  <c r="J246" i="135" s="1"/>
  <c r="M246" i="135" a="1"/>
  <c r="M246" i="135" s="1"/>
  <c r="L246" i="135" a="1"/>
  <c r="L246" i="135" s="1"/>
  <c r="AI246" i="135" a="1"/>
  <c r="AI246" i="135" s="1"/>
  <c r="AL246" i="135" a="1"/>
  <c r="AL246" i="135" s="1"/>
  <c r="F246" i="135" a="1"/>
  <c r="F246" i="135" s="1"/>
  <c r="I246" i="135" a="1"/>
  <c r="I246" i="135" s="1"/>
  <c r="H246" i="135" a="1"/>
  <c r="H246" i="135" s="1"/>
  <c r="AE246" i="135" a="1"/>
  <c r="AE246" i="135" s="1"/>
  <c r="AH246" i="135" a="1"/>
  <c r="AH246" i="135" s="1"/>
  <c r="AK246" i="135" a="1"/>
  <c r="AK246" i="135" s="1"/>
  <c r="AJ246" i="135" a="1"/>
  <c r="AJ246" i="135" s="1"/>
  <c r="W246" i="135" a="1"/>
  <c r="W246" i="135" s="1"/>
  <c r="AC246" i="135" a="1"/>
  <c r="AC246" i="135" s="1"/>
  <c r="AB246" i="135" a="1"/>
  <c r="AB246" i="135" s="1"/>
  <c r="S246" i="135" a="1"/>
  <c r="S246" i="135" s="1"/>
  <c r="V246" i="135" a="1"/>
  <c r="V246" i="135" s="1"/>
  <c r="Y246" i="135" a="1"/>
  <c r="Y246" i="135" s="1"/>
  <c r="X246" i="135" a="1"/>
  <c r="X246" i="135" s="1"/>
  <c r="AA246" i="135" a="1"/>
  <c r="AA246" i="135" s="1"/>
  <c r="AD246" i="135" a="1"/>
  <c r="AD246" i="135" s="1"/>
  <c r="AG246" i="135" a="1"/>
  <c r="AG246" i="135" s="1"/>
  <c r="E248" i="135" l="1" a="1"/>
  <c r="E248" i="135" s="1"/>
  <c r="D248" i="135" s="1"/>
  <c r="X247" i="135" a="1"/>
  <c r="X247" i="135" s="1"/>
  <c r="AA247" i="135" a="1"/>
  <c r="AA247" i="135" s="1"/>
  <c r="AD247" i="135" a="1"/>
  <c r="AD247" i="135" s="1"/>
  <c r="AG247" i="135" a="1"/>
  <c r="AG247" i="135" s="1"/>
  <c r="P247" i="135" a="1"/>
  <c r="P247" i="135" s="1"/>
  <c r="V247" i="135" a="1"/>
  <c r="V247" i="135" s="1"/>
  <c r="H247" i="135" a="1"/>
  <c r="H247" i="135" s="1"/>
  <c r="N247" i="135" a="1"/>
  <c r="N247" i="135" s="1"/>
  <c r="AF247" i="135" a="1"/>
  <c r="AF247" i="135" s="1"/>
  <c r="AI247" i="135" a="1"/>
  <c r="AI247" i="135" s="1"/>
  <c r="AL247" i="135" a="1"/>
  <c r="AL247" i="135" s="1"/>
  <c r="F247" i="135" a="1"/>
  <c r="F247" i="135" s="1"/>
  <c r="I247" i="135" a="1"/>
  <c r="I247" i="135" s="1"/>
  <c r="T247" i="135" a="1"/>
  <c r="T247" i="135" s="1"/>
  <c r="W247" i="135" a="1"/>
  <c r="W247" i="135" s="1"/>
  <c r="Z247" i="135" a="1"/>
  <c r="Z247" i="135" s="1"/>
  <c r="AC247" i="135" a="1"/>
  <c r="AC247" i="135" s="1"/>
  <c r="S247" i="135" a="1"/>
  <c r="S247" i="135" s="1"/>
  <c r="Y247" i="135" a="1"/>
  <c r="Y247" i="135" s="1"/>
  <c r="K247" i="135" a="1"/>
  <c r="K247" i="135" s="1"/>
  <c r="Q247" i="135" a="1"/>
  <c r="Q247" i="135" s="1"/>
  <c r="L247" i="135" a="1"/>
  <c r="L247" i="135" s="1"/>
  <c r="O247" i="135" a="1"/>
  <c r="O247" i="135" s="1"/>
  <c r="R247" i="135" a="1"/>
  <c r="R247" i="135" s="1"/>
  <c r="U247" i="135" a="1"/>
  <c r="U247" i="135" s="1"/>
  <c r="AJ247" i="135" a="1"/>
  <c r="AJ247" i="135" s="1"/>
  <c r="AM247" i="135" a="1"/>
  <c r="AM247" i="135" s="1"/>
  <c r="G247" i="135" a="1"/>
  <c r="G247" i="135" s="1"/>
  <c r="J247" i="135" a="1"/>
  <c r="J247" i="135" s="1"/>
  <c r="M247" i="135" a="1"/>
  <c r="M247" i="135" s="1"/>
  <c r="AB247" i="135" a="1"/>
  <c r="AB247" i="135" s="1"/>
  <c r="AE247" i="135" a="1"/>
  <c r="AE247" i="135" s="1"/>
  <c r="AH247" i="135" a="1"/>
  <c r="AH247" i="135" s="1"/>
  <c r="AK247" i="135" a="1"/>
  <c r="AK247" i="135" s="1"/>
  <c r="E249" i="135" l="1" a="1"/>
  <c r="E249" i="135" s="1"/>
  <c r="D249" i="135" s="1"/>
  <c r="AB248" i="135" a="1"/>
  <c r="AB248" i="135" s="1"/>
  <c r="AA248" i="135" a="1"/>
  <c r="AA248" i="135" s="1"/>
  <c r="AD248" i="135" a="1"/>
  <c r="AD248" i="135" s="1"/>
  <c r="AL248" i="135" a="1"/>
  <c r="AL248" i="135" s="1"/>
  <c r="X248" i="135" a="1"/>
  <c r="X248" i="135" s="1"/>
  <c r="W248" i="135" a="1"/>
  <c r="W248" i="135" s="1"/>
  <c r="Z248" i="135" a="1"/>
  <c r="Z248" i="135" s="1"/>
  <c r="AC248" i="135" a="1"/>
  <c r="AC248" i="135" s="1"/>
  <c r="T248" i="135" a="1"/>
  <c r="T248" i="135" s="1"/>
  <c r="S248" i="135" a="1"/>
  <c r="S248" i="135" s="1"/>
  <c r="V248" i="135" a="1"/>
  <c r="V248" i="135" s="1"/>
  <c r="Y248" i="135" a="1"/>
  <c r="Y248" i="135" s="1"/>
  <c r="L248" i="135" a="1"/>
  <c r="L248" i="135" s="1"/>
  <c r="K248" i="135" a="1"/>
  <c r="K248" i="135" s="1"/>
  <c r="N248" i="135" a="1"/>
  <c r="N248" i="135" s="1"/>
  <c r="Q248" i="135" a="1"/>
  <c r="Q248" i="135" s="1"/>
  <c r="P248" i="135" a="1"/>
  <c r="P248" i="135" s="1"/>
  <c r="O248" i="135" a="1"/>
  <c r="O248" i="135" s="1"/>
  <c r="R248" i="135" a="1"/>
  <c r="R248" i="135" s="1"/>
  <c r="U248" i="135" a="1"/>
  <c r="U248" i="135" s="1"/>
  <c r="AG248" i="135" a="1"/>
  <c r="AG248" i="135" s="1"/>
  <c r="AJ248" i="135" a="1"/>
  <c r="AJ248" i="135" s="1"/>
  <c r="F248" i="135" a="1"/>
  <c r="F248" i="135" s="1"/>
  <c r="AK248" i="135" a="1"/>
  <c r="AK248" i="135" s="1"/>
  <c r="H248" i="135" a="1"/>
  <c r="H248" i="135" s="1"/>
  <c r="G248" i="135" a="1"/>
  <c r="G248" i="135" s="1"/>
  <c r="J248" i="135" a="1"/>
  <c r="J248" i="135" s="1"/>
  <c r="M248" i="135" a="1"/>
  <c r="M248" i="135" s="1"/>
  <c r="AI248" i="135" a="1"/>
  <c r="AI248" i="135" s="1"/>
  <c r="I248" i="135" a="1"/>
  <c r="I248" i="135" s="1"/>
  <c r="AF248" i="135" a="1"/>
  <c r="AF248" i="135" s="1"/>
  <c r="AE248" i="135" a="1"/>
  <c r="AE248" i="135" s="1"/>
  <c r="AM248" i="135" a="1"/>
  <c r="AM248" i="135" s="1"/>
  <c r="AH248" i="135" a="1"/>
  <c r="AH248" i="135" s="1"/>
  <c r="E250" i="135" l="1" a="1"/>
  <c r="E250" i="135" s="1"/>
  <c r="D250" i="135" s="1"/>
  <c r="K249" i="135" a="1"/>
  <c r="K249" i="135" s="1"/>
  <c r="S249" i="135" a="1"/>
  <c r="S249" i="135" s="1"/>
  <c r="R249" i="135" a="1"/>
  <c r="R249" i="135" s="1"/>
  <c r="U249" i="135" a="1"/>
  <c r="U249" i="135" s="1"/>
  <c r="X249" i="135" a="1"/>
  <c r="X249" i="135" s="1"/>
  <c r="W249" i="135" a="1"/>
  <c r="W249" i="135" s="1"/>
  <c r="V249" i="135" a="1"/>
  <c r="V249" i="135" s="1"/>
  <c r="AD249" i="135" a="1"/>
  <c r="AD249" i="135" s="1"/>
  <c r="O249" i="135" a="1"/>
  <c r="O249" i="135" s="1"/>
  <c r="Q249" i="135" a="1"/>
  <c r="Q249" i="135" s="1"/>
  <c r="Y249" i="135" a="1"/>
  <c r="Y249" i="135" s="1"/>
  <c r="AH249" i="135" a="1"/>
  <c r="AH249" i="135" s="1"/>
  <c r="F249" i="135" a="1"/>
  <c r="F249" i="135" s="1"/>
  <c r="I249" i="135" a="1"/>
  <c r="I249" i="135" s="1"/>
  <c r="H249" i="135" a="1"/>
  <c r="H249" i="135" s="1"/>
  <c r="P249" i="135" a="1"/>
  <c r="P249" i="135" s="1"/>
  <c r="T249" i="135" a="1"/>
  <c r="T249" i="135" s="1"/>
  <c r="AB249" i="135" a="1"/>
  <c r="AB249" i="135" s="1"/>
  <c r="AA249" i="135" a="1"/>
  <c r="AA249" i="135" s="1"/>
  <c r="Z249" i="135" a="1"/>
  <c r="Z249" i="135" s="1"/>
  <c r="AL249" i="135" a="1"/>
  <c r="AL249" i="135" s="1"/>
  <c r="J249" i="135" a="1"/>
  <c r="J249" i="135" s="1"/>
  <c r="M249" i="135" a="1"/>
  <c r="M249" i="135" s="1"/>
  <c r="L249" i="135" a="1"/>
  <c r="L249" i="135" s="1"/>
  <c r="AG249" i="135" a="1"/>
  <c r="AG249" i="135" s="1"/>
  <c r="AF249" i="135" a="1"/>
  <c r="AF249" i="135" s="1"/>
  <c r="AE249" i="135" a="1"/>
  <c r="AE249" i="135" s="1"/>
  <c r="AM249" i="135" a="1"/>
  <c r="AM249" i="135" s="1"/>
  <c r="AC249" i="135" a="1"/>
  <c r="AC249" i="135" s="1"/>
  <c r="AK249" i="135" a="1"/>
  <c r="AK249" i="135" s="1"/>
  <c r="AJ249" i="135" a="1"/>
  <c r="AJ249" i="135" s="1"/>
  <c r="AI249" i="135" a="1"/>
  <c r="AI249" i="135" s="1"/>
  <c r="G249" i="135" a="1"/>
  <c r="G249" i="135" s="1"/>
  <c r="N249" i="135" a="1"/>
  <c r="N249" i="135" s="1"/>
  <c r="E251" i="135" l="1" a="1"/>
  <c r="E251" i="135" s="1"/>
  <c r="D251" i="135" s="1"/>
  <c r="R250" i="135" a="1"/>
  <c r="R250" i="135" s="1"/>
  <c r="K250" i="135" a="1"/>
  <c r="K250" i="135" s="1"/>
  <c r="Q250" i="135" a="1"/>
  <c r="Q250" i="135" s="1"/>
  <c r="AJ250" i="135" a="1"/>
  <c r="AJ250" i="135" s="1"/>
  <c r="J250" i="135" a="1"/>
  <c r="J250" i="135" s="1"/>
  <c r="M250" i="135" a="1"/>
  <c r="M250" i="135" s="1"/>
  <c r="W250" i="135" a="1"/>
  <c r="W250" i="135" s="1"/>
  <c r="AE250" i="135" a="1"/>
  <c r="AE250" i="135" s="1"/>
  <c r="AL250" i="135" a="1"/>
  <c r="AL250" i="135" s="1"/>
  <c r="F250" i="135" a="1"/>
  <c r="F250" i="135" s="1"/>
  <c r="I250" i="135" a="1"/>
  <c r="I250" i="135" s="1"/>
  <c r="L250" i="135" a="1"/>
  <c r="L250" i="135" s="1"/>
  <c r="T250" i="135" a="1"/>
  <c r="T250" i="135" s="1"/>
  <c r="V250" i="135" a="1"/>
  <c r="V250" i="135" s="1"/>
  <c r="Y250" i="135" a="1"/>
  <c r="Y250" i="135" s="1"/>
  <c r="H250" i="135" a="1"/>
  <c r="H250" i="135" s="1"/>
  <c r="P250" i="135" a="1"/>
  <c r="P250" i="135" s="1"/>
  <c r="U250" i="135" a="1"/>
  <c r="U250" i="135" s="1"/>
  <c r="AM250" i="135" a="1"/>
  <c r="AM250" i="135" s="1"/>
  <c r="N250" i="135" a="1"/>
  <c r="N250" i="135" s="1"/>
  <c r="AB250" i="135" a="1"/>
  <c r="AB250" i="135" s="1"/>
  <c r="AH250" i="135" a="1"/>
  <c r="AH250" i="135" s="1"/>
  <c r="AK250" i="135" a="1"/>
  <c r="AK250" i="135" s="1"/>
  <c r="AI250" i="135" a="1"/>
  <c r="AI250" i="135" s="1"/>
  <c r="G250" i="135" a="1"/>
  <c r="G250" i="135" s="1"/>
  <c r="O250" i="135" a="1"/>
  <c r="O250" i="135" s="1"/>
  <c r="AD250" i="135" a="1"/>
  <c r="AD250" i="135" s="1"/>
  <c r="AG250" i="135" a="1"/>
  <c r="AG250" i="135" s="1"/>
  <c r="X250" i="135" a="1"/>
  <c r="X250" i="135" s="1"/>
  <c r="AF250" i="135" a="1"/>
  <c r="AF250" i="135" s="1"/>
  <c r="Z250" i="135" a="1"/>
  <c r="Z250" i="135" s="1"/>
  <c r="AC250" i="135" a="1"/>
  <c r="AC250" i="135" s="1"/>
  <c r="S250" i="135" a="1"/>
  <c r="S250" i="135" s="1"/>
  <c r="AA250" i="135" a="1"/>
  <c r="AA250" i="135" s="1"/>
  <c r="E252" i="135" l="1" a="1"/>
  <c r="E252" i="135" s="1"/>
  <c r="D252" i="135" s="1"/>
  <c r="U251" i="135" a="1"/>
  <c r="U251" i="135" s="1"/>
  <c r="R251" i="135" a="1"/>
  <c r="R251" i="135" s="1"/>
  <c r="AB251" i="135" a="1"/>
  <c r="AB251" i="135" s="1"/>
  <c r="Z251" i="135" a="1"/>
  <c r="Z251" i="135" s="1"/>
  <c r="Y251" i="135" a="1"/>
  <c r="Y251" i="135" s="1"/>
  <c r="X251" i="135" a="1"/>
  <c r="X251" i="135" s="1"/>
  <c r="AJ251" i="135" a="1"/>
  <c r="AJ251" i="135" s="1"/>
  <c r="N251" i="135" a="1"/>
  <c r="N251" i="135" s="1"/>
  <c r="Q251" i="135" a="1"/>
  <c r="Q251" i="135" s="1"/>
  <c r="AL251" i="135" a="1"/>
  <c r="AL251" i="135" s="1"/>
  <c r="V251" i="135" a="1"/>
  <c r="V251" i="135" s="1"/>
  <c r="G251" i="135" a="1"/>
  <c r="G251" i="135" s="1"/>
  <c r="AC251" i="135" a="1"/>
  <c r="AC251" i="135" s="1"/>
  <c r="AE251" i="135" a="1"/>
  <c r="AE251" i="135" s="1"/>
  <c r="J251" i="135" a="1"/>
  <c r="J251" i="135" s="1"/>
  <c r="T251" i="135" a="1"/>
  <c r="T251" i="135" s="1"/>
  <c r="M251" i="135" a="1"/>
  <c r="M251" i="135" s="1"/>
  <c r="AD251" i="135" a="1"/>
  <c r="AD251" i="135" s="1"/>
  <c r="O251" i="135" a="1"/>
  <c r="O251" i="135" s="1"/>
  <c r="AF251" i="135" a="1"/>
  <c r="AF251" i="135" s="1"/>
  <c r="I251" i="135" a="1"/>
  <c r="I251" i="135" s="1"/>
  <c r="K251" i="135" a="1"/>
  <c r="K251" i="135" s="1"/>
  <c r="H251" i="135" a="1"/>
  <c r="H251" i="135" s="1"/>
  <c r="S251" i="135" a="1"/>
  <c r="S251" i="135" s="1"/>
  <c r="AK251" i="135" a="1"/>
  <c r="AK251" i="135" s="1"/>
  <c r="AM251" i="135" a="1"/>
  <c r="AM251" i="135" s="1"/>
  <c r="W251" i="135" a="1"/>
  <c r="W251" i="135" s="1"/>
  <c r="AH251" i="135" a="1"/>
  <c r="AH251" i="135" s="1"/>
  <c r="L251" i="135" a="1"/>
  <c r="L251" i="135" s="1"/>
  <c r="AG251" i="135" a="1"/>
  <c r="AG251" i="135" s="1"/>
  <c r="AI251" i="135" a="1"/>
  <c r="AI251" i="135" s="1"/>
  <c r="P251" i="135" a="1"/>
  <c r="P251" i="135" s="1"/>
  <c r="AA251" i="135" a="1"/>
  <c r="AA251" i="135" s="1"/>
  <c r="F251" i="135" a="1"/>
  <c r="F251" i="135" s="1"/>
  <c r="E253" i="135" l="1" a="1"/>
  <c r="E253" i="135" s="1"/>
  <c r="D253" i="135" s="1"/>
  <c r="AA252" i="135" a="1"/>
  <c r="AA252" i="135" s="1"/>
  <c r="AD252" i="135" a="1"/>
  <c r="AD252" i="135" s="1"/>
  <c r="AB252" i="135" a="1"/>
  <c r="AB252" i="135" s="1"/>
  <c r="X252" i="135" a="1"/>
  <c r="X252" i="135" s="1"/>
  <c r="W252" i="135" a="1"/>
  <c r="W252" i="135" s="1"/>
  <c r="Z252" i="135" a="1"/>
  <c r="Z252" i="135" s="1"/>
  <c r="T252" i="135" a="1"/>
  <c r="T252" i="135" s="1"/>
  <c r="P252" i="135" a="1"/>
  <c r="P252" i="135" s="1"/>
  <c r="S252" i="135" a="1"/>
  <c r="S252" i="135" s="1"/>
  <c r="V252" i="135" a="1"/>
  <c r="V252" i="135" s="1"/>
  <c r="L252" i="135" a="1"/>
  <c r="L252" i="135" s="1"/>
  <c r="H252" i="135" a="1"/>
  <c r="H252" i="135" s="1"/>
  <c r="O252" i="135" a="1"/>
  <c r="O252" i="135" s="1"/>
  <c r="R252" i="135" a="1"/>
  <c r="R252" i="135" s="1"/>
  <c r="AG252" i="135" a="1"/>
  <c r="AG252" i="135" s="1"/>
  <c r="AK252" i="135" a="1"/>
  <c r="AK252" i="135" s="1"/>
  <c r="K252" i="135" a="1"/>
  <c r="K252" i="135" s="1"/>
  <c r="N252" i="135" a="1"/>
  <c r="N252" i="135" s="1"/>
  <c r="Y252" i="135" a="1"/>
  <c r="Y252" i="135" s="1"/>
  <c r="AC252" i="135" a="1"/>
  <c r="AC252" i="135" s="1"/>
  <c r="AM252" i="135" a="1"/>
  <c r="AM252" i="135" s="1"/>
  <c r="G252" i="135" a="1"/>
  <c r="G252" i="135" s="1"/>
  <c r="J252" i="135" a="1"/>
  <c r="J252" i="135" s="1"/>
  <c r="Q252" i="135" a="1"/>
  <c r="Q252" i="135" s="1"/>
  <c r="U252" i="135" a="1"/>
  <c r="U252" i="135" s="1"/>
  <c r="AI252" i="135" a="1"/>
  <c r="AI252" i="135" s="1"/>
  <c r="AL252" i="135" a="1"/>
  <c r="AL252" i="135" s="1"/>
  <c r="F252" i="135" a="1"/>
  <c r="F252" i="135" s="1"/>
  <c r="I252" i="135" a="1"/>
  <c r="I252" i="135" s="1"/>
  <c r="M252" i="135" a="1"/>
  <c r="M252" i="135" s="1"/>
  <c r="AE252" i="135" a="1"/>
  <c r="AE252" i="135" s="1"/>
  <c r="AH252" i="135" a="1"/>
  <c r="AH252" i="135" s="1"/>
  <c r="AJ252" i="135" a="1"/>
  <c r="AJ252" i="135" s="1"/>
  <c r="AF252" i="135" a="1"/>
  <c r="AF252" i="135" s="1"/>
  <c r="E254" i="135" l="1" a="1"/>
  <c r="E254" i="135" s="1"/>
  <c r="D254" i="135" s="1"/>
  <c r="Z253" i="135" a="1"/>
  <c r="Z253" i="135" s="1"/>
  <c r="AC253" i="135" a="1"/>
  <c r="AC253" i="135" s="1"/>
  <c r="AB253" i="135" a="1"/>
  <c r="AB253" i="135" s="1"/>
  <c r="V253" i="135" a="1"/>
  <c r="V253" i="135" s="1"/>
  <c r="Y253" i="135" a="1"/>
  <c r="Y253" i="135" s="1"/>
  <c r="X253" i="135" a="1"/>
  <c r="X253" i="135" s="1"/>
  <c r="AA253" i="135" a="1"/>
  <c r="AA253" i="135" s="1"/>
  <c r="R253" i="135" a="1"/>
  <c r="R253" i="135" s="1"/>
  <c r="U253" i="135" a="1"/>
  <c r="U253" i="135" s="1"/>
  <c r="T253" i="135" a="1"/>
  <c r="T253" i="135" s="1"/>
  <c r="O253" i="135" a="1"/>
  <c r="O253" i="135" s="1"/>
  <c r="J253" i="135" a="1"/>
  <c r="J253" i="135" s="1"/>
  <c r="M253" i="135" a="1"/>
  <c r="M253" i="135" s="1"/>
  <c r="L253" i="135" a="1"/>
  <c r="L253" i="135" s="1"/>
  <c r="W253" i="135" a="1"/>
  <c r="W253" i="135" s="1"/>
  <c r="AH253" i="135" a="1"/>
  <c r="AH253" i="135" s="1"/>
  <c r="AK253" i="135" a="1"/>
  <c r="AK253" i="135" s="1"/>
  <c r="AJ253" i="135" a="1"/>
  <c r="AJ253" i="135" s="1"/>
  <c r="S253" i="135" a="1"/>
  <c r="S253" i="135" s="1"/>
  <c r="AE253" i="135" a="1"/>
  <c r="AE253" i="135" s="1"/>
  <c r="N253" i="135" a="1"/>
  <c r="N253" i="135" s="1"/>
  <c r="Q253" i="135" a="1"/>
  <c r="Q253" i="135" s="1"/>
  <c r="P253" i="135" a="1"/>
  <c r="P253" i="135" s="1"/>
  <c r="AI253" i="135" a="1"/>
  <c r="AI253" i="135" s="1"/>
  <c r="AD253" i="135" a="1"/>
  <c r="AD253" i="135" s="1"/>
  <c r="AG253" i="135" a="1"/>
  <c r="AG253" i="135" s="1"/>
  <c r="AF253" i="135" a="1"/>
  <c r="AF253" i="135" s="1"/>
  <c r="AM253" i="135" a="1"/>
  <c r="AM253" i="135" s="1"/>
  <c r="G253" i="135" a="1"/>
  <c r="G253" i="135" s="1"/>
  <c r="AL253" i="135" a="1"/>
  <c r="AL253" i="135" s="1"/>
  <c r="F253" i="135" a="1"/>
  <c r="F253" i="135" s="1"/>
  <c r="I253" i="135" a="1"/>
  <c r="I253" i="135" s="1"/>
  <c r="H253" i="135" a="1"/>
  <c r="H253" i="135" s="1"/>
  <c r="K253" i="135" a="1"/>
  <c r="K253" i="135" s="1"/>
  <c r="E255" i="135" l="1" a="1"/>
  <c r="E255" i="135" s="1"/>
  <c r="D255" i="135" s="1"/>
  <c r="Y254" i="135" a="1"/>
  <c r="Y254" i="135" s="1"/>
  <c r="X254" i="135" a="1"/>
  <c r="X254" i="135" s="1"/>
  <c r="AA254" i="135" a="1"/>
  <c r="AA254" i="135" s="1"/>
  <c r="F254" i="135" a="1"/>
  <c r="F254" i="135" s="1"/>
  <c r="AG254" i="135" a="1"/>
  <c r="AG254" i="135" s="1"/>
  <c r="AF254" i="135" a="1"/>
  <c r="AF254" i="135" s="1"/>
  <c r="AI254" i="135" a="1"/>
  <c r="AI254" i="135" s="1"/>
  <c r="AL254" i="135" a="1"/>
  <c r="AL254" i="135" s="1"/>
  <c r="J254" i="135" a="1"/>
  <c r="J254" i="135" s="1"/>
  <c r="AC254" i="135" a="1"/>
  <c r="AC254" i="135" s="1"/>
  <c r="AB254" i="135" a="1"/>
  <c r="AB254" i="135" s="1"/>
  <c r="AE254" i="135" a="1"/>
  <c r="AE254" i="135" s="1"/>
  <c r="V254" i="135" a="1"/>
  <c r="V254" i="135" s="1"/>
  <c r="U254" i="135" a="1"/>
  <c r="U254" i="135" s="1"/>
  <c r="T254" i="135" a="1"/>
  <c r="T254" i="135" s="1"/>
  <c r="W254" i="135" a="1"/>
  <c r="W254" i="135" s="1"/>
  <c r="AH254" i="135" a="1"/>
  <c r="AH254" i="135" s="1"/>
  <c r="Q254" i="135" a="1"/>
  <c r="Q254" i="135" s="1"/>
  <c r="P254" i="135" a="1"/>
  <c r="P254" i="135" s="1"/>
  <c r="S254" i="135" a="1"/>
  <c r="S254" i="135" s="1"/>
  <c r="R254" i="135" a="1"/>
  <c r="R254" i="135" s="1"/>
  <c r="M254" i="135" a="1"/>
  <c r="M254" i="135" s="1"/>
  <c r="L254" i="135" a="1"/>
  <c r="L254" i="135" s="1"/>
  <c r="O254" i="135" a="1"/>
  <c r="O254" i="135" s="1"/>
  <c r="AD254" i="135" a="1"/>
  <c r="AD254" i="135" s="1"/>
  <c r="I254" i="135" a="1"/>
  <c r="I254" i="135" s="1"/>
  <c r="H254" i="135" a="1"/>
  <c r="H254" i="135" s="1"/>
  <c r="K254" i="135" a="1"/>
  <c r="K254" i="135" s="1"/>
  <c r="N254" i="135" a="1"/>
  <c r="N254" i="135" s="1"/>
  <c r="AK254" i="135" a="1"/>
  <c r="AK254" i="135" s="1"/>
  <c r="AJ254" i="135" a="1"/>
  <c r="AJ254" i="135" s="1"/>
  <c r="AM254" i="135" a="1"/>
  <c r="AM254" i="135" s="1"/>
  <c r="G254" i="135" a="1"/>
  <c r="G254" i="135" s="1"/>
  <c r="Z254" i="135" a="1"/>
  <c r="Z254" i="135" s="1"/>
  <c r="E256" i="135" l="1" a="1"/>
  <c r="E256" i="135" s="1"/>
  <c r="D256" i="135" s="1"/>
  <c r="AA255" i="135" a="1"/>
  <c r="AA255" i="135" s="1"/>
  <c r="AD255" i="135" a="1"/>
  <c r="AD255" i="135" s="1"/>
  <c r="AG255" i="135" a="1"/>
  <c r="AG255" i="135" s="1"/>
  <c r="P255" i="135" a="1"/>
  <c r="P255" i="135" s="1"/>
  <c r="W255" i="135" a="1"/>
  <c r="W255" i="135" s="1"/>
  <c r="Z255" i="135" a="1"/>
  <c r="Z255" i="135" s="1"/>
  <c r="AC255" i="135" a="1"/>
  <c r="AC255" i="135" s="1"/>
  <c r="AB255" i="135" a="1"/>
  <c r="AB255" i="135" s="1"/>
  <c r="S255" i="135" a="1"/>
  <c r="S255" i="135" s="1"/>
  <c r="V255" i="135" a="1"/>
  <c r="V255" i="135" s="1"/>
  <c r="Y255" i="135" a="1"/>
  <c r="Y255" i="135" s="1"/>
  <c r="L255" i="135" a="1"/>
  <c r="L255" i="135" s="1"/>
  <c r="N255" i="135" a="1"/>
  <c r="N255" i="135" s="1"/>
  <c r="H255" i="135" a="1"/>
  <c r="H255" i="135" s="1"/>
  <c r="O255" i="135" a="1"/>
  <c r="O255" i="135" s="1"/>
  <c r="R255" i="135" a="1"/>
  <c r="R255" i="135" s="1"/>
  <c r="U255" i="135" a="1"/>
  <c r="U255" i="135" s="1"/>
  <c r="X255" i="135" a="1"/>
  <c r="X255" i="135" s="1"/>
  <c r="AE255" i="135" a="1"/>
  <c r="AE255" i="135" s="1"/>
  <c r="AH255" i="135" a="1"/>
  <c r="AH255" i="135" s="1"/>
  <c r="AK255" i="135" a="1"/>
  <c r="AK255" i="135" s="1"/>
  <c r="AF255" i="135" a="1"/>
  <c r="AF255" i="135" s="1"/>
  <c r="K255" i="135" a="1"/>
  <c r="K255" i="135" s="1"/>
  <c r="Q255" i="135" a="1"/>
  <c r="Q255" i="135" s="1"/>
  <c r="AI255" i="135" a="1"/>
  <c r="AI255" i="135" s="1"/>
  <c r="AL255" i="135" a="1"/>
  <c r="AL255" i="135" s="1"/>
  <c r="F255" i="135" a="1"/>
  <c r="F255" i="135" s="1"/>
  <c r="I255" i="135" a="1"/>
  <c r="I255" i="135" s="1"/>
  <c r="T255" i="135" a="1"/>
  <c r="T255" i="135" s="1"/>
  <c r="AM255" i="135" a="1"/>
  <c r="AM255" i="135" s="1"/>
  <c r="G255" i="135" a="1"/>
  <c r="G255" i="135" s="1"/>
  <c r="J255" i="135" a="1"/>
  <c r="J255" i="135" s="1"/>
  <c r="M255" i="135" a="1"/>
  <c r="M255" i="135" s="1"/>
  <c r="AJ255" i="135" a="1"/>
  <c r="AJ255" i="135" s="1"/>
  <c r="E257" i="135" l="1" a="1"/>
  <c r="E257" i="135" s="1"/>
  <c r="D257" i="135" s="1"/>
  <c r="Z256" i="135" a="1"/>
  <c r="Z256" i="135" s="1"/>
  <c r="AC256" i="135" a="1"/>
  <c r="AC256" i="135" s="1"/>
  <c r="AB256" i="135" a="1"/>
  <c r="AB256" i="135" s="1"/>
  <c r="AA256" i="135" a="1"/>
  <c r="AA256" i="135" s="1"/>
  <c r="R256" i="135" a="1"/>
  <c r="R256" i="135" s="1"/>
  <c r="AM256" i="135" a="1"/>
  <c r="AM256" i="135" s="1"/>
  <c r="J256" i="135" a="1"/>
  <c r="J256" i="135" s="1"/>
  <c r="M256" i="135" a="1"/>
  <c r="M256" i="135" s="1"/>
  <c r="L256" i="135" a="1"/>
  <c r="L256" i="135" s="1"/>
  <c r="G256" i="135" a="1"/>
  <c r="G256" i="135" s="1"/>
  <c r="V256" i="135" a="1"/>
  <c r="V256" i="135" s="1"/>
  <c r="Y256" i="135" a="1"/>
  <c r="Y256" i="135" s="1"/>
  <c r="X256" i="135" a="1"/>
  <c r="X256" i="135" s="1"/>
  <c r="K256" i="135" a="1"/>
  <c r="K256" i="135" s="1"/>
  <c r="U256" i="135" a="1"/>
  <c r="U256" i="135" s="1"/>
  <c r="T256" i="135" a="1"/>
  <c r="T256" i="135" s="1"/>
  <c r="N256" i="135" a="1"/>
  <c r="N256" i="135" s="1"/>
  <c r="Q256" i="135" a="1"/>
  <c r="Q256" i="135" s="1"/>
  <c r="P256" i="135" a="1"/>
  <c r="P256" i="135" s="1"/>
  <c r="W256" i="135" a="1"/>
  <c r="W256" i="135" s="1"/>
  <c r="AH256" i="135" a="1"/>
  <c r="AH256" i="135" s="1"/>
  <c r="AK256" i="135" a="1"/>
  <c r="AK256" i="135" s="1"/>
  <c r="AJ256" i="135" a="1"/>
  <c r="AJ256" i="135" s="1"/>
  <c r="AE256" i="135" a="1"/>
  <c r="AE256" i="135" s="1"/>
  <c r="S256" i="135" a="1"/>
  <c r="S256" i="135" s="1"/>
  <c r="AD256" i="135" a="1"/>
  <c r="AD256" i="135" s="1"/>
  <c r="AG256" i="135" a="1"/>
  <c r="AG256" i="135" s="1"/>
  <c r="AF256" i="135" a="1"/>
  <c r="AF256" i="135" s="1"/>
  <c r="O256" i="135" a="1"/>
  <c r="O256" i="135" s="1"/>
  <c r="AL256" i="135" a="1"/>
  <c r="AL256" i="135" s="1"/>
  <c r="F256" i="135" a="1"/>
  <c r="F256" i="135" s="1"/>
  <c r="I256" i="135" a="1"/>
  <c r="I256" i="135" s="1"/>
  <c r="H256" i="135" a="1"/>
  <c r="H256" i="135" s="1"/>
  <c r="AI256" i="135" a="1"/>
  <c r="AI256" i="135" s="1"/>
  <c r="E258" i="135" l="1" a="1"/>
  <c r="E258" i="135" s="1"/>
  <c r="D258" i="135" s="1"/>
  <c r="T257" i="135" a="1"/>
  <c r="T257" i="135" s="1"/>
  <c r="W257" i="135" a="1"/>
  <c r="W257" i="135" s="1"/>
  <c r="Z257" i="135" a="1"/>
  <c r="Z257" i="135" s="1"/>
  <c r="AK257" i="135" a="1"/>
  <c r="AK257" i="135" s="1"/>
  <c r="AB257" i="135" a="1"/>
  <c r="AB257" i="135" s="1"/>
  <c r="AE257" i="135" a="1"/>
  <c r="AE257" i="135" s="1"/>
  <c r="AH257" i="135" a="1"/>
  <c r="AH257" i="135" s="1"/>
  <c r="Y257" i="135" a="1"/>
  <c r="Y257" i="135" s="1"/>
  <c r="X257" i="135" a="1"/>
  <c r="X257" i="135" s="1"/>
  <c r="AA257" i="135" a="1"/>
  <c r="AA257" i="135" s="1"/>
  <c r="AD257" i="135" a="1"/>
  <c r="AD257" i="135" s="1"/>
  <c r="I257" i="135" a="1"/>
  <c r="I257" i="135" s="1"/>
  <c r="P257" i="135" a="1"/>
  <c r="P257" i="135" s="1"/>
  <c r="S257" i="135" a="1"/>
  <c r="S257" i="135" s="1"/>
  <c r="V257" i="135" a="1"/>
  <c r="V257" i="135" s="1"/>
  <c r="U257" i="135" a="1"/>
  <c r="U257" i="135" s="1"/>
  <c r="K257" i="135" a="1"/>
  <c r="K257" i="135" s="1"/>
  <c r="Q257" i="135" a="1"/>
  <c r="Q257" i="135" s="1"/>
  <c r="AF257" i="135" a="1"/>
  <c r="AF257" i="135" s="1"/>
  <c r="AL257" i="135" a="1"/>
  <c r="AL257" i="135" s="1"/>
  <c r="M257" i="135" a="1"/>
  <c r="M257" i="135" s="1"/>
  <c r="L257" i="135" a="1"/>
  <c r="L257" i="135" s="1"/>
  <c r="O257" i="135" a="1"/>
  <c r="O257" i="135" s="1"/>
  <c r="R257" i="135" a="1"/>
  <c r="R257" i="135" s="1"/>
  <c r="AG257" i="135" a="1"/>
  <c r="AG257" i="135" s="1"/>
  <c r="H257" i="135" a="1"/>
  <c r="H257" i="135" s="1"/>
  <c r="N257" i="135" a="1"/>
  <c r="N257" i="135" s="1"/>
  <c r="AI257" i="135" a="1"/>
  <c r="AI257" i="135" s="1"/>
  <c r="F257" i="135" a="1"/>
  <c r="F257" i="135" s="1"/>
  <c r="AJ257" i="135" a="1"/>
  <c r="AJ257" i="135" s="1"/>
  <c r="AM257" i="135" a="1"/>
  <c r="AM257" i="135" s="1"/>
  <c r="G257" i="135" a="1"/>
  <c r="G257" i="135" s="1"/>
  <c r="J257" i="135" a="1"/>
  <c r="J257" i="135" s="1"/>
  <c r="AC257" i="135" a="1"/>
  <c r="AC257" i="135" s="1"/>
  <c r="E259" i="135" l="1" a="1"/>
  <c r="E259" i="135" s="1"/>
  <c r="D259" i="135" s="1"/>
  <c r="P258" i="135" a="1"/>
  <c r="P258" i="135" s="1"/>
  <c r="K258" i="135" a="1"/>
  <c r="K258" i="135" s="1"/>
  <c r="N258" i="135" a="1"/>
  <c r="N258" i="135" s="1"/>
  <c r="Q258" i="135" a="1"/>
  <c r="Q258" i="135" s="1"/>
  <c r="AM258" i="135" a="1"/>
  <c r="AM258" i="135" s="1"/>
  <c r="G258" i="135" a="1"/>
  <c r="G258" i="135" s="1"/>
  <c r="J258" i="135" a="1"/>
  <c r="J258" i="135" s="1"/>
  <c r="M258" i="135" a="1"/>
  <c r="M258" i="135" s="1"/>
  <c r="AI258" i="135" a="1"/>
  <c r="AI258" i="135" s="1"/>
  <c r="AL258" i="135" a="1"/>
  <c r="AL258" i="135" s="1"/>
  <c r="F258" i="135" a="1"/>
  <c r="F258" i="135" s="1"/>
  <c r="I258" i="135" a="1"/>
  <c r="I258" i="135" s="1"/>
  <c r="AJ258" i="135" a="1"/>
  <c r="AJ258" i="135" s="1"/>
  <c r="AE258" i="135" a="1"/>
  <c r="AE258" i="135" s="1"/>
  <c r="AH258" i="135" a="1"/>
  <c r="AH258" i="135" s="1"/>
  <c r="AK258" i="135" a="1"/>
  <c r="AK258" i="135" s="1"/>
  <c r="H258" i="135" a="1"/>
  <c r="H258" i="135" s="1"/>
  <c r="AF258" i="135" a="1"/>
  <c r="AF258" i="135" s="1"/>
  <c r="AA258" i="135" a="1"/>
  <c r="AA258" i="135" s="1"/>
  <c r="AD258" i="135" a="1"/>
  <c r="AD258" i="135" s="1"/>
  <c r="AG258" i="135" a="1"/>
  <c r="AG258" i="135" s="1"/>
  <c r="L258" i="135" a="1"/>
  <c r="L258" i="135" s="1"/>
  <c r="AB258" i="135" a="1"/>
  <c r="AB258" i="135" s="1"/>
  <c r="W258" i="135" a="1"/>
  <c r="W258" i="135" s="1"/>
  <c r="Z258" i="135" a="1"/>
  <c r="Z258" i="135" s="1"/>
  <c r="AC258" i="135" a="1"/>
  <c r="AC258" i="135" s="1"/>
  <c r="X258" i="135" a="1"/>
  <c r="X258" i="135" s="1"/>
  <c r="S258" i="135" a="1"/>
  <c r="S258" i="135" s="1"/>
  <c r="V258" i="135" a="1"/>
  <c r="V258" i="135" s="1"/>
  <c r="Y258" i="135" a="1"/>
  <c r="Y258" i="135" s="1"/>
  <c r="T258" i="135" a="1"/>
  <c r="T258" i="135" s="1"/>
  <c r="O258" i="135" a="1"/>
  <c r="O258" i="135" s="1"/>
  <c r="R258" i="135" a="1"/>
  <c r="R258" i="135" s="1"/>
  <c r="U258" i="135" a="1"/>
  <c r="U258" i="135" s="1"/>
  <c r="E260" i="135" l="1" a="1"/>
  <c r="E260" i="135" s="1"/>
  <c r="D260" i="135" s="1"/>
  <c r="Y259" i="135" a="1"/>
  <c r="Y259" i="135" s="1"/>
  <c r="X259" i="135" a="1"/>
  <c r="X259" i="135" s="1"/>
  <c r="AA259" i="135" a="1"/>
  <c r="AA259" i="135" s="1"/>
  <c r="V259" i="135" a="1"/>
  <c r="V259" i="135" s="1"/>
  <c r="U259" i="135" a="1"/>
  <c r="U259" i="135" s="1"/>
  <c r="T259" i="135" a="1"/>
  <c r="T259" i="135" s="1"/>
  <c r="W259" i="135" a="1"/>
  <c r="W259" i="135" s="1"/>
  <c r="R259" i="135" a="1"/>
  <c r="R259" i="135" s="1"/>
  <c r="Q259" i="135" a="1"/>
  <c r="Q259" i="135" s="1"/>
  <c r="P259" i="135" a="1"/>
  <c r="P259" i="135" s="1"/>
  <c r="S259" i="135" a="1"/>
  <c r="S259" i="135" s="1"/>
  <c r="N259" i="135" a="1"/>
  <c r="N259" i="135" s="1"/>
  <c r="AG259" i="135" a="1"/>
  <c r="AG259" i="135" s="1"/>
  <c r="AF259" i="135" a="1"/>
  <c r="AF259" i="135" s="1"/>
  <c r="AI259" i="135" a="1"/>
  <c r="AI259" i="135" s="1"/>
  <c r="AD259" i="135" a="1"/>
  <c r="AD259" i="135" s="1"/>
  <c r="AH259" i="135" a="1"/>
  <c r="AH259" i="135" s="1"/>
  <c r="AC259" i="135" a="1"/>
  <c r="AC259" i="135" s="1"/>
  <c r="AE259" i="135" a="1"/>
  <c r="AE259" i="135" s="1"/>
  <c r="M259" i="135" a="1"/>
  <c r="M259" i="135" s="1"/>
  <c r="L259" i="135" a="1"/>
  <c r="L259" i="135" s="1"/>
  <c r="O259" i="135" a="1"/>
  <c r="O259" i="135" s="1"/>
  <c r="J259" i="135" a="1"/>
  <c r="J259" i="135" s="1"/>
  <c r="I259" i="135" a="1"/>
  <c r="I259" i="135" s="1"/>
  <c r="H259" i="135" a="1"/>
  <c r="H259" i="135" s="1"/>
  <c r="K259" i="135" a="1"/>
  <c r="K259" i="135" s="1"/>
  <c r="AL259" i="135" a="1"/>
  <c r="AL259" i="135" s="1"/>
  <c r="AB259" i="135" a="1"/>
  <c r="AB259" i="135" s="1"/>
  <c r="Z259" i="135" a="1"/>
  <c r="Z259" i="135" s="1"/>
  <c r="AK259" i="135" a="1"/>
  <c r="AK259" i="135" s="1"/>
  <c r="AJ259" i="135" a="1"/>
  <c r="AJ259" i="135" s="1"/>
  <c r="AM259" i="135" a="1"/>
  <c r="AM259" i="135" s="1"/>
  <c r="G259" i="135" a="1"/>
  <c r="G259" i="135" s="1"/>
  <c r="F259" i="135" a="1"/>
  <c r="F259" i="135" s="1"/>
  <c r="E261" i="135" l="1" a="1"/>
  <c r="E261" i="135" s="1"/>
  <c r="D261" i="135" s="1"/>
  <c r="Y260" i="135" a="1"/>
  <c r="Y260" i="135" s="1"/>
  <c r="X260" i="135" a="1"/>
  <c r="X260" i="135" s="1"/>
  <c r="AA260" i="135" a="1"/>
  <c r="AA260" i="135" s="1"/>
  <c r="AD260" i="135" a="1"/>
  <c r="AD260" i="135" s="1"/>
  <c r="AB260" i="135" a="1"/>
  <c r="AB260" i="135" s="1"/>
  <c r="AH260" i="135" a="1"/>
  <c r="AH260" i="135" s="1"/>
  <c r="U260" i="135" a="1"/>
  <c r="U260" i="135" s="1"/>
  <c r="T260" i="135" a="1"/>
  <c r="T260" i="135" s="1"/>
  <c r="W260" i="135" a="1"/>
  <c r="W260" i="135" s="1"/>
  <c r="Z260" i="135" a="1"/>
  <c r="Z260" i="135" s="1"/>
  <c r="Q260" i="135" a="1"/>
  <c r="Q260" i="135" s="1"/>
  <c r="P260" i="135" a="1"/>
  <c r="P260" i="135" s="1"/>
  <c r="S260" i="135" a="1"/>
  <c r="S260" i="135" s="1"/>
  <c r="V260" i="135" a="1"/>
  <c r="V260" i="135" s="1"/>
  <c r="M260" i="135" a="1"/>
  <c r="M260" i="135" s="1"/>
  <c r="L260" i="135" a="1"/>
  <c r="L260" i="135" s="1"/>
  <c r="O260" i="135" a="1"/>
  <c r="O260" i="135" s="1"/>
  <c r="R260" i="135" a="1"/>
  <c r="R260" i="135" s="1"/>
  <c r="I260" i="135" a="1"/>
  <c r="I260" i="135" s="1"/>
  <c r="H260" i="135" a="1"/>
  <c r="H260" i="135" s="1"/>
  <c r="K260" i="135" a="1"/>
  <c r="K260" i="135" s="1"/>
  <c r="N260" i="135" a="1"/>
  <c r="N260" i="135" s="1"/>
  <c r="AC260" i="135" a="1"/>
  <c r="AC260" i="135" s="1"/>
  <c r="AE260" i="135" a="1"/>
  <c r="AE260" i="135" s="1"/>
  <c r="AI260" i="135" a="1"/>
  <c r="AI260" i="135" s="1"/>
  <c r="AK260" i="135" a="1"/>
  <c r="AK260" i="135" s="1"/>
  <c r="AJ260" i="135" a="1"/>
  <c r="AJ260" i="135" s="1"/>
  <c r="AM260" i="135" a="1"/>
  <c r="AM260" i="135" s="1"/>
  <c r="G260" i="135" a="1"/>
  <c r="G260" i="135" s="1"/>
  <c r="J260" i="135" a="1"/>
  <c r="J260" i="135" s="1"/>
  <c r="AG260" i="135" a="1"/>
  <c r="AG260" i="135" s="1"/>
  <c r="AF260" i="135" a="1"/>
  <c r="AF260" i="135" s="1"/>
  <c r="AL260" i="135" a="1"/>
  <c r="AL260" i="135" s="1"/>
  <c r="F260" i="135" a="1"/>
  <c r="F260" i="135" s="1"/>
  <c r="E262" i="135" l="1" a="1"/>
  <c r="E262" i="135" s="1"/>
  <c r="D262" i="135" s="1"/>
  <c r="Z261" i="135" a="1"/>
  <c r="Z261" i="135" s="1"/>
  <c r="AC261" i="135" a="1"/>
  <c r="AC261" i="135" s="1"/>
  <c r="AB261" i="135" a="1"/>
  <c r="AB261" i="135" s="1"/>
  <c r="O261" i="135" a="1"/>
  <c r="O261" i="135" s="1"/>
  <c r="V261" i="135" a="1"/>
  <c r="V261" i="135" s="1"/>
  <c r="Y261" i="135" a="1"/>
  <c r="Y261" i="135" s="1"/>
  <c r="X261" i="135" a="1"/>
  <c r="X261" i="135" s="1"/>
  <c r="K261" i="135" a="1"/>
  <c r="K261" i="135" s="1"/>
  <c r="R261" i="135" a="1"/>
  <c r="R261" i="135" s="1"/>
  <c r="U261" i="135" a="1"/>
  <c r="U261" i="135" s="1"/>
  <c r="T261" i="135" a="1"/>
  <c r="T261" i="135" s="1"/>
  <c r="AM261" i="135" a="1"/>
  <c r="AM261" i="135" s="1"/>
  <c r="AD261" i="135" a="1"/>
  <c r="AD261" i="135" s="1"/>
  <c r="AG261" i="135" a="1"/>
  <c r="AG261" i="135" s="1"/>
  <c r="AF261" i="135" a="1"/>
  <c r="AF261" i="135" s="1"/>
  <c r="S261" i="135" a="1"/>
  <c r="S261" i="135" s="1"/>
  <c r="N261" i="135" a="1"/>
  <c r="N261" i="135" s="1"/>
  <c r="Q261" i="135" a="1"/>
  <c r="Q261" i="135" s="1"/>
  <c r="P261" i="135" a="1"/>
  <c r="P261" i="135" s="1"/>
  <c r="G261" i="135" a="1"/>
  <c r="G261" i="135" s="1"/>
  <c r="J261" i="135" a="1"/>
  <c r="J261" i="135" s="1"/>
  <c r="M261" i="135" a="1"/>
  <c r="M261" i="135" s="1"/>
  <c r="L261" i="135" a="1"/>
  <c r="L261" i="135" s="1"/>
  <c r="AI261" i="135" a="1"/>
  <c r="AI261" i="135" s="1"/>
  <c r="AH261" i="135" a="1"/>
  <c r="AH261" i="135" s="1"/>
  <c r="AK261" i="135" a="1"/>
  <c r="AK261" i="135" s="1"/>
  <c r="AJ261" i="135" a="1"/>
  <c r="AJ261" i="135" s="1"/>
  <c r="W261" i="135" a="1"/>
  <c r="W261" i="135" s="1"/>
  <c r="AA261" i="135" a="1"/>
  <c r="AA261" i="135" s="1"/>
  <c r="AL261" i="135" a="1"/>
  <c r="AL261" i="135" s="1"/>
  <c r="F261" i="135" a="1"/>
  <c r="F261" i="135" s="1"/>
  <c r="I261" i="135" a="1"/>
  <c r="I261" i="135" s="1"/>
  <c r="H261" i="135" a="1"/>
  <c r="H261" i="135" s="1"/>
  <c r="AE261" i="135" a="1"/>
  <c r="AE261" i="135" s="1"/>
  <c r="E263" i="135" l="1" a="1"/>
  <c r="E263" i="135" s="1"/>
  <c r="D263" i="135" s="1"/>
  <c r="Z262" i="135" a="1"/>
  <c r="Z262" i="135" s="1"/>
  <c r="AC262" i="135" a="1"/>
  <c r="AC262" i="135" s="1"/>
  <c r="AB262" i="135" a="1"/>
  <c r="AB262" i="135" s="1"/>
  <c r="AE262" i="135" a="1"/>
  <c r="AE262" i="135" s="1"/>
  <c r="V262" i="135" a="1"/>
  <c r="V262" i="135" s="1"/>
  <c r="Y262" i="135" a="1"/>
  <c r="Y262" i="135" s="1"/>
  <c r="X262" i="135" a="1"/>
  <c r="X262" i="135" s="1"/>
  <c r="AA262" i="135" a="1"/>
  <c r="AA262" i="135" s="1"/>
  <c r="U262" i="135" a="1"/>
  <c r="U262" i="135" s="1"/>
  <c r="T262" i="135" a="1"/>
  <c r="T262" i="135" s="1"/>
  <c r="R262" i="135" a="1"/>
  <c r="R262" i="135" s="1"/>
  <c r="W262" i="135" a="1"/>
  <c r="W262" i="135" s="1"/>
  <c r="N262" i="135" a="1"/>
  <c r="N262" i="135" s="1"/>
  <c r="Q262" i="135" a="1"/>
  <c r="Q262" i="135" s="1"/>
  <c r="S262" i="135" a="1"/>
  <c r="S262" i="135" s="1"/>
  <c r="J262" i="135" a="1"/>
  <c r="J262" i="135" s="1"/>
  <c r="M262" i="135" a="1"/>
  <c r="M262" i="135" s="1"/>
  <c r="L262" i="135" a="1"/>
  <c r="L262" i="135" s="1"/>
  <c r="O262" i="135" a="1"/>
  <c r="O262" i="135" s="1"/>
  <c r="F262" i="135" a="1"/>
  <c r="F262" i="135" s="1"/>
  <c r="I262" i="135" a="1"/>
  <c r="I262" i="135" s="1"/>
  <c r="K262" i="135" a="1"/>
  <c r="K262" i="135" s="1"/>
  <c r="P262" i="135" a="1"/>
  <c r="P262" i="135" s="1"/>
  <c r="AL262" i="135" a="1"/>
  <c r="AL262" i="135" s="1"/>
  <c r="H262" i="135" a="1"/>
  <c r="H262" i="135" s="1"/>
  <c r="AD262" i="135" a="1"/>
  <c r="AD262" i="135" s="1"/>
  <c r="AG262" i="135" a="1"/>
  <c r="AG262" i="135" s="1"/>
  <c r="AF262" i="135" a="1"/>
  <c r="AF262" i="135" s="1"/>
  <c r="AI262" i="135" a="1"/>
  <c r="AI262" i="135" s="1"/>
  <c r="AH262" i="135" a="1"/>
  <c r="AH262" i="135" s="1"/>
  <c r="AM262" i="135" a="1"/>
  <c r="AM262" i="135" s="1"/>
  <c r="AK262" i="135" a="1"/>
  <c r="AK262" i="135" s="1"/>
  <c r="AJ262" i="135" a="1"/>
  <c r="AJ262" i="135" s="1"/>
  <c r="G262" i="135" a="1"/>
  <c r="G262" i="135" s="1"/>
  <c r="E264" i="135" l="1" a="1"/>
  <c r="E264" i="135" s="1"/>
  <c r="D264" i="135" s="1"/>
  <c r="AA263" i="135" a="1"/>
  <c r="AA263" i="135" s="1"/>
  <c r="AG263" i="135" a="1"/>
  <c r="AG263" i="135" s="1"/>
  <c r="W263" i="135" a="1"/>
  <c r="W263" i="135" s="1"/>
  <c r="Z263" i="135" a="1"/>
  <c r="Z263" i="135" s="1"/>
  <c r="AC263" i="135" a="1"/>
  <c r="AC263" i="135" s="1"/>
  <c r="H263" i="135" a="1"/>
  <c r="H263" i="135" s="1"/>
  <c r="S263" i="135" a="1"/>
  <c r="S263" i="135" s="1"/>
  <c r="V263" i="135" a="1"/>
  <c r="V263" i="135" s="1"/>
  <c r="Y263" i="135" a="1"/>
  <c r="Y263" i="135" s="1"/>
  <c r="AJ263" i="135" a="1"/>
  <c r="AJ263" i="135" s="1"/>
  <c r="O263" i="135" a="1"/>
  <c r="O263" i="135" s="1"/>
  <c r="R263" i="135" a="1"/>
  <c r="R263" i="135" s="1"/>
  <c r="U263" i="135" a="1"/>
  <c r="U263" i="135" s="1"/>
  <c r="AF263" i="135" a="1"/>
  <c r="AF263" i="135" s="1"/>
  <c r="K263" i="135" a="1"/>
  <c r="K263" i="135" s="1"/>
  <c r="N263" i="135" a="1"/>
  <c r="N263" i="135" s="1"/>
  <c r="Q263" i="135" a="1"/>
  <c r="Q263" i="135" s="1"/>
  <c r="AB263" i="135" a="1"/>
  <c r="AB263" i="135" s="1"/>
  <c r="AL263" i="135" a="1"/>
  <c r="AL263" i="135" s="1"/>
  <c r="F263" i="135" a="1"/>
  <c r="F263" i="135" s="1"/>
  <c r="I263" i="135" a="1"/>
  <c r="I263" i="135" s="1"/>
  <c r="T263" i="135" a="1"/>
  <c r="T263" i="135" s="1"/>
  <c r="AE263" i="135" a="1"/>
  <c r="AE263" i="135" s="1"/>
  <c r="AH263" i="135" a="1"/>
  <c r="AH263" i="135" s="1"/>
  <c r="AK263" i="135" a="1"/>
  <c r="AK263" i="135" s="1"/>
  <c r="P263" i="135" a="1"/>
  <c r="P263" i="135" s="1"/>
  <c r="AD263" i="135" a="1"/>
  <c r="AD263" i="135" s="1"/>
  <c r="L263" i="135" a="1"/>
  <c r="L263" i="135" s="1"/>
  <c r="AI263" i="135" a="1"/>
  <c r="AI263" i="135" s="1"/>
  <c r="AM263" i="135" a="1"/>
  <c r="AM263" i="135" s="1"/>
  <c r="G263" i="135" a="1"/>
  <c r="G263" i="135" s="1"/>
  <c r="J263" i="135" a="1"/>
  <c r="J263" i="135" s="1"/>
  <c r="M263" i="135" a="1"/>
  <c r="M263" i="135" s="1"/>
  <c r="X263" i="135" a="1"/>
  <c r="X263" i="135" s="1"/>
  <c r="E265" i="135" l="1" a="1"/>
  <c r="E265" i="135" s="1"/>
  <c r="D265" i="135" s="1"/>
  <c r="AA264" i="135" a="1"/>
  <c r="AA264" i="135" s="1"/>
  <c r="AD264" i="135" a="1"/>
  <c r="AD264" i="135" s="1"/>
  <c r="AG264" i="135" a="1"/>
  <c r="AG264" i="135" s="1"/>
  <c r="AF264" i="135" a="1"/>
  <c r="AF264" i="135" s="1"/>
  <c r="Y264" i="135" a="1"/>
  <c r="Y264" i="135" s="1"/>
  <c r="W264" i="135" a="1"/>
  <c r="W264" i="135" s="1"/>
  <c r="Z264" i="135" a="1"/>
  <c r="Z264" i="135" s="1"/>
  <c r="AC264" i="135" a="1"/>
  <c r="AC264" i="135" s="1"/>
  <c r="AB264" i="135" a="1"/>
  <c r="AB264" i="135" s="1"/>
  <c r="S264" i="135" a="1"/>
  <c r="S264" i="135" s="1"/>
  <c r="V264" i="135" a="1"/>
  <c r="V264" i="135" s="1"/>
  <c r="O264" i="135" a="1"/>
  <c r="O264" i="135" s="1"/>
  <c r="R264" i="135" a="1"/>
  <c r="R264" i="135" s="1"/>
  <c r="U264" i="135" a="1"/>
  <c r="U264" i="135" s="1"/>
  <c r="T264" i="135" a="1"/>
  <c r="T264" i="135" s="1"/>
  <c r="K264" i="135" a="1"/>
  <c r="K264" i="135" s="1"/>
  <c r="N264" i="135" a="1"/>
  <c r="N264" i="135" s="1"/>
  <c r="Q264" i="135" a="1"/>
  <c r="Q264" i="135" s="1"/>
  <c r="P264" i="135" a="1"/>
  <c r="P264" i="135" s="1"/>
  <c r="AE264" i="135" a="1"/>
  <c r="AE264" i="135" s="1"/>
  <c r="AH264" i="135" a="1"/>
  <c r="AH264" i="135" s="1"/>
  <c r="AK264" i="135" a="1"/>
  <c r="AK264" i="135" s="1"/>
  <c r="AJ264" i="135" a="1"/>
  <c r="AJ264" i="135" s="1"/>
  <c r="X264" i="135" a="1"/>
  <c r="X264" i="135" s="1"/>
  <c r="AM264" i="135" a="1"/>
  <c r="AM264" i="135" s="1"/>
  <c r="G264" i="135" a="1"/>
  <c r="G264" i="135" s="1"/>
  <c r="J264" i="135" a="1"/>
  <c r="J264" i="135" s="1"/>
  <c r="M264" i="135" a="1"/>
  <c r="M264" i="135" s="1"/>
  <c r="L264" i="135" a="1"/>
  <c r="L264" i="135" s="1"/>
  <c r="AI264" i="135" a="1"/>
  <c r="AI264" i="135" s="1"/>
  <c r="AL264" i="135" a="1"/>
  <c r="AL264" i="135" s="1"/>
  <c r="F264" i="135" a="1"/>
  <c r="F264" i="135" s="1"/>
  <c r="I264" i="135" a="1"/>
  <c r="I264" i="135" s="1"/>
  <c r="H264" i="135" a="1"/>
  <c r="H264" i="135" s="1"/>
  <c r="E266" i="135" l="1" a="1"/>
  <c r="E266" i="135" s="1"/>
  <c r="D266" i="135" s="1"/>
  <c r="P265" i="135" a="1"/>
  <c r="P265" i="135" s="1"/>
  <c r="S265" i="135" a="1"/>
  <c r="S265" i="135" s="1"/>
  <c r="V265" i="135" a="1"/>
  <c r="V265" i="135" s="1"/>
  <c r="AC265" i="135" a="1"/>
  <c r="AC265" i="135" s="1"/>
  <c r="X265" i="135" a="1"/>
  <c r="X265" i="135" s="1"/>
  <c r="AD265" i="135" a="1"/>
  <c r="AD265" i="135" s="1"/>
  <c r="AK265" i="135" a="1"/>
  <c r="AK265" i="135" s="1"/>
  <c r="T265" i="135" a="1"/>
  <c r="T265" i="135" s="1"/>
  <c r="W265" i="135" a="1"/>
  <c r="W265" i="135" s="1"/>
  <c r="Z265" i="135" a="1"/>
  <c r="Z265" i="135" s="1"/>
  <c r="AG265" i="135" a="1"/>
  <c r="AG265" i="135" s="1"/>
  <c r="L265" i="135" a="1"/>
  <c r="L265" i="135" s="1"/>
  <c r="O265" i="135" a="1"/>
  <c r="O265" i="135" s="1"/>
  <c r="R265" i="135" a="1"/>
  <c r="R265" i="135" s="1"/>
  <c r="Y265" i="135" a="1"/>
  <c r="Y265" i="135" s="1"/>
  <c r="H265" i="135" a="1"/>
  <c r="H265" i="135" s="1"/>
  <c r="K265" i="135" a="1"/>
  <c r="K265" i="135" s="1"/>
  <c r="N265" i="135" a="1"/>
  <c r="N265" i="135" s="1"/>
  <c r="U265" i="135" a="1"/>
  <c r="U265" i="135" s="1"/>
  <c r="AA265" i="135" a="1"/>
  <c r="AA265" i="135" s="1"/>
  <c r="AJ265" i="135" a="1"/>
  <c r="AJ265" i="135" s="1"/>
  <c r="AM265" i="135" a="1"/>
  <c r="AM265" i="135" s="1"/>
  <c r="G265" i="135" a="1"/>
  <c r="G265" i="135" s="1"/>
  <c r="J265" i="135" a="1"/>
  <c r="J265" i="135" s="1"/>
  <c r="Q265" i="135" a="1"/>
  <c r="Q265" i="135" s="1"/>
  <c r="AF265" i="135" a="1"/>
  <c r="AF265" i="135" s="1"/>
  <c r="AI265" i="135" a="1"/>
  <c r="AI265" i="135" s="1"/>
  <c r="AL265" i="135" a="1"/>
  <c r="AL265" i="135" s="1"/>
  <c r="F265" i="135" a="1"/>
  <c r="F265" i="135" s="1"/>
  <c r="M265" i="135" a="1"/>
  <c r="M265" i="135" s="1"/>
  <c r="AB265" i="135" a="1"/>
  <c r="AB265" i="135" s="1"/>
  <c r="AE265" i="135" a="1"/>
  <c r="AE265" i="135" s="1"/>
  <c r="AH265" i="135" a="1"/>
  <c r="AH265" i="135" s="1"/>
  <c r="I265" i="135" a="1"/>
  <c r="I265" i="135" s="1"/>
  <c r="E267" i="135" l="1" a="1"/>
  <c r="E267" i="135" s="1"/>
  <c r="D267" i="135" s="1"/>
  <c r="X266" i="135" a="1"/>
  <c r="X266" i="135" s="1"/>
  <c r="AA266" i="135" a="1"/>
  <c r="AA266" i="135" s="1"/>
  <c r="AD266" i="135" a="1"/>
  <c r="AD266" i="135" s="1"/>
  <c r="AG266" i="135" a="1"/>
  <c r="AG266" i="135" s="1"/>
  <c r="T266" i="135" a="1"/>
  <c r="T266" i="135" s="1"/>
  <c r="W266" i="135" a="1"/>
  <c r="W266" i="135" s="1"/>
  <c r="Z266" i="135" a="1"/>
  <c r="Z266" i="135" s="1"/>
  <c r="AC266" i="135" a="1"/>
  <c r="AC266" i="135" s="1"/>
  <c r="P266" i="135" a="1"/>
  <c r="P266" i="135" s="1"/>
  <c r="S266" i="135" a="1"/>
  <c r="S266" i="135" s="1"/>
  <c r="V266" i="135" a="1"/>
  <c r="V266" i="135" s="1"/>
  <c r="Y266" i="135" a="1"/>
  <c r="Y266" i="135" s="1"/>
  <c r="AB266" i="135" a="1"/>
  <c r="AB266" i="135" s="1"/>
  <c r="AE266" i="135" a="1"/>
  <c r="AE266" i="135" s="1"/>
  <c r="AH266" i="135" a="1"/>
  <c r="AH266" i="135" s="1"/>
  <c r="AK266" i="135" a="1"/>
  <c r="AK266" i="135" s="1"/>
  <c r="L266" i="135" a="1"/>
  <c r="L266" i="135" s="1"/>
  <c r="O266" i="135" a="1"/>
  <c r="O266" i="135" s="1"/>
  <c r="R266" i="135" a="1"/>
  <c r="R266" i="135" s="1"/>
  <c r="U266" i="135" a="1"/>
  <c r="U266" i="135" s="1"/>
  <c r="H266" i="135" a="1"/>
  <c r="H266" i="135" s="1"/>
  <c r="K266" i="135" a="1"/>
  <c r="K266" i="135" s="1"/>
  <c r="N266" i="135" a="1"/>
  <c r="N266" i="135" s="1"/>
  <c r="Q266" i="135" a="1"/>
  <c r="Q266" i="135" s="1"/>
  <c r="AJ266" i="135" a="1"/>
  <c r="AJ266" i="135" s="1"/>
  <c r="AM266" i="135" a="1"/>
  <c r="AM266" i="135" s="1"/>
  <c r="G266" i="135" a="1"/>
  <c r="G266" i="135" s="1"/>
  <c r="J266" i="135" a="1"/>
  <c r="J266" i="135" s="1"/>
  <c r="M266" i="135" a="1"/>
  <c r="M266" i="135" s="1"/>
  <c r="AF266" i="135" a="1"/>
  <c r="AF266" i="135" s="1"/>
  <c r="AI266" i="135" a="1"/>
  <c r="AI266" i="135" s="1"/>
  <c r="AL266" i="135" a="1"/>
  <c r="AL266" i="135" s="1"/>
  <c r="F266" i="135" a="1"/>
  <c r="F266" i="135" s="1"/>
  <c r="I266" i="135" a="1"/>
  <c r="I266" i="135" s="1"/>
  <c r="E268" i="135" l="1" a="1"/>
  <c r="E268" i="135" s="1"/>
  <c r="D268" i="135" s="1"/>
  <c r="U267" i="135" a="1"/>
  <c r="U267" i="135" s="1"/>
  <c r="T267" i="135" a="1"/>
  <c r="T267" i="135" s="1"/>
  <c r="W267" i="135" a="1"/>
  <c r="W267" i="135" s="1"/>
  <c r="V267" i="135" a="1"/>
  <c r="V267" i="135" s="1"/>
  <c r="Q267" i="135" a="1"/>
  <c r="Q267" i="135" s="1"/>
  <c r="P267" i="135" a="1"/>
  <c r="P267" i="135" s="1"/>
  <c r="S267" i="135" a="1"/>
  <c r="S267" i="135" s="1"/>
  <c r="R267" i="135" a="1"/>
  <c r="R267" i="135" s="1"/>
  <c r="AG267" i="135" a="1"/>
  <c r="AG267" i="135" s="1"/>
  <c r="AF267" i="135" a="1"/>
  <c r="AF267" i="135" s="1"/>
  <c r="AI267" i="135" a="1"/>
  <c r="AI267" i="135" s="1"/>
  <c r="AH267" i="135" a="1"/>
  <c r="AH267" i="135" s="1"/>
  <c r="F267" i="135" a="1"/>
  <c r="F267" i="135" s="1"/>
  <c r="Y267" i="135" a="1"/>
  <c r="Y267" i="135" s="1"/>
  <c r="X267" i="135" a="1"/>
  <c r="X267" i="135" s="1"/>
  <c r="AA267" i="135" a="1"/>
  <c r="AA267" i="135" s="1"/>
  <c r="Z267" i="135" a="1"/>
  <c r="Z267" i="135" s="1"/>
  <c r="M267" i="135" a="1"/>
  <c r="M267" i="135" s="1"/>
  <c r="L267" i="135" a="1"/>
  <c r="L267" i="135" s="1"/>
  <c r="O267" i="135" a="1"/>
  <c r="O267" i="135" s="1"/>
  <c r="N267" i="135" a="1"/>
  <c r="N267" i="135" s="1"/>
  <c r="I267" i="135" a="1"/>
  <c r="I267" i="135" s="1"/>
  <c r="H267" i="135" a="1"/>
  <c r="H267" i="135" s="1"/>
  <c r="K267" i="135" a="1"/>
  <c r="K267" i="135" s="1"/>
  <c r="J267" i="135" a="1"/>
  <c r="J267" i="135" s="1"/>
  <c r="AK267" i="135" a="1"/>
  <c r="AK267" i="135" s="1"/>
  <c r="AJ267" i="135" a="1"/>
  <c r="AJ267" i="135" s="1"/>
  <c r="AM267" i="135" a="1"/>
  <c r="AM267" i="135" s="1"/>
  <c r="G267" i="135" a="1"/>
  <c r="G267" i="135" s="1"/>
  <c r="AL267" i="135" a="1"/>
  <c r="AL267" i="135" s="1"/>
  <c r="AC267" i="135" a="1"/>
  <c r="AC267" i="135" s="1"/>
  <c r="AB267" i="135" a="1"/>
  <c r="AB267" i="135" s="1"/>
  <c r="AE267" i="135" a="1"/>
  <c r="AE267" i="135" s="1"/>
  <c r="AD267" i="135" a="1"/>
  <c r="AD267" i="135" s="1"/>
  <c r="E269" i="135" l="1" a="1"/>
  <c r="E269" i="135" s="1"/>
  <c r="D269" i="135" s="1"/>
  <c r="U268" i="135" a="1"/>
  <c r="U268" i="135" s="1"/>
  <c r="T268" i="135" a="1"/>
  <c r="T268" i="135" s="1"/>
  <c r="W268" i="135" a="1"/>
  <c r="W268" i="135" s="1"/>
  <c r="Z268" i="135" a="1"/>
  <c r="Z268" i="135" s="1"/>
  <c r="Q268" i="135" a="1"/>
  <c r="Q268" i="135" s="1"/>
  <c r="P268" i="135" a="1"/>
  <c r="P268" i="135" s="1"/>
  <c r="S268" i="135" a="1"/>
  <c r="S268" i="135" s="1"/>
  <c r="V268" i="135" a="1"/>
  <c r="V268" i="135" s="1"/>
  <c r="I268" i="135" a="1"/>
  <c r="I268" i="135" s="1"/>
  <c r="H268" i="135" a="1"/>
  <c r="H268" i="135" s="1"/>
  <c r="K268" i="135" a="1"/>
  <c r="K268" i="135" s="1"/>
  <c r="N268" i="135" a="1"/>
  <c r="N268" i="135" s="1"/>
  <c r="AC268" i="135" a="1"/>
  <c r="AC268" i="135" s="1"/>
  <c r="AB268" i="135" a="1"/>
  <c r="AB268" i="135" s="1"/>
  <c r="AE268" i="135" a="1"/>
  <c r="AE268" i="135" s="1"/>
  <c r="AH268" i="135" a="1"/>
  <c r="AH268" i="135" s="1"/>
  <c r="Y268" i="135" a="1"/>
  <c r="Y268" i="135" s="1"/>
  <c r="X268" i="135" a="1"/>
  <c r="X268" i="135" s="1"/>
  <c r="AA268" i="135" a="1"/>
  <c r="AA268" i="135" s="1"/>
  <c r="AD268" i="135" a="1"/>
  <c r="AD268" i="135" s="1"/>
  <c r="M268" i="135" a="1"/>
  <c r="M268" i="135" s="1"/>
  <c r="L268" i="135" a="1"/>
  <c r="L268" i="135" s="1"/>
  <c r="O268" i="135" a="1"/>
  <c r="O268" i="135" s="1"/>
  <c r="R268" i="135" a="1"/>
  <c r="R268" i="135" s="1"/>
  <c r="AK268" i="135" a="1"/>
  <c r="AK268" i="135" s="1"/>
  <c r="AJ268" i="135" a="1"/>
  <c r="AJ268" i="135" s="1"/>
  <c r="AM268" i="135" a="1"/>
  <c r="AM268" i="135" s="1"/>
  <c r="G268" i="135" a="1"/>
  <c r="G268" i="135" s="1"/>
  <c r="J268" i="135" a="1"/>
  <c r="J268" i="135" s="1"/>
  <c r="AG268" i="135" a="1"/>
  <c r="AG268" i="135" s="1"/>
  <c r="AF268" i="135" a="1"/>
  <c r="AF268" i="135" s="1"/>
  <c r="AI268" i="135" a="1"/>
  <c r="AI268" i="135" s="1"/>
  <c r="AL268" i="135" a="1"/>
  <c r="AL268" i="135" s="1"/>
  <c r="F268" i="135" a="1"/>
  <c r="F268" i="135" s="1"/>
  <c r="E270" i="135" l="1" a="1"/>
  <c r="E270" i="135" s="1"/>
  <c r="D270" i="135" s="1"/>
  <c r="Z269" i="135" a="1"/>
  <c r="Z269" i="135" s="1"/>
  <c r="AC269" i="135" a="1"/>
  <c r="AC269" i="135" s="1"/>
  <c r="AB269" i="135" a="1"/>
  <c r="AB269" i="135" s="1"/>
  <c r="S269" i="135" a="1"/>
  <c r="S269" i="135" s="1"/>
  <c r="J269" i="135" a="1"/>
  <c r="J269" i="135" s="1"/>
  <c r="M269" i="135" a="1"/>
  <c r="M269" i="135" s="1"/>
  <c r="L269" i="135" a="1"/>
  <c r="L269" i="135" s="1"/>
  <c r="G269" i="135" a="1"/>
  <c r="G269" i="135" s="1"/>
  <c r="V269" i="135" a="1"/>
  <c r="V269" i="135" s="1"/>
  <c r="Y269" i="135" a="1"/>
  <c r="Y269" i="135" s="1"/>
  <c r="X269" i="135" a="1"/>
  <c r="X269" i="135" s="1"/>
  <c r="O269" i="135" a="1"/>
  <c r="O269" i="135" s="1"/>
  <c r="R269" i="135" a="1"/>
  <c r="R269" i="135" s="1"/>
  <c r="U269" i="135" a="1"/>
  <c r="U269" i="135" s="1"/>
  <c r="T269" i="135" a="1"/>
  <c r="T269" i="135" s="1"/>
  <c r="K269" i="135" a="1"/>
  <c r="K269" i="135" s="1"/>
  <c r="N269" i="135" a="1"/>
  <c r="N269" i="135" s="1"/>
  <c r="Q269" i="135" a="1"/>
  <c r="Q269" i="135" s="1"/>
  <c r="P269" i="135" a="1"/>
  <c r="P269" i="135" s="1"/>
  <c r="AM269" i="135" a="1"/>
  <c r="AM269" i="135" s="1"/>
  <c r="AH269" i="135" a="1"/>
  <c r="AH269" i="135" s="1"/>
  <c r="AK269" i="135" a="1"/>
  <c r="AK269" i="135" s="1"/>
  <c r="AJ269" i="135" a="1"/>
  <c r="AJ269" i="135" s="1"/>
  <c r="AA269" i="135" a="1"/>
  <c r="AA269" i="135" s="1"/>
  <c r="AE269" i="135" a="1"/>
  <c r="AE269" i="135" s="1"/>
  <c r="AD269" i="135" a="1"/>
  <c r="AD269" i="135" s="1"/>
  <c r="AG269" i="135" a="1"/>
  <c r="AG269" i="135" s="1"/>
  <c r="AF269" i="135" a="1"/>
  <c r="AF269" i="135" s="1"/>
  <c r="W269" i="135" a="1"/>
  <c r="W269" i="135" s="1"/>
  <c r="AL269" i="135" a="1"/>
  <c r="AL269" i="135" s="1"/>
  <c r="F269" i="135" a="1"/>
  <c r="F269" i="135" s="1"/>
  <c r="I269" i="135" a="1"/>
  <c r="I269" i="135" s="1"/>
  <c r="H269" i="135" a="1"/>
  <c r="H269" i="135" s="1"/>
  <c r="AI269" i="135" a="1"/>
  <c r="AI269" i="135" s="1"/>
  <c r="E271" i="135" l="1" a="1"/>
  <c r="E271" i="135" s="1"/>
  <c r="D271" i="135" s="1"/>
  <c r="Z270" i="135" a="1"/>
  <c r="Z270" i="135" s="1"/>
  <c r="AC270" i="135" a="1"/>
  <c r="AC270" i="135" s="1"/>
  <c r="AB270" i="135" a="1"/>
  <c r="AB270" i="135" s="1"/>
  <c r="AE270" i="135" a="1"/>
  <c r="AE270" i="135" s="1"/>
  <c r="V270" i="135" a="1"/>
  <c r="V270" i="135" s="1"/>
  <c r="Y270" i="135" a="1"/>
  <c r="Y270" i="135" s="1"/>
  <c r="X270" i="135" a="1"/>
  <c r="X270" i="135" s="1"/>
  <c r="AA270" i="135" a="1"/>
  <c r="AA270" i="135" s="1"/>
  <c r="R270" i="135" a="1"/>
  <c r="R270" i="135" s="1"/>
  <c r="U270" i="135" a="1"/>
  <c r="U270" i="135" s="1"/>
  <c r="T270" i="135" a="1"/>
  <c r="T270" i="135" s="1"/>
  <c r="W270" i="135" a="1"/>
  <c r="W270" i="135" s="1"/>
  <c r="Q270" i="135" a="1"/>
  <c r="Q270" i="135" s="1"/>
  <c r="P270" i="135" a="1"/>
  <c r="P270" i="135" s="1"/>
  <c r="S270" i="135" a="1"/>
  <c r="S270" i="135" s="1"/>
  <c r="N270" i="135" a="1"/>
  <c r="N270" i="135" s="1"/>
  <c r="J270" i="135" a="1"/>
  <c r="J270" i="135" s="1"/>
  <c r="M270" i="135" a="1"/>
  <c r="M270" i="135" s="1"/>
  <c r="L270" i="135" a="1"/>
  <c r="L270" i="135" s="1"/>
  <c r="O270" i="135" a="1"/>
  <c r="O270" i="135" s="1"/>
  <c r="AH270" i="135" a="1"/>
  <c r="AH270" i="135" s="1"/>
  <c r="AK270" i="135" a="1"/>
  <c r="AK270" i="135" s="1"/>
  <c r="AJ270" i="135" a="1"/>
  <c r="AJ270" i="135" s="1"/>
  <c r="AM270" i="135" a="1"/>
  <c r="AM270" i="135" s="1"/>
  <c r="G270" i="135" a="1"/>
  <c r="G270" i="135" s="1"/>
  <c r="AL270" i="135" a="1"/>
  <c r="AL270" i="135" s="1"/>
  <c r="F270" i="135" a="1"/>
  <c r="F270" i="135" s="1"/>
  <c r="I270" i="135" a="1"/>
  <c r="I270" i="135" s="1"/>
  <c r="H270" i="135" a="1"/>
  <c r="H270" i="135" s="1"/>
  <c r="K270" i="135" a="1"/>
  <c r="K270" i="135" s="1"/>
  <c r="AD270" i="135" a="1"/>
  <c r="AD270" i="135" s="1"/>
  <c r="AG270" i="135" a="1"/>
  <c r="AG270" i="135" s="1"/>
  <c r="AF270" i="135" a="1"/>
  <c r="AF270" i="135" s="1"/>
  <c r="AI270" i="135" a="1"/>
  <c r="AI270" i="135" s="1"/>
  <c r="E272" i="135" l="1" a="1"/>
  <c r="E272" i="135" s="1"/>
  <c r="D272" i="135" s="1"/>
  <c r="W271" i="135" a="1"/>
  <c r="W271" i="135" s="1"/>
  <c r="Z271" i="135" a="1"/>
  <c r="Z271" i="135" s="1"/>
  <c r="AC271" i="135" a="1"/>
  <c r="AC271" i="135" s="1"/>
  <c r="L271" i="135" a="1"/>
  <c r="L271" i="135" s="1"/>
  <c r="S271" i="135" a="1"/>
  <c r="S271" i="135" s="1"/>
  <c r="V271" i="135" a="1"/>
  <c r="V271" i="135" s="1"/>
  <c r="Y271" i="135" a="1"/>
  <c r="Y271" i="135" s="1"/>
  <c r="H271" i="135" a="1"/>
  <c r="H271" i="135" s="1"/>
  <c r="O271" i="135" a="1"/>
  <c r="O271" i="135" s="1"/>
  <c r="R271" i="135" a="1"/>
  <c r="R271" i="135" s="1"/>
  <c r="U271" i="135" a="1"/>
  <c r="U271" i="135" s="1"/>
  <c r="AJ271" i="135" a="1"/>
  <c r="AJ271" i="135" s="1"/>
  <c r="K271" i="135" a="1"/>
  <c r="K271" i="135" s="1"/>
  <c r="N271" i="135" a="1"/>
  <c r="N271" i="135" s="1"/>
  <c r="Q271" i="135" a="1"/>
  <c r="Q271" i="135" s="1"/>
  <c r="AF271" i="135" a="1"/>
  <c r="AF271" i="135" s="1"/>
  <c r="AM271" i="135" a="1"/>
  <c r="AM271" i="135" s="1"/>
  <c r="G271" i="135" a="1"/>
  <c r="G271" i="135" s="1"/>
  <c r="J271" i="135" a="1"/>
  <c r="J271" i="135" s="1"/>
  <c r="M271" i="135" a="1"/>
  <c r="M271" i="135" s="1"/>
  <c r="AB271" i="135" a="1"/>
  <c r="AB271" i="135" s="1"/>
  <c r="AI271" i="135" a="1"/>
  <c r="AI271" i="135" s="1"/>
  <c r="AL271" i="135" a="1"/>
  <c r="AL271" i="135" s="1"/>
  <c r="F271" i="135" a="1"/>
  <c r="F271" i="135" s="1"/>
  <c r="I271" i="135" a="1"/>
  <c r="I271" i="135" s="1"/>
  <c r="X271" i="135" a="1"/>
  <c r="X271" i="135" s="1"/>
  <c r="AE271" i="135" a="1"/>
  <c r="AE271" i="135" s="1"/>
  <c r="AH271" i="135" a="1"/>
  <c r="AH271" i="135" s="1"/>
  <c r="AK271" i="135" a="1"/>
  <c r="AK271" i="135" s="1"/>
  <c r="T271" i="135" a="1"/>
  <c r="T271" i="135" s="1"/>
  <c r="AA271" i="135" a="1"/>
  <c r="AA271" i="135" s="1"/>
  <c r="AD271" i="135" a="1"/>
  <c r="AD271" i="135" s="1"/>
  <c r="AG271" i="135" a="1"/>
  <c r="AG271" i="135" s="1"/>
  <c r="P271" i="135" a="1"/>
  <c r="P271" i="135" s="1"/>
  <c r="E273" i="135" l="1" a="1"/>
  <c r="E273" i="135" s="1"/>
  <c r="D273" i="135" s="1"/>
  <c r="W272" i="135" a="1"/>
  <c r="W272" i="135" s="1"/>
  <c r="Z272" i="135" a="1"/>
  <c r="Z272" i="135" s="1"/>
  <c r="AC272" i="135" a="1"/>
  <c r="AC272" i="135" s="1"/>
  <c r="AB272" i="135" a="1"/>
  <c r="AB272" i="135" s="1"/>
  <c r="AI272" i="135" a="1"/>
  <c r="AI272" i="135" s="1"/>
  <c r="AL272" i="135" a="1"/>
  <c r="AL272" i="135" s="1"/>
  <c r="F272" i="135" a="1"/>
  <c r="F272" i="135" s="1"/>
  <c r="I272" i="135" a="1"/>
  <c r="I272" i="135" s="1"/>
  <c r="H272" i="135" a="1"/>
  <c r="H272" i="135" s="1"/>
  <c r="S272" i="135" a="1"/>
  <c r="S272" i="135" s="1"/>
  <c r="V272" i="135" a="1"/>
  <c r="V272" i="135" s="1"/>
  <c r="Y272" i="135" a="1"/>
  <c r="Y272" i="135" s="1"/>
  <c r="X272" i="135" a="1"/>
  <c r="X272" i="135" s="1"/>
  <c r="AE272" i="135" a="1"/>
  <c r="AE272" i="135" s="1"/>
  <c r="AH272" i="135" a="1"/>
  <c r="AH272" i="135" s="1"/>
  <c r="AK272" i="135" a="1"/>
  <c r="AK272" i="135" s="1"/>
  <c r="AJ272" i="135" a="1"/>
  <c r="AJ272" i="135" s="1"/>
  <c r="O272" i="135" a="1"/>
  <c r="O272" i="135" s="1"/>
  <c r="R272" i="135" a="1"/>
  <c r="R272" i="135" s="1"/>
  <c r="U272" i="135" a="1"/>
  <c r="U272" i="135" s="1"/>
  <c r="T272" i="135" a="1"/>
  <c r="T272" i="135" s="1"/>
  <c r="K272" i="135" a="1"/>
  <c r="K272" i="135" s="1"/>
  <c r="N272" i="135" a="1"/>
  <c r="N272" i="135" s="1"/>
  <c r="Q272" i="135" a="1"/>
  <c r="Q272" i="135" s="1"/>
  <c r="P272" i="135" a="1"/>
  <c r="P272" i="135" s="1"/>
  <c r="AM272" i="135" a="1"/>
  <c r="AM272" i="135" s="1"/>
  <c r="G272" i="135" a="1"/>
  <c r="G272" i="135" s="1"/>
  <c r="J272" i="135" a="1"/>
  <c r="J272" i="135" s="1"/>
  <c r="M272" i="135" a="1"/>
  <c r="M272" i="135" s="1"/>
  <c r="L272" i="135" a="1"/>
  <c r="L272" i="135" s="1"/>
  <c r="AA272" i="135" a="1"/>
  <c r="AA272" i="135" s="1"/>
  <c r="AD272" i="135" a="1"/>
  <c r="AD272" i="135" s="1"/>
  <c r="AG272" i="135" a="1"/>
  <c r="AG272" i="135" s="1"/>
  <c r="AF272" i="135" a="1"/>
  <c r="AF272" i="135" s="1"/>
  <c r="E274" i="135" l="1" a="1"/>
  <c r="E274" i="135" s="1"/>
  <c r="D274" i="135" s="1"/>
  <c r="P273" i="135" a="1"/>
  <c r="P273" i="135" s="1"/>
  <c r="S273" i="135" a="1"/>
  <c r="S273" i="135" s="1"/>
  <c r="V273" i="135" a="1"/>
  <c r="V273" i="135" s="1"/>
  <c r="AG273" i="135" a="1"/>
  <c r="AG273" i="135" s="1"/>
  <c r="L273" i="135" a="1"/>
  <c r="L273" i="135" s="1"/>
  <c r="O273" i="135" a="1"/>
  <c r="O273" i="135" s="1"/>
  <c r="R273" i="135" a="1"/>
  <c r="R273" i="135" s="1"/>
  <c r="AC273" i="135" a="1"/>
  <c r="AC273" i="135" s="1"/>
  <c r="H273" i="135" a="1"/>
  <c r="H273" i="135" s="1"/>
  <c r="K273" i="135" a="1"/>
  <c r="K273" i="135" s="1"/>
  <c r="N273" i="135" a="1"/>
  <c r="N273" i="135" s="1"/>
  <c r="Y273" i="135" a="1"/>
  <c r="Y273" i="135" s="1"/>
  <c r="AJ273" i="135" a="1"/>
  <c r="AJ273" i="135" s="1"/>
  <c r="AM273" i="135" a="1"/>
  <c r="AM273" i="135" s="1"/>
  <c r="G273" i="135" a="1"/>
  <c r="G273" i="135" s="1"/>
  <c r="J273" i="135" a="1"/>
  <c r="J273" i="135" s="1"/>
  <c r="U273" i="135" a="1"/>
  <c r="U273" i="135" s="1"/>
  <c r="X273" i="135" a="1"/>
  <c r="X273" i="135" s="1"/>
  <c r="AA273" i="135" a="1"/>
  <c r="AA273" i="135" s="1"/>
  <c r="AD273" i="135" a="1"/>
  <c r="AD273" i="135" s="1"/>
  <c r="I273" i="135" a="1"/>
  <c r="I273" i="135" s="1"/>
  <c r="AF273" i="135" a="1"/>
  <c r="AF273" i="135" s="1"/>
  <c r="AI273" i="135" a="1"/>
  <c r="AI273" i="135" s="1"/>
  <c r="AL273" i="135" a="1"/>
  <c r="AL273" i="135" s="1"/>
  <c r="F273" i="135" a="1"/>
  <c r="F273" i="135" s="1"/>
  <c r="Q273" i="135" a="1"/>
  <c r="Q273" i="135" s="1"/>
  <c r="AB273" i="135" a="1"/>
  <c r="AB273" i="135" s="1"/>
  <c r="AE273" i="135" a="1"/>
  <c r="AE273" i="135" s="1"/>
  <c r="AH273" i="135" a="1"/>
  <c r="AH273" i="135" s="1"/>
  <c r="M273" i="135" a="1"/>
  <c r="M273" i="135" s="1"/>
  <c r="T273" i="135" a="1"/>
  <c r="T273" i="135" s="1"/>
  <c r="W273" i="135" a="1"/>
  <c r="W273" i="135" s="1"/>
  <c r="Z273" i="135" a="1"/>
  <c r="Z273" i="135" s="1"/>
  <c r="AK273" i="135" a="1"/>
  <c r="AK273" i="135" s="1"/>
  <c r="E275" i="135" l="1" a="1"/>
  <c r="E275" i="135" s="1"/>
  <c r="D275" i="135" s="1"/>
  <c r="X274" i="135" a="1"/>
  <c r="X274" i="135" s="1"/>
  <c r="AA274" i="135" a="1"/>
  <c r="AA274" i="135" s="1"/>
  <c r="AD274" i="135" a="1"/>
  <c r="AD274" i="135" s="1"/>
  <c r="AG274" i="135" a="1"/>
  <c r="AG274" i="135" s="1"/>
  <c r="P274" i="135" a="1"/>
  <c r="P274" i="135" s="1"/>
  <c r="S274" i="135" a="1"/>
  <c r="S274" i="135" s="1"/>
  <c r="V274" i="135" a="1"/>
  <c r="V274" i="135" s="1"/>
  <c r="Y274" i="135" a="1"/>
  <c r="Y274" i="135" s="1"/>
  <c r="T274" i="135" a="1"/>
  <c r="T274" i="135" s="1"/>
  <c r="W274" i="135" a="1"/>
  <c r="W274" i="135" s="1"/>
  <c r="Z274" i="135" a="1"/>
  <c r="Z274" i="135" s="1"/>
  <c r="AC274" i="135" a="1"/>
  <c r="AC274" i="135" s="1"/>
  <c r="AB274" i="135" a="1"/>
  <c r="AB274" i="135" s="1"/>
  <c r="AE274" i="135" a="1"/>
  <c r="AE274" i="135" s="1"/>
  <c r="AH274" i="135" a="1"/>
  <c r="AH274" i="135" s="1"/>
  <c r="AK274" i="135" a="1"/>
  <c r="AK274" i="135" s="1"/>
  <c r="L274" i="135" a="1"/>
  <c r="L274" i="135" s="1"/>
  <c r="O274" i="135" a="1"/>
  <c r="O274" i="135" s="1"/>
  <c r="R274" i="135" a="1"/>
  <c r="R274" i="135" s="1"/>
  <c r="U274" i="135" a="1"/>
  <c r="U274" i="135" s="1"/>
  <c r="H274" i="135" a="1"/>
  <c r="H274" i="135" s="1"/>
  <c r="K274" i="135" a="1"/>
  <c r="K274" i="135" s="1"/>
  <c r="N274" i="135" a="1"/>
  <c r="N274" i="135" s="1"/>
  <c r="Q274" i="135" a="1"/>
  <c r="Q274" i="135" s="1"/>
  <c r="AF274" i="135" a="1"/>
  <c r="AF274" i="135" s="1"/>
  <c r="AI274" i="135" a="1"/>
  <c r="AI274" i="135" s="1"/>
  <c r="AL274" i="135" a="1"/>
  <c r="AL274" i="135" s="1"/>
  <c r="F274" i="135" a="1"/>
  <c r="F274" i="135" s="1"/>
  <c r="I274" i="135" a="1"/>
  <c r="I274" i="135" s="1"/>
  <c r="AJ274" i="135" a="1"/>
  <c r="AJ274" i="135" s="1"/>
  <c r="AM274" i="135" a="1"/>
  <c r="AM274" i="135" s="1"/>
  <c r="G274" i="135" a="1"/>
  <c r="G274" i="135" s="1"/>
  <c r="J274" i="135" a="1"/>
  <c r="J274" i="135" s="1"/>
  <c r="M274" i="135" a="1"/>
  <c r="M274" i="135" s="1"/>
  <c r="E276" i="135" l="1" a="1"/>
  <c r="E276" i="135" s="1"/>
  <c r="D276" i="135" s="1"/>
  <c r="Y275" i="135" a="1"/>
  <c r="Y275" i="135" s="1"/>
  <c r="X275" i="135" a="1"/>
  <c r="X275" i="135" s="1"/>
  <c r="AA275" i="135" a="1"/>
  <c r="AA275" i="135" s="1"/>
  <c r="AH275" i="135" a="1"/>
  <c r="AH275" i="135" s="1"/>
  <c r="U275" i="135" a="1"/>
  <c r="U275" i="135" s="1"/>
  <c r="T275" i="135" a="1"/>
  <c r="T275" i="135" s="1"/>
  <c r="W275" i="135" a="1"/>
  <c r="W275" i="135" s="1"/>
  <c r="AD275" i="135" a="1"/>
  <c r="AD275" i="135" s="1"/>
  <c r="Q275" i="135" a="1"/>
  <c r="Q275" i="135" s="1"/>
  <c r="P275" i="135" a="1"/>
  <c r="P275" i="135" s="1"/>
  <c r="S275" i="135" a="1"/>
  <c r="S275" i="135" s="1"/>
  <c r="Z275" i="135" a="1"/>
  <c r="Z275" i="135" s="1"/>
  <c r="M275" i="135" a="1"/>
  <c r="M275" i="135" s="1"/>
  <c r="L275" i="135" a="1"/>
  <c r="L275" i="135" s="1"/>
  <c r="O275" i="135" a="1"/>
  <c r="O275" i="135" s="1"/>
  <c r="V275" i="135" a="1"/>
  <c r="V275" i="135" s="1"/>
  <c r="I275" i="135" a="1"/>
  <c r="I275" i="135" s="1"/>
  <c r="H275" i="135" a="1"/>
  <c r="H275" i="135" s="1"/>
  <c r="K275" i="135" a="1"/>
  <c r="K275" i="135" s="1"/>
  <c r="R275" i="135" a="1"/>
  <c r="R275" i="135" s="1"/>
  <c r="AK275" i="135" a="1"/>
  <c r="AK275" i="135" s="1"/>
  <c r="AJ275" i="135" a="1"/>
  <c r="AJ275" i="135" s="1"/>
  <c r="AM275" i="135" a="1"/>
  <c r="AM275" i="135" s="1"/>
  <c r="G275" i="135" a="1"/>
  <c r="G275" i="135" s="1"/>
  <c r="N275" i="135" a="1"/>
  <c r="N275" i="135" s="1"/>
  <c r="AG275" i="135" a="1"/>
  <c r="AG275" i="135" s="1"/>
  <c r="AF275" i="135" a="1"/>
  <c r="AF275" i="135" s="1"/>
  <c r="AI275" i="135" a="1"/>
  <c r="AI275" i="135" s="1"/>
  <c r="AL275" i="135" a="1"/>
  <c r="AL275" i="135" s="1"/>
  <c r="J275" i="135" a="1"/>
  <c r="J275" i="135" s="1"/>
  <c r="AC275" i="135" a="1"/>
  <c r="AC275" i="135" s="1"/>
  <c r="AB275" i="135" a="1"/>
  <c r="AB275" i="135" s="1"/>
  <c r="AE275" i="135" a="1"/>
  <c r="AE275" i="135" s="1"/>
  <c r="F275" i="135" a="1"/>
  <c r="F275" i="135" s="1"/>
  <c r="E277" i="135" l="1" a="1"/>
  <c r="E277" i="135" s="1"/>
  <c r="D277" i="135" s="1"/>
  <c r="Y276" i="135" a="1"/>
  <c r="Y276" i="135" s="1"/>
  <c r="X276" i="135" a="1"/>
  <c r="X276" i="135" s="1"/>
  <c r="AA276" i="135" a="1"/>
  <c r="AA276" i="135" s="1"/>
  <c r="AD276" i="135" a="1"/>
  <c r="AD276" i="135" s="1"/>
  <c r="U276" i="135" a="1"/>
  <c r="U276" i="135" s="1"/>
  <c r="T276" i="135" a="1"/>
  <c r="T276" i="135" s="1"/>
  <c r="W276" i="135" a="1"/>
  <c r="W276" i="135" s="1"/>
  <c r="Z276" i="135" a="1"/>
  <c r="Z276" i="135" s="1"/>
  <c r="Q276" i="135" a="1"/>
  <c r="Q276" i="135" s="1"/>
  <c r="P276" i="135" a="1"/>
  <c r="P276" i="135" s="1"/>
  <c r="S276" i="135" a="1"/>
  <c r="S276" i="135" s="1"/>
  <c r="V276" i="135" a="1"/>
  <c r="V276" i="135" s="1"/>
  <c r="M276" i="135" a="1"/>
  <c r="M276" i="135" s="1"/>
  <c r="L276" i="135" a="1"/>
  <c r="L276" i="135" s="1"/>
  <c r="O276" i="135" a="1"/>
  <c r="O276" i="135" s="1"/>
  <c r="R276" i="135" a="1"/>
  <c r="R276" i="135" s="1"/>
  <c r="I276" i="135" a="1"/>
  <c r="I276" i="135" s="1"/>
  <c r="H276" i="135" a="1"/>
  <c r="H276" i="135" s="1"/>
  <c r="K276" i="135" a="1"/>
  <c r="K276" i="135" s="1"/>
  <c r="N276" i="135" a="1"/>
  <c r="N276" i="135" s="1"/>
  <c r="AC276" i="135" a="1"/>
  <c r="AC276" i="135" s="1"/>
  <c r="AB276" i="135" a="1"/>
  <c r="AB276" i="135" s="1"/>
  <c r="AE276" i="135" a="1"/>
  <c r="AE276" i="135" s="1"/>
  <c r="AH276" i="135" a="1"/>
  <c r="AH276" i="135" s="1"/>
  <c r="AK276" i="135" a="1"/>
  <c r="AK276" i="135" s="1"/>
  <c r="AJ276" i="135" a="1"/>
  <c r="AJ276" i="135" s="1"/>
  <c r="AM276" i="135" a="1"/>
  <c r="AM276" i="135" s="1"/>
  <c r="G276" i="135" a="1"/>
  <c r="G276" i="135" s="1"/>
  <c r="J276" i="135" a="1"/>
  <c r="J276" i="135" s="1"/>
  <c r="AG276" i="135" a="1"/>
  <c r="AG276" i="135" s="1"/>
  <c r="AF276" i="135" a="1"/>
  <c r="AF276" i="135" s="1"/>
  <c r="AI276" i="135" a="1"/>
  <c r="AI276" i="135" s="1"/>
  <c r="AL276" i="135" a="1"/>
  <c r="AL276" i="135" s="1"/>
  <c r="F276" i="135" a="1"/>
  <c r="F276" i="135" s="1"/>
  <c r="E278" i="135" l="1" a="1"/>
  <c r="E278" i="135" s="1"/>
  <c r="D278" i="135" s="1"/>
  <c r="Z277" i="135" a="1"/>
  <c r="Z277" i="135" s="1"/>
  <c r="AC277" i="135" a="1"/>
  <c r="AC277" i="135" s="1"/>
  <c r="AB277" i="135" a="1"/>
  <c r="AB277" i="135" s="1"/>
  <c r="W277" i="135" a="1"/>
  <c r="W277" i="135" s="1"/>
  <c r="AA277" i="135" a="1"/>
  <c r="AA277" i="135" s="1"/>
  <c r="V277" i="135" a="1"/>
  <c r="V277" i="135" s="1"/>
  <c r="Y277" i="135" a="1"/>
  <c r="Y277" i="135" s="1"/>
  <c r="X277" i="135" a="1"/>
  <c r="X277" i="135" s="1"/>
  <c r="S277" i="135" a="1"/>
  <c r="S277" i="135" s="1"/>
  <c r="R277" i="135" a="1"/>
  <c r="R277" i="135" s="1"/>
  <c r="U277" i="135" a="1"/>
  <c r="U277" i="135" s="1"/>
  <c r="T277" i="135" a="1"/>
  <c r="T277" i="135" s="1"/>
  <c r="O277" i="135" a="1"/>
  <c r="O277" i="135" s="1"/>
  <c r="AD277" i="135" a="1"/>
  <c r="AD277" i="135" s="1"/>
  <c r="AG277" i="135" a="1"/>
  <c r="AG277" i="135" s="1"/>
  <c r="AF277" i="135" a="1"/>
  <c r="AF277" i="135" s="1"/>
  <c r="N277" i="135" a="1"/>
  <c r="N277" i="135" s="1"/>
  <c r="Q277" i="135" a="1"/>
  <c r="Q277" i="135" s="1"/>
  <c r="P277" i="135" a="1"/>
  <c r="P277" i="135" s="1"/>
  <c r="K277" i="135" a="1"/>
  <c r="K277" i="135" s="1"/>
  <c r="J277" i="135" a="1"/>
  <c r="J277" i="135" s="1"/>
  <c r="M277" i="135" a="1"/>
  <c r="M277" i="135" s="1"/>
  <c r="L277" i="135" a="1"/>
  <c r="L277" i="135" s="1"/>
  <c r="AM277" i="135" a="1"/>
  <c r="AM277" i="135" s="1"/>
  <c r="AL277" i="135" a="1"/>
  <c r="AL277" i="135" s="1"/>
  <c r="F277" i="135" a="1"/>
  <c r="F277" i="135" s="1"/>
  <c r="I277" i="135" a="1"/>
  <c r="I277" i="135" s="1"/>
  <c r="H277" i="135" a="1"/>
  <c r="H277" i="135" s="1"/>
  <c r="G277" i="135" a="1"/>
  <c r="G277" i="135" s="1"/>
  <c r="AH277" i="135" a="1"/>
  <c r="AH277" i="135" s="1"/>
  <c r="AK277" i="135" a="1"/>
  <c r="AK277" i="135" s="1"/>
  <c r="AJ277" i="135" a="1"/>
  <c r="AJ277" i="135" s="1"/>
  <c r="AE277" i="135" a="1"/>
  <c r="AE277" i="135" s="1"/>
  <c r="AI277" i="135" a="1"/>
  <c r="AI277" i="135" s="1"/>
  <c r="E279" i="135" l="1" a="1"/>
  <c r="E279" i="135" s="1"/>
  <c r="D279" i="135" s="1"/>
  <c r="Z278" i="135" a="1"/>
  <c r="Z278" i="135" s="1"/>
  <c r="AC278" i="135" a="1"/>
  <c r="AC278" i="135" s="1"/>
  <c r="AB278" i="135" a="1"/>
  <c r="AB278" i="135" s="1"/>
  <c r="AE278" i="135" a="1"/>
  <c r="AE278" i="135" s="1"/>
  <c r="V278" i="135" a="1"/>
  <c r="V278" i="135" s="1"/>
  <c r="Y278" i="135" a="1"/>
  <c r="Y278" i="135" s="1"/>
  <c r="X278" i="135" a="1"/>
  <c r="X278" i="135" s="1"/>
  <c r="AA278" i="135" a="1"/>
  <c r="AA278" i="135" s="1"/>
  <c r="R278" i="135" a="1"/>
  <c r="R278" i="135" s="1"/>
  <c r="U278" i="135" a="1"/>
  <c r="U278" i="135" s="1"/>
  <c r="T278" i="135" a="1"/>
  <c r="T278" i="135" s="1"/>
  <c r="W278" i="135" a="1"/>
  <c r="W278" i="135" s="1"/>
  <c r="N278" i="135" a="1"/>
  <c r="N278" i="135" s="1"/>
  <c r="Q278" i="135" a="1"/>
  <c r="Q278" i="135" s="1"/>
  <c r="P278" i="135" a="1"/>
  <c r="P278" i="135" s="1"/>
  <c r="S278" i="135" a="1"/>
  <c r="S278" i="135" s="1"/>
  <c r="J278" i="135" a="1"/>
  <c r="J278" i="135" s="1"/>
  <c r="M278" i="135" a="1"/>
  <c r="M278" i="135" s="1"/>
  <c r="L278" i="135" a="1"/>
  <c r="L278" i="135" s="1"/>
  <c r="O278" i="135" a="1"/>
  <c r="O278" i="135" s="1"/>
  <c r="AH278" i="135" a="1"/>
  <c r="AH278" i="135" s="1"/>
  <c r="AK278" i="135" a="1"/>
  <c r="AK278" i="135" s="1"/>
  <c r="AJ278" i="135" a="1"/>
  <c r="AJ278" i="135" s="1"/>
  <c r="AM278" i="135" a="1"/>
  <c r="AM278" i="135" s="1"/>
  <c r="G278" i="135" a="1"/>
  <c r="G278" i="135" s="1"/>
  <c r="AL278" i="135" a="1"/>
  <c r="AL278" i="135" s="1"/>
  <c r="F278" i="135" a="1"/>
  <c r="F278" i="135" s="1"/>
  <c r="I278" i="135" a="1"/>
  <c r="I278" i="135" s="1"/>
  <c r="H278" i="135" a="1"/>
  <c r="H278" i="135" s="1"/>
  <c r="K278" i="135" a="1"/>
  <c r="K278" i="135" s="1"/>
  <c r="AD278" i="135" a="1"/>
  <c r="AD278" i="135" s="1"/>
  <c r="AG278" i="135" a="1"/>
  <c r="AG278" i="135" s="1"/>
  <c r="AF278" i="135" a="1"/>
  <c r="AF278" i="135" s="1"/>
  <c r="AI278" i="135" a="1"/>
  <c r="AI278" i="135" s="1"/>
  <c r="E280" i="135" l="1" a="1"/>
  <c r="E280" i="135" s="1"/>
  <c r="D280" i="135" s="1"/>
  <c r="AA279" i="135" a="1"/>
  <c r="AA279" i="135" s="1"/>
  <c r="AD279" i="135" a="1"/>
  <c r="AD279" i="135" s="1"/>
  <c r="AG279" i="135" a="1"/>
  <c r="AG279" i="135" s="1"/>
  <c r="T279" i="135" a="1"/>
  <c r="T279" i="135" s="1"/>
  <c r="W279" i="135" a="1"/>
  <c r="W279" i="135" s="1"/>
  <c r="Z279" i="135" a="1"/>
  <c r="Z279" i="135" s="1"/>
  <c r="AC279" i="135" a="1"/>
  <c r="AC279" i="135" s="1"/>
  <c r="P279" i="135" a="1"/>
  <c r="P279" i="135" s="1"/>
  <c r="S279" i="135" a="1"/>
  <c r="S279" i="135" s="1"/>
  <c r="Y279" i="135" a="1"/>
  <c r="Y279" i="135" s="1"/>
  <c r="L279" i="135" a="1"/>
  <c r="L279" i="135" s="1"/>
  <c r="H279" i="135" a="1"/>
  <c r="H279" i="135" s="1"/>
  <c r="K279" i="135" a="1"/>
  <c r="K279" i="135" s="1"/>
  <c r="N279" i="135" a="1"/>
  <c r="N279" i="135" s="1"/>
  <c r="AJ279" i="135" a="1"/>
  <c r="AJ279" i="135" s="1"/>
  <c r="AH279" i="135" a="1"/>
  <c r="AH279" i="135" s="1"/>
  <c r="V279" i="135" a="1"/>
  <c r="V279" i="135" s="1"/>
  <c r="R279" i="135" a="1"/>
  <c r="R279" i="135" s="1"/>
  <c r="U279" i="135" a="1"/>
  <c r="U279" i="135" s="1"/>
  <c r="O279" i="135" a="1"/>
  <c r="O279" i="135" s="1"/>
  <c r="Q279" i="135" a="1"/>
  <c r="Q279" i="135" s="1"/>
  <c r="AI279" i="135" a="1"/>
  <c r="AI279" i="135" s="1"/>
  <c r="AL279" i="135" a="1"/>
  <c r="AL279" i="135" s="1"/>
  <c r="F279" i="135" a="1"/>
  <c r="F279" i="135" s="1"/>
  <c r="I279" i="135" a="1"/>
  <c r="I279" i="135" s="1"/>
  <c r="AB279" i="135" a="1"/>
  <c r="AB279" i="135" s="1"/>
  <c r="AE279" i="135" a="1"/>
  <c r="AE279" i="135" s="1"/>
  <c r="AK279" i="135" a="1"/>
  <c r="AK279" i="135" s="1"/>
  <c r="X279" i="135" a="1"/>
  <c r="X279" i="135" s="1"/>
  <c r="AM279" i="135" a="1"/>
  <c r="AM279" i="135" s="1"/>
  <c r="G279" i="135" a="1"/>
  <c r="G279" i="135" s="1"/>
  <c r="J279" i="135" a="1"/>
  <c r="J279" i="135" s="1"/>
  <c r="M279" i="135" a="1"/>
  <c r="M279" i="135" s="1"/>
  <c r="AF279" i="135" a="1"/>
  <c r="AF279" i="135" s="1"/>
  <c r="E281" i="135" l="1" a="1"/>
  <c r="E281" i="135" s="1"/>
  <c r="D281" i="135" s="1"/>
  <c r="W280" i="135" a="1"/>
  <c r="W280" i="135" s="1"/>
  <c r="Z280" i="135" a="1"/>
  <c r="Z280" i="135" s="1"/>
  <c r="AC280" i="135" a="1"/>
  <c r="AC280" i="135" s="1"/>
  <c r="AB280" i="135" a="1"/>
  <c r="AB280" i="135" s="1"/>
  <c r="AE280" i="135" a="1"/>
  <c r="AE280" i="135" s="1"/>
  <c r="AH280" i="135" a="1"/>
  <c r="AH280" i="135" s="1"/>
  <c r="AK280" i="135" a="1"/>
  <c r="AK280" i="135" s="1"/>
  <c r="AJ280" i="135" a="1"/>
  <c r="AJ280" i="135" s="1"/>
  <c r="S280" i="135" a="1"/>
  <c r="S280" i="135" s="1"/>
  <c r="V280" i="135" a="1"/>
  <c r="V280" i="135" s="1"/>
  <c r="Y280" i="135" a="1"/>
  <c r="Y280" i="135" s="1"/>
  <c r="X280" i="135" a="1"/>
  <c r="X280" i="135" s="1"/>
  <c r="O280" i="135" a="1"/>
  <c r="O280" i="135" s="1"/>
  <c r="R280" i="135" a="1"/>
  <c r="R280" i="135" s="1"/>
  <c r="U280" i="135" a="1"/>
  <c r="U280" i="135" s="1"/>
  <c r="T280" i="135" a="1"/>
  <c r="T280" i="135" s="1"/>
  <c r="K280" i="135" a="1"/>
  <c r="K280" i="135" s="1"/>
  <c r="N280" i="135" a="1"/>
  <c r="N280" i="135" s="1"/>
  <c r="Q280" i="135" a="1"/>
  <c r="Q280" i="135" s="1"/>
  <c r="P280" i="135" a="1"/>
  <c r="P280" i="135" s="1"/>
  <c r="AM280" i="135" a="1"/>
  <c r="AM280" i="135" s="1"/>
  <c r="G280" i="135" a="1"/>
  <c r="G280" i="135" s="1"/>
  <c r="J280" i="135" a="1"/>
  <c r="J280" i="135" s="1"/>
  <c r="M280" i="135" a="1"/>
  <c r="M280" i="135" s="1"/>
  <c r="L280" i="135" a="1"/>
  <c r="L280" i="135" s="1"/>
  <c r="AA280" i="135" a="1"/>
  <c r="AA280" i="135" s="1"/>
  <c r="AD280" i="135" a="1"/>
  <c r="AD280" i="135" s="1"/>
  <c r="AG280" i="135" a="1"/>
  <c r="AG280" i="135" s="1"/>
  <c r="AF280" i="135" a="1"/>
  <c r="AF280" i="135" s="1"/>
  <c r="AI280" i="135" a="1"/>
  <c r="AI280" i="135" s="1"/>
  <c r="AL280" i="135" a="1"/>
  <c r="AL280" i="135" s="1"/>
  <c r="F280" i="135" a="1"/>
  <c r="F280" i="135" s="1"/>
  <c r="I280" i="135" a="1"/>
  <c r="I280" i="135" s="1"/>
  <c r="H280" i="135" a="1"/>
  <c r="H280" i="135" s="1"/>
  <c r="E282" i="135" l="1" a="1"/>
  <c r="E282" i="135" s="1"/>
  <c r="D282" i="135" s="1"/>
  <c r="T281" i="135" a="1"/>
  <c r="T281" i="135" s="1"/>
  <c r="W281" i="135" a="1"/>
  <c r="W281" i="135" s="1"/>
  <c r="Z281" i="135" a="1"/>
  <c r="Z281" i="135" s="1"/>
  <c r="I281" i="135" a="1"/>
  <c r="I281" i="135" s="1"/>
  <c r="P281" i="135" a="1"/>
  <c r="P281" i="135" s="1"/>
  <c r="S281" i="135" a="1"/>
  <c r="S281" i="135" s="1"/>
  <c r="V281" i="135" a="1"/>
  <c r="V281" i="135" s="1"/>
  <c r="AK281" i="135" a="1"/>
  <c r="AK281" i="135" s="1"/>
  <c r="L281" i="135" a="1"/>
  <c r="L281" i="135" s="1"/>
  <c r="O281" i="135" a="1"/>
  <c r="O281" i="135" s="1"/>
  <c r="R281" i="135" a="1"/>
  <c r="R281" i="135" s="1"/>
  <c r="AG281" i="135" a="1"/>
  <c r="AG281" i="135" s="1"/>
  <c r="H281" i="135" a="1"/>
  <c r="H281" i="135" s="1"/>
  <c r="K281" i="135" a="1"/>
  <c r="K281" i="135" s="1"/>
  <c r="N281" i="135" a="1"/>
  <c r="N281" i="135" s="1"/>
  <c r="AC281" i="135" a="1"/>
  <c r="AC281" i="135" s="1"/>
  <c r="AJ281" i="135" a="1"/>
  <c r="AJ281" i="135" s="1"/>
  <c r="AM281" i="135" a="1"/>
  <c r="AM281" i="135" s="1"/>
  <c r="G281" i="135" a="1"/>
  <c r="G281" i="135" s="1"/>
  <c r="J281" i="135" a="1"/>
  <c r="J281" i="135" s="1"/>
  <c r="Y281" i="135" a="1"/>
  <c r="Y281" i="135" s="1"/>
  <c r="AF281" i="135" a="1"/>
  <c r="AF281" i="135" s="1"/>
  <c r="AI281" i="135" a="1"/>
  <c r="AI281" i="135" s="1"/>
  <c r="AL281" i="135" a="1"/>
  <c r="AL281" i="135" s="1"/>
  <c r="F281" i="135" a="1"/>
  <c r="F281" i="135" s="1"/>
  <c r="U281" i="135" a="1"/>
  <c r="U281" i="135" s="1"/>
  <c r="AB281" i="135" a="1"/>
  <c r="AB281" i="135" s="1"/>
  <c r="AE281" i="135" a="1"/>
  <c r="AE281" i="135" s="1"/>
  <c r="AH281" i="135" a="1"/>
  <c r="AH281" i="135" s="1"/>
  <c r="Q281" i="135" a="1"/>
  <c r="Q281" i="135" s="1"/>
  <c r="X281" i="135" a="1"/>
  <c r="X281" i="135" s="1"/>
  <c r="AA281" i="135" a="1"/>
  <c r="AA281" i="135" s="1"/>
  <c r="AD281" i="135" a="1"/>
  <c r="AD281" i="135" s="1"/>
  <c r="M281" i="135" a="1"/>
  <c r="M281" i="135" s="1"/>
  <c r="T282" i="135" l="1" a="1"/>
  <c r="T282" i="135" s="1"/>
  <c r="W282" i="135" a="1"/>
  <c r="W282" i="135" s="1"/>
  <c r="Z282" i="135" a="1"/>
  <c r="Z282" i="135" s="1"/>
  <c r="AC282" i="135" a="1"/>
  <c r="AC282" i="135" s="1"/>
  <c r="P282" i="135" a="1"/>
  <c r="P282" i="135" s="1"/>
  <c r="S282" i="135" a="1"/>
  <c r="S282" i="135" s="1"/>
  <c r="V282" i="135" a="1"/>
  <c r="V282" i="135" s="1"/>
  <c r="Y282" i="135" a="1"/>
  <c r="Y282" i="135" s="1"/>
  <c r="AB282" i="135" a="1"/>
  <c r="AB282" i="135" s="1"/>
  <c r="AE282" i="135" a="1"/>
  <c r="AE282" i="135" s="1"/>
  <c r="AH282" i="135" a="1"/>
  <c r="AH282" i="135" s="1"/>
  <c r="AK282" i="135" a="1"/>
  <c r="AK282" i="135" s="1"/>
  <c r="X282" i="135" a="1"/>
  <c r="X282" i="135" s="1"/>
  <c r="AA282" i="135" a="1"/>
  <c r="AA282" i="135" s="1"/>
  <c r="AD282" i="135" a="1"/>
  <c r="AD282" i="135" s="1"/>
  <c r="AG282" i="135" a="1"/>
  <c r="AG282" i="135" s="1"/>
  <c r="L282" i="135" a="1"/>
  <c r="L282" i="135" s="1"/>
  <c r="O282" i="135" a="1"/>
  <c r="O282" i="135" s="1"/>
  <c r="R282" i="135" a="1"/>
  <c r="R282" i="135" s="1"/>
  <c r="U282" i="135" a="1"/>
  <c r="U282" i="135" s="1"/>
  <c r="H282" i="135" a="1"/>
  <c r="H282" i="135" s="1"/>
  <c r="K282" i="135" a="1"/>
  <c r="K282" i="135" s="1"/>
  <c r="N282" i="135" a="1"/>
  <c r="N282" i="135" s="1"/>
  <c r="Q282" i="135" a="1"/>
  <c r="Q282" i="135" s="1"/>
  <c r="AJ282" i="135" a="1"/>
  <c r="AJ282" i="135" s="1"/>
  <c r="AM282" i="135" a="1"/>
  <c r="AM282" i="135" s="1"/>
  <c r="G282" i="135" a="1"/>
  <c r="G282" i="135" s="1"/>
  <c r="J282" i="135" a="1"/>
  <c r="J282" i="135" s="1"/>
  <c r="M282" i="135" a="1"/>
  <c r="M282" i="135" s="1"/>
  <c r="AF282" i="135" a="1"/>
  <c r="AF282" i="135" s="1"/>
  <c r="AI282" i="135" a="1"/>
  <c r="AI282" i="135" s="1"/>
  <c r="AL282" i="135" a="1"/>
  <c r="AL282" i="135" s="1"/>
  <c r="F282" i="135" a="1"/>
  <c r="F282" i="135" s="1"/>
  <c r="I282" i="135" a="1"/>
  <c r="I282" i="135" s="1"/>
  <c r="E283" i="135" a="1"/>
  <c r="E283" i="135" s="1"/>
  <c r="D283" i="135" s="1"/>
  <c r="AC283" i="135" l="1" a="1"/>
  <c r="AC283" i="135" s="1"/>
  <c r="AB283" i="135" a="1"/>
  <c r="AB283" i="135" s="1"/>
  <c r="AE283" i="135" a="1"/>
  <c r="AE283" i="135" s="1"/>
  <c r="AL283" i="135" a="1"/>
  <c r="AL283" i="135" s="1"/>
  <c r="U283" i="135" a="1"/>
  <c r="U283" i="135" s="1"/>
  <c r="T283" i="135" a="1"/>
  <c r="T283" i="135" s="1"/>
  <c r="W283" i="135" a="1"/>
  <c r="W283" i="135" s="1"/>
  <c r="AH283" i="135" a="1"/>
  <c r="AH283" i="135" s="1"/>
  <c r="Y283" i="135" a="1"/>
  <c r="Y283" i="135" s="1"/>
  <c r="X283" i="135" a="1"/>
  <c r="X283" i="135" s="1"/>
  <c r="AA283" i="135" a="1"/>
  <c r="AA283" i="135" s="1"/>
  <c r="F283" i="135" a="1"/>
  <c r="F283" i="135" s="1"/>
  <c r="Q283" i="135" a="1"/>
  <c r="Q283" i="135" s="1"/>
  <c r="P283" i="135" a="1"/>
  <c r="P283" i="135" s="1"/>
  <c r="S283" i="135" a="1"/>
  <c r="S283" i="135" s="1"/>
  <c r="AD283" i="135" a="1"/>
  <c r="AD283" i="135" s="1"/>
  <c r="M283" i="135" a="1"/>
  <c r="M283" i="135" s="1"/>
  <c r="L283" i="135" a="1"/>
  <c r="L283" i="135" s="1"/>
  <c r="O283" i="135" a="1"/>
  <c r="O283" i="135" s="1"/>
  <c r="Z283" i="135" a="1"/>
  <c r="Z283" i="135" s="1"/>
  <c r="I283" i="135" a="1"/>
  <c r="I283" i="135" s="1"/>
  <c r="H283" i="135" a="1"/>
  <c r="H283" i="135" s="1"/>
  <c r="K283" i="135" a="1"/>
  <c r="K283" i="135" s="1"/>
  <c r="V283" i="135" a="1"/>
  <c r="V283" i="135" s="1"/>
  <c r="AK283" i="135" a="1"/>
  <c r="AK283" i="135" s="1"/>
  <c r="AJ283" i="135" a="1"/>
  <c r="AJ283" i="135" s="1"/>
  <c r="AM283" i="135" a="1"/>
  <c r="AM283" i="135" s="1"/>
  <c r="G283" i="135" a="1"/>
  <c r="G283" i="135" s="1"/>
  <c r="R283" i="135" a="1"/>
  <c r="R283" i="135" s="1"/>
  <c r="AG283" i="135" a="1"/>
  <c r="AG283" i="135" s="1"/>
  <c r="AF283" i="135" a="1"/>
  <c r="AF283" i="135" s="1"/>
  <c r="AI283" i="135" a="1"/>
  <c r="AI283" i="135" s="1"/>
  <c r="J283" i="135" a="1"/>
  <c r="J283" i="135" s="1"/>
  <c r="N283" i="135" a="1"/>
  <c r="N283" i="135" s="1"/>
  <c r="E284" i="135" a="1"/>
  <c r="E284" i="135" s="1"/>
  <c r="D284" i="135" s="1"/>
  <c r="AC284" i="135" l="1" a="1"/>
  <c r="AC284" i="135" s="1"/>
  <c r="AB284" i="135" a="1"/>
  <c r="AB284" i="135" s="1"/>
  <c r="AE284" i="135" a="1"/>
  <c r="AE284" i="135" s="1"/>
  <c r="AH284" i="135" a="1"/>
  <c r="AH284" i="135" s="1"/>
  <c r="Y284" i="135" a="1"/>
  <c r="Y284" i="135" s="1"/>
  <c r="AA284" i="135" a="1"/>
  <c r="AA284" i="135" s="1"/>
  <c r="W284" i="135" a="1"/>
  <c r="W284" i="135" s="1"/>
  <c r="Q284" i="135" a="1"/>
  <c r="Q284" i="135" s="1"/>
  <c r="S284" i="135" a="1"/>
  <c r="S284" i="135" s="1"/>
  <c r="R284" i="135" a="1"/>
  <c r="R284" i="135" s="1"/>
  <c r="K284" i="135" a="1"/>
  <c r="K284" i="135" s="1"/>
  <c r="M284" i="135" a="1"/>
  <c r="M284" i="135" s="1"/>
  <c r="AK284" i="135" a="1"/>
  <c r="AK284" i="135" s="1"/>
  <c r="AJ284" i="135" a="1"/>
  <c r="AJ284" i="135" s="1"/>
  <c r="AM284" i="135" a="1"/>
  <c r="AM284" i="135" s="1"/>
  <c r="G284" i="135" a="1"/>
  <c r="G284" i="135" s="1"/>
  <c r="J284" i="135" a="1"/>
  <c r="J284" i="135" s="1"/>
  <c r="AG284" i="135" a="1"/>
  <c r="AG284" i="135" s="1"/>
  <c r="AF284" i="135" a="1"/>
  <c r="AF284" i="135" s="1"/>
  <c r="AI284" i="135" a="1"/>
  <c r="AI284" i="135" s="1"/>
  <c r="AL284" i="135" a="1"/>
  <c r="AL284" i="135" s="1"/>
  <c r="F284" i="135" a="1"/>
  <c r="F284" i="135" s="1"/>
  <c r="X284" i="135" a="1"/>
  <c r="X284" i="135" s="1"/>
  <c r="AD284" i="135" a="1"/>
  <c r="AD284" i="135" s="1"/>
  <c r="U284" i="135" a="1"/>
  <c r="U284" i="135" s="1"/>
  <c r="T284" i="135" a="1"/>
  <c r="T284" i="135" s="1"/>
  <c r="Z284" i="135" a="1"/>
  <c r="Z284" i="135" s="1"/>
  <c r="P284" i="135" a="1"/>
  <c r="P284" i="135" s="1"/>
  <c r="V284" i="135" a="1"/>
  <c r="V284" i="135" s="1"/>
  <c r="L284" i="135" a="1"/>
  <c r="L284" i="135" s="1"/>
  <c r="O284" i="135" a="1"/>
  <c r="O284" i="135" s="1"/>
  <c r="I284" i="135" a="1"/>
  <c r="I284" i="135" s="1"/>
  <c r="H284" i="135" a="1"/>
  <c r="H284" i="135" s="1"/>
  <c r="N284" i="135" a="1"/>
  <c r="N284" i="135" s="1"/>
  <c r="E285" i="135" a="1"/>
  <c r="E285" i="135" s="1"/>
  <c r="D285" i="135" s="1"/>
  <c r="E286" i="135" l="1" a="1"/>
  <c r="E286" i="135" s="1"/>
  <c r="D286" i="135" s="1"/>
  <c r="AD285" i="135" a="1"/>
  <c r="AD285" i="135" s="1"/>
  <c r="AG285" i="135" a="1"/>
  <c r="AG285" i="135" s="1"/>
  <c r="AF285" i="135" a="1"/>
  <c r="AF285" i="135" s="1"/>
  <c r="AE285" i="135" a="1"/>
  <c r="AE285" i="135" s="1"/>
  <c r="AB285" i="135" a="1"/>
  <c r="AB285" i="135" s="1"/>
  <c r="Y285" i="135" a="1"/>
  <c r="Y285" i="135" s="1"/>
  <c r="X285" i="135" a="1"/>
  <c r="X285" i="135" s="1"/>
  <c r="U285" i="135" a="1"/>
  <c r="U285" i="135" s="1"/>
  <c r="T285" i="135" a="1"/>
  <c r="T285" i="135" s="1"/>
  <c r="S285" i="135" a="1"/>
  <c r="S285" i="135" s="1"/>
  <c r="N285" i="135" a="1"/>
  <c r="N285" i="135" s="1"/>
  <c r="Q285" i="135" a="1"/>
  <c r="Q285" i="135" s="1"/>
  <c r="P285" i="135" a="1"/>
  <c r="P285" i="135" s="1"/>
  <c r="O285" i="135" a="1"/>
  <c r="O285" i="135" s="1"/>
  <c r="Z285" i="135" a="1"/>
  <c r="Z285" i="135" s="1"/>
  <c r="AC285" i="135" a="1"/>
  <c r="AC285" i="135" s="1"/>
  <c r="AA285" i="135" a="1"/>
  <c r="AA285" i="135" s="1"/>
  <c r="V285" i="135" a="1"/>
  <c r="V285" i="135" s="1"/>
  <c r="W285" i="135" a="1"/>
  <c r="W285" i="135" s="1"/>
  <c r="R285" i="135" a="1"/>
  <c r="R285" i="135" s="1"/>
  <c r="J285" i="135" a="1"/>
  <c r="J285" i="135" s="1"/>
  <c r="M285" i="135" a="1"/>
  <c r="M285" i="135" s="1"/>
  <c r="L285" i="135" a="1"/>
  <c r="L285" i="135" s="1"/>
  <c r="K285" i="135" a="1"/>
  <c r="K285" i="135" s="1"/>
  <c r="AH285" i="135" a="1"/>
  <c r="AH285" i="135" s="1"/>
  <c r="AK285" i="135" a="1"/>
  <c r="AK285" i="135" s="1"/>
  <c r="AJ285" i="135" a="1"/>
  <c r="AJ285" i="135" s="1"/>
  <c r="AI285" i="135" a="1"/>
  <c r="AI285" i="135" s="1"/>
  <c r="G285" i="135" a="1"/>
  <c r="G285" i="135" s="1"/>
  <c r="AL285" i="135" a="1"/>
  <c r="AL285" i="135" s="1"/>
  <c r="F285" i="135" a="1"/>
  <c r="F285" i="135" s="1"/>
  <c r="I285" i="135" a="1"/>
  <c r="I285" i="135" s="1"/>
  <c r="H285" i="135" a="1"/>
  <c r="H285" i="135" s="1"/>
  <c r="AM285" i="135" a="1"/>
  <c r="AM285" i="135" s="1"/>
  <c r="E287" i="135" l="1" a="1"/>
  <c r="E287" i="135" s="1"/>
  <c r="D287" i="135" s="1"/>
  <c r="AH286" i="135" a="1"/>
  <c r="AH286" i="135" s="1"/>
  <c r="AK286" i="135" a="1"/>
  <c r="AK286" i="135" s="1"/>
  <c r="AJ286" i="135" a="1"/>
  <c r="AJ286" i="135" s="1"/>
  <c r="AM286" i="135" a="1"/>
  <c r="AM286" i="135" s="1"/>
  <c r="G286" i="135" a="1"/>
  <c r="G286" i="135" s="1"/>
  <c r="AD286" i="135" a="1"/>
  <c r="AD286" i="135" s="1"/>
  <c r="AG286" i="135" a="1"/>
  <c r="AG286" i="135" s="1"/>
  <c r="AF286" i="135" a="1"/>
  <c r="AF286" i="135" s="1"/>
  <c r="AI286" i="135" a="1"/>
  <c r="AI286" i="135" s="1"/>
  <c r="Z286" i="135" a="1"/>
  <c r="Z286" i="135" s="1"/>
  <c r="AC286" i="135" a="1"/>
  <c r="AC286" i="135" s="1"/>
  <c r="AB286" i="135" a="1"/>
  <c r="AB286" i="135" s="1"/>
  <c r="AE286" i="135" a="1"/>
  <c r="AE286" i="135" s="1"/>
  <c r="V286" i="135" a="1"/>
  <c r="V286" i="135" s="1"/>
  <c r="Y286" i="135" a="1"/>
  <c r="Y286" i="135" s="1"/>
  <c r="X286" i="135" a="1"/>
  <c r="X286" i="135" s="1"/>
  <c r="AA286" i="135" a="1"/>
  <c r="AA286" i="135" s="1"/>
  <c r="R286" i="135" a="1"/>
  <c r="R286" i="135" s="1"/>
  <c r="U286" i="135" a="1"/>
  <c r="U286" i="135" s="1"/>
  <c r="T286" i="135" a="1"/>
  <c r="T286" i="135" s="1"/>
  <c r="W286" i="135" a="1"/>
  <c r="W286" i="135" s="1"/>
  <c r="N286" i="135" a="1"/>
  <c r="N286" i="135" s="1"/>
  <c r="Q286" i="135" a="1"/>
  <c r="Q286" i="135" s="1"/>
  <c r="P286" i="135" a="1"/>
  <c r="P286" i="135" s="1"/>
  <c r="S286" i="135" a="1"/>
  <c r="S286" i="135" s="1"/>
  <c r="J286" i="135" a="1"/>
  <c r="J286" i="135" s="1"/>
  <c r="M286" i="135" a="1"/>
  <c r="M286" i="135" s="1"/>
  <c r="L286" i="135" a="1"/>
  <c r="L286" i="135" s="1"/>
  <c r="O286" i="135" a="1"/>
  <c r="O286" i="135" s="1"/>
  <c r="AL286" i="135" a="1"/>
  <c r="AL286" i="135" s="1"/>
  <c r="F286" i="135" a="1"/>
  <c r="F286" i="135" s="1"/>
  <c r="I286" i="135" a="1"/>
  <c r="I286" i="135" s="1"/>
  <c r="H286" i="135" a="1"/>
  <c r="H286" i="135" s="1"/>
  <c r="K286" i="135" a="1"/>
  <c r="K286" i="135" s="1"/>
  <c r="E288" i="135" l="1" a="1"/>
  <c r="E288" i="135" s="1"/>
  <c r="D288" i="135" s="1"/>
  <c r="W287" i="135" a="1"/>
  <c r="W287" i="135" s="1"/>
  <c r="Z287" i="135" a="1"/>
  <c r="Z287" i="135" s="1"/>
  <c r="AC287" i="135" a="1"/>
  <c r="AC287" i="135" s="1"/>
  <c r="T287" i="135" a="1"/>
  <c r="T287" i="135" s="1"/>
  <c r="V287" i="135" a="1"/>
  <c r="V287" i="135" s="1"/>
  <c r="Y287" i="135" a="1"/>
  <c r="Y287" i="135" s="1"/>
  <c r="P287" i="135" a="1"/>
  <c r="P287" i="135" s="1"/>
  <c r="K287" i="135" a="1"/>
  <c r="K287" i="135" s="1"/>
  <c r="Q287" i="135" a="1"/>
  <c r="Q287" i="135" s="1"/>
  <c r="H287" i="135" a="1"/>
  <c r="H287" i="135" s="1"/>
  <c r="AM287" i="135" a="1"/>
  <c r="AM287" i="135" s="1"/>
  <c r="G287" i="135" a="1"/>
  <c r="G287" i="135" s="1"/>
  <c r="J287" i="135" a="1"/>
  <c r="J287" i="135" s="1"/>
  <c r="M287" i="135" a="1"/>
  <c r="M287" i="135" s="1"/>
  <c r="AJ287" i="135" a="1"/>
  <c r="AJ287" i="135" s="1"/>
  <c r="AI287" i="135" a="1"/>
  <c r="AI287" i="135" s="1"/>
  <c r="AL287" i="135" a="1"/>
  <c r="AL287" i="135" s="1"/>
  <c r="F287" i="135" a="1"/>
  <c r="F287" i="135" s="1"/>
  <c r="I287" i="135" a="1"/>
  <c r="I287" i="135" s="1"/>
  <c r="AF287" i="135" a="1"/>
  <c r="AF287" i="135" s="1"/>
  <c r="S287" i="135" a="1"/>
  <c r="S287" i="135" s="1"/>
  <c r="N287" i="135" a="1"/>
  <c r="N287" i="135" s="1"/>
  <c r="AA287" i="135" a="1"/>
  <c r="AA287" i="135" s="1"/>
  <c r="AD287" i="135" a="1"/>
  <c r="AD287" i="135" s="1"/>
  <c r="AG287" i="135" a="1"/>
  <c r="AG287" i="135" s="1"/>
  <c r="X287" i="135" a="1"/>
  <c r="X287" i="135" s="1"/>
  <c r="O287" i="135" a="1"/>
  <c r="O287" i="135" s="1"/>
  <c r="R287" i="135" a="1"/>
  <c r="R287" i="135" s="1"/>
  <c r="U287" i="135" a="1"/>
  <c r="U287" i="135" s="1"/>
  <c r="L287" i="135" a="1"/>
  <c r="L287" i="135" s="1"/>
  <c r="AH287" i="135" a="1"/>
  <c r="AH287" i="135" s="1"/>
  <c r="AK287" i="135" a="1"/>
  <c r="AK287" i="135" s="1"/>
  <c r="AE287" i="135" a="1"/>
  <c r="AE287" i="135" s="1"/>
  <c r="AB287" i="135" a="1"/>
  <c r="AB287" i="135" s="1"/>
  <c r="E289" i="135" l="1" a="1"/>
  <c r="E289" i="135" s="1"/>
  <c r="D289" i="135" s="1"/>
  <c r="AA288" i="135" a="1"/>
  <c r="AA288" i="135" s="1"/>
  <c r="AD288" i="135" a="1"/>
  <c r="AD288" i="135" s="1"/>
  <c r="AG288" i="135" a="1"/>
  <c r="AG288" i="135" s="1"/>
  <c r="AF288" i="135" a="1"/>
  <c r="AF288" i="135" s="1"/>
  <c r="W288" i="135" a="1"/>
  <c r="W288" i="135" s="1"/>
  <c r="Z288" i="135" a="1"/>
  <c r="Z288" i="135" s="1"/>
  <c r="AC288" i="135" a="1"/>
  <c r="AC288" i="135" s="1"/>
  <c r="AB288" i="135" a="1"/>
  <c r="AB288" i="135" s="1"/>
  <c r="S288" i="135" a="1"/>
  <c r="S288" i="135" s="1"/>
  <c r="V288" i="135" a="1"/>
  <c r="V288" i="135" s="1"/>
  <c r="Y288" i="135" a="1"/>
  <c r="Y288" i="135" s="1"/>
  <c r="X288" i="135" a="1"/>
  <c r="X288" i="135" s="1"/>
  <c r="AI288" i="135" a="1"/>
  <c r="AI288" i="135" s="1"/>
  <c r="AL288" i="135" a="1"/>
  <c r="AL288" i="135" s="1"/>
  <c r="F288" i="135" a="1"/>
  <c r="F288" i="135" s="1"/>
  <c r="I288" i="135" a="1"/>
  <c r="I288" i="135" s="1"/>
  <c r="H288" i="135" a="1"/>
  <c r="H288" i="135" s="1"/>
  <c r="O288" i="135" a="1"/>
  <c r="O288" i="135" s="1"/>
  <c r="R288" i="135" a="1"/>
  <c r="R288" i="135" s="1"/>
  <c r="U288" i="135" a="1"/>
  <c r="U288" i="135" s="1"/>
  <c r="T288" i="135" a="1"/>
  <c r="T288" i="135" s="1"/>
  <c r="K288" i="135" a="1"/>
  <c r="K288" i="135" s="1"/>
  <c r="N288" i="135" a="1"/>
  <c r="N288" i="135" s="1"/>
  <c r="Q288" i="135" a="1"/>
  <c r="Q288" i="135" s="1"/>
  <c r="P288" i="135" a="1"/>
  <c r="P288" i="135" s="1"/>
  <c r="AM288" i="135" a="1"/>
  <c r="AM288" i="135" s="1"/>
  <c r="G288" i="135" a="1"/>
  <c r="G288" i="135" s="1"/>
  <c r="J288" i="135" a="1"/>
  <c r="J288" i="135" s="1"/>
  <c r="M288" i="135" a="1"/>
  <c r="M288" i="135" s="1"/>
  <c r="L288" i="135" a="1"/>
  <c r="L288" i="135" s="1"/>
  <c r="AE288" i="135" a="1"/>
  <c r="AE288" i="135" s="1"/>
  <c r="AH288" i="135" a="1"/>
  <c r="AH288" i="135" s="1"/>
  <c r="AK288" i="135" a="1"/>
  <c r="AK288" i="135" s="1"/>
  <c r="AJ288" i="135" a="1"/>
  <c r="AJ288" i="135" s="1"/>
  <c r="E290" i="135" l="1" a="1"/>
  <c r="E290" i="135" s="1"/>
  <c r="D290" i="135" s="1"/>
  <c r="P289" i="135" a="1"/>
  <c r="P289" i="135" s="1"/>
  <c r="S289" i="135" a="1"/>
  <c r="S289" i="135" s="1"/>
  <c r="V289" i="135" a="1"/>
  <c r="V289" i="135" s="1"/>
  <c r="I289" i="135" a="1"/>
  <c r="I289" i="135" s="1"/>
  <c r="L289" i="135" a="1"/>
  <c r="L289" i="135" s="1"/>
  <c r="O289" i="135" a="1"/>
  <c r="O289" i="135" s="1"/>
  <c r="R289" i="135" a="1"/>
  <c r="R289" i="135" s="1"/>
  <c r="AK289" i="135" a="1"/>
  <c r="AK289" i="135" s="1"/>
  <c r="H289" i="135" a="1"/>
  <c r="H289" i="135" s="1"/>
  <c r="K289" i="135" a="1"/>
  <c r="K289" i="135" s="1"/>
  <c r="N289" i="135" a="1"/>
  <c r="N289" i="135" s="1"/>
  <c r="AG289" i="135" a="1"/>
  <c r="AG289" i="135" s="1"/>
  <c r="X289" i="135" a="1"/>
  <c r="X289" i="135" s="1"/>
  <c r="AA289" i="135" a="1"/>
  <c r="AA289" i="135" s="1"/>
  <c r="AD289" i="135" a="1"/>
  <c r="AD289" i="135" s="1"/>
  <c r="Q289" i="135" a="1"/>
  <c r="Q289" i="135" s="1"/>
  <c r="AJ289" i="135" a="1"/>
  <c r="AJ289" i="135" s="1"/>
  <c r="AM289" i="135" a="1"/>
  <c r="AM289" i="135" s="1"/>
  <c r="G289" i="135" a="1"/>
  <c r="G289" i="135" s="1"/>
  <c r="J289" i="135" a="1"/>
  <c r="J289" i="135" s="1"/>
  <c r="AC289" i="135" a="1"/>
  <c r="AC289" i="135" s="1"/>
  <c r="T289" i="135" a="1"/>
  <c r="T289" i="135" s="1"/>
  <c r="W289" i="135" a="1"/>
  <c r="W289" i="135" s="1"/>
  <c r="Z289" i="135" a="1"/>
  <c r="Z289" i="135" s="1"/>
  <c r="M289" i="135" a="1"/>
  <c r="M289" i="135" s="1"/>
  <c r="AF289" i="135" a="1"/>
  <c r="AF289" i="135" s="1"/>
  <c r="AI289" i="135" a="1"/>
  <c r="AI289" i="135" s="1"/>
  <c r="AL289" i="135" a="1"/>
  <c r="AL289" i="135" s="1"/>
  <c r="F289" i="135" a="1"/>
  <c r="F289" i="135" s="1"/>
  <c r="Y289" i="135" a="1"/>
  <c r="Y289" i="135" s="1"/>
  <c r="AB289" i="135" a="1"/>
  <c r="AB289" i="135" s="1"/>
  <c r="AE289" i="135" a="1"/>
  <c r="AE289" i="135" s="1"/>
  <c r="AH289" i="135" a="1"/>
  <c r="AH289" i="135" s="1"/>
  <c r="U289" i="135" a="1"/>
  <c r="U289" i="135" s="1"/>
  <c r="E291" i="135" l="1" a="1"/>
  <c r="E291" i="135" s="1"/>
  <c r="D291" i="135" s="1"/>
  <c r="I290" i="135" a="1"/>
  <c r="I290" i="135" s="1"/>
  <c r="H290" i="135" a="1"/>
  <c r="H290" i="135" s="1"/>
  <c r="P290" i="135" a="1"/>
  <c r="P290" i="135" s="1"/>
  <c r="AB290" i="135" a="1"/>
  <c r="AB290" i="135" s="1"/>
  <c r="AJ290" i="135" a="1"/>
  <c r="AJ290" i="135" s="1"/>
  <c r="AI290" i="135" a="1"/>
  <c r="AI290" i="135" s="1"/>
  <c r="G290" i="135" a="1"/>
  <c r="G290" i="135" s="1"/>
  <c r="S290" i="135" a="1"/>
  <c r="S290" i="135" s="1"/>
  <c r="AA290" i="135" a="1"/>
  <c r="AA290" i="135" s="1"/>
  <c r="AD290" i="135" a="1"/>
  <c r="AD290" i="135" s="1"/>
  <c r="AL290" i="135" a="1"/>
  <c r="AL290" i="135" s="1"/>
  <c r="N290" i="135" a="1"/>
  <c r="N290" i="135" s="1"/>
  <c r="V290" i="135" a="1"/>
  <c r="V290" i="135" s="1"/>
  <c r="U290" i="135" a="1"/>
  <c r="U290" i="135" s="1"/>
  <c r="AC290" i="135" a="1"/>
  <c r="AC290" i="135" s="1"/>
  <c r="O290" i="135" a="1"/>
  <c r="O290" i="135" s="1"/>
  <c r="M290" i="135" a="1"/>
  <c r="M290" i="135" s="1"/>
  <c r="L290" i="135" a="1"/>
  <c r="L290" i="135" s="1"/>
  <c r="T290" i="135" a="1"/>
  <c r="T290" i="135" s="1"/>
  <c r="J290" i="135" a="1"/>
  <c r="J290" i="135" s="1"/>
  <c r="W290" i="135" a="1"/>
  <c r="W290" i="135" s="1"/>
  <c r="Z290" i="135" a="1"/>
  <c r="Z290" i="135" s="1"/>
  <c r="AH290" i="135" a="1"/>
  <c r="AH290" i="135" s="1"/>
  <c r="F290" i="135" a="1"/>
  <c r="F290" i="135" s="1"/>
  <c r="X290" i="135" a="1"/>
  <c r="X290" i="135" s="1"/>
  <c r="AF290" i="135" a="1"/>
  <c r="AF290" i="135" s="1"/>
  <c r="AE290" i="135" a="1"/>
  <c r="AE290" i="135" s="1"/>
  <c r="AM290" i="135" a="1"/>
  <c r="AM290" i="135" s="1"/>
  <c r="K290" i="135" a="1"/>
  <c r="K290" i="135" s="1"/>
  <c r="AG290" i="135" a="1"/>
  <c r="AG290" i="135" s="1"/>
  <c r="R290" i="135" a="1"/>
  <c r="R290" i="135" s="1"/>
  <c r="Q290" i="135" a="1"/>
  <c r="Q290" i="135" s="1"/>
  <c r="Y290" i="135" a="1"/>
  <c r="Y290" i="135" s="1"/>
  <c r="AK290" i="135" a="1"/>
  <c r="AK290" i="135" s="1"/>
  <c r="E292" i="135" l="1" a="1"/>
  <c r="E292" i="135" s="1"/>
  <c r="D292" i="135" s="1"/>
  <c r="AA291" i="135" a="1"/>
  <c r="AA291" i="135" s="1"/>
  <c r="J291" i="135" a="1"/>
  <c r="J291" i="135" s="1"/>
  <c r="V291" i="135" a="1"/>
  <c r="V291" i="135" s="1"/>
  <c r="AL291" i="135" a="1"/>
  <c r="AL291" i="135" s="1"/>
  <c r="W291" i="135" a="1"/>
  <c r="W291" i="135" s="1"/>
  <c r="AK291" i="135" a="1"/>
  <c r="AK291" i="135" s="1"/>
  <c r="M291" i="135" a="1"/>
  <c r="M291" i="135" s="1"/>
  <c r="AC291" i="135" a="1"/>
  <c r="AC291" i="135" s="1"/>
  <c r="S291" i="135" a="1"/>
  <c r="S291" i="135" s="1"/>
  <c r="AB291" i="135" a="1"/>
  <c r="AB291" i="135" s="1"/>
  <c r="Z291" i="135" a="1"/>
  <c r="Z291" i="135" s="1"/>
  <c r="T291" i="135" a="1"/>
  <c r="T291" i="135" s="1"/>
  <c r="AE291" i="135" a="1"/>
  <c r="AE291" i="135" s="1"/>
  <c r="X291" i="135" a="1"/>
  <c r="X291" i="135" s="1"/>
  <c r="AJ291" i="135" a="1"/>
  <c r="AJ291" i="135" s="1"/>
  <c r="L291" i="135" a="1"/>
  <c r="L291" i="135" s="1"/>
  <c r="O291" i="135" a="1"/>
  <c r="O291" i="135" s="1"/>
  <c r="N291" i="135" a="1"/>
  <c r="N291" i="135" s="1"/>
  <c r="Q291" i="135" a="1"/>
  <c r="Q291" i="135" s="1"/>
  <c r="F291" i="135" a="1"/>
  <c r="F291" i="135" s="1"/>
  <c r="K291" i="135" a="1"/>
  <c r="K291" i="135" s="1"/>
  <c r="AF291" i="135" a="1"/>
  <c r="AF291" i="135" s="1"/>
  <c r="H291" i="135" a="1"/>
  <c r="H291" i="135" s="1"/>
  <c r="P291" i="135" a="1"/>
  <c r="P291" i="135" s="1"/>
  <c r="AI291" i="135" a="1"/>
  <c r="AI291" i="135" s="1"/>
  <c r="AG291" i="135" a="1"/>
  <c r="AG291" i="135" s="1"/>
  <c r="I291" i="135" a="1"/>
  <c r="I291" i="135" s="1"/>
  <c r="U291" i="135" a="1"/>
  <c r="U291" i="135" s="1"/>
  <c r="Y291" i="135" a="1"/>
  <c r="Y291" i="135" s="1"/>
  <c r="AM291" i="135" a="1"/>
  <c r="AM291" i="135" s="1"/>
  <c r="G291" i="135" a="1"/>
  <c r="G291" i="135" s="1"/>
  <c r="R291" i="135" a="1"/>
  <c r="R291" i="135" s="1"/>
  <c r="AD291" i="135" a="1"/>
  <c r="AD291" i="135" s="1"/>
  <c r="AH291" i="135" a="1"/>
  <c r="AH291" i="135" s="1"/>
  <c r="E293" i="135" l="1" a="1"/>
  <c r="E293" i="135" s="1"/>
  <c r="D293" i="135" s="1"/>
  <c r="K292" i="135" a="1"/>
  <c r="K292" i="135" s="1"/>
  <c r="S292" i="135" a="1"/>
  <c r="S292" i="135" s="1"/>
  <c r="R292" i="135" a="1"/>
  <c r="R292" i="135" s="1"/>
  <c r="U292" i="135" a="1"/>
  <c r="U292" i="135" s="1"/>
  <c r="AC292" i="135" a="1"/>
  <c r="AC292" i="135" s="1"/>
  <c r="AJ292" i="135" a="1"/>
  <c r="AJ292" i="135" s="1"/>
  <c r="T292" i="135" a="1"/>
  <c r="T292" i="135" s="1"/>
  <c r="AE292" i="135" a="1"/>
  <c r="AE292" i="135" s="1"/>
  <c r="O292" i="135" a="1"/>
  <c r="O292" i="135" s="1"/>
  <c r="V292" i="135" a="1"/>
  <c r="V292" i="135" s="1"/>
  <c r="Y292" i="135" a="1"/>
  <c r="Y292" i="135" s="1"/>
  <c r="AF292" i="135" a="1"/>
  <c r="AF292" i="135" s="1"/>
  <c r="Z292" i="135" a="1"/>
  <c r="Z292" i="135" s="1"/>
  <c r="P292" i="135" a="1"/>
  <c r="P292" i="135" s="1"/>
  <c r="X292" i="135" a="1"/>
  <c r="X292" i="135" s="1"/>
  <c r="AA292" i="135" a="1"/>
  <c r="AA292" i="135" s="1"/>
  <c r="AD292" i="135" a="1"/>
  <c r="AD292" i="135" s="1"/>
  <c r="AL292" i="135" a="1"/>
  <c r="AL292" i="135" s="1"/>
  <c r="J292" i="135" a="1"/>
  <c r="J292" i="135" s="1"/>
  <c r="I292" i="135" a="1"/>
  <c r="I292" i="135" s="1"/>
  <c r="L292" i="135" a="1"/>
  <c r="L292" i="135" s="1"/>
  <c r="AK292" i="135" a="1"/>
  <c r="AK292" i="135" s="1"/>
  <c r="G292" i="135" a="1"/>
  <c r="G292" i="135" s="1"/>
  <c r="AB292" i="135" a="1"/>
  <c r="AB292" i="135" s="1"/>
  <c r="Q292" i="135" a="1"/>
  <c r="Q292" i="135" s="1"/>
  <c r="W292" i="135" a="1"/>
  <c r="W292" i="135" s="1"/>
  <c r="H292" i="135" a="1"/>
  <c r="H292" i="135" s="1"/>
  <c r="AG292" i="135" a="1"/>
  <c r="AG292" i="135" s="1"/>
  <c r="AM292" i="135" a="1"/>
  <c r="AM292" i="135" s="1"/>
  <c r="AH292" i="135" a="1"/>
  <c r="AH292" i="135" s="1"/>
  <c r="F292" i="135" a="1"/>
  <c r="F292" i="135" s="1"/>
  <c r="N292" i="135" a="1"/>
  <c r="N292" i="135" s="1"/>
  <c r="M292" i="135" a="1"/>
  <c r="M292" i="135" s="1"/>
  <c r="AI292" i="135" a="1"/>
  <c r="AI292" i="135" s="1"/>
  <c r="E294" i="135" l="1" a="1"/>
  <c r="E294" i="135" s="1"/>
  <c r="D294" i="135" s="1"/>
  <c r="Y293" i="135" a="1"/>
  <c r="Y293" i="135" s="1"/>
  <c r="X293" i="135" a="1"/>
  <c r="X293" i="135" s="1"/>
  <c r="N293" i="135" a="1"/>
  <c r="N293" i="135" s="1"/>
  <c r="V293" i="135" a="1"/>
  <c r="V293" i="135" s="1"/>
  <c r="Q293" i="135" a="1"/>
  <c r="Q293" i="135" s="1"/>
  <c r="P293" i="135" a="1"/>
  <c r="P293" i="135" s="1"/>
  <c r="AH293" i="135" a="1"/>
  <c r="AH293" i="135" s="1"/>
  <c r="F293" i="135" a="1"/>
  <c r="F293" i="135" s="1"/>
  <c r="M293" i="135" a="1"/>
  <c r="M293" i="135" s="1"/>
  <c r="L293" i="135" a="1"/>
  <c r="L293" i="135" s="1"/>
  <c r="W293" i="135" a="1"/>
  <c r="W293" i="135" s="1"/>
  <c r="Z293" i="135" a="1"/>
  <c r="Z293" i="135" s="1"/>
  <c r="I293" i="135" a="1"/>
  <c r="I293" i="135" s="1"/>
  <c r="H293" i="135" a="1"/>
  <c r="H293" i="135" s="1"/>
  <c r="R293" i="135" a="1"/>
  <c r="R293" i="135" s="1"/>
  <c r="O293" i="135" a="1"/>
  <c r="O293" i="135" s="1"/>
  <c r="AG293" i="135" a="1"/>
  <c r="AG293" i="135" s="1"/>
  <c r="AF293" i="135" a="1"/>
  <c r="AF293" i="135" s="1"/>
  <c r="AD293" i="135" a="1"/>
  <c r="AD293" i="135" s="1"/>
  <c r="AL293" i="135" a="1"/>
  <c r="AL293" i="135" s="1"/>
  <c r="AE293" i="135" a="1"/>
  <c r="AE293" i="135" s="1"/>
  <c r="U293" i="135" a="1"/>
  <c r="U293" i="135" s="1"/>
  <c r="T293" i="135" a="1"/>
  <c r="T293" i="135" s="1"/>
  <c r="AM293" i="135" a="1"/>
  <c r="AM293" i="135" s="1"/>
  <c r="K293" i="135" a="1"/>
  <c r="K293" i="135" s="1"/>
  <c r="AK293" i="135" a="1"/>
  <c r="AK293" i="135" s="1"/>
  <c r="AJ293" i="135" a="1"/>
  <c r="AJ293" i="135" s="1"/>
  <c r="AI293" i="135" a="1"/>
  <c r="AI293" i="135" s="1"/>
  <c r="G293" i="135" a="1"/>
  <c r="G293" i="135" s="1"/>
  <c r="J293" i="135" a="1"/>
  <c r="J293" i="135" s="1"/>
  <c r="AC293" i="135" a="1"/>
  <c r="AC293" i="135" s="1"/>
  <c r="AB293" i="135" a="1"/>
  <c r="AB293" i="135" s="1"/>
  <c r="S293" i="135" a="1"/>
  <c r="S293" i="135" s="1"/>
  <c r="AA293" i="135" a="1"/>
  <c r="AA293" i="135" s="1"/>
  <c r="E295" i="135" l="1" a="1"/>
  <c r="E295" i="135" s="1"/>
  <c r="D295" i="135" s="1"/>
  <c r="Y294" i="135" a="1"/>
  <c r="Y294" i="135" s="1"/>
  <c r="F294" i="135" a="1"/>
  <c r="F294" i="135" s="1"/>
  <c r="AB294" i="135" a="1"/>
  <c r="AB294" i="135" s="1"/>
  <c r="Z294" i="135" a="1"/>
  <c r="Z294" i="135" s="1"/>
  <c r="U294" i="135" a="1"/>
  <c r="U294" i="135" s="1"/>
  <c r="AJ294" i="135" a="1"/>
  <c r="AJ294" i="135" s="1"/>
  <c r="J294" i="135" a="1"/>
  <c r="J294" i="135" s="1"/>
  <c r="S294" i="135" a="1"/>
  <c r="S294" i="135" s="1"/>
  <c r="Q294" i="135" a="1"/>
  <c r="Q294" i="135" s="1"/>
  <c r="R294" i="135" a="1"/>
  <c r="R294" i="135" s="1"/>
  <c r="V294" i="135" a="1"/>
  <c r="V294" i="135" s="1"/>
  <c r="L294" i="135" a="1"/>
  <c r="L294" i="135" s="1"/>
  <c r="M294" i="135" a="1"/>
  <c r="M294" i="135" s="1"/>
  <c r="K294" i="135" a="1"/>
  <c r="K294" i="135" s="1"/>
  <c r="O294" i="135" a="1"/>
  <c r="O294" i="135" s="1"/>
  <c r="AM294" i="135" a="1"/>
  <c r="AM294" i="135" s="1"/>
  <c r="I294" i="135" a="1"/>
  <c r="I294" i="135" s="1"/>
  <c r="AD294" i="135" a="1"/>
  <c r="AD294" i="135" s="1"/>
  <c r="H294" i="135" a="1"/>
  <c r="H294" i="135" s="1"/>
  <c r="AF294" i="135" a="1"/>
  <c r="AF294" i="135" s="1"/>
  <c r="AC294" i="135" a="1"/>
  <c r="AC294" i="135" s="1"/>
  <c r="X294" i="135" a="1"/>
  <c r="X294" i="135" s="1"/>
  <c r="AI294" i="135" a="1"/>
  <c r="AI294" i="135" s="1"/>
  <c r="T294" i="135" a="1"/>
  <c r="T294" i="135" s="1"/>
  <c r="AK294" i="135" a="1"/>
  <c r="AK294" i="135" s="1"/>
  <c r="AL294" i="135" a="1"/>
  <c r="AL294" i="135" s="1"/>
  <c r="W294" i="135" a="1"/>
  <c r="W294" i="135" s="1"/>
  <c r="AH294" i="135" a="1"/>
  <c r="AH294" i="135" s="1"/>
  <c r="N294" i="135" a="1"/>
  <c r="N294" i="135" s="1"/>
  <c r="AG294" i="135" a="1"/>
  <c r="AG294" i="135" s="1"/>
  <c r="AE294" i="135" a="1"/>
  <c r="AE294" i="135" s="1"/>
  <c r="P294" i="135" a="1"/>
  <c r="P294" i="135" s="1"/>
  <c r="AA294" i="135" a="1"/>
  <c r="AA294" i="135" s="1"/>
  <c r="G294" i="135" a="1"/>
  <c r="G294" i="135" s="1"/>
  <c r="E296" i="135" l="1" a="1"/>
  <c r="E296" i="135" s="1"/>
  <c r="D296" i="135" s="1"/>
  <c r="Z295" i="135" a="1"/>
  <c r="Z295" i="135" s="1"/>
  <c r="AC295" i="135" a="1"/>
  <c r="AC295" i="135" s="1"/>
  <c r="AA295" i="135" a="1"/>
  <c r="AA295" i="135" s="1"/>
  <c r="X295" i="135" a="1"/>
  <c r="X295" i="135" s="1"/>
  <c r="V295" i="135" a="1"/>
  <c r="V295" i="135" s="1"/>
  <c r="Y295" i="135" a="1"/>
  <c r="Y295" i="135" s="1"/>
  <c r="T295" i="135" a="1"/>
  <c r="T295" i="135" s="1"/>
  <c r="AJ295" i="135" a="1"/>
  <c r="AJ295" i="135" s="1"/>
  <c r="R295" i="135" a="1"/>
  <c r="R295" i="135" s="1"/>
  <c r="U295" i="135" a="1"/>
  <c r="U295" i="135" s="1"/>
  <c r="AM295" i="135" a="1"/>
  <c r="AM295" i="135" s="1"/>
  <c r="K295" i="135" a="1"/>
  <c r="K295" i="135" s="1"/>
  <c r="N295" i="135" a="1"/>
  <c r="N295" i="135" s="1"/>
  <c r="Q295" i="135" a="1"/>
  <c r="Q295" i="135" s="1"/>
  <c r="AF295" i="135" a="1"/>
  <c r="AF295" i="135" s="1"/>
  <c r="AI295" i="135" a="1"/>
  <c r="AI295" i="135" s="1"/>
  <c r="J295" i="135" a="1"/>
  <c r="J295" i="135" s="1"/>
  <c r="M295" i="135" a="1"/>
  <c r="M295" i="135" s="1"/>
  <c r="G295" i="135" a="1"/>
  <c r="G295" i="135" s="1"/>
  <c r="AB295" i="135" a="1"/>
  <c r="AB295" i="135" s="1"/>
  <c r="AH295" i="135" a="1"/>
  <c r="AH295" i="135" s="1"/>
  <c r="AK295" i="135" a="1"/>
  <c r="AK295" i="135" s="1"/>
  <c r="O295" i="135" a="1"/>
  <c r="O295" i="135" s="1"/>
  <c r="L295" i="135" a="1"/>
  <c r="L295" i="135" s="1"/>
  <c r="P295" i="135" a="1"/>
  <c r="P295" i="135" s="1"/>
  <c r="AL295" i="135" a="1"/>
  <c r="AL295" i="135" s="1"/>
  <c r="F295" i="135" a="1"/>
  <c r="F295" i="135" s="1"/>
  <c r="I295" i="135" a="1"/>
  <c r="I295" i="135" s="1"/>
  <c r="S295" i="135" a="1"/>
  <c r="S295" i="135" s="1"/>
  <c r="W295" i="135" a="1"/>
  <c r="W295" i="135" s="1"/>
  <c r="AD295" i="135" a="1"/>
  <c r="AD295" i="135" s="1"/>
  <c r="AG295" i="135" a="1"/>
  <c r="AG295" i="135" s="1"/>
  <c r="H295" i="135" a="1"/>
  <c r="H295" i="135" s="1"/>
  <c r="AE295" i="135" a="1"/>
  <c r="AE295" i="135" s="1"/>
  <c r="E297" i="135" l="1" a="1"/>
  <c r="E297" i="135" s="1"/>
  <c r="D297" i="135" s="1"/>
  <c r="Z296" i="135" a="1"/>
  <c r="Z296" i="135" s="1"/>
  <c r="AC296" i="135" a="1"/>
  <c r="AC296" i="135" s="1"/>
  <c r="T296" i="135" a="1"/>
  <c r="T296" i="135" s="1"/>
  <c r="P296" i="135" a="1"/>
  <c r="P296" i="135" s="1"/>
  <c r="V296" i="135" a="1"/>
  <c r="V296" i="135" s="1"/>
  <c r="Y296" i="135" a="1"/>
  <c r="Y296" i="135" s="1"/>
  <c r="L296" i="135" a="1"/>
  <c r="L296" i="135" s="1"/>
  <c r="H296" i="135" a="1"/>
  <c r="H296" i="135" s="1"/>
  <c r="R296" i="135" a="1"/>
  <c r="R296" i="135" s="1"/>
  <c r="U296" i="135" a="1"/>
  <c r="U296" i="135" s="1"/>
  <c r="AI296" i="135" a="1"/>
  <c r="AI296" i="135" s="1"/>
  <c r="AM296" i="135" a="1"/>
  <c r="AM296" i="135" s="1"/>
  <c r="J296" i="135" a="1"/>
  <c r="J296" i="135" s="1"/>
  <c r="M296" i="135" a="1"/>
  <c r="M296" i="135" s="1"/>
  <c r="S296" i="135" a="1"/>
  <c r="S296" i="135" s="1"/>
  <c r="W296" i="135" a="1"/>
  <c r="W296" i="135" s="1"/>
  <c r="AH296" i="135" a="1"/>
  <c r="AH296" i="135" s="1"/>
  <c r="AJ296" i="135" a="1"/>
  <c r="AJ296" i="135" s="1"/>
  <c r="G296" i="135" a="1"/>
  <c r="G296" i="135" s="1"/>
  <c r="AD296" i="135" a="1"/>
  <c r="AD296" i="135" s="1"/>
  <c r="AB296" i="135" a="1"/>
  <c r="AB296" i="135" s="1"/>
  <c r="N296" i="135" a="1"/>
  <c r="N296" i="135" s="1"/>
  <c r="Q296" i="135" a="1"/>
  <c r="Q296" i="135" s="1"/>
  <c r="AA296" i="135" a="1"/>
  <c r="AA296" i="135" s="1"/>
  <c r="AE296" i="135" a="1"/>
  <c r="AE296" i="135" s="1"/>
  <c r="AK296" i="135" a="1"/>
  <c r="AK296" i="135" s="1"/>
  <c r="AF296" i="135" a="1"/>
  <c r="AF296" i="135" s="1"/>
  <c r="AG296" i="135" a="1"/>
  <c r="AG296" i="135" s="1"/>
  <c r="X296" i="135" a="1"/>
  <c r="X296" i="135" s="1"/>
  <c r="AL296" i="135" a="1"/>
  <c r="AL296" i="135" s="1"/>
  <c r="F296" i="135" a="1"/>
  <c r="F296" i="135" s="1"/>
  <c r="I296" i="135" a="1"/>
  <c r="I296" i="135" s="1"/>
  <c r="K296" i="135" a="1"/>
  <c r="K296" i="135" s="1"/>
  <c r="O296" i="135" a="1"/>
  <c r="O296" i="135" s="1"/>
  <c r="E298" i="135" l="1" a="1"/>
  <c r="E298" i="135" s="1"/>
  <c r="D298" i="135" s="1"/>
  <c r="W297" i="135" a="1"/>
  <c r="W297" i="135" s="1"/>
  <c r="Z297" i="135" a="1"/>
  <c r="Z297" i="135" s="1"/>
  <c r="AC297" i="135" a="1"/>
  <c r="AC297" i="135" s="1"/>
  <c r="T297" i="135" a="1"/>
  <c r="T297" i="135" s="1"/>
  <c r="S297" i="135" a="1"/>
  <c r="S297" i="135" s="1"/>
  <c r="V297" i="135" a="1"/>
  <c r="V297" i="135" s="1"/>
  <c r="Y297" i="135" a="1"/>
  <c r="Y297" i="135" s="1"/>
  <c r="H297" i="135" a="1"/>
  <c r="H297" i="135" s="1"/>
  <c r="O297" i="135" a="1"/>
  <c r="O297" i="135" s="1"/>
  <c r="R297" i="135" a="1"/>
  <c r="R297" i="135" s="1"/>
  <c r="U297" i="135" a="1"/>
  <c r="U297" i="135" s="1"/>
  <c r="AB297" i="135" a="1"/>
  <c r="AB297" i="135" s="1"/>
  <c r="AA297" i="135" a="1"/>
  <c r="AA297" i="135" s="1"/>
  <c r="AD297" i="135" a="1"/>
  <c r="AD297" i="135" s="1"/>
  <c r="AG297" i="135" a="1"/>
  <c r="AG297" i="135" s="1"/>
  <c r="AF297" i="135" a="1"/>
  <c r="AF297" i="135" s="1"/>
  <c r="K297" i="135" a="1"/>
  <c r="K297" i="135" s="1"/>
  <c r="N297" i="135" a="1"/>
  <c r="N297" i="135" s="1"/>
  <c r="Q297" i="135" a="1"/>
  <c r="Q297" i="135" s="1"/>
  <c r="P297" i="135" a="1"/>
  <c r="P297" i="135" s="1"/>
  <c r="AI297" i="135" a="1"/>
  <c r="AI297" i="135" s="1"/>
  <c r="AL297" i="135" a="1"/>
  <c r="AL297" i="135" s="1"/>
  <c r="F297" i="135" a="1"/>
  <c r="F297" i="135" s="1"/>
  <c r="I297" i="135" a="1"/>
  <c r="I297" i="135" s="1"/>
  <c r="AJ297" i="135" a="1"/>
  <c r="AJ297" i="135" s="1"/>
  <c r="AM297" i="135" a="1"/>
  <c r="AM297" i="135" s="1"/>
  <c r="G297" i="135" a="1"/>
  <c r="G297" i="135" s="1"/>
  <c r="J297" i="135" a="1"/>
  <c r="J297" i="135" s="1"/>
  <c r="M297" i="135" a="1"/>
  <c r="M297" i="135" s="1"/>
  <c r="X297" i="135" a="1"/>
  <c r="X297" i="135" s="1"/>
  <c r="AE297" i="135" a="1"/>
  <c r="AE297" i="135" s="1"/>
  <c r="AH297" i="135" a="1"/>
  <c r="AH297" i="135" s="1"/>
  <c r="AK297" i="135" a="1"/>
  <c r="AK297" i="135" s="1"/>
  <c r="L297" i="135" a="1"/>
  <c r="L297" i="135" s="1"/>
  <c r="E299" i="135" l="1" a="1"/>
  <c r="E299" i="135" s="1"/>
  <c r="D299" i="135" s="1"/>
  <c r="T298" i="135" a="1"/>
  <c r="T298" i="135" s="1"/>
  <c r="K298" i="135" a="1"/>
  <c r="K298" i="135" s="1"/>
  <c r="N298" i="135" a="1"/>
  <c r="N298" i="135" s="1"/>
  <c r="M298" i="135" a="1"/>
  <c r="M298" i="135" s="1"/>
  <c r="AF298" i="135" a="1"/>
  <c r="AF298" i="135" s="1"/>
  <c r="W298" i="135" a="1"/>
  <c r="W298" i="135" s="1"/>
  <c r="Z298" i="135" a="1"/>
  <c r="Z298" i="135" s="1"/>
  <c r="H298" i="135" a="1"/>
  <c r="H298" i="135" s="1"/>
  <c r="L298" i="135" a="1"/>
  <c r="L298" i="135" s="1"/>
  <c r="AB298" i="135" a="1"/>
  <c r="AB298" i="135" s="1"/>
  <c r="S298" i="135" a="1"/>
  <c r="S298" i="135" s="1"/>
  <c r="V298" i="135" a="1"/>
  <c r="V298" i="135" s="1"/>
  <c r="AC298" i="135" a="1"/>
  <c r="AC298" i="135" s="1"/>
  <c r="AM298" i="135" a="1"/>
  <c r="AM298" i="135" s="1"/>
  <c r="G298" i="135" a="1"/>
  <c r="G298" i="135" s="1"/>
  <c r="J298" i="135" a="1"/>
  <c r="J298" i="135" s="1"/>
  <c r="Y298" i="135" a="1"/>
  <c r="Y298" i="135" s="1"/>
  <c r="AI298" i="135" a="1"/>
  <c r="AI298" i="135" s="1"/>
  <c r="AL298" i="135" a="1"/>
  <c r="AL298" i="135" s="1"/>
  <c r="F298" i="135" a="1"/>
  <c r="F298" i="135" s="1"/>
  <c r="AK298" i="135" a="1"/>
  <c r="AK298" i="135" s="1"/>
  <c r="AE298" i="135" a="1"/>
  <c r="AE298" i="135" s="1"/>
  <c r="AH298" i="135" a="1"/>
  <c r="AH298" i="135" s="1"/>
  <c r="AG298" i="135" a="1"/>
  <c r="AG298" i="135" s="1"/>
  <c r="U298" i="135" a="1"/>
  <c r="U298" i="135" s="1"/>
  <c r="AJ298" i="135" a="1"/>
  <c r="AJ298" i="135" s="1"/>
  <c r="AA298" i="135" a="1"/>
  <c r="AA298" i="135" s="1"/>
  <c r="AD298" i="135" a="1"/>
  <c r="AD298" i="135" s="1"/>
  <c r="Q298" i="135" a="1"/>
  <c r="Q298" i="135" s="1"/>
  <c r="I298" i="135" a="1"/>
  <c r="I298" i="135" s="1"/>
  <c r="O298" i="135" a="1"/>
  <c r="O298" i="135" s="1"/>
  <c r="R298" i="135" a="1"/>
  <c r="R298" i="135" s="1"/>
  <c r="P298" i="135" a="1"/>
  <c r="P298" i="135" s="1"/>
  <c r="X298" i="135" a="1"/>
  <c r="X298" i="135" s="1"/>
  <c r="E300" i="135" l="1" a="1"/>
  <c r="E300" i="135" s="1"/>
  <c r="D300" i="135" s="1"/>
  <c r="Y299" i="135" a="1"/>
  <c r="Y299" i="135" s="1"/>
  <c r="X299" i="135" a="1"/>
  <c r="X299" i="135" s="1"/>
  <c r="AA299" i="135" a="1"/>
  <c r="AA299" i="135" s="1"/>
  <c r="AD299" i="135" a="1"/>
  <c r="AD299" i="135" s="1"/>
  <c r="U299" i="135" a="1"/>
  <c r="U299" i="135" s="1"/>
  <c r="T299" i="135" a="1"/>
  <c r="T299" i="135" s="1"/>
  <c r="W299" i="135" a="1"/>
  <c r="W299" i="135" s="1"/>
  <c r="Z299" i="135" a="1"/>
  <c r="Z299" i="135" s="1"/>
  <c r="AC299" i="135" a="1"/>
  <c r="AC299" i="135" s="1"/>
  <c r="AB299" i="135" a="1"/>
  <c r="AB299" i="135" s="1"/>
  <c r="AE299" i="135" a="1"/>
  <c r="AE299" i="135" s="1"/>
  <c r="AH299" i="135" a="1"/>
  <c r="AH299" i="135" s="1"/>
  <c r="Q299" i="135" a="1"/>
  <c r="Q299" i="135" s="1"/>
  <c r="P299" i="135" a="1"/>
  <c r="P299" i="135" s="1"/>
  <c r="S299" i="135" a="1"/>
  <c r="S299" i="135" s="1"/>
  <c r="V299" i="135" a="1"/>
  <c r="V299" i="135" s="1"/>
  <c r="M299" i="135" a="1"/>
  <c r="M299" i="135" s="1"/>
  <c r="L299" i="135" a="1"/>
  <c r="L299" i="135" s="1"/>
  <c r="O299" i="135" a="1"/>
  <c r="O299" i="135" s="1"/>
  <c r="R299" i="135" a="1"/>
  <c r="R299" i="135" s="1"/>
  <c r="I299" i="135" a="1"/>
  <c r="I299" i="135" s="1"/>
  <c r="H299" i="135" a="1"/>
  <c r="H299" i="135" s="1"/>
  <c r="K299" i="135" a="1"/>
  <c r="K299" i="135" s="1"/>
  <c r="N299" i="135" a="1"/>
  <c r="N299" i="135" s="1"/>
  <c r="AK299" i="135" a="1"/>
  <c r="AK299" i="135" s="1"/>
  <c r="AJ299" i="135" a="1"/>
  <c r="AJ299" i="135" s="1"/>
  <c r="AM299" i="135" a="1"/>
  <c r="AM299" i="135" s="1"/>
  <c r="G299" i="135" a="1"/>
  <c r="G299" i="135" s="1"/>
  <c r="J299" i="135" a="1"/>
  <c r="J299" i="135" s="1"/>
  <c r="AG299" i="135" a="1"/>
  <c r="AG299" i="135" s="1"/>
  <c r="AF299" i="135" a="1"/>
  <c r="AF299" i="135" s="1"/>
  <c r="AI299" i="135" a="1"/>
  <c r="AI299" i="135" s="1"/>
  <c r="AL299" i="135" a="1"/>
  <c r="AL299" i="135" s="1"/>
  <c r="F299" i="135" a="1"/>
  <c r="F299" i="135" s="1"/>
  <c r="E301" i="135" l="1" a="1"/>
  <c r="E301" i="135" s="1"/>
  <c r="D301" i="135" s="1"/>
  <c r="U300" i="135" a="1"/>
  <c r="U300" i="135" s="1"/>
  <c r="T300" i="135" a="1"/>
  <c r="T300" i="135" s="1"/>
  <c r="W300" i="135" a="1"/>
  <c r="W300" i="135" s="1"/>
  <c r="N300" i="135" a="1"/>
  <c r="N300" i="135" s="1"/>
  <c r="Q300" i="135" a="1"/>
  <c r="Q300" i="135" s="1"/>
  <c r="P300" i="135" a="1"/>
  <c r="P300" i="135" s="1"/>
  <c r="S300" i="135" a="1"/>
  <c r="S300" i="135" s="1"/>
  <c r="J300" i="135" a="1"/>
  <c r="J300" i="135" s="1"/>
  <c r="M300" i="135" a="1"/>
  <c r="M300" i="135" s="1"/>
  <c r="L300" i="135" a="1"/>
  <c r="L300" i="135" s="1"/>
  <c r="O300" i="135" a="1"/>
  <c r="O300" i="135" s="1"/>
  <c r="AL300" i="135" a="1"/>
  <c r="AL300" i="135" s="1"/>
  <c r="I300" i="135" a="1"/>
  <c r="I300" i="135" s="1"/>
  <c r="H300" i="135" a="1"/>
  <c r="H300" i="135" s="1"/>
  <c r="K300" i="135" a="1"/>
  <c r="K300" i="135" s="1"/>
  <c r="F300" i="135" a="1"/>
  <c r="F300" i="135" s="1"/>
  <c r="AC300" i="135" a="1"/>
  <c r="AC300" i="135" s="1"/>
  <c r="AB300" i="135" a="1"/>
  <c r="AB300" i="135" s="1"/>
  <c r="AE300" i="135" a="1"/>
  <c r="AE300" i="135" s="1"/>
  <c r="V300" i="135" a="1"/>
  <c r="V300" i="135" s="1"/>
  <c r="Y300" i="135" a="1"/>
  <c r="Y300" i="135" s="1"/>
  <c r="X300" i="135" a="1"/>
  <c r="X300" i="135" s="1"/>
  <c r="AA300" i="135" a="1"/>
  <c r="AA300" i="135" s="1"/>
  <c r="R300" i="135" a="1"/>
  <c r="R300" i="135" s="1"/>
  <c r="AK300" i="135" a="1"/>
  <c r="AK300" i="135" s="1"/>
  <c r="AJ300" i="135" a="1"/>
  <c r="AJ300" i="135" s="1"/>
  <c r="AM300" i="135" a="1"/>
  <c r="AM300" i="135" s="1"/>
  <c r="G300" i="135" a="1"/>
  <c r="G300" i="135" s="1"/>
  <c r="AD300" i="135" a="1"/>
  <c r="AD300" i="135" s="1"/>
  <c r="AG300" i="135" a="1"/>
  <c r="AG300" i="135" s="1"/>
  <c r="AF300" i="135" a="1"/>
  <c r="AF300" i="135" s="1"/>
  <c r="AI300" i="135" a="1"/>
  <c r="AI300" i="135" s="1"/>
  <c r="Z300" i="135" a="1"/>
  <c r="Z300" i="135" s="1"/>
  <c r="AH300" i="135" a="1"/>
  <c r="AH300" i="135" s="1"/>
  <c r="E302" i="135" l="1" a="1"/>
  <c r="E302" i="135" s="1"/>
  <c r="D302" i="135" s="1"/>
  <c r="Z301" i="135" a="1"/>
  <c r="Z301" i="135" s="1"/>
  <c r="AC301" i="135" a="1"/>
  <c r="AC301" i="135" s="1"/>
  <c r="AB301" i="135" a="1"/>
  <c r="AB301" i="135" s="1"/>
  <c r="AE301" i="135" a="1"/>
  <c r="AE301" i="135" s="1"/>
  <c r="V301" i="135" a="1"/>
  <c r="V301" i="135" s="1"/>
  <c r="Y301" i="135" a="1"/>
  <c r="Y301" i="135" s="1"/>
  <c r="X301" i="135" a="1"/>
  <c r="X301" i="135" s="1"/>
  <c r="AA301" i="135" a="1"/>
  <c r="AA301" i="135" s="1"/>
  <c r="R301" i="135" a="1"/>
  <c r="R301" i="135" s="1"/>
  <c r="U301" i="135" a="1"/>
  <c r="U301" i="135" s="1"/>
  <c r="T301" i="135" a="1"/>
  <c r="T301" i="135" s="1"/>
  <c r="W301" i="135" a="1"/>
  <c r="W301" i="135" s="1"/>
  <c r="N301" i="135" a="1"/>
  <c r="N301" i="135" s="1"/>
  <c r="Q301" i="135" a="1"/>
  <c r="Q301" i="135" s="1"/>
  <c r="P301" i="135" a="1"/>
  <c r="P301" i="135" s="1"/>
  <c r="S301" i="135" a="1"/>
  <c r="S301" i="135" s="1"/>
  <c r="J301" i="135" a="1"/>
  <c r="J301" i="135" s="1"/>
  <c r="M301" i="135" a="1"/>
  <c r="M301" i="135" s="1"/>
  <c r="L301" i="135" a="1"/>
  <c r="L301" i="135" s="1"/>
  <c r="O301" i="135" a="1"/>
  <c r="O301" i="135" s="1"/>
  <c r="F301" i="135" a="1"/>
  <c r="F301" i="135" s="1"/>
  <c r="I301" i="135" a="1"/>
  <c r="I301" i="135" s="1"/>
  <c r="K301" i="135" a="1"/>
  <c r="K301" i="135" s="1"/>
  <c r="AD301" i="135" a="1"/>
  <c r="AD301" i="135" s="1"/>
  <c r="AG301" i="135" a="1"/>
  <c r="AG301" i="135" s="1"/>
  <c r="AF301" i="135" a="1"/>
  <c r="AF301" i="135" s="1"/>
  <c r="AI301" i="135" a="1"/>
  <c r="AI301" i="135" s="1"/>
  <c r="AH301" i="135" a="1"/>
  <c r="AH301" i="135" s="1"/>
  <c r="AK301" i="135" a="1"/>
  <c r="AK301" i="135" s="1"/>
  <c r="AJ301" i="135" a="1"/>
  <c r="AJ301" i="135" s="1"/>
  <c r="AM301" i="135" a="1"/>
  <c r="AM301" i="135" s="1"/>
  <c r="G301" i="135" a="1"/>
  <c r="G301" i="135" s="1"/>
  <c r="AL301" i="135" a="1"/>
  <c r="AL301" i="135" s="1"/>
  <c r="H301" i="135" a="1"/>
  <c r="H301" i="135" s="1"/>
  <c r="E303" i="135" l="1" a="1"/>
  <c r="E303" i="135" s="1"/>
  <c r="D303" i="135" s="1"/>
  <c r="Z302" i="135" a="1"/>
  <c r="Z302" i="135" s="1"/>
  <c r="AC302" i="135" a="1"/>
  <c r="AC302" i="135" s="1"/>
  <c r="AB302" i="135" a="1"/>
  <c r="AB302" i="135" s="1"/>
  <c r="K302" i="135" a="1"/>
  <c r="K302" i="135" s="1"/>
  <c r="AH302" i="135" a="1"/>
  <c r="AH302" i="135" s="1"/>
  <c r="AK302" i="135" a="1"/>
  <c r="AK302" i="135" s="1"/>
  <c r="AJ302" i="135" a="1"/>
  <c r="AJ302" i="135" s="1"/>
  <c r="S302" i="135" a="1"/>
  <c r="S302" i="135" s="1"/>
  <c r="AA302" i="135" a="1"/>
  <c r="AA302" i="135" s="1"/>
  <c r="V302" i="135" a="1"/>
  <c r="V302" i="135" s="1"/>
  <c r="Y302" i="135" a="1"/>
  <c r="Y302" i="135" s="1"/>
  <c r="X302" i="135" a="1"/>
  <c r="X302" i="135" s="1"/>
  <c r="AM302" i="135" a="1"/>
  <c r="AM302" i="135" s="1"/>
  <c r="R302" i="135" a="1"/>
  <c r="R302" i="135" s="1"/>
  <c r="U302" i="135" a="1"/>
  <c r="U302" i="135" s="1"/>
  <c r="T302" i="135" a="1"/>
  <c r="T302" i="135" s="1"/>
  <c r="G302" i="135" a="1"/>
  <c r="G302" i="135" s="1"/>
  <c r="N302" i="135" a="1"/>
  <c r="N302" i="135" s="1"/>
  <c r="Q302" i="135" a="1"/>
  <c r="Q302" i="135" s="1"/>
  <c r="P302" i="135" a="1"/>
  <c r="P302" i="135" s="1"/>
  <c r="AI302" i="135" a="1"/>
  <c r="AI302" i="135" s="1"/>
  <c r="J302" i="135" a="1"/>
  <c r="J302" i="135" s="1"/>
  <c r="M302" i="135" a="1"/>
  <c r="M302" i="135" s="1"/>
  <c r="L302" i="135" a="1"/>
  <c r="L302" i="135" s="1"/>
  <c r="AE302" i="135" a="1"/>
  <c r="AE302" i="135" s="1"/>
  <c r="AD302" i="135" a="1"/>
  <c r="AD302" i="135" s="1"/>
  <c r="AG302" i="135" a="1"/>
  <c r="AG302" i="135" s="1"/>
  <c r="AF302" i="135" a="1"/>
  <c r="AF302" i="135" s="1"/>
  <c r="O302" i="135" a="1"/>
  <c r="O302" i="135" s="1"/>
  <c r="AL302" i="135" a="1"/>
  <c r="AL302" i="135" s="1"/>
  <c r="F302" i="135" a="1"/>
  <c r="F302" i="135" s="1"/>
  <c r="I302" i="135" a="1"/>
  <c r="I302" i="135" s="1"/>
  <c r="H302" i="135" a="1"/>
  <c r="H302" i="135" s="1"/>
  <c r="W302" i="135" a="1"/>
  <c r="W302" i="135" s="1"/>
  <c r="E304" i="135" l="1" a="1"/>
  <c r="E304" i="135" s="1"/>
  <c r="D304" i="135" s="1"/>
  <c r="AA303" i="135" a="1"/>
  <c r="AA303" i="135" s="1"/>
  <c r="AD303" i="135" a="1"/>
  <c r="AD303" i="135" s="1"/>
  <c r="AG303" i="135" a="1"/>
  <c r="AG303" i="135" s="1"/>
  <c r="AF303" i="135" a="1"/>
  <c r="AF303" i="135" s="1"/>
  <c r="W303" i="135" a="1"/>
  <c r="W303" i="135" s="1"/>
  <c r="Z303" i="135" a="1"/>
  <c r="Z303" i="135" s="1"/>
  <c r="AC303" i="135" a="1"/>
  <c r="AC303" i="135" s="1"/>
  <c r="AB303" i="135" a="1"/>
  <c r="AB303" i="135" s="1"/>
  <c r="S303" i="135" a="1"/>
  <c r="S303" i="135" s="1"/>
  <c r="V303" i="135" a="1"/>
  <c r="V303" i="135" s="1"/>
  <c r="Y303" i="135" a="1"/>
  <c r="Y303" i="135" s="1"/>
  <c r="X303" i="135" a="1"/>
  <c r="X303" i="135" s="1"/>
  <c r="AI303" i="135" a="1"/>
  <c r="AI303" i="135" s="1"/>
  <c r="AL303" i="135" a="1"/>
  <c r="AL303" i="135" s="1"/>
  <c r="F303" i="135" a="1"/>
  <c r="F303" i="135" s="1"/>
  <c r="I303" i="135" a="1"/>
  <c r="I303" i="135" s="1"/>
  <c r="H303" i="135" a="1"/>
  <c r="H303" i="135" s="1"/>
  <c r="O303" i="135" a="1"/>
  <c r="O303" i="135" s="1"/>
  <c r="R303" i="135" a="1"/>
  <c r="R303" i="135" s="1"/>
  <c r="U303" i="135" a="1"/>
  <c r="U303" i="135" s="1"/>
  <c r="T303" i="135" a="1"/>
  <c r="T303" i="135" s="1"/>
  <c r="K303" i="135" a="1"/>
  <c r="K303" i="135" s="1"/>
  <c r="N303" i="135" a="1"/>
  <c r="N303" i="135" s="1"/>
  <c r="Q303" i="135" a="1"/>
  <c r="Q303" i="135" s="1"/>
  <c r="P303" i="135" a="1"/>
  <c r="P303" i="135" s="1"/>
  <c r="AE303" i="135" a="1"/>
  <c r="AE303" i="135" s="1"/>
  <c r="AH303" i="135" a="1"/>
  <c r="AH303" i="135" s="1"/>
  <c r="AK303" i="135" a="1"/>
  <c r="AK303" i="135" s="1"/>
  <c r="AJ303" i="135" a="1"/>
  <c r="AJ303" i="135" s="1"/>
  <c r="AM303" i="135" a="1"/>
  <c r="AM303" i="135" s="1"/>
  <c r="G303" i="135" a="1"/>
  <c r="G303" i="135" s="1"/>
  <c r="J303" i="135" a="1"/>
  <c r="J303" i="135" s="1"/>
  <c r="M303" i="135" a="1"/>
  <c r="M303" i="135" s="1"/>
  <c r="L303" i="135" a="1"/>
  <c r="L303" i="135" s="1"/>
  <c r="E305" i="135" l="1" a="1"/>
  <c r="E305" i="135" s="1"/>
  <c r="D305" i="135" s="1"/>
  <c r="S304" i="135" a="1"/>
  <c r="S304" i="135" s="1"/>
  <c r="V304" i="135" a="1"/>
  <c r="V304" i="135" s="1"/>
  <c r="Y304" i="135" a="1"/>
  <c r="Y304" i="135" s="1"/>
  <c r="AF304" i="135" a="1"/>
  <c r="AF304" i="135" s="1"/>
  <c r="O304" i="135" a="1"/>
  <c r="O304" i="135" s="1"/>
  <c r="R304" i="135" a="1"/>
  <c r="R304" i="135" s="1"/>
  <c r="U304" i="135" a="1"/>
  <c r="U304" i="135" s="1"/>
  <c r="AB304" i="135" a="1"/>
  <c r="AB304" i="135" s="1"/>
  <c r="K304" i="135" a="1"/>
  <c r="K304" i="135" s="1"/>
  <c r="N304" i="135" a="1"/>
  <c r="N304" i="135" s="1"/>
  <c r="Q304" i="135" a="1"/>
  <c r="Q304" i="135" s="1"/>
  <c r="X304" i="135" a="1"/>
  <c r="X304" i="135" s="1"/>
  <c r="AA304" i="135" a="1"/>
  <c r="AA304" i="135" s="1"/>
  <c r="AD304" i="135" a="1"/>
  <c r="AD304" i="135" s="1"/>
  <c r="AG304" i="135" a="1"/>
  <c r="AG304" i="135" s="1"/>
  <c r="H304" i="135" a="1"/>
  <c r="H304" i="135" s="1"/>
  <c r="W304" i="135" a="1"/>
  <c r="W304" i="135" s="1"/>
  <c r="Z304" i="135" a="1"/>
  <c r="Z304" i="135" s="1"/>
  <c r="AC304" i="135" a="1"/>
  <c r="AC304" i="135" s="1"/>
  <c r="AJ304" i="135" a="1"/>
  <c r="AJ304" i="135" s="1"/>
  <c r="AM304" i="135" a="1"/>
  <c r="AM304" i="135" s="1"/>
  <c r="G304" i="135" a="1"/>
  <c r="G304" i="135" s="1"/>
  <c r="J304" i="135" a="1"/>
  <c r="J304" i="135" s="1"/>
  <c r="M304" i="135" a="1"/>
  <c r="M304" i="135" s="1"/>
  <c r="P304" i="135" a="1"/>
  <c r="P304" i="135" s="1"/>
  <c r="AI304" i="135" a="1"/>
  <c r="AI304" i="135" s="1"/>
  <c r="AL304" i="135" a="1"/>
  <c r="AL304" i="135" s="1"/>
  <c r="F304" i="135" a="1"/>
  <c r="F304" i="135" s="1"/>
  <c r="I304" i="135" a="1"/>
  <c r="I304" i="135" s="1"/>
  <c r="T304" i="135" a="1"/>
  <c r="T304" i="135" s="1"/>
  <c r="AE304" i="135" a="1"/>
  <c r="AE304" i="135" s="1"/>
  <c r="AH304" i="135" a="1"/>
  <c r="AH304" i="135" s="1"/>
  <c r="AK304" i="135" a="1"/>
  <c r="AK304" i="135" s="1"/>
  <c r="L304" i="135" a="1"/>
  <c r="L304" i="135" s="1"/>
  <c r="E306" i="135" l="1" a="1"/>
  <c r="E306" i="135" s="1"/>
  <c r="D306" i="135" s="1"/>
  <c r="X305" i="135" a="1"/>
  <c r="X305" i="135" s="1"/>
  <c r="AA305" i="135" a="1"/>
  <c r="AA305" i="135" s="1"/>
  <c r="AD305" i="135" a="1"/>
  <c r="AD305" i="135" s="1"/>
  <c r="AG305" i="135" a="1"/>
  <c r="AG305" i="135" s="1"/>
  <c r="AF305" i="135" a="1"/>
  <c r="AF305" i="135" s="1"/>
  <c r="AI305" i="135" a="1"/>
  <c r="AI305" i="135" s="1"/>
  <c r="AL305" i="135" a="1"/>
  <c r="AL305" i="135" s="1"/>
  <c r="F305" i="135" a="1"/>
  <c r="F305" i="135" s="1"/>
  <c r="I305" i="135" a="1"/>
  <c r="I305" i="135" s="1"/>
  <c r="AB305" i="135" a="1"/>
  <c r="AB305" i="135" s="1"/>
  <c r="AE305" i="135" a="1"/>
  <c r="AE305" i="135" s="1"/>
  <c r="AH305" i="135" a="1"/>
  <c r="AH305" i="135" s="1"/>
  <c r="AK305" i="135" a="1"/>
  <c r="AK305" i="135" s="1"/>
  <c r="T305" i="135" a="1"/>
  <c r="T305" i="135" s="1"/>
  <c r="W305" i="135" a="1"/>
  <c r="W305" i="135" s="1"/>
  <c r="Z305" i="135" a="1"/>
  <c r="Z305" i="135" s="1"/>
  <c r="AC305" i="135" a="1"/>
  <c r="AC305" i="135" s="1"/>
  <c r="P305" i="135" a="1"/>
  <c r="P305" i="135" s="1"/>
  <c r="S305" i="135" a="1"/>
  <c r="S305" i="135" s="1"/>
  <c r="V305" i="135" a="1"/>
  <c r="V305" i="135" s="1"/>
  <c r="Y305" i="135" a="1"/>
  <c r="Y305" i="135" s="1"/>
  <c r="L305" i="135" a="1"/>
  <c r="L305" i="135" s="1"/>
  <c r="O305" i="135" a="1"/>
  <c r="O305" i="135" s="1"/>
  <c r="R305" i="135" a="1"/>
  <c r="R305" i="135" s="1"/>
  <c r="U305" i="135" a="1"/>
  <c r="U305" i="135" s="1"/>
  <c r="H305" i="135" a="1"/>
  <c r="H305" i="135" s="1"/>
  <c r="K305" i="135" a="1"/>
  <c r="K305" i="135" s="1"/>
  <c r="N305" i="135" a="1"/>
  <c r="N305" i="135" s="1"/>
  <c r="Q305" i="135" a="1"/>
  <c r="Q305" i="135" s="1"/>
  <c r="AJ305" i="135" a="1"/>
  <c r="AJ305" i="135" s="1"/>
  <c r="AM305" i="135" a="1"/>
  <c r="AM305" i="135" s="1"/>
  <c r="G305" i="135" a="1"/>
  <c r="G305" i="135" s="1"/>
  <c r="J305" i="135" a="1"/>
  <c r="J305" i="135" s="1"/>
  <c r="M305" i="135" a="1"/>
  <c r="M305" i="135" s="1"/>
  <c r="E307" i="135" l="1" a="1"/>
  <c r="E307" i="135" s="1"/>
  <c r="D307" i="135" s="1"/>
  <c r="U306" i="135" a="1"/>
  <c r="U306" i="135" s="1"/>
  <c r="T306" i="135" a="1"/>
  <c r="T306" i="135" s="1"/>
  <c r="W306" i="135" a="1"/>
  <c r="W306" i="135" s="1"/>
  <c r="Z306" i="135" a="1"/>
  <c r="Z306" i="135" s="1"/>
  <c r="Q306" i="135" a="1"/>
  <c r="Q306" i="135" s="1"/>
  <c r="P306" i="135" a="1"/>
  <c r="P306" i="135" s="1"/>
  <c r="S306" i="135" a="1"/>
  <c r="S306" i="135" s="1"/>
  <c r="V306" i="135" a="1"/>
  <c r="V306" i="135" s="1"/>
  <c r="AG306" i="135" a="1"/>
  <c r="AG306" i="135" s="1"/>
  <c r="AF306" i="135" a="1"/>
  <c r="AF306" i="135" s="1"/>
  <c r="AI306" i="135" a="1"/>
  <c r="AI306" i="135" s="1"/>
  <c r="AL306" i="135" a="1"/>
  <c r="AL306" i="135" s="1"/>
  <c r="F306" i="135" a="1"/>
  <c r="F306" i="135" s="1"/>
  <c r="Y306" i="135" a="1"/>
  <c r="Y306" i="135" s="1"/>
  <c r="X306" i="135" a="1"/>
  <c r="X306" i="135" s="1"/>
  <c r="AA306" i="135" a="1"/>
  <c r="AA306" i="135" s="1"/>
  <c r="AD306" i="135" a="1"/>
  <c r="AD306" i="135" s="1"/>
  <c r="AC306" i="135" a="1"/>
  <c r="AC306" i="135" s="1"/>
  <c r="AB306" i="135" a="1"/>
  <c r="AB306" i="135" s="1"/>
  <c r="AE306" i="135" a="1"/>
  <c r="AE306" i="135" s="1"/>
  <c r="AH306" i="135" a="1"/>
  <c r="AH306" i="135" s="1"/>
  <c r="M306" i="135" a="1"/>
  <c r="M306" i="135" s="1"/>
  <c r="L306" i="135" a="1"/>
  <c r="L306" i="135" s="1"/>
  <c r="O306" i="135" a="1"/>
  <c r="O306" i="135" s="1"/>
  <c r="R306" i="135" a="1"/>
  <c r="R306" i="135" s="1"/>
  <c r="I306" i="135" a="1"/>
  <c r="I306" i="135" s="1"/>
  <c r="H306" i="135" a="1"/>
  <c r="H306" i="135" s="1"/>
  <c r="K306" i="135" a="1"/>
  <c r="K306" i="135" s="1"/>
  <c r="N306" i="135" a="1"/>
  <c r="N306" i="135" s="1"/>
  <c r="AK306" i="135" a="1"/>
  <c r="AK306" i="135" s="1"/>
  <c r="AJ306" i="135" a="1"/>
  <c r="AJ306" i="135" s="1"/>
  <c r="AM306" i="135" a="1"/>
  <c r="AM306" i="135" s="1"/>
  <c r="G306" i="135" a="1"/>
  <c r="G306" i="135" s="1"/>
  <c r="J306" i="135" a="1"/>
  <c r="J306" i="135" s="1"/>
  <c r="E308" i="135" l="1" a="1"/>
  <c r="E308" i="135" s="1"/>
  <c r="D308" i="135" s="1"/>
  <c r="Y307" i="135" a="1"/>
  <c r="Y307" i="135" s="1"/>
  <c r="X307" i="135" a="1"/>
  <c r="X307" i="135" s="1"/>
  <c r="AA307" i="135" a="1"/>
  <c r="AA307" i="135" s="1"/>
  <c r="AD307" i="135" a="1"/>
  <c r="AD307" i="135" s="1"/>
  <c r="Q307" i="135" a="1"/>
  <c r="Q307" i="135" s="1"/>
  <c r="V307" i="135" a="1"/>
  <c r="V307" i="135" s="1"/>
  <c r="AB307" i="135" a="1"/>
  <c r="AB307" i="135" s="1"/>
  <c r="AE307" i="135" a="1"/>
  <c r="AE307" i="135" s="1"/>
  <c r="U307" i="135" a="1"/>
  <c r="U307" i="135" s="1"/>
  <c r="T307" i="135" a="1"/>
  <c r="T307" i="135" s="1"/>
  <c r="W307" i="135" a="1"/>
  <c r="W307" i="135" s="1"/>
  <c r="Z307" i="135" a="1"/>
  <c r="Z307" i="135" s="1"/>
  <c r="P307" i="135" a="1"/>
  <c r="P307" i="135" s="1"/>
  <c r="S307" i="135" a="1"/>
  <c r="S307" i="135" s="1"/>
  <c r="AC307" i="135" a="1"/>
  <c r="AC307" i="135" s="1"/>
  <c r="AH307" i="135" a="1"/>
  <c r="AH307" i="135" s="1"/>
  <c r="M307" i="135" a="1"/>
  <c r="M307" i="135" s="1"/>
  <c r="L307" i="135" a="1"/>
  <c r="L307" i="135" s="1"/>
  <c r="O307" i="135" a="1"/>
  <c r="O307" i="135" s="1"/>
  <c r="R307" i="135" a="1"/>
  <c r="R307" i="135" s="1"/>
  <c r="I307" i="135" a="1"/>
  <c r="I307" i="135" s="1"/>
  <c r="H307" i="135" a="1"/>
  <c r="H307" i="135" s="1"/>
  <c r="K307" i="135" a="1"/>
  <c r="K307" i="135" s="1"/>
  <c r="N307" i="135" a="1"/>
  <c r="N307" i="135" s="1"/>
  <c r="AG307" i="135" a="1"/>
  <c r="AG307" i="135" s="1"/>
  <c r="AF307" i="135" a="1"/>
  <c r="AF307" i="135" s="1"/>
  <c r="AI307" i="135" a="1"/>
  <c r="AI307" i="135" s="1"/>
  <c r="AL307" i="135" a="1"/>
  <c r="AL307" i="135" s="1"/>
  <c r="F307" i="135" a="1"/>
  <c r="F307" i="135" s="1"/>
  <c r="AK307" i="135" a="1"/>
  <c r="AK307" i="135" s="1"/>
  <c r="AJ307" i="135" a="1"/>
  <c r="AJ307" i="135" s="1"/>
  <c r="AM307" i="135" a="1"/>
  <c r="AM307" i="135" s="1"/>
  <c r="G307" i="135" a="1"/>
  <c r="G307" i="135" s="1"/>
  <c r="J307" i="135" a="1"/>
  <c r="J307" i="135" s="1"/>
  <c r="E309" i="135" l="1" a="1"/>
  <c r="E309" i="135" s="1"/>
  <c r="D309" i="135" s="1"/>
  <c r="Z308" i="135" a="1"/>
  <c r="Z308" i="135" s="1"/>
  <c r="AC308" i="135" a="1"/>
  <c r="AC308" i="135" s="1"/>
  <c r="AB308" i="135" a="1"/>
  <c r="AB308" i="135" s="1"/>
  <c r="AE308" i="135" a="1"/>
  <c r="AE308" i="135" s="1"/>
  <c r="Y308" i="135" a="1"/>
  <c r="Y308" i="135" s="1"/>
  <c r="R308" i="135" a="1"/>
  <c r="R308" i="135" s="1"/>
  <c r="T308" i="135" a="1"/>
  <c r="T308" i="135" s="1"/>
  <c r="V308" i="135" a="1"/>
  <c r="V308" i="135" s="1"/>
  <c r="X308" i="135" a="1"/>
  <c r="X308" i="135" s="1"/>
  <c r="AA308" i="135" a="1"/>
  <c r="AA308" i="135" s="1"/>
  <c r="U308" i="135" a="1"/>
  <c r="U308" i="135" s="1"/>
  <c r="W308" i="135" a="1"/>
  <c r="W308" i="135" s="1"/>
  <c r="N308" i="135" a="1"/>
  <c r="N308" i="135" s="1"/>
  <c r="Q308" i="135" a="1"/>
  <c r="Q308" i="135" s="1"/>
  <c r="P308" i="135" a="1"/>
  <c r="P308" i="135" s="1"/>
  <c r="S308" i="135" a="1"/>
  <c r="S308" i="135" s="1"/>
  <c r="J308" i="135" a="1"/>
  <c r="J308" i="135" s="1"/>
  <c r="M308" i="135" a="1"/>
  <c r="M308" i="135" s="1"/>
  <c r="L308" i="135" a="1"/>
  <c r="L308" i="135" s="1"/>
  <c r="O308" i="135" a="1"/>
  <c r="O308" i="135" s="1"/>
  <c r="AH308" i="135" a="1"/>
  <c r="AH308" i="135" s="1"/>
  <c r="AK308" i="135" a="1"/>
  <c r="AK308" i="135" s="1"/>
  <c r="AJ308" i="135" a="1"/>
  <c r="AJ308" i="135" s="1"/>
  <c r="AM308" i="135" a="1"/>
  <c r="AM308" i="135" s="1"/>
  <c r="AL308" i="135" a="1"/>
  <c r="AL308" i="135" s="1"/>
  <c r="F308" i="135" a="1"/>
  <c r="F308" i="135" s="1"/>
  <c r="I308" i="135" a="1"/>
  <c r="I308" i="135" s="1"/>
  <c r="H308" i="135" a="1"/>
  <c r="H308" i="135" s="1"/>
  <c r="K308" i="135" a="1"/>
  <c r="K308" i="135" s="1"/>
  <c r="G308" i="135" a="1"/>
  <c r="G308" i="135" s="1"/>
  <c r="AD308" i="135" a="1"/>
  <c r="AD308" i="135" s="1"/>
  <c r="AG308" i="135" a="1"/>
  <c r="AG308" i="135" s="1"/>
  <c r="AF308" i="135" a="1"/>
  <c r="AF308" i="135" s="1"/>
  <c r="AI308" i="135" a="1"/>
  <c r="AI308" i="135" s="1"/>
  <c r="E310" i="135" l="1" a="1"/>
  <c r="E310" i="135" s="1"/>
  <c r="D310" i="135" s="1"/>
  <c r="Z309" i="135" a="1"/>
  <c r="Z309" i="135" s="1"/>
  <c r="AC309" i="135" a="1"/>
  <c r="AC309" i="135" s="1"/>
  <c r="AB309" i="135" a="1"/>
  <c r="AB309" i="135" s="1"/>
  <c r="AE309" i="135" a="1"/>
  <c r="AE309" i="135" s="1"/>
  <c r="V309" i="135" a="1"/>
  <c r="V309" i="135" s="1"/>
  <c r="Y309" i="135" a="1"/>
  <c r="Y309" i="135" s="1"/>
  <c r="X309" i="135" a="1"/>
  <c r="X309" i="135" s="1"/>
  <c r="AA309" i="135" a="1"/>
  <c r="AA309" i="135" s="1"/>
  <c r="R309" i="135" a="1"/>
  <c r="R309" i="135" s="1"/>
  <c r="U309" i="135" a="1"/>
  <c r="U309" i="135" s="1"/>
  <c r="T309" i="135" a="1"/>
  <c r="T309" i="135" s="1"/>
  <c r="W309" i="135" a="1"/>
  <c r="W309" i="135" s="1"/>
  <c r="J309" i="135" a="1"/>
  <c r="J309" i="135" s="1"/>
  <c r="M309" i="135" a="1"/>
  <c r="M309" i="135" s="1"/>
  <c r="L309" i="135" a="1"/>
  <c r="L309" i="135" s="1"/>
  <c r="O309" i="135" a="1"/>
  <c r="O309" i="135" s="1"/>
  <c r="AL309" i="135" a="1"/>
  <c r="AL309" i="135" s="1"/>
  <c r="F309" i="135" a="1"/>
  <c r="F309" i="135" s="1"/>
  <c r="I309" i="135" a="1"/>
  <c r="I309" i="135" s="1"/>
  <c r="H309" i="135" a="1"/>
  <c r="H309" i="135" s="1"/>
  <c r="K309" i="135" a="1"/>
  <c r="K309" i="135" s="1"/>
  <c r="N309" i="135" a="1"/>
  <c r="N309" i="135" s="1"/>
  <c r="Q309" i="135" a="1"/>
  <c r="Q309" i="135" s="1"/>
  <c r="P309" i="135" a="1"/>
  <c r="P309" i="135" s="1"/>
  <c r="S309" i="135" a="1"/>
  <c r="S309" i="135" s="1"/>
  <c r="AK309" i="135" a="1"/>
  <c r="AK309" i="135" s="1"/>
  <c r="AJ309" i="135" a="1"/>
  <c r="AJ309" i="135" s="1"/>
  <c r="G309" i="135" a="1"/>
  <c r="G309" i="135" s="1"/>
  <c r="AH309" i="135" a="1"/>
  <c r="AH309" i="135" s="1"/>
  <c r="AM309" i="135" a="1"/>
  <c r="AM309" i="135" s="1"/>
  <c r="AD309" i="135" a="1"/>
  <c r="AD309" i="135" s="1"/>
  <c r="AG309" i="135" a="1"/>
  <c r="AG309" i="135" s="1"/>
  <c r="AF309" i="135" a="1"/>
  <c r="AF309" i="135" s="1"/>
  <c r="AI309" i="135" a="1"/>
  <c r="AI309" i="135" s="1"/>
  <c r="E311" i="135" l="1" a="1"/>
  <c r="E311" i="135" s="1"/>
  <c r="D311" i="135" s="1"/>
  <c r="AA310" i="135" a="1"/>
  <c r="AA310" i="135" s="1"/>
  <c r="AD310" i="135" a="1"/>
  <c r="AD310" i="135" s="1"/>
  <c r="AG310" i="135" a="1"/>
  <c r="AG310" i="135" s="1"/>
  <c r="AF310" i="135" a="1"/>
  <c r="AF310" i="135" s="1"/>
  <c r="W310" i="135" a="1"/>
  <c r="W310" i="135" s="1"/>
  <c r="Z310" i="135" a="1"/>
  <c r="Z310" i="135" s="1"/>
  <c r="AC310" i="135" a="1"/>
  <c r="AC310" i="135" s="1"/>
  <c r="AB310" i="135" a="1"/>
  <c r="AB310" i="135" s="1"/>
  <c r="AH310" i="135" a="1"/>
  <c r="AH310" i="135" s="1"/>
  <c r="AJ310" i="135" a="1"/>
  <c r="AJ310" i="135" s="1"/>
  <c r="S310" i="135" a="1"/>
  <c r="S310" i="135" s="1"/>
  <c r="V310" i="135" a="1"/>
  <c r="V310" i="135" s="1"/>
  <c r="Y310" i="135" a="1"/>
  <c r="Y310" i="135" s="1"/>
  <c r="X310" i="135" a="1"/>
  <c r="X310" i="135" s="1"/>
  <c r="O310" i="135" a="1"/>
  <c r="O310" i="135" s="1"/>
  <c r="R310" i="135" a="1"/>
  <c r="R310" i="135" s="1"/>
  <c r="U310" i="135" a="1"/>
  <c r="U310" i="135" s="1"/>
  <c r="T310" i="135" a="1"/>
  <c r="T310" i="135" s="1"/>
  <c r="K310" i="135" a="1"/>
  <c r="K310" i="135" s="1"/>
  <c r="N310" i="135" a="1"/>
  <c r="N310" i="135" s="1"/>
  <c r="Q310" i="135" a="1"/>
  <c r="Q310" i="135" s="1"/>
  <c r="P310" i="135" a="1"/>
  <c r="P310" i="135" s="1"/>
  <c r="AM310" i="135" a="1"/>
  <c r="AM310" i="135" s="1"/>
  <c r="G310" i="135" a="1"/>
  <c r="G310" i="135" s="1"/>
  <c r="J310" i="135" a="1"/>
  <c r="J310" i="135" s="1"/>
  <c r="M310" i="135" a="1"/>
  <c r="M310" i="135" s="1"/>
  <c r="L310" i="135" a="1"/>
  <c r="L310" i="135" s="1"/>
  <c r="AE310" i="135" a="1"/>
  <c r="AE310" i="135" s="1"/>
  <c r="AK310" i="135" a="1"/>
  <c r="AK310" i="135" s="1"/>
  <c r="AI310" i="135" a="1"/>
  <c r="AI310" i="135" s="1"/>
  <c r="AL310" i="135" a="1"/>
  <c r="AL310" i="135" s="1"/>
  <c r="F310" i="135" a="1"/>
  <c r="F310" i="135" s="1"/>
  <c r="I310" i="135" a="1"/>
  <c r="I310" i="135" s="1"/>
  <c r="H310" i="135" a="1"/>
  <c r="H310" i="135" s="1"/>
  <c r="E312" i="135" l="1" a="1"/>
  <c r="E312" i="135" s="1"/>
  <c r="D312" i="135" s="1"/>
  <c r="S311" i="135" a="1"/>
  <c r="S311" i="135" s="1"/>
  <c r="V311" i="135" a="1"/>
  <c r="V311" i="135" s="1"/>
  <c r="Y311" i="135" a="1"/>
  <c r="Y311" i="135" s="1"/>
  <c r="X311" i="135" a="1"/>
  <c r="X311" i="135" s="1"/>
  <c r="Q311" i="135" a="1"/>
  <c r="Q311" i="135" s="1"/>
  <c r="O311" i="135" a="1"/>
  <c r="O311" i="135" s="1"/>
  <c r="R311" i="135" a="1"/>
  <c r="R311" i="135" s="1"/>
  <c r="U311" i="135" a="1"/>
  <c r="U311" i="135" s="1"/>
  <c r="T311" i="135" a="1"/>
  <c r="T311" i="135" s="1"/>
  <c r="K311" i="135" a="1"/>
  <c r="K311" i="135" s="1"/>
  <c r="N311" i="135" a="1"/>
  <c r="N311" i="135" s="1"/>
  <c r="P311" i="135" a="1"/>
  <c r="P311" i="135" s="1"/>
  <c r="AA311" i="135" a="1"/>
  <c r="AA311" i="135" s="1"/>
  <c r="AD311" i="135" a="1"/>
  <c r="AD311" i="135" s="1"/>
  <c r="AG311" i="135" a="1"/>
  <c r="AG311" i="135" s="1"/>
  <c r="AM311" i="135" a="1"/>
  <c r="AM311" i="135" s="1"/>
  <c r="G311" i="135" a="1"/>
  <c r="G311" i="135" s="1"/>
  <c r="J311" i="135" a="1"/>
  <c r="J311" i="135" s="1"/>
  <c r="M311" i="135" a="1"/>
  <c r="M311" i="135" s="1"/>
  <c r="L311" i="135" a="1"/>
  <c r="L311" i="135" s="1"/>
  <c r="AI311" i="135" a="1"/>
  <c r="AI311" i="135" s="1"/>
  <c r="AL311" i="135" a="1"/>
  <c r="AL311" i="135" s="1"/>
  <c r="F311" i="135" a="1"/>
  <c r="F311" i="135" s="1"/>
  <c r="I311" i="135" a="1"/>
  <c r="I311" i="135" s="1"/>
  <c r="H311" i="135" a="1"/>
  <c r="H311" i="135" s="1"/>
  <c r="AF311" i="135" a="1"/>
  <c r="AF311" i="135" s="1"/>
  <c r="W311" i="135" a="1"/>
  <c r="W311" i="135" s="1"/>
  <c r="Z311" i="135" a="1"/>
  <c r="Z311" i="135" s="1"/>
  <c r="AC311" i="135" a="1"/>
  <c r="AC311" i="135" s="1"/>
  <c r="AB311" i="135" a="1"/>
  <c r="AB311" i="135" s="1"/>
  <c r="AE311" i="135" a="1"/>
  <c r="AE311" i="135" s="1"/>
  <c r="AH311" i="135" a="1"/>
  <c r="AH311" i="135" s="1"/>
  <c r="AK311" i="135" a="1"/>
  <c r="AK311" i="135" s="1"/>
  <c r="AJ311" i="135" a="1"/>
  <c r="AJ311" i="135" s="1"/>
  <c r="E313" i="135" l="1" a="1"/>
  <c r="E313" i="135" s="1"/>
  <c r="D313" i="135" s="1"/>
  <c r="T312" i="135" a="1"/>
  <c r="T312" i="135" s="1"/>
  <c r="W312" i="135" a="1"/>
  <c r="W312" i="135" s="1"/>
  <c r="Z312" i="135" a="1"/>
  <c r="Z312" i="135" s="1"/>
  <c r="AC312" i="135" a="1"/>
  <c r="AC312" i="135" s="1"/>
  <c r="P312" i="135" a="1"/>
  <c r="P312" i="135" s="1"/>
  <c r="S312" i="135" a="1"/>
  <c r="S312" i="135" s="1"/>
  <c r="V312" i="135" a="1"/>
  <c r="V312" i="135" s="1"/>
  <c r="Y312" i="135" a="1"/>
  <c r="Y312" i="135" s="1"/>
  <c r="AB312" i="135" a="1"/>
  <c r="AB312" i="135" s="1"/>
  <c r="AE312" i="135" a="1"/>
  <c r="AE312" i="135" s="1"/>
  <c r="AH312" i="135" a="1"/>
  <c r="AH312" i="135" s="1"/>
  <c r="AK312" i="135" a="1"/>
  <c r="AK312" i="135" s="1"/>
  <c r="X312" i="135" a="1"/>
  <c r="X312" i="135" s="1"/>
  <c r="AA312" i="135" a="1"/>
  <c r="AA312" i="135" s="1"/>
  <c r="AD312" i="135" a="1"/>
  <c r="AD312" i="135" s="1"/>
  <c r="AG312" i="135" a="1"/>
  <c r="AG312" i="135" s="1"/>
  <c r="L312" i="135" a="1"/>
  <c r="L312" i="135" s="1"/>
  <c r="O312" i="135" a="1"/>
  <c r="O312" i="135" s="1"/>
  <c r="R312" i="135" a="1"/>
  <c r="R312" i="135" s="1"/>
  <c r="U312" i="135" a="1"/>
  <c r="U312" i="135" s="1"/>
  <c r="H312" i="135" a="1"/>
  <c r="H312" i="135" s="1"/>
  <c r="K312" i="135" a="1"/>
  <c r="K312" i="135" s="1"/>
  <c r="N312" i="135" a="1"/>
  <c r="N312" i="135" s="1"/>
  <c r="Q312" i="135" a="1"/>
  <c r="Q312" i="135" s="1"/>
  <c r="AJ312" i="135" a="1"/>
  <c r="AJ312" i="135" s="1"/>
  <c r="AM312" i="135" a="1"/>
  <c r="AM312" i="135" s="1"/>
  <c r="G312" i="135" a="1"/>
  <c r="G312" i="135" s="1"/>
  <c r="J312" i="135" a="1"/>
  <c r="J312" i="135" s="1"/>
  <c r="M312" i="135" a="1"/>
  <c r="M312" i="135" s="1"/>
  <c r="AF312" i="135" a="1"/>
  <c r="AF312" i="135" s="1"/>
  <c r="AI312" i="135" a="1"/>
  <c r="AI312" i="135" s="1"/>
  <c r="AL312" i="135" a="1"/>
  <c r="AL312" i="135" s="1"/>
  <c r="F312" i="135" a="1"/>
  <c r="F312" i="135" s="1"/>
  <c r="I312" i="135" a="1"/>
  <c r="I312" i="135" s="1"/>
  <c r="E314" i="135" l="1" a="1"/>
  <c r="E314" i="135" s="1"/>
  <c r="D314" i="135" s="1"/>
  <c r="T313" i="135" a="1"/>
  <c r="T313" i="135" s="1"/>
  <c r="W313" i="135" a="1"/>
  <c r="W313" i="135" s="1"/>
  <c r="Z313" i="135" a="1"/>
  <c r="Z313" i="135" s="1"/>
  <c r="AC313" i="135" a="1"/>
  <c r="AC313" i="135" s="1"/>
  <c r="P313" i="135" a="1"/>
  <c r="P313" i="135" s="1"/>
  <c r="S313" i="135" a="1"/>
  <c r="S313" i="135" s="1"/>
  <c r="V313" i="135" a="1"/>
  <c r="V313" i="135" s="1"/>
  <c r="Y313" i="135" a="1"/>
  <c r="Y313" i="135" s="1"/>
  <c r="AB313" i="135" a="1"/>
  <c r="AB313" i="135" s="1"/>
  <c r="AH313" i="135" a="1"/>
  <c r="AH313" i="135" s="1"/>
  <c r="AK313" i="135" a="1"/>
  <c r="AK313" i="135" s="1"/>
  <c r="L313" i="135" a="1"/>
  <c r="L313" i="135" s="1"/>
  <c r="O313" i="135" a="1"/>
  <c r="O313" i="135" s="1"/>
  <c r="R313" i="135" a="1"/>
  <c r="R313" i="135" s="1"/>
  <c r="U313" i="135" a="1"/>
  <c r="U313" i="135" s="1"/>
  <c r="H313" i="135" a="1"/>
  <c r="H313" i="135" s="1"/>
  <c r="K313" i="135" a="1"/>
  <c r="K313" i="135" s="1"/>
  <c r="N313" i="135" a="1"/>
  <c r="N313" i="135" s="1"/>
  <c r="Q313" i="135" a="1"/>
  <c r="Q313" i="135" s="1"/>
  <c r="X313" i="135" a="1"/>
  <c r="X313" i="135" s="1"/>
  <c r="AA313" i="135" a="1"/>
  <c r="AA313" i="135" s="1"/>
  <c r="AD313" i="135" a="1"/>
  <c r="AD313" i="135" s="1"/>
  <c r="AG313" i="135" a="1"/>
  <c r="AG313" i="135" s="1"/>
  <c r="AJ313" i="135" a="1"/>
  <c r="AJ313" i="135" s="1"/>
  <c r="AM313" i="135" a="1"/>
  <c r="AM313" i="135" s="1"/>
  <c r="G313" i="135" a="1"/>
  <c r="G313" i="135" s="1"/>
  <c r="J313" i="135" a="1"/>
  <c r="J313" i="135" s="1"/>
  <c r="M313" i="135" a="1"/>
  <c r="M313" i="135" s="1"/>
  <c r="AF313" i="135" a="1"/>
  <c r="AF313" i="135" s="1"/>
  <c r="AI313" i="135" a="1"/>
  <c r="AI313" i="135" s="1"/>
  <c r="AL313" i="135" a="1"/>
  <c r="AL313" i="135" s="1"/>
  <c r="F313" i="135" a="1"/>
  <c r="F313" i="135" s="1"/>
  <c r="I313" i="135" a="1"/>
  <c r="I313" i="135" s="1"/>
  <c r="AE313" i="135" a="1"/>
  <c r="AE313" i="135" s="1"/>
  <c r="E315" i="135" l="1" a="1"/>
  <c r="E315" i="135" s="1"/>
  <c r="D315" i="135" s="1"/>
  <c r="AA314" i="135" a="1"/>
  <c r="AA314" i="135" s="1"/>
  <c r="U314" i="135" a="1"/>
  <c r="U314" i="135" s="1"/>
  <c r="T314" i="135" a="1"/>
  <c r="T314" i="135" s="1"/>
  <c r="W314" i="135" a="1"/>
  <c r="W314" i="135" s="1"/>
  <c r="Z314" i="135" a="1"/>
  <c r="Z314" i="135" s="1"/>
  <c r="Q314" i="135" a="1"/>
  <c r="Q314" i="135" s="1"/>
  <c r="P314" i="135" a="1"/>
  <c r="P314" i="135" s="1"/>
  <c r="S314" i="135" a="1"/>
  <c r="S314" i="135" s="1"/>
  <c r="V314" i="135" a="1"/>
  <c r="V314" i="135" s="1"/>
  <c r="M314" i="135" a="1"/>
  <c r="M314" i="135" s="1"/>
  <c r="L314" i="135" a="1"/>
  <c r="L314" i="135" s="1"/>
  <c r="O314" i="135" a="1"/>
  <c r="O314" i="135" s="1"/>
  <c r="R314" i="135" a="1"/>
  <c r="R314" i="135" s="1"/>
  <c r="AF314" i="135" a="1"/>
  <c r="AF314" i="135" s="1"/>
  <c r="AI314" i="135" a="1"/>
  <c r="AI314" i="135" s="1"/>
  <c r="I314" i="135" a="1"/>
  <c r="I314" i="135" s="1"/>
  <c r="H314" i="135" a="1"/>
  <c r="H314" i="135" s="1"/>
  <c r="K314" i="135" a="1"/>
  <c r="K314" i="135" s="1"/>
  <c r="N314" i="135" a="1"/>
  <c r="N314" i="135" s="1"/>
  <c r="AK314" i="135" a="1"/>
  <c r="AK314" i="135" s="1"/>
  <c r="AJ314" i="135" a="1"/>
  <c r="AJ314" i="135" s="1"/>
  <c r="AM314" i="135" a="1"/>
  <c r="AM314" i="135" s="1"/>
  <c r="G314" i="135" a="1"/>
  <c r="G314" i="135" s="1"/>
  <c r="J314" i="135" a="1"/>
  <c r="J314" i="135" s="1"/>
  <c r="AG314" i="135" a="1"/>
  <c r="AG314" i="135" s="1"/>
  <c r="AL314" i="135" a="1"/>
  <c r="AL314" i="135" s="1"/>
  <c r="F314" i="135" a="1"/>
  <c r="F314" i="135" s="1"/>
  <c r="AC314" i="135" a="1"/>
  <c r="AC314" i="135" s="1"/>
  <c r="AB314" i="135" a="1"/>
  <c r="AB314" i="135" s="1"/>
  <c r="AE314" i="135" a="1"/>
  <c r="AE314" i="135" s="1"/>
  <c r="AH314" i="135" a="1"/>
  <c r="AH314" i="135" s="1"/>
  <c r="Y314" i="135" a="1"/>
  <c r="Y314" i="135" s="1"/>
  <c r="X314" i="135" a="1"/>
  <c r="X314" i="135" s="1"/>
  <c r="AD314" i="135" a="1"/>
  <c r="AD314" i="135" s="1"/>
  <c r="E316" i="135" l="1" a="1"/>
  <c r="E316" i="135" s="1"/>
  <c r="D316" i="135" s="1"/>
  <c r="Y315" i="135" a="1"/>
  <c r="Y315" i="135" s="1"/>
  <c r="X315" i="135" a="1"/>
  <c r="X315" i="135" s="1"/>
  <c r="AA315" i="135" a="1"/>
  <c r="AA315" i="135" s="1"/>
  <c r="AD315" i="135" a="1"/>
  <c r="AD315" i="135" s="1"/>
  <c r="U315" i="135" a="1"/>
  <c r="U315" i="135" s="1"/>
  <c r="T315" i="135" a="1"/>
  <c r="T315" i="135" s="1"/>
  <c r="W315" i="135" a="1"/>
  <c r="W315" i="135" s="1"/>
  <c r="Z315" i="135" a="1"/>
  <c r="Z315" i="135" s="1"/>
  <c r="Q315" i="135" a="1"/>
  <c r="Q315" i="135" s="1"/>
  <c r="P315" i="135" a="1"/>
  <c r="P315" i="135" s="1"/>
  <c r="S315" i="135" a="1"/>
  <c r="S315" i="135" s="1"/>
  <c r="V315" i="135" a="1"/>
  <c r="V315" i="135" s="1"/>
  <c r="H315" i="135" a="1"/>
  <c r="H315" i="135" s="1"/>
  <c r="K315" i="135" a="1"/>
  <c r="K315" i="135" s="1"/>
  <c r="N315" i="135" a="1"/>
  <c r="N315" i="135" s="1"/>
  <c r="M315" i="135" a="1"/>
  <c r="M315" i="135" s="1"/>
  <c r="L315" i="135" a="1"/>
  <c r="L315" i="135" s="1"/>
  <c r="O315" i="135" a="1"/>
  <c r="O315" i="135" s="1"/>
  <c r="R315" i="135" a="1"/>
  <c r="R315" i="135" s="1"/>
  <c r="I315" i="135" a="1"/>
  <c r="I315" i="135" s="1"/>
  <c r="AG315" i="135" a="1"/>
  <c r="AG315" i="135" s="1"/>
  <c r="AF315" i="135" a="1"/>
  <c r="AF315" i="135" s="1"/>
  <c r="AI315" i="135" a="1"/>
  <c r="AI315" i="135" s="1"/>
  <c r="AL315" i="135" a="1"/>
  <c r="AL315" i="135" s="1"/>
  <c r="F315" i="135" a="1"/>
  <c r="F315" i="135" s="1"/>
  <c r="AK315" i="135" a="1"/>
  <c r="AK315" i="135" s="1"/>
  <c r="AJ315" i="135" a="1"/>
  <c r="AJ315" i="135" s="1"/>
  <c r="AM315" i="135" a="1"/>
  <c r="AM315" i="135" s="1"/>
  <c r="G315" i="135" a="1"/>
  <c r="G315" i="135" s="1"/>
  <c r="J315" i="135" a="1"/>
  <c r="J315" i="135" s="1"/>
  <c r="AC315" i="135" a="1"/>
  <c r="AC315" i="135" s="1"/>
  <c r="AB315" i="135" a="1"/>
  <c r="AB315" i="135" s="1"/>
  <c r="AE315" i="135" a="1"/>
  <c r="AE315" i="135" s="1"/>
  <c r="AH315" i="135" a="1"/>
  <c r="AH315" i="135" s="1"/>
  <c r="E317" i="135" l="1" a="1"/>
  <c r="E317" i="135" s="1"/>
  <c r="D317" i="135" s="1"/>
  <c r="Z316" i="135" a="1"/>
  <c r="Z316" i="135" s="1"/>
  <c r="AC316" i="135" a="1"/>
  <c r="AC316" i="135" s="1"/>
  <c r="AB316" i="135" a="1"/>
  <c r="AB316" i="135" s="1"/>
  <c r="AE316" i="135" a="1"/>
  <c r="AE316" i="135" s="1"/>
  <c r="V316" i="135" a="1"/>
  <c r="V316" i="135" s="1"/>
  <c r="Y316" i="135" a="1"/>
  <c r="Y316" i="135" s="1"/>
  <c r="X316" i="135" a="1"/>
  <c r="X316" i="135" s="1"/>
  <c r="AA316" i="135" a="1"/>
  <c r="AA316" i="135" s="1"/>
  <c r="R316" i="135" a="1"/>
  <c r="R316" i="135" s="1"/>
  <c r="U316" i="135" a="1"/>
  <c r="U316" i="135" s="1"/>
  <c r="T316" i="135" a="1"/>
  <c r="T316" i="135" s="1"/>
  <c r="W316" i="135" a="1"/>
  <c r="W316" i="135" s="1"/>
  <c r="N316" i="135" a="1"/>
  <c r="N316" i="135" s="1"/>
  <c r="Q316" i="135" a="1"/>
  <c r="Q316" i="135" s="1"/>
  <c r="P316" i="135" a="1"/>
  <c r="P316" i="135" s="1"/>
  <c r="S316" i="135" a="1"/>
  <c r="S316" i="135" s="1"/>
  <c r="J316" i="135" a="1"/>
  <c r="J316" i="135" s="1"/>
  <c r="M316" i="135" a="1"/>
  <c r="M316" i="135" s="1"/>
  <c r="L316" i="135" a="1"/>
  <c r="L316" i="135" s="1"/>
  <c r="O316" i="135" a="1"/>
  <c r="O316" i="135" s="1"/>
  <c r="AL316" i="135" a="1"/>
  <c r="AL316" i="135" s="1"/>
  <c r="F316" i="135" a="1"/>
  <c r="F316" i="135" s="1"/>
  <c r="I316" i="135" a="1"/>
  <c r="I316" i="135" s="1"/>
  <c r="H316" i="135" a="1"/>
  <c r="H316" i="135" s="1"/>
  <c r="K316" i="135" a="1"/>
  <c r="K316" i="135" s="1"/>
  <c r="AH316" i="135" a="1"/>
  <c r="AH316" i="135" s="1"/>
  <c r="AK316" i="135" a="1"/>
  <c r="AK316" i="135" s="1"/>
  <c r="AJ316" i="135" a="1"/>
  <c r="AJ316" i="135" s="1"/>
  <c r="AM316" i="135" a="1"/>
  <c r="AM316" i="135" s="1"/>
  <c r="G316" i="135" a="1"/>
  <c r="G316" i="135" s="1"/>
  <c r="AD316" i="135" a="1"/>
  <c r="AD316" i="135" s="1"/>
  <c r="AG316" i="135" a="1"/>
  <c r="AG316" i="135" s="1"/>
  <c r="AF316" i="135" a="1"/>
  <c r="AF316" i="135" s="1"/>
  <c r="AI316" i="135" a="1"/>
  <c r="AI316" i="135" s="1"/>
  <c r="E318" i="135" l="1" a="1"/>
  <c r="E318" i="135" s="1"/>
  <c r="D318" i="135" s="1"/>
  <c r="Z317" i="135" a="1"/>
  <c r="Z317" i="135" s="1"/>
  <c r="AC317" i="135" a="1"/>
  <c r="AC317" i="135" s="1"/>
  <c r="AB317" i="135" a="1"/>
  <c r="AB317" i="135" s="1"/>
  <c r="AE317" i="135" a="1"/>
  <c r="AE317" i="135" s="1"/>
  <c r="AH317" i="135" a="1"/>
  <c r="AH317" i="135" s="1"/>
  <c r="AK317" i="135" a="1"/>
  <c r="AK317" i="135" s="1"/>
  <c r="AJ317" i="135" a="1"/>
  <c r="AJ317" i="135" s="1"/>
  <c r="AM317" i="135" a="1"/>
  <c r="AM317" i="135" s="1"/>
  <c r="G317" i="135" a="1"/>
  <c r="G317" i="135" s="1"/>
  <c r="V317" i="135" a="1"/>
  <c r="V317" i="135" s="1"/>
  <c r="Y317" i="135" a="1"/>
  <c r="Y317" i="135" s="1"/>
  <c r="X317" i="135" a="1"/>
  <c r="X317" i="135" s="1"/>
  <c r="AA317" i="135" a="1"/>
  <c r="AA317" i="135" s="1"/>
  <c r="R317" i="135" a="1"/>
  <c r="R317" i="135" s="1"/>
  <c r="U317" i="135" a="1"/>
  <c r="U317" i="135" s="1"/>
  <c r="T317" i="135" a="1"/>
  <c r="T317" i="135" s="1"/>
  <c r="W317" i="135" a="1"/>
  <c r="W317" i="135" s="1"/>
  <c r="J317" i="135" a="1"/>
  <c r="J317" i="135" s="1"/>
  <c r="M317" i="135" a="1"/>
  <c r="M317" i="135" s="1"/>
  <c r="L317" i="135" a="1"/>
  <c r="L317" i="135" s="1"/>
  <c r="O317" i="135" a="1"/>
  <c r="O317" i="135" s="1"/>
  <c r="AL317" i="135" a="1"/>
  <c r="AL317" i="135" s="1"/>
  <c r="F317" i="135" a="1"/>
  <c r="F317" i="135" s="1"/>
  <c r="I317" i="135" a="1"/>
  <c r="I317" i="135" s="1"/>
  <c r="H317" i="135" a="1"/>
  <c r="H317" i="135" s="1"/>
  <c r="K317" i="135" a="1"/>
  <c r="K317" i="135" s="1"/>
  <c r="N317" i="135" a="1"/>
  <c r="N317" i="135" s="1"/>
  <c r="Q317" i="135" a="1"/>
  <c r="Q317" i="135" s="1"/>
  <c r="P317" i="135" a="1"/>
  <c r="P317" i="135" s="1"/>
  <c r="S317" i="135" a="1"/>
  <c r="S317" i="135" s="1"/>
  <c r="AD317" i="135" a="1"/>
  <c r="AD317" i="135" s="1"/>
  <c r="AG317" i="135" a="1"/>
  <c r="AG317" i="135" s="1"/>
  <c r="AF317" i="135" a="1"/>
  <c r="AF317" i="135" s="1"/>
  <c r="AI317" i="135" a="1"/>
  <c r="AI317" i="135" s="1"/>
  <c r="E319" i="135" l="1" a="1"/>
  <c r="E319" i="135" s="1"/>
  <c r="D319" i="135" s="1"/>
  <c r="AA318" i="135" a="1"/>
  <c r="AA318" i="135" s="1"/>
  <c r="AD318" i="135" a="1"/>
  <c r="AD318" i="135" s="1"/>
  <c r="AG318" i="135" a="1"/>
  <c r="AG318" i="135" s="1"/>
  <c r="AF318" i="135" a="1"/>
  <c r="AF318" i="135" s="1"/>
  <c r="W318" i="135" a="1"/>
  <c r="W318" i="135" s="1"/>
  <c r="Z318" i="135" a="1"/>
  <c r="Z318" i="135" s="1"/>
  <c r="AC318" i="135" a="1"/>
  <c r="AC318" i="135" s="1"/>
  <c r="AB318" i="135" a="1"/>
  <c r="AB318" i="135" s="1"/>
  <c r="S318" i="135" a="1"/>
  <c r="S318" i="135" s="1"/>
  <c r="V318" i="135" a="1"/>
  <c r="V318" i="135" s="1"/>
  <c r="Y318" i="135" a="1"/>
  <c r="Y318" i="135" s="1"/>
  <c r="X318" i="135" a="1"/>
  <c r="X318" i="135" s="1"/>
  <c r="AE318" i="135" a="1"/>
  <c r="AE318" i="135" s="1"/>
  <c r="AH318" i="135" a="1"/>
  <c r="AH318" i="135" s="1"/>
  <c r="AK318" i="135" a="1"/>
  <c r="AK318" i="135" s="1"/>
  <c r="AJ318" i="135" a="1"/>
  <c r="AJ318" i="135" s="1"/>
  <c r="O318" i="135" a="1"/>
  <c r="O318" i="135" s="1"/>
  <c r="R318" i="135" a="1"/>
  <c r="R318" i="135" s="1"/>
  <c r="U318" i="135" a="1"/>
  <c r="U318" i="135" s="1"/>
  <c r="T318" i="135" a="1"/>
  <c r="T318" i="135" s="1"/>
  <c r="K318" i="135" a="1"/>
  <c r="K318" i="135" s="1"/>
  <c r="N318" i="135" a="1"/>
  <c r="N318" i="135" s="1"/>
  <c r="Q318" i="135" a="1"/>
  <c r="Q318" i="135" s="1"/>
  <c r="P318" i="135" a="1"/>
  <c r="P318" i="135" s="1"/>
  <c r="AM318" i="135" a="1"/>
  <c r="AM318" i="135" s="1"/>
  <c r="G318" i="135" a="1"/>
  <c r="G318" i="135" s="1"/>
  <c r="J318" i="135" a="1"/>
  <c r="J318" i="135" s="1"/>
  <c r="M318" i="135" a="1"/>
  <c r="M318" i="135" s="1"/>
  <c r="L318" i="135" a="1"/>
  <c r="L318" i="135" s="1"/>
  <c r="AI318" i="135" a="1"/>
  <c r="AI318" i="135" s="1"/>
  <c r="AL318" i="135" a="1"/>
  <c r="AL318" i="135" s="1"/>
  <c r="F318" i="135" a="1"/>
  <c r="F318" i="135" s="1"/>
  <c r="I318" i="135" a="1"/>
  <c r="I318" i="135" s="1"/>
  <c r="H318" i="135" a="1"/>
  <c r="H318" i="135" s="1"/>
  <c r="E320" i="135" l="1" a="1"/>
  <c r="E320" i="135" s="1"/>
  <c r="D320" i="135" s="1"/>
  <c r="S319" i="135" a="1"/>
  <c r="S319" i="135" s="1"/>
  <c r="V319" i="135" a="1"/>
  <c r="V319" i="135" s="1"/>
  <c r="Y319" i="135" a="1"/>
  <c r="Y319" i="135" s="1"/>
  <c r="X319" i="135" a="1"/>
  <c r="X319" i="135" s="1"/>
  <c r="O319" i="135" a="1"/>
  <c r="O319" i="135" s="1"/>
  <c r="R319" i="135" a="1"/>
  <c r="R319" i="135" s="1"/>
  <c r="U319" i="135" a="1"/>
  <c r="U319" i="135" s="1"/>
  <c r="T319" i="135" a="1"/>
  <c r="T319" i="135" s="1"/>
  <c r="K319" i="135" a="1"/>
  <c r="K319" i="135" s="1"/>
  <c r="N319" i="135" a="1"/>
  <c r="N319" i="135" s="1"/>
  <c r="Q319" i="135" a="1"/>
  <c r="Q319" i="135" s="1"/>
  <c r="P319" i="135" a="1"/>
  <c r="P319" i="135" s="1"/>
  <c r="AM319" i="135" a="1"/>
  <c r="AM319" i="135" s="1"/>
  <c r="G319" i="135" a="1"/>
  <c r="G319" i="135" s="1"/>
  <c r="J319" i="135" a="1"/>
  <c r="J319" i="135" s="1"/>
  <c r="M319" i="135" a="1"/>
  <c r="M319" i="135" s="1"/>
  <c r="L319" i="135" a="1"/>
  <c r="L319" i="135" s="1"/>
  <c r="AA319" i="135" a="1"/>
  <c r="AA319" i="135" s="1"/>
  <c r="AD319" i="135" a="1"/>
  <c r="AD319" i="135" s="1"/>
  <c r="AG319" i="135" a="1"/>
  <c r="AG319" i="135" s="1"/>
  <c r="AF319" i="135" a="1"/>
  <c r="AF319" i="135" s="1"/>
  <c r="AI319" i="135" a="1"/>
  <c r="AI319" i="135" s="1"/>
  <c r="AL319" i="135" a="1"/>
  <c r="AL319" i="135" s="1"/>
  <c r="F319" i="135" a="1"/>
  <c r="F319" i="135" s="1"/>
  <c r="I319" i="135" a="1"/>
  <c r="I319" i="135" s="1"/>
  <c r="H319" i="135" a="1"/>
  <c r="H319" i="135" s="1"/>
  <c r="AE319" i="135" a="1"/>
  <c r="AE319" i="135" s="1"/>
  <c r="AH319" i="135" a="1"/>
  <c r="AH319" i="135" s="1"/>
  <c r="AK319" i="135" a="1"/>
  <c r="AK319" i="135" s="1"/>
  <c r="AJ319" i="135" a="1"/>
  <c r="AJ319" i="135" s="1"/>
  <c r="W319" i="135" a="1"/>
  <c r="W319" i="135" s="1"/>
  <c r="Z319" i="135" a="1"/>
  <c r="Z319" i="135" s="1"/>
  <c r="AC319" i="135" a="1"/>
  <c r="AC319" i="135" s="1"/>
  <c r="AB319" i="135" a="1"/>
  <c r="AB319" i="135" s="1"/>
  <c r="E321" i="135" l="1" a="1"/>
  <c r="E321" i="135" s="1"/>
  <c r="D321" i="135" s="1"/>
  <c r="L320" i="135" a="1"/>
  <c r="L320" i="135" s="1"/>
  <c r="O320" i="135" a="1"/>
  <c r="O320" i="135" s="1"/>
  <c r="R320" i="135" a="1"/>
  <c r="R320" i="135" s="1"/>
  <c r="U320" i="135" a="1"/>
  <c r="U320" i="135" s="1"/>
  <c r="H320" i="135" a="1"/>
  <c r="H320" i="135" s="1"/>
  <c r="K320" i="135" a="1"/>
  <c r="K320" i="135" s="1"/>
  <c r="N320" i="135" a="1"/>
  <c r="N320" i="135" s="1"/>
  <c r="Q320" i="135" a="1"/>
  <c r="Q320" i="135" s="1"/>
  <c r="AJ320" i="135" a="1"/>
  <c r="AJ320" i="135" s="1"/>
  <c r="AM320" i="135" a="1"/>
  <c r="AM320" i="135" s="1"/>
  <c r="G320" i="135" a="1"/>
  <c r="G320" i="135" s="1"/>
  <c r="J320" i="135" a="1"/>
  <c r="J320" i="135" s="1"/>
  <c r="M320" i="135" a="1"/>
  <c r="M320" i="135" s="1"/>
  <c r="AF320" i="135" a="1"/>
  <c r="AF320" i="135" s="1"/>
  <c r="AI320" i="135" a="1"/>
  <c r="AI320" i="135" s="1"/>
  <c r="AL320" i="135" a="1"/>
  <c r="AL320" i="135" s="1"/>
  <c r="F320" i="135" a="1"/>
  <c r="F320" i="135" s="1"/>
  <c r="I320" i="135" a="1"/>
  <c r="I320" i="135" s="1"/>
  <c r="AB320" i="135" a="1"/>
  <c r="AB320" i="135" s="1"/>
  <c r="AE320" i="135" a="1"/>
  <c r="AE320" i="135" s="1"/>
  <c r="AH320" i="135" a="1"/>
  <c r="AH320" i="135" s="1"/>
  <c r="AK320" i="135" a="1"/>
  <c r="AK320" i="135" s="1"/>
  <c r="X320" i="135" a="1"/>
  <c r="X320" i="135" s="1"/>
  <c r="AA320" i="135" a="1"/>
  <c r="AA320" i="135" s="1"/>
  <c r="AD320" i="135" a="1"/>
  <c r="AD320" i="135" s="1"/>
  <c r="AG320" i="135" a="1"/>
  <c r="AG320" i="135" s="1"/>
  <c r="T320" i="135" a="1"/>
  <c r="T320" i="135" s="1"/>
  <c r="W320" i="135" a="1"/>
  <c r="W320" i="135" s="1"/>
  <c r="Z320" i="135" a="1"/>
  <c r="Z320" i="135" s="1"/>
  <c r="AC320" i="135" a="1"/>
  <c r="AC320" i="135" s="1"/>
  <c r="P320" i="135" a="1"/>
  <c r="P320" i="135" s="1"/>
  <c r="S320" i="135" a="1"/>
  <c r="S320" i="135" s="1"/>
  <c r="V320" i="135" a="1"/>
  <c r="V320" i="135" s="1"/>
  <c r="Y320" i="135" a="1"/>
  <c r="Y320" i="135" s="1"/>
  <c r="E322" i="135" l="1" a="1"/>
  <c r="E322" i="135" s="1"/>
  <c r="D322" i="135" s="1"/>
  <c r="T321" i="135" a="1"/>
  <c r="T321" i="135" s="1"/>
  <c r="W321" i="135" a="1"/>
  <c r="W321" i="135" s="1"/>
  <c r="Z321" i="135" a="1"/>
  <c r="Z321" i="135" s="1"/>
  <c r="AC321" i="135" a="1"/>
  <c r="AC321" i="135" s="1"/>
  <c r="P321" i="135" a="1"/>
  <c r="P321" i="135" s="1"/>
  <c r="S321" i="135" a="1"/>
  <c r="S321" i="135" s="1"/>
  <c r="V321" i="135" a="1"/>
  <c r="V321" i="135" s="1"/>
  <c r="Y321" i="135" a="1"/>
  <c r="Y321" i="135" s="1"/>
  <c r="L321" i="135" a="1"/>
  <c r="L321" i="135" s="1"/>
  <c r="O321" i="135" a="1"/>
  <c r="O321" i="135" s="1"/>
  <c r="R321" i="135" a="1"/>
  <c r="R321" i="135" s="1"/>
  <c r="U321" i="135" a="1"/>
  <c r="U321" i="135" s="1"/>
  <c r="H321" i="135" a="1"/>
  <c r="H321" i="135" s="1"/>
  <c r="K321" i="135" a="1"/>
  <c r="K321" i="135" s="1"/>
  <c r="N321" i="135" a="1"/>
  <c r="N321" i="135" s="1"/>
  <c r="Q321" i="135" a="1"/>
  <c r="Q321" i="135" s="1"/>
  <c r="AJ321" i="135" a="1"/>
  <c r="AJ321" i="135" s="1"/>
  <c r="AM321" i="135" a="1"/>
  <c r="AM321" i="135" s="1"/>
  <c r="G321" i="135" a="1"/>
  <c r="G321" i="135" s="1"/>
  <c r="J321" i="135" a="1"/>
  <c r="J321" i="135" s="1"/>
  <c r="M321" i="135" a="1"/>
  <c r="M321" i="135" s="1"/>
  <c r="AF321" i="135" a="1"/>
  <c r="AF321" i="135" s="1"/>
  <c r="AI321" i="135" a="1"/>
  <c r="AI321" i="135" s="1"/>
  <c r="AL321" i="135" a="1"/>
  <c r="AL321" i="135" s="1"/>
  <c r="F321" i="135" a="1"/>
  <c r="F321" i="135" s="1"/>
  <c r="I321" i="135" a="1"/>
  <c r="I321" i="135" s="1"/>
  <c r="AB321" i="135" a="1"/>
  <c r="AB321" i="135" s="1"/>
  <c r="AE321" i="135" a="1"/>
  <c r="AE321" i="135" s="1"/>
  <c r="AH321" i="135" a="1"/>
  <c r="AH321" i="135" s="1"/>
  <c r="AK321" i="135" a="1"/>
  <c r="AK321" i="135" s="1"/>
  <c r="X321" i="135" a="1"/>
  <c r="X321" i="135" s="1"/>
  <c r="AA321" i="135" a="1"/>
  <c r="AA321" i="135" s="1"/>
  <c r="AD321" i="135" a="1"/>
  <c r="AD321" i="135" s="1"/>
  <c r="AG321" i="135" a="1"/>
  <c r="AG321" i="135" s="1"/>
  <c r="E323" i="135" l="1" a="1"/>
  <c r="E323" i="135" s="1"/>
  <c r="D323" i="135" s="1"/>
  <c r="AD322" i="135" a="1"/>
  <c r="AD322" i="135" s="1"/>
  <c r="U322" i="135" a="1"/>
  <c r="U322" i="135" s="1"/>
  <c r="T322" i="135" a="1"/>
  <c r="T322" i="135" s="1"/>
  <c r="W322" i="135" a="1"/>
  <c r="W322" i="135" s="1"/>
  <c r="Z322" i="135" a="1"/>
  <c r="Z322" i="135" s="1"/>
  <c r="Q322" i="135" a="1"/>
  <c r="Q322" i="135" s="1"/>
  <c r="P322" i="135" a="1"/>
  <c r="P322" i="135" s="1"/>
  <c r="S322" i="135" a="1"/>
  <c r="S322" i="135" s="1"/>
  <c r="V322" i="135" a="1"/>
  <c r="V322" i="135" s="1"/>
  <c r="AC322" i="135" a="1"/>
  <c r="AC322" i="135" s="1"/>
  <c r="AB322" i="135" a="1"/>
  <c r="AB322" i="135" s="1"/>
  <c r="AE322" i="135" a="1"/>
  <c r="AE322" i="135" s="1"/>
  <c r="AH322" i="135" a="1"/>
  <c r="AH322" i="135" s="1"/>
  <c r="Y322" i="135" a="1"/>
  <c r="Y322" i="135" s="1"/>
  <c r="X322" i="135" a="1"/>
  <c r="X322" i="135" s="1"/>
  <c r="AA322" i="135" a="1"/>
  <c r="AA322" i="135" s="1"/>
  <c r="M322" i="135" a="1"/>
  <c r="M322" i="135" s="1"/>
  <c r="L322" i="135" a="1"/>
  <c r="L322" i="135" s="1"/>
  <c r="O322" i="135" a="1"/>
  <c r="O322" i="135" s="1"/>
  <c r="R322" i="135" a="1"/>
  <c r="R322" i="135" s="1"/>
  <c r="I322" i="135" a="1"/>
  <c r="I322" i="135" s="1"/>
  <c r="H322" i="135" a="1"/>
  <c r="H322" i="135" s="1"/>
  <c r="K322" i="135" a="1"/>
  <c r="K322" i="135" s="1"/>
  <c r="N322" i="135" a="1"/>
  <c r="N322" i="135" s="1"/>
  <c r="AG322" i="135" a="1"/>
  <c r="AG322" i="135" s="1"/>
  <c r="AF322" i="135" a="1"/>
  <c r="AF322" i="135" s="1"/>
  <c r="AI322" i="135" a="1"/>
  <c r="AI322" i="135" s="1"/>
  <c r="AL322" i="135" a="1"/>
  <c r="AL322" i="135" s="1"/>
  <c r="F322" i="135" a="1"/>
  <c r="F322" i="135" s="1"/>
  <c r="AK322" i="135" a="1"/>
  <c r="AK322" i="135" s="1"/>
  <c r="AJ322" i="135" a="1"/>
  <c r="AJ322" i="135" s="1"/>
  <c r="AM322" i="135" a="1"/>
  <c r="AM322" i="135" s="1"/>
  <c r="G322" i="135" a="1"/>
  <c r="G322" i="135" s="1"/>
  <c r="J322" i="135" a="1"/>
  <c r="J322" i="135" s="1"/>
  <c r="E324" i="135" l="1" a="1"/>
  <c r="E324" i="135" s="1"/>
  <c r="D324" i="135" s="1"/>
  <c r="Y323" i="135" a="1"/>
  <c r="Y323" i="135" s="1"/>
  <c r="X323" i="135" a="1"/>
  <c r="X323" i="135" s="1"/>
  <c r="AA323" i="135" a="1"/>
  <c r="AA323" i="135" s="1"/>
  <c r="AD323" i="135" a="1"/>
  <c r="AD323" i="135" s="1"/>
  <c r="U323" i="135" a="1"/>
  <c r="U323" i="135" s="1"/>
  <c r="T323" i="135" a="1"/>
  <c r="T323" i="135" s="1"/>
  <c r="W323" i="135" a="1"/>
  <c r="W323" i="135" s="1"/>
  <c r="Z323" i="135" a="1"/>
  <c r="Z323" i="135" s="1"/>
  <c r="Q323" i="135" a="1"/>
  <c r="Q323" i="135" s="1"/>
  <c r="P323" i="135" a="1"/>
  <c r="P323" i="135" s="1"/>
  <c r="S323" i="135" a="1"/>
  <c r="S323" i="135" s="1"/>
  <c r="V323" i="135" a="1"/>
  <c r="V323" i="135" s="1"/>
  <c r="L323" i="135" a="1"/>
  <c r="L323" i="135" s="1"/>
  <c r="R323" i="135" a="1"/>
  <c r="R323" i="135" s="1"/>
  <c r="I323" i="135" a="1"/>
  <c r="I323" i="135" s="1"/>
  <c r="H323" i="135" a="1"/>
  <c r="H323" i="135" s="1"/>
  <c r="K323" i="135" a="1"/>
  <c r="K323" i="135" s="1"/>
  <c r="N323" i="135" a="1"/>
  <c r="N323" i="135" s="1"/>
  <c r="AC323" i="135" a="1"/>
  <c r="AC323" i="135" s="1"/>
  <c r="AB323" i="135" a="1"/>
  <c r="AB323" i="135" s="1"/>
  <c r="AH323" i="135" a="1"/>
  <c r="AH323" i="135" s="1"/>
  <c r="M323" i="135" a="1"/>
  <c r="M323" i="135" s="1"/>
  <c r="O323" i="135" a="1"/>
  <c r="O323" i="135" s="1"/>
  <c r="AF323" i="135" a="1"/>
  <c r="AF323" i="135" s="1"/>
  <c r="F323" i="135" a="1"/>
  <c r="F323" i="135" s="1"/>
  <c r="AK323" i="135" a="1"/>
  <c r="AK323" i="135" s="1"/>
  <c r="AJ323" i="135" a="1"/>
  <c r="AJ323" i="135" s="1"/>
  <c r="AM323" i="135" a="1"/>
  <c r="AM323" i="135" s="1"/>
  <c r="G323" i="135" a="1"/>
  <c r="G323" i="135" s="1"/>
  <c r="J323" i="135" a="1"/>
  <c r="J323" i="135" s="1"/>
  <c r="AG323" i="135" a="1"/>
  <c r="AG323" i="135" s="1"/>
  <c r="AI323" i="135" a="1"/>
  <c r="AI323" i="135" s="1"/>
  <c r="AL323" i="135" a="1"/>
  <c r="AL323" i="135" s="1"/>
  <c r="AE323" i="135" a="1"/>
  <c r="AE323" i="135" s="1"/>
  <c r="E325" i="135" l="1" a="1"/>
  <c r="E325" i="135" s="1"/>
  <c r="D325" i="135" s="1"/>
  <c r="Z324" i="135" a="1"/>
  <c r="Z324" i="135" s="1"/>
  <c r="AC324" i="135" a="1"/>
  <c r="AC324" i="135" s="1"/>
  <c r="AB324" i="135" a="1"/>
  <c r="AB324" i="135" s="1"/>
  <c r="AA324" i="135" a="1"/>
  <c r="AA324" i="135" s="1"/>
  <c r="V324" i="135" a="1"/>
  <c r="V324" i="135" s="1"/>
  <c r="Y324" i="135" a="1"/>
  <c r="Y324" i="135" s="1"/>
  <c r="X324" i="135" a="1"/>
  <c r="X324" i="135" s="1"/>
  <c r="W324" i="135" a="1"/>
  <c r="W324" i="135" s="1"/>
  <c r="R324" i="135" a="1"/>
  <c r="R324" i="135" s="1"/>
  <c r="U324" i="135" a="1"/>
  <c r="U324" i="135" s="1"/>
  <c r="T324" i="135" a="1"/>
  <c r="T324" i="135" s="1"/>
  <c r="S324" i="135" a="1"/>
  <c r="S324" i="135" s="1"/>
  <c r="AH324" i="135" a="1"/>
  <c r="AH324" i="135" s="1"/>
  <c r="AL324" i="135" a="1"/>
  <c r="AL324" i="135" s="1"/>
  <c r="AK324" i="135" a="1"/>
  <c r="AK324" i="135" s="1"/>
  <c r="AJ324" i="135" a="1"/>
  <c r="AJ324" i="135" s="1"/>
  <c r="AI324" i="135" a="1"/>
  <c r="AI324" i="135" s="1"/>
  <c r="AD324" i="135" a="1"/>
  <c r="AD324" i="135" s="1"/>
  <c r="AE324" i="135" a="1"/>
  <c r="AE324" i="135" s="1"/>
  <c r="N324" i="135" a="1"/>
  <c r="N324" i="135" s="1"/>
  <c r="Q324" i="135" a="1"/>
  <c r="Q324" i="135" s="1"/>
  <c r="P324" i="135" a="1"/>
  <c r="P324" i="135" s="1"/>
  <c r="O324" i="135" a="1"/>
  <c r="O324" i="135" s="1"/>
  <c r="J324" i="135" a="1"/>
  <c r="J324" i="135" s="1"/>
  <c r="M324" i="135" a="1"/>
  <c r="M324" i="135" s="1"/>
  <c r="L324" i="135" a="1"/>
  <c r="L324" i="135" s="1"/>
  <c r="K324" i="135" a="1"/>
  <c r="K324" i="135" s="1"/>
  <c r="AM324" i="135" a="1"/>
  <c r="AM324" i="135" s="1"/>
  <c r="F324" i="135" a="1"/>
  <c r="F324" i="135" s="1"/>
  <c r="I324" i="135" a="1"/>
  <c r="I324" i="135" s="1"/>
  <c r="H324" i="135" a="1"/>
  <c r="H324" i="135" s="1"/>
  <c r="AG324" i="135" a="1"/>
  <c r="AG324" i="135" s="1"/>
  <c r="AF324" i="135" a="1"/>
  <c r="AF324" i="135" s="1"/>
  <c r="G324" i="135" a="1"/>
  <c r="G324" i="135" s="1"/>
  <c r="E326" i="135" l="1" a="1"/>
  <c r="E326" i="135" s="1"/>
  <c r="D326" i="135" s="1"/>
  <c r="Y325" i="135" a="1"/>
  <c r="Y325" i="135" s="1"/>
  <c r="AA325" i="135" a="1"/>
  <c r="AA325" i="135" s="1"/>
  <c r="X325" i="135" a="1"/>
  <c r="X325" i="135" s="1"/>
  <c r="F325" i="135" a="1"/>
  <c r="F325" i="135" s="1"/>
  <c r="AG325" i="135" a="1"/>
  <c r="AG325" i="135" s="1"/>
  <c r="AI325" i="135" a="1"/>
  <c r="AI325" i="135" s="1"/>
  <c r="AD325" i="135" a="1"/>
  <c r="AD325" i="135" s="1"/>
  <c r="AL325" i="135" a="1"/>
  <c r="AL325" i="135" s="1"/>
  <c r="T325" i="135" a="1"/>
  <c r="T325" i="135" s="1"/>
  <c r="AC325" i="135" a="1"/>
  <c r="AC325" i="135" s="1"/>
  <c r="N325" i="135" a="1"/>
  <c r="N325" i="135" s="1"/>
  <c r="V325" i="135" a="1"/>
  <c r="V325" i="135" s="1"/>
  <c r="U325" i="135" a="1"/>
  <c r="U325" i="135" s="1"/>
  <c r="W325" i="135" a="1"/>
  <c r="W325" i="135" s="1"/>
  <c r="H325" i="135" a="1"/>
  <c r="H325" i="135" s="1"/>
  <c r="AF325" i="135" a="1"/>
  <c r="AF325" i="135" s="1"/>
  <c r="Q325" i="135" a="1"/>
  <c r="Q325" i="135" s="1"/>
  <c r="S325" i="135" a="1"/>
  <c r="S325" i="135" s="1"/>
  <c r="AH325" i="135" a="1"/>
  <c r="AH325" i="135" s="1"/>
  <c r="P325" i="135" a="1"/>
  <c r="P325" i="135" s="1"/>
  <c r="I325" i="135" a="1"/>
  <c r="I325" i="135" s="1"/>
  <c r="K325" i="135" a="1"/>
  <c r="K325" i="135" s="1"/>
  <c r="AB325" i="135" a="1"/>
  <c r="AB325" i="135" s="1"/>
  <c r="J325" i="135" a="1"/>
  <c r="J325" i="135" s="1"/>
  <c r="AE325" i="135" a="1"/>
  <c r="AE325" i="135" s="1"/>
  <c r="M325" i="135" a="1"/>
  <c r="M325" i="135" s="1"/>
  <c r="O325" i="135" a="1"/>
  <c r="O325" i="135" s="1"/>
  <c r="R325" i="135" a="1"/>
  <c r="R325" i="135" s="1"/>
  <c r="Z325" i="135" a="1"/>
  <c r="Z325" i="135" s="1"/>
  <c r="AK325" i="135" a="1"/>
  <c r="AK325" i="135" s="1"/>
  <c r="AM325" i="135" a="1"/>
  <c r="AM325" i="135" s="1"/>
  <c r="G325" i="135" a="1"/>
  <c r="G325" i="135" s="1"/>
  <c r="L325" i="135" a="1"/>
  <c r="L325" i="135" s="1"/>
  <c r="AJ325" i="135" a="1"/>
  <c r="AJ325" i="135" s="1"/>
  <c r="E327" i="135" l="1" a="1"/>
  <c r="E327" i="135" s="1"/>
  <c r="D327" i="135" s="1"/>
  <c r="X326" i="135" a="1"/>
  <c r="X326" i="135" s="1"/>
  <c r="AD326" i="135" a="1"/>
  <c r="AD326" i="135" s="1"/>
  <c r="I326" i="135" a="1"/>
  <c r="I326" i="135" s="1"/>
  <c r="Z326" i="135" a="1"/>
  <c r="Z326" i="135" s="1"/>
  <c r="T326" i="135" a="1"/>
  <c r="T326" i="135" s="1"/>
  <c r="W326" i="135" a="1"/>
  <c r="W326" i="135" s="1"/>
  <c r="AH326" i="135" a="1"/>
  <c r="AH326" i="135" s="1"/>
  <c r="S326" i="135" a="1"/>
  <c r="S326" i="135" s="1"/>
  <c r="P326" i="135" a="1"/>
  <c r="P326" i="135" s="1"/>
  <c r="Q326" i="135" a="1"/>
  <c r="Q326" i="135" s="1"/>
  <c r="AA326" i="135" a="1"/>
  <c r="AA326" i="135" s="1"/>
  <c r="M326" i="135" a="1"/>
  <c r="M326" i="135" s="1"/>
  <c r="H326" i="135" a="1"/>
  <c r="H326" i="135" s="1"/>
  <c r="AC326" i="135" a="1"/>
  <c r="AC326" i="135" s="1"/>
  <c r="AM326" i="135" a="1"/>
  <c r="AM326" i="135" s="1"/>
  <c r="AE326" i="135" a="1"/>
  <c r="AE326" i="135" s="1"/>
  <c r="AF326" i="135" a="1"/>
  <c r="AF326" i="135" s="1"/>
  <c r="R326" i="135" a="1"/>
  <c r="R326" i="135" s="1"/>
  <c r="V326" i="135" a="1"/>
  <c r="V326" i="135" s="1"/>
  <c r="N326" i="135" a="1"/>
  <c r="N326" i="135" s="1"/>
  <c r="F326" i="135" a="1"/>
  <c r="F326" i="135" s="1"/>
  <c r="L326" i="135" a="1"/>
  <c r="L326" i="135" s="1"/>
  <c r="AI326" i="135" a="1"/>
  <c r="AI326" i="135" s="1"/>
  <c r="U326" i="135" a="1"/>
  <c r="U326" i="135" s="1"/>
  <c r="AL326" i="135" a="1"/>
  <c r="AL326" i="135" s="1"/>
  <c r="AB326" i="135" a="1"/>
  <c r="AB326" i="135" s="1"/>
  <c r="K326" i="135" a="1"/>
  <c r="K326" i="135" s="1"/>
  <c r="O326" i="135" a="1"/>
  <c r="O326" i="135" s="1"/>
  <c r="G326" i="135" a="1"/>
  <c r="G326" i="135" s="1"/>
  <c r="AJ326" i="135" a="1"/>
  <c r="AJ326" i="135" s="1"/>
  <c r="AK326" i="135" a="1"/>
  <c r="AK326" i="135" s="1"/>
  <c r="J326" i="135" a="1"/>
  <c r="J326" i="135" s="1"/>
  <c r="AG326" i="135" a="1"/>
  <c r="AG326" i="135" s="1"/>
  <c r="Y326" i="135" a="1"/>
  <c r="Y326" i="135" s="1"/>
  <c r="E328" i="135" l="1" a="1"/>
  <c r="E328" i="135" s="1"/>
  <c r="D328" i="135" s="1"/>
  <c r="V327" i="135" a="1"/>
  <c r="V327" i="135" s="1"/>
  <c r="X327" i="135" a="1"/>
  <c r="X327" i="135" s="1"/>
  <c r="AG327" i="135" a="1"/>
  <c r="AG327" i="135" s="1"/>
  <c r="W327" i="135" a="1"/>
  <c r="W327" i="135" s="1"/>
  <c r="R327" i="135" a="1"/>
  <c r="R327" i="135" s="1"/>
  <c r="T327" i="135" a="1"/>
  <c r="T327" i="135" s="1"/>
  <c r="G327" i="135" a="1"/>
  <c r="G327" i="135" s="1"/>
  <c r="Q327" i="135" a="1"/>
  <c r="Q327" i="135" s="1"/>
  <c r="N327" i="135" a="1"/>
  <c r="N327" i="135" s="1"/>
  <c r="P327" i="135" a="1"/>
  <c r="P327" i="135" s="1"/>
  <c r="S327" i="135" a="1"/>
  <c r="S327" i="135" s="1"/>
  <c r="AI327" i="135" a="1"/>
  <c r="AI327" i="135" s="1"/>
  <c r="J327" i="135" a="1"/>
  <c r="J327" i="135" s="1"/>
  <c r="L327" i="135" a="1"/>
  <c r="L327" i="135" s="1"/>
  <c r="M327" i="135" a="1"/>
  <c r="M327" i="135" s="1"/>
  <c r="AC327" i="135" a="1"/>
  <c r="AC327" i="135" s="1"/>
  <c r="AL327" i="135" a="1"/>
  <c r="AL327" i="135" s="1"/>
  <c r="F327" i="135" a="1"/>
  <c r="F327" i="135" s="1"/>
  <c r="H327" i="135" a="1"/>
  <c r="H327" i="135" s="1"/>
  <c r="AE327" i="135" a="1"/>
  <c r="AE327" i="135" s="1"/>
  <c r="O327" i="135" a="1"/>
  <c r="O327" i="135" s="1"/>
  <c r="AH327" i="135" a="1"/>
  <c r="AH327" i="135" s="1"/>
  <c r="AJ327" i="135" a="1"/>
  <c r="AJ327" i="135" s="1"/>
  <c r="AA327" i="135" a="1"/>
  <c r="AA327" i="135" s="1"/>
  <c r="Y327" i="135" a="1"/>
  <c r="Y327" i="135" s="1"/>
  <c r="I327" i="135" a="1"/>
  <c r="I327" i="135" s="1"/>
  <c r="AD327" i="135" a="1"/>
  <c r="AD327" i="135" s="1"/>
  <c r="AF327" i="135" a="1"/>
  <c r="AF327" i="135" s="1"/>
  <c r="U327" i="135" a="1"/>
  <c r="U327" i="135" s="1"/>
  <c r="AK327" i="135" a="1"/>
  <c r="AK327" i="135" s="1"/>
  <c r="Z327" i="135" a="1"/>
  <c r="Z327" i="135" s="1"/>
  <c r="AB327" i="135" a="1"/>
  <c r="AB327" i="135" s="1"/>
  <c r="AM327" i="135" a="1"/>
  <c r="AM327" i="135" s="1"/>
  <c r="K327" i="135" a="1"/>
  <c r="K327" i="135" s="1"/>
  <c r="E329" i="135" l="1" a="1"/>
  <c r="E329" i="135" s="1"/>
  <c r="D329" i="135" s="1"/>
  <c r="AC328" i="135" a="1"/>
  <c r="AC328" i="135" s="1"/>
  <c r="K328" i="135" a="1"/>
  <c r="K328" i="135" s="1"/>
  <c r="O328" i="135" a="1"/>
  <c r="O328" i="135" s="1"/>
  <c r="AM328" i="135" a="1"/>
  <c r="AM328" i="135" s="1"/>
  <c r="Y328" i="135" a="1"/>
  <c r="Y328" i="135" s="1"/>
  <c r="W328" i="135" a="1"/>
  <c r="W328" i="135" s="1"/>
  <c r="H328" i="135" a="1"/>
  <c r="H328" i="135" s="1"/>
  <c r="S328" i="135" a="1"/>
  <c r="S328" i="135" s="1"/>
  <c r="U328" i="135" a="1"/>
  <c r="U328" i="135" s="1"/>
  <c r="P328" i="135" a="1"/>
  <c r="P328" i="135" s="1"/>
  <c r="AA328" i="135" a="1"/>
  <c r="AA328" i="135" s="1"/>
  <c r="L328" i="135" a="1"/>
  <c r="L328" i="135" s="1"/>
  <c r="Q328" i="135" a="1"/>
  <c r="Q328" i="135" s="1"/>
  <c r="J328" i="135" a="1"/>
  <c r="J328" i="135" s="1"/>
  <c r="T328" i="135" a="1"/>
  <c r="T328" i="135" s="1"/>
  <c r="F328" i="135" a="1"/>
  <c r="F328" i="135" s="1"/>
  <c r="AG328" i="135" a="1"/>
  <c r="AG328" i="135" s="1"/>
  <c r="AD328" i="135" a="1"/>
  <c r="AD328" i="135" s="1"/>
  <c r="AH328" i="135" a="1"/>
  <c r="AH328" i="135" s="1"/>
  <c r="G328" i="135" a="1"/>
  <c r="G328" i="135" s="1"/>
  <c r="M328" i="135" a="1"/>
  <c r="M328" i="135" s="1"/>
  <c r="AI328" i="135" a="1"/>
  <c r="AI328" i="135" s="1"/>
  <c r="N328" i="135" a="1"/>
  <c r="N328" i="135" s="1"/>
  <c r="AE328" i="135" a="1"/>
  <c r="AE328" i="135" s="1"/>
  <c r="AL328" i="135" a="1"/>
  <c r="AL328" i="135" s="1"/>
  <c r="I328" i="135" a="1"/>
  <c r="I328" i="135" s="1"/>
  <c r="AB328" i="135" a="1"/>
  <c r="AB328" i="135" s="1"/>
  <c r="AF328" i="135" a="1"/>
  <c r="AF328" i="135" s="1"/>
  <c r="X328" i="135" a="1"/>
  <c r="X328" i="135" s="1"/>
  <c r="AK328" i="135" a="1"/>
  <c r="AK328" i="135" s="1"/>
  <c r="AJ328" i="135" a="1"/>
  <c r="AJ328" i="135" s="1"/>
  <c r="V328" i="135" a="1"/>
  <c r="V328" i="135" s="1"/>
  <c r="Z328" i="135" a="1"/>
  <c r="Z328" i="135" s="1"/>
  <c r="R328" i="135" a="1"/>
  <c r="R328" i="135" s="1"/>
  <c r="E330" i="135" l="1" a="1"/>
  <c r="E330" i="135" s="1"/>
  <c r="D330" i="135" s="1"/>
  <c r="AA329" i="135" a="1"/>
  <c r="AA329" i="135" s="1"/>
  <c r="AC329" i="135" a="1"/>
  <c r="AC329" i="135" s="1"/>
  <c r="P329" i="135" a="1"/>
  <c r="P329" i="135" s="1"/>
  <c r="AB329" i="135" a="1"/>
  <c r="AB329" i="135" s="1"/>
  <c r="AE329" i="135" a="1"/>
  <c r="AE329" i="135" s="1"/>
  <c r="AG329" i="135" a="1"/>
  <c r="AG329" i="135" s="1"/>
  <c r="X329" i="135" a="1"/>
  <c r="X329" i="135" s="1"/>
  <c r="AJ329" i="135" a="1"/>
  <c r="AJ329" i="135" s="1"/>
  <c r="W329" i="135" a="1"/>
  <c r="W329" i="135" s="1"/>
  <c r="Y329" i="135" a="1"/>
  <c r="Y329" i="135" s="1"/>
  <c r="H329" i="135" a="1"/>
  <c r="H329" i="135" s="1"/>
  <c r="T329" i="135" a="1"/>
  <c r="T329" i="135" s="1"/>
  <c r="S329" i="135" a="1"/>
  <c r="S329" i="135" s="1"/>
  <c r="U329" i="135" a="1"/>
  <c r="U329" i="135" s="1"/>
  <c r="AL329" i="135" a="1"/>
  <c r="AL329" i="135" s="1"/>
  <c r="L329" i="135" a="1"/>
  <c r="L329" i="135" s="1"/>
  <c r="AI329" i="135" a="1"/>
  <c r="AI329" i="135" s="1"/>
  <c r="AK329" i="135" a="1"/>
  <c r="AK329" i="135" s="1"/>
  <c r="AF329" i="135" a="1"/>
  <c r="AF329" i="135" s="1"/>
  <c r="F329" i="135" a="1"/>
  <c r="F329" i="135" s="1"/>
  <c r="J329" i="135" a="1"/>
  <c r="J329" i="135" s="1"/>
  <c r="O329" i="135" a="1"/>
  <c r="O329" i="135" s="1"/>
  <c r="Q329" i="135" a="1"/>
  <c r="Q329" i="135" s="1"/>
  <c r="AD329" i="135" a="1"/>
  <c r="AD329" i="135" s="1"/>
  <c r="AH329" i="135" a="1"/>
  <c r="AH329" i="135" s="1"/>
  <c r="K329" i="135" a="1"/>
  <c r="K329" i="135" s="1"/>
  <c r="M329" i="135" a="1"/>
  <c r="M329" i="135" s="1"/>
  <c r="V329" i="135" a="1"/>
  <c r="V329" i="135" s="1"/>
  <c r="Z329" i="135" a="1"/>
  <c r="Z329" i="135" s="1"/>
  <c r="AM329" i="135" a="1"/>
  <c r="AM329" i="135" s="1"/>
  <c r="G329" i="135" a="1"/>
  <c r="G329" i="135" s="1"/>
  <c r="I329" i="135" a="1"/>
  <c r="I329" i="135" s="1"/>
  <c r="N329" i="135" a="1"/>
  <c r="N329" i="135" s="1"/>
  <c r="R329" i="135" a="1"/>
  <c r="R329" i="135" s="1"/>
  <c r="E331" i="135" l="1" a="1"/>
  <c r="E331" i="135" s="1"/>
  <c r="D331" i="135" s="1"/>
  <c r="U330" i="135" a="1"/>
  <c r="U330" i="135" s="1"/>
  <c r="AE330" i="135" a="1"/>
  <c r="AE330" i="135" s="1"/>
  <c r="AH330" i="135" a="1"/>
  <c r="AH330" i="135" s="1"/>
  <c r="AB330" i="135" a="1"/>
  <c r="AB330" i="135" s="1"/>
  <c r="Q330" i="135" a="1"/>
  <c r="Q330" i="135" s="1"/>
  <c r="AA330" i="135" a="1"/>
  <c r="AA330" i="135" s="1"/>
  <c r="AD330" i="135" a="1"/>
  <c r="AD330" i="135" s="1"/>
  <c r="P330" i="135" a="1"/>
  <c r="P330" i="135" s="1"/>
  <c r="S330" i="135" a="1"/>
  <c r="S330" i="135" s="1"/>
  <c r="L330" i="135" a="1"/>
  <c r="L330" i="135" s="1"/>
  <c r="K330" i="135" a="1"/>
  <c r="K330" i="135" s="1"/>
  <c r="H330" i="135" a="1"/>
  <c r="H330" i="135" s="1"/>
  <c r="AC330" i="135" a="1"/>
  <c r="AC330" i="135" s="1"/>
  <c r="G330" i="135" a="1"/>
  <c r="G330" i="135" s="1"/>
  <c r="J330" i="135" a="1"/>
  <c r="J330" i="135" s="1"/>
  <c r="M330" i="135" a="1"/>
  <c r="M330" i="135" s="1"/>
  <c r="W330" i="135" a="1"/>
  <c r="W330" i="135" s="1"/>
  <c r="Z330" i="135" a="1"/>
  <c r="Z330" i="135" s="1"/>
  <c r="X330" i="135" a="1"/>
  <c r="X330" i="135" s="1"/>
  <c r="I330" i="135" a="1"/>
  <c r="I330" i="135" s="1"/>
  <c r="V330" i="135" a="1"/>
  <c r="V330" i="135" s="1"/>
  <c r="AG330" i="135" a="1"/>
  <c r="AG330" i="135" s="1"/>
  <c r="AF330" i="135" a="1"/>
  <c r="AF330" i="135" s="1"/>
  <c r="N330" i="135" a="1"/>
  <c r="N330" i="135" s="1"/>
  <c r="AM330" i="135" a="1"/>
  <c r="AM330" i="135" s="1"/>
  <c r="AK330" i="135" a="1"/>
  <c r="AK330" i="135" s="1"/>
  <c r="AJ330" i="135" a="1"/>
  <c r="AJ330" i="135" s="1"/>
  <c r="O330" i="135" a="1"/>
  <c r="O330" i="135" s="1"/>
  <c r="R330" i="135" a="1"/>
  <c r="R330" i="135" s="1"/>
  <c r="T330" i="135" a="1"/>
  <c r="T330" i="135" s="1"/>
  <c r="Y330" i="135" a="1"/>
  <c r="Y330" i="135" s="1"/>
  <c r="AI330" i="135" a="1"/>
  <c r="AI330" i="135" s="1"/>
  <c r="AL330" i="135" a="1"/>
  <c r="AL330" i="135" s="1"/>
  <c r="F330" i="135" a="1"/>
  <c r="F330" i="135" s="1"/>
  <c r="E332" i="135" l="1" a="1"/>
  <c r="E332" i="135" s="1"/>
  <c r="D332" i="135" s="1"/>
  <c r="Y331" i="135" a="1"/>
  <c r="Y331" i="135" s="1"/>
  <c r="X331" i="135" a="1"/>
  <c r="X331" i="135" s="1"/>
  <c r="AA331" i="135" a="1"/>
  <c r="AA331" i="135" s="1"/>
  <c r="Z331" i="135" a="1"/>
  <c r="Z331" i="135" s="1"/>
  <c r="U331" i="135" a="1"/>
  <c r="U331" i="135" s="1"/>
  <c r="T331" i="135" a="1"/>
  <c r="T331" i="135" s="1"/>
  <c r="W331" i="135" a="1"/>
  <c r="W331" i="135" s="1"/>
  <c r="V331" i="135" a="1"/>
  <c r="V331" i="135" s="1"/>
  <c r="Q331" i="135" a="1"/>
  <c r="Q331" i="135" s="1"/>
  <c r="S331" i="135" a="1"/>
  <c r="S331" i="135" s="1"/>
  <c r="R331" i="135" a="1"/>
  <c r="R331" i="135" s="1"/>
  <c r="I331" i="135" a="1"/>
  <c r="I331" i="135" s="1"/>
  <c r="K331" i="135" a="1"/>
  <c r="K331" i="135" s="1"/>
  <c r="P331" i="135" a="1"/>
  <c r="P331" i="135" s="1"/>
  <c r="M331" i="135" a="1"/>
  <c r="M331" i="135" s="1"/>
  <c r="L331" i="135" a="1"/>
  <c r="L331" i="135" s="1"/>
  <c r="O331" i="135" a="1"/>
  <c r="O331" i="135" s="1"/>
  <c r="N331" i="135" a="1"/>
  <c r="N331" i="135" s="1"/>
  <c r="H331" i="135" a="1"/>
  <c r="H331" i="135" s="1"/>
  <c r="J331" i="135" a="1"/>
  <c r="J331" i="135" s="1"/>
  <c r="AG331" i="135" a="1"/>
  <c r="AG331" i="135" s="1"/>
  <c r="AF331" i="135" a="1"/>
  <c r="AF331" i="135" s="1"/>
  <c r="AI331" i="135" a="1"/>
  <c r="AI331" i="135" s="1"/>
  <c r="AH331" i="135" a="1"/>
  <c r="AH331" i="135" s="1"/>
  <c r="G331" i="135" a="1"/>
  <c r="G331" i="135" s="1"/>
  <c r="AC331" i="135" a="1"/>
  <c r="AC331" i="135" s="1"/>
  <c r="AB331" i="135" a="1"/>
  <c r="AB331" i="135" s="1"/>
  <c r="AE331" i="135" a="1"/>
  <c r="AE331" i="135" s="1"/>
  <c r="AD331" i="135" a="1"/>
  <c r="AD331" i="135" s="1"/>
  <c r="AK331" i="135" a="1"/>
  <c r="AK331" i="135" s="1"/>
  <c r="AJ331" i="135" a="1"/>
  <c r="AJ331" i="135" s="1"/>
  <c r="AM331" i="135" a="1"/>
  <c r="AM331" i="135" s="1"/>
  <c r="AL331" i="135" a="1"/>
  <c r="AL331" i="135" s="1"/>
  <c r="F331" i="135" a="1"/>
  <c r="F331" i="135" s="1"/>
  <c r="E333" i="135" l="1" a="1"/>
  <c r="E333" i="135" s="1"/>
  <c r="D333" i="135" s="1"/>
  <c r="Z332" i="135" a="1"/>
  <c r="Z332" i="135" s="1"/>
  <c r="AC332" i="135" a="1"/>
  <c r="AC332" i="135" s="1"/>
  <c r="AB332" i="135" a="1"/>
  <c r="AB332" i="135" s="1"/>
  <c r="AE332" i="135" a="1"/>
  <c r="AE332" i="135" s="1"/>
  <c r="V332" i="135" a="1"/>
  <c r="V332" i="135" s="1"/>
  <c r="Y332" i="135" a="1"/>
  <c r="Y332" i="135" s="1"/>
  <c r="X332" i="135" a="1"/>
  <c r="X332" i="135" s="1"/>
  <c r="AA332" i="135" a="1"/>
  <c r="AA332" i="135" s="1"/>
  <c r="R332" i="135" a="1"/>
  <c r="R332" i="135" s="1"/>
  <c r="U332" i="135" a="1"/>
  <c r="U332" i="135" s="1"/>
  <c r="T332" i="135" a="1"/>
  <c r="T332" i="135" s="1"/>
  <c r="W332" i="135" a="1"/>
  <c r="W332" i="135" s="1"/>
  <c r="N332" i="135" a="1"/>
  <c r="N332" i="135" s="1"/>
  <c r="Q332" i="135" a="1"/>
  <c r="Q332" i="135" s="1"/>
  <c r="P332" i="135" a="1"/>
  <c r="P332" i="135" s="1"/>
  <c r="S332" i="135" a="1"/>
  <c r="S332" i="135" s="1"/>
  <c r="J332" i="135" a="1"/>
  <c r="J332" i="135" s="1"/>
  <c r="M332" i="135" a="1"/>
  <c r="M332" i="135" s="1"/>
  <c r="L332" i="135" a="1"/>
  <c r="L332" i="135" s="1"/>
  <c r="O332" i="135" a="1"/>
  <c r="O332" i="135" s="1"/>
  <c r="AL332" i="135" a="1"/>
  <c r="AL332" i="135" s="1"/>
  <c r="F332" i="135" a="1"/>
  <c r="F332" i="135" s="1"/>
  <c r="I332" i="135" a="1"/>
  <c r="I332" i="135" s="1"/>
  <c r="H332" i="135" a="1"/>
  <c r="H332" i="135" s="1"/>
  <c r="K332" i="135" a="1"/>
  <c r="K332" i="135" s="1"/>
  <c r="AH332" i="135" a="1"/>
  <c r="AH332" i="135" s="1"/>
  <c r="AK332" i="135" a="1"/>
  <c r="AK332" i="135" s="1"/>
  <c r="AJ332" i="135" a="1"/>
  <c r="AJ332" i="135" s="1"/>
  <c r="AM332" i="135" a="1"/>
  <c r="AM332" i="135" s="1"/>
  <c r="G332" i="135" a="1"/>
  <c r="G332" i="135" s="1"/>
  <c r="AD332" i="135" a="1"/>
  <c r="AD332" i="135" s="1"/>
  <c r="AG332" i="135" a="1"/>
  <c r="AG332" i="135" s="1"/>
  <c r="AF332" i="135" a="1"/>
  <c r="AF332" i="135" s="1"/>
  <c r="AI332" i="135" a="1"/>
  <c r="AI332" i="135" s="1"/>
  <c r="E334" i="135" l="1" a="1"/>
  <c r="E334" i="135" s="1"/>
  <c r="D334" i="135" s="1"/>
  <c r="V333" i="135" a="1"/>
  <c r="V333" i="135" s="1"/>
  <c r="Y333" i="135" a="1"/>
  <c r="Y333" i="135" s="1"/>
  <c r="X333" i="135" a="1"/>
  <c r="X333" i="135" s="1"/>
  <c r="AA333" i="135" a="1"/>
  <c r="AA333" i="135" s="1"/>
  <c r="R333" i="135" a="1"/>
  <c r="R333" i="135" s="1"/>
  <c r="U333" i="135" a="1"/>
  <c r="U333" i="135" s="1"/>
  <c r="T333" i="135" a="1"/>
  <c r="T333" i="135" s="1"/>
  <c r="W333" i="135" a="1"/>
  <c r="W333" i="135" s="1"/>
  <c r="N333" i="135" a="1"/>
  <c r="N333" i="135" s="1"/>
  <c r="Q333" i="135" a="1"/>
  <c r="Q333" i="135" s="1"/>
  <c r="P333" i="135" a="1"/>
  <c r="P333" i="135" s="1"/>
  <c r="S333" i="135" a="1"/>
  <c r="S333" i="135" s="1"/>
  <c r="J333" i="135" a="1"/>
  <c r="J333" i="135" s="1"/>
  <c r="M333" i="135" a="1"/>
  <c r="M333" i="135" s="1"/>
  <c r="L333" i="135" a="1"/>
  <c r="L333" i="135" s="1"/>
  <c r="O333" i="135" a="1"/>
  <c r="O333" i="135" s="1"/>
  <c r="AL333" i="135" a="1"/>
  <c r="AL333" i="135" s="1"/>
  <c r="F333" i="135" a="1"/>
  <c r="F333" i="135" s="1"/>
  <c r="I333" i="135" a="1"/>
  <c r="I333" i="135" s="1"/>
  <c r="H333" i="135" a="1"/>
  <c r="H333" i="135" s="1"/>
  <c r="K333" i="135" a="1"/>
  <c r="K333" i="135" s="1"/>
  <c r="AH333" i="135" a="1"/>
  <c r="AH333" i="135" s="1"/>
  <c r="AK333" i="135" a="1"/>
  <c r="AK333" i="135" s="1"/>
  <c r="AJ333" i="135" a="1"/>
  <c r="AJ333" i="135" s="1"/>
  <c r="AM333" i="135" a="1"/>
  <c r="AM333" i="135" s="1"/>
  <c r="G333" i="135" a="1"/>
  <c r="G333" i="135" s="1"/>
  <c r="AD333" i="135" a="1"/>
  <c r="AD333" i="135" s="1"/>
  <c r="AG333" i="135" a="1"/>
  <c r="AG333" i="135" s="1"/>
  <c r="AF333" i="135" a="1"/>
  <c r="AF333" i="135" s="1"/>
  <c r="AI333" i="135" a="1"/>
  <c r="AI333" i="135" s="1"/>
  <c r="Z333" i="135" a="1"/>
  <c r="Z333" i="135" s="1"/>
  <c r="AC333" i="135" a="1"/>
  <c r="AC333" i="135" s="1"/>
  <c r="AB333" i="135" a="1"/>
  <c r="AB333" i="135" s="1"/>
  <c r="AE333" i="135" a="1"/>
  <c r="AE333" i="135" s="1"/>
  <c r="E335" i="135" l="1" a="1"/>
  <c r="E335" i="135" s="1"/>
  <c r="D335" i="135" s="1"/>
  <c r="W334" i="135" a="1"/>
  <c r="W334" i="135" s="1"/>
  <c r="Z334" i="135" a="1"/>
  <c r="Z334" i="135" s="1"/>
  <c r="AC334" i="135" a="1"/>
  <c r="AC334" i="135" s="1"/>
  <c r="AB334" i="135" a="1"/>
  <c r="AB334" i="135" s="1"/>
  <c r="AI334" i="135" a="1"/>
  <c r="AI334" i="135" s="1"/>
  <c r="AL334" i="135" a="1"/>
  <c r="AL334" i="135" s="1"/>
  <c r="F334" i="135" a="1"/>
  <c r="F334" i="135" s="1"/>
  <c r="H334" i="135" a="1"/>
  <c r="H334" i="135" s="1"/>
  <c r="AA334" i="135" a="1"/>
  <c r="AA334" i="135" s="1"/>
  <c r="AD334" i="135" a="1"/>
  <c r="AD334" i="135" s="1"/>
  <c r="AG334" i="135" a="1"/>
  <c r="AG334" i="135" s="1"/>
  <c r="AF334" i="135" a="1"/>
  <c r="AF334" i="135" s="1"/>
  <c r="S334" i="135" a="1"/>
  <c r="S334" i="135" s="1"/>
  <c r="V334" i="135" a="1"/>
  <c r="V334" i="135" s="1"/>
  <c r="Y334" i="135" a="1"/>
  <c r="Y334" i="135" s="1"/>
  <c r="X334" i="135" a="1"/>
  <c r="X334" i="135" s="1"/>
  <c r="O334" i="135" a="1"/>
  <c r="O334" i="135" s="1"/>
  <c r="U334" i="135" a="1"/>
  <c r="U334" i="135" s="1"/>
  <c r="T334" i="135" a="1"/>
  <c r="T334" i="135" s="1"/>
  <c r="K334" i="135" a="1"/>
  <c r="K334" i="135" s="1"/>
  <c r="N334" i="135" a="1"/>
  <c r="N334" i="135" s="1"/>
  <c r="P334" i="135" a="1"/>
  <c r="P334" i="135" s="1"/>
  <c r="R334" i="135" a="1"/>
  <c r="R334" i="135" s="1"/>
  <c r="Q334" i="135" a="1"/>
  <c r="Q334" i="135" s="1"/>
  <c r="AE334" i="135" a="1"/>
  <c r="AE334" i="135" s="1"/>
  <c r="AH334" i="135" a="1"/>
  <c r="AH334" i="135" s="1"/>
  <c r="AK334" i="135" a="1"/>
  <c r="AK334" i="135" s="1"/>
  <c r="AJ334" i="135" a="1"/>
  <c r="AJ334" i="135" s="1"/>
  <c r="AM334" i="135" a="1"/>
  <c r="AM334" i="135" s="1"/>
  <c r="G334" i="135" a="1"/>
  <c r="G334" i="135" s="1"/>
  <c r="J334" i="135" a="1"/>
  <c r="J334" i="135" s="1"/>
  <c r="M334" i="135" a="1"/>
  <c r="M334" i="135" s="1"/>
  <c r="L334" i="135" a="1"/>
  <c r="L334" i="135" s="1"/>
  <c r="I334" i="135" a="1"/>
  <c r="I334" i="135" s="1"/>
  <c r="E336" i="135" l="1" a="1"/>
  <c r="E336" i="135" s="1"/>
  <c r="D336" i="135" s="1"/>
  <c r="S335" i="135" a="1"/>
  <c r="S335" i="135" s="1"/>
  <c r="V335" i="135" a="1"/>
  <c r="V335" i="135" s="1"/>
  <c r="Y335" i="135" a="1"/>
  <c r="Y335" i="135" s="1"/>
  <c r="X335" i="135" a="1"/>
  <c r="X335" i="135" s="1"/>
  <c r="O335" i="135" a="1"/>
  <c r="O335" i="135" s="1"/>
  <c r="R335" i="135" a="1"/>
  <c r="R335" i="135" s="1"/>
  <c r="U335" i="135" a="1"/>
  <c r="U335" i="135" s="1"/>
  <c r="T335" i="135" a="1"/>
  <c r="T335" i="135" s="1"/>
  <c r="K335" i="135" a="1"/>
  <c r="K335" i="135" s="1"/>
  <c r="N335" i="135" a="1"/>
  <c r="N335" i="135" s="1"/>
  <c r="Q335" i="135" a="1"/>
  <c r="Q335" i="135" s="1"/>
  <c r="P335" i="135" a="1"/>
  <c r="P335" i="135" s="1"/>
  <c r="AM335" i="135" a="1"/>
  <c r="AM335" i="135" s="1"/>
  <c r="G335" i="135" a="1"/>
  <c r="G335" i="135" s="1"/>
  <c r="J335" i="135" a="1"/>
  <c r="J335" i="135" s="1"/>
  <c r="M335" i="135" a="1"/>
  <c r="M335" i="135" s="1"/>
  <c r="AI335" i="135" a="1"/>
  <c r="AI335" i="135" s="1"/>
  <c r="AL335" i="135" a="1"/>
  <c r="AL335" i="135" s="1"/>
  <c r="F335" i="135" a="1"/>
  <c r="F335" i="135" s="1"/>
  <c r="H335" i="135" a="1"/>
  <c r="H335" i="135" s="1"/>
  <c r="AA335" i="135" a="1"/>
  <c r="AA335" i="135" s="1"/>
  <c r="AD335" i="135" a="1"/>
  <c r="AD335" i="135" s="1"/>
  <c r="AG335" i="135" a="1"/>
  <c r="AG335" i="135" s="1"/>
  <c r="AF335" i="135" a="1"/>
  <c r="AF335" i="135" s="1"/>
  <c r="L335" i="135" a="1"/>
  <c r="L335" i="135" s="1"/>
  <c r="I335" i="135" a="1"/>
  <c r="I335" i="135" s="1"/>
  <c r="W335" i="135" a="1"/>
  <c r="W335" i="135" s="1"/>
  <c r="Z335" i="135" a="1"/>
  <c r="Z335" i="135" s="1"/>
  <c r="AC335" i="135" a="1"/>
  <c r="AC335" i="135" s="1"/>
  <c r="AB335" i="135" a="1"/>
  <c r="AB335" i="135" s="1"/>
  <c r="AE335" i="135" a="1"/>
  <c r="AE335" i="135" s="1"/>
  <c r="AH335" i="135" a="1"/>
  <c r="AH335" i="135" s="1"/>
  <c r="AK335" i="135" a="1"/>
  <c r="AK335" i="135" s="1"/>
  <c r="AJ335" i="135" a="1"/>
  <c r="AJ335" i="135" s="1"/>
  <c r="E337" i="135" l="1" a="1"/>
  <c r="E337" i="135" s="1"/>
  <c r="D337" i="135" s="1"/>
  <c r="X336" i="135" a="1"/>
  <c r="X336" i="135" s="1"/>
  <c r="AA336" i="135" a="1"/>
  <c r="AA336" i="135" s="1"/>
  <c r="AD336" i="135" a="1"/>
  <c r="AD336" i="135" s="1"/>
  <c r="AG336" i="135" a="1"/>
  <c r="AG336" i="135" s="1"/>
  <c r="N336" i="135" a="1"/>
  <c r="N336" i="135" s="1"/>
  <c r="AM336" i="135" a="1"/>
  <c r="AM336" i="135" s="1"/>
  <c r="G336" i="135" a="1"/>
  <c r="G336" i="135" s="1"/>
  <c r="T336" i="135" a="1"/>
  <c r="T336" i="135" s="1"/>
  <c r="W336" i="135" a="1"/>
  <c r="W336" i="135" s="1"/>
  <c r="Z336" i="135" a="1"/>
  <c r="Z336" i="135" s="1"/>
  <c r="AC336" i="135" a="1"/>
  <c r="AC336" i="135" s="1"/>
  <c r="P336" i="135" a="1"/>
  <c r="P336" i="135" s="1"/>
  <c r="S336" i="135" a="1"/>
  <c r="S336" i="135" s="1"/>
  <c r="V336" i="135" a="1"/>
  <c r="V336" i="135" s="1"/>
  <c r="Y336" i="135" a="1"/>
  <c r="Y336" i="135" s="1"/>
  <c r="H336" i="135" a="1"/>
  <c r="H336" i="135" s="1"/>
  <c r="K336" i="135" a="1"/>
  <c r="K336" i="135" s="1"/>
  <c r="Q336" i="135" a="1"/>
  <c r="Q336" i="135" s="1"/>
  <c r="AJ336" i="135" a="1"/>
  <c r="AJ336" i="135" s="1"/>
  <c r="M336" i="135" a="1"/>
  <c r="M336" i="135" s="1"/>
  <c r="L336" i="135" a="1"/>
  <c r="L336" i="135" s="1"/>
  <c r="O336" i="135" a="1"/>
  <c r="O336" i="135" s="1"/>
  <c r="R336" i="135" a="1"/>
  <c r="R336" i="135" s="1"/>
  <c r="U336" i="135" a="1"/>
  <c r="U336" i="135" s="1"/>
  <c r="J336" i="135" a="1"/>
  <c r="J336" i="135" s="1"/>
  <c r="AB336" i="135" a="1"/>
  <c r="AB336" i="135" s="1"/>
  <c r="AE336" i="135" a="1"/>
  <c r="AE336" i="135" s="1"/>
  <c r="AH336" i="135" a="1"/>
  <c r="AH336" i="135" s="1"/>
  <c r="AK336" i="135" a="1"/>
  <c r="AK336" i="135" s="1"/>
  <c r="AF336" i="135" a="1"/>
  <c r="AF336" i="135" s="1"/>
  <c r="AI336" i="135" a="1"/>
  <c r="AI336" i="135" s="1"/>
  <c r="AL336" i="135" a="1"/>
  <c r="AL336" i="135" s="1"/>
  <c r="F336" i="135" a="1"/>
  <c r="F336" i="135" s="1"/>
  <c r="I336" i="135" a="1"/>
  <c r="I336" i="135" s="1"/>
  <c r="E338" i="135" l="1" a="1"/>
  <c r="E338" i="135" s="1"/>
  <c r="D338" i="135" s="1"/>
  <c r="X337" i="135" a="1"/>
  <c r="X337" i="135" s="1"/>
  <c r="AA337" i="135" a="1"/>
  <c r="AA337" i="135" s="1"/>
  <c r="AD337" i="135" a="1"/>
  <c r="AD337" i="135" s="1"/>
  <c r="AG337" i="135" a="1"/>
  <c r="AG337" i="135" s="1"/>
  <c r="AJ337" i="135" a="1"/>
  <c r="AJ337" i="135" s="1"/>
  <c r="AM337" i="135" a="1"/>
  <c r="AM337" i="135" s="1"/>
  <c r="G337" i="135" a="1"/>
  <c r="G337" i="135" s="1"/>
  <c r="J337" i="135" a="1"/>
  <c r="J337" i="135" s="1"/>
  <c r="M337" i="135" a="1"/>
  <c r="M337" i="135" s="1"/>
  <c r="T337" i="135" a="1"/>
  <c r="T337" i="135" s="1"/>
  <c r="W337" i="135" a="1"/>
  <c r="W337" i="135" s="1"/>
  <c r="Z337" i="135" a="1"/>
  <c r="Z337" i="135" s="1"/>
  <c r="AC337" i="135" a="1"/>
  <c r="AC337" i="135" s="1"/>
  <c r="P337" i="135" a="1"/>
  <c r="P337" i="135" s="1"/>
  <c r="S337" i="135" a="1"/>
  <c r="S337" i="135" s="1"/>
  <c r="V337" i="135" a="1"/>
  <c r="V337" i="135" s="1"/>
  <c r="Y337" i="135" a="1"/>
  <c r="Y337" i="135" s="1"/>
  <c r="AF337" i="135" a="1"/>
  <c r="AF337" i="135" s="1"/>
  <c r="AI337" i="135" a="1"/>
  <c r="AI337" i="135" s="1"/>
  <c r="AL337" i="135" a="1"/>
  <c r="AL337" i="135" s="1"/>
  <c r="F337" i="135" a="1"/>
  <c r="F337" i="135" s="1"/>
  <c r="I337" i="135" a="1"/>
  <c r="I337" i="135" s="1"/>
  <c r="L337" i="135" a="1"/>
  <c r="L337" i="135" s="1"/>
  <c r="O337" i="135" a="1"/>
  <c r="O337" i="135" s="1"/>
  <c r="R337" i="135" a="1"/>
  <c r="R337" i="135" s="1"/>
  <c r="U337" i="135" a="1"/>
  <c r="U337" i="135" s="1"/>
  <c r="H337" i="135" a="1"/>
  <c r="H337" i="135" s="1"/>
  <c r="K337" i="135" a="1"/>
  <c r="K337" i="135" s="1"/>
  <c r="N337" i="135" a="1"/>
  <c r="N337" i="135" s="1"/>
  <c r="Q337" i="135" a="1"/>
  <c r="Q337" i="135" s="1"/>
  <c r="AB337" i="135" a="1"/>
  <c r="AB337" i="135" s="1"/>
  <c r="AE337" i="135" a="1"/>
  <c r="AE337" i="135" s="1"/>
  <c r="AH337" i="135" a="1"/>
  <c r="AH337" i="135" s="1"/>
  <c r="AK337" i="135" a="1"/>
  <c r="AK337" i="135" s="1"/>
  <c r="E339" i="135" l="1" a="1"/>
  <c r="E339" i="135" s="1"/>
  <c r="D339" i="135" s="1"/>
  <c r="Y338" i="135" a="1"/>
  <c r="Y338" i="135" s="1"/>
  <c r="X338" i="135" a="1"/>
  <c r="X338" i="135" s="1"/>
  <c r="AA338" i="135" a="1"/>
  <c r="AA338" i="135" s="1"/>
  <c r="AD338" i="135" a="1"/>
  <c r="AD338" i="135" s="1"/>
  <c r="AG338" i="135" a="1"/>
  <c r="AG338" i="135" s="1"/>
  <c r="AF338" i="135" a="1"/>
  <c r="AF338" i="135" s="1"/>
  <c r="AI338" i="135" a="1"/>
  <c r="AI338" i="135" s="1"/>
  <c r="AL338" i="135" a="1"/>
  <c r="AL338" i="135" s="1"/>
  <c r="F338" i="135" a="1"/>
  <c r="F338" i="135" s="1"/>
  <c r="AB338" i="135" a="1"/>
  <c r="AB338" i="135" s="1"/>
  <c r="U338" i="135" a="1"/>
  <c r="U338" i="135" s="1"/>
  <c r="T338" i="135" a="1"/>
  <c r="T338" i="135" s="1"/>
  <c r="W338" i="135" a="1"/>
  <c r="W338" i="135" s="1"/>
  <c r="Z338" i="135" a="1"/>
  <c r="Z338" i="135" s="1"/>
  <c r="Q338" i="135" a="1"/>
  <c r="Q338" i="135" s="1"/>
  <c r="P338" i="135" a="1"/>
  <c r="P338" i="135" s="1"/>
  <c r="S338" i="135" a="1"/>
  <c r="S338" i="135" s="1"/>
  <c r="V338" i="135" a="1"/>
  <c r="V338" i="135" s="1"/>
  <c r="I338" i="135" a="1"/>
  <c r="I338" i="135" s="1"/>
  <c r="H338" i="135" a="1"/>
  <c r="H338" i="135" s="1"/>
  <c r="K338" i="135" a="1"/>
  <c r="K338" i="135" s="1"/>
  <c r="N338" i="135" a="1"/>
  <c r="N338" i="135" s="1"/>
  <c r="M338" i="135" a="1"/>
  <c r="M338" i="135" s="1"/>
  <c r="L338" i="135" a="1"/>
  <c r="L338" i="135" s="1"/>
  <c r="O338" i="135" a="1"/>
  <c r="O338" i="135" s="1"/>
  <c r="R338" i="135" a="1"/>
  <c r="R338" i="135" s="1"/>
  <c r="AH338" i="135" a="1"/>
  <c r="AH338" i="135" s="1"/>
  <c r="AK338" i="135" a="1"/>
  <c r="AK338" i="135" s="1"/>
  <c r="AJ338" i="135" a="1"/>
  <c r="AJ338" i="135" s="1"/>
  <c r="AM338" i="135" a="1"/>
  <c r="AM338" i="135" s="1"/>
  <c r="G338" i="135" a="1"/>
  <c r="G338" i="135" s="1"/>
  <c r="J338" i="135" a="1"/>
  <c r="J338" i="135" s="1"/>
  <c r="AC338" i="135" a="1"/>
  <c r="AC338" i="135" s="1"/>
  <c r="AE338" i="135" a="1"/>
  <c r="AE338" i="135" s="1"/>
  <c r="E340" i="135" l="1" a="1"/>
  <c r="E340" i="135" s="1"/>
  <c r="D340" i="135" s="1"/>
  <c r="Y339" i="135" a="1"/>
  <c r="Y339" i="135" s="1"/>
  <c r="X339" i="135" a="1"/>
  <c r="X339" i="135" s="1"/>
  <c r="AA339" i="135" a="1"/>
  <c r="AA339" i="135" s="1"/>
  <c r="AD339" i="135" a="1"/>
  <c r="AD339" i="135" s="1"/>
  <c r="U339" i="135" a="1"/>
  <c r="U339" i="135" s="1"/>
  <c r="T339" i="135" a="1"/>
  <c r="T339" i="135" s="1"/>
  <c r="W339" i="135" a="1"/>
  <c r="W339" i="135" s="1"/>
  <c r="Z339" i="135" a="1"/>
  <c r="Z339" i="135" s="1"/>
  <c r="Q339" i="135" a="1"/>
  <c r="Q339" i="135" s="1"/>
  <c r="P339" i="135" a="1"/>
  <c r="P339" i="135" s="1"/>
  <c r="S339" i="135" a="1"/>
  <c r="S339" i="135" s="1"/>
  <c r="V339" i="135" a="1"/>
  <c r="V339" i="135" s="1"/>
  <c r="AK339" i="135" a="1"/>
  <c r="AK339" i="135" s="1"/>
  <c r="AM339" i="135" a="1"/>
  <c r="AM339" i="135" s="1"/>
  <c r="J339" i="135" a="1"/>
  <c r="J339" i="135" s="1"/>
  <c r="AF339" i="135" a="1"/>
  <c r="AF339" i="135" s="1"/>
  <c r="AI339" i="135" a="1"/>
  <c r="AI339" i="135" s="1"/>
  <c r="F339" i="135" a="1"/>
  <c r="F339" i="135" s="1"/>
  <c r="AH339" i="135" a="1"/>
  <c r="AH339" i="135" s="1"/>
  <c r="AG339" i="135" a="1"/>
  <c r="AG339" i="135" s="1"/>
  <c r="AL339" i="135" a="1"/>
  <c r="AL339" i="135" s="1"/>
  <c r="M339" i="135" a="1"/>
  <c r="M339" i="135" s="1"/>
  <c r="L339" i="135" a="1"/>
  <c r="L339" i="135" s="1"/>
  <c r="O339" i="135" a="1"/>
  <c r="O339" i="135" s="1"/>
  <c r="R339" i="135" a="1"/>
  <c r="R339" i="135" s="1"/>
  <c r="I339" i="135" a="1"/>
  <c r="I339" i="135" s="1"/>
  <c r="H339" i="135" a="1"/>
  <c r="H339" i="135" s="1"/>
  <c r="K339" i="135" a="1"/>
  <c r="K339" i="135" s="1"/>
  <c r="N339" i="135" a="1"/>
  <c r="N339" i="135" s="1"/>
  <c r="AJ339" i="135" a="1"/>
  <c r="AJ339" i="135" s="1"/>
  <c r="G339" i="135" a="1"/>
  <c r="G339" i="135" s="1"/>
  <c r="AC339" i="135" a="1"/>
  <c r="AC339" i="135" s="1"/>
  <c r="AB339" i="135" a="1"/>
  <c r="AB339" i="135" s="1"/>
  <c r="AE339" i="135" a="1"/>
  <c r="AE339" i="135" s="1"/>
  <c r="E341" i="135" l="1" a="1"/>
  <c r="E341" i="135" s="1"/>
  <c r="D341" i="135" s="1"/>
  <c r="Z340" i="135" a="1"/>
  <c r="Z340" i="135" s="1"/>
  <c r="AC340" i="135" a="1"/>
  <c r="AC340" i="135" s="1"/>
  <c r="AB340" i="135" a="1"/>
  <c r="AB340" i="135" s="1"/>
  <c r="AE340" i="135" a="1"/>
  <c r="AE340" i="135" s="1"/>
  <c r="V340" i="135" a="1"/>
  <c r="V340" i="135" s="1"/>
  <c r="Y340" i="135" a="1"/>
  <c r="Y340" i="135" s="1"/>
  <c r="X340" i="135" a="1"/>
  <c r="X340" i="135" s="1"/>
  <c r="AA340" i="135" a="1"/>
  <c r="AA340" i="135" s="1"/>
  <c r="R340" i="135" a="1"/>
  <c r="R340" i="135" s="1"/>
  <c r="U340" i="135" a="1"/>
  <c r="U340" i="135" s="1"/>
  <c r="T340" i="135" a="1"/>
  <c r="T340" i="135" s="1"/>
  <c r="W340" i="135" a="1"/>
  <c r="W340" i="135" s="1"/>
  <c r="N340" i="135" a="1"/>
  <c r="N340" i="135" s="1"/>
  <c r="Q340" i="135" a="1"/>
  <c r="Q340" i="135" s="1"/>
  <c r="P340" i="135" a="1"/>
  <c r="P340" i="135" s="1"/>
  <c r="S340" i="135" a="1"/>
  <c r="S340" i="135" s="1"/>
  <c r="J340" i="135" a="1"/>
  <c r="J340" i="135" s="1"/>
  <c r="M340" i="135" a="1"/>
  <c r="M340" i="135" s="1"/>
  <c r="O340" i="135" a="1"/>
  <c r="O340" i="135" s="1"/>
  <c r="AG340" i="135" a="1"/>
  <c r="AG340" i="135" s="1"/>
  <c r="AI340" i="135" a="1"/>
  <c r="AI340" i="135" s="1"/>
  <c r="L340" i="135" a="1"/>
  <c r="L340" i="135" s="1"/>
  <c r="AH340" i="135" a="1"/>
  <c r="AH340" i="135" s="1"/>
  <c r="AK340" i="135" a="1"/>
  <c r="AK340" i="135" s="1"/>
  <c r="AJ340" i="135" a="1"/>
  <c r="AJ340" i="135" s="1"/>
  <c r="AM340" i="135" a="1"/>
  <c r="AM340" i="135" s="1"/>
  <c r="G340" i="135" a="1"/>
  <c r="G340" i="135" s="1"/>
  <c r="AD340" i="135" a="1"/>
  <c r="AD340" i="135" s="1"/>
  <c r="AF340" i="135" a="1"/>
  <c r="AF340" i="135" s="1"/>
  <c r="AL340" i="135" a="1"/>
  <c r="AL340" i="135" s="1"/>
  <c r="F340" i="135" a="1"/>
  <c r="F340" i="135" s="1"/>
  <c r="I340" i="135" a="1"/>
  <c r="I340" i="135" s="1"/>
  <c r="H340" i="135" a="1"/>
  <c r="H340" i="135" s="1"/>
  <c r="K340" i="135" a="1"/>
  <c r="K340" i="135" s="1"/>
  <c r="E342" i="135" l="1" a="1"/>
  <c r="E342" i="135" s="1"/>
  <c r="D342" i="135" s="1"/>
  <c r="Z341" i="135" a="1"/>
  <c r="Z341" i="135" s="1"/>
  <c r="AC341" i="135" a="1"/>
  <c r="AC341" i="135" s="1"/>
  <c r="AB341" i="135" a="1"/>
  <c r="AB341" i="135" s="1"/>
  <c r="AE341" i="135" a="1"/>
  <c r="AE341" i="135" s="1"/>
  <c r="V341" i="135" a="1"/>
  <c r="V341" i="135" s="1"/>
  <c r="Y341" i="135" a="1"/>
  <c r="Y341" i="135" s="1"/>
  <c r="X341" i="135" a="1"/>
  <c r="X341" i="135" s="1"/>
  <c r="AA341" i="135" a="1"/>
  <c r="AA341" i="135" s="1"/>
  <c r="R341" i="135" a="1"/>
  <c r="R341" i="135" s="1"/>
  <c r="U341" i="135" a="1"/>
  <c r="U341" i="135" s="1"/>
  <c r="T341" i="135" a="1"/>
  <c r="T341" i="135" s="1"/>
  <c r="W341" i="135" a="1"/>
  <c r="W341" i="135" s="1"/>
  <c r="AH341" i="135" a="1"/>
  <c r="AH341" i="135" s="1"/>
  <c r="AK341" i="135" a="1"/>
  <c r="AK341" i="135" s="1"/>
  <c r="AJ341" i="135" a="1"/>
  <c r="AJ341" i="135" s="1"/>
  <c r="AM341" i="135" a="1"/>
  <c r="AM341" i="135" s="1"/>
  <c r="G341" i="135" a="1"/>
  <c r="G341" i="135" s="1"/>
  <c r="N341" i="135" a="1"/>
  <c r="N341" i="135" s="1"/>
  <c r="Q341" i="135" a="1"/>
  <c r="Q341" i="135" s="1"/>
  <c r="P341" i="135" a="1"/>
  <c r="P341" i="135" s="1"/>
  <c r="S341" i="135" a="1"/>
  <c r="S341" i="135" s="1"/>
  <c r="J341" i="135" a="1"/>
  <c r="J341" i="135" s="1"/>
  <c r="M341" i="135" a="1"/>
  <c r="M341" i="135" s="1"/>
  <c r="L341" i="135" a="1"/>
  <c r="L341" i="135" s="1"/>
  <c r="O341" i="135" a="1"/>
  <c r="O341" i="135" s="1"/>
  <c r="K341" i="135" a="1"/>
  <c r="K341" i="135" s="1"/>
  <c r="AD341" i="135" a="1"/>
  <c r="AD341" i="135" s="1"/>
  <c r="AG341" i="135" a="1"/>
  <c r="AG341" i="135" s="1"/>
  <c r="AF341" i="135" a="1"/>
  <c r="AF341" i="135" s="1"/>
  <c r="AL341" i="135" a="1"/>
  <c r="AL341" i="135" s="1"/>
  <c r="F341" i="135" a="1"/>
  <c r="F341" i="135" s="1"/>
  <c r="I341" i="135" a="1"/>
  <c r="I341" i="135" s="1"/>
  <c r="H341" i="135" a="1"/>
  <c r="H341" i="135" s="1"/>
  <c r="AI341" i="135" a="1"/>
  <c r="AI341" i="135" s="1"/>
  <c r="E343" i="135" l="1" a="1"/>
  <c r="E343" i="135" s="1"/>
  <c r="D343" i="135" s="1"/>
  <c r="AA342" i="135" a="1"/>
  <c r="AA342" i="135" s="1"/>
  <c r="AD342" i="135" a="1"/>
  <c r="AD342" i="135" s="1"/>
  <c r="AG342" i="135" a="1"/>
  <c r="AG342" i="135" s="1"/>
  <c r="AF342" i="135" a="1"/>
  <c r="AF342" i="135" s="1"/>
  <c r="W342" i="135" a="1"/>
  <c r="W342" i="135" s="1"/>
  <c r="Z342" i="135" a="1"/>
  <c r="Z342" i="135" s="1"/>
  <c r="AC342" i="135" a="1"/>
  <c r="AC342" i="135" s="1"/>
  <c r="AB342" i="135" a="1"/>
  <c r="AB342" i="135" s="1"/>
  <c r="S342" i="135" a="1"/>
  <c r="S342" i="135" s="1"/>
  <c r="O342" i="135" a="1"/>
  <c r="O342" i="135" s="1"/>
  <c r="R342" i="135" a="1"/>
  <c r="R342" i="135" s="1"/>
  <c r="U342" i="135" a="1"/>
  <c r="U342" i="135" s="1"/>
  <c r="T342" i="135" a="1"/>
  <c r="T342" i="135" s="1"/>
  <c r="K342" i="135" a="1"/>
  <c r="K342" i="135" s="1"/>
  <c r="N342" i="135" a="1"/>
  <c r="N342" i="135" s="1"/>
  <c r="Q342" i="135" a="1"/>
  <c r="Q342" i="135" s="1"/>
  <c r="P342" i="135" a="1"/>
  <c r="P342" i="135" s="1"/>
  <c r="AM342" i="135" a="1"/>
  <c r="AM342" i="135" s="1"/>
  <c r="G342" i="135" a="1"/>
  <c r="G342" i="135" s="1"/>
  <c r="J342" i="135" a="1"/>
  <c r="J342" i="135" s="1"/>
  <c r="M342" i="135" a="1"/>
  <c r="M342" i="135" s="1"/>
  <c r="L342" i="135" a="1"/>
  <c r="L342" i="135" s="1"/>
  <c r="AI342" i="135" a="1"/>
  <c r="AI342" i="135" s="1"/>
  <c r="AL342" i="135" a="1"/>
  <c r="AL342" i="135" s="1"/>
  <c r="F342" i="135" a="1"/>
  <c r="F342" i="135" s="1"/>
  <c r="I342" i="135" a="1"/>
  <c r="I342" i="135" s="1"/>
  <c r="H342" i="135" a="1"/>
  <c r="H342" i="135" s="1"/>
  <c r="AE342" i="135" a="1"/>
  <c r="AE342" i="135" s="1"/>
  <c r="AH342" i="135" a="1"/>
  <c r="AH342" i="135" s="1"/>
  <c r="AK342" i="135" a="1"/>
  <c r="AK342" i="135" s="1"/>
  <c r="AJ342" i="135" a="1"/>
  <c r="AJ342" i="135" s="1"/>
  <c r="V342" i="135" a="1"/>
  <c r="V342" i="135" s="1"/>
  <c r="Y342" i="135" a="1"/>
  <c r="Y342" i="135" s="1"/>
  <c r="X342" i="135" a="1"/>
  <c r="X342" i="135" s="1"/>
  <c r="E344" i="135" l="1" a="1"/>
  <c r="E344" i="135" s="1"/>
  <c r="D344" i="135" s="1"/>
  <c r="O343" i="135" a="1"/>
  <c r="O343" i="135" s="1"/>
  <c r="R343" i="135" a="1"/>
  <c r="R343" i="135" s="1"/>
  <c r="U343" i="135" a="1"/>
  <c r="U343" i="135" s="1"/>
  <c r="T343" i="135" a="1"/>
  <c r="T343" i="135" s="1"/>
  <c r="K343" i="135" a="1"/>
  <c r="K343" i="135" s="1"/>
  <c r="N343" i="135" a="1"/>
  <c r="N343" i="135" s="1"/>
  <c r="Q343" i="135" a="1"/>
  <c r="Q343" i="135" s="1"/>
  <c r="P343" i="135" a="1"/>
  <c r="P343" i="135" s="1"/>
  <c r="W343" i="135" a="1"/>
  <c r="W343" i="135" s="1"/>
  <c r="Z343" i="135" a="1"/>
  <c r="Z343" i="135" s="1"/>
  <c r="AC343" i="135" a="1"/>
  <c r="AC343" i="135" s="1"/>
  <c r="AB343" i="135" a="1"/>
  <c r="AB343" i="135" s="1"/>
  <c r="S343" i="135" a="1"/>
  <c r="S343" i="135" s="1"/>
  <c r="V343" i="135" a="1"/>
  <c r="V343" i="135" s="1"/>
  <c r="Y343" i="135" a="1"/>
  <c r="Y343" i="135" s="1"/>
  <c r="X343" i="135" a="1"/>
  <c r="X343" i="135" s="1"/>
  <c r="AM343" i="135" a="1"/>
  <c r="AM343" i="135" s="1"/>
  <c r="G343" i="135" a="1"/>
  <c r="G343" i="135" s="1"/>
  <c r="J343" i="135" a="1"/>
  <c r="J343" i="135" s="1"/>
  <c r="M343" i="135" a="1"/>
  <c r="M343" i="135" s="1"/>
  <c r="L343" i="135" a="1"/>
  <c r="L343" i="135" s="1"/>
  <c r="AI343" i="135" a="1"/>
  <c r="AI343" i="135" s="1"/>
  <c r="AL343" i="135" a="1"/>
  <c r="AL343" i="135" s="1"/>
  <c r="F343" i="135" a="1"/>
  <c r="F343" i="135" s="1"/>
  <c r="I343" i="135" a="1"/>
  <c r="I343" i="135" s="1"/>
  <c r="H343" i="135" a="1"/>
  <c r="H343" i="135" s="1"/>
  <c r="AA343" i="135" a="1"/>
  <c r="AA343" i="135" s="1"/>
  <c r="AD343" i="135" a="1"/>
  <c r="AD343" i="135" s="1"/>
  <c r="AG343" i="135" a="1"/>
  <c r="AG343" i="135" s="1"/>
  <c r="AF343" i="135" a="1"/>
  <c r="AF343" i="135" s="1"/>
  <c r="AE343" i="135" a="1"/>
  <c r="AE343" i="135" s="1"/>
  <c r="AH343" i="135" a="1"/>
  <c r="AH343" i="135" s="1"/>
  <c r="AK343" i="135" a="1"/>
  <c r="AK343" i="135" s="1"/>
  <c r="AJ343" i="135" a="1"/>
  <c r="AJ343" i="135" s="1"/>
  <c r="E345" i="135" l="1" a="1"/>
  <c r="E345" i="135" s="1"/>
  <c r="D345" i="135" s="1"/>
  <c r="X344" i="135" a="1"/>
  <c r="X344" i="135" s="1"/>
  <c r="AA344" i="135" a="1"/>
  <c r="AA344" i="135" s="1"/>
  <c r="AD344" i="135" a="1"/>
  <c r="AD344" i="135" s="1"/>
  <c r="AG344" i="135" a="1"/>
  <c r="AG344" i="135" s="1"/>
  <c r="AB344" i="135" a="1"/>
  <c r="AB344" i="135" s="1"/>
  <c r="AE344" i="135" a="1"/>
  <c r="AE344" i="135" s="1"/>
  <c r="AH344" i="135" a="1"/>
  <c r="AH344" i="135" s="1"/>
  <c r="AK344" i="135" a="1"/>
  <c r="AK344" i="135" s="1"/>
  <c r="T344" i="135" a="1"/>
  <c r="T344" i="135" s="1"/>
  <c r="W344" i="135" a="1"/>
  <c r="W344" i="135" s="1"/>
  <c r="Z344" i="135" a="1"/>
  <c r="Z344" i="135" s="1"/>
  <c r="AC344" i="135" a="1"/>
  <c r="AC344" i="135" s="1"/>
  <c r="P344" i="135" a="1"/>
  <c r="P344" i="135" s="1"/>
  <c r="S344" i="135" a="1"/>
  <c r="S344" i="135" s="1"/>
  <c r="V344" i="135" a="1"/>
  <c r="V344" i="135" s="1"/>
  <c r="Y344" i="135" a="1"/>
  <c r="Y344" i="135" s="1"/>
  <c r="L344" i="135" a="1"/>
  <c r="L344" i="135" s="1"/>
  <c r="O344" i="135" a="1"/>
  <c r="O344" i="135" s="1"/>
  <c r="R344" i="135" a="1"/>
  <c r="R344" i="135" s="1"/>
  <c r="U344" i="135" a="1"/>
  <c r="U344" i="135" s="1"/>
  <c r="H344" i="135" a="1"/>
  <c r="H344" i="135" s="1"/>
  <c r="K344" i="135" a="1"/>
  <c r="K344" i="135" s="1"/>
  <c r="N344" i="135" a="1"/>
  <c r="N344" i="135" s="1"/>
  <c r="Q344" i="135" a="1"/>
  <c r="Q344" i="135" s="1"/>
  <c r="AJ344" i="135" a="1"/>
  <c r="AJ344" i="135" s="1"/>
  <c r="AM344" i="135" a="1"/>
  <c r="AM344" i="135" s="1"/>
  <c r="G344" i="135" a="1"/>
  <c r="G344" i="135" s="1"/>
  <c r="J344" i="135" a="1"/>
  <c r="J344" i="135" s="1"/>
  <c r="M344" i="135" a="1"/>
  <c r="M344" i="135" s="1"/>
  <c r="AF344" i="135" a="1"/>
  <c r="AF344" i="135" s="1"/>
  <c r="AI344" i="135" a="1"/>
  <c r="AI344" i="135" s="1"/>
  <c r="AL344" i="135" a="1"/>
  <c r="AL344" i="135" s="1"/>
  <c r="F344" i="135" a="1"/>
  <c r="F344" i="135" s="1"/>
  <c r="I344" i="135" a="1"/>
  <c r="I344" i="135" s="1"/>
  <c r="E346" i="135" l="1" a="1"/>
  <c r="E346" i="135" s="1"/>
  <c r="D346" i="135" s="1"/>
  <c r="X345" i="135" a="1"/>
  <c r="X345" i="135" s="1"/>
  <c r="AA345" i="135" a="1"/>
  <c r="AA345" i="135" s="1"/>
  <c r="AD345" i="135" a="1"/>
  <c r="AD345" i="135" s="1"/>
  <c r="AG345" i="135" a="1"/>
  <c r="AG345" i="135" s="1"/>
  <c r="T345" i="135" a="1"/>
  <c r="T345" i="135" s="1"/>
  <c r="W345" i="135" a="1"/>
  <c r="W345" i="135" s="1"/>
  <c r="Z345" i="135" a="1"/>
  <c r="Z345" i="135" s="1"/>
  <c r="AC345" i="135" a="1"/>
  <c r="AC345" i="135" s="1"/>
  <c r="P345" i="135" a="1"/>
  <c r="P345" i="135" s="1"/>
  <c r="S345" i="135" a="1"/>
  <c r="S345" i="135" s="1"/>
  <c r="V345" i="135" a="1"/>
  <c r="V345" i="135" s="1"/>
  <c r="Y345" i="135" a="1"/>
  <c r="Y345" i="135" s="1"/>
  <c r="H345" i="135" a="1"/>
  <c r="H345" i="135" s="1"/>
  <c r="K345" i="135" a="1"/>
  <c r="K345" i="135" s="1"/>
  <c r="N345" i="135" a="1"/>
  <c r="N345" i="135" s="1"/>
  <c r="Q345" i="135" a="1"/>
  <c r="Q345" i="135" s="1"/>
  <c r="AF345" i="135" a="1"/>
  <c r="AF345" i="135" s="1"/>
  <c r="AI345" i="135" a="1"/>
  <c r="AI345" i="135" s="1"/>
  <c r="AL345" i="135" a="1"/>
  <c r="AL345" i="135" s="1"/>
  <c r="F345" i="135" a="1"/>
  <c r="F345" i="135" s="1"/>
  <c r="I345" i="135" a="1"/>
  <c r="I345" i="135" s="1"/>
  <c r="L345" i="135" a="1"/>
  <c r="L345" i="135" s="1"/>
  <c r="O345" i="135" a="1"/>
  <c r="O345" i="135" s="1"/>
  <c r="R345" i="135" a="1"/>
  <c r="R345" i="135" s="1"/>
  <c r="U345" i="135" a="1"/>
  <c r="U345" i="135" s="1"/>
  <c r="AJ345" i="135" a="1"/>
  <c r="AJ345" i="135" s="1"/>
  <c r="AM345" i="135" a="1"/>
  <c r="AM345" i="135" s="1"/>
  <c r="G345" i="135" a="1"/>
  <c r="G345" i="135" s="1"/>
  <c r="J345" i="135" a="1"/>
  <c r="J345" i="135" s="1"/>
  <c r="M345" i="135" a="1"/>
  <c r="M345" i="135" s="1"/>
  <c r="AB345" i="135" a="1"/>
  <c r="AB345" i="135" s="1"/>
  <c r="AE345" i="135" a="1"/>
  <c r="AE345" i="135" s="1"/>
  <c r="AH345" i="135" a="1"/>
  <c r="AH345" i="135" s="1"/>
  <c r="AK345" i="135" a="1"/>
  <c r="AK345" i="135" s="1"/>
  <c r="E347" i="135" l="1" a="1"/>
  <c r="E347" i="135" s="1"/>
  <c r="D347" i="135" s="1"/>
  <c r="Y346" i="135" a="1"/>
  <c r="Y346" i="135" s="1"/>
  <c r="X346" i="135" a="1"/>
  <c r="X346" i="135" s="1"/>
  <c r="AA346" i="135" a="1"/>
  <c r="AA346" i="135" s="1"/>
  <c r="AD346" i="135" a="1"/>
  <c r="AD346" i="135" s="1"/>
  <c r="U346" i="135" a="1"/>
  <c r="U346" i="135" s="1"/>
  <c r="T346" i="135" a="1"/>
  <c r="T346" i="135" s="1"/>
  <c r="W346" i="135" a="1"/>
  <c r="W346" i="135" s="1"/>
  <c r="Z346" i="135" a="1"/>
  <c r="Z346" i="135" s="1"/>
  <c r="Q346" i="135" a="1"/>
  <c r="Q346" i="135" s="1"/>
  <c r="P346" i="135" a="1"/>
  <c r="P346" i="135" s="1"/>
  <c r="S346" i="135" a="1"/>
  <c r="S346" i="135" s="1"/>
  <c r="V346" i="135" a="1"/>
  <c r="V346" i="135" s="1"/>
  <c r="R346" i="135" a="1"/>
  <c r="R346" i="135" s="1"/>
  <c r="I346" i="135" a="1"/>
  <c r="I346" i="135" s="1"/>
  <c r="H346" i="135" a="1"/>
  <c r="H346" i="135" s="1"/>
  <c r="K346" i="135" a="1"/>
  <c r="K346" i="135" s="1"/>
  <c r="N346" i="135" a="1"/>
  <c r="N346" i="135" s="1"/>
  <c r="M346" i="135" a="1"/>
  <c r="M346" i="135" s="1"/>
  <c r="L346" i="135" a="1"/>
  <c r="L346" i="135" s="1"/>
  <c r="O346" i="135" a="1"/>
  <c r="O346" i="135" s="1"/>
  <c r="AG346" i="135" a="1"/>
  <c r="AG346" i="135" s="1"/>
  <c r="AF346" i="135" a="1"/>
  <c r="AF346" i="135" s="1"/>
  <c r="AI346" i="135" a="1"/>
  <c r="AI346" i="135" s="1"/>
  <c r="AL346" i="135" a="1"/>
  <c r="AL346" i="135" s="1"/>
  <c r="F346" i="135" a="1"/>
  <c r="F346" i="135" s="1"/>
  <c r="AK346" i="135" a="1"/>
  <c r="AK346" i="135" s="1"/>
  <c r="AJ346" i="135" a="1"/>
  <c r="AJ346" i="135" s="1"/>
  <c r="AM346" i="135" a="1"/>
  <c r="AM346" i="135" s="1"/>
  <c r="G346" i="135" a="1"/>
  <c r="G346" i="135" s="1"/>
  <c r="J346" i="135" a="1"/>
  <c r="J346" i="135" s="1"/>
  <c r="AC346" i="135" a="1"/>
  <c r="AC346" i="135" s="1"/>
  <c r="AB346" i="135" a="1"/>
  <c r="AB346" i="135" s="1"/>
  <c r="AE346" i="135" a="1"/>
  <c r="AE346" i="135" s="1"/>
  <c r="AH346" i="135" a="1"/>
  <c r="AH346" i="135" s="1"/>
  <c r="E348" i="135" l="1" a="1"/>
  <c r="E348" i="135" s="1"/>
  <c r="D348" i="135" s="1"/>
  <c r="Y347" i="135" a="1"/>
  <c r="Y347" i="135" s="1"/>
  <c r="X347" i="135" a="1"/>
  <c r="X347" i="135" s="1"/>
  <c r="AA347" i="135" a="1"/>
  <c r="AA347" i="135" s="1"/>
  <c r="AD347" i="135" a="1"/>
  <c r="AD347" i="135" s="1"/>
  <c r="AJ347" i="135" a="1"/>
  <c r="AJ347" i="135" s="1"/>
  <c r="AC347" i="135" a="1"/>
  <c r="AC347" i="135" s="1"/>
  <c r="AB347" i="135" a="1"/>
  <c r="AB347" i="135" s="1"/>
  <c r="AE347" i="135" a="1"/>
  <c r="AE347" i="135" s="1"/>
  <c r="AH347" i="135" a="1"/>
  <c r="AH347" i="135" s="1"/>
  <c r="U347" i="135" a="1"/>
  <c r="U347" i="135" s="1"/>
  <c r="T347" i="135" a="1"/>
  <c r="T347" i="135" s="1"/>
  <c r="W347" i="135" a="1"/>
  <c r="W347" i="135" s="1"/>
  <c r="Z347" i="135" a="1"/>
  <c r="Z347" i="135" s="1"/>
  <c r="Q347" i="135" a="1"/>
  <c r="Q347" i="135" s="1"/>
  <c r="P347" i="135" a="1"/>
  <c r="P347" i="135" s="1"/>
  <c r="S347" i="135" a="1"/>
  <c r="S347" i="135" s="1"/>
  <c r="V347" i="135" a="1"/>
  <c r="V347" i="135" s="1"/>
  <c r="M347" i="135" a="1"/>
  <c r="M347" i="135" s="1"/>
  <c r="L347" i="135" a="1"/>
  <c r="L347" i="135" s="1"/>
  <c r="O347" i="135" a="1"/>
  <c r="O347" i="135" s="1"/>
  <c r="R347" i="135" a="1"/>
  <c r="R347" i="135" s="1"/>
  <c r="I347" i="135" a="1"/>
  <c r="I347" i="135" s="1"/>
  <c r="H347" i="135" a="1"/>
  <c r="H347" i="135" s="1"/>
  <c r="K347" i="135" a="1"/>
  <c r="K347" i="135" s="1"/>
  <c r="N347" i="135" a="1"/>
  <c r="N347" i="135" s="1"/>
  <c r="AK347" i="135" a="1"/>
  <c r="AK347" i="135" s="1"/>
  <c r="AM347" i="135" a="1"/>
  <c r="AM347" i="135" s="1"/>
  <c r="G347" i="135" a="1"/>
  <c r="G347" i="135" s="1"/>
  <c r="J347" i="135" a="1"/>
  <c r="J347" i="135" s="1"/>
  <c r="AG347" i="135" a="1"/>
  <c r="AG347" i="135" s="1"/>
  <c r="AF347" i="135" a="1"/>
  <c r="AF347" i="135" s="1"/>
  <c r="AI347" i="135" a="1"/>
  <c r="AI347" i="135" s="1"/>
  <c r="F347" i="135" a="1"/>
  <c r="F347" i="135" s="1"/>
  <c r="AL347" i="135" a="1"/>
  <c r="AL347" i="135" s="1"/>
  <c r="E349" i="135" l="1" a="1"/>
  <c r="E349" i="135" s="1"/>
  <c r="D349" i="135" s="1"/>
  <c r="Z348" i="135" a="1"/>
  <c r="Z348" i="135" s="1"/>
  <c r="AC348" i="135" a="1"/>
  <c r="AC348" i="135" s="1"/>
  <c r="AB348" i="135" a="1"/>
  <c r="AB348" i="135" s="1"/>
  <c r="AE348" i="135" a="1"/>
  <c r="AE348" i="135" s="1"/>
  <c r="AH348" i="135" a="1"/>
  <c r="AH348" i="135" s="1"/>
  <c r="AK348" i="135" a="1"/>
  <c r="AK348" i="135" s="1"/>
  <c r="AJ348" i="135" a="1"/>
  <c r="AJ348" i="135" s="1"/>
  <c r="AM348" i="135" a="1"/>
  <c r="AM348" i="135" s="1"/>
  <c r="G348" i="135" a="1"/>
  <c r="G348" i="135" s="1"/>
  <c r="V348" i="135" a="1"/>
  <c r="V348" i="135" s="1"/>
  <c r="Y348" i="135" a="1"/>
  <c r="Y348" i="135" s="1"/>
  <c r="X348" i="135" a="1"/>
  <c r="X348" i="135" s="1"/>
  <c r="AA348" i="135" a="1"/>
  <c r="AA348" i="135" s="1"/>
  <c r="R348" i="135" a="1"/>
  <c r="R348" i="135" s="1"/>
  <c r="U348" i="135" a="1"/>
  <c r="U348" i="135" s="1"/>
  <c r="T348" i="135" a="1"/>
  <c r="T348" i="135" s="1"/>
  <c r="W348" i="135" a="1"/>
  <c r="W348" i="135" s="1"/>
  <c r="J348" i="135" a="1"/>
  <c r="J348" i="135" s="1"/>
  <c r="M348" i="135" a="1"/>
  <c r="M348" i="135" s="1"/>
  <c r="L348" i="135" a="1"/>
  <c r="L348" i="135" s="1"/>
  <c r="O348" i="135" a="1"/>
  <c r="O348" i="135" s="1"/>
  <c r="AL348" i="135" a="1"/>
  <c r="AL348" i="135" s="1"/>
  <c r="F348" i="135" a="1"/>
  <c r="F348" i="135" s="1"/>
  <c r="I348" i="135" a="1"/>
  <c r="I348" i="135" s="1"/>
  <c r="H348" i="135" a="1"/>
  <c r="H348" i="135" s="1"/>
  <c r="K348" i="135" a="1"/>
  <c r="K348" i="135" s="1"/>
  <c r="AD348" i="135" a="1"/>
  <c r="AD348" i="135" s="1"/>
  <c r="AF348" i="135" a="1"/>
  <c r="AF348" i="135" s="1"/>
  <c r="AI348" i="135" a="1"/>
  <c r="AI348" i="135" s="1"/>
  <c r="N348" i="135" a="1"/>
  <c r="N348" i="135" s="1"/>
  <c r="Q348" i="135" a="1"/>
  <c r="Q348" i="135" s="1"/>
  <c r="P348" i="135" a="1"/>
  <c r="P348" i="135" s="1"/>
  <c r="S348" i="135" a="1"/>
  <c r="S348" i="135" s="1"/>
  <c r="AG348" i="135" a="1"/>
  <c r="AG348" i="135" s="1"/>
  <c r="E350" i="135" l="1" a="1"/>
  <c r="E350" i="135" s="1"/>
  <c r="D350" i="135" s="1"/>
  <c r="Z349" i="135" a="1"/>
  <c r="Z349" i="135" s="1"/>
  <c r="AC349" i="135" a="1"/>
  <c r="AC349" i="135" s="1"/>
  <c r="AB349" i="135" a="1"/>
  <c r="AB349" i="135" s="1"/>
  <c r="AE349" i="135" a="1"/>
  <c r="AE349" i="135" s="1"/>
  <c r="V349" i="135" a="1"/>
  <c r="V349" i="135" s="1"/>
  <c r="Y349" i="135" a="1"/>
  <c r="Y349" i="135" s="1"/>
  <c r="X349" i="135" a="1"/>
  <c r="X349" i="135" s="1"/>
  <c r="AA349" i="135" a="1"/>
  <c r="AA349" i="135" s="1"/>
  <c r="R349" i="135" a="1"/>
  <c r="R349" i="135" s="1"/>
  <c r="U349" i="135" a="1"/>
  <c r="U349" i="135" s="1"/>
  <c r="T349" i="135" a="1"/>
  <c r="T349" i="135" s="1"/>
  <c r="W349" i="135" a="1"/>
  <c r="W349" i="135" s="1"/>
  <c r="AG349" i="135" a="1"/>
  <c r="AG349" i="135" s="1"/>
  <c r="AI349" i="135" a="1"/>
  <c r="AI349" i="135" s="1"/>
  <c r="N349" i="135" a="1"/>
  <c r="N349" i="135" s="1"/>
  <c r="Q349" i="135" a="1"/>
  <c r="Q349" i="135" s="1"/>
  <c r="P349" i="135" a="1"/>
  <c r="P349" i="135" s="1"/>
  <c r="S349" i="135" a="1"/>
  <c r="S349" i="135" s="1"/>
  <c r="J349" i="135" a="1"/>
  <c r="J349" i="135" s="1"/>
  <c r="M349" i="135" a="1"/>
  <c r="M349" i="135" s="1"/>
  <c r="L349" i="135" a="1"/>
  <c r="L349" i="135" s="1"/>
  <c r="O349" i="135" a="1"/>
  <c r="O349" i="135" s="1"/>
  <c r="AD349" i="135" a="1"/>
  <c r="AD349" i="135" s="1"/>
  <c r="AF349" i="135" a="1"/>
  <c r="AF349" i="135" s="1"/>
  <c r="AL349" i="135" a="1"/>
  <c r="AL349" i="135" s="1"/>
  <c r="F349" i="135" a="1"/>
  <c r="F349" i="135" s="1"/>
  <c r="I349" i="135" a="1"/>
  <c r="I349" i="135" s="1"/>
  <c r="H349" i="135" a="1"/>
  <c r="H349" i="135" s="1"/>
  <c r="K349" i="135" a="1"/>
  <c r="K349" i="135" s="1"/>
  <c r="AH349" i="135" a="1"/>
  <c r="AH349" i="135" s="1"/>
  <c r="AK349" i="135" a="1"/>
  <c r="AK349" i="135" s="1"/>
  <c r="AJ349" i="135" a="1"/>
  <c r="AJ349" i="135" s="1"/>
  <c r="AM349" i="135" a="1"/>
  <c r="AM349" i="135" s="1"/>
  <c r="G349" i="135" a="1"/>
  <c r="G349" i="135" s="1"/>
  <c r="E351" i="135" l="1" a="1"/>
  <c r="E351" i="135" s="1"/>
  <c r="D351" i="135" s="1"/>
  <c r="AA350" i="135" a="1"/>
  <c r="AA350" i="135" s="1"/>
  <c r="AD350" i="135" a="1"/>
  <c r="AD350" i="135" s="1"/>
  <c r="AG350" i="135" a="1"/>
  <c r="AG350" i="135" s="1"/>
  <c r="AF350" i="135" a="1"/>
  <c r="AF350" i="135" s="1"/>
  <c r="W350" i="135" a="1"/>
  <c r="W350" i="135" s="1"/>
  <c r="Z350" i="135" a="1"/>
  <c r="Z350" i="135" s="1"/>
  <c r="AC350" i="135" a="1"/>
  <c r="AC350" i="135" s="1"/>
  <c r="AB350" i="135" a="1"/>
  <c r="AB350" i="135" s="1"/>
  <c r="S350" i="135" a="1"/>
  <c r="S350" i="135" s="1"/>
  <c r="V350" i="135" a="1"/>
  <c r="V350" i="135" s="1"/>
  <c r="Y350" i="135" a="1"/>
  <c r="Y350" i="135" s="1"/>
  <c r="X350" i="135" a="1"/>
  <c r="X350" i="135" s="1"/>
  <c r="AI350" i="135" a="1"/>
  <c r="AI350" i="135" s="1"/>
  <c r="AL350" i="135" a="1"/>
  <c r="AL350" i="135" s="1"/>
  <c r="F350" i="135" a="1"/>
  <c r="F350" i="135" s="1"/>
  <c r="I350" i="135" a="1"/>
  <c r="I350" i="135" s="1"/>
  <c r="H350" i="135" a="1"/>
  <c r="H350" i="135" s="1"/>
  <c r="O350" i="135" a="1"/>
  <c r="O350" i="135" s="1"/>
  <c r="R350" i="135" a="1"/>
  <c r="R350" i="135" s="1"/>
  <c r="U350" i="135" a="1"/>
  <c r="U350" i="135" s="1"/>
  <c r="T350" i="135" a="1"/>
  <c r="T350" i="135" s="1"/>
  <c r="K350" i="135" a="1"/>
  <c r="K350" i="135" s="1"/>
  <c r="N350" i="135" a="1"/>
  <c r="N350" i="135" s="1"/>
  <c r="Q350" i="135" a="1"/>
  <c r="Q350" i="135" s="1"/>
  <c r="P350" i="135" a="1"/>
  <c r="P350" i="135" s="1"/>
  <c r="AM350" i="135" a="1"/>
  <c r="AM350" i="135" s="1"/>
  <c r="G350" i="135" a="1"/>
  <c r="G350" i="135" s="1"/>
  <c r="J350" i="135" a="1"/>
  <c r="J350" i="135" s="1"/>
  <c r="M350" i="135" a="1"/>
  <c r="M350" i="135" s="1"/>
  <c r="L350" i="135" a="1"/>
  <c r="L350" i="135" s="1"/>
  <c r="AE350" i="135" a="1"/>
  <c r="AE350" i="135" s="1"/>
  <c r="AH350" i="135" a="1"/>
  <c r="AH350" i="135" s="1"/>
  <c r="AK350" i="135" a="1"/>
  <c r="AK350" i="135" s="1"/>
  <c r="AJ350" i="135" a="1"/>
  <c r="AJ350" i="135" s="1"/>
  <c r="E352" i="135" l="1" a="1"/>
  <c r="E352" i="135" s="1"/>
  <c r="D352" i="135" s="1"/>
  <c r="S351" i="135" a="1"/>
  <c r="S351" i="135" s="1"/>
  <c r="V351" i="135" a="1"/>
  <c r="V351" i="135" s="1"/>
  <c r="Y351" i="135" a="1"/>
  <c r="Y351" i="135" s="1"/>
  <c r="X351" i="135" a="1"/>
  <c r="X351" i="135" s="1"/>
  <c r="O351" i="135" a="1"/>
  <c r="O351" i="135" s="1"/>
  <c r="R351" i="135" a="1"/>
  <c r="R351" i="135" s="1"/>
  <c r="U351" i="135" a="1"/>
  <c r="U351" i="135" s="1"/>
  <c r="T351" i="135" a="1"/>
  <c r="T351" i="135" s="1"/>
  <c r="Q351" i="135" a="1"/>
  <c r="Q351" i="135" s="1"/>
  <c r="AM351" i="135" a="1"/>
  <c r="AM351" i="135" s="1"/>
  <c r="G351" i="135" a="1"/>
  <c r="G351" i="135" s="1"/>
  <c r="J351" i="135" a="1"/>
  <c r="J351" i="135" s="1"/>
  <c r="M351" i="135" a="1"/>
  <c r="M351" i="135" s="1"/>
  <c r="L351" i="135" a="1"/>
  <c r="L351" i="135" s="1"/>
  <c r="AI351" i="135" a="1"/>
  <c r="AI351" i="135" s="1"/>
  <c r="AL351" i="135" a="1"/>
  <c r="AL351" i="135" s="1"/>
  <c r="F351" i="135" a="1"/>
  <c r="F351" i="135" s="1"/>
  <c r="I351" i="135" a="1"/>
  <c r="I351" i="135" s="1"/>
  <c r="H351" i="135" a="1"/>
  <c r="H351" i="135" s="1"/>
  <c r="N351" i="135" a="1"/>
  <c r="N351" i="135" s="1"/>
  <c r="W351" i="135" a="1"/>
  <c r="W351" i="135" s="1"/>
  <c r="Z351" i="135" a="1"/>
  <c r="Z351" i="135" s="1"/>
  <c r="AC351" i="135" a="1"/>
  <c r="AC351" i="135" s="1"/>
  <c r="AB351" i="135" a="1"/>
  <c r="AB351" i="135" s="1"/>
  <c r="K351" i="135" a="1"/>
  <c r="K351" i="135" s="1"/>
  <c r="P351" i="135" a="1"/>
  <c r="P351" i="135" s="1"/>
  <c r="AE351" i="135" a="1"/>
  <c r="AE351" i="135" s="1"/>
  <c r="AH351" i="135" a="1"/>
  <c r="AH351" i="135" s="1"/>
  <c r="AK351" i="135" a="1"/>
  <c r="AK351" i="135" s="1"/>
  <c r="AJ351" i="135" a="1"/>
  <c r="AJ351" i="135" s="1"/>
  <c r="AA351" i="135" a="1"/>
  <c r="AA351" i="135" s="1"/>
  <c r="AD351" i="135" a="1"/>
  <c r="AD351" i="135" s="1"/>
  <c r="AG351" i="135" a="1"/>
  <c r="AG351" i="135" s="1"/>
  <c r="AF351" i="135" a="1"/>
  <c r="AF351" i="135" s="1"/>
  <c r="E353" i="135" l="1" a="1"/>
  <c r="E353" i="135" s="1"/>
  <c r="D353" i="135" s="1"/>
  <c r="X352" i="135" a="1"/>
  <c r="X352" i="135" s="1"/>
  <c r="AA352" i="135" a="1"/>
  <c r="AA352" i="135" s="1"/>
  <c r="AD352" i="135" a="1"/>
  <c r="AD352" i="135" s="1"/>
  <c r="AG352" i="135" a="1"/>
  <c r="AG352" i="135" s="1"/>
  <c r="I352" i="135" a="1"/>
  <c r="I352" i="135" s="1"/>
  <c r="T352" i="135" a="1"/>
  <c r="T352" i="135" s="1"/>
  <c r="W352" i="135" a="1"/>
  <c r="W352" i="135" s="1"/>
  <c r="Z352" i="135" a="1"/>
  <c r="Z352" i="135" s="1"/>
  <c r="AC352" i="135" a="1"/>
  <c r="AC352" i="135" s="1"/>
  <c r="P352" i="135" a="1"/>
  <c r="P352" i="135" s="1"/>
  <c r="S352" i="135" a="1"/>
  <c r="S352" i="135" s="1"/>
  <c r="V352" i="135" a="1"/>
  <c r="V352" i="135" s="1"/>
  <c r="Y352" i="135" a="1"/>
  <c r="Y352" i="135" s="1"/>
  <c r="H352" i="135" a="1"/>
  <c r="H352" i="135" s="1"/>
  <c r="K352" i="135" a="1"/>
  <c r="K352" i="135" s="1"/>
  <c r="N352" i="135" a="1"/>
  <c r="N352" i="135" s="1"/>
  <c r="Q352" i="135" a="1"/>
  <c r="Q352" i="135" s="1"/>
  <c r="AF352" i="135" a="1"/>
  <c r="AF352" i="135" s="1"/>
  <c r="AI352" i="135" a="1"/>
  <c r="AI352" i="135" s="1"/>
  <c r="AL352" i="135" a="1"/>
  <c r="AL352" i="135" s="1"/>
  <c r="F352" i="135" a="1"/>
  <c r="F352" i="135" s="1"/>
  <c r="L352" i="135" a="1"/>
  <c r="L352" i="135" s="1"/>
  <c r="O352" i="135" a="1"/>
  <c r="O352" i="135" s="1"/>
  <c r="R352" i="135" a="1"/>
  <c r="R352" i="135" s="1"/>
  <c r="U352" i="135" a="1"/>
  <c r="U352" i="135" s="1"/>
  <c r="AJ352" i="135" a="1"/>
  <c r="AJ352" i="135" s="1"/>
  <c r="AM352" i="135" a="1"/>
  <c r="AM352" i="135" s="1"/>
  <c r="G352" i="135" a="1"/>
  <c r="G352" i="135" s="1"/>
  <c r="J352" i="135" a="1"/>
  <c r="J352" i="135" s="1"/>
  <c r="M352" i="135" a="1"/>
  <c r="M352" i="135" s="1"/>
  <c r="AB352" i="135" a="1"/>
  <c r="AB352" i="135" s="1"/>
  <c r="AE352" i="135" a="1"/>
  <c r="AE352" i="135" s="1"/>
  <c r="AH352" i="135" a="1"/>
  <c r="AH352" i="135" s="1"/>
  <c r="AK352" i="135" a="1"/>
  <c r="AK352" i="135" s="1"/>
  <c r="E354" i="135" l="1" a="1"/>
  <c r="E354" i="135" s="1"/>
  <c r="D354" i="135" s="1"/>
  <c r="X353" i="135" a="1"/>
  <c r="X353" i="135" s="1"/>
  <c r="AA353" i="135" a="1"/>
  <c r="AA353" i="135" s="1"/>
  <c r="AD353" i="135" a="1"/>
  <c r="AD353" i="135" s="1"/>
  <c r="AG353" i="135" a="1"/>
  <c r="AG353" i="135" s="1"/>
  <c r="T353" i="135" a="1"/>
  <c r="T353" i="135" s="1"/>
  <c r="W353" i="135" a="1"/>
  <c r="W353" i="135" s="1"/>
  <c r="Z353" i="135" a="1"/>
  <c r="Z353" i="135" s="1"/>
  <c r="AC353" i="135" a="1"/>
  <c r="AC353" i="135" s="1"/>
  <c r="P353" i="135" a="1"/>
  <c r="P353" i="135" s="1"/>
  <c r="S353" i="135" a="1"/>
  <c r="S353" i="135" s="1"/>
  <c r="V353" i="135" a="1"/>
  <c r="V353" i="135" s="1"/>
  <c r="Y353" i="135" a="1"/>
  <c r="Y353" i="135" s="1"/>
  <c r="AB353" i="135" a="1"/>
  <c r="AB353" i="135" s="1"/>
  <c r="AE353" i="135" a="1"/>
  <c r="AE353" i="135" s="1"/>
  <c r="AH353" i="135" a="1"/>
  <c r="AH353" i="135" s="1"/>
  <c r="AK353" i="135" a="1"/>
  <c r="AK353" i="135" s="1"/>
  <c r="L353" i="135" a="1"/>
  <c r="L353" i="135" s="1"/>
  <c r="O353" i="135" a="1"/>
  <c r="O353" i="135" s="1"/>
  <c r="R353" i="135" a="1"/>
  <c r="R353" i="135" s="1"/>
  <c r="U353" i="135" a="1"/>
  <c r="U353" i="135" s="1"/>
  <c r="H353" i="135" a="1"/>
  <c r="H353" i="135" s="1"/>
  <c r="K353" i="135" a="1"/>
  <c r="K353" i="135" s="1"/>
  <c r="N353" i="135" a="1"/>
  <c r="N353" i="135" s="1"/>
  <c r="Q353" i="135" a="1"/>
  <c r="Q353" i="135" s="1"/>
  <c r="AF353" i="135" a="1"/>
  <c r="AF353" i="135" s="1"/>
  <c r="AI353" i="135" a="1"/>
  <c r="AI353" i="135" s="1"/>
  <c r="AL353" i="135" a="1"/>
  <c r="AL353" i="135" s="1"/>
  <c r="F353" i="135" a="1"/>
  <c r="F353" i="135" s="1"/>
  <c r="I353" i="135" a="1"/>
  <c r="I353" i="135" s="1"/>
  <c r="AJ353" i="135" a="1"/>
  <c r="AJ353" i="135" s="1"/>
  <c r="AM353" i="135" a="1"/>
  <c r="AM353" i="135" s="1"/>
  <c r="G353" i="135" a="1"/>
  <c r="G353" i="135" s="1"/>
  <c r="J353" i="135" a="1"/>
  <c r="J353" i="135" s="1"/>
  <c r="M353" i="135" a="1"/>
  <c r="M353" i="135" s="1"/>
  <c r="E355" i="135" l="1" a="1"/>
  <c r="E355" i="135" s="1"/>
  <c r="D355" i="135" s="1"/>
  <c r="Y354" i="135" a="1"/>
  <c r="Y354" i="135" s="1"/>
  <c r="X354" i="135" a="1"/>
  <c r="X354" i="135" s="1"/>
  <c r="AA354" i="135" a="1"/>
  <c r="AA354" i="135" s="1"/>
  <c r="AD354" i="135" a="1"/>
  <c r="AD354" i="135" s="1"/>
  <c r="AK354" i="135" a="1"/>
  <c r="AK354" i="135" s="1"/>
  <c r="AM354" i="135" a="1"/>
  <c r="AM354" i="135" s="1"/>
  <c r="J354" i="135" a="1"/>
  <c r="J354" i="135" s="1"/>
  <c r="AC354" i="135" a="1"/>
  <c r="AC354" i="135" s="1"/>
  <c r="AB354" i="135" a="1"/>
  <c r="AB354" i="135" s="1"/>
  <c r="AE354" i="135" a="1"/>
  <c r="AE354" i="135" s="1"/>
  <c r="AH354" i="135" a="1"/>
  <c r="AH354" i="135" s="1"/>
  <c r="U354" i="135" a="1"/>
  <c r="U354" i="135" s="1"/>
  <c r="T354" i="135" a="1"/>
  <c r="T354" i="135" s="1"/>
  <c r="W354" i="135" a="1"/>
  <c r="W354" i="135" s="1"/>
  <c r="Z354" i="135" a="1"/>
  <c r="Z354" i="135" s="1"/>
  <c r="Q354" i="135" a="1"/>
  <c r="Q354" i="135" s="1"/>
  <c r="P354" i="135" a="1"/>
  <c r="P354" i="135" s="1"/>
  <c r="S354" i="135" a="1"/>
  <c r="S354" i="135" s="1"/>
  <c r="V354" i="135" a="1"/>
  <c r="V354" i="135" s="1"/>
  <c r="M354" i="135" a="1"/>
  <c r="M354" i="135" s="1"/>
  <c r="L354" i="135" a="1"/>
  <c r="L354" i="135" s="1"/>
  <c r="O354" i="135" a="1"/>
  <c r="O354" i="135" s="1"/>
  <c r="R354" i="135" a="1"/>
  <c r="R354" i="135" s="1"/>
  <c r="I354" i="135" a="1"/>
  <c r="I354" i="135" s="1"/>
  <c r="H354" i="135" a="1"/>
  <c r="H354" i="135" s="1"/>
  <c r="K354" i="135" a="1"/>
  <c r="K354" i="135" s="1"/>
  <c r="N354" i="135" a="1"/>
  <c r="N354" i="135" s="1"/>
  <c r="AG354" i="135" a="1"/>
  <c r="AG354" i="135" s="1"/>
  <c r="AF354" i="135" a="1"/>
  <c r="AF354" i="135" s="1"/>
  <c r="AI354" i="135" a="1"/>
  <c r="AI354" i="135" s="1"/>
  <c r="AL354" i="135" a="1"/>
  <c r="AL354" i="135" s="1"/>
  <c r="F354" i="135" a="1"/>
  <c r="F354" i="135" s="1"/>
  <c r="AJ354" i="135" a="1"/>
  <c r="AJ354" i="135" s="1"/>
  <c r="G354" i="135" a="1"/>
  <c r="G354" i="135" s="1"/>
  <c r="E356" i="135" l="1" a="1"/>
  <c r="E356" i="135" s="1"/>
  <c r="D356" i="135" s="1"/>
  <c r="Y355" i="135" a="1"/>
  <c r="Y355" i="135" s="1"/>
  <c r="AD355" i="135" a="1"/>
  <c r="AD355" i="135" s="1"/>
  <c r="W355" i="135" a="1"/>
  <c r="W355" i="135" s="1"/>
  <c r="P355" i="135" a="1"/>
  <c r="P355" i="135" s="1"/>
  <c r="U355" i="135" a="1"/>
  <c r="U355" i="135" s="1"/>
  <c r="X355" i="135" a="1"/>
  <c r="X355" i="135" s="1"/>
  <c r="R355" i="135" a="1"/>
  <c r="R355" i="135" s="1"/>
  <c r="G355" i="135" a="1"/>
  <c r="G355" i="135" s="1"/>
  <c r="Q355" i="135" a="1"/>
  <c r="Q355" i="135" s="1"/>
  <c r="S355" i="135" a="1"/>
  <c r="S355" i="135" s="1"/>
  <c r="H355" i="135" a="1"/>
  <c r="H355" i="135" s="1"/>
  <c r="AJ355" i="135" a="1"/>
  <c r="AJ355" i="135" s="1"/>
  <c r="I355" i="135" a="1"/>
  <c r="I355" i="135" s="1"/>
  <c r="N355" i="135" a="1"/>
  <c r="N355" i="135" s="1"/>
  <c r="AF355" i="135" a="1"/>
  <c r="AF355" i="135" s="1"/>
  <c r="Z355" i="135" a="1"/>
  <c r="Z355" i="135" s="1"/>
  <c r="L355" i="135" a="1"/>
  <c r="L355" i="135" s="1"/>
  <c r="M355" i="135" a="1"/>
  <c r="M355" i="135" s="1"/>
  <c r="J355" i="135" a="1"/>
  <c r="J355" i="135" s="1"/>
  <c r="AL355" i="135" a="1"/>
  <c r="AL355" i="135" s="1"/>
  <c r="AE355" i="135" a="1"/>
  <c r="AE355" i="135" s="1"/>
  <c r="AB355" i="135" a="1"/>
  <c r="AB355" i="135" s="1"/>
  <c r="AK355" i="135" a="1"/>
  <c r="AK355" i="135" s="1"/>
  <c r="O355" i="135" a="1"/>
  <c r="O355" i="135" s="1"/>
  <c r="AM355" i="135" a="1"/>
  <c r="AM355" i="135" s="1"/>
  <c r="AA355" i="135" a="1"/>
  <c r="AA355" i="135" s="1"/>
  <c r="T355" i="135" a="1"/>
  <c r="T355" i="135" s="1"/>
  <c r="AG355" i="135" a="1"/>
  <c r="AG355" i="135" s="1"/>
  <c r="F355" i="135" a="1"/>
  <c r="F355" i="135" s="1"/>
  <c r="AH355" i="135" a="1"/>
  <c r="AH355" i="135" s="1"/>
  <c r="V355" i="135" a="1"/>
  <c r="V355" i="135" s="1"/>
  <c r="K355" i="135" a="1"/>
  <c r="K355" i="135" s="1"/>
  <c r="AC355" i="135" a="1"/>
  <c r="AC355" i="135" s="1"/>
  <c r="AI355" i="135" a="1"/>
  <c r="AI355" i="135" s="1"/>
  <c r="E357" i="135" l="1" a="1"/>
  <c r="E357" i="135" s="1"/>
  <c r="D357" i="135" s="1"/>
  <c r="Z356" i="135" a="1"/>
  <c r="Z356" i="135" s="1"/>
  <c r="AC356" i="135" a="1"/>
  <c r="AC356" i="135" s="1"/>
  <c r="AE356" i="135" a="1"/>
  <c r="AE356" i="135" s="1"/>
  <c r="O356" i="135" a="1"/>
  <c r="O356" i="135" s="1"/>
  <c r="V356" i="135" a="1"/>
  <c r="V356" i="135" s="1"/>
  <c r="Y356" i="135" a="1"/>
  <c r="Y356" i="135" s="1"/>
  <c r="X356" i="135" a="1"/>
  <c r="X356" i="135" s="1"/>
  <c r="H356" i="135" a="1"/>
  <c r="H356" i="135" s="1"/>
  <c r="R356" i="135" a="1"/>
  <c r="R356" i="135" s="1"/>
  <c r="U356" i="135" a="1"/>
  <c r="U356" i="135" s="1"/>
  <c r="AJ356" i="135" a="1"/>
  <c r="AJ356" i="135" s="1"/>
  <c r="AA356" i="135" a="1"/>
  <c r="AA356" i="135" s="1"/>
  <c r="AH356" i="135" a="1"/>
  <c r="AH356" i="135" s="1"/>
  <c r="S356" i="135" a="1"/>
  <c r="S356" i="135" s="1"/>
  <c r="G356" i="135" a="1"/>
  <c r="G356" i="135" s="1"/>
  <c r="N356" i="135" a="1"/>
  <c r="N356" i="135" s="1"/>
  <c r="Q356" i="135" a="1"/>
  <c r="Q356" i="135" s="1"/>
  <c r="K356" i="135" a="1"/>
  <c r="K356" i="135" s="1"/>
  <c r="T356" i="135" a="1"/>
  <c r="T356" i="135" s="1"/>
  <c r="J356" i="135" a="1"/>
  <c r="J356" i="135" s="1"/>
  <c r="M356" i="135" a="1"/>
  <c r="M356" i="135" s="1"/>
  <c r="W356" i="135" a="1"/>
  <c r="W356" i="135" s="1"/>
  <c r="AM356" i="135" a="1"/>
  <c r="AM356" i="135" s="1"/>
  <c r="AK356" i="135" a="1"/>
  <c r="AK356" i="135" s="1"/>
  <c r="AI356" i="135" a="1"/>
  <c r="AI356" i="135" s="1"/>
  <c r="AL356" i="135" a="1"/>
  <c r="AL356" i="135" s="1"/>
  <c r="F356" i="135" a="1"/>
  <c r="F356" i="135" s="1"/>
  <c r="I356" i="135" a="1"/>
  <c r="I356" i="135" s="1"/>
  <c r="P356" i="135" a="1"/>
  <c r="P356" i="135" s="1"/>
  <c r="AF356" i="135" a="1"/>
  <c r="AF356" i="135" s="1"/>
  <c r="AD356" i="135" a="1"/>
  <c r="AD356" i="135" s="1"/>
  <c r="AG356" i="135" a="1"/>
  <c r="AG356" i="135" s="1"/>
  <c r="L356" i="135" a="1"/>
  <c r="L356" i="135" s="1"/>
  <c r="AB356" i="135" a="1"/>
  <c r="AB356" i="135" s="1"/>
  <c r="E358" i="135" l="1" a="1"/>
  <c r="E358" i="135" s="1"/>
  <c r="D358" i="135" s="1"/>
  <c r="Z357" i="135" a="1"/>
  <c r="Z357" i="135" s="1"/>
  <c r="U357" i="135" a="1"/>
  <c r="U357" i="135" s="1"/>
  <c r="AF357" i="135" a="1"/>
  <c r="AF357" i="135" s="1"/>
  <c r="Q357" i="135" a="1"/>
  <c r="Q357" i="135" s="1"/>
  <c r="R357" i="135" a="1"/>
  <c r="R357" i="135" s="1"/>
  <c r="O357" i="135" a="1"/>
  <c r="O357" i="135" s="1"/>
  <c r="G357" i="135" a="1"/>
  <c r="G357" i="135" s="1"/>
  <c r="AC357" i="135" a="1"/>
  <c r="AC357" i="135" s="1"/>
  <c r="V357" i="135" a="1"/>
  <c r="V357" i="135" s="1"/>
  <c r="AG357" i="135" a="1"/>
  <c r="AG357" i="135" s="1"/>
  <c r="Y357" i="135" a="1"/>
  <c r="Y357" i="135" s="1"/>
  <c r="AJ357" i="135" a="1"/>
  <c r="AJ357" i="135" s="1"/>
  <c r="N357" i="135" a="1"/>
  <c r="N357" i="135" s="1"/>
  <c r="H357" i="135" a="1"/>
  <c r="H357" i="135" s="1"/>
  <c r="AK357" i="135" a="1"/>
  <c r="AK357" i="135" s="1"/>
  <c r="K357" i="135" a="1"/>
  <c r="K357" i="135" s="1"/>
  <c r="J357" i="135" a="1"/>
  <c r="J357" i="135" s="1"/>
  <c r="AA357" i="135" a="1"/>
  <c r="AA357" i="135" s="1"/>
  <c r="S357" i="135" a="1"/>
  <c r="S357" i="135" s="1"/>
  <c r="W357" i="135" a="1"/>
  <c r="W357" i="135" s="1"/>
  <c r="AD357" i="135" a="1"/>
  <c r="AD357" i="135" s="1"/>
  <c r="AB357" i="135" a="1"/>
  <c r="AB357" i="135" s="1"/>
  <c r="AM357" i="135" a="1"/>
  <c r="AM357" i="135" s="1"/>
  <c r="X357" i="135" a="1"/>
  <c r="X357" i="135" s="1"/>
  <c r="AL357" i="135" a="1"/>
  <c r="AL357" i="135" s="1"/>
  <c r="F357" i="135" a="1"/>
  <c r="F357" i="135" s="1"/>
  <c r="T357" i="135" a="1"/>
  <c r="T357" i="135" s="1"/>
  <c r="L357" i="135" a="1"/>
  <c r="L357" i="135" s="1"/>
  <c r="P357" i="135" a="1"/>
  <c r="P357" i="135" s="1"/>
  <c r="AH357" i="135" a="1"/>
  <c r="AH357" i="135" s="1"/>
  <c r="AI357" i="135" a="1"/>
  <c r="AI357" i="135" s="1"/>
  <c r="M357" i="135" a="1"/>
  <c r="M357" i="135" s="1"/>
  <c r="AE357" i="135" a="1"/>
  <c r="AE357" i="135" s="1"/>
  <c r="I357" i="135" a="1"/>
  <c r="I357" i="135" s="1"/>
  <c r="E359" i="135" l="1" a="1"/>
  <c r="E359" i="135" s="1"/>
  <c r="D359" i="135" s="1"/>
  <c r="AA358" i="135" a="1"/>
  <c r="AA358" i="135" s="1"/>
  <c r="W358" i="135" a="1"/>
  <c r="W358" i="135" s="1"/>
  <c r="Z358" i="135" a="1"/>
  <c r="Z358" i="135" s="1"/>
  <c r="AC358" i="135" a="1"/>
  <c r="AC358" i="135" s="1"/>
  <c r="T358" i="135" a="1"/>
  <c r="T358" i="135" s="1"/>
  <c r="S358" i="135" a="1"/>
  <c r="S358" i="135" s="1"/>
  <c r="V358" i="135" a="1"/>
  <c r="V358" i="135" s="1"/>
  <c r="Y358" i="135" a="1"/>
  <c r="Y358" i="135" s="1"/>
  <c r="L358" i="135" a="1"/>
  <c r="L358" i="135" s="1"/>
  <c r="O358" i="135" a="1"/>
  <c r="O358" i="135" s="1"/>
  <c r="R358" i="135" a="1"/>
  <c r="R358" i="135" s="1"/>
  <c r="U358" i="135" a="1"/>
  <c r="U358" i="135" s="1"/>
  <c r="AF358" i="135" a="1"/>
  <c r="AF358" i="135" s="1"/>
  <c r="AE358" i="135" a="1"/>
  <c r="AE358" i="135" s="1"/>
  <c r="AJ358" i="135" a="1"/>
  <c r="AJ358" i="135" s="1"/>
  <c r="AG358" i="135" a="1"/>
  <c r="AG358" i="135" s="1"/>
  <c r="K358" i="135" a="1"/>
  <c r="K358" i="135" s="1"/>
  <c r="N358" i="135" a="1"/>
  <c r="N358" i="135" s="1"/>
  <c r="Q358" i="135" a="1"/>
  <c r="Q358" i="135" s="1"/>
  <c r="X358" i="135" a="1"/>
  <c r="X358" i="135" s="1"/>
  <c r="AM358" i="135" a="1"/>
  <c r="AM358" i="135" s="1"/>
  <c r="G358" i="135" a="1"/>
  <c r="G358" i="135" s="1"/>
  <c r="J358" i="135" a="1"/>
  <c r="J358" i="135" s="1"/>
  <c r="M358" i="135" a="1"/>
  <c r="M358" i="135" s="1"/>
  <c r="P358" i="135" a="1"/>
  <c r="P358" i="135" s="1"/>
  <c r="AI358" i="135" a="1"/>
  <c r="AI358" i="135" s="1"/>
  <c r="AL358" i="135" a="1"/>
  <c r="AL358" i="135" s="1"/>
  <c r="F358" i="135" a="1"/>
  <c r="F358" i="135" s="1"/>
  <c r="I358" i="135" a="1"/>
  <c r="I358" i="135" s="1"/>
  <c r="H358" i="135" a="1"/>
  <c r="H358" i="135" s="1"/>
  <c r="AH358" i="135" a="1"/>
  <c r="AH358" i="135" s="1"/>
  <c r="AK358" i="135" a="1"/>
  <c r="AK358" i="135" s="1"/>
  <c r="AD358" i="135" a="1"/>
  <c r="AD358" i="135" s="1"/>
  <c r="AB358" i="135" a="1"/>
  <c r="AB358" i="135" s="1"/>
  <c r="E360" i="135" l="1" a="1"/>
  <c r="E360" i="135" s="1"/>
  <c r="D360" i="135" s="1"/>
  <c r="AA359" i="135" a="1"/>
  <c r="AA359" i="135" s="1"/>
  <c r="R359" i="135" a="1"/>
  <c r="R359" i="135" s="1"/>
  <c r="P359" i="135" a="1"/>
  <c r="P359" i="135" s="1"/>
  <c r="AC359" i="135" a="1"/>
  <c r="AC359" i="135" s="1"/>
  <c r="W359" i="135" a="1"/>
  <c r="W359" i="135" s="1"/>
  <c r="J359" i="135" a="1"/>
  <c r="J359" i="135" s="1"/>
  <c r="H359" i="135" a="1"/>
  <c r="H359" i="135" s="1"/>
  <c r="U359" i="135" a="1"/>
  <c r="U359" i="135" s="1"/>
  <c r="S359" i="135" a="1"/>
  <c r="S359" i="135" s="1"/>
  <c r="AG359" i="135" a="1"/>
  <c r="AG359" i="135" s="1"/>
  <c r="AL359" i="135" a="1"/>
  <c r="AL359" i="135" s="1"/>
  <c r="M359" i="135" a="1"/>
  <c r="M359" i="135" s="1"/>
  <c r="K359" i="135" a="1"/>
  <c r="K359" i="135" s="1"/>
  <c r="Q359" i="135" a="1"/>
  <c r="Q359" i="135" s="1"/>
  <c r="V359" i="135" a="1"/>
  <c r="V359" i="135" s="1"/>
  <c r="AB359" i="135" a="1"/>
  <c r="AB359" i="135" s="1"/>
  <c r="AI359" i="135" a="1"/>
  <c r="AI359" i="135" s="1"/>
  <c r="AH359" i="135" a="1"/>
  <c r="AH359" i="135" s="1"/>
  <c r="AF359" i="135" a="1"/>
  <c r="AF359" i="135" s="1"/>
  <c r="F359" i="135" a="1"/>
  <c r="F359" i="135" s="1"/>
  <c r="L359" i="135" a="1"/>
  <c r="L359" i="135" s="1"/>
  <c r="O359" i="135" a="1"/>
  <c r="O359" i="135" s="1"/>
  <c r="Y359" i="135" a="1"/>
  <c r="Y359" i="135" s="1"/>
  <c r="AD359" i="135" a="1"/>
  <c r="AD359" i="135" s="1"/>
  <c r="AJ359" i="135" a="1"/>
  <c r="AJ359" i="135" s="1"/>
  <c r="AE359" i="135" a="1"/>
  <c r="AE359" i="135" s="1"/>
  <c r="Z359" i="135" a="1"/>
  <c r="Z359" i="135" s="1"/>
  <c r="X359" i="135" a="1"/>
  <c r="X359" i="135" s="1"/>
  <c r="AK359" i="135" a="1"/>
  <c r="AK359" i="135" s="1"/>
  <c r="AM359" i="135" a="1"/>
  <c r="AM359" i="135" s="1"/>
  <c r="G359" i="135" a="1"/>
  <c r="G359" i="135" s="1"/>
  <c r="I359" i="135" a="1"/>
  <c r="I359" i="135" s="1"/>
  <c r="N359" i="135" a="1"/>
  <c r="N359" i="135" s="1"/>
  <c r="T359" i="135" a="1"/>
  <c r="T359" i="135" s="1"/>
  <c r="E361" i="135" l="1" a="1"/>
  <c r="E361" i="135" s="1"/>
  <c r="D361" i="135" s="1"/>
  <c r="Y360" i="135" a="1"/>
  <c r="Y360" i="135" s="1"/>
  <c r="X360" i="135" a="1"/>
  <c r="X360" i="135" s="1"/>
  <c r="AA360" i="135" a="1"/>
  <c r="AA360" i="135" s="1"/>
  <c r="AD360" i="135" a="1"/>
  <c r="AD360" i="135" s="1"/>
  <c r="AG360" i="135" a="1"/>
  <c r="AG360" i="135" s="1"/>
  <c r="AF360" i="135" a="1"/>
  <c r="AF360" i="135" s="1"/>
  <c r="AI360" i="135" a="1"/>
  <c r="AI360" i="135" s="1"/>
  <c r="AL360" i="135" a="1"/>
  <c r="AL360" i="135" s="1"/>
  <c r="F360" i="135" a="1"/>
  <c r="F360" i="135" s="1"/>
  <c r="U360" i="135" a="1"/>
  <c r="U360" i="135" s="1"/>
  <c r="T360" i="135" a="1"/>
  <c r="T360" i="135" s="1"/>
  <c r="W360" i="135" a="1"/>
  <c r="W360" i="135" s="1"/>
  <c r="Z360" i="135" a="1"/>
  <c r="Z360" i="135" s="1"/>
  <c r="Q360" i="135" a="1"/>
  <c r="Q360" i="135" s="1"/>
  <c r="P360" i="135" a="1"/>
  <c r="P360" i="135" s="1"/>
  <c r="S360" i="135" a="1"/>
  <c r="S360" i="135" s="1"/>
  <c r="V360" i="135" a="1"/>
  <c r="V360" i="135" s="1"/>
  <c r="M360" i="135" a="1"/>
  <c r="M360" i="135" s="1"/>
  <c r="L360" i="135" a="1"/>
  <c r="L360" i="135" s="1"/>
  <c r="O360" i="135" a="1"/>
  <c r="O360" i="135" s="1"/>
  <c r="R360" i="135" a="1"/>
  <c r="R360" i="135" s="1"/>
  <c r="I360" i="135" a="1"/>
  <c r="I360" i="135" s="1"/>
  <c r="H360" i="135" a="1"/>
  <c r="H360" i="135" s="1"/>
  <c r="K360" i="135" a="1"/>
  <c r="K360" i="135" s="1"/>
  <c r="N360" i="135" a="1"/>
  <c r="N360" i="135" s="1"/>
  <c r="AK360" i="135" a="1"/>
  <c r="AK360" i="135" s="1"/>
  <c r="AJ360" i="135" a="1"/>
  <c r="AJ360" i="135" s="1"/>
  <c r="AM360" i="135" a="1"/>
  <c r="AM360" i="135" s="1"/>
  <c r="G360" i="135" a="1"/>
  <c r="G360" i="135" s="1"/>
  <c r="J360" i="135" a="1"/>
  <c r="J360" i="135" s="1"/>
  <c r="AC360" i="135" a="1"/>
  <c r="AC360" i="135" s="1"/>
  <c r="AB360" i="135" a="1"/>
  <c r="AB360" i="135" s="1"/>
  <c r="AH360" i="135" a="1"/>
  <c r="AH360" i="135" s="1"/>
  <c r="AE360" i="135" a="1"/>
  <c r="AE360" i="135" s="1"/>
  <c r="E362" i="135" l="1" a="1"/>
  <c r="E362" i="135" s="1"/>
  <c r="D362" i="135" s="1"/>
  <c r="Y361" i="135" a="1"/>
  <c r="Y361" i="135" s="1"/>
  <c r="X361" i="135" a="1"/>
  <c r="X361" i="135" s="1"/>
  <c r="AI361" i="135" a="1"/>
  <c r="AI361" i="135" s="1"/>
  <c r="AA361" i="135" a="1"/>
  <c r="AA361" i="135" s="1"/>
  <c r="T361" i="135" a="1"/>
  <c r="T361" i="135" s="1"/>
  <c r="S361" i="135" a="1"/>
  <c r="S361" i="135" s="1"/>
  <c r="Q361" i="135" a="1"/>
  <c r="Q361" i="135" s="1"/>
  <c r="P361" i="135" a="1"/>
  <c r="P361" i="135" s="1"/>
  <c r="Z361" i="135" a="1"/>
  <c r="Z361" i="135" s="1"/>
  <c r="AE361" i="135" a="1"/>
  <c r="AE361" i="135" s="1"/>
  <c r="U361" i="135" a="1"/>
  <c r="U361" i="135" s="1"/>
  <c r="K361" i="135" a="1"/>
  <c r="K361" i="135" s="1"/>
  <c r="AH361" i="135" a="1"/>
  <c r="AH361" i="135" s="1"/>
  <c r="H361" i="135" a="1"/>
  <c r="H361" i="135" s="1"/>
  <c r="AK361" i="135" a="1"/>
  <c r="AK361" i="135" s="1"/>
  <c r="AL361" i="135" a="1"/>
  <c r="AL361" i="135" s="1"/>
  <c r="W361" i="135" a="1"/>
  <c r="W361" i="135" s="1"/>
  <c r="AC361" i="135" a="1"/>
  <c r="AC361" i="135" s="1"/>
  <c r="AB361" i="135" a="1"/>
  <c r="AB361" i="135" s="1"/>
  <c r="F361" i="135" a="1"/>
  <c r="F361" i="135" s="1"/>
  <c r="N361" i="135" a="1"/>
  <c r="N361" i="135" s="1"/>
  <c r="M361" i="135" a="1"/>
  <c r="M361" i="135" s="1"/>
  <c r="L361" i="135" a="1"/>
  <c r="L361" i="135" s="1"/>
  <c r="R361" i="135" a="1"/>
  <c r="R361" i="135" s="1"/>
  <c r="J361" i="135" a="1"/>
  <c r="J361" i="135" s="1"/>
  <c r="I361" i="135" a="1"/>
  <c r="I361" i="135" s="1"/>
  <c r="AM361" i="135" a="1"/>
  <c r="AM361" i="135" s="1"/>
  <c r="AJ361" i="135" a="1"/>
  <c r="AJ361" i="135" s="1"/>
  <c r="O361" i="135" a="1"/>
  <c r="O361" i="135" s="1"/>
  <c r="AG361" i="135" a="1"/>
  <c r="AG361" i="135" s="1"/>
  <c r="AF361" i="135" a="1"/>
  <c r="AF361" i="135" s="1"/>
  <c r="V361" i="135" a="1"/>
  <c r="V361" i="135" s="1"/>
  <c r="AD361" i="135" a="1"/>
  <c r="AD361" i="135" s="1"/>
  <c r="G361" i="135" a="1"/>
  <c r="G361" i="135" s="1"/>
  <c r="E363" i="135" l="1" a="1"/>
  <c r="E363" i="135" s="1"/>
  <c r="D363" i="135" s="1"/>
  <c r="Z362" i="135" a="1"/>
  <c r="Z362" i="135" s="1"/>
  <c r="AC362" i="135" a="1"/>
  <c r="AC362" i="135" s="1"/>
  <c r="AB362" i="135" a="1"/>
  <c r="AB362" i="135" s="1"/>
  <c r="AE362" i="135" a="1"/>
  <c r="AE362" i="135" s="1"/>
  <c r="AH362" i="135" a="1"/>
  <c r="AH362" i="135" s="1"/>
  <c r="AK362" i="135" a="1"/>
  <c r="AK362" i="135" s="1"/>
  <c r="AJ362" i="135" a="1"/>
  <c r="AJ362" i="135" s="1"/>
  <c r="AM362" i="135" a="1"/>
  <c r="AM362" i="135" s="1"/>
  <c r="G362" i="135" a="1"/>
  <c r="G362" i="135" s="1"/>
  <c r="V362" i="135" a="1"/>
  <c r="V362" i="135" s="1"/>
  <c r="Y362" i="135" a="1"/>
  <c r="Y362" i="135" s="1"/>
  <c r="X362" i="135" a="1"/>
  <c r="X362" i="135" s="1"/>
  <c r="AA362" i="135" a="1"/>
  <c r="AA362" i="135" s="1"/>
  <c r="R362" i="135" a="1"/>
  <c r="R362" i="135" s="1"/>
  <c r="U362" i="135" a="1"/>
  <c r="U362" i="135" s="1"/>
  <c r="T362" i="135" a="1"/>
  <c r="T362" i="135" s="1"/>
  <c r="W362" i="135" a="1"/>
  <c r="W362" i="135" s="1"/>
  <c r="L362" i="135" a="1"/>
  <c r="L362" i="135" s="1"/>
  <c r="AL362" i="135" a="1"/>
  <c r="AL362" i="135" s="1"/>
  <c r="I362" i="135" a="1"/>
  <c r="I362" i="135" s="1"/>
  <c r="K362" i="135" a="1"/>
  <c r="K362" i="135" s="1"/>
  <c r="N362" i="135" a="1"/>
  <c r="N362" i="135" s="1"/>
  <c r="Q362" i="135" a="1"/>
  <c r="Q362" i="135" s="1"/>
  <c r="P362" i="135" a="1"/>
  <c r="P362" i="135" s="1"/>
  <c r="S362" i="135" a="1"/>
  <c r="S362" i="135" s="1"/>
  <c r="J362" i="135" a="1"/>
  <c r="J362" i="135" s="1"/>
  <c r="M362" i="135" a="1"/>
  <c r="M362" i="135" s="1"/>
  <c r="O362" i="135" a="1"/>
  <c r="O362" i="135" s="1"/>
  <c r="F362" i="135" a="1"/>
  <c r="F362" i="135" s="1"/>
  <c r="H362" i="135" a="1"/>
  <c r="H362" i="135" s="1"/>
  <c r="AD362" i="135" a="1"/>
  <c r="AD362" i="135" s="1"/>
  <c r="AG362" i="135" a="1"/>
  <c r="AG362" i="135" s="1"/>
  <c r="AF362" i="135" a="1"/>
  <c r="AF362" i="135" s="1"/>
  <c r="AI362" i="135" a="1"/>
  <c r="AI362" i="135" s="1"/>
  <c r="E364" i="135" l="1" a="1"/>
  <c r="E364" i="135" s="1"/>
  <c r="D364" i="135" s="1"/>
  <c r="Z363" i="135" a="1"/>
  <c r="Z363" i="135" s="1"/>
  <c r="AC363" i="135" a="1"/>
  <c r="AC363" i="135" s="1"/>
  <c r="AB363" i="135" a="1"/>
  <c r="AB363" i="135" s="1"/>
  <c r="G363" i="135" a="1"/>
  <c r="G363" i="135" s="1"/>
  <c r="V363" i="135" a="1"/>
  <c r="V363" i="135" s="1"/>
  <c r="Y363" i="135" a="1"/>
  <c r="Y363" i="135" s="1"/>
  <c r="L363" i="135" a="1"/>
  <c r="L363" i="135" s="1"/>
  <c r="AJ363" i="135" a="1"/>
  <c r="AJ363" i="135" s="1"/>
  <c r="R363" i="135" a="1"/>
  <c r="R363" i="135" s="1"/>
  <c r="U363" i="135" a="1"/>
  <c r="U363" i="135" s="1"/>
  <c r="AA363" i="135" a="1"/>
  <c r="AA363" i="135" s="1"/>
  <c r="T363" i="135" a="1"/>
  <c r="T363" i="135" s="1"/>
  <c r="N363" i="135" a="1"/>
  <c r="N363" i="135" s="1"/>
  <c r="Q363" i="135" a="1"/>
  <c r="Q363" i="135" s="1"/>
  <c r="K363" i="135" a="1"/>
  <c r="K363" i="135" s="1"/>
  <c r="AI363" i="135" a="1"/>
  <c r="AI363" i="135" s="1"/>
  <c r="AG363" i="135" a="1"/>
  <c r="AG363" i="135" s="1"/>
  <c r="O363" i="135" a="1"/>
  <c r="O363" i="135" s="1"/>
  <c r="W363" i="135" a="1"/>
  <c r="W363" i="135" s="1"/>
  <c r="AD363" i="135" a="1"/>
  <c r="AD363" i="135" s="1"/>
  <c r="J363" i="135" a="1"/>
  <c r="J363" i="135" s="1"/>
  <c r="M363" i="135" a="1"/>
  <c r="M363" i="135" s="1"/>
  <c r="X363" i="135" a="1"/>
  <c r="X363" i="135" s="1"/>
  <c r="S363" i="135" a="1"/>
  <c r="S363" i="135" s="1"/>
  <c r="AL363" i="135" a="1"/>
  <c r="AL363" i="135" s="1"/>
  <c r="F363" i="135" a="1"/>
  <c r="F363" i="135" s="1"/>
  <c r="I363" i="135" a="1"/>
  <c r="I363" i="135" s="1"/>
  <c r="H363" i="135" a="1"/>
  <c r="H363" i="135" s="1"/>
  <c r="AF363" i="135" a="1"/>
  <c r="AF363" i="135" s="1"/>
  <c r="AH363" i="135" a="1"/>
  <c r="AH363" i="135" s="1"/>
  <c r="AK363" i="135" a="1"/>
  <c r="AK363" i="135" s="1"/>
  <c r="AE363" i="135" a="1"/>
  <c r="AE363" i="135" s="1"/>
  <c r="AM363" i="135" a="1"/>
  <c r="AM363" i="135" s="1"/>
  <c r="P363" i="135" a="1"/>
  <c r="P363" i="135" s="1"/>
  <c r="E365" i="135" l="1" a="1"/>
  <c r="E365" i="135" s="1"/>
  <c r="D365" i="135" s="1"/>
  <c r="AA364" i="135" a="1"/>
  <c r="AA364" i="135" s="1"/>
  <c r="AD364" i="135" a="1"/>
  <c r="AD364" i="135" s="1"/>
  <c r="AG364" i="135" a="1"/>
  <c r="AG364" i="135" s="1"/>
  <c r="AF364" i="135" a="1"/>
  <c r="AF364" i="135" s="1"/>
  <c r="W364" i="135" a="1"/>
  <c r="W364" i="135" s="1"/>
  <c r="Z364" i="135" a="1"/>
  <c r="Z364" i="135" s="1"/>
  <c r="AC364" i="135" a="1"/>
  <c r="AC364" i="135" s="1"/>
  <c r="AB364" i="135" a="1"/>
  <c r="AB364" i="135" s="1"/>
  <c r="S364" i="135" a="1"/>
  <c r="S364" i="135" s="1"/>
  <c r="V364" i="135" a="1"/>
  <c r="V364" i="135" s="1"/>
  <c r="Y364" i="135" a="1"/>
  <c r="Y364" i="135" s="1"/>
  <c r="X364" i="135" a="1"/>
  <c r="X364" i="135" s="1"/>
  <c r="AE364" i="135" a="1"/>
  <c r="AE364" i="135" s="1"/>
  <c r="AH364" i="135" a="1"/>
  <c r="AH364" i="135" s="1"/>
  <c r="AK364" i="135" a="1"/>
  <c r="AK364" i="135" s="1"/>
  <c r="AL364" i="135" a="1"/>
  <c r="AL364" i="135" s="1"/>
  <c r="H364" i="135" a="1"/>
  <c r="H364" i="135" s="1"/>
  <c r="O364" i="135" a="1"/>
  <c r="O364" i="135" s="1"/>
  <c r="R364" i="135" a="1"/>
  <c r="R364" i="135" s="1"/>
  <c r="U364" i="135" a="1"/>
  <c r="U364" i="135" s="1"/>
  <c r="T364" i="135" a="1"/>
  <c r="T364" i="135" s="1"/>
  <c r="K364" i="135" a="1"/>
  <c r="K364" i="135" s="1"/>
  <c r="N364" i="135" a="1"/>
  <c r="N364" i="135" s="1"/>
  <c r="Q364" i="135" a="1"/>
  <c r="Q364" i="135" s="1"/>
  <c r="P364" i="135" a="1"/>
  <c r="P364" i="135" s="1"/>
  <c r="AM364" i="135" a="1"/>
  <c r="AM364" i="135" s="1"/>
  <c r="G364" i="135" a="1"/>
  <c r="G364" i="135" s="1"/>
  <c r="J364" i="135" a="1"/>
  <c r="J364" i="135" s="1"/>
  <c r="M364" i="135" a="1"/>
  <c r="M364" i="135" s="1"/>
  <c r="L364" i="135" a="1"/>
  <c r="L364" i="135" s="1"/>
  <c r="AJ364" i="135" a="1"/>
  <c r="AJ364" i="135" s="1"/>
  <c r="AI364" i="135" a="1"/>
  <c r="AI364" i="135" s="1"/>
  <c r="F364" i="135" a="1"/>
  <c r="F364" i="135" s="1"/>
  <c r="I364" i="135" a="1"/>
  <c r="I364" i="135" s="1"/>
  <c r="E366" i="135" l="1" a="1"/>
  <c r="E366" i="135" s="1"/>
  <c r="D366" i="135" s="1"/>
  <c r="AA365" i="135" a="1"/>
  <c r="AA365" i="135" s="1"/>
  <c r="AD365" i="135" a="1"/>
  <c r="AD365" i="135" s="1"/>
  <c r="H365" i="135" a="1"/>
  <c r="H365" i="135" s="1"/>
  <c r="P365" i="135" a="1"/>
  <c r="P365" i="135" s="1"/>
  <c r="AF365" i="135" a="1"/>
  <c r="AF365" i="135" s="1"/>
  <c r="W365" i="135" a="1"/>
  <c r="W365" i="135" s="1"/>
  <c r="Z365" i="135" a="1"/>
  <c r="Z365" i="135" s="1"/>
  <c r="AK365" i="135" a="1"/>
  <c r="AK365" i="135" s="1"/>
  <c r="AC365" i="135" a="1"/>
  <c r="AC365" i="135" s="1"/>
  <c r="S365" i="135" a="1"/>
  <c r="S365" i="135" s="1"/>
  <c r="V365" i="135" a="1"/>
  <c r="V365" i="135" s="1"/>
  <c r="U365" i="135" a="1"/>
  <c r="U365" i="135" s="1"/>
  <c r="M365" i="135" a="1"/>
  <c r="M365" i="135" s="1"/>
  <c r="O365" i="135" a="1"/>
  <c r="O365" i="135" s="1"/>
  <c r="R365" i="135" a="1"/>
  <c r="R365" i="135" s="1"/>
  <c r="AJ365" i="135" a="1"/>
  <c r="AJ365" i="135" s="1"/>
  <c r="AB365" i="135" a="1"/>
  <c r="AB365" i="135" s="1"/>
  <c r="K365" i="135" a="1"/>
  <c r="K365" i="135" s="1"/>
  <c r="N365" i="135" a="1"/>
  <c r="N365" i="135" s="1"/>
  <c r="T365" i="135" a="1"/>
  <c r="T365" i="135" s="1"/>
  <c r="L365" i="135" a="1"/>
  <c r="L365" i="135" s="1"/>
  <c r="AE365" i="135" a="1"/>
  <c r="AE365" i="135" s="1"/>
  <c r="AH365" i="135" a="1"/>
  <c r="AH365" i="135" s="1"/>
  <c r="X365" i="135" a="1"/>
  <c r="X365" i="135" s="1"/>
  <c r="AM365" i="135" a="1"/>
  <c r="AM365" i="135" s="1"/>
  <c r="G365" i="135" a="1"/>
  <c r="G365" i="135" s="1"/>
  <c r="J365" i="135" a="1"/>
  <c r="J365" i="135" s="1"/>
  <c r="AG365" i="135" a="1"/>
  <c r="AG365" i="135" s="1"/>
  <c r="Y365" i="135" a="1"/>
  <c r="Y365" i="135" s="1"/>
  <c r="AI365" i="135" a="1"/>
  <c r="AI365" i="135" s="1"/>
  <c r="AL365" i="135" a="1"/>
  <c r="AL365" i="135" s="1"/>
  <c r="F365" i="135" a="1"/>
  <c r="F365" i="135" s="1"/>
  <c r="Q365" i="135" a="1"/>
  <c r="Q365" i="135" s="1"/>
  <c r="I365" i="135" a="1"/>
  <c r="I365" i="135" s="1"/>
  <c r="E367" i="135" l="1" a="1"/>
  <c r="E367" i="135" s="1"/>
  <c r="D367" i="135" s="1"/>
  <c r="T366" i="135" a="1"/>
  <c r="T366" i="135" s="1"/>
  <c r="W366" i="135" a="1"/>
  <c r="W366" i="135" s="1"/>
  <c r="Z366" i="135" a="1"/>
  <c r="Z366" i="135" s="1"/>
  <c r="AC366" i="135" a="1"/>
  <c r="AC366" i="135" s="1"/>
  <c r="P366" i="135" a="1"/>
  <c r="P366" i="135" s="1"/>
  <c r="S366" i="135" a="1"/>
  <c r="S366" i="135" s="1"/>
  <c r="V366" i="135" a="1"/>
  <c r="V366" i="135" s="1"/>
  <c r="Y366" i="135" a="1"/>
  <c r="Y366" i="135" s="1"/>
  <c r="X366" i="135" a="1"/>
  <c r="X366" i="135" s="1"/>
  <c r="AA366" i="135" a="1"/>
  <c r="AA366" i="135" s="1"/>
  <c r="AD366" i="135" a="1"/>
  <c r="AD366" i="135" s="1"/>
  <c r="AG366" i="135" a="1"/>
  <c r="AG366" i="135" s="1"/>
  <c r="L366" i="135" a="1"/>
  <c r="L366" i="135" s="1"/>
  <c r="O366" i="135" a="1"/>
  <c r="O366" i="135" s="1"/>
  <c r="R366" i="135" a="1"/>
  <c r="R366" i="135" s="1"/>
  <c r="U366" i="135" a="1"/>
  <c r="U366" i="135" s="1"/>
  <c r="H366" i="135" a="1"/>
  <c r="H366" i="135" s="1"/>
  <c r="K366" i="135" a="1"/>
  <c r="K366" i="135" s="1"/>
  <c r="N366" i="135" a="1"/>
  <c r="N366" i="135" s="1"/>
  <c r="Q366" i="135" a="1"/>
  <c r="Q366" i="135" s="1"/>
  <c r="AF366" i="135" a="1"/>
  <c r="AF366" i="135" s="1"/>
  <c r="AI366" i="135" a="1"/>
  <c r="AI366" i="135" s="1"/>
  <c r="AL366" i="135" a="1"/>
  <c r="AL366" i="135" s="1"/>
  <c r="F366" i="135" a="1"/>
  <c r="F366" i="135" s="1"/>
  <c r="I366" i="135" a="1"/>
  <c r="I366" i="135" s="1"/>
  <c r="AJ366" i="135" a="1"/>
  <c r="AJ366" i="135" s="1"/>
  <c r="AM366" i="135" a="1"/>
  <c r="AM366" i="135" s="1"/>
  <c r="G366" i="135" a="1"/>
  <c r="G366" i="135" s="1"/>
  <c r="J366" i="135" a="1"/>
  <c r="J366" i="135" s="1"/>
  <c r="M366" i="135" a="1"/>
  <c r="M366" i="135" s="1"/>
  <c r="AB366" i="135" a="1"/>
  <c r="AB366" i="135" s="1"/>
  <c r="AE366" i="135" a="1"/>
  <c r="AE366" i="135" s="1"/>
  <c r="AH366" i="135" a="1"/>
  <c r="AH366" i="135" s="1"/>
  <c r="AK366" i="135" a="1"/>
  <c r="AK366" i="135" s="1"/>
  <c r="E368" i="135" l="1" a="1"/>
  <c r="E368" i="135" s="1"/>
  <c r="D368" i="135" s="1"/>
  <c r="U367" i="135" a="1"/>
  <c r="U367" i="135" s="1"/>
  <c r="T367" i="135" a="1"/>
  <c r="T367" i="135" s="1"/>
  <c r="W367" i="135" a="1"/>
  <c r="W367" i="135" s="1"/>
  <c r="R367" i="135" a="1"/>
  <c r="R367" i="135" s="1"/>
  <c r="Q367" i="135" a="1"/>
  <c r="Q367" i="135" s="1"/>
  <c r="P367" i="135" a="1"/>
  <c r="P367" i="135" s="1"/>
  <c r="S367" i="135" a="1"/>
  <c r="S367" i="135" s="1"/>
  <c r="N367" i="135" a="1"/>
  <c r="N367" i="135" s="1"/>
  <c r="AG367" i="135" a="1"/>
  <c r="AG367" i="135" s="1"/>
  <c r="AI367" i="135" a="1"/>
  <c r="AI367" i="135" s="1"/>
  <c r="AD367" i="135" a="1"/>
  <c r="AD367" i="135" s="1"/>
  <c r="AH367" i="135" a="1"/>
  <c r="AH367" i="135" s="1"/>
  <c r="M367" i="135" a="1"/>
  <c r="M367" i="135" s="1"/>
  <c r="L367" i="135" a="1"/>
  <c r="L367" i="135" s="1"/>
  <c r="O367" i="135" a="1"/>
  <c r="O367" i="135" s="1"/>
  <c r="J367" i="135" a="1"/>
  <c r="J367" i="135" s="1"/>
  <c r="AF367" i="135" a="1"/>
  <c r="AF367" i="135" s="1"/>
  <c r="Y367" i="135" a="1"/>
  <c r="Y367" i="135" s="1"/>
  <c r="X367" i="135" a="1"/>
  <c r="X367" i="135" s="1"/>
  <c r="AA367" i="135" a="1"/>
  <c r="AA367" i="135" s="1"/>
  <c r="I367" i="135" a="1"/>
  <c r="I367" i="135" s="1"/>
  <c r="H367" i="135" a="1"/>
  <c r="H367" i="135" s="1"/>
  <c r="K367" i="135" a="1"/>
  <c r="K367" i="135" s="1"/>
  <c r="AL367" i="135" a="1"/>
  <c r="AL367" i="135" s="1"/>
  <c r="AK367" i="135" a="1"/>
  <c r="AK367" i="135" s="1"/>
  <c r="AJ367" i="135" a="1"/>
  <c r="AJ367" i="135" s="1"/>
  <c r="AM367" i="135" a="1"/>
  <c r="AM367" i="135" s="1"/>
  <c r="G367" i="135" a="1"/>
  <c r="G367" i="135" s="1"/>
  <c r="F367" i="135" a="1"/>
  <c r="F367" i="135" s="1"/>
  <c r="AC367" i="135" a="1"/>
  <c r="AC367" i="135" s="1"/>
  <c r="AB367" i="135" a="1"/>
  <c r="AB367" i="135" s="1"/>
  <c r="AE367" i="135" a="1"/>
  <c r="AE367" i="135" s="1"/>
  <c r="Z367" i="135" a="1"/>
  <c r="Z367" i="135" s="1"/>
  <c r="V367" i="135" a="1"/>
  <c r="V367" i="135" s="1"/>
  <c r="E369" i="135" l="1" a="1"/>
  <c r="E369" i="135" s="1"/>
  <c r="D369" i="135" s="1"/>
  <c r="Y368" i="135" a="1"/>
  <c r="Y368" i="135" s="1"/>
  <c r="X368" i="135" a="1"/>
  <c r="X368" i="135" s="1"/>
  <c r="AA368" i="135" a="1"/>
  <c r="AA368" i="135" s="1"/>
  <c r="AD368" i="135" a="1"/>
  <c r="AD368" i="135" s="1"/>
  <c r="AH368" i="135" a="1"/>
  <c r="AH368" i="135" s="1"/>
  <c r="U368" i="135" a="1"/>
  <c r="U368" i="135" s="1"/>
  <c r="T368" i="135" a="1"/>
  <c r="T368" i="135" s="1"/>
  <c r="W368" i="135" a="1"/>
  <c r="W368" i="135" s="1"/>
  <c r="Z368" i="135" a="1"/>
  <c r="Z368" i="135" s="1"/>
  <c r="Q368" i="135" a="1"/>
  <c r="Q368" i="135" s="1"/>
  <c r="P368" i="135" a="1"/>
  <c r="P368" i="135" s="1"/>
  <c r="S368" i="135" a="1"/>
  <c r="S368" i="135" s="1"/>
  <c r="V368" i="135" a="1"/>
  <c r="V368" i="135" s="1"/>
  <c r="M368" i="135" a="1"/>
  <c r="M368" i="135" s="1"/>
  <c r="L368" i="135" a="1"/>
  <c r="L368" i="135" s="1"/>
  <c r="O368" i="135" a="1"/>
  <c r="O368" i="135" s="1"/>
  <c r="R368" i="135" a="1"/>
  <c r="R368" i="135" s="1"/>
  <c r="I368" i="135" a="1"/>
  <c r="I368" i="135" s="1"/>
  <c r="H368" i="135" a="1"/>
  <c r="H368" i="135" s="1"/>
  <c r="K368" i="135" a="1"/>
  <c r="K368" i="135" s="1"/>
  <c r="N368" i="135" a="1"/>
  <c r="N368" i="135" s="1"/>
  <c r="AK368" i="135" a="1"/>
  <c r="AK368" i="135" s="1"/>
  <c r="AM368" i="135" a="1"/>
  <c r="AM368" i="135" s="1"/>
  <c r="G368" i="135" a="1"/>
  <c r="G368" i="135" s="1"/>
  <c r="J368" i="135" a="1"/>
  <c r="J368" i="135" s="1"/>
  <c r="AJ368" i="135" a="1"/>
  <c r="AJ368" i="135" s="1"/>
  <c r="AC368" i="135" a="1"/>
  <c r="AC368" i="135" s="1"/>
  <c r="AB368" i="135" a="1"/>
  <c r="AB368" i="135" s="1"/>
  <c r="AE368" i="135" a="1"/>
  <c r="AE368" i="135" s="1"/>
  <c r="AG368" i="135" a="1"/>
  <c r="AG368" i="135" s="1"/>
  <c r="AF368" i="135" a="1"/>
  <c r="AF368" i="135" s="1"/>
  <c r="AI368" i="135" a="1"/>
  <c r="AI368" i="135" s="1"/>
  <c r="AL368" i="135" a="1"/>
  <c r="AL368" i="135" s="1"/>
  <c r="F368" i="135" a="1"/>
  <c r="F368" i="135" s="1"/>
  <c r="E370" i="135" l="1" a="1"/>
  <c r="E370" i="135" s="1"/>
  <c r="D370" i="135" s="1"/>
  <c r="Z369" i="135" a="1"/>
  <c r="Z369" i="135" s="1"/>
  <c r="AC369" i="135" a="1"/>
  <c r="AC369" i="135" s="1"/>
  <c r="AB369" i="135" a="1"/>
  <c r="AB369" i="135" s="1"/>
  <c r="O369" i="135" a="1"/>
  <c r="O369" i="135" s="1"/>
  <c r="V369" i="135" a="1"/>
  <c r="V369" i="135" s="1"/>
  <c r="Y369" i="135" a="1"/>
  <c r="Y369" i="135" s="1"/>
  <c r="X369" i="135" a="1"/>
  <c r="X369" i="135" s="1"/>
  <c r="K369" i="135" a="1"/>
  <c r="K369" i="135" s="1"/>
  <c r="R369" i="135" a="1"/>
  <c r="R369" i="135" s="1"/>
  <c r="U369" i="135" a="1"/>
  <c r="U369" i="135" s="1"/>
  <c r="T369" i="135" a="1"/>
  <c r="T369" i="135" s="1"/>
  <c r="AM369" i="135" a="1"/>
  <c r="AM369" i="135" s="1"/>
  <c r="N369" i="135" a="1"/>
  <c r="N369" i="135" s="1"/>
  <c r="Q369" i="135" a="1"/>
  <c r="Q369" i="135" s="1"/>
  <c r="P369" i="135" a="1"/>
  <c r="P369" i="135" s="1"/>
  <c r="G369" i="135" a="1"/>
  <c r="G369" i="135" s="1"/>
  <c r="AD369" i="135" a="1"/>
  <c r="AD369" i="135" s="1"/>
  <c r="AG369" i="135" a="1"/>
  <c r="AG369" i="135" s="1"/>
  <c r="AF369" i="135" a="1"/>
  <c r="AF369" i="135" s="1"/>
  <c r="S369" i="135" a="1"/>
  <c r="S369" i="135" s="1"/>
  <c r="J369" i="135" a="1"/>
  <c r="J369" i="135" s="1"/>
  <c r="M369" i="135" a="1"/>
  <c r="M369" i="135" s="1"/>
  <c r="L369" i="135" a="1"/>
  <c r="L369" i="135" s="1"/>
  <c r="AI369" i="135" a="1"/>
  <c r="AI369" i="135" s="1"/>
  <c r="AL369" i="135" a="1"/>
  <c r="AL369" i="135" s="1"/>
  <c r="F369" i="135" a="1"/>
  <c r="F369" i="135" s="1"/>
  <c r="I369" i="135" a="1"/>
  <c r="I369" i="135" s="1"/>
  <c r="H369" i="135" a="1"/>
  <c r="H369" i="135" s="1"/>
  <c r="AE369" i="135" a="1"/>
  <c r="AE369" i="135" s="1"/>
  <c r="AH369" i="135" a="1"/>
  <c r="AH369" i="135" s="1"/>
  <c r="AK369" i="135" a="1"/>
  <c r="AK369" i="135" s="1"/>
  <c r="AJ369" i="135" a="1"/>
  <c r="AJ369" i="135" s="1"/>
  <c r="W369" i="135" a="1"/>
  <c r="W369" i="135" s="1"/>
  <c r="AA369" i="135" a="1"/>
  <c r="AA369" i="135" s="1"/>
  <c r="E371" i="135" l="1" a="1"/>
  <c r="E371" i="135" s="1"/>
  <c r="D371" i="135" s="1"/>
  <c r="Z370" i="135" a="1"/>
  <c r="Z370" i="135" s="1"/>
  <c r="AC370" i="135" a="1"/>
  <c r="AC370" i="135" s="1"/>
  <c r="AB370" i="135" a="1"/>
  <c r="AB370" i="135" s="1"/>
  <c r="AE370" i="135" a="1"/>
  <c r="AE370" i="135" s="1"/>
  <c r="V370" i="135" a="1"/>
  <c r="V370" i="135" s="1"/>
  <c r="Y370" i="135" a="1"/>
  <c r="Y370" i="135" s="1"/>
  <c r="X370" i="135" a="1"/>
  <c r="X370" i="135" s="1"/>
  <c r="AA370" i="135" a="1"/>
  <c r="AA370" i="135" s="1"/>
  <c r="R370" i="135" a="1"/>
  <c r="R370" i="135" s="1"/>
  <c r="U370" i="135" a="1"/>
  <c r="U370" i="135" s="1"/>
  <c r="T370" i="135" a="1"/>
  <c r="T370" i="135" s="1"/>
  <c r="W370" i="135" a="1"/>
  <c r="W370" i="135" s="1"/>
  <c r="N370" i="135" a="1"/>
  <c r="N370" i="135" s="1"/>
  <c r="Q370" i="135" a="1"/>
  <c r="Q370" i="135" s="1"/>
  <c r="P370" i="135" a="1"/>
  <c r="P370" i="135" s="1"/>
  <c r="S370" i="135" a="1"/>
  <c r="S370" i="135" s="1"/>
  <c r="M370" i="135" a="1"/>
  <c r="M370" i="135" s="1"/>
  <c r="L370" i="135" a="1"/>
  <c r="L370" i="135" s="1"/>
  <c r="O370" i="135" a="1"/>
  <c r="O370" i="135" s="1"/>
  <c r="J370" i="135" a="1"/>
  <c r="J370" i="135" s="1"/>
  <c r="AH370" i="135" a="1"/>
  <c r="AH370" i="135" s="1"/>
  <c r="AK370" i="135" a="1"/>
  <c r="AK370" i="135" s="1"/>
  <c r="AJ370" i="135" a="1"/>
  <c r="AJ370" i="135" s="1"/>
  <c r="AM370" i="135" a="1"/>
  <c r="AM370" i="135" s="1"/>
  <c r="G370" i="135" a="1"/>
  <c r="G370" i="135" s="1"/>
  <c r="AL370" i="135" a="1"/>
  <c r="AL370" i="135" s="1"/>
  <c r="F370" i="135" a="1"/>
  <c r="F370" i="135" s="1"/>
  <c r="I370" i="135" a="1"/>
  <c r="I370" i="135" s="1"/>
  <c r="H370" i="135" a="1"/>
  <c r="H370" i="135" s="1"/>
  <c r="K370" i="135" a="1"/>
  <c r="K370" i="135" s="1"/>
  <c r="AD370" i="135" a="1"/>
  <c r="AD370" i="135" s="1"/>
  <c r="AG370" i="135" a="1"/>
  <c r="AG370" i="135" s="1"/>
  <c r="AF370" i="135" a="1"/>
  <c r="AF370" i="135" s="1"/>
  <c r="AI370" i="135" a="1"/>
  <c r="AI370" i="135" s="1"/>
  <c r="E372" i="135" l="1" a="1"/>
  <c r="E372" i="135" s="1"/>
  <c r="D372" i="135" s="1"/>
  <c r="AA371" i="135" a="1"/>
  <c r="AA371" i="135" s="1"/>
  <c r="AD371" i="135" a="1"/>
  <c r="AD371" i="135" s="1"/>
  <c r="AG371" i="135" a="1"/>
  <c r="AG371" i="135" s="1"/>
  <c r="L371" i="135" a="1"/>
  <c r="L371" i="135" s="1"/>
  <c r="W371" i="135" a="1"/>
  <c r="W371" i="135" s="1"/>
  <c r="Z371" i="135" a="1"/>
  <c r="Z371" i="135" s="1"/>
  <c r="AC371" i="135" a="1"/>
  <c r="AC371" i="135" s="1"/>
  <c r="H371" i="135" a="1"/>
  <c r="H371" i="135" s="1"/>
  <c r="S371" i="135" a="1"/>
  <c r="S371" i="135" s="1"/>
  <c r="V371" i="135" a="1"/>
  <c r="V371" i="135" s="1"/>
  <c r="Y371" i="135" a="1"/>
  <c r="Y371" i="135" s="1"/>
  <c r="AJ371" i="135" a="1"/>
  <c r="AJ371" i="135" s="1"/>
  <c r="AI371" i="135" a="1"/>
  <c r="AI371" i="135" s="1"/>
  <c r="AL371" i="135" a="1"/>
  <c r="AL371" i="135" s="1"/>
  <c r="F371" i="135" a="1"/>
  <c r="F371" i="135" s="1"/>
  <c r="I371" i="135" a="1"/>
  <c r="I371" i="135" s="1"/>
  <c r="T371" i="135" a="1"/>
  <c r="T371" i="135" s="1"/>
  <c r="O371" i="135" a="1"/>
  <c r="O371" i="135" s="1"/>
  <c r="R371" i="135" a="1"/>
  <c r="R371" i="135" s="1"/>
  <c r="U371" i="135" a="1"/>
  <c r="U371" i="135" s="1"/>
  <c r="AF371" i="135" a="1"/>
  <c r="AF371" i="135" s="1"/>
  <c r="K371" i="135" a="1"/>
  <c r="K371" i="135" s="1"/>
  <c r="N371" i="135" a="1"/>
  <c r="N371" i="135" s="1"/>
  <c r="Q371" i="135" a="1"/>
  <c r="Q371" i="135" s="1"/>
  <c r="AB371" i="135" a="1"/>
  <c r="AB371" i="135" s="1"/>
  <c r="P371" i="135" a="1"/>
  <c r="P371" i="135" s="1"/>
  <c r="AM371" i="135" a="1"/>
  <c r="AM371" i="135" s="1"/>
  <c r="G371" i="135" a="1"/>
  <c r="G371" i="135" s="1"/>
  <c r="J371" i="135" a="1"/>
  <c r="J371" i="135" s="1"/>
  <c r="M371" i="135" a="1"/>
  <c r="M371" i="135" s="1"/>
  <c r="X371" i="135" a="1"/>
  <c r="X371" i="135" s="1"/>
  <c r="AE371" i="135" a="1"/>
  <c r="AE371" i="135" s="1"/>
  <c r="AH371" i="135" a="1"/>
  <c r="AH371" i="135" s="1"/>
  <c r="AK371" i="135" a="1"/>
  <c r="AK371" i="135" s="1"/>
  <c r="E373" i="135" l="1" a="1"/>
  <c r="E373" i="135" s="1"/>
  <c r="D373" i="135" s="1"/>
  <c r="W372" i="135" a="1"/>
  <c r="W372" i="135" s="1"/>
  <c r="Z372" i="135" a="1"/>
  <c r="Z372" i="135" s="1"/>
  <c r="AC372" i="135" a="1"/>
  <c r="AC372" i="135" s="1"/>
  <c r="AB372" i="135" a="1"/>
  <c r="AB372" i="135" s="1"/>
  <c r="AA372" i="135" a="1"/>
  <c r="AA372" i="135" s="1"/>
  <c r="AD372" i="135" a="1"/>
  <c r="AD372" i="135" s="1"/>
  <c r="AG372" i="135" a="1"/>
  <c r="AG372" i="135" s="1"/>
  <c r="AF372" i="135" a="1"/>
  <c r="AF372" i="135" s="1"/>
  <c r="S372" i="135" a="1"/>
  <c r="S372" i="135" s="1"/>
  <c r="V372" i="135" a="1"/>
  <c r="V372" i="135" s="1"/>
  <c r="Y372" i="135" a="1"/>
  <c r="Y372" i="135" s="1"/>
  <c r="X372" i="135" a="1"/>
  <c r="X372" i="135" s="1"/>
  <c r="O372" i="135" a="1"/>
  <c r="O372" i="135" s="1"/>
  <c r="R372" i="135" a="1"/>
  <c r="R372" i="135" s="1"/>
  <c r="U372" i="135" a="1"/>
  <c r="U372" i="135" s="1"/>
  <c r="T372" i="135" a="1"/>
  <c r="T372" i="135" s="1"/>
  <c r="K372" i="135" a="1"/>
  <c r="K372" i="135" s="1"/>
  <c r="N372" i="135" a="1"/>
  <c r="N372" i="135" s="1"/>
  <c r="Q372" i="135" a="1"/>
  <c r="Q372" i="135" s="1"/>
  <c r="P372" i="135" a="1"/>
  <c r="P372" i="135" s="1"/>
  <c r="AM372" i="135" a="1"/>
  <c r="AM372" i="135" s="1"/>
  <c r="G372" i="135" a="1"/>
  <c r="G372" i="135" s="1"/>
  <c r="J372" i="135" a="1"/>
  <c r="J372" i="135" s="1"/>
  <c r="M372" i="135" a="1"/>
  <c r="M372" i="135" s="1"/>
  <c r="L372" i="135" a="1"/>
  <c r="L372" i="135" s="1"/>
  <c r="AE372" i="135" a="1"/>
  <c r="AE372" i="135" s="1"/>
  <c r="AH372" i="135" a="1"/>
  <c r="AH372" i="135" s="1"/>
  <c r="AK372" i="135" a="1"/>
  <c r="AK372" i="135" s="1"/>
  <c r="AJ372" i="135" a="1"/>
  <c r="AJ372" i="135" s="1"/>
  <c r="AI372" i="135" a="1"/>
  <c r="AI372" i="135" s="1"/>
  <c r="AL372" i="135" a="1"/>
  <c r="AL372" i="135" s="1"/>
  <c r="F372" i="135" a="1"/>
  <c r="F372" i="135" s="1"/>
  <c r="I372" i="135" a="1"/>
  <c r="I372" i="135" s="1"/>
  <c r="H372" i="135" a="1"/>
  <c r="H372" i="135" s="1"/>
  <c r="E374" i="135" l="1" a="1"/>
  <c r="E374" i="135" s="1"/>
  <c r="D374" i="135" s="1"/>
  <c r="X373" i="135" a="1"/>
  <c r="X373" i="135" s="1"/>
  <c r="AA373" i="135" a="1"/>
  <c r="AA373" i="135" s="1"/>
  <c r="AD373" i="135" a="1"/>
  <c r="AD373" i="135" s="1"/>
  <c r="AK373" i="135" a="1"/>
  <c r="AK373" i="135" s="1"/>
  <c r="T373" i="135" a="1"/>
  <c r="T373" i="135" s="1"/>
  <c r="W373" i="135" a="1"/>
  <c r="W373" i="135" s="1"/>
  <c r="Z373" i="135" a="1"/>
  <c r="Z373" i="135" s="1"/>
  <c r="AG373" i="135" a="1"/>
  <c r="AG373" i="135" s="1"/>
  <c r="P373" i="135" a="1"/>
  <c r="P373" i="135" s="1"/>
  <c r="S373" i="135" a="1"/>
  <c r="S373" i="135" s="1"/>
  <c r="V373" i="135" a="1"/>
  <c r="V373" i="135" s="1"/>
  <c r="AC373" i="135" a="1"/>
  <c r="AC373" i="135" s="1"/>
  <c r="L373" i="135" a="1"/>
  <c r="L373" i="135" s="1"/>
  <c r="O373" i="135" a="1"/>
  <c r="O373" i="135" s="1"/>
  <c r="R373" i="135" a="1"/>
  <c r="R373" i="135" s="1"/>
  <c r="Y373" i="135" a="1"/>
  <c r="Y373" i="135" s="1"/>
  <c r="H373" i="135" a="1"/>
  <c r="H373" i="135" s="1"/>
  <c r="K373" i="135" a="1"/>
  <c r="K373" i="135" s="1"/>
  <c r="N373" i="135" a="1"/>
  <c r="N373" i="135" s="1"/>
  <c r="U373" i="135" a="1"/>
  <c r="U373" i="135" s="1"/>
  <c r="AJ373" i="135" a="1"/>
  <c r="AJ373" i="135" s="1"/>
  <c r="AM373" i="135" a="1"/>
  <c r="AM373" i="135" s="1"/>
  <c r="G373" i="135" a="1"/>
  <c r="G373" i="135" s="1"/>
  <c r="J373" i="135" a="1"/>
  <c r="J373" i="135" s="1"/>
  <c r="Q373" i="135" a="1"/>
  <c r="Q373" i="135" s="1"/>
  <c r="AF373" i="135" a="1"/>
  <c r="AF373" i="135" s="1"/>
  <c r="AI373" i="135" a="1"/>
  <c r="AI373" i="135" s="1"/>
  <c r="AL373" i="135" a="1"/>
  <c r="AL373" i="135" s="1"/>
  <c r="F373" i="135" a="1"/>
  <c r="F373" i="135" s="1"/>
  <c r="M373" i="135" a="1"/>
  <c r="M373" i="135" s="1"/>
  <c r="AB373" i="135" a="1"/>
  <c r="AB373" i="135" s="1"/>
  <c r="AE373" i="135" a="1"/>
  <c r="AE373" i="135" s="1"/>
  <c r="AH373" i="135" a="1"/>
  <c r="AH373" i="135" s="1"/>
  <c r="I373" i="135" a="1"/>
  <c r="I373" i="135" s="1"/>
  <c r="E375" i="135" l="1" a="1"/>
  <c r="E375" i="135" s="1"/>
  <c r="D375" i="135" s="1"/>
  <c r="T374" i="135" a="1"/>
  <c r="T374" i="135" s="1"/>
  <c r="W374" i="135" a="1"/>
  <c r="W374" i="135" s="1"/>
  <c r="Z374" i="135" a="1"/>
  <c r="Z374" i="135" s="1"/>
  <c r="AC374" i="135" a="1"/>
  <c r="AC374" i="135" s="1"/>
  <c r="P374" i="135" a="1"/>
  <c r="P374" i="135" s="1"/>
  <c r="S374" i="135" a="1"/>
  <c r="S374" i="135" s="1"/>
  <c r="V374" i="135" a="1"/>
  <c r="V374" i="135" s="1"/>
  <c r="Y374" i="135" a="1"/>
  <c r="Y374" i="135" s="1"/>
  <c r="L374" i="135" a="1"/>
  <c r="L374" i="135" s="1"/>
  <c r="O374" i="135" a="1"/>
  <c r="O374" i="135" s="1"/>
  <c r="R374" i="135" a="1"/>
  <c r="R374" i="135" s="1"/>
  <c r="U374" i="135" a="1"/>
  <c r="U374" i="135" s="1"/>
  <c r="H374" i="135" a="1"/>
  <c r="H374" i="135" s="1"/>
  <c r="K374" i="135" a="1"/>
  <c r="K374" i="135" s="1"/>
  <c r="N374" i="135" a="1"/>
  <c r="N374" i="135" s="1"/>
  <c r="Q374" i="135" a="1"/>
  <c r="Q374" i="135" s="1"/>
  <c r="AJ374" i="135" a="1"/>
  <c r="AJ374" i="135" s="1"/>
  <c r="AM374" i="135" a="1"/>
  <c r="AM374" i="135" s="1"/>
  <c r="G374" i="135" a="1"/>
  <c r="G374" i="135" s="1"/>
  <c r="J374" i="135" a="1"/>
  <c r="J374" i="135" s="1"/>
  <c r="M374" i="135" a="1"/>
  <c r="M374" i="135" s="1"/>
  <c r="AF374" i="135" a="1"/>
  <c r="AF374" i="135" s="1"/>
  <c r="AI374" i="135" a="1"/>
  <c r="AI374" i="135" s="1"/>
  <c r="AL374" i="135" a="1"/>
  <c r="AL374" i="135" s="1"/>
  <c r="F374" i="135" a="1"/>
  <c r="F374" i="135" s="1"/>
  <c r="I374" i="135" a="1"/>
  <c r="I374" i="135" s="1"/>
  <c r="AB374" i="135" a="1"/>
  <c r="AB374" i="135" s="1"/>
  <c r="AE374" i="135" a="1"/>
  <c r="AE374" i="135" s="1"/>
  <c r="AH374" i="135" a="1"/>
  <c r="AH374" i="135" s="1"/>
  <c r="AK374" i="135" a="1"/>
  <c r="AK374" i="135" s="1"/>
  <c r="X374" i="135" a="1"/>
  <c r="X374" i="135" s="1"/>
  <c r="AA374" i="135" a="1"/>
  <c r="AA374" i="135" s="1"/>
  <c r="AD374" i="135" a="1"/>
  <c r="AD374" i="135" s="1"/>
  <c r="AG374" i="135" a="1"/>
  <c r="AG374" i="135" s="1"/>
  <c r="E376" i="135" l="1" a="1"/>
  <c r="E376" i="135" s="1"/>
  <c r="D376" i="135" s="1"/>
  <c r="Y375" i="135" a="1"/>
  <c r="Y375" i="135" s="1"/>
  <c r="X375" i="135" a="1"/>
  <c r="X375" i="135" s="1"/>
  <c r="AA375" i="135" a="1"/>
  <c r="AA375" i="135" s="1"/>
  <c r="Z375" i="135" a="1"/>
  <c r="Z375" i="135" s="1"/>
  <c r="R375" i="135" a="1"/>
  <c r="R375" i="135" s="1"/>
  <c r="U375" i="135" a="1"/>
  <c r="U375" i="135" s="1"/>
  <c r="T375" i="135" a="1"/>
  <c r="T375" i="135" s="1"/>
  <c r="W375" i="135" a="1"/>
  <c r="W375" i="135" s="1"/>
  <c r="V375" i="135" a="1"/>
  <c r="V375" i="135" s="1"/>
  <c r="Q375" i="135" a="1"/>
  <c r="Q375" i="135" s="1"/>
  <c r="P375" i="135" a="1"/>
  <c r="P375" i="135" s="1"/>
  <c r="S375" i="135" a="1"/>
  <c r="S375" i="135" s="1"/>
  <c r="M375" i="135" a="1"/>
  <c r="M375" i="135" s="1"/>
  <c r="L375" i="135" a="1"/>
  <c r="L375" i="135" s="1"/>
  <c r="O375" i="135" a="1"/>
  <c r="O375" i="135" s="1"/>
  <c r="N375" i="135" a="1"/>
  <c r="N375" i="135" s="1"/>
  <c r="I375" i="135" a="1"/>
  <c r="I375" i="135" s="1"/>
  <c r="H375" i="135" a="1"/>
  <c r="H375" i="135" s="1"/>
  <c r="K375" i="135" a="1"/>
  <c r="K375" i="135" s="1"/>
  <c r="J375" i="135" a="1"/>
  <c r="J375" i="135" s="1"/>
  <c r="AK375" i="135" a="1"/>
  <c r="AK375" i="135" s="1"/>
  <c r="AM375" i="135" a="1"/>
  <c r="AM375" i="135" s="1"/>
  <c r="G375" i="135" a="1"/>
  <c r="G375" i="135" s="1"/>
  <c r="AL375" i="135" a="1"/>
  <c r="AL375" i="135" s="1"/>
  <c r="AH375" i="135" a="1"/>
  <c r="AH375" i="135" s="1"/>
  <c r="AC375" i="135" a="1"/>
  <c r="AC375" i="135" s="1"/>
  <c r="AB375" i="135" a="1"/>
  <c r="AB375" i="135" s="1"/>
  <c r="AE375" i="135" a="1"/>
  <c r="AE375" i="135" s="1"/>
  <c r="AD375" i="135" a="1"/>
  <c r="AD375" i="135" s="1"/>
  <c r="AJ375" i="135" a="1"/>
  <c r="AJ375" i="135" s="1"/>
  <c r="AG375" i="135" a="1"/>
  <c r="AG375" i="135" s="1"/>
  <c r="AF375" i="135" a="1"/>
  <c r="AF375" i="135" s="1"/>
  <c r="AI375" i="135" a="1"/>
  <c r="AI375" i="135" s="1"/>
  <c r="F375" i="135" a="1"/>
  <c r="F375" i="135" s="1"/>
  <c r="E377" i="135" l="1" a="1"/>
  <c r="E377" i="135" s="1"/>
  <c r="D377" i="135" s="1"/>
  <c r="U376" i="135" a="1"/>
  <c r="U376" i="135" s="1"/>
  <c r="T376" i="135" a="1"/>
  <c r="T376" i="135" s="1"/>
  <c r="W376" i="135" a="1"/>
  <c r="W376" i="135" s="1"/>
  <c r="Z376" i="135" a="1"/>
  <c r="Z376" i="135" s="1"/>
  <c r="Q376" i="135" a="1"/>
  <c r="Q376" i="135" s="1"/>
  <c r="P376" i="135" a="1"/>
  <c r="P376" i="135" s="1"/>
  <c r="S376" i="135" a="1"/>
  <c r="S376" i="135" s="1"/>
  <c r="V376" i="135" a="1"/>
  <c r="V376" i="135" s="1"/>
  <c r="M376" i="135" a="1"/>
  <c r="M376" i="135" s="1"/>
  <c r="L376" i="135" a="1"/>
  <c r="L376" i="135" s="1"/>
  <c r="O376" i="135" a="1"/>
  <c r="O376" i="135" s="1"/>
  <c r="R376" i="135" a="1"/>
  <c r="R376" i="135" s="1"/>
  <c r="AC376" i="135" a="1"/>
  <c r="AC376" i="135" s="1"/>
  <c r="AB376" i="135" a="1"/>
  <c r="AB376" i="135" s="1"/>
  <c r="AE376" i="135" a="1"/>
  <c r="AE376" i="135" s="1"/>
  <c r="AH376" i="135" a="1"/>
  <c r="AH376" i="135" s="1"/>
  <c r="Y376" i="135" a="1"/>
  <c r="Y376" i="135" s="1"/>
  <c r="X376" i="135" a="1"/>
  <c r="X376" i="135" s="1"/>
  <c r="AA376" i="135" a="1"/>
  <c r="AA376" i="135" s="1"/>
  <c r="AD376" i="135" a="1"/>
  <c r="AD376" i="135" s="1"/>
  <c r="I376" i="135" a="1"/>
  <c r="I376" i="135" s="1"/>
  <c r="H376" i="135" a="1"/>
  <c r="H376" i="135" s="1"/>
  <c r="K376" i="135" a="1"/>
  <c r="K376" i="135" s="1"/>
  <c r="N376" i="135" a="1"/>
  <c r="N376" i="135" s="1"/>
  <c r="AK376" i="135" a="1"/>
  <c r="AK376" i="135" s="1"/>
  <c r="AJ376" i="135" a="1"/>
  <c r="AJ376" i="135" s="1"/>
  <c r="AM376" i="135" a="1"/>
  <c r="AM376" i="135" s="1"/>
  <c r="G376" i="135" a="1"/>
  <c r="G376" i="135" s="1"/>
  <c r="J376" i="135" a="1"/>
  <c r="J376" i="135" s="1"/>
  <c r="AG376" i="135" a="1"/>
  <c r="AG376" i="135" s="1"/>
  <c r="AF376" i="135" a="1"/>
  <c r="AF376" i="135" s="1"/>
  <c r="AI376" i="135" a="1"/>
  <c r="AI376" i="135" s="1"/>
  <c r="AL376" i="135" a="1"/>
  <c r="AL376" i="135" s="1"/>
  <c r="F376" i="135" a="1"/>
  <c r="F376" i="135" s="1"/>
  <c r="E378" i="135" l="1" a="1"/>
  <c r="E378" i="135" s="1"/>
  <c r="D378" i="135" s="1"/>
  <c r="Z377" i="135" a="1"/>
  <c r="Z377" i="135" s="1"/>
  <c r="AC377" i="135" a="1"/>
  <c r="AC377" i="135" s="1"/>
  <c r="AB377" i="135" a="1"/>
  <c r="AB377" i="135" s="1"/>
  <c r="S377" i="135" a="1"/>
  <c r="S377" i="135" s="1"/>
  <c r="V377" i="135" a="1"/>
  <c r="V377" i="135" s="1"/>
  <c r="Y377" i="135" a="1"/>
  <c r="Y377" i="135" s="1"/>
  <c r="X377" i="135" a="1"/>
  <c r="X377" i="135" s="1"/>
  <c r="O377" i="135" a="1"/>
  <c r="O377" i="135" s="1"/>
  <c r="R377" i="135" a="1"/>
  <c r="R377" i="135" s="1"/>
  <c r="U377" i="135" a="1"/>
  <c r="U377" i="135" s="1"/>
  <c r="T377" i="135" a="1"/>
  <c r="T377" i="135" s="1"/>
  <c r="K377" i="135" a="1"/>
  <c r="K377" i="135" s="1"/>
  <c r="L377" i="135" a="1"/>
  <c r="L377" i="135" s="1"/>
  <c r="G377" i="135" a="1"/>
  <c r="G377" i="135" s="1"/>
  <c r="AD377" i="135" a="1"/>
  <c r="AD377" i="135" s="1"/>
  <c r="AF377" i="135" a="1"/>
  <c r="AF377" i="135" s="1"/>
  <c r="AH377" i="135" a="1"/>
  <c r="AH377" i="135" s="1"/>
  <c r="AK377" i="135" a="1"/>
  <c r="AK377" i="135" s="1"/>
  <c r="AJ377" i="135" a="1"/>
  <c r="AJ377" i="135" s="1"/>
  <c r="AA377" i="135" a="1"/>
  <c r="AA377" i="135" s="1"/>
  <c r="AE377" i="135" a="1"/>
  <c r="AE377" i="135" s="1"/>
  <c r="N377" i="135" a="1"/>
  <c r="N377" i="135" s="1"/>
  <c r="Q377" i="135" a="1"/>
  <c r="Q377" i="135" s="1"/>
  <c r="P377" i="135" a="1"/>
  <c r="P377" i="135" s="1"/>
  <c r="AM377" i="135" a="1"/>
  <c r="AM377" i="135" s="1"/>
  <c r="J377" i="135" a="1"/>
  <c r="J377" i="135" s="1"/>
  <c r="M377" i="135" a="1"/>
  <c r="M377" i="135" s="1"/>
  <c r="AG377" i="135" a="1"/>
  <c r="AG377" i="135" s="1"/>
  <c r="W377" i="135" a="1"/>
  <c r="W377" i="135" s="1"/>
  <c r="AL377" i="135" a="1"/>
  <c r="AL377" i="135" s="1"/>
  <c r="F377" i="135" a="1"/>
  <c r="F377" i="135" s="1"/>
  <c r="I377" i="135" a="1"/>
  <c r="I377" i="135" s="1"/>
  <c r="H377" i="135" a="1"/>
  <c r="H377" i="135" s="1"/>
  <c r="AI377" i="135" a="1"/>
  <c r="AI377" i="135" s="1"/>
  <c r="E379" i="135" l="1" a="1"/>
  <c r="E379" i="135" s="1"/>
  <c r="D379" i="135" s="1"/>
  <c r="Z378" i="135" a="1"/>
  <c r="Z378" i="135" s="1"/>
  <c r="AC378" i="135" a="1"/>
  <c r="AC378" i="135" s="1"/>
  <c r="AB378" i="135" a="1"/>
  <c r="AB378" i="135" s="1"/>
  <c r="AE378" i="135" a="1"/>
  <c r="AE378" i="135" s="1"/>
  <c r="V378" i="135" a="1"/>
  <c r="V378" i="135" s="1"/>
  <c r="Y378" i="135" a="1"/>
  <c r="Y378" i="135" s="1"/>
  <c r="X378" i="135" a="1"/>
  <c r="X378" i="135" s="1"/>
  <c r="AA378" i="135" a="1"/>
  <c r="AA378" i="135" s="1"/>
  <c r="R378" i="135" a="1"/>
  <c r="R378" i="135" s="1"/>
  <c r="U378" i="135" a="1"/>
  <c r="U378" i="135" s="1"/>
  <c r="T378" i="135" a="1"/>
  <c r="T378" i="135" s="1"/>
  <c r="W378" i="135" a="1"/>
  <c r="W378" i="135" s="1"/>
  <c r="N378" i="135" a="1"/>
  <c r="N378" i="135" s="1"/>
  <c r="P378" i="135" a="1"/>
  <c r="P378" i="135" s="1"/>
  <c r="S378" i="135" a="1"/>
  <c r="S378" i="135" s="1"/>
  <c r="J378" i="135" a="1"/>
  <c r="J378" i="135" s="1"/>
  <c r="M378" i="135" a="1"/>
  <c r="M378" i="135" s="1"/>
  <c r="L378" i="135" a="1"/>
  <c r="L378" i="135" s="1"/>
  <c r="O378" i="135" a="1"/>
  <c r="O378" i="135" s="1"/>
  <c r="AH378" i="135" a="1"/>
  <c r="AH378" i="135" s="1"/>
  <c r="AK378" i="135" a="1"/>
  <c r="AK378" i="135" s="1"/>
  <c r="AJ378" i="135" a="1"/>
  <c r="AJ378" i="135" s="1"/>
  <c r="AM378" i="135" a="1"/>
  <c r="AM378" i="135" s="1"/>
  <c r="G378" i="135" a="1"/>
  <c r="G378" i="135" s="1"/>
  <c r="AD378" i="135" a="1"/>
  <c r="AD378" i="135" s="1"/>
  <c r="AG378" i="135" a="1"/>
  <c r="AG378" i="135" s="1"/>
  <c r="AF378" i="135" a="1"/>
  <c r="AF378" i="135" s="1"/>
  <c r="AI378" i="135" a="1"/>
  <c r="AI378" i="135" s="1"/>
  <c r="Q378" i="135" a="1"/>
  <c r="Q378" i="135" s="1"/>
  <c r="AL378" i="135" a="1"/>
  <c r="AL378" i="135" s="1"/>
  <c r="F378" i="135" a="1"/>
  <c r="F378" i="135" s="1"/>
  <c r="I378" i="135" a="1"/>
  <c r="I378" i="135" s="1"/>
  <c r="H378" i="135" a="1"/>
  <c r="H378" i="135" s="1"/>
  <c r="K378" i="135" a="1"/>
  <c r="K378" i="135" s="1"/>
  <c r="E380" i="135" l="1" a="1"/>
  <c r="E380" i="135" s="1"/>
  <c r="D380" i="135" s="1"/>
  <c r="AA379" i="135" a="1"/>
  <c r="AA379" i="135" s="1"/>
  <c r="AD379" i="135" a="1"/>
  <c r="AD379" i="135" s="1"/>
  <c r="AG379" i="135" a="1"/>
  <c r="AG379" i="135" s="1"/>
  <c r="P379" i="135" a="1"/>
  <c r="P379" i="135" s="1"/>
  <c r="W379" i="135" a="1"/>
  <c r="W379" i="135" s="1"/>
  <c r="Z379" i="135" a="1"/>
  <c r="Z379" i="135" s="1"/>
  <c r="AC379" i="135" a="1"/>
  <c r="AC379" i="135" s="1"/>
  <c r="L379" i="135" a="1"/>
  <c r="L379" i="135" s="1"/>
  <c r="S379" i="135" a="1"/>
  <c r="S379" i="135" s="1"/>
  <c r="V379" i="135" a="1"/>
  <c r="V379" i="135" s="1"/>
  <c r="Y379" i="135" a="1"/>
  <c r="Y379" i="135" s="1"/>
  <c r="H379" i="135" a="1"/>
  <c r="H379" i="135" s="1"/>
  <c r="R379" i="135" a="1"/>
  <c r="R379" i="135" s="1"/>
  <c r="U379" i="135" a="1"/>
  <c r="U379" i="135" s="1"/>
  <c r="AJ379" i="135" a="1"/>
  <c r="AJ379" i="135" s="1"/>
  <c r="K379" i="135" a="1"/>
  <c r="K379" i="135" s="1"/>
  <c r="N379" i="135" a="1"/>
  <c r="N379" i="135" s="1"/>
  <c r="Q379" i="135" a="1"/>
  <c r="Q379" i="135" s="1"/>
  <c r="AF379" i="135" a="1"/>
  <c r="AF379" i="135" s="1"/>
  <c r="O379" i="135" a="1"/>
  <c r="O379" i="135" s="1"/>
  <c r="AI379" i="135" a="1"/>
  <c r="AI379" i="135" s="1"/>
  <c r="AL379" i="135" a="1"/>
  <c r="AL379" i="135" s="1"/>
  <c r="F379" i="135" a="1"/>
  <c r="F379" i="135" s="1"/>
  <c r="I379" i="135" a="1"/>
  <c r="I379" i="135" s="1"/>
  <c r="X379" i="135" a="1"/>
  <c r="X379" i="135" s="1"/>
  <c r="AE379" i="135" a="1"/>
  <c r="AE379" i="135" s="1"/>
  <c r="AH379" i="135" a="1"/>
  <c r="AH379" i="135" s="1"/>
  <c r="AK379" i="135" a="1"/>
  <c r="AK379" i="135" s="1"/>
  <c r="T379" i="135" a="1"/>
  <c r="T379" i="135" s="1"/>
  <c r="AM379" i="135" a="1"/>
  <c r="AM379" i="135" s="1"/>
  <c r="G379" i="135" a="1"/>
  <c r="G379" i="135" s="1"/>
  <c r="J379" i="135" a="1"/>
  <c r="J379" i="135" s="1"/>
  <c r="M379" i="135" a="1"/>
  <c r="M379" i="135" s="1"/>
  <c r="AB379" i="135" a="1"/>
  <c r="AB379" i="135" s="1"/>
  <c r="E381" i="135" l="1" a="1"/>
  <c r="E381" i="135" s="1"/>
  <c r="D381" i="135" s="1"/>
  <c r="AA380" i="135" a="1"/>
  <c r="AA380" i="135" s="1"/>
  <c r="AD380" i="135" a="1"/>
  <c r="AD380" i="135" s="1"/>
  <c r="AG380" i="135" a="1"/>
  <c r="AG380" i="135" s="1"/>
  <c r="AF380" i="135" a="1"/>
  <c r="AF380" i="135" s="1"/>
  <c r="W380" i="135" a="1"/>
  <c r="W380" i="135" s="1"/>
  <c r="Z380" i="135" a="1"/>
  <c r="Z380" i="135" s="1"/>
  <c r="AC380" i="135" a="1"/>
  <c r="AC380" i="135" s="1"/>
  <c r="AB380" i="135" a="1"/>
  <c r="AB380" i="135" s="1"/>
  <c r="S380" i="135" a="1"/>
  <c r="S380" i="135" s="1"/>
  <c r="V380" i="135" a="1"/>
  <c r="V380" i="135" s="1"/>
  <c r="Y380" i="135" a="1"/>
  <c r="Y380" i="135" s="1"/>
  <c r="X380" i="135" a="1"/>
  <c r="X380" i="135" s="1"/>
  <c r="AH380" i="135" a="1"/>
  <c r="AH380" i="135" s="1"/>
  <c r="O380" i="135" a="1"/>
  <c r="O380" i="135" s="1"/>
  <c r="R380" i="135" a="1"/>
  <c r="R380" i="135" s="1"/>
  <c r="U380" i="135" a="1"/>
  <c r="U380" i="135" s="1"/>
  <c r="T380" i="135" a="1"/>
  <c r="T380" i="135" s="1"/>
  <c r="K380" i="135" a="1"/>
  <c r="K380" i="135" s="1"/>
  <c r="N380" i="135" a="1"/>
  <c r="N380" i="135" s="1"/>
  <c r="Q380" i="135" a="1"/>
  <c r="Q380" i="135" s="1"/>
  <c r="P380" i="135" a="1"/>
  <c r="P380" i="135" s="1"/>
  <c r="AI380" i="135" a="1"/>
  <c r="AI380" i="135" s="1"/>
  <c r="AL380" i="135" a="1"/>
  <c r="AL380" i="135" s="1"/>
  <c r="F380" i="135" a="1"/>
  <c r="F380" i="135" s="1"/>
  <c r="I380" i="135" a="1"/>
  <c r="I380" i="135" s="1"/>
  <c r="H380" i="135" a="1"/>
  <c r="H380" i="135" s="1"/>
  <c r="AE380" i="135" a="1"/>
  <c r="AE380" i="135" s="1"/>
  <c r="AK380" i="135" a="1"/>
  <c r="AK380" i="135" s="1"/>
  <c r="AJ380" i="135" a="1"/>
  <c r="AJ380" i="135" s="1"/>
  <c r="AM380" i="135" a="1"/>
  <c r="AM380" i="135" s="1"/>
  <c r="G380" i="135" a="1"/>
  <c r="G380" i="135" s="1"/>
  <c r="J380" i="135" a="1"/>
  <c r="J380" i="135" s="1"/>
  <c r="M380" i="135" a="1"/>
  <c r="M380" i="135" s="1"/>
  <c r="L380" i="135" a="1"/>
  <c r="L380" i="135" s="1"/>
  <c r="E382" i="135" l="1" a="1"/>
  <c r="E382" i="135" s="1"/>
  <c r="D382" i="135" s="1"/>
  <c r="T381" i="135" a="1"/>
  <c r="T381" i="135" s="1"/>
  <c r="W381" i="135" a="1"/>
  <c r="W381" i="135" s="1"/>
  <c r="Z381" i="135" a="1"/>
  <c r="Z381" i="135" s="1"/>
  <c r="AK381" i="135" a="1"/>
  <c r="AK381" i="135" s="1"/>
  <c r="P381" i="135" a="1"/>
  <c r="P381" i="135" s="1"/>
  <c r="S381" i="135" a="1"/>
  <c r="S381" i="135" s="1"/>
  <c r="V381" i="135" a="1"/>
  <c r="V381" i="135" s="1"/>
  <c r="AG381" i="135" a="1"/>
  <c r="AG381" i="135" s="1"/>
  <c r="H381" i="135" a="1"/>
  <c r="H381" i="135" s="1"/>
  <c r="K381" i="135" a="1"/>
  <c r="K381" i="135" s="1"/>
  <c r="N381" i="135" a="1"/>
  <c r="N381" i="135" s="1"/>
  <c r="Y381" i="135" a="1"/>
  <c r="Y381" i="135" s="1"/>
  <c r="AF381" i="135" a="1"/>
  <c r="AF381" i="135" s="1"/>
  <c r="AI381" i="135" a="1"/>
  <c r="AI381" i="135" s="1"/>
  <c r="AL381" i="135" a="1"/>
  <c r="AL381" i="135" s="1"/>
  <c r="F381" i="135" a="1"/>
  <c r="F381" i="135" s="1"/>
  <c r="Q381" i="135" a="1"/>
  <c r="Q381" i="135" s="1"/>
  <c r="AH381" i="135" a="1"/>
  <c r="AH381" i="135" s="1"/>
  <c r="AA381" i="135" a="1"/>
  <c r="AA381" i="135" s="1"/>
  <c r="AD381" i="135" a="1"/>
  <c r="AD381" i="135" s="1"/>
  <c r="L381" i="135" a="1"/>
  <c r="L381" i="135" s="1"/>
  <c r="O381" i="135" a="1"/>
  <c r="O381" i="135" s="1"/>
  <c r="R381" i="135" a="1"/>
  <c r="R381" i="135" s="1"/>
  <c r="AC381" i="135" a="1"/>
  <c r="AC381" i="135" s="1"/>
  <c r="AJ381" i="135" a="1"/>
  <c r="AJ381" i="135" s="1"/>
  <c r="AM381" i="135" a="1"/>
  <c r="AM381" i="135" s="1"/>
  <c r="G381" i="135" a="1"/>
  <c r="G381" i="135" s="1"/>
  <c r="J381" i="135" a="1"/>
  <c r="J381" i="135" s="1"/>
  <c r="U381" i="135" a="1"/>
  <c r="U381" i="135" s="1"/>
  <c r="AB381" i="135" a="1"/>
  <c r="AB381" i="135" s="1"/>
  <c r="AE381" i="135" a="1"/>
  <c r="AE381" i="135" s="1"/>
  <c r="M381" i="135" a="1"/>
  <c r="M381" i="135" s="1"/>
  <c r="X381" i="135" a="1"/>
  <c r="X381" i="135" s="1"/>
  <c r="I381" i="135" a="1"/>
  <c r="I381" i="135" s="1"/>
  <c r="E383" i="135" l="1" a="1"/>
  <c r="E383" i="135" s="1"/>
  <c r="D383" i="135" s="1"/>
  <c r="L382" i="135" a="1"/>
  <c r="L382" i="135" s="1"/>
  <c r="O382" i="135" a="1"/>
  <c r="O382" i="135" s="1"/>
  <c r="R382" i="135" a="1"/>
  <c r="R382" i="135" s="1"/>
  <c r="U382" i="135" a="1"/>
  <c r="U382" i="135" s="1"/>
  <c r="H382" i="135" a="1"/>
  <c r="H382" i="135" s="1"/>
  <c r="K382" i="135" a="1"/>
  <c r="K382" i="135" s="1"/>
  <c r="N382" i="135" a="1"/>
  <c r="N382" i="135" s="1"/>
  <c r="Q382" i="135" a="1"/>
  <c r="Q382" i="135" s="1"/>
  <c r="AJ382" i="135" a="1"/>
  <c r="AJ382" i="135" s="1"/>
  <c r="G382" i="135" a="1"/>
  <c r="G382" i="135" s="1"/>
  <c r="J382" i="135" a="1"/>
  <c r="J382" i="135" s="1"/>
  <c r="M382" i="135" a="1"/>
  <c r="M382" i="135" s="1"/>
  <c r="AB382" i="135" a="1"/>
  <c r="AB382" i="135" s="1"/>
  <c r="AE382" i="135" a="1"/>
  <c r="AE382" i="135" s="1"/>
  <c r="AH382" i="135" a="1"/>
  <c r="AH382" i="135" s="1"/>
  <c r="AK382" i="135" a="1"/>
  <c r="AK382" i="135" s="1"/>
  <c r="X382" i="135" a="1"/>
  <c r="X382" i="135" s="1"/>
  <c r="AA382" i="135" a="1"/>
  <c r="AA382" i="135" s="1"/>
  <c r="AD382" i="135" a="1"/>
  <c r="AD382" i="135" s="1"/>
  <c r="AG382" i="135" a="1"/>
  <c r="AG382" i="135" s="1"/>
  <c r="T382" i="135" a="1"/>
  <c r="T382" i="135" s="1"/>
  <c r="W382" i="135" a="1"/>
  <c r="W382" i="135" s="1"/>
  <c r="Z382" i="135" a="1"/>
  <c r="Z382" i="135" s="1"/>
  <c r="AC382" i="135" a="1"/>
  <c r="AC382" i="135" s="1"/>
  <c r="P382" i="135" a="1"/>
  <c r="P382" i="135" s="1"/>
  <c r="S382" i="135" a="1"/>
  <c r="S382" i="135" s="1"/>
  <c r="V382" i="135" a="1"/>
  <c r="V382" i="135" s="1"/>
  <c r="Y382" i="135" a="1"/>
  <c r="Y382" i="135" s="1"/>
  <c r="AM382" i="135" a="1"/>
  <c r="AM382" i="135" s="1"/>
  <c r="AF382" i="135" a="1"/>
  <c r="AF382" i="135" s="1"/>
  <c r="AI382" i="135" a="1"/>
  <c r="AI382" i="135" s="1"/>
  <c r="AL382" i="135" a="1"/>
  <c r="AL382" i="135" s="1"/>
  <c r="F382" i="135" a="1"/>
  <c r="F382" i="135" s="1"/>
  <c r="I382" i="135" a="1"/>
  <c r="I382" i="135" s="1"/>
  <c r="E384" i="135" l="1" a="1"/>
  <c r="E384" i="135" s="1"/>
  <c r="D384" i="135" s="1"/>
  <c r="Y383" i="135" a="1"/>
  <c r="Y383" i="135" s="1"/>
  <c r="X383" i="135" a="1"/>
  <c r="X383" i="135" s="1"/>
  <c r="AA383" i="135" a="1"/>
  <c r="AA383" i="135" s="1"/>
  <c r="AH383" i="135" a="1"/>
  <c r="AH383" i="135" s="1"/>
  <c r="AG383" i="135" a="1"/>
  <c r="AG383" i="135" s="1"/>
  <c r="AF383" i="135" a="1"/>
  <c r="AF383" i="135" s="1"/>
  <c r="AI383" i="135" a="1"/>
  <c r="AI383" i="135" s="1"/>
  <c r="AL383" i="135" a="1"/>
  <c r="AL383" i="135" s="1"/>
  <c r="J383" i="135" a="1"/>
  <c r="J383" i="135" s="1"/>
  <c r="U383" i="135" a="1"/>
  <c r="U383" i="135" s="1"/>
  <c r="T383" i="135" a="1"/>
  <c r="T383" i="135" s="1"/>
  <c r="W383" i="135" a="1"/>
  <c r="W383" i="135" s="1"/>
  <c r="AD383" i="135" a="1"/>
  <c r="AD383" i="135" s="1"/>
  <c r="Q383" i="135" a="1"/>
  <c r="Q383" i="135" s="1"/>
  <c r="P383" i="135" a="1"/>
  <c r="P383" i="135" s="1"/>
  <c r="S383" i="135" a="1"/>
  <c r="S383" i="135" s="1"/>
  <c r="Z383" i="135" a="1"/>
  <c r="Z383" i="135" s="1"/>
  <c r="M383" i="135" a="1"/>
  <c r="M383" i="135" s="1"/>
  <c r="L383" i="135" a="1"/>
  <c r="L383" i="135" s="1"/>
  <c r="O383" i="135" a="1"/>
  <c r="O383" i="135" s="1"/>
  <c r="V383" i="135" a="1"/>
  <c r="V383" i="135" s="1"/>
  <c r="I383" i="135" a="1"/>
  <c r="I383" i="135" s="1"/>
  <c r="H383" i="135" a="1"/>
  <c r="H383" i="135" s="1"/>
  <c r="K383" i="135" a="1"/>
  <c r="K383" i="135" s="1"/>
  <c r="R383" i="135" a="1"/>
  <c r="R383" i="135" s="1"/>
  <c r="AJ383" i="135" a="1"/>
  <c r="AJ383" i="135" s="1"/>
  <c r="G383" i="135" a="1"/>
  <c r="G383" i="135" s="1"/>
  <c r="AC383" i="135" a="1"/>
  <c r="AC383" i="135" s="1"/>
  <c r="AB383" i="135" a="1"/>
  <c r="AB383" i="135" s="1"/>
  <c r="AE383" i="135" a="1"/>
  <c r="AE383" i="135" s="1"/>
  <c r="F383" i="135" a="1"/>
  <c r="F383" i="135" s="1"/>
  <c r="AK383" i="135" a="1"/>
  <c r="AK383" i="135" s="1"/>
  <c r="AM383" i="135" a="1"/>
  <c r="AM383" i="135" s="1"/>
  <c r="N383" i="135" a="1"/>
  <c r="N383" i="135" s="1"/>
  <c r="E385" i="135" l="1" a="1"/>
  <c r="E385" i="135" s="1"/>
  <c r="D385" i="135" s="1"/>
  <c r="Y384" i="135" a="1"/>
  <c r="Y384" i="135" s="1"/>
  <c r="X384" i="135" a="1"/>
  <c r="X384" i="135" s="1"/>
  <c r="AA384" i="135" a="1"/>
  <c r="AA384" i="135" s="1"/>
  <c r="AD384" i="135" a="1"/>
  <c r="AD384" i="135" s="1"/>
  <c r="M384" i="135" a="1"/>
  <c r="M384" i="135" s="1"/>
  <c r="L384" i="135" a="1"/>
  <c r="L384" i="135" s="1"/>
  <c r="O384" i="135" a="1"/>
  <c r="O384" i="135" s="1"/>
  <c r="R384" i="135" a="1"/>
  <c r="R384" i="135" s="1"/>
  <c r="AK384" i="135" a="1"/>
  <c r="AK384" i="135" s="1"/>
  <c r="AJ384" i="135" a="1"/>
  <c r="AJ384" i="135" s="1"/>
  <c r="AM384" i="135" a="1"/>
  <c r="AM384" i="135" s="1"/>
  <c r="G384" i="135" a="1"/>
  <c r="G384" i="135" s="1"/>
  <c r="J384" i="135" a="1"/>
  <c r="J384" i="135" s="1"/>
  <c r="AG384" i="135" a="1"/>
  <c r="AG384" i="135" s="1"/>
  <c r="AF384" i="135" a="1"/>
  <c r="AF384" i="135" s="1"/>
  <c r="AI384" i="135" a="1"/>
  <c r="AI384" i="135" s="1"/>
  <c r="AL384" i="135" a="1"/>
  <c r="AL384" i="135" s="1"/>
  <c r="F384" i="135" a="1"/>
  <c r="F384" i="135" s="1"/>
  <c r="AC384" i="135" a="1"/>
  <c r="AC384" i="135" s="1"/>
  <c r="AB384" i="135" a="1"/>
  <c r="AB384" i="135" s="1"/>
  <c r="AE384" i="135" a="1"/>
  <c r="AE384" i="135" s="1"/>
  <c r="AH384" i="135" a="1"/>
  <c r="AH384" i="135" s="1"/>
  <c r="U384" i="135" a="1"/>
  <c r="U384" i="135" s="1"/>
  <c r="T384" i="135" a="1"/>
  <c r="T384" i="135" s="1"/>
  <c r="W384" i="135" a="1"/>
  <c r="W384" i="135" s="1"/>
  <c r="Z384" i="135" a="1"/>
  <c r="Z384" i="135" s="1"/>
  <c r="Q384" i="135" a="1"/>
  <c r="Q384" i="135" s="1"/>
  <c r="P384" i="135" a="1"/>
  <c r="P384" i="135" s="1"/>
  <c r="S384" i="135" a="1"/>
  <c r="S384" i="135" s="1"/>
  <c r="V384" i="135" a="1"/>
  <c r="V384" i="135" s="1"/>
  <c r="I384" i="135" a="1"/>
  <c r="I384" i="135" s="1"/>
  <c r="H384" i="135" a="1"/>
  <c r="H384" i="135" s="1"/>
  <c r="K384" i="135" a="1"/>
  <c r="K384" i="135" s="1"/>
  <c r="N384" i="135" a="1"/>
  <c r="N384" i="135" s="1"/>
  <c r="E386" i="135" l="1" a="1"/>
  <c r="E386" i="135" s="1"/>
  <c r="D386" i="135" s="1"/>
  <c r="V385" i="135" a="1"/>
  <c r="V385" i="135" s="1"/>
  <c r="Y385" i="135" a="1"/>
  <c r="Y385" i="135" s="1"/>
  <c r="X385" i="135" a="1"/>
  <c r="X385" i="135" s="1"/>
  <c r="S385" i="135" a="1"/>
  <c r="S385" i="135" s="1"/>
  <c r="Z385" i="135" a="1"/>
  <c r="Z385" i="135" s="1"/>
  <c r="AC385" i="135" a="1"/>
  <c r="AC385" i="135" s="1"/>
  <c r="AB385" i="135" a="1"/>
  <c r="AB385" i="135" s="1"/>
  <c r="W385" i="135" a="1"/>
  <c r="W385" i="135" s="1"/>
  <c r="R385" i="135" a="1"/>
  <c r="R385" i="135" s="1"/>
  <c r="U385" i="135" a="1"/>
  <c r="U385" i="135" s="1"/>
  <c r="T385" i="135" a="1"/>
  <c r="T385" i="135" s="1"/>
  <c r="O385" i="135" a="1"/>
  <c r="O385" i="135" s="1"/>
  <c r="AD385" i="135" a="1"/>
  <c r="AD385" i="135" s="1"/>
  <c r="AF385" i="135" a="1"/>
  <c r="AF385" i="135" s="1"/>
  <c r="AA385" i="135" a="1"/>
  <c r="AA385" i="135" s="1"/>
  <c r="N385" i="135" a="1"/>
  <c r="N385" i="135" s="1"/>
  <c r="Q385" i="135" a="1"/>
  <c r="Q385" i="135" s="1"/>
  <c r="P385" i="135" a="1"/>
  <c r="P385" i="135" s="1"/>
  <c r="K385" i="135" a="1"/>
  <c r="K385" i="135" s="1"/>
  <c r="J385" i="135" a="1"/>
  <c r="J385" i="135" s="1"/>
  <c r="M385" i="135" a="1"/>
  <c r="M385" i="135" s="1"/>
  <c r="L385" i="135" a="1"/>
  <c r="L385" i="135" s="1"/>
  <c r="AM385" i="135" a="1"/>
  <c r="AM385" i="135" s="1"/>
  <c r="AH385" i="135" a="1"/>
  <c r="AH385" i="135" s="1"/>
  <c r="AK385" i="135" a="1"/>
  <c r="AK385" i="135" s="1"/>
  <c r="AJ385" i="135" a="1"/>
  <c r="AJ385" i="135" s="1"/>
  <c r="AE385" i="135" a="1"/>
  <c r="AE385" i="135" s="1"/>
  <c r="AI385" i="135" a="1"/>
  <c r="AI385" i="135" s="1"/>
  <c r="AG385" i="135" a="1"/>
  <c r="AG385" i="135" s="1"/>
  <c r="AL385" i="135" a="1"/>
  <c r="AL385" i="135" s="1"/>
  <c r="F385" i="135" a="1"/>
  <c r="F385" i="135" s="1"/>
  <c r="I385" i="135" a="1"/>
  <c r="I385" i="135" s="1"/>
  <c r="H385" i="135" a="1"/>
  <c r="H385" i="135" s="1"/>
  <c r="G385" i="135" a="1"/>
  <c r="G385" i="135" s="1"/>
  <c r="E387" i="135" l="1" a="1"/>
  <c r="E387" i="135" s="1"/>
  <c r="D387" i="135" s="1"/>
  <c r="V386" i="135" a="1"/>
  <c r="V386" i="135" s="1"/>
  <c r="Y386" i="135" a="1"/>
  <c r="Y386" i="135" s="1"/>
  <c r="X386" i="135" a="1"/>
  <c r="X386" i="135" s="1"/>
  <c r="AA386" i="135" a="1"/>
  <c r="AA386" i="135" s="1"/>
  <c r="R386" i="135" a="1"/>
  <c r="R386" i="135" s="1"/>
  <c r="U386" i="135" a="1"/>
  <c r="U386" i="135" s="1"/>
  <c r="T386" i="135" a="1"/>
  <c r="T386" i="135" s="1"/>
  <c r="W386" i="135" a="1"/>
  <c r="W386" i="135" s="1"/>
  <c r="Q386" i="135" a="1"/>
  <c r="Q386" i="135" s="1"/>
  <c r="S386" i="135" a="1"/>
  <c r="S386" i="135" s="1"/>
  <c r="J386" i="135" a="1"/>
  <c r="J386" i="135" s="1"/>
  <c r="M386" i="135" a="1"/>
  <c r="M386" i="135" s="1"/>
  <c r="L386" i="135" a="1"/>
  <c r="L386" i="135" s="1"/>
  <c r="O386" i="135" a="1"/>
  <c r="O386" i="135" s="1"/>
  <c r="AH386" i="135" a="1"/>
  <c r="AH386" i="135" s="1"/>
  <c r="AK386" i="135" a="1"/>
  <c r="AK386" i="135" s="1"/>
  <c r="AJ386" i="135" a="1"/>
  <c r="AJ386" i="135" s="1"/>
  <c r="AM386" i="135" a="1"/>
  <c r="AM386" i="135" s="1"/>
  <c r="G386" i="135" a="1"/>
  <c r="G386" i="135" s="1"/>
  <c r="AD386" i="135" a="1"/>
  <c r="AD386" i="135" s="1"/>
  <c r="AG386" i="135" a="1"/>
  <c r="AG386" i="135" s="1"/>
  <c r="AF386" i="135" a="1"/>
  <c r="AF386" i="135" s="1"/>
  <c r="AI386" i="135" a="1"/>
  <c r="AI386" i="135" s="1"/>
  <c r="N386" i="135" a="1"/>
  <c r="N386" i="135" s="1"/>
  <c r="P386" i="135" a="1"/>
  <c r="P386" i="135" s="1"/>
  <c r="AL386" i="135" a="1"/>
  <c r="AL386" i="135" s="1"/>
  <c r="F386" i="135" a="1"/>
  <c r="F386" i="135" s="1"/>
  <c r="I386" i="135" a="1"/>
  <c r="I386" i="135" s="1"/>
  <c r="H386" i="135" a="1"/>
  <c r="H386" i="135" s="1"/>
  <c r="K386" i="135" a="1"/>
  <c r="K386" i="135" s="1"/>
  <c r="Z386" i="135" a="1"/>
  <c r="Z386" i="135" s="1"/>
  <c r="AC386" i="135" a="1"/>
  <c r="AC386" i="135" s="1"/>
  <c r="AB386" i="135" a="1"/>
  <c r="AB386" i="135" s="1"/>
  <c r="AE386" i="135" a="1"/>
  <c r="AE386" i="135" s="1"/>
  <c r="E388" i="135" l="1" a="1"/>
  <c r="E388" i="135" s="1"/>
  <c r="D388" i="135" s="1"/>
  <c r="U387" i="135" a="1"/>
  <c r="U387" i="135" s="1"/>
  <c r="AF387" i="135" a="1"/>
  <c r="AF387" i="135" s="1"/>
  <c r="O387" i="135" a="1"/>
  <c r="O387" i="135" s="1"/>
  <c r="AB387" i="135" a="1"/>
  <c r="AB387" i="135" s="1"/>
  <c r="Q387" i="135" a="1"/>
  <c r="Q387" i="135" s="1"/>
  <c r="P387" i="135" a="1"/>
  <c r="P387" i="135" s="1"/>
  <c r="F387" i="135" a="1"/>
  <c r="F387" i="135" s="1"/>
  <c r="H387" i="135" a="1"/>
  <c r="H387" i="135" s="1"/>
  <c r="AE387" i="135" a="1"/>
  <c r="AE387" i="135" s="1"/>
  <c r="AD387" i="135" a="1"/>
  <c r="AD387" i="135" s="1"/>
  <c r="V387" i="135" a="1"/>
  <c r="V387" i="135" s="1"/>
  <c r="X387" i="135" a="1"/>
  <c r="X387" i="135" s="1"/>
  <c r="Y387" i="135" a="1"/>
  <c r="Y387" i="135" s="1"/>
  <c r="T387" i="135" a="1"/>
  <c r="T387" i="135" s="1"/>
  <c r="M387" i="135" a="1"/>
  <c r="M387" i="135" s="1"/>
  <c r="G387" i="135" a="1"/>
  <c r="G387" i="135" s="1"/>
  <c r="AI387" i="135" a="1"/>
  <c r="AI387" i="135" s="1"/>
  <c r="W387" i="135" a="1"/>
  <c r="W387" i="135" s="1"/>
  <c r="I387" i="135" a="1"/>
  <c r="I387" i="135" s="1"/>
  <c r="R387" i="135" a="1"/>
  <c r="R387" i="135" s="1"/>
  <c r="AC387" i="135" a="1"/>
  <c r="AC387" i="135" s="1"/>
  <c r="AJ387" i="135" a="1"/>
  <c r="AJ387" i="135" s="1"/>
  <c r="L387" i="135" a="1"/>
  <c r="L387" i="135" s="1"/>
  <c r="N387" i="135" a="1"/>
  <c r="N387" i="135" s="1"/>
  <c r="AK387" i="135" a="1"/>
  <c r="AK387" i="135" s="1"/>
  <c r="AL387" i="135" a="1"/>
  <c r="AL387" i="135" s="1"/>
  <c r="Z387" i="135" a="1"/>
  <c r="Z387" i="135" s="1"/>
  <c r="S387" i="135" a="1"/>
  <c r="S387" i="135" s="1"/>
  <c r="AM387" i="135" a="1"/>
  <c r="AM387" i="135" s="1"/>
  <c r="AG387" i="135" a="1"/>
  <c r="AG387" i="135" s="1"/>
  <c r="AA387" i="135" a="1"/>
  <c r="AA387" i="135" s="1"/>
  <c r="K387" i="135" a="1"/>
  <c r="K387" i="135" s="1"/>
  <c r="J387" i="135" a="1"/>
  <c r="J387" i="135" s="1"/>
  <c r="AH387" i="135" a="1"/>
  <c r="AH387" i="135" s="1"/>
  <c r="E389" i="135" l="1" a="1"/>
  <c r="E389" i="135" s="1"/>
  <c r="D389" i="135" s="1"/>
  <c r="Y388" i="135" a="1"/>
  <c r="Y388" i="135" s="1"/>
  <c r="X388" i="135" a="1"/>
  <c r="X388" i="135" s="1"/>
  <c r="AA388" i="135" a="1"/>
  <c r="AA388" i="135" s="1"/>
  <c r="F388" i="135" a="1"/>
  <c r="F388" i="135" s="1"/>
  <c r="AH388" i="135" a="1"/>
  <c r="AH388" i="135" s="1"/>
  <c r="U388" i="135" a="1"/>
  <c r="U388" i="135" s="1"/>
  <c r="T388" i="135" a="1"/>
  <c r="T388" i="135" s="1"/>
  <c r="AM388" i="135" a="1"/>
  <c r="AM388" i="135" s="1"/>
  <c r="R388" i="135" a="1"/>
  <c r="R388" i="135" s="1"/>
  <c r="Q388" i="135" a="1"/>
  <c r="Q388" i="135" s="1"/>
  <c r="P388" i="135" a="1"/>
  <c r="P388" i="135" s="1"/>
  <c r="N388" i="135" a="1"/>
  <c r="N388" i="135" s="1"/>
  <c r="K388" i="135" a="1"/>
  <c r="K388" i="135" s="1"/>
  <c r="L388" i="135" a="1"/>
  <c r="L388" i="135" s="1"/>
  <c r="G388" i="135" a="1"/>
  <c r="G388" i="135" s="1"/>
  <c r="AI388" i="135" a="1"/>
  <c r="AI388" i="135" s="1"/>
  <c r="AF388" i="135" a="1"/>
  <c r="AF388" i="135" s="1"/>
  <c r="O388" i="135" a="1"/>
  <c r="O388" i="135" s="1"/>
  <c r="AL388" i="135" a="1"/>
  <c r="AL388" i="135" s="1"/>
  <c r="AB388" i="135" a="1"/>
  <c r="AB388" i="135" s="1"/>
  <c r="M388" i="135" a="1"/>
  <c r="M388" i="135" s="1"/>
  <c r="I388" i="135" a="1"/>
  <c r="I388" i="135" s="1"/>
  <c r="H388" i="135" a="1"/>
  <c r="H388" i="135" s="1"/>
  <c r="Z388" i="135" a="1"/>
  <c r="Z388" i="135" s="1"/>
  <c r="J388" i="135" a="1"/>
  <c r="J388" i="135" s="1"/>
  <c r="AK388" i="135" a="1"/>
  <c r="AK388" i="135" s="1"/>
  <c r="AJ388" i="135" a="1"/>
  <c r="AJ388" i="135" s="1"/>
  <c r="V388" i="135" a="1"/>
  <c r="V388" i="135" s="1"/>
  <c r="S388" i="135" a="1"/>
  <c r="S388" i="135" s="1"/>
  <c r="AD388" i="135" a="1"/>
  <c r="AD388" i="135" s="1"/>
  <c r="AG388" i="135" a="1"/>
  <c r="AG388" i="135" s="1"/>
  <c r="W388" i="135" a="1"/>
  <c r="W388" i="135" s="1"/>
  <c r="AC388" i="135" a="1"/>
  <c r="AC388" i="135" s="1"/>
  <c r="AE388" i="135" a="1"/>
  <c r="AE388" i="135" s="1"/>
  <c r="E390" i="135" l="1" a="1"/>
  <c r="E390" i="135" s="1"/>
  <c r="D390" i="135" s="1"/>
  <c r="Z389" i="135" a="1"/>
  <c r="Z389" i="135" s="1"/>
  <c r="X389" i="135" a="1"/>
  <c r="X389" i="135" s="1"/>
  <c r="AB389" i="135" a="1"/>
  <c r="AB389" i="135" s="1"/>
  <c r="Y389" i="135" a="1"/>
  <c r="Y389" i="135" s="1"/>
  <c r="W389" i="135" a="1"/>
  <c r="W389" i="135" s="1"/>
  <c r="V389" i="135" a="1"/>
  <c r="V389" i="135" s="1"/>
  <c r="AJ389" i="135" a="1"/>
  <c r="AJ389" i="135" s="1"/>
  <c r="I389" i="135" a="1"/>
  <c r="I389" i="135" s="1"/>
  <c r="S389" i="135" a="1"/>
  <c r="S389" i="135" s="1"/>
  <c r="R389" i="135" a="1"/>
  <c r="R389" i="135" s="1"/>
  <c r="Q389" i="135" a="1"/>
  <c r="Q389" i="135" s="1"/>
  <c r="U389" i="135" a="1"/>
  <c r="U389" i="135" s="1"/>
  <c r="L389" i="135" a="1"/>
  <c r="L389" i="135" s="1"/>
  <c r="N389" i="135" a="1"/>
  <c r="N389" i="135" s="1"/>
  <c r="K389" i="135" a="1"/>
  <c r="K389" i="135" s="1"/>
  <c r="O389" i="135" a="1"/>
  <c r="O389" i="135" s="1"/>
  <c r="G389" i="135" a="1"/>
  <c r="G389" i="135" s="1"/>
  <c r="J389" i="135" a="1"/>
  <c r="J389" i="135" s="1"/>
  <c r="AC389" i="135" a="1"/>
  <c r="AC389" i="135" s="1"/>
  <c r="H389" i="135" a="1"/>
  <c r="H389" i="135" s="1"/>
  <c r="AM389" i="135" a="1"/>
  <c r="AM389" i="135" s="1"/>
  <c r="AF389" i="135" a="1"/>
  <c r="AF389" i="135" s="1"/>
  <c r="F389" i="135" a="1"/>
  <c r="F389" i="135" s="1"/>
  <c r="AL389" i="135" a="1"/>
  <c r="AL389" i="135" s="1"/>
  <c r="AG389" i="135" a="1"/>
  <c r="AG389" i="135" s="1"/>
  <c r="AH389" i="135" a="1"/>
  <c r="AH389" i="135" s="1"/>
  <c r="AK389" i="135" a="1"/>
  <c r="AK389" i="135" s="1"/>
  <c r="P389" i="135" a="1"/>
  <c r="P389" i="135" s="1"/>
  <c r="AA389" i="135" a="1"/>
  <c r="AA389" i="135" s="1"/>
  <c r="M389" i="135" a="1"/>
  <c r="M389" i="135" s="1"/>
  <c r="AD389" i="135" a="1"/>
  <c r="AD389" i="135" s="1"/>
  <c r="AE389" i="135" a="1"/>
  <c r="AE389" i="135" s="1"/>
  <c r="AI389" i="135" a="1"/>
  <c r="AI389" i="135" s="1"/>
  <c r="T389" i="135" a="1"/>
  <c r="T389" i="135" s="1"/>
  <c r="E391" i="135" l="1" a="1"/>
  <c r="E391" i="135" s="1"/>
  <c r="D391" i="135" s="1"/>
  <c r="Z390" i="135" a="1"/>
  <c r="Z390" i="135" s="1"/>
  <c r="AC390" i="135" a="1"/>
  <c r="AC390" i="135" s="1"/>
  <c r="AA390" i="135" a="1"/>
  <c r="AA390" i="135" s="1"/>
  <c r="X390" i="135" a="1"/>
  <c r="X390" i="135" s="1"/>
  <c r="V390" i="135" a="1"/>
  <c r="V390" i="135" s="1"/>
  <c r="Y390" i="135" a="1"/>
  <c r="Y390" i="135" s="1"/>
  <c r="T390" i="135" a="1"/>
  <c r="T390" i="135" s="1"/>
  <c r="AJ390" i="135" a="1"/>
  <c r="AJ390" i="135" s="1"/>
  <c r="R390" i="135" a="1"/>
  <c r="R390" i="135" s="1"/>
  <c r="U390" i="135" a="1"/>
  <c r="U390" i="135" s="1"/>
  <c r="AM390" i="135" a="1"/>
  <c r="AM390" i="135" s="1"/>
  <c r="K390" i="135" a="1"/>
  <c r="K390" i="135" s="1"/>
  <c r="N390" i="135" a="1"/>
  <c r="N390" i="135" s="1"/>
  <c r="Q390" i="135" a="1"/>
  <c r="Q390" i="135" s="1"/>
  <c r="AF390" i="135" a="1"/>
  <c r="AF390" i="135" s="1"/>
  <c r="AI390" i="135" a="1"/>
  <c r="AI390" i="135" s="1"/>
  <c r="AL390" i="135" a="1"/>
  <c r="AL390" i="135" s="1"/>
  <c r="F390" i="135" a="1"/>
  <c r="F390" i="135" s="1"/>
  <c r="I390" i="135" a="1"/>
  <c r="I390" i="135" s="1"/>
  <c r="S390" i="135" a="1"/>
  <c r="S390" i="135" s="1"/>
  <c r="W390" i="135" a="1"/>
  <c r="W390" i="135" s="1"/>
  <c r="AH390" i="135" a="1"/>
  <c r="AH390" i="135" s="1"/>
  <c r="AK390" i="135" a="1"/>
  <c r="AK390" i="135" s="1"/>
  <c r="O390" i="135" a="1"/>
  <c r="O390" i="135" s="1"/>
  <c r="L390" i="135" a="1"/>
  <c r="L390" i="135" s="1"/>
  <c r="P390" i="135" a="1"/>
  <c r="P390" i="135" s="1"/>
  <c r="AD390" i="135" a="1"/>
  <c r="AD390" i="135" s="1"/>
  <c r="AG390" i="135" a="1"/>
  <c r="AG390" i="135" s="1"/>
  <c r="H390" i="135" a="1"/>
  <c r="H390" i="135" s="1"/>
  <c r="AE390" i="135" a="1"/>
  <c r="AE390" i="135" s="1"/>
  <c r="J390" i="135" a="1"/>
  <c r="J390" i="135" s="1"/>
  <c r="M390" i="135" a="1"/>
  <c r="M390" i="135" s="1"/>
  <c r="G390" i="135" a="1"/>
  <c r="G390" i="135" s="1"/>
  <c r="AB390" i="135" a="1"/>
  <c r="AB390" i="135" s="1"/>
  <c r="E392" i="135" l="1" a="1"/>
  <c r="E392" i="135" s="1"/>
  <c r="D392" i="135" s="1"/>
  <c r="AA391" i="135" a="1"/>
  <c r="AA391" i="135" s="1"/>
  <c r="Q391" i="135" a="1"/>
  <c r="Q391" i="135" s="1"/>
  <c r="AB391" i="135" a="1"/>
  <c r="AB391" i="135" s="1"/>
  <c r="AK391" i="135" a="1"/>
  <c r="AK391" i="135" s="1"/>
  <c r="W391" i="135" a="1"/>
  <c r="W391" i="135" s="1"/>
  <c r="AJ391" i="135" a="1"/>
  <c r="AJ391" i="135" s="1"/>
  <c r="U391" i="135" a="1"/>
  <c r="U391" i="135" s="1"/>
  <c r="R391" i="135" a="1"/>
  <c r="R391" i="135" s="1"/>
  <c r="S391" i="135" a="1"/>
  <c r="S391" i="135" s="1"/>
  <c r="AC391" i="135" a="1"/>
  <c r="AC391" i="135" s="1"/>
  <c r="AG391" i="135" a="1"/>
  <c r="AG391" i="135" s="1"/>
  <c r="L391" i="135" a="1"/>
  <c r="L391" i="135" s="1"/>
  <c r="O391" i="135" a="1"/>
  <c r="O391" i="135" s="1"/>
  <c r="J391" i="135" a="1"/>
  <c r="J391" i="135" s="1"/>
  <c r="N391" i="135" a="1"/>
  <c r="N391" i="135" s="1"/>
  <c r="AL391" i="135" a="1"/>
  <c r="AL391" i="135" s="1"/>
  <c r="K391" i="135" a="1"/>
  <c r="K391" i="135" s="1"/>
  <c r="V391" i="135" a="1"/>
  <c r="V391" i="135" s="1"/>
  <c r="H391" i="135" a="1"/>
  <c r="H391" i="135" s="1"/>
  <c r="AF391" i="135" a="1"/>
  <c r="AF391" i="135" s="1"/>
  <c r="AM391" i="135" a="1"/>
  <c r="AM391" i="135" s="1"/>
  <c r="G391" i="135" a="1"/>
  <c r="G391" i="135" s="1"/>
  <c r="P391" i="135" a="1"/>
  <c r="P391" i="135" s="1"/>
  <c r="Z391" i="135" a="1"/>
  <c r="Z391" i="135" s="1"/>
  <c r="Y391" i="135" a="1"/>
  <c r="Y391" i="135" s="1"/>
  <c r="AE391" i="135" a="1"/>
  <c r="AE391" i="135" s="1"/>
  <c r="X391" i="135" a="1"/>
  <c r="X391" i="135" s="1"/>
  <c r="AH391" i="135" a="1"/>
  <c r="AH391" i="135" s="1"/>
  <c r="M391" i="135" a="1"/>
  <c r="M391" i="135" s="1"/>
  <c r="AI391" i="135" a="1"/>
  <c r="AI391" i="135" s="1"/>
  <c r="AD391" i="135" a="1"/>
  <c r="AD391" i="135" s="1"/>
  <c r="I391" i="135" a="1"/>
  <c r="I391" i="135" s="1"/>
  <c r="T391" i="135" a="1"/>
  <c r="T391" i="135" s="1"/>
  <c r="F391" i="135" a="1"/>
  <c r="F391" i="135" s="1"/>
  <c r="E393" i="135" l="1" a="1"/>
  <c r="E393" i="135" s="1"/>
  <c r="D393" i="135" s="1"/>
  <c r="AA392" i="135" a="1"/>
  <c r="AA392" i="135" s="1"/>
  <c r="AD392" i="135" a="1"/>
  <c r="AD392" i="135" s="1"/>
  <c r="AG392" i="135" a="1"/>
  <c r="AG392" i="135" s="1"/>
  <c r="X392" i="135" a="1"/>
  <c r="X392" i="135" s="1"/>
  <c r="V392" i="135" a="1"/>
  <c r="V392" i="135" s="1"/>
  <c r="H392" i="135" a="1"/>
  <c r="H392" i="135" s="1"/>
  <c r="AK392" i="135" a="1"/>
  <c r="AK392" i="135" s="1"/>
  <c r="W392" i="135" a="1"/>
  <c r="W392" i="135" s="1"/>
  <c r="Z392" i="135" a="1"/>
  <c r="Z392" i="135" s="1"/>
  <c r="AC392" i="135" a="1"/>
  <c r="AC392" i="135" s="1"/>
  <c r="P392" i="135" a="1"/>
  <c r="P392" i="135" s="1"/>
  <c r="S392" i="135" a="1"/>
  <c r="S392" i="135" s="1"/>
  <c r="Y392" i="135" a="1"/>
  <c r="Y392" i="135" s="1"/>
  <c r="AE392" i="135" a="1"/>
  <c r="AE392" i="135" s="1"/>
  <c r="AH392" i="135" a="1"/>
  <c r="AH392" i="135" s="1"/>
  <c r="AF392" i="135" a="1"/>
  <c r="AF392" i="135" s="1"/>
  <c r="O392" i="135" a="1"/>
  <c r="O392" i="135" s="1"/>
  <c r="R392" i="135" a="1"/>
  <c r="R392" i="135" s="1"/>
  <c r="U392" i="135" a="1"/>
  <c r="U392" i="135" s="1"/>
  <c r="AJ392" i="135" a="1"/>
  <c r="AJ392" i="135" s="1"/>
  <c r="K392" i="135" a="1"/>
  <c r="K392" i="135" s="1"/>
  <c r="N392" i="135" a="1"/>
  <c r="N392" i="135" s="1"/>
  <c r="Q392" i="135" a="1"/>
  <c r="Q392" i="135" s="1"/>
  <c r="AB392" i="135" a="1"/>
  <c r="AB392" i="135" s="1"/>
  <c r="AM392" i="135" a="1"/>
  <c r="AM392" i="135" s="1"/>
  <c r="G392" i="135" a="1"/>
  <c r="G392" i="135" s="1"/>
  <c r="J392" i="135" a="1"/>
  <c r="J392" i="135" s="1"/>
  <c r="M392" i="135" a="1"/>
  <c r="M392" i="135" s="1"/>
  <c r="T392" i="135" a="1"/>
  <c r="T392" i="135" s="1"/>
  <c r="AI392" i="135" a="1"/>
  <c r="AI392" i="135" s="1"/>
  <c r="AL392" i="135" a="1"/>
  <c r="AL392" i="135" s="1"/>
  <c r="F392" i="135" a="1"/>
  <c r="F392" i="135" s="1"/>
  <c r="I392" i="135" a="1"/>
  <c r="I392" i="135" s="1"/>
  <c r="L392" i="135" a="1"/>
  <c r="L392" i="135" s="1"/>
  <c r="E394" i="135" l="1" a="1"/>
  <c r="E394" i="135" s="1"/>
  <c r="D394" i="135" s="1"/>
  <c r="X393" i="135" a="1"/>
  <c r="X393" i="135" s="1"/>
  <c r="M393" i="135" a="1"/>
  <c r="M393" i="135" s="1"/>
  <c r="J393" i="135" a="1"/>
  <c r="J393" i="135" s="1"/>
  <c r="N393" i="135" a="1"/>
  <c r="N393" i="135" s="1"/>
  <c r="AB393" i="135" a="1"/>
  <c r="AB393" i="135" s="1"/>
  <c r="U393" i="135" a="1"/>
  <c r="U393" i="135" s="1"/>
  <c r="R393" i="135" a="1"/>
  <c r="R393" i="135" s="1"/>
  <c r="V393" i="135" a="1"/>
  <c r="V393" i="135" s="1"/>
  <c r="T393" i="135" a="1"/>
  <c r="T393" i="135" s="1"/>
  <c r="AI393" i="135" a="1"/>
  <c r="AI393" i="135" s="1"/>
  <c r="AG393" i="135" a="1"/>
  <c r="AG393" i="135" s="1"/>
  <c r="F393" i="135" a="1"/>
  <c r="F393" i="135" s="1"/>
  <c r="P393" i="135" a="1"/>
  <c r="P393" i="135" s="1"/>
  <c r="AA393" i="135" a="1"/>
  <c r="AA393" i="135" s="1"/>
  <c r="Y393" i="135" a="1"/>
  <c r="Y393" i="135" s="1"/>
  <c r="AE393" i="135" a="1"/>
  <c r="AE393" i="135" s="1"/>
  <c r="L393" i="135" a="1"/>
  <c r="L393" i="135" s="1"/>
  <c r="S393" i="135" a="1"/>
  <c r="S393" i="135" s="1"/>
  <c r="Q393" i="135" a="1"/>
  <c r="Q393" i="135" s="1"/>
  <c r="W393" i="135" a="1"/>
  <c r="W393" i="135" s="1"/>
  <c r="H393" i="135" a="1"/>
  <c r="H393" i="135" s="1"/>
  <c r="K393" i="135" a="1"/>
  <c r="K393" i="135" s="1"/>
  <c r="I393" i="135" a="1"/>
  <c r="I393" i="135" s="1"/>
  <c r="O393" i="135" a="1"/>
  <c r="O393" i="135" s="1"/>
  <c r="AL393" i="135" a="1"/>
  <c r="AL393" i="135" s="1"/>
  <c r="AJ393" i="135" a="1"/>
  <c r="AJ393" i="135" s="1"/>
  <c r="AK393" i="135" a="1"/>
  <c r="AK393" i="135" s="1"/>
  <c r="AH393" i="135" a="1"/>
  <c r="AH393" i="135" s="1"/>
  <c r="G393" i="135" a="1"/>
  <c r="G393" i="135" s="1"/>
  <c r="AF393" i="135" a="1"/>
  <c r="AF393" i="135" s="1"/>
  <c r="AC393" i="135" a="1"/>
  <c r="AC393" i="135" s="1"/>
  <c r="Z393" i="135" a="1"/>
  <c r="Z393" i="135" s="1"/>
  <c r="AD393" i="135" a="1"/>
  <c r="AD393" i="135" s="1"/>
  <c r="AM393" i="135" a="1"/>
  <c r="AM393" i="135" s="1"/>
  <c r="E395" i="135" l="1" a="1"/>
  <c r="E395" i="135" s="1"/>
  <c r="D395" i="135" s="1"/>
  <c r="X394" i="135" a="1"/>
  <c r="X394" i="135" s="1"/>
  <c r="AA394" i="135" a="1"/>
  <c r="AA394" i="135" s="1"/>
  <c r="AD394" i="135" a="1"/>
  <c r="AD394" i="135" s="1"/>
  <c r="AG394" i="135" a="1"/>
  <c r="AG394" i="135" s="1"/>
  <c r="T394" i="135" a="1"/>
  <c r="T394" i="135" s="1"/>
  <c r="W394" i="135" a="1"/>
  <c r="W394" i="135" s="1"/>
  <c r="Z394" i="135" a="1"/>
  <c r="Z394" i="135" s="1"/>
  <c r="AC394" i="135" a="1"/>
  <c r="AC394" i="135" s="1"/>
  <c r="P394" i="135" a="1"/>
  <c r="P394" i="135" s="1"/>
  <c r="S394" i="135" a="1"/>
  <c r="S394" i="135" s="1"/>
  <c r="V394" i="135" a="1"/>
  <c r="V394" i="135" s="1"/>
  <c r="Y394" i="135" a="1"/>
  <c r="Y394" i="135" s="1"/>
  <c r="H394" i="135" a="1"/>
  <c r="H394" i="135" s="1"/>
  <c r="K394" i="135" a="1"/>
  <c r="K394" i="135" s="1"/>
  <c r="N394" i="135" a="1"/>
  <c r="N394" i="135" s="1"/>
  <c r="Q394" i="135" a="1"/>
  <c r="Q394" i="135" s="1"/>
  <c r="AF394" i="135" a="1"/>
  <c r="AF394" i="135" s="1"/>
  <c r="AI394" i="135" a="1"/>
  <c r="AI394" i="135" s="1"/>
  <c r="AL394" i="135" a="1"/>
  <c r="AL394" i="135" s="1"/>
  <c r="F394" i="135" a="1"/>
  <c r="F394" i="135" s="1"/>
  <c r="I394" i="135" a="1"/>
  <c r="I394" i="135" s="1"/>
  <c r="L394" i="135" a="1"/>
  <c r="L394" i="135" s="1"/>
  <c r="O394" i="135" a="1"/>
  <c r="O394" i="135" s="1"/>
  <c r="R394" i="135" a="1"/>
  <c r="R394" i="135" s="1"/>
  <c r="U394" i="135" a="1"/>
  <c r="U394" i="135" s="1"/>
  <c r="AB394" i="135" a="1"/>
  <c r="AB394" i="135" s="1"/>
  <c r="AE394" i="135" a="1"/>
  <c r="AE394" i="135" s="1"/>
  <c r="AH394" i="135" a="1"/>
  <c r="AH394" i="135" s="1"/>
  <c r="AK394" i="135" a="1"/>
  <c r="AK394" i="135" s="1"/>
  <c r="AJ394" i="135" a="1"/>
  <c r="AJ394" i="135" s="1"/>
  <c r="AM394" i="135" a="1"/>
  <c r="AM394" i="135" s="1"/>
  <c r="G394" i="135" a="1"/>
  <c r="G394" i="135" s="1"/>
  <c r="J394" i="135" a="1"/>
  <c r="J394" i="135" s="1"/>
  <c r="M394" i="135" a="1"/>
  <c r="M394" i="135" s="1"/>
  <c r="E396" i="135" l="1" a="1"/>
  <c r="E396" i="135" s="1"/>
  <c r="D396" i="135" s="1"/>
  <c r="Y395" i="135" a="1"/>
  <c r="Y395" i="135" s="1"/>
  <c r="AM395" i="135" a="1"/>
  <c r="AM395" i="135" s="1"/>
  <c r="AJ395" i="135" a="1"/>
  <c r="AJ395" i="135" s="1"/>
  <c r="L395" i="135" a="1"/>
  <c r="L395" i="135" s="1"/>
  <c r="U395" i="135" a="1"/>
  <c r="U395" i="135" s="1"/>
  <c r="AB395" i="135" a="1"/>
  <c r="AB395" i="135" s="1"/>
  <c r="Z395" i="135" a="1"/>
  <c r="Z395" i="135" s="1"/>
  <c r="AE395" i="135" a="1"/>
  <c r="AE395" i="135" s="1"/>
  <c r="Q395" i="135" a="1"/>
  <c r="Q395" i="135" s="1"/>
  <c r="R395" i="135" a="1"/>
  <c r="R395" i="135" s="1"/>
  <c r="O395" i="135" a="1"/>
  <c r="O395" i="135" s="1"/>
  <c r="T395" i="135" a="1"/>
  <c r="T395" i="135" s="1"/>
  <c r="G395" i="135" a="1"/>
  <c r="G395" i="135" s="1"/>
  <c r="AI395" i="135" a="1"/>
  <c r="AI395" i="135" s="1"/>
  <c r="J395" i="135" a="1"/>
  <c r="J395" i="135" s="1"/>
  <c r="M395" i="135" a="1"/>
  <c r="M395" i="135" s="1"/>
  <c r="I395" i="135" a="1"/>
  <c r="I395" i="135" s="1"/>
  <c r="AL395" i="135" a="1"/>
  <c r="AL395" i="135" s="1"/>
  <c r="X395" i="135" a="1"/>
  <c r="X395" i="135" s="1"/>
  <c r="AF395" i="135" a="1"/>
  <c r="AF395" i="135" s="1"/>
  <c r="AK395" i="135" a="1"/>
  <c r="AK395" i="135" s="1"/>
  <c r="AD395" i="135" a="1"/>
  <c r="AD395" i="135" s="1"/>
  <c r="AA395" i="135" a="1"/>
  <c r="AA395" i="135" s="1"/>
  <c r="N395" i="135" a="1"/>
  <c r="N395" i="135" s="1"/>
  <c r="V395" i="135" a="1"/>
  <c r="V395" i="135" s="1"/>
  <c r="AG395" i="135" a="1"/>
  <c r="AG395" i="135" s="1"/>
  <c r="S395" i="135" a="1"/>
  <c r="S395" i="135" s="1"/>
  <c r="P395" i="135" a="1"/>
  <c r="P395" i="135" s="1"/>
  <c r="AH395" i="135" a="1"/>
  <c r="AH395" i="135" s="1"/>
  <c r="K395" i="135" a="1"/>
  <c r="K395" i="135" s="1"/>
  <c r="AC395" i="135" a="1"/>
  <c r="AC395" i="135" s="1"/>
  <c r="H395" i="135" a="1"/>
  <c r="H395" i="135" s="1"/>
  <c r="F395" i="135" a="1"/>
  <c r="F395" i="135" s="1"/>
  <c r="W395" i="135" a="1"/>
  <c r="W395" i="135" s="1"/>
  <c r="E397" i="135" l="1" a="1"/>
  <c r="E397" i="135" s="1"/>
  <c r="D397" i="135" s="1"/>
  <c r="Y396" i="135" a="1"/>
  <c r="Y396" i="135" s="1"/>
  <c r="X396" i="135" a="1"/>
  <c r="X396" i="135" s="1"/>
  <c r="AA396" i="135" a="1"/>
  <c r="AA396" i="135" s="1"/>
  <c r="AD396" i="135" a="1"/>
  <c r="AD396" i="135" s="1"/>
  <c r="U396" i="135" a="1"/>
  <c r="U396" i="135" s="1"/>
  <c r="T396" i="135" a="1"/>
  <c r="T396" i="135" s="1"/>
  <c r="W396" i="135" a="1"/>
  <c r="W396" i="135" s="1"/>
  <c r="Z396" i="135" a="1"/>
  <c r="Z396" i="135" s="1"/>
  <c r="Q396" i="135" a="1"/>
  <c r="Q396" i="135" s="1"/>
  <c r="P396" i="135" a="1"/>
  <c r="P396" i="135" s="1"/>
  <c r="S396" i="135" a="1"/>
  <c r="S396" i="135" s="1"/>
  <c r="V396" i="135" a="1"/>
  <c r="V396" i="135" s="1"/>
  <c r="I396" i="135" a="1"/>
  <c r="I396" i="135" s="1"/>
  <c r="H396" i="135" a="1"/>
  <c r="H396" i="135" s="1"/>
  <c r="K396" i="135" a="1"/>
  <c r="K396" i="135" s="1"/>
  <c r="N396" i="135" a="1"/>
  <c r="N396" i="135" s="1"/>
  <c r="M396" i="135" a="1"/>
  <c r="M396" i="135" s="1"/>
  <c r="L396" i="135" a="1"/>
  <c r="L396" i="135" s="1"/>
  <c r="O396" i="135" a="1"/>
  <c r="O396" i="135" s="1"/>
  <c r="R396" i="135" a="1"/>
  <c r="R396" i="135" s="1"/>
  <c r="AG396" i="135" a="1"/>
  <c r="AG396" i="135" s="1"/>
  <c r="AF396" i="135" a="1"/>
  <c r="AF396" i="135" s="1"/>
  <c r="AI396" i="135" a="1"/>
  <c r="AI396" i="135" s="1"/>
  <c r="AL396" i="135" a="1"/>
  <c r="AL396" i="135" s="1"/>
  <c r="F396" i="135" a="1"/>
  <c r="F396" i="135" s="1"/>
  <c r="AC396" i="135" a="1"/>
  <c r="AC396" i="135" s="1"/>
  <c r="AB396" i="135" a="1"/>
  <c r="AB396" i="135" s="1"/>
  <c r="AE396" i="135" a="1"/>
  <c r="AE396" i="135" s="1"/>
  <c r="AH396" i="135" a="1"/>
  <c r="AH396" i="135" s="1"/>
  <c r="AK396" i="135" a="1"/>
  <c r="AK396" i="135" s="1"/>
  <c r="AJ396" i="135" a="1"/>
  <c r="AJ396" i="135" s="1"/>
  <c r="AM396" i="135" a="1"/>
  <c r="AM396" i="135" s="1"/>
  <c r="G396" i="135" a="1"/>
  <c r="G396" i="135" s="1"/>
  <c r="J396" i="135" a="1"/>
  <c r="J396" i="135" s="1"/>
  <c r="E398" i="135" l="1" a="1"/>
  <c r="E398" i="135" s="1"/>
  <c r="D398" i="135" s="1"/>
  <c r="R397" i="135" a="1"/>
  <c r="R397" i="135" s="1"/>
  <c r="U397" i="135" a="1"/>
  <c r="U397" i="135" s="1"/>
  <c r="AB397" i="135" a="1"/>
  <c r="AB397" i="135" s="1"/>
  <c r="G397" i="135" a="1"/>
  <c r="G397" i="135" s="1"/>
  <c r="N397" i="135" a="1"/>
  <c r="N397" i="135" s="1"/>
  <c r="Q397" i="135" a="1"/>
  <c r="Q397" i="135" s="1"/>
  <c r="L397" i="135" a="1"/>
  <c r="L397" i="135" s="1"/>
  <c r="AI397" i="135" a="1"/>
  <c r="AI397" i="135" s="1"/>
  <c r="J397" i="135" a="1"/>
  <c r="J397" i="135" s="1"/>
  <c r="M397" i="135" a="1"/>
  <c r="M397" i="135" s="1"/>
  <c r="AA397" i="135" a="1"/>
  <c r="AA397" i="135" s="1"/>
  <c r="S397" i="135" a="1"/>
  <c r="S397" i="135" s="1"/>
  <c r="AH397" i="135" a="1"/>
  <c r="AH397" i="135" s="1"/>
  <c r="AK397" i="135" a="1"/>
  <c r="AK397" i="135" s="1"/>
  <c r="AF397" i="135" a="1"/>
  <c r="AF397" i="135" s="1"/>
  <c r="X397" i="135" a="1"/>
  <c r="X397" i="135" s="1"/>
  <c r="T397" i="135" a="1"/>
  <c r="T397" i="135" s="1"/>
  <c r="AD397" i="135" a="1"/>
  <c r="AD397" i="135" s="1"/>
  <c r="AG397" i="135" a="1"/>
  <c r="AG397" i="135" s="1"/>
  <c r="P397" i="135" a="1"/>
  <c r="P397" i="135" s="1"/>
  <c r="H397" i="135" a="1"/>
  <c r="H397" i="135" s="1"/>
  <c r="Z397" i="135" a="1"/>
  <c r="Z397" i="135" s="1"/>
  <c r="AC397" i="135" a="1"/>
  <c r="AC397" i="135" s="1"/>
  <c r="AE397" i="135" a="1"/>
  <c r="AE397" i="135" s="1"/>
  <c r="AM397" i="135" a="1"/>
  <c r="AM397" i="135" s="1"/>
  <c r="V397" i="135" a="1"/>
  <c r="V397" i="135" s="1"/>
  <c r="Y397" i="135" a="1"/>
  <c r="Y397" i="135" s="1"/>
  <c r="O397" i="135" a="1"/>
  <c r="O397" i="135" s="1"/>
  <c r="W397" i="135" a="1"/>
  <c r="W397" i="135" s="1"/>
  <c r="AL397" i="135" a="1"/>
  <c r="AL397" i="135" s="1"/>
  <c r="F397" i="135" a="1"/>
  <c r="F397" i="135" s="1"/>
  <c r="I397" i="135" a="1"/>
  <c r="I397" i="135" s="1"/>
  <c r="K397" i="135" a="1"/>
  <c r="K397" i="135" s="1"/>
  <c r="AJ397" i="135" a="1"/>
  <c r="AJ397" i="135" s="1"/>
  <c r="E399" i="135" l="1" a="1"/>
  <c r="E399" i="135" s="1"/>
  <c r="D399" i="135" s="1"/>
  <c r="V398" i="135" a="1"/>
  <c r="V398" i="135" s="1"/>
  <c r="Y398" i="135" a="1"/>
  <c r="Y398" i="135" s="1"/>
  <c r="X398" i="135" a="1"/>
  <c r="X398" i="135" s="1"/>
  <c r="AA398" i="135" a="1"/>
  <c r="AA398" i="135" s="1"/>
  <c r="R398" i="135" a="1"/>
  <c r="R398" i="135" s="1"/>
  <c r="U398" i="135" a="1"/>
  <c r="U398" i="135" s="1"/>
  <c r="T398" i="135" a="1"/>
  <c r="T398" i="135" s="1"/>
  <c r="W398" i="135" a="1"/>
  <c r="W398" i="135" s="1"/>
  <c r="AD398" i="135" a="1"/>
  <c r="AD398" i="135" s="1"/>
  <c r="AG398" i="135" a="1"/>
  <c r="AG398" i="135" s="1"/>
  <c r="AF398" i="135" a="1"/>
  <c r="AF398" i="135" s="1"/>
  <c r="AI398" i="135" a="1"/>
  <c r="AI398" i="135" s="1"/>
  <c r="N398" i="135" a="1"/>
  <c r="N398" i="135" s="1"/>
  <c r="Q398" i="135" a="1"/>
  <c r="Q398" i="135" s="1"/>
  <c r="P398" i="135" a="1"/>
  <c r="P398" i="135" s="1"/>
  <c r="S398" i="135" a="1"/>
  <c r="S398" i="135" s="1"/>
  <c r="J398" i="135" a="1"/>
  <c r="J398" i="135" s="1"/>
  <c r="M398" i="135" a="1"/>
  <c r="M398" i="135" s="1"/>
  <c r="L398" i="135" a="1"/>
  <c r="L398" i="135" s="1"/>
  <c r="O398" i="135" a="1"/>
  <c r="O398" i="135" s="1"/>
  <c r="AH398" i="135" a="1"/>
  <c r="AH398" i="135" s="1"/>
  <c r="AK398" i="135" a="1"/>
  <c r="AK398" i="135" s="1"/>
  <c r="AJ398" i="135" a="1"/>
  <c r="AJ398" i="135" s="1"/>
  <c r="AM398" i="135" a="1"/>
  <c r="AM398" i="135" s="1"/>
  <c r="G398" i="135" a="1"/>
  <c r="G398" i="135" s="1"/>
  <c r="AL398" i="135" a="1"/>
  <c r="AL398" i="135" s="1"/>
  <c r="F398" i="135" a="1"/>
  <c r="F398" i="135" s="1"/>
  <c r="I398" i="135" a="1"/>
  <c r="I398" i="135" s="1"/>
  <c r="H398" i="135" a="1"/>
  <c r="H398" i="135" s="1"/>
  <c r="K398" i="135" a="1"/>
  <c r="K398" i="135" s="1"/>
  <c r="Z398" i="135" a="1"/>
  <c r="Z398" i="135" s="1"/>
  <c r="AC398" i="135" a="1"/>
  <c r="AC398" i="135" s="1"/>
  <c r="AB398" i="135" a="1"/>
  <c r="AB398" i="135" s="1"/>
  <c r="AE398" i="135" a="1"/>
  <c r="AE398" i="135" s="1"/>
  <c r="E400" i="135" l="1" a="1"/>
  <c r="E400" i="135" s="1"/>
  <c r="D400" i="135" s="1"/>
  <c r="AA399" i="135" a="1"/>
  <c r="AA399" i="135" s="1"/>
  <c r="AD399" i="135" a="1"/>
  <c r="AD399" i="135" s="1"/>
  <c r="AG399" i="135" a="1"/>
  <c r="AG399" i="135" s="1"/>
  <c r="L399" i="135" a="1"/>
  <c r="L399" i="135" s="1"/>
  <c r="AM399" i="135" a="1"/>
  <c r="AM399" i="135" s="1"/>
  <c r="G399" i="135" a="1"/>
  <c r="G399" i="135" s="1"/>
  <c r="J399" i="135" a="1"/>
  <c r="J399" i="135" s="1"/>
  <c r="T399" i="135" a="1"/>
  <c r="T399" i="135" s="1"/>
  <c r="W399" i="135" a="1"/>
  <c r="W399" i="135" s="1"/>
  <c r="Z399" i="135" a="1"/>
  <c r="Z399" i="135" s="1"/>
  <c r="AC399" i="135" a="1"/>
  <c r="AC399" i="135" s="1"/>
  <c r="H399" i="135" a="1"/>
  <c r="H399" i="135" s="1"/>
  <c r="S399" i="135" a="1"/>
  <c r="S399" i="135" s="1"/>
  <c r="V399" i="135" a="1"/>
  <c r="V399" i="135" s="1"/>
  <c r="Y399" i="135" a="1"/>
  <c r="Y399" i="135" s="1"/>
  <c r="AJ399" i="135" a="1"/>
  <c r="AJ399" i="135" s="1"/>
  <c r="O399" i="135" a="1"/>
  <c r="O399" i="135" s="1"/>
  <c r="R399" i="135" a="1"/>
  <c r="R399" i="135" s="1"/>
  <c r="U399" i="135" a="1"/>
  <c r="U399" i="135" s="1"/>
  <c r="AF399" i="135" a="1"/>
  <c r="AF399" i="135" s="1"/>
  <c r="K399" i="135" a="1"/>
  <c r="K399" i="135" s="1"/>
  <c r="N399" i="135" a="1"/>
  <c r="N399" i="135" s="1"/>
  <c r="Q399" i="135" a="1"/>
  <c r="Q399" i="135" s="1"/>
  <c r="AB399" i="135" a="1"/>
  <c r="AB399" i="135" s="1"/>
  <c r="AI399" i="135" a="1"/>
  <c r="AI399" i="135" s="1"/>
  <c r="AL399" i="135" a="1"/>
  <c r="AL399" i="135" s="1"/>
  <c r="F399" i="135" a="1"/>
  <c r="F399" i="135" s="1"/>
  <c r="I399" i="135" a="1"/>
  <c r="I399" i="135" s="1"/>
  <c r="X399" i="135" a="1"/>
  <c r="X399" i="135" s="1"/>
  <c r="M399" i="135" a="1"/>
  <c r="M399" i="135" s="1"/>
  <c r="AE399" i="135" a="1"/>
  <c r="AE399" i="135" s="1"/>
  <c r="AH399" i="135" a="1"/>
  <c r="AH399" i="135" s="1"/>
  <c r="AK399" i="135" a="1"/>
  <c r="AK399" i="135" s="1"/>
  <c r="P399" i="135" a="1"/>
  <c r="P399" i="135" s="1"/>
  <c r="E401" i="135" l="1" a="1"/>
  <c r="E401" i="135" s="1"/>
  <c r="D401" i="135" s="1"/>
  <c r="AA400" i="135" a="1"/>
  <c r="AA400" i="135" s="1"/>
  <c r="AD400" i="135" a="1"/>
  <c r="AD400" i="135" s="1"/>
  <c r="AG400" i="135" a="1"/>
  <c r="AG400" i="135" s="1"/>
  <c r="AF400" i="135" a="1"/>
  <c r="AF400" i="135" s="1"/>
  <c r="AE400" i="135" a="1"/>
  <c r="AE400" i="135" s="1"/>
  <c r="AH400" i="135" a="1"/>
  <c r="AH400" i="135" s="1"/>
  <c r="AK400" i="135" a="1"/>
  <c r="AK400" i="135" s="1"/>
  <c r="W400" i="135" a="1"/>
  <c r="W400" i="135" s="1"/>
  <c r="Z400" i="135" a="1"/>
  <c r="Z400" i="135" s="1"/>
  <c r="AC400" i="135" a="1"/>
  <c r="AC400" i="135" s="1"/>
  <c r="AB400" i="135" a="1"/>
  <c r="AB400" i="135" s="1"/>
  <c r="S400" i="135" a="1"/>
  <c r="S400" i="135" s="1"/>
  <c r="V400" i="135" a="1"/>
  <c r="V400" i="135" s="1"/>
  <c r="Y400" i="135" a="1"/>
  <c r="Y400" i="135" s="1"/>
  <c r="X400" i="135" a="1"/>
  <c r="X400" i="135" s="1"/>
  <c r="O400" i="135" a="1"/>
  <c r="O400" i="135" s="1"/>
  <c r="R400" i="135" a="1"/>
  <c r="R400" i="135" s="1"/>
  <c r="U400" i="135" a="1"/>
  <c r="U400" i="135" s="1"/>
  <c r="T400" i="135" a="1"/>
  <c r="T400" i="135" s="1"/>
  <c r="K400" i="135" a="1"/>
  <c r="K400" i="135" s="1"/>
  <c r="N400" i="135" a="1"/>
  <c r="N400" i="135" s="1"/>
  <c r="Q400" i="135" a="1"/>
  <c r="Q400" i="135" s="1"/>
  <c r="P400" i="135" a="1"/>
  <c r="P400" i="135" s="1"/>
  <c r="AM400" i="135" a="1"/>
  <c r="AM400" i="135" s="1"/>
  <c r="G400" i="135" a="1"/>
  <c r="G400" i="135" s="1"/>
  <c r="J400" i="135" a="1"/>
  <c r="J400" i="135" s="1"/>
  <c r="M400" i="135" a="1"/>
  <c r="M400" i="135" s="1"/>
  <c r="L400" i="135" a="1"/>
  <c r="L400" i="135" s="1"/>
  <c r="AL400" i="135" a="1"/>
  <c r="AL400" i="135" s="1"/>
  <c r="H400" i="135" a="1"/>
  <c r="H400" i="135" s="1"/>
  <c r="AI400" i="135" a="1"/>
  <c r="AI400" i="135" s="1"/>
  <c r="F400" i="135" a="1"/>
  <c r="F400" i="135" s="1"/>
  <c r="I400" i="135" a="1"/>
  <c r="I400" i="135" s="1"/>
  <c r="AJ400" i="135" a="1"/>
  <c r="AJ400" i="135" s="1"/>
  <c r="E402" i="135" l="1" a="1"/>
  <c r="E402" i="135" s="1"/>
  <c r="D402" i="135" s="1"/>
  <c r="X401" i="135" a="1"/>
  <c r="X401" i="135" s="1"/>
  <c r="AA401" i="135" a="1"/>
  <c r="AA401" i="135" s="1"/>
  <c r="AD401" i="135" a="1"/>
  <c r="AD401" i="135" s="1"/>
  <c r="AK401" i="135" a="1"/>
  <c r="AK401" i="135" s="1"/>
  <c r="T401" i="135" a="1"/>
  <c r="T401" i="135" s="1"/>
  <c r="W401" i="135" a="1"/>
  <c r="W401" i="135" s="1"/>
  <c r="Z401" i="135" a="1"/>
  <c r="Z401" i="135" s="1"/>
  <c r="AG401" i="135" a="1"/>
  <c r="AG401" i="135" s="1"/>
  <c r="O401" i="135" a="1"/>
  <c r="O401" i="135" s="1"/>
  <c r="P401" i="135" a="1"/>
  <c r="P401" i="135" s="1"/>
  <c r="S401" i="135" a="1"/>
  <c r="S401" i="135" s="1"/>
  <c r="V401" i="135" a="1"/>
  <c r="V401" i="135" s="1"/>
  <c r="AC401" i="135" a="1"/>
  <c r="AC401" i="135" s="1"/>
  <c r="AF401" i="135" a="1"/>
  <c r="AF401" i="135" s="1"/>
  <c r="AI401" i="135" a="1"/>
  <c r="AI401" i="135" s="1"/>
  <c r="AL401" i="135" a="1"/>
  <c r="AL401" i="135" s="1"/>
  <c r="F401" i="135" a="1"/>
  <c r="F401" i="135" s="1"/>
  <c r="Q401" i="135" a="1"/>
  <c r="Q401" i="135" s="1"/>
  <c r="L401" i="135" a="1"/>
  <c r="L401" i="135" s="1"/>
  <c r="R401" i="135" a="1"/>
  <c r="R401" i="135" s="1"/>
  <c r="Y401" i="135" a="1"/>
  <c r="Y401" i="135" s="1"/>
  <c r="K401" i="135" a="1"/>
  <c r="K401" i="135" s="1"/>
  <c r="N401" i="135" a="1"/>
  <c r="N401" i="135" s="1"/>
  <c r="AB401" i="135" a="1"/>
  <c r="AB401" i="135" s="1"/>
  <c r="AH401" i="135" a="1"/>
  <c r="AH401" i="135" s="1"/>
  <c r="I401" i="135" a="1"/>
  <c r="I401" i="135" s="1"/>
  <c r="H401" i="135" a="1"/>
  <c r="H401" i="135" s="1"/>
  <c r="U401" i="135" a="1"/>
  <c r="U401" i="135" s="1"/>
  <c r="AJ401" i="135" a="1"/>
  <c r="AJ401" i="135" s="1"/>
  <c r="AM401" i="135" a="1"/>
  <c r="AM401" i="135" s="1"/>
  <c r="G401" i="135" a="1"/>
  <c r="G401" i="135" s="1"/>
  <c r="J401" i="135" a="1"/>
  <c r="J401" i="135" s="1"/>
  <c r="M401" i="135" a="1"/>
  <c r="M401" i="135" s="1"/>
  <c r="AE401" i="135" a="1"/>
  <c r="AE401" i="135" s="1"/>
  <c r="E403" i="135" l="1" a="1"/>
  <c r="E403" i="135" s="1"/>
  <c r="D403" i="135" s="1"/>
  <c r="T402" i="135" a="1"/>
  <c r="T402" i="135" s="1"/>
  <c r="W402" i="135" a="1"/>
  <c r="W402" i="135" s="1"/>
  <c r="Z402" i="135" a="1"/>
  <c r="Z402" i="135" s="1"/>
  <c r="AC402" i="135" a="1"/>
  <c r="AC402" i="135" s="1"/>
  <c r="P402" i="135" a="1"/>
  <c r="P402" i="135" s="1"/>
  <c r="S402" i="135" a="1"/>
  <c r="S402" i="135" s="1"/>
  <c r="V402" i="135" a="1"/>
  <c r="V402" i="135" s="1"/>
  <c r="Y402" i="135" a="1"/>
  <c r="Y402" i="135" s="1"/>
  <c r="L402" i="135" a="1"/>
  <c r="L402" i="135" s="1"/>
  <c r="O402" i="135" a="1"/>
  <c r="O402" i="135" s="1"/>
  <c r="R402" i="135" a="1"/>
  <c r="R402" i="135" s="1"/>
  <c r="U402" i="135" a="1"/>
  <c r="U402" i="135" s="1"/>
  <c r="H402" i="135" a="1"/>
  <c r="H402" i="135" s="1"/>
  <c r="K402" i="135" a="1"/>
  <c r="K402" i="135" s="1"/>
  <c r="N402" i="135" a="1"/>
  <c r="N402" i="135" s="1"/>
  <c r="Q402" i="135" a="1"/>
  <c r="Q402" i="135" s="1"/>
  <c r="AF402" i="135" a="1"/>
  <c r="AF402" i="135" s="1"/>
  <c r="AI402" i="135" a="1"/>
  <c r="AI402" i="135" s="1"/>
  <c r="AL402" i="135" a="1"/>
  <c r="AL402" i="135" s="1"/>
  <c r="F402" i="135" a="1"/>
  <c r="F402" i="135" s="1"/>
  <c r="I402" i="135" a="1"/>
  <c r="I402" i="135" s="1"/>
  <c r="AB402" i="135" a="1"/>
  <c r="AB402" i="135" s="1"/>
  <c r="AE402" i="135" a="1"/>
  <c r="AE402" i="135" s="1"/>
  <c r="AH402" i="135" a="1"/>
  <c r="AH402" i="135" s="1"/>
  <c r="AK402" i="135" a="1"/>
  <c r="AK402" i="135" s="1"/>
  <c r="X402" i="135" a="1"/>
  <c r="X402" i="135" s="1"/>
  <c r="AA402" i="135" a="1"/>
  <c r="AA402" i="135" s="1"/>
  <c r="AD402" i="135" a="1"/>
  <c r="AD402" i="135" s="1"/>
  <c r="AG402" i="135" a="1"/>
  <c r="AG402" i="135" s="1"/>
  <c r="AJ402" i="135" a="1"/>
  <c r="AJ402" i="135" s="1"/>
  <c r="AM402" i="135" a="1"/>
  <c r="AM402" i="135" s="1"/>
  <c r="G402" i="135" a="1"/>
  <c r="G402" i="135" s="1"/>
  <c r="J402" i="135" a="1"/>
  <c r="J402" i="135" s="1"/>
  <c r="M402" i="135" a="1"/>
  <c r="M402" i="135" s="1"/>
  <c r="E404" i="135" l="1" a="1"/>
  <c r="E404" i="135" s="1"/>
  <c r="D404" i="135" s="1"/>
  <c r="M403" i="135" a="1"/>
  <c r="M403" i="135" s="1"/>
  <c r="AJ403" i="135" a="1"/>
  <c r="AJ403" i="135" s="1"/>
  <c r="L403" i="135" a="1"/>
  <c r="L403" i="135" s="1"/>
  <c r="F403" i="135" a="1"/>
  <c r="F403" i="135" s="1"/>
  <c r="I403" i="135" a="1"/>
  <c r="I403" i="135" s="1"/>
  <c r="AA403" i="135" a="1"/>
  <c r="AA403" i="135" s="1"/>
  <c r="AM403" i="135" a="1"/>
  <c r="AM403" i="135" s="1"/>
  <c r="AH403" i="135" a="1"/>
  <c r="AH403" i="135" s="1"/>
  <c r="AC403" i="135" a="1"/>
  <c r="AC403" i="135" s="1"/>
  <c r="J403" i="135" a="1"/>
  <c r="J403" i="135" s="1"/>
  <c r="V403" i="135" a="1"/>
  <c r="V403" i="135" s="1"/>
  <c r="G403" i="135" a="1"/>
  <c r="G403" i="135" s="1"/>
  <c r="Y403" i="135" a="1"/>
  <c r="Y403" i="135" s="1"/>
  <c r="AF403" i="135" a="1"/>
  <c r="AF403" i="135" s="1"/>
  <c r="H403" i="135" a="1"/>
  <c r="H403" i="135" s="1"/>
  <c r="AL403" i="135" a="1"/>
  <c r="AL403" i="135" s="1"/>
  <c r="U403" i="135" a="1"/>
  <c r="U403" i="135" s="1"/>
  <c r="W403" i="135" a="1"/>
  <c r="W403" i="135" s="1"/>
  <c r="AI403" i="135" a="1"/>
  <c r="AI403" i="135" s="1"/>
  <c r="X403" i="135" a="1"/>
  <c r="X403" i="135" s="1"/>
  <c r="Q403" i="135" a="1"/>
  <c r="Q403" i="135" s="1"/>
  <c r="N403" i="135" a="1"/>
  <c r="N403" i="135" s="1"/>
  <c r="Z403" i="135" a="1"/>
  <c r="Z403" i="135" s="1"/>
  <c r="O403" i="135" a="1"/>
  <c r="O403" i="135" s="1"/>
  <c r="AK403" i="135" a="1"/>
  <c r="AK403" i="135" s="1"/>
  <c r="AB403" i="135" a="1"/>
  <c r="AB403" i="135" s="1"/>
  <c r="R403" i="135" a="1"/>
  <c r="R403" i="135" s="1"/>
  <c r="AD403" i="135" a="1"/>
  <c r="AD403" i="135" s="1"/>
  <c r="T403" i="135" a="1"/>
  <c r="T403" i="135" s="1"/>
  <c r="AG403" i="135" a="1"/>
  <c r="AG403" i="135" s="1"/>
  <c r="S403" i="135" a="1"/>
  <c r="S403" i="135" s="1"/>
  <c r="AE403" i="135" a="1"/>
  <c r="AE403" i="135" s="1"/>
  <c r="P403" i="135" a="1"/>
  <c r="P403" i="135" s="1"/>
  <c r="K403" i="135" a="1"/>
  <c r="K403" i="135" s="1"/>
  <c r="E405" i="135" l="1" a="1"/>
  <c r="E405" i="135" s="1"/>
  <c r="D405" i="135" s="1"/>
  <c r="Z404" i="135" a="1"/>
  <c r="Z404" i="135" s="1"/>
  <c r="U404" i="135" a="1"/>
  <c r="U404" i="135" s="1"/>
  <c r="O404" i="135" a="1"/>
  <c r="O404" i="135" s="1"/>
  <c r="AM404" i="135" a="1"/>
  <c r="AM404" i="135" s="1"/>
  <c r="V404" i="135" a="1"/>
  <c r="V404" i="135" s="1"/>
  <c r="P404" i="135" a="1"/>
  <c r="P404" i="135" s="1"/>
  <c r="I404" i="135" a="1"/>
  <c r="I404" i="135" s="1"/>
  <c r="AG404" i="135" a="1"/>
  <c r="AG404" i="135" s="1"/>
  <c r="R404" i="135" a="1"/>
  <c r="R404" i="135" s="1"/>
  <c r="K404" i="135" a="1"/>
  <c r="K404" i="135" s="1"/>
  <c r="AI404" i="135" a="1"/>
  <c r="AI404" i="135" s="1"/>
  <c r="AB404" i="135" a="1"/>
  <c r="AB404" i="135" s="1"/>
  <c r="N404" i="135" a="1"/>
  <c r="N404" i="135" s="1"/>
  <c r="F404" i="135" a="1"/>
  <c r="F404" i="135" s="1"/>
  <c r="AC404" i="135" a="1"/>
  <c r="AC404" i="135" s="1"/>
  <c r="W404" i="135" a="1"/>
  <c r="W404" i="135" s="1"/>
  <c r="Y404" i="135" a="1"/>
  <c r="Y404" i="135" s="1"/>
  <c r="G404" i="135" a="1"/>
  <c r="G404" i="135" s="1"/>
  <c r="J404" i="135" a="1"/>
  <c r="J404" i="135" s="1"/>
  <c r="AJ404" i="135" a="1"/>
  <c r="AJ404" i="135" s="1"/>
  <c r="X404" i="135" a="1"/>
  <c r="X404" i="135" s="1"/>
  <c r="Q404" i="135" a="1"/>
  <c r="Q404" i="135" s="1"/>
  <c r="AD404" i="135" a="1"/>
  <c r="AD404" i="135" s="1"/>
  <c r="AA404" i="135" a="1"/>
  <c r="AA404" i="135" s="1"/>
  <c r="T404" i="135" a="1"/>
  <c r="T404" i="135" s="1"/>
  <c r="H404" i="135" a="1"/>
  <c r="H404" i="135" s="1"/>
  <c r="AL404" i="135" a="1"/>
  <c r="AL404" i="135" s="1"/>
  <c r="AK404" i="135" a="1"/>
  <c r="AK404" i="135" s="1"/>
  <c r="AE404" i="135" a="1"/>
  <c r="AE404" i="135" s="1"/>
  <c r="S404" i="135" a="1"/>
  <c r="S404" i="135" s="1"/>
  <c r="L404" i="135" a="1"/>
  <c r="L404" i="135" s="1"/>
  <c r="AH404" i="135" a="1"/>
  <c r="AH404" i="135" s="1"/>
  <c r="AF404" i="135" a="1"/>
  <c r="AF404" i="135" s="1"/>
  <c r="M404" i="135" a="1"/>
  <c r="M404" i="135" s="1"/>
  <c r="E406" i="135" l="1" a="1"/>
  <c r="E406" i="135" s="1"/>
  <c r="D406" i="135" s="1"/>
  <c r="W405" i="135" a="1"/>
  <c r="W405" i="135" s="1"/>
  <c r="N405" i="135" a="1"/>
  <c r="N405" i="135" s="1"/>
  <c r="X405" i="135" a="1"/>
  <c r="X405" i="135" s="1"/>
  <c r="AB405" i="135" a="1"/>
  <c r="AB405" i="135" s="1"/>
  <c r="S405" i="135" a="1"/>
  <c r="S405" i="135" s="1"/>
  <c r="J405" i="135" a="1"/>
  <c r="J405" i="135" s="1"/>
  <c r="Q405" i="135" a="1"/>
  <c r="Q405" i="135" s="1"/>
  <c r="U405" i="135" a="1"/>
  <c r="U405" i="135" s="1"/>
  <c r="AL405" i="135" a="1"/>
  <c r="AL405" i="135" s="1"/>
  <c r="F405" i="135" a="1"/>
  <c r="F405" i="135" s="1"/>
  <c r="L405" i="135" a="1"/>
  <c r="L405" i="135" s="1"/>
  <c r="T405" i="135" a="1"/>
  <c r="T405" i="135" s="1"/>
  <c r="AH405" i="135" a="1"/>
  <c r="AH405" i="135" s="1"/>
  <c r="AF405" i="135" a="1"/>
  <c r="AF405" i="135" s="1"/>
  <c r="G405" i="135" a="1"/>
  <c r="G405" i="135" s="1"/>
  <c r="I405" i="135" a="1"/>
  <c r="I405" i="135" s="1"/>
  <c r="AI405" i="135" a="1"/>
  <c r="AI405" i="135" s="1"/>
  <c r="Z405" i="135" a="1"/>
  <c r="Z405" i="135" s="1"/>
  <c r="M405" i="135" a="1"/>
  <c r="M405" i="135" s="1"/>
  <c r="AC405" i="135" a="1"/>
  <c r="AC405" i="135" s="1"/>
  <c r="O405" i="135" a="1"/>
  <c r="O405" i="135" s="1"/>
  <c r="AE405" i="135" a="1"/>
  <c r="AE405" i="135" s="1"/>
  <c r="V405" i="135" a="1"/>
  <c r="V405" i="135" s="1"/>
  <c r="H405" i="135" a="1"/>
  <c r="H405" i="135" s="1"/>
  <c r="P405" i="135" a="1"/>
  <c r="P405" i="135" s="1"/>
  <c r="AA405" i="135" a="1"/>
  <c r="AA405" i="135" s="1"/>
  <c r="R405" i="135" a="1"/>
  <c r="R405" i="135" s="1"/>
  <c r="AK405" i="135" a="1"/>
  <c r="AK405" i="135" s="1"/>
  <c r="K405" i="135" a="1"/>
  <c r="K405" i="135" s="1"/>
  <c r="AM405" i="135" a="1"/>
  <c r="AM405" i="135" s="1"/>
  <c r="AD405" i="135" a="1"/>
  <c r="AD405" i="135" s="1"/>
  <c r="Y405" i="135" a="1"/>
  <c r="Y405" i="135" s="1"/>
  <c r="AJ405" i="135" a="1"/>
  <c r="AJ405" i="135" s="1"/>
  <c r="AG405" i="135" a="1"/>
  <c r="AG405" i="135" s="1"/>
  <c r="E407" i="135" l="1" a="1"/>
  <c r="E407" i="135" s="1"/>
  <c r="D407" i="135" s="1"/>
  <c r="Y406" i="135" a="1"/>
  <c r="Y406" i="135" s="1"/>
  <c r="AA406" i="135" a="1"/>
  <c r="AA406" i="135" s="1"/>
  <c r="AD406" i="135" a="1"/>
  <c r="AD406" i="135" s="1"/>
  <c r="X406" i="135" a="1"/>
  <c r="X406" i="135" s="1"/>
  <c r="U406" i="135" a="1"/>
  <c r="U406" i="135" s="1"/>
  <c r="W406" i="135" a="1"/>
  <c r="W406" i="135" s="1"/>
  <c r="Z406" i="135" a="1"/>
  <c r="Z406" i="135" s="1"/>
  <c r="L406" i="135" a="1"/>
  <c r="L406" i="135" s="1"/>
  <c r="Q406" i="135" a="1"/>
  <c r="Q406" i="135" s="1"/>
  <c r="S406" i="135" a="1"/>
  <c r="S406" i="135" s="1"/>
  <c r="V406" i="135" a="1"/>
  <c r="V406" i="135" s="1"/>
  <c r="AF406" i="135" a="1"/>
  <c r="AF406" i="135" s="1"/>
  <c r="AC406" i="135" a="1"/>
  <c r="AC406" i="135" s="1"/>
  <c r="AH406" i="135" a="1"/>
  <c r="AH406" i="135" s="1"/>
  <c r="M406" i="135" a="1"/>
  <c r="M406" i="135" s="1"/>
  <c r="O406" i="135" a="1"/>
  <c r="O406" i="135" s="1"/>
  <c r="R406" i="135" a="1"/>
  <c r="R406" i="135" s="1"/>
  <c r="T406" i="135" a="1"/>
  <c r="T406" i="135" s="1"/>
  <c r="I406" i="135" a="1"/>
  <c r="I406" i="135" s="1"/>
  <c r="K406" i="135" a="1"/>
  <c r="K406" i="135" s="1"/>
  <c r="N406" i="135" a="1"/>
  <c r="N406" i="135" s="1"/>
  <c r="H406" i="135" a="1"/>
  <c r="H406" i="135" s="1"/>
  <c r="AK406" i="135" a="1"/>
  <c r="AK406" i="135" s="1"/>
  <c r="AM406" i="135" a="1"/>
  <c r="AM406" i="135" s="1"/>
  <c r="G406" i="135" a="1"/>
  <c r="G406" i="135" s="1"/>
  <c r="J406" i="135" a="1"/>
  <c r="J406" i="135" s="1"/>
  <c r="P406" i="135" a="1"/>
  <c r="P406" i="135" s="1"/>
  <c r="AG406" i="135" a="1"/>
  <c r="AG406" i="135" s="1"/>
  <c r="AI406" i="135" a="1"/>
  <c r="AI406" i="135" s="1"/>
  <c r="AL406" i="135" a="1"/>
  <c r="AL406" i="135" s="1"/>
  <c r="F406" i="135" a="1"/>
  <c r="F406" i="135" s="1"/>
  <c r="AB406" i="135" a="1"/>
  <c r="AB406" i="135" s="1"/>
  <c r="AE406" i="135" a="1"/>
  <c r="AE406" i="135" s="1"/>
  <c r="AJ406" i="135" a="1"/>
  <c r="AJ406" i="135" s="1"/>
  <c r="E408" i="135" l="1" a="1"/>
  <c r="E408" i="135" s="1"/>
  <c r="D408" i="135" s="1"/>
  <c r="Y407" i="135" a="1"/>
  <c r="Y407" i="135" s="1"/>
  <c r="X407" i="135" a="1"/>
  <c r="X407" i="135" s="1"/>
  <c r="AA407" i="135" a="1"/>
  <c r="AA407" i="135" s="1"/>
  <c r="Z407" i="135" a="1"/>
  <c r="Z407" i="135" s="1"/>
  <c r="U407" i="135" a="1"/>
  <c r="U407" i="135" s="1"/>
  <c r="T407" i="135" a="1"/>
  <c r="T407" i="135" s="1"/>
  <c r="W407" i="135" a="1"/>
  <c r="W407" i="135" s="1"/>
  <c r="J407" i="135" a="1"/>
  <c r="J407" i="135" s="1"/>
  <c r="AG407" i="135" a="1"/>
  <c r="AG407" i="135" s="1"/>
  <c r="AF407" i="135" a="1"/>
  <c r="AF407" i="135" s="1"/>
  <c r="AI407" i="135" a="1"/>
  <c r="AI407" i="135" s="1"/>
  <c r="AD407" i="135" a="1"/>
  <c r="AD407" i="135" s="1"/>
  <c r="AH407" i="135" a="1"/>
  <c r="AH407" i="135" s="1"/>
  <c r="Q407" i="135" a="1"/>
  <c r="Q407" i="135" s="1"/>
  <c r="P407" i="135" a="1"/>
  <c r="P407" i="135" s="1"/>
  <c r="S407" i="135" a="1"/>
  <c r="S407" i="135" s="1"/>
  <c r="AL407" i="135" a="1"/>
  <c r="AL407" i="135" s="1"/>
  <c r="M407" i="135" a="1"/>
  <c r="M407" i="135" s="1"/>
  <c r="L407" i="135" a="1"/>
  <c r="L407" i="135" s="1"/>
  <c r="O407" i="135" a="1"/>
  <c r="O407" i="135" s="1"/>
  <c r="V407" i="135" a="1"/>
  <c r="V407" i="135" s="1"/>
  <c r="I407" i="135" a="1"/>
  <c r="I407" i="135" s="1"/>
  <c r="H407" i="135" a="1"/>
  <c r="H407" i="135" s="1"/>
  <c r="K407" i="135" a="1"/>
  <c r="K407" i="135" s="1"/>
  <c r="F407" i="135" a="1"/>
  <c r="F407" i="135" s="1"/>
  <c r="AC407" i="135" a="1"/>
  <c r="AC407" i="135" s="1"/>
  <c r="AB407" i="135" a="1"/>
  <c r="AB407" i="135" s="1"/>
  <c r="AE407" i="135" a="1"/>
  <c r="AE407" i="135" s="1"/>
  <c r="N407" i="135" a="1"/>
  <c r="N407" i="135" s="1"/>
  <c r="AK407" i="135" a="1"/>
  <c r="AK407" i="135" s="1"/>
  <c r="AJ407" i="135" a="1"/>
  <c r="AJ407" i="135" s="1"/>
  <c r="AM407" i="135" a="1"/>
  <c r="AM407" i="135" s="1"/>
  <c r="G407" i="135" a="1"/>
  <c r="G407" i="135" s="1"/>
  <c r="R407" i="135" a="1"/>
  <c r="R407" i="135" s="1"/>
  <c r="E409" i="135" l="1" a="1"/>
  <c r="E409" i="135" s="1"/>
  <c r="D409" i="135" s="1"/>
  <c r="AC408" i="135" a="1"/>
  <c r="AC408" i="135" s="1"/>
  <c r="V408" i="135" a="1"/>
  <c r="V408" i="135" s="1"/>
  <c r="Y408" i="135" a="1"/>
  <c r="Y408" i="135" s="1"/>
  <c r="X408" i="135" a="1"/>
  <c r="X408" i="135" s="1"/>
  <c r="AA408" i="135" a="1"/>
  <c r="AA408" i="135" s="1"/>
  <c r="U408" i="135" a="1"/>
  <c r="U408" i="135" s="1"/>
  <c r="W408" i="135" a="1"/>
  <c r="W408" i="135" s="1"/>
  <c r="N408" i="135" a="1"/>
  <c r="N408" i="135" s="1"/>
  <c r="Q408" i="135" a="1"/>
  <c r="Q408" i="135" s="1"/>
  <c r="P408" i="135" a="1"/>
  <c r="P408" i="135" s="1"/>
  <c r="S408" i="135" a="1"/>
  <c r="S408" i="135" s="1"/>
  <c r="J408" i="135" a="1"/>
  <c r="J408" i="135" s="1"/>
  <c r="M408" i="135" a="1"/>
  <c r="M408" i="135" s="1"/>
  <c r="L408" i="135" a="1"/>
  <c r="L408" i="135" s="1"/>
  <c r="O408" i="135" a="1"/>
  <c r="O408" i="135" s="1"/>
  <c r="AH408" i="135" a="1"/>
  <c r="AH408" i="135" s="1"/>
  <c r="AK408" i="135" a="1"/>
  <c r="AK408" i="135" s="1"/>
  <c r="AJ408" i="135" a="1"/>
  <c r="AJ408" i="135" s="1"/>
  <c r="AM408" i="135" a="1"/>
  <c r="AM408" i="135" s="1"/>
  <c r="G408" i="135" a="1"/>
  <c r="G408" i="135" s="1"/>
  <c r="AL408" i="135" a="1"/>
  <c r="AL408" i="135" s="1"/>
  <c r="F408" i="135" a="1"/>
  <c r="F408" i="135" s="1"/>
  <c r="I408" i="135" a="1"/>
  <c r="I408" i="135" s="1"/>
  <c r="H408" i="135" a="1"/>
  <c r="H408" i="135" s="1"/>
  <c r="K408" i="135" a="1"/>
  <c r="K408" i="135" s="1"/>
  <c r="AD408" i="135" a="1"/>
  <c r="AD408" i="135" s="1"/>
  <c r="AG408" i="135" a="1"/>
  <c r="AG408" i="135" s="1"/>
  <c r="AF408" i="135" a="1"/>
  <c r="AF408" i="135" s="1"/>
  <c r="AI408" i="135" a="1"/>
  <c r="AI408" i="135" s="1"/>
  <c r="Z408" i="135" a="1"/>
  <c r="Z408" i="135" s="1"/>
  <c r="AB408" i="135" a="1"/>
  <c r="AB408" i="135" s="1"/>
  <c r="AE408" i="135" a="1"/>
  <c r="AE408" i="135" s="1"/>
  <c r="R408" i="135" a="1"/>
  <c r="R408" i="135" s="1"/>
  <c r="T408" i="135" a="1"/>
  <c r="T408" i="135" s="1"/>
  <c r="E410" i="135" l="1" a="1"/>
  <c r="E410" i="135" s="1"/>
  <c r="D410" i="135" s="1"/>
  <c r="V409" i="135" a="1"/>
  <c r="V409" i="135" s="1"/>
  <c r="Y409" i="135" a="1"/>
  <c r="Y409" i="135" s="1"/>
  <c r="X409" i="135" a="1"/>
  <c r="X409" i="135" s="1"/>
  <c r="G409" i="135" a="1"/>
  <c r="G409" i="135" s="1"/>
  <c r="AH409" i="135" a="1"/>
  <c r="AH409" i="135" s="1"/>
  <c r="AK409" i="135" a="1"/>
  <c r="AK409" i="135" s="1"/>
  <c r="AJ409" i="135" a="1"/>
  <c r="AJ409" i="135" s="1"/>
  <c r="O409" i="135" a="1"/>
  <c r="O409" i="135" s="1"/>
  <c r="W409" i="135" a="1"/>
  <c r="W409" i="135" s="1"/>
  <c r="R409" i="135" a="1"/>
  <c r="R409" i="135" s="1"/>
  <c r="U409" i="135" a="1"/>
  <c r="U409" i="135" s="1"/>
  <c r="T409" i="135" a="1"/>
  <c r="T409" i="135" s="1"/>
  <c r="AI409" i="135" a="1"/>
  <c r="AI409" i="135" s="1"/>
  <c r="AL409" i="135" a="1"/>
  <c r="AL409" i="135" s="1"/>
  <c r="F409" i="135" a="1"/>
  <c r="F409" i="135" s="1"/>
  <c r="I409" i="135" a="1"/>
  <c r="I409" i="135" s="1"/>
  <c r="H409" i="135" a="1"/>
  <c r="H409" i="135" s="1"/>
  <c r="S409" i="135" a="1"/>
  <c r="S409" i="135" s="1"/>
  <c r="Z409" i="135" a="1"/>
  <c r="Z409" i="135" s="1"/>
  <c r="AC409" i="135" a="1"/>
  <c r="AC409" i="135" s="1"/>
  <c r="AB409" i="135" a="1"/>
  <c r="AB409" i="135" s="1"/>
  <c r="AM409" i="135" a="1"/>
  <c r="AM409" i="135" s="1"/>
  <c r="N409" i="135" a="1"/>
  <c r="N409" i="135" s="1"/>
  <c r="Q409" i="135" a="1"/>
  <c r="Q409" i="135" s="1"/>
  <c r="P409" i="135" a="1"/>
  <c r="P409" i="135" s="1"/>
  <c r="AE409" i="135" a="1"/>
  <c r="AE409" i="135" s="1"/>
  <c r="J409" i="135" a="1"/>
  <c r="J409" i="135" s="1"/>
  <c r="M409" i="135" a="1"/>
  <c r="M409" i="135" s="1"/>
  <c r="L409" i="135" a="1"/>
  <c r="L409" i="135" s="1"/>
  <c r="AA409" i="135" a="1"/>
  <c r="AA409" i="135" s="1"/>
  <c r="AD409" i="135" a="1"/>
  <c r="AD409" i="135" s="1"/>
  <c r="AG409" i="135" a="1"/>
  <c r="AG409" i="135" s="1"/>
  <c r="AF409" i="135" a="1"/>
  <c r="AF409" i="135" s="1"/>
  <c r="K409" i="135" a="1"/>
  <c r="K409" i="135" s="1"/>
  <c r="E411" i="135" l="1" a="1"/>
  <c r="E411" i="135" s="1"/>
  <c r="D411" i="135" s="1"/>
  <c r="AA410" i="135" a="1"/>
  <c r="AA410" i="135" s="1"/>
  <c r="AD410" i="135" a="1"/>
  <c r="AD410" i="135" s="1"/>
  <c r="AG410" i="135" a="1"/>
  <c r="AG410" i="135" s="1"/>
  <c r="AF410" i="135" a="1"/>
  <c r="AF410" i="135" s="1"/>
  <c r="W410" i="135" a="1"/>
  <c r="W410" i="135" s="1"/>
  <c r="Z410" i="135" a="1"/>
  <c r="Z410" i="135" s="1"/>
  <c r="AC410" i="135" a="1"/>
  <c r="AC410" i="135" s="1"/>
  <c r="AB410" i="135" a="1"/>
  <c r="AB410" i="135" s="1"/>
  <c r="S410" i="135" a="1"/>
  <c r="S410" i="135" s="1"/>
  <c r="V410" i="135" a="1"/>
  <c r="V410" i="135" s="1"/>
  <c r="Y410" i="135" a="1"/>
  <c r="Y410" i="135" s="1"/>
  <c r="X410" i="135" a="1"/>
  <c r="X410" i="135" s="1"/>
  <c r="AI410" i="135" a="1"/>
  <c r="AI410" i="135" s="1"/>
  <c r="AL410" i="135" a="1"/>
  <c r="AL410" i="135" s="1"/>
  <c r="F410" i="135" a="1"/>
  <c r="F410" i="135" s="1"/>
  <c r="I410" i="135" a="1"/>
  <c r="I410" i="135" s="1"/>
  <c r="H410" i="135" a="1"/>
  <c r="H410" i="135" s="1"/>
  <c r="O410" i="135" a="1"/>
  <c r="O410" i="135" s="1"/>
  <c r="R410" i="135" a="1"/>
  <c r="R410" i="135" s="1"/>
  <c r="U410" i="135" a="1"/>
  <c r="U410" i="135" s="1"/>
  <c r="T410" i="135" a="1"/>
  <c r="T410" i="135" s="1"/>
  <c r="K410" i="135" a="1"/>
  <c r="K410" i="135" s="1"/>
  <c r="N410" i="135" a="1"/>
  <c r="N410" i="135" s="1"/>
  <c r="Q410" i="135" a="1"/>
  <c r="Q410" i="135" s="1"/>
  <c r="P410" i="135" a="1"/>
  <c r="P410" i="135" s="1"/>
  <c r="AM410" i="135" a="1"/>
  <c r="AM410" i="135" s="1"/>
  <c r="G410" i="135" a="1"/>
  <c r="G410" i="135" s="1"/>
  <c r="J410" i="135" a="1"/>
  <c r="J410" i="135" s="1"/>
  <c r="M410" i="135" a="1"/>
  <c r="M410" i="135" s="1"/>
  <c r="L410" i="135" a="1"/>
  <c r="L410" i="135" s="1"/>
  <c r="AE410" i="135" a="1"/>
  <c r="AE410" i="135" s="1"/>
  <c r="AH410" i="135" a="1"/>
  <c r="AH410" i="135" s="1"/>
  <c r="AK410" i="135" a="1"/>
  <c r="AK410" i="135" s="1"/>
  <c r="AJ410" i="135" a="1"/>
  <c r="AJ410" i="135" s="1"/>
  <c r="AA411" i="135" l="1" a="1"/>
  <c r="AA411" i="135" s="1"/>
  <c r="AD411" i="135" a="1"/>
  <c r="AD411" i="135" s="1"/>
  <c r="AG411" i="135" a="1"/>
  <c r="AG411" i="135" s="1"/>
  <c r="AJ411" i="135" a="1"/>
  <c r="AJ411" i="135" s="1"/>
  <c r="S411" i="135" a="1"/>
  <c r="S411" i="135" s="1"/>
  <c r="V411" i="135" a="1"/>
  <c r="V411" i="135" s="1"/>
  <c r="Y411" i="135" a="1"/>
  <c r="Y411" i="135" s="1"/>
  <c r="AB411" i="135" a="1"/>
  <c r="AB411" i="135" s="1"/>
  <c r="W411" i="135" a="1"/>
  <c r="W411" i="135" s="1"/>
  <c r="Z411" i="135" a="1"/>
  <c r="Z411" i="135" s="1"/>
  <c r="AC411" i="135" a="1"/>
  <c r="AC411" i="135" s="1"/>
  <c r="AF411" i="135" a="1"/>
  <c r="AF411" i="135" s="1"/>
  <c r="O411" i="135" a="1"/>
  <c r="O411" i="135" s="1"/>
  <c r="R411" i="135" a="1"/>
  <c r="R411" i="135" s="1"/>
  <c r="U411" i="135" a="1"/>
  <c r="U411" i="135" s="1"/>
  <c r="X411" i="135" a="1"/>
  <c r="X411" i="135" s="1"/>
  <c r="K411" i="135" a="1"/>
  <c r="K411" i="135" s="1"/>
  <c r="N411" i="135" a="1"/>
  <c r="N411" i="135" s="1"/>
  <c r="Q411" i="135" a="1"/>
  <c r="Q411" i="135" s="1"/>
  <c r="T411" i="135" a="1"/>
  <c r="T411" i="135" s="1"/>
  <c r="AM411" i="135" a="1"/>
  <c r="AM411" i="135" s="1"/>
  <c r="G411" i="135" a="1"/>
  <c r="G411" i="135" s="1"/>
  <c r="J411" i="135" a="1"/>
  <c r="J411" i="135" s="1"/>
  <c r="M411" i="135" a="1"/>
  <c r="M411" i="135" s="1"/>
  <c r="L411" i="135" a="1"/>
  <c r="L411" i="135" s="1"/>
  <c r="AI411" i="135" a="1"/>
  <c r="AI411" i="135" s="1"/>
  <c r="AL411" i="135" a="1"/>
  <c r="AL411" i="135" s="1"/>
  <c r="F411" i="135" a="1"/>
  <c r="F411" i="135" s="1"/>
  <c r="I411" i="135" a="1"/>
  <c r="I411" i="135" s="1"/>
  <c r="P411" i="135" a="1"/>
  <c r="P411" i="135" s="1"/>
  <c r="AE411" i="135" a="1"/>
  <c r="AE411" i="135" s="1"/>
  <c r="AH411" i="135" a="1"/>
  <c r="AH411" i="135" s="1"/>
  <c r="AK411" i="135" a="1"/>
  <c r="AK411" i="135" s="1"/>
  <c r="H411" i="135" a="1"/>
  <c r="H411" i="135" s="1"/>
  <c r="E412" i="135" a="1"/>
  <c r="E412" i="135" s="1"/>
  <c r="D412" i="135" s="1"/>
  <c r="X412" i="135" l="1" a="1"/>
  <c r="X412" i="135" s="1"/>
  <c r="AA412" i="135" a="1"/>
  <c r="AA412" i="135" s="1"/>
  <c r="AD412" i="135" a="1"/>
  <c r="AD412" i="135" s="1"/>
  <c r="AG412" i="135" a="1"/>
  <c r="AG412" i="135" s="1"/>
  <c r="AB412" i="135" a="1"/>
  <c r="AB412" i="135" s="1"/>
  <c r="AH412" i="135" a="1"/>
  <c r="AH412" i="135" s="1"/>
  <c r="AK412" i="135" a="1"/>
  <c r="AK412" i="135" s="1"/>
  <c r="T412" i="135" a="1"/>
  <c r="T412" i="135" s="1"/>
  <c r="W412" i="135" a="1"/>
  <c r="W412" i="135" s="1"/>
  <c r="Z412" i="135" a="1"/>
  <c r="Z412" i="135" s="1"/>
  <c r="AC412" i="135" a="1"/>
  <c r="AC412" i="135" s="1"/>
  <c r="P412" i="135" a="1"/>
  <c r="P412" i="135" s="1"/>
  <c r="S412" i="135" a="1"/>
  <c r="S412" i="135" s="1"/>
  <c r="V412" i="135" a="1"/>
  <c r="V412" i="135" s="1"/>
  <c r="Y412" i="135" a="1"/>
  <c r="Y412" i="135" s="1"/>
  <c r="AE412" i="135" a="1"/>
  <c r="AE412" i="135" s="1"/>
  <c r="L412" i="135" a="1"/>
  <c r="L412" i="135" s="1"/>
  <c r="O412" i="135" a="1"/>
  <c r="O412" i="135" s="1"/>
  <c r="R412" i="135" a="1"/>
  <c r="R412" i="135" s="1"/>
  <c r="U412" i="135" a="1"/>
  <c r="U412" i="135" s="1"/>
  <c r="H412" i="135" a="1"/>
  <c r="H412" i="135" s="1"/>
  <c r="K412" i="135" a="1"/>
  <c r="K412" i="135" s="1"/>
  <c r="N412" i="135" a="1"/>
  <c r="N412" i="135" s="1"/>
  <c r="Q412" i="135" a="1"/>
  <c r="Q412" i="135" s="1"/>
  <c r="AJ412" i="135" a="1"/>
  <c r="AJ412" i="135" s="1"/>
  <c r="AM412" i="135" a="1"/>
  <c r="AM412" i="135" s="1"/>
  <c r="G412" i="135" a="1"/>
  <c r="G412" i="135" s="1"/>
  <c r="J412" i="135" a="1"/>
  <c r="J412" i="135" s="1"/>
  <c r="M412" i="135" a="1"/>
  <c r="M412" i="135" s="1"/>
  <c r="AF412" i="135" a="1"/>
  <c r="AF412" i="135" s="1"/>
  <c r="AI412" i="135" a="1"/>
  <c r="AI412" i="135" s="1"/>
  <c r="AL412" i="135" a="1"/>
  <c r="AL412" i="135" s="1"/>
  <c r="F412" i="135" a="1"/>
  <c r="F412" i="135" s="1"/>
  <c r="I412" i="135" a="1"/>
  <c r="I412" i="135" s="1"/>
  <c r="E413" i="135" a="1"/>
  <c r="E413" i="135" s="1"/>
  <c r="D413" i="135" s="1"/>
  <c r="Y413" i="135" l="1" a="1"/>
  <c r="Y413" i="135" s="1"/>
  <c r="X413" i="135" a="1"/>
  <c r="X413" i="135" s="1"/>
  <c r="AA413" i="135" a="1"/>
  <c r="AA413" i="135" s="1"/>
  <c r="AD413" i="135" a="1"/>
  <c r="AD413" i="135" s="1"/>
  <c r="Q413" i="135" a="1"/>
  <c r="Q413" i="135" s="1"/>
  <c r="S413" i="135" a="1"/>
  <c r="S413" i="135" s="1"/>
  <c r="I413" i="135" a="1"/>
  <c r="I413" i="135" s="1"/>
  <c r="K413" i="135" a="1"/>
  <c r="K413" i="135" s="1"/>
  <c r="AF413" i="135" a="1"/>
  <c r="AF413" i="135" s="1"/>
  <c r="AL413" i="135" a="1"/>
  <c r="AL413" i="135" s="1"/>
  <c r="U413" i="135" a="1"/>
  <c r="U413" i="135" s="1"/>
  <c r="T413" i="135" a="1"/>
  <c r="T413" i="135" s="1"/>
  <c r="W413" i="135" a="1"/>
  <c r="W413" i="135" s="1"/>
  <c r="Z413" i="135" a="1"/>
  <c r="Z413" i="135" s="1"/>
  <c r="P413" i="135" a="1"/>
  <c r="P413" i="135" s="1"/>
  <c r="V413" i="135" a="1"/>
  <c r="V413" i="135" s="1"/>
  <c r="H413" i="135" a="1"/>
  <c r="H413" i="135" s="1"/>
  <c r="N413" i="135" a="1"/>
  <c r="N413" i="135" s="1"/>
  <c r="AK413" i="135" a="1"/>
  <c r="AK413" i="135" s="1"/>
  <c r="AJ413" i="135" a="1"/>
  <c r="AJ413" i="135" s="1"/>
  <c r="AM413" i="135" a="1"/>
  <c r="AM413" i="135" s="1"/>
  <c r="G413" i="135" a="1"/>
  <c r="G413" i="135" s="1"/>
  <c r="J413" i="135" a="1"/>
  <c r="J413" i="135" s="1"/>
  <c r="M413" i="135" a="1"/>
  <c r="M413" i="135" s="1"/>
  <c r="L413" i="135" a="1"/>
  <c r="L413" i="135" s="1"/>
  <c r="O413" i="135" a="1"/>
  <c r="O413" i="135" s="1"/>
  <c r="R413" i="135" a="1"/>
  <c r="R413" i="135" s="1"/>
  <c r="AG413" i="135" a="1"/>
  <c r="AG413" i="135" s="1"/>
  <c r="AI413" i="135" a="1"/>
  <c r="AI413" i="135" s="1"/>
  <c r="F413" i="135" a="1"/>
  <c r="F413" i="135" s="1"/>
  <c r="AC413" i="135" a="1"/>
  <c r="AC413" i="135" s="1"/>
  <c r="AB413" i="135" a="1"/>
  <c r="AB413" i="135" s="1"/>
  <c r="AE413" i="135" a="1"/>
  <c r="AE413" i="135" s="1"/>
  <c r="AH413" i="135" a="1"/>
  <c r="AH413" i="135" s="1"/>
  <c r="E414" i="135" a="1"/>
  <c r="E414" i="135" s="1"/>
  <c r="D414" i="135" s="1"/>
  <c r="E415" i="135" l="1" a="1"/>
  <c r="E415" i="135" s="1"/>
  <c r="D415" i="135" s="1"/>
  <c r="AC414" i="135" a="1"/>
  <c r="AC414" i="135" s="1"/>
  <c r="AB414" i="135" a="1"/>
  <c r="AB414" i="135" s="1"/>
  <c r="AE414" i="135" a="1"/>
  <c r="AE414" i="135" s="1"/>
  <c r="AH414" i="135" a="1"/>
  <c r="AH414" i="135" s="1"/>
  <c r="T414" i="135" a="1"/>
  <c r="T414" i="135" s="1"/>
  <c r="W414" i="135" a="1"/>
  <c r="W414" i="135" s="1"/>
  <c r="Y414" i="135" a="1"/>
  <c r="Y414" i="135" s="1"/>
  <c r="X414" i="135" a="1"/>
  <c r="X414" i="135" s="1"/>
  <c r="AA414" i="135" a="1"/>
  <c r="AA414" i="135" s="1"/>
  <c r="AD414" i="135" a="1"/>
  <c r="AD414" i="135" s="1"/>
  <c r="U414" i="135" a="1"/>
  <c r="U414" i="135" s="1"/>
  <c r="Z414" i="135" a="1"/>
  <c r="Z414" i="135" s="1"/>
  <c r="Q414" i="135" a="1"/>
  <c r="Q414" i="135" s="1"/>
  <c r="P414" i="135" a="1"/>
  <c r="P414" i="135" s="1"/>
  <c r="S414" i="135" a="1"/>
  <c r="S414" i="135" s="1"/>
  <c r="V414" i="135" a="1"/>
  <c r="V414" i="135" s="1"/>
  <c r="M414" i="135" a="1"/>
  <c r="M414" i="135" s="1"/>
  <c r="L414" i="135" a="1"/>
  <c r="L414" i="135" s="1"/>
  <c r="O414" i="135" a="1"/>
  <c r="O414" i="135" s="1"/>
  <c r="R414" i="135" a="1"/>
  <c r="R414" i="135" s="1"/>
  <c r="I414" i="135" a="1"/>
  <c r="I414" i="135" s="1"/>
  <c r="H414" i="135" a="1"/>
  <c r="H414" i="135" s="1"/>
  <c r="K414" i="135" a="1"/>
  <c r="K414" i="135" s="1"/>
  <c r="N414" i="135" a="1"/>
  <c r="N414" i="135" s="1"/>
  <c r="AG414" i="135" a="1"/>
  <c r="AG414" i="135" s="1"/>
  <c r="AF414" i="135" a="1"/>
  <c r="AF414" i="135" s="1"/>
  <c r="AI414" i="135" a="1"/>
  <c r="AI414" i="135" s="1"/>
  <c r="AL414" i="135" a="1"/>
  <c r="AL414" i="135" s="1"/>
  <c r="F414" i="135" a="1"/>
  <c r="F414" i="135" s="1"/>
  <c r="AK414" i="135" a="1"/>
  <c r="AK414" i="135" s="1"/>
  <c r="AJ414" i="135" a="1"/>
  <c r="AJ414" i="135" s="1"/>
  <c r="AM414" i="135" a="1"/>
  <c r="AM414" i="135" s="1"/>
  <c r="G414" i="135" a="1"/>
  <c r="G414" i="135" s="1"/>
  <c r="J414" i="135" a="1"/>
  <c r="J414" i="135" s="1"/>
  <c r="E416" i="135" l="1" a="1"/>
  <c r="E416" i="135" s="1"/>
  <c r="D416" i="135" s="1"/>
  <c r="AD415" i="135" a="1"/>
  <c r="AD415" i="135" s="1"/>
  <c r="AG415" i="135" a="1"/>
  <c r="AG415" i="135" s="1"/>
  <c r="AF415" i="135" a="1"/>
  <c r="AF415" i="135" s="1"/>
  <c r="AI415" i="135" a="1"/>
  <c r="AI415" i="135" s="1"/>
  <c r="Z415" i="135" a="1"/>
  <c r="Z415" i="135" s="1"/>
  <c r="AC415" i="135" a="1"/>
  <c r="AC415" i="135" s="1"/>
  <c r="AB415" i="135" a="1"/>
  <c r="AB415" i="135" s="1"/>
  <c r="AE415" i="135" a="1"/>
  <c r="AE415" i="135" s="1"/>
  <c r="Y415" i="135" a="1"/>
  <c r="Y415" i="135" s="1"/>
  <c r="X415" i="135" a="1"/>
  <c r="X415" i="135" s="1"/>
  <c r="R415" i="135" a="1"/>
  <c r="R415" i="135" s="1"/>
  <c r="T415" i="135" a="1"/>
  <c r="T415" i="135" s="1"/>
  <c r="V415" i="135" a="1"/>
  <c r="V415" i="135" s="1"/>
  <c r="AA415" i="135" a="1"/>
  <c r="AA415" i="135" s="1"/>
  <c r="U415" i="135" a="1"/>
  <c r="U415" i="135" s="1"/>
  <c r="W415" i="135" a="1"/>
  <c r="W415" i="135" s="1"/>
  <c r="N415" i="135" a="1"/>
  <c r="N415" i="135" s="1"/>
  <c r="Q415" i="135" a="1"/>
  <c r="Q415" i="135" s="1"/>
  <c r="P415" i="135" a="1"/>
  <c r="P415" i="135" s="1"/>
  <c r="S415" i="135" a="1"/>
  <c r="S415" i="135" s="1"/>
  <c r="J415" i="135" a="1"/>
  <c r="J415" i="135" s="1"/>
  <c r="M415" i="135" a="1"/>
  <c r="M415" i="135" s="1"/>
  <c r="L415" i="135" a="1"/>
  <c r="L415" i="135" s="1"/>
  <c r="O415" i="135" a="1"/>
  <c r="O415" i="135" s="1"/>
  <c r="AL415" i="135" a="1"/>
  <c r="AL415" i="135" s="1"/>
  <c r="F415" i="135" a="1"/>
  <c r="F415" i="135" s="1"/>
  <c r="I415" i="135" a="1"/>
  <c r="I415" i="135" s="1"/>
  <c r="H415" i="135" a="1"/>
  <c r="H415" i="135" s="1"/>
  <c r="K415" i="135" a="1"/>
  <c r="K415" i="135" s="1"/>
  <c r="AH415" i="135" a="1"/>
  <c r="AH415" i="135" s="1"/>
  <c r="AK415" i="135" a="1"/>
  <c r="AK415" i="135" s="1"/>
  <c r="AJ415" i="135" a="1"/>
  <c r="AJ415" i="135" s="1"/>
  <c r="AM415" i="135" a="1"/>
  <c r="AM415" i="135" s="1"/>
  <c r="G415" i="135" a="1"/>
  <c r="G415" i="135" s="1"/>
  <c r="E417" i="135" l="1" a="1"/>
  <c r="E417" i="135" s="1"/>
  <c r="D417" i="135" s="1"/>
  <c r="Z416" i="135" a="1"/>
  <c r="Z416" i="135" s="1"/>
  <c r="AC416" i="135" a="1"/>
  <c r="AC416" i="135" s="1"/>
  <c r="AB416" i="135" a="1"/>
  <c r="AB416" i="135" s="1"/>
  <c r="AE416" i="135" a="1"/>
  <c r="AE416" i="135" s="1"/>
  <c r="AH416" i="135" a="1"/>
  <c r="AH416" i="135" s="1"/>
  <c r="AK416" i="135" a="1"/>
  <c r="AK416" i="135" s="1"/>
  <c r="AJ416" i="135" a="1"/>
  <c r="AJ416" i="135" s="1"/>
  <c r="AM416" i="135" a="1"/>
  <c r="AM416" i="135" s="1"/>
  <c r="G416" i="135" a="1"/>
  <c r="G416" i="135" s="1"/>
  <c r="V416" i="135" a="1"/>
  <c r="V416" i="135" s="1"/>
  <c r="Y416" i="135" a="1"/>
  <c r="Y416" i="135" s="1"/>
  <c r="X416" i="135" a="1"/>
  <c r="X416" i="135" s="1"/>
  <c r="AA416" i="135" a="1"/>
  <c r="AA416" i="135" s="1"/>
  <c r="R416" i="135" a="1"/>
  <c r="R416" i="135" s="1"/>
  <c r="U416" i="135" a="1"/>
  <c r="U416" i="135" s="1"/>
  <c r="T416" i="135" a="1"/>
  <c r="T416" i="135" s="1"/>
  <c r="W416" i="135" a="1"/>
  <c r="W416" i="135" s="1"/>
  <c r="N416" i="135" a="1"/>
  <c r="N416" i="135" s="1"/>
  <c r="Q416" i="135" a="1"/>
  <c r="Q416" i="135" s="1"/>
  <c r="P416" i="135" a="1"/>
  <c r="P416" i="135" s="1"/>
  <c r="S416" i="135" a="1"/>
  <c r="S416" i="135" s="1"/>
  <c r="J416" i="135" a="1"/>
  <c r="J416" i="135" s="1"/>
  <c r="M416" i="135" a="1"/>
  <c r="M416" i="135" s="1"/>
  <c r="L416" i="135" a="1"/>
  <c r="L416" i="135" s="1"/>
  <c r="O416" i="135" a="1"/>
  <c r="O416" i="135" s="1"/>
  <c r="AL416" i="135" a="1"/>
  <c r="AL416" i="135" s="1"/>
  <c r="F416" i="135" a="1"/>
  <c r="F416" i="135" s="1"/>
  <c r="I416" i="135" a="1"/>
  <c r="I416" i="135" s="1"/>
  <c r="H416" i="135" a="1"/>
  <c r="H416" i="135" s="1"/>
  <c r="K416" i="135" a="1"/>
  <c r="K416" i="135" s="1"/>
  <c r="AD416" i="135" a="1"/>
  <c r="AD416" i="135" s="1"/>
  <c r="AG416" i="135" a="1"/>
  <c r="AG416" i="135" s="1"/>
  <c r="AF416" i="135" a="1"/>
  <c r="AF416" i="135" s="1"/>
  <c r="AI416" i="135" a="1"/>
  <c r="AI416" i="135" s="1"/>
  <c r="E418" i="135" l="1" a="1"/>
  <c r="E418" i="135" s="1"/>
  <c r="D418" i="135" s="1"/>
  <c r="AA417" i="135" a="1"/>
  <c r="AA417" i="135" s="1"/>
  <c r="AD417" i="135" a="1"/>
  <c r="AD417" i="135" s="1"/>
  <c r="AG417" i="135" a="1"/>
  <c r="AG417" i="135" s="1"/>
  <c r="AF417" i="135" a="1"/>
  <c r="AF417" i="135" s="1"/>
  <c r="S417" i="135" a="1"/>
  <c r="S417" i="135" s="1"/>
  <c r="V417" i="135" a="1"/>
  <c r="V417" i="135" s="1"/>
  <c r="Y417" i="135" a="1"/>
  <c r="Y417" i="135" s="1"/>
  <c r="X417" i="135" a="1"/>
  <c r="X417" i="135" s="1"/>
  <c r="O417" i="135" a="1"/>
  <c r="O417" i="135" s="1"/>
  <c r="R417" i="135" a="1"/>
  <c r="R417" i="135" s="1"/>
  <c r="U417" i="135" a="1"/>
  <c r="U417" i="135" s="1"/>
  <c r="T417" i="135" a="1"/>
  <c r="T417" i="135" s="1"/>
  <c r="W417" i="135" a="1"/>
  <c r="W417" i="135" s="1"/>
  <c r="Z417" i="135" a="1"/>
  <c r="Z417" i="135" s="1"/>
  <c r="AC417" i="135" a="1"/>
  <c r="AC417" i="135" s="1"/>
  <c r="AB417" i="135" a="1"/>
  <c r="AB417" i="135" s="1"/>
  <c r="K417" i="135" a="1"/>
  <c r="K417" i="135" s="1"/>
  <c r="N417" i="135" a="1"/>
  <c r="N417" i="135" s="1"/>
  <c r="Q417" i="135" a="1"/>
  <c r="Q417" i="135" s="1"/>
  <c r="P417" i="135" a="1"/>
  <c r="P417" i="135" s="1"/>
  <c r="AI417" i="135" a="1"/>
  <c r="AI417" i="135" s="1"/>
  <c r="AL417" i="135" a="1"/>
  <c r="AL417" i="135" s="1"/>
  <c r="F417" i="135" a="1"/>
  <c r="F417" i="135" s="1"/>
  <c r="I417" i="135" a="1"/>
  <c r="I417" i="135" s="1"/>
  <c r="H417" i="135" a="1"/>
  <c r="H417" i="135" s="1"/>
  <c r="AK417" i="135" a="1"/>
  <c r="AK417" i="135" s="1"/>
  <c r="AE417" i="135" a="1"/>
  <c r="AE417" i="135" s="1"/>
  <c r="AH417" i="135" a="1"/>
  <c r="AH417" i="135" s="1"/>
  <c r="AJ417" i="135" a="1"/>
  <c r="AJ417" i="135" s="1"/>
  <c r="AM417" i="135" a="1"/>
  <c r="AM417" i="135" s="1"/>
  <c r="G417" i="135" a="1"/>
  <c r="G417" i="135" s="1"/>
  <c r="J417" i="135" a="1"/>
  <c r="J417" i="135" s="1"/>
  <c r="M417" i="135" a="1"/>
  <c r="M417" i="135" s="1"/>
  <c r="L417" i="135" a="1"/>
  <c r="L417" i="135" s="1"/>
  <c r="E419" i="135" l="1" a="1"/>
  <c r="E419" i="135" s="1"/>
  <c r="D419" i="135" s="1"/>
  <c r="S418" i="135" a="1"/>
  <c r="S418" i="135" s="1"/>
  <c r="V418" i="135" a="1"/>
  <c r="V418" i="135" s="1"/>
  <c r="Y418" i="135" a="1"/>
  <c r="Y418" i="135" s="1"/>
  <c r="X418" i="135" a="1"/>
  <c r="X418" i="135" s="1"/>
  <c r="K418" i="135" a="1"/>
  <c r="K418" i="135" s="1"/>
  <c r="N418" i="135" a="1"/>
  <c r="N418" i="135" s="1"/>
  <c r="Q418" i="135" a="1"/>
  <c r="Q418" i="135" s="1"/>
  <c r="P418" i="135" a="1"/>
  <c r="P418" i="135" s="1"/>
  <c r="AM418" i="135" a="1"/>
  <c r="AM418" i="135" s="1"/>
  <c r="G418" i="135" a="1"/>
  <c r="G418" i="135" s="1"/>
  <c r="J418" i="135" a="1"/>
  <c r="J418" i="135" s="1"/>
  <c r="M418" i="135" a="1"/>
  <c r="M418" i="135" s="1"/>
  <c r="W418" i="135" a="1"/>
  <c r="W418" i="135" s="1"/>
  <c r="Z418" i="135" a="1"/>
  <c r="Z418" i="135" s="1"/>
  <c r="AC418" i="135" a="1"/>
  <c r="AC418" i="135" s="1"/>
  <c r="AB418" i="135" a="1"/>
  <c r="AB418" i="135" s="1"/>
  <c r="O418" i="135" a="1"/>
  <c r="O418" i="135" s="1"/>
  <c r="R418" i="135" a="1"/>
  <c r="R418" i="135" s="1"/>
  <c r="U418" i="135" a="1"/>
  <c r="U418" i="135" s="1"/>
  <c r="T418" i="135" a="1"/>
  <c r="T418" i="135" s="1"/>
  <c r="L418" i="135" a="1"/>
  <c r="L418" i="135" s="1"/>
  <c r="AA418" i="135" a="1"/>
  <c r="AA418" i="135" s="1"/>
  <c r="AD418" i="135" a="1"/>
  <c r="AD418" i="135" s="1"/>
  <c r="AG418" i="135" a="1"/>
  <c r="AG418" i="135" s="1"/>
  <c r="AF418" i="135" a="1"/>
  <c r="AF418" i="135" s="1"/>
  <c r="AI418" i="135" a="1"/>
  <c r="AI418" i="135" s="1"/>
  <c r="AL418" i="135" a="1"/>
  <c r="AL418" i="135" s="1"/>
  <c r="F418" i="135" a="1"/>
  <c r="F418" i="135" s="1"/>
  <c r="I418" i="135" a="1"/>
  <c r="I418" i="135" s="1"/>
  <c r="H418" i="135" a="1"/>
  <c r="H418" i="135" s="1"/>
  <c r="AE418" i="135" a="1"/>
  <c r="AE418" i="135" s="1"/>
  <c r="AH418" i="135" a="1"/>
  <c r="AH418" i="135" s="1"/>
  <c r="AK418" i="135" a="1"/>
  <c r="AK418" i="135" s="1"/>
  <c r="AJ418" i="135" a="1"/>
  <c r="AJ418" i="135" s="1"/>
  <c r="E420" i="135" l="1" a="1"/>
  <c r="E420" i="135" s="1"/>
  <c r="D420" i="135" s="1"/>
  <c r="P419" i="135" a="1"/>
  <c r="P419" i="135" s="1"/>
  <c r="S419" i="135" a="1"/>
  <c r="S419" i="135" s="1"/>
  <c r="V419" i="135" a="1"/>
  <c r="V419" i="135" s="1"/>
  <c r="Y419" i="135" a="1"/>
  <c r="Y419" i="135" s="1"/>
  <c r="X419" i="135" a="1"/>
  <c r="X419" i="135" s="1"/>
  <c r="AA419" i="135" a="1"/>
  <c r="AA419" i="135" s="1"/>
  <c r="AD419" i="135" a="1"/>
  <c r="AD419" i="135" s="1"/>
  <c r="AG419" i="135" a="1"/>
  <c r="AG419" i="135" s="1"/>
  <c r="T419" i="135" a="1"/>
  <c r="T419" i="135" s="1"/>
  <c r="W419" i="135" a="1"/>
  <c r="W419" i="135" s="1"/>
  <c r="Z419" i="135" a="1"/>
  <c r="Z419" i="135" s="1"/>
  <c r="AC419" i="135" a="1"/>
  <c r="AC419" i="135" s="1"/>
  <c r="L419" i="135" a="1"/>
  <c r="L419" i="135" s="1"/>
  <c r="O419" i="135" a="1"/>
  <c r="O419" i="135" s="1"/>
  <c r="R419" i="135" a="1"/>
  <c r="R419" i="135" s="1"/>
  <c r="U419" i="135" a="1"/>
  <c r="U419" i="135" s="1"/>
  <c r="H419" i="135" a="1"/>
  <c r="H419" i="135" s="1"/>
  <c r="K419" i="135" a="1"/>
  <c r="K419" i="135" s="1"/>
  <c r="N419" i="135" a="1"/>
  <c r="N419" i="135" s="1"/>
  <c r="Q419" i="135" a="1"/>
  <c r="Q419" i="135" s="1"/>
  <c r="AF419" i="135" a="1"/>
  <c r="AF419" i="135" s="1"/>
  <c r="AI419" i="135" a="1"/>
  <c r="AI419" i="135" s="1"/>
  <c r="AL419" i="135" a="1"/>
  <c r="AL419" i="135" s="1"/>
  <c r="F419" i="135" a="1"/>
  <c r="F419" i="135" s="1"/>
  <c r="I419" i="135" a="1"/>
  <c r="I419" i="135" s="1"/>
  <c r="AJ419" i="135" a="1"/>
  <c r="AJ419" i="135" s="1"/>
  <c r="AM419" i="135" a="1"/>
  <c r="AM419" i="135" s="1"/>
  <c r="G419" i="135" a="1"/>
  <c r="G419" i="135" s="1"/>
  <c r="J419" i="135" a="1"/>
  <c r="J419" i="135" s="1"/>
  <c r="M419" i="135" a="1"/>
  <c r="M419" i="135" s="1"/>
  <c r="AB419" i="135" a="1"/>
  <c r="AB419" i="135" s="1"/>
  <c r="AE419" i="135" a="1"/>
  <c r="AE419" i="135" s="1"/>
  <c r="AH419" i="135" a="1"/>
  <c r="AH419" i="135" s="1"/>
  <c r="AK419" i="135" a="1"/>
  <c r="AK419" i="135" s="1"/>
  <c r="E421" i="135" l="1" a="1"/>
  <c r="E421" i="135" s="1"/>
  <c r="D421" i="135" s="1"/>
  <c r="X420" i="135" a="1"/>
  <c r="X420" i="135" s="1"/>
  <c r="AA420" i="135" a="1"/>
  <c r="AA420" i="135" s="1"/>
  <c r="AD420" i="135" a="1"/>
  <c r="AD420" i="135" s="1"/>
  <c r="AG420" i="135" a="1"/>
  <c r="AG420" i="135" s="1"/>
  <c r="T420" i="135" a="1"/>
  <c r="T420" i="135" s="1"/>
  <c r="W420" i="135" a="1"/>
  <c r="W420" i="135" s="1"/>
  <c r="Z420" i="135" a="1"/>
  <c r="Z420" i="135" s="1"/>
  <c r="AC420" i="135" a="1"/>
  <c r="AC420" i="135" s="1"/>
  <c r="P420" i="135" a="1"/>
  <c r="P420" i="135" s="1"/>
  <c r="S420" i="135" a="1"/>
  <c r="S420" i="135" s="1"/>
  <c r="V420" i="135" a="1"/>
  <c r="V420" i="135" s="1"/>
  <c r="Y420" i="135" a="1"/>
  <c r="Y420" i="135" s="1"/>
  <c r="L420" i="135" a="1"/>
  <c r="L420" i="135" s="1"/>
  <c r="O420" i="135" a="1"/>
  <c r="O420" i="135" s="1"/>
  <c r="R420" i="135" a="1"/>
  <c r="R420" i="135" s="1"/>
  <c r="U420" i="135" a="1"/>
  <c r="U420" i="135" s="1"/>
  <c r="H420" i="135" a="1"/>
  <c r="H420" i="135" s="1"/>
  <c r="K420" i="135" a="1"/>
  <c r="K420" i="135" s="1"/>
  <c r="N420" i="135" a="1"/>
  <c r="N420" i="135" s="1"/>
  <c r="Q420" i="135" a="1"/>
  <c r="Q420" i="135" s="1"/>
  <c r="AF420" i="135" a="1"/>
  <c r="AF420" i="135" s="1"/>
  <c r="F420" i="135" a="1"/>
  <c r="F420" i="135" s="1"/>
  <c r="AJ420" i="135" a="1"/>
  <c r="AJ420" i="135" s="1"/>
  <c r="AM420" i="135" a="1"/>
  <c r="AM420" i="135" s="1"/>
  <c r="G420" i="135" a="1"/>
  <c r="G420" i="135" s="1"/>
  <c r="J420" i="135" a="1"/>
  <c r="J420" i="135" s="1"/>
  <c r="M420" i="135" a="1"/>
  <c r="M420" i="135" s="1"/>
  <c r="AI420" i="135" a="1"/>
  <c r="AI420" i="135" s="1"/>
  <c r="AL420" i="135" a="1"/>
  <c r="AL420" i="135" s="1"/>
  <c r="I420" i="135" a="1"/>
  <c r="I420" i="135" s="1"/>
  <c r="AB420" i="135" a="1"/>
  <c r="AB420" i="135" s="1"/>
  <c r="AE420" i="135" a="1"/>
  <c r="AE420" i="135" s="1"/>
  <c r="AH420" i="135" a="1"/>
  <c r="AH420" i="135" s="1"/>
  <c r="AK420" i="135" a="1"/>
  <c r="AK420" i="135" s="1"/>
  <c r="E422" i="135" l="1" a="1"/>
  <c r="E422" i="135" s="1"/>
  <c r="D422" i="135" s="1"/>
  <c r="Y421" i="135" a="1"/>
  <c r="Y421" i="135" s="1"/>
  <c r="X421" i="135" a="1"/>
  <c r="X421" i="135" s="1"/>
  <c r="AA421" i="135" a="1"/>
  <c r="AA421" i="135" s="1"/>
  <c r="AD421" i="135" a="1"/>
  <c r="AD421" i="135" s="1"/>
  <c r="AC421" i="135" a="1"/>
  <c r="AC421" i="135" s="1"/>
  <c r="AB421" i="135" a="1"/>
  <c r="AB421" i="135" s="1"/>
  <c r="AE421" i="135" a="1"/>
  <c r="AE421" i="135" s="1"/>
  <c r="AH421" i="135" a="1"/>
  <c r="AH421" i="135" s="1"/>
  <c r="U421" i="135" a="1"/>
  <c r="U421" i="135" s="1"/>
  <c r="T421" i="135" a="1"/>
  <c r="T421" i="135" s="1"/>
  <c r="W421" i="135" a="1"/>
  <c r="W421" i="135" s="1"/>
  <c r="Z421" i="135" a="1"/>
  <c r="Z421" i="135" s="1"/>
  <c r="Q421" i="135" a="1"/>
  <c r="Q421" i="135" s="1"/>
  <c r="P421" i="135" a="1"/>
  <c r="P421" i="135" s="1"/>
  <c r="S421" i="135" a="1"/>
  <c r="S421" i="135" s="1"/>
  <c r="V421" i="135" a="1"/>
  <c r="V421" i="135" s="1"/>
  <c r="I421" i="135" a="1"/>
  <c r="I421" i="135" s="1"/>
  <c r="H421" i="135" a="1"/>
  <c r="H421" i="135" s="1"/>
  <c r="K421" i="135" a="1"/>
  <c r="K421" i="135" s="1"/>
  <c r="N421" i="135" a="1"/>
  <c r="N421" i="135" s="1"/>
  <c r="M421" i="135" a="1"/>
  <c r="M421" i="135" s="1"/>
  <c r="L421" i="135" a="1"/>
  <c r="L421" i="135" s="1"/>
  <c r="O421" i="135" a="1"/>
  <c r="O421" i="135" s="1"/>
  <c r="R421" i="135" a="1"/>
  <c r="R421" i="135" s="1"/>
  <c r="AK421" i="135" a="1"/>
  <c r="AK421" i="135" s="1"/>
  <c r="AJ421" i="135" a="1"/>
  <c r="AJ421" i="135" s="1"/>
  <c r="AM421" i="135" a="1"/>
  <c r="AM421" i="135" s="1"/>
  <c r="G421" i="135" a="1"/>
  <c r="G421" i="135" s="1"/>
  <c r="J421" i="135" a="1"/>
  <c r="J421" i="135" s="1"/>
  <c r="AG421" i="135" a="1"/>
  <c r="AG421" i="135" s="1"/>
  <c r="AF421" i="135" a="1"/>
  <c r="AF421" i="135" s="1"/>
  <c r="AI421" i="135" a="1"/>
  <c r="AI421" i="135" s="1"/>
  <c r="AL421" i="135" a="1"/>
  <c r="AL421" i="135" s="1"/>
  <c r="F421" i="135" a="1"/>
  <c r="F421" i="135" s="1"/>
  <c r="E423" i="135" l="1" a="1"/>
  <c r="E423" i="135" s="1"/>
  <c r="D423" i="135" s="1"/>
  <c r="U422" i="135" a="1"/>
  <c r="U422" i="135" s="1"/>
  <c r="T422" i="135" a="1"/>
  <c r="T422" i="135" s="1"/>
  <c r="W422" i="135" a="1"/>
  <c r="W422" i="135" s="1"/>
  <c r="Z422" i="135" a="1"/>
  <c r="Z422" i="135" s="1"/>
  <c r="Q422" i="135" a="1"/>
  <c r="Q422" i="135" s="1"/>
  <c r="P422" i="135" a="1"/>
  <c r="P422" i="135" s="1"/>
  <c r="S422" i="135" a="1"/>
  <c r="S422" i="135" s="1"/>
  <c r="V422" i="135" a="1"/>
  <c r="V422" i="135" s="1"/>
  <c r="M422" i="135" a="1"/>
  <c r="M422" i="135" s="1"/>
  <c r="L422" i="135" a="1"/>
  <c r="L422" i="135" s="1"/>
  <c r="O422" i="135" a="1"/>
  <c r="O422" i="135" s="1"/>
  <c r="R422" i="135" a="1"/>
  <c r="R422" i="135" s="1"/>
  <c r="I422" i="135" a="1"/>
  <c r="I422" i="135" s="1"/>
  <c r="H422" i="135" a="1"/>
  <c r="H422" i="135" s="1"/>
  <c r="K422" i="135" a="1"/>
  <c r="K422" i="135" s="1"/>
  <c r="N422" i="135" a="1"/>
  <c r="N422" i="135" s="1"/>
  <c r="Y422" i="135" a="1"/>
  <c r="Y422" i="135" s="1"/>
  <c r="X422" i="135" a="1"/>
  <c r="X422" i="135" s="1"/>
  <c r="AA422" i="135" a="1"/>
  <c r="AA422" i="135" s="1"/>
  <c r="AD422" i="135" a="1"/>
  <c r="AD422" i="135" s="1"/>
  <c r="AF422" i="135" a="1"/>
  <c r="AF422" i="135" s="1"/>
  <c r="AK422" i="135" a="1"/>
  <c r="AK422" i="135" s="1"/>
  <c r="AJ422" i="135" a="1"/>
  <c r="AJ422" i="135" s="1"/>
  <c r="AM422" i="135" a="1"/>
  <c r="AM422" i="135" s="1"/>
  <c r="G422" i="135" a="1"/>
  <c r="G422" i="135" s="1"/>
  <c r="J422" i="135" a="1"/>
  <c r="J422" i="135" s="1"/>
  <c r="AG422" i="135" a="1"/>
  <c r="AG422" i="135" s="1"/>
  <c r="AI422" i="135" a="1"/>
  <c r="AI422" i="135" s="1"/>
  <c r="AL422" i="135" a="1"/>
  <c r="AL422" i="135" s="1"/>
  <c r="F422" i="135" a="1"/>
  <c r="F422" i="135" s="1"/>
  <c r="AC422" i="135" a="1"/>
  <c r="AC422" i="135" s="1"/>
  <c r="AB422" i="135" a="1"/>
  <c r="AB422" i="135" s="1"/>
  <c r="AE422" i="135" a="1"/>
  <c r="AE422" i="135" s="1"/>
  <c r="AH422" i="135" a="1"/>
  <c r="AH422" i="135" s="1"/>
  <c r="E424" i="135" l="1" a="1"/>
  <c r="E424" i="135" s="1"/>
  <c r="D424" i="135" s="1"/>
  <c r="AA423" i="135" a="1"/>
  <c r="AA423" i="135" s="1"/>
  <c r="J423" i="135" a="1"/>
  <c r="J423" i="135" s="1"/>
  <c r="I423" i="135" a="1"/>
  <c r="I423" i="135" s="1"/>
  <c r="T423" i="135" a="1"/>
  <c r="T423" i="135" s="1"/>
  <c r="W423" i="135" a="1"/>
  <c r="W423" i="135" s="1"/>
  <c r="F423" i="135" a="1"/>
  <c r="F423" i="135" s="1"/>
  <c r="U423" i="135" a="1"/>
  <c r="U423" i="135" s="1"/>
  <c r="AH423" i="135" a="1"/>
  <c r="AH423" i="135" s="1"/>
  <c r="S423" i="135" a="1"/>
  <c r="S423" i="135" s="1"/>
  <c r="V423" i="135" a="1"/>
  <c r="V423" i="135" s="1"/>
  <c r="AJ423" i="135" a="1"/>
  <c r="AJ423" i="135" s="1"/>
  <c r="AC423" i="135" a="1"/>
  <c r="AC423" i="135" s="1"/>
  <c r="AL423" i="135" a="1"/>
  <c r="AL423" i="135" s="1"/>
  <c r="AK423" i="135" a="1"/>
  <c r="AK423" i="135" s="1"/>
  <c r="AD423" i="135" a="1"/>
  <c r="AD423" i="135" s="1"/>
  <c r="X423" i="135" a="1"/>
  <c r="X423" i="135" s="1"/>
  <c r="AI423" i="135" a="1"/>
  <c r="AI423" i="135" s="1"/>
  <c r="R423" i="135" a="1"/>
  <c r="R423" i="135" s="1"/>
  <c r="Q423" i="135" a="1"/>
  <c r="Q423" i="135" s="1"/>
  <c r="L423" i="135" a="1"/>
  <c r="L423" i="135" s="1"/>
  <c r="G423" i="135" a="1"/>
  <c r="G423" i="135" s="1"/>
  <c r="AE423" i="135" a="1"/>
  <c r="AE423" i="135" s="1"/>
  <c r="N423" i="135" a="1"/>
  <c r="N423" i="135" s="1"/>
  <c r="M423" i="135" a="1"/>
  <c r="M423" i="135" s="1"/>
  <c r="H423" i="135" a="1"/>
  <c r="H423" i="135" s="1"/>
  <c r="AG423" i="135" a="1"/>
  <c r="AG423" i="135" s="1"/>
  <c r="AF423" i="135" a="1"/>
  <c r="AF423" i="135" s="1"/>
  <c r="Y423" i="135" a="1"/>
  <c r="Y423" i="135" s="1"/>
  <c r="O423" i="135" a="1"/>
  <c r="O423" i="135" s="1"/>
  <c r="AM423" i="135" a="1"/>
  <c r="AM423" i="135" s="1"/>
  <c r="AB423" i="135" a="1"/>
  <c r="AB423" i="135" s="1"/>
  <c r="Z423" i="135" a="1"/>
  <c r="Z423" i="135" s="1"/>
  <c r="P423" i="135" a="1"/>
  <c r="P423" i="135" s="1"/>
  <c r="K423" i="135" a="1"/>
  <c r="K423" i="135" s="1"/>
  <c r="E425" i="135" l="1" a="1"/>
  <c r="E425" i="135" s="1"/>
  <c r="D425" i="135" s="1"/>
  <c r="Y424" i="135" a="1"/>
  <c r="Y424" i="135" s="1"/>
  <c r="X424" i="135" a="1"/>
  <c r="X424" i="135" s="1"/>
  <c r="W424" i="135" a="1"/>
  <c r="W424" i="135" s="1"/>
  <c r="Z424" i="135" a="1"/>
  <c r="Z424" i="135" s="1"/>
  <c r="AK424" i="135" a="1"/>
  <c r="AK424" i="135" s="1"/>
  <c r="AJ424" i="135" a="1"/>
  <c r="AJ424" i="135" s="1"/>
  <c r="AI424" i="135" a="1"/>
  <c r="AI424" i="135" s="1"/>
  <c r="AL424" i="135" a="1"/>
  <c r="AL424" i="135" s="1"/>
  <c r="R424" i="135" a="1"/>
  <c r="R424" i="135" s="1"/>
  <c r="AG424" i="135" a="1"/>
  <c r="AG424" i="135" s="1"/>
  <c r="AF424" i="135" a="1"/>
  <c r="AF424" i="135" s="1"/>
  <c r="AE424" i="135" a="1"/>
  <c r="AE424" i="135" s="1"/>
  <c r="AH424" i="135" a="1"/>
  <c r="AH424" i="135" s="1"/>
  <c r="J424" i="135" a="1"/>
  <c r="J424" i="135" s="1"/>
  <c r="U424" i="135" a="1"/>
  <c r="U424" i="135" s="1"/>
  <c r="T424" i="135" a="1"/>
  <c r="T424" i="135" s="1"/>
  <c r="S424" i="135" a="1"/>
  <c r="S424" i="135" s="1"/>
  <c r="V424" i="135" a="1"/>
  <c r="V424" i="135" s="1"/>
  <c r="Q424" i="135" a="1"/>
  <c r="Q424" i="135" s="1"/>
  <c r="P424" i="135" a="1"/>
  <c r="P424" i="135" s="1"/>
  <c r="O424" i="135" a="1"/>
  <c r="O424" i="135" s="1"/>
  <c r="H424" i="135" a="1"/>
  <c r="H424" i="135" s="1"/>
  <c r="AC424" i="135" a="1"/>
  <c r="AC424" i="135" s="1"/>
  <c r="AB424" i="135" a="1"/>
  <c r="AB424" i="135" s="1"/>
  <c r="AA424" i="135" a="1"/>
  <c r="AA424" i="135" s="1"/>
  <c r="AD424" i="135" a="1"/>
  <c r="AD424" i="135" s="1"/>
  <c r="M424" i="135" a="1"/>
  <c r="M424" i="135" s="1"/>
  <c r="L424" i="135" a="1"/>
  <c r="L424" i="135" s="1"/>
  <c r="K424" i="135" a="1"/>
  <c r="K424" i="135" s="1"/>
  <c r="N424" i="135" a="1"/>
  <c r="N424" i="135" s="1"/>
  <c r="I424" i="135" a="1"/>
  <c r="I424" i="135" s="1"/>
  <c r="AM424" i="135" a="1"/>
  <c r="AM424" i="135" s="1"/>
  <c r="G424" i="135" a="1"/>
  <c r="G424" i="135" s="1"/>
  <c r="F424" i="135" a="1"/>
  <c r="F424" i="135" s="1"/>
  <c r="E426" i="135" l="1" a="1"/>
  <c r="E426" i="135" s="1"/>
  <c r="D426" i="135" s="1"/>
  <c r="Y425" i="135" a="1"/>
  <c r="Y425" i="135" s="1"/>
  <c r="X425" i="135" a="1"/>
  <c r="X425" i="135" s="1"/>
  <c r="O425" i="135" a="1"/>
  <c r="O425" i="135" s="1"/>
  <c r="W425" i="135" a="1"/>
  <c r="W425" i="135" s="1"/>
  <c r="U425" i="135" a="1"/>
  <c r="U425" i="135" s="1"/>
  <c r="T425" i="135" a="1"/>
  <c r="T425" i="135" s="1"/>
  <c r="AD425" i="135" a="1"/>
  <c r="AD425" i="135" s="1"/>
  <c r="G425" i="135" a="1"/>
  <c r="G425" i="135" s="1"/>
  <c r="Q425" i="135" a="1"/>
  <c r="Q425" i="135" s="1"/>
  <c r="P425" i="135" a="1"/>
  <c r="P425" i="135" s="1"/>
  <c r="N425" i="135" a="1"/>
  <c r="N425" i="135" s="1"/>
  <c r="AL425" i="135" a="1"/>
  <c r="AL425" i="135" s="1"/>
  <c r="M425" i="135" a="1"/>
  <c r="M425" i="135" s="1"/>
  <c r="L425" i="135" a="1"/>
  <c r="L425" i="135" s="1"/>
  <c r="AA425" i="135" a="1"/>
  <c r="AA425" i="135" s="1"/>
  <c r="V425" i="135" a="1"/>
  <c r="V425" i="135" s="1"/>
  <c r="I425" i="135" a="1"/>
  <c r="I425" i="135" s="1"/>
  <c r="H425" i="135" a="1"/>
  <c r="H425" i="135" s="1"/>
  <c r="K425" i="135" a="1"/>
  <c r="K425" i="135" s="1"/>
  <c r="F425" i="135" a="1"/>
  <c r="F425" i="135" s="1"/>
  <c r="AG425" i="135" a="1"/>
  <c r="AG425" i="135" s="1"/>
  <c r="AF425" i="135" a="1"/>
  <c r="AF425" i="135" s="1"/>
  <c r="R425" i="135" a="1"/>
  <c r="R425" i="135" s="1"/>
  <c r="J425" i="135" a="1"/>
  <c r="J425" i="135" s="1"/>
  <c r="S425" i="135" a="1"/>
  <c r="S425" i="135" s="1"/>
  <c r="AC425" i="135" a="1"/>
  <c r="AC425" i="135" s="1"/>
  <c r="AB425" i="135" a="1"/>
  <c r="AB425" i="135" s="1"/>
  <c r="AM425" i="135" a="1"/>
  <c r="AM425" i="135" s="1"/>
  <c r="AK425" i="135" a="1"/>
  <c r="AK425" i="135" s="1"/>
  <c r="AJ425" i="135" a="1"/>
  <c r="AJ425" i="135" s="1"/>
  <c r="AH425" i="135" a="1"/>
  <c r="AH425" i="135" s="1"/>
  <c r="Z425" i="135" a="1"/>
  <c r="Z425" i="135" s="1"/>
  <c r="AI425" i="135" a="1"/>
  <c r="AI425" i="135" s="1"/>
  <c r="AE425" i="135" a="1"/>
  <c r="AE425" i="135" s="1"/>
  <c r="E427" i="135" l="1" a="1"/>
  <c r="E427" i="135" s="1"/>
  <c r="D427" i="135" s="1"/>
  <c r="Z426" i="135" a="1"/>
  <c r="Z426" i="135" s="1"/>
  <c r="AC426" i="135" a="1"/>
  <c r="AC426" i="135" s="1"/>
  <c r="AB426" i="135" a="1"/>
  <c r="AB426" i="135" s="1"/>
  <c r="AE426" i="135" a="1"/>
  <c r="AE426" i="135" s="1"/>
  <c r="AH426" i="135" a="1"/>
  <c r="AH426" i="135" s="1"/>
  <c r="AK426" i="135" a="1"/>
  <c r="AK426" i="135" s="1"/>
  <c r="AJ426" i="135" a="1"/>
  <c r="AJ426" i="135" s="1"/>
  <c r="AM426" i="135" a="1"/>
  <c r="AM426" i="135" s="1"/>
  <c r="G426" i="135" a="1"/>
  <c r="G426" i="135" s="1"/>
  <c r="V426" i="135" a="1"/>
  <c r="V426" i="135" s="1"/>
  <c r="Y426" i="135" a="1"/>
  <c r="Y426" i="135" s="1"/>
  <c r="X426" i="135" a="1"/>
  <c r="X426" i="135" s="1"/>
  <c r="AA426" i="135" a="1"/>
  <c r="AA426" i="135" s="1"/>
  <c r="R426" i="135" a="1"/>
  <c r="R426" i="135" s="1"/>
  <c r="U426" i="135" a="1"/>
  <c r="U426" i="135" s="1"/>
  <c r="T426" i="135" a="1"/>
  <c r="T426" i="135" s="1"/>
  <c r="W426" i="135" a="1"/>
  <c r="W426" i="135" s="1"/>
  <c r="N426" i="135" a="1"/>
  <c r="N426" i="135" s="1"/>
  <c r="Q426" i="135" a="1"/>
  <c r="Q426" i="135" s="1"/>
  <c r="P426" i="135" a="1"/>
  <c r="P426" i="135" s="1"/>
  <c r="S426" i="135" a="1"/>
  <c r="S426" i="135" s="1"/>
  <c r="J426" i="135" a="1"/>
  <c r="J426" i="135" s="1"/>
  <c r="M426" i="135" a="1"/>
  <c r="M426" i="135" s="1"/>
  <c r="L426" i="135" a="1"/>
  <c r="L426" i="135" s="1"/>
  <c r="O426" i="135" a="1"/>
  <c r="O426" i="135" s="1"/>
  <c r="AL426" i="135" a="1"/>
  <c r="AL426" i="135" s="1"/>
  <c r="F426" i="135" a="1"/>
  <c r="F426" i="135" s="1"/>
  <c r="I426" i="135" a="1"/>
  <c r="I426" i="135" s="1"/>
  <c r="H426" i="135" a="1"/>
  <c r="H426" i="135" s="1"/>
  <c r="K426" i="135" a="1"/>
  <c r="K426" i="135" s="1"/>
  <c r="AD426" i="135" a="1"/>
  <c r="AD426" i="135" s="1"/>
  <c r="AG426" i="135" a="1"/>
  <c r="AG426" i="135" s="1"/>
  <c r="AF426" i="135" a="1"/>
  <c r="AF426" i="135" s="1"/>
  <c r="AI426" i="135" a="1"/>
  <c r="AI426" i="135" s="1"/>
  <c r="E428" i="135" l="1" a="1"/>
  <c r="E428" i="135" s="1"/>
  <c r="D428" i="135" s="1"/>
  <c r="AA427" i="135" a="1"/>
  <c r="AA427" i="135" s="1"/>
  <c r="Z427" i="135" a="1"/>
  <c r="Z427" i="135" s="1"/>
  <c r="AC427" i="135" a="1"/>
  <c r="AC427" i="135" s="1"/>
  <c r="AJ427" i="135" a="1"/>
  <c r="AJ427" i="135" s="1"/>
  <c r="R427" i="135" a="1"/>
  <c r="R427" i="135" s="1"/>
  <c r="U427" i="135" a="1"/>
  <c r="U427" i="135" s="1"/>
  <c r="AF427" i="135" a="1"/>
  <c r="AF427" i="135" s="1"/>
  <c r="W427" i="135" a="1"/>
  <c r="W427" i="135" s="1"/>
  <c r="V427" i="135" a="1"/>
  <c r="V427" i="135" s="1"/>
  <c r="Y427" i="135" a="1"/>
  <c r="Y427" i="135" s="1"/>
  <c r="G427" i="135" a="1"/>
  <c r="G427" i="135" s="1"/>
  <c r="S427" i="135" a="1"/>
  <c r="S427" i="135" s="1"/>
  <c r="O427" i="135" a="1"/>
  <c r="O427" i="135" s="1"/>
  <c r="N427" i="135" a="1"/>
  <c r="N427" i="135" s="1"/>
  <c r="Q427" i="135" a="1"/>
  <c r="Q427" i="135" s="1"/>
  <c r="AB427" i="135" a="1"/>
  <c r="AB427" i="135" s="1"/>
  <c r="K427" i="135" a="1"/>
  <c r="K427" i="135" s="1"/>
  <c r="J427" i="135" a="1"/>
  <c r="J427" i="135" s="1"/>
  <c r="M427" i="135" a="1"/>
  <c r="M427" i="135" s="1"/>
  <c r="X427" i="135" a="1"/>
  <c r="X427" i="135" s="1"/>
  <c r="AL427" i="135" a="1"/>
  <c r="AL427" i="135" s="1"/>
  <c r="F427" i="135" a="1"/>
  <c r="F427" i="135" s="1"/>
  <c r="T427" i="135" a="1"/>
  <c r="T427" i="135" s="1"/>
  <c r="AI427" i="135" a="1"/>
  <c r="AI427" i="135" s="1"/>
  <c r="AH427" i="135" a="1"/>
  <c r="AH427" i="135" s="1"/>
  <c r="AK427" i="135" a="1"/>
  <c r="AK427" i="135" s="1"/>
  <c r="L427" i="135" a="1"/>
  <c r="L427" i="135" s="1"/>
  <c r="P427" i="135" a="1"/>
  <c r="P427" i="135" s="1"/>
  <c r="AM427" i="135" a="1"/>
  <c r="AM427" i="135" s="1"/>
  <c r="I427" i="135" a="1"/>
  <c r="I427" i="135" s="1"/>
  <c r="AE427" i="135" a="1"/>
  <c r="AE427" i="135" s="1"/>
  <c r="AD427" i="135" a="1"/>
  <c r="AD427" i="135" s="1"/>
  <c r="AG427" i="135" a="1"/>
  <c r="AG427" i="135" s="1"/>
  <c r="H427" i="135" a="1"/>
  <c r="H427" i="135" s="1"/>
  <c r="E429" i="135" l="1" a="1"/>
  <c r="E429" i="135" s="1"/>
  <c r="D429" i="135" s="1"/>
  <c r="AA428" i="135" a="1"/>
  <c r="AA428" i="135" s="1"/>
  <c r="AD428" i="135" a="1"/>
  <c r="AD428" i="135" s="1"/>
  <c r="AG428" i="135" a="1"/>
  <c r="AG428" i="135" s="1"/>
  <c r="AF428" i="135" a="1"/>
  <c r="AF428" i="135" s="1"/>
  <c r="K428" i="135" a="1"/>
  <c r="K428" i="135" s="1"/>
  <c r="P428" i="135" a="1"/>
  <c r="P428" i="135" s="1"/>
  <c r="J428" i="135" a="1"/>
  <c r="J428" i="135" s="1"/>
  <c r="AI428" i="135" a="1"/>
  <c r="AI428" i="135" s="1"/>
  <c r="AL428" i="135" a="1"/>
  <c r="AL428" i="135" s="1"/>
  <c r="F428" i="135" a="1"/>
  <c r="F428" i="135" s="1"/>
  <c r="I428" i="135" a="1"/>
  <c r="I428" i="135" s="1"/>
  <c r="H428" i="135" a="1"/>
  <c r="H428" i="135" s="1"/>
  <c r="AE428" i="135" a="1"/>
  <c r="AE428" i="135" s="1"/>
  <c r="AK428" i="135" a="1"/>
  <c r="AK428" i="135" s="1"/>
  <c r="W428" i="135" a="1"/>
  <c r="W428" i="135" s="1"/>
  <c r="Z428" i="135" a="1"/>
  <c r="Z428" i="135" s="1"/>
  <c r="AC428" i="135" a="1"/>
  <c r="AC428" i="135" s="1"/>
  <c r="AB428" i="135" a="1"/>
  <c r="AB428" i="135" s="1"/>
  <c r="S428" i="135" a="1"/>
  <c r="S428" i="135" s="1"/>
  <c r="V428" i="135" a="1"/>
  <c r="V428" i="135" s="1"/>
  <c r="Y428" i="135" a="1"/>
  <c r="Y428" i="135" s="1"/>
  <c r="X428" i="135" a="1"/>
  <c r="X428" i="135" s="1"/>
  <c r="N428" i="135" a="1"/>
  <c r="N428" i="135" s="1"/>
  <c r="G428" i="135" a="1"/>
  <c r="G428" i="135" s="1"/>
  <c r="L428" i="135" a="1"/>
  <c r="L428" i="135" s="1"/>
  <c r="O428" i="135" a="1"/>
  <c r="O428" i="135" s="1"/>
  <c r="R428" i="135" a="1"/>
  <c r="R428" i="135" s="1"/>
  <c r="U428" i="135" a="1"/>
  <c r="U428" i="135" s="1"/>
  <c r="T428" i="135" a="1"/>
  <c r="T428" i="135" s="1"/>
  <c r="Q428" i="135" a="1"/>
  <c r="Q428" i="135" s="1"/>
  <c r="AM428" i="135" a="1"/>
  <c r="AM428" i="135" s="1"/>
  <c r="M428" i="135" a="1"/>
  <c r="M428" i="135" s="1"/>
  <c r="AH428" i="135" a="1"/>
  <c r="AH428" i="135" s="1"/>
  <c r="AJ428" i="135" a="1"/>
  <c r="AJ428" i="135" s="1"/>
  <c r="E430" i="135" l="1" a="1"/>
  <c r="E430" i="135" s="1"/>
  <c r="D430" i="135" s="1"/>
  <c r="P429" i="135" a="1"/>
  <c r="P429" i="135" s="1"/>
  <c r="S429" i="135" a="1"/>
  <c r="S429" i="135" s="1"/>
  <c r="V429" i="135" a="1"/>
  <c r="V429" i="135" s="1"/>
  <c r="Y429" i="135" a="1"/>
  <c r="Y429" i="135" s="1"/>
  <c r="L429" i="135" a="1"/>
  <c r="L429" i="135" s="1"/>
  <c r="O429" i="135" a="1"/>
  <c r="O429" i="135" s="1"/>
  <c r="R429" i="135" a="1"/>
  <c r="R429" i="135" s="1"/>
  <c r="U429" i="135" a="1"/>
  <c r="U429" i="135" s="1"/>
  <c r="X429" i="135" a="1"/>
  <c r="X429" i="135" s="1"/>
  <c r="AA429" i="135" a="1"/>
  <c r="AA429" i="135" s="1"/>
  <c r="AD429" i="135" a="1"/>
  <c r="AD429" i="135" s="1"/>
  <c r="AG429" i="135" a="1"/>
  <c r="AG429" i="135" s="1"/>
  <c r="H429" i="135" a="1"/>
  <c r="H429" i="135" s="1"/>
  <c r="K429" i="135" a="1"/>
  <c r="K429" i="135" s="1"/>
  <c r="N429" i="135" a="1"/>
  <c r="N429" i="135" s="1"/>
  <c r="Q429" i="135" a="1"/>
  <c r="Q429" i="135" s="1"/>
  <c r="M429" i="135" a="1"/>
  <c r="M429" i="135" s="1"/>
  <c r="AB429" i="135" a="1"/>
  <c r="AB429" i="135" s="1"/>
  <c r="AH429" i="135" a="1"/>
  <c r="AH429" i="135" s="1"/>
  <c r="AJ429" i="135" a="1"/>
  <c r="AJ429" i="135" s="1"/>
  <c r="AM429" i="135" a="1"/>
  <c r="AM429" i="135" s="1"/>
  <c r="G429" i="135" a="1"/>
  <c r="G429" i="135" s="1"/>
  <c r="J429" i="135" a="1"/>
  <c r="J429" i="135" s="1"/>
  <c r="AE429" i="135" a="1"/>
  <c r="AE429" i="135" s="1"/>
  <c r="AK429" i="135" a="1"/>
  <c r="AK429" i="135" s="1"/>
  <c r="AF429" i="135" a="1"/>
  <c r="AF429" i="135" s="1"/>
  <c r="AI429" i="135" a="1"/>
  <c r="AI429" i="135" s="1"/>
  <c r="AL429" i="135" a="1"/>
  <c r="AL429" i="135" s="1"/>
  <c r="F429" i="135" a="1"/>
  <c r="F429" i="135" s="1"/>
  <c r="I429" i="135" a="1"/>
  <c r="I429" i="135" s="1"/>
  <c r="T429" i="135" a="1"/>
  <c r="T429" i="135" s="1"/>
  <c r="W429" i="135" a="1"/>
  <c r="W429" i="135" s="1"/>
  <c r="Z429" i="135" a="1"/>
  <c r="Z429" i="135" s="1"/>
  <c r="AC429" i="135" a="1"/>
  <c r="AC429" i="135" s="1"/>
  <c r="E431" i="135" l="1" a="1"/>
  <c r="E431" i="135" s="1"/>
  <c r="D431" i="135" s="1"/>
  <c r="X430" i="135" a="1"/>
  <c r="X430" i="135" s="1"/>
  <c r="AA430" i="135" a="1"/>
  <c r="AA430" i="135" s="1"/>
  <c r="AD430" i="135" a="1"/>
  <c r="AD430" i="135" s="1"/>
  <c r="AG430" i="135" a="1"/>
  <c r="AG430" i="135" s="1"/>
  <c r="T430" i="135" a="1"/>
  <c r="T430" i="135" s="1"/>
  <c r="W430" i="135" a="1"/>
  <c r="W430" i="135" s="1"/>
  <c r="Z430" i="135" a="1"/>
  <c r="Z430" i="135" s="1"/>
  <c r="AC430" i="135" a="1"/>
  <c r="AC430" i="135" s="1"/>
  <c r="R430" i="135" a="1"/>
  <c r="R430" i="135" s="1"/>
  <c r="H430" i="135" a="1"/>
  <c r="H430" i="135" s="1"/>
  <c r="N430" i="135" a="1"/>
  <c r="N430" i="135" s="1"/>
  <c r="M430" i="135" a="1"/>
  <c r="M430" i="135" s="1"/>
  <c r="AE430" i="135" a="1"/>
  <c r="AE430" i="135" s="1"/>
  <c r="AH430" i="135" a="1"/>
  <c r="AH430" i="135" s="1"/>
  <c r="P430" i="135" a="1"/>
  <c r="P430" i="135" s="1"/>
  <c r="S430" i="135" a="1"/>
  <c r="S430" i="135" s="1"/>
  <c r="V430" i="135" a="1"/>
  <c r="V430" i="135" s="1"/>
  <c r="Y430" i="135" a="1"/>
  <c r="Y430" i="135" s="1"/>
  <c r="L430" i="135" a="1"/>
  <c r="L430" i="135" s="1"/>
  <c r="O430" i="135" a="1"/>
  <c r="O430" i="135" s="1"/>
  <c r="U430" i="135" a="1"/>
  <c r="U430" i="135" s="1"/>
  <c r="K430" i="135" a="1"/>
  <c r="K430" i="135" s="1"/>
  <c r="Q430" i="135" a="1"/>
  <c r="Q430" i="135" s="1"/>
  <c r="AF430" i="135" a="1"/>
  <c r="AF430" i="135" s="1"/>
  <c r="AI430" i="135" a="1"/>
  <c r="AI430" i="135" s="1"/>
  <c r="AL430" i="135" a="1"/>
  <c r="AL430" i="135" s="1"/>
  <c r="F430" i="135" a="1"/>
  <c r="F430" i="135" s="1"/>
  <c r="I430" i="135" a="1"/>
  <c r="I430" i="135" s="1"/>
  <c r="AJ430" i="135" a="1"/>
  <c r="AJ430" i="135" s="1"/>
  <c r="AM430" i="135" a="1"/>
  <c r="AM430" i="135" s="1"/>
  <c r="G430" i="135" a="1"/>
  <c r="G430" i="135" s="1"/>
  <c r="J430" i="135" a="1"/>
  <c r="J430" i="135" s="1"/>
  <c r="AB430" i="135" a="1"/>
  <c r="AB430" i="135" s="1"/>
  <c r="AK430" i="135" a="1"/>
  <c r="AK430" i="135" s="1"/>
  <c r="E432" i="135" l="1" a="1"/>
  <c r="E432" i="135" s="1"/>
  <c r="D432" i="135" s="1"/>
  <c r="Y431" i="135" a="1"/>
  <c r="Y431" i="135" s="1"/>
  <c r="X431" i="135" a="1"/>
  <c r="X431" i="135" s="1"/>
  <c r="W431" i="135" a="1"/>
  <c r="W431" i="135" s="1"/>
  <c r="R431" i="135" a="1"/>
  <c r="R431" i="135" s="1"/>
  <c r="AA431" i="135" a="1"/>
  <c r="AA431" i="135" s="1"/>
  <c r="AJ431" i="135" a="1"/>
  <c r="AJ431" i="135" s="1"/>
  <c r="AB431" i="135" a="1"/>
  <c r="AB431" i="135" s="1"/>
  <c r="V431" i="135" a="1"/>
  <c r="V431" i="135" s="1"/>
  <c r="U431" i="135" a="1"/>
  <c r="U431" i="135" s="1"/>
  <c r="T431" i="135" a="1"/>
  <c r="T431" i="135" s="1"/>
  <c r="S431" i="135" a="1"/>
  <c r="S431" i="135" s="1"/>
  <c r="N431" i="135" a="1"/>
  <c r="N431" i="135" s="1"/>
  <c r="L431" i="135" a="1"/>
  <c r="L431" i="135" s="1"/>
  <c r="K431" i="135" a="1"/>
  <c r="K431" i="135" s="1"/>
  <c r="AM431" i="135" a="1"/>
  <c r="AM431" i="135" s="1"/>
  <c r="I431" i="135" a="1"/>
  <c r="I431" i="135" s="1"/>
  <c r="H431" i="135" a="1"/>
  <c r="H431" i="135" s="1"/>
  <c r="G431" i="135" a="1"/>
  <c r="G431" i="135" s="1"/>
  <c r="AL431" i="135" a="1"/>
  <c r="AL431" i="135" s="1"/>
  <c r="AI431" i="135" a="1"/>
  <c r="AI431" i="135" s="1"/>
  <c r="AK431" i="135" a="1"/>
  <c r="AK431" i="135" s="1"/>
  <c r="AC431" i="135" a="1"/>
  <c r="AC431" i="135" s="1"/>
  <c r="AG431" i="135" a="1"/>
  <c r="AG431" i="135" s="1"/>
  <c r="AF431" i="135" a="1"/>
  <c r="AF431" i="135" s="1"/>
  <c r="Q431" i="135" a="1"/>
  <c r="Q431" i="135" s="1"/>
  <c r="P431" i="135" a="1"/>
  <c r="P431" i="135" s="1"/>
  <c r="O431" i="135" a="1"/>
  <c r="O431" i="135" s="1"/>
  <c r="J431" i="135" a="1"/>
  <c r="J431" i="135" s="1"/>
  <c r="M431" i="135" a="1"/>
  <c r="M431" i="135" s="1"/>
  <c r="F431" i="135" a="1"/>
  <c r="F431" i="135" s="1"/>
  <c r="AE431" i="135" a="1"/>
  <c r="AE431" i="135" s="1"/>
  <c r="AD431" i="135" a="1"/>
  <c r="AD431" i="135" s="1"/>
  <c r="AH431" i="135" a="1"/>
  <c r="AH431" i="135" s="1"/>
  <c r="Z431" i="135" a="1"/>
  <c r="Z431" i="135" s="1"/>
  <c r="E433" i="135" l="1" a="1"/>
  <c r="E433" i="135" s="1"/>
  <c r="D433" i="135" s="1"/>
  <c r="AA432" i="135" a="1"/>
  <c r="AA432" i="135" s="1"/>
  <c r="AD432" i="135" a="1"/>
  <c r="AD432" i="135" s="1"/>
  <c r="U432" i="135" a="1"/>
  <c r="U432" i="135" s="1"/>
  <c r="T432" i="135" a="1"/>
  <c r="T432" i="135" s="1"/>
  <c r="W432" i="135" a="1"/>
  <c r="W432" i="135" s="1"/>
  <c r="Z432" i="135" a="1"/>
  <c r="Z432" i="135" s="1"/>
  <c r="Q432" i="135" a="1"/>
  <c r="Q432" i="135" s="1"/>
  <c r="F432" i="135" a="1"/>
  <c r="F432" i="135" s="1"/>
  <c r="S432" i="135" a="1"/>
  <c r="S432" i="135" s="1"/>
  <c r="V432" i="135" a="1"/>
  <c r="V432" i="135" s="1"/>
  <c r="M432" i="135" a="1"/>
  <c r="M432" i="135" s="1"/>
  <c r="L432" i="135" a="1"/>
  <c r="L432" i="135" s="1"/>
  <c r="AI432" i="135" a="1"/>
  <c r="AI432" i="135" s="1"/>
  <c r="AL432" i="135" a="1"/>
  <c r="AL432" i="135" s="1"/>
  <c r="AC432" i="135" a="1"/>
  <c r="AC432" i="135" s="1"/>
  <c r="AJ432" i="135" a="1"/>
  <c r="AJ432" i="135" s="1"/>
  <c r="P432" i="135" a="1"/>
  <c r="P432" i="135" s="1"/>
  <c r="O432" i="135" a="1"/>
  <c r="O432" i="135" s="1"/>
  <c r="R432" i="135" a="1"/>
  <c r="R432" i="135" s="1"/>
  <c r="I432" i="135" a="1"/>
  <c r="I432" i="135" s="1"/>
  <c r="J432" i="135" a="1"/>
  <c r="J432" i="135" s="1"/>
  <c r="K432" i="135" a="1"/>
  <c r="K432" i="135" s="1"/>
  <c r="AK432" i="135" a="1"/>
  <c r="AK432" i="135" s="1"/>
  <c r="N432" i="135" a="1"/>
  <c r="N432" i="135" s="1"/>
  <c r="AF432" i="135" a="1"/>
  <c r="AF432" i="135" s="1"/>
  <c r="AM432" i="135" a="1"/>
  <c r="AM432" i="135" s="1"/>
  <c r="G432" i="135" a="1"/>
  <c r="G432" i="135" s="1"/>
  <c r="AG432" i="135" a="1"/>
  <c r="AG432" i="135" s="1"/>
  <c r="H432" i="135" a="1"/>
  <c r="H432" i="135" s="1"/>
  <c r="X432" i="135" a="1"/>
  <c r="X432" i="135" s="1"/>
  <c r="AE432" i="135" a="1"/>
  <c r="AE432" i="135" s="1"/>
  <c r="AH432" i="135" a="1"/>
  <c r="AH432" i="135" s="1"/>
  <c r="Y432" i="135" a="1"/>
  <c r="Y432" i="135" s="1"/>
  <c r="AB432" i="135" a="1"/>
  <c r="AB432" i="135" s="1"/>
  <c r="E434" i="135" l="1" a="1"/>
  <c r="E434" i="135" s="1"/>
  <c r="D434" i="135" s="1"/>
  <c r="X433" i="135" a="1"/>
  <c r="X433" i="135" s="1"/>
  <c r="Z433" i="135" a="1"/>
  <c r="Z433" i="135" s="1"/>
  <c r="Q433" i="135" a="1"/>
  <c r="Q433" i="135" s="1"/>
  <c r="AI433" i="135" a="1"/>
  <c r="AI433" i="135" s="1"/>
  <c r="T433" i="135" a="1"/>
  <c r="T433" i="135" s="1"/>
  <c r="V433" i="135" a="1"/>
  <c r="V433" i="135" s="1"/>
  <c r="M433" i="135" a="1"/>
  <c r="M433" i="135" s="1"/>
  <c r="S433" i="135" a="1"/>
  <c r="S433" i="135" s="1"/>
  <c r="P433" i="135" a="1"/>
  <c r="P433" i="135" s="1"/>
  <c r="R433" i="135" a="1"/>
  <c r="R433" i="135" s="1"/>
  <c r="I433" i="135" a="1"/>
  <c r="I433" i="135" s="1"/>
  <c r="G433" i="135" a="1"/>
  <c r="G433" i="135" s="1"/>
  <c r="AK433" i="135" a="1"/>
  <c r="AK433" i="135" s="1"/>
  <c r="AA433" i="135" a="1"/>
  <c r="AA433" i="135" s="1"/>
  <c r="F433" i="135" a="1"/>
  <c r="F433" i="135" s="1"/>
  <c r="H433" i="135" a="1"/>
  <c r="H433" i="135" s="1"/>
  <c r="AG433" i="135" a="1"/>
  <c r="AG433" i="135" s="1"/>
  <c r="AE433" i="135" a="1"/>
  <c r="AE433" i="135" s="1"/>
  <c r="AB433" i="135" a="1"/>
  <c r="AB433" i="135" s="1"/>
  <c r="AD433" i="135" a="1"/>
  <c r="AD433" i="135" s="1"/>
  <c r="U433" i="135" a="1"/>
  <c r="U433" i="135" s="1"/>
  <c r="J433" i="135" a="1"/>
  <c r="J433" i="135" s="1"/>
  <c r="L433" i="135" a="1"/>
  <c r="L433" i="135" s="1"/>
  <c r="K433" i="135" a="1"/>
  <c r="K433" i="135" s="1"/>
  <c r="AJ433" i="135" a="1"/>
  <c r="AJ433" i="135" s="1"/>
  <c r="AL433" i="135" a="1"/>
  <c r="AL433" i="135" s="1"/>
  <c r="AC433" i="135" a="1"/>
  <c r="AC433" i="135" s="1"/>
  <c r="AM433" i="135" a="1"/>
  <c r="AM433" i="135" s="1"/>
  <c r="O433" i="135" a="1"/>
  <c r="O433" i="135" s="1"/>
  <c r="AF433" i="135" a="1"/>
  <c r="AF433" i="135" s="1"/>
  <c r="AH433" i="135" a="1"/>
  <c r="AH433" i="135" s="1"/>
  <c r="Y433" i="135" a="1"/>
  <c r="Y433" i="135" s="1"/>
  <c r="W433" i="135" a="1"/>
  <c r="W433" i="135" s="1"/>
  <c r="N433" i="135" a="1"/>
  <c r="N433" i="135" s="1"/>
  <c r="E435" i="135" l="1" a="1"/>
  <c r="E435" i="135" s="1"/>
  <c r="D435" i="135" s="1"/>
  <c r="X434" i="135" a="1"/>
  <c r="X434" i="135" s="1"/>
  <c r="AA434" i="135" a="1"/>
  <c r="AA434" i="135" s="1"/>
  <c r="AD434" i="135" a="1"/>
  <c r="AD434" i="135" s="1"/>
  <c r="U434" i="135" a="1"/>
  <c r="U434" i="135" s="1"/>
  <c r="T434" i="135" a="1"/>
  <c r="T434" i="135" s="1"/>
  <c r="W434" i="135" a="1"/>
  <c r="W434" i="135" s="1"/>
  <c r="Z434" i="135" a="1"/>
  <c r="Z434" i="135" s="1"/>
  <c r="AG434" i="135" a="1"/>
  <c r="AG434" i="135" s="1"/>
  <c r="P434" i="135" a="1"/>
  <c r="P434" i="135" s="1"/>
  <c r="S434" i="135" a="1"/>
  <c r="S434" i="135" s="1"/>
  <c r="V434" i="135" a="1"/>
  <c r="V434" i="135" s="1"/>
  <c r="Q434" i="135" a="1"/>
  <c r="Q434" i="135" s="1"/>
  <c r="L434" i="135" a="1"/>
  <c r="L434" i="135" s="1"/>
  <c r="O434" i="135" a="1"/>
  <c r="O434" i="135" s="1"/>
  <c r="R434" i="135" a="1"/>
  <c r="R434" i="135" s="1"/>
  <c r="AC434" i="135" a="1"/>
  <c r="AC434" i="135" s="1"/>
  <c r="H434" i="135" a="1"/>
  <c r="H434" i="135" s="1"/>
  <c r="K434" i="135" a="1"/>
  <c r="K434" i="135" s="1"/>
  <c r="N434" i="135" a="1"/>
  <c r="N434" i="135" s="1"/>
  <c r="M434" i="135" a="1"/>
  <c r="M434" i="135" s="1"/>
  <c r="AB434" i="135" a="1"/>
  <c r="AB434" i="135" s="1"/>
  <c r="AE434" i="135" a="1"/>
  <c r="AE434" i="135" s="1"/>
  <c r="AK434" i="135" a="1"/>
  <c r="AK434" i="135" s="1"/>
  <c r="AJ434" i="135" a="1"/>
  <c r="AJ434" i="135" s="1"/>
  <c r="AM434" i="135" a="1"/>
  <c r="AM434" i="135" s="1"/>
  <c r="G434" i="135" a="1"/>
  <c r="G434" i="135" s="1"/>
  <c r="J434" i="135" a="1"/>
  <c r="J434" i="135" s="1"/>
  <c r="Y434" i="135" a="1"/>
  <c r="Y434" i="135" s="1"/>
  <c r="AF434" i="135" a="1"/>
  <c r="AF434" i="135" s="1"/>
  <c r="AI434" i="135" a="1"/>
  <c r="AI434" i="135" s="1"/>
  <c r="AL434" i="135" a="1"/>
  <c r="AL434" i="135" s="1"/>
  <c r="F434" i="135" a="1"/>
  <c r="F434" i="135" s="1"/>
  <c r="I434" i="135" a="1"/>
  <c r="I434" i="135" s="1"/>
  <c r="AH434" i="135" a="1"/>
  <c r="AH434" i="135" s="1"/>
  <c r="E436" i="135" l="1" a="1"/>
  <c r="E436" i="135" s="1"/>
  <c r="D436" i="135" s="1"/>
  <c r="Y435" i="135" a="1"/>
  <c r="Y435" i="135" s="1"/>
  <c r="AA435" i="135" a="1"/>
  <c r="AA435" i="135" s="1"/>
  <c r="AD435" i="135" a="1"/>
  <c r="AD435" i="135" s="1"/>
  <c r="T435" i="135" a="1"/>
  <c r="T435" i="135" s="1"/>
  <c r="U435" i="135" a="1"/>
  <c r="U435" i="135" s="1"/>
  <c r="W435" i="135" a="1"/>
  <c r="W435" i="135" s="1"/>
  <c r="Z435" i="135" a="1"/>
  <c r="Z435" i="135" s="1"/>
  <c r="AF435" i="135" a="1"/>
  <c r="AF435" i="135" s="1"/>
  <c r="Q435" i="135" a="1"/>
  <c r="Q435" i="135" s="1"/>
  <c r="S435" i="135" a="1"/>
  <c r="S435" i="135" s="1"/>
  <c r="V435" i="135" a="1"/>
  <c r="V435" i="135" s="1"/>
  <c r="P435" i="135" a="1"/>
  <c r="P435" i="135" s="1"/>
  <c r="I435" i="135" a="1"/>
  <c r="I435" i="135" s="1"/>
  <c r="K435" i="135" a="1"/>
  <c r="K435" i="135" s="1"/>
  <c r="N435" i="135" a="1"/>
  <c r="N435" i="135" s="1"/>
  <c r="L435" i="135" a="1"/>
  <c r="L435" i="135" s="1"/>
  <c r="AG435" i="135" a="1"/>
  <c r="AG435" i="135" s="1"/>
  <c r="AI435" i="135" a="1"/>
  <c r="AI435" i="135" s="1"/>
  <c r="AL435" i="135" a="1"/>
  <c r="AL435" i="135" s="1"/>
  <c r="F435" i="135" a="1"/>
  <c r="F435" i="135" s="1"/>
  <c r="H435" i="135" a="1"/>
  <c r="H435" i="135" s="1"/>
  <c r="M435" i="135" a="1"/>
  <c r="M435" i="135" s="1"/>
  <c r="O435" i="135" a="1"/>
  <c r="O435" i="135" s="1"/>
  <c r="R435" i="135" a="1"/>
  <c r="R435" i="135" s="1"/>
  <c r="AB435" i="135" a="1"/>
  <c r="AB435" i="135" s="1"/>
  <c r="AC435" i="135" a="1"/>
  <c r="AC435" i="135" s="1"/>
  <c r="AE435" i="135" a="1"/>
  <c r="AE435" i="135" s="1"/>
  <c r="AH435" i="135" a="1"/>
  <c r="AH435" i="135" s="1"/>
  <c r="AJ435" i="135" a="1"/>
  <c r="AJ435" i="135" s="1"/>
  <c r="AK435" i="135" a="1"/>
  <c r="AK435" i="135" s="1"/>
  <c r="AM435" i="135" a="1"/>
  <c r="AM435" i="135" s="1"/>
  <c r="G435" i="135" a="1"/>
  <c r="G435" i="135" s="1"/>
  <c r="J435" i="135" a="1"/>
  <c r="J435" i="135" s="1"/>
  <c r="X435" i="135" a="1"/>
  <c r="X435" i="135" s="1"/>
  <c r="E437" i="135" l="1" a="1"/>
  <c r="E437" i="135" s="1"/>
  <c r="D437" i="135" s="1"/>
  <c r="Q436" i="135" a="1"/>
  <c r="Q436" i="135" s="1"/>
  <c r="P436" i="135" a="1"/>
  <c r="P436" i="135" s="1"/>
  <c r="S436" i="135" a="1"/>
  <c r="S436" i="135" s="1"/>
  <c r="AL436" i="135" a="1"/>
  <c r="AL436" i="135" s="1"/>
  <c r="M436" i="135" a="1"/>
  <c r="M436" i="135" s="1"/>
  <c r="L436" i="135" a="1"/>
  <c r="L436" i="135" s="1"/>
  <c r="O436" i="135" a="1"/>
  <c r="O436" i="135" s="1"/>
  <c r="V436" i="135" a="1"/>
  <c r="V436" i="135" s="1"/>
  <c r="I436" i="135" a="1"/>
  <c r="I436" i="135" s="1"/>
  <c r="H436" i="135" a="1"/>
  <c r="H436" i="135" s="1"/>
  <c r="K436" i="135" a="1"/>
  <c r="K436" i="135" s="1"/>
  <c r="F436" i="135" a="1"/>
  <c r="F436" i="135" s="1"/>
  <c r="AC436" i="135" a="1"/>
  <c r="AC436" i="135" s="1"/>
  <c r="AB436" i="135" a="1"/>
  <c r="AB436" i="135" s="1"/>
  <c r="AE436" i="135" a="1"/>
  <c r="AE436" i="135" s="1"/>
  <c r="N436" i="135" a="1"/>
  <c r="N436" i="135" s="1"/>
  <c r="Y436" i="135" a="1"/>
  <c r="Y436" i="135" s="1"/>
  <c r="X436" i="135" a="1"/>
  <c r="X436" i="135" s="1"/>
  <c r="AA436" i="135" a="1"/>
  <c r="AA436" i="135" s="1"/>
  <c r="Z436" i="135" a="1"/>
  <c r="Z436" i="135" s="1"/>
  <c r="U436" i="135" a="1"/>
  <c r="U436" i="135" s="1"/>
  <c r="T436" i="135" a="1"/>
  <c r="T436" i="135" s="1"/>
  <c r="W436" i="135" a="1"/>
  <c r="W436" i="135" s="1"/>
  <c r="J436" i="135" a="1"/>
  <c r="J436" i="135" s="1"/>
  <c r="AK436" i="135" a="1"/>
  <c r="AK436" i="135" s="1"/>
  <c r="AJ436" i="135" a="1"/>
  <c r="AJ436" i="135" s="1"/>
  <c r="AM436" i="135" a="1"/>
  <c r="AM436" i="135" s="1"/>
  <c r="G436" i="135" a="1"/>
  <c r="G436" i="135" s="1"/>
  <c r="AH436" i="135" a="1"/>
  <c r="AH436" i="135" s="1"/>
  <c r="AG436" i="135" a="1"/>
  <c r="AG436" i="135" s="1"/>
  <c r="AF436" i="135" a="1"/>
  <c r="AF436" i="135" s="1"/>
  <c r="AI436" i="135" a="1"/>
  <c r="AI436" i="135" s="1"/>
  <c r="AD436" i="135" a="1"/>
  <c r="AD436" i="135" s="1"/>
  <c r="R436" i="135" a="1"/>
  <c r="R436" i="135" s="1"/>
  <c r="E438" i="135" l="1" a="1"/>
  <c r="E438" i="135" s="1"/>
  <c r="D438" i="135" s="1"/>
  <c r="Z437" i="135" a="1"/>
  <c r="Z437" i="135" s="1"/>
  <c r="AC437" i="135" a="1"/>
  <c r="AC437" i="135" s="1"/>
  <c r="AB437" i="135" a="1"/>
  <c r="AB437" i="135" s="1"/>
  <c r="AE437" i="135" a="1"/>
  <c r="AE437" i="135" s="1"/>
  <c r="AH437" i="135" a="1"/>
  <c r="AH437" i="135" s="1"/>
  <c r="AK437" i="135" a="1"/>
  <c r="AK437" i="135" s="1"/>
  <c r="AJ437" i="135" a="1"/>
  <c r="AJ437" i="135" s="1"/>
  <c r="AM437" i="135" a="1"/>
  <c r="AM437" i="135" s="1"/>
  <c r="G437" i="135" a="1"/>
  <c r="G437" i="135" s="1"/>
  <c r="AD437" i="135" a="1"/>
  <c r="AD437" i="135" s="1"/>
  <c r="AF437" i="135" a="1"/>
  <c r="AF437" i="135" s="1"/>
  <c r="V437" i="135" a="1"/>
  <c r="V437" i="135" s="1"/>
  <c r="Y437" i="135" a="1"/>
  <c r="Y437" i="135" s="1"/>
  <c r="X437" i="135" a="1"/>
  <c r="X437" i="135" s="1"/>
  <c r="AA437" i="135" a="1"/>
  <c r="AA437" i="135" s="1"/>
  <c r="R437" i="135" a="1"/>
  <c r="R437" i="135" s="1"/>
  <c r="U437" i="135" a="1"/>
  <c r="U437" i="135" s="1"/>
  <c r="T437" i="135" a="1"/>
  <c r="T437" i="135" s="1"/>
  <c r="W437" i="135" a="1"/>
  <c r="W437" i="135" s="1"/>
  <c r="J437" i="135" a="1"/>
  <c r="J437" i="135" s="1"/>
  <c r="M437" i="135" a="1"/>
  <c r="M437" i="135" s="1"/>
  <c r="L437" i="135" a="1"/>
  <c r="L437" i="135" s="1"/>
  <c r="O437" i="135" a="1"/>
  <c r="O437" i="135" s="1"/>
  <c r="AG437" i="135" a="1"/>
  <c r="AG437" i="135" s="1"/>
  <c r="AI437" i="135" a="1"/>
  <c r="AI437" i="135" s="1"/>
  <c r="N437" i="135" a="1"/>
  <c r="N437" i="135" s="1"/>
  <c r="Q437" i="135" a="1"/>
  <c r="Q437" i="135" s="1"/>
  <c r="P437" i="135" a="1"/>
  <c r="P437" i="135" s="1"/>
  <c r="S437" i="135" a="1"/>
  <c r="S437" i="135" s="1"/>
  <c r="AL437" i="135" a="1"/>
  <c r="AL437" i="135" s="1"/>
  <c r="F437" i="135" a="1"/>
  <c r="F437" i="135" s="1"/>
  <c r="I437" i="135" a="1"/>
  <c r="I437" i="135" s="1"/>
  <c r="H437" i="135" a="1"/>
  <c r="H437" i="135" s="1"/>
  <c r="K437" i="135" a="1"/>
  <c r="K437" i="135" s="1"/>
  <c r="E439" i="135" l="1" a="1"/>
  <c r="E439" i="135" s="1"/>
  <c r="D439" i="135" s="1"/>
  <c r="Z438" i="135" a="1"/>
  <c r="Z438" i="135" s="1"/>
  <c r="AC438" i="135" a="1"/>
  <c r="AC438" i="135" s="1"/>
  <c r="AB438" i="135" a="1"/>
  <c r="AB438" i="135" s="1"/>
  <c r="K438" i="135" a="1"/>
  <c r="K438" i="135" s="1"/>
  <c r="V438" i="135" a="1"/>
  <c r="V438" i="135" s="1"/>
  <c r="Y438" i="135" a="1"/>
  <c r="Y438" i="135" s="1"/>
  <c r="X438" i="135" a="1"/>
  <c r="X438" i="135" s="1"/>
  <c r="AM438" i="135" a="1"/>
  <c r="AM438" i="135" s="1"/>
  <c r="AL438" i="135" a="1"/>
  <c r="AL438" i="135" s="1"/>
  <c r="F438" i="135" a="1"/>
  <c r="F438" i="135" s="1"/>
  <c r="I438" i="135" a="1"/>
  <c r="I438" i="135" s="1"/>
  <c r="H438" i="135" a="1"/>
  <c r="H438" i="135" s="1"/>
  <c r="AA438" i="135" a="1"/>
  <c r="AA438" i="135" s="1"/>
  <c r="R438" i="135" a="1"/>
  <c r="R438" i="135" s="1"/>
  <c r="U438" i="135" a="1"/>
  <c r="U438" i="135" s="1"/>
  <c r="T438" i="135" a="1"/>
  <c r="T438" i="135" s="1"/>
  <c r="G438" i="135" a="1"/>
  <c r="G438" i="135" s="1"/>
  <c r="N438" i="135" a="1"/>
  <c r="N438" i="135" s="1"/>
  <c r="P438" i="135" a="1"/>
  <c r="P438" i="135" s="1"/>
  <c r="AI438" i="135" a="1"/>
  <c r="AI438" i="135" s="1"/>
  <c r="J438" i="135" a="1"/>
  <c r="J438" i="135" s="1"/>
  <c r="M438" i="135" a="1"/>
  <c r="M438" i="135" s="1"/>
  <c r="L438" i="135" a="1"/>
  <c r="L438" i="135" s="1"/>
  <c r="AE438" i="135" a="1"/>
  <c r="AE438" i="135" s="1"/>
  <c r="Q438" i="135" a="1"/>
  <c r="Q438" i="135" s="1"/>
  <c r="AH438" i="135" a="1"/>
  <c r="AH438" i="135" s="1"/>
  <c r="AK438" i="135" a="1"/>
  <c r="AK438" i="135" s="1"/>
  <c r="AJ438" i="135" a="1"/>
  <c r="AJ438" i="135" s="1"/>
  <c r="S438" i="135" a="1"/>
  <c r="S438" i="135" s="1"/>
  <c r="W438" i="135" a="1"/>
  <c r="W438" i="135" s="1"/>
  <c r="AD438" i="135" a="1"/>
  <c r="AD438" i="135" s="1"/>
  <c r="AG438" i="135" a="1"/>
  <c r="AG438" i="135" s="1"/>
  <c r="AF438" i="135" a="1"/>
  <c r="AF438" i="135" s="1"/>
  <c r="O438" i="135" a="1"/>
  <c r="O438" i="135" s="1"/>
  <c r="E440" i="135" l="1" a="1"/>
  <c r="E440" i="135" s="1"/>
  <c r="D440" i="135" s="1"/>
  <c r="AA439" i="135" a="1"/>
  <c r="AA439" i="135" s="1"/>
  <c r="AD439" i="135" a="1"/>
  <c r="AD439" i="135" s="1"/>
  <c r="AG439" i="135" a="1"/>
  <c r="AG439" i="135" s="1"/>
  <c r="W439" i="135" a="1"/>
  <c r="W439" i="135" s="1"/>
  <c r="Z439" i="135" a="1"/>
  <c r="Z439" i="135" s="1"/>
  <c r="AC439" i="135" a="1"/>
  <c r="AC439" i="135" s="1"/>
  <c r="AB439" i="135" a="1"/>
  <c r="AB439" i="135" s="1"/>
  <c r="S439" i="135" a="1"/>
  <c r="S439" i="135" s="1"/>
  <c r="V439" i="135" a="1"/>
  <c r="V439" i="135" s="1"/>
  <c r="Y439" i="135" a="1"/>
  <c r="Y439" i="135" s="1"/>
  <c r="X439" i="135" a="1"/>
  <c r="X439" i="135" s="1"/>
  <c r="O439" i="135" a="1"/>
  <c r="O439" i="135" s="1"/>
  <c r="R439" i="135" a="1"/>
  <c r="R439" i="135" s="1"/>
  <c r="U439" i="135" a="1"/>
  <c r="U439" i="135" s="1"/>
  <c r="T439" i="135" a="1"/>
  <c r="T439" i="135" s="1"/>
  <c r="K439" i="135" a="1"/>
  <c r="K439" i="135" s="1"/>
  <c r="N439" i="135" a="1"/>
  <c r="N439" i="135" s="1"/>
  <c r="Q439" i="135" a="1"/>
  <c r="Q439" i="135" s="1"/>
  <c r="P439" i="135" a="1"/>
  <c r="P439" i="135" s="1"/>
  <c r="AI439" i="135" a="1"/>
  <c r="AI439" i="135" s="1"/>
  <c r="AL439" i="135" a="1"/>
  <c r="AL439" i="135" s="1"/>
  <c r="F439" i="135" a="1"/>
  <c r="F439" i="135" s="1"/>
  <c r="I439" i="135" a="1"/>
  <c r="I439" i="135" s="1"/>
  <c r="H439" i="135" a="1"/>
  <c r="H439" i="135" s="1"/>
  <c r="AE439" i="135" a="1"/>
  <c r="AE439" i="135" s="1"/>
  <c r="AH439" i="135" a="1"/>
  <c r="AH439" i="135" s="1"/>
  <c r="AK439" i="135" a="1"/>
  <c r="AK439" i="135" s="1"/>
  <c r="AJ439" i="135" a="1"/>
  <c r="AJ439" i="135" s="1"/>
  <c r="AF439" i="135" a="1"/>
  <c r="AF439" i="135" s="1"/>
  <c r="AM439" i="135" a="1"/>
  <c r="AM439" i="135" s="1"/>
  <c r="G439" i="135" a="1"/>
  <c r="G439" i="135" s="1"/>
  <c r="J439" i="135" a="1"/>
  <c r="J439" i="135" s="1"/>
  <c r="M439" i="135" a="1"/>
  <c r="M439" i="135" s="1"/>
  <c r="L439" i="135" a="1"/>
  <c r="L439" i="135" s="1"/>
  <c r="E441" i="135" l="1" a="1"/>
  <c r="E441" i="135" s="1"/>
  <c r="D441" i="135" s="1"/>
  <c r="S440" i="135" a="1"/>
  <c r="S440" i="135" s="1"/>
  <c r="V440" i="135" a="1"/>
  <c r="V440" i="135" s="1"/>
  <c r="Y440" i="135" a="1"/>
  <c r="Y440" i="135" s="1"/>
  <c r="AF440" i="135" a="1"/>
  <c r="AF440" i="135" s="1"/>
  <c r="O440" i="135" a="1"/>
  <c r="O440" i="135" s="1"/>
  <c r="R440" i="135" a="1"/>
  <c r="R440" i="135" s="1"/>
  <c r="U440" i="135" a="1"/>
  <c r="U440" i="135" s="1"/>
  <c r="AB440" i="135" a="1"/>
  <c r="AB440" i="135" s="1"/>
  <c r="K440" i="135" a="1"/>
  <c r="K440" i="135" s="1"/>
  <c r="N440" i="135" a="1"/>
  <c r="N440" i="135" s="1"/>
  <c r="Q440" i="135" a="1"/>
  <c r="Q440" i="135" s="1"/>
  <c r="X440" i="135" a="1"/>
  <c r="X440" i="135" s="1"/>
  <c r="AI440" i="135" a="1"/>
  <c r="AI440" i="135" s="1"/>
  <c r="AL440" i="135" a="1"/>
  <c r="AL440" i="135" s="1"/>
  <c r="F440" i="135" a="1"/>
  <c r="F440" i="135" s="1"/>
  <c r="I440" i="135" a="1"/>
  <c r="I440" i="135" s="1"/>
  <c r="P440" i="135" a="1"/>
  <c r="P440" i="135" s="1"/>
  <c r="W440" i="135" a="1"/>
  <c r="W440" i="135" s="1"/>
  <c r="Z440" i="135" a="1"/>
  <c r="Z440" i="135" s="1"/>
  <c r="AC440" i="135" a="1"/>
  <c r="AC440" i="135" s="1"/>
  <c r="AJ440" i="135" a="1"/>
  <c r="AJ440" i="135" s="1"/>
  <c r="AM440" i="135" a="1"/>
  <c r="AM440" i="135" s="1"/>
  <c r="G440" i="135" a="1"/>
  <c r="G440" i="135" s="1"/>
  <c r="J440" i="135" a="1"/>
  <c r="J440" i="135" s="1"/>
  <c r="M440" i="135" a="1"/>
  <c r="M440" i="135" s="1"/>
  <c r="T440" i="135" a="1"/>
  <c r="T440" i="135" s="1"/>
  <c r="AG440" i="135" a="1"/>
  <c r="AG440" i="135" s="1"/>
  <c r="AA440" i="135" a="1"/>
  <c r="AA440" i="135" s="1"/>
  <c r="AD440" i="135" a="1"/>
  <c r="AD440" i="135" s="1"/>
  <c r="H440" i="135" a="1"/>
  <c r="H440" i="135" s="1"/>
  <c r="AE440" i="135" a="1"/>
  <c r="AE440" i="135" s="1"/>
  <c r="AH440" i="135" a="1"/>
  <c r="AH440" i="135" s="1"/>
  <c r="AK440" i="135" a="1"/>
  <c r="AK440" i="135" s="1"/>
  <c r="L440" i="135" a="1"/>
  <c r="L440" i="135" s="1"/>
  <c r="E442" i="135" l="1" a="1"/>
  <c r="E442" i="135" s="1"/>
  <c r="D442" i="135" s="1"/>
  <c r="X441" i="135" a="1"/>
  <c r="X441" i="135" s="1"/>
  <c r="AA441" i="135" a="1"/>
  <c r="AA441" i="135" s="1"/>
  <c r="AD441" i="135" a="1"/>
  <c r="AD441" i="135" s="1"/>
  <c r="AG441" i="135" a="1"/>
  <c r="AG441" i="135" s="1"/>
  <c r="T441" i="135" a="1"/>
  <c r="T441" i="135" s="1"/>
  <c r="W441" i="135" a="1"/>
  <c r="W441" i="135" s="1"/>
  <c r="Z441" i="135" a="1"/>
  <c r="Z441" i="135" s="1"/>
  <c r="AC441" i="135" a="1"/>
  <c r="AC441" i="135" s="1"/>
  <c r="P441" i="135" a="1"/>
  <c r="P441" i="135" s="1"/>
  <c r="S441" i="135" a="1"/>
  <c r="S441" i="135" s="1"/>
  <c r="V441" i="135" a="1"/>
  <c r="V441" i="135" s="1"/>
  <c r="Y441" i="135" a="1"/>
  <c r="Y441" i="135" s="1"/>
  <c r="L441" i="135" a="1"/>
  <c r="L441" i="135" s="1"/>
  <c r="O441" i="135" a="1"/>
  <c r="O441" i="135" s="1"/>
  <c r="R441" i="135" a="1"/>
  <c r="R441" i="135" s="1"/>
  <c r="U441" i="135" a="1"/>
  <c r="U441" i="135" s="1"/>
  <c r="H441" i="135" a="1"/>
  <c r="H441" i="135" s="1"/>
  <c r="K441" i="135" a="1"/>
  <c r="K441" i="135" s="1"/>
  <c r="N441" i="135" a="1"/>
  <c r="N441" i="135" s="1"/>
  <c r="Q441" i="135" a="1"/>
  <c r="Q441" i="135" s="1"/>
  <c r="AJ441" i="135" a="1"/>
  <c r="AJ441" i="135" s="1"/>
  <c r="AM441" i="135" a="1"/>
  <c r="AM441" i="135" s="1"/>
  <c r="G441" i="135" a="1"/>
  <c r="G441" i="135" s="1"/>
  <c r="J441" i="135" a="1"/>
  <c r="J441" i="135" s="1"/>
  <c r="M441" i="135" a="1"/>
  <c r="M441" i="135" s="1"/>
  <c r="AF441" i="135" a="1"/>
  <c r="AF441" i="135" s="1"/>
  <c r="AI441" i="135" a="1"/>
  <c r="AI441" i="135" s="1"/>
  <c r="AL441" i="135" a="1"/>
  <c r="AL441" i="135" s="1"/>
  <c r="F441" i="135" a="1"/>
  <c r="F441" i="135" s="1"/>
  <c r="I441" i="135" a="1"/>
  <c r="I441" i="135" s="1"/>
  <c r="AB441" i="135" a="1"/>
  <c r="AB441" i="135" s="1"/>
  <c r="AE441" i="135" a="1"/>
  <c r="AE441" i="135" s="1"/>
  <c r="AH441" i="135" a="1"/>
  <c r="AH441" i="135" s="1"/>
  <c r="AK441" i="135" a="1"/>
  <c r="AK441" i="135" s="1"/>
  <c r="E443" i="135" l="1" a="1"/>
  <c r="E443" i="135" s="1"/>
  <c r="D443" i="135" s="1"/>
  <c r="X442" i="135" a="1"/>
  <c r="X442" i="135" s="1"/>
  <c r="AA442" i="135" a="1"/>
  <c r="AA442" i="135" s="1"/>
  <c r="AD442" i="135" a="1"/>
  <c r="AD442" i="135" s="1"/>
  <c r="AG442" i="135" a="1"/>
  <c r="AG442" i="135" s="1"/>
  <c r="T442" i="135" a="1"/>
  <c r="T442" i="135" s="1"/>
  <c r="W442" i="135" a="1"/>
  <c r="W442" i="135" s="1"/>
  <c r="Z442" i="135" a="1"/>
  <c r="Z442" i="135" s="1"/>
  <c r="AC442" i="135" a="1"/>
  <c r="AC442" i="135" s="1"/>
  <c r="P442" i="135" a="1"/>
  <c r="P442" i="135" s="1"/>
  <c r="S442" i="135" a="1"/>
  <c r="S442" i="135" s="1"/>
  <c r="V442" i="135" a="1"/>
  <c r="V442" i="135" s="1"/>
  <c r="Y442" i="135" a="1"/>
  <c r="Y442" i="135" s="1"/>
  <c r="AB442" i="135" a="1"/>
  <c r="AB442" i="135" s="1"/>
  <c r="AE442" i="135" a="1"/>
  <c r="AE442" i="135" s="1"/>
  <c r="AH442" i="135" a="1"/>
  <c r="AH442" i="135" s="1"/>
  <c r="AK442" i="135" a="1"/>
  <c r="AK442" i="135" s="1"/>
  <c r="AF442" i="135" a="1"/>
  <c r="AF442" i="135" s="1"/>
  <c r="AI442" i="135" a="1"/>
  <c r="AI442" i="135" s="1"/>
  <c r="AL442" i="135" a="1"/>
  <c r="AL442" i="135" s="1"/>
  <c r="F442" i="135" a="1"/>
  <c r="F442" i="135" s="1"/>
  <c r="I442" i="135" a="1"/>
  <c r="I442" i="135" s="1"/>
  <c r="L442" i="135" a="1"/>
  <c r="L442" i="135" s="1"/>
  <c r="O442" i="135" a="1"/>
  <c r="O442" i="135" s="1"/>
  <c r="R442" i="135" a="1"/>
  <c r="R442" i="135" s="1"/>
  <c r="U442" i="135" a="1"/>
  <c r="U442" i="135" s="1"/>
  <c r="H442" i="135" a="1"/>
  <c r="H442" i="135" s="1"/>
  <c r="K442" i="135" a="1"/>
  <c r="K442" i="135" s="1"/>
  <c r="N442" i="135" a="1"/>
  <c r="N442" i="135" s="1"/>
  <c r="Q442" i="135" a="1"/>
  <c r="Q442" i="135" s="1"/>
  <c r="AJ442" i="135" a="1"/>
  <c r="AJ442" i="135" s="1"/>
  <c r="AM442" i="135" a="1"/>
  <c r="AM442" i="135" s="1"/>
  <c r="G442" i="135" a="1"/>
  <c r="G442" i="135" s="1"/>
  <c r="J442" i="135" a="1"/>
  <c r="J442" i="135" s="1"/>
  <c r="M442" i="135" a="1"/>
  <c r="M442" i="135" s="1"/>
  <c r="E444" i="135" l="1" a="1"/>
  <c r="E444" i="135" s="1"/>
  <c r="D444" i="135" s="1"/>
  <c r="Y443" i="135" a="1"/>
  <c r="Y443" i="135" s="1"/>
  <c r="X443" i="135" a="1"/>
  <c r="X443" i="135" s="1"/>
  <c r="AA443" i="135" a="1"/>
  <c r="AA443" i="135" s="1"/>
  <c r="AD443" i="135" a="1"/>
  <c r="AD443" i="135" s="1"/>
  <c r="U443" i="135" a="1"/>
  <c r="U443" i="135" s="1"/>
  <c r="T443" i="135" a="1"/>
  <c r="T443" i="135" s="1"/>
  <c r="W443" i="135" a="1"/>
  <c r="W443" i="135" s="1"/>
  <c r="Z443" i="135" a="1"/>
  <c r="Z443" i="135" s="1"/>
  <c r="Q443" i="135" a="1"/>
  <c r="Q443" i="135" s="1"/>
  <c r="P443" i="135" a="1"/>
  <c r="P443" i="135" s="1"/>
  <c r="S443" i="135" a="1"/>
  <c r="S443" i="135" s="1"/>
  <c r="V443" i="135" a="1"/>
  <c r="V443" i="135" s="1"/>
  <c r="N443" i="135" a="1"/>
  <c r="N443" i="135" s="1"/>
  <c r="AC443" i="135" a="1"/>
  <c r="AC443" i="135" s="1"/>
  <c r="AE443" i="135" a="1"/>
  <c r="AE443" i="135" s="1"/>
  <c r="M443" i="135" a="1"/>
  <c r="M443" i="135" s="1"/>
  <c r="L443" i="135" a="1"/>
  <c r="L443" i="135" s="1"/>
  <c r="O443" i="135" a="1"/>
  <c r="O443" i="135" s="1"/>
  <c r="R443" i="135" a="1"/>
  <c r="R443" i="135" s="1"/>
  <c r="I443" i="135" a="1"/>
  <c r="I443" i="135" s="1"/>
  <c r="H443" i="135" a="1"/>
  <c r="H443" i="135" s="1"/>
  <c r="K443" i="135" a="1"/>
  <c r="K443" i="135" s="1"/>
  <c r="AG443" i="135" a="1"/>
  <c r="AG443" i="135" s="1"/>
  <c r="AF443" i="135" a="1"/>
  <c r="AF443" i="135" s="1"/>
  <c r="AI443" i="135" a="1"/>
  <c r="AI443" i="135" s="1"/>
  <c r="AL443" i="135" a="1"/>
  <c r="AL443" i="135" s="1"/>
  <c r="F443" i="135" a="1"/>
  <c r="F443" i="135" s="1"/>
  <c r="AK443" i="135" a="1"/>
  <c r="AK443" i="135" s="1"/>
  <c r="AJ443" i="135" a="1"/>
  <c r="AJ443" i="135" s="1"/>
  <c r="AM443" i="135" a="1"/>
  <c r="AM443" i="135" s="1"/>
  <c r="G443" i="135" a="1"/>
  <c r="G443" i="135" s="1"/>
  <c r="J443" i="135" a="1"/>
  <c r="J443" i="135" s="1"/>
  <c r="AB443" i="135" a="1"/>
  <c r="AB443" i="135" s="1"/>
  <c r="AH443" i="135" a="1"/>
  <c r="AH443" i="135" s="1"/>
  <c r="E445" i="135" l="1" a="1"/>
  <c r="E445" i="135" s="1"/>
  <c r="D445" i="135" s="1"/>
  <c r="Y444" i="135" a="1"/>
  <c r="Y444" i="135" s="1"/>
  <c r="X444" i="135" a="1"/>
  <c r="X444" i="135" s="1"/>
  <c r="AA444" i="135" a="1"/>
  <c r="AA444" i="135" s="1"/>
  <c r="P444" i="135" a="1"/>
  <c r="P444" i="135" s="1"/>
  <c r="U444" i="135" a="1"/>
  <c r="U444" i="135" s="1"/>
  <c r="T444" i="135" a="1"/>
  <c r="T444" i="135" s="1"/>
  <c r="W444" i="135" a="1"/>
  <c r="W444" i="135" s="1"/>
  <c r="Z444" i="135" a="1"/>
  <c r="Z444" i="135" s="1"/>
  <c r="S444" i="135" a="1"/>
  <c r="S444" i="135" s="1"/>
  <c r="M444" i="135" a="1"/>
  <c r="M444" i="135" s="1"/>
  <c r="L444" i="135" a="1"/>
  <c r="L444" i="135" s="1"/>
  <c r="O444" i="135" a="1"/>
  <c r="O444" i="135" s="1"/>
  <c r="R444" i="135" a="1"/>
  <c r="R444" i="135" s="1"/>
  <c r="I444" i="135" a="1"/>
  <c r="I444" i="135" s="1"/>
  <c r="H444" i="135" a="1"/>
  <c r="H444" i="135" s="1"/>
  <c r="K444" i="135" a="1"/>
  <c r="K444" i="135" s="1"/>
  <c r="N444" i="135" a="1"/>
  <c r="N444" i="135" s="1"/>
  <c r="AC444" i="135" a="1"/>
  <c r="AC444" i="135" s="1"/>
  <c r="AB444" i="135" a="1"/>
  <c r="AB444" i="135" s="1"/>
  <c r="AE444" i="135" a="1"/>
  <c r="AE444" i="135" s="1"/>
  <c r="AH444" i="135" a="1"/>
  <c r="AH444" i="135" s="1"/>
  <c r="AD444" i="135" a="1"/>
  <c r="AD444" i="135" s="1"/>
  <c r="Q444" i="135" a="1"/>
  <c r="Q444" i="135" s="1"/>
  <c r="V444" i="135" a="1"/>
  <c r="V444" i="135" s="1"/>
  <c r="AK444" i="135" a="1"/>
  <c r="AK444" i="135" s="1"/>
  <c r="AJ444" i="135" a="1"/>
  <c r="AJ444" i="135" s="1"/>
  <c r="AM444" i="135" a="1"/>
  <c r="AM444" i="135" s="1"/>
  <c r="G444" i="135" a="1"/>
  <c r="G444" i="135" s="1"/>
  <c r="J444" i="135" a="1"/>
  <c r="J444" i="135" s="1"/>
  <c r="AG444" i="135" a="1"/>
  <c r="AG444" i="135" s="1"/>
  <c r="AF444" i="135" a="1"/>
  <c r="AF444" i="135" s="1"/>
  <c r="AI444" i="135" a="1"/>
  <c r="AI444" i="135" s="1"/>
  <c r="AL444" i="135" a="1"/>
  <c r="AL444" i="135" s="1"/>
  <c r="F444" i="135" a="1"/>
  <c r="F444" i="135" s="1"/>
  <c r="E446" i="135" l="1" a="1"/>
  <c r="E446" i="135" s="1"/>
  <c r="D446" i="135" s="1"/>
  <c r="Z445" i="135" a="1"/>
  <c r="Z445" i="135" s="1"/>
  <c r="AC445" i="135" a="1"/>
  <c r="AC445" i="135" s="1"/>
  <c r="AB445" i="135" a="1"/>
  <c r="AB445" i="135" s="1"/>
  <c r="AE445" i="135" a="1"/>
  <c r="AE445" i="135" s="1"/>
  <c r="R445" i="135" a="1"/>
  <c r="R445" i="135" s="1"/>
  <c r="U445" i="135" a="1"/>
  <c r="U445" i="135" s="1"/>
  <c r="T445" i="135" a="1"/>
  <c r="T445" i="135" s="1"/>
  <c r="W445" i="135" a="1"/>
  <c r="W445" i="135" s="1"/>
  <c r="J445" i="135" a="1"/>
  <c r="J445" i="135" s="1"/>
  <c r="M445" i="135" a="1"/>
  <c r="M445" i="135" s="1"/>
  <c r="L445" i="135" a="1"/>
  <c r="L445" i="135" s="1"/>
  <c r="O445" i="135" a="1"/>
  <c r="O445" i="135" s="1"/>
  <c r="AH445" i="135" a="1"/>
  <c r="AH445" i="135" s="1"/>
  <c r="AK445" i="135" a="1"/>
  <c r="AK445" i="135" s="1"/>
  <c r="AJ445" i="135" a="1"/>
  <c r="AJ445" i="135" s="1"/>
  <c r="AM445" i="135" a="1"/>
  <c r="AM445" i="135" s="1"/>
  <c r="G445" i="135" a="1"/>
  <c r="G445" i="135" s="1"/>
  <c r="V445" i="135" a="1"/>
  <c r="V445" i="135" s="1"/>
  <c r="Y445" i="135" a="1"/>
  <c r="Y445" i="135" s="1"/>
  <c r="X445" i="135" a="1"/>
  <c r="X445" i="135" s="1"/>
  <c r="AA445" i="135" a="1"/>
  <c r="AA445" i="135" s="1"/>
  <c r="N445" i="135" a="1"/>
  <c r="N445" i="135" s="1"/>
  <c r="Q445" i="135" a="1"/>
  <c r="Q445" i="135" s="1"/>
  <c r="P445" i="135" a="1"/>
  <c r="P445" i="135" s="1"/>
  <c r="S445" i="135" a="1"/>
  <c r="S445" i="135" s="1"/>
  <c r="AL445" i="135" a="1"/>
  <c r="AL445" i="135" s="1"/>
  <c r="F445" i="135" a="1"/>
  <c r="F445" i="135" s="1"/>
  <c r="I445" i="135" a="1"/>
  <c r="I445" i="135" s="1"/>
  <c r="H445" i="135" a="1"/>
  <c r="H445" i="135" s="1"/>
  <c r="K445" i="135" a="1"/>
  <c r="K445" i="135" s="1"/>
  <c r="AD445" i="135" a="1"/>
  <c r="AD445" i="135" s="1"/>
  <c r="AG445" i="135" a="1"/>
  <c r="AG445" i="135" s="1"/>
  <c r="AF445" i="135" a="1"/>
  <c r="AF445" i="135" s="1"/>
  <c r="AI445" i="135" a="1"/>
  <c r="AI445" i="135" s="1"/>
  <c r="E447" i="135" l="1" a="1"/>
  <c r="E447" i="135" s="1"/>
  <c r="D447" i="135" s="1"/>
  <c r="Z446" i="135" a="1"/>
  <c r="Z446" i="135" s="1"/>
  <c r="AC446" i="135" a="1"/>
  <c r="AC446" i="135" s="1"/>
  <c r="AB446" i="135" a="1"/>
  <c r="AB446" i="135" s="1"/>
  <c r="AE446" i="135" a="1"/>
  <c r="AE446" i="135" s="1"/>
  <c r="N446" i="135" a="1"/>
  <c r="N446" i="135" s="1"/>
  <c r="P446" i="135" a="1"/>
  <c r="P446" i="135" s="1"/>
  <c r="S446" i="135" a="1"/>
  <c r="S446" i="135" s="1"/>
  <c r="V446" i="135" a="1"/>
  <c r="V446" i="135" s="1"/>
  <c r="Y446" i="135" a="1"/>
  <c r="Y446" i="135" s="1"/>
  <c r="X446" i="135" a="1"/>
  <c r="X446" i="135" s="1"/>
  <c r="AA446" i="135" a="1"/>
  <c r="AA446" i="135" s="1"/>
  <c r="R446" i="135" a="1"/>
  <c r="R446" i="135" s="1"/>
  <c r="U446" i="135" a="1"/>
  <c r="U446" i="135" s="1"/>
  <c r="T446" i="135" a="1"/>
  <c r="T446" i="135" s="1"/>
  <c r="W446" i="135" a="1"/>
  <c r="W446" i="135" s="1"/>
  <c r="AH446" i="135" a="1"/>
  <c r="AH446" i="135" s="1"/>
  <c r="AK446" i="135" a="1"/>
  <c r="AK446" i="135" s="1"/>
  <c r="AM446" i="135" a="1"/>
  <c r="AM446" i="135" s="1"/>
  <c r="G446" i="135" a="1"/>
  <c r="G446" i="135" s="1"/>
  <c r="Q446" i="135" a="1"/>
  <c r="Q446" i="135" s="1"/>
  <c r="J446" i="135" a="1"/>
  <c r="J446" i="135" s="1"/>
  <c r="M446" i="135" a="1"/>
  <c r="M446" i="135" s="1"/>
  <c r="L446" i="135" a="1"/>
  <c r="L446" i="135" s="1"/>
  <c r="O446" i="135" a="1"/>
  <c r="O446" i="135" s="1"/>
  <c r="AJ446" i="135" a="1"/>
  <c r="AJ446" i="135" s="1"/>
  <c r="AL446" i="135" a="1"/>
  <c r="AL446" i="135" s="1"/>
  <c r="F446" i="135" a="1"/>
  <c r="F446" i="135" s="1"/>
  <c r="I446" i="135" a="1"/>
  <c r="I446" i="135" s="1"/>
  <c r="H446" i="135" a="1"/>
  <c r="H446" i="135" s="1"/>
  <c r="K446" i="135" a="1"/>
  <c r="K446" i="135" s="1"/>
  <c r="AD446" i="135" a="1"/>
  <c r="AD446" i="135" s="1"/>
  <c r="AG446" i="135" a="1"/>
  <c r="AG446" i="135" s="1"/>
  <c r="AF446" i="135" a="1"/>
  <c r="AF446" i="135" s="1"/>
  <c r="AI446" i="135" a="1"/>
  <c r="AI446" i="135" s="1"/>
  <c r="E448" i="135" l="1" a="1"/>
  <c r="E448" i="135" s="1"/>
  <c r="D448" i="135" s="1"/>
  <c r="Z447" i="135" a="1"/>
  <c r="Z447" i="135" s="1"/>
  <c r="V447" i="135" a="1"/>
  <c r="V447" i="135" s="1"/>
  <c r="S447" i="135" a="1"/>
  <c r="S447" i="135" s="1"/>
  <c r="N447" i="135" a="1"/>
  <c r="N447" i="135" s="1"/>
  <c r="AJ447" i="135" a="1"/>
  <c r="AJ447" i="135" s="1"/>
  <c r="AK447" i="135" a="1"/>
  <c r="AK447" i="135" s="1"/>
  <c r="O447" i="135" a="1"/>
  <c r="O447" i="135" s="1"/>
  <c r="J447" i="135" a="1"/>
  <c r="J447" i="135" s="1"/>
  <c r="AE447" i="135" a="1"/>
  <c r="AE447" i="135" s="1"/>
  <c r="AC447" i="135" a="1"/>
  <c r="AC447" i="135" s="1"/>
  <c r="G447" i="135" a="1"/>
  <c r="G447" i="135" s="1"/>
  <c r="AF447" i="135" a="1"/>
  <c r="AF447" i="135" s="1"/>
  <c r="P447" i="135" a="1"/>
  <c r="P447" i="135" s="1"/>
  <c r="AL447" i="135" a="1"/>
  <c r="AL447" i="135" s="1"/>
  <c r="Y447" i="135" a="1"/>
  <c r="Y447" i="135" s="1"/>
  <c r="AM447" i="135" a="1"/>
  <c r="AM447" i="135" s="1"/>
  <c r="AA447" i="135" a="1"/>
  <c r="AA447" i="135" s="1"/>
  <c r="L447" i="135" a="1"/>
  <c r="L447" i="135" s="1"/>
  <c r="AD447" i="135" a="1"/>
  <c r="AD447" i="135" s="1"/>
  <c r="AI447" i="135" a="1"/>
  <c r="AI447" i="135" s="1"/>
  <c r="W447" i="135" a="1"/>
  <c r="W447" i="135" s="1"/>
  <c r="M447" i="135" a="1"/>
  <c r="M447" i="135" s="1"/>
  <c r="X447" i="135" a="1"/>
  <c r="X447" i="135" s="1"/>
  <c r="I447" i="135" a="1"/>
  <c r="I447" i="135" s="1"/>
  <c r="AG447" i="135" a="1"/>
  <c r="AG447" i="135" s="1"/>
  <c r="K447" i="135" a="1"/>
  <c r="K447" i="135" s="1"/>
  <c r="F447" i="135" a="1"/>
  <c r="F447" i="135" s="1"/>
  <c r="T447" i="135" a="1"/>
  <c r="T447" i="135" s="1"/>
  <c r="R447" i="135" a="1"/>
  <c r="R447" i="135" s="1"/>
  <c r="AH447" i="135" a="1"/>
  <c r="AH447" i="135" s="1"/>
  <c r="U447" i="135" a="1"/>
  <c r="U447" i="135" s="1"/>
  <c r="AB447" i="135" a="1"/>
  <c r="AB447" i="135" s="1"/>
  <c r="Q447" i="135" a="1"/>
  <c r="Q447" i="135" s="1"/>
  <c r="H447" i="135" a="1"/>
  <c r="H447" i="135" s="1"/>
  <c r="E449" i="135" l="1" a="1"/>
  <c r="E449" i="135" s="1"/>
  <c r="D449" i="135" s="1"/>
  <c r="Y448" i="135" a="1"/>
  <c r="Y448" i="135" s="1"/>
  <c r="X448" i="135" a="1"/>
  <c r="X448" i="135" s="1"/>
  <c r="AB448" i="135" a="1"/>
  <c r="AB448" i="135" s="1"/>
  <c r="AK448" i="135" a="1"/>
  <c r="AK448" i="135" s="1"/>
  <c r="T448" i="135" a="1"/>
  <c r="T448" i="135" s="1"/>
  <c r="S448" i="135" a="1"/>
  <c r="S448" i="135" s="1"/>
  <c r="W448" i="135" a="1"/>
  <c r="W448" i="135" s="1"/>
  <c r="AF448" i="135" a="1"/>
  <c r="AF448" i="135" s="1"/>
  <c r="O448" i="135" a="1"/>
  <c r="O448" i="135" s="1"/>
  <c r="M448" i="135" a="1"/>
  <c r="M448" i="135" s="1"/>
  <c r="Q448" i="135" a="1"/>
  <c r="Q448" i="135" s="1"/>
  <c r="AA448" i="135" a="1"/>
  <c r="AA448" i="135" s="1"/>
  <c r="I448" i="135" a="1"/>
  <c r="I448" i="135" s="1"/>
  <c r="H448" i="135" a="1"/>
  <c r="H448" i="135" s="1"/>
  <c r="L448" i="135" a="1"/>
  <c r="L448" i="135" s="1"/>
  <c r="U448" i="135" a="1"/>
  <c r="U448" i="135" s="1"/>
  <c r="AJ448" i="135" a="1"/>
  <c r="AJ448" i="135" s="1"/>
  <c r="AI448" i="135" a="1"/>
  <c r="AI448" i="135" s="1"/>
  <c r="AM448" i="135" a="1"/>
  <c r="AM448" i="135" s="1"/>
  <c r="V448" i="135" a="1"/>
  <c r="V448" i="135" s="1"/>
  <c r="Z448" i="135" a="1"/>
  <c r="Z448" i="135" s="1"/>
  <c r="AD448" i="135" a="1"/>
  <c r="AD448" i="135" s="1"/>
  <c r="AH448" i="135" a="1"/>
  <c r="AH448" i="135" s="1"/>
  <c r="G448" i="135" a="1"/>
  <c r="G448" i="135" s="1"/>
  <c r="P448" i="135" a="1"/>
  <c r="P448" i="135" s="1"/>
  <c r="J448" i="135" a="1"/>
  <c r="J448" i="135" s="1"/>
  <c r="N448" i="135" a="1"/>
  <c r="N448" i="135" s="1"/>
  <c r="R448" i="135" a="1"/>
  <c r="R448" i="135" s="1"/>
  <c r="AL448" i="135" a="1"/>
  <c r="AL448" i="135" s="1"/>
  <c r="K448" i="135" a="1"/>
  <c r="K448" i="135" s="1"/>
  <c r="AE448" i="135" a="1"/>
  <c r="AE448" i="135" s="1"/>
  <c r="AC448" i="135" a="1"/>
  <c r="AC448" i="135" s="1"/>
  <c r="AG448" i="135" a="1"/>
  <c r="AG448" i="135" s="1"/>
  <c r="F448" i="135" a="1"/>
  <c r="F448" i="135" s="1"/>
  <c r="T6" i="118"/>
  <c r="I2" i="128"/>
  <c r="I2" i="127"/>
  <c r="AK1" i="129"/>
  <c r="E450" i="135" l="1" a="1"/>
  <c r="E450" i="135" s="1"/>
  <c r="D450" i="135" s="1"/>
  <c r="AA449" i="135" a="1"/>
  <c r="AA449" i="135" s="1"/>
  <c r="AD449" i="135" a="1"/>
  <c r="AD449" i="135" s="1"/>
  <c r="AG449" i="135" a="1"/>
  <c r="AG449" i="135" s="1"/>
  <c r="AF449" i="135" a="1"/>
  <c r="AF449" i="135" s="1"/>
  <c r="W449" i="135" a="1"/>
  <c r="W449" i="135" s="1"/>
  <c r="Z449" i="135" a="1"/>
  <c r="Z449" i="135" s="1"/>
  <c r="AC449" i="135" a="1"/>
  <c r="AC449" i="135" s="1"/>
  <c r="L449" i="135" a="1"/>
  <c r="L449" i="135" s="1"/>
  <c r="S449" i="135" a="1"/>
  <c r="S449" i="135" s="1"/>
  <c r="V449" i="135" a="1"/>
  <c r="V449" i="135" s="1"/>
  <c r="Y449" i="135" a="1"/>
  <c r="Y449" i="135" s="1"/>
  <c r="X449" i="135" a="1"/>
  <c r="X449" i="135" s="1"/>
  <c r="AE449" i="135" a="1"/>
  <c r="AE449" i="135" s="1"/>
  <c r="AH449" i="135" a="1"/>
  <c r="AH449" i="135" s="1"/>
  <c r="AK449" i="135" a="1"/>
  <c r="AK449" i="135" s="1"/>
  <c r="T449" i="135" a="1"/>
  <c r="T449" i="135" s="1"/>
  <c r="O449" i="135" a="1"/>
  <c r="O449" i="135" s="1"/>
  <c r="R449" i="135" a="1"/>
  <c r="R449" i="135" s="1"/>
  <c r="U449" i="135" a="1"/>
  <c r="U449" i="135" s="1"/>
  <c r="AJ449" i="135" a="1"/>
  <c r="AJ449" i="135" s="1"/>
  <c r="K449" i="135" a="1"/>
  <c r="K449" i="135" s="1"/>
  <c r="N449" i="135" a="1"/>
  <c r="N449" i="135" s="1"/>
  <c r="P449" i="135" a="1"/>
  <c r="P449" i="135" s="1"/>
  <c r="AL449" i="135" a="1"/>
  <c r="AL449" i="135" s="1"/>
  <c r="I449" i="135" a="1"/>
  <c r="I449" i="135" s="1"/>
  <c r="H449" i="135" a="1"/>
  <c r="H449" i="135" s="1"/>
  <c r="Q449" i="135" a="1"/>
  <c r="Q449" i="135" s="1"/>
  <c r="AI449" i="135" a="1"/>
  <c r="AI449" i="135" s="1"/>
  <c r="F449" i="135" a="1"/>
  <c r="F449" i="135" s="1"/>
  <c r="AM449" i="135" a="1"/>
  <c r="AM449" i="135" s="1"/>
  <c r="G449" i="135" a="1"/>
  <c r="G449" i="135" s="1"/>
  <c r="J449" i="135" a="1"/>
  <c r="J449" i="135" s="1"/>
  <c r="M449" i="135" a="1"/>
  <c r="M449" i="135" s="1"/>
  <c r="AB449" i="135" a="1"/>
  <c r="AB449" i="135" s="1"/>
  <c r="D102" i="128"/>
  <c r="D53" i="128"/>
  <c r="D131" i="127"/>
  <c r="D65" i="127"/>
  <c r="V450" i="135" l="1" a="1"/>
  <c r="V450" i="135" s="1"/>
  <c r="AA450" i="135" a="1"/>
  <c r="AA450" i="135" s="1"/>
  <c r="AL450" i="135" a="1"/>
  <c r="AL450" i="135" s="1"/>
  <c r="L450" i="135" a="1"/>
  <c r="L450" i="135" s="1"/>
  <c r="P450" i="135" a="1"/>
  <c r="P450" i="135" s="1"/>
  <c r="N450" i="135" a="1"/>
  <c r="N450" i="135" s="1"/>
  <c r="AF450" i="135" a="1"/>
  <c r="AF450" i="135" s="1"/>
  <c r="AD450" i="135" a="1"/>
  <c r="AD450" i="135" s="1"/>
  <c r="I450" i="135" a="1"/>
  <c r="I450" i="135" s="1"/>
  <c r="H450" i="135" a="1"/>
  <c r="H450" i="135" s="1"/>
  <c r="Y450" i="135" a="1"/>
  <c r="Y450" i="135" s="1"/>
  <c r="X450" i="135" a="1"/>
  <c r="X450" i="135" s="1"/>
  <c r="AI450" i="135" a="1"/>
  <c r="AI450" i="135" s="1"/>
  <c r="AG450" i="135" a="1"/>
  <c r="AG450" i="135" s="1"/>
  <c r="G450" i="135" a="1"/>
  <c r="G450" i="135" s="1"/>
  <c r="R450" i="135" a="1"/>
  <c r="R450" i="135" s="1"/>
  <c r="AJ450" i="135" a="1"/>
  <c r="AJ450" i="135" s="1"/>
  <c r="AH450" i="135" a="1"/>
  <c r="AH450" i="135" s="1"/>
  <c r="AM450" i="135" a="1"/>
  <c r="AM450" i="135" s="1"/>
  <c r="S450" i="135" a="1"/>
  <c r="S450" i="135" s="1"/>
  <c r="Q450" i="135" a="1"/>
  <c r="Q450" i="135" s="1"/>
  <c r="AB450" i="135" a="1"/>
  <c r="AB450" i="135" s="1"/>
  <c r="Z450" i="135" a="1"/>
  <c r="Z450" i="135" s="1"/>
  <c r="K450" i="135" a="1"/>
  <c r="K450" i="135" s="1"/>
  <c r="J450" i="135" a="1"/>
  <c r="J450" i="135" s="1"/>
  <c r="O450" i="135" a="1"/>
  <c r="O450" i="135" s="1"/>
  <c r="AE450" i="135" a="1"/>
  <c r="AE450" i="135" s="1"/>
  <c r="AC450" i="135" a="1"/>
  <c r="AC450" i="135" s="1"/>
  <c r="F450" i="135" a="1"/>
  <c r="F450" i="135" s="1"/>
  <c r="M450" i="135" a="1"/>
  <c r="M450" i="135" s="1"/>
  <c r="W450" i="135" a="1"/>
  <c r="W450" i="135" s="1"/>
  <c r="U450" i="135" a="1"/>
  <c r="U450" i="135" s="1"/>
  <c r="T450" i="135" a="1"/>
  <c r="T450" i="135" s="1"/>
  <c r="AK450" i="135" a="1"/>
  <c r="AK450" i="135" s="1"/>
  <c r="T1" i="130"/>
  <c r="I47" i="34"/>
  <c r="I46" i="34"/>
  <c r="I45" i="34"/>
  <c r="I48" i="34"/>
  <c r="I49" i="34"/>
  <c r="I50" i="34"/>
  <c r="I51" i="34"/>
  <c r="G45" i="34"/>
  <c r="G46" i="34"/>
  <c r="G47" i="34"/>
  <c r="G48" i="34"/>
  <c r="G49" i="34"/>
  <c r="G50" i="34"/>
  <c r="G51" i="34"/>
  <c r="F45" i="34"/>
  <c r="F46" i="34"/>
  <c r="F47" i="34"/>
  <c r="F48" i="34"/>
  <c r="F49" i="34"/>
  <c r="F50" i="34"/>
  <c r="F51" i="34"/>
  <c r="D45" i="34"/>
  <c r="D46" i="34"/>
  <c r="D47" i="34"/>
  <c r="D48" i="34"/>
  <c r="D49" i="34"/>
  <c r="D50" i="34"/>
  <c r="D51" i="34"/>
  <c r="C42" i="34" a="1"/>
  <c r="C42" i="34" s="1"/>
  <c r="D42" i="34" s="1"/>
  <c r="B102" i="128"/>
  <c r="F100" i="128"/>
  <c r="F99" i="128"/>
  <c r="F98" i="128"/>
  <c r="F97" i="128"/>
  <c r="D95" i="128"/>
  <c r="B95" i="128"/>
  <c r="F94" i="128"/>
  <c r="F93" i="128"/>
  <c r="F92" i="128"/>
  <c r="F91" i="128"/>
  <c r="F90" i="128"/>
  <c r="F89" i="128"/>
  <c r="F88" i="128"/>
  <c r="F87" i="128"/>
  <c r="F86" i="128"/>
  <c r="F85" i="128"/>
  <c r="F84" i="128"/>
  <c r="D80" i="128"/>
  <c r="F78" i="128"/>
  <c r="F75" i="128"/>
  <c r="F74" i="128"/>
  <c r="F73" i="128"/>
  <c r="F72" i="128"/>
  <c r="F70" i="128"/>
  <c r="F69" i="128"/>
  <c r="F68" i="128"/>
  <c r="F67" i="128"/>
  <c r="F18" i="127"/>
  <c r="F134" i="127"/>
  <c r="B131" i="127"/>
  <c r="F129" i="127"/>
  <c r="F128" i="127"/>
  <c r="F127" i="127"/>
  <c r="F126" i="127"/>
  <c r="F125" i="127"/>
  <c r="F123" i="127"/>
  <c r="F122" i="127"/>
  <c r="F120" i="127"/>
  <c r="F119" i="127"/>
  <c r="F118" i="127"/>
  <c r="F116" i="127"/>
  <c r="F110" i="127"/>
  <c r="F109" i="127"/>
  <c r="F108" i="127"/>
  <c r="F107" i="127"/>
  <c r="F105" i="127"/>
  <c r="F104" i="127"/>
  <c r="F102" i="127"/>
  <c r="F101" i="127"/>
  <c r="F100" i="127"/>
  <c r="F99" i="127"/>
  <c r="F97" i="127"/>
  <c r="F96" i="127"/>
  <c r="D94" i="127"/>
  <c r="B94" i="127"/>
  <c r="F93" i="127"/>
  <c r="F92" i="127"/>
  <c r="F91" i="127"/>
  <c r="F90" i="127"/>
  <c r="B88" i="127"/>
  <c r="F87" i="127"/>
  <c r="F86" i="127"/>
  <c r="F84" i="127"/>
  <c r="F83" i="127"/>
  <c r="F82" i="127"/>
  <c r="F81" i="127"/>
  <c r="D30" i="127"/>
  <c r="B30" i="127"/>
  <c r="D24" i="127"/>
  <c r="B24" i="127"/>
  <c r="F29" i="127"/>
  <c r="F28" i="127"/>
  <c r="F27" i="127"/>
  <c r="F26" i="127"/>
  <c r="F23" i="127"/>
  <c r="F22" i="127"/>
  <c r="F134" i="98"/>
  <c r="F133" i="98"/>
  <c r="F132" i="98"/>
  <c r="D130" i="98"/>
  <c r="B130" i="98"/>
  <c r="F129" i="98"/>
  <c r="F128" i="98"/>
  <c r="F127" i="98"/>
  <c r="F126" i="98"/>
  <c r="F125" i="98"/>
  <c r="F124" i="98"/>
  <c r="F123" i="98"/>
  <c r="F122" i="98"/>
  <c r="D119" i="98"/>
  <c r="B119" i="98"/>
  <c r="F118" i="98"/>
  <c r="F116" i="98"/>
  <c r="F115" i="98"/>
  <c r="F114" i="98"/>
  <c r="F113" i="98"/>
  <c r="F107" i="98"/>
  <c r="F106" i="98"/>
  <c r="F105" i="98"/>
  <c r="F103" i="98"/>
  <c r="F101" i="98"/>
  <c r="F100" i="98"/>
  <c r="F98" i="98"/>
  <c r="F97" i="98"/>
  <c r="F95" i="98"/>
  <c r="D93" i="98"/>
  <c r="B93" i="98"/>
  <c r="F92" i="98"/>
  <c r="F91" i="98"/>
  <c r="F90" i="98"/>
  <c r="F89" i="98"/>
  <c r="F88" i="98"/>
  <c r="F86" i="98"/>
  <c r="F85" i="98"/>
  <c r="F83" i="98"/>
  <c r="F82" i="98"/>
  <c r="D29" i="98"/>
  <c r="D45" i="98" s="1"/>
  <c r="B29" i="98"/>
  <c r="F24" i="98"/>
  <c r="F28" i="98"/>
  <c r="F27" i="98"/>
  <c r="F26" i="98"/>
  <c r="F25" i="98"/>
  <c r="F180" i="35"/>
  <c r="F179" i="35"/>
  <c r="F178" i="35"/>
  <c r="F177" i="35"/>
  <c r="D175" i="35"/>
  <c r="B175" i="35"/>
  <c r="F174" i="35"/>
  <c r="F173" i="35"/>
  <c r="F172" i="35"/>
  <c r="F171" i="35"/>
  <c r="F170" i="35"/>
  <c r="F169" i="35"/>
  <c r="F168" i="35"/>
  <c r="F167" i="35"/>
  <c r="F166" i="35"/>
  <c r="F165" i="35"/>
  <c r="D161" i="35"/>
  <c r="B161" i="35"/>
  <c r="F160" i="35"/>
  <c r="F159" i="35"/>
  <c r="F158" i="35"/>
  <c r="F157" i="35"/>
  <c r="F156" i="35"/>
  <c r="F155" i="35"/>
  <c r="F154" i="35"/>
  <c r="F153" i="35"/>
  <c r="F152" i="35"/>
  <c r="F151" i="35"/>
  <c r="F150" i="35"/>
  <c r="F149" i="35"/>
  <c r="F148" i="35"/>
  <c r="F146" i="35"/>
  <c r="F144" i="35"/>
  <c r="F143" i="35"/>
  <c r="F142" i="35"/>
  <c r="F141" i="35"/>
  <c r="D134" i="35"/>
  <c r="B134" i="35"/>
  <c r="F133" i="35"/>
  <c r="F132" i="35"/>
  <c r="F131" i="35"/>
  <c r="F129" i="35"/>
  <c r="F126" i="35"/>
  <c r="F125" i="35"/>
  <c r="D123" i="35"/>
  <c r="D127" i="35" s="1"/>
  <c r="B123" i="35"/>
  <c r="B127" i="35" s="1"/>
  <c r="F122" i="35"/>
  <c r="F121" i="35"/>
  <c r="F118" i="35"/>
  <c r="F117" i="35"/>
  <c r="F114" i="35"/>
  <c r="F113" i="35"/>
  <c r="F112" i="35"/>
  <c r="D111" i="35"/>
  <c r="D115" i="35" s="1"/>
  <c r="B111" i="35"/>
  <c r="B115" i="35" s="1"/>
  <c r="F110" i="35"/>
  <c r="F109" i="35"/>
  <c r="F108" i="35"/>
  <c r="F106" i="35"/>
  <c r="F105" i="35"/>
  <c r="D36" i="35"/>
  <c r="D40" i="35" s="1"/>
  <c r="B36" i="35"/>
  <c r="B40" i="35" s="1"/>
  <c r="F35" i="35"/>
  <c r="F23" i="35"/>
  <c r="F22" i="35"/>
  <c r="F21" i="35"/>
  <c r="F20" i="35"/>
  <c r="D24" i="35"/>
  <c r="B24" i="35"/>
  <c r="B28" i="35" s="1"/>
  <c r="F19" i="35"/>
  <c r="A137" i="77"/>
  <c r="A136" i="77"/>
  <c r="A135" i="77"/>
  <c r="A134" i="77"/>
  <c r="A133" i="77"/>
  <c r="A132" i="77"/>
  <c r="A131" i="77"/>
  <c r="A130" i="77"/>
  <c r="A129" i="77"/>
  <c r="A128" i="77"/>
  <c r="A127" i="77"/>
  <c r="A126" i="77"/>
  <c r="A125" i="77"/>
  <c r="A124" i="77"/>
  <c r="A123" i="77"/>
  <c r="A122" i="77"/>
  <c r="A121" i="77"/>
  <c r="A120" i="77"/>
  <c r="A119" i="77"/>
  <c r="A118" i="77"/>
  <c r="A117" i="77"/>
  <c r="A116" i="77"/>
  <c r="A115" i="77"/>
  <c r="A114" i="77"/>
  <c r="A113" i="77"/>
  <c r="A112" i="77"/>
  <c r="A111" i="77"/>
  <c r="A110" i="77"/>
  <c r="A109" i="77"/>
  <c r="A108" i="77"/>
  <c r="A107" i="77"/>
  <c r="A106" i="77"/>
  <c r="A105" i="77"/>
  <c r="A104" i="77"/>
  <c r="A103" i="77"/>
  <c r="A102" i="77"/>
  <c r="A101" i="77"/>
  <c r="A100" i="77"/>
  <c r="A99" i="77"/>
  <c r="A98" i="77"/>
  <c r="A97" i="77"/>
  <c r="A96" i="77"/>
  <c r="A95" i="77"/>
  <c r="A94" i="77"/>
  <c r="A93" i="77"/>
  <c r="A92" i="77"/>
  <c r="A91" i="77"/>
  <c r="A90" i="77"/>
  <c r="A89" i="77"/>
  <c r="A88" i="77"/>
  <c r="A87" i="77"/>
  <c r="A86" i="77"/>
  <c r="A85" i="77"/>
  <c r="A84" i="77"/>
  <c r="A83" i="77"/>
  <c r="A82" i="77"/>
  <c r="A81" i="77"/>
  <c r="A80" i="77"/>
  <c r="O44" i="64"/>
  <c r="D112" i="127" l="1"/>
  <c r="F29" i="98"/>
  <c r="B104" i="128"/>
  <c r="D109" i="98"/>
  <c r="D138" i="98" s="1"/>
  <c r="D46" i="127"/>
  <c r="D106" i="128"/>
  <c r="D136" i="98"/>
  <c r="F130" i="98"/>
  <c r="F119" i="98"/>
  <c r="F93" i="98"/>
  <c r="D182" i="35"/>
  <c r="F115" i="35"/>
  <c r="I44" i="34"/>
  <c r="F44" i="34"/>
  <c r="G44" i="34"/>
  <c r="F42" i="34"/>
  <c r="I42" i="34"/>
  <c r="G42" i="34"/>
  <c r="G43" i="34"/>
  <c r="F43" i="34"/>
  <c r="I43" i="34"/>
  <c r="D44" i="34"/>
  <c r="D43" i="34"/>
  <c r="F175" i="35"/>
  <c r="F102" i="128"/>
  <c r="F95" i="128"/>
  <c r="D104" i="128"/>
  <c r="F94" i="127"/>
  <c r="F131" i="127"/>
  <c r="F88" i="127"/>
  <c r="F24" i="127"/>
  <c r="F30" i="127"/>
  <c r="F161" i="35"/>
  <c r="F134" i="35"/>
  <c r="D136" i="35"/>
  <c r="F111" i="35"/>
  <c r="F123" i="35"/>
  <c r="F127" i="35" s="1"/>
  <c r="F36" i="35"/>
  <c r="F24" i="35"/>
  <c r="D28" i="35"/>
  <c r="M19" i="121"/>
  <c r="P17" i="132"/>
  <c r="P18" i="132"/>
  <c r="P19" i="132"/>
  <c r="P20" i="132"/>
  <c r="P21" i="132"/>
  <c r="P22" i="132"/>
  <c r="P23" i="132"/>
  <c r="P24" i="132"/>
  <c r="P25" i="132"/>
  <c r="P26" i="132"/>
  <c r="P27" i="132"/>
  <c r="P28" i="132"/>
  <c r="P29" i="132"/>
  <c r="P30" i="132"/>
  <c r="P31" i="132"/>
  <c r="O17" i="132"/>
  <c r="O18" i="132"/>
  <c r="O19" i="132"/>
  <c r="O20" i="132"/>
  <c r="O21" i="132"/>
  <c r="O22" i="132"/>
  <c r="O23" i="132"/>
  <c r="O24" i="132"/>
  <c r="O25" i="132"/>
  <c r="O26" i="132"/>
  <c r="O27" i="132"/>
  <c r="O28" i="132"/>
  <c r="O29" i="132"/>
  <c r="O30" i="132"/>
  <c r="O31" i="132"/>
  <c r="O16" i="132"/>
  <c r="P16" i="132"/>
  <c r="L1" i="132"/>
  <c r="A83" i="132"/>
  <c r="O71" i="132"/>
  <c r="P71" i="132"/>
  <c r="Q71" i="132"/>
  <c r="R71" i="132"/>
  <c r="O72" i="132"/>
  <c r="P72" i="132"/>
  <c r="Q72" i="132"/>
  <c r="R72" i="132"/>
  <c r="O73" i="132"/>
  <c r="P73" i="132"/>
  <c r="Q73" i="132"/>
  <c r="R73" i="132"/>
  <c r="O74" i="132"/>
  <c r="P74" i="132"/>
  <c r="Q74" i="132"/>
  <c r="R74" i="132"/>
  <c r="O75" i="132"/>
  <c r="P75" i="132"/>
  <c r="Q75" i="132"/>
  <c r="R75" i="132"/>
  <c r="O76" i="132"/>
  <c r="P76" i="132"/>
  <c r="Q76" i="132"/>
  <c r="R76" i="132"/>
  <c r="O77" i="132"/>
  <c r="P77" i="132"/>
  <c r="Q77" i="132"/>
  <c r="R77" i="132"/>
  <c r="R70" i="132"/>
  <c r="Q70" i="132"/>
  <c r="P70" i="132"/>
  <c r="O70" i="132"/>
  <c r="H80" i="132"/>
  <c r="Q16" i="132"/>
  <c r="D140" i="127" l="1"/>
  <c r="N71" i="132"/>
  <c r="M71" i="132" s="1"/>
  <c r="L71" i="132" s="1"/>
  <c r="N16" i="132"/>
  <c r="M16" i="132" s="1"/>
  <c r="F104" i="128"/>
  <c r="N70" i="132"/>
  <c r="M70" i="132" s="1"/>
  <c r="L70" i="132" s="1"/>
  <c r="N76" i="132"/>
  <c r="M76" i="132" s="1"/>
  <c r="L76" i="132" s="1"/>
  <c r="N74" i="132"/>
  <c r="M74" i="132" s="1"/>
  <c r="L74" i="132" s="1"/>
  <c r="N73" i="132"/>
  <c r="M73" i="132" s="1"/>
  <c r="L73" i="132" s="1"/>
  <c r="N72" i="132"/>
  <c r="M72" i="132" s="1"/>
  <c r="L72" i="132" s="1"/>
  <c r="N75" i="132"/>
  <c r="M75" i="132" s="1"/>
  <c r="L75" i="132" s="1"/>
  <c r="N77" i="132"/>
  <c r="M77" i="132" s="1"/>
  <c r="L16" i="132" l="1"/>
  <c r="L78" i="132"/>
  <c r="M78" i="132"/>
  <c r="L79" i="132"/>
  <c r="L77" i="132"/>
  <c r="Q21" i="132" l="1"/>
  <c r="N21" i="132" s="1"/>
  <c r="M21" i="132" s="1"/>
  <c r="L21" i="132" s="1"/>
  <c r="R21" i="132"/>
  <c r="Q22" i="132"/>
  <c r="N22" i="132" s="1"/>
  <c r="M22" i="132" s="1"/>
  <c r="L22" i="132" s="1"/>
  <c r="R22" i="132"/>
  <c r="H34" i="132"/>
  <c r="H33" i="132"/>
  <c r="H35" i="132" l="1"/>
  <c r="J35" i="132" s="1"/>
  <c r="N79" i="77"/>
  <c r="M18" i="121" l="1"/>
  <c r="M17" i="121"/>
  <c r="M15" i="121"/>
  <c r="M22" i="121"/>
  <c r="N35" i="3"/>
  <c r="N33" i="3"/>
  <c r="N30" i="3"/>
  <c r="D283" i="80"/>
  <c r="D260" i="80"/>
  <c r="D255" i="80"/>
  <c r="D246" i="80"/>
  <c r="D242" i="80"/>
  <c r="D237" i="80"/>
  <c r="D238" i="80"/>
  <c r="D236" i="80"/>
  <c r="D210" i="80"/>
  <c r="D208" i="80"/>
  <c r="D200" i="80"/>
  <c r="E179" i="80"/>
  <c r="E178" i="80"/>
  <c r="D142" i="80"/>
  <c r="D151" i="80"/>
  <c r="D133" i="80"/>
  <c r="D114" i="80"/>
  <c r="D105" i="80"/>
  <c r="D104" i="80"/>
  <c r="D94" i="80"/>
  <c r="D28" i="80"/>
  <c r="D49" i="80"/>
  <c r="D51" i="80"/>
  <c r="D52" i="80"/>
  <c r="D61" i="80"/>
  <c r="D72" i="80"/>
  <c r="D274" i="80"/>
  <c r="D160" i="80"/>
  <c r="R16" i="132"/>
  <c r="F79" i="90"/>
  <c r="F127" i="68"/>
  <c r="T127" i="68" s="1"/>
  <c r="Q20" i="132"/>
  <c r="N20" i="132" s="1"/>
  <c r="M20" i="132" s="1"/>
  <c r="L20" i="132" s="1"/>
  <c r="R20" i="132"/>
  <c r="Q23" i="132"/>
  <c r="N23" i="132" s="1"/>
  <c r="M23" i="132" s="1"/>
  <c r="L23" i="132" s="1"/>
  <c r="R23" i="132"/>
  <c r="Q24" i="132"/>
  <c r="N24" i="132" s="1"/>
  <c r="M24" i="132" s="1"/>
  <c r="L24" i="132" s="1"/>
  <c r="R24" i="132"/>
  <c r="Q25" i="132"/>
  <c r="N25" i="132" s="1"/>
  <c r="M25" i="132" s="1"/>
  <c r="L25" i="132" s="1"/>
  <c r="R25" i="132"/>
  <c r="Q26" i="132"/>
  <c r="N26" i="132" s="1"/>
  <c r="M26" i="132" s="1"/>
  <c r="L26" i="132" s="1"/>
  <c r="R26" i="132"/>
  <c r="Q27" i="132"/>
  <c r="N27" i="132" s="1"/>
  <c r="M27" i="132" s="1"/>
  <c r="L27" i="132" s="1"/>
  <c r="R27" i="132"/>
  <c r="Q28" i="132"/>
  <c r="N28" i="132" s="1"/>
  <c r="M28" i="132" s="1"/>
  <c r="L28" i="132" s="1"/>
  <c r="R28" i="132"/>
  <c r="Q29" i="132"/>
  <c r="N29" i="132" s="1"/>
  <c r="M29" i="132" s="1"/>
  <c r="L29" i="132" s="1"/>
  <c r="R29" i="132"/>
  <c r="Q30" i="132"/>
  <c r="N30" i="132" s="1"/>
  <c r="M30" i="132" s="1"/>
  <c r="L30" i="132" s="1"/>
  <c r="R30" i="132"/>
  <c r="Q31" i="132"/>
  <c r="N31" i="132" s="1"/>
  <c r="M31" i="132" s="1"/>
  <c r="L31" i="132" s="1"/>
  <c r="R31" i="132"/>
  <c r="F126" i="90" l="1"/>
  <c r="B1521" i="67"/>
  <c r="B1496" i="67"/>
  <c r="B1540" i="67"/>
  <c r="B1538" i="67"/>
  <c r="B1531" i="67"/>
  <c r="B1529" i="67"/>
  <c r="B1528" i="67"/>
  <c r="B1527" i="67"/>
  <c r="B1526" i="67"/>
  <c r="B1525" i="67"/>
  <c r="B1524" i="67"/>
  <c r="B1523" i="67"/>
  <c r="B1522" i="67"/>
  <c r="B1520" i="67"/>
  <c r="B1519" i="67"/>
  <c r="B1518" i="67"/>
  <c r="B1515" i="67"/>
  <c r="B1513" i="67"/>
  <c r="B1498" i="67"/>
  <c r="B1494" i="67"/>
  <c r="B1489" i="67"/>
  <c r="B1486" i="67"/>
  <c r="B1484" i="67"/>
  <c r="B1483" i="67"/>
  <c r="B1478" i="67"/>
  <c r="B1477" i="67"/>
  <c r="B1454" i="67"/>
  <c r="B1430" i="67"/>
  <c r="B1429" i="67"/>
  <c r="B1428" i="67"/>
  <c r="B1427" i="67"/>
  <c r="B1431" i="67"/>
  <c r="B1432" i="67"/>
  <c r="B1433" i="67"/>
  <c r="B1434" i="67"/>
  <c r="B1436" i="67"/>
  <c r="B1437" i="67"/>
  <c r="B1438" i="67"/>
  <c r="B1425" i="67"/>
  <c r="B1424" i="67"/>
  <c r="B1423" i="67"/>
  <c r="B1422" i="67"/>
  <c r="B1421" i="67"/>
  <c r="B1420" i="67"/>
  <c r="B1419" i="67"/>
  <c r="B1418" i="67"/>
  <c r="B1357" i="67"/>
  <c r="B1215" i="67"/>
  <c r="B1216" i="67"/>
  <c r="B1218" i="67"/>
  <c r="B1219" i="67"/>
  <c r="B1220" i="67"/>
  <c r="B1221" i="67"/>
  <c r="B1222" i="67"/>
  <c r="B1223" i="67"/>
  <c r="B1224" i="67"/>
  <c r="B1225" i="67"/>
  <c r="B1227" i="67"/>
  <c r="B1228" i="67"/>
  <c r="B1229" i="67"/>
  <c r="B1230" i="67"/>
  <c r="B1231" i="67"/>
  <c r="B1232" i="67"/>
  <c r="B1233" i="67"/>
  <c r="B1234" i="67"/>
  <c r="B1235" i="67"/>
  <c r="B1236" i="67"/>
  <c r="B1217" i="67"/>
  <c r="J33" i="132" l="1"/>
  <c r="R19" i="132"/>
  <c r="Q19" i="132"/>
  <c r="N19" i="132" s="1"/>
  <c r="M19" i="132" s="1"/>
  <c r="L19" i="132" s="1"/>
  <c r="R18" i="132"/>
  <c r="Q18" i="132"/>
  <c r="N18" i="132" s="1"/>
  <c r="M18" i="132" s="1"/>
  <c r="L18" i="132" s="1"/>
  <c r="R17" i="132"/>
  <c r="Q17" i="132"/>
  <c r="N17" i="132" s="1"/>
  <c r="M17" i="132" s="1"/>
  <c r="J8" i="132"/>
  <c r="J7" i="132"/>
  <c r="B1" i="132"/>
  <c r="L17" i="132" l="1"/>
  <c r="D35" i="132" s="1" a="1"/>
  <c r="D35" i="132" s="1"/>
  <c r="M33" i="132"/>
  <c r="D30" i="105"/>
  <c r="K12" i="17"/>
  <c r="G37" i="17"/>
  <c r="G40" i="17"/>
  <c r="D85" i="132" l="1" a="1"/>
  <c r="D85" i="132" s="1"/>
  <c r="B1547" i="67"/>
  <c r="B1546" i="67"/>
  <c r="B1545" i="67"/>
  <c r="B1544" i="67"/>
  <c r="B1565" i="67"/>
  <c r="B1584" i="67"/>
  <c r="B1586" i="67"/>
  <c r="B1556" i="67"/>
  <c r="B1555" i="67"/>
  <c r="B1554" i="67"/>
  <c r="B1553" i="67"/>
  <c r="B1552" i="67"/>
  <c r="B1550" i="67"/>
  <c r="B1536" i="67"/>
  <c r="B1534" i="67"/>
  <c r="B1533" i="67"/>
  <c r="B1510" i="67"/>
  <c r="B1509" i="67"/>
  <c r="B1475" i="67"/>
  <c r="B1469" i="67"/>
  <c r="B1468" i="67"/>
  <c r="B1463" i="67"/>
  <c r="B1461" i="67"/>
  <c r="B1459" i="67"/>
  <c r="B1456" i="67"/>
  <c r="B1455" i="67"/>
  <c r="B1451" i="67"/>
  <c r="B1447" i="67"/>
  <c r="B1446" i="67"/>
  <c r="B1439" i="67"/>
  <c r="B1" i="130"/>
  <c r="B917" i="67" l="1"/>
  <c r="B916" i="67"/>
  <c r="B915" i="67"/>
  <c r="B914" i="67"/>
  <c r="B913" i="67"/>
  <c r="B912" i="67"/>
  <c r="B911" i="67"/>
  <c r="B910" i="67"/>
  <c r="B909" i="67"/>
  <c r="B908" i="67"/>
  <c r="B907" i="67"/>
  <c r="B906" i="67"/>
  <c r="B905" i="67"/>
  <c r="B904" i="67"/>
  <c r="B903" i="67"/>
  <c r="B902" i="67"/>
  <c r="B901" i="67"/>
  <c r="B900" i="67"/>
  <c r="B899" i="67"/>
  <c r="B898" i="67"/>
  <c r="B924" i="67"/>
  <c r="B923" i="67"/>
  <c r="B922" i="67"/>
  <c r="B921" i="67"/>
  <c r="B926" i="67"/>
  <c r="B928" i="67"/>
  <c r="B935" i="67"/>
  <c r="B934" i="67"/>
  <c r="B933" i="67"/>
  <c r="B940" i="67"/>
  <c r="B939" i="67"/>
  <c r="B938" i="67"/>
  <c r="B937" i="67"/>
  <c r="B947" i="67"/>
  <c r="B946" i="67"/>
  <c r="B945" i="67"/>
  <c r="B944" i="67"/>
  <c r="B943" i="67"/>
  <c r="B942" i="67"/>
  <c r="B950" i="67"/>
  <c r="B949" i="67"/>
  <c r="B952" i="67"/>
  <c r="B967" i="67"/>
  <c r="B966" i="67"/>
  <c r="B965" i="67"/>
  <c r="B964" i="67"/>
  <c r="B963" i="67"/>
  <c r="B962" i="67"/>
  <c r="B961" i="67"/>
  <c r="B960" i="67"/>
  <c r="B959" i="67"/>
  <c r="B958" i="67"/>
  <c r="B957" i="67"/>
  <c r="B956" i="67"/>
  <c r="B955" i="67"/>
  <c r="B954" i="67"/>
  <c r="B969" i="67"/>
  <c r="B972" i="67"/>
  <c r="B971" i="67"/>
  <c r="B974" i="67"/>
  <c r="B975" i="67"/>
  <c r="B976" i="67"/>
  <c r="B977" i="67"/>
  <c r="B978" i="67"/>
  <c r="B979" i="67"/>
  <c r="B980" i="67"/>
  <c r="B981" i="67"/>
  <c r="B982" i="67"/>
  <c r="B983" i="67"/>
  <c r="B984" i="67"/>
  <c r="B985" i="67"/>
  <c r="B986" i="67"/>
  <c r="B987" i="67"/>
  <c r="B989" i="67"/>
  <c r="B988" i="67"/>
  <c r="B1019" i="67"/>
  <c r="B1018" i="67"/>
  <c r="B1017" i="67"/>
  <c r="B1016" i="67"/>
  <c r="B1015" i="67"/>
  <c r="B1014" i="67"/>
  <c r="B1013" i="67"/>
  <c r="B1012" i="67"/>
  <c r="B1011" i="67"/>
  <c r="B1010" i="67"/>
  <c r="B1009" i="67"/>
  <c r="B1008" i="67"/>
  <c r="B1007" i="67"/>
  <c r="B1006" i="67"/>
  <c r="B1005" i="67"/>
  <c r="B1004" i="67"/>
  <c r="B1003" i="67"/>
  <c r="B1002" i="67"/>
  <c r="B1001" i="67"/>
  <c r="B1000" i="67"/>
  <c r="B999" i="67"/>
  <c r="B998" i="67"/>
  <c r="B997" i="67"/>
  <c r="B996" i="67"/>
  <c r="B995" i="67"/>
  <c r="B994" i="67"/>
  <c r="B993" i="67"/>
  <c r="B1050" i="67"/>
  <c r="B1028" i="67"/>
  <c r="B1029" i="67"/>
  <c r="B1030" i="67"/>
  <c r="B1031" i="67"/>
  <c r="B1032" i="67"/>
  <c r="B1033" i="67"/>
  <c r="B1034" i="67"/>
  <c r="B1035" i="67"/>
  <c r="B1036" i="67"/>
  <c r="B1037" i="67"/>
  <c r="B1038" i="67"/>
  <c r="B1039" i="67"/>
  <c r="B1040" i="67"/>
  <c r="B1041" i="67"/>
  <c r="B1042" i="67"/>
  <c r="B1043" i="67"/>
  <c r="B1044" i="67"/>
  <c r="B1045" i="67"/>
  <c r="B1046" i="67"/>
  <c r="B1047" i="67"/>
  <c r="B1048" i="67"/>
  <c r="B1049" i="67"/>
  <c r="B1026" i="67"/>
  <c r="B1119" i="67"/>
  <c r="B1118" i="67"/>
  <c r="B1117" i="67"/>
  <c r="B1116" i="67"/>
  <c r="B1115" i="67"/>
  <c r="B1114" i="67"/>
  <c r="B1109" i="67"/>
  <c r="B1108" i="67"/>
  <c r="B1107" i="67"/>
  <c r="B1098" i="67"/>
  <c r="B1097" i="67"/>
  <c r="B1096" i="67"/>
  <c r="B1095" i="67"/>
  <c r="B1094" i="67"/>
  <c r="B1088" i="67"/>
  <c r="B1087" i="67"/>
  <c r="B1081" i="67"/>
  <c r="B1080" i="67"/>
  <c r="B1079" i="67"/>
  <c r="B1078" i="67"/>
  <c r="B1077" i="67"/>
  <c r="B1075" i="67"/>
  <c r="B1074" i="67"/>
  <c r="B1073" i="67"/>
  <c r="B1072" i="67"/>
  <c r="B1071" i="67"/>
  <c r="B1070" i="67"/>
  <c r="B1068" i="67"/>
  <c r="B1067" i="67"/>
  <c r="B1065" i="67"/>
  <c r="B1064" i="67"/>
  <c r="B1063" i="67"/>
  <c r="B1062" i="67"/>
  <c r="B1061" i="67"/>
  <c r="B1060" i="67"/>
  <c r="B1059" i="67"/>
  <c r="B1058" i="67"/>
  <c r="B1057" i="67"/>
  <c r="B1056" i="67"/>
  <c r="B1055" i="67"/>
  <c r="B1054" i="67"/>
  <c r="B1163" i="67"/>
  <c r="B1162" i="67"/>
  <c r="B1161" i="67"/>
  <c r="B1160" i="67"/>
  <c r="B1159" i="67"/>
  <c r="B1158" i="67"/>
  <c r="B1157" i="67"/>
  <c r="B1156" i="67"/>
  <c r="B1155" i="67"/>
  <c r="B1154" i="67"/>
  <c r="B1153" i="67"/>
  <c r="B1152" i="67"/>
  <c r="B1150" i="67"/>
  <c r="B1148" i="67"/>
  <c r="B1146" i="67"/>
  <c r="B1145" i="67"/>
  <c r="B1144" i="67"/>
  <c r="B1143" i="67"/>
  <c r="B1142" i="67"/>
  <c r="B1141" i="67"/>
  <c r="B1140" i="67"/>
  <c r="B1139" i="67"/>
  <c r="B1138" i="67"/>
  <c r="B1137" i="67"/>
  <c r="B1136" i="67"/>
  <c r="B1135" i="67"/>
  <c r="B1134" i="67"/>
  <c r="B1133" i="67"/>
  <c r="B1132" i="67"/>
  <c r="B1131" i="67"/>
  <c r="B1130" i="67"/>
  <c r="B1129" i="67"/>
  <c r="B1128" i="67"/>
  <c r="B1125" i="67"/>
  <c r="B1121" i="67"/>
  <c r="B1167" i="67"/>
  <c r="B1169" i="67"/>
  <c r="B1214" i="67"/>
  <c r="B1213" i="67"/>
  <c r="B1212" i="67"/>
  <c r="B1211" i="67"/>
  <c r="B1210" i="67"/>
  <c r="B1209" i="67"/>
  <c r="B1208" i="67"/>
  <c r="B1207" i="67"/>
  <c r="B1206" i="67"/>
  <c r="B1205" i="67"/>
  <c r="B1204" i="67"/>
  <c r="B1203" i="67"/>
  <c r="B1202" i="67"/>
  <c r="B1201" i="67"/>
  <c r="B1199" i="67"/>
  <c r="B1197" i="67"/>
  <c r="B1196" i="67"/>
  <c r="B1195" i="67"/>
  <c r="B1194" i="67"/>
  <c r="B1193" i="67"/>
  <c r="B1192" i="67"/>
  <c r="B1190" i="67"/>
  <c r="B1189" i="67"/>
  <c r="B1188" i="67"/>
  <c r="B1187" i="67"/>
  <c r="B1186" i="67"/>
  <c r="B1185" i="67"/>
  <c r="B1184" i="67"/>
  <c r="B1183" i="67"/>
  <c r="B1182" i="67"/>
  <c r="B1181" i="67"/>
  <c r="B1180" i="67"/>
  <c r="B1179" i="67"/>
  <c r="B1178" i="67"/>
  <c r="B1177" i="67"/>
  <c r="B1176" i="67"/>
  <c r="B1175" i="67"/>
  <c r="B1174" i="67"/>
  <c r="B1173" i="67"/>
  <c r="B1246" i="67"/>
  <c r="B1245" i="67"/>
  <c r="B1244" i="67"/>
  <c r="B1243" i="67"/>
  <c r="B1242" i="67"/>
  <c r="B1241" i="67"/>
  <c r="B1240" i="67"/>
  <c r="B1239" i="67"/>
  <c r="B1238" i="67"/>
  <c r="B1268" i="67"/>
  <c r="B1267" i="67"/>
  <c r="B1266" i="67"/>
  <c r="B1265" i="67"/>
  <c r="B1264" i="67"/>
  <c r="B1263" i="67"/>
  <c r="B1262" i="67"/>
  <c r="B1261" i="67"/>
  <c r="B1260" i="67"/>
  <c r="B1259" i="67"/>
  <c r="B1258" i="67"/>
  <c r="B1257" i="67"/>
  <c r="B1256" i="67"/>
  <c r="B1255" i="67"/>
  <c r="B1254" i="67"/>
  <c r="B1253" i="67"/>
  <c r="B1252" i="67"/>
  <c r="B1251" i="67"/>
  <c r="B1250" i="67"/>
  <c r="B1249" i="67"/>
  <c r="B1248" i="67"/>
  <c r="B1279" i="67"/>
  <c r="B1278" i="67"/>
  <c r="B1277" i="67"/>
  <c r="B1276" i="67"/>
  <c r="B1275" i="67"/>
  <c r="B1274" i="67"/>
  <c r="B1273" i="67"/>
  <c r="B1272" i="67"/>
  <c r="B1271" i="67"/>
  <c r="B1270" i="67"/>
  <c r="B1289" i="67"/>
  <c r="B1288" i="67"/>
  <c r="B1287" i="67"/>
  <c r="B1286" i="67"/>
  <c r="B1285" i="67"/>
  <c r="B1284" i="67"/>
  <c r="B1283" i="67"/>
  <c r="B1282" i="67"/>
  <c r="B1317" i="67"/>
  <c r="B1316" i="67"/>
  <c r="B1315" i="67"/>
  <c r="B1314" i="67"/>
  <c r="B1313" i="67"/>
  <c r="B1312" i="67"/>
  <c r="B1311" i="67"/>
  <c r="B1310" i="67"/>
  <c r="B1309" i="67"/>
  <c r="B1308" i="67"/>
  <c r="B1307" i="67"/>
  <c r="B1306" i="67"/>
  <c r="B1305" i="67"/>
  <c r="B1304" i="67"/>
  <c r="B1303" i="67"/>
  <c r="B1302" i="67"/>
  <c r="B1301" i="67"/>
  <c r="B1300" i="67"/>
  <c r="B1299" i="67"/>
  <c r="B1298" i="67"/>
  <c r="B1297" i="67"/>
  <c r="B1296" i="67"/>
  <c r="B1295" i="67"/>
  <c r="B1294" i="67"/>
  <c r="B1293" i="67"/>
  <c r="B1292" i="67"/>
  <c r="B1291" i="67"/>
  <c r="B1319" i="67"/>
  <c r="B1333" i="67"/>
  <c r="B1332" i="67"/>
  <c r="B1331" i="67"/>
  <c r="B1330" i="67"/>
  <c r="B1329" i="67"/>
  <c r="B1328" i="67"/>
  <c r="B1327" i="67"/>
  <c r="B1326" i="67"/>
  <c r="B1325" i="67"/>
  <c r="B1324" i="67"/>
  <c r="B1323" i="67"/>
  <c r="B1322" i="67"/>
  <c r="B1321" i="67"/>
  <c r="B1335" i="67"/>
  <c r="B1337" i="67"/>
  <c r="B1343" i="67"/>
  <c r="B1342" i="67"/>
  <c r="B1341" i="67"/>
  <c r="B1340" i="67"/>
  <c r="B1339" i="67"/>
  <c r="B1345" i="67"/>
  <c r="B1356" i="67"/>
  <c r="B1355" i="67"/>
  <c r="B1354" i="67"/>
  <c r="B1353" i="67"/>
  <c r="B1352" i="67"/>
  <c r="B1351" i="67"/>
  <c r="B1350" i="67"/>
  <c r="B1349" i="67"/>
  <c r="B1348" i="67"/>
  <c r="B1347" i="67"/>
  <c r="B1361" i="67"/>
  <c r="B1362" i="67"/>
  <c r="B1363" i="67"/>
  <c r="B1364" i="67"/>
  <c r="B1365" i="67"/>
  <c r="B1366" i="67"/>
  <c r="B1367" i="67"/>
  <c r="B1368" i="67"/>
  <c r="B1369" i="67"/>
  <c r="B1370" i="67"/>
  <c r="B1371" i="67"/>
  <c r="B1372" i="67"/>
  <c r="B1373" i="67"/>
  <c r="B1374" i="67"/>
  <c r="B1375" i="67"/>
  <c r="B1376" i="67"/>
  <c r="B1377" i="67"/>
  <c r="B1378" i="67"/>
  <c r="B1379" i="67"/>
  <c r="B1380" i="67"/>
  <c r="B1381" i="67"/>
  <c r="B1382" i="67"/>
  <c r="B1360" i="67"/>
  <c r="B1" i="109" l="1"/>
  <c r="C38" i="77"/>
  <c r="N38" i="77" s="1"/>
  <c r="B38" i="67"/>
  <c r="B37" i="67"/>
  <c r="B34" i="67"/>
  <c r="A38" i="77" l="1"/>
  <c r="B888" i="67"/>
  <c r="B857" i="67"/>
  <c r="B856" i="67"/>
  <c r="B815" i="67"/>
  <c r="B814" i="67"/>
  <c r="B811" i="67"/>
  <c r="B794" i="67"/>
  <c r="B793" i="67"/>
  <c r="B792" i="67"/>
  <c r="B791" i="67"/>
  <c r="B790" i="67"/>
  <c r="B789" i="67"/>
  <c r="B788" i="67"/>
  <c r="B787" i="67"/>
  <c r="B786" i="67"/>
  <c r="B774" i="67"/>
  <c r="B767" i="67"/>
  <c r="B748" i="67"/>
  <c r="B747" i="67"/>
  <c r="B745" i="67"/>
  <c r="B744" i="67"/>
  <c r="B743" i="67"/>
  <c r="B742" i="67"/>
  <c r="B741" i="67"/>
  <c r="B740" i="67"/>
  <c r="B739" i="67"/>
  <c r="B738" i="67"/>
  <c r="B737" i="67"/>
  <c r="B709" i="67"/>
  <c r="B707" i="67"/>
  <c r="B705" i="67"/>
  <c r="B703" i="67"/>
  <c r="B700" i="67"/>
  <c r="B697" i="67"/>
  <c r="B695" i="67"/>
  <c r="B692" i="67"/>
  <c r="B690" i="67"/>
  <c r="B688" i="67"/>
  <c r="B686" i="67"/>
  <c r="B685" i="67"/>
  <c r="B683" i="67"/>
  <c r="B682" i="67"/>
  <c r="B681" i="67"/>
  <c r="B680" i="67"/>
  <c r="B679" i="67"/>
  <c r="B678" i="67"/>
  <c r="B676" i="67"/>
  <c r="B674" i="67"/>
  <c r="B673" i="67"/>
  <c r="B672" i="67"/>
  <c r="B671" i="67"/>
  <c r="B670" i="67"/>
  <c r="B669" i="67"/>
  <c r="B668" i="67"/>
  <c r="B667" i="67"/>
  <c r="B666" i="67"/>
  <c r="B665" i="67"/>
  <c r="B663" i="67"/>
  <c r="B661" i="67"/>
  <c r="B659" i="67"/>
  <c r="B657" i="67"/>
  <c r="B655" i="67"/>
  <c r="B653" i="67"/>
  <c r="B651" i="67"/>
  <c r="B647" i="67"/>
  <c r="B645" i="67"/>
  <c r="B644" i="67"/>
  <c r="B643" i="67"/>
  <c r="B642" i="67"/>
  <c r="B641" i="67"/>
  <c r="B640" i="67"/>
  <c r="B639" i="67"/>
  <c r="B637" i="67"/>
  <c r="B635" i="67"/>
  <c r="B631" i="67"/>
  <c r="B629" i="67"/>
  <c r="B627" i="67"/>
  <c r="B625" i="67"/>
  <c r="B623" i="67"/>
  <c r="B621" i="67"/>
  <c r="B620" i="67"/>
  <c r="B619" i="67"/>
  <c r="B618" i="67"/>
  <c r="B617" i="67"/>
  <c r="B612" i="67"/>
  <c r="B610" i="67"/>
  <c r="B609" i="67"/>
  <c r="B607" i="67"/>
  <c r="B604" i="67"/>
  <c r="B601" i="67"/>
  <c r="B599" i="67"/>
  <c r="B596" i="67"/>
  <c r="B594" i="67"/>
  <c r="B592" i="67"/>
  <c r="B590" i="67"/>
  <c r="B588" i="67"/>
  <c r="B587" i="67"/>
  <c r="B586" i="67"/>
  <c r="B585" i="67"/>
  <c r="B584" i="67"/>
  <c r="B583" i="67"/>
  <c r="B581" i="67"/>
  <c r="B579" i="67"/>
  <c r="B576" i="67"/>
  <c r="B575" i="67"/>
  <c r="B574" i="67"/>
  <c r="B573" i="67"/>
  <c r="B572" i="67"/>
  <c r="B570" i="67"/>
  <c r="B568" i="67"/>
  <c r="B566" i="67"/>
  <c r="B564" i="67"/>
  <c r="B562" i="67"/>
  <c r="B560" i="67"/>
  <c r="B558" i="67"/>
  <c r="B556" i="67"/>
  <c r="B554" i="67"/>
  <c r="B552" i="67"/>
  <c r="B550" i="67"/>
  <c r="B548" i="67"/>
  <c r="B546" i="67"/>
  <c r="B544" i="67"/>
  <c r="B542" i="67"/>
  <c r="B540" i="67"/>
  <c r="B539" i="67"/>
  <c r="B538" i="67"/>
  <c r="B537" i="67"/>
  <c r="B536" i="67"/>
  <c r="B535" i="67"/>
  <c r="B534" i="67"/>
  <c r="B533" i="67"/>
  <c r="B532" i="67"/>
  <c r="B531" i="67"/>
  <c r="B530" i="67"/>
  <c r="B529" i="67"/>
  <c r="B527" i="67"/>
  <c r="B526" i="67"/>
  <c r="B525" i="67"/>
  <c r="B524" i="67"/>
  <c r="B523" i="67"/>
  <c r="B522" i="67"/>
  <c r="B520" i="67"/>
  <c r="B518" i="67"/>
  <c r="B517" i="67"/>
  <c r="B515" i="67"/>
  <c r="B513" i="67"/>
  <c r="B511" i="67"/>
  <c r="B510" i="67"/>
  <c r="B509" i="67"/>
  <c r="B508" i="67"/>
  <c r="B507" i="67"/>
  <c r="B506" i="67"/>
  <c r="B505" i="67"/>
  <c r="B504" i="67"/>
  <c r="B502" i="67"/>
  <c r="B501" i="67"/>
  <c r="B499" i="67"/>
  <c r="B498" i="67"/>
  <c r="B497" i="67"/>
  <c r="B496" i="67"/>
  <c r="B495" i="67"/>
  <c r="B494" i="67"/>
  <c r="B493" i="67"/>
  <c r="B492" i="67"/>
  <c r="B491" i="67"/>
  <c r="B490" i="67"/>
  <c r="B489" i="67"/>
  <c r="B488" i="67"/>
  <c r="B487" i="67"/>
  <c r="B486" i="67"/>
  <c r="B485" i="67"/>
  <c r="B484" i="67"/>
  <c r="B483" i="67"/>
  <c r="B482" i="67"/>
  <c r="B477" i="67"/>
  <c r="B476" i="67"/>
  <c r="B475" i="67"/>
  <c r="B474" i="67"/>
  <c r="B473" i="67"/>
  <c r="B472" i="67"/>
  <c r="B471" i="67"/>
  <c r="B470" i="67"/>
  <c r="B468" i="67"/>
  <c r="B467" i="67"/>
  <c r="B466" i="67"/>
  <c r="B465" i="67"/>
  <c r="B464" i="67"/>
  <c r="B463" i="67"/>
  <c r="B462" i="67"/>
  <c r="B461" i="67"/>
  <c r="B460" i="67"/>
  <c r="B459" i="67"/>
  <c r="B458" i="67"/>
  <c r="B457" i="67"/>
  <c r="B456" i="67"/>
  <c r="B455" i="67"/>
  <c r="B454" i="67"/>
  <c r="B453" i="67"/>
  <c r="B452" i="67"/>
  <c r="B451" i="67"/>
  <c r="B450" i="67"/>
  <c r="B449" i="67"/>
  <c r="B448" i="67"/>
  <c r="B447" i="67"/>
  <c r="B446" i="67"/>
  <c r="B445" i="67"/>
  <c r="B444" i="67"/>
  <c r="B443" i="67"/>
  <c r="B442" i="67"/>
  <c r="B441" i="67"/>
  <c r="B440" i="67"/>
  <c r="B439" i="67"/>
  <c r="B438" i="67"/>
  <c r="B437" i="67"/>
  <c r="B436" i="67"/>
  <c r="B435" i="67"/>
  <c r="B434" i="67"/>
  <c r="B433" i="67"/>
  <c r="B432" i="67"/>
  <c r="B431" i="67"/>
  <c r="B429" i="67"/>
  <c r="B428" i="67"/>
  <c r="B427" i="67"/>
  <c r="B425" i="67"/>
  <c r="B424" i="67"/>
  <c r="B423" i="67"/>
  <c r="B422" i="67"/>
  <c r="B421" i="67"/>
  <c r="B420" i="67"/>
  <c r="B419" i="67"/>
  <c r="B418" i="67"/>
  <c r="B417" i="67"/>
  <c r="B392" i="67"/>
  <c r="B391" i="67"/>
  <c r="B390" i="67"/>
  <c r="B389" i="67"/>
  <c r="B388" i="67"/>
  <c r="B387" i="67"/>
  <c r="B386" i="67"/>
  <c r="B385" i="67"/>
  <c r="B384" i="67"/>
  <c r="B383" i="67"/>
  <c r="B382" i="67"/>
  <c r="B381" i="67"/>
  <c r="B380" i="67"/>
  <c r="B379" i="67"/>
  <c r="B378" i="67"/>
  <c r="B377" i="67"/>
  <c r="B376" i="67"/>
  <c r="B375" i="67"/>
  <c r="B374" i="67"/>
  <c r="B373" i="67"/>
  <c r="B372" i="67"/>
  <c r="B371" i="67"/>
  <c r="B370" i="67"/>
  <c r="B369" i="67"/>
  <c r="B368" i="67"/>
  <c r="B367" i="67"/>
  <c r="B366" i="67"/>
  <c r="B365" i="67"/>
  <c r="B363" i="67"/>
  <c r="B361" i="67"/>
  <c r="B359" i="67"/>
  <c r="B357" i="67"/>
  <c r="B355" i="67"/>
  <c r="B353" i="67"/>
  <c r="B351" i="67"/>
  <c r="B349" i="67"/>
  <c r="B347" i="67"/>
  <c r="B345" i="67"/>
  <c r="B343" i="67"/>
  <c r="B342" i="67"/>
  <c r="B341" i="67"/>
  <c r="B340" i="67"/>
  <c r="B339" i="67"/>
  <c r="B338" i="67"/>
  <c r="B337" i="67"/>
  <c r="B336" i="67"/>
  <c r="B335" i="67"/>
  <c r="B334" i="67"/>
  <c r="B333" i="67"/>
  <c r="B331" i="67"/>
  <c r="B329" i="67"/>
  <c r="B328" i="67"/>
  <c r="B327" i="67"/>
  <c r="B326" i="67"/>
  <c r="B324" i="67"/>
  <c r="B323" i="67"/>
  <c r="B320" i="67"/>
  <c r="B318" i="67"/>
  <c r="B316" i="67"/>
  <c r="B314" i="67"/>
  <c r="B312" i="67"/>
  <c r="B310" i="67"/>
  <c r="B309" i="67"/>
  <c r="B304" i="67"/>
  <c r="B300" i="67"/>
  <c r="B298" i="67"/>
  <c r="B296" i="67"/>
  <c r="B295" i="67"/>
  <c r="B294" i="67"/>
  <c r="B293" i="67"/>
  <c r="B292" i="67"/>
  <c r="B291" i="67"/>
  <c r="B290" i="67"/>
  <c r="B288" i="67"/>
  <c r="B287" i="67"/>
  <c r="B285" i="67"/>
  <c r="B283" i="67"/>
  <c r="B281" i="67"/>
  <c r="B279" i="67"/>
  <c r="B278" i="67"/>
  <c r="B277" i="67"/>
  <c r="B276" i="67"/>
  <c r="B275" i="67"/>
  <c r="B274" i="67"/>
  <c r="B272" i="67"/>
  <c r="B270" i="67"/>
  <c r="B268" i="67"/>
  <c r="B266" i="67"/>
  <c r="B265" i="67"/>
  <c r="B264" i="67"/>
  <c r="B263" i="67"/>
  <c r="B261" i="67"/>
  <c r="B260" i="67"/>
  <c r="B258" i="67"/>
  <c r="B257" i="67"/>
  <c r="B255" i="67"/>
  <c r="B254" i="67"/>
  <c r="B253" i="67"/>
  <c r="B252" i="67"/>
  <c r="B251" i="67"/>
  <c r="B250" i="67"/>
  <c r="B248" i="67"/>
  <c r="B247" i="67"/>
  <c r="B246" i="67"/>
  <c r="B245" i="67"/>
  <c r="B243" i="67"/>
  <c r="B242" i="67"/>
  <c r="B240" i="67"/>
  <c r="B239" i="67"/>
  <c r="B238" i="67"/>
  <c r="B237" i="67"/>
  <c r="B236" i="67"/>
  <c r="B235" i="67"/>
  <c r="B234" i="67"/>
  <c r="B233" i="67"/>
  <c r="B232" i="67"/>
  <c r="B231" i="67"/>
  <c r="B230" i="67"/>
  <c r="B229" i="67"/>
  <c r="B228" i="67"/>
  <c r="B227" i="67"/>
  <c r="B226" i="67"/>
  <c r="B225" i="67"/>
  <c r="B224" i="67"/>
  <c r="B223" i="67"/>
  <c r="B222" i="67"/>
  <c r="B221" i="67"/>
  <c r="B220" i="67"/>
  <c r="B219" i="67"/>
  <c r="B218" i="67"/>
  <c r="B217" i="67"/>
  <c r="B216" i="67"/>
  <c r="B215" i="67"/>
  <c r="B214" i="67"/>
  <c r="B212" i="67"/>
  <c r="B210" i="67"/>
  <c r="B209" i="67"/>
  <c r="B208" i="67"/>
  <c r="B206" i="67"/>
  <c r="B205" i="67"/>
  <c r="B204" i="67"/>
  <c r="B203" i="67"/>
  <c r="B202" i="67"/>
  <c r="B201" i="67"/>
  <c r="B197" i="67"/>
  <c r="B195" i="67"/>
  <c r="B193" i="67"/>
  <c r="B191" i="67"/>
  <c r="B189" i="67"/>
  <c r="B187" i="67"/>
  <c r="B185" i="67"/>
  <c r="B184" i="67"/>
  <c r="B183" i="67"/>
  <c r="B182" i="67"/>
  <c r="B181" i="67"/>
  <c r="B180" i="67"/>
  <c r="B179" i="67"/>
  <c r="B178" i="67"/>
  <c r="B177" i="67"/>
  <c r="B176" i="67"/>
  <c r="B175" i="67"/>
  <c r="B174" i="67"/>
  <c r="B173" i="67"/>
  <c r="B172" i="67"/>
  <c r="B171" i="67"/>
  <c r="B170" i="67"/>
  <c r="B169" i="67"/>
  <c r="B168" i="67"/>
  <c r="B167" i="67"/>
  <c r="B166" i="67"/>
  <c r="B165" i="67"/>
  <c r="B163" i="67"/>
  <c r="B161" i="67"/>
  <c r="B159" i="67"/>
  <c r="B158" i="67"/>
  <c r="B157" i="67"/>
  <c r="B156" i="67"/>
  <c r="B155" i="67"/>
  <c r="B154" i="67"/>
  <c r="B152" i="67"/>
  <c r="B150" i="67"/>
  <c r="B148" i="67"/>
  <c r="B146" i="67"/>
  <c r="B144" i="67"/>
  <c r="B143" i="67"/>
  <c r="B142" i="67"/>
  <c r="B141" i="67"/>
  <c r="B140" i="67"/>
  <c r="B139" i="67"/>
  <c r="B138" i="67"/>
  <c r="B137" i="67"/>
  <c r="B136" i="67"/>
  <c r="B135" i="67"/>
  <c r="B134" i="67"/>
  <c r="B133" i="67"/>
  <c r="B132" i="67"/>
  <c r="B130" i="67"/>
  <c r="B129" i="67"/>
  <c r="B128" i="67"/>
  <c r="B127" i="67"/>
  <c r="B126" i="67"/>
  <c r="B125" i="67"/>
  <c r="B123" i="67"/>
  <c r="B122" i="67"/>
  <c r="B121" i="67"/>
  <c r="B120" i="67"/>
  <c r="B118" i="67"/>
  <c r="B117" i="67"/>
  <c r="B115" i="67"/>
  <c r="B113" i="67"/>
  <c r="B112" i="67"/>
  <c r="B110" i="67"/>
  <c r="B109" i="67"/>
  <c r="B108" i="67"/>
  <c r="B107" i="67"/>
  <c r="B105" i="67"/>
  <c r="B104" i="67"/>
  <c r="B103" i="67"/>
  <c r="B102" i="67"/>
  <c r="B101" i="67"/>
  <c r="B100" i="67"/>
  <c r="B99" i="67"/>
  <c r="B98" i="67"/>
  <c r="B97" i="67"/>
  <c r="B94" i="67"/>
  <c r="B92" i="67"/>
  <c r="B91" i="67"/>
  <c r="B90" i="67"/>
  <c r="B88" i="67"/>
  <c r="B87" i="67"/>
  <c r="B86" i="67"/>
  <c r="B85" i="67"/>
  <c r="B84" i="67"/>
  <c r="B83" i="67"/>
  <c r="B82" i="67"/>
  <c r="B81" i="67"/>
  <c r="B80" i="67"/>
  <c r="B79" i="67"/>
  <c r="B78" i="67"/>
  <c r="B77" i="67"/>
  <c r="B76" i="67"/>
  <c r="B75" i="67"/>
  <c r="B74" i="67"/>
  <c r="B73" i="67"/>
  <c r="B72" i="67"/>
  <c r="B71" i="67"/>
  <c r="B70" i="67"/>
  <c r="B69" i="67"/>
  <c r="B68" i="67"/>
  <c r="B66" i="67"/>
  <c r="B65" i="67"/>
  <c r="B64" i="67"/>
  <c r="B63" i="67"/>
  <c r="B62" i="67"/>
  <c r="B61" i="67"/>
  <c r="B60" i="67"/>
  <c r="B59" i="67"/>
  <c r="B58" i="67"/>
  <c r="B57" i="67"/>
  <c r="B56" i="67"/>
  <c r="B55" i="67"/>
  <c r="B54" i="67"/>
  <c r="B53" i="67"/>
  <c r="B52" i="67"/>
  <c r="B51" i="67"/>
  <c r="B50" i="67"/>
  <c r="B49" i="67"/>
  <c r="B48" i="67"/>
  <c r="B47" i="67"/>
  <c r="B46" i="67"/>
  <c r="B45" i="67"/>
  <c r="B44" i="67"/>
  <c r="B43" i="67"/>
  <c r="B42" i="67"/>
  <c r="B41" i="67"/>
  <c r="B40" i="67"/>
  <c r="B32" i="67"/>
  <c r="B31" i="67"/>
  <c r="B30" i="67"/>
  <c r="B29" i="67"/>
  <c r="B28" i="67"/>
  <c r="B26" i="67"/>
  <c r="B25" i="67"/>
  <c r="B22" i="67"/>
  <c r="B21" i="67"/>
  <c r="B20" i="67"/>
  <c r="B19" i="67"/>
  <c r="B18" i="67"/>
  <c r="B17" i="67"/>
  <c r="B16" i="67"/>
  <c r="B15" i="67"/>
  <c r="B8" i="67"/>
  <c r="B9" i="67"/>
  <c r="B10" i="67"/>
  <c r="B11" i="67"/>
  <c r="B12" i="67"/>
  <c r="B7" i="67"/>
  <c r="AD171" i="80"/>
  <c r="AD178" i="80"/>
  <c r="AA179" i="80"/>
  <c r="AA172" i="80"/>
  <c r="G179" i="80"/>
  <c r="G178" i="80"/>
  <c r="F178" i="80"/>
  <c r="F179" i="80"/>
  <c r="D178" i="80" l="1"/>
  <c r="M30" i="12"/>
  <c r="F211" i="80" l="1"/>
  <c r="G211" i="80"/>
  <c r="H211" i="80"/>
  <c r="I211" i="80"/>
  <c r="J211" i="80"/>
  <c r="K211" i="80"/>
  <c r="F85" i="80"/>
  <c r="G85" i="80"/>
  <c r="H85" i="80"/>
  <c r="I85" i="80"/>
  <c r="J85" i="80"/>
  <c r="K85" i="80"/>
  <c r="L85" i="80"/>
  <c r="M85" i="80"/>
  <c r="N85" i="80"/>
  <c r="AG180" i="80" l="1"/>
  <c r="M29" i="12"/>
  <c r="M31" i="12"/>
  <c r="AG351" i="80"/>
  <c r="AG350" i="80"/>
  <c r="AG349" i="80"/>
  <c r="AG348" i="80"/>
  <c r="AG347" i="80"/>
  <c r="AG346" i="80"/>
  <c r="AG345" i="80"/>
  <c r="AG344" i="80"/>
  <c r="AG343" i="80"/>
  <c r="AG342" i="80"/>
  <c r="AG341" i="80"/>
  <c r="AG340" i="80"/>
  <c r="AG339" i="80"/>
  <c r="AG336" i="80"/>
  <c r="AG330" i="80"/>
  <c r="AG331" i="80" s="1"/>
  <c r="AG322" i="80"/>
  <c r="AG321" i="80"/>
  <c r="AG318" i="80"/>
  <c r="AG296" i="80"/>
  <c r="AG286" i="80"/>
  <c r="AG288" i="80" s="1"/>
  <c r="AG270" i="80"/>
  <c r="AG249" i="80"/>
  <c r="AG226" i="80"/>
  <c r="AG211" i="80"/>
  <c r="AG198" i="80"/>
  <c r="AG194" i="80"/>
  <c r="AG165" i="80"/>
  <c r="AG138" i="80"/>
  <c r="AG98" i="80"/>
  <c r="AG85" i="80"/>
  <c r="AG69" i="80"/>
  <c r="AG38" i="80"/>
  <c r="AG11" i="80"/>
  <c r="AG227" i="80" l="1"/>
  <c r="AG250" i="80" s="1"/>
  <c r="AG258" i="80" s="1"/>
  <c r="AG261" i="80" s="1"/>
  <c r="AG167" i="80"/>
  <c r="AG86" i="80"/>
  <c r="AG88" i="80" s="1"/>
  <c r="AG196" i="80" s="1"/>
  <c r="AG263" i="80" l="1"/>
  <c r="C34" i="79"/>
  <c r="Y339" i="80"/>
  <c r="Y321" i="80"/>
  <c r="W249" i="80" l="1"/>
  <c r="V336" i="80"/>
  <c r="V342" i="80"/>
  <c r="D308" i="80" l="1"/>
  <c r="P336" i="80"/>
  <c r="N322" i="80" l="1"/>
  <c r="M322" i="80"/>
  <c r="L322" i="80"/>
  <c r="K322" i="80"/>
  <c r="J322" i="80"/>
  <c r="I322" i="80"/>
  <c r="H322" i="80"/>
  <c r="G322" i="80"/>
  <c r="F322" i="80"/>
  <c r="E322" i="80"/>
  <c r="AF322" i="80"/>
  <c r="AE322" i="80"/>
  <c r="AD322" i="80"/>
  <c r="AC322" i="80"/>
  <c r="AB322" i="80"/>
  <c r="AA322" i="80"/>
  <c r="Z322" i="80"/>
  <c r="Y322" i="80"/>
  <c r="X322" i="80"/>
  <c r="W322" i="80"/>
  <c r="V322" i="80"/>
  <c r="U322" i="80"/>
  <c r="T322" i="80"/>
  <c r="S322" i="80"/>
  <c r="R322" i="80"/>
  <c r="Q322" i="80"/>
  <c r="P322" i="80"/>
  <c r="O322" i="80"/>
  <c r="AE19" i="109" l="1"/>
  <c r="AD19" i="109"/>
  <c r="AC19" i="109"/>
  <c r="AB19" i="109"/>
  <c r="AA19" i="109"/>
  <c r="Z19" i="109"/>
  <c r="W19" i="109"/>
  <c r="V19" i="109"/>
  <c r="U19" i="109"/>
  <c r="T19" i="109"/>
  <c r="AE18" i="109"/>
  <c r="AD18" i="109"/>
  <c r="AC18" i="109"/>
  <c r="AB18" i="109"/>
  <c r="AA18" i="109"/>
  <c r="Z18" i="109"/>
  <c r="W18" i="109"/>
  <c r="V18" i="109"/>
  <c r="U18" i="109"/>
  <c r="T18" i="109"/>
  <c r="AE17" i="109"/>
  <c r="AD17" i="109"/>
  <c r="AC17" i="109"/>
  <c r="AB17" i="109"/>
  <c r="AA17" i="109"/>
  <c r="Z17" i="109"/>
  <c r="W17" i="109"/>
  <c r="V17" i="109"/>
  <c r="U17" i="109"/>
  <c r="T17" i="109"/>
  <c r="AE16" i="109"/>
  <c r="AD16" i="109"/>
  <c r="AC16" i="109"/>
  <c r="AB16" i="109"/>
  <c r="AA16" i="109"/>
  <c r="Z16" i="109"/>
  <c r="W16" i="109"/>
  <c r="V16" i="109"/>
  <c r="U16" i="109"/>
  <c r="T16" i="109"/>
  <c r="AE15" i="109"/>
  <c r="AD15" i="109"/>
  <c r="AC15" i="109"/>
  <c r="AB15" i="109"/>
  <c r="AA15" i="109"/>
  <c r="Z15" i="109"/>
  <c r="Y15" i="109" s="1"/>
  <c r="X15" i="109" s="1"/>
  <c r="W15" i="109"/>
  <c r="V15" i="109"/>
  <c r="U15" i="109"/>
  <c r="T15" i="109"/>
  <c r="AE14" i="109"/>
  <c r="AD14" i="109"/>
  <c r="AC14" i="109"/>
  <c r="AB14" i="109"/>
  <c r="AA14" i="109"/>
  <c r="Z14" i="109"/>
  <c r="W14" i="109"/>
  <c r="V14" i="109"/>
  <c r="U14" i="109"/>
  <c r="T14" i="109"/>
  <c r="AE13" i="109"/>
  <c r="AD13" i="109"/>
  <c r="AC13" i="109"/>
  <c r="AB13" i="109"/>
  <c r="AA13" i="109"/>
  <c r="Z13" i="109"/>
  <c r="W13" i="109"/>
  <c r="V13" i="109"/>
  <c r="U13" i="109"/>
  <c r="T13" i="109"/>
  <c r="F126" i="66"/>
  <c r="F126" i="72" s="1"/>
  <c r="Y18" i="109" l="1"/>
  <c r="X18" i="109" s="1"/>
  <c r="Y16" i="109"/>
  <c r="X16" i="109" s="1"/>
  <c r="S14" i="109"/>
  <c r="R14" i="109" s="1"/>
  <c r="S16" i="109"/>
  <c r="R16" i="109" s="1"/>
  <c r="S15" i="109"/>
  <c r="R15" i="109" s="1"/>
  <c r="Q15" i="109" s="1"/>
  <c r="Y17" i="109"/>
  <c r="X17" i="109" s="1"/>
  <c r="S19" i="109"/>
  <c r="R19" i="109" s="1"/>
  <c r="Y13" i="109"/>
  <c r="X13" i="109" s="1"/>
  <c r="Y14" i="109"/>
  <c r="X14" i="109" s="1"/>
  <c r="S13" i="109"/>
  <c r="R13" i="109" s="1"/>
  <c r="Y19" i="109"/>
  <c r="X19" i="109" s="1"/>
  <c r="S18" i="109"/>
  <c r="R18" i="109" s="1"/>
  <c r="S17" i="109"/>
  <c r="R17" i="109" s="1"/>
  <c r="F39" i="35"/>
  <c r="F38" i="35"/>
  <c r="F31" i="35"/>
  <c r="F26" i="35"/>
  <c r="F25" i="35"/>
  <c r="Q18" i="109" l="1"/>
  <c r="Q14" i="109"/>
  <c r="Q16" i="109"/>
  <c r="Q19" i="109"/>
  <c r="Q17" i="109"/>
  <c r="Q13" i="109"/>
  <c r="F40" i="35"/>
  <c r="C1" i="129"/>
  <c r="O8" i="129"/>
  <c r="O7" i="129"/>
  <c r="D28" i="129"/>
  <c r="D29" i="129" s="1"/>
  <c r="D30" i="129" s="1"/>
  <c r="D31" i="129" s="1"/>
  <c r="D32" i="129" s="1"/>
  <c r="C33" i="129" s="1"/>
  <c r="B54" i="129"/>
  <c r="B86" i="132" s="1"/>
  <c r="R44" i="129"/>
  <c r="P44" i="129"/>
  <c r="P45" i="129" s="1"/>
  <c r="N44" i="129"/>
  <c r="L44" i="129"/>
  <c r="L45" i="129" s="1"/>
  <c r="J44" i="129"/>
  <c r="H44" i="129"/>
  <c r="H45" i="129" s="1"/>
  <c r="AJ29" i="129"/>
  <c r="AI29" i="129"/>
  <c r="AH29" i="129"/>
  <c r="AG29" i="129"/>
  <c r="AF29" i="129"/>
  <c r="AE29" i="129"/>
  <c r="AD29" i="129"/>
  <c r="AC29" i="129"/>
  <c r="AB29" i="129"/>
  <c r="AA29" i="129"/>
  <c r="Z29" i="129"/>
  <c r="Y29" i="129"/>
  <c r="X29" i="129"/>
  <c r="W29" i="129"/>
  <c r="V29" i="129"/>
  <c r="AI28" i="129"/>
  <c r="AH28" i="129"/>
  <c r="AG28" i="129"/>
  <c r="AF28" i="129"/>
  <c r="AE28" i="129"/>
  <c r="AD28" i="129"/>
  <c r="AC28" i="129"/>
  <c r="AB28" i="129"/>
  <c r="AA28" i="129"/>
  <c r="Z28" i="129"/>
  <c r="Y28" i="129"/>
  <c r="X28" i="129"/>
  <c r="W28" i="129"/>
  <c r="V28" i="129"/>
  <c r="T28" i="129"/>
  <c r="T29" i="129" s="1"/>
  <c r="B53" i="128"/>
  <c r="D46" i="128"/>
  <c r="B46" i="128"/>
  <c r="F26" i="128"/>
  <c r="F25" i="128"/>
  <c r="F24" i="128"/>
  <c r="F21" i="128"/>
  <c r="F20" i="128"/>
  <c r="F19" i="128"/>
  <c r="F51" i="128"/>
  <c r="F50" i="128"/>
  <c r="F49" i="128"/>
  <c r="F48" i="128"/>
  <c r="F37" i="128"/>
  <c r="F36" i="128"/>
  <c r="D31" i="128"/>
  <c r="D108" i="128" s="1"/>
  <c r="F18" i="128"/>
  <c r="F45" i="128"/>
  <c r="F44" i="128"/>
  <c r="F43" i="128"/>
  <c r="F42" i="128"/>
  <c r="F41" i="128"/>
  <c r="F40" i="128"/>
  <c r="F39" i="128"/>
  <c r="F38" i="128"/>
  <c r="F35" i="128"/>
  <c r="F29" i="128"/>
  <c r="F23" i="128"/>
  <c r="F8" i="128"/>
  <c r="F7" i="128"/>
  <c r="A1" i="128"/>
  <c r="F38" i="127"/>
  <c r="F32" i="127"/>
  <c r="B65" i="127"/>
  <c r="F57" i="127"/>
  <c r="F63" i="127"/>
  <c r="F62" i="127"/>
  <c r="F61" i="127"/>
  <c r="F60" i="127"/>
  <c r="F56" i="127"/>
  <c r="F54" i="127"/>
  <c r="F53" i="127"/>
  <c r="F52" i="127"/>
  <c r="F59" i="127"/>
  <c r="F43" i="127"/>
  <c r="F67" i="127"/>
  <c r="F55" i="127"/>
  <c r="F51" i="127"/>
  <c r="F50" i="127"/>
  <c r="F44" i="127"/>
  <c r="F42" i="127"/>
  <c r="F41" i="127"/>
  <c r="F39" i="127"/>
  <c r="F36" i="127"/>
  <c r="F35" i="127"/>
  <c r="F34" i="127"/>
  <c r="F20" i="127"/>
  <c r="F19" i="127"/>
  <c r="F8" i="127"/>
  <c r="F7" i="127"/>
  <c r="A1" i="127"/>
  <c r="V10" i="52"/>
  <c r="F53" i="128" l="1"/>
  <c r="B55" i="128"/>
  <c r="F46" i="128"/>
  <c r="B89" i="132"/>
  <c r="B90" i="132"/>
  <c r="B91" i="132"/>
  <c r="B94" i="132"/>
  <c r="B92" i="132"/>
  <c r="B87" i="132"/>
  <c r="B95" i="132"/>
  <c r="B88" i="132"/>
  <c r="B93" i="132"/>
  <c r="C64" i="129"/>
  <c r="C34" i="129"/>
  <c r="D33" i="129"/>
  <c r="C55" i="129"/>
  <c r="C56" i="129"/>
  <c r="C57" i="129"/>
  <c r="C58" i="129"/>
  <c r="C59" i="129"/>
  <c r="C60" i="129"/>
  <c r="C61" i="129"/>
  <c r="C62" i="129"/>
  <c r="C63" i="129"/>
  <c r="D55" i="128"/>
  <c r="D57" i="128"/>
  <c r="F65" i="127"/>
  <c r="Y27" i="15"/>
  <c r="X27" i="15"/>
  <c r="Y25" i="15"/>
  <c r="X25" i="15"/>
  <c r="Y23" i="15"/>
  <c r="X23" i="15"/>
  <c r="Y21" i="15"/>
  <c r="X21" i="15"/>
  <c r="Y19" i="15"/>
  <c r="X19" i="15"/>
  <c r="Y17" i="15"/>
  <c r="X17" i="15"/>
  <c r="Y15" i="15"/>
  <c r="X15" i="15"/>
  <c r="Y27" i="14"/>
  <c r="X27" i="14"/>
  <c r="Y25" i="14"/>
  <c r="X25" i="14"/>
  <c r="Y23" i="14"/>
  <c r="X23" i="14"/>
  <c r="Y21" i="14"/>
  <c r="X21" i="14"/>
  <c r="Y19" i="14"/>
  <c r="X19" i="14"/>
  <c r="Y17" i="14"/>
  <c r="X17" i="14"/>
  <c r="Y15" i="14"/>
  <c r="X15" i="14"/>
  <c r="M67" i="121"/>
  <c r="F55" i="128" l="1"/>
  <c r="D34" i="129"/>
  <c r="C35" i="129"/>
  <c r="M69" i="121"/>
  <c r="M64" i="121"/>
  <c r="C6" i="32"/>
  <c r="H7" i="89"/>
  <c r="C36" i="129" l="1"/>
  <c r="D35" i="129"/>
  <c r="M12" i="121"/>
  <c r="C7" i="32"/>
  <c r="H8" i="89"/>
  <c r="AJ153" i="80"/>
  <c r="AJ126" i="80"/>
  <c r="D126" i="80"/>
  <c r="D153" i="80"/>
  <c r="D79" i="80"/>
  <c r="C37" i="129" l="1"/>
  <c r="D36" i="129"/>
  <c r="F221" i="68"/>
  <c r="F63" i="68"/>
  <c r="F14" i="68"/>
  <c r="I5" i="72"/>
  <c r="D93" i="80"/>
  <c r="C38" i="129" l="1"/>
  <c r="D37" i="129"/>
  <c r="F24" i="68"/>
  <c r="T24" i="68" s="1"/>
  <c r="D38" i="129" l="1"/>
  <c r="C39" i="129"/>
  <c r="F51" i="68"/>
  <c r="F32" i="68"/>
  <c r="F33" i="68"/>
  <c r="M32" i="12"/>
  <c r="M33" i="12"/>
  <c r="M34" i="12"/>
  <c r="M35" i="12"/>
  <c r="M18" i="12"/>
  <c r="M19" i="12"/>
  <c r="M20" i="12"/>
  <c r="M21" i="12"/>
  <c r="M22" i="12"/>
  <c r="M23" i="12"/>
  <c r="M24" i="12"/>
  <c r="M25" i="12"/>
  <c r="M26" i="12"/>
  <c r="M27" i="12"/>
  <c r="M28" i="12"/>
  <c r="M17" i="12"/>
  <c r="M36" i="12"/>
  <c r="M38" i="12"/>
  <c r="M39" i="12"/>
  <c r="M40" i="12"/>
  <c r="M41" i="12"/>
  <c r="M37" i="12"/>
  <c r="M94" i="121"/>
  <c r="F130" i="66"/>
  <c r="F129" i="66"/>
  <c r="F128" i="66"/>
  <c r="F123" i="66"/>
  <c r="F137" i="66"/>
  <c r="F135" i="66"/>
  <c r="F133" i="66"/>
  <c r="F132" i="66"/>
  <c r="F127" i="66"/>
  <c r="F124" i="66"/>
  <c r="G124" i="66" s="1"/>
  <c r="C40" i="129" l="1"/>
  <c r="D39" i="129"/>
  <c r="C41" i="129" l="1"/>
  <c r="D40" i="129"/>
  <c r="F5" i="66"/>
  <c r="F6" i="66"/>
  <c r="B7" i="105"/>
  <c r="G7" i="105"/>
  <c r="K7" i="17"/>
  <c r="K8" i="17"/>
  <c r="E23" i="32"/>
  <c r="G74" i="125"/>
  <c r="G80" i="125" s="1"/>
  <c r="G85" i="125"/>
  <c r="G58" i="125"/>
  <c r="G49" i="125"/>
  <c r="G44" i="125"/>
  <c r="G28" i="125"/>
  <c r="G32" i="125" s="1"/>
  <c r="H7" i="125"/>
  <c r="I9" i="125"/>
  <c r="A1" i="125"/>
  <c r="L1" i="125"/>
  <c r="G86" i="125" l="1"/>
  <c r="G89" i="125" s="1"/>
  <c r="C42" i="129"/>
  <c r="D42" i="129" s="1"/>
  <c r="D41" i="129"/>
  <c r="G60" i="125"/>
  <c r="M70" i="57"/>
  <c r="N41" i="3" l="1"/>
  <c r="L8" i="123"/>
  <c r="L7" i="123"/>
  <c r="N8" i="122"/>
  <c r="N7" i="122"/>
  <c r="O8" i="11"/>
  <c r="O7" i="11"/>
  <c r="H24" i="123"/>
  <c r="F24" i="123"/>
  <c r="F37" i="68" l="1"/>
  <c r="D47" i="105"/>
  <c r="F31" i="90"/>
  <c r="F50" i="90"/>
  <c r="F50" i="72"/>
  <c r="F31" i="72"/>
  <c r="D31" i="80"/>
  <c r="D50" i="80"/>
  <c r="AJ19" i="80"/>
  <c r="AJ20" i="80"/>
  <c r="AJ21" i="80"/>
  <c r="AJ22" i="80"/>
  <c r="AJ23" i="80"/>
  <c r="AJ24" i="80"/>
  <c r="AJ25" i="80"/>
  <c r="AJ26" i="80"/>
  <c r="AJ27" i="80"/>
  <c r="AJ28" i="80"/>
  <c r="AJ29" i="80"/>
  <c r="AJ30" i="80"/>
  <c r="AJ32" i="80"/>
  <c r="AJ33" i="80"/>
  <c r="AJ34" i="80"/>
  <c r="AJ35" i="80"/>
  <c r="AJ36" i="80"/>
  <c r="AJ37" i="80"/>
  <c r="AJ39" i="80"/>
  <c r="AJ40" i="80"/>
  <c r="T1" i="123"/>
  <c r="M71" i="121" s="1"/>
  <c r="AJ1" i="122"/>
  <c r="H47" i="123"/>
  <c r="F47" i="123"/>
  <c r="H34" i="123"/>
  <c r="F34" i="123"/>
  <c r="A1" i="123"/>
  <c r="Q42" i="122"/>
  <c r="O42" i="122"/>
  <c r="O44" i="122" s="1"/>
  <c r="M42" i="122"/>
  <c r="K42" i="122"/>
  <c r="K44" i="122" s="1"/>
  <c r="I42" i="122"/>
  <c r="G42" i="122"/>
  <c r="G44" i="122" s="1"/>
  <c r="AI27" i="122"/>
  <c r="AH27" i="122"/>
  <c r="AG27" i="122"/>
  <c r="AF27" i="122"/>
  <c r="AE27" i="122"/>
  <c r="AD27" i="122"/>
  <c r="AC27" i="122"/>
  <c r="AB27" i="122"/>
  <c r="AA27" i="122"/>
  <c r="Z27" i="122"/>
  <c r="Y27" i="122"/>
  <c r="X27" i="122"/>
  <c r="W27" i="122"/>
  <c r="V27" i="122"/>
  <c r="U27" i="122"/>
  <c r="AH26" i="122"/>
  <c r="AG26" i="122"/>
  <c r="AF26" i="122"/>
  <c r="AE26" i="122"/>
  <c r="AD26" i="122"/>
  <c r="AC26" i="122"/>
  <c r="AB26" i="122"/>
  <c r="AA26" i="122"/>
  <c r="Z26" i="122"/>
  <c r="Y26" i="122"/>
  <c r="X26" i="122"/>
  <c r="W26" i="122"/>
  <c r="V26" i="122"/>
  <c r="U26" i="122"/>
  <c r="D26" i="122"/>
  <c r="D27" i="122" s="1"/>
  <c r="D28" i="122" s="1"/>
  <c r="D29" i="122" s="1"/>
  <c r="D30" i="122" s="1"/>
  <c r="C31" i="122" s="1"/>
  <c r="C1" i="122"/>
  <c r="B90" i="11"/>
  <c r="AL81" i="11"/>
  <c r="AL74" i="11"/>
  <c r="AL69" i="11"/>
  <c r="AL60" i="11"/>
  <c r="AL53" i="11"/>
  <c r="R44" i="11"/>
  <c r="P44" i="11"/>
  <c r="P45" i="11" s="1"/>
  <c r="N44" i="11"/>
  <c r="L44" i="11"/>
  <c r="L45" i="11" s="1"/>
  <c r="J44" i="11"/>
  <c r="H44" i="11"/>
  <c r="H45" i="11" s="1"/>
  <c r="AJ29" i="11"/>
  <c r="AI29" i="11"/>
  <c r="AH29" i="11"/>
  <c r="AG29" i="11"/>
  <c r="AF29" i="11"/>
  <c r="AE29" i="11"/>
  <c r="AD29" i="11"/>
  <c r="AC29" i="11"/>
  <c r="AB29" i="11"/>
  <c r="AA29" i="11"/>
  <c r="Z29" i="11"/>
  <c r="Y29" i="11"/>
  <c r="X29" i="11"/>
  <c r="W29" i="11"/>
  <c r="V29" i="11"/>
  <c r="AI28" i="11"/>
  <c r="AH28" i="11"/>
  <c r="AG28" i="11"/>
  <c r="AF28" i="11"/>
  <c r="AE28" i="11"/>
  <c r="AD28" i="11"/>
  <c r="AC28" i="11"/>
  <c r="AB28" i="11"/>
  <c r="AA28" i="11"/>
  <c r="Z28" i="11"/>
  <c r="Y28" i="11"/>
  <c r="X28" i="11"/>
  <c r="W28" i="11"/>
  <c r="V28" i="11"/>
  <c r="T28" i="11"/>
  <c r="T29" i="11" s="1"/>
  <c r="D28" i="11"/>
  <c r="D29" i="11" s="1"/>
  <c r="D30" i="11" s="1"/>
  <c r="D31" i="11" s="1"/>
  <c r="D32" i="11" s="1"/>
  <c r="C33" i="11" s="1"/>
  <c r="AK1" i="11"/>
  <c r="C1" i="11"/>
  <c r="M68" i="121" l="1"/>
  <c r="M63" i="121"/>
  <c r="M66" i="121"/>
  <c r="M62" i="121"/>
  <c r="M61" i="121"/>
  <c r="M65" i="121"/>
  <c r="M73" i="121"/>
  <c r="C32" i="122"/>
  <c r="D31" i="122"/>
  <c r="D33" i="11"/>
  <c r="C34" i="11"/>
  <c r="D32" i="122" l="1"/>
  <c r="C33" i="122"/>
  <c r="C35" i="11"/>
  <c r="D34" i="11"/>
  <c r="C34" i="122" l="1"/>
  <c r="D33" i="122"/>
  <c r="C36" i="11"/>
  <c r="D35" i="11"/>
  <c r="D34" i="122" l="1"/>
  <c r="C35" i="122"/>
  <c r="C37" i="11"/>
  <c r="D36" i="11"/>
  <c r="C36" i="122" l="1"/>
  <c r="D35" i="122"/>
  <c r="C38" i="11"/>
  <c r="D37" i="11"/>
  <c r="C37" i="122" l="1"/>
  <c r="D36" i="122"/>
  <c r="D38" i="11"/>
  <c r="C39" i="11"/>
  <c r="D37" i="122" l="1"/>
  <c r="C38" i="122"/>
  <c r="C40" i="11"/>
  <c r="D39" i="11"/>
  <c r="C39" i="122" l="1"/>
  <c r="D38" i="122"/>
  <c r="C41" i="11"/>
  <c r="D40" i="11"/>
  <c r="D39" i="122" l="1"/>
  <c r="C40" i="122"/>
  <c r="D40" i="122" s="1"/>
  <c r="D41" i="11"/>
  <c r="C42" i="11"/>
  <c r="D42" i="11" s="1"/>
  <c r="I8" i="120" l="1"/>
  <c r="I7" i="120"/>
  <c r="D47" i="80" l="1"/>
  <c r="D24" i="80" l="1"/>
  <c r="I336" i="80"/>
  <c r="H321" i="80"/>
  <c r="I321" i="80"/>
  <c r="AJ152" i="80" l="1"/>
  <c r="AJ125" i="80"/>
  <c r="F126" i="68"/>
  <c r="F125" i="90" l="1"/>
  <c r="T126" i="68"/>
  <c r="D307" i="80"/>
  <c r="D306" i="80"/>
  <c r="D280" i="80"/>
  <c r="D82" i="80" l="1"/>
  <c r="F125" i="66"/>
  <c r="D125" i="80"/>
  <c r="D152" i="80"/>
  <c r="F125" i="72" l="1"/>
  <c r="G125" i="66"/>
  <c r="M70" i="18" l="1"/>
  <c r="O34" i="8"/>
  <c r="M34" i="8"/>
  <c r="K34" i="8"/>
  <c r="I34" i="8"/>
  <c r="G321" i="80"/>
  <c r="D256" i="80" l="1"/>
  <c r="D257" i="80"/>
  <c r="D259" i="80"/>
  <c r="D45" i="80"/>
  <c r="D46" i="80"/>
  <c r="D48" i="80"/>
  <c r="D44" i="29"/>
  <c r="L38" i="80"/>
  <c r="R44" i="5" l="1"/>
  <c r="P44" i="5"/>
  <c r="N44" i="5"/>
  <c r="L44" i="5"/>
  <c r="J44" i="5"/>
  <c r="H44" i="5"/>
  <c r="F44" i="5"/>
  <c r="G44" i="5"/>
  <c r="I44" i="5"/>
  <c r="K44" i="5"/>
  <c r="M44" i="5"/>
  <c r="O44" i="5"/>
  <c r="Q44" i="5"/>
  <c r="M91" i="121" l="1"/>
  <c r="M34" i="121"/>
  <c r="E44" i="29"/>
  <c r="F44" i="29"/>
  <c r="G44" i="29"/>
  <c r="H44" i="29"/>
  <c r="M90" i="121" l="1"/>
  <c r="M31" i="121" l="1"/>
  <c r="M24" i="121"/>
  <c r="M23" i="121"/>
  <c r="M21" i="121"/>
  <c r="F343" i="80" l="1"/>
  <c r="G343" i="80"/>
  <c r="H343" i="80"/>
  <c r="I343" i="80"/>
  <c r="J343" i="80"/>
  <c r="K343" i="80"/>
  <c r="L343" i="80"/>
  <c r="M343" i="80"/>
  <c r="N343" i="80"/>
  <c r="O343" i="80"/>
  <c r="P343" i="80"/>
  <c r="Q343" i="80"/>
  <c r="R343" i="80"/>
  <c r="S343" i="80"/>
  <c r="T343" i="80"/>
  <c r="U343" i="80"/>
  <c r="V343" i="80"/>
  <c r="W343" i="80"/>
  <c r="X343" i="80"/>
  <c r="Y343" i="80"/>
  <c r="Z343" i="80"/>
  <c r="AA343" i="80"/>
  <c r="AB343" i="80"/>
  <c r="AC343" i="80"/>
  <c r="AD343" i="80"/>
  <c r="AE343" i="80"/>
  <c r="AF343" i="80"/>
  <c r="AH343" i="80"/>
  <c r="E343" i="80"/>
  <c r="Z339" i="80"/>
  <c r="V339" i="80"/>
  <c r="U339" i="80"/>
  <c r="R339" i="80"/>
  <c r="Q339" i="80"/>
  <c r="P339" i="80"/>
  <c r="F286" i="80"/>
  <c r="F290" i="80" s="1"/>
  <c r="E249" i="80"/>
  <c r="D192" i="80"/>
  <c r="F192" i="72"/>
  <c r="G192" i="66"/>
  <c r="F194" i="66"/>
  <c r="D275" i="80"/>
  <c r="D276" i="80"/>
  <c r="D277" i="80"/>
  <c r="D278" i="80"/>
  <c r="D75" i="80"/>
  <c r="D76" i="80"/>
  <c r="D77" i="80"/>
  <c r="D78" i="80"/>
  <c r="D30" i="80"/>
  <c r="M32" i="28"/>
  <c r="M33" i="28"/>
  <c r="M34" i="28"/>
  <c r="M31" i="28"/>
  <c r="M30" i="28"/>
  <c r="H33" i="118" l="1"/>
  <c r="A2" i="121"/>
  <c r="A2" i="2"/>
  <c r="A2" i="1"/>
  <c r="B2" i="132" l="1"/>
  <c r="B2" i="24"/>
  <c r="A2" i="35"/>
  <c r="C2" i="129"/>
  <c r="A2" i="127"/>
  <c r="A2" i="128"/>
  <c r="A2" i="123"/>
  <c r="A2" i="125"/>
  <c r="C2" i="11"/>
  <c r="C2" i="122"/>
  <c r="N40" i="3"/>
  <c r="M83" i="113" l="1"/>
  <c r="F246" i="72"/>
  <c r="F178" i="72"/>
  <c r="F49" i="72"/>
  <c r="F30" i="72"/>
  <c r="F246" i="68"/>
  <c r="F245" i="90" s="1"/>
  <c r="F179" i="68"/>
  <c r="F178" i="90" s="1"/>
  <c r="F50" i="68"/>
  <c r="F49" i="90" s="1"/>
  <c r="F31" i="68"/>
  <c r="F30" i="90" s="1"/>
  <c r="Y63" i="101" l="1"/>
  <c r="T34" i="8" l="1"/>
  <c r="M80" i="121"/>
  <c r="M29" i="121"/>
  <c r="M28" i="121"/>
  <c r="M25" i="121"/>
  <c r="M26" i="121"/>
  <c r="M14" i="121"/>
  <c r="M83" i="121" l="1"/>
  <c r="M82" i="121"/>
  <c r="M81" i="121"/>
  <c r="M79" i="121"/>
  <c r="M78" i="121"/>
  <c r="M30" i="121"/>
  <c r="M27" i="121"/>
  <c r="M13" i="121"/>
  <c r="M33" i="121" l="1"/>
  <c r="M32" i="121"/>
  <c r="H44" i="31" l="1"/>
  <c r="G44" i="31"/>
  <c r="F44" i="31"/>
  <c r="E44" i="31"/>
  <c r="D44" i="31"/>
  <c r="H36" i="31"/>
  <c r="G36" i="31"/>
  <c r="F36" i="31"/>
  <c r="E36" i="31"/>
  <c r="D36" i="31"/>
  <c r="M21" i="31"/>
  <c r="F237" i="72"/>
  <c r="F237" i="68"/>
  <c r="F236" i="90" s="1"/>
  <c r="T63" i="112"/>
  <c r="T55" i="112"/>
  <c r="L58" i="55"/>
  <c r="L39" i="55"/>
  <c r="M22" i="32"/>
  <c r="M21" i="32"/>
  <c r="M20" i="32"/>
  <c r="M19" i="32"/>
  <c r="AK60" i="101" l="1"/>
  <c r="AK59" i="101"/>
  <c r="AK58" i="101"/>
  <c r="AK57" i="101"/>
  <c r="AK56" i="101"/>
  <c r="AK55" i="101"/>
  <c r="Y30" i="61"/>
  <c r="Y29" i="61"/>
  <c r="AK47" i="101"/>
  <c r="AK46" i="101"/>
  <c r="AK45" i="101"/>
  <c r="M34" i="31" l="1"/>
  <c r="M33" i="31"/>
  <c r="M32" i="31"/>
  <c r="M30" i="31"/>
  <c r="M29" i="31"/>
  <c r="M28" i="31"/>
  <c r="M26" i="31"/>
  <c r="M25" i="31"/>
  <c r="M24" i="31"/>
  <c r="M34" i="29"/>
  <c r="M33" i="29"/>
  <c r="M32" i="29"/>
  <c r="M30" i="29"/>
  <c r="M29" i="29"/>
  <c r="M28" i="29"/>
  <c r="M26" i="29"/>
  <c r="M25" i="29"/>
  <c r="M24" i="29"/>
  <c r="M23" i="29"/>
  <c r="M36" i="28"/>
  <c r="M37" i="28"/>
  <c r="M28" i="28"/>
  <c r="M27" i="28"/>
  <c r="M26" i="28"/>
  <c r="W27" i="15"/>
  <c r="W25" i="15"/>
  <c r="W23" i="15"/>
  <c r="W21" i="15"/>
  <c r="W19" i="15"/>
  <c r="W17" i="15"/>
  <c r="W15" i="15"/>
  <c r="W27" i="14"/>
  <c r="W25" i="14"/>
  <c r="W23" i="14"/>
  <c r="W21" i="14"/>
  <c r="W19" i="14"/>
  <c r="W17" i="14"/>
  <c r="W15" i="14"/>
  <c r="V34" i="12"/>
  <c r="V33" i="12"/>
  <c r="V31" i="12"/>
  <c r="V26" i="12"/>
  <c r="V25" i="12"/>
  <c r="V24" i="12"/>
  <c r="E10" i="83" l="1"/>
  <c r="B10" i="83"/>
  <c r="C10" i="83" s="1"/>
  <c r="E9" i="83"/>
  <c r="B9" i="83"/>
  <c r="C9" i="83" s="1"/>
  <c r="E8" i="83"/>
  <c r="B8" i="83"/>
  <c r="C8" i="83" s="1"/>
  <c r="E7" i="83"/>
  <c r="B7" i="83"/>
  <c r="C7" i="83" s="1"/>
  <c r="E6" i="83"/>
  <c r="B6" i="83"/>
  <c r="C6" i="83" s="1"/>
  <c r="D5" i="83"/>
  <c r="E5" i="83" s="1"/>
  <c r="D4" i="83"/>
  <c r="E4" i="83" s="1"/>
  <c r="C4" i="83"/>
  <c r="E3" i="83"/>
  <c r="B3" i="83"/>
  <c r="C3" i="83" s="1"/>
  <c r="G50" i="82"/>
  <c r="G49" i="82"/>
  <c r="H48" i="82"/>
  <c r="R48" i="82" s="1"/>
  <c r="G48" i="82"/>
  <c r="G47" i="82"/>
  <c r="H46" i="82"/>
  <c r="R46" i="82" s="1"/>
  <c r="G46" i="82"/>
  <c r="H45" i="82"/>
  <c r="R45" i="82" s="1"/>
  <c r="G45" i="82"/>
  <c r="H44" i="82"/>
  <c r="R44" i="82" s="1"/>
  <c r="G44" i="82"/>
  <c r="H43" i="82"/>
  <c r="R43" i="82" s="1"/>
  <c r="G43" i="82"/>
  <c r="L42" i="82"/>
  <c r="K42" i="82"/>
  <c r="J42" i="82"/>
  <c r="I42" i="82"/>
  <c r="H42" i="82"/>
  <c r="G42" i="82"/>
  <c r="D42" i="82" s="1"/>
  <c r="H41" i="82"/>
  <c r="R41" i="82" s="1"/>
  <c r="G41" i="82"/>
  <c r="D41" i="82" s="1"/>
  <c r="H40" i="82"/>
  <c r="R40" i="82" s="1"/>
  <c r="G40" i="82"/>
  <c r="D40" i="82" s="1"/>
  <c r="H39" i="82"/>
  <c r="R39" i="82" s="1"/>
  <c r="G39" i="82"/>
  <c r="G38" i="82"/>
  <c r="G37" i="82"/>
  <c r="G36" i="82"/>
  <c r="H35" i="82"/>
  <c r="R35" i="82" s="1"/>
  <c r="G35" i="82"/>
  <c r="H34" i="82"/>
  <c r="R34" i="82" s="1"/>
  <c r="G34" i="82"/>
  <c r="H33" i="82"/>
  <c r="R33" i="82" s="1"/>
  <c r="G33" i="82"/>
  <c r="H32" i="82"/>
  <c r="R32" i="82" s="1"/>
  <c r="G32" i="82"/>
  <c r="H31" i="82"/>
  <c r="R31" i="82" s="1"/>
  <c r="G31" i="82"/>
  <c r="H30" i="82"/>
  <c r="R30" i="82" s="1"/>
  <c r="G30" i="82"/>
  <c r="H29" i="82"/>
  <c r="R29" i="82" s="1"/>
  <c r="G29" i="82"/>
  <c r="H28" i="82"/>
  <c r="R28" i="82" s="1"/>
  <c r="G28" i="82"/>
  <c r="G27" i="82"/>
  <c r="L26" i="82"/>
  <c r="K26" i="82"/>
  <c r="J26" i="82"/>
  <c r="I26" i="82"/>
  <c r="H26" i="82"/>
  <c r="G26" i="82"/>
  <c r="K25" i="82"/>
  <c r="J25" i="82"/>
  <c r="I25" i="82"/>
  <c r="H25" i="82"/>
  <c r="G25" i="82"/>
  <c r="M24" i="82"/>
  <c r="L24" i="82"/>
  <c r="K24" i="82"/>
  <c r="J24" i="82"/>
  <c r="I24" i="82"/>
  <c r="H24" i="82"/>
  <c r="G24" i="82"/>
  <c r="H23" i="82"/>
  <c r="R23" i="82" s="1"/>
  <c r="G23" i="82"/>
  <c r="I22" i="82"/>
  <c r="H22" i="82"/>
  <c r="G22" i="82"/>
  <c r="I21" i="82"/>
  <c r="H21" i="82"/>
  <c r="G21" i="82"/>
  <c r="I20" i="82"/>
  <c r="H20" i="82"/>
  <c r="G20" i="82"/>
  <c r="I19" i="82"/>
  <c r="H19" i="82"/>
  <c r="G19" i="82"/>
  <c r="Q18" i="82"/>
  <c r="O18" i="82"/>
  <c r="N18" i="82"/>
  <c r="M18" i="82"/>
  <c r="L18" i="82"/>
  <c r="K18" i="82"/>
  <c r="J18" i="82"/>
  <c r="I18" i="82"/>
  <c r="H18" i="82"/>
  <c r="G18" i="82"/>
  <c r="I17" i="82"/>
  <c r="H17" i="82"/>
  <c r="G17" i="82"/>
  <c r="I16" i="82"/>
  <c r="H16" i="82"/>
  <c r="G16" i="82"/>
  <c r="I15" i="82"/>
  <c r="H15" i="82"/>
  <c r="G15" i="82"/>
  <c r="I14" i="82"/>
  <c r="H14" i="82"/>
  <c r="G14" i="82"/>
  <c r="I13" i="82"/>
  <c r="H13" i="82"/>
  <c r="G13" i="82"/>
  <c r="O12" i="82"/>
  <c r="N12" i="82"/>
  <c r="M12" i="82"/>
  <c r="L12" i="82"/>
  <c r="K12" i="82"/>
  <c r="J12" i="82"/>
  <c r="I12" i="82"/>
  <c r="H12" i="82"/>
  <c r="G12" i="82"/>
  <c r="I11" i="82"/>
  <c r="H11" i="82"/>
  <c r="G11" i="82"/>
  <c r="H10" i="82"/>
  <c r="R10" i="82" s="1"/>
  <c r="G10" i="82"/>
  <c r="K9" i="82"/>
  <c r="J9" i="82"/>
  <c r="G9" i="82"/>
  <c r="H8" i="82"/>
  <c r="R8" i="82" s="1"/>
  <c r="G8" i="82"/>
  <c r="K7" i="82"/>
  <c r="J7" i="82"/>
  <c r="H7" i="82"/>
  <c r="G7" i="82"/>
  <c r="G6" i="82"/>
  <c r="H5" i="82"/>
  <c r="R5" i="82" s="1"/>
  <c r="G5" i="82"/>
  <c r="G4" i="82"/>
  <c r="H3" i="82"/>
  <c r="R3" i="82" s="1"/>
  <c r="G3" i="82"/>
  <c r="H2" i="82"/>
  <c r="L152" i="77"/>
  <c r="A152" i="77"/>
  <c r="C78" i="77"/>
  <c r="C77" i="77"/>
  <c r="C76" i="77"/>
  <c r="C75" i="77"/>
  <c r="N75" i="77" s="1"/>
  <c r="C74" i="77"/>
  <c r="C73" i="77"/>
  <c r="C72" i="77"/>
  <c r="C71" i="77"/>
  <c r="C70" i="77"/>
  <c r="N70" i="77" s="1"/>
  <c r="C69" i="77"/>
  <c r="N69" i="77" s="1"/>
  <c r="C68" i="77"/>
  <c r="N68" i="77" s="1"/>
  <c r="C67" i="77"/>
  <c r="N67" i="77" s="1"/>
  <c r="C66" i="77"/>
  <c r="N66" i="77" s="1"/>
  <c r="C65" i="77"/>
  <c r="N65" i="77" s="1"/>
  <c r="C64" i="77"/>
  <c r="N64" i="77" s="1"/>
  <c r="C63" i="77"/>
  <c r="N63" i="77" s="1"/>
  <c r="C62" i="77"/>
  <c r="N62" i="77" s="1"/>
  <c r="C61" i="77"/>
  <c r="N61" i="77" s="1"/>
  <c r="C60" i="77"/>
  <c r="N60" i="77" s="1"/>
  <c r="C59" i="77"/>
  <c r="N59" i="77" s="1"/>
  <c r="C58" i="77"/>
  <c r="N58" i="77" s="1"/>
  <c r="C57" i="77"/>
  <c r="C56" i="77"/>
  <c r="C55" i="77"/>
  <c r="N55" i="77" s="1"/>
  <c r="C54" i="77"/>
  <c r="N54" i="77" s="1"/>
  <c r="C53" i="77"/>
  <c r="N53" i="77" s="1"/>
  <c r="C52" i="77"/>
  <c r="N52" i="77" s="1"/>
  <c r="C51" i="77"/>
  <c r="N51" i="77" s="1"/>
  <c r="C50" i="77"/>
  <c r="N50" i="77" s="1"/>
  <c r="C49" i="77"/>
  <c r="N49" i="77" s="1"/>
  <c r="C48" i="77"/>
  <c r="N48" i="77" s="1"/>
  <c r="C47" i="77"/>
  <c r="N47" i="77" s="1"/>
  <c r="C46" i="77"/>
  <c r="N46" i="77" s="1"/>
  <c r="C45" i="77"/>
  <c r="C44" i="77"/>
  <c r="C43" i="77"/>
  <c r="C42" i="77"/>
  <c r="C41" i="77"/>
  <c r="C39" i="77"/>
  <c r="C37" i="77"/>
  <c r="N37" i="77" s="1"/>
  <c r="C36" i="77"/>
  <c r="C35" i="77"/>
  <c r="C34" i="77"/>
  <c r="L33" i="77"/>
  <c r="C33" i="77"/>
  <c r="N33" i="77" s="1"/>
  <c r="L32" i="77"/>
  <c r="C32" i="77"/>
  <c r="L31" i="77"/>
  <c r="C31" i="77"/>
  <c r="L30" i="77"/>
  <c r="C30" i="77"/>
  <c r="N30" i="77" s="1"/>
  <c r="L29" i="77"/>
  <c r="C29" i="77"/>
  <c r="L28" i="77"/>
  <c r="C28" i="77"/>
  <c r="L27" i="77"/>
  <c r="C27" i="77"/>
  <c r="L26" i="77"/>
  <c r="C26" i="77"/>
  <c r="N26" i="77" s="1"/>
  <c r="L25" i="77"/>
  <c r="C25" i="77"/>
  <c r="N25" i="77" s="1"/>
  <c r="L24" i="77"/>
  <c r="C24" i="77"/>
  <c r="N24" i="77" s="1"/>
  <c r="L23" i="77"/>
  <c r="C23" i="77"/>
  <c r="N23" i="77" s="1"/>
  <c r="L22" i="77"/>
  <c r="C22" i="77"/>
  <c r="N22" i="77" s="1"/>
  <c r="L21" i="77"/>
  <c r="C21" i="77"/>
  <c r="N21" i="77" s="1"/>
  <c r="L20" i="77"/>
  <c r="C20" i="77"/>
  <c r="N20" i="77" s="1"/>
  <c r="L19" i="77"/>
  <c r="C19" i="77"/>
  <c r="L18" i="77"/>
  <c r="C18" i="77"/>
  <c r="N18" i="77" s="1"/>
  <c r="L17" i="77"/>
  <c r="C17" i="77"/>
  <c r="N17" i="77" s="1"/>
  <c r="L16" i="77"/>
  <c r="C16" i="77"/>
  <c r="N16" i="77" s="1"/>
  <c r="L15" i="77"/>
  <c r="C15" i="77"/>
  <c r="N15" i="77" s="1"/>
  <c r="L14" i="77"/>
  <c r="C14" i="77"/>
  <c r="N14" i="77" s="1"/>
  <c r="L13" i="77"/>
  <c r="C13" i="77"/>
  <c r="N13" i="77" s="1"/>
  <c r="L12" i="77"/>
  <c r="C12" i="77"/>
  <c r="L11" i="77"/>
  <c r="C11" i="77"/>
  <c r="N11" i="77" s="1"/>
  <c r="L10" i="77"/>
  <c r="C10" i="77"/>
  <c r="N10" i="77" s="1"/>
  <c r="L9" i="77"/>
  <c r="C9" i="77"/>
  <c r="N9" i="77" s="1"/>
  <c r="L8" i="77"/>
  <c r="C8" i="77"/>
  <c r="N8" i="77" s="1"/>
  <c r="C7" i="77"/>
  <c r="N7" i="77" s="1"/>
  <c r="C6" i="77"/>
  <c r="N6" i="77" s="1"/>
  <c r="C5" i="77"/>
  <c r="N5" i="77" s="1"/>
  <c r="C4" i="77"/>
  <c r="N4" i="77" s="1"/>
  <c r="C3" i="77"/>
  <c r="K83" i="85"/>
  <c r="J83" i="85"/>
  <c r="K75" i="85"/>
  <c r="J75" i="85"/>
  <c r="K70" i="85"/>
  <c r="J70" i="85"/>
  <c r="K66" i="85"/>
  <c r="J66" i="85"/>
  <c r="K60" i="85"/>
  <c r="J60" i="85"/>
  <c r="K56" i="85"/>
  <c r="J56" i="85"/>
  <c r="K51" i="85"/>
  <c r="J51" i="85"/>
  <c r="K39" i="85"/>
  <c r="J39" i="85"/>
  <c r="K8" i="85"/>
  <c r="J8" i="85"/>
  <c r="G7" i="85"/>
  <c r="H5" i="85"/>
  <c r="K1" i="85"/>
  <c r="B1" i="85"/>
  <c r="AH351" i="80"/>
  <c r="AF351" i="80"/>
  <c r="AE351" i="80"/>
  <c r="AD351" i="80"/>
  <c r="AC351" i="80"/>
  <c r="AB351" i="80"/>
  <c r="AA351" i="80"/>
  <c r="Z351" i="80"/>
  <c r="Y351" i="80"/>
  <c r="X351" i="80"/>
  <c r="W351" i="80"/>
  <c r="V351" i="80"/>
  <c r="U351" i="80"/>
  <c r="T351" i="80"/>
  <c r="S351" i="80"/>
  <c r="R351" i="80"/>
  <c r="Q351" i="80"/>
  <c r="P351" i="80"/>
  <c r="O351" i="80"/>
  <c r="N351" i="80"/>
  <c r="M351" i="80"/>
  <c r="L351" i="80"/>
  <c r="K351" i="80"/>
  <c r="J351" i="80"/>
  <c r="I351" i="80"/>
  <c r="H351" i="80"/>
  <c r="G351" i="80"/>
  <c r="F351" i="80"/>
  <c r="E351" i="80"/>
  <c r="AH350" i="80"/>
  <c r="AF350" i="80"/>
  <c r="AE350" i="80"/>
  <c r="AD350" i="80"/>
  <c r="AC350" i="80"/>
  <c r="AB350" i="80"/>
  <c r="AA350" i="80"/>
  <c r="Z350" i="80"/>
  <c r="Y350" i="80"/>
  <c r="X350" i="80"/>
  <c r="W350" i="80"/>
  <c r="V350" i="80"/>
  <c r="U350" i="80"/>
  <c r="T350" i="80"/>
  <c r="S350" i="80"/>
  <c r="R350" i="80"/>
  <c r="Q350" i="80"/>
  <c r="P350" i="80"/>
  <c r="O350" i="80"/>
  <c r="N350" i="80"/>
  <c r="M350" i="80"/>
  <c r="L350" i="80"/>
  <c r="K350" i="80"/>
  <c r="J350" i="80"/>
  <c r="I350" i="80"/>
  <c r="H350" i="80"/>
  <c r="G350" i="80"/>
  <c r="F350" i="80"/>
  <c r="E350" i="80"/>
  <c r="AH349" i="80"/>
  <c r="AF349" i="80"/>
  <c r="AE349" i="80"/>
  <c r="AD349" i="80"/>
  <c r="AC349" i="80"/>
  <c r="AB349" i="80"/>
  <c r="AA349" i="80"/>
  <c r="Z349" i="80"/>
  <c r="Y349" i="80"/>
  <c r="X349" i="80"/>
  <c r="W349" i="80"/>
  <c r="V349" i="80"/>
  <c r="U349" i="80"/>
  <c r="T349" i="80"/>
  <c r="S349" i="80"/>
  <c r="R349" i="80"/>
  <c r="Q349" i="80"/>
  <c r="P349" i="80"/>
  <c r="O349" i="80"/>
  <c r="N349" i="80"/>
  <c r="M349" i="80"/>
  <c r="L349" i="80"/>
  <c r="K349" i="80"/>
  <c r="J349" i="80"/>
  <c r="I349" i="80"/>
  <c r="H349" i="80"/>
  <c r="G349" i="80"/>
  <c r="F349" i="80"/>
  <c r="E349" i="80"/>
  <c r="AH348" i="80"/>
  <c r="AF348" i="80"/>
  <c r="AE348" i="80"/>
  <c r="AD348" i="80"/>
  <c r="AC348" i="80"/>
  <c r="AB348" i="80"/>
  <c r="AA348" i="80"/>
  <c r="Z348" i="80"/>
  <c r="Y348" i="80"/>
  <c r="X348" i="80"/>
  <c r="W348" i="80"/>
  <c r="V348" i="80"/>
  <c r="U348" i="80"/>
  <c r="T348" i="80"/>
  <c r="S348" i="80"/>
  <c r="R348" i="80"/>
  <c r="Q348" i="80"/>
  <c r="P348" i="80"/>
  <c r="O348" i="80"/>
  <c r="N348" i="80"/>
  <c r="M348" i="80"/>
  <c r="L348" i="80"/>
  <c r="K348" i="80"/>
  <c r="J348" i="80"/>
  <c r="I348" i="80"/>
  <c r="H348" i="80"/>
  <c r="G348" i="80"/>
  <c r="F348" i="80"/>
  <c r="E348" i="80"/>
  <c r="AH347" i="80"/>
  <c r="AF347" i="80"/>
  <c r="AE347" i="80"/>
  <c r="AD347" i="80"/>
  <c r="AC347" i="80"/>
  <c r="AB347" i="80"/>
  <c r="AA347" i="80"/>
  <c r="Z347" i="80"/>
  <c r="Y347" i="80"/>
  <c r="X347" i="80"/>
  <c r="W347" i="80"/>
  <c r="V347" i="80"/>
  <c r="U347" i="80"/>
  <c r="T347" i="80"/>
  <c r="S347" i="80"/>
  <c r="R347" i="80"/>
  <c r="Q347" i="80"/>
  <c r="P347" i="80"/>
  <c r="O347" i="80"/>
  <c r="N347" i="80"/>
  <c r="M347" i="80"/>
  <c r="L347" i="80"/>
  <c r="K347" i="80"/>
  <c r="J347" i="80"/>
  <c r="I347" i="80"/>
  <c r="H347" i="80"/>
  <c r="G347" i="80"/>
  <c r="F347" i="80"/>
  <c r="E347" i="80"/>
  <c r="AH346" i="80"/>
  <c r="AF346" i="80"/>
  <c r="AE346" i="80"/>
  <c r="AD346" i="80"/>
  <c r="AC346" i="80"/>
  <c r="AB346" i="80"/>
  <c r="AA346" i="80"/>
  <c r="Z346" i="80"/>
  <c r="Y346" i="80"/>
  <c r="X346" i="80"/>
  <c r="W346" i="80"/>
  <c r="V346" i="80"/>
  <c r="U346" i="80"/>
  <c r="T346" i="80"/>
  <c r="S346" i="80"/>
  <c r="R346" i="80"/>
  <c r="Q346" i="80"/>
  <c r="P346" i="80"/>
  <c r="O346" i="80"/>
  <c r="N346" i="80"/>
  <c r="M346" i="80"/>
  <c r="L346" i="80"/>
  <c r="K346" i="80"/>
  <c r="J346" i="80"/>
  <c r="I346" i="80"/>
  <c r="H346" i="80"/>
  <c r="G346" i="80"/>
  <c r="F346" i="80"/>
  <c r="E346" i="80"/>
  <c r="AH345" i="80"/>
  <c r="AF345" i="80"/>
  <c r="AE345" i="80"/>
  <c r="AD345" i="80"/>
  <c r="AC345" i="80"/>
  <c r="AB345" i="80"/>
  <c r="AA345" i="80"/>
  <c r="Z345" i="80"/>
  <c r="Y345" i="80"/>
  <c r="X345" i="80"/>
  <c r="W345" i="80"/>
  <c r="V345" i="80"/>
  <c r="U345" i="80"/>
  <c r="T345" i="80"/>
  <c r="S345" i="80"/>
  <c r="R345" i="80"/>
  <c r="Q345" i="80"/>
  <c r="P345" i="80"/>
  <c r="O345" i="80"/>
  <c r="N345" i="80"/>
  <c r="M345" i="80"/>
  <c r="L345" i="80"/>
  <c r="K345" i="80"/>
  <c r="J345" i="80"/>
  <c r="I345" i="80"/>
  <c r="H345" i="80"/>
  <c r="G345" i="80"/>
  <c r="F345" i="80"/>
  <c r="E345" i="80"/>
  <c r="AH344" i="80"/>
  <c r="AF344" i="80"/>
  <c r="AE344" i="80"/>
  <c r="AD344" i="80"/>
  <c r="AC344" i="80"/>
  <c r="AB344" i="80"/>
  <c r="AA344" i="80"/>
  <c r="Z344" i="80"/>
  <c r="Y344" i="80"/>
  <c r="X344" i="80"/>
  <c r="W344" i="80"/>
  <c r="V344" i="80"/>
  <c r="U344" i="80"/>
  <c r="T344" i="80"/>
  <c r="S344" i="80"/>
  <c r="R344" i="80"/>
  <c r="Q344" i="80"/>
  <c r="P344" i="80"/>
  <c r="O344" i="80"/>
  <c r="N344" i="80"/>
  <c r="M344" i="80"/>
  <c r="L344" i="80"/>
  <c r="K344" i="80"/>
  <c r="J344" i="80"/>
  <c r="I344" i="80"/>
  <c r="H344" i="80"/>
  <c r="G344" i="80"/>
  <c r="F344" i="80"/>
  <c r="E344" i="80"/>
  <c r="AH342" i="80"/>
  <c r="AF342" i="80"/>
  <c r="AE342" i="80"/>
  <c r="AD342" i="80"/>
  <c r="AC342" i="80"/>
  <c r="AB342" i="80"/>
  <c r="AA342" i="80"/>
  <c r="Z342" i="80"/>
  <c r="Y342" i="80"/>
  <c r="X342" i="80"/>
  <c r="W342" i="80"/>
  <c r="U342" i="80"/>
  <c r="T342" i="80"/>
  <c r="S342" i="80"/>
  <c r="R342" i="80"/>
  <c r="Q342" i="80"/>
  <c r="P342" i="80"/>
  <c r="O342" i="80"/>
  <c r="N342" i="80"/>
  <c r="M342" i="80"/>
  <c r="L342" i="80"/>
  <c r="K342" i="80"/>
  <c r="J342" i="80"/>
  <c r="I342" i="80"/>
  <c r="H342" i="80"/>
  <c r="G342" i="80"/>
  <c r="F342" i="80"/>
  <c r="E342" i="80"/>
  <c r="AH341" i="80"/>
  <c r="AF341" i="80"/>
  <c r="AE341" i="80"/>
  <c r="AD341" i="80"/>
  <c r="AC341" i="80"/>
  <c r="AB341" i="80"/>
  <c r="AA341" i="80"/>
  <c r="Z341" i="80"/>
  <c r="Y341" i="80"/>
  <c r="X341" i="80"/>
  <c r="W341" i="80"/>
  <c r="V341" i="80"/>
  <c r="U341" i="80"/>
  <c r="T341" i="80"/>
  <c r="S341" i="80"/>
  <c r="R341" i="80"/>
  <c r="Q341" i="80"/>
  <c r="P341" i="80"/>
  <c r="O341" i="80"/>
  <c r="N341" i="80"/>
  <c r="M341" i="80"/>
  <c r="L341" i="80"/>
  <c r="K341" i="80"/>
  <c r="J341" i="80"/>
  <c r="I341" i="80"/>
  <c r="H341" i="80"/>
  <c r="G341" i="80"/>
  <c r="F341" i="80"/>
  <c r="E341" i="80"/>
  <c r="AH340" i="80"/>
  <c r="AF340" i="80"/>
  <c r="AE340" i="80"/>
  <c r="AD340" i="80"/>
  <c r="AC340" i="80"/>
  <c r="AB340" i="80"/>
  <c r="AA340" i="80"/>
  <c r="Z340" i="80"/>
  <c r="Y340" i="80"/>
  <c r="X340" i="80"/>
  <c r="W340" i="80"/>
  <c r="V340" i="80"/>
  <c r="U340" i="80"/>
  <c r="T340" i="80"/>
  <c r="S340" i="80"/>
  <c r="R340" i="80"/>
  <c r="Q340" i="80"/>
  <c r="P340" i="80"/>
  <c r="O340" i="80"/>
  <c r="N340" i="80"/>
  <c r="M340" i="80"/>
  <c r="L340" i="80"/>
  <c r="K340" i="80"/>
  <c r="J340" i="80"/>
  <c r="I340" i="80"/>
  <c r="H340" i="80"/>
  <c r="G340" i="80"/>
  <c r="F340" i="80"/>
  <c r="E340" i="80"/>
  <c r="AH339" i="80"/>
  <c r="AF339" i="80"/>
  <c r="AE339" i="80"/>
  <c r="AD339" i="80"/>
  <c r="AC339" i="80"/>
  <c r="AB339" i="80"/>
  <c r="AA339" i="80"/>
  <c r="X339" i="80"/>
  <c r="W339" i="80"/>
  <c r="T339" i="80"/>
  <c r="S339" i="80"/>
  <c r="O339" i="80"/>
  <c r="N339" i="80"/>
  <c r="M339" i="80"/>
  <c r="L339" i="80"/>
  <c r="K339" i="80"/>
  <c r="J339" i="80"/>
  <c r="I339" i="80"/>
  <c r="H339" i="80"/>
  <c r="G339" i="80"/>
  <c r="F339" i="80"/>
  <c r="E339" i="80"/>
  <c r="AH336" i="80"/>
  <c r="AF336" i="80"/>
  <c r="AE336" i="80"/>
  <c r="AD336" i="80"/>
  <c r="AC336" i="80"/>
  <c r="AB336" i="80"/>
  <c r="AA336" i="80"/>
  <c r="Z336" i="80"/>
  <c r="Y336" i="80"/>
  <c r="X336" i="80"/>
  <c r="W336" i="80"/>
  <c r="U336" i="80"/>
  <c r="T336" i="80"/>
  <c r="S336" i="80"/>
  <c r="R336" i="80"/>
  <c r="Q336" i="80"/>
  <c r="O336" i="80"/>
  <c r="N336" i="80"/>
  <c r="M336" i="80"/>
  <c r="L336" i="80"/>
  <c r="K336" i="80"/>
  <c r="J336" i="80"/>
  <c r="H336" i="80"/>
  <c r="G336" i="80"/>
  <c r="F336" i="80"/>
  <c r="E336" i="80"/>
  <c r="AH330" i="80"/>
  <c r="AH331" i="80" s="1"/>
  <c r="AF330" i="80"/>
  <c r="AF331" i="80" s="1"/>
  <c r="AE330" i="80"/>
  <c r="AE331" i="80" s="1"/>
  <c r="AD330" i="80"/>
  <c r="AD331" i="80" s="1"/>
  <c r="AC330" i="80"/>
  <c r="AC331" i="80" s="1"/>
  <c r="AB330" i="80"/>
  <c r="AB331" i="80" s="1"/>
  <c r="AA330" i="80"/>
  <c r="AA331" i="80" s="1"/>
  <c r="Z330" i="80"/>
  <c r="Z331" i="80" s="1"/>
  <c r="Y330" i="80"/>
  <c r="Y331" i="80" s="1"/>
  <c r="X330" i="80"/>
  <c r="X331" i="80" s="1"/>
  <c r="W330" i="80"/>
  <c r="W331" i="80" s="1"/>
  <c r="V330" i="80"/>
  <c r="V331" i="80" s="1"/>
  <c r="U330" i="80"/>
  <c r="U331" i="80" s="1"/>
  <c r="T330" i="80"/>
  <c r="T331" i="80" s="1"/>
  <c r="S330" i="80"/>
  <c r="S331" i="80" s="1"/>
  <c r="R330" i="80"/>
  <c r="R331" i="80" s="1"/>
  <c r="Q330" i="80"/>
  <c r="Q331" i="80" s="1"/>
  <c r="P330" i="80"/>
  <c r="P331" i="80" s="1"/>
  <c r="O330" i="80"/>
  <c r="O331" i="80" s="1"/>
  <c r="N330" i="80"/>
  <c r="N331" i="80" s="1"/>
  <c r="M330" i="80"/>
  <c r="M331" i="80" s="1"/>
  <c r="L330" i="80"/>
  <c r="L331" i="80" s="1"/>
  <c r="K330" i="80"/>
  <c r="K331" i="80" s="1"/>
  <c r="J330" i="80"/>
  <c r="J331" i="80" s="1"/>
  <c r="I330" i="80"/>
  <c r="I331" i="80" s="1"/>
  <c r="H330" i="80"/>
  <c r="H331" i="80" s="1"/>
  <c r="G330" i="80"/>
  <c r="G331" i="80" s="1"/>
  <c r="F330" i="80"/>
  <c r="F331" i="80" s="1"/>
  <c r="E330" i="80"/>
  <c r="D329" i="80"/>
  <c r="D328" i="80"/>
  <c r="D327" i="80"/>
  <c r="D326" i="80"/>
  <c r="D325" i="80"/>
  <c r="AH322" i="80"/>
  <c r="AH321" i="80"/>
  <c r="AF321" i="80"/>
  <c r="AE321" i="80"/>
  <c r="AD321" i="80"/>
  <c r="AC321" i="80"/>
  <c r="AB321" i="80"/>
  <c r="AA321" i="80"/>
  <c r="Z321" i="80"/>
  <c r="X321" i="80"/>
  <c r="W321" i="80"/>
  <c r="V321" i="80"/>
  <c r="U321" i="80"/>
  <c r="T321" i="80"/>
  <c r="S321" i="80"/>
  <c r="R321" i="80"/>
  <c r="Q321" i="80"/>
  <c r="P321" i="80"/>
  <c r="O321" i="80"/>
  <c r="N321" i="80"/>
  <c r="M321" i="80"/>
  <c r="L321" i="80"/>
  <c r="K321" i="80"/>
  <c r="J321" i="80"/>
  <c r="F321" i="80"/>
  <c r="E321" i="80"/>
  <c r="AH318" i="80"/>
  <c r="AF318" i="80"/>
  <c r="AE318" i="80"/>
  <c r="AD318" i="80"/>
  <c r="AC318" i="80"/>
  <c r="AB318" i="80"/>
  <c r="AA318" i="80"/>
  <c r="Z318" i="80"/>
  <c r="Y318" i="80"/>
  <c r="X318" i="80"/>
  <c r="W318" i="80"/>
  <c r="V318" i="80"/>
  <c r="U318" i="80"/>
  <c r="T318" i="80"/>
  <c r="S318" i="80"/>
  <c r="R318" i="80"/>
  <c r="Q318" i="80"/>
  <c r="P318" i="80"/>
  <c r="O318" i="80"/>
  <c r="N318" i="80"/>
  <c r="M318" i="80"/>
  <c r="L318" i="80"/>
  <c r="K318" i="80"/>
  <c r="J318" i="80"/>
  <c r="I318" i="80"/>
  <c r="H318" i="80"/>
  <c r="G318" i="80"/>
  <c r="F318" i="80"/>
  <c r="E318" i="80"/>
  <c r="D317" i="80"/>
  <c r="D316" i="80"/>
  <c r="D315" i="80"/>
  <c r="D314" i="80"/>
  <c r="D313" i="80"/>
  <c r="D312" i="80"/>
  <c r="D311" i="80"/>
  <c r="D310" i="80"/>
  <c r="D309" i="80"/>
  <c r="D305" i="80"/>
  <c r="D304" i="80"/>
  <c r="D303" i="80"/>
  <c r="D302" i="80"/>
  <c r="D301" i="80"/>
  <c r="D300" i="80"/>
  <c r="D299" i="80"/>
  <c r="D298" i="80"/>
  <c r="D297" i="80"/>
  <c r="AH296" i="80"/>
  <c r="AF296" i="80"/>
  <c r="AE296" i="80"/>
  <c r="AD296" i="80"/>
  <c r="AC296" i="80"/>
  <c r="AB296" i="80"/>
  <c r="AA296" i="80"/>
  <c r="Z296" i="80"/>
  <c r="Y296" i="80"/>
  <c r="X296" i="80"/>
  <c r="W296" i="80"/>
  <c r="V296" i="80"/>
  <c r="U296" i="80"/>
  <c r="T296" i="80"/>
  <c r="S296" i="80"/>
  <c r="R296" i="80"/>
  <c r="Q296" i="80"/>
  <c r="P296" i="80"/>
  <c r="O296" i="80"/>
  <c r="N296" i="80"/>
  <c r="M296" i="80"/>
  <c r="L296" i="80"/>
  <c r="K296" i="80"/>
  <c r="J296" i="80"/>
  <c r="I296" i="80"/>
  <c r="H296" i="80"/>
  <c r="G296" i="80"/>
  <c r="F296" i="80"/>
  <c r="E296" i="80"/>
  <c r="AH286" i="80"/>
  <c r="AH288" i="80" s="1"/>
  <c r="AF286" i="80"/>
  <c r="AF288" i="80" s="1"/>
  <c r="AE286" i="80"/>
  <c r="AE288" i="80" s="1"/>
  <c r="AD286" i="80"/>
  <c r="AD288" i="80" s="1"/>
  <c r="AC286" i="80"/>
  <c r="AC288" i="80" s="1"/>
  <c r="AB286" i="80"/>
  <c r="AB288" i="80" s="1"/>
  <c r="AA286" i="80"/>
  <c r="AA288" i="80" s="1"/>
  <c r="Z286" i="80"/>
  <c r="Z288" i="80" s="1"/>
  <c r="Y286" i="80"/>
  <c r="Y288" i="80" s="1"/>
  <c r="X286" i="80"/>
  <c r="X288" i="80" s="1"/>
  <c r="W286" i="80"/>
  <c r="W288" i="80" s="1"/>
  <c r="V286" i="80"/>
  <c r="V288" i="80" s="1"/>
  <c r="U286" i="80"/>
  <c r="U288" i="80" s="1"/>
  <c r="T286" i="80"/>
  <c r="T288" i="80" s="1"/>
  <c r="S286" i="80"/>
  <c r="S288" i="80" s="1"/>
  <c r="R286" i="80"/>
  <c r="R288" i="80" s="1"/>
  <c r="Q286" i="80"/>
  <c r="Q288" i="80" s="1"/>
  <c r="P286" i="80"/>
  <c r="P288" i="80" s="1"/>
  <c r="O286" i="80"/>
  <c r="O288" i="80" s="1"/>
  <c r="N286" i="80"/>
  <c r="M286" i="80"/>
  <c r="L286" i="80"/>
  <c r="K286" i="80"/>
  <c r="J286" i="80"/>
  <c r="I286" i="80"/>
  <c r="H286" i="80"/>
  <c r="G286" i="80"/>
  <c r="F288" i="80"/>
  <c r="E286" i="80"/>
  <c r="E290" i="80" s="1"/>
  <c r="D285" i="80"/>
  <c r="D284" i="80"/>
  <c r="D282" i="80"/>
  <c r="D281" i="80"/>
  <c r="D273" i="80"/>
  <c r="D272" i="80"/>
  <c r="D271" i="80"/>
  <c r="AH270" i="80"/>
  <c r="AF270" i="80"/>
  <c r="AE270" i="80"/>
  <c r="AD270" i="80"/>
  <c r="AC270" i="80"/>
  <c r="AB270" i="80"/>
  <c r="AA270" i="80"/>
  <c r="Z270" i="80"/>
  <c r="Y270" i="80"/>
  <c r="X270" i="80"/>
  <c r="W270" i="80"/>
  <c r="V270" i="80"/>
  <c r="U270" i="80"/>
  <c r="T270" i="80"/>
  <c r="S270" i="80"/>
  <c r="R270" i="80"/>
  <c r="Q270" i="80"/>
  <c r="P270" i="80"/>
  <c r="O270" i="80"/>
  <c r="N270" i="80"/>
  <c r="M270" i="80"/>
  <c r="L270" i="80"/>
  <c r="K270" i="80"/>
  <c r="J270" i="80"/>
  <c r="I270" i="80"/>
  <c r="H270" i="80"/>
  <c r="G270" i="80"/>
  <c r="F270" i="80"/>
  <c r="E270" i="80"/>
  <c r="AJ260" i="80"/>
  <c r="AJ259" i="80"/>
  <c r="AJ257" i="80"/>
  <c r="AJ256" i="80"/>
  <c r="AJ255" i="80"/>
  <c r="AJ254" i="80"/>
  <c r="D254" i="80"/>
  <c r="AJ253" i="80"/>
  <c r="D253" i="80"/>
  <c r="AJ252" i="80"/>
  <c r="D252" i="80"/>
  <c r="AJ251" i="80"/>
  <c r="D251" i="80"/>
  <c r="AH249" i="80"/>
  <c r="AF249" i="80"/>
  <c r="AE249" i="80"/>
  <c r="AD249" i="80"/>
  <c r="AC249" i="80"/>
  <c r="AB249" i="80"/>
  <c r="AA249" i="80"/>
  <c r="Z249" i="80"/>
  <c r="Y249" i="80"/>
  <c r="X249" i="80"/>
  <c r="V249" i="80"/>
  <c r="U249" i="80"/>
  <c r="T249" i="80"/>
  <c r="S249" i="80"/>
  <c r="R249" i="80"/>
  <c r="Q249" i="80"/>
  <c r="P249" i="80"/>
  <c r="O249" i="80"/>
  <c r="N249" i="80"/>
  <c r="M249" i="80"/>
  <c r="L249" i="80"/>
  <c r="K249" i="80"/>
  <c r="J249" i="80"/>
  <c r="I249" i="80"/>
  <c r="H249" i="80"/>
  <c r="G249" i="80"/>
  <c r="F249" i="80"/>
  <c r="AJ248" i="80"/>
  <c r="D248" i="80"/>
  <c r="AJ247" i="80"/>
  <c r="D247" i="80"/>
  <c r="AJ245" i="80"/>
  <c r="D245" i="80"/>
  <c r="AJ244" i="80"/>
  <c r="D244" i="80"/>
  <c r="AJ243" i="80"/>
  <c r="D243" i="80"/>
  <c r="AJ242" i="80"/>
  <c r="AJ241" i="80"/>
  <c r="D241" i="80"/>
  <c r="AJ240" i="80"/>
  <c r="D240" i="80"/>
  <c r="AJ239" i="80"/>
  <c r="D239" i="80"/>
  <c r="AJ238" i="80"/>
  <c r="AJ236" i="80"/>
  <c r="AJ235" i="80"/>
  <c r="D235" i="80"/>
  <c r="AJ234" i="80"/>
  <c r="D234" i="80"/>
  <c r="AJ233" i="80"/>
  <c r="D233" i="80"/>
  <c r="AJ232" i="80"/>
  <c r="D232" i="80"/>
  <c r="AJ231" i="80"/>
  <c r="D231" i="80"/>
  <c r="AJ230" i="80"/>
  <c r="D230" i="80"/>
  <c r="AJ229" i="80"/>
  <c r="AJ228" i="80"/>
  <c r="AH226" i="80"/>
  <c r="AF226" i="80"/>
  <c r="AE226" i="80"/>
  <c r="AD226" i="80"/>
  <c r="AC226" i="80"/>
  <c r="AB226" i="80"/>
  <c r="AA226" i="80"/>
  <c r="Z226" i="80"/>
  <c r="Y226" i="80"/>
  <c r="X226" i="80"/>
  <c r="W226" i="80"/>
  <c r="V226" i="80"/>
  <c r="U226" i="80"/>
  <c r="T226" i="80"/>
  <c r="S226" i="80"/>
  <c r="R226" i="80"/>
  <c r="Q226" i="80"/>
  <c r="P226" i="80"/>
  <c r="O226" i="80"/>
  <c r="N226" i="80"/>
  <c r="M226" i="80"/>
  <c r="L226" i="80"/>
  <c r="K226" i="80"/>
  <c r="J226" i="80"/>
  <c r="I226" i="80"/>
  <c r="H226" i="80"/>
  <c r="G226" i="80"/>
  <c r="F226" i="80"/>
  <c r="E226" i="80"/>
  <c r="AJ225" i="80"/>
  <c r="D225" i="80"/>
  <c r="AJ224" i="80"/>
  <c r="D224" i="80"/>
  <c r="AJ223" i="80"/>
  <c r="D223" i="80"/>
  <c r="AJ222" i="80"/>
  <c r="AJ221" i="80"/>
  <c r="D221" i="80"/>
  <c r="AJ220" i="80"/>
  <c r="D220" i="80"/>
  <c r="AJ219" i="80"/>
  <c r="D219" i="80"/>
  <c r="AJ218" i="80"/>
  <c r="D218" i="80"/>
  <c r="AJ217" i="80"/>
  <c r="D217" i="80"/>
  <c r="AJ216" i="80"/>
  <c r="D216" i="80"/>
  <c r="AJ215" i="80"/>
  <c r="D215" i="80"/>
  <c r="AJ214" i="80"/>
  <c r="D214" i="80"/>
  <c r="AJ213" i="80"/>
  <c r="AJ212" i="80"/>
  <c r="AH211" i="80"/>
  <c r="AF211" i="80"/>
  <c r="AE211" i="80"/>
  <c r="AD211" i="80"/>
  <c r="AC211" i="80"/>
  <c r="AB211" i="80"/>
  <c r="AA211" i="80"/>
  <c r="Z211" i="80"/>
  <c r="Y211" i="80"/>
  <c r="X211" i="80"/>
  <c r="W211" i="80"/>
  <c r="V211" i="80"/>
  <c r="U211" i="80"/>
  <c r="T211" i="80"/>
  <c r="S211" i="80"/>
  <c r="R211" i="80"/>
  <c r="Q211" i="80"/>
  <c r="P211" i="80"/>
  <c r="O211" i="80"/>
  <c r="N211" i="80"/>
  <c r="M211" i="80"/>
  <c r="L211" i="80"/>
  <c r="E211" i="80"/>
  <c r="AJ210" i="80"/>
  <c r="AJ209" i="80"/>
  <c r="D209" i="80"/>
  <c r="AJ208" i="80"/>
  <c r="AJ207" i="80"/>
  <c r="D207" i="80"/>
  <c r="AJ206" i="80"/>
  <c r="D206" i="80"/>
  <c r="AJ205" i="80"/>
  <c r="D205" i="80"/>
  <c r="AJ204" i="80"/>
  <c r="D204" i="80"/>
  <c r="AJ203" i="80"/>
  <c r="D203" i="80"/>
  <c r="AJ202" i="80"/>
  <c r="D202" i="80"/>
  <c r="AJ201" i="80"/>
  <c r="D201" i="80"/>
  <c r="AJ200" i="80"/>
  <c r="AJ199" i="80"/>
  <c r="AH198" i="80"/>
  <c r="AF198" i="80"/>
  <c r="AE198" i="80"/>
  <c r="AD198" i="80"/>
  <c r="AC198" i="80"/>
  <c r="AB198" i="80"/>
  <c r="AA198" i="80"/>
  <c r="Z198" i="80"/>
  <c r="Y198" i="80"/>
  <c r="X198" i="80"/>
  <c r="W198" i="80"/>
  <c r="V198" i="80"/>
  <c r="U198" i="80"/>
  <c r="T198" i="80"/>
  <c r="S198" i="80"/>
  <c r="R198" i="80"/>
  <c r="Q198" i="80"/>
  <c r="P198" i="80"/>
  <c r="O198" i="80"/>
  <c r="N198" i="80"/>
  <c r="M198" i="80"/>
  <c r="L198" i="80"/>
  <c r="K198" i="80"/>
  <c r="J198" i="80"/>
  <c r="I198" i="80"/>
  <c r="H198" i="80"/>
  <c r="G198" i="80"/>
  <c r="F198" i="80"/>
  <c r="E198" i="80"/>
  <c r="AH194" i="80"/>
  <c r="AF194" i="80"/>
  <c r="AE194" i="80"/>
  <c r="AD194" i="80"/>
  <c r="AC194" i="80"/>
  <c r="AB194" i="80"/>
  <c r="AA194" i="80"/>
  <c r="Z194" i="80"/>
  <c r="Y194" i="80"/>
  <c r="X194" i="80"/>
  <c r="W194" i="80"/>
  <c r="V194" i="80"/>
  <c r="U194" i="80"/>
  <c r="T194" i="80"/>
  <c r="S194" i="80"/>
  <c r="R194" i="80"/>
  <c r="Q194" i="80"/>
  <c r="P194" i="80"/>
  <c r="O194" i="80"/>
  <c r="N194" i="80"/>
  <c r="M194" i="80"/>
  <c r="L194" i="80"/>
  <c r="K194" i="80"/>
  <c r="J194" i="80"/>
  <c r="I194" i="80"/>
  <c r="H194" i="80"/>
  <c r="G194" i="80"/>
  <c r="F194" i="80"/>
  <c r="E194" i="80"/>
  <c r="AJ193" i="80"/>
  <c r="D193" i="80"/>
  <c r="AJ191" i="80"/>
  <c r="D191" i="80"/>
  <c r="AJ190" i="80"/>
  <c r="D190" i="80"/>
  <c r="AJ189" i="80"/>
  <c r="D189" i="80"/>
  <c r="AJ188" i="80"/>
  <c r="AJ187" i="80"/>
  <c r="D187" i="80"/>
  <c r="AJ186" i="80"/>
  <c r="D186" i="80"/>
  <c r="AJ185" i="80"/>
  <c r="D185" i="80"/>
  <c r="AJ184" i="80"/>
  <c r="AJ183" i="80"/>
  <c r="D183" i="80"/>
  <c r="AJ182" i="80"/>
  <c r="AJ181" i="80"/>
  <c r="AH180" i="80"/>
  <c r="AF180" i="80"/>
  <c r="AE180" i="80"/>
  <c r="AD180" i="80"/>
  <c r="AC180" i="80"/>
  <c r="AB180" i="80"/>
  <c r="AA180" i="80"/>
  <c r="Z180" i="80"/>
  <c r="Y180" i="80"/>
  <c r="X180" i="80"/>
  <c r="W180" i="80"/>
  <c r="V180" i="80"/>
  <c r="U180" i="80"/>
  <c r="T180" i="80"/>
  <c r="S180" i="80"/>
  <c r="R180" i="80"/>
  <c r="Q180" i="80"/>
  <c r="P180" i="80"/>
  <c r="O180" i="80"/>
  <c r="N180" i="80"/>
  <c r="M180" i="80"/>
  <c r="L180" i="80"/>
  <c r="K180" i="80"/>
  <c r="J180" i="80"/>
  <c r="I180" i="80"/>
  <c r="H180" i="80"/>
  <c r="G180" i="80"/>
  <c r="F180" i="80"/>
  <c r="E180" i="80"/>
  <c r="AJ179" i="80"/>
  <c r="D179" i="80"/>
  <c r="AJ177" i="80"/>
  <c r="D177" i="80"/>
  <c r="AJ176" i="80"/>
  <c r="D176" i="80"/>
  <c r="AJ175" i="80"/>
  <c r="D175" i="80"/>
  <c r="AJ174" i="80"/>
  <c r="D174" i="80"/>
  <c r="AJ173" i="80"/>
  <c r="D173" i="80"/>
  <c r="AJ172" i="80"/>
  <c r="D172" i="80"/>
  <c r="AJ171" i="80"/>
  <c r="D171" i="80"/>
  <c r="AJ170" i="80"/>
  <c r="D170" i="80"/>
  <c r="AJ169" i="80"/>
  <c r="AJ168" i="80"/>
  <c r="AJ166" i="80"/>
  <c r="AH165" i="80"/>
  <c r="AF165" i="80"/>
  <c r="AE165" i="80"/>
  <c r="AD165" i="80"/>
  <c r="AC165" i="80"/>
  <c r="AB165" i="80"/>
  <c r="AA165" i="80"/>
  <c r="Z165" i="80"/>
  <c r="Y165" i="80"/>
  <c r="X165" i="80"/>
  <c r="W165" i="80"/>
  <c r="V165" i="80"/>
  <c r="U165" i="80"/>
  <c r="T165" i="80"/>
  <c r="S165" i="80"/>
  <c r="R165" i="80"/>
  <c r="Q165" i="80"/>
  <c r="P165" i="80"/>
  <c r="O165" i="80"/>
  <c r="N165" i="80"/>
  <c r="M165" i="80"/>
  <c r="L165" i="80"/>
  <c r="K165" i="80"/>
  <c r="J165" i="80"/>
  <c r="I165" i="80"/>
  <c r="H165" i="80"/>
  <c r="G165" i="80"/>
  <c r="F165" i="80"/>
  <c r="E165" i="80"/>
  <c r="AJ164" i="80"/>
  <c r="D164" i="80"/>
  <c r="AJ163" i="80"/>
  <c r="D163" i="80"/>
  <c r="AJ162" i="80"/>
  <c r="D162" i="80"/>
  <c r="AJ161" i="80"/>
  <c r="D161" i="80"/>
  <c r="AJ160" i="80"/>
  <c r="AJ159" i="80"/>
  <c r="D159" i="80"/>
  <c r="AJ158" i="80"/>
  <c r="D158" i="80"/>
  <c r="AJ157" i="80"/>
  <c r="D157" i="80"/>
  <c r="AJ156" i="80"/>
  <c r="D156" i="80"/>
  <c r="AJ155" i="80"/>
  <c r="D155" i="80"/>
  <c r="AJ154" i="80"/>
  <c r="D154" i="80"/>
  <c r="AJ151" i="80"/>
  <c r="AJ150" i="80"/>
  <c r="D150" i="80"/>
  <c r="AJ149" i="80"/>
  <c r="D149" i="80"/>
  <c r="AJ148" i="80"/>
  <c r="D148" i="80"/>
  <c r="AJ147" i="80"/>
  <c r="D147" i="80"/>
  <c r="AJ146" i="80"/>
  <c r="D146" i="80"/>
  <c r="AJ145" i="80"/>
  <c r="D145" i="80"/>
  <c r="AJ144" i="80"/>
  <c r="D144" i="80"/>
  <c r="AJ143" i="80"/>
  <c r="D143" i="80"/>
  <c r="AJ142" i="80"/>
  <c r="AJ141" i="80"/>
  <c r="AJ140" i="80"/>
  <c r="AJ139" i="80"/>
  <c r="AH138" i="80"/>
  <c r="AF138" i="80"/>
  <c r="AE138" i="80"/>
  <c r="AD138" i="80"/>
  <c r="AC138" i="80"/>
  <c r="AB138" i="80"/>
  <c r="AA138" i="80"/>
  <c r="Z138" i="80"/>
  <c r="Y138" i="80"/>
  <c r="X138" i="80"/>
  <c r="W138" i="80"/>
  <c r="V138" i="80"/>
  <c r="U138" i="80"/>
  <c r="T138" i="80"/>
  <c r="S138" i="80"/>
  <c r="R138" i="80"/>
  <c r="Q138" i="80"/>
  <c r="P138" i="80"/>
  <c r="O138" i="80"/>
  <c r="N138" i="80"/>
  <c r="M138" i="80"/>
  <c r="L138" i="80"/>
  <c r="K138" i="80"/>
  <c r="J138" i="80"/>
  <c r="I138" i="80"/>
  <c r="H138" i="80"/>
  <c r="G138" i="80"/>
  <c r="F138" i="80"/>
  <c r="E138" i="80"/>
  <c r="AJ137" i="80"/>
  <c r="D137" i="80"/>
  <c r="AJ136" i="80"/>
  <c r="D136" i="80"/>
  <c r="AJ135" i="80"/>
  <c r="D135" i="80"/>
  <c r="AJ134" i="80"/>
  <c r="D134" i="80"/>
  <c r="AJ133" i="80"/>
  <c r="AJ132" i="80"/>
  <c r="D132" i="80"/>
  <c r="AJ131" i="80"/>
  <c r="D131" i="80"/>
  <c r="AJ130" i="80"/>
  <c r="D130" i="80"/>
  <c r="AJ129" i="80"/>
  <c r="D129" i="80"/>
  <c r="AJ128" i="80"/>
  <c r="D128" i="80"/>
  <c r="AJ127" i="80"/>
  <c r="D127" i="80"/>
  <c r="AJ124" i="80"/>
  <c r="D124" i="80"/>
  <c r="AJ123" i="80"/>
  <c r="D123" i="80"/>
  <c r="AJ122" i="80"/>
  <c r="D122" i="80"/>
  <c r="AJ121" i="80"/>
  <c r="D121" i="80"/>
  <c r="AJ120" i="80"/>
  <c r="D120" i="80"/>
  <c r="AJ119" i="80"/>
  <c r="D119" i="80"/>
  <c r="AJ118" i="80"/>
  <c r="D118" i="80"/>
  <c r="AJ117" i="80"/>
  <c r="D117" i="80"/>
  <c r="AJ116" i="80"/>
  <c r="D116" i="80"/>
  <c r="AJ115" i="80"/>
  <c r="D115" i="80"/>
  <c r="AJ114" i="80"/>
  <c r="AJ113" i="80"/>
  <c r="D113" i="80"/>
  <c r="AJ112" i="80"/>
  <c r="D112" i="80"/>
  <c r="AJ111" i="80"/>
  <c r="D111" i="80"/>
  <c r="AJ110" i="80"/>
  <c r="D110" i="80"/>
  <c r="AJ109" i="80"/>
  <c r="D109" i="80"/>
  <c r="AJ108" i="80"/>
  <c r="AJ107" i="80"/>
  <c r="D107" i="80"/>
  <c r="AJ106" i="80"/>
  <c r="D106" i="80"/>
  <c r="AJ105" i="80"/>
  <c r="AJ104" i="80"/>
  <c r="AJ103" i="80"/>
  <c r="D103" i="80"/>
  <c r="AH98" i="80"/>
  <c r="AF98" i="80"/>
  <c r="AE98" i="80"/>
  <c r="AD98" i="80"/>
  <c r="AC98" i="80"/>
  <c r="AB98" i="80"/>
  <c r="AA98" i="80"/>
  <c r="Z98" i="80"/>
  <c r="Y98" i="80"/>
  <c r="X98" i="80"/>
  <c r="W98" i="80"/>
  <c r="V98" i="80"/>
  <c r="U98" i="80"/>
  <c r="T98" i="80"/>
  <c r="S98" i="80"/>
  <c r="R98" i="80"/>
  <c r="Q98" i="80"/>
  <c r="P98" i="80"/>
  <c r="O98" i="80"/>
  <c r="N98" i="80"/>
  <c r="M98" i="80"/>
  <c r="L98" i="80"/>
  <c r="K98" i="80"/>
  <c r="J98" i="80"/>
  <c r="I98" i="80"/>
  <c r="H98" i="80"/>
  <c r="G98" i="80"/>
  <c r="F98" i="80"/>
  <c r="E98" i="80"/>
  <c r="AJ97" i="80"/>
  <c r="D97" i="80"/>
  <c r="AJ96" i="80"/>
  <c r="D96" i="80"/>
  <c r="AJ95" i="80"/>
  <c r="D95" i="80"/>
  <c r="AJ94" i="80"/>
  <c r="AJ93" i="80"/>
  <c r="AJ92" i="80"/>
  <c r="D92" i="80"/>
  <c r="AJ91" i="80"/>
  <c r="D91" i="80"/>
  <c r="AH85" i="80"/>
  <c r="AF85" i="80"/>
  <c r="AE85" i="80"/>
  <c r="AD85" i="80"/>
  <c r="AC85" i="80"/>
  <c r="AB85" i="80"/>
  <c r="Z85" i="80"/>
  <c r="Y85" i="80"/>
  <c r="X85" i="80"/>
  <c r="W85" i="80"/>
  <c r="V85" i="80"/>
  <c r="U85" i="80"/>
  <c r="T85" i="80"/>
  <c r="S85" i="80"/>
  <c r="R85" i="80"/>
  <c r="Q85" i="80"/>
  <c r="P85" i="80"/>
  <c r="O85" i="80"/>
  <c r="E85" i="80"/>
  <c r="AJ84" i="80"/>
  <c r="D84" i="80"/>
  <c r="AJ83" i="80"/>
  <c r="D83" i="80"/>
  <c r="AJ81" i="80"/>
  <c r="D81" i="80"/>
  <c r="AJ80" i="80"/>
  <c r="D80" i="80"/>
  <c r="AJ74" i="80"/>
  <c r="D74" i="80"/>
  <c r="AJ73" i="80"/>
  <c r="D73" i="80"/>
  <c r="AJ72" i="80"/>
  <c r="AJ71" i="80"/>
  <c r="D71" i="80"/>
  <c r="AH69" i="80"/>
  <c r="AF69" i="80"/>
  <c r="AE69" i="80"/>
  <c r="AD69" i="80"/>
  <c r="AC69" i="80"/>
  <c r="AB69" i="80"/>
  <c r="AA69" i="80"/>
  <c r="Z69" i="80"/>
  <c r="Y69" i="80"/>
  <c r="X69" i="80"/>
  <c r="W69" i="80"/>
  <c r="V69" i="80"/>
  <c r="U69" i="80"/>
  <c r="T69" i="80"/>
  <c r="S69" i="80"/>
  <c r="R69" i="80"/>
  <c r="Q69" i="80"/>
  <c r="P69" i="80"/>
  <c r="O69" i="80"/>
  <c r="N69" i="80"/>
  <c r="M69" i="80"/>
  <c r="L69" i="80"/>
  <c r="K69" i="80"/>
  <c r="J69" i="80"/>
  <c r="I69" i="80"/>
  <c r="H69" i="80"/>
  <c r="G69" i="80"/>
  <c r="F69" i="80"/>
  <c r="E69" i="80"/>
  <c r="AJ68" i="80"/>
  <c r="D68" i="80"/>
  <c r="AJ67" i="80"/>
  <c r="D67" i="80"/>
  <c r="AJ66" i="80"/>
  <c r="D66" i="80"/>
  <c r="AJ65" i="80"/>
  <c r="D65" i="80"/>
  <c r="AJ64" i="80"/>
  <c r="D64" i="80"/>
  <c r="AJ63" i="80"/>
  <c r="D63" i="80"/>
  <c r="AJ62" i="80"/>
  <c r="AJ61" i="80"/>
  <c r="AJ60" i="80"/>
  <c r="D60" i="80"/>
  <c r="AJ59" i="80"/>
  <c r="D59" i="80"/>
  <c r="AJ58" i="80"/>
  <c r="D58" i="80"/>
  <c r="AJ57" i="80"/>
  <c r="D57" i="80"/>
  <c r="AJ56" i="80"/>
  <c r="D56" i="80"/>
  <c r="AJ55" i="80"/>
  <c r="D55" i="80"/>
  <c r="AJ54" i="80"/>
  <c r="D54" i="80"/>
  <c r="AJ53" i="80"/>
  <c r="D53" i="80"/>
  <c r="AJ52" i="80"/>
  <c r="AJ51" i="80"/>
  <c r="AJ48" i="80"/>
  <c r="AJ47" i="80"/>
  <c r="AJ46" i="80"/>
  <c r="AJ45" i="80"/>
  <c r="AJ44" i="80"/>
  <c r="D44" i="80"/>
  <c r="AJ43" i="80"/>
  <c r="AJ42" i="80"/>
  <c r="D42" i="80"/>
  <c r="AJ41" i="80"/>
  <c r="D41" i="80"/>
  <c r="AH38" i="80"/>
  <c r="AF38" i="80"/>
  <c r="AE38" i="80"/>
  <c r="AD38" i="80"/>
  <c r="AC38" i="80"/>
  <c r="AB38" i="80"/>
  <c r="AA38" i="80"/>
  <c r="Z38" i="80"/>
  <c r="Y38" i="80"/>
  <c r="X38" i="80"/>
  <c r="W38" i="80"/>
  <c r="V38" i="80"/>
  <c r="U38" i="80"/>
  <c r="T38" i="80"/>
  <c r="S38" i="80"/>
  <c r="R38" i="80"/>
  <c r="Q38" i="80"/>
  <c r="P38" i="80"/>
  <c r="O38" i="80"/>
  <c r="N38" i="80"/>
  <c r="M38" i="80"/>
  <c r="K38" i="80"/>
  <c r="J38" i="80"/>
  <c r="I38" i="80"/>
  <c r="H38" i="80"/>
  <c r="G38" i="80"/>
  <c r="F38" i="80"/>
  <c r="E38" i="80"/>
  <c r="D37" i="80"/>
  <c r="D36" i="80"/>
  <c r="AI35" i="80"/>
  <c r="D35" i="80"/>
  <c r="D34" i="80"/>
  <c r="D33" i="80"/>
  <c r="D32" i="80"/>
  <c r="D29" i="80"/>
  <c r="D27" i="80"/>
  <c r="D26" i="80"/>
  <c r="D25" i="80"/>
  <c r="D23" i="80"/>
  <c r="D22" i="80"/>
  <c r="D21" i="80"/>
  <c r="D20" i="80"/>
  <c r="D19" i="80"/>
  <c r="D17" i="80"/>
  <c r="D16" i="80"/>
  <c r="D15" i="80"/>
  <c r="D14" i="80"/>
  <c r="D13" i="80"/>
  <c r="AH11" i="80"/>
  <c r="AF11" i="80"/>
  <c r="AE11" i="80"/>
  <c r="AD11" i="80"/>
  <c r="AC11" i="80"/>
  <c r="AB11" i="80"/>
  <c r="AA11" i="80"/>
  <c r="Z11" i="80"/>
  <c r="Y11" i="80"/>
  <c r="X11" i="80"/>
  <c r="W11" i="80"/>
  <c r="V11" i="80"/>
  <c r="U11" i="80"/>
  <c r="T11" i="80"/>
  <c r="S11" i="80"/>
  <c r="R11" i="80"/>
  <c r="Q11" i="80"/>
  <c r="P11" i="80"/>
  <c r="O11" i="80"/>
  <c r="N11" i="80"/>
  <c r="M11" i="80"/>
  <c r="L11" i="80"/>
  <c r="K11" i="80"/>
  <c r="J11" i="80"/>
  <c r="I11" i="80"/>
  <c r="H11" i="80"/>
  <c r="G11" i="80"/>
  <c r="F11" i="80"/>
  <c r="E11" i="80"/>
  <c r="G6" i="80"/>
  <c r="F5" i="80"/>
  <c r="B1" i="80"/>
  <c r="A1" i="78"/>
  <c r="A66" i="96"/>
  <c r="A65" i="96"/>
  <c r="A64" i="96"/>
  <c r="A63" i="96"/>
  <c r="A62" i="96"/>
  <c r="A61" i="96"/>
  <c r="A60" i="96"/>
  <c r="A59" i="96"/>
  <c r="A58" i="96"/>
  <c r="A57" i="96"/>
  <c r="A56" i="96"/>
  <c r="A55" i="96"/>
  <c r="A54" i="96"/>
  <c r="A53" i="96"/>
  <c r="A52" i="96"/>
  <c r="A51" i="96"/>
  <c r="A50" i="96"/>
  <c r="A49" i="96"/>
  <c r="A48" i="96"/>
  <c r="A47" i="96"/>
  <c r="A46" i="96"/>
  <c r="A45" i="96"/>
  <c r="A44" i="96"/>
  <c r="A43" i="96"/>
  <c r="A42" i="96"/>
  <c r="A41" i="96"/>
  <c r="A39" i="96"/>
  <c r="A37" i="96"/>
  <c r="A36" i="96"/>
  <c r="A35" i="96"/>
  <c r="A34" i="96"/>
  <c r="A33" i="96"/>
  <c r="A32" i="96"/>
  <c r="A31" i="96"/>
  <c r="A30" i="96"/>
  <c r="A29" i="96"/>
  <c r="A28" i="96"/>
  <c r="A27" i="96"/>
  <c r="A26" i="96"/>
  <c r="A25" i="96"/>
  <c r="A24" i="96"/>
  <c r="A23" i="96"/>
  <c r="A22" i="96"/>
  <c r="A21" i="96"/>
  <c r="A20" i="96"/>
  <c r="A19" i="96"/>
  <c r="A18" i="96"/>
  <c r="A17" i="96"/>
  <c r="A16" i="96"/>
  <c r="A15" i="96"/>
  <c r="A14" i="96"/>
  <c r="A13" i="96"/>
  <c r="A12" i="96"/>
  <c r="A11" i="96"/>
  <c r="A10" i="96"/>
  <c r="A9" i="96"/>
  <c r="A8" i="96"/>
  <c r="A7" i="96"/>
  <c r="A6" i="96"/>
  <c r="A5" i="96"/>
  <c r="A4" i="96"/>
  <c r="A3" i="96"/>
  <c r="J7" i="76"/>
  <c r="N1" i="76"/>
  <c r="A1" i="76"/>
  <c r="J7" i="75"/>
  <c r="N1" i="75"/>
  <c r="A1" i="75"/>
  <c r="F88" i="92"/>
  <c r="J88" i="92" s="1"/>
  <c r="D88" i="92"/>
  <c r="F87" i="92"/>
  <c r="F84" i="92"/>
  <c r="J84" i="92" s="1"/>
  <c r="D84" i="92"/>
  <c r="F83" i="92"/>
  <c r="D83" i="92"/>
  <c r="F82" i="92"/>
  <c r="J82" i="92" s="1"/>
  <c r="D82" i="92"/>
  <c r="F81" i="92"/>
  <c r="D81" i="92"/>
  <c r="F76" i="92"/>
  <c r="D76" i="92"/>
  <c r="F75" i="92"/>
  <c r="D75" i="92"/>
  <c r="F74" i="92"/>
  <c r="J74" i="92" s="1"/>
  <c r="D74" i="92"/>
  <c r="F71" i="92"/>
  <c r="D71" i="92"/>
  <c r="F70" i="92"/>
  <c r="D70" i="92"/>
  <c r="F67" i="92"/>
  <c r="J67" i="92" s="1"/>
  <c r="D67" i="92"/>
  <c r="F66" i="92"/>
  <c r="J66" i="92" s="1"/>
  <c r="D66" i="92"/>
  <c r="F65" i="92"/>
  <c r="D65" i="92"/>
  <c r="F64" i="92"/>
  <c r="D64" i="92"/>
  <c r="F62" i="92"/>
  <c r="D62" i="92"/>
  <c r="F57" i="92"/>
  <c r="D57" i="92"/>
  <c r="D58" i="92" s="1"/>
  <c r="F52" i="92"/>
  <c r="J52" i="92" s="1"/>
  <c r="D52" i="92"/>
  <c r="F51" i="92"/>
  <c r="J51" i="92" s="1"/>
  <c r="D51" i="92"/>
  <c r="F50" i="92"/>
  <c r="J50" i="92" s="1"/>
  <c r="D50" i="92"/>
  <c r="F49" i="92"/>
  <c r="J49" i="92" s="1"/>
  <c r="D49" i="92"/>
  <c r="F48" i="92"/>
  <c r="J48" i="92" s="1"/>
  <c r="D48" i="92"/>
  <c r="F47" i="92"/>
  <c r="J47" i="92" s="1"/>
  <c r="D47" i="92"/>
  <c r="F46" i="92"/>
  <c r="J46" i="92" s="1"/>
  <c r="D46" i="92"/>
  <c r="F45" i="92"/>
  <c r="D45" i="92"/>
  <c r="F40" i="92"/>
  <c r="J40" i="92" s="1"/>
  <c r="D40" i="92"/>
  <c r="F39" i="92"/>
  <c r="J39" i="92" s="1"/>
  <c r="D39" i="92"/>
  <c r="F38" i="92"/>
  <c r="J38" i="92" s="1"/>
  <c r="D38" i="92"/>
  <c r="F37" i="92"/>
  <c r="J37" i="92" s="1"/>
  <c r="D37" i="92"/>
  <c r="F36" i="92"/>
  <c r="D36" i="92"/>
  <c r="F35" i="92"/>
  <c r="D35" i="92"/>
  <c r="F34" i="92"/>
  <c r="J34" i="92" s="1"/>
  <c r="D34" i="92"/>
  <c r="F33" i="92"/>
  <c r="D33" i="92"/>
  <c r="F32" i="92"/>
  <c r="F31" i="92"/>
  <c r="J31" i="92" s="1"/>
  <c r="D31" i="92"/>
  <c r="F30" i="92"/>
  <c r="D30" i="92"/>
  <c r="F29" i="92"/>
  <c r="D29" i="92"/>
  <c r="F28" i="92"/>
  <c r="D28" i="92"/>
  <c r="F27" i="92"/>
  <c r="J27" i="92" s="1"/>
  <c r="D27" i="92"/>
  <c r="F26" i="92"/>
  <c r="D26" i="92"/>
  <c r="F25" i="92"/>
  <c r="J25" i="92" s="1"/>
  <c r="D25" i="92"/>
  <c r="F24" i="92"/>
  <c r="J24" i="92" s="1"/>
  <c r="D24" i="92"/>
  <c r="F23" i="92"/>
  <c r="J23" i="92" s="1"/>
  <c r="D23" i="92"/>
  <c r="F22" i="92"/>
  <c r="J22" i="92" s="1"/>
  <c r="D22" i="92"/>
  <c r="F21" i="92"/>
  <c r="J21" i="92" s="1"/>
  <c r="D21" i="92"/>
  <c r="F20" i="92"/>
  <c r="J20" i="92" s="1"/>
  <c r="D20" i="92"/>
  <c r="F19" i="92"/>
  <c r="J19" i="92" s="1"/>
  <c r="D19" i="92"/>
  <c r="F18" i="92"/>
  <c r="J18" i="92" s="1"/>
  <c r="D18" i="92"/>
  <c r="F17" i="92"/>
  <c r="J17" i="92" s="1"/>
  <c r="D17" i="92"/>
  <c r="F16" i="92"/>
  <c r="J16" i="92" s="1"/>
  <c r="D16" i="92"/>
  <c r="F15" i="92"/>
  <c r="J15" i="92" s="1"/>
  <c r="D15" i="92"/>
  <c r="F13" i="92"/>
  <c r="J13" i="92" s="1"/>
  <c r="D13" i="92"/>
  <c r="F10" i="92"/>
  <c r="D10" i="92"/>
  <c r="H7" i="92"/>
  <c r="G5" i="92"/>
  <c r="B2" i="92"/>
  <c r="L1" i="92"/>
  <c r="B1" i="92"/>
  <c r="F88" i="74"/>
  <c r="J88" i="74" s="1"/>
  <c r="D88" i="74"/>
  <c r="F87" i="74"/>
  <c r="F84" i="74"/>
  <c r="J84" i="74" s="1"/>
  <c r="D84" i="74"/>
  <c r="F83" i="74"/>
  <c r="D83" i="74"/>
  <c r="F82" i="74"/>
  <c r="J82" i="74" s="1"/>
  <c r="D82" i="74"/>
  <c r="F81" i="74"/>
  <c r="D81" i="74"/>
  <c r="F76" i="74"/>
  <c r="D76" i="74"/>
  <c r="F75" i="74"/>
  <c r="D75" i="74"/>
  <c r="F74" i="74"/>
  <c r="J74" i="74" s="1"/>
  <c r="D74" i="74"/>
  <c r="F71" i="74"/>
  <c r="D71" i="74"/>
  <c r="F70" i="74"/>
  <c r="D70" i="74"/>
  <c r="F67" i="74"/>
  <c r="J67" i="74" s="1"/>
  <c r="D67" i="74"/>
  <c r="F66" i="74"/>
  <c r="J66" i="74" s="1"/>
  <c r="D66" i="74"/>
  <c r="F65" i="74"/>
  <c r="D65" i="74"/>
  <c r="F64" i="74"/>
  <c r="D64" i="74"/>
  <c r="F62" i="74"/>
  <c r="D62" i="74"/>
  <c r="F57" i="74"/>
  <c r="F58" i="74" s="1"/>
  <c r="D57" i="74"/>
  <c r="D58" i="74" s="1"/>
  <c r="F52" i="74"/>
  <c r="J52" i="74" s="1"/>
  <c r="D52" i="74"/>
  <c r="F51" i="74"/>
  <c r="J51" i="74" s="1"/>
  <c r="D51" i="74"/>
  <c r="F50" i="74"/>
  <c r="J50" i="74" s="1"/>
  <c r="D50" i="74"/>
  <c r="F49" i="74"/>
  <c r="J49" i="74" s="1"/>
  <c r="D49" i="74"/>
  <c r="F48" i="74"/>
  <c r="J48" i="74" s="1"/>
  <c r="D48" i="74"/>
  <c r="F47" i="74"/>
  <c r="J47" i="74" s="1"/>
  <c r="D47" i="74"/>
  <c r="F46" i="74"/>
  <c r="J46" i="74" s="1"/>
  <c r="D46" i="74"/>
  <c r="F45" i="74"/>
  <c r="D45" i="74"/>
  <c r="F40" i="74"/>
  <c r="J40" i="74" s="1"/>
  <c r="D40" i="74"/>
  <c r="F39" i="74"/>
  <c r="J39" i="74" s="1"/>
  <c r="D39" i="74"/>
  <c r="F38" i="74"/>
  <c r="J38" i="74" s="1"/>
  <c r="D38" i="74"/>
  <c r="F37" i="74"/>
  <c r="J37" i="74" s="1"/>
  <c r="D37" i="74"/>
  <c r="F36" i="74"/>
  <c r="D36" i="74"/>
  <c r="F35" i="74"/>
  <c r="D35" i="74"/>
  <c r="F34" i="74"/>
  <c r="J34" i="74" s="1"/>
  <c r="D34" i="74"/>
  <c r="F33" i="74"/>
  <c r="D33" i="74"/>
  <c r="F32" i="74"/>
  <c r="F31" i="74"/>
  <c r="J31" i="74" s="1"/>
  <c r="D31" i="74"/>
  <c r="F30" i="74"/>
  <c r="D30" i="74"/>
  <c r="F29" i="74"/>
  <c r="D29" i="74"/>
  <c r="F28" i="74"/>
  <c r="D28" i="74"/>
  <c r="F27" i="74"/>
  <c r="J27" i="74" s="1"/>
  <c r="D27" i="74"/>
  <c r="F26" i="74"/>
  <c r="D26" i="74"/>
  <c r="F25" i="74"/>
  <c r="J25" i="74" s="1"/>
  <c r="D25" i="74"/>
  <c r="F24" i="74"/>
  <c r="J24" i="74" s="1"/>
  <c r="D24" i="74"/>
  <c r="F23" i="74"/>
  <c r="J23" i="74" s="1"/>
  <c r="D23" i="74"/>
  <c r="F22" i="74"/>
  <c r="D22" i="74"/>
  <c r="F21" i="74"/>
  <c r="D21" i="74"/>
  <c r="F20" i="74"/>
  <c r="D20" i="74"/>
  <c r="F19" i="74"/>
  <c r="J19" i="74" s="1"/>
  <c r="D19" i="74"/>
  <c r="F18" i="74"/>
  <c r="D18" i="74"/>
  <c r="F17" i="74"/>
  <c r="J17" i="74" s="1"/>
  <c r="D17" i="74"/>
  <c r="F16" i="74"/>
  <c r="J16" i="74" s="1"/>
  <c r="D16" i="74"/>
  <c r="F15" i="74"/>
  <c r="J15" i="74" s="1"/>
  <c r="D15" i="74"/>
  <c r="F13" i="74"/>
  <c r="J13" i="74" s="1"/>
  <c r="D13" i="74"/>
  <c r="F10" i="74"/>
  <c r="D10" i="74"/>
  <c r="H7" i="74"/>
  <c r="G5" i="74"/>
  <c r="L1" i="74"/>
  <c r="B1" i="74"/>
  <c r="H198" i="90"/>
  <c r="F198" i="90"/>
  <c r="H10" i="90"/>
  <c r="F10" i="90"/>
  <c r="J6" i="90"/>
  <c r="I5" i="90"/>
  <c r="A2" i="90"/>
  <c r="N1" i="90"/>
  <c r="A1" i="90"/>
  <c r="F257" i="72"/>
  <c r="F256" i="72"/>
  <c r="F254" i="72"/>
  <c r="F253" i="72"/>
  <c r="F252" i="72"/>
  <c r="F251" i="72"/>
  <c r="F248" i="72"/>
  <c r="F247" i="72"/>
  <c r="F245" i="72"/>
  <c r="F244" i="72"/>
  <c r="F243" i="72"/>
  <c r="F242" i="72"/>
  <c r="F241" i="72"/>
  <c r="F240" i="72"/>
  <c r="F239" i="72"/>
  <c r="F238" i="72"/>
  <c r="F236" i="72"/>
  <c r="F235" i="72"/>
  <c r="F234" i="72"/>
  <c r="F233" i="72"/>
  <c r="F232" i="72"/>
  <c r="F231" i="72"/>
  <c r="F230" i="72"/>
  <c r="F225" i="72"/>
  <c r="F224" i="72"/>
  <c r="F223" i="72"/>
  <c r="F221" i="72"/>
  <c r="F220" i="72"/>
  <c r="F219" i="72"/>
  <c r="F218" i="72"/>
  <c r="F217" i="72"/>
  <c r="F216" i="72"/>
  <c r="F215" i="72"/>
  <c r="F214" i="72"/>
  <c r="F210" i="72"/>
  <c r="F209" i="72"/>
  <c r="F208" i="72"/>
  <c r="F207" i="72"/>
  <c r="F206" i="72"/>
  <c r="F205" i="72"/>
  <c r="F204" i="72"/>
  <c r="F203" i="72"/>
  <c r="F202" i="72"/>
  <c r="F201" i="72"/>
  <c r="F200" i="72"/>
  <c r="H199" i="72"/>
  <c r="F199" i="72"/>
  <c r="F193" i="72"/>
  <c r="F191" i="72"/>
  <c r="F190" i="72"/>
  <c r="F189" i="72"/>
  <c r="F187" i="72"/>
  <c r="F186" i="72"/>
  <c r="F185" i="72"/>
  <c r="F183" i="72"/>
  <c r="F179" i="72"/>
  <c r="F177" i="72"/>
  <c r="F176" i="72"/>
  <c r="F175" i="72"/>
  <c r="F174" i="72"/>
  <c r="F173" i="72"/>
  <c r="F172" i="72"/>
  <c r="F171" i="72"/>
  <c r="F170" i="72"/>
  <c r="F149" i="72"/>
  <c r="F148" i="72"/>
  <c r="F147" i="72"/>
  <c r="F146" i="72"/>
  <c r="F144" i="72"/>
  <c r="F143" i="72"/>
  <c r="F142" i="72"/>
  <c r="F122" i="72"/>
  <c r="F121" i="72"/>
  <c r="F120" i="72"/>
  <c r="F119" i="72"/>
  <c r="F118" i="72"/>
  <c r="F117" i="72"/>
  <c r="F107" i="72"/>
  <c r="F106" i="72"/>
  <c r="F105" i="72"/>
  <c r="F104" i="72"/>
  <c r="F103" i="72"/>
  <c r="F97" i="72"/>
  <c r="F96" i="72"/>
  <c r="F95" i="72"/>
  <c r="F94" i="72"/>
  <c r="F93" i="72"/>
  <c r="F92" i="72"/>
  <c r="F91" i="72"/>
  <c r="F61" i="72"/>
  <c r="F60" i="72"/>
  <c r="F59" i="72"/>
  <c r="F56" i="72"/>
  <c r="F55" i="72"/>
  <c r="F54" i="72"/>
  <c r="F53" i="72"/>
  <c r="F52" i="72"/>
  <c r="F51" i="72"/>
  <c r="F48" i="72"/>
  <c r="F47" i="72"/>
  <c r="F46" i="72"/>
  <c r="F45" i="72"/>
  <c r="F44" i="72"/>
  <c r="F42" i="72"/>
  <c r="F41" i="72"/>
  <c r="F37" i="72"/>
  <c r="F36" i="72"/>
  <c r="F35" i="72"/>
  <c r="F34" i="72"/>
  <c r="F33" i="72"/>
  <c r="F32" i="72"/>
  <c r="F29" i="72"/>
  <c r="F28" i="72"/>
  <c r="F27" i="72"/>
  <c r="F22" i="72"/>
  <c r="F21" i="72"/>
  <c r="F20" i="72"/>
  <c r="F19" i="72"/>
  <c r="F17" i="72"/>
  <c r="F16" i="72"/>
  <c r="F15" i="72"/>
  <c r="F14" i="72"/>
  <c r="F13" i="72"/>
  <c r="H10" i="72"/>
  <c r="F10" i="72"/>
  <c r="J6" i="72"/>
  <c r="A2" i="72"/>
  <c r="N1" i="72"/>
  <c r="A1" i="72"/>
  <c r="G57" i="70"/>
  <c r="G50" i="70"/>
  <c r="G51" i="70" s="1"/>
  <c r="G42" i="70"/>
  <c r="G34" i="70"/>
  <c r="I8" i="70"/>
  <c r="H6" i="70"/>
  <c r="A2" i="70"/>
  <c r="L1" i="70"/>
  <c r="A1" i="70"/>
  <c r="M87" i="88"/>
  <c r="L87" i="88"/>
  <c r="M83" i="88"/>
  <c r="L83" i="88"/>
  <c r="M82" i="88"/>
  <c r="L82" i="88"/>
  <c r="M81" i="88"/>
  <c r="L81" i="88"/>
  <c r="M80" i="88"/>
  <c r="L80" i="88"/>
  <c r="M75" i="88"/>
  <c r="L75" i="88"/>
  <c r="M74" i="88"/>
  <c r="L74" i="88"/>
  <c r="M73" i="88"/>
  <c r="L73" i="88"/>
  <c r="M70" i="88"/>
  <c r="L70" i="88"/>
  <c r="M69" i="88"/>
  <c r="L69" i="88"/>
  <c r="M66" i="88"/>
  <c r="L66" i="88"/>
  <c r="M65" i="88"/>
  <c r="L65" i="88"/>
  <c r="M64" i="88"/>
  <c r="L64" i="88"/>
  <c r="M63" i="88"/>
  <c r="L63" i="88"/>
  <c r="M61" i="88"/>
  <c r="L61" i="88"/>
  <c r="J61" i="88"/>
  <c r="L56" i="88"/>
  <c r="L57" i="88" s="1"/>
  <c r="M55" i="88"/>
  <c r="M50" i="88"/>
  <c r="L50" i="88"/>
  <c r="M49" i="88"/>
  <c r="L49" i="88"/>
  <c r="M48" i="88"/>
  <c r="L48" i="88"/>
  <c r="M47" i="88"/>
  <c r="L47" i="88"/>
  <c r="M46" i="88"/>
  <c r="L46" i="88"/>
  <c r="M45" i="88"/>
  <c r="L45" i="88"/>
  <c r="M44" i="88"/>
  <c r="L44" i="88"/>
  <c r="M43" i="88"/>
  <c r="L43" i="88"/>
  <c r="M38" i="88"/>
  <c r="L38" i="88"/>
  <c r="M37" i="88"/>
  <c r="L37" i="88"/>
  <c r="M36" i="88"/>
  <c r="L36" i="88"/>
  <c r="M35" i="88"/>
  <c r="L35" i="88"/>
  <c r="M34" i="88"/>
  <c r="L34" i="88"/>
  <c r="M33" i="88"/>
  <c r="L33" i="88"/>
  <c r="M32" i="88"/>
  <c r="L32" i="88"/>
  <c r="M31" i="88"/>
  <c r="L31" i="88"/>
  <c r="M30" i="88"/>
  <c r="L30" i="88"/>
  <c r="M29" i="88"/>
  <c r="L29" i="88"/>
  <c r="M28" i="88"/>
  <c r="L28" i="88"/>
  <c r="M27" i="88"/>
  <c r="L27" i="88"/>
  <c r="M26" i="88"/>
  <c r="L26" i="88"/>
  <c r="M25" i="88"/>
  <c r="L25" i="88"/>
  <c r="M24" i="88"/>
  <c r="L24" i="88"/>
  <c r="M23" i="88"/>
  <c r="L23" i="88"/>
  <c r="M22" i="88"/>
  <c r="L22" i="88"/>
  <c r="M21" i="88"/>
  <c r="L21" i="88"/>
  <c r="M20" i="88"/>
  <c r="L20" i="88"/>
  <c r="M19" i="88"/>
  <c r="L19" i="88"/>
  <c r="M18" i="88"/>
  <c r="L18" i="88"/>
  <c r="M17" i="88"/>
  <c r="L17" i="88"/>
  <c r="M16" i="88"/>
  <c r="L16" i="88"/>
  <c r="M15" i="88"/>
  <c r="L15" i="88"/>
  <c r="M14" i="88"/>
  <c r="L14" i="88"/>
  <c r="M13" i="88"/>
  <c r="L13" i="88"/>
  <c r="M11" i="88"/>
  <c r="L11" i="88"/>
  <c r="M10" i="88"/>
  <c r="L10" i="88"/>
  <c r="J10" i="88"/>
  <c r="G7" i="88"/>
  <c r="H5" i="88"/>
  <c r="K1" i="88"/>
  <c r="B1" i="88"/>
  <c r="M86" i="87"/>
  <c r="M85" i="87"/>
  <c r="J85" i="87"/>
  <c r="D87" i="92" s="1"/>
  <c r="J83" i="87"/>
  <c r="M82" i="87"/>
  <c r="M81" i="87"/>
  <c r="M80" i="87"/>
  <c r="M79" i="87"/>
  <c r="J75" i="87"/>
  <c r="M74" i="87"/>
  <c r="M73" i="87"/>
  <c r="M72" i="87"/>
  <c r="J70" i="87"/>
  <c r="M69" i="87"/>
  <c r="M68" i="87"/>
  <c r="J66" i="87"/>
  <c r="M65" i="87"/>
  <c r="M64" i="87"/>
  <c r="M63" i="87"/>
  <c r="M62" i="87"/>
  <c r="M60" i="87"/>
  <c r="J60" i="87"/>
  <c r="J56" i="87"/>
  <c r="M55" i="87"/>
  <c r="M56" i="87" s="1"/>
  <c r="J51" i="87"/>
  <c r="M50" i="87"/>
  <c r="M49" i="87"/>
  <c r="M48" i="87"/>
  <c r="M47" i="87"/>
  <c r="M46" i="87"/>
  <c r="M45" i="87"/>
  <c r="M44" i="87"/>
  <c r="M43" i="87"/>
  <c r="M38" i="87"/>
  <c r="M37" i="87"/>
  <c r="M36" i="87"/>
  <c r="M35" i="87"/>
  <c r="M34" i="87"/>
  <c r="M33" i="87"/>
  <c r="M32" i="87"/>
  <c r="M31" i="87"/>
  <c r="M30" i="87"/>
  <c r="M29" i="87"/>
  <c r="M28" i="87"/>
  <c r="M27" i="87"/>
  <c r="M26" i="87"/>
  <c r="M25" i="87"/>
  <c r="M24" i="87"/>
  <c r="M23" i="87"/>
  <c r="M22" i="87"/>
  <c r="M21" i="87"/>
  <c r="M20" i="87"/>
  <c r="M19" i="87"/>
  <c r="M18" i="87"/>
  <c r="M17" i="87"/>
  <c r="M16" i="87"/>
  <c r="M15" i="87"/>
  <c r="M14" i="87"/>
  <c r="M13" i="87"/>
  <c r="M11" i="87"/>
  <c r="M10" i="87"/>
  <c r="J10" i="87"/>
  <c r="J39" i="87" s="1"/>
  <c r="G7" i="87"/>
  <c r="D7" i="87"/>
  <c r="H5" i="87"/>
  <c r="K1" i="87"/>
  <c r="B1" i="87"/>
  <c r="M86" i="69"/>
  <c r="M85" i="69"/>
  <c r="J85" i="69"/>
  <c r="D87" i="74" s="1"/>
  <c r="J83" i="69"/>
  <c r="M82" i="69"/>
  <c r="M81" i="69"/>
  <c r="M80" i="69"/>
  <c r="M79" i="69"/>
  <c r="J75" i="69"/>
  <c r="M74" i="69"/>
  <c r="M73" i="69"/>
  <c r="M72" i="69"/>
  <c r="J70" i="69"/>
  <c r="M69" i="69"/>
  <c r="M68" i="69"/>
  <c r="J66" i="69"/>
  <c r="M65" i="69"/>
  <c r="M64" i="69"/>
  <c r="M63" i="69"/>
  <c r="M62" i="69"/>
  <c r="M60" i="69"/>
  <c r="J60" i="69"/>
  <c r="J56" i="69"/>
  <c r="M55" i="69"/>
  <c r="M56" i="69" s="1"/>
  <c r="J51" i="69"/>
  <c r="M50" i="69"/>
  <c r="M49" i="69"/>
  <c r="M48" i="69"/>
  <c r="M47" i="69"/>
  <c r="M46" i="69"/>
  <c r="M45" i="69"/>
  <c r="M44" i="69"/>
  <c r="M43" i="69"/>
  <c r="M38" i="69"/>
  <c r="M37" i="69"/>
  <c r="M36" i="69"/>
  <c r="M35" i="69"/>
  <c r="M34" i="69"/>
  <c r="M33" i="69"/>
  <c r="M32" i="69"/>
  <c r="M31" i="69"/>
  <c r="M30" i="69"/>
  <c r="M29" i="69"/>
  <c r="M28" i="69"/>
  <c r="M27" i="69"/>
  <c r="M26" i="69"/>
  <c r="M25" i="69"/>
  <c r="M24" i="69"/>
  <c r="M23" i="69"/>
  <c r="M22" i="69"/>
  <c r="M21" i="69"/>
  <c r="M20" i="69"/>
  <c r="M19" i="69"/>
  <c r="M18" i="69"/>
  <c r="M17" i="69"/>
  <c r="M16" i="69"/>
  <c r="M15" i="69"/>
  <c r="M14" i="69"/>
  <c r="M13" i="69"/>
  <c r="M11" i="69"/>
  <c r="M10" i="69"/>
  <c r="J10" i="69"/>
  <c r="J39" i="69" s="1"/>
  <c r="G7" i="69"/>
  <c r="D7" i="69"/>
  <c r="H5" i="69"/>
  <c r="K1" i="69"/>
  <c r="B1" i="69"/>
  <c r="F260" i="68"/>
  <c r="F259" i="90" s="1"/>
  <c r="F257" i="68"/>
  <c r="F256" i="90" s="1"/>
  <c r="F256" i="68"/>
  <c r="F255" i="90" s="1"/>
  <c r="F254" i="68"/>
  <c r="F253" i="90" s="1"/>
  <c r="F253" i="68"/>
  <c r="F252" i="90" s="1"/>
  <c r="F252" i="68"/>
  <c r="F251" i="90" s="1"/>
  <c r="F251" i="68"/>
  <c r="F250" i="90" s="1"/>
  <c r="S249" i="68"/>
  <c r="R249" i="68"/>
  <c r="Q249" i="68"/>
  <c r="P249" i="68"/>
  <c r="O249" i="68"/>
  <c r="N249" i="68"/>
  <c r="M249" i="68"/>
  <c r="L249" i="68"/>
  <c r="K249" i="68"/>
  <c r="J249" i="68"/>
  <c r="I249" i="68"/>
  <c r="H249" i="68"/>
  <c r="F248" i="68"/>
  <c r="G248" i="68" s="1"/>
  <c r="F247" i="68"/>
  <c r="F246" i="90" s="1"/>
  <c r="F245" i="68"/>
  <c r="F244" i="90" s="1"/>
  <c r="F244" i="68"/>
  <c r="F243" i="90" s="1"/>
  <c r="F243" i="68"/>
  <c r="F242" i="90" s="1"/>
  <c r="F242" i="68"/>
  <c r="F241" i="90" s="1"/>
  <c r="F241" i="68"/>
  <c r="F240" i="90" s="1"/>
  <c r="F240" i="68"/>
  <c r="F239" i="90" s="1"/>
  <c r="F239" i="68"/>
  <c r="G239" i="68" s="1"/>
  <c r="F238" i="68"/>
  <c r="G238" i="68" s="1"/>
  <c r="F236" i="68"/>
  <c r="F235" i="90" s="1"/>
  <c r="F235" i="68"/>
  <c r="F234" i="90" s="1"/>
  <c r="F234" i="68"/>
  <c r="F233" i="90" s="1"/>
  <c r="F233" i="68"/>
  <c r="F232" i="90" s="1"/>
  <c r="F232" i="68"/>
  <c r="F231" i="90" s="1"/>
  <c r="F231" i="68"/>
  <c r="F230" i="90" s="1"/>
  <c r="F230" i="68"/>
  <c r="F229" i="90" s="1"/>
  <c r="S226" i="68"/>
  <c r="R226" i="68"/>
  <c r="Q226" i="68"/>
  <c r="P226" i="68"/>
  <c r="O226" i="68"/>
  <c r="N226" i="68"/>
  <c r="M226" i="68"/>
  <c r="L226" i="68"/>
  <c r="K226" i="68"/>
  <c r="J226" i="68"/>
  <c r="I226" i="68"/>
  <c r="H226" i="68"/>
  <c r="F225" i="68"/>
  <c r="F224" i="90" s="1"/>
  <c r="F224" i="68"/>
  <c r="F223" i="90" s="1"/>
  <c r="F223" i="68"/>
  <c r="F222" i="90" s="1"/>
  <c r="F220" i="90"/>
  <c r="F220" i="68"/>
  <c r="F219" i="90" s="1"/>
  <c r="F219" i="68"/>
  <c r="F218" i="68"/>
  <c r="F217" i="90" s="1"/>
  <c r="F217" i="68"/>
  <c r="F216" i="90" s="1"/>
  <c r="F216" i="68"/>
  <c r="F215" i="90" s="1"/>
  <c r="F215" i="68"/>
  <c r="F214" i="90" s="1"/>
  <c r="F214" i="68"/>
  <c r="S211" i="68"/>
  <c r="R211" i="68"/>
  <c r="Q211" i="68"/>
  <c r="P211" i="68"/>
  <c r="O211" i="68"/>
  <c r="N211" i="68"/>
  <c r="M211" i="68"/>
  <c r="L211" i="68"/>
  <c r="K211" i="68"/>
  <c r="J211" i="68"/>
  <c r="I211" i="68"/>
  <c r="H211" i="68"/>
  <c r="F210" i="68"/>
  <c r="F209" i="90" s="1"/>
  <c r="F209" i="68"/>
  <c r="F208" i="90" s="1"/>
  <c r="F208" i="68"/>
  <c r="F207" i="90" s="1"/>
  <c r="F207" i="68"/>
  <c r="F206" i="90" s="1"/>
  <c r="F206" i="68"/>
  <c r="F205" i="90" s="1"/>
  <c r="F205" i="68"/>
  <c r="F204" i="90" s="1"/>
  <c r="F204" i="68"/>
  <c r="F203" i="90" s="1"/>
  <c r="F203" i="68"/>
  <c r="F202" i="90" s="1"/>
  <c r="F202" i="68"/>
  <c r="F201" i="90" s="1"/>
  <c r="F201" i="68"/>
  <c r="F200" i="90" s="1"/>
  <c r="F200" i="68"/>
  <c r="F199" i="90" s="1"/>
  <c r="S194" i="68"/>
  <c r="R194" i="68"/>
  <c r="Q194" i="68"/>
  <c r="P194" i="68"/>
  <c r="O194" i="68"/>
  <c r="N194" i="68"/>
  <c r="M194" i="68"/>
  <c r="L194" i="68"/>
  <c r="K194" i="68"/>
  <c r="J194" i="68"/>
  <c r="I194" i="68"/>
  <c r="H194" i="68"/>
  <c r="F193" i="68"/>
  <c r="F192" i="90" s="1"/>
  <c r="F192" i="68"/>
  <c r="F191" i="68"/>
  <c r="F190" i="90" s="1"/>
  <c r="F190" i="68"/>
  <c r="G190" i="68" s="1"/>
  <c r="F188" i="68"/>
  <c r="F187" i="90" s="1"/>
  <c r="F187" i="68"/>
  <c r="F186" i="68"/>
  <c r="F185" i="90" s="1"/>
  <c r="F184" i="68"/>
  <c r="S181" i="68"/>
  <c r="R181" i="68"/>
  <c r="Q181" i="68"/>
  <c r="P181" i="68"/>
  <c r="O181" i="68"/>
  <c r="N181" i="68"/>
  <c r="M181" i="68"/>
  <c r="L181" i="68"/>
  <c r="K181" i="68"/>
  <c r="J181" i="68"/>
  <c r="I181" i="68"/>
  <c r="H181" i="68"/>
  <c r="F180" i="68"/>
  <c r="F179" i="90" s="1"/>
  <c r="F178" i="68"/>
  <c r="F177" i="90" s="1"/>
  <c r="F177" i="68"/>
  <c r="F176" i="90" s="1"/>
  <c r="F176" i="68"/>
  <c r="F175" i="90" s="1"/>
  <c r="F175" i="68"/>
  <c r="F174" i="90" s="1"/>
  <c r="F174" i="68"/>
  <c r="F173" i="90" s="1"/>
  <c r="F173" i="68"/>
  <c r="F172" i="90" s="1"/>
  <c r="F172" i="68"/>
  <c r="F171" i="90" s="1"/>
  <c r="F171" i="68"/>
  <c r="F170" i="90" s="1"/>
  <c r="S166" i="68"/>
  <c r="R166" i="68"/>
  <c r="Q166" i="68"/>
  <c r="P166" i="68"/>
  <c r="O166" i="68"/>
  <c r="N166" i="68"/>
  <c r="M166" i="68"/>
  <c r="L166" i="68"/>
  <c r="K166" i="68"/>
  <c r="J166" i="68"/>
  <c r="I166" i="68"/>
  <c r="H166" i="68"/>
  <c r="F150" i="68"/>
  <c r="F149" i="90" s="1"/>
  <c r="F149" i="68"/>
  <c r="F148" i="90" s="1"/>
  <c r="F148" i="68"/>
  <c r="F147" i="90" s="1"/>
  <c r="F147" i="68"/>
  <c r="F146" i="90" s="1"/>
  <c r="F145" i="68"/>
  <c r="F144" i="90" s="1"/>
  <c r="F144" i="68"/>
  <c r="F143" i="90" s="1"/>
  <c r="F143" i="68"/>
  <c r="F142" i="90" s="1"/>
  <c r="S139" i="68"/>
  <c r="R139" i="68"/>
  <c r="Q139" i="68"/>
  <c r="P139" i="68"/>
  <c r="O139" i="68"/>
  <c r="N139" i="68"/>
  <c r="M139" i="68"/>
  <c r="L139" i="68"/>
  <c r="K139" i="68"/>
  <c r="J139" i="68"/>
  <c r="I139" i="68"/>
  <c r="H139" i="68"/>
  <c r="F138" i="68"/>
  <c r="F137" i="90" s="1"/>
  <c r="F137" i="68"/>
  <c r="T137" i="68" s="1"/>
  <c r="F136" i="68"/>
  <c r="F135" i="68"/>
  <c r="F134" i="90" s="1"/>
  <c r="F134" i="68"/>
  <c r="F133" i="90" s="1"/>
  <c r="F133" i="68"/>
  <c r="F132" i="68"/>
  <c r="F131" i="90" s="1"/>
  <c r="F131" i="68"/>
  <c r="T131" i="68" s="1"/>
  <c r="F130" i="68"/>
  <c r="F129" i="90" s="1"/>
  <c r="F129" i="68"/>
  <c r="F128" i="90" s="1"/>
  <c r="F128" i="68"/>
  <c r="F125" i="68"/>
  <c r="F124" i="90" s="1"/>
  <c r="F124" i="68"/>
  <c r="F123" i="90" s="1"/>
  <c r="F123" i="68"/>
  <c r="F122" i="90" s="1"/>
  <c r="F122" i="68"/>
  <c r="F121" i="90" s="1"/>
  <c r="F121" i="68"/>
  <c r="F120" i="90" s="1"/>
  <c r="F120" i="68"/>
  <c r="F119" i="90" s="1"/>
  <c r="F119" i="68"/>
  <c r="F118" i="90" s="1"/>
  <c r="F118" i="68"/>
  <c r="F117" i="90" s="1"/>
  <c r="F108" i="68"/>
  <c r="F107" i="90" s="1"/>
  <c r="F107" i="68"/>
  <c r="F106" i="90" s="1"/>
  <c r="F106" i="68"/>
  <c r="F105" i="90" s="1"/>
  <c r="F105" i="68"/>
  <c r="F104" i="90" s="1"/>
  <c r="F104" i="68"/>
  <c r="F103" i="90" s="1"/>
  <c r="S99" i="68"/>
  <c r="R99" i="68"/>
  <c r="Q99" i="68"/>
  <c r="P99" i="68"/>
  <c r="O99" i="68"/>
  <c r="N99" i="68"/>
  <c r="M99" i="68"/>
  <c r="L99" i="68"/>
  <c r="K99" i="68"/>
  <c r="J99" i="68"/>
  <c r="I99" i="68"/>
  <c r="H99" i="68"/>
  <c r="F98" i="68"/>
  <c r="F97" i="90" s="1"/>
  <c r="F97" i="68"/>
  <c r="F96" i="90" s="1"/>
  <c r="F96" i="68"/>
  <c r="F95" i="90" s="1"/>
  <c r="F95" i="68"/>
  <c r="F94" i="90" s="1"/>
  <c r="F94" i="68"/>
  <c r="F93" i="90" s="1"/>
  <c r="F93" i="68"/>
  <c r="F92" i="90" s="1"/>
  <c r="F92" i="68"/>
  <c r="F91" i="90" s="1"/>
  <c r="S86" i="68"/>
  <c r="R86" i="68"/>
  <c r="Q86" i="68"/>
  <c r="P86" i="68"/>
  <c r="O86" i="68"/>
  <c r="N86" i="68"/>
  <c r="M86" i="68"/>
  <c r="L86" i="68"/>
  <c r="K86" i="68"/>
  <c r="J86" i="68"/>
  <c r="I86" i="68"/>
  <c r="H86" i="68"/>
  <c r="S70" i="68"/>
  <c r="R70" i="68"/>
  <c r="Q70" i="68"/>
  <c r="P70" i="68"/>
  <c r="O70" i="68"/>
  <c r="N70" i="68"/>
  <c r="M70" i="68"/>
  <c r="L70" i="68"/>
  <c r="K70" i="68"/>
  <c r="J70" i="68"/>
  <c r="I70" i="68"/>
  <c r="H70" i="68"/>
  <c r="F62" i="68"/>
  <c r="F61" i="90" s="1"/>
  <c r="F61" i="68"/>
  <c r="F60" i="90" s="1"/>
  <c r="F60" i="68"/>
  <c r="F59" i="90" s="1"/>
  <c r="F57" i="68"/>
  <c r="F56" i="90" s="1"/>
  <c r="F56" i="68"/>
  <c r="F55" i="90" s="1"/>
  <c r="F55" i="68"/>
  <c r="F54" i="90" s="1"/>
  <c r="F54" i="68"/>
  <c r="F53" i="90" s="1"/>
  <c r="F53" i="68"/>
  <c r="F52" i="90" s="1"/>
  <c r="F52" i="68"/>
  <c r="F51" i="90" s="1"/>
  <c r="F49" i="68"/>
  <c r="F48" i="90" s="1"/>
  <c r="F48" i="68"/>
  <c r="F47" i="90" s="1"/>
  <c r="F47" i="68"/>
  <c r="F46" i="90" s="1"/>
  <c r="F46" i="68"/>
  <c r="F45" i="90" s="1"/>
  <c r="F45" i="68"/>
  <c r="F44" i="90" s="1"/>
  <c r="F43" i="68"/>
  <c r="F42" i="90" s="1"/>
  <c r="F42" i="68"/>
  <c r="F41" i="90" s="1"/>
  <c r="S39" i="68"/>
  <c r="R39" i="68"/>
  <c r="Q39" i="68"/>
  <c r="P39" i="68"/>
  <c r="O39" i="68"/>
  <c r="N39" i="68"/>
  <c r="M39" i="68"/>
  <c r="L39" i="68"/>
  <c r="K39" i="68"/>
  <c r="J39" i="68"/>
  <c r="I39" i="68"/>
  <c r="H39" i="68"/>
  <c r="F38" i="68"/>
  <c r="F37" i="90" s="1"/>
  <c r="F36" i="90"/>
  <c r="F36" i="68"/>
  <c r="F35" i="90" s="1"/>
  <c r="F35" i="68"/>
  <c r="F34" i="90" s="1"/>
  <c r="F34" i="68"/>
  <c r="F33" i="90" s="1"/>
  <c r="F32" i="90"/>
  <c r="F30" i="68"/>
  <c r="F29" i="90" s="1"/>
  <c r="F29" i="68"/>
  <c r="F28" i="90" s="1"/>
  <c r="F28" i="68"/>
  <c r="F27" i="90" s="1"/>
  <c r="F23" i="90"/>
  <c r="F23" i="68"/>
  <c r="F22" i="90" s="1"/>
  <c r="F22" i="68"/>
  <c r="F21" i="90" s="1"/>
  <c r="F21" i="68"/>
  <c r="F20" i="90" s="1"/>
  <c r="F20" i="68"/>
  <c r="F19" i="90" s="1"/>
  <c r="F18" i="68"/>
  <c r="F17" i="90" s="1"/>
  <c r="F17" i="68"/>
  <c r="F16" i="90" s="1"/>
  <c r="F16" i="68"/>
  <c r="F15" i="90" s="1"/>
  <c r="F15" i="68"/>
  <c r="F14" i="90" s="1"/>
  <c r="F13" i="90"/>
  <c r="F6" i="68"/>
  <c r="F5" i="68"/>
  <c r="H1" i="68"/>
  <c r="A1" i="68"/>
  <c r="G259" i="66"/>
  <c r="G258" i="66"/>
  <c r="F251" i="66"/>
  <c r="G250" i="66"/>
  <c r="G249" i="66"/>
  <c r="G246" i="66"/>
  <c r="G242" i="66"/>
  <c r="G241" i="66"/>
  <c r="G240" i="66"/>
  <c r="F228" i="66"/>
  <c r="F213" i="66"/>
  <c r="I200" i="66"/>
  <c r="F200" i="66"/>
  <c r="G191" i="66"/>
  <c r="G190" i="66"/>
  <c r="G189" i="66"/>
  <c r="G187" i="66"/>
  <c r="G186" i="66"/>
  <c r="G185" i="66"/>
  <c r="F180" i="66"/>
  <c r="F137" i="72"/>
  <c r="F136" i="66"/>
  <c r="G136" i="66" s="1"/>
  <c r="F135" i="72"/>
  <c r="F134" i="66"/>
  <c r="F133" i="72"/>
  <c r="G132" i="66"/>
  <c r="F131" i="66"/>
  <c r="F130" i="72"/>
  <c r="F129" i="72"/>
  <c r="G128" i="66"/>
  <c r="G127" i="66"/>
  <c r="F123" i="72"/>
  <c r="F98" i="66"/>
  <c r="I11" i="66"/>
  <c r="F11" i="66"/>
  <c r="A2" i="66"/>
  <c r="H1" i="66"/>
  <c r="M110" i="121" s="1"/>
  <c r="A1" i="66"/>
  <c r="G11" i="99"/>
  <c r="G10" i="99"/>
  <c r="J1" i="99"/>
  <c r="M106" i="121" s="1"/>
  <c r="A1" i="99"/>
  <c r="K32" i="100"/>
  <c r="M11" i="100"/>
  <c r="M10" i="100"/>
  <c r="S1" i="100"/>
  <c r="B1" i="100"/>
  <c r="M10" i="58"/>
  <c r="M9" i="58"/>
  <c r="B2" i="58"/>
  <c r="S1" i="58"/>
  <c r="B1" i="58"/>
  <c r="S83" i="101"/>
  <c r="P83" i="101"/>
  <c r="S80" i="101"/>
  <c r="P80" i="101"/>
  <c r="AI77" i="101"/>
  <c r="AH77" i="101"/>
  <c r="AG77" i="101"/>
  <c r="AF77" i="101"/>
  <c r="AI74" i="101"/>
  <c r="AH74" i="101"/>
  <c r="AG74" i="101"/>
  <c r="AF74" i="101"/>
  <c r="K74" i="101"/>
  <c r="AI73" i="101"/>
  <c r="AH73" i="101"/>
  <c r="AG73" i="101"/>
  <c r="AF73" i="101"/>
  <c r="K73" i="101"/>
  <c r="Y73" i="101" s="1"/>
  <c r="AI72" i="101"/>
  <c r="AH72" i="101"/>
  <c r="AG72" i="101"/>
  <c r="AF72" i="101"/>
  <c r="K72" i="101"/>
  <c r="Y72" i="101" s="1"/>
  <c r="AI71" i="101"/>
  <c r="AH71" i="101"/>
  <c r="AG71" i="101"/>
  <c r="AF71" i="101"/>
  <c r="K71" i="101"/>
  <c r="X71" i="101" s="1"/>
  <c r="W71" i="101" s="1"/>
  <c r="AI70" i="101"/>
  <c r="AH70" i="101"/>
  <c r="AG70" i="101"/>
  <c r="AF70" i="101"/>
  <c r="K70" i="101"/>
  <c r="X70" i="101" s="1"/>
  <c r="W70" i="101" s="1"/>
  <c r="AI69" i="101"/>
  <c r="AH69" i="101"/>
  <c r="AG69" i="101"/>
  <c r="AF69" i="101"/>
  <c r="K69" i="101"/>
  <c r="Y69" i="101" s="1"/>
  <c r="AI68" i="101"/>
  <c r="AH68" i="101"/>
  <c r="AG68" i="101"/>
  <c r="AF68" i="101"/>
  <c r="K68" i="101"/>
  <c r="X68" i="101" s="1"/>
  <c r="W68" i="101" s="1"/>
  <c r="AI67" i="101"/>
  <c r="AH67" i="101"/>
  <c r="AG67" i="101"/>
  <c r="AF67" i="101"/>
  <c r="K67" i="101"/>
  <c r="X67" i="101" s="1"/>
  <c r="W67" i="101" s="1"/>
  <c r="AI66" i="101"/>
  <c r="AH66" i="101"/>
  <c r="AG66" i="101"/>
  <c r="AF66" i="101"/>
  <c r="K66" i="101"/>
  <c r="X66" i="101" s="1"/>
  <c r="W66" i="101" s="1"/>
  <c r="AI63" i="101"/>
  <c r="AH63" i="101"/>
  <c r="AG63" i="101"/>
  <c r="K63" i="101"/>
  <c r="X63" i="101" s="1"/>
  <c r="AI60" i="101"/>
  <c r="AH60" i="101"/>
  <c r="AG60" i="101"/>
  <c r="AF60" i="101"/>
  <c r="AI56" i="101"/>
  <c r="AH56" i="101"/>
  <c r="AG56" i="101"/>
  <c r="AF56" i="101"/>
  <c r="AI55" i="101"/>
  <c r="AH55" i="101"/>
  <c r="AG55" i="101"/>
  <c r="AF55" i="101"/>
  <c r="AI54" i="101"/>
  <c r="AH54" i="101"/>
  <c r="AG54" i="101"/>
  <c r="AF54" i="101"/>
  <c r="K54" i="101"/>
  <c r="AI53" i="101"/>
  <c r="AH53" i="101"/>
  <c r="AG53" i="101"/>
  <c r="AF53" i="101"/>
  <c r="K53" i="101"/>
  <c r="AI52" i="101"/>
  <c r="AH52" i="101"/>
  <c r="AG52" i="101"/>
  <c r="AF52" i="101"/>
  <c r="K52" i="101"/>
  <c r="AI51" i="101"/>
  <c r="AH51" i="101"/>
  <c r="AG51" i="101"/>
  <c r="AF51" i="101"/>
  <c r="K51" i="101"/>
  <c r="AI50" i="101"/>
  <c r="AH50" i="101"/>
  <c r="AG50" i="101"/>
  <c r="AF50" i="101"/>
  <c r="K50" i="101"/>
  <c r="AI47" i="101"/>
  <c r="AH47" i="101"/>
  <c r="AG47" i="101"/>
  <c r="AF47" i="101"/>
  <c r="Y47" i="101"/>
  <c r="X47" i="101"/>
  <c r="W47" i="101" s="1"/>
  <c r="AI46" i="101"/>
  <c r="AH46" i="101"/>
  <c r="AG46" i="101"/>
  <c r="AF46" i="101"/>
  <c r="Y46" i="101"/>
  <c r="X46" i="101"/>
  <c r="W46" i="101" s="1"/>
  <c r="AI45" i="101"/>
  <c r="AH45" i="101"/>
  <c r="AG45" i="101"/>
  <c r="AF45" i="101"/>
  <c r="Y45" i="101"/>
  <c r="X45" i="101"/>
  <c r="W45" i="101" s="1"/>
  <c r="K44" i="101"/>
  <c r="AI43" i="101"/>
  <c r="AH43" i="101"/>
  <c r="AG43" i="101"/>
  <c r="AF43" i="101"/>
  <c r="K43" i="101"/>
  <c r="Y43" i="101" s="1"/>
  <c r="AI42" i="101"/>
  <c r="AH42" i="101"/>
  <c r="AG42" i="101"/>
  <c r="AF42" i="101"/>
  <c r="AI41" i="101"/>
  <c r="AH41" i="101"/>
  <c r="AG41" i="101"/>
  <c r="AF41" i="101"/>
  <c r="AI40" i="101"/>
  <c r="AH40" i="101"/>
  <c r="AG40" i="101"/>
  <c r="AF40" i="101"/>
  <c r="AI39" i="101"/>
  <c r="AH39" i="101"/>
  <c r="AG39" i="101"/>
  <c r="AF39" i="101"/>
  <c r="AI38" i="101"/>
  <c r="AH38" i="101"/>
  <c r="AG38" i="101"/>
  <c r="AF38" i="101"/>
  <c r="AI37" i="101"/>
  <c r="AH37" i="101"/>
  <c r="AG37" i="101"/>
  <c r="AF37" i="101"/>
  <c r="K37" i="101"/>
  <c r="Y37" i="101" s="1"/>
  <c r="AI36" i="101"/>
  <c r="AH36" i="101"/>
  <c r="AG36" i="101"/>
  <c r="AF36" i="101"/>
  <c r="K36" i="101"/>
  <c r="X36" i="101" s="1"/>
  <c r="W36" i="101" s="1"/>
  <c r="AI35" i="101"/>
  <c r="AH35" i="101"/>
  <c r="AG35" i="101"/>
  <c r="AF35" i="101"/>
  <c r="K35" i="101"/>
  <c r="Y35" i="101" s="1"/>
  <c r="AI34" i="101"/>
  <c r="AH34" i="101"/>
  <c r="AG34" i="101"/>
  <c r="AF34" i="101"/>
  <c r="K34" i="101"/>
  <c r="Y34" i="101" s="1"/>
  <c r="AI33" i="101"/>
  <c r="AH33" i="101"/>
  <c r="AG33" i="101"/>
  <c r="AF33" i="101"/>
  <c r="K33" i="101"/>
  <c r="Y33" i="101" s="1"/>
  <c r="AI32" i="101"/>
  <c r="AH32" i="101"/>
  <c r="AG32" i="101"/>
  <c r="AF32" i="101"/>
  <c r="K32" i="101"/>
  <c r="X32" i="101" s="1"/>
  <c r="W32" i="101" s="1"/>
  <c r="AI31" i="101"/>
  <c r="AH31" i="101"/>
  <c r="AG31" i="101"/>
  <c r="AF31" i="101"/>
  <c r="K31" i="101"/>
  <c r="Y31" i="101" s="1"/>
  <c r="AI30" i="101"/>
  <c r="AH30" i="101"/>
  <c r="AG30" i="101"/>
  <c r="AF30" i="101"/>
  <c r="K30" i="101"/>
  <c r="Y30" i="101" s="1"/>
  <c r="AI29" i="101"/>
  <c r="AH29" i="101"/>
  <c r="AG29" i="101"/>
  <c r="AF29" i="101"/>
  <c r="AI28" i="101"/>
  <c r="AH28" i="101"/>
  <c r="AG28" i="101"/>
  <c r="AF28" i="101"/>
  <c r="AI27" i="101"/>
  <c r="AH27" i="101"/>
  <c r="AG27" i="101"/>
  <c r="AF27" i="101"/>
  <c r="AI26" i="101"/>
  <c r="AH26" i="101"/>
  <c r="AG26" i="101"/>
  <c r="AF26" i="101"/>
  <c r="AI25" i="101"/>
  <c r="AH25" i="101"/>
  <c r="AG25" i="101"/>
  <c r="AF25" i="101"/>
  <c r="AI24" i="101"/>
  <c r="AH24" i="101"/>
  <c r="AG24" i="101"/>
  <c r="AF24" i="101"/>
  <c r="AI23" i="101"/>
  <c r="AH23" i="101"/>
  <c r="AG23" i="101"/>
  <c r="AF23" i="101"/>
  <c r="AI22" i="101"/>
  <c r="AH22" i="101"/>
  <c r="AG22" i="101"/>
  <c r="AF22" i="101"/>
  <c r="AI21" i="101"/>
  <c r="AH21" i="101"/>
  <c r="AG21" i="101"/>
  <c r="AF21" i="101"/>
  <c r="AI20" i="101"/>
  <c r="AH20" i="101"/>
  <c r="AG20" i="101"/>
  <c r="AF20" i="101"/>
  <c r="M9" i="101"/>
  <c r="M8" i="101"/>
  <c r="B2" i="101"/>
  <c r="U1" i="101"/>
  <c r="B1" i="101"/>
  <c r="N8" i="65"/>
  <c r="N7" i="65"/>
  <c r="S1" i="65"/>
  <c r="C1" i="65"/>
  <c r="M53" i="64"/>
  <c r="K8" i="64"/>
  <c r="K7" i="64"/>
  <c r="P1" i="64"/>
  <c r="C1" i="64"/>
  <c r="O32" i="63"/>
  <c r="K8" i="63"/>
  <c r="K7" i="63"/>
  <c r="P1" i="63"/>
  <c r="C1" i="63"/>
  <c r="L8" i="62"/>
  <c r="L7" i="62"/>
  <c r="B2" i="62"/>
  <c r="S1" i="62"/>
  <c r="B1" i="62"/>
  <c r="R31" i="61"/>
  <c r="P31" i="61"/>
  <c r="N31" i="61"/>
  <c r="L31" i="61"/>
  <c r="J31" i="61"/>
  <c r="H31" i="61"/>
  <c r="F31" i="61"/>
  <c r="N8" i="61"/>
  <c r="N7" i="61"/>
  <c r="R4" i="61"/>
  <c r="C1" i="61"/>
  <c r="Q35" i="60"/>
  <c r="O35" i="60"/>
  <c r="M35" i="60"/>
  <c r="K35" i="60"/>
  <c r="M9" i="60"/>
  <c r="M8" i="60"/>
  <c r="R1" i="60"/>
  <c r="C1" i="60"/>
  <c r="B41" i="59"/>
  <c r="O35" i="59"/>
  <c r="M35" i="59"/>
  <c r="K35" i="59"/>
  <c r="I35" i="59"/>
  <c r="G35" i="59"/>
  <c r="Q34" i="59"/>
  <c r="Q33" i="59"/>
  <c r="T33" i="59" s="1"/>
  <c r="Q32" i="59"/>
  <c r="S32" i="59" s="1"/>
  <c r="R32" i="59" s="1"/>
  <c r="O28" i="59"/>
  <c r="M28" i="59"/>
  <c r="K28" i="59"/>
  <c r="I28" i="59"/>
  <c r="G28" i="59"/>
  <c r="Q27" i="59"/>
  <c r="S27" i="59" s="1"/>
  <c r="R27" i="59" s="1"/>
  <c r="Q26" i="59"/>
  <c r="T26" i="59" s="1"/>
  <c r="Q25" i="59"/>
  <c r="Q24" i="59"/>
  <c r="T24" i="59" s="1"/>
  <c r="Q23" i="59"/>
  <c r="T23" i="59" s="1"/>
  <c r="Q22" i="59"/>
  <c r="Q21" i="59"/>
  <c r="T21" i="59" s="1"/>
  <c r="Q20" i="59"/>
  <c r="T20" i="59" s="1"/>
  <c r="Q19" i="59"/>
  <c r="T19" i="59" s="1"/>
  <c r="L8" i="59"/>
  <c r="L7" i="59"/>
  <c r="R1" i="59"/>
  <c r="C1" i="59"/>
  <c r="A75" i="57"/>
  <c r="Q38" i="57"/>
  <c r="O38" i="57"/>
  <c r="M38" i="57"/>
  <c r="K37" i="57"/>
  <c r="U37" i="57" s="1"/>
  <c r="K36" i="57"/>
  <c r="U36" i="57" s="1"/>
  <c r="K35" i="57"/>
  <c r="K34" i="57"/>
  <c r="T34" i="57" s="1"/>
  <c r="S34" i="57" s="1"/>
  <c r="K33" i="57"/>
  <c r="K40" i="101" s="1"/>
  <c r="K32" i="57"/>
  <c r="T32" i="57" s="1"/>
  <c r="S32" i="57" s="1"/>
  <c r="K31" i="57"/>
  <c r="K30" i="57"/>
  <c r="K29" i="101" s="1"/>
  <c r="K29" i="57"/>
  <c r="U29" i="57" s="1"/>
  <c r="K28" i="57"/>
  <c r="K27" i="101" s="1"/>
  <c r="Y27" i="101" s="1"/>
  <c r="K27" i="57"/>
  <c r="U27" i="57" s="1"/>
  <c r="K26" i="57"/>
  <c r="T26" i="57" s="1"/>
  <c r="S26" i="57" s="1"/>
  <c r="K25" i="57"/>
  <c r="K24" i="101" s="1"/>
  <c r="K24" i="57"/>
  <c r="T24" i="57" s="1"/>
  <c r="S24" i="57" s="1"/>
  <c r="K23" i="57"/>
  <c r="K22" i="101" s="1"/>
  <c r="Y22" i="101" s="1"/>
  <c r="K22" i="57"/>
  <c r="K21" i="101" s="1"/>
  <c r="K21" i="57"/>
  <c r="M9" i="57"/>
  <c r="M8" i="57"/>
  <c r="S1" i="57"/>
  <c r="B1" i="57"/>
  <c r="B49" i="56"/>
  <c r="O45" i="56"/>
  <c r="M45" i="56"/>
  <c r="K45" i="56"/>
  <c r="I45" i="56"/>
  <c r="G45" i="56"/>
  <c r="Q44" i="56"/>
  <c r="S44" i="56" s="1"/>
  <c r="R44" i="56" s="1"/>
  <c r="Q43" i="56"/>
  <c r="S43" i="56" s="1"/>
  <c r="R43" i="56" s="1"/>
  <c r="Q42" i="56"/>
  <c r="S42" i="56" s="1"/>
  <c r="R42" i="56" s="1"/>
  <c r="Q41" i="56"/>
  <c r="S41" i="56" s="1"/>
  <c r="R41" i="56" s="1"/>
  <c r="Q40" i="56"/>
  <c r="S40" i="56" s="1"/>
  <c r="R40" i="56" s="1"/>
  <c r="Q39" i="56"/>
  <c r="S39" i="56" s="1"/>
  <c r="R39" i="56" s="1"/>
  <c r="O35" i="56"/>
  <c r="M35" i="56"/>
  <c r="K35" i="56"/>
  <c r="I35" i="56"/>
  <c r="G35" i="56"/>
  <c r="Q34" i="56"/>
  <c r="S34" i="56" s="1"/>
  <c r="R34" i="56" s="1"/>
  <c r="Q33" i="56"/>
  <c r="S33" i="56" s="1"/>
  <c r="R33" i="56" s="1"/>
  <c r="Q32" i="56"/>
  <c r="S32" i="56" s="1"/>
  <c r="R32" i="56" s="1"/>
  <c r="Q31" i="56"/>
  <c r="S31" i="56" s="1"/>
  <c r="R31" i="56" s="1"/>
  <c r="Q29" i="56"/>
  <c r="S29" i="56" s="1"/>
  <c r="R29" i="56" s="1"/>
  <c r="Q28" i="56"/>
  <c r="S28" i="56" s="1"/>
  <c r="R28" i="56" s="1"/>
  <c r="Q27" i="56"/>
  <c r="S27" i="56" s="1"/>
  <c r="R27" i="56" s="1"/>
  <c r="Q26" i="56"/>
  <c r="S26" i="56" s="1"/>
  <c r="R26" i="56" s="1"/>
  <c r="Q25" i="56"/>
  <c r="S25" i="56" s="1"/>
  <c r="R25" i="56" s="1"/>
  <c r="Q24" i="56"/>
  <c r="S24" i="56" s="1"/>
  <c r="R24" i="56" s="1"/>
  <c r="Q23" i="56"/>
  <c r="S23" i="56" s="1"/>
  <c r="R23" i="56" s="1"/>
  <c r="Q22" i="56"/>
  <c r="S22" i="56" s="1"/>
  <c r="R22" i="56" s="1"/>
  <c r="Q21" i="56"/>
  <c r="S21" i="56" s="1"/>
  <c r="R21" i="56" s="1"/>
  <c r="Q20" i="56"/>
  <c r="S20" i="56" s="1"/>
  <c r="R20" i="56" s="1"/>
  <c r="Q19" i="56"/>
  <c r="S19" i="56" s="1"/>
  <c r="L8" i="56"/>
  <c r="L7" i="56"/>
  <c r="R1" i="56"/>
  <c r="C1" i="56"/>
  <c r="I8" i="104"/>
  <c r="I7" i="104"/>
  <c r="M1" i="104"/>
  <c r="A1" i="104"/>
  <c r="A89" i="55"/>
  <c r="L73" i="55"/>
  <c r="L83" i="55" s="1"/>
  <c r="L85" i="55" s="1"/>
  <c r="L64" i="55"/>
  <c r="L46" i="55"/>
  <c r="L30" i="55"/>
  <c r="L7" i="55"/>
  <c r="L6" i="55"/>
  <c r="B2" i="55"/>
  <c r="P1" i="55"/>
  <c r="B1" i="55"/>
  <c r="A29" i="53"/>
  <c r="O7" i="53"/>
  <c r="O6" i="53"/>
  <c r="W1" i="53"/>
  <c r="B1" i="53"/>
  <c r="R29" i="52"/>
  <c r="P29" i="52"/>
  <c r="N29" i="52"/>
  <c r="L29" i="52"/>
  <c r="T27" i="52"/>
  <c r="T26" i="52"/>
  <c r="T25" i="52"/>
  <c r="T24" i="52"/>
  <c r="T23" i="52"/>
  <c r="T22" i="52"/>
  <c r="T21" i="52"/>
  <c r="T20" i="52"/>
  <c r="T19" i="52"/>
  <c r="T18" i="52"/>
  <c r="T17" i="52"/>
  <c r="T16" i="52"/>
  <c r="T15" i="52"/>
  <c r="T14" i="52"/>
  <c r="L14" i="52"/>
  <c r="P6" i="52"/>
  <c r="P5" i="52"/>
  <c r="A2" i="52"/>
  <c r="U1" i="52"/>
  <c r="A1" i="52"/>
  <c r="F116" i="68"/>
  <c r="F26" i="68"/>
  <c r="M1" i="105"/>
  <c r="A1" i="105"/>
  <c r="G6" i="51"/>
  <c r="B6" i="51"/>
  <c r="A2" i="51"/>
  <c r="K1" i="51"/>
  <c r="A1" i="51"/>
  <c r="G45" i="50"/>
  <c r="J28" i="50"/>
  <c r="E9" i="50"/>
  <c r="E8" i="50"/>
  <c r="I1" i="50"/>
  <c r="M97" i="121" s="1"/>
  <c r="A1" i="50"/>
  <c r="A48" i="49"/>
  <c r="O35" i="49"/>
  <c r="M29" i="49"/>
  <c r="M25" i="49"/>
  <c r="E23" i="49"/>
  <c r="O42" i="49" s="1"/>
  <c r="E21" i="49"/>
  <c r="E15" i="49"/>
  <c r="M7" i="49"/>
  <c r="M6" i="49"/>
  <c r="P1" i="49"/>
  <c r="M96" i="121" s="1"/>
  <c r="B1" i="49"/>
  <c r="A48" i="117"/>
  <c r="M7" i="117"/>
  <c r="M6" i="117"/>
  <c r="P1" i="117"/>
  <c r="M95" i="121" s="1"/>
  <c r="B1" i="117"/>
  <c r="A31" i="47"/>
  <c r="J7" i="47"/>
  <c r="J6" i="47"/>
  <c r="M1" i="47"/>
  <c r="B1" i="47"/>
  <c r="A34" i="46"/>
  <c r="H29" i="46"/>
  <c r="W28" i="46"/>
  <c r="V28" i="46"/>
  <c r="U28" i="46"/>
  <c r="T28" i="46"/>
  <c r="S28" i="46"/>
  <c r="R28" i="46"/>
  <c r="W27" i="46"/>
  <c r="V27" i="46"/>
  <c r="U27" i="46"/>
  <c r="T27" i="46"/>
  <c r="S27" i="46"/>
  <c r="R27" i="46"/>
  <c r="W26" i="46"/>
  <c r="V26" i="46"/>
  <c r="U26" i="46"/>
  <c r="T26" i="46"/>
  <c r="S26" i="46"/>
  <c r="R26" i="46"/>
  <c r="W25" i="46"/>
  <c r="V25" i="46"/>
  <c r="U25" i="46"/>
  <c r="T25" i="46"/>
  <c r="S25" i="46"/>
  <c r="R25" i="46"/>
  <c r="W24" i="46"/>
  <c r="V24" i="46"/>
  <c r="U24" i="46"/>
  <c r="T24" i="46"/>
  <c r="S24" i="46"/>
  <c r="R24" i="46"/>
  <c r="W23" i="46"/>
  <c r="V23" i="46"/>
  <c r="U23" i="46"/>
  <c r="T23" i="46"/>
  <c r="S23" i="46"/>
  <c r="R23" i="46"/>
  <c r="W22" i="46"/>
  <c r="V22" i="46"/>
  <c r="U22" i="46"/>
  <c r="T22" i="46"/>
  <c r="S22" i="46"/>
  <c r="R22" i="46"/>
  <c r="W21" i="46"/>
  <c r="V21" i="46"/>
  <c r="U21" i="46"/>
  <c r="T21" i="46"/>
  <c r="S21" i="46"/>
  <c r="R21" i="46"/>
  <c r="W20" i="46"/>
  <c r="V20" i="46"/>
  <c r="U20" i="46"/>
  <c r="T20" i="46"/>
  <c r="S20" i="46"/>
  <c r="R20" i="46"/>
  <c r="W19" i="46"/>
  <c r="V19" i="46"/>
  <c r="U19" i="46"/>
  <c r="T19" i="46"/>
  <c r="S19" i="46"/>
  <c r="R19" i="46"/>
  <c r="W18" i="46"/>
  <c r="V18" i="46"/>
  <c r="U18" i="46"/>
  <c r="T18" i="46"/>
  <c r="S18" i="46"/>
  <c r="R18" i="46"/>
  <c r="W17" i="46"/>
  <c r="V17" i="46"/>
  <c r="U17" i="46"/>
  <c r="T17" i="46"/>
  <c r="S17" i="46"/>
  <c r="R17" i="46"/>
  <c r="W16" i="46"/>
  <c r="V16" i="46"/>
  <c r="U16" i="46"/>
  <c r="T16" i="46"/>
  <c r="S16" i="46"/>
  <c r="R16" i="46"/>
  <c r="W15" i="46"/>
  <c r="V15" i="46"/>
  <c r="U15" i="46"/>
  <c r="T15" i="46"/>
  <c r="S15" i="46"/>
  <c r="R15" i="46"/>
  <c r="W14" i="46"/>
  <c r="V14" i="46"/>
  <c r="U14" i="46"/>
  <c r="T14" i="46"/>
  <c r="S14" i="46"/>
  <c r="R14" i="46"/>
  <c r="W13" i="46"/>
  <c r="V13" i="46"/>
  <c r="U13" i="46"/>
  <c r="T13" i="46"/>
  <c r="S13" i="46"/>
  <c r="R13" i="46"/>
  <c r="V12" i="46"/>
  <c r="U12" i="46"/>
  <c r="T12" i="46"/>
  <c r="S12" i="46"/>
  <c r="R12" i="46"/>
  <c r="I6" i="46"/>
  <c r="I5" i="46"/>
  <c r="B2" i="46"/>
  <c r="O1" i="46"/>
  <c r="B1" i="46"/>
  <c r="M93" i="121"/>
  <c r="A39" i="43"/>
  <c r="H34" i="43"/>
  <c r="F23" i="66" s="1"/>
  <c r="H21" i="43"/>
  <c r="F146" i="68" s="1"/>
  <c r="P6" i="43"/>
  <c r="P5" i="43"/>
  <c r="B1" i="43"/>
  <c r="A38" i="42"/>
  <c r="H32" i="42"/>
  <c r="F114" i="66" s="1"/>
  <c r="P8" i="42"/>
  <c r="P7" i="42"/>
  <c r="Q1" i="42"/>
  <c r="B1" i="42"/>
  <c r="A40" i="41"/>
  <c r="H35" i="41"/>
  <c r="H26" i="41"/>
  <c r="F24" i="66" s="1"/>
  <c r="F24" i="72" s="1"/>
  <c r="P8" i="41"/>
  <c r="P7" i="41"/>
  <c r="Q1" i="41"/>
  <c r="B1" i="41"/>
  <c r="A38" i="40"/>
  <c r="H32" i="40"/>
  <c r="F116" i="66" s="1"/>
  <c r="P8" i="40"/>
  <c r="P7" i="40"/>
  <c r="B2" i="40"/>
  <c r="Q1" i="40"/>
  <c r="B1" i="40"/>
  <c r="A39" i="39"/>
  <c r="H33" i="39"/>
  <c r="F58" i="66" s="1"/>
  <c r="F58" i="72" s="1"/>
  <c r="H27" i="39"/>
  <c r="F27" i="68" s="1"/>
  <c r="F26" i="90" s="1"/>
  <c r="P8" i="39"/>
  <c r="P7" i="39"/>
  <c r="B2" i="39"/>
  <c r="Q1" i="39"/>
  <c r="B1" i="39"/>
  <c r="A39" i="38"/>
  <c r="H33" i="38"/>
  <c r="P8" i="38"/>
  <c r="P7" i="38"/>
  <c r="Q1" i="38"/>
  <c r="B1" i="38"/>
  <c r="H32" i="37"/>
  <c r="R1" i="37"/>
  <c r="B1" i="37"/>
  <c r="F70" i="98"/>
  <c r="F69" i="98"/>
  <c r="F68" i="98"/>
  <c r="D66" i="98"/>
  <c r="B66" i="98"/>
  <c r="F65" i="98"/>
  <c r="F64" i="98"/>
  <c r="F63" i="98"/>
  <c r="F62" i="98"/>
  <c r="F61" i="98"/>
  <c r="F60" i="98"/>
  <c r="F59" i="98"/>
  <c r="F58" i="98"/>
  <c r="D55" i="98"/>
  <c r="B55" i="98"/>
  <c r="F54" i="98"/>
  <c r="F52" i="98"/>
  <c r="F51" i="98"/>
  <c r="F50" i="98"/>
  <c r="F49" i="98"/>
  <c r="F43" i="98"/>
  <c r="F42" i="98"/>
  <c r="F41" i="98"/>
  <c r="F39" i="98"/>
  <c r="F37" i="98"/>
  <c r="F36" i="98"/>
  <c r="F34" i="98"/>
  <c r="F33" i="98"/>
  <c r="F31" i="98"/>
  <c r="F22" i="98"/>
  <c r="F21" i="98"/>
  <c r="F19" i="98"/>
  <c r="F18" i="98"/>
  <c r="F8" i="98"/>
  <c r="F7" i="98"/>
  <c r="I2" i="98"/>
  <c r="A1" i="98"/>
  <c r="F93" i="35"/>
  <c r="F92" i="35"/>
  <c r="F91" i="35"/>
  <c r="F90" i="35"/>
  <c r="D88" i="35"/>
  <c r="B88" i="35"/>
  <c r="F87" i="35"/>
  <c r="F86" i="35"/>
  <c r="F85" i="35"/>
  <c r="F84" i="35"/>
  <c r="F83" i="35"/>
  <c r="F82" i="35"/>
  <c r="F81" i="35"/>
  <c r="F80" i="35"/>
  <c r="F79" i="35"/>
  <c r="F78" i="35"/>
  <c r="D74" i="35"/>
  <c r="B74" i="35"/>
  <c r="F73" i="35"/>
  <c r="F72" i="35"/>
  <c r="F71" i="35"/>
  <c r="F70" i="35"/>
  <c r="F69" i="35"/>
  <c r="F68" i="35"/>
  <c r="F67" i="35"/>
  <c r="F66" i="35"/>
  <c r="F65" i="35"/>
  <c r="F64" i="35"/>
  <c r="F63" i="35"/>
  <c r="F62" i="35"/>
  <c r="F61" i="35"/>
  <c r="F59" i="35"/>
  <c r="F57" i="35"/>
  <c r="F56" i="35"/>
  <c r="F55" i="35"/>
  <c r="F54" i="35"/>
  <c r="D47" i="35"/>
  <c r="B47" i="35"/>
  <c r="F46" i="35"/>
  <c r="F45" i="35"/>
  <c r="F44" i="35"/>
  <c r="F42" i="35"/>
  <c r="D49" i="35"/>
  <c r="D184" i="35" s="1"/>
  <c r="F34" i="35"/>
  <c r="F30" i="35"/>
  <c r="F27" i="35"/>
  <c r="F28" i="35" s="1"/>
  <c r="F8" i="35"/>
  <c r="F7" i="35"/>
  <c r="A1" i="35"/>
  <c r="C33" i="118"/>
  <c r="N8" i="118"/>
  <c r="N7" i="118"/>
  <c r="A1" i="118"/>
  <c r="L37" i="94"/>
  <c r="I37" i="94"/>
  <c r="J38" i="94" s="1"/>
  <c r="A43" i="94" s="1"/>
  <c r="F37" i="94"/>
  <c r="G38" i="94" s="1"/>
  <c r="C37" i="94"/>
  <c r="L8" i="94"/>
  <c r="L7" i="94"/>
  <c r="R5" i="94"/>
  <c r="A1" i="94"/>
  <c r="L36" i="34"/>
  <c r="I36" i="34"/>
  <c r="J38" i="34" s="1"/>
  <c r="F36" i="34"/>
  <c r="G38" i="34" s="1"/>
  <c r="C36" i="34"/>
  <c r="L8" i="34"/>
  <c r="L7" i="34"/>
  <c r="R5" i="34"/>
  <c r="A1" i="34"/>
  <c r="B19" i="33"/>
  <c r="H18" i="33"/>
  <c r="I8" i="33"/>
  <c r="I7" i="33"/>
  <c r="B2" i="33"/>
  <c r="B1" i="33"/>
  <c r="F35" i="32"/>
  <c r="A26" i="32"/>
  <c r="I23" i="32"/>
  <c r="H23" i="32"/>
  <c r="G23" i="32"/>
  <c r="F23" i="32"/>
  <c r="I3" i="32"/>
  <c r="B2" i="32"/>
  <c r="B1" i="32"/>
  <c r="H47" i="31"/>
  <c r="G47" i="31"/>
  <c r="F47" i="31"/>
  <c r="E47" i="31"/>
  <c r="H45" i="31"/>
  <c r="H46" i="31" s="1"/>
  <c r="G45" i="31"/>
  <c r="G46" i="31" s="1"/>
  <c r="F45" i="31"/>
  <c r="F46" i="31" s="1"/>
  <c r="E45" i="31"/>
  <c r="E46" i="31" s="1"/>
  <c r="D45" i="31"/>
  <c r="D46" i="31" s="1"/>
  <c r="F9" i="31"/>
  <c r="F8" i="31"/>
  <c r="H5" i="31"/>
  <c r="A1" i="31"/>
  <c r="H46" i="30"/>
  <c r="G46" i="30"/>
  <c r="F46" i="30"/>
  <c r="E46" i="30"/>
  <c r="H44" i="30"/>
  <c r="G44" i="30"/>
  <c r="F44" i="30"/>
  <c r="E44" i="30"/>
  <c r="D44" i="30"/>
  <c r="H43" i="30"/>
  <c r="G43" i="30"/>
  <c r="F43" i="30"/>
  <c r="E43" i="30"/>
  <c r="D43" i="30"/>
  <c r="H35" i="30"/>
  <c r="G35" i="30"/>
  <c r="F35" i="30"/>
  <c r="E35" i="30"/>
  <c r="D35" i="30"/>
  <c r="F9" i="30"/>
  <c r="F8" i="30"/>
  <c r="H5" i="30"/>
  <c r="A1" i="30"/>
  <c r="H47" i="29"/>
  <c r="G47" i="29"/>
  <c r="F47" i="29"/>
  <c r="E47" i="29"/>
  <c r="H45" i="29"/>
  <c r="H46" i="29" s="1"/>
  <c r="G45" i="29"/>
  <c r="G46" i="29" s="1"/>
  <c r="F45" i="29"/>
  <c r="F46" i="29" s="1"/>
  <c r="E45" i="29"/>
  <c r="E46" i="29" s="1"/>
  <c r="D45" i="29"/>
  <c r="D46" i="29" s="1"/>
  <c r="H36" i="29"/>
  <c r="G36" i="29"/>
  <c r="F36" i="29"/>
  <c r="E36" i="29"/>
  <c r="D36" i="29"/>
  <c r="F9" i="29"/>
  <c r="F8" i="29"/>
  <c r="H5" i="29"/>
  <c r="A1" i="29"/>
  <c r="H48" i="28"/>
  <c r="G48" i="28"/>
  <c r="F48" i="28"/>
  <c r="E48" i="28"/>
  <c r="D48" i="28"/>
  <c r="H47" i="28"/>
  <c r="G47" i="28"/>
  <c r="F47" i="28"/>
  <c r="E47" i="28"/>
  <c r="D47" i="28"/>
  <c r="H39" i="28"/>
  <c r="G39" i="28"/>
  <c r="F39" i="28"/>
  <c r="E39" i="28"/>
  <c r="D39" i="28"/>
  <c r="F9" i="28"/>
  <c r="F8" i="28"/>
  <c r="H5" i="28"/>
  <c r="A2" i="28"/>
  <c r="A1" i="28"/>
  <c r="G20" i="120"/>
  <c r="D20" i="120"/>
  <c r="A2" i="120"/>
  <c r="L1" i="120"/>
  <c r="A1" i="120"/>
  <c r="G21" i="119"/>
  <c r="D21" i="119"/>
  <c r="I8" i="119"/>
  <c r="I7" i="119"/>
  <c r="L1" i="119"/>
  <c r="A1" i="119"/>
  <c r="I15" i="26"/>
  <c r="I14" i="26"/>
  <c r="G8" i="26"/>
  <c r="G7" i="26"/>
  <c r="J1" i="26"/>
  <c r="A1" i="26"/>
  <c r="A20" i="25"/>
  <c r="A19" i="25"/>
  <c r="A17" i="25"/>
  <c r="A16" i="25"/>
  <c r="J8" i="25"/>
  <c r="J7" i="25"/>
  <c r="L1" i="25"/>
  <c r="A1" i="25"/>
  <c r="A51" i="24"/>
  <c r="K44" i="24"/>
  <c r="G29" i="24"/>
  <c r="J8" i="24"/>
  <c r="J7" i="24"/>
  <c r="M1" i="24"/>
  <c r="B1" i="24"/>
  <c r="G49" i="23"/>
  <c r="G39" i="23"/>
  <c r="G8" i="23"/>
  <c r="G7" i="23"/>
  <c r="H1" i="23"/>
  <c r="A1" i="23"/>
  <c r="J54" i="22"/>
  <c r="I40" i="22"/>
  <c r="B40" i="22"/>
  <c r="I31" i="22"/>
  <c r="B31" i="22"/>
  <c r="H8" i="22"/>
  <c r="H7" i="22"/>
  <c r="L1" i="22"/>
  <c r="B1" i="22"/>
  <c r="I22" i="21"/>
  <c r="I27" i="21" s="1"/>
  <c r="L8" i="21"/>
  <c r="L7" i="21"/>
  <c r="A2" i="21"/>
  <c r="R1" i="21"/>
  <c r="A1" i="21"/>
  <c r="I22" i="20"/>
  <c r="I27" i="20" s="1"/>
  <c r="L8" i="20"/>
  <c r="L7" i="20"/>
  <c r="R1" i="20"/>
  <c r="A1" i="20"/>
  <c r="I31" i="19"/>
  <c r="K77" i="101" s="1"/>
  <c r="I24" i="19"/>
  <c r="I12" i="19"/>
  <c r="L8" i="19"/>
  <c r="L7" i="19"/>
  <c r="R1" i="19"/>
  <c r="A1" i="19"/>
  <c r="G12" i="95"/>
  <c r="G11" i="95"/>
  <c r="A2" i="95"/>
  <c r="J1" i="95"/>
  <c r="M77" i="121" s="1"/>
  <c r="A1" i="95"/>
  <c r="M65" i="18"/>
  <c r="M56" i="18"/>
  <c r="M58" i="18" s="1"/>
  <c r="B39" i="18"/>
  <c r="K20" i="18"/>
  <c r="B16" i="18"/>
  <c r="K8" i="18"/>
  <c r="K7" i="18"/>
  <c r="O1" i="18"/>
  <c r="B1" i="18"/>
  <c r="B71" i="17"/>
  <c r="D45" i="17"/>
  <c r="O42" i="17"/>
  <c r="O40" i="17"/>
  <c r="M40" i="17"/>
  <c r="K40" i="17"/>
  <c r="I40" i="17"/>
  <c r="O37" i="17"/>
  <c r="M37" i="17"/>
  <c r="K37" i="17"/>
  <c r="I37" i="17"/>
  <c r="G16" i="17"/>
  <c r="I16" i="17" s="1"/>
  <c r="K16" i="17" s="1"/>
  <c r="M16" i="17" s="1"/>
  <c r="O16" i="17" s="1"/>
  <c r="P1" i="17"/>
  <c r="C1" i="17"/>
  <c r="A111" i="115"/>
  <c r="I8" i="115"/>
  <c r="I7" i="115"/>
  <c r="L1" i="115"/>
  <c r="B1" i="115"/>
  <c r="I22" i="16"/>
  <c r="J8" i="16"/>
  <c r="J7" i="16"/>
  <c r="N1" i="16"/>
  <c r="M75" i="121" s="1"/>
  <c r="A1" i="16"/>
  <c r="A72" i="15"/>
  <c r="B54" i="15"/>
  <c r="U46" i="15"/>
  <c r="K46" i="15"/>
  <c r="I46" i="15"/>
  <c r="G46" i="15"/>
  <c r="T45" i="15"/>
  <c r="U45" i="15" s="1"/>
  <c r="T44" i="15"/>
  <c r="V44" i="15" s="1"/>
  <c r="T43" i="15"/>
  <c r="V43" i="15" s="1"/>
  <c r="T42" i="15"/>
  <c r="U42" i="15" s="1"/>
  <c r="T41" i="15"/>
  <c r="U41" i="15" s="1"/>
  <c r="T40" i="15"/>
  <c r="V40" i="15" s="1"/>
  <c r="T39" i="15"/>
  <c r="V39" i="15" s="1"/>
  <c r="T38" i="15"/>
  <c r="U38" i="15" s="1"/>
  <c r="T37" i="15"/>
  <c r="U37" i="15" s="1"/>
  <c r="T36" i="15"/>
  <c r="V36" i="15" s="1"/>
  <c r="T35" i="15"/>
  <c r="V35" i="15" s="1"/>
  <c r="T34" i="15"/>
  <c r="U34" i="15" s="1"/>
  <c r="T33" i="15"/>
  <c r="U33" i="15" s="1"/>
  <c r="E33" i="15"/>
  <c r="E34" i="15" s="1"/>
  <c r="A19" i="15"/>
  <c r="A17" i="15"/>
  <c r="A15" i="15"/>
  <c r="I10" i="15"/>
  <c r="I9" i="15"/>
  <c r="S1" i="15"/>
  <c r="B1" i="15"/>
  <c r="A75" i="14"/>
  <c r="B52" i="14"/>
  <c r="S46" i="14"/>
  <c r="I46" i="14"/>
  <c r="G46" i="14"/>
  <c r="R45" i="14"/>
  <c r="T45" i="14" s="1"/>
  <c r="R44" i="14"/>
  <c r="S44" i="14" s="1"/>
  <c r="R43" i="14"/>
  <c r="T43" i="14" s="1"/>
  <c r="R42" i="14"/>
  <c r="T42" i="14" s="1"/>
  <c r="R41" i="14"/>
  <c r="T41" i="14" s="1"/>
  <c r="R40" i="14"/>
  <c r="S40" i="14" s="1"/>
  <c r="R39" i="14"/>
  <c r="T39" i="14" s="1"/>
  <c r="R38" i="14"/>
  <c r="S38" i="14" s="1"/>
  <c r="R37" i="14"/>
  <c r="S37" i="14" s="1"/>
  <c r="R36" i="14"/>
  <c r="S36" i="14" s="1"/>
  <c r="R35" i="14"/>
  <c r="T35" i="14" s="1"/>
  <c r="R34" i="14"/>
  <c r="T34" i="14" s="1"/>
  <c r="R33" i="14"/>
  <c r="S33" i="14" s="1"/>
  <c r="E33" i="14"/>
  <c r="D33" i="14" s="1"/>
  <c r="A23" i="14"/>
  <c r="A19" i="14"/>
  <c r="A17" i="14"/>
  <c r="A15" i="14"/>
  <c r="I10" i="14"/>
  <c r="I9" i="14"/>
  <c r="Q1" i="14"/>
  <c r="B1" i="14"/>
  <c r="A50" i="13"/>
  <c r="M13" i="13"/>
  <c r="E13" i="13"/>
  <c r="K9" i="13"/>
  <c r="K8" i="13"/>
  <c r="P1" i="13"/>
  <c r="B1" i="13"/>
  <c r="A48" i="12"/>
  <c r="I7" i="82"/>
  <c r="M13" i="12"/>
  <c r="E13" i="12"/>
  <c r="K9" i="12"/>
  <c r="K8" i="12"/>
  <c r="P1" i="12"/>
  <c r="M74" i="121" s="1"/>
  <c r="B1" i="12"/>
  <c r="D8" i="10"/>
  <c r="D7" i="10"/>
  <c r="B2" i="10"/>
  <c r="H1" i="10"/>
  <c r="B1" i="10"/>
  <c r="M55" i="9"/>
  <c r="M42" i="9"/>
  <c r="J8" i="9"/>
  <c r="J7" i="9"/>
  <c r="N1" i="9"/>
  <c r="A1" i="9"/>
  <c r="A39" i="8"/>
  <c r="I35" i="8"/>
  <c r="G221" i="66"/>
  <c r="Q22" i="8"/>
  <c r="Q21" i="8"/>
  <c r="V16" i="8"/>
  <c r="O16" i="8"/>
  <c r="Q16" i="8" s="1"/>
  <c r="Q14" i="8"/>
  <c r="G14" i="8"/>
  <c r="I8" i="8"/>
  <c r="I7" i="8"/>
  <c r="B2" i="8"/>
  <c r="R1" i="8"/>
  <c r="B1" i="8"/>
  <c r="N10" i="113"/>
  <c r="N9" i="113"/>
  <c r="C2" i="113"/>
  <c r="T1" i="113"/>
  <c r="M58" i="121" s="1"/>
  <c r="C1" i="113"/>
  <c r="T72" i="112"/>
  <c r="T69" i="112"/>
  <c r="O63" i="112"/>
  <c r="T57" i="112"/>
  <c r="O55" i="112"/>
  <c r="T49" i="112"/>
  <c r="T47" i="112"/>
  <c r="T44" i="112"/>
  <c r="T41" i="112"/>
  <c r="M41" i="112"/>
  <c r="O34" i="112"/>
  <c r="T32" i="112"/>
  <c r="T28" i="112"/>
  <c r="T26" i="112"/>
  <c r="T23" i="112"/>
  <c r="T18" i="112"/>
  <c r="T14" i="112"/>
  <c r="O10" i="112"/>
  <c r="O9" i="112"/>
  <c r="B2" i="112"/>
  <c r="T1" i="112"/>
  <c r="B1" i="112"/>
  <c r="A56" i="5"/>
  <c r="W45" i="5"/>
  <c r="F45" i="5" s="1"/>
  <c r="S44" i="5"/>
  <c r="E44" i="5"/>
  <c r="T32" i="5"/>
  <c r="T31" i="5"/>
  <c r="AA19" i="5"/>
  <c r="T16" i="5"/>
  <c r="D16" i="5"/>
  <c r="N9" i="5"/>
  <c r="N8" i="5"/>
  <c r="B2" i="5"/>
  <c r="U1" i="5"/>
  <c r="M35" i="121" s="1"/>
  <c r="B1" i="5"/>
  <c r="A79" i="97"/>
  <c r="F31" i="97"/>
  <c r="H8" i="97"/>
  <c r="H7" i="97"/>
  <c r="B2" i="97"/>
  <c r="B1" i="97"/>
  <c r="A47" i="89"/>
  <c r="F23" i="89"/>
  <c r="B1" i="89"/>
  <c r="I8" i="4"/>
  <c r="I7" i="4"/>
  <c r="K1" i="4"/>
  <c r="B1" i="4"/>
  <c r="A91" i="3"/>
  <c r="N77" i="3"/>
  <c r="N72" i="3"/>
  <c r="N68" i="3"/>
  <c r="N62" i="3"/>
  <c r="N60" i="3"/>
  <c r="N25" i="3"/>
  <c r="N17" i="3"/>
  <c r="I8" i="3"/>
  <c r="I7" i="3"/>
  <c r="B2" i="3"/>
  <c r="M1" i="3"/>
  <c r="B1" i="3"/>
  <c r="D116" i="2"/>
  <c r="D115" i="2"/>
  <c r="D114" i="2"/>
  <c r="D113" i="2"/>
  <c r="D112" i="2"/>
  <c r="D111" i="2"/>
  <c r="D109" i="2"/>
  <c r="D103" i="2"/>
  <c r="D100" i="2"/>
  <c r="D98" i="2"/>
  <c r="D97" i="2"/>
  <c r="D96" i="2"/>
  <c r="D95" i="2"/>
  <c r="D94" i="2"/>
  <c r="D93" i="2"/>
  <c r="D92" i="2"/>
  <c r="D91" i="2"/>
  <c r="D90" i="2"/>
  <c r="D89" i="2"/>
  <c r="D87" i="2"/>
  <c r="D86" i="2"/>
  <c r="D85" i="2"/>
  <c r="D84" i="2"/>
  <c r="D83" i="2"/>
  <c r="D82" i="2"/>
  <c r="D81" i="2"/>
  <c r="D79" i="2"/>
  <c r="D78" i="2"/>
  <c r="D75" i="2"/>
  <c r="D74" i="2"/>
  <c r="D73" i="2"/>
  <c r="D72" i="2"/>
  <c r="D71" i="2"/>
  <c r="D70" i="2"/>
  <c r="D69" i="2"/>
  <c r="D65" i="2"/>
  <c r="D64" i="2"/>
  <c r="D62" i="2"/>
  <c r="D61" i="2"/>
  <c r="D59" i="2"/>
  <c r="D58" i="2"/>
  <c r="D57" i="2"/>
  <c r="D56" i="2"/>
  <c r="D55" i="2"/>
  <c r="D50" i="2"/>
  <c r="D49" i="2"/>
  <c r="D48" i="2"/>
  <c r="D47" i="2"/>
  <c r="D42" i="2"/>
  <c r="D41" i="2"/>
  <c r="D40" i="2"/>
  <c r="D39" i="2"/>
  <c r="D36" i="2"/>
  <c r="D35" i="2"/>
  <c r="D34" i="2"/>
  <c r="D33" i="2"/>
  <c r="D32" i="2"/>
  <c r="D31" i="2"/>
  <c r="D27" i="2"/>
  <c r="D26" i="2"/>
  <c r="D25" i="2"/>
  <c r="D24" i="2"/>
  <c r="D21" i="2"/>
  <c r="D20" i="2"/>
  <c r="D19" i="2"/>
  <c r="D18" i="2"/>
  <c r="K14" i="2"/>
  <c r="K13" i="2"/>
  <c r="K12" i="2"/>
  <c r="B2" i="85"/>
  <c r="B4" i="1"/>
  <c r="M59" i="121" l="1"/>
  <c r="M54" i="121"/>
  <c r="M56" i="121"/>
  <c r="M57" i="121"/>
  <c r="M55" i="121"/>
  <c r="M53" i="121"/>
  <c r="M52" i="121"/>
  <c r="E10" i="2"/>
  <c r="E11" i="2" s="1"/>
  <c r="J81" i="88"/>
  <c r="J23" i="88"/>
  <c r="J50" i="88"/>
  <c r="J48" i="88"/>
  <c r="J74" i="88"/>
  <c r="J56" i="88"/>
  <c r="G58" i="70"/>
  <c r="G61" i="70" s="1"/>
  <c r="H45" i="30"/>
  <c r="M76" i="88"/>
  <c r="M71" i="88"/>
  <c r="J70" i="88"/>
  <c r="J80" i="88"/>
  <c r="J64" i="88"/>
  <c r="D33" i="15"/>
  <c r="J11" i="88"/>
  <c r="J28" i="88"/>
  <c r="J32" i="88"/>
  <c r="J44" i="88"/>
  <c r="J26" i="88"/>
  <c r="J46" i="88"/>
  <c r="D180" i="80"/>
  <c r="D38" i="80"/>
  <c r="G288" i="80"/>
  <c r="G290" i="80"/>
  <c r="F58" i="68"/>
  <c r="F57" i="90" s="1"/>
  <c r="J20" i="88"/>
  <c r="H288" i="80"/>
  <c r="H290" i="80"/>
  <c r="T23" i="57"/>
  <c r="S23" i="57" s="1"/>
  <c r="J37" i="88"/>
  <c r="D165" i="80"/>
  <c r="I288" i="80"/>
  <c r="I290" i="80"/>
  <c r="U23" i="57"/>
  <c r="J288" i="80"/>
  <c r="J290" i="80"/>
  <c r="K288" i="80"/>
  <c r="K290" i="80"/>
  <c r="F45" i="30"/>
  <c r="J14" i="88"/>
  <c r="J22" i="88"/>
  <c r="J83" i="88"/>
  <c r="L288" i="80"/>
  <c r="L290" i="80"/>
  <c r="U52" i="101"/>
  <c r="J15" i="88"/>
  <c r="J19" i="88"/>
  <c r="M288" i="80"/>
  <c r="M290" i="80"/>
  <c r="U26" i="57"/>
  <c r="D69" i="80"/>
  <c r="N288" i="80"/>
  <c r="N290" i="80"/>
  <c r="V24" i="82"/>
  <c r="F66" i="98"/>
  <c r="D49" i="28"/>
  <c r="F257" i="66"/>
  <c r="F255" i="72" s="1"/>
  <c r="O41" i="17"/>
  <c r="R16" i="82"/>
  <c r="M50" i="121"/>
  <c r="M44" i="121"/>
  <c r="M40" i="121"/>
  <c r="Q168" i="68"/>
  <c r="I168" i="68"/>
  <c r="F114" i="72"/>
  <c r="G114" i="66"/>
  <c r="F115" i="90"/>
  <c r="T116" i="68"/>
  <c r="F145" i="90"/>
  <c r="T146" i="68"/>
  <c r="T26" i="82"/>
  <c r="R26" i="82" s="1"/>
  <c r="D26" i="82" s="1"/>
  <c r="B26" i="82" s="1"/>
  <c r="F25" i="66"/>
  <c r="F25" i="72" s="1"/>
  <c r="AJ38" i="80"/>
  <c r="R20" i="82"/>
  <c r="D20" i="82" s="1"/>
  <c r="B20" i="82" s="1"/>
  <c r="R22" i="82"/>
  <c r="D22" i="82" s="1"/>
  <c r="A22" i="82" s="1"/>
  <c r="Q12" i="46"/>
  <c r="P12" i="46" s="1"/>
  <c r="O12" i="46" s="1"/>
  <c r="J24" i="88"/>
  <c r="S24" i="59"/>
  <c r="R24" i="59" s="1"/>
  <c r="H65" i="92"/>
  <c r="M76" i="121"/>
  <c r="J18" i="88"/>
  <c r="V42" i="15"/>
  <c r="L87" i="55"/>
  <c r="S41" i="14"/>
  <c r="F74" i="35"/>
  <c r="U24" i="57"/>
  <c r="L76" i="88"/>
  <c r="D72" i="74"/>
  <c r="E45" i="30"/>
  <c r="D77" i="92"/>
  <c r="M37" i="59"/>
  <c r="J36" i="88"/>
  <c r="F49" i="28"/>
  <c r="T29" i="52"/>
  <c r="T31" i="52" s="1"/>
  <c r="J27" i="88"/>
  <c r="J38" i="88"/>
  <c r="D53" i="74"/>
  <c r="D77" i="74"/>
  <c r="T37" i="14"/>
  <c r="K41" i="17"/>
  <c r="G49" i="28"/>
  <c r="G45" i="30"/>
  <c r="E25" i="49"/>
  <c r="J76" i="87"/>
  <c r="J84" i="87" s="1"/>
  <c r="J87" i="87" s="1"/>
  <c r="M112" i="121" s="1"/>
  <c r="J16" i="88"/>
  <c r="J31" i="88"/>
  <c r="J35" i="88"/>
  <c r="J43" i="88"/>
  <c r="J47" i="88"/>
  <c r="J69" i="88"/>
  <c r="R42" i="82"/>
  <c r="S26" i="122"/>
  <c r="S27" i="122" s="1"/>
  <c r="R19" i="82"/>
  <c r="D19" i="82" s="1"/>
  <c r="B19" i="82" s="1"/>
  <c r="Q16" i="46"/>
  <c r="P16" i="46" s="1"/>
  <c r="O16" i="46" s="1"/>
  <c r="Q23" i="46"/>
  <c r="P23" i="46" s="1"/>
  <c r="O23" i="46" s="1"/>
  <c r="Q24" i="46"/>
  <c r="P24" i="46" s="1"/>
  <c r="O24" i="46" s="1"/>
  <c r="Q25" i="46"/>
  <c r="P25" i="46" s="1"/>
  <c r="O25" i="46" s="1"/>
  <c r="T37" i="57"/>
  <c r="K37" i="59"/>
  <c r="J227" i="68"/>
  <c r="J250" i="68" s="1"/>
  <c r="J258" i="68" s="1"/>
  <c r="R227" i="68"/>
  <c r="R250" i="68" s="1"/>
  <c r="R258" i="68" s="1"/>
  <c r="R261" i="68" s="1"/>
  <c r="R263" i="68" s="1"/>
  <c r="J76" i="69"/>
  <c r="J84" i="69" s="1"/>
  <c r="J87" i="69" s="1"/>
  <c r="M111" i="121" s="1"/>
  <c r="J21" i="88"/>
  <c r="J73" i="88"/>
  <c r="D68" i="74"/>
  <c r="D85" i="92"/>
  <c r="Y74" i="101"/>
  <c r="X74" i="101"/>
  <c r="L67" i="88"/>
  <c r="M92" i="121"/>
  <c r="Q22" i="46"/>
  <c r="P22" i="46" s="1"/>
  <c r="O22" i="46" s="1"/>
  <c r="V38" i="15"/>
  <c r="F88" i="35"/>
  <c r="D72" i="98"/>
  <c r="Q45" i="56"/>
  <c r="J58" i="69"/>
  <c r="J29" i="88"/>
  <c r="H20" i="74"/>
  <c r="D53" i="92"/>
  <c r="K58" i="85"/>
  <c r="K76" i="85"/>
  <c r="K84" i="85" s="1"/>
  <c r="K87" i="85" s="1"/>
  <c r="K90" i="85" s="1"/>
  <c r="A43" i="11"/>
  <c r="A32" i="11"/>
  <c r="C6" i="120"/>
  <c r="S34" i="14"/>
  <c r="S45" i="14"/>
  <c r="Q19" i="46"/>
  <c r="P19" i="46" s="1"/>
  <c r="O19" i="46" s="1"/>
  <c r="Q20" i="46"/>
  <c r="P20" i="46" s="1"/>
  <c r="O20" i="46" s="1"/>
  <c r="Q27" i="46"/>
  <c r="P27" i="46" s="1"/>
  <c r="O27" i="46" s="1"/>
  <c r="Q28" i="46"/>
  <c r="P28" i="46" s="1"/>
  <c r="O28" i="46" s="1"/>
  <c r="U28" i="57"/>
  <c r="Q35" i="59"/>
  <c r="T35" i="59" s="1"/>
  <c r="X73" i="101"/>
  <c r="W73" i="101" s="1"/>
  <c r="V34" i="15"/>
  <c r="V45" i="15"/>
  <c r="D45" i="30"/>
  <c r="W29" i="46"/>
  <c r="H37" i="82" s="1"/>
  <c r="R37" i="82" s="1"/>
  <c r="D37" i="82" s="1"/>
  <c r="A37" i="82" s="1"/>
  <c r="Q26" i="46"/>
  <c r="P26" i="46" s="1"/>
  <c r="O26" i="46" s="1"/>
  <c r="T36" i="57"/>
  <c r="T27" i="59"/>
  <c r="S33" i="59"/>
  <c r="R33" i="59" s="1"/>
  <c r="U40" i="101"/>
  <c r="Y67" i="101"/>
  <c r="J58" i="87"/>
  <c r="J30" i="88"/>
  <c r="J34" i="88"/>
  <c r="R14" i="82"/>
  <c r="D14" i="82" s="1"/>
  <c r="B14" i="82" s="1"/>
  <c r="F55" i="98"/>
  <c r="V41" i="15"/>
  <c r="Y77" i="101"/>
  <c r="X77" i="101"/>
  <c r="E49" i="28"/>
  <c r="H49" i="28"/>
  <c r="F47" i="35"/>
  <c r="D95" i="35"/>
  <c r="L66" i="55"/>
  <c r="G37" i="59"/>
  <c r="U41" i="101"/>
  <c r="J13" i="88"/>
  <c r="J49" i="88"/>
  <c r="J65" i="88"/>
  <c r="J75" i="88"/>
  <c r="J87" i="88"/>
  <c r="H18" i="74"/>
  <c r="H22" i="74"/>
  <c r="H26" i="74"/>
  <c r="J26" i="74" s="1"/>
  <c r="Q35" i="56"/>
  <c r="Q15" i="46"/>
  <c r="P15" i="46" s="1"/>
  <c r="O15" i="46" s="1"/>
  <c r="D85" i="74"/>
  <c r="D41" i="92"/>
  <c r="D60" i="92" s="1"/>
  <c r="R11" i="82"/>
  <c r="D11" i="82" s="1"/>
  <c r="A11" i="82" s="1"/>
  <c r="F124" i="72"/>
  <c r="T128" i="68"/>
  <c r="G128" i="68"/>
  <c r="J20" i="74"/>
  <c r="C40" i="94"/>
  <c r="F262" i="66" s="1" a="1"/>
  <c r="F262" i="66" s="1"/>
  <c r="F260" i="72" s="1"/>
  <c r="N29" i="77"/>
  <c r="N42" i="77"/>
  <c r="N74" i="77"/>
  <c r="N3" i="77"/>
  <c r="N43" i="77"/>
  <c r="N34" i="77"/>
  <c r="N44" i="77"/>
  <c r="N76" i="77"/>
  <c r="N35" i="77"/>
  <c r="N45" i="77"/>
  <c r="N77" i="77"/>
  <c r="N19" i="77"/>
  <c r="N27" i="77"/>
  <c r="N31" i="77"/>
  <c r="N36" i="77"/>
  <c r="N78" i="77"/>
  <c r="N71" i="77"/>
  <c r="N12" i="77"/>
  <c r="N28" i="77"/>
  <c r="N32" i="77"/>
  <c r="N39" i="77"/>
  <c r="N56" i="77"/>
  <c r="N72" i="77"/>
  <c r="N41" i="77"/>
  <c r="N57" i="77"/>
  <c r="N73" i="77"/>
  <c r="A26" i="77"/>
  <c r="M107" i="121"/>
  <c r="M105" i="121"/>
  <c r="M104" i="121"/>
  <c r="M103" i="121"/>
  <c r="M102" i="121"/>
  <c r="M88" i="121"/>
  <c r="M89" i="121"/>
  <c r="M87" i="121"/>
  <c r="M86" i="121"/>
  <c r="M85" i="121"/>
  <c r="M84" i="121"/>
  <c r="M60" i="121"/>
  <c r="M49" i="121"/>
  <c r="M48" i="121"/>
  <c r="M51" i="121"/>
  <c r="M47" i="121"/>
  <c r="M43" i="121"/>
  <c r="M39" i="121"/>
  <c r="M42" i="121"/>
  <c r="M38" i="121"/>
  <c r="M45" i="121"/>
  <c r="M41" i="121"/>
  <c r="M37" i="121"/>
  <c r="M46" i="121"/>
  <c r="M58" i="64"/>
  <c r="AI194" i="80"/>
  <c r="H86" i="80"/>
  <c r="H88" i="80" s="1"/>
  <c r="P86" i="80"/>
  <c r="P88" i="80" s="1"/>
  <c r="J227" i="80"/>
  <c r="J250" i="80" s="1"/>
  <c r="R227" i="80"/>
  <c r="R250" i="80" s="1"/>
  <c r="R258" i="80" s="1"/>
  <c r="R261" i="80" s="1"/>
  <c r="C19" i="79" s="1"/>
  <c r="Z227" i="80"/>
  <c r="Z250" i="80" s="1"/>
  <c r="Z258" i="80" s="1"/>
  <c r="Z261" i="80" s="1"/>
  <c r="F227" i="80"/>
  <c r="F250" i="80" s="1"/>
  <c r="F258" i="80" s="1"/>
  <c r="N227" i="80"/>
  <c r="N250" i="80" s="1"/>
  <c r="N258" i="80" s="1"/>
  <c r="N261" i="80" s="1"/>
  <c r="C14" i="79" s="1"/>
  <c r="P259" i="68" s="1"/>
  <c r="V227" i="80"/>
  <c r="V250" i="80" s="1"/>
  <c r="V258" i="80" s="1"/>
  <c r="V261" i="80" s="1"/>
  <c r="AD227" i="80"/>
  <c r="AD250" i="80" s="1"/>
  <c r="AD258" i="80" s="1"/>
  <c r="AD261" i="80" s="1"/>
  <c r="E227" i="80"/>
  <c r="M227" i="80"/>
  <c r="M250" i="80" s="1"/>
  <c r="M258" i="80" s="1"/>
  <c r="M261" i="80" s="1"/>
  <c r="C13" i="79" s="1"/>
  <c r="O259" i="68" s="1"/>
  <c r="U227" i="80"/>
  <c r="U250" i="80" s="1"/>
  <c r="U258" i="80" s="1"/>
  <c r="U261" i="80" s="1"/>
  <c r="C22" i="79" s="1"/>
  <c r="AC227" i="80"/>
  <c r="AC250" i="80" s="1"/>
  <c r="AC258" i="80" s="1"/>
  <c r="AC261" i="80" s="1"/>
  <c r="C30" i="79" s="1"/>
  <c r="I86" i="80"/>
  <c r="I88" i="80" s="1"/>
  <c r="Q86" i="80"/>
  <c r="Q88" i="80" s="1"/>
  <c r="Y86" i="80"/>
  <c r="Y88" i="80" s="1"/>
  <c r="AH86" i="80"/>
  <c r="AH88" i="80" s="1"/>
  <c r="L167" i="80"/>
  <c r="T167" i="80"/>
  <c r="AB167" i="80"/>
  <c r="K86" i="80"/>
  <c r="K88" i="80" s="1"/>
  <c r="S86" i="80"/>
  <c r="S88" i="80" s="1"/>
  <c r="AA86" i="80"/>
  <c r="AA88" i="80" s="1"/>
  <c r="V86" i="80"/>
  <c r="V88" i="80" s="1"/>
  <c r="E86" i="80"/>
  <c r="M86" i="80"/>
  <c r="M88" i="80" s="1"/>
  <c r="U86" i="80"/>
  <c r="U88" i="80" s="1"/>
  <c r="AC86" i="80"/>
  <c r="AC88" i="80" s="1"/>
  <c r="Q227" i="80"/>
  <c r="Q250" i="80" s="1"/>
  <c r="Q258" i="80" s="1"/>
  <c r="Q261" i="80" s="1"/>
  <c r="C18" i="79" s="1"/>
  <c r="Y227" i="80"/>
  <c r="Y250" i="80" s="1"/>
  <c r="Y258" i="80" s="1"/>
  <c r="Y261" i="80" s="1"/>
  <c r="C26" i="79" s="1"/>
  <c r="AH227" i="80"/>
  <c r="AH250" i="80" s="1"/>
  <c r="AH258" i="80" s="1"/>
  <c r="AH261" i="80" s="1"/>
  <c r="C35" i="79" s="1"/>
  <c r="AE167" i="80"/>
  <c r="K227" i="80"/>
  <c r="K250" i="80" s="1"/>
  <c r="K258" i="80" s="1"/>
  <c r="S227" i="80"/>
  <c r="S250" i="80" s="1"/>
  <c r="S258" i="80" s="1"/>
  <c r="S261" i="80" s="1"/>
  <c r="C20" i="79" s="1"/>
  <c r="AA227" i="80"/>
  <c r="AA250" i="80" s="1"/>
  <c r="AA258" i="80" s="1"/>
  <c r="AA261" i="80" s="1"/>
  <c r="C28" i="79" s="1"/>
  <c r="K167" i="80"/>
  <c r="S167" i="80"/>
  <c r="AA167" i="80"/>
  <c r="J167" i="80"/>
  <c r="R167" i="80"/>
  <c r="Z167" i="80"/>
  <c r="AJ226" i="80"/>
  <c r="D249" i="80"/>
  <c r="X86" i="80"/>
  <c r="X88" i="80" s="1"/>
  <c r="AF86" i="80"/>
  <c r="AF88" i="80" s="1"/>
  <c r="G227" i="80"/>
  <c r="G250" i="80" s="1"/>
  <c r="O227" i="80"/>
  <c r="O250" i="80" s="1"/>
  <c r="O258" i="80" s="1"/>
  <c r="O261" i="80" s="1"/>
  <c r="C16" i="79" s="1"/>
  <c r="W227" i="80"/>
  <c r="W250" i="80" s="1"/>
  <c r="W258" i="80" s="1"/>
  <c r="W261" i="80" s="1"/>
  <c r="C24" i="79" s="1"/>
  <c r="AE227" i="80"/>
  <c r="AE250" i="80" s="1"/>
  <c r="I227" i="80"/>
  <c r="I250" i="80" s="1"/>
  <c r="F86" i="80"/>
  <c r="F88" i="80" s="1"/>
  <c r="N86" i="80"/>
  <c r="N88" i="80" s="1"/>
  <c r="AD86" i="80"/>
  <c r="AD88" i="80" s="1"/>
  <c r="O167" i="80"/>
  <c r="W167" i="80"/>
  <c r="D330" i="80"/>
  <c r="H167" i="80"/>
  <c r="P167" i="80"/>
  <c r="X167" i="80"/>
  <c r="AF167" i="80"/>
  <c r="L227" i="80"/>
  <c r="L250" i="80" s="1"/>
  <c r="L258" i="80" s="1"/>
  <c r="L261" i="80" s="1"/>
  <c r="C12" i="79" s="1"/>
  <c r="Q259" i="68" s="1"/>
  <c r="T227" i="80"/>
  <c r="T250" i="80" s="1"/>
  <c r="T258" i="80" s="1"/>
  <c r="T261" i="80" s="1"/>
  <c r="C21" i="79" s="1"/>
  <c r="AB227" i="80"/>
  <c r="AB250" i="80" s="1"/>
  <c r="AB258" i="80" s="1"/>
  <c r="AB261" i="80" s="1"/>
  <c r="C29" i="79" s="1"/>
  <c r="J86" i="80"/>
  <c r="J88" i="80" s="1"/>
  <c r="R86" i="80"/>
  <c r="R88" i="80" s="1"/>
  <c r="Z86" i="80"/>
  <c r="Z88" i="80" s="1"/>
  <c r="M167" i="80"/>
  <c r="U167" i="80"/>
  <c r="AC167" i="80"/>
  <c r="AJ180" i="80"/>
  <c r="D226" i="80"/>
  <c r="D286" i="80"/>
  <c r="F167" i="80"/>
  <c r="N167" i="80"/>
  <c r="V167" i="80"/>
  <c r="AD167" i="80"/>
  <c r="L86" i="80"/>
  <c r="L88" i="80" s="1"/>
  <c r="T86" i="80"/>
  <c r="T88" i="80" s="1"/>
  <c r="AB86" i="80"/>
  <c r="AB88" i="80" s="1"/>
  <c r="D98" i="80"/>
  <c r="D318" i="80"/>
  <c r="AJ165" i="80"/>
  <c r="AJ249" i="80"/>
  <c r="H227" i="80"/>
  <c r="H250" i="80" s="1"/>
  <c r="P227" i="80"/>
  <c r="P250" i="80" s="1"/>
  <c r="P258" i="80" s="1"/>
  <c r="P261" i="80" s="1"/>
  <c r="C17" i="79" s="1"/>
  <c r="X227" i="80"/>
  <c r="X250" i="80" s="1"/>
  <c r="X258" i="80" s="1"/>
  <c r="X261" i="80" s="1"/>
  <c r="C25" i="79" s="1"/>
  <c r="AF227" i="80"/>
  <c r="AF250" i="80" s="1"/>
  <c r="AF258" i="80" s="1"/>
  <c r="AF261" i="80" s="1"/>
  <c r="C33" i="79" s="1"/>
  <c r="I167" i="80"/>
  <c r="Q167" i="80"/>
  <c r="Y167" i="80"/>
  <c r="AH167" i="80"/>
  <c r="M41" i="17"/>
  <c r="D46" i="82"/>
  <c r="B46" i="82" s="1"/>
  <c r="H87" i="68"/>
  <c r="H89" i="68" s="1"/>
  <c r="P87" i="68"/>
  <c r="P89" i="68" s="1"/>
  <c r="I227" i="68"/>
  <c r="I250" i="68" s="1"/>
  <c r="I258" i="68" s="1"/>
  <c r="Q227" i="68"/>
  <c r="Q250" i="68" s="1"/>
  <c r="Q258" i="68" s="1"/>
  <c r="M227" i="68"/>
  <c r="M250" i="68" s="1"/>
  <c r="M258" i="68" s="1"/>
  <c r="L227" i="68"/>
  <c r="L250" i="68" s="1"/>
  <c r="L258" i="68" s="1"/>
  <c r="N87" i="68"/>
  <c r="N89" i="68" s="1"/>
  <c r="K168" i="68"/>
  <c r="S168" i="68"/>
  <c r="L168" i="68"/>
  <c r="L86" i="88"/>
  <c r="M86" i="88"/>
  <c r="H76" i="92"/>
  <c r="J76" i="92" s="1"/>
  <c r="H81" i="74"/>
  <c r="J81" i="74" s="1"/>
  <c r="H48" i="74"/>
  <c r="J76" i="85"/>
  <c r="J84" i="85" s="1"/>
  <c r="J87" i="85" s="1"/>
  <c r="J90" i="85" s="1"/>
  <c r="F77" i="92"/>
  <c r="H33" i="92"/>
  <c r="J33" i="92" s="1"/>
  <c r="M70" i="87"/>
  <c r="M70" i="69"/>
  <c r="J18" i="74"/>
  <c r="H28" i="74"/>
  <c r="J28" i="74" s="1"/>
  <c r="H31" i="74"/>
  <c r="J58" i="85"/>
  <c r="H13" i="74"/>
  <c r="H24" i="74"/>
  <c r="H27" i="74"/>
  <c r="H47" i="74"/>
  <c r="H87" i="74"/>
  <c r="J87" i="74" s="1"/>
  <c r="H15" i="74"/>
  <c r="H34" i="92"/>
  <c r="J22" i="74"/>
  <c r="H25" i="74"/>
  <c r="H29" i="74"/>
  <c r="J29" i="74" s="1"/>
  <c r="H52" i="74"/>
  <c r="M75" i="87"/>
  <c r="H16" i="74"/>
  <c r="H45" i="74"/>
  <c r="J45" i="74" s="1"/>
  <c r="H74" i="92"/>
  <c r="H46" i="74"/>
  <c r="H49" i="74"/>
  <c r="H35" i="92"/>
  <c r="J35" i="92" s="1"/>
  <c r="H67" i="92"/>
  <c r="H70" i="92"/>
  <c r="J70" i="92" s="1"/>
  <c r="H23" i="74"/>
  <c r="H51" i="74"/>
  <c r="H88" i="74"/>
  <c r="H37" i="92"/>
  <c r="H71" i="92"/>
  <c r="J71" i="92" s="1"/>
  <c r="Q18" i="46"/>
  <c r="P18" i="46" s="1"/>
  <c r="O18" i="46" s="1"/>
  <c r="Q21" i="46"/>
  <c r="P21" i="46" s="1"/>
  <c r="O21" i="46" s="1"/>
  <c r="U43" i="15"/>
  <c r="M67" i="88"/>
  <c r="M77" i="88" s="1"/>
  <c r="J63" i="88"/>
  <c r="H6" i="82"/>
  <c r="T33" i="14"/>
  <c r="U35" i="15"/>
  <c r="R19" i="56"/>
  <c r="S45" i="56"/>
  <c r="H47" i="82" s="1"/>
  <c r="R47" i="82" s="1"/>
  <c r="D47" i="82" s="1"/>
  <c r="A47" i="82" s="1"/>
  <c r="U35" i="57"/>
  <c r="K42" i="101"/>
  <c r="Y42" i="101" s="1"/>
  <c r="Q14" i="46"/>
  <c r="P14" i="46" s="1"/>
  <c r="O14" i="46" s="1"/>
  <c r="Q17" i="46"/>
  <c r="P17" i="46" s="1"/>
  <c r="O17" i="46" s="1"/>
  <c r="G41" i="17"/>
  <c r="Y44" i="101"/>
  <c r="X44" i="101"/>
  <c r="H36" i="92"/>
  <c r="J36" i="92" s="1"/>
  <c r="T25" i="59"/>
  <c r="S25" i="59"/>
  <c r="R25" i="59" s="1"/>
  <c r="I6" i="82"/>
  <c r="V33" i="15"/>
  <c r="V37" i="15"/>
  <c r="I41" i="17"/>
  <c r="T22" i="59"/>
  <c r="S22" i="59"/>
  <c r="R22" i="59" s="1"/>
  <c r="T34" i="59"/>
  <c r="S34" i="59"/>
  <c r="R34" i="59" s="1"/>
  <c r="H4" i="82"/>
  <c r="R4" i="82" s="1"/>
  <c r="D4" i="82" s="1"/>
  <c r="A4" i="82" s="1"/>
  <c r="M36" i="121"/>
  <c r="Q13" i="46"/>
  <c r="P13" i="46" s="1"/>
  <c r="O13" i="46" s="1"/>
  <c r="K38" i="101"/>
  <c r="Y38" i="101" s="1"/>
  <c r="U31" i="57"/>
  <c r="T31" i="57"/>
  <c r="S31" i="57" s="1"/>
  <c r="J21" i="74"/>
  <c r="H21" i="74"/>
  <c r="F25" i="68"/>
  <c r="H66" i="92"/>
  <c r="D68" i="92"/>
  <c r="U27" i="101"/>
  <c r="U39" i="101"/>
  <c r="U68" i="101"/>
  <c r="F25" i="90"/>
  <c r="J87" i="68"/>
  <c r="J89" i="68" s="1"/>
  <c r="R87" i="68"/>
  <c r="R89" i="68" s="1"/>
  <c r="N168" i="68"/>
  <c r="K227" i="68"/>
  <c r="K250" i="68" s="1"/>
  <c r="K258" i="68" s="1"/>
  <c r="S227" i="68"/>
  <c r="S250" i="68" s="1"/>
  <c r="S258" i="68" s="1"/>
  <c r="S261" i="68" s="1"/>
  <c r="S263" i="68" s="1"/>
  <c r="L71" i="88"/>
  <c r="H75" i="92"/>
  <c r="J75" i="92" s="1"/>
  <c r="AJ69" i="80"/>
  <c r="AJ98" i="80"/>
  <c r="U24" i="101"/>
  <c r="K26" i="101"/>
  <c r="Y26" i="101" s="1"/>
  <c r="F255" i="68"/>
  <c r="G255" i="68" s="1"/>
  <c r="M51" i="69"/>
  <c r="J17" i="88"/>
  <c r="J33" i="88"/>
  <c r="L51" i="88"/>
  <c r="L84" i="88"/>
  <c r="H19" i="74"/>
  <c r="D41" i="74"/>
  <c r="G86" i="80"/>
  <c r="G88" i="80" s="1"/>
  <c r="O86" i="80"/>
  <c r="O88" i="80" s="1"/>
  <c r="W86" i="80"/>
  <c r="W88" i="80" s="1"/>
  <c r="AE86" i="80"/>
  <c r="AE88" i="80" s="1"/>
  <c r="S20" i="59"/>
  <c r="R20" i="59" s="1"/>
  <c r="U53" i="101"/>
  <c r="L87" i="68"/>
  <c r="L89" i="68" s="1"/>
  <c r="H168" i="68"/>
  <c r="P168" i="68"/>
  <c r="L39" i="88"/>
  <c r="M51" i="88"/>
  <c r="M84" i="88"/>
  <c r="H17" i="74"/>
  <c r="H30" i="74"/>
  <c r="J30" i="74" s="1"/>
  <c r="F85" i="74"/>
  <c r="H84" i="74"/>
  <c r="H40" i="92"/>
  <c r="H64" i="92"/>
  <c r="J64" i="92" s="1"/>
  <c r="D72" i="92"/>
  <c r="T28" i="57"/>
  <c r="S28" i="57" s="1"/>
  <c r="U32" i="57"/>
  <c r="T32" i="59"/>
  <c r="U21" i="101"/>
  <c r="U28" i="101"/>
  <c r="U31" i="101"/>
  <c r="U55" i="101"/>
  <c r="U73" i="101"/>
  <c r="F68" i="92"/>
  <c r="K23" i="101"/>
  <c r="Y23" i="101" s="1"/>
  <c r="X72" i="101"/>
  <c r="W72" i="101" s="1"/>
  <c r="M83" i="69"/>
  <c r="M39" i="87"/>
  <c r="M83" i="87"/>
  <c r="D85" i="80"/>
  <c r="U23" i="101"/>
  <c r="F115" i="66"/>
  <c r="M39" i="69"/>
  <c r="J25" i="88"/>
  <c r="J45" i="88"/>
  <c r="J55" i="88"/>
  <c r="M57" i="88"/>
  <c r="J66" i="88"/>
  <c r="H82" i="74"/>
  <c r="H38" i="92"/>
  <c r="J65" i="92"/>
  <c r="AJ85" i="80"/>
  <c r="D138" i="80"/>
  <c r="G167" i="80"/>
  <c r="K38" i="57"/>
  <c r="K70" i="57" s="1"/>
  <c r="K73" i="57" s="1"/>
  <c r="U34" i="57"/>
  <c r="S21" i="59"/>
  <c r="R21" i="59" s="1"/>
  <c r="I37" i="59"/>
  <c r="O37" i="59"/>
  <c r="U47" i="101"/>
  <c r="M66" i="69"/>
  <c r="M75" i="69"/>
  <c r="M66" i="87"/>
  <c r="J82" i="88"/>
  <c r="J84" i="88" s="1"/>
  <c r="H50" i="74"/>
  <c r="H83" i="74"/>
  <c r="J83" i="74" s="1"/>
  <c r="H39" i="92"/>
  <c r="AJ211" i="80"/>
  <c r="R17" i="82"/>
  <c r="D17" i="82" s="1"/>
  <c r="B17" i="82" s="1"/>
  <c r="D39" i="82"/>
  <c r="B39" i="82" s="1"/>
  <c r="D43" i="82"/>
  <c r="B43" i="82" s="1"/>
  <c r="D194" i="80"/>
  <c r="M51" i="87"/>
  <c r="F53" i="74"/>
  <c r="F72" i="92"/>
  <c r="D211" i="80"/>
  <c r="R15" i="82"/>
  <c r="D15" i="82" s="1"/>
  <c r="B15" i="82" s="1"/>
  <c r="F68" i="74"/>
  <c r="E288" i="80"/>
  <c r="E331" i="80"/>
  <c r="D44" i="82"/>
  <c r="A44" i="82" s="1"/>
  <c r="H57" i="74"/>
  <c r="J57" i="74" s="1"/>
  <c r="E167" i="80"/>
  <c r="R13" i="82"/>
  <c r="D13" i="82" s="1"/>
  <c r="A13" i="82" s="1"/>
  <c r="R21" i="82"/>
  <c r="D21" i="82" s="1"/>
  <c r="B21" i="82" s="1"/>
  <c r="U25" i="82"/>
  <c r="AJ138" i="80"/>
  <c r="D45" i="82"/>
  <c r="B45" i="82" s="1"/>
  <c r="M39" i="88"/>
  <c r="D28" i="82"/>
  <c r="B28" i="82" s="1"/>
  <c r="D5" i="82"/>
  <c r="B5" i="82" s="1"/>
  <c r="A42" i="94"/>
  <c r="G219" i="68"/>
  <c r="D3" i="82"/>
  <c r="A3" i="82" s="1"/>
  <c r="T25" i="82"/>
  <c r="U24" i="82"/>
  <c r="T24" i="82"/>
  <c r="D35" i="82"/>
  <c r="B35" i="82" s="1"/>
  <c r="F145" i="66"/>
  <c r="G145" i="66" s="1"/>
  <c r="F115" i="68"/>
  <c r="F114" i="90" s="1"/>
  <c r="D34" i="82"/>
  <c r="B34" i="82" s="1"/>
  <c r="F57" i="66"/>
  <c r="F57" i="72" s="1"/>
  <c r="D33" i="82"/>
  <c r="B33" i="82" s="1"/>
  <c r="F117" i="68"/>
  <c r="D32" i="82"/>
  <c r="B32" i="82" s="1"/>
  <c r="F59" i="68"/>
  <c r="F58" i="90" s="1"/>
  <c r="D31" i="82"/>
  <c r="B31" i="82" s="1"/>
  <c r="F26" i="66"/>
  <c r="F26" i="72" s="1"/>
  <c r="D30" i="82"/>
  <c r="A30" i="82" s="1"/>
  <c r="D29" i="82"/>
  <c r="A29" i="82" s="1"/>
  <c r="F77" i="74"/>
  <c r="F53" i="92"/>
  <c r="F58" i="92"/>
  <c r="F85" i="92"/>
  <c r="H33" i="74"/>
  <c r="J33" i="74" s="1"/>
  <c r="H34" i="74"/>
  <c r="H35" i="74"/>
  <c r="J35" i="74" s="1"/>
  <c r="H36" i="74"/>
  <c r="J36" i="74" s="1"/>
  <c r="H37" i="74"/>
  <c r="H38" i="74"/>
  <c r="H39" i="74"/>
  <c r="H40" i="74"/>
  <c r="H64" i="74"/>
  <c r="J64" i="74" s="1"/>
  <c r="H65" i="74"/>
  <c r="J65" i="74" s="1"/>
  <c r="H66" i="74"/>
  <c r="H67" i="74"/>
  <c r="H70" i="74"/>
  <c r="J70" i="74" s="1"/>
  <c r="H71" i="74"/>
  <c r="J71" i="74" s="1"/>
  <c r="H74" i="74"/>
  <c r="H75" i="74"/>
  <c r="J75" i="74" s="1"/>
  <c r="H76" i="74"/>
  <c r="J76" i="74" s="1"/>
  <c r="H45" i="92"/>
  <c r="J45" i="92" s="1"/>
  <c r="H46" i="92"/>
  <c r="H47" i="92"/>
  <c r="H48" i="92"/>
  <c r="H49" i="92"/>
  <c r="H50" i="92"/>
  <c r="H51" i="92"/>
  <c r="H52" i="92"/>
  <c r="H57" i="92"/>
  <c r="J57" i="92" s="1"/>
  <c r="H81" i="92"/>
  <c r="J81" i="92" s="1"/>
  <c r="H82" i="92"/>
  <c r="H83" i="92"/>
  <c r="J83" i="92" s="1"/>
  <c r="H84" i="92"/>
  <c r="H87" i="92"/>
  <c r="J87" i="92" s="1"/>
  <c r="H88" i="92"/>
  <c r="F41" i="74"/>
  <c r="F72" i="74"/>
  <c r="H13" i="92"/>
  <c r="H15" i="92"/>
  <c r="H16" i="92"/>
  <c r="H17" i="92"/>
  <c r="H18" i="92"/>
  <c r="H19" i="92"/>
  <c r="H20" i="92"/>
  <c r="H21" i="92"/>
  <c r="H22" i="92"/>
  <c r="H23" i="92"/>
  <c r="H24" i="92"/>
  <c r="H25" i="92"/>
  <c r="H26" i="92"/>
  <c r="J26" i="92" s="1"/>
  <c r="H27" i="92"/>
  <c r="H28" i="92"/>
  <c r="J28" i="92" s="1"/>
  <c r="H29" i="92"/>
  <c r="J29" i="92" s="1"/>
  <c r="H30" i="92"/>
  <c r="J30" i="92" s="1"/>
  <c r="H31" i="92"/>
  <c r="F41" i="92"/>
  <c r="B2" i="4"/>
  <c r="B2" i="89"/>
  <c r="B2" i="13"/>
  <c r="B2" i="14"/>
  <c r="B2" i="115"/>
  <c r="B2" i="18"/>
  <c r="A2" i="19"/>
  <c r="A2" i="20"/>
  <c r="A2" i="25"/>
  <c r="A2" i="119"/>
  <c r="A2" i="29"/>
  <c r="B2" i="38"/>
  <c r="B2" i="117"/>
  <c r="A2" i="50"/>
  <c r="A2" i="105"/>
  <c r="B2" i="57"/>
  <c r="C2" i="63"/>
  <c r="B2" i="100"/>
  <c r="B2" i="87"/>
  <c r="B2" i="12"/>
  <c r="B2" i="15"/>
  <c r="A2" i="23"/>
  <c r="A2" i="26"/>
  <c r="A2" i="30"/>
  <c r="A2" i="34"/>
  <c r="A2" i="118"/>
  <c r="B2" i="43"/>
  <c r="B2" i="53"/>
  <c r="A2" i="104"/>
  <c r="B2" i="74"/>
  <c r="A2" i="75"/>
  <c r="A2" i="76"/>
  <c r="B2" i="80"/>
  <c r="A2" i="9"/>
  <c r="A2" i="16"/>
  <c r="C2" i="17"/>
  <c r="B2" i="22"/>
  <c r="A2" i="31"/>
  <c r="A2" i="94"/>
  <c r="A2" i="98"/>
  <c r="B2" i="37"/>
  <c r="B2" i="41"/>
  <c r="B2" i="42"/>
  <c r="B2" i="47"/>
  <c r="B2" i="49"/>
  <c r="C2" i="56"/>
  <c r="C2" i="59"/>
  <c r="C2" i="60"/>
  <c r="C2" i="61"/>
  <c r="C2" i="64"/>
  <c r="C2" i="65"/>
  <c r="A2" i="99"/>
  <c r="A2" i="68"/>
  <c r="B2" i="69"/>
  <c r="B2" i="88"/>
  <c r="D8" i="82"/>
  <c r="A8" i="82" s="1"/>
  <c r="D23" i="82"/>
  <c r="B23" i="82" s="1"/>
  <c r="D16" i="82"/>
  <c r="A16" i="82" s="1"/>
  <c r="N227" i="68"/>
  <c r="N250" i="68" s="1"/>
  <c r="N258" i="68" s="1"/>
  <c r="K87" i="68"/>
  <c r="K89" i="68" s="1"/>
  <c r="S87" i="68"/>
  <c r="S89" i="68" s="1"/>
  <c r="M168" i="68"/>
  <c r="M87" i="68"/>
  <c r="M89" i="68" s="1"/>
  <c r="B42" i="82"/>
  <c r="A42" i="82"/>
  <c r="B40" i="82"/>
  <c r="A40" i="82"/>
  <c r="B41" i="82"/>
  <c r="A41" i="82"/>
  <c r="D10" i="82"/>
  <c r="A10" i="82" s="1"/>
  <c r="D48" i="82"/>
  <c r="A48" i="82" s="1"/>
  <c r="Q28" i="59"/>
  <c r="T28" i="59" s="1"/>
  <c r="A21" i="77"/>
  <c r="A17" i="77"/>
  <c r="A25" i="77"/>
  <c r="A33" i="77"/>
  <c r="A14" i="77"/>
  <c r="A30" i="77"/>
  <c r="A18" i="77"/>
  <c r="A22" i="77"/>
  <c r="A13" i="77"/>
  <c r="A29" i="77"/>
  <c r="A12" i="77"/>
  <c r="A16" i="77"/>
  <c r="A20" i="77"/>
  <c r="A24" i="77"/>
  <c r="A28" i="77"/>
  <c r="A32" i="77"/>
  <c r="A11" i="77"/>
  <c r="A15" i="77"/>
  <c r="A19" i="77"/>
  <c r="A23" i="77"/>
  <c r="A27" i="77"/>
  <c r="A31" i="77"/>
  <c r="A3" i="77"/>
  <c r="A5" i="77"/>
  <c r="A7" i="77"/>
  <c r="M11" i="77"/>
  <c r="M12" i="77"/>
  <c r="M13" i="77"/>
  <c r="M14" i="77"/>
  <c r="M15" i="77"/>
  <c r="M16" i="77"/>
  <c r="M17" i="77"/>
  <c r="M18" i="77"/>
  <c r="M19" i="77"/>
  <c r="M20" i="77"/>
  <c r="M21" i="77"/>
  <c r="M22" i="77"/>
  <c r="M23" i="77"/>
  <c r="M24" i="77"/>
  <c r="M25" i="77"/>
  <c r="M26" i="77"/>
  <c r="M27" i="77"/>
  <c r="M28" i="77"/>
  <c r="M29" i="77"/>
  <c r="M30" i="77"/>
  <c r="M31" i="77"/>
  <c r="M32" i="77"/>
  <c r="A34" i="77"/>
  <c r="A36" i="77"/>
  <c r="A39" i="77"/>
  <c r="A42" i="77"/>
  <c r="A44" i="77"/>
  <c r="A46" i="77"/>
  <c r="A48" i="77"/>
  <c r="A50" i="77"/>
  <c r="A52" i="77"/>
  <c r="A54" i="77"/>
  <c r="A56" i="77"/>
  <c r="A58" i="77"/>
  <c r="A60" i="77"/>
  <c r="A62" i="77"/>
  <c r="A64" i="77"/>
  <c r="A66" i="77"/>
  <c r="A68" i="77"/>
  <c r="A70" i="77"/>
  <c r="A72" i="77"/>
  <c r="A74" i="77"/>
  <c r="A76" i="77"/>
  <c r="A78" i="77"/>
  <c r="M8" i="77"/>
  <c r="M9" i="77"/>
  <c r="M10" i="77"/>
  <c r="A4" i="77"/>
  <c r="A6" i="77"/>
  <c r="A8" i="77"/>
  <c r="A9" i="77"/>
  <c r="A10" i="77"/>
  <c r="A35" i="77"/>
  <c r="A37" i="77"/>
  <c r="A41" i="77"/>
  <c r="A43" i="77"/>
  <c r="A45" i="77"/>
  <c r="A47" i="77"/>
  <c r="A49" i="77"/>
  <c r="A51" i="77"/>
  <c r="A53" i="77"/>
  <c r="A55" i="77"/>
  <c r="A57" i="77"/>
  <c r="A59" i="77"/>
  <c r="A61" i="77"/>
  <c r="A63" i="77"/>
  <c r="A65" i="77"/>
  <c r="A67" i="77"/>
  <c r="A69" i="77"/>
  <c r="A71" i="77"/>
  <c r="A73" i="77"/>
  <c r="A75" i="77"/>
  <c r="A77" i="77"/>
  <c r="A74" i="3"/>
  <c r="A4" i="89"/>
  <c r="A2" i="97"/>
  <c r="A1" i="115"/>
  <c r="A42" i="60"/>
  <c r="A58" i="60"/>
  <c r="A9" i="61"/>
  <c r="A29" i="63"/>
  <c r="A63" i="101"/>
  <c r="A55" i="101"/>
  <c r="A51" i="101"/>
  <c r="A48" i="101"/>
  <c r="A19" i="65"/>
  <c r="A15" i="65"/>
  <c r="A8" i="65"/>
  <c r="A56" i="64"/>
  <c r="A40" i="100"/>
  <c r="A11" i="100"/>
  <c r="A9" i="100"/>
  <c r="A4" i="100"/>
  <c r="A12" i="101"/>
  <c r="A46" i="65"/>
  <c r="A42" i="65"/>
  <c r="A38" i="65"/>
  <c r="A46" i="64"/>
  <c r="A43" i="64"/>
  <c r="A16" i="64"/>
  <c r="A12" i="64"/>
  <c r="A42" i="58"/>
  <c r="A34" i="58"/>
  <c r="A26" i="58"/>
  <c r="A12" i="58"/>
  <c r="A26" i="101"/>
  <c r="A23" i="101"/>
  <c r="A20" i="101"/>
  <c r="A16" i="101"/>
  <c r="A13" i="65"/>
  <c r="A69" i="64"/>
  <c r="A65" i="64"/>
  <c r="A61" i="64"/>
  <c r="A90" i="101"/>
  <c r="A75" i="101"/>
  <c r="A73" i="101"/>
  <c r="A71" i="101"/>
  <c r="A52" i="65"/>
  <c r="A32" i="63"/>
  <c r="A20" i="63"/>
  <c r="A16" i="63"/>
  <c r="A12" i="63"/>
  <c r="A15" i="62"/>
  <c r="A11" i="62"/>
  <c r="A8" i="62"/>
  <c r="E6" i="62"/>
  <c r="A3" i="62"/>
  <c r="A12" i="61"/>
  <c r="A53" i="60"/>
  <c r="A41" i="60"/>
  <c r="A37" i="60"/>
  <c r="A33" i="60"/>
  <c r="A8" i="59"/>
  <c r="E6" i="59"/>
  <c r="A3" i="59"/>
  <c r="A73" i="57"/>
  <c r="A66" i="57"/>
  <c r="A20" i="57"/>
  <c r="M6" i="57"/>
  <c r="A58" i="56"/>
  <c r="A54" i="56"/>
  <c r="A50" i="56"/>
  <c r="A15" i="56"/>
  <c r="A11" i="56"/>
  <c r="A8" i="56"/>
  <c r="E6" i="56"/>
  <c r="A3" i="56"/>
  <c r="A19" i="101"/>
  <c r="A16" i="65"/>
  <c r="A34" i="64"/>
  <c r="A19" i="64"/>
  <c r="A11" i="64"/>
  <c r="A11" i="63"/>
  <c r="A8" i="63"/>
  <c r="F6" i="63"/>
  <c r="A3" i="63"/>
  <c r="A54" i="62"/>
  <c r="A14" i="62"/>
  <c r="A10" i="62"/>
  <c r="A6" i="62"/>
  <c r="A52" i="61"/>
  <c r="A48" i="61"/>
  <c r="A19" i="61"/>
  <c r="A15" i="61"/>
  <c r="A8" i="61"/>
  <c r="F6" i="61"/>
  <c r="A4" i="61"/>
  <c r="A28" i="60"/>
  <c r="A20" i="60"/>
  <c r="A16" i="60"/>
  <c r="A12" i="60"/>
  <c r="A9" i="60"/>
  <c r="A10" i="59"/>
  <c r="A6" i="59"/>
  <c r="A1" i="59"/>
  <c r="A70" i="57"/>
  <c r="A65" i="57"/>
  <c r="A22" i="57"/>
  <c r="A19" i="57"/>
  <c r="A15" i="57"/>
  <c r="A10" i="57"/>
  <c r="A8" i="57"/>
  <c r="A43" i="56"/>
  <c r="A42" i="56"/>
  <c r="A41" i="56"/>
  <c r="A40" i="56"/>
  <c r="A39" i="56"/>
  <c r="I5" i="104"/>
  <c r="D5" i="46"/>
  <c r="D7" i="39"/>
  <c r="B6" i="35"/>
  <c r="I5" i="33"/>
  <c r="A8" i="100"/>
  <c r="A1" i="100"/>
  <c r="A78" i="101"/>
  <c r="A47" i="101"/>
  <c r="A25" i="101"/>
  <c r="A48" i="64"/>
  <c r="A30" i="64"/>
  <c r="A18" i="64"/>
  <c r="A10" i="64"/>
  <c r="F6" i="64"/>
  <c r="A26" i="63"/>
  <c r="A22" i="63"/>
  <c r="A18" i="63"/>
  <c r="A14" i="63"/>
  <c r="A10" i="63"/>
  <c r="A33" i="62"/>
  <c r="A29" i="62"/>
  <c r="A25" i="62"/>
  <c r="A21" i="62"/>
  <c r="A17" i="62"/>
  <c r="A51" i="61"/>
  <c r="A47" i="61"/>
  <c r="A43" i="61"/>
  <c r="A39" i="61"/>
  <c r="A35" i="61"/>
  <c r="A3" i="61"/>
  <c r="A1" i="61"/>
  <c r="A55" i="60"/>
  <c r="A51" i="60"/>
  <c r="A47" i="60"/>
  <c r="A15" i="60"/>
  <c r="A11" i="60"/>
  <c r="M6" i="60"/>
  <c r="A3" i="60"/>
  <c r="A40" i="59"/>
  <c r="A21" i="59"/>
  <c r="A20" i="59"/>
  <c r="A18" i="59"/>
  <c r="A14" i="59"/>
  <c r="A9" i="59"/>
  <c r="A56" i="57"/>
  <c r="A52" i="57"/>
  <c r="A48" i="57"/>
  <c r="A44" i="57"/>
  <c r="A40" i="57"/>
  <c r="A2" i="57"/>
  <c r="A64" i="56"/>
  <c r="A60" i="56"/>
  <c r="A56" i="56"/>
  <c r="A52" i="56"/>
  <c r="A9" i="56"/>
  <c r="A7" i="56"/>
  <c r="A5" i="56"/>
  <c r="A2" i="56"/>
  <c r="D7" i="41"/>
  <c r="A7" i="3"/>
  <c r="A9" i="3"/>
  <c r="A13" i="3"/>
  <c r="A17" i="3"/>
  <c r="A20" i="3"/>
  <c r="A73" i="3"/>
  <c r="A77" i="3"/>
  <c r="I5" i="4"/>
  <c r="A1" i="89"/>
  <c r="A6" i="89"/>
  <c r="A5" i="63"/>
  <c r="A40" i="63"/>
  <c r="A1" i="101"/>
  <c r="I5" i="3"/>
  <c r="A14" i="3"/>
  <c r="A26" i="3"/>
  <c r="A47" i="3"/>
  <c r="A51" i="3"/>
  <c r="A55" i="3"/>
  <c r="A59" i="3"/>
  <c r="A7" i="89"/>
  <c r="A9" i="89"/>
  <c r="H5" i="97"/>
  <c r="A10" i="97"/>
  <c r="K6" i="13"/>
  <c r="J5" i="25"/>
  <c r="F6" i="30"/>
  <c r="B6" i="98"/>
  <c r="A16" i="56"/>
  <c r="A48" i="56"/>
  <c r="A13" i="59"/>
  <c r="A30" i="59"/>
  <c r="A8" i="60"/>
  <c r="A14" i="60"/>
  <c r="A30" i="60"/>
  <c r="A36" i="62"/>
  <c r="A52" i="62"/>
  <c r="A2" i="63"/>
  <c r="A17" i="63"/>
  <c r="A48" i="63"/>
  <c r="A4" i="97"/>
  <c r="A78" i="97"/>
  <c r="A7" i="115"/>
  <c r="C5" i="53"/>
  <c r="A7" i="57"/>
  <c r="D8" i="132"/>
  <c r="A1" i="3"/>
  <c r="A10" i="3"/>
  <c r="A4" i="3"/>
  <c r="A12" i="3"/>
  <c r="A60" i="3"/>
  <c r="A66" i="3"/>
  <c r="A69" i="3"/>
  <c r="A76" i="3"/>
  <c r="A80" i="3"/>
  <c r="I5" i="8"/>
  <c r="G17" i="8" s="1"/>
  <c r="A4" i="115"/>
  <c r="K5" i="17"/>
  <c r="A25" i="17" s="1"/>
  <c r="D6" i="34"/>
  <c r="D6" i="94"/>
  <c r="A27" i="57"/>
  <c r="A43" i="57"/>
  <c r="A59" i="57"/>
  <c r="A71" i="57"/>
  <c r="A17" i="59"/>
  <c r="A24" i="62"/>
  <c r="A40" i="62"/>
  <c r="A56" i="62"/>
  <c r="A21" i="63"/>
  <c r="A36" i="63"/>
  <c r="A38" i="100"/>
  <c r="T134" i="68"/>
  <c r="I87" i="68"/>
  <c r="I89" i="68" s="1"/>
  <c r="Q87" i="68"/>
  <c r="Q89" i="68" s="1"/>
  <c r="H227" i="68"/>
  <c r="H250" i="68" s="1"/>
  <c r="H258" i="68" s="1"/>
  <c r="H261" i="68" s="1"/>
  <c r="H263" i="68" s="1"/>
  <c r="P227" i="68"/>
  <c r="P250" i="68" s="1"/>
  <c r="P258" i="68" s="1"/>
  <c r="T129" i="68"/>
  <c r="O168" i="68"/>
  <c r="G124" i="68"/>
  <c r="T124" i="68"/>
  <c r="O87" i="68"/>
  <c r="O89" i="68" s="1"/>
  <c r="O227" i="68"/>
  <c r="O250" i="68" s="1"/>
  <c r="O258" i="68" s="1"/>
  <c r="F238" i="90"/>
  <c r="F99" i="68"/>
  <c r="G256" i="68"/>
  <c r="F247" i="90"/>
  <c r="T27" i="68"/>
  <c r="G146" i="68"/>
  <c r="F249" i="68"/>
  <c r="T249" i="68" s="1"/>
  <c r="G134" i="68"/>
  <c r="J168" i="68"/>
  <c r="R168" i="68"/>
  <c r="F180" i="90"/>
  <c r="F98" i="90"/>
  <c r="T130" i="68"/>
  <c r="T136" i="68"/>
  <c r="G136" i="68"/>
  <c r="G192" i="68"/>
  <c r="F191" i="90"/>
  <c r="F210" i="90"/>
  <c r="F226" i="68"/>
  <c r="T226" i="68" s="1"/>
  <c r="F132" i="90"/>
  <c r="T133" i="68"/>
  <c r="G133" i="68"/>
  <c r="F211" i="68"/>
  <c r="G129" i="68"/>
  <c r="G187" i="68"/>
  <c r="F186" i="90"/>
  <c r="F181" i="68"/>
  <c r="G186" i="68"/>
  <c r="G191" i="68"/>
  <c r="G244" i="68"/>
  <c r="F183" i="90"/>
  <c r="F189" i="90"/>
  <c r="F213" i="90"/>
  <c r="G240" i="68"/>
  <c r="G247" i="68"/>
  <c r="G257" i="68"/>
  <c r="F136" i="90"/>
  <c r="F218" i="90"/>
  <c r="G188" i="68"/>
  <c r="F194" i="68"/>
  <c r="F237" i="90"/>
  <c r="G137" i="68"/>
  <c r="G24" i="66"/>
  <c r="G130" i="66"/>
  <c r="F249" i="72"/>
  <c r="F229" i="66"/>
  <c r="F252" i="66" s="1"/>
  <c r="G58" i="66"/>
  <c r="G133" i="66"/>
  <c r="F211" i="72"/>
  <c r="F180" i="72"/>
  <c r="F116" i="72"/>
  <c r="G116" i="66"/>
  <c r="F127" i="72"/>
  <c r="F23" i="72"/>
  <c r="F134" i="72"/>
  <c r="G134" i="66"/>
  <c r="G123" i="66"/>
  <c r="F131" i="72"/>
  <c r="G131" i="66"/>
  <c r="F98" i="72"/>
  <c r="F194" i="72"/>
  <c r="F226" i="72"/>
  <c r="G135" i="66"/>
  <c r="F132" i="72"/>
  <c r="U20" i="101"/>
  <c r="U42" i="101"/>
  <c r="U60" i="101"/>
  <c r="Y68" i="101"/>
  <c r="U26" i="101"/>
  <c r="U56" i="101"/>
  <c r="U22" i="101"/>
  <c r="U30" i="101"/>
  <c r="U34" i="101"/>
  <c r="U72" i="101"/>
  <c r="U29" i="101"/>
  <c r="U33" i="101"/>
  <c r="X37" i="101"/>
  <c r="W37" i="101" s="1"/>
  <c r="U38" i="101"/>
  <c r="U67" i="101"/>
  <c r="Y71" i="101"/>
  <c r="U37" i="101"/>
  <c r="U51" i="101"/>
  <c r="U66" i="101"/>
  <c r="U25" i="101"/>
  <c r="U32" i="101"/>
  <c r="U36" i="101"/>
  <c r="U46" i="101"/>
  <c r="U71" i="101"/>
  <c r="U43" i="101"/>
  <c r="U45" i="101"/>
  <c r="U50" i="101"/>
  <c r="U70" i="101"/>
  <c r="U35" i="101"/>
  <c r="U54" i="101"/>
  <c r="U69" i="101"/>
  <c r="U74" i="101"/>
  <c r="U77" i="101"/>
  <c r="Y66" i="101"/>
  <c r="Y70" i="101"/>
  <c r="Y32" i="101"/>
  <c r="Y36" i="101"/>
  <c r="X33" i="101"/>
  <c r="W33" i="101" s="1"/>
  <c r="X69" i="101"/>
  <c r="W69" i="101" s="1"/>
  <c r="S19" i="59"/>
  <c r="S26" i="59"/>
  <c r="R26" i="59" s="1"/>
  <c r="S23" i="59"/>
  <c r="R23" i="59" s="1"/>
  <c r="X21" i="101"/>
  <c r="W21" i="101" s="1"/>
  <c r="Y21" i="101"/>
  <c r="X24" i="101"/>
  <c r="W24" i="101" s="1"/>
  <c r="Y24" i="101"/>
  <c r="X40" i="101"/>
  <c r="W40" i="101" s="1"/>
  <c r="Y40" i="101"/>
  <c r="X29" i="101"/>
  <c r="W29" i="101" s="1"/>
  <c r="Y29" i="101"/>
  <c r="T25" i="57"/>
  <c r="S25" i="57" s="1"/>
  <c r="T33" i="57"/>
  <c r="S33" i="57" s="1"/>
  <c r="K39" i="101"/>
  <c r="T22" i="57"/>
  <c r="S22" i="57" s="1"/>
  <c r="U25" i="57"/>
  <c r="T30" i="57"/>
  <c r="S30" i="57" s="1"/>
  <c r="U33" i="57"/>
  <c r="X22" i="101"/>
  <c r="W22" i="101" s="1"/>
  <c r="X30" i="101"/>
  <c r="W30" i="101" s="1"/>
  <c r="X34" i="101"/>
  <c r="W34" i="101" s="1"/>
  <c r="X38" i="101"/>
  <c r="W38" i="101" s="1"/>
  <c r="U22" i="57"/>
  <c r="T27" i="57"/>
  <c r="S27" i="57" s="1"/>
  <c r="U30" i="57"/>
  <c r="T35" i="57"/>
  <c r="S35" i="57" s="1"/>
  <c r="K20" i="101"/>
  <c r="K28" i="101"/>
  <c r="X27" i="101"/>
  <c r="W27" i="101" s="1"/>
  <c r="X31" i="101"/>
  <c r="W31" i="101" s="1"/>
  <c r="X35" i="101"/>
  <c r="W35" i="101" s="1"/>
  <c r="X43" i="101"/>
  <c r="W43" i="101" s="1"/>
  <c r="T21" i="57"/>
  <c r="S21" i="57" s="1"/>
  <c r="T29" i="57"/>
  <c r="S29" i="57" s="1"/>
  <c r="K25" i="101"/>
  <c r="K41" i="101"/>
  <c r="U21" i="57"/>
  <c r="D46" i="17"/>
  <c r="E50" i="17"/>
  <c r="T18" i="82"/>
  <c r="R18" i="82" s="1"/>
  <c r="D18" i="82" s="1"/>
  <c r="A18" i="82" s="1"/>
  <c r="A13" i="15"/>
  <c r="P18" i="82"/>
  <c r="D34" i="15"/>
  <c r="E35" i="15"/>
  <c r="U39" i="15"/>
  <c r="U36" i="15"/>
  <c r="U44" i="15"/>
  <c r="U40" i="15"/>
  <c r="A13" i="14"/>
  <c r="T36" i="14"/>
  <c r="T40" i="14"/>
  <c r="T44" i="14"/>
  <c r="T12" i="82"/>
  <c r="R12" i="82" s="1"/>
  <c r="D12" i="82" s="1"/>
  <c r="B12" i="82" s="1"/>
  <c r="S42" i="14"/>
  <c r="S35" i="14"/>
  <c r="T38" i="14"/>
  <c r="S43" i="14"/>
  <c r="E34" i="14"/>
  <c r="P12" i="82"/>
  <c r="S39" i="14"/>
  <c r="G129" i="66"/>
  <c r="G137" i="66"/>
  <c r="G132" i="68"/>
  <c r="G125" i="68"/>
  <c r="T132" i="68"/>
  <c r="G135" i="68"/>
  <c r="F130" i="90"/>
  <c r="T125" i="68"/>
  <c r="G130" i="68"/>
  <c r="T135" i="68"/>
  <c r="G138" i="68"/>
  <c r="F127" i="90"/>
  <c r="F135" i="90"/>
  <c r="T138" i="68"/>
  <c r="F128" i="72"/>
  <c r="F136" i="72"/>
  <c r="G131" i="68"/>
  <c r="U7" i="82"/>
  <c r="T7" i="82"/>
  <c r="R7" i="82" s="1"/>
  <c r="D7" i="82" s="1"/>
  <c r="A50" i="64" l="1"/>
  <c r="A2" i="100"/>
  <c r="A27" i="11"/>
  <c r="A37" i="58"/>
  <c r="A68" i="64"/>
  <c r="G5" i="23"/>
  <c r="A22" i="3"/>
  <c r="A5" i="3"/>
  <c r="A60" i="57"/>
  <c r="A72" i="64"/>
  <c r="A47" i="63"/>
  <c r="A21" i="65"/>
  <c r="M8" i="100"/>
  <c r="A56" i="63"/>
  <c r="A49" i="101"/>
  <c r="A8" i="97"/>
  <c r="A3" i="89"/>
  <c r="A2" i="89"/>
  <c r="A21" i="61"/>
  <c r="A17" i="56"/>
  <c r="A59" i="61"/>
  <c r="A6" i="56"/>
  <c r="A23" i="59"/>
  <c r="A19" i="63"/>
  <c r="A20" i="100"/>
  <c r="A46" i="101"/>
  <c r="A13" i="100"/>
  <c r="A2" i="64"/>
  <c r="A5" i="115"/>
  <c r="A10" i="101"/>
  <c r="G5" i="55"/>
  <c r="A6" i="97"/>
  <c r="A48" i="3"/>
  <c r="A81" i="101"/>
  <c r="A34" i="61"/>
  <c r="A39" i="57"/>
  <c r="A110" i="115"/>
  <c r="A78" i="3"/>
  <c r="A15" i="3"/>
  <c r="A38" i="60"/>
  <c r="A63" i="3"/>
  <c r="L5" i="20"/>
  <c r="A26" i="56"/>
  <c r="A18" i="57"/>
  <c r="A69" i="57"/>
  <c r="A31" i="59"/>
  <c r="A27" i="60"/>
  <c r="A14" i="61"/>
  <c r="A2" i="62"/>
  <c r="A45" i="62"/>
  <c r="A37" i="63"/>
  <c r="A12" i="65"/>
  <c r="A42" i="100"/>
  <c r="A10" i="56"/>
  <c r="A53" i="56"/>
  <c r="A45" i="57"/>
  <c r="A27" i="59"/>
  <c r="A40" i="60"/>
  <c r="A31" i="61"/>
  <c r="A26" i="62"/>
  <c r="A31" i="63"/>
  <c r="A10" i="100"/>
  <c r="A23" i="56"/>
  <c r="A31" i="57"/>
  <c r="A2" i="60"/>
  <c r="A24" i="61"/>
  <c r="A35" i="62"/>
  <c r="A1" i="64"/>
  <c r="A27" i="64"/>
  <c r="A29" i="65"/>
  <c r="A50" i="101"/>
  <c r="A39" i="100"/>
  <c r="A66" i="64"/>
  <c r="A45" i="101"/>
  <c r="A5" i="64"/>
  <c r="A14" i="101"/>
  <c r="A23" i="100"/>
  <c r="A24" i="57"/>
  <c r="A2" i="115"/>
  <c r="A23" i="65"/>
  <c r="O5" i="11"/>
  <c r="A4" i="57"/>
  <c r="A5" i="89"/>
  <c r="A5" i="57"/>
  <c r="A19" i="60"/>
  <c r="A1" i="56"/>
  <c r="A32" i="60"/>
  <c r="A15" i="63"/>
  <c r="A25" i="57"/>
  <c r="A29" i="101"/>
  <c r="A67" i="57"/>
  <c r="A52" i="3"/>
  <c r="A28" i="59"/>
  <c r="A33" i="63"/>
  <c r="A36" i="60"/>
  <c r="A20" i="61"/>
  <c r="A51" i="63"/>
  <c r="A25" i="65"/>
  <c r="A62" i="64"/>
  <c r="A34" i="57"/>
  <c r="A17" i="61"/>
  <c r="A44" i="62"/>
  <c r="A40" i="65"/>
  <c r="A50" i="60"/>
  <c r="B5" i="51"/>
  <c r="A3" i="97"/>
  <c r="A44" i="3"/>
  <c r="A4" i="62"/>
  <c r="A69" i="101"/>
  <c r="A29" i="61"/>
  <c r="A38" i="57"/>
  <c r="A8" i="115"/>
  <c r="A75" i="3"/>
  <c r="A11" i="3"/>
  <c r="A63" i="57"/>
  <c r="A53" i="3"/>
  <c r="J5" i="24"/>
  <c r="A28" i="56"/>
  <c r="A26" i="57"/>
  <c r="A72" i="57"/>
  <c r="A33" i="59"/>
  <c r="A31" i="60"/>
  <c r="A18" i="61"/>
  <c r="A5" i="62"/>
  <c r="A49" i="62"/>
  <c r="A41" i="63"/>
  <c r="A28" i="65"/>
  <c r="L5" i="21"/>
  <c r="A18" i="56"/>
  <c r="A57" i="56"/>
  <c r="A49" i="57"/>
  <c r="A32" i="59"/>
  <c r="A44" i="60"/>
  <c r="A32" i="61"/>
  <c r="A30" i="62"/>
  <c r="A42" i="63"/>
  <c r="A16" i="100"/>
  <c r="A27" i="56"/>
  <c r="A32" i="57"/>
  <c r="A17" i="60"/>
  <c r="A28" i="61"/>
  <c r="A47" i="62"/>
  <c r="A3" i="64"/>
  <c r="A39" i="64"/>
  <c r="A33" i="65"/>
  <c r="A52" i="101"/>
  <c r="A43" i="100"/>
  <c r="A70" i="64"/>
  <c r="A61" i="101"/>
  <c r="A29" i="64"/>
  <c r="A18" i="101"/>
  <c r="A30" i="100"/>
  <c r="A23" i="57"/>
  <c r="J5" i="16"/>
  <c r="A43" i="63"/>
  <c r="A17" i="65"/>
  <c r="A28" i="101"/>
  <c r="A21" i="101"/>
  <c r="A26" i="60"/>
  <c r="A56" i="3"/>
  <c r="A8" i="89"/>
  <c r="A12" i="62"/>
  <c r="A55" i="61"/>
  <c r="A12" i="100"/>
  <c r="A28" i="57"/>
  <c r="A23" i="61"/>
  <c r="A56" i="101"/>
  <c r="A11" i="59"/>
  <c r="A33" i="58"/>
  <c r="A55" i="64"/>
  <c r="L5" i="19"/>
  <c r="A63" i="56"/>
  <c r="A55" i="57"/>
  <c r="A2" i="3"/>
  <c r="A23" i="60"/>
  <c r="A45" i="56"/>
  <c r="A23" i="62"/>
  <c r="A40" i="101"/>
  <c r="A34" i="60"/>
  <c r="A23" i="3"/>
  <c r="A13" i="61"/>
  <c r="A6" i="115"/>
  <c r="A8" i="3"/>
  <c r="A49" i="3"/>
  <c r="A30" i="56"/>
  <c r="A35" i="60"/>
  <c r="A22" i="61"/>
  <c r="A7" i="62"/>
  <c r="A53" i="62"/>
  <c r="A45" i="63"/>
  <c r="C6" i="26"/>
  <c r="A31" i="56"/>
  <c r="A61" i="56"/>
  <c r="A53" i="57"/>
  <c r="A41" i="59"/>
  <c r="A48" i="60"/>
  <c r="A36" i="61"/>
  <c r="A34" i="62"/>
  <c r="A46" i="63"/>
  <c r="C5" i="66"/>
  <c r="I130" i="66" s="1"/>
  <c r="A29" i="56"/>
  <c r="A35" i="57"/>
  <c r="A21" i="60"/>
  <c r="A33" i="61"/>
  <c r="A51" i="62"/>
  <c r="A8" i="64"/>
  <c r="A45" i="64"/>
  <c r="A37" i="65"/>
  <c r="A54" i="101"/>
  <c r="G8" i="99"/>
  <c r="A22" i="65"/>
  <c r="A23" i="58"/>
  <c r="A44" i="64"/>
  <c r="A22" i="101"/>
  <c r="C5" i="80"/>
  <c r="C6" i="119"/>
  <c r="A3" i="100"/>
  <c r="C5" i="72"/>
  <c r="A71" i="3"/>
  <c r="O7" i="112"/>
  <c r="A4" i="59"/>
  <c r="A70" i="3"/>
  <c r="A22" i="59"/>
  <c r="A6" i="61"/>
  <c r="A30" i="63"/>
  <c r="A44" i="56"/>
  <c r="A18" i="62"/>
  <c r="A16" i="61"/>
  <c r="A15" i="100"/>
  <c r="A25" i="63"/>
  <c r="G9" i="95"/>
  <c r="A18" i="3"/>
  <c r="A67" i="3"/>
  <c r="A13" i="57"/>
  <c r="A10" i="61"/>
  <c r="A4" i="65"/>
  <c r="A27" i="61"/>
  <c r="A25" i="58"/>
  <c r="A29" i="57"/>
  <c r="A19" i="100"/>
  <c r="A1" i="97"/>
  <c r="A42" i="61"/>
  <c r="A21" i="57"/>
  <c r="A72" i="3"/>
  <c r="A51" i="56"/>
  <c r="F6" i="28"/>
  <c r="A30" i="57"/>
  <c r="A2" i="59"/>
  <c r="A34" i="59"/>
  <c r="A44" i="65"/>
  <c r="A6" i="64"/>
  <c r="A18" i="60"/>
  <c r="D7" i="40"/>
  <c r="A10" i="89"/>
  <c r="A19" i="3"/>
  <c r="A22" i="60"/>
  <c r="A57" i="64"/>
  <c r="A7" i="61"/>
  <c r="A9" i="57"/>
  <c r="A3" i="115"/>
  <c r="A65" i="3"/>
  <c r="A6" i="3"/>
  <c r="A37" i="56"/>
  <c r="A45" i="3"/>
  <c r="D7" i="37"/>
  <c r="A38" i="56"/>
  <c r="A36" i="57"/>
  <c r="A5" i="59"/>
  <c r="A35" i="59"/>
  <c r="A39" i="60"/>
  <c r="A26" i="61"/>
  <c r="A9" i="62"/>
  <c r="A1" i="63"/>
  <c r="A49" i="63"/>
  <c r="A8" i="101"/>
  <c r="F6" i="31"/>
  <c r="A32" i="56"/>
  <c r="A1" i="57"/>
  <c r="A57" i="57"/>
  <c r="A4" i="60"/>
  <c r="A52" i="60"/>
  <c r="A40" i="61"/>
  <c r="A38" i="62"/>
  <c r="A50" i="63"/>
  <c r="D7" i="42"/>
  <c r="A36" i="56"/>
  <c r="A42" i="57"/>
  <c r="A25" i="60"/>
  <c r="A37" i="61"/>
  <c r="A55" i="62"/>
  <c r="A14" i="64"/>
  <c r="A49" i="64"/>
  <c r="M6" i="101"/>
  <c r="A60" i="101"/>
  <c r="A55" i="63"/>
  <c r="A30" i="65"/>
  <c r="A35" i="58"/>
  <c r="A47" i="64"/>
  <c r="A24" i="101"/>
  <c r="I2" i="82"/>
  <c r="R2" i="82" s="1"/>
  <c r="D2" i="82" s="1"/>
  <c r="A2" i="82" s="1"/>
  <c r="A10" i="115"/>
  <c r="A54" i="61"/>
  <c r="A20" i="62"/>
  <c r="A13" i="56"/>
  <c r="A37" i="62"/>
  <c r="A19" i="59"/>
  <c r="A19" i="56"/>
  <c r="A19" i="62"/>
  <c r="A42" i="101"/>
  <c r="A27" i="65"/>
  <c r="A38" i="61"/>
  <c r="A50" i="61"/>
  <c r="A64" i="57"/>
  <c r="A41" i="62"/>
  <c r="A31" i="100"/>
  <c r="A41" i="57"/>
  <c r="A22" i="62"/>
  <c r="A20" i="56"/>
  <c r="A16" i="59"/>
  <c r="A2" i="101"/>
  <c r="A26" i="64"/>
  <c r="D5" i="43"/>
  <c r="A24" i="65"/>
  <c r="A52" i="63"/>
  <c r="A39" i="59"/>
  <c r="D6" i="118"/>
  <c r="H5" i="89"/>
  <c r="A16" i="3"/>
  <c r="A47" i="57"/>
  <c r="A15" i="64"/>
  <c r="A46" i="60"/>
  <c r="A59" i="56"/>
  <c r="I7" i="14"/>
  <c r="A62" i="3"/>
  <c r="A3" i="3"/>
  <c r="J5" i="9"/>
  <c r="A25" i="3"/>
  <c r="D7" i="38"/>
  <c r="A49" i="56"/>
  <c r="A37" i="57"/>
  <c r="A7" i="59"/>
  <c r="A37" i="59"/>
  <c r="A43" i="60"/>
  <c r="A30" i="61"/>
  <c r="A13" i="62"/>
  <c r="A6" i="63"/>
  <c r="A53" i="63"/>
  <c r="A15" i="101"/>
  <c r="G6" i="32"/>
  <c r="A33" i="56"/>
  <c r="A6" i="57"/>
  <c r="A61" i="57"/>
  <c r="A7" i="60"/>
  <c r="A56" i="60"/>
  <c r="A44" i="61"/>
  <c r="A42" i="62"/>
  <c r="A54" i="63"/>
  <c r="E5" i="49"/>
  <c r="A47" i="56"/>
  <c r="A54" i="57"/>
  <c r="A29" i="60"/>
  <c r="A49" i="61"/>
  <c r="A4" i="63"/>
  <c r="A64" i="64"/>
  <c r="A58" i="64"/>
  <c r="A11" i="101"/>
  <c r="A66" i="101"/>
  <c r="A4" i="64"/>
  <c r="A34" i="65"/>
  <c r="A43" i="58"/>
  <c r="A51" i="64"/>
  <c r="A41" i="101"/>
  <c r="A44" i="63"/>
  <c r="I5" i="115"/>
  <c r="A40" i="122"/>
  <c r="A26" i="65"/>
  <c r="A17" i="101"/>
  <c r="A27" i="58"/>
  <c r="C5" i="68"/>
  <c r="C7" i="68" s="1"/>
  <c r="A33" i="64"/>
  <c r="A11" i="65"/>
  <c r="A5" i="101"/>
  <c r="A43" i="101"/>
  <c r="A6" i="100"/>
  <c r="J5" i="76"/>
  <c r="A5" i="61"/>
  <c r="A51" i="57"/>
  <c r="K5" i="18"/>
  <c r="A46" i="89"/>
  <c r="A9" i="115"/>
  <c r="A23" i="11"/>
  <c r="A13" i="63"/>
  <c r="A10" i="60"/>
  <c r="A17" i="57"/>
  <c r="I7" i="15"/>
  <c r="A68" i="3"/>
  <c r="A8" i="11"/>
  <c r="A41" i="122"/>
  <c r="A7" i="64"/>
  <c r="A59" i="64"/>
  <c r="A31" i="65"/>
  <c r="A27" i="101"/>
  <c r="A67" i="101"/>
  <c r="A33" i="100"/>
  <c r="A7" i="63"/>
  <c r="A1" i="60"/>
  <c r="A55" i="56"/>
  <c r="D5" i="10"/>
  <c r="A64" i="3"/>
  <c r="A28" i="11"/>
  <c r="A43" i="122"/>
  <c r="A30" i="3"/>
  <c r="A23" i="63"/>
  <c r="A53" i="64"/>
  <c r="D5" i="47"/>
  <c r="A21" i="56"/>
  <c r="A62" i="56"/>
  <c r="A46" i="57"/>
  <c r="A29" i="59"/>
  <c r="A45" i="60"/>
  <c r="A41" i="61"/>
  <c r="A27" i="62"/>
  <c r="A24" i="63"/>
  <c r="A22" i="64"/>
  <c r="A34" i="100"/>
  <c r="A73" i="64"/>
  <c r="A41" i="65"/>
  <c r="A31" i="101"/>
  <c r="A76" i="101"/>
  <c r="A17" i="100"/>
  <c r="A20" i="64"/>
  <c r="A1" i="65"/>
  <c r="A50" i="65"/>
  <c r="A68" i="101"/>
  <c r="A14" i="100"/>
  <c r="A9" i="64"/>
  <c r="A63" i="64"/>
  <c r="A35" i="65"/>
  <c r="A30" i="101"/>
  <c r="A89" i="101"/>
  <c r="A37" i="100"/>
  <c r="A48" i="62"/>
  <c r="A36" i="59"/>
  <c r="A35" i="56"/>
  <c r="N7" i="113"/>
  <c r="A28" i="62"/>
  <c r="A41" i="64"/>
  <c r="A30" i="11"/>
  <c r="A34" i="122"/>
  <c r="D7" i="132"/>
  <c r="A27" i="63"/>
  <c r="A60" i="64"/>
  <c r="E5" i="117"/>
  <c r="A22" i="56"/>
  <c r="A3" i="57"/>
  <c r="A50" i="57"/>
  <c r="A38" i="59"/>
  <c r="A49" i="60"/>
  <c r="A45" i="61"/>
  <c r="A31" i="62"/>
  <c r="A28" i="63"/>
  <c r="A38" i="64"/>
  <c r="A23" i="64"/>
  <c r="A2" i="65"/>
  <c r="A45" i="65"/>
  <c r="A33" i="101"/>
  <c r="A80" i="101"/>
  <c r="A21" i="100"/>
  <c r="A24" i="64"/>
  <c r="A6" i="65"/>
  <c r="A54" i="65"/>
  <c r="A70" i="101"/>
  <c r="A18" i="100"/>
  <c r="A13" i="64"/>
  <c r="A67" i="64"/>
  <c r="A39" i="65"/>
  <c r="A32" i="101"/>
  <c r="A24" i="58"/>
  <c r="A41" i="100"/>
  <c r="A32" i="62"/>
  <c r="A26" i="59"/>
  <c r="A34" i="56"/>
  <c r="N6" i="5"/>
  <c r="D25" i="5" s="1"/>
  <c r="T25" i="5" s="1"/>
  <c r="A58" i="61"/>
  <c r="M6" i="121"/>
  <c r="A5" i="11"/>
  <c r="A14" i="122"/>
  <c r="E30" i="13"/>
  <c r="E42" i="13"/>
  <c r="M42" i="13" s="1"/>
  <c r="E23" i="13"/>
  <c r="M23" i="13" s="1"/>
  <c r="E25" i="13"/>
  <c r="M25" i="13" s="1"/>
  <c r="F157" i="68" s="1"/>
  <c r="E39" i="13"/>
  <c r="E29" i="13"/>
  <c r="E19" i="13"/>
  <c r="M19" i="13" s="1"/>
  <c r="E31" i="13"/>
  <c r="M31" i="13" s="1"/>
  <c r="E43" i="13"/>
  <c r="E20" i="13"/>
  <c r="E32" i="13"/>
  <c r="M32" i="13" s="1"/>
  <c r="F159" i="68" s="1"/>
  <c r="E18" i="13"/>
  <c r="M18" i="13" s="1"/>
  <c r="E34" i="13"/>
  <c r="E35" i="13"/>
  <c r="M35" i="13" s="1"/>
  <c r="F161" i="66" s="1"/>
  <c r="E36" i="13"/>
  <c r="E26" i="13"/>
  <c r="M26" i="13" s="1"/>
  <c r="F150" i="66" s="1"/>
  <c r="G150" i="66" s="1"/>
  <c r="E28" i="13"/>
  <c r="M28" i="13" s="1"/>
  <c r="E21" i="13"/>
  <c r="E33" i="13"/>
  <c r="M33" i="13" s="1"/>
  <c r="F159" i="66" s="1"/>
  <c r="E17" i="13"/>
  <c r="M17" i="13" s="1"/>
  <c r="E22" i="13"/>
  <c r="E24" i="13"/>
  <c r="E37" i="13"/>
  <c r="E38" i="13"/>
  <c r="E40" i="13"/>
  <c r="M40" i="13" s="1"/>
  <c r="E41" i="13"/>
  <c r="E27" i="13"/>
  <c r="M27" i="13" s="1"/>
  <c r="A5" i="65"/>
  <c r="A49" i="65"/>
  <c r="A35" i="101"/>
  <c r="A82" i="101"/>
  <c r="A25" i="100"/>
  <c r="A28" i="64"/>
  <c r="A10" i="65"/>
  <c r="A4" i="101"/>
  <c r="A77" i="101"/>
  <c r="A22" i="100"/>
  <c r="A17" i="64"/>
  <c r="A71" i="64"/>
  <c r="A47" i="65"/>
  <c r="A34" i="101"/>
  <c r="A28" i="58"/>
  <c r="C6" i="70"/>
  <c r="A16" i="62"/>
  <c r="A25" i="59"/>
  <c r="A12" i="56"/>
  <c r="A9" i="97"/>
  <c r="A54" i="60"/>
  <c r="A24" i="100"/>
  <c r="A9" i="11"/>
  <c r="A25" i="122"/>
  <c r="A14" i="56"/>
  <c r="A46" i="56"/>
  <c r="A33" i="57"/>
  <c r="A15" i="59"/>
  <c r="A24" i="60"/>
  <c r="A11" i="61"/>
  <c r="A56" i="61"/>
  <c r="A46" i="62"/>
  <c r="A34" i="63"/>
  <c r="A32" i="65"/>
  <c r="E6" i="50"/>
  <c r="A24" i="56"/>
  <c r="A11" i="57"/>
  <c r="A58" i="57"/>
  <c r="A5" i="60"/>
  <c r="A57" i="60"/>
  <c r="A53" i="61"/>
  <c r="A39" i="62"/>
  <c r="A35" i="63"/>
  <c r="A20" i="65"/>
  <c r="A31" i="64"/>
  <c r="A7" i="65"/>
  <c r="A53" i="65"/>
  <c r="A37" i="101"/>
  <c r="A84" i="101"/>
  <c r="A32" i="100"/>
  <c r="A32" i="64"/>
  <c r="A14" i="65"/>
  <c r="A7" i="101"/>
  <c r="A83" i="101"/>
  <c r="A26" i="100"/>
  <c r="A21" i="64"/>
  <c r="A3" i="65"/>
  <c r="A51" i="65"/>
  <c r="A36" i="101"/>
  <c r="A36" i="58"/>
  <c r="C5" i="90"/>
  <c r="H236" i="90" s="1"/>
  <c r="A46" i="61"/>
  <c r="A24" i="59"/>
  <c r="A4" i="56"/>
  <c r="A7" i="97"/>
  <c r="A12" i="57"/>
  <c r="A1" i="62"/>
  <c r="A50" i="62"/>
  <c r="A38" i="63"/>
  <c r="A48" i="65"/>
  <c r="B6" i="105"/>
  <c r="A25" i="56"/>
  <c r="A16" i="57"/>
  <c r="A62" i="57"/>
  <c r="A13" i="60"/>
  <c r="A2" i="61"/>
  <c r="A57" i="61"/>
  <c r="A43" i="62"/>
  <c r="A39" i="63"/>
  <c r="A36" i="65"/>
  <c r="A35" i="64"/>
  <c r="A9" i="65"/>
  <c r="A3" i="101"/>
  <c r="A39" i="101"/>
  <c r="M7" i="58"/>
  <c r="A35" i="100"/>
  <c r="A36" i="64"/>
  <c r="A18" i="65"/>
  <c r="A9" i="101"/>
  <c r="A88" i="101"/>
  <c r="A36" i="100"/>
  <c r="A25" i="64"/>
  <c r="G6" i="65"/>
  <c r="A55" i="65"/>
  <c r="A38" i="101"/>
  <c r="A44" i="58"/>
  <c r="J5" i="75"/>
  <c r="A25" i="61"/>
  <c r="A74" i="57"/>
  <c r="D5" i="52"/>
  <c r="A5" i="97"/>
  <c r="F6" i="29"/>
  <c r="A61" i="3"/>
  <c r="A54" i="3"/>
  <c r="A37" i="64"/>
  <c r="A43" i="65"/>
  <c r="A53" i="101"/>
  <c r="D5" i="85"/>
  <c r="D7" i="85" s="1"/>
  <c r="A6" i="60"/>
  <c r="H5" i="22"/>
  <c r="A58" i="3"/>
  <c r="A50" i="3"/>
  <c r="A46" i="3"/>
  <c r="A21" i="3"/>
  <c r="K6" i="12"/>
  <c r="A6" i="101"/>
  <c r="A9" i="63"/>
  <c r="A46" i="11"/>
  <c r="A50" i="11"/>
  <c r="A26" i="122"/>
  <c r="A1" i="11"/>
  <c r="M29" i="13"/>
  <c r="A28" i="122"/>
  <c r="A5" i="122"/>
  <c r="A26" i="11"/>
  <c r="A10" i="11"/>
  <c r="A35" i="11"/>
  <c r="A9" i="122"/>
  <c r="A17" i="11"/>
  <c r="A39" i="122"/>
  <c r="A44" i="11"/>
  <c r="A38" i="122"/>
  <c r="A3" i="122"/>
  <c r="A11" i="11"/>
  <c r="A8" i="122"/>
  <c r="A37" i="11"/>
  <c r="A22" i="11"/>
  <c r="A4" i="122"/>
  <c r="A3" i="11"/>
  <c r="A15" i="11"/>
  <c r="A42" i="64"/>
  <c r="A18" i="11"/>
  <c r="A25" i="11"/>
  <c r="A22" i="122"/>
  <c r="A40" i="64"/>
  <c r="A4" i="11"/>
  <c r="A32" i="122"/>
  <c r="A11" i="122"/>
  <c r="A40" i="11"/>
  <c r="A23" i="122"/>
  <c r="O5" i="129"/>
  <c r="A7" i="11"/>
  <c r="A33" i="122"/>
  <c r="B6" i="128"/>
  <c r="A36" i="122"/>
  <c r="A42" i="122"/>
  <c r="A38" i="11"/>
  <c r="A41" i="11"/>
  <c r="A20" i="122"/>
  <c r="A2" i="122"/>
  <c r="A4" i="129"/>
  <c r="A39" i="11"/>
  <c r="A29" i="11"/>
  <c r="A30" i="122"/>
  <c r="A7" i="122"/>
  <c r="A5" i="129"/>
  <c r="G25" i="8"/>
  <c r="Q25" i="8" s="1"/>
  <c r="G24" i="8"/>
  <c r="Q24" i="8" s="1"/>
  <c r="G23" i="8"/>
  <c r="Q23" i="8" s="1"/>
  <c r="A6" i="129"/>
  <c r="A2" i="11"/>
  <c r="A16" i="122"/>
  <c r="N5" i="122"/>
  <c r="A7" i="129"/>
  <c r="A29" i="122"/>
  <c r="L5" i="123"/>
  <c r="A10" i="129"/>
  <c r="A16" i="11"/>
  <c r="A37" i="122"/>
  <c r="A11" i="129"/>
  <c r="A15" i="129"/>
  <c r="A10" i="122"/>
  <c r="A16" i="129"/>
  <c r="G33" i="8"/>
  <c r="Q33" i="8" s="1"/>
  <c r="G31" i="8"/>
  <c r="Q31" i="8" s="1"/>
  <c r="A22" i="129"/>
  <c r="A23" i="129"/>
  <c r="A36" i="11"/>
  <c r="A6" i="11"/>
  <c r="A27" i="122"/>
  <c r="A6" i="122"/>
  <c r="A24" i="129"/>
  <c r="J71" i="88"/>
  <c r="A27" i="129"/>
  <c r="A28" i="129"/>
  <c r="A29" i="129"/>
  <c r="A34" i="11"/>
  <c r="A21" i="122"/>
  <c r="A13" i="122"/>
  <c r="A30" i="129"/>
  <c r="A42" i="11"/>
  <c r="A31" i="122"/>
  <c r="A24" i="122"/>
  <c r="A31" i="129"/>
  <c r="A32" i="129"/>
  <c r="A33" i="129"/>
  <c r="A19" i="11"/>
  <c r="A24" i="11"/>
  <c r="A1" i="122"/>
  <c r="A35" i="122"/>
  <c r="A2" i="129"/>
  <c r="A34" i="129"/>
  <c r="A31" i="11"/>
  <c r="A33" i="11"/>
  <c r="A15" i="122"/>
  <c r="A49" i="122"/>
  <c r="A3" i="129"/>
  <c r="A35" i="129"/>
  <c r="A36" i="129"/>
  <c r="A37" i="129"/>
  <c r="A8" i="129"/>
  <c r="A38" i="129"/>
  <c r="A9" i="129"/>
  <c r="A39" i="129"/>
  <c r="A40" i="129"/>
  <c r="A17" i="129"/>
  <c r="A41" i="129"/>
  <c r="B6" i="127"/>
  <c r="A18" i="129"/>
  <c r="A42" i="129"/>
  <c r="A45" i="122"/>
  <c r="A19" i="129"/>
  <c r="A43" i="129"/>
  <c r="A44" i="129"/>
  <c r="A25" i="129"/>
  <c r="A46" i="129"/>
  <c r="A1" i="129"/>
  <c r="A26" i="129"/>
  <c r="D5" i="130"/>
  <c r="D5" i="109"/>
  <c r="J57" i="88"/>
  <c r="D60" i="74"/>
  <c r="H53" i="74"/>
  <c r="J53" i="74" s="1"/>
  <c r="F260" i="66"/>
  <c r="T58" i="68"/>
  <c r="H72" i="92"/>
  <c r="J72" i="92" s="1"/>
  <c r="L59" i="88"/>
  <c r="H68" i="74"/>
  <c r="J68" i="74" s="1"/>
  <c r="N263" i="80"/>
  <c r="E88" i="80"/>
  <c r="D88" i="80" s="1"/>
  <c r="D86" i="80"/>
  <c r="D78" i="74"/>
  <c r="D86" i="74" s="1"/>
  <c r="D89" i="74" s="1"/>
  <c r="D91" i="74" s="1"/>
  <c r="L77" i="88"/>
  <c r="L85" i="88" s="1"/>
  <c r="L88" i="88" s="1"/>
  <c r="L91" i="88" s="1"/>
  <c r="V32" i="15"/>
  <c r="H126" i="72"/>
  <c r="J126" i="72" s="1"/>
  <c r="H153" i="72"/>
  <c r="E250" i="80"/>
  <c r="E258" i="80" s="1"/>
  <c r="D227" i="80"/>
  <c r="H152" i="72"/>
  <c r="H79" i="72"/>
  <c r="Q196" i="68"/>
  <c r="I196" i="68"/>
  <c r="I153" i="66"/>
  <c r="D34" i="46" a="1"/>
  <c r="D34" i="46" s="1"/>
  <c r="G257" i="66"/>
  <c r="H30" i="46"/>
  <c r="F6" i="128"/>
  <c r="O6" i="129"/>
  <c r="I126" i="66"/>
  <c r="I79" i="66"/>
  <c r="I80" i="66"/>
  <c r="F6" i="127"/>
  <c r="F116" i="90"/>
  <c r="T117" i="68"/>
  <c r="M43" i="13"/>
  <c r="M34" i="13"/>
  <c r="M24" i="13"/>
  <c r="M36" i="13"/>
  <c r="F162" i="66" s="1"/>
  <c r="M41" i="13"/>
  <c r="M22" i="13"/>
  <c r="M21" i="13"/>
  <c r="M38" i="13"/>
  <c r="M30" i="13"/>
  <c r="M20" i="13"/>
  <c r="M37" i="13"/>
  <c r="F164" i="68" s="1"/>
  <c r="F24" i="90"/>
  <c r="F38" i="90" s="1"/>
  <c r="T25" i="68"/>
  <c r="Q37" i="59"/>
  <c r="T37" i="59" s="1"/>
  <c r="X23" i="101"/>
  <c r="W23" i="101" s="1"/>
  <c r="D39" i="5"/>
  <c r="T39" i="5" s="1"/>
  <c r="G25" i="66"/>
  <c r="F29" i="105"/>
  <c r="M98" i="121"/>
  <c r="C8" i="125"/>
  <c r="L6" i="123"/>
  <c r="N6" i="122"/>
  <c r="O6" i="11"/>
  <c r="M99" i="121"/>
  <c r="F46" i="105"/>
  <c r="H31" i="72"/>
  <c r="H50" i="72"/>
  <c r="H68" i="92"/>
  <c r="J68" i="92" s="1"/>
  <c r="M100" i="121"/>
  <c r="AE258" i="80"/>
  <c r="AE261" i="80" s="1"/>
  <c r="I6" i="120"/>
  <c r="J51" i="88"/>
  <c r="J39" i="88"/>
  <c r="J76" i="88"/>
  <c r="H56" i="72"/>
  <c r="H125" i="72"/>
  <c r="H85" i="74"/>
  <c r="J85" i="74" s="1"/>
  <c r="H192" i="72"/>
  <c r="L192" i="72" s="1"/>
  <c r="H82" i="72"/>
  <c r="L196" i="68"/>
  <c r="F38" i="66"/>
  <c r="L196" i="80"/>
  <c r="F38" i="72"/>
  <c r="AH263" i="80"/>
  <c r="C31" i="79"/>
  <c r="AD263" i="80"/>
  <c r="I258" i="80"/>
  <c r="I261" i="80" s="1"/>
  <c r="J258" i="80"/>
  <c r="J261" i="80" s="1"/>
  <c r="K261" i="80"/>
  <c r="H258" i="80"/>
  <c r="H261" i="80" s="1"/>
  <c r="G258" i="80"/>
  <c r="G261" i="80" s="1"/>
  <c r="Y196" i="80"/>
  <c r="X26" i="101"/>
  <c r="W26" i="101" s="1"/>
  <c r="H49" i="82"/>
  <c r="R49" i="82" s="1"/>
  <c r="D49" i="82" s="1"/>
  <c r="B49" i="82" s="1"/>
  <c r="X42" i="101"/>
  <c r="W42" i="101" s="1"/>
  <c r="F145" i="72"/>
  <c r="A45" i="82"/>
  <c r="G30" i="8"/>
  <c r="Q30" i="8" s="1"/>
  <c r="G29" i="8"/>
  <c r="Q29" i="8" s="1"/>
  <c r="G28" i="8"/>
  <c r="Q28" i="8" s="1"/>
  <c r="G27" i="8"/>
  <c r="Q27" i="8" s="1"/>
  <c r="A46" i="82"/>
  <c r="A43" i="82"/>
  <c r="A31" i="82"/>
  <c r="B37" i="82"/>
  <c r="T196" i="80"/>
  <c r="V196" i="80"/>
  <c r="K196" i="80"/>
  <c r="I196" i="80"/>
  <c r="G115" i="66"/>
  <c r="W263" i="80"/>
  <c r="J90" i="69"/>
  <c r="C27" i="79"/>
  <c r="Z263" i="80"/>
  <c r="R263" i="80"/>
  <c r="AB196" i="80"/>
  <c r="Q263" i="80"/>
  <c r="Q196" i="80"/>
  <c r="O196" i="80"/>
  <c r="C23" i="79"/>
  <c r="V263" i="80"/>
  <c r="O263" i="80"/>
  <c r="AE196" i="80"/>
  <c r="J196" i="80"/>
  <c r="AA196" i="80"/>
  <c r="S196" i="80"/>
  <c r="AD196" i="80"/>
  <c r="AH196" i="80"/>
  <c r="N196" i="80"/>
  <c r="J86" i="88"/>
  <c r="U196" i="80"/>
  <c r="Q261" i="68"/>
  <c r="Q263" i="68" s="1"/>
  <c r="Z196" i="80"/>
  <c r="O261" i="68"/>
  <c r="O263" i="68" s="1"/>
  <c r="L263" i="80"/>
  <c r="Y263" i="80"/>
  <c r="AA263" i="80"/>
  <c r="AJ167" i="80"/>
  <c r="M196" i="80"/>
  <c r="P261" i="68"/>
  <c r="P263" i="68" s="1"/>
  <c r="R196" i="80"/>
  <c r="W196" i="80"/>
  <c r="AB263" i="80"/>
  <c r="S263" i="80"/>
  <c r="P196" i="80"/>
  <c r="AC263" i="80"/>
  <c r="H196" i="80"/>
  <c r="U263" i="80"/>
  <c r="T263" i="80"/>
  <c r="AF196" i="80"/>
  <c r="X196" i="80"/>
  <c r="D167" i="80"/>
  <c r="X263" i="80"/>
  <c r="AJ227" i="80"/>
  <c r="M263" i="80"/>
  <c r="AF263" i="80"/>
  <c r="J90" i="87"/>
  <c r="AC196" i="80"/>
  <c r="P263" i="80"/>
  <c r="B44" i="82"/>
  <c r="A39" i="82"/>
  <c r="A21" i="82"/>
  <c r="A34" i="82"/>
  <c r="H178" i="72"/>
  <c r="J178" i="72" s="1"/>
  <c r="H246" i="72"/>
  <c r="H77" i="90"/>
  <c r="H49" i="72"/>
  <c r="H76" i="72"/>
  <c r="H78" i="72"/>
  <c r="H75" i="72"/>
  <c r="H77" i="72"/>
  <c r="H237" i="72"/>
  <c r="H30" i="72"/>
  <c r="F39" i="68"/>
  <c r="T39" i="68" s="1"/>
  <c r="T26" i="68"/>
  <c r="G115" i="68"/>
  <c r="T115" i="68"/>
  <c r="P196" i="68"/>
  <c r="N196" i="68"/>
  <c r="F254" i="90"/>
  <c r="K196" i="68"/>
  <c r="S196" i="68"/>
  <c r="H196" i="68"/>
  <c r="G117" i="68"/>
  <c r="M196" i="68"/>
  <c r="O196" i="68"/>
  <c r="J196" i="68"/>
  <c r="I49" i="66"/>
  <c r="I77" i="66"/>
  <c r="I78" i="66"/>
  <c r="G26" i="66"/>
  <c r="F115" i="72"/>
  <c r="I241" i="66"/>
  <c r="I162" i="66"/>
  <c r="I42" i="66"/>
  <c r="I114" i="66"/>
  <c r="I25" i="66"/>
  <c r="I120" i="66"/>
  <c r="I107" i="66"/>
  <c r="I16" i="66"/>
  <c r="I236" i="66"/>
  <c r="I14" i="66"/>
  <c r="I91" i="66"/>
  <c r="I261" i="66"/>
  <c r="I210" i="66"/>
  <c r="I51" i="66"/>
  <c r="I216" i="66"/>
  <c r="C7" i="90"/>
  <c r="I246" i="66"/>
  <c r="I157" i="66"/>
  <c r="I117" i="66"/>
  <c r="I116" i="66"/>
  <c r="I83" i="66"/>
  <c r="I170" i="66"/>
  <c r="I262" i="66"/>
  <c r="I53" i="66"/>
  <c r="I48" i="66"/>
  <c r="I65" i="66"/>
  <c r="G57" i="66"/>
  <c r="U6" i="82"/>
  <c r="F60" i="74"/>
  <c r="M76" i="87"/>
  <c r="M84" i="87" s="1"/>
  <c r="M87" i="87" s="1"/>
  <c r="M90" i="87" s="1"/>
  <c r="M76" i="69"/>
  <c r="M84" i="69" s="1"/>
  <c r="M87" i="69" s="1"/>
  <c r="M90" i="69" s="1"/>
  <c r="F78" i="92"/>
  <c r="F86" i="92" s="1"/>
  <c r="M58" i="69"/>
  <c r="A26" i="82"/>
  <c r="I22" i="66"/>
  <c r="I171" i="66"/>
  <c r="I217" i="66"/>
  <c r="I176" i="66"/>
  <c r="I254" i="66"/>
  <c r="I190" i="66"/>
  <c r="R196" i="68"/>
  <c r="T32" i="14"/>
  <c r="U32" i="15"/>
  <c r="A28" i="82"/>
  <c r="I147" i="66"/>
  <c r="I46" i="66"/>
  <c r="I161" i="66"/>
  <c r="I52" i="66"/>
  <c r="M58" i="87"/>
  <c r="F196" i="80"/>
  <c r="AJ88" i="80"/>
  <c r="I187" i="66"/>
  <c r="I93" i="66"/>
  <c r="I135" i="66"/>
  <c r="I20" i="66"/>
  <c r="I84" i="66"/>
  <c r="I156" i="66"/>
  <c r="I27" i="66"/>
  <c r="T6" i="82"/>
  <c r="R6" i="82" s="1"/>
  <c r="D6" i="82" s="1"/>
  <c r="R25" i="82"/>
  <c r="D25" i="82" s="1"/>
  <c r="B25" i="82" s="1"/>
  <c r="J67" i="88"/>
  <c r="AJ250" i="80"/>
  <c r="P29" i="46"/>
  <c r="H38" i="82" s="1"/>
  <c r="R38" i="82" s="1"/>
  <c r="D38" i="82" s="1"/>
  <c r="M85" i="88"/>
  <c r="M88" i="88" s="1"/>
  <c r="M91" i="88" s="1"/>
  <c r="F60" i="92"/>
  <c r="M59" i="88"/>
  <c r="G196" i="80"/>
  <c r="D78" i="92"/>
  <c r="D86" i="92" s="1"/>
  <c r="D89" i="92" s="1"/>
  <c r="D91" i="92" s="1"/>
  <c r="A35" i="82"/>
  <c r="A32" i="82"/>
  <c r="A33" i="82"/>
  <c r="B30" i="82"/>
  <c r="A5" i="82"/>
  <c r="B3" i="82"/>
  <c r="B4" i="82"/>
  <c r="R24" i="82"/>
  <c r="D24" i="82" s="1"/>
  <c r="B24" i="82" s="1"/>
  <c r="T59" i="68"/>
  <c r="B29" i="82"/>
  <c r="H72" i="74"/>
  <c r="J72" i="74" s="1"/>
  <c r="H53" i="92"/>
  <c r="J53" i="92" s="1"/>
  <c r="H85" i="92"/>
  <c r="J85" i="92" s="1"/>
  <c r="F78" i="74"/>
  <c r="A17" i="82"/>
  <c r="B13" i="82"/>
  <c r="A23" i="82"/>
  <c r="A20" i="82"/>
  <c r="B47" i="82"/>
  <c r="B8" i="82"/>
  <c r="A19" i="82"/>
  <c r="B10" i="82"/>
  <c r="A14" i="82"/>
  <c r="B16" i="82"/>
  <c r="B11" i="82"/>
  <c r="B22" i="82"/>
  <c r="A15" i="82"/>
  <c r="H27" i="82"/>
  <c r="R27" i="82" s="1"/>
  <c r="D27" i="82" s="1"/>
  <c r="A27" i="82" s="1"/>
  <c r="B48" i="82"/>
  <c r="A28" i="17"/>
  <c r="A40" i="17"/>
  <c r="A27" i="17"/>
  <c r="A37" i="17"/>
  <c r="A20" i="17"/>
  <c r="A71" i="17"/>
  <c r="A67" i="17"/>
  <c r="A62" i="17"/>
  <c r="A51" i="17"/>
  <c r="A65" i="17"/>
  <c r="A49" i="17"/>
  <c r="A47" i="17"/>
  <c r="A56" i="17"/>
  <c r="A72" i="17"/>
  <c r="A50" i="17"/>
  <c r="A43" i="17"/>
  <c r="A42" i="17"/>
  <c r="A4" i="17"/>
  <c r="A21" i="17"/>
  <c r="A11" i="17"/>
  <c r="A66" i="17"/>
  <c r="A44" i="17"/>
  <c r="A38" i="17"/>
  <c r="A33" i="17"/>
  <c r="A45" i="17"/>
  <c r="A39" i="17"/>
  <c r="A35" i="17"/>
  <c r="A16" i="17"/>
  <c r="A59" i="17"/>
  <c r="A58" i="17"/>
  <c r="A29" i="17"/>
  <c r="A57" i="17"/>
  <c r="A36" i="17"/>
  <c r="A64" i="17"/>
  <c r="A41" i="17"/>
  <c r="A19" i="17"/>
  <c r="A54" i="17"/>
  <c r="I255" i="66"/>
  <c r="I204" i="66"/>
  <c r="I144" i="66"/>
  <c r="I115" i="66"/>
  <c r="I233" i="66"/>
  <c r="I240" i="66"/>
  <c r="I41" i="66"/>
  <c r="I242" i="66"/>
  <c r="I71" i="66"/>
  <c r="I24" i="66"/>
  <c r="I28" i="66"/>
  <c r="I211" i="66"/>
  <c r="I57" i="66"/>
  <c r="I189" i="66"/>
  <c r="A73" i="17"/>
  <c r="A70" i="17"/>
  <c r="A61" i="17"/>
  <c r="A52" i="17"/>
  <c r="A34" i="17"/>
  <c r="A26" i="17"/>
  <c r="A9" i="17"/>
  <c r="A7" i="17"/>
  <c r="A69" i="17"/>
  <c r="A55" i="17"/>
  <c r="A24" i="17"/>
  <c r="A14" i="17"/>
  <c r="A8" i="17"/>
  <c r="A2" i="17"/>
  <c r="A68" i="17"/>
  <c r="A53" i="17"/>
  <c r="A32" i="17"/>
  <c r="A23" i="17"/>
  <c r="A18" i="17"/>
  <c r="A13" i="17"/>
  <c r="A5" i="17"/>
  <c r="A74" i="17"/>
  <c r="A63" i="17"/>
  <c r="A48" i="17"/>
  <c r="A31" i="17"/>
  <c r="A22" i="17"/>
  <c r="A17" i="17"/>
  <c r="A12" i="17"/>
  <c r="A3" i="17"/>
  <c r="A60" i="17"/>
  <c r="A46" i="17"/>
  <c r="A30" i="17"/>
  <c r="A6" i="17"/>
  <c r="A1" i="17"/>
  <c r="G20" i="8"/>
  <c r="Q20" i="8" s="1"/>
  <c r="G18" i="8"/>
  <c r="Q18" i="8" s="1"/>
  <c r="G19" i="8"/>
  <c r="Q19" i="8" s="1"/>
  <c r="I37" i="66"/>
  <c r="I203" i="66"/>
  <c r="I72" i="66"/>
  <c r="C6" i="80"/>
  <c r="D6" i="85"/>
  <c r="J6" i="75"/>
  <c r="C6" i="90"/>
  <c r="J6" i="76"/>
  <c r="M9" i="100"/>
  <c r="M7" i="101"/>
  <c r="C6" i="66"/>
  <c r="G9" i="99"/>
  <c r="M8" i="58"/>
  <c r="K6" i="64"/>
  <c r="C7" i="70"/>
  <c r="C6" i="68"/>
  <c r="K6" i="63"/>
  <c r="N6" i="61"/>
  <c r="M7" i="60"/>
  <c r="I6" i="104"/>
  <c r="N6" i="65"/>
  <c r="D6" i="52"/>
  <c r="D6" i="43"/>
  <c r="D8" i="40"/>
  <c r="F7" i="28"/>
  <c r="J6" i="24"/>
  <c r="L6" i="20"/>
  <c r="M7" i="57"/>
  <c r="L5" i="55"/>
  <c r="O5" i="53"/>
  <c r="G5" i="51"/>
  <c r="D8" i="42"/>
  <c r="F7" i="29"/>
  <c r="G6" i="23"/>
  <c r="G10" i="95"/>
  <c r="L6" i="59"/>
  <c r="E7" i="50"/>
  <c r="D6" i="46"/>
  <c r="D8" i="39"/>
  <c r="D8" i="38"/>
  <c r="F6" i="98"/>
  <c r="I6" i="33"/>
  <c r="F7" i="30"/>
  <c r="J6" i="25"/>
  <c r="I6" i="115"/>
  <c r="I8" i="14"/>
  <c r="K7" i="13"/>
  <c r="I6" i="3"/>
  <c r="O8" i="112"/>
  <c r="C6" i="72"/>
  <c r="L6" i="56"/>
  <c r="J5" i="47"/>
  <c r="F6" i="35"/>
  <c r="I6" i="119"/>
  <c r="H6" i="22"/>
  <c r="K6" i="18"/>
  <c r="I8" i="15"/>
  <c r="K7" i="12"/>
  <c r="D6" i="10"/>
  <c r="N8" i="113"/>
  <c r="N7" i="5"/>
  <c r="D8" i="41"/>
  <c r="N6" i="118"/>
  <c r="L6" i="34"/>
  <c r="I6" i="8"/>
  <c r="H6" i="97"/>
  <c r="L6" i="62"/>
  <c r="G6" i="105"/>
  <c r="M5" i="117"/>
  <c r="G7" i="32"/>
  <c r="F7" i="31"/>
  <c r="G6" i="26"/>
  <c r="L6" i="21"/>
  <c r="L6" i="19"/>
  <c r="K6" i="17"/>
  <c r="J6" i="16"/>
  <c r="J6" i="9"/>
  <c r="H6" i="89"/>
  <c r="I6" i="4"/>
  <c r="M5" i="49"/>
  <c r="D8" i="37"/>
  <c r="L6" i="94"/>
  <c r="I123" i="2"/>
  <c r="H183" i="90"/>
  <c r="J183" i="90" s="1"/>
  <c r="H179" i="90"/>
  <c r="H149" i="90"/>
  <c r="H147" i="90"/>
  <c r="H118" i="90"/>
  <c r="H116" i="90"/>
  <c r="H84" i="90"/>
  <c r="H81" i="90"/>
  <c r="H238" i="90"/>
  <c r="H192" i="90"/>
  <c r="H158" i="90"/>
  <c r="H156" i="90"/>
  <c r="H129" i="90"/>
  <c r="H127" i="90"/>
  <c r="J127" i="90" s="1"/>
  <c r="H96" i="90"/>
  <c r="H94" i="90"/>
  <c r="H57" i="90"/>
  <c r="H256" i="90"/>
  <c r="H254" i="90"/>
  <c r="H246" i="90"/>
  <c r="H51" i="90"/>
  <c r="H47" i="90"/>
  <c r="H17" i="90"/>
  <c r="H15" i="90"/>
  <c r="H58" i="90"/>
  <c r="H55" i="90"/>
  <c r="H46" i="90"/>
  <c r="H35" i="90"/>
  <c r="H234" i="90"/>
  <c r="H52" i="90"/>
  <c r="H256" i="72"/>
  <c r="H253" i="72"/>
  <c r="H247" i="72"/>
  <c r="H242" i="72"/>
  <c r="H238" i="72"/>
  <c r="H236" i="72"/>
  <c r="H232" i="72"/>
  <c r="H224" i="72"/>
  <c r="H223" i="72"/>
  <c r="H218" i="72"/>
  <c r="H259" i="72"/>
  <c r="H257" i="72"/>
  <c r="H254" i="72"/>
  <c r="H248" i="72"/>
  <c r="H243" i="72"/>
  <c r="H239" i="72"/>
  <c r="H233" i="72"/>
  <c r="H225" i="72"/>
  <c r="H219" i="72"/>
  <c r="H260" i="72"/>
  <c r="H251" i="72"/>
  <c r="H244" i="72"/>
  <c r="H240" i="72"/>
  <c r="H234" i="72"/>
  <c r="H230" i="72"/>
  <c r="H245" i="72"/>
  <c r="H231" i="72"/>
  <c r="H220" i="72"/>
  <c r="H215" i="72"/>
  <c r="H210" i="72"/>
  <c r="H206" i="72"/>
  <c r="H201" i="72"/>
  <c r="H189" i="72"/>
  <c r="H183" i="72"/>
  <c r="H177" i="72"/>
  <c r="H173" i="72"/>
  <c r="H164" i="72"/>
  <c r="L164" i="72" s="1"/>
  <c r="H162" i="72"/>
  <c r="H160" i="72"/>
  <c r="H158" i="72"/>
  <c r="H156" i="72"/>
  <c r="H154" i="72"/>
  <c r="H150" i="72"/>
  <c r="H147" i="72"/>
  <c r="H144" i="72"/>
  <c r="H121" i="72"/>
  <c r="H117" i="72"/>
  <c r="H104" i="72"/>
  <c r="H97" i="72"/>
  <c r="H93" i="72"/>
  <c r="H255" i="72"/>
  <c r="H252" i="72"/>
  <c r="H216" i="72"/>
  <c r="H207" i="72"/>
  <c r="H202" i="72"/>
  <c r="H190" i="72"/>
  <c r="H185" i="72"/>
  <c r="H179" i="72"/>
  <c r="H174" i="72"/>
  <c r="H170" i="72"/>
  <c r="H148" i="72"/>
  <c r="H136" i="72"/>
  <c r="H134" i="72"/>
  <c r="L134" i="72" s="1"/>
  <c r="H132" i="72"/>
  <c r="L132" i="72" s="1"/>
  <c r="H130" i="72"/>
  <c r="H128" i="72"/>
  <c r="L128" i="72" s="1"/>
  <c r="H124" i="72"/>
  <c r="H122" i="72"/>
  <c r="H118" i="72"/>
  <c r="H115" i="72"/>
  <c r="H113" i="72"/>
  <c r="L113" i="72" s="1"/>
  <c r="H111" i="72"/>
  <c r="L111" i="72" s="1"/>
  <c r="H109" i="72"/>
  <c r="L109" i="72" s="1"/>
  <c r="H105" i="72"/>
  <c r="H94" i="72"/>
  <c r="H241" i="72"/>
  <c r="H235" i="72"/>
  <c r="H221" i="72"/>
  <c r="H217" i="72"/>
  <c r="H208" i="72"/>
  <c r="H203" i="72"/>
  <c r="H191" i="72"/>
  <c r="H186" i="72"/>
  <c r="H175" i="72"/>
  <c r="H171" i="72"/>
  <c r="H163" i="72"/>
  <c r="H161" i="72"/>
  <c r="H159" i="72"/>
  <c r="H157" i="72"/>
  <c r="H155" i="72"/>
  <c r="L155" i="72" s="1"/>
  <c r="H151" i="72"/>
  <c r="H149" i="72"/>
  <c r="H145" i="72"/>
  <c r="H142" i="72"/>
  <c r="H119" i="72"/>
  <c r="H106" i="72"/>
  <c r="H95" i="72"/>
  <c r="H91" i="72"/>
  <c r="H193" i="72"/>
  <c r="H176" i="72"/>
  <c r="H131" i="72"/>
  <c r="H110" i="72"/>
  <c r="H52" i="72"/>
  <c r="H46" i="72"/>
  <c r="H35" i="72"/>
  <c r="H28" i="72"/>
  <c r="H25" i="72"/>
  <c r="H23" i="72"/>
  <c r="H20" i="72"/>
  <c r="H15" i="72"/>
  <c r="H214" i="72"/>
  <c r="H209" i="72"/>
  <c r="H204" i="72"/>
  <c r="H137" i="72"/>
  <c r="H129" i="72"/>
  <c r="H116" i="72"/>
  <c r="H107" i="72"/>
  <c r="H92" i="72"/>
  <c r="H84" i="72"/>
  <c r="H81" i="72"/>
  <c r="H74" i="72"/>
  <c r="H72" i="72"/>
  <c r="H67" i="72"/>
  <c r="H65" i="72"/>
  <c r="H63" i="72"/>
  <c r="H58" i="72"/>
  <c r="H53" i="72"/>
  <c r="H47" i="72"/>
  <c r="H42" i="72"/>
  <c r="H41" i="72"/>
  <c r="H36" i="72"/>
  <c r="H32" i="72"/>
  <c r="H29" i="72"/>
  <c r="H21" i="72"/>
  <c r="H16" i="72"/>
  <c r="H187" i="72"/>
  <c r="H172" i="72"/>
  <c r="H146" i="72"/>
  <c r="H143" i="72"/>
  <c r="H135" i="72"/>
  <c r="H127" i="72"/>
  <c r="H114" i="72"/>
  <c r="H59" i="72"/>
  <c r="H54" i="72"/>
  <c r="H48" i="72"/>
  <c r="H44" i="72"/>
  <c r="H37" i="72"/>
  <c r="H33" i="72"/>
  <c r="H26" i="72"/>
  <c r="H24" i="72"/>
  <c r="H22" i="72"/>
  <c r="H17" i="72"/>
  <c r="H13" i="72"/>
  <c r="L3" i="72"/>
  <c r="H112" i="72"/>
  <c r="L112" i="72" s="1"/>
  <c r="H96" i="72"/>
  <c r="H71" i="72"/>
  <c r="H61" i="72"/>
  <c r="H55" i="72"/>
  <c r="H45" i="72"/>
  <c r="H205" i="72"/>
  <c r="H103" i="72"/>
  <c r="H83" i="72"/>
  <c r="H68" i="72"/>
  <c r="H57" i="72"/>
  <c r="H14" i="72"/>
  <c r="H133" i="72"/>
  <c r="H120" i="72"/>
  <c r="H80" i="72"/>
  <c r="H66" i="72"/>
  <c r="H60" i="72"/>
  <c r="H51" i="72"/>
  <c r="H200" i="72"/>
  <c r="H73" i="72"/>
  <c r="H123" i="72"/>
  <c r="H64" i="72"/>
  <c r="H27" i="72"/>
  <c r="H34" i="72"/>
  <c r="H19" i="72"/>
  <c r="T211" i="68"/>
  <c r="F227" i="68"/>
  <c r="F193" i="90"/>
  <c r="F248" i="90"/>
  <c r="T194" i="68"/>
  <c r="F225" i="90"/>
  <c r="F227" i="72"/>
  <c r="R19" i="59"/>
  <c r="S37" i="59"/>
  <c r="H50" i="82" s="1"/>
  <c r="R50" i="82" s="1"/>
  <c r="D50" i="82" s="1"/>
  <c r="Y39" i="101"/>
  <c r="X39" i="101"/>
  <c r="W39" i="101" s="1"/>
  <c r="X25" i="101"/>
  <c r="W25" i="101" s="1"/>
  <c r="Y25" i="101"/>
  <c r="X20" i="101"/>
  <c r="W20" i="101" s="1"/>
  <c r="Y20" i="101"/>
  <c r="X41" i="101"/>
  <c r="W41" i="101" s="1"/>
  <c r="Y41" i="101"/>
  <c r="X28" i="101"/>
  <c r="W28" i="101" s="1"/>
  <c r="Y28" i="101"/>
  <c r="B18" i="82"/>
  <c r="E36" i="15"/>
  <c r="D35" i="15"/>
  <c r="A12" i="82"/>
  <c r="S32" i="14"/>
  <c r="E35" i="14"/>
  <c r="D34" i="14"/>
  <c r="B7" i="82"/>
  <c r="A7" i="82"/>
  <c r="H14" i="90" l="1"/>
  <c r="H205" i="90"/>
  <c r="H67" i="90"/>
  <c r="H20" i="90"/>
  <c r="H53" i="90"/>
  <c r="H63" i="90"/>
  <c r="H59" i="90"/>
  <c r="H104" i="90"/>
  <c r="H131" i="90"/>
  <c r="H160" i="90"/>
  <c r="H240" i="90"/>
  <c r="J240" i="90" s="1"/>
  <c r="H91" i="90"/>
  <c r="H98" i="90" s="1"/>
  <c r="H120" i="90"/>
  <c r="H151" i="90"/>
  <c r="H186" i="90"/>
  <c r="I112" i="66"/>
  <c r="I132" i="66"/>
  <c r="I146" i="66"/>
  <c r="I234" i="66"/>
  <c r="I238" i="66"/>
  <c r="I235" i="66"/>
  <c r="I97" i="66"/>
  <c r="I226" i="66"/>
  <c r="I163" i="66"/>
  <c r="I58" i="66"/>
  <c r="I110" i="66"/>
  <c r="I257" i="66"/>
  <c r="I136" i="66"/>
  <c r="I218" i="66"/>
  <c r="I95" i="66"/>
  <c r="I76" i="66"/>
  <c r="H76" i="90"/>
  <c r="H125" i="90"/>
  <c r="J125" i="90" s="1"/>
  <c r="I127" i="66"/>
  <c r="H202" i="90"/>
  <c r="J202" i="90" s="1"/>
  <c r="L202" i="90" s="1"/>
  <c r="H65" i="90"/>
  <c r="H106" i="90"/>
  <c r="H133" i="90"/>
  <c r="H93" i="90"/>
  <c r="H122" i="90"/>
  <c r="H78" i="90"/>
  <c r="H33" i="90"/>
  <c r="H199" i="90"/>
  <c r="H210" i="90" s="1"/>
  <c r="H109" i="90"/>
  <c r="L109" i="90" s="1"/>
  <c r="H135" i="90"/>
  <c r="L135" i="90" s="1"/>
  <c r="H95" i="90"/>
  <c r="H124" i="90"/>
  <c r="J124" i="90" s="1"/>
  <c r="L124" i="90" s="1"/>
  <c r="H49" i="90"/>
  <c r="J49" i="90" s="1"/>
  <c r="H216" i="90"/>
  <c r="H26" i="90"/>
  <c r="H111" i="90"/>
  <c r="L111" i="90" s="1"/>
  <c r="H247" i="90"/>
  <c r="H128" i="90"/>
  <c r="I44" i="66"/>
  <c r="I149" i="66"/>
  <c r="I239" i="66"/>
  <c r="I209" i="66"/>
  <c r="I66" i="66"/>
  <c r="I68" i="66"/>
  <c r="I173" i="66"/>
  <c r="H27" i="90"/>
  <c r="H28" i="90"/>
  <c r="H68" i="90"/>
  <c r="H173" i="90"/>
  <c r="H130" i="90"/>
  <c r="J130" i="90" s="1"/>
  <c r="I256" i="66"/>
  <c r="I222" i="66"/>
  <c r="I29" i="66"/>
  <c r="I60" i="66"/>
  <c r="I175" i="66"/>
  <c r="H21" i="90"/>
  <c r="J21" i="90" s="1"/>
  <c r="L21" i="90" s="1"/>
  <c r="H201" i="90"/>
  <c r="J201" i="90" s="1"/>
  <c r="L201" i="90" s="1"/>
  <c r="H37" i="90"/>
  <c r="H231" i="90"/>
  <c r="H32" i="90"/>
  <c r="H213" i="90"/>
  <c r="J213" i="90" s="1"/>
  <c r="H218" i="90"/>
  <c r="H71" i="90"/>
  <c r="H115" i="90"/>
  <c r="J115" i="90" s="1"/>
  <c r="L115" i="90" s="1"/>
  <c r="H144" i="90"/>
  <c r="H175" i="90"/>
  <c r="H253" i="90"/>
  <c r="J253" i="90" s="1"/>
  <c r="L253" i="90" s="1"/>
  <c r="H105" i="90"/>
  <c r="J105" i="90" s="1"/>
  <c r="L105" i="90" s="1"/>
  <c r="H132" i="90"/>
  <c r="L132" i="90" s="1"/>
  <c r="H163" i="90"/>
  <c r="I249" i="66"/>
  <c r="I26" i="66"/>
  <c r="I258" i="66"/>
  <c r="I17" i="66"/>
  <c r="I121" i="66"/>
  <c r="I150" i="66"/>
  <c r="I92" i="66"/>
  <c r="I164" i="66"/>
  <c r="I94" i="66"/>
  <c r="I111" i="66"/>
  <c r="I155" i="66"/>
  <c r="I19" i="66"/>
  <c r="C7" i="66"/>
  <c r="G119" i="66" s="1"/>
  <c r="I237" i="66"/>
  <c r="I248" i="66"/>
  <c r="H50" i="90"/>
  <c r="I64" i="66"/>
  <c r="H29" i="90"/>
  <c r="J29" i="90" s="1"/>
  <c r="L29" i="90" s="1"/>
  <c r="H219" i="90"/>
  <c r="J219" i="90" s="1"/>
  <c r="L219" i="90" s="1"/>
  <c r="H48" i="90"/>
  <c r="H235" i="90"/>
  <c r="J235" i="90" s="1"/>
  <c r="L235" i="90" s="1"/>
  <c r="H34" i="90"/>
  <c r="J34" i="90" s="1"/>
  <c r="L34" i="90" s="1"/>
  <c r="H217" i="90"/>
  <c r="J217" i="90" s="1"/>
  <c r="L217" i="90" s="1"/>
  <c r="H223" i="90"/>
  <c r="H73" i="90"/>
  <c r="H117" i="90"/>
  <c r="H146" i="90"/>
  <c r="H177" i="90"/>
  <c r="H255" i="90"/>
  <c r="H107" i="90"/>
  <c r="H134" i="90"/>
  <c r="L134" i="90" s="1"/>
  <c r="H170" i="90"/>
  <c r="H180" i="90" s="1"/>
  <c r="B2" i="82"/>
  <c r="C7" i="72"/>
  <c r="I74" i="66"/>
  <c r="I33" i="66"/>
  <c r="I148" i="66"/>
  <c r="I81" i="66"/>
  <c r="I137" i="66"/>
  <c r="I253" i="66"/>
  <c r="I35" i="66"/>
  <c r="I123" i="66"/>
  <c r="I245" i="66"/>
  <c r="I142" i="66"/>
  <c r="I165" i="66" s="1"/>
  <c r="I193" i="66"/>
  <c r="I232" i="66"/>
  <c r="I251" i="66" s="1"/>
  <c r="I124" i="66"/>
  <c r="I67" i="66"/>
  <c r="I178" i="66"/>
  <c r="I152" i="66"/>
  <c r="I31" i="66"/>
  <c r="I61" i="66"/>
  <c r="H54" i="90"/>
  <c r="H214" i="90"/>
  <c r="J214" i="90" s="1"/>
  <c r="L214" i="90" s="1"/>
  <c r="H142" i="90"/>
  <c r="J142" i="90" s="1"/>
  <c r="L142" i="90" s="1"/>
  <c r="H103" i="90"/>
  <c r="I174" i="66"/>
  <c r="I250" i="66"/>
  <c r="I47" i="66"/>
  <c r="I109" i="66"/>
  <c r="I30" i="66"/>
  <c r="H60" i="90"/>
  <c r="H241" i="90"/>
  <c r="H209" i="90"/>
  <c r="H243" i="90"/>
  <c r="H36" i="90"/>
  <c r="J36" i="90" s="1"/>
  <c r="L36" i="90" s="1"/>
  <c r="H222" i="90"/>
  <c r="J222" i="90" s="1"/>
  <c r="L222" i="90" s="1"/>
  <c r="H229" i="90"/>
  <c r="H80" i="90"/>
  <c r="H119" i="90"/>
  <c r="J119" i="90" s="1"/>
  <c r="L119" i="90" s="1"/>
  <c r="H148" i="90"/>
  <c r="J148" i="90" s="1"/>
  <c r="L148" i="90" s="1"/>
  <c r="H185" i="90"/>
  <c r="H259" i="90"/>
  <c r="H110" i="90"/>
  <c r="H136" i="90"/>
  <c r="H172" i="90"/>
  <c r="K10" i="2"/>
  <c r="K11" i="2" s="1"/>
  <c r="I59" i="66"/>
  <c r="I118" i="66"/>
  <c r="I73" i="66"/>
  <c r="I36" i="66"/>
  <c r="I45" i="66"/>
  <c r="I104" i="66"/>
  <c r="I221" i="66"/>
  <c r="I208" i="66"/>
  <c r="I128" i="66"/>
  <c r="I143" i="66"/>
  <c r="I158" i="66"/>
  <c r="I55" i="66"/>
  <c r="I191" i="66"/>
  <c r="I32" i="66"/>
  <c r="H245" i="90"/>
  <c r="J245" i="90" s="1"/>
  <c r="L245" i="90" s="1"/>
  <c r="I192" i="66"/>
  <c r="I50" i="66"/>
  <c r="I63" i="66"/>
  <c r="I69" i="66" s="1"/>
  <c r="H56" i="90"/>
  <c r="H23" i="90"/>
  <c r="H200" i="90"/>
  <c r="H242" i="90"/>
  <c r="H189" i="90"/>
  <c r="H82" i="90"/>
  <c r="H206" i="90"/>
  <c r="H24" i="90"/>
  <c r="J24" i="90" s="1"/>
  <c r="L24" i="90" s="1"/>
  <c r="H64" i="90"/>
  <c r="H164" i="90"/>
  <c r="L164" i="90" s="1"/>
  <c r="H191" i="90"/>
  <c r="J191" i="90" s="1"/>
  <c r="L191" i="90" s="1"/>
  <c r="H44" i="90"/>
  <c r="J44" i="90" s="1"/>
  <c r="L44" i="90" s="1"/>
  <c r="H19" i="90"/>
  <c r="H208" i="90"/>
  <c r="H171" i="90"/>
  <c r="H159" i="90"/>
  <c r="I105" i="66"/>
  <c r="I183" i="66"/>
  <c r="I243" i="66"/>
  <c r="I133" i="66"/>
  <c r="H207" i="90"/>
  <c r="J207" i="90" s="1"/>
  <c r="L207" i="90" s="1"/>
  <c r="H251" i="90"/>
  <c r="J251" i="90" s="1"/>
  <c r="L251" i="90" s="1"/>
  <c r="I259" i="66"/>
  <c r="I151" i="66"/>
  <c r="I113" i="66"/>
  <c r="H41" i="90"/>
  <c r="H16" i="90"/>
  <c r="H230" i="90"/>
  <c r="H252" i="90"/>
  <c r="H42" i="90"/>
  <c r="J42" i="90" s="1"/>
  <c r="H232" i="90"/>
  <c r="J232" i="90" s="1"/>
  <c r="L232" i="90" s="1"/>
  <c r="H233" i="90"/>
  <c r="J233" i="90" s="1"/>
  <c r="L233" i="90" s="1"/>
  <c r="H83" i="90"/>
  <c r="H121" i="90"/>
  <c r="H150" i="90"/>
  <c r="H187" i="90"/>
  <c r="L187" i="90" s="1"/>
  <c r="H72" i="90"/>
  <c r="H112" i="90"/>
  <c r="L112" i="90" s="1"/>
  <c r="H143" i="90"/>
  <c r="H174" i="90"/>
  <c r="I119" i="66"/>
  <c r="I134" i="66"/>
  <c r="I122" i="66"/>
  <c r="I131" i="66"/>
  <c r="I185" i="66"/>
  <c r="I212" i="66"/>
  <c r="I205" i="66"/>
  <c r="I247" i="66"/>
  <c r="I225" i="66"/>
  <c r="I145" i="66"/>
  <c r="I159" i="66"/>
  <c r="I13" i="66"/>
  <c r="I23" i="66"/>
  <c r="I125" i="66"/>
  <c r="I129" i="66"/>
  <c r="P2" i="66"/>
  <c r="M10" i="121" s="1"/>
  <c r="H224" i="90"/>
  <c r="H22" i="90"/>
  <c r="J22" i="90" s="1"/>
  <c r="L22" i="90" s="1"/>
  <c r="H61" i="90"/>
  <c r="J61" i="90" s="1"/>
  <c r="L61" i="90" s="1"/>
  <c r="H162" i="90"/>
  <c r="H155" i="90"/>
  <c r="L155" i="90" s="1"/>
  <c r="H250" i="90"/>
  <c r="H204" i="90"/>
  <c r="H244" i="90"/>
  <c r="H157" i="90"/>
  <c r="H203" i="90"/>
  <c r="H66" i="90"/>
  <c r="H137" i="90"/>
  <c r="L137" i="90" s="1"/>
  <c r="H97" i="90"/>
  <c r="I186" i="66"/>
  <c r="I34" i="66"/>
  <c r="I103" i="66"/>
  <c r="I138" i="66" s="1"/>
  <c r="I202" i="66"/>
  <c r="I172" i="66"/>
  <c r="I54" i="66"/>
  <c r="H220" i="90"/>
  <c r="H113" i="90"/>
  <c r="L113" i="90" s="1"/>
  <c r="H161" i="90"/>
  <c r="I219" i="66"/>
  <c r="I227" i="66"/>
  <c r="H215" i="90"/>
  <c r="J215" i="90" s="1"/>
  <c r="L215" i="90" s="1"/>
  <c r="H25" i="90"/>
  <c r="H258" i="90"/>
  <c r="H13" i="90"/>
  <c r="J13" i="90" s="1"/>
  <c r="L13" i="90" s="1"/>
  <c r="H45" i="90"/>
  <c r="H237" i="90"/>
  <c r="H239" i="90"/>
  <c r="H92" i="90"/>
  <c r="H123" i="90"/>
  <c r="H154" i="90"/>
  <c r="H190" i="90"/>
  <c r="H74" i="90"/>
  <c r="H114" i="90"/>
  <c r="J114" i="90" s="1"/>
  <c r="L114" i="90" s="1"/>
  <c r="H145" i="90"/>
  <c r="J145" i="90" s="1"/>
  <c r="L145" i="90" s="1"/>
  <c r="H176" i="90"/>
  <c r="J176" i="90" s="1"/>
  <c r="L176" i="90" s="1"/>
  <c r="I21" i="66"/>
  <c r="I177" i="66"/>
  <c r="I207" i="66"/>
  <c r="I154" i="66"/>
  <c r="I206" i="66"/>
  <c r="F261" i="66"/>
  <c r="F259" i="72" s="1"/>
  <c r="I106" i="66"/>
  <c r="I96" i="66"/>
  <c r="I160" i="66"/>
  <c r="I244" i="66"/>
  <c r="I179" i="66"/>
  <c r="I223" i="66"/>
  <c r="I220" i="66"/>
  <c r="I15" i="66"/>
  <c r="I75" i="66"/>
  <c r="I82" i="66"/>
  <c r="P1" i="66"/>
  <c r="M8" i="121" s="1"/>
  <c r="H75" i="90"/>
  <c r="H126" i="90"/>
  <c r="D20" i="5"/>
  <c r="D21" i="5"/>
  <c r="T21" i="5" s="1"/>
  <c r="D22" i="5"/>
  <c r="T22" i="5" s="1"/>
  <c r="F65" i="66" s="1"/>
  <c r="H152" i="90"/>
  <c r="D27" i="5"/>
  <c r="T27" i="5" s="1"/>
  <c r="F71" i="66" s="1"/>
  <c r="D30" i="5"/>
  <c r="T30" i="5" s="1"/>
  <c r="F75" i="68" s="1"/>
  <c r="H79" i="90"/>
  <c r="H85" i="90" s="1"/>
  <c r="D28" i="5"/>
  <c r="T28" i="5" s="1"/>
  <c r="F73" i="68" s="1"/>
  <c r="D33" i="5"/>
  <c r="T33" i="5" s="1"/>
  <c r="D34" i="5"/>
  <c r="T34" i="5" s="1"/>
  <c r="D37" i="5"/>
  <c r="D29" i="5"/>
  <c r="T29" i="5" s="1"/>
  <c r="D40" i="5"/>
  <c r="T40" i="5" s="1"/>
  <c r="D43" i="5"/>
  <c r="T43" i="5" s="1"/>
  <c r="F83" i="68" s="1"/>
  <c r="H153" i="90"/>
  <c r="L153" i="90" s="1"/>
  <c r="D35" i="5"/>
  <c r="T35" i="5" s="1"/>
  <c r="F84" i="68" s="1"/>
  <c r="T84" i="68" s="1"/>
  <c r="D23" i="5"/>
  <c r="T23" i="5" s="1"/>
  <c r="F66" i="66" s="1"/>
  <c r="D41" i="5"/>
  <c r="T41" i="5" s="1"/>
  <c r="F79" i="66" s="1"/>
  <c r="F79" i="72" s="1"/>
  <c r="J79" i="72" s="1"/>
  <c r="L79" i="72" s="1"/>
  <c r="H30" i="90"/>
  <c r="J30" i="90" s="1"/>
  <c r="L30" i="90" s="1"/>
  <c r="H178" i="90"/>
  <c r="J178" i="90" s="1"/>
  <c r="L178" i="90" s="1"/>
  <c r="H31" i="90"/>
  <c r="J31" i="90" s="1"/>
  <c r="D24" i="5"/>
  <c r="T24" i="5" s="1"/>
  <c r="D38" i="5"/>
  <c r="T38" i="5" s="1"/>
  <c r="F154" i="68"/>
  <c r="F153" i="66"/>
  <c r="F153" i="72" s="1"/>
  <c r="J153" i="72" s="1"/>
  <c r="M72" i="121"/>
  <c r="F153" i="68"/>
  <c r="F152" i="66"/>
  <c r="E196" i="80"/>
  <c r="D250" i="80"/>
  <c r="J77" i="88"/>
  <c r="J85" i="88" s="1"/>
  <c r="J88" i="88" s="1"/>
  <c r="M113" i="121" s="1"/>
  <c r="D258" i="80"/>
  <c r="L126" i="72"/>
  <c r="L153" i="72"/>
  <c r="L56" i="90"/>
  <c r="J56" i="90"/>
  <c r="L126" i="90"/>
  <c r="J126" i="90"/>
  <c r="F154" i="66"/>
  <c r="F154" i="72" s="1"/>
  <c r="J154" i="72" s="1"/>
  <c r="L154" i="72" s="1"/>
  <c r="F151" i="66"/>
  <c r="G151" i="66" s="1"/>
  <c r="M39" i="13"/>
  <c r="F109" i="66" s="1"/>
  <c r="F161" i="72"/>
  <c r="J161" i="72" s="1"/>
  <c r="L161" i="72" s="1"/>
  <c r="G161" i="66"/>
  <c r="F162" i="72"/>
  <c r="J162" i="72" s="1"/>
  <c r="L162" i="72" s="1"/>
  <c r="G162" i="66"/>
  <c r="F159" i="72"/>
  <c r="J159" i="72" s="1"/>
  <c r="L159" i="72" s="1"/>
  <c r="G159" i="66"/>
  <c r="F110" i="66"/>
  <c r="G110" i="66" s="1"/>
  <c r="F111" i="66"/>
  <c r="G111" i="66" s="1"/>
  <c r="J31" i="72"/>
  <c r="L31" i="72"/>
  <c r="L50" i="90"/>
  <c r="J50" i="90"/>
  <c r="L31" i="90"/>
  <c r="L50" i="72"/>
  <c r="J50" i="72"/>
  <c r="A49" i="82"/>
  <c r="J59" i="88"/>
  <c r="C32" i="79"/>
  <c r="AE263" i="80"/>
  <c r="H78" i="92"/>
  <c r="J78" i="92" s="1"/>
  <c r="J125" i="72"/>
  <c r="L125" i="72" s="1"/>
  <c r="J56" i="72"/>
  <c r="L56" i="72"/>
  <c r="J192" i="72"/>
  <c r="C8" i="79"/>
  <c r="K259" i="68" s="1"/>
  <c r="K261" i="68" s="1"/>
  <c r="K263" i="68" s="1"/>
  <c r="H263" i="80"/>
  <c r="C11" i="79"/>
  <c r="N259" i="68" s="1"/>
  <c r="N261" i="68" s="1"/>
  <c r="N263" i="68" s="1"/>
  <c r="K263" i="80"/>
  <c r="C9" i="79"/>
  <c r="L259" i="68" s="1"/>
  <c r="L261" i="68" s="1"/>
  <c r="L263" i="68" s="1"/>
  <c r="I263" i="80"/>
  <c r="C10" i="79"/>
  <c r="M259" i="68" s="1"/>
  <c r="M261" i="68" s="1"/>
  <c r="M263" i="68" s="1"/>
  <c r="J263" i="80"/>
  <c r="C7" i="79"/>
  <c r="J259" i="68" s="1"/>
  <c r="J261" i="68" s="1"/>
  <c r="J263" i="68" s="1"/>
  <c r="G263" i="80"/>
  <c r="G17" i="66"/>
  <c r="G34" i="8"/>
  <c r="H36" i="82"/>
  <c r="R36" i="82" s="1"/>
  <c r="D36" i="82" s="1"/>
  <c r="B36" i="82" s="1"/>
  <c r="I98" i="66"/>
  <c r="L178" i="72"/>
  <c r="J49" i="72"/>
  <c r="L49" i="72" s="1"/>
  <c r="I228" i="66"/>
  <c r="F79" i="68"/>
  <c r="F78" i="66"/>
  <c r="F77" i="68"/>
  <c r="F76" i="66"/>
  <c r="J246" i="72"/>
  <c r="L246" i="72" s="1"/>
  <c r="F78" i="68"/>
  <c r="F77" i="66"/>
  <c r="J236" i="90"/>
  <c r="L236" i="90" s="1"/>
  <c r="J115" i="72"/>
  <c r="L115" i="72" s="1"/>
  <c r="J237" i="72"/>
  <c r="L237" i="72" s="1"/>
  <c r="J30" i="72"/>
  <c r="L30" i="72" s="1"/>
  <c r="J259" i="72"/>
  <c r="L259" i="72" s="1"/>
  <c r="F263" i="66"/>
  <c r="F265" i="66" s="1"/>
  <c r="M109" i="121" s="1"/>
  <c r="T37" i="5"/>
  <c r="AJ258" i="80"/>
  <c r="F261" i="80"/>
  <c r="C6" i="79" s="1"/>
  <c r="A25" i="82"/>
  <c r="B6" i="82"/>
  <c r="A6" i="82"/>
  <c r="A38" i="82"/>
  <c r="B38" i="82"/>
  <c r="E261" i="80"/>
  <c r="C5" i="79" s="1"/>
  <c r="B48" i="8"/>
  <c r="F163" i="66"/>
  <c r="A24" i="82"/>
  <c r="F162" i="68"/>
  <c r="T162" i="68" s="1"/>
  <c r="H86" i="92"/>
  <c r="J86" i="92" s="1"/>
  <c r="F89" i="92"/>
  <c r="F91" i="92" s="1"/>
  <c r="H78" i="74"/>
  <c r="J78" i="74" s="1"/>
  <c r="F86" i="74"/>
  <c r="B27" i="82"/>
  <c r="F163" i="68"/>
  <c r="F162" i="90" s="1"/>
  <c r="I180" i="66"/>
  <c r="I213" i="66"/>
  <c r="F151" i="68"/>
  <c r="F150" i="90" s="1"/>
  <c r="I194" i="66"/>
  <c r="F156" i="66"/>
  <c r="F160" i="68"/>
  <c r="T160" i="68" s="1"/>
  <c r="I38" i="66"/>
  <c r="I85" i="66"/>
  <c r="F158" i="66"/>
  <c r="B60" i="5"/>
  <c r="J23" i="72"/>
  <c r="L23" i="72" s="1"/>
  <c r="J186" i="90"/>
  <c r="L186" i="90" s="1"/>
  <c r="H211" i="72"/>
  <c r="J200" i="72"/>
  <c r="L200" i="72" s="1"/>
  <c r="J205" i="72"/>
  <c r="L205" i="72" s="1"/>
  <c r="H38" i="72"/>
  <c r="J13" i="72"/>
  <c r="L13" i="72" s="1"/>
  <c r="J26" i="72"/>
  <c r="L26" i="72" s="1"/>
  <c r="J172" i="72"/>
  <c r="L172" i="72" s="1"/>
  <c r="L42" i="72"/>
  <c r="J42" i="72"/>
  <c r="J107" i="72"/>
  <c r="L107" i="72" s="1"/>
  <c r="J20" i="72"/>
  <c r="L20" i="72" s="1"/>
  <c r="L35" i="72"/>
  <c r="J35" i="72"/>
  <c r="J203" i="72"/>
  <c r="L203" i="72" s="1"/>
  <c r="J130" i="72"/>
  <c r="L130" i="72" s="1"/>
  <c r="J185" i="72"/>
  <c r="L185" i="72" s="1"/>
  <c r="L97" i="72"/>
  <c r="J97" i="72"/>
  <c r="J189" i="72"/>
  <c r="L189" i="72" s="1"/>
  <c r="H249" i="72"/>
  <c r="J230" i="72"/>
  <c r="L230" i="72" s="1"/>
  <c r="J233" i="72"/>
  <c r="L233" i="72" s="1"/>
  <c r="J223" i="72"/>
  <c r="L223" i="72" s="1"/>
  <c r="L256" i="72"/>
  <c r="J256" i="72"/>
  <c r="F158" i="68"/>
  <c r="F157" i="66"/>
  <c r="F72" i="66"/>
  <c r="J234" i="90"/>
  <c r="L234" i="90" s="1"/>
  <c r="J241" i="90"/>
  <c r="L241" i="90" s="1"/>
  <c r="L46" i="90"/>
  <c r="J46" i="90"/>
  <c r="J19" i="90"/>
  <c r="L19" i="90" s="1"/>
  <c r="J209" i="90"/>
  <c r="L209" i="90" s="1"/>
  <c r="L58" i="90"/>
  <c r="J58" i="90"/>
  <c r="J216" i="90"/>
  <c r="L216" i="90" s="1"/>
  <c r="J243" i="90"/>
  <c r="L243" i="90" s="1"/>
  <c r="J17" i="90"/>
  <c r="L17" i="90" s="1"/>
  <c r="J26" i="90"/>
  <c r="L26" i="90" s="1"/>
  <c r="J51" i="90"/>
  <c r="L51" i="90" s="1"/>
  <c r="J203" i="90"/>
  <c r="L203" i="90" s="1"/>
  <c r="J208" i="90"/>
  <c r="L208" i="90" s="1"/>
  <c r="H248" i="90"/>
  <c r="J248" i="90" s="1"/>
  <c r="J229" i="90"/>
  <c r="L229" i="90" s="1"/>
  <c r="L57" i="90"/>
  <c r="J57" i="90"/>
  <c r="J96" i="90"/>
  <c r="L96" i="90" s="1"/>
  <c r="J129" i="90"/>
  <c r="L129" i="90" s="1"/>
  <c r="J171" i="90"/>
  <c r="L171" i="90" s="1"/>
  <c r="J185" i="90"/>
  <c r="L185" i="90" s="1"/>
  <c r="J259" i="90"/>
  <c r="L259" i="90" s="1"/>
  <c r="L97" i="90"/>
  <c r="J97" i="90"/>
  <c r="J118" i="90"/>
  <c r="L118" i="90" s="1"/>
  <c r="L128" i="90"/>
  <c r="J128" i="90"/>
  <c r="J149" i="90"/>
  <c r="L149" i="90" s="1"/>
  <c r="J172" i="90"/>
  <c r="L172" i="90" s="1"/>
  <c r="H193" i="90"/>
  <c r="J193" i="90" s="1"/>
  <c r="L183" i="90"/>
  <c r="J254" i="90"/>
  <c r="L254" i="90" s="1"/>
  <c r="J145" i="72"/>
  <c r="L145" i="72" s="1"/>
  <c r="J51" i="72"/>
  <c r="L51" i="72" s="1"/>
  <c r="J120" i="72"/>
  <c r="L120" i="72" s="1"/>
  <c r="L45" i="72"/>
  <c r="J45" i="72"/>
  <c r="J96" i="72"/>
  <c r="L96" i="72" s="1"/>
  <c r="J17" i="72"/>
  <c r="L17" i="72" s="1"/>
  <c r="J33" i="72"/>
  <c r="L33" i="72" s="1"/>
  <c r="J54" i="72"/>
  <c r="L54" i="72" s="1"/>
  <c r="L135" i="72"/>
  <c r="J135" i="72"/>
  <c r="L187" i="72"/>
  <c r="J187" i="72"/>
  <c r="J32" i="72"/>
  <c r="L32" i="72" s="1"/>
  <c r="J47" i="72"/>
  <c r="L47" i="72" s="1"/>
  <c r="J209" i="72"/>
  <c r="L209" i="72" s="1"/>
  <c r="L46" i="72"/>
  <c r="J46" i="72"/>
  <c r="J176" i="72"/>
  <c r="L176" i="72" s="1"/>
  <c r="J106" i="72"/>
  <c r="L106" i="72" s="1"/>
  <c r="J149" i="72"/>
  <c r="L149" i="72" s="1"/>
  <c r="J175" i="72"/>
  <c r="L175" i="72" s="1"/>
  <c r="J208" i="72"/>
  <c r="L208" i="72" s="1"/>
  <c r="L241" i="72"/>
  <c r="J241" i="72"/>
  <c r="L122" i="72"/>
  <c r="J122" i="72"/>
  <c r="H180" i="72"/>
  <c r="J170" i="72"/>
  <c r="L170" i="72" s="1"/>
  <c r="J190" i="72"/>
  <c r="L190" i="72" s="1"/>
  <c r="J252" i="72"/>
  <c r="L252" i="72" s="1"/>
  <c r="J104" i="72"/>
  <c r="L104" i="72" s="1"/>
  <c r="J147" i="72"/>
  <c r="L147" i="72" s="1"/>
  <c r="J173" i="72"/>
  <c r="L173" i="72" s="1"/>
  <c r="J201" i="72"/>
  <c r="L201" i="72" s="1"/>
  <c r="J220" i="72"/>
  <c r="L220" i="72" s="1"/>
  <c r="J234" i="72"/>
  <c r="L234" i="72" s="1"/>
  <c r="J260" i="72"/>
  <c r="L260" i="72" s="1"/>
  <c r="J239" i="72"/>
  <c r="L239" i="72" s="1"/>
  <c r="L257" i="72"/>
  <c r="J257" i="72"/>
  <c r="J224" i="72"/>
  <c r="L224" i="72" s="1"/>
  <c r="J242" i="72"/>
  <c r="L242" i="72" s="1"/>
  <c r="J238" i="90"/>
  <c r="L238" i="90" s="1"/>
  <c r="F155" i="66"/>
  <c r="F156" i="68"/>
  <c r="F164" i="66"/>
  <c r="F165" i="68"/>
  <c r="F65" i="68"/>
  <c r="F64" i="66"/>
  <c r="F72" i="68"/>
  <c r="J41" i="90"/>
  <c r="L41" i="90" s="1"/>
  <c r="J14" i="90"/>
  <c r="L14" i="90" s="1"/>
  <c r="J54" i="90"/>
  <c r="L54" i="90" s="1"/>
  <c r="L16" i="90"/>
  <c r="J16" i="90"/>
  <c r="J205" i="90"/>
  <c r="L205" i="90" s="1"/>
  <c r="J27" i="90"/>
  <c r="L27" i="90" s="1"/>
  <c r="J230" i="90"/>
  <c r="L230" i="90" s="1"/>
  <c r="J220" i="90"/>
  <c r="L220" i="90" s="1"/>
  <c r="J252" i="90"/>
  <c r="L252" i="90" s="1"/>
  <c r="J20" i="90"/>
  <c r="L20" i="90" s="1"/>
  <c r="J28" i="90"/>
  <c r="L28" i="90" s="1"/>
  <c r="L42" i="90"/>
  <c r="J53" i="90"/>
  <c r="L53" i="90" s="1"/>
  <c r="H69" i="90"/>
  <c r="J59" i="90"/>
  <c r="L59" i="90" s="1"/>
  <c r="J104" i="90"/>
  <c r="L104" i="90" s="1"/>
  <c r="J121" i="90"/>
  <c r="L121" i="90" s="1"/>
  <c r="J131" i="90"/>
  <c r="L131" i="90" s="1"/>
  <c r="H165" i="90"/>
  <c r="J173" i="90"/>
  <c r="L173" i="90" s="1"/>
  <c r="H138" i="90"/>
  <c r="J103" i="90"/>
  <c r="L103" i="90" s="1"/>
  <c r="J120" i="90"/>
  <c r="L120" i="90" s="1"/>
  <c r="L130" i="90"/>
  <c r="J143" i="90"/>
  <c r="L143" i="90" s="1"/>
  <c r="J174" i="90"/>
  <c r="L174" i="90" s="1"/>
  <c r="J136" i="90"/>
  <c r="L136" i="90" s="1"/>
  <c r="Q17" i="8"/>
  <c r="Q34" i="8" s="1"/>
  <c r="J134" i="72"/>
  <c r="F112" i="66"/>
  <c r="F113" i="68"/>
  <c r="H9" i="82"/>
  <c r="T20" i="5"/>
  <c r="F63" i="66" s="1"/>
  <c r="F81" i="68"/>
  <c r="F80" i="66"/>
  <c r="F82" i="68"/>
  <c r="F81" i="66"/>
  <c r="J23" i="90"/>
  <c r="L23" i="90" s="1"/>
  <c r="J25" i="90"/>
  <c r="L25" i="90" s="1"/>
  <c r="J224" i="90"/>
  <c r="L224" i="90" s="1"/>
  <c r="L37" i="90"/>
  <c r="J37" i="90"/>
  <c r="J231" i="90"/>
  <c r="L231" i="90" s="1"/>
  <c r="J32" i="90"/>
  <c r="L32" i="90" s="1"/>
  <c r="L45" i="90"/>
  <c r="J45" i="90"/>
  <c r="L213" i="90"/>
  <c r="H225" i="90"/>
  <c r="J225" i="90" s="1"/>
  <c r="J200" i="90"/>
  <c r="L200" i="90" s="1"/>
  <c r="J239" i="90"/>
  <c r="L239" i="90" s="1"/>
  <c r="J92" i="90"/>
  <c r="L92" i="90" s="1"/>
  <c r="J106" i="90"/>
  <c r="L106" i="90" s="1"/>
  <c r="J123" i="90"/>
  <c r="L123" i="90" s="1"/>
  <c r="J133" i="90"/>
  <c r="L133" i="90" s="1"/>
  <c r="L144" i="90"/>
  <c r="J144" i="90"/>
  <c r="J175" i="90"/>
  <c r="L175" i="90" s="1"/>
  <c r="J190" i="90"/>
  <c r="L190" i="90" s="1"/>
  <c r="J242" i="90"/>
  <c r="L242" i="90" s="1"/>
  <c r="J93" i="90"/>
  <c r="L93" i="90" s="1"/>
  <c r="L122" i="90"/>
  <c r="J122" i="90"/>
  <c r="J237" i="90"/>
  <c r="L237" i="90" s="1"/>
  <c r="J189" i="90"/>
  <c r="L189" i="90" s="1"/>
  <c r="J131" i="72"/>
  <c r="L131" i="72" s="1"/>
  <c r="J27" i="72"/>
  <c r="L27" i="72" s="1"/>
  <c r="L57" i="72"/>
  <c r="J57" i="72"/>
  <c r="H85" i="72"/>
  <c r="J48" i="72"/>
  <c r="L48" i="72" s="1"/>
  <c r="J29" i="72"/>
  <c r="L29" i="72" s="1"/>
  <c r="H69" i="72"/>
  <c r="J204" i="72"/>
  <c r="L204" i="72" s="1"/>
  <c r="J95" i="72"/>
  <c r="L95" i="72" s="1"/>
  <c r="J171" i="72"/>
  <c r="L171" i="72" s="1"/>
  <c r="J235" i="72"/>
  <c r="L235" i="72" s="1"/>
  <c r="J118" i="72"/>
  <c r="L118" i="72" s="1"/>
  <c r="J148" i="72"/>
  <c r="L148" i="72" s="1"/>
  <c r="J216" i="72"/>
  <c r="L216" i="72" s="1"/>
  <c r="L144" i="72"/>
  <c r="J144" i="72"/>
  <c r="J215" i="72"/>
  <c r="L215" i="72" s="1"/>
  <c r="J251" i="72"/>
  <c r="L251" i="72" s="1"/>
  <c r="J254" i="72"/>
  <c r="L254" i="72" s="1"/>
  <c r="J238" i="72"/>
  <c r="L238" i="72" s="1"/>
  <c r="F74" i="68"/>
  <c r="F73" i="66"/>
  <c r="F66" i="68"/>
  <c r="J60" i="90"/>
  <c r="L60" i="90" s="1"/>
  <c r="F155" i="68"/>
  <c r="T155" i="68" s="1"/>
  <c r="J19" i="72"/>
  <c r="L19" i="72" s="1"/>
  <c r="J123" i="72"/>
  <c r="L123" i="72" s="1"/>
  <c r="J60" i="72"/>
  <c r="L60" i="72" s="1"/>
  <c r="J133" i="72"/>
  <c r="L133" i="72" s="1"/>
  <c r="J55" i="72"/>
  <c r="L55" i="72" s="1"/>
  <c r="J22" i="72"/>
  <c r="L22" i="72" s="1"/>
  <c r="L37" i="72"/>
  <c r="J37" i="72"/>
  <c r="J59" i="72"/>
  <c r="L59" i="72" s="1"/>
  <c r="J143" i="72"/>
  <c r="L143" i="72" s="1"/>
  <c r="L16" i="72"/>
  <c r="J16" i="72"/>
  <c r="J36" i="72"/>
  <c r="L36" i="72" s="1"/>
  <c r="J53" i="72"/>
  <c r="L53" i="72" s="1"/>
  <c r="J129" i="72"/>
  <c r="L129" i="72" s="1"/>
  <c r="H226" i="72"/>
  <c r="J214" i="72"/>
  <c r="L214" i="72" s="1"/>
  <c r="J25" i="72"/>
  <c r="L25" i="72" s="1"/>
  <c r="J52" i="72"/>
  <c r="L52" i="72" s="1"/>
  <c r="J193" i="72"/>
  <c r="L193" i="72" s="1"/>
  <c r="J119" i="72"/>
  <c r="L119" i="72" s="1"/>
  <c r="L186" i="72"/>
  <c r="J186" i="72"/>
  <c r="J217" i="72"/>
  <c r="L217" i="72" s="1"/>
  <c r="J94" i="72"/>
  <c r="L94" i="72" s="1"/>
  <c r="J124" i="72"/>
  <c r="L124" i="72" s="1"/>
  <c r="J174" i="72"/>
  <c r="L174" i="72" s="1"/>
  <c r="J202" i="72"/>
  <c r="L202" i="72" s="1"/>
  <c r="J255" i="72"/>
  <c r="L255" i="72" s="1"/>
  <c r="J117" i="72"/>
  <c r="L117" i="72" s="1"/>
  <c r="J177" i="72"/>
  <c r="L177" i="72" s="1"/>
  <c r="J206" i="72"/>
  <c r="L206" i="72" s="1"/>
  <c r="J231" i="72"/>
  <c r="L231" i="72" s="1"/>
  <c r="J240" i="72"/>
  <c r="L240" i="72" s="1"/>
  <c r="J219" i="72"/>
  <c r="L219" i="72" s="1"/>
  <c r="J243" i="72"/>
  <c r="L243" i="72" s="1"/>
  <c r="J232" i="72"/>
  <c r="L232" i="72" s="1"/>
  <c r="J247" i="72"/>
  <c r="L247" i="72" s="1"/>
  <c r="J247" i="90"/>
  <c r="L247" i="90" s="1"/>
  <c r="J127" i="72"/>
  <c r="L127" i="72" s="1"/>
  <c r="J34" i="72"/>
  <c r="L34" i="72" s="1"/>
  <c r="J14" i="72"/>
  <c r="L14" i="72" s="1"/>
  <c r="H138" i="72"/>
  <c r="J103" i="72"/>
  <c r="L103" i="72" s="1"/>
  <c r="J61" i="72"/>
  <c r="L61" i="72" s="1"/>
  <c r="J24" i="72"/>
  <c r="L24" i="72" s="1"/>
  <c r="J44" i="72"/>
  <c r="L44" i="72" s="1"/>
  <c r="J114" i="72"/>
  <c r="L114" i="72" s="1"/>
  <c r="J146" i="72"/>
  <c r="L146" i="72" s="1"/>
  <c r="J21" i="72"/>
  <c r="L21" i="72" s="1"/>
  <c r="J41" i="72"/>
  <c r="L41" i="72" s="1"/>
  <c r="J58" i="72"/>
  <c r="L58" i="72" s="1"/>
  <c r="J92" i="72"/>
  <c r="L92" i="72" s="1"/>
  <c r="L137" i="72"/>
  <c r="J137" i="72"/>
  <c r="J15" i="72"/>
  <c r="L15" i="72" s="1"/>
  <c r="J28" i="72"/>
  <c r="L28" i="72" s="1"/>
  <c r="H98" i="72"/>
  <c r="J91" i="72"/>
  <c r="L91" i="72" s="1"/>
  <c r="H165" i="72"/>
  <c r="J142" i="72"/>
  <c r="L142" i="72" s="1"/>
  <c r="J191" i="72"/>
  <c r="L191" i="72" s="1"/>
  <c r="J221" i="72"/>
  <c r="L221" i="72" s="1"/>
  <c r="J105" i="72"/>
  <c r="L105" i="72" s="1"/>
  <c r="J179" i="72"/>
  <c r="L179" i="72" s="1"/>
  <c r="J207" i="72"/>
  <c r="L207" i="72" s="1"/>
  <c r="J93" i="72"/>
  <c r="L93" i="72" s="1"/>
  <c r="J121" i="72"/>
  <c r="L121" i="72" s="1"/>
  <c r="H194" i="72"/>
  <c r="J183" i="72"/>
  <c r="L183" i="72" s="1"/>
  <c r="J210" i="72"/>
  <c r="L210" i="72" s="1"/>
  <c r="J245" i="72"/>
  <c r="L245" i="72" s="1"/>
  <c r="J244" i="72"/>
  <c r="L244" i="72" s="1"/>
  <c r="J225" i="72"/>
  <c r="L225" i="72" s="1"/>
  <c r="J248" i="72"/>
  <c r="L248" i="72" s="1"/>
  <c r="J218" i="72"/>
  <c r="L218" i="72" s="1"/>
  <c r="J236" i="72"/>
  <c r="L236" i="72" s="1"/>
  <c r="J253" i="72"/>
  <c r="L253" i="72" s="1"/>
  <c r="J136" i="72"/>
  <c r="L136" i="72" s="1"/>
  <c r="F113" i="66"/>
  <c r="F114" i="68"/>
  <c r="F68" i="68"/>
  <c r="F67" i="66"/>
  <c r="F69" i="68"/>
  <c r="F68" i="66"/>
  <c r="J52" i="90"/>
  <c r="L52" i="90" s="1"/>
  <c r="J33" i="90"/>
  <c r="L33" i="90" s="1"/>
  <c r="L35" i="90"/>
  <c r="J35" i="90"/>
  <c r="J250" i="90"/>
  <c r="L250" i="90" s="1"/>
  <c r="J48" i="90"/>
  <c r="L48" i="90" s="1"/>
  <c r="J55" i="90"/>
  <c r="L55" i="90" s="1"/>
  <c r="J206" i="90"/>
  <c r="L206" i="90" s="1"/>
  <c r="J15" i="90"/>
  <c r="L15" i="90" s="1"/>
  <c r="J47" i="90"/>
  <c r="L47" i="90" s="1"/>
  <c r="J199" i="90"/>
  <c r="L199" i="90" s="1"/>
  <c r="J246" i="90"/>
  <c r="L246" i="90" s="1"/>
  <c r="J204" i="90"/>
  <c r="L204" i="90" s="1"/>
  <c r="J223" i="90"/>
  <c r="L223" i="90" s="1"/>
  <c r="L256" i="90"/>
  <c r="J256" i="90"/>
  <c r="J94" i="90"/>
  <c r="L94" i="90" s="1"/>
  <c r="J117" i="90"/>
  <c r="L117" i="90" s="1"/>
  <c r="L127" i="90"/>
  <c r="J146" i="90"/>
  <c r="L146" i="90" s="1"/>
  <c r="J177" i="90"/>
  <c r="L177" i="90" s="1"/>
  <c r="J192" i="90"/>
  <c r="L192" i="90" s="1"/>
  <c r="J244" i="90"/>
  <c r="L244" i="90" s="1"/>
  <c r="L255" i="90"/>
  <c r="J255" i="90"/>
  <c r="J95" i="90"/>
  <c r="L95" i="90" s="1"/>
  <c r="J107" i="90"/>
  <c r="L107" i="90" s="1"/>
  <c r="J116" i="90"/>
  <c r="L116" i="90" s="1"/>
  <c r="J147" i="90"/>
  <c r="L147" i="90" s="1"/>
  <c r="J179" i="90"/>
  <c r="L179" i="90" s="1"/>
  <c r="J218" i="90"/>
  <c r="L218" i="90" s="1"/>
  <c r="J116" i="72"/>
  <c r="L116" i="72" s="1"/>
  <c r="J132" i="72"/>
  <c r="J128" i="72"/>
  <c r="F226" i="90"/>
  <c r="F249" i="90" s="1"/>
  <c r="T227" i="68"/>
  <c r="F250" i="68"/>
  <c r="F250" i="72"/>
  <c r="B50" i="82"/>
  <c r="A50" i="82"/>
  <c r="D36" i="15"/>
  <c r="E37" i="15"/>
  <c r="D35" i="14"/>
  <c r="E36" i="14"/>
  <c r="F150" i="72"/>
  <c r="T157" i="68"/>
  <c r="F156" i="90"/>
  <c r="J156" i="90" s="1"/>
  <c r="L156" i="90" s="1"/>
  <c r="F163" i="90"/>
  <c r="J163" i="90" s="1"/>
  <c r="L163" i="90" s="1"/>
  <c r="T164" i="68"/>
  <c r="F158" i="90"/>
  <c r="J158" i="90" s="1"/>
  <c r="L158" i="90" s="1"/>
  <c r="T159" i="68"/>
  <c r="F82" i="66" l="1"/>
  <c r="J91" i="90"/>
  <c r="L91" i="90" s="1"/>
  <c r="L125" i="90"/>
  <c r="J135" i="90"/>
  <c r="L240" i="90"/>
  <c r="J137" i="90"/>
  <c r="J170" i="90"/>
  <c r="L170" i="90" s="1"/>
  <c r="J162" i="90"/>
  <c r="L162" i="90" s="1"/>
  <c r="J134" i="90"/>
  <c r="J187" i="90"/>
  <c r="L49" i="90"/>
  <c r="J132" i="90"/>
  <c r="F83" i="66"/>
  <c r="F83" i="72" s="1"/>
  <c r="J83" i="72" s="1"/>
  <c r="L83" i="72" s="1"/>
  <c r="F67" i="68"/>
  <c r="H38" i="90"/>
  <c r="J38" i="90" s="1"/>
  <c r="L38" i="90" s="1"/>
  <c r="J79" i="90"/>
  <c r="L79" i="90" s="1"/>
  <c r="D44" i="5"/>
  <c r="F74" i="66"/>
  <c r="F74" i="72" s="1"/>
  <c r="J74" i="72" s="1"/>
  <c r="L74" i="72" s="1"/>
  <c r="F152" i="72"/>
  <c r="J152" i="72" s="1"/>
  <c r="L152" i="72" s="1"/>
  <c r="G152" i="66"/>
  <c r="F152" i="90"/>
  <c r="J152" i="90" s="1"/>
  <c r="L152" i="90" s="1"/>
  <c r="T153" i="68"/>
  <c r="T154" i="68"/>
  <c r="F153" i="90"/>
  <c r="J153" i="90" s="1"/>
  <c r="C40" i="79"/>
  <c r="F110" i="72"/>
  <c r="J110" i="72" s="1"/>
  <c r="L110" i="72" s="1"/>
  <c r="F152" i="68"/>
  <c r="F151" i="90" s="1"/>
  <c r="J151" i="90" s="1"/>
  <c r="L151" i="90" s="1"/>
  <c r="F151" i="72"/>
  <c r="J151" i="72" s="1"/>
  <c r="L151" i="72" s="1"/>
  <c r="F110" i="68"/>
  <c r="G110" i="68" s="1"/>
  <c r="F111" i="72"/>
  <c r="J111" i="72" s="1"/>
  <c r="F109" i="72"/>
  <c r="J109" i="72" s="1"/>
  <c r="G109" i="66"/>
  <c r="M70" i="121"/>
  <c r="F82" i="72"/>
  <c r="J82" i="72" s="1"/>
  <c r="L82" i="72" s="1"/>
  <c r="G82" i="66"/>
  <c r="F164" i="72"/>
  <c r="J164" i="72" s="1"/>
  <c r="G164" i="66"/>
  <c r="F157" i="72"/>
  <c r="J157" i="72" s="1"/>
  <c r="L157" i="72" s="1"/>
  <c r="G157" i="66"/>
  <c r="F155" i="72"/>
  <c r="J155" i="72" s="1"/>
  <c r="G155" i="66"/>
  <c r="F156" i="72"/>
  <c r="J156" i="72" s="1"/>
  <c r="L156" i="72" s="1"/>
  <c r="G156" i="66"/>
  <c r="F158" i="72"/>
  <c r="J158" i="72" s="1"/>
  <c r="L158" i="72" s="1"/>
  <c r="G158" i="66"/>
  <c r="F163" i="72"/>
  <c r="J163" i="72" s="1"/>
  <c r="L163" i="72" s="1"/>
  <c r="G163" i="66"/>
  <c r="F112" i="68"/>
  <c r="F111" i="90" s="1"/>
  <c r="J111" i="90" s="1"/>
  <c r="F111" i="68"/>
  <c r="T111" i="68" s="1"/>
  <c r="T83" i="68"/>
  <c r="F82" i="90"/>
  <c r="J82" i="90" s="1"/>
  <c r="L82" i="90" s="1"/>
  <c r="T44" i="5"/>
  <c r="A36" i="82"/>
  <c r="J91" i="88"/>
  <c r="I229" i="66"/>
  <c r="I252" i="66" s="1"/>
  <c r="I260" i="66" s="1"/>
  <c r="I263" i="66" s="1"/>
  <c r="I265" i="66" s="1"/>
  <c r="G77" i="66"/>
  <c r="F77" i="72"/>
  <c r="J77" i="72" s="1"/>
  <c r="L77" i="72" s="1"/>
  <c r="T77" i="68"/>
  <c r="F76" i="90"/>
  <c r="J76" i="90" s="1"/>
  <c r="L76" i="90" s="1"/>
  <c r="T78" i="68"/>
  <c r="F77" i="90"/>
  <c r="J77" i="90" s="1"/>
  <c r="L77" i="90" s="1"/>
  <c r="G78" i="66"/>
  <c r="F78" i="72"/>
  <c r="J78" i="72" s="1"/>
  <c r="L78" i="72" s="1"/>
  <c r="T79" i="68"/>
  <c r="F78" i="90"/>
  <c r="J78" i="90" s="1"/>
  <c r="L78" i="90" s="1"/>
  <c r="F76" i="68"/>
  <c r="F75" i="66"/>
  <c r="G76" i="66"/>
  <c r="F76" i="72"/>
  <c r="J76" i="72" s="1"/>
  <c r="L76" i="72" s="1"/>
  <c r="F159" i="90"/>
  <c r="J159" i="90" s="1"/>
  <c r="L159" i="90" s="1"/>
  <c r="F161" i="90"/>
  <c r="J161" i="90" s="1"/>
  <c r="L161" i="90" s="1"/>
  <c r="AJ261" i="80"/>
  <c r="F263" i="80"/>
  <c r="D261" i="80"/>
  <c r="E263" i="80"/>
  <c r="T151" i="68"/>
  <c r="H86" i="74"/>
  <c r="J86" i="74" s="1"/>
  <c r="F89" i="74"/>
  <c r="F91" i="74" s="1"/>
  <c r="I86" i="66"/>
  <c r="I88" i="66" s="1"/>
  <c r="T163" i="68"/>
  <c r="I167" i="66"/>
  <c r="F154" i="90"/>
  <c r="J154" i="90" s="1"/>
  <c r="L154" i="90" s="1"/>
  <c r="F138" i="66"/>
  <c r="F68" i="90"/>
  <c r="J68" i="90" s="1"/>
  <c r="L68" i="90" s="1"/>
  <c r="G69" i="68"/>
  <c r="T69" i="68"/>
  <c r="F113" i="72"/>
  <c r="J113" i="72" s="1"/>
  <c r="G113" i="66"/>
  <c r="J194" i="72"/>
  <c r="L194" i="72" s="1"/>
  <c r="H167" i="72"/>
  <c r="G65" i="66"/>
  <c r="F65" i="72"/>
  <c r="J65" i="72" s="1"/>
  <c r="L65" i="72" s="1"/>
  <c r="F80" i="72"/>
  <c r="J80" i="72" s="1"/>
  <c r="L80" i="72" s="1"/>
  <c r="G80" i="66"/>
  <c r="F64" i="68"/>
  <c r="G113" i="68"/>
  <c r="F112" i="90"/>
  <c r="J112" i="90" s="1"/>
  <c r="T113" i="68"/>
  <c r="F85" i="68"/>
  <c r="F84" i="66"/>
  <c r="G74" i="66"/>
  <c r="T165" i="68"/>
  <c r="F164" i="90"/>
  <c r="J164" i="90" s="1"/>
  <c r="J180" i="90"/>
  <c r="L180" i="90" s="1"/>
  <c r="G83" i="66"/>
  <c r="F67" i="72"/>
  <c r="J67" i="72" s="1"/>
  <c r="L67" i="72" s="1"/>
  <c r="G67" i="66"/>
  <c r="F73" i="72"/>
  <c r="J73" i="72" s="1"/>
  <c r="L73" i="72" s="1"/>
  <c r="G73" i="66"/>
  <c r="F80" i="90"/>
  <c r="J80" i="90" s="1"/>
  <c r="L80" i="90" s="1"/>
  <c r="G81" i="68"/>
  <c r="T81" i="68"/>
  <c r="G112" i="66"/>
  <c r="F112" i="72"/>
  <c r="J112" i="72" s="1"/>
  <c r="F74" i="90"/>
  <c r="J74" i="90" s="1"/>
  <c r="L74" i="90" s="1"/>
  <c r="T75" i="68"/>
  <c r="G75" i="68"/>
  <c r="J180" i="72"/>
  <c r="L180" i="72" s="1"/>
  <c r="L193" i="90"/>
  <c r="T158" i="68"/>
  <c r="F157" i="90"/>
  <c r="J157" i="90" s="1"/>
  <c r="L157" i="90" s="1"/>
  <c r="J249" i="72"/>
  <c r="L249" i="72" s="1"/>
  <c r="F83" i="90"/>
  <c r="J83" i="90" s="1"/>
  <c r="L83" i="90" s="1"/>
  <c r="G84" i="68"/>
  <c r="F67" i="90"/>
  <c r="J67" i="90" s="1"/>
  <c r="L67" i="90" s="1"/>
  <c r="G68" i="68"/>
  <c r="T68" i="68"/>
  <c r="J98" i="72"/>
  <c r="L98" i="72" s="1"/>
  <c r="F73" i="90"/>
  <c r="J73" i="90" s="1"/>
  <c r="L73" i="90" s="1"/>
  <c r="G74" i="68"/>
  <c r="T74" i="68"/>
  <c r="F81" i="72"/>
  <c r="J81" i="72" s="1"/>
  <c r="L81" i="72" s="1"/>
  <c r="G81" i="66"/>
  <c r="F66" i="90"/>
  <c r="J66" i="90" s="1"/>
  <c r="L66" i="90" s="1"/>
  <c r="G67" i="68"/>
  <c r="T67" i="68"/>
  <c r="J98" i="90"/>
  <c r="L98" i="90" s="1"/>
  <c r="F71" i="90"/>
  <c r="T72" i="68"/>
  <c r="G72" i="68"/>
  <c r="G64" i="66"/>
  <c r="F64" i="72"/>
  <c r="J64" i="72" s="1"/>
  <c r="L64" i="72" s="1"/>
  <c r="F155" i="90"/>
  <c r="J155" i="90" s="1"/>
  <c r="T156" i="68"/>
  <c r="F72" i="72"/>
  <c r="J72" i="72" s="1"/>
  <c r="L72" i="72" s="1"/>
  <c r="G72" i="66"/>
  <c r="J38" i="72"/>
  <c r="L38" i="72" s="1"/>
  <c r="H226" i="90"/>
  <c r="J210" i="90"/>
  <c r="L210" i="90" s="1"/>
  <c r="F68" i="72"/>
  <c r="J68" i="72" s="1"/>
  <c r="L68" i="72" s="1"/>
  <c r="G68" i="66"/>
  <c r="F113" i="90"/>
  <c r="J113" i="90" s="1"/>
  <c r="G114" i="68"/>
  <c r="T114" i="68"/>
  <c r="J226" i="72"/>
  <c r="L226" i="72" s="1"/>
  <c r="F65" i="90"/>
  <c r="J65" i="90" s="1"/>
  <c r="L65" i="90" s="1"/>
  <c r="G66" i="68"/>
  <c r="T66" i="68"/>
  <c r="H86" i="72"/>
  <c r="L225" i="90"/>
  <c r="F81" i="90"/>
  <c r="J81" i="90" s="1"/>
  <c r="L81" i="90" s="1"/>
  <c r="T82" i="68"/>
  <c r="G82" i="68"/>
  <c r="F66" i="72"/>
  <c r="J66" i="72" s="1"/>
  <c r="L66" i="72" s="1"/>
  <c r="G66" i="66"/>
  <c r="F161" i="68"/>
  <c r="F160" i="66"/>
  <c r="G160" i="66" s="1"/>
  <c r="I9" i="82"/>
  <c r="U9" i="82" s="1"/>
  <c r="H167" i="90"/>
  <c r="H86" i="90"/>
  <c r="F71" i="72"/>
  <c r="G71" i="66"/>
  <c r="F64" i="90"/>
  <c r="J64" i="90" s="1"/>
  <c r="L64" i="90" s="1"/>
  <c r="T65" i="68"/>
  <c r="G65" i="68"/>
  <c r="L248" i="90"/>
  <c r="F72" i="90"/>
  <c r="J72" i="90" s="1"/>
  <c r="L72" i="90" s="1"/>
  <c r="T73" i="68"/>
  <c r="G73" i="68"/>
  <c r="H227" i="72"/>
  <c r="J211" i="72"/>
  <c r="L211" i="72" s="1"/>
  <c r="F257" i="90"/>
  <c r="F258" i="68"/>
  <c r="T250" i="68"/>
  <c r="F258" i="72"/>
  <c r="D37" i="15"/>
  <c r="D38" i="15"/>
  <c r="D36" i="14"/>
  <c r="E37" i="14"/>
  <c r="J150" i="90"/>
  <c r="L150" i="90" s="1"/>
  <c r="J150" i="72"/>
  <c r="L150" i="72" s="1"/>
  <c r="F109" i="90" l="1"/>
  <c r="J109" i="90" s="1"/>
  <c r="T110" i="68"/>
  <c r="T152" i="68"/>
  <c r="G112" i="68"/>
  <c r="T112" i="68"/>
  <c r="G111" i="68"/>
  <c r="F110" i="90"/>
  <c r="J110" i="90" s="1"/>
  <c r="L110" i="90" s="1"/>
  <c r="F139" i="68"/>
  <c r="T139" i="68" s="1"/>
  <c r="F86" i="68"/>
  <c r="T86" i="68" s="1"/>
  <c r="F85" i="66"/>
  <c r="G75" i="66"/>
  <c r="F75" i="72"/>
  <c r="J75" i="72" s="1"/>
  <c r="L75" i="72" s="1"/>
  <c r="T76" i="68"/>
  <c r="F75" i="90"/>
  <c r="J75" i="90" s="1"/>
  <c r="L75" i="90" s="1"/>
  <c r="C39" i="79"/>
  <c r="F39" i="79" s="1"/>
  <c r="I259" i="68"/>
  <c r="F5" i="79"/>
  <c r="I196" i="66"/>
  <c r="I198" i="66"/>
  <c r="F138" i="72"/>
  <c r="J138" i="72" s="1"/>
  <c r="L138" i="72" s="1"/>
  <c r="T9" i="82"/>
  <c r="R9" i="82" s="1"/>
  <c r="D9" i="82" s="1"/>
  <c r="F63" i="90"/>
  <c r="T64" i="68"/>
  <c r="G64" i="68"/>
  <c r="F70" i="68"/>
  <c r="H250" i="72"/>
  <c r="J227" i="72"/>
  <c r="L227" i="72" s="1"/>
  <c r="F160" i="72"/>
  <c r="F165" i="66"/>
  <c r="F167" i="66" s="1"/>
  <c r="J71" i="90"/>
  <c r="L71" i="90" s="1"/>
  <c r="G63" i="66"/>
  <c r="F63" i="72"/>
  <c r="F69" i="66"/>
  <c r="T161" i="68"/>
  <c r="F160" i="90"/>
  <c r="F166" i="68"/>
  <c r="H88" i="90"/>
  <c r="G84" i="66"/>
  <c r="F84" i="72"/>
  <c r="J84" i="72" s="1"/>
  <c r="L84" i="72" s="1"/>
  <c r="J71" i="72"/>
  <c r="L71" i="72" s="1"/>
  <c r="H249" i="90"/>
  <c r="J226" i="90"/>
  <c r="L226" i="90" s="1"/>
  <c r="H88" i="72"/>
  <c r="F84" i="90"/>
  <c r="J84" i="90" s="1"/>
  <c r="L84" i="90" s="1"/>
  <c r="T85" i="68"/>
  <c r="G85" i="68"/>
  <c r="F261" i="72"/>
  <c r="F263" i="72" s="1"/>
  <c r="D39" i="15"/>
  <c r="E38" i="15"/>
  <c r="D38" i="14"/>
  <c r="D37" i="14"/>
  <c r="F138" i="90" l="1"/>
  <c r="J138" i="90" s="1"/>
  <c r="L138" i="90" s="1"/>
  <c r="F259" i="68"/>
  <c r="I261" i="68"/>
  <c r="I263" i="68" s="1"/>
  <c r="T166" i="68"/>
  <c r="F168" i="68"/>
  <c r="T168" i="68" s="1"/>
  <c r="J63" i="72"/>
  <c r="L63" i="72" s="1"/>
  <c r="F69" i="72"/>
  <c r="H257" i="90"/>
  <c r="J249" i="90"/>
  <c r="L249" i="90" s="1"/>
  <c r="J160" i="90"/>
  <c r="L160" i="90" s="1"/>
  <c r="F165" i="90"/>
  <c r="H258" i="72"/>
  <c r="J250" i="72"/>
  <c r="L250" i="72" s="1"/>
  <c r="H196" i="72"/>
  <c r="F85" i="90"/>
  <c r="J85" i="90" s="1"/>
  <c r="L85" i="90" s="1"/>
  <c r="J160" i="72"/>
  <c r="L160" i="72" s="1"/>
  <c r="F165" i="72"/>
  <c r="F69" i="90"/>
  <c r="J63" i="90"/>
  <c r="L63" i="90" s="1"/>
  <c r="F85" i="72"/>
  <c r="J85" i="72" s="1"/>
  <c r="L85" i="72" s="1"/>
  <c r="H195" i="90"/>
  <c r="G184" i="66"/>
  <c r="F86" i="66"/>
  <c r="F88" i="66" s="1"/>
  <c r="G183" i="66"/>
  <c r="G184" i="68"/>
  <c r="T70" i="68"/>
  <c r="F87" i="68"/>
  <c r="B9" i="82"/>
  <c r="A9" i="82"/>
  <c r="E39" i="15"/>
  <c r="D40" i="15"/>
  <c r="E38" i="14"/>
  <c r="D39" i="14"/>
  <c r="C95" i="11" l="1"/>
  <c r="C100" i="11"/>
  <c r="C91" i="11"/>
  <c r="C98" i="11"/>
  <c r="C92" i="11"/>
  <c r="C97" i="11"/>
  <c r="C96" i="11"/>
  <c r="C93" i="11"/>
  <c r="C94" i="11"/>
  <c r="C99" i="11"/>
  <c r="F258" i="90"/>
  <c r="T259" i="68"/>
  <c r="F265" i="68"/>
  <c r="F261" i="68"/>
  <c r="F89" i="68"/>
  <c r="T87" i="68"/>
  <c r="F198" i="66"/>
  <c r="M108" i="121" s="1"/>
  <c r="F196" i="66"/>
  <c r="F86" i="72"/>
  <c r="J69" i="72"/>
  <c r="L69" i="72" s="1"/>
  <c r="H261" i="72"/>
  <c r="H263" i="72" s="1"/>
  <c r="J258" i="72"/>
  <c r="L258" i="72" s="1"/>
  <c r="J69" i="90"/>
  <c r="L69" i="90" s="1"/>
  <c r="F86" i="90"/>
  <c r="H260" i="90"/>
  <c r="H262" i="90" s="1"/>
  <c r="J257" i="90"/>
  <c r="L257" i="90" s="1"/>
  <c r="B48" i="41"/>
  <c r="B54" i="24"/>
  <c r="B97" i="3"/>
  <c r="B91" i="55"/>
  <c r="B85" i="97"/>
  <c r="B55" i="24"/>
  <c r="B57" i="12"/>
  <c r="B52" i="13"/>
  <c r="B40" i="43"/>
  <c r="B53" i="24"/>
  <c r="B113" i="115"/>
  <c r="B84" i="57"/>
  <c r="B111" i="115"/>
  <c r="B56" i="49"/>
  <c r="B57" i="8"/>
  <c r="B45" i="37"/>
  <c r="C55" i="56"/>
  <c r="B94" i="55"/>
  <c r="B40" i="39"/>
  <c r="B50" i="8"/>
  <c r="B112" i="115"/>
  <c r="B41" i="37"/>
  <c r="C44" i="59"/>
  <c r="B99" i="3"/>
  <c r="B42" i="38"/>
  <c r="C77" i="17"/>
  <c r="B56" i="89"/>
  <c r="C42" i="59"/>
  <c r="B36" i="37"/>
  <c r="B47" i="89"/>
  <c r="B79" i="97"/>
  <c r="B93" i="3"/>
  <c r="B49" i="12"/>
  <c r="B44" i="40"/>
  <c r="C45" i="59"/>
  <c r="B88" i="97"/>
  <c r="B49" i="41"/>
  <c r="B47" i="40"/>
  <c r="B32" i="47"/>
  <c r="B51" i="13"/>
  <c r="B43" i="41"/>
  <c r="B84" i="14"/>
  <c r="B92" i="3"/>
  <c r="B40" i="42"/>
  <c r="B76" i="57"/>
  <c r="C74" i="17"/>
  <c r="B94" i="3"/>
  <c r="B41" i="40"/>
  <c r="C49" i="59"/>
  <c r="B101" i="3"/>
  <c r="B92" i="55"/>
  <c r="B49" i="8"/>
  <c r="B116" i="115"/>
  <c r="B45" i="41"/>
  <c r="B40" i="47"/>
  <c r="B44" i="46"/>
  <c r="B45" i="43"/>
  <c r="B85" i="57"/>
  <c r="B76" i="14"/>
  <c r="C79" i="17"/>
  <c r="B46" i="38"/>
  <c r="B58" i="12"/>
  <c r="B53" i="13"/>
  <c r="B58" i="49"/>
  <c r="C80" i="17"/>
  <c r="B44" i="42"/>
  <c r="B77" i="14"/>
  <c r="B59" i="13"/>
  <c r="B82" i="97"/>
  <c r="B52" i="24"/>
  <c r="B45" i="42"/>
  <c r="B74" i="15"/>
  <c r="B78" i="14"/>
  <c r="B98" i="3"/>
  <c r="B42" i="37"/>
  <c r="B39" i="40"/>
  <c r="B37" i="46"/>
  <c r="B56" i="8"/>
  <c r="B82" i="14"/>
  <c r="B98" i="55"/>
  <c r="C53" i="56"/>
  <c r="B81" i="15"/>
  <c r="B41" i="42"/>
  <c r="B57" i="13"/>
  <c r="B96" i="55"/>
  <c r="B38" i="47"/>
  <c r="B63" i="5"/>
  <c r="B50" i="41"/>
  <c r="B118" i="115"/>
  <c r="B95" i="3"/>
  <c r="B87" i="97"/>
  <c r="C51" i="56"/>
  <c r="C54" i="56"/>
  <c r="B115" i="115"/>
  <c r="B78" i="15"/>
  <c r="B120" i="115"/>
  <c r="B43" i="46"/>
  <c r="B78" i="57"/>
  <c r="B60" i="13"/>
  <c r="B69" i="5"/>
  <c r="B53" i="89"/>
  <c r="B49" i="39"/>
  <c r="C52" i="56"/>
  <c r="B54" i="49"/>
  <c r="B51" i="12"/>
  <c r="B56" i="13"/>
  <c r="B50" i="49"/>
  <c r="B41" i="47"/>
  <c r="B100" i="3"/>
  <c r="B119" i="115"/>
  <c r="B93" i="55"/>
  <c r="B43" i="42"/>
  <c r="C58" i="56"/>
  <c r="C57" i="56"/>
  <c r="B56" i="24"/>
  <c r="B40" i="38"/>
  <c r="B38" i="37"/>
  <c r="B54" i="13"/>
  <c r="C66" i="17"/>
  <c r="B54" i="89"/>
  <c r="B41" i="39"/>
  <c r="B96" i="3"/>
  <c r="B57" i="49"/>
  <c r="C48" i="59"/>
  <c r="B57" i="24"/>
  <c r="B47" i="41"/>
  <c r="B37" i="47"/>
  <c r="B47" i="38"/>
  <c r="B46" i="39"/>
  <c r="B68" i="5"/>
  <c r="C78" i="17"/>
  <c r="C43" i="59"/>
  <c r="B44" i="37"/>
  <c r="B51" i="89"/>
  <c r="B50" i="12"/>
  <c r="B61" i="24"/>
  <c r="B80" i="97"/>
  <c r="B52" i="89"/>
  <c r="C72" i="17"/>
  <c r="B73" i="15"/>
  <c r="B50" i="89"/>
  <c r="C50" i="59"/>
  <c r="B45" i="38"/>
  <c r="B52" i="8"/>
  <c r="B46" i="41"/>
  <c r="B61" i="5"/>
  <c r="B82" i="15"/>
  <c r="B55" i="49"/>
  <c r="B55" i="13"/>
  <c r="B49" i="43"/>
  <c r="B51" i="49"/>
  <c r="B35" i="47"/>
  <c r="B33" i="47"/>
  <c r="B49" i="38"/>
  <c r="B56" i="12"/>
  <c r="B67" i="5"/>
  <c r="B52" i="49"/>
  <c r="B62" i="5"/>
  <c r="B39" i="47"/>
  <c r="C51" i="59"/>
  <c r="B45" i="40"/>
  <c r="B58" i="13"/>
  <c r="B53" i="12"/>
  <c r="B34" i="47"/>
  <c r="B47" i="42"/>
  <c r="B46" i="42"/>
  <c r="B55" i="8"/>
  <c r="B48" i="43"/>
  <c r="B41" i="46"/>
  <c r="B40" i="40"/>
  <c r="B44" i="41"/>
  <c r="C46" i="59"/>
  <c r="B97" i="55"/>
  <c r="B65" i="5"/>
  <c r="B114" i="115"/>
  <c r="C59" i="56"/>
  <c r="B59" i="24"/>
  <c r="B44" i="38"/>
  <c r="B42" i="40"/>
  <c r="B53" i="49"/>
  <c r="B39" i="46"/>
  <c r="B81" i="97"/>
  <c r="B44" i="39"/>
  <c r="B79" i="15"/>
  <c r="B47" i="39"/>
  <c r="B64" i="5"/>
  <c r="B54" i="8"/>
  <c r="B80" i="14"/>
  <c r="C47" i="59"/>
  <c r="B83" i="57"/>
  <c r="B42" i="46"/>
  <c r="C76" i="17"/>
  <c r="B36" i="47"/>
  <c r="B40" i="46"/>
  <c r="B38" i="46"/>
  <c r="B43" i="37"/>
  <c r="B43" i="43"/>
  <c r="C75" i="17"/>
  <c r="B80" i="57"/>
  <c r="B42" i="39"/>
  <c r="B77" i="15"/>
  <c r="B42" i="43"/>
  <c r="B44" i="43"/>
  <c r="B39" i="37"/>
  <c r="B43" i="38"/>
  <c r="B51" i="8"/>
  <c r="B48" i="89"/>
  <c r="B75" i="15"/>
  <c r="B58" i="24"/>
  <c r="B35" i="46"/>
  <c r="B41" i="38"/>
  <c r="B46" i="43"/>
  <c r="B42" i="42"/>
  <c r="B66" i="5"/>
  <c r="C56" i="56"/>
  <c r="B77" i="57"/>
  <c r="B43" i="40"/>
  <c r="B79" i="14"/>
  <c r="B85" i="14"/>
  <c r="B117" i="115"/>
  <c r="B48" i="38"/>
  <c r="B43" i="39"/>
  <c r="B60" i="24"/>
  <c r="B39" i="42"/>
  <c r="B55" i="89"/>
  <c r="B95" i="55"/>
  <c r="C73" i="17"/>
  <c r="B81" i="14"/>
  <c r="B41" i="43"/>
  <c r="B81" i="57"/>
  <c r="B79" i="57"/>
  <c r="B48" i="40"/>
  <c r="B41" i="41"/>
  <c r="B49" i="89"/>
  <c r="B36" i="46"/>
  <c r="B52" i="12"/>
  <c r="B48" i="42"/>
  <c r="B46" i="40"/>
  <c r="C50" i="56"/>
  <c r="B42" i="41"/>
  <c r="B49" i="49"/>
  <c r="B82" i="57"/>
  <c r="B76" i="15"/>
  <c r="B80" i="15"/>
  <c r="B48" i="39"/>
  <c r="B54" i="12"/>
  <c r="B55" i="12"/>
  <c r="B90" i="55"/>
  <c r="B47" i="43"/>
  <c r="B40" i="37"/>
  <c r="B53" i="8"/>
  <c r="B37" i="37"/>
  <c r="B99" i="55"/>
  <c r="B45" i="39"/>
  <c r="B84" i="97"/>
  <c r="B86" i="97"/>
  <c r="B83" i="14"/>
  <c r="B83" i="97"/>
  <c r="J165" i="72"/>
  <c r="L165" i="72" s="1"/>
  <c r="F167" i="72"/>
  <c r="J167" i="72" s="1"/>
  <c r="L167" i="72" s="1"/>
  <c r="J165" i="90"/>
  <c r="L165" i="90" s="1"/>
  <c r="F167" i="90"/>
  <c r="J167" i="90" s="1"/>
  <c r="L167" i="90" s="1"/>
  <c r="E40" i="15"/>
  <c r="D41" i="15"/>
  <c r="E39" i="14"/>
  <c r="D40" i="14"/>
  <c r="F263" i="68" l="1"/>
  <c r="T261" i="68"/>
  <c r="J258" i="90"/>
  <c r="L258" i="90" s="1"/>
  <c r="F260" i="90"/>
  <c r="F262" i="90" s="1"/>
  <c r="I33" i="60"/>
  <c r="I53" i="60"/>
  <c r="I49" i="60"/>
  <c r="I41" i="60"/>
  <c r="I17" i="60"/>
  <c r="S17" i="60" s="1"/>
  <c r="I54" i="60"/>
  <c r="I40" i="60"/>
  <c r="I19" i="60"/>
  <c r="I38" i="60"/>
  <c r="I42" i="60"/>
  <c r="I34" i="60"/>
  <c r="I24" i="60"/>
  <c r="I45" i="60"/>
  <c r="I48" i="60"/>
  <c r="I37" i="60"/>
  <c r="I30" i="60"/>
  <c r="I47" i="60"/>
  <c r="I29" i="60"/>
  <c r="I28" i="60"/>
  <c r="I26" i="60"/>
  <c r="I31" i="60"/>
  <c r="I52" i="60"/>
  <c r="I55" i="60"/>
  <c r="I44" i="60"/>
  <c r="I23" i="60"/>
  <c r="I50" i="60"/>
  <c r="I43" i="60"/>
  <c r="I32" i="60"/>
  <c r="I16" i="60"/>
  <c r="I18" i="60"/>
  <c r="I20" i="60"/>
  <c r="I51" i="60"/>
  <c r="I27" i="60"/>
  <c r="I22" i="60"/>
  <c r="I46" i="60"/>
  <c r="I21" i="60"/>
  <c r="I25" i="60"/>
  <c r="I39" i="60"/>
  <c r="J86" i="90"/>
  <c r="L86" i="90" s="1"/>
  <c r="F88" i="90"/>
  <c r="J86" i="72"/>
  <c r="L86" i="72" s="1"/>
  <c r="F88" i="72"/>
  <c r="T89" i="68"/>
  <c r="F196" i="68"/>
  <c r="D42" i="15"/>
  <c r="E41" i="15"/>
  <c r="D41" i="14"/>
  <c r="E40" i="14"/>
  <c r="N154" i="72" l="1"/>
  <c r="N31" i="72"/>
  <c r="N50" i="72"/>
  <c r="N126" i="72"/>
  <c r="N79" i="72"/>
  <c r="N153" i="72"/>
  <c r="N50" i="90"/>
  <c r="N79" i="90"/>
  <c r="N153" i="90"/>
  <c r="N51" i="90"/>
  <c r="N154" i="90"/>
  <c r="N52" i="90"/>
  <c r="N128" i="90"/>
  <c r="N126" i="90"/>
  <c r="N53" i="90"/>
  <c r="N127" i="90"/>
  <c r="N54" i="90"/>
  <c r="N31" i="90"/>
  <c r="N80" i="90"/>
  <c r="N32" i="90"/>
  <c r="N124" i="72"/>
  <c r="N128" i="72"/>
  <c r="N151" i="72"/>
  <c r="N82" i="72"/>
  <c r="N152" i="72"/>
  <c r="N155" i="72"/>
  <c r="N125" i="72"/>
  <c r="N127" i="72"/>
  <c r="N125" i="90"/>
  <c r="N151" i="90"/>
  <c r="N152" i="90"/>
  <c r="N82" i="90"/>
  <c r="N13" i="72"/>
  <c r="N86" i="72"/>
  <c r="N85" i="72"/>
  <c r="N178" i="90"/>
  <c r="N245" i="90"/>
  <c r="N178" i="72"/>
  <c r="N246" i="72"/>
  <c r="N49" i="90"/>
  <c r="N75" i="90"/>
  <c r="N76" i="90"/>
  <c r="N77" i="90"/>
  <c r="N78" i="90"/>
  <c r="N236" i="90"/>
  <c r="N30" i="90"/>
  <c r="N49" i="72"/>
  <c r="N75" i="72"/>
  <c r="N76" i="72"/>
  <c r="N77" i="72"/>
  <c r="N78" i="72"/>
  <c r="N237" i="72"/>
  <c r="N30" i="72"/>
  <c r="S25" i="60"/>
  <c r="S21" i="61"/>
  <c r="N218" i="90"/>
  <c r="N155" i="90"/>
  <c r="N109" i="90"/>
  <c r="N64" i="90"/>
  <c r="N13" i="90"/>
  <c r="N222" i="90"/>
  <c r="N160" i="90"/>
  <c r="N131" i="90"/>
  <c r="N97" i="90"/>
  <c r="N16" i="90"/>
  <c r="N216" i="90"/>
  <c r="N157" i="90"/>
  <c r="N111" i="90"/>
  <c r="N46" i="90"/>
  <c r="N241" i="90"/>
  <c r="N175" i="90"/>
  <c r="N133" i="90"/>
  <c r="N95" i="90"/>
  <c r="N255" i="90"/>
  <c r="N214" i="90"/>
  <c r="N170" i="90"/>
  <c r="N123" i="90"/>
  <c r="N74" i="90"/>
  <c r="N44" i="90"/>
  <c r="N250" i="90"/>
  <c r="N202" i="90"/>
  <c r="N144" i="90"/>
  <c r="N93" i="90"/>
  <c r="N47" i="90"/>
  <c r="N246" i="90"/>
  <c r="N208" i="90"/>
  <c r="N142" i="90"/>
  <c r="N112" i="90"/>
  <c r="N55" i="90"/>
  <c r="N19" i="90"/>
  <c r="N161" i="90"/>
  <c r="N233" i="90"/>
  <c r="N57" i="90"/>
  <c r="N15" i="90"/>
  <c r="N34" i="90"/>
  <c r="N251" i="90"/>
  <c r="N203" i="90"/>
  <c r="N145" i="90"/>
  <c r="N103" i="90"/>
  <c r="N48" i="90"/>
  <c r="N254" i="90"/>
  <c r="N213" i="90"/>
  <c r="N150" i="90"/>
  <c r="N124" i="90"/>
  <c r="N73" i="90"/>
  <c r="N42" i="90"/>
  <c r="N247" i="90"/>
  <c r="N209" i="90"/>
  <c r="N143" i="90"/>
  <c r="N92" i="90"/>
  <c r="N28" i="90"/>
  <c r="N232" i="90"/>
  <c r="N162" i="90"/>
  <c r="N118" i="90"/>
  <c r="N71" i="90"/>
  <c r="N33" i="90"/>
  <c r="N244" i="90"/>
  <c r="N207" i="90"/>
  <c r="N159" i="90"/>
  <c r="N121" i="90"/>
  <c r="N68" i="90"/>
  <c r="N36" i="90"/>
  <c r="N239" i="90"/>
  <c r="N173" i="90"/>
  <c r="N135" i="90"/>
  <c r="J88" i="90"/>
  <c r="L88" i="90" s="1"/>
  <c r="N29" i="90"/>
  <c r="N237" i="90"/>
  <c r="N200" i="90"/>
  <c r="N129" i="90"/>
  <c r="N91" i="90"/>
  <c r="N45" i="90"/>
  <c r="N253" i="90"/>
  <c r="N96" i="90"/>
  <c r="N220" i="90"/>
  <c r="N72" i="90"/>
  <c r="N105" i="90"/>
  <c r="N242" i="90"/>
  <c r="N240" i="90"/>
  <c r="N174" i="90"/>
  <c r="N134" i="90"/>
  <c r="N94" i="90"/>
  <c r="N243" i="90"/>
  <c r="N206" i="90"/>
  <c r="N148" i="90"/>
  <c r="N120" i="90"/>
  <c r="N67" i="90"/>
  <c r="N35" i="90"/>
  <c r="N238" i="90"/>
  <c r="N201" i="90"/>
  <c r="N81" i="90"/>
  <c r="N20" i="90"/>
  <c r="N219" i="90"/>
  <c r="N108" i="90"/>
  <c r="N65" i="90"/>
  <c r="N23" i="90"/>
  <c r="N235" i="90"/>
  <c r="N199" i="90"/>
  <c r="N149" i="90"/>
  <c r="N113" i="90"/>
  <c r="N59" i="90"/>
  <c r="N26" i="90"/>
  <c r="N230" i="90"/>
  <c r="N164" i="90"/>
  <c r="N116" i="90"/>
  <c r="N83" i="90"/>
  <c r="N21" i="90"/>
  <c r="N224" i="90"/>
  <c r="N171" i="90"/>
  <c r="N122" i="90"/>
  <c r="N37" i="90"/>
  <c r="N119" i="90"/>
  <c r="N41" i="90"/>
  <c r="N147" i="90"/>
  <c r="N176" i="90"/>
  <c r="N132" i="90"/>
  <c r="N231" i="90"/>
  <c r="N163" i="90"/>
  <c r="N117" i="90"/>
  <c r="N84" i="90"/>
  <c r="N22" i="90"/>
  <c r="N234" i="90"/>
  <c r="N177" i="90"/>
  <c r="N136" i="90"/>
  <c r="N106" i="90"/>
  <c r="N58" i="90"/>
  <c r="N25" i="90"/>
  <c r="N229" i="90"/>
  <c r="N172" i="90"/>
  <c r="N115" i="90"/>
  <c r="N61" i="90"/>
  <c r="N252" i="90"/>
  <c r="N204" i="90"/>
  <c r="N146" i="90"/>
  <c r="N104" i="90"/>
  <c r="N56" i="90"/>
  <c r="N14" i="90"/>
  <c r="N223" i="90"/>
  <c r="N179" i="90"/>
  <c r="N130" i="90"/>
  <c r="N107" i="90"/>
  <c r="N17" i="90"/>
  <c r="N217" i="90"/>
  <c r="N156" i="90"/>
  <c r="N110" i="90"/>
  <c r="N63" i="90"/>
  <c r="N256" i="90"/>
  <c r="N215" i="90"/>
  <c r="N158" i="90"/>
  <c r="N114" i="90"/>
  <c r="N60" i="90"/>
  <c r="N27" i="90"/>
  <c r="N205" i="90"/>
  <c r="N24" i="90"/>
  <c r="N137" i="90"/>
  <c r="N66" i="90"/>
  <c r="F195" i="90"/>
  <c r="S17" i="61"/>
  <c r="S21" i="60"/>
  <c r="S32" i="60"/>
  <c r="S28" i="61"/>
  <c r="S22" i="61"/>
  <c r="S26" i="60"/>
  <c r="S30" i="60"/>
  <c r="S26" i="61"/>
  <c r="S20" i="61"/>
  <c r="S24" i="60"/>
  <c r="S15" i="61"/>
  <c r="S19" i="60"/>
  <c r="S16" i="61"/>
  <c r="S20" i="60"/>
  <c r="S24" i="61"/>
  <c r="S28" i="60"/>
  <c r="S30" i="61"/>
  <c r="S34" i="60"/>
  <c r="N219" i="72"/>
  <c r="N106" i="72"/>
  <c r="N58" i="72"/>
  <c r="N25" i="72"/>
  <c r="N235" i="72"/>
  <c r="N177" i="72"/>
  <c r="N136" i="72"/>
  <c r="N92" i="72"/>
  <c r="N28" i="72"/>
  <c r="N230" i="72"/>
  <c r="N172" i="72"/>
  <c r="N95" i="72"/>
  <c r="N51" i="72"/>
  <c r="N253" i="72"/>
  <c r="N205" i="72"/>
  <c r="N146" i="72"/>
  <c r="N107" i="72"/>
  <c r="N54" i="72"/>
  <c r="N17" i="72"/>
  <c r="N224" i="72"/>
  <c r="N179" i="72"/>
  <c r="N135" i="72"/>
  <c r="N93" i="72"/>
  <c r="N47" i="72"/>
  <c r="N240" i="72"/>
  <c r="N173" i="72"/>
  <c r="N132" i="72"/>
  <c r="N96" i="72"/>
  <c r="N52" i="72"/>
  <c r="N15" i="72"/>
  <c r="N221" i="72"/>
  <c r="N114" i="72"/>
  <c r="N60" i="72"/>
  <c r="N27" i="72"/>
  <c r="N238" i="72"/>
  <c r="N201" i="72"/>
  <c r="N134" i="72"/>
  <c r="N103" i="72"/>
  <c r="N48" i="72"/>
  <c r="N252" i="72"/>
  <c r="N204" i="72"/>
  <c r="N145" i="72"/>
  <c r="N97" i="72"/>
  <c r="N53" i="72"/>
  <c r="N16" i="72"/>
  <c r="N223" i="72"/>
  <c r="N160" i="72"/>
  <c r="N131" i="72"/>
  <c r="N81" i="72"/>
  <c r="N20" i="72"/>
  <c r="N217" i="72"/>
  <c r="N157" i="72"/>
  <c r="N118" i="72"/>
  <c r="N71" i="72"/>
  <c r="N33" i="72"/>
  <c r="N242" i="72"/>
  <c r="N175" i="72"/>
  <c r="N123" i="72"/>
  <c r="N74" i="72"/>
  <c r="N44" i="72"/>
  <c r="N256" i="72"/>
  <c r="N215" i="72"/>
  <c r="N170" i="72"/>
  <c r="N130" i="72"/>
  <c r="J88" i="72"/>
  <c r="L88" i="72" s="1"/>
  <c r="N29" i="72"/>
  <c r="N231" i="72"/>
  <c r="N164" i="72"/>
  <c r="N72" i="72"/>
  <c r="N41" i="72"/>
  <c r="N254" i="72"/>
  <c r="N206" i="72"/>
  <c r="N147" i="72"/>
  <c r="N112" i="72"/>
  <c r="N55" i="72"/>
  <c r="N19" i="72"/>
  <c r="N225" i="72"/>
  <c r="N171" i="72"/>
  <c r="N129" i="72"/>
  <c r="N94" i="72"/>
  <c r="N32" i="72"/>
  <c r="N241" i="72"/>
  <c r="N174" i="72"/>
  <c r="N73" i="72"/>
  <c r="N42" i="72"/>
  <c r="N255" i="72"/>
  <c r="N214" i="72"/>
  <c r="N150" i="72"/>
  <c r="N115" i="72"/>
  <c r="N61" i="72"/>
  <c r="N248" i="72"/>
  <c r="N210" i="72"/>
  <c r="N143" i="72"/>
  <c r="N108" i="72"/>
  <c r="N65" i="72"/>
  <c r="N23" i="72"/>
  <c r="N233" i="72"/>
  <c r="N162" i="72"/>
  <c r="N121" i="72"/>
  <c r="N68" i="72"/>
  <c r="N36" i="72"/>
  <c r="N245" i="72"/>
  <c r="N208" i="72"/>
  <c r="N159" i="72"/>
  <c r="N116" i="72"/>
  <c r="N83" i="72"/>
  <c r="N21" i="72"/>
  <c r="N218" i="72"/>
  <c r="N156" i="72"/>
  <c r="N119" i="72"/>
  <c r="N66" i="72"/>
  <c r="N34" i="72"/>
  <c r="N243" i="72"/>
  <c r="N176" i="72"/>
  <c r="N137" i="72"/>
  <c r="N91" i="72"/>
  <c r="N45" i="72"/>
  <c r="N257" i="72"/>
  <c r="N216" i="72"/>
  <c r="N158" i="72"/>
  <c r="N117" i="72"/>
  <c r="N84" i="72"/>
  <c r="N22" i="72"/>
  <c r="N232" i="72"/>
  <c r="N163" i="72"/>
  <c r="N120" i="72"/>
  <c r="N67" i="72"/>
  <c r="N35" i="72"/>
  <c r="N244" i="72"/>
  <c r="N207" i="72"/>
  <c r="N148" i="72"/>
  <c r="N111" i="72"/>
  <c r="N46" i="72"/>
  <c r="N239" i="72"/>
  <c r="N202" i="72"/>
  <c r="N133" i="72"/>
  <c r="N104" i="72"/>
  <c r="N56" i="72"/>
  <c r="N14" i="72"/>
  <c r="N220" i="72"/>
  <c r="N113" i="72"/>
  <c r="N59" i="72"/>
  <c r="N26" i="72"/>
  <c r="N236" i="72"/>
  <c r="N200" i="72"/>
  <c r="N149" i="72"/>
  <c r="N110" i="72"/>
  <c r="N63" i="72"/>
  <c r="N251" i="72"/>
  <c r="N203" i="72"/>
  <c r="N144" i="72"/>
  <c r="N105" i="72"/>
  <c r="N57" i="72"/>
  <c r="N24" i="72"/>
  <c r="N234" i="72"/>
  <c r="N161" i="72"/>
  <c r="N122" i="72"/>
  <c r="N80" i="72"/>
  <c r="N37" i="72"/>
  <c r="N247" i="72"/>
  <c r="N209" i="72"/>
  <c r="N142" i="72"/>
  <c r="N109" i="72"/>
  <c r="N64" i="72"/>
  <c r="F196" i="72"/>
  <c r="S18" i="61"/>
  <c r="S22" i="60"/>
  <c r="S14" i="61"/>
  <c r="S18" i="60"/>
  <c r="S29" i="60"/>
  <c r="S25" i="61"/>
  <c r="S27" i="60"/>
  <c r="S23" i="61"/>
  <c r="S16" i="60"/>
  <c r="I35" i="60"/>
  <c r="M101" i="121" s="1"/>
  <c r="S23" i="60"/>
  <c r="S19" i="61"/>
  <c r="S31" i="60"/>
  <c r="S27" i="61"/>
  <c r="S29" i="61"/>
  <c r="S33" i="60"/>
  <c r="E42" i="15"/>
  <c r="D43" i="15"/>
  <c r="E41" i="14"/>
  <c r="D42" i="14"/>
  <c r="N88" i="72" l="1"/>
  <c r="L4" i="72" s="1"/>
  <c r="I56" i="60"/>
  <c r="I58" i="60" s="1"/>
  <c r="K58" i="60" s="1"/>
  <c r="S35" i="60"/>
  <c r="S31" i="61"/>
  <c r="S32" i="61" s="1"/>
  <c r="L4" i="90"/>
  <c r="D44" i="15"/>
  <c r="E43" i="15"/>
  <c r="D43" i="14"/>
  <c r="E42" i="14"/>
  <c r="E44" i="15" l="1"/>
  <c r="D45" i="15"/>
  <c r="E45" i="15" s="1"/>
  <c r="E43" i="14"/>
  <c r="D44" i="14"/>
  <c r="D45" i="14" l="1"/>
  <c r="E45" i="14" s="1"/>
  <c r="E44"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Helen K. Vozzo</author>
  </authors>
  <commentList>
    <comment ref="D18" authorId="0" shapeId="0" xr:uid="{00000000-0006-0000-0700-000001000000}">
      <text>
        <r>
          <rPr>
            <sz val="8"/>
            <color indexed="81"/>
            <rFont val="Tahoma"/>
            <family val="2"/>
          </rPr>
          <t xml:space="preserve">Cells in this column contain a formula to populate beginning bal for agencies using ws905 - do not key over these beg bal amts. If ws905 is NA for your agency and the cell is displaying as a blank cell, key your beginning bal over the formula.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Helen Vozzo</author>
  </authors>
  <commentList>
    <comment ref="J85" authorId="0" shapeId="0" xr:uid="{00000000-0006-0000-4E00-000001000000}">
      <text>
        <r>
          <rPr>
            <sz val="8"/>
            <color indexed="81"/>
            <rFont val="Tahoma"/>
            <family val="2"/>
          </rPr>
          <t>Complete the Index sheet first. This cell uses the agency number from the Index Sheet to populate the beginning net asets number from the NetAssets table built from the prior year CAFR ending net asset balance.  Any difference must be entered on the restatement line.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Helen Vozzo</author>
    <author>tc={7514A894-4CD8-4D7A-9BA0-ED5B859E3356}</author>
    <author>tc={8F06C560-DC65-4C5A-8FA6-DF394E5B7654}</author>
    <author>tc={F82ED83D-5764-49EC-AD01-49AFC12A5668}</author>
    <author>Helen K. Vozzo</author>
    <author>tc={6F1EFC1A-AB55-4899-A7BC-969273916635}</author>
    <author>tc={DDD2FC2B-3215-47D8-8309-03C9BAAB1F21}</author>
  </authors>
  <commentList>
    <comment ref="C7" authorId="0" shapeId="0" xr:uid="{00000000-0006-0000-5100-000001000000}">
      <text>
        <r>
          <rPr>
            <sz val="8"/>
            <color indexed="81"/>
            <rFont val="Tahoma"/>
            <family val="2"/>
          </rPr>
          <t xml:space="preserve">Complete the Index sheet first. This cell uses the agency number from the Index Sheet to populate the GASB fund number from the NetAssets table.
</t>
        </r>
      </text>
    </comment>
    <comment ref="B31" authorId="1" shapeId="0" xr:uid="{7514A894-4CD8-4D7A-9BA0-ED5B859E3356}">
      <text>
        <t>[Threaded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t>
      </text>
    </comment>
    <comment ref="B50" authorId="2" shapeId="0" xr:uid="{8F06C560-DC65-4C5A-8FA6-DF394E5B7654}">
      <text>
        <t xml:space="preserve">[Threaded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t>
      </text>
    </comment>
    <comment ref="B82" authorId="3" shapeId="0" xr:uid="{F82ED83D-5764-49EC-AD01-49AFC12A5668}">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value of the intangible asset for subscription-based IT arrangements for network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
      </text>
    </comment>
    <comment ref="F90" authorId="4" shapeId="0" xr:uid="{00000000-0006-0000-5100-000002000000}">
      <text>
        <r>
          <rPr>
            <sz val="9"/>
            <color indexed="81"/>
            <rFont val="Tahoma"/>
            <family val="2"/>
          </rPr>
          <t xml:space="preserve">New F/S element starting FY 2013 w/ implementation of GASB 63
</t>
        </r>
      </text>
    </comment>
    <comment ref="B91" authorId="4" shapeId="0" xr:uid="{00000000-0006-0000-5100-000003000000}">
      <text>
        <r>
          <rPr>
            <sz val="8"/>
            <color indexed="81"/>
            <rFont val="Tahoma"/>
            <family val="2"/>
          </rPr>
          <t>Starting FY2013Acct 129701 Accum dec in fair val of hedging deriv (new acct title) goes here. Former acct title is Deferred outflow of resources.</t>
        </r>
        <r>
          <rPr>
            <sz val="9"/>
            <color indexed="81"/>
            <rFont val="Tahoma"/>
            <family val="2"/>
          </rPr>
          <t xml:space="preserve">
</t>
        </r>
      </text>
    </comment>
    <comment ref="B92" authorId="4" shapeId="0" xr:uid="{00000000-0006-0000-5100-000004000000}">
      <text>
        <r>
          <rPr>
            <sz val="8"/>
            <color indexed="81"/>
            <rFont val="Tahoma"/>
            <family val="2"/>
          </rPr>
          <t xml:space="preserve">Starting FY2014 for GASB65-New Acct 129702 Deferred loss on refunding bonds goes here. Change from prior yrs-had been part of bonds payable.
</t>
        </r>
        <r>
          <rPr>
            <sz val="9"/>
            <color indexed="81"/>
            <rFont val="Tahoma"/>
            <family val="2"/>
          </rPr>
          <t xml:space="preserve">
</t>
        </r>
      </text>
    </comment>
    <comment ref="B94" authorId="4" shapeId="0" xr:uid="{00000000-0006-0000-5100-000005000000}">
      <text>
        <r>
          <rPr>
            <sz val="8"/>
            <color indexed="81"/>
            <rFont val="Tahoma"/>
            <family val="2"/>
          </rPr>
          <t>Starting FY2015 with implementation of GASB 68 - for new NCAS Acct 129710 Deferred outflows for pensions. For more info, see acct definition and the GASB Resources webpage available from the OSC homepage www.osc.nc.gov.</t>
        </r>
      </text>
    </comment>
    <comment ref="B96" authorId="4" shapeId="0" xr:uid="{00000000-0006-0000-5100-000006000000}">
      <text>
        <r>
          <rPr>
            <sz val="8"/>
            <color indexed="81"/>
            <rFont val="Tahoma"/>
            <family val="2"/>
          </rPr>
          <t>Starting FY2015 with implementation of GASB 69 Government Combinations and Disposals of Government Operations. For new NCAS Acct 129705 Excess consideration provided for acquisition. For more info, see acct definition and the GASB Resources webpage available from the OSC homepage www.osc.nc.gov</t>
        </r>
      </text>
    </comment>
    <comment ref="B97" authorId="4" shapeId="0" xr:uid="{00000000-0006-0000-5100-000007000000}">
      <text>
        <r>
          <rPr>
            <sz val="8"/>
            <color indexed="81"/>
            <rFont val="Tahoma"/>
            <family val="2"/>
          </rPr>
          <t>Starting FY2014 for GASB65-  new acct 129703 Other Deferred outflow of resources, per GASB 65 that are not classified in a more specific account.For more info go to GASB Resources webpage available from OSC home page www.osc.nc.gov</t>
        </r>
        <r>
          <rPr>
            <sz val="9"/>
            <color indexed="81"/>
            <rFont val="Tahoma"/>
            <family val="2"/>
          </rPr>
          <t xml:space="preserve">
</t>
        </r>
        <r>
          <rPr>
            <sz val="8"/>
            <color indexed="81"/>
            <rFont val="Tahoma"/>
            <family val="2"/>
          </rPr>
          <t>FY15 updated caption from "Deferred outflows-other" to "Other deferred outflows" to be consistent w/ CAFR.</t>
        </r>
      </text>
    </comment>
    <comment ref="B125" authorId="5" shapeId="0" xr:uid="{6F1EFC1A-AB55-4899-A7BC-969273916635}">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current portion of subscription-based IT arrangements obligations due within the current year or within one year of the reporting date.  This account is not for use by governmental funds. </t>
      </text>
    </comment>
    <comment ref="B133" authorId="4" shapeId="0" xr:uid="{00000000-0006-0000-5100-000008000000}">
      <text>
        <r>
          <rPr>
            <sz val="9"/>
            <color indexed="81"/>
            <rFont val="Tahoma"/>
            <family val="2"/>
          </rPr>
          <t>For FY15 updated line description from Accrued vacation leave to Compensated absences to match ws310 and CAFR terminology</t>
        </r>
        <r>
          <rPr>
            <b/>
            <sz val="9"/>
            <color indexed="81"/>
            <rFont val="Tahoma"/>
            <family val="2"/>
          </rPr>
          <t xml:space="preserve">
 </t>
        </r>
        <r>
          <rPr>
            <sz val="9"/>
            <color indexed="81"/>
            <rFont val="Tahoma"/>
            <family val="2"/>
          </rPr>
          <t xml:space="preserve">
</t>
        </r>
      </text>
    </comment>
    <comment ref="B134" authorId="4" shapeId="0" xr:uid="{00000000-0006-0000-5100-000009000000}">
      <text>
        <r>
          <rPr>
            <sz val="8"/>
            <color indexed="81"/>
            <rFont val="Tahoma"/>
            <family val="2"/>
          </rPr>
          <t xml:space="preserve">Starting FY15 with implementation of GASB68.  Since our plans are so well funded, we will not need to report a current  portion.  There is no NCAS account set up for the Net pension liability-current.  </t>
        </r>
      </text>
    </comment>
    <comment ref="B152" authorId="6" shapeId="0" xr:uid="{DDD2FC2B-3215-47D8-8309-03C9BAAB1F21}">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portion of subscription-based IT arrangements obligations that will be payable in more than one year subsequent to the balance sheet date.  This is for use by both governmental and proprietary funds. </t>
      </text>
    </comment>
    <comment ref="B160" authorId="4" shapeId="0" xr:uid="{00000000-0006-0000-5100-00000A000000}">
      <text>
        <r>
          <rPr>
            <sz val="9"/>
            <color indexed="81"/>
            <rFont val="Tahoma"/>
            <family val="2"/>
          </rPr>
          <t>For FY15 updated line description from Accrued vacation leave to Compensated absences to match ws310 and CAFR terminology</t>
        </r>
        <r>
          <rPr>
            <b/>
            <sz val="9"/>
            <color indexed="81"/>
            <rFont val="Tahoma"/>
            <family val="2"/>
          </rPr>
          <t xml:space="preserve">
 </t>
        </r>
        <r>
          <rPr>
            <sz val="9"/>
            <color indexed="81"/>
            <rFont val="Tahoma"/>
            <family val="2"/>
          </rPr>
          <t xml:space="preserve">
</t>
        </r>
      </text>
    </comment>
    <comment ref="B161" authorId="4" shapeId="0" xr:uid="{00000000-0006-0000-5100-00000B000000}">
      <text>
        <r>
          <rPr>
            <sz val="8"/>
            <color indexed="81"/>
            <rFont val="Tahoma"/>
            <family val="2"/>
          </rPr>
          <t>Starting FY15 with implementation of GASB68 for NCAS acct 229150 Net pension liability-noncurrent</t>
        </r>
      </text>
    </comment>
    <comment ref="F169" authorId="4" shapeId="0" xr:uid="{00000000-0006-0000-5100-00000C000000}">
      <text>
        <r>
          <rPr>
            <sz val="9"/>
            <color indexed="81"/>
            <rFont val="Tahoma"/>
            <family val="2"/>
          </rPr>
          <t xml:space="preserve">New F/S element starting FY 2013 w/ implementation of GASB 63
</t>
        </r>
      </text>
    </comment>
    <comment ref="B170" authorId="4" shapeId="0" xr:uid="{00000000-0006-0000-5100-00000D000000}">
      <text>
        <r>
          <rPr>
            <sz val="7"/>
            <color indexed="81"/>
            <rFont val="Tahoma"/>
            <family val="2"/>
          </rPr>
          <t xml:space="preserve">ForFY13 acct229201 Accum Incr in fair val of hedging deriv (new acct title) goes here. Former acct title is Deferred inflow of resources
</t>
        </r>
      </text>
    </comment>
    <comment ref="B171" authorId="4" shapeId="0" xr:uid="{00000000-0006-0000-5100-00000E000000}">
      <text>
        <r>
          <rPr>
            <sz val="7"/>
            <color indexed="81"/>
            <rFont val="Tahoma"/>
            <family val="2"/>
          </rPr>
          <t>For FY13, new NCAS acct 229202 added for implementation of GASB60 Service Concession Arrangements</t>
        </r>
      </text>
    </comment>
    <comment ref="B172" authorId="4" shapeId="0" xr:uid="{00000000-0006-0000-5100-00000F000000}">
      <text>
        <r>
          <rPr>
            <sz val="7"/>
            <color indexed="81"/>
            <rFont val="Tahoma"/>
            <family val="2"/>
          </rPr>
          <t xml:space="preserve">Added FY14 for GASB65,NCAS acct 229203 Def gain on refunding bonds. For more info refer to GASB Resources webpage available from OSC homepage www.osc.nc.gov
</t>
        </r>
      </text>
    </comment>
    <comment ref="B173" authorId="4" shapeId="0" xr:uid="{00000000-0006-0000-5100-000010000000}">
      <text>
        <r>
          <rPr>
            <sz val="7"/>
            <color indexed="81"/>
            <rFont val="Tahoma"/>
            <family val="2"/>
          </rPr>
          <t>Added FY14 for GASB65;  NCAS acct 229204 Def Inflows-nonexchange transactions.  Refer to GASB Resources webpage available from OSC homepage www.osc.nc.gov</t>
        </r>
      </text>
    </comment>
    <comment ref="B174" authorId="4" shapeId="0" xr:uid="{00000000-0006-0000-5100-000011000000}">
      <text>
        <r>
          <rPr>
            <sz val="7"/>
            <color indexed="81"/>
            <rFont val="Tahoma"/>
            <family val="2"/>
          </rPr>
          <t>Added FY15 to the 905 . SEAA had this for FY14 and it met definition for GASB65 so added for FY14 CAFR, but not on FY14 905. Corresponds with  NCAS acct 229206 Deferred state aid.   Refer to acct definition on chart of accts and GASB Resources webpage available from OSC homepage www.osc.nc.gov.</t>
        </r>
      </text>
    </comment>
    <comment ref="B176" authorId="4" shapeId="0" xr:uid="{00000000-0006-0000-5100-000012000000}">
      <text>
        <r>
          <rPr>
            <sz val="8"/>
            <color indexed="81"/>
            <rFont val="Tahoma"/>
            <family val="2"/>
          </rPr>
          <t>Starting FY2015 with implementation of GASB 68 - for new NCAS Acct 229210 Deferred inflows for pensions. For more info, see acct definition and the GASB Resources webpage available from the OSC homepage www.osc.nc.gov.</t>
        </r>
      </text>
    </comment>
    <comment ref="B179" authorId="4" shapeId="0" xr:uid="{00000000-0006-0000-5100-000013000000}">
      <text>
        <r>
          <rPr>
            <sz val="7"/>
            <color indexed="81"/>
            <rFont val="Tahoma"/>
            <family val="2"/>
          </rPr>
          <t xml:space="preserve">Added FY14 for GASB65,NCAS acct 229205 Other deferred inflow of resources per GASB 65 not classified in a more specific acct. For more info, refer to GASB Resources webpage available from OSC homepage www.osc.nc.gov.
FY15 updated description from "Deferred inflows-other" to "Other deferred inflows" be consistent with CAFR caption.
</t>
        </r>
      </text>
    </comment>
    <comment ref="B214" authorId="4" shapeId="0" xr:uid="{00000000-0006-0000-5100-000014000000}">
      <text>
        <r>
          <rPr>
            <sz val="9"/>
            <color indexed="81"/>
            <rFont val="Tahoma"/>
            <family val="2"/>
          </rPr>
          <t xml:space="preserve">FY15-Includes new acct for GASB 68 - NCAS acct 531595 Pension expense .
</t>
        </r>
      </text>
    </comment>
    <comment ref="B230" authorId="0" shapeId="0" xr:uid="{00000000-0006-0000-5100-000015000000}">
      <text>
        <r>
          <rPr>
            <sz val="8"/>
            <color indexed="81"/>
            <rFont val="Tahoma"/>
            <family val="2"/>
          </rPr>
          <t>Caption added to template 2011. For funds appropriated by the legislature for general use by a specific agency. For NCAS agencies, this represents the 439100 account balance in the general fund budget code. This caption should not include state aid-program or state capital aid or state appropriations in a 4xxxx capital projects budget code</t>
        </r>
      </text>
    </comment>
    <comment ref="B231" authorId="0" shapeId="0" xr:uid="{00000000-0006-0000-5100-000016000000}">
      <text>
        <r>
          <rPr>
            <sz val="8"/>
            <color indexed="81"/>
            <rFont val="Tahoma"/>
            <family val="2"/>
          </rPr>
          <t xml:space="preserve">"State aid-general" is revenue from the primary government to component units of the state for general administration and operation of the agency that cannot be classified elsewhere. For 2011, there is a separate caption for state appropriations that had been included in the definition for state aid-general in prior years. For 2011 the state appropriations caption is separate to correspond with the NCAS operating statement.  State aid-general should not be used for state revenues that are state appropriations or that meet the definitions for state capital aid or state aid-program.  </t>
        </r>
      </text>
    </comment>
    <comment ref="B232" authorId="0" shapeId="0" xr:uid="{00000000-0006-0000-5100-000017000000}">
      <text>
        <r>
          <rPr>
            <sz val="8"/>
            <color indexed="81"/>
            <rFont val="Tahoma"/>
            <family val="2"/>
          </rPr>
          <t>New break-out for 2010. State aid-program includes clean water bond funds, funds from the State Escheats fund and the NC Education Lottery for higher education/scholarships, state tax credits, and funds from state agencies restricted for use in specific programs.  This includes ARRA state fiscal stabilization funds, and state revenues that may be used either for operating or capital expenditures of the program at the discretion of the agency.  However, this does not include state revenue that meets the definition for state capital aid or state appropriations or general state aid.</t>
        </r>
      </text>
    </comment>
    <comment ref="B251" authorId="0" shapeId="0" xr:uid="{00000000-0006-0000-5100-000018000000}">
      <text>
        <r>
          <rPr>
            <sz val="8"/>
            <color indexed="81"/>
            <rFont val="Tahoma"/>
            <family val="2"/>
          </rPr>
          <t xml:space="preserve">State capital aid includes state capital appropriations, state capital contributions and state bond proceeds restricted for the acquisition, renovation or construction of capital assets owned by the agency.  This does not include capital grants from state agencies or other component units which would be classified in the capital grants caption.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Helen Vozzo</author>
    <author>tc={AF03DD84-5C48-42A2-BF0C-EB83C528DD40}</author>
    <author>tc={D7347BB3-7F16-4E1A-BEA7-C337F52A41DB}</author>
    <author>tc={6FC81978-19F2-403E-836D-2A680FDA91A8}</author>
    <author>Helen K. Vozzo</author>
    <author>tc={97DF9D76-21E1-4B1C-B80D-086DB28A1EC1}</author>
    <author>tc={DF8AB67B-DD53-4A87-ABB5-FF017C5B5A7C}</author>
  </authors>
  <commentList>
    <comment ref="C7" authorId="0" shapeId="0" xr:uid="{00000000-0006-0000-5200-000001000000}">
      <text>
        <r>
          <rPr>
            <sz val="8"/>
            <color indexed="81"/>
            <rFont val="Tahoma"/>
            <family val="2"/>
          </rPr>
          <t xml:space="preserve">Complete the Index sheet first. This cell uses the agency number from the Index Sheet to populate the GASB fund number from the NetAssets table.
</t>
        </r>
      </text>
    </comment>
    <comment ref="B31" authorId="1" shapeId="0" xr:uid="{AF03DD84-5C48-42A2-BF0C-EB83C528DD40}">
      <text>
        <t>[Threaded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t>
      </text>
    </comment>
    <comment ref="B50" authorId="2" shapeId="0" xr:uid="{D7347BB3-7F16-4E1A-BEA7-C337F52A41DB}">
      <text>
        <t xml:space="preserve">[Threaded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t>
      </text>
    </comment>
    <comment ref="B82" authorId="3" shapeId="0" xr:uid="{6FC81978-19F2-403E-836D-2A680FDA91A8}">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value of the intangible asset for subscription-based IT arrangements for network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
      </text>
    </comment>
    <comment ref="F90" authorId="4" shapeId="0" xr:uid="{00000000-0006-0000-5200-000002000000}">
      <text>
        <r>
          <rPr>
            <sz val="9"/>
            <color indexed="81"/>
            <rFont val="Tahoma"/>
            <family val="2"/>
          </rPr>
          <t xml:space="preserve">New F/S element starting FY 2013 w/ implementation of GASB 63
</t>
        </r>
      </text>
    </comment>
    <comment ref="B91" authorId="4" shapeId="0" xr:uid="{00000000-0006-0000-5200-000003000000}">
      <text>
        <r>
          <rPr>
            <sz val="8"/>
            <color indexed="81"/>
            <rFont val="Tahoma"/>
            <family val="2"/>
          </rPr>
          <t>Starting FY2013Acct 129701 Accum dec in fair val of hedging deriv (new acct title) goes here. Former acct title is Deferred outflow of resources.</t>
        </r>
        <r>
          <rPr>
            <sz val="9"/>
            <color indexed="81"/>
            <rFont val="Tahoma"/>
            <family val="2"/>
          </rPr>
          <t xml:space="preserve">
</t>
        </r>
      </text>
    </comment>
    <comment ref="B92" authorId="4" shapeId="0" xr:uid="{00000000-0006-0000-5200-000004000000}">
      <text>
        <r>
          <rPr>
            <sz val="8"/>
            <color indexed="81"/>
            <rFont val="Tahoma"/>
            <family val="2"/>
          </rPr>
          <t xml:space="preserve">Starting FY2014 for GASB65-New Acct 129702 Deferred loss on refunding bonds goes here. Change from prior yrs-had been part of bonds payable.
</t>
        </r>
        <r>
          <rPr>
            <sz val="9"/>
            <color indexed="81"/>
            <rFont val="Tahoma"/>
            <family val="2"/>
          </rPr>
          <t xml:space="preserve">
</t>
        </r>
      </text>
    </comment>
    <comment ref="B94" authorId="4" shapeId="0" xr:uid="{00000000-0006-0000-5200-000005000000}">
      <text>
        <r>
          <rPr>
            <sz val="8"/>
            <color indexed="81"/>
            <rFont val="Tahoma"/>
            <family val="2"/>
          </rPr>
          <t>Starting FY2015 with implementation of GASB 68 - for new NCAS Acct 129710 Deferred outflows for pensions. For more info, see acct definition and the GASB Resources webpage available from the OSC homepage www.osc.nc.gov.</t>
        </r>
      </text>
    </comment>
    <comment ref="B96" authorId="4" shapeId="0" xr:uid="{00000000-0006-0000-5200-000006000000}">
      <text>
        <r>
          <rPr>
            <sz val="8"/>
            <color indexed="81"/>
            <rFont val="Tahoma"/>
            <family val="2"/>
          </rPr>
          <t>Starting FY2015 with implementation of GASB 69 Government Combinations and Disposals of Government Operations. For new NCAS Acct 129705 Excess consideration provided for acquisition. For more info, see acct definition and the GASB Resources webpage available from the OSC homepage www.osc.nc.gov</t>
        </r>
      </text>
    </comment>
    <comment ref="B97" authorId="4" shapeId="0" xr:uid="{00000000-0006-0000-5200-000007000000}">
      <text>
        <r>
          <rPr>
            <sz val="8"/>
            <color indexed="81"/>
            <rFont val="Tahoma"/>
            <family val="2"/>
          </rPr>
          <t>Starting FY2014 for GASB65-  new acct 129703 Other Deferred outflow of resources, per GASB 65 that are not classified in a more specific account.For more info go to GASB Resources webpage available from OSC home page www.osc.nc.gov</t>
        </r>
        <r>
          <rPr>
            <sz val="9"/>
            <color indexed="81"/>
            <rFont val="Tahoma"/>
            <family val="2"/>
          </rPr>
          <t xml:space="preserve">
</t>
        </r>
        <r>
          <rPr>
            <sz val="8"/>
            <color indexed="81"/>
            <rFont val="Tahoma"/>
            <family val="2"/>
          </rPr>
          <t>FY15 updated caption from "Deferred outflows-other" to "Other deferred outflows" to be consistent w/ CAFR.</t>
        </r>
      </text>
    </comment>
    <comment ref="B125" authorId="5" shapeId="0" xr:uid="{97DF9D76-21E1-4B1C-B80D-086DB28A1EC1}">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current portion of subscription-based IT arrangements obligations due within the current year or within one year of the reporting date.  This account is not for use by governmental funds. </t>
      </text>
    </comment>
    <comment ref="B133" authorId="4" shapeId="0" xr:uid="{00000000-0006-0000-5200-000008000000}">
      <text>
        <r>
          <rPr>
            <sz val="9"/>
            <color indexed="81"/>
            <rFont val="Tahoma"/>
            <family val="2"/>
          </rPr>
          <t>For FY15 updated line description from Accrued vacation leave to Compensated absences to match ws310 and CAFR terminology</t>
        </r>
        <r>
          <rPr>
            <b/>
            <sz val="9"/>
            <color indexed="81"/>
            <rFont val="Tahoma"/>
            <family val="2"/>
          </rPr>
          <t xml:space="preserve">
 </t>
        </r>
        <r>
          <rPr>
            <sz val="9"/>
            <color indexed="81"/>
            <rFont val="Tahoma"/>
            <family val="2"/>
          </rPr>
          <t xml:space="preserve">
</t>
        </r>
      </text>
    </comment>
    <comment ref="B134" authorId="4" shapeId="0" xr:uid="{00000000-0006-0000-5200-000009000000}">
      <text>
        <r>
          <rPr>
            <sz val="8"/>
            <color indexed="81"/>
            <rFont val="Tahoma"/>
            <family val="2"/>
          </rPr>
          <t xml:space="preserve">Starting FY15 with implementation of GASB68.  Since our plans are so well funded, we will not need to report a current  portion.  There is no NCAS account set up for the Net pension liability-current.  </t>
        </r>
      </text>
    </comment>
    <comment ref="B152" authorId="6" shapeId="0" xr:uid="{DF8AB67B-DD53-4A87-ABB5-FF017C5B5A7C}">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portion of subscription-based IT arrangements obligations that will be payable in more than one year subsequent to the balance sheet date.  This is for use by both governmental and proprietary funds. </t>
      </text>
    </comment>
    <comment ref="B160" authorId="4" shapeId="0" xr:uid="{00000000-0006-0000-5200-00000A000000}">
      <text>
        <r>
          <rPr>
            <sz val="9"/>
            <color indexed="81"/>
            <rFont val="Tahoma"/>
            <family val="2"/>
          </rPr>
          <t>For FY15 updated line description from Accrued vacation leave to Compensated absences to match ws310 and CAFR terminology</t>
        </r>
        <r>
          <rPr>
            <b/>
            <sz val="9"/>
            <color indexed="81"/>
            <rFont val="Tahoma"/>
            <family val="2"/>
          </rPr>
          <t xml:space="preserve">
 </t>
        </r>
        <r>
          <rPr>
            <sz val="9"/>
            <color indexed="81"/>
            <rFont val="Tahoma"/>
            <family val="2"/>
          </rPr>
          <t xml:space="preserve">
</t>
        </r>
      </text>
    </comment>
    <comment ref="B161" authorId="4" shapeId="0" xr:uid="{00000000-0006-0000-5200-00000B000000}">
      <text>
        <r>
          <rPr>
            <sz val="8"/>
            <color indexed="81"/>
            <rFont val="Tahoma"/>
            <family val="2"/>
          </rPr>
          <t>Starting FY15 with implementation of GASB68 for NCAS acct 229150 Net pension liability-noncurrent</t>
        </r>
      </text>
    </comment>
    <comment ref="F169" authorId="4" shapeId="0" xr:uid="{00000000-0006-0000-5200-00000C000000}">
      <text>
        <r>
          <rPr>
            <sz val="9"/>
            <color indexed="81"/>
            <rFont val="Tahoma"/>
            <family val="2"/>
          </rPr>
          <t xml:space="preserve">New F/S element starting FY 2013 w/ implementation of GASB 63
</t>
        </r>
      </text>
    </comment>
    <comment ref="B170" authorId="4" shapeId="0" xr:uid="{00000000-0006-0000-5200-00000D000000}">
      <text>
        <r>
          <rPr>
            <sz val="7"/>
            <color indexed="81"/>
            <rFont val="Tahoma"/>
            <family val="2"/>
          </rPr>
          <t xml:space="preserve">ForFY13 acct229201 Accum Incr in fair val of hedging deriv (new acct title) goes here. Former acct title is Deferred inflow of resources
</t>
        </r>
      </text>
    </comment>
    <comment ref="B171" authorId="4" shapeId="0" xr:uid="{00000000-0006-0000-5200-00000E000000}">
      <text>
        <r>
          <rPr>
            <sz val="7"/>
            <color indexed="81"/>
            <rFont val="Tahoma"/>
            <family val="2"/>
          </rPr>
          <t>For FY13, new NCAS acct 229202 added for implementation of GASB60 Service Concession Arrangements</t>
        </r>
      </text>
    </comment>
    <comment ref="B172" authorId="4" shapeId="0" xr:uid="{00000000-0006-0000-5200-00000F000000}">
      <text>
        <r>
          <rPr>
            <sz val="7"/>
            <color indexed="81"/>
            <rFont val="Tahoma"/>
            <family val="2"/>
          </rPr>
          <t xml:space="preserve">Added FY14 for GASB65,NCAS acct 229203 Def gain on refunding bonds. For more info refer to GASB Resources webpage available from OSC homepage www.osc.nc.gov
</t>
        </r>
      </text>
    </comment>
    <comment ref="B173" authorId="4" shapeId="0" xr:uid="{00000000-0006-0000-5200-000010000000}">
      <text>
        <r>
          <rPr>
            <sz val="7"/>
            <color indexed="81"/>
            <rFont val="Tahoma"/>
            <family val="2"/>
          </rPr>
          <t>Added FY14 for GASB65;  NCAS acct 229204 Def Inflows-nonexchange transactions.  Refer to GASB Resources webpage available from OSC homepage www.osc.nc.gov</t>
        </r>
      </text>
    </comment>
    <comment ref="B174" authorId="4" shapeId="0" xr:uid="{00000000-0006-0000-5200-000011000000}">
      <text>
        <r>
          <rPr>
            <sz val="7"/>
            <color indexed="81"/>
            <rFont val="Tahoma"/>
            <family val="2"/>
          </rPr>
          <t>Added FY15 to the 905 . SEAA had this for FY14 and it met definition for GASB65 so added for FY14 CAFR, but not on FY14 905. Corresponds with  NCAS acct 229206 Deferred state aid.   Refer to acct definition on chart of accts and GASB Resources webpage available from OSC homepage www.osc.nc.gov.</t>
        </r>
      </text>
    </comment>
    <comment ref="B176" authorId="4" shapeId="0" xr:uid="{00000000-0006-0000-5200-000012000000}">
      <text>
        <r>
          <rPr>
            <sz val="8"/>
            <color indexed="81"/>
            <rFont val="Tahoma"/>
            <family val="2"/>
          </rPr>
          <t>Starting FY2015 with implementation of GASB 68 - for new NCAS Acct 229210 Deferred inflows for pensions. For more info, see acct definition and the GASB Resources webpage available from the OSC homepage www.osc.nc.gov.</t>
        </r>
      </text>
    </comment>
    <comment ref="B179" authorId="4" shapeId="0" xr:uid="{00000000-0006-0000-5200-000013000000}">
      <text>
        <r>
          <rPr>
            <sz val="7"/>
            <color indexed="81"/>
            <rFont val="Tahoma"/>
            <family val="2"/>
          </rPr>
          <t xml:space="preserve">Added FY14 for GASB65,NCAS acct 229205 Other deferred inflow of resources per GASB 65 not classified in a more specific acct. For more info, refer to GASB Resources webpage available from OSC homepage www.osc.nc.gov.
FY15 updated description from "Deferred inflows-other" to "Other deferred inflows" be consistent with CAFR caption.
</t>
        </r>
      </text>
    </comment>
    <comment ref="B213" authorId="4" shapeId="0" xr:uid="{00000000-0006-0000-5200-000014000000}">
      <text>
        <r>
          <rPr>
            <sz val="9"/>
            <color indexed="81"/>
            <rFont val="Tahoma"/>
            <family val="2"/>
          </rPr>
          <t xml:space="preserve">FY15-Includes new acct for GASB 68 - NCAS acct 531595 Pension expense .
</t>
        </r>
      </text>
    </comment>
    <comment ref="B229" authorId="0" shapeId="0" xr:uid="{00000000-0006-0000-5200-000015000000}">
      <text>
        <r>
          <rPr>
            <sz val="8"/>
            <color indexed="81"/>
            <rFont val="Tahoma"/>
            <family val="2"/>
          </rPr>
          <t>Caption added to template 2011. For funds appropriated by the legislature for general use by a specific agency. For NCAS agencies, this represents the 439100 account balance in the general fund budget code. This caption should not include state aid-program or state capital aid or state appropriations in a 4xxxx capital projects budget code</t>
        </r>
      </text>
    </comment>
    <comment ref="B230" authorId="0" shapeId="0" xr:uid="{00000000-0006-0000-5200-000016000000}">
      <text>
        <r>
          <rPr>
            <sz val="8"/>
            <color indexed="81"/>
            <rFont val="Tahoma"/>
            <family val="2"/>
          </rPr>
          <t xml:space="preserve">"State aid-general" is revenue from the primary government to component units of the state for general administration and operation of the agency that cannot be classified elsewhere. For 2011, there is a separate caption for state appropriations that had been included in the definition for state aid-general in prior years. For 2011 the state appropriations caption is separate to correspond with the NCAS operating statement.  State aid-general should not be used for state revenues that are state appropriations or that meet the definitions for state capital aid or state aid-program.  </t>
        </r>
      </text>
    </comment>
    <comment ref="B231" authorId="0" shapeId="0" xr:uid="{00000000-0006-0000-5200-000017000000}">
      <text>
        <r>
          <rPr>
            <sz val="8"/>
            <color indexed="81"/>
            <rFont val="Tahoma"/>
            <family val="2"/>
          </rPr>
          <t>New break-out for 2010. State aid-program includes clean water bond funds, funds from the State Escheats fund and the NC Education Lottery for higher education/scholarships, state tax credits, and funds from state agencies restricted for use in specific programs.  This includes ARRA state fiscal stabilization funds, and state revenues that may be used either for operating or capital expenditures of the program at the discretion of the agency.  However, this does not include state revenue that meets the definition for state capital aid or state appropriations or general state aid.</t>
        </r>
      </text>
    </comment>
    <comment ref="B250" authorId="0" shapeId="0" xr:uid="{00000000-0006-0000-5200-000018000000}">
      <text>
        <r>
          <rPr>
            <sz val="8"/>
            <color indexed="81"/>
            <rFont val="Tahoma"/>
            <family val="2"/>
          </rPr>
          <t xml:space="preserve">State capital aid includes state capital appropriations, state capital contributions and state bond proceeds restricted for the acquisition, renovation or construction of capital assets owned by the agency.  This does not include capital grants from state agencies or other component units which would be classified in the capital grants caption.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Helen Vozzo</author>
    <author>tc={260732C9-88BA-46DD-8F54-8A84C7F76F1B}</author>
    <author>tc={3B5816D1-F8B9-4FB3-932B-D4185D0AC86F}</author>
    <author>tc={EAF21DE6-4E81-4780-BAEC-2C761BB0C3F0}</author>
    <author>tc={D5DA6438-2B0E-4463-A051-3768B1FD8526}</author>
    <author>tc={E58DD37E-AD40-4BF8-995A-7EBD6AE424B7}</author>
    <author>tc={1C9377B3-D622-475B-AE5F-BAE7CA10D5F9}</author>
    <author>tc={5C3621F6-6EA3-419A-ADA3-C756A5209D0E}</author>
    <author>tc={15DB090E-03B4-4E6E-BBE7-E54B6C9447E5}</author>
    <author>tc={3B1FCA26-9BDD-4D6E-B129-D81698FDBEF8}</author>
    <author>tc={D9043927-A167-4FB8-B49E-7BE2502064B0}</author>
    <author>tc={E4D68E84-B8B6-4617-81F7-D45002AD06C6}</author>
    <author>tc={7222BA5F-52BC-45DF-8581-2B7BE8E8B7C6}</author>
    <author>tc={0FD3E7F6-FAAA-4F86-AC85-BC415972F832}</author>
    <author>tc={1CD751D3-2F01-4152-A262-B99607D831C8}</author>
    <author>tc={57180A12-3B88-4250-A33D-49937F73F535}</author>
    <author>tc={D2C60135-9E96-4A98-B0D6-D6C4EC0AF4F7}</author>
    <author>tc={AC6ADA98-FCDA-49FE-B18B-4FB0272BCCE8}</author>
    <author>tc={F8A5713C-05CB-42CF-AA25-168A6F0894C7}</author>
    <author>tc={542FD0EA-1201-4149-8D1B-F867CCA6B91B}</author>
    <author>tc={BA7E37CA-EC08-42CC-9145-B39B60F82930}</author>
    <author>tc={E6624134-A990-4F2B-9F22-3E42EDB1D644}</author>
    <author>tc={2A162CCD-867D-42AC-AF73-63F91B897A25}</author>
    <author>tc={D10FE361-2A64-4375-AFB9-E474BF08CC9C}</author>
    <author>tc={4314008F-CC8B-4A7C-8B5F-E9C217FBD012}</author>
    <author>tc={433D6E17-E187-4ED9-B965-E8F5D2D5C652}</author>
    <author>tc={14B6A6BD-661B-4025-91D3-73CE844323BC}</author>
    <author>tc={3CC8925D-A6B8-415A-9676-0CD364EB4271}</author>
    <author>tc={168CF8AF-6E36-4822-B40D-C5F6FBCAB7C3}</author>
    <author>tc={30B7030D-328E-44D9-8BDC-652FC512085A}</author>
    <author>tc={61882B63-426E-4339-871E-5403B8CD664A}</author>
    <author>tc={1132E5CC-1F60-4F94-B289-BD1F8D96E971}</author>
    <author>tc={4C5BF608-E182-4000-96CE-D11D95CB9E54}</author>
    <author>tc={0B4E3B33-2040-4B9F-8676-D74AFABE8890}</author>
    <author>tc={2F38DDBE-0F23-4E36-B4A4-39F8753A985D}</author>
    <author>tc={904500F4-C325-4898-A3D7-7B8A7371EEE5}</author>
    <author>tc={F7AB8CC1-5ED3-4AD9-A34C-2546695B548C}</author>
    <author>tc={4D390F71-0A05-497A-8900-402FB0DB95A9}</author>
    <author>tc={661EBCBB-3A63-4155-B97A-73EF7CC8F7BC}</author>
    <author>tc={0BAE10F3-33AC-4BFD-BE5C-558713F49431}</author>
    <author>tc={4F9F59D4-6B70-45B3-A5C1-D13870A0989A}</author>
    <author>tc={0170BDD4-CC20-4C47-9534-5103A300AEB3}</author>
    <author>tc={2F67573F-4FF3-46A4-88FD-01C8017949FC}</author>
    <author>tc={DB7EA1AD-200A-43F3-9FE7-6ACF39CEDBCC}</author>
    <author>tc={540F39D2-9F2B-4DE9-A623-BB5A88D09FC2}</author>
    <author>tc={394496DC-4359-42C0-BB0E-91D3A18B7416}</author>
    <author>tc={C862E26E-7668-48E7-BDB4-6657CB3A4366}</author>
    <author>tc={81CBAEBF-7EFE-4C92-9D66-61C745D37E63}</author>
    <author>tc={10B298EE-0956-4A10-B26F-B52AC3E69CB5}</author>
    <author>tc={DCA708AC-67DE-4D18-AD51-4EFCFD9F5A90}</author>
    <author>tc={A4A76DF4-A649-495F-BDED-066939C904C5}</author>
    <author>tc={A0225FDD-DC50-4E7A-A8D6-C9290BF0A3BC}</author>
    <author>tc={0B5CFE4C-9D31-4445-9E7B-BBAFCBBF870F}</author>
    <author>tc={B0AE9508-D090-42E9-A47F-544CADBE32BF}</author>
    <author>tc={3BA472B1-F593-441B-AAA8-075ADEF52C64}</author>
    <author>tc={704535B5-3C1D-422E-88B8-9A795AC50AA2}</author>
    <author>tc={30A69176-57D6-4503-82B0-54A4BD09FB8B}</author>
    <author>tc={2CEDED57-B795-4269-AC76-7AC7A4C92787}</author>
    <author>tc={69E6DDD5-E2B4-456C-8C86-31797AAED594}</author>
    <author>tc={DE4808A4-84D2-447A-A792-128B6B018E6F}</author>
  </authors>
  <commentList>
    <comment ref="C7" authorId="0" shapeId="0" xr:uid="{00000000-0006-0000-5A00-000001000000}">
      <text>
        <r>
          <rPr>
            <sz val="8"/>
            <color indexed="81"/>
            <rFont val="Tahoma"/>
            <family val="2"/>
          </rPr>
          <t xml:space="preserve">Complete the Index sheet first. This cell uses the agency number from the Index Sheet to populate the GASB fund number from the NetAssets table.
</t>
        </r>
      </text>
    </comment>
    <comment ref="E22" authorId="1" shapeId="0" xr:uid="{260732C9-88BA-46DD-8F54-8A84C7F76F1B}">
      <text>
        <t>[Threaded comment]
Your version of Excel allows you to read this threaded comment; however, any edits to it will get removed if the file is opened in a newer version of Excel. Learn more: https://go.microsoft.com/fwlink/?linkid=870924
Comment:
    OK = include elimination which agrees to ACFR.</t>
      </text>
    </comment>
    <comment ref="D24" authorId="2" shapeId="0" xr:uid="{3B5816D1-F8B9-4FB3-932B-D4185D0AC86F}">
      <text>
        <t>[Threaded comment]
Your version of Excel allows you to read this threaded comment; however, any edits to it will get removed if the file is opened in a newer version of Excel. Learn more: https://go.microsoft.com/fwlink/?linkid=870924
Comment:
    OK. The difference equals $913,093,740.65-he hospital wide elimination.</t>
      </text>
    </comment>
    <comment ref="E24" authorId="3" shapeId="0" xr:uid="{EAF21DE6-4E81-4780-BAEC-2C761BB0C3F0}">
      <text>
        <t>[Threaded comment]
Your version of Excel allows you to read this threaded comment; however, any edits to it will get removed if the file is opened in a newer version of Excel. Learn more: https://go.microsoft.com/fwlink/?linkid=870924
Comment:
    OK = include elimination which agrees to ACFR.
Reply:
    OK = include elimination which agrees to ACFR.</t>
      </text>
    </comment>
    <comment ref="E28" authorId="4" shapeId="0" xr:uid="{D5DA6438-2B0E-4463-A051-3768B1FD8526}">
      <text>
        <t>[Threaded comment]
Your version of Excel allows you to read this threaded comment; however, any edits to it will get removed if the file is opened in a newer version of Excel. Learn more: https://go.microsoft.com/fwlink/?linkid=870924
Comment:
    OK = include elimination which agrees to ACFR.
Reply:
    OK = include elimination which agrees to ACFR.</t>
      </text>
    </comment>
    <comment ref="B31" authorId="5" shapeId="0" xr:uid="{E58DD37E-AD40-4BF8-995A-7EBD6AE424B7}">
      <text>
        <t>[Threaded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t>
      </text>
    </comment>
    <comment ref="B50" authorId="6" shapeId="0" xr:uid="{1C9377B3-D622-475B-AE5F-BAE7CA10D5F9}">
      <text>
        <t xml:space="preserve">[Threaded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t>
      </text>
    </comment>
    <comment ref="D61" authorId="7" shapeId="0" xr:uid="{5C3621F6-6EA3-419A-ADA3-C756A5209D0E}">
      <text>
        <t>[Threaded comment]
Your version of Excel allows you to read this threaded comment; however, any edits to it will get removed if the file is opened in a newer version of Excel. Learn more: https://go.microsoft.com/fwlink/?linkid=870924
Comment:
    OK. Minor difference and agree to 48Xp.  And TA = TL + NP</t>
      </text>
    </comment>
    <comment ref="B82" authorId="8" shapeId="0" xr:uid="{15DB090E-03B4-4E6E-BBE7-E54B6C9447E5}">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value of the intangible asset for subscription-based IT arrangements for software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
      </text>
    </comment>
    <comment ref="E88" authorId="9" shapeId="0" xr:uid="{3B1FCA26-9BDD-4D6E-B129-D81698FDBEF8}">
      <text>
        <t>[Threaded comment]
Your version of Excel allows you to read this threaded comment; however, any edits to it will get removed if the file is opened in a newer version of Excel. Learn more: https://go.microsoft.com/fwlink/?linkid=870924
Comment:
    OK=include elimination
Reply:
    OK in 2024. The diff equals elimination of 1,682,580,307.25.</t>
      </text>
    </comment>
    <comment ref="D103" authorId="10" shapeId="0" xr:uid="{D9043927-A167-4FB8-B49E-7BE2502064B0}">
      <text>
        <t>[Threaded comment]
Your version of Excel allows you to read this threaded comment; however, any edits to it will get removed if the file is opened in a newer version of Excel. Learn more: https://go.microsoft.com/fwlink/?linkid=870924
Comment:
    OK. The diff equals hospital wide elimination of $578,126,469.23.</t>
      </text>
    </comment>
    <comment ref="D114" authorId="11" shapeId="0" xr:uid="{E4D68E84-B8B6-4617-81F7-D45002AD06C6}">
      <text>
        <t>[Threaded comment]
Your version of Excel allows you to read this threaded comment; however, any edits to it will get removed if the file is opened in a newer version of Excel. Learn more: https://go.microsoft.com/fwlink/?linkid=870924
Comment:
    OK. The diff equals hospital wide elimination of $913,093,740.65.</t>
      </text>
    </comment>
    <comment ref="D117" authorId="12" shapeId="0" xr:uid="{7222BA5F-52BC-45DF-8581-2B7BE8E8B7C6}">
      <text>
        <t>[Threaded comment]
Your version of Excel allows you to read this threaded comment; however, any edits to it will get removed if the file is opened in a newer version of Excel. Learn more: https://go.microsoft.com/fwlink/?linkid=870924
Comment:
    OK . The diff of $191,630,097.37 equals hospital wide elimination.</t>
      </text>
    </comment>
    <comment ref="B125" authorId="13" shapeId="0" xr:uid="{0FD3E7F6-FAAA-4F86-AC85-BC415972F832}">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current portion of subscription-based IT arrangements obligations due within the current year or within one year of the reporting date.  This account is not for use by governmental funds. </t>
      </text>
    </comment>
    <comment ref="B126" authorId="14" shapeId="0" xr:uid="{1CD751D3-2F01-4152-A262-B99607D831C8}">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current portion of an operator’s PPP liability under GASB Statement 94 for installment payments and is the amount due within the current year or within one year of the reporting date.  This account is not for use by governmental funds. </t>
      </text>
    </comment>
    <comment ref="D138" authorId="15" shapeId="0" xr:uid="{57180A12-3B88-4250-A33D-49937F73F535}">
      <text>
        <t>[Threaded comment]
Your version of Excel allows you to read this threaded comment; however, any edits to it will get removed if the file is opened in a newer version of Excel. Learn more: https://go.microsoft.com/fwlink/?linkid=870924
Comment:
    OK. The difference of $1,682,580,307.25 equals hospital wide elimination.</t>
      </text>
    </comment>
    <comment ref="B151" authorId="16" shapeId="0" xr:uid="{D2C60135-9E96-4A98-B0D6-D6C4EC0AF4F7}">
      <text>
        <t>[Threaded comment]
Your version of Excel allows you to read this threaded comment; however, any edits to it will get removed if the file is opened in a newer version of Excel. Learn more: https://go.microsoft.com/fwlink/?linkid=870924
Comment:
    Caption changed from lease payable to lease liability</t>
      </text>
    </comment>
    <comment ref="B152" authorId="17" shapeId="0" xr:uid="{AC6ADA98-FCDA-49FE-B18B-4FB0272BCCE8}">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portion of subscription-based IT arrangements obligations that will be payable in more than one year subsequent to the balance sheet date.  This is for use by both governmental and proprietary funds. </t>
      </text>
    </comment>
    <comment ref="B153" authorId="18" shapeId="0" xr:uid="{F8A5713C-05CB-42CF-AA25-168A6F0894C7}">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portion of an operator’s liability in a public-private or public-public partnership (PPP/SCA) arrangement under GASB 94 for future installment payments that will be due to the transferor in more than one year subsequent to the balance sheet date.  This is for use by both governmental and proprietary funds. </t>
      </text>
    </comment>
    <comment ref="D167" authorId="19" shapeId="0" xr:uid="{542FD0EA-1201-4149-8D1B-F867CCA6B91B}">
      <text>
        <t>[Threaded comment]
Your version of Excel allows you to read this threaded comment; however, any edits to it will get removed if the file is opened in a newer version of Excel. Learn more: https://go.microsoft.com/fwlink/?linkid=870924
Comment:
    OK. The difference of $1,682,580,307.25 equals hospital wide elimination</t>
      </text>
    </comment>
    <comment ref="AD171" authorId="20" shapeId="0" xr:uid="{BA7E37CA-EC08-42CC-9145-B39B60F82930}">
      <text>
        <t>[Threaded comment]
Your version of Excel allows you to read this threaded comment; however, any edits to it will get removed if the file is opened in a newer version of Excel. Learn more: https://go.microsoft.com/fwlink/?linkid=870924
Comment:
    Reclass $92,471,547.68 from deferred inflows for lease agreements to deferred inflows for PPP Arrangements.</t>
      </text>
    </comment>
    <comment ref="AA172" authorId="21" shapeId="0" xr:uid="{E6624134-A990-4F2B-9F22-3E42EDB1D644}">
      <text>
        <t>[Threaded comment]
Your version of Excel allows you to read this threaded comment; however, any edits to it will get removed if the file is opened in a newer version of Excel. Learn more: https://go.microsoft.com/fwlink/?linkid=870924
Comment:
    Reclass $2,021,847.10 from other deferred inflows to deferred gain on refunding.</t>
      </text>
    </comment>
    <comment ref="E178" authorId="22" shapeId="0" xr:uid="{2A162CCD-867D-42AC-AF73-63F91B897A25}">
      <text>
        <t>[Threaded comment]
Your version of Excel allows you to read this threaded comment; however, any edits to it will get removed if the file is opened in a newer version of Excel. Learn more: https://go.microsoft.com/fwlink/?linkid=870924
Comment:
    Original amount = $12,348,493.29.
Reclassification from Other Deferred inflows.</t>
      </text>
    </comment>
    <comment ref="F178" authorId="23" shapeId="0" xr:uid="{D10FE361-2A64-4375-AFB9-E474BF08CC9C}">
      <text>
        <t>[Threaded comment]
Your version of Excel allows you to read this threaded comment; however, any edits to it will get removed if the file is opened in a newer version of Excel. Learn more: https://go.microsoft.com/fwlink/?linkid=870924
Comment:
    Reclass $2,158,072 from other deferred inflows to deferred inflows for lease agreements.</t>
      </text>
    </comment>
    <comment ref="G178" authorId="24" shapeId="0" xr:uid="{4314008F-CC8B-4A7C-8B5F-E9C217FBD012}">
      <text>
        <t>[Threaded comment]
Your version of Excel allows you to read this threaded comment; however, any edits to it will get removed if the file is opened in a newer version of Excel. Learn more: https://go.microsoft.com/fwlink/?linkid=870924
Comment:
    Reclass $55,679,080.81 from other deferred inflows to deferred inflows for lease agreements.</t>
      </text>
    </comment>
    <comment ref="E179" authorId="25" shapeId="0" xr:uid="{433D6E17-E187-4ED9-B965-E8F5D2D5C652}">
      <text>
        <t>[Threaded comment]
Your version of Excel allows you to read this threaded comment; however, any edits to it will get removed if the file is opened in a newer version of Excel. Learn more: https://go.microsoft.com/fwlink/?linkid=870924
Comment:
    Original amount = $58,033,931.96.
Reclassification to Deferred inflows for lease agreements.</t>
      </text>
    </comment>
    <comment ref="AA179" authorId="26" shapeId="0" xr:uid="{14B6A6BD-661B-4025-91D3-73CE844323BC}">
      <text>
        <t>[Threaded comment]
Your version of Excel allows you to read this threaded comment; however, any edits to it will get removed if the file is opened in a newer version of Excel. Learn more: https://go.microsoft.com/fwlink/?linkid=870924
Comment:
    Reclass $2,021,847.10 from other deferred inflows to deferred gain on refunding.</t>
      </text>
    </comment>
    <comment ref="F194" authorId="27" shapeId="0" xr:uid="{3CC8925D-A6B8-415A-9676-0CD364EB4271}">
      <text>
        <t>[Threaded comment]
Your version of Excel allows you to read this threaded comment; however, any edits to it will get removed if the file is opened in a newer version of Excel. Learn more: https://go.microsoft.com/fwlink/?linkid=870924
Comment:
    Total net position doesn't agree to the audit report ($1,248,556,212). The difference is $3,320,807.83.</t>
      </text>
    </comment>
    <comment ref="D200" authorId="28" shapeId="0" xr:uid="{168CF8AF-6E36-4822-B40D-C5F6FBCAB7C3}">
      <text>
        <t>[Threaded comment]
Your version of Excel allows you to read this threaded comment; however, any edits to it will get removed if the file is opened in a newer version of Excel. Learn more: https://go.microsoft.com/fwlink/?linkid=870924
Comment:
    OK. The difference of $68,616,408 equals hospital wide elimination.</t>
      </text>
    </comment>
    <comment ref="D208" authorId="29" shapeId="0" xr:uid="{30B7030D-328E-44D9-8BDC-652FC512085A}">
      <text>
        <t>[Threaded comment]
Your version of Excel allows you to read this threaded comment; however, any edits to it will get removed if the file is opened in a newer version of Excel. Learn more: https://go.microsoft.com/fwlink/?linkid=870924
Comment:
    OK. The diff of $11,737,142.15 equal hospital wide elimination.</t>
      </text>
    </comment>
    <comment ref="D209" authorId="30" shapeId="0" xr:uid="{61882B63-426E-4339-871E-5403B8CD664A}">
      <text>
        <t>[Threaded comment]
Your version of Excel allows you to read this threaded comment; however, any edits to it will get removed if the file is opened in a newer version of Excel. Learn more: https://go.microsoft.com/fwlink/?linkid=870924
Comment:
    OK. The diff of $119,006,544 equals hospital wide elimination.</t>
      </text>
    </comment>
    <comment ref="E209" authorId="31" shapeId="0" xr:uid="{1132E5CC-1F60-4F94-B289-BD1F8D96E971}">
      <text>
        <t>[Threaded comment]
Your version of Excel allows you to read this threaded comment; however, any edits to it will get removed if the file is opened in a newer version of Excel. Learn more: https://go.microsoft.com/fwlink/?linkid=870924
Comment:
    Include elimination</t>
      </text>
    </comment>
    <comment ref="D210" authorId="32" shapeId="0" xr:uid="{4C5BF608-E182-4000-96CE-D11D95CB9E54}">
      <text>
        <t>[Threaded comment]
Your version of Excel allows you to read this threaded comment; however, any edits to it will get removed if the file is opened in a newer version of Excel. Learn more: https://go.microsoft.com/fwlink/?linkid=870924
Comment:
    OK. The diff of $16,616,610.8 equals hospital wide elimination.</t>
      </text>
    </comment>
    <comment ref="E210" authorId="33" shapeId="0" xr:uid="{0B4E3B33-2040-4B9F-8676-D74AFABE8890}">
      <text>
        <t>[Threaded comment]
Your version of Excel allows you to read this threaded comment; however, any edits to it will get removed if the file is opened in a newer version of Excel. Learn more: https://go.microsoft.com/fwlink/?linkid=870924
Comment:
    Include elimination</t>
      </text>
    </comment>
    <comment ref="D211" authorId="34" shapeId="0" xr:uid="{2F38DDBE-0F23-4E36-B4A4-39F8753A985D}">
      <text>
        <t>[Threaded comment]
Your version of Excel allows you to read this threaded comment; however, any edits to it will get removed if the file is opened in a newer version of Excel. Learn more: https://go.microsoft.com/fwlink/?linkid=870924
Comment:
    OK. The diff of $215,976,704.95 equals hospital wide elimination.</t>
      </text>
    </comment>
    <comment ref="D215" authorId="35" shapeId="0" xr:uid="{904500F4-C325-4898-A3D7-7B8A7371EEE5}">
      <text>
        <t>[Threaded comment]
Your version of Excel allows you to read this threaded comment; however, any edits to it will get removed if the file is opened in a newer version of Excel. Learn more: https://go.microsoft.com/fwlink/?linkid=870924
Comment:
    OK. The diff of $68,616,408 equals hospital wide elimination.</t>
      </text>
    </comment>
    <comment ref="E215" authorId="36" shapeId="0" xr:uid="{F7AB8CC1-5ED3-4AD9-A34C-2546695B548C}">
      <text>
        <t>[Threaded comment]
Your version of Excel allows you to read this threaded comment; however, any edits to it will get removed if the file is opened in a newer version of Excel. Learn more: https://go.microsoft.com/fwlink/?linkid=870924
Comment:
    Include elimination</t>
      </text>
    </comment>
    <comment ref="D216" authorId="37" shapeId="0" xr:uid="{4D390F71-0A05-497A-8900-402FB0DB95A9}">
      <text>
        <t>[Threaded comment]
Your version of Excel allows you to read this threaded comment; however, any edits to it will get removed if the file is opened in a newer version of Excel. Learn more: https://go.microsoft.com/fwlink/?linkid=870924
Comment:
    OK. The diff of $73,204,758.80 equals hospital wide elimination</t>
      </text>
    </comment>
    <comment ref="E216" authorId="38" shapeId="0" xr:uid="{661EBCBB-3A63-4155-B97A-73EF7CC8F7BC}">
      <text>
        <t>[Threaded comment]
Your version of Excel allows you to read this threaded comment; however, any edits to it will get removed if the file is opened in a newer version of Excel. Learn more: https://go.microsoft.com/fwlink/?linkid=870924
Comment:
    Include elimination</t>
      </text>
    </comment>
    <comment ref="D218" authorId="39" shapeId="0" xr:uid="{0BAE10F3-33AC-4BFD-BE5C-558713F49431}">
      <text>
        <t xml:space="preserve">[Threaded comment]
Your version of Excel allows you to read this threaded comment; however, any edits to it will get removed if the file is opened in a newer version of Excel. Learn more: https://go.microsoft.com/fwlink/?linkid=870924
Comment:
    OK. The diff of $(1,625,145.48) equals hospital wide elimination
</t>
      </text>
    </comment>
    <comment ref="E218" authorId="40" shapeId="0" xr:uid="{4F9F59D4-6B70-45B3-A5C1-D13870A0989A}">
      <text>
        <t>[Threaded comment]
Your version of Excel allows you to read this threaded comment; however, any edits to it will get removed if the file is opened in a newer version of Excel. Learn more: https://go.microsoft.com/fwlink/?linkid=870924
Comment:
    Include elimination</t>
      </text>
    </comment>
    <comment ref="D219" authorId="41" shapeId="0" xr:uid="{0170BDD4-CC20-4C47-9534-5103A300AEB3}">
      <text>
        <t>[Threaded comment]
Your version of Excel allows you to read this threaded comment; however, any edits to it will get removed if the file is opened in a newer version of Excel. Learn more: https://go.microsoft.com/fwlink/?linkid=870924
Comment:
    74,155,538.15 diff = hospital wide elimination</t>
      </text>
    </comment>
    <comment ref="D220" authorId="42" shapeId="0" xr:uid="{2F67573F-4FF3-46A4-88FD-01C8017949FC}">
      <text>
        <t>[Threaded comment]
Your version of Excel allows you to read this threaded comment; however, any edits to it will get removed if the file is opened in a newer version of Excel. Learn more: https://go.microsoft.com/fwlink/?linkid=870924
Comment:
    1,625,145.48 diff = hospital wide elimination</t>
      </text>
    </comment>
    <comment ref="D226" authorId="43" shapeId="0" xr:uid="{DB7EA1AD-200A-43F3-9FE7-6ACF39CEDBCC}">
      <text>
        <t>[Threaded comment]
Your version of Excel allows you to read this threaded comment; however, any edits to it will get removed if the file is opened in a newer version of Excel. Learn more: https://go.microsoft.com/fwlink/?linkid=870924
Comment:
    215,976,704.95 diff = hospital wide elimination</t>
      </text>
    </comment>
    <comment ref="B230" authorId="0" shapeId="0" xr:uid="{00000000-0006-0000-5A00-000002000000}">
      <text>
        <r>
          <rPr>
            <sz val="8"/>
            <color indexed="81"/>
            <rFont val="Tahoma"/>
            <family val="2"/>
          </rPr>
          <t>Caption added to template 2011. For funds appropriated by the legislature for general use by a specific agency. For NCAS agencies, this represents the 439100 account balance in the general fund budget code. This caption should not include state aid-program or state capital aid or state appropriations in a 4xxxx capital projects budget code</t>
        </r>
      </text>
    </comment>
    <comment ref="B231" authorId="0" shapeId="0" xr:uid="{00000000-0006-0000-5A00-000003000000}">
      <text>
        <r>
          <rPr>
            <sz val="8"/>
            <color indexed="81"/>
            <rFont val="Tahoma"/>
            <family val="2"/>
          </rPr>
          <t xml:space="preserve">"State aid-general" is revenue from the primary government to component units of the state for general administration and operation of the agency that cannot be classified elsewhere. For 2011, there is a separate caption for state appropriations that had been included in the definition for state aid-general in prior years. For 2011 the state appropriations caption is separate to correspond with the NCAS operating statement.  State aid-general should not be used for state revenues that are state appropriations or that meet the definitions for state capital aid or state aid-program.  </t>
        </r>
      </text>
    </comment>
    <comment ref="B232" authorId="0" shapeId="0" xr:uid="{00000000-0006-0000-5A00-000004000000}">
      <text>
        <r>
          <rPr>
            <sz val="8"/>
            <color indexed="81"/>
            <rFont val="Tahoma"/>
            <family val="2"/>
          </rPr>
          <t>New break-out for 2010. State aid-program includes clean water bond funds, funds from the State Escheats fund and the NC Education Lottery for higher education/scholarships, state tax credits, and funds from state agencies restricted for use in specific programs.  This includes ARRA state fiscal stabilization funds, and state revenues that may be used either for operating or capital expenditures of the program at the discretion of the agency.  However, this does not include state revenue that meets the definition for state capital aid or state appropriations or general state aid.</t>
        </r>
      </text>
    </comment>
    <comment ref="S232" authorId="44" shapeId="0" xr:uid="{540F39D2-9F2B-4DE9-A623-BB5A88D09FC2}">
      <text>
        <t>[Threaded comment]
Your version of Excel allows you to read this threaded comment; however, any edits to it will get removed if the file is opened in a newer version of Excel. Learn more: https://go.microsoft.com/fwlink/?linkid=870924
Comment:
    Reclass to 2710 noncapital gift</t>
      </text>
    </comment>
    <comment ref="Q233" authorId="45" shapeId="0" xr:uid="{394496DC-4359-42C0-BB0E-91D3A18B7416}">
      <text>
        <t>[Threaded comment]
Your version of Excel allows you to read this threaded comment; however, any edits to it will get removed if the file is opened in a newer version of Excel. Learn more: https://go.microsoft.com/fwlink/?linkid=870924
Comment:
    COVID-19 aid</t>
      </text>
    </comment>
    <comment ref="S233" authorId="46" shapeId="0" xr:uid="{C862E26E-7668-48E7-BDB4-6657CB3A4366}">
      <text>
        <t>[Threaded comment]
Your version of Excel allows you to read this threaded comment; however, any edits to it will get removed if the file is opened in a newer version of Excel. Learn more: https://go.microsoft.com/fwlink/?linkid=870924
Comment:
    4,926,923.88+13000</t>
      </text>
    </comment>
    <comment ref="AA233" authorId="47" shapeId="0" xr:uid="{81CBAEBF-7EFE-4C92-9D66-61C745D37E63}">
      <text>
        <t>[Threaded comment]
Your version of Excel allows you to read this threaded comment; however, any edits to it will get removed if the file is opened in a newer version of Excel. Learn more: https://go.microsoft.com/fwlink/?linkid=870924
Comment:
    COVID 19 aid from 2692 State aid-program</t>
      </text>
    </comment>
    <comment ref="AC233" authorId="48" shapeId="0" xr:uid="{10B298EE-0956-4A10-B26F-B52AC3E69CB5}">
      <text>
        <t>[Threaded comment]
Your version of Excel allows you to read this threaded comment; however, any edits to it will get removed if the file is opened in a newer version of Excel. Learn more: https://go.microsoft.com/fwlink/?linkid=870924
Comment:
    Reclass from 2700 Noncapital grant revenue</t>
      </text>
    </comment>
    <comment ref="AC234" authorId="49" shapeId="0" xr:uid="{DCA708AC-67DE-4D18-AD51-4EFCFD9F5A90}">
      <text>
        <t>[Threaded comment]
Your version of Excel allows you to read this threaded comment; however, any edits to it will get removed if the file is opened in a newer version of Excel. Learn more: https://go.microsoft.com/fwlink/?linkid=870924
Comment:
    33,139,614.39-1,107,928 (COVID) = 32,031,686.39</t>
      </text>
    </comment>
    <comment ref="D238" authorId="50" shapeId="0" xr:uid="{A4A76DF4-A649-495F-BDED-066939C904C5}">
      <text>
        <t>[Threaded comment]
Your version of Excel allows you to read this threaded comment; however, any edits to it will get removed if the file is opened in a newer version of Excel. Learn more: https://go.microsoft.com/fwlink/?linkid=870924
Comment:
    (2,783,013.55) diff = hospital wide elimination</t>
      </text>
    </comment>
    <comment ref="D242" authorId="51" shapeId="0" xr:uid="{A0225FDD-DC50-4E7A-A8D6-C9290BF0A3BC}">
      <text>
        <t>[Threaded comment]
Your version of Excel allows you to read this threaded comment; however, any edits to it will get removed if the file is opened in a newer version of Excel. Learn more: https://go.microsoft.com/fwlink/?linkid=870924
Comment:
    (2,783,013.55) diff = hospital wide elimination</t>
      </text>
    </comment>
    <comment ref="E242" authorId="52" shapeId="0" xr:uid="{0B5CFE4C-9D31-4445-9E7B-BBAFCBBF870F}">
      <text>
        <t>[Threaded comment]
Your version of Excel allows you to read this threaded comment; however, any edits to it will get removed if the file is opened in a newer version of Excel. Learn more: https://go.microsoft.com/fwlink/?linkid=870924
Comment:
    Ok = sum agrees.</t>
      </text>
    </comment>
    <comment ref="D247" authorId="53" shapeId="0" xr:uid="{B0AE9508-D090-42E9-A47F-544CADBE32BF}">
      <text>
        <t>[Threaded comment]
Your version of Excel allows you to read this threaded comment; however, any edits to it will get removed if the file is opened in a newer version of Excel. Learn more: https://go.microsoft.com/fwlink/?linkid=870924
Comment:
    527,950,641.00 diff = hospital wide elimination</t>
      </text>
    </comment>
    <comment ref="E247" authorId="54" shapeId="0" xr:uid="{3BA472B1-F593-441B-AAA8-075ADEF52C64}">
      <text>
        <t>[Threaded comment]
Your version of Excel allows you to read this threaded comment; however, any edits to it will get removed if the file is opened in a newer version of Excel. Learn more: https://go.microsoft.com/fwlink/?linkid=870924
Comment:
    Include elimination</t>
      </text>
    </comment>
    <comment ref="D248" authorId="55" shapeId="0" xr:uid="{704535B5-3C1D-422E-88B8-9A795AC50AA2}">
      <text>
        <t xml:space="preserve">[Threaded comment]
Your version of Excel allows you to read this threaded comment; however, any edits to it will get removed if the file is opened in a newer version of Excel. Learn more: https://go.microsoft.com/fwlink/?linkid=870924
Comment:
    (527,950,641.00) diff = hospital wide elimination
</t>
      </text>
    </comment>
    <comment ref="E248" authorId="56" shapeId="0" xr:uid="{30A69176-57D6-4503-82B0-54A4BD09FB8B}">
      <text>
        <t>[Threaded comment]
Your version of Excel allows you to read this threaded comment; however, any edits to it will get removed if the file is opened in a newer version of Excel. Learn more: https://go.microsoft.com/fwlink/?linkid=870924
Comment:
    Include elimination</t>
      </text>
    </comment>
    <comment ref="B251" authorId="0" shapeId="0" xr:uid="{00000000-0006-0000-5A00-000005000000}">
      <text>
        <r>
          <rPr>
            <sz val="8"/>
            <color indexed="81"/>
            <rFont val="Tahoma"/>
            <family val="2"/>
          </rPr>
          <t xml:space="preserve">State capital aid includes state capital appropriations, state capital contributions and state bond proceeds restricted for the acquisition, renovation or construction of capital assets owned by the agency.  This does not include capital grants from state agencies or other component units which would be classified in the capital grants caption.  </t>
        </r>
      </text>
    </comment>
    <comment ref="Q251" authorId="57" shapeId="0" xr:uid="{2CEDED57-B795-4269-AC76-7AC7A4C92787}">
      <text>
        <t>[Threaded comment]
Your version of Excel allows you to read this threaded comment; however, any edits to it will get removed if the file is opened in a newer version of Excel. Learn more: https://go.microsoft.com/fwlink/?linkid=870924
Comment:
    41,539,626.80-12,337,585 = 29,202,041.80</t>
      </text>
    </comment>
    <comment ref="D274" authorId="58" shapeId="0" xr:uid="{69E6DDD5-E2B4-456C-8C86-31797AAED594}">
      <text>
        <t>[Threaded comment]
Your version of Excel allows you to read this threaded comment; however, any edits to it will get removed if the file is opened in a newer version of Excel. Learn more: https://go.microsoft.com/fwlink/?linkid=870924
Comment:
    $2 diff</t>
      </text>
    </comment>
    <comment ref="D283" authorId="59" shapeId="0" xr:uid="{DE4808A4-84D2-447A-A792-128B6B018E6F}">
      <text>
        <t>[Threaded comment]
Your version of Excel allows you to read this threaded comment; however, any edits to it will get removed if the file is opened in a newer version of Excel. Learn more: https://go.microsoft.com/fwlink/?linkid=870924
Comment:
    $1 diff</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Helen Vozzo</author>
  </authors>
  <commentList>
    <comment ref="D7" authorId="0" shapeId="0" xr:uid="{00000000-0006-0000-5B00-000001000000}">
      <text>
        <r>
          <rPr>
            <sz val="8"/>
            <color indexed="81"/>
            <rFont val="Tahoma"/>
            <family val="2"/>
          </rPr>
          <t>Complete the Index sheet first. This cell uses the agency number from the Index Sheet to populate the GASB fund number from the NetAssets table.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Helen K. Vozzo</author>
    <author>Helen Vozzo</author>
  </authors>
  <commentList>
    <comment ref="AU21" authorId="0" shapeId="0" xr:uid="{3DBD2EBC-29E4-4C98-98D9-9602D77FCC84}">
      <text>
        <r>
          <rPr>
            <sz val="8"/>
            <color indexed="81"/>
            <rFont val="Tahoma"/>
            <family val="2"/>
          </rPr>
          <t xml:space="preserve">Added in FY2014 for GASB 65-  new acct 129703 Other Deferred outflow of resources, per GASB 65 that are not classified in a more specific account. </t>
        </r>
      </text>
    </comment>
    <comment ref="AU23" authorId="1" shapeId="0" xr:uid="{BA60D9DF-5206-45AF-B9AF-5083B967CDA1}">
      <text>
        <r>
          <rPr>
            <sz val="8"/>
            <color indexed="81"/>
            <rFont val="Tahoma"/>
            <family val="2"/>
          </rPr>
          <t xml:space="preserve">In 2011, Accounts payable began including Other payables, which had been a separate subcaption in prior years.
</t>
        </r>
      </text>
    </comment>
    <comment ref="AU25" authorId="1" shapeId="0" xr:uid="{6A54D23F-3811-4FEB-B52E-99FF630FEEE0}">
      <text>
        <r>
          <rPr>
            <sz val="8"/>
            <color indexed="81"/>
            <rFont val="Tahoma"/>
            <family val="2"/>
          </rPr>
          <t>The noncurrent accounts payable caption was added to the template in 2011, but it was an existing caption on the DSS CAFR 11P reports.  The noncurrent investment derivative liability would be included in this caption as well as other payables-noncurrent which had a separate subcaption in prior years.</t>
        </r>
      </text>
    </comment>
    <comment ref="AU27" authorId="0" shapeId="0" xr:uid="{6A22B559-74AC-4D72-BF54-4EF7DBA175CF}">
      <text>
        <r>
          <rPr>
            <sz val="7"/>
            <color indexed="81"/>
            <rFont val="Tahoma"/>
            <family val="2"/>
          </rPr>
          <t xml:space="preserve">Added FY14 for GASB65,NCAS acct 229205 Other deferred inflow of resources per GASB 65 not classified in a more specific acct. For more info, refer to GASB Resources webpage available from OSC homepage www.osc.nc.gov.
FY15 updated description from "Deferred inflows-other" to "Other deferred inflows" be consistent with CAFR caption.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Helen K. Vozzo</author>
  </authors>
  <commentList>
    <comment ref="G14" authorId="0" shapeId="0" xr:uid="{00000000-0006-0000-0800-000001000000}">
      <text>
        <r>
          <rPr>
            <sz val="8"/>
            <color indexed="81"/>
            <rFont val="Tahoma"/>
            <family val="2"/>
          </rPr>
          <t>Cells in this column contain a formula to populate the beginning bal for agencies using ws905 - do not key over these beg bal amts.  If ws905 is NA for your agency and the cell is displaying as blank, key your beginning bal over the formula.</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Helen K. Vozzo</author>
  </authors>
  <commentList>
    <comment ref="E15" authorId="0" shapeId="0" xr:uid="{00000000-0006-0000-0D00-000001000000}">
      <text>
        <r>
          <rPr>
            <sz val="8"/>
            <color indexed="81"/>
            <rFont val="Tahoma"/>
            <family val="2"/>
          </rPr>
          <t xml:space="preserve">Cells in this column contain a formula to populate beginning bal for agencies using ws905 - do not key over these beg bal amts. If ws905 is NA for your agency and the cell is displaying as a blank cell, key your beginning bal over the formula. </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Helen K. Vozzo</author>
    <author>Helen Vozzo</author>
    <author>tc={9A2DE285-BBE9-4FEE-9FE0-08BBCE7203DF}</author>
    <author>tc={305FC425-AF07-4D37-B4D2-D9C4649666A7}</author>
    <author>tc={FC0ECBC6-E7BA-4606-9B47-A7F68E153637}</author>
  </authors>
  <commentList>
    <comment ref="AH16" authorId="0" shapeId="0" xr:uid="{8542AA00-C783-471F-B9C6-C5A9DD96EE3B}">
      <text>
        <r>
          <rPr>
            <sz val="8"/>
            <color indexed="81"/>
            <rFont val="Tahoma"/>
            <family val="2"/>
          </rPr>
          <t xml:space="preserve">Added in FY2014 for GASB 65-  new acct 129703 Other Deferred outflow of resources, per GASB 65 that are not classified in a more specific account. </t>
        </r>
      </text>
    </comment>
    <comment ref="AK16" authorId="0" shapeId="0" xr:uid="{49BB87D5-B914-4882-B2FC-C31E6C445BD6}">
      <text>
        <r>
          <rPr>
            <sz val="8"/>
            <color indexed="81"/>
            <rFont val="Tahoma"/>
            <family val="2"/>
          </rPr>
          <t xml:space="preserve">Added in FY2014 for GASB 65-  new acct 129703 Other Deferred outflow of resources, per GASB 65 that are not classified in a more specific account. </t>
        </r>
      </text>
    </comment>
    <comment ref="AK18" authorId="1" shapeId="0" xr:uid="{DE145C2C-638F-442C-9A2E-4ABBB848D50D}">
      <text>
        <r>
          <rPr>
            <sz val="8"/>
            <color indexed="81"/>
            <rFont val="Tahoma"/>
            <family val="2"/>
          </rPr>
          <t xml:space="preserve">In 2011, Accounts payable began including Other payables, which had been a separate subcaption in prior years.
</t>
        </r>
      </text>
    </comment>
    <comment ref="AH19" authorId="1" shapeId="0" xr:uid="{A10F6018-5EAE-4DF1-AE90-EF8864889B10}">
      <text>
        <r>
          <rPr>
            <sz val="8"/>
            <color indexed="81"/>
            <rFont val="Tahoma"/>
            <family val="2"/>
          </rPr>
          <t xml:space="preserve">In 2011, Accounts payable began including Other payables, which had been a separate subcaption in prior years.
</t>
        </r>
      </text>
    </comment>
    <comment ref="AK20" authorId="1" shapeId="0" xr:uid="{FFB5D68C-00FC-4E0D-A90E-807B6A6DCB26}">
      <text>
        <r>
          <rPr>
            <sz val="8"/>
            <color indexed="81"/>
            <rFont val="Tahoma"/>
            <family val="2"/>
          </rPr>
          <t>The noncurrent accounts payable caption was added to the template in 2011, but it was an existing caption on the DSS CAFR 11P reports.  The noncurrent investment derivative liability would be included in this caption as well as other payables-noncurrent which had a separate subcaption in prior years.</t>
        </r>
      </text>
    </comment>
    <comment ref="AH21" authorId="1" shapeId="0" xr:uid="{06436BDC-5E5D-409C-8929-34B69660D7F2}">
      <text>
        <r>
          <rPr>
            <sz val="8"/>
            <color indexed="81"/>
            <rFont val="Tahoma"/>
            <family val="2"/>
          </rPr>
          <t>The noncurrent accounts payable caption was added to the template in 2011, but it was an existing caption on the DSS CAFR 11P reports.  The noncurrent investment derivative liability would be included in this caption as well as other payables-noncurrent which had a separate subcaption in prior years.</t>
        </r>
      </text>
    </comment>
    <comment ref="AK22" authorId="0" shapeId="0" xr:uid="{D4B3B5D4-862C-4D54-8B4A-1927ADBF4B62}">
      <text>
        <r>
          <rPr>
            <sz val="7"/>
            <color indexed="81"/>
            <rFont val="Tahoma"/>
            <family val="2"/>
          </rPr>
          <t xml:space="preserve">Added FY14 for GASB65,NCAS acct 229205 Other deferred inflow of resources per GASB 65 not classified in a more specific acct. For more info, refer to GASB Resources webpage available from OSC homepage www.osc.nc.gov.
FY15 updated description from "Deferred inflows-other" to "Other deferred inflows" be consistent with CAFR caption.
</t>
        </r>
      </text>
    </comment>
    <comment ref="AH23" authorId="0" shapeId="0" xr:uid="{74FFFB4F-6A64-40DF-9A27-3CB1C911BFD6}">
      <text>
        <r>
          <rPr>
            <sz val="7"/>
            <color indexed="81"/>
            <rFont val="Tahoma"/>
            <family val="2"/>
          </rPr>
          <t xml:space="preserve">Added FY14 for GASB65,NCAS acct 229205 Other deferred inflow of resources per GASB 65 not classified in a more specific acct. For more info, refer to GASB Resources webpage available from OSC homepage www.osc.nc.gov.
FY15 updated description from "Deferred inflows-other" to "Other deferred inflows" be consistent with CAFR caption.
</t>
        </r>
      </text>
    </comment>
    <comment ref="AK33" authorId="2" shapeId="0" xr:uid="{9A2DE285-BBE9-4FEE-9FE0-08BBCE7203DF}">
      <text>
        <t>[Threaded comment]
Your version of Excel allows you to read this threaded comment; however, any edits to it will get removed if the file is opened in a newer version of Excel. Learn more: https://go.microsoft.com/fwlink/?linkid=870924
Comment:
    This is a new account caption on the 905 and in NCAS for FY2021. Amounts in this caption should reflect the proportionate share of the State Health Plan's contribution to the Retiree Health Benefit Fund (RHBF) for employer participants. This caption maps to NCAS Account 436207.</t>
      </text>
    </comment>
    <comment ref="AH34" authorId="3" shapeId="0" xr:uid="{305FC425-AF07-4D37-B4D2-D9C4649666A7}">
      <text>
        <t>[Threaded comment]
Your version of Excel allows you to read this threaded comment; however, any edits to it will get removed if the file is opened in a newer version of Excel. Learn more: https://go.microsoft.com/fwlink/?linkid=870924
Comment:
    This is a new account caption on the 905 and in NCAS for FY2021. Amounts in this caption should reflect the proportionate share of the State Health Plan's contribution to the Retiree Health Benefit Fund (RHBF) for employer participants. This caption maps to NCAS Account 436207.</t>
      </text>
    </comment>
    <comment ref="AH74" authorId="0" shapeId="0" xr:uid="{B3AC5DBE-504F-45B7-B618-EC16A0F801B1}">
      <text>
        <r>
          <rPr>
            <sz val="9"/>
            <color indexed="81"/>
            <rFont val="Tahoma"/>
            <family val="2"/>
          </rPr>
          <t xml:space="preserve">In FY 2014, we renamed the caption from 'Deferred charges' to 'Prepaid items'. GASB 65 only allows the term 'Deferred' to be used for Deferred outflows or inflows as specifically defined by GASB. 
</t>
        </r>
      </text>
    </comment>
    <comment ref="AK74" authorId="0" shapeId="0" xr:uid="{F1B0AB81-2F7E-4AB2-A872-2241C899F858}">
      <text>
        <r>
          <rPr>
            <sz val="9"/>
            <color indexed="81"/>
            <rFont val="Tahoma"/>
            <family val="2"/>
          </rPr>
          <t xml:space="preserve">In FY 2014, we renamed the caption from 'Deferred charges' to 'Prepaid items'. GASB 65 only allows the term 'Deferred' to be used for Deferred outflows or inflows as specifically defined by GASB. 
</t>
        </r>
      </text>
    </comment>
    <comment ref="AH104" authorId="4" shapeId="0" xr:uid="{FC0ECBC6-E7BA-4606-9B47-A7F68E153637}">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value of the intangible asset for subscription-based IT arrangements for network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Helen K. Vozzo</author>
  </authors>
  <commentList>
    <comment ref="H32" authorId="0" shapeId="0" xr:uid="{00000000-0006-0000-3B00-000001000000}">
      <text>
        <r>
          <rPr>
            <sz val="9"/>
            <color indexed="81"/>
            <rFont val="Tahoma"/>
            <family val="2"/>
          </rPr>
          <t xml:space="preserve">Refer to captions on ws 905 for more info
</t>
        </r>
      </text>
    </comment>
    <comment ref="H48" authorId="0" shapeId="0" xr:uid="{00000000-0006-0000-3B00-000002000000}">
      <text>
        <r>
          <rPr>
            <sz val="9"/>
            <color indexed="81"/>
            <rFont val="Tahoma"/>
            <family val="2"/>
          </rPr>
          <t xml:space="preserve">Refer to captions on ws 905 for more info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Helen Vozzo</author>
    <author>Administrator</author>
    <author>tc={6E589C20-8CC6-48E5-9761-4F45E006DB12}</author>
    <author>tc={F9708C46-9873-4941-B230-59E081783605}</author>
    <author>Helen K. Vozzo</author>
    <author>tc={58892122-B2EB-45B2-B33D-B968846C629F}</author>
    <author>Sisson, Virginia P</author>
    <author>tc={E516E17E-FF41-4685-A8CE-FF4788FBCBD0}</author>
    <author>tc={21F9FA95-98E5-4723-8F27-74809263C196}</author>
    <author>tc={8C0E3826-3596-4385-8E32-7756BE9D2DDA}</author>
    <author>Debbie Dryer</author>
    <author>tc={1C370758-3EF3-49EF-932C-01A097846BBD}</author>
    <author>Kidking, Patcha</author>
    <author>tc={A615783C-1191-4045-98F6-5DA93EB3548F}</author>
    <author>tc={E88BAAE7-59B6-49B2-BFA5-5FE8C4DBA888}</author>
    <author>tc={0665821F-2F78-4D93-BB0F-0CF65F131A8B}</author>
    <author>tc={C9B88260-7184-4C17-BD71-E4AA1246D0AC}</author>
  </authors>
  <commentList>
    <comment ref="C7" authorId="0" shapeId="0" xr:uid="{00000000-0006-0000-4A00-000001000000}">
      <text>
        <r>
          <rPr>
            <sz val="8"/>
            <color indexed="81"/>
            <rFont val="Tahoma"/>
            <family val="2"/>
          </rPr>
          <t xml:space="preserve">Complete the Index sheet first. This cell uses the agency number from the Index Sheet to populate the GASB fund number from the NetAssets table.
</t>
        </r>
      </text>
    </comment>
    <comment ref="B17" authorId="0" shapeId="0" xr:uid="{00000000-0006-0000-4A00-000002000000}">
      <text>
        <r>
          <rPr>
            <sz val="8"/>
            <color indexed="81"/>
            <rFont val="Tahoma"/>
            <family val="2"/>
          </rPr>
          <t xml:space="preserve">Added securities lending caption in 2011. This is not applicable for universities but adding in case other agencies need.  This caption is on the NCAS CAFR 11p balance sheet.
</t>
        </r>
      </text>
    </comment>
    <comment ref="B25" authorId="1" shapeId="0" xr:uid="{00000000-0006-0000-4A00-000003000000}">
      <text>
        <r>
          <rPr>
            <sz val="9"/>
            <color indexed="81"/>
            <rFont val="Tahoma"/>
            <family val="2"/>
          </rPr>
          <t>Complete w/s 616 first and total will automatically populate here.</t>
        </r>
      </text>
    </comment>
    <comment ref="B31" authorId="2" shapeId="0" xr:uid="{6E589C20-8CC6-48E5-9761-4F45E006DB12}">
      <text>
        <t>[Threaded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https://www.osc.nc.gov/state-agency-resources/chart-of-accounts?field_site_page_terms_target_id_1=2122&amp;combine=</t>
      </text>
    </comment>
    <comment ref="B45" authorId="0" shapeId="0" xr:uid="{00000000-0006-0000-4A00-000004000000}">
      <text>
        <r>
          <rPr>
            <sz val="8"/>
            <color indexed="81"/>
            <rFont val="Tahoma"/>
            <family val="2"/>
          </rPr>
          <t xml:space="preserve">'Intergovernmental receivables - noncurrent' is not a caption in DSS, but we had it on the offline agency template in 2010 so we are keeping it on the 905 template.
</t>
        </r>
      </text>
    </comment>
    <comment ref="B50" authorId="3" shapeId="0" xr:uid="{F9708C46-9873-4941-B230-59E081783605}">
      <text>
        <t>[Threaded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https://www.osc.nc.gov/state-agency-resources/chart-of-accounts?field_site_page_terms_target_id_1=2119&amp;combine=</t>
      </text>
    </comment>
    <comment ref="B52" authorId="4" shapeId="0" xr:uid="{00000000-0006-0000-4A00-000005000000}">
      <text>
        <r>
          <rPr>
            <sz val="9"/>
            <color indexed="81"/>
            <rFont val="Tahoma"/>
            <family val="2"/>
          </rPr>
          <t xml:space="preserve">In FY 2014, we renamed the caption from 'Deferred charges' to 'Prepaid items'. GASB 65 only allows the term 'Deferred' to be used for Deferred outflows or inflows as specifically defined by GASB. 
</t>
        </r>
      </text>
    </comment>
    <comment ref="B56" authorId="0" shapeId="0" xr:uid="{00000000-0006-0000-4A00-000006000000}">
      <text>
        <r>
          <rPr>
            <sz val="8"/>
            <color indexed="81"/>
            <rFont val="Tahoma"/>
            <family val="2"/>
          </rPr>
          <t xml:space="preserve">Added caption back to template in 2009. Did not have in 2008 but did in prior years.  Rolls w/ Restricted investments for CAFR. Do not have this caption on DSS. Kept on template because SEAA uses this caption.  (Note: Post GASB 61, SEAA is no longer a major CU and no longer completes 905.)  </t>
        </r>
      </text>
    </comment>
    <comment ref="B62" authorId="0" shapeId="0" xr:uid="{00000000-0006-0000-4A00-000007000000}">
      <text>
        <r>
          <rPr>
            <sz val="8"/>
            <color indexed="81"/>
            <rFont val="Tahoma"/>
            <family val="2"/>
          </rPr>
          <t xml:space="preserve">Complete the 201 worksheet first and the totals will populate here.
</t>
        </r>
      </text>
    </comment>
    <comment ref="B68" authorId="4" shapeId="0" xr:uid="{00000000-0006-0000-4A00-000008000000}">
      <text>
        <r>
          <rPr>
            <sz val="9"/>
            <color indexed="81"/>
            <rFont val="Tahoma"/>
            <family val="2"/>
          </rPr>
          <t>Added to template in 2012</t>
        </r>
      </text>
    </comment>
    <comment ref="B70" authorId="0" shapeId="0" xr:uid="{00000000-0006-0000-4A00-000009000000}">
      <text>
        <r>
          <rPr>
            <sz val="8"/>
            <color indexed="81"/>
            <rFont val="Tahoma"/>
            <family val="2"/>
          </rPr>
          <t xml:space="preserve">Complete ws 201 first and totals will populate from 201
</t>
        </r>
      </text>
    </comment>
    <comment ref="B82" authorId="5" shapeId="0" xr:uid="{58892122-B2EB-45B2-B33D-B968846C629F}">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value of the intangible asset for subscription-based IT arrangements for network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
      </text>
    </comment>
    <comment ref="B84" authorId="0" shapeId="0" xr:uid="{00000000-0006-0000-4A00-00000A000000}">
      <text>
        <r>
          <rPr>
            <sz val="8"/>
            <color indexed="81"/>
            <rFont val="Tahoma"/>
            <family val="2"/>
          </rPr>
          <t>Removed amortization in 2012</t>
        </r>
      </text>
    </comment>
    <comment ref="D90" authorId="4" shapeId="0" xr:uid="{00000000-0006-0000-4A00-00000B000000}">
      <text>
        <r>
          <rPr>
            <sz val="9"/>
            <color indexed="81"/>
            <rFont val="Tahoma"/>
            <family val="2"/>
          </rPr>
          <t xml:space="preserve">New F/S element starting FY 2013 w/ implementation of GASB 63
</t>
        </r>
      </text>
    </comment>
    <comment ref="B91" authorId="4" shapeId="0" xr:uid="{00000000-0006-0000-4A00-00000C000000}">
      <text>
        <r>
          <rPr>
            <sz val="8"/>
            <color indexed="81"/>
            <rFont val="Tahoma"/>
            <family val="2"/>
          </rPr>
          <t>Starting FY2013Acct 129701 Accum dec in fair val of hedging deriv (new acct title) goes here. Former acct title is Deferred outflow of resources.</t>
        </r>
        <r>
          <rPr>
            <sz val="9"/>
            <color indexed="81"/>
            <rFont val="Tahoma"/>
            <family val="2"/>
          </rPr>
          <t xml:space="preserve">
</t>
        </r>
      </text>
    </comment>
    <comment ref="B92" authorId="4" shapeId="0" xr:uid="{00000000-0006-0000-4A00-00000D000000}">
      <text>
        <r>
          <rPr>
            <sz val="8"/>
            <color indexed="81"/>
            <rFont val="Tahoma"/>
            <family val="2"/>
          </rPr>
          <t xml:space="preserve">Starting FY2014 for GASB65-New Acct 129702 Deferred loss on refunding bonds goes here. Change from prior yrs-had been part of bonds payable.
</t>
        </r>
        <r>
          <rPr>
            <sz val="9"/>
            <color indexed="81"/>
            <rFont val="Tahoma"/>
            <family val="2"/>
          </rPr>
          <t xml:space="preserve">
</t>
        </r>
      </text>
    </comment>
    <comment ref="B93" authorId="6" shapeId="0" xr:uid="{2A661E8B-9782-4660-AA0E-0252D714E2BF}">
      <text>
        <r>
          <rPr>
            <sz val="9"/>
            <color indexed="81"/>
            <rFont val="Tahoma"/>
            <family val="2"/>
          </rPr>
          <t>New caption for 2019 - GASB 83</t>
        </r>
      </text>
    </comment>
    <comment ref="B94" authorId="4" shapeId="0" xr:uid="{00000000-0006-0000-4A00-00000E000000}">
      <text>
        <r>
          <rPr>
            <sz val="8"/>
            <color indexed="81"/>
            <rFont val="Tahoma"/>
            <family val="2"/>
          </rPr>
          <t xml:space="preserve">Added in FY2015 with the implementation of GASB 68 - for new NCAS Acct 129710 Deferred outflows for pensions. </t>
        </r>
      </text>
    </comment>
    <comment ref="B96" authorId="4" shapeId="0" xr:uid="{00000000-0006-0000-4A00-00000F000000}">
      <text>
        <r>
          <rPr>
            <sz val="8"/>
            <color indexed="81"/>
            <rFont val="Tahoma"/>
            <family val="2"/>
          </rPr>
          <t>Added in FY2015 with the implementation of GASB 69 Government Combinations and Disposals of Government Operations. For new NCAS Acct 129705 Excess consideration provided for acquisition.</t>
        </r>
      </text>
    </comment>
    <comment ref="B97" authorId="4" shapeId="0" xr:uid="{00000000-0006-0000-4A00-000010000000}">
      <text>
        <r>
          <rPr>
            <sz val="8"/>
            <color indexed="81"/>
            <rFont val="Tahoma"/>
            <family val="2"/>
          </rPr>
          <t xml:space="preserve">Added in FY2014 for GASB 65-  new acct 129703 Other Deferred outflow of resources, per GASB 65 that are not classified in a more specific account. </t>
        </r>
      </text>
    </comment>
    <comment ref="D102" authorId="0" shapeId="0" xr:uid="{00000000-0006-0000-4A00-000011000000}">
      <text>
        <r>
          <rPr>
            <sz val="8"/>
            <color indexed="81"/>
            <rFont val="Tahoma"/>
            <family val="2"/>
          </rPr>
          <t xml:space="preserve">Note: in prior years there was a separate subcaption for Other payables,  but for 2011 combined other payables with accounts payable to be consistent with NCAS blalance sheet which rolls the other liabilities account to the accounts payable caption.
</t>
        </r>
      </text>
    </comment>
    <comment ref="B103" authorId="0" shapeId="0" xr:uid="{00000000-0006-0000-4A00-000012000000}">
      <text>
        <r>
          <rPr>
            <sz val="8"/>
            <color indexed="81"/>
            <rFont val="Tahoma"/>
            <family val="2"/>
          </rPr>
          <t xml:space="preserve">In 2011, Accounts payable began including Other payables, which had been a separate subcaption in prior years.
</t>
        </r>
      </text>
    </comment>
    <comment ref="B108" authorId="0" shapeId="0" xr:uid="{00000000-0006-0000-4A00-000013000000}">
      <text>
        <r>
          <rPr>
            <b/>
            <sz val="8"/>
            <color indexed="81"/>
            <rFont val="Tahoma"/>
            <family val="2"/>
          </rPr>
          <t>Short-term debt caption added 5/27/09 for FY 2009. For 2011 adding detail captions  - see below:
Revolving line of credit and loans payable, commercial paper, anticipation notes.  Amts  should tie to w/s 310</t>
        </r>
        <r>
          <rPr>
            <sz val="8"/>
            <color indexed="81"/>
            <rFont val="Tahoma"/>
            <family val="2"/>
          </rPr>
          <t xml:space="preserve">
</t>
        </r>
      </text>
    </comment>
    <comment ref="B109" authorId="0" shapeId="0" xr:uid="{00000000-0006-0000-4A00-000014000000}">
      <text>
        <r>
          <rPr>
            <sz val="8"/>
            <color indexed="81"/>
            <rFont val="Tahoma"/>
            <family val="2"/>
          </rPr>
          <t xml:space="preserve">Caption title on NCAS CAFR 11p does not include loans payable, but title on template broader to include loans.
</t>
        </r>
      </text>
    </comment>
    <comment ref="B115" authorId="1" shapeId="0" xr:uid="{00000000-0006-0000-4A00-000015000000}">
      <text>
        <r>
          <rPr>
            <b/>
            <sz val="9"/>
            <color indexed="81"/>
            <rFont val="Tahoma"/>
            <family val="2"/>
          </rPr>
          <t>Complete w/s 616 first and total will populate here on 905.</t>
        </r>
      </text>
    </comment>
    <comment ref="B119" authorId="0" shapeId="0" xr:uid="{00000000-0006-0000-4A00-000016000000}">
      <text>
        <r>
          <rPr>
            <sz val="8"/>
            <color indexed="81"/>
            <rFont val="Tahoma"/>
            <family val="2"/>
          </rPr>
          <t xml:space="preserve">Added Obligations under securities lending caption for 2011. </t>
        </r>
        <r>
          <rPr>
            <b/>
            <sz val="8"/>
            <color indexed="81"/>
            <rFont val="Tahoma"/>
            <family val="2"/>
          </rPr>
          <t>This is not applicable for universities</t>
        </r>
        <r>
          <rPr>
            <sz val="8"/>
            <color indexed="81"/>
            <rFont val="Tahoma"/>
            <family val="2"/>
          </rPr>
          <t xml:space="preserve"> but adding in case other agencies need, and this caption is on the NCAS CAFR 11p balance sheet.</t>
        </r>
      </text>
    </comment>
    <comment ref="B121" authorId="0" shapeId="0" xr:uid="{00000000-0006-0000-4A00-000017000000}">
      <text>
        <r>
          <rPr>
            <sz val="8"/>
            <color indexed="81"/>
            <rFont val="Tahoma"/>
            <family val="2"/>
          </rPr>
          <t>SEAA uses this for Due to IRS Sec 529 (college savings) plan participants</t>
        </r>
      </text>
    </comment>
    <comment ref="B125" authorId="7" shapeId="0" xr:uid="{E516E17E-FF41-4685-A8CE-FF4788FBCBD0}">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current portion of subscription-based IT arrangements obligations due within the current year or within one year of the reporting date.  This account is not for use by governmental funds. </t>
      </text>
    </comment>
    <comment ref="B131" authorId="0" shapeId="0" xr:uid="{00000000-0006-0000-4A00-000018000000}">
      <text>
        <r>
          <rPr>
            <sz val="8"/>
            <color indexed="81"/>
            <rFont val="Tahoma"/>
            <family val="2"/>
          </rPr>
          <t>Caption added in 2009 - see w/s 322</t>
        </r>
      </text>
    </comment>
    <comment ref="B132" authorId="6" shapeId="0" xr:uid="{AA5FDBE1-56C3-4838-8705-2BDD85B8BCCA}">
      <text>
        <r>
          <rPr>
            <sz val="9"/>
            <color indexed="81"/>
            <rFont val="Tahoma"/>
            <family val="2"/>
          </rPr>
          <t>New caption for 2019 - GASB 83</t>
        </r>
      </text>
    </comment>
    <comment ref="B133" authorId="4" shapeId="0" xr:uid="{00000000-0006-0000-4A00-000019000000}">
      <text>
        <r>
          <rPr>
            <sz val="9"/>
            <color indexed="81"/>
            <rFont val="Tahoma"/>
            <family val="2"/>
          </rPr>
          <t>In FY 2015, we updated this caption from Accrued vacation leave to Compensated absences to match w/s 310 and CAFR terminology</t>
        </r>
        <r>
          <rPr>
            <b/>
            <sz val="9"/>
            <color indexed="81"/>
            <rFont val="Tahoma"/>
            <family val="2"/>
          </rPr>
          <t xml:space="preserve">
 </t>
        </r>
        <r>
          <rPr>
            <sz val="9"/>
            <color indexed="81"/>
            <rFont val="Tahoma"/>
            <family val="2"/>
          </rPr>
          <t xml:space="preserve">
</t>
        </r>
      </text>
    </comment>
    <comment ref="B134" authorId="4" shapeId="0" xr:uid="{00000000-0006-0000-4A00-00001A000000}">
      <text>
        <r>
          <rPr>
            <sz val="8"/>
            <color indexed="81"/>
            <rFont val="Tahoma"/>
            <family val="2"/>
          </rPr>
          <t>Added caption in FY 2015 with the implementation of GASB 68.  Because our pension plans are so well funded, we will not need to report a current  portion.  There is no NCAS account set up for a current portion of the Net pension liability.</t>
        </r>
      </text>
    </comment>
    <comment ref="B137" authorId="0" shapeId="0" xr:uid="{00000000-0006-0000-4A00-00001B000000}">
      <text>
        <r>
          <rPr>
            <sz val="8"/>
            <color indexed="81"/>
            <rFont val="Tahoma"/>
            <family val="2"/>
          </rPr>
          <t>Added to template in 2011.  This is a NOT a caption on the CAFR 11p; however, it is on the 310 worksheet.</t>
        </r>
      </text>
    </comment>
    <comment ref="D141" authorId="0" shapeId="0" xr:uid="{00000000-0006-0000-4A00-00001C000000}">
      <text>
        <r>
          <rPr>
            <sz val="8"/>
            <color indexed="81"/>
            <rFont val="Tahoma"/>
            <family val="2"/>
          </rPr>
          <t xml:space="preserve">Note: in prior years there was a separate subcaption for Other payables,  but for 2011 combined other payables with accounts payable to be consistent with NCAS blalance sheet which rolls the other liabilities-noncurrent account to the accounts payable-noncurrent caption.
</t>
        </r>
      </text>
    </comment>
    <comment ref="B142" authorId="0" shapeId="0" xr:uid="{00000000-0006-0000-4A00-00001D000000}">
      <text>
        <r>
          <rPr>
            <sz val="8"/>
            <color indexed="81"/>
            <rFont val="Tahoma"/>
            <family val="2"/>
          </rPr>
          <t>The noncurrent accounts payable caption was added to the template in 2011, but it was an existing caption on the DSS CAFR 11P reports.  The noncurrent investment derivative liability would be included in this caption as well as other payables-noncurrent which had a separate subcaption in prior years.</t>
        </r>
      </text>
    </comment>
    <comment ref="B145" authorId="0" shapeId="0" xr:uid="{00000000-0006-0000-4A00-00001E000000}">
      <text>
        <r>
          <rPr>
            <sz val="8"/>
            <color indexed="81"/>
            <rFont val="Tahoma"/>
            <family val="2"/>
          </rPr>
          <t>Complete w/s 535 first</t>
        </r>
      </text>
    </comment>
    <comment ref="B148" authorId="0" shapeId="0" xr:uid="{00000000-0006-0000-4A00-00001F000000}">
      <text>
        <r>
          <rPr>
            <sz val="8"/>
            <color indexed="81"/>
            <rFont val="Tahoma"/>
            <family val="2"/>
          </rPr>
          <t>SEAA uses this for Due to IRS Sec 529 (college savings) plan participants</t>
        </r>
      </text>
    </comment>
    <comment ref="B149" authorId="0" shapeId="0" xr:uid="{00000000-0006-0000-4A00-000020000000}">
      <text>
        <r>
          <rPr>
            <sz val="8"/>
            <color indexed="81"/>
            <rFont val="Tahoma"/>
            <family val="2"/>
          </rPr>
          <t>New caption for implementation of GASB 53 Derivatives for 2010</t>
        </r>
      </text>
    </comment>
    <comment ref="B152" authorId="8" shapeId="0" xr:uid="{21F9FA95-98E5-4723-8F27-74809263C196}">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portion of subscription-based IT arrangements obligations that will be payable in more than one year subsequent to the balance sheet date.  This is for use by both governmental and proprietary funds. </t>
      </text>
    </comment>
    <comment ref="B154" authorId="0" shapeId="0" xr:uid="{00000000-0006-0000-4A00-000021000000}">
      <text>
        <r>
          <rPr>
            <sz val="8"/>
            <color indexed="81"/>
            <rFont val="Tahoma"/>
            <family val="2"/>
          </rPr>
          <t xml:space="preserve">Not new, but updating title for 2011 to be consistent with NCAS CAFR 11p caption
</t>
        </r>
      </text>
    </comment>
    <comment ref="B156" authorId="4" shapeId="0" xr:uid="{00000000-0006-0000-4A00-000022000000}">
      <text>
        <r>
          <rPr>
            <b/>
            <sz val="9"/>
            <color indexed="81"/>
            <rFont val="Tahoma"/>
            <family val="2"/>
          </rPr>
          <t>FY 2014</t>
        </r>
        <r>
          <rPr>
            <sz val="9"/>
            <color indexed="81"/>
            <rFont val="Tahoma"/>
            <family val="2"/>
          </rPr>
          <t>added workers comp line on 905-to feed from ws 310</t>
        </r>
      </text>
    </comment>
    <comment ref="B157" authorId="0" shapeId="0" xr:uid="{00000000-0006-0000-4A00-000023000000}">
      <text>
        <r>
          <rPr>
            <sz val="8"/>
            <color indexed="81"/>
            <rFont val="Tahoma"/>
            <family val="2"/>
          </rPr>
          <t>Adding to template for 2011; this is a caption on NCAS CAFR 11p</t>
        </r>
        <r>
          <rPr>
            <sz val="8"/>
            <color indexed="81"/>
            <rFont val="Tahoma"/>
            <family val="2"/>
          </rPr>
          <t xml:space="preserve">
</t>
        </r>
      </text>
    </comment>
    <comment ref="B158" authorId="0" shapeId="0" xr:uid="{00000000-0006-0000-4A00-000024000000}">
      <text>
        <r>
          <rPr>
            <sz val="8"/>
            <color indexed="81"/>
            <rFont val="Tahoma"/>
            <family val="2"/>
          </rPr>
          <t xml:space="preserve">New caption for 2009 - see w/s322
</t>
        </r>
      </text>
    </comment>
    <comment ref="B159" authorId="6" shapeId="0" xr:uid="{DA25F59C-7F39-4E63-853D-B530C0019156}">
      <text>
        <r>
          <rPr>
            <sz val="9"/>
            <color indexed="81"/>
            <rFont val="Tahoma"/>
            <family val="2"/>
          </rPr>
          <t>New Captionfor 2019 - GASB 83</t>
        </r>
      </text>
    </comment>
    <comment ref="B160" authorId="4" shapeId="0" xr:uid="{00000000-0006-0000-4A00-000025000000}">
      <text>
        <r>
          <rPr>
            <sz val="9"/>
            <color indexed="81"/>
            <rFont val="Tahoma"/>
            <family val="2"/>
          </rPr>
          <t>For FY15 updated line description from Accrued vacation leave to Compensated absences to match ws310 and CAFR terminology</t>
        </r>
        <r>
          <rPr>
            <b/>
            <sz val="9"/>
            <color indexed="81"/>
            <rFont val="Tahoma"/>
            <family val="2"/>
          </rPr>
          <t xml:space="preserve">
 </t>
        </r>
        <r>
          <rPr>
            <sz val="9"/>
            <color indexed="81"/>
            <rFont val="Tahoma"/>
            <family val="2"/>
          </rPr>
          <t xml:space="preserve">
</t>
        </r>
      </text>
    </comment>
    <comment ref="B161" authorId="4" shapeId="0" xr:uid="{00000000-0006-0000-4A00-000026000000}">
      <text>
        <r>
          <rPr>
            <sz val="8"/>
            <color indexed="81"/>
            <rFont val="Tahoma"/>
            <family val="2"/>
          </rPr>
          <t>Starting FY15 with implementation of GASB68 for NCAS acct 229150 Net pension liability-noncurrent</t>
        </r>
      </text>
    </comment>
    <comment ref="B163" authorId="0" shapeId="0" xr:uid="{00000000-0006-0000-4A00-000027000000}">
      <text>
        <r>
          <rPr>
            <sz val="8"/>
            <color indexed="81"/>
            <rFont val="Tahoma"/>
            <family val="2"/>
          </rPr>
          <t>Adding to template for 2011; this is a caption on NCAS CAFR 11p</t>
        </r>
      </text>
    </comment>
    <comment ref="B164" authorId="0" shapeId="0" xr:uid="{00000000-0006-0000-4A00-000028000000}">
      <text>
        <r>
          <rPr>
            <sz val="8"/>
            <color indexed="81"/>
            <rFont val="Tahoma"/>
            <family val="2"/>
          </rPr>
          <t>Adding to template for 2011; this is a NOT a caption on NCAS CAFR 11p, however it is on worksheet 310.</t>
        </r>
      </text>
    </comment>
    <comment ref="D169" authorId="4" shapeId="0" xr:uid="{00000000-0006-0000-4A00-000029000000}">
      <text>
        <r>
          <rPr>
            <sz val="9"/>
            <color indexed="81"/>
            <rFont val="Tahoma"/>
            <family val="2"/>
          </rPr>
          <t xml:space="preserve">New F/S element starting FY 2013 w/ implementation of GASB 63
</t>
        </r>
      </text>
    </comment>
    <comment ref="B170" authorId="4" shapeId="0" xr:uid="{00000000-0006-0000-4A00-00002A000000}">
      <text>
        <r>
          <rPr>
            <sz val="7"/>
            <color indexed="81"/>
            <rFont val="Tahoma"/>
            <family val="2"/>
          </rPr>
          <t xml:space="preserve">ForFY13 acct229201 Accum Incr in fair val of hedging deriv (new acct title) goes here. Former acct title is Deferred inflow of resources
</t>
        </r>
      </text>
    </comment>
    <comment ref="B171" authorId="9" shapeId="0" xr:uid="{8C0E3826-3596-4385-8E32-7756BE9D2DDA}">
      <text>
        <t>[Threaded comment]
Your version of Excel allows you to read this threaded comment; however, any edits to it will get removed if the file is opened in a newer version of Excel. Learn more: https://go.microsoft.com/fwlink/?linkid=870924
Comment:
    * For FY13, new NCAS acct 229202 added for implementation of GASB60 Service Concession Arrangements.
* For FY23, new title changed from Service Concession Arrangement (SCA) revenue applicable to future years to Deferred inflows for PPP Arrangements per GASB94.</t>
      </text>
    </comment>
    <comment ref="B172" authorId="4" shapeId="0" xr:uid="{00000000-0006-0000-4A00-00002C000000}">
      <text>
        <r>
          <rPr>
            <sz val="7"/>
            <color indexed="81"/>
            <rFont val="Tahoma"/>
            <family val="2"/>
          </rPr>
          <t xml:space="preserve">Added FY14 for GASB65,NCAS acct 229203 Def gain on refunding bonds. For more info refer to GASB Resources webpage available from OSC homepage www.osc.nc.gov
</t>
        </r>
      </text>
    </comment>
    <comment ref="B173" authorId="4" shapeId="0" xr:uid="{00000000-0006-0000-4A00-00002D000000}">
      <text>
        <r>
          <rPr>
            <sz val="7"/>
            <color indexed="81"/>
            <rFont val="Tahoma"/>
            <family val="2"/>
          </rPr>
          <t>Added FY14 for GASB65;  NCAS acct 229204 Def Inflows-nonexchange transactions.  Refer to GASB Resources webpage available from OSC homepage www.osc.nc.gov</t>
        </r>
      </text>
    </comment>
    <comment ref="B174" authorId="4" shapeId="0" xr:uid="{00000000-0006-0000-4A00-00002E000000}">
      <text>
        <r>
          <rPr>
            <sz val="7"/>
            <color indexed="81"/>
            <rFont val="Tahoma"/>
            <family val="2"/>
          </rPr>
          <t>Added FY15 to the 905 . SEAA had this for FY14 and it met definition for GASB65 so added for FY14 CAFR, but not on FY14 905. Corresponds with  NCAS acct 229206 Deferred state aid.   Refer to acct definition on chart of accts and GASB Resources webpage available from OSC homepage www.osc.nc.gov.</t>
        </r>
      </text>
    </comment>
    <comment ref="B176" authorId="4" shapeId="0" xr:uid="{00000000-0006-0000-4A00-00002F000000}">
      <text>
        <r>
          <rPr>
            <sz val="8"/>
            <color indexed="81"/>
            <rFont val="Tahoma"/>
            <family val="2"/>
          </rPr>
          <t>Starting FY2015 with implementation of GASB 68 - for new NCAS Acct 229210 Deferred inflows for pensions. For more info, see acct definition and the GASB Resources webpage available from the OSC homepage www.osc.nc.gov.</t>
        </r>
      </text>
    </comment>
    <comment ref="B177" authorId="4" shapeId="0" xr:uid="{00000000-0006-0000-4A00-000030000000}">
      <text>
        <r>
          <rPr>
            <sz val="8"/>
            <color indexed="81"/>
            <rFont val="Tahoma"/>
            <family val="2"/>
          </rPr>
          <t>Starting FY2015 with implementation of GASB 68 - for new NCAS Acct 229210 Deferred inflows for pensions. For more info, see acct definition and the GASB Resources webpage available from the OSC homepage www.osc.nc.gov.</t>
        </r>
      </text>
    </comment>
    <comment ref="B179" authorId="4" shapeId="0" xr:uid="{00000000-0006-0000-4A00-000031000000}">
      <text>
        <r>
          <rPr>
            <sz val="7"/>
            <color indexed="81"/>
            <rFont val="Tahoma"/>
            <family val="2"/>
          </rPr>
          <t xml:space="preserve">Added FY14 for GASB65,NCAS acct 229205 Other deferred inflow of resources per GASB 65 not classified in a more specific acct. For more info, refer to GASB Resources webpage available from OSC homepage www.osc.nc.gov.
FY15 updated description from "Deferred inflows-other" to "Other deferred inflows" be consistent with CAFR caption.
</t>
        </r>
      </text>
    </comment>
    <comment ref="B182" authorId="4" shapeId="0" xr:uid="{00000000-0006-0000-4A00-000032000000}">
      <text>
        <r>
          <rPr>
            <sz val="9"/>
            <color indexed="81"/>
            <rFont val="Tahoma"/>
            <family val="2"/>
          </rPr>
          <t xml:space="preserve">For GASB63 effective for FY2013, changed from Net assets to Net position </t>
        </r>
      </text>
    </comment>
    <comment ref="B183" authorId="4" shapeId="0" xr:uid="{00000000-0006-0000-4A00-000033000000}">
      <text>
        <r>
          <rPr>
            <sz val="8"/>
            <color indexed="81"/>
            <rFont val="Tahoma"/>
            <family val="2"/>
          </rPr>
          <t>For GASB63 effective for FY2013 new title for this component of net position. (former title is Invested in capital assets, net of related debt.)</t>
        </r>
        <r>
          <rPr>
            <sz val="9"/>
            <color indexed="81"/>
            <rFont val="Tahoma"/>
            <family val="2"/>
          </rPr>
          <t xml:space="preserve">
</t>
        </r>
      </text>
    </comment>
    <comment ref="E196" authorId="4" shapeId="0" xr:uid="{00000000-0006-0000-4A00-000034000000}">
      <text>
        <r>
          <rPr>
            <sz val="9"/>
            <color indexed="81"/>
            <rFont val="Tahoma"/>
            <family val="2"/>
          </rPr>
          <t xml:space="preserve">New equation based on GASB63 effective FY2013
</t>
        </r>
      </text>
    </comment>
    <comment ref="B202" authorId="0" shapeId="0" xr:uid="{00000000-0006-0000-4A00-000035000000}">
      <text>
        <r>
          <rPr>
            <sz val="8"/>
            <color indexed="81"/>
            <rFont val="Tahoma"/>
            <family val="2"/>
          </rPr>
          <t xml:space="preserve">added net 2011
</t>
        </r>
      </text>
    </comment>
    <comment ref="B203" authorId="0" shapeId="0" xr:uid="{00000000-0006-0000-4A00-000036000000}">
      <text>
        <r>
          <rPr>
            <sz val="8"/>
            <color indexed="81"/>
            <rFont val="Tahoma"/>
            <family val="2"/>
          </rPr>
          <t>Adding to template for 2011; this is a caption on NCAS CAFR 11p</t>
        </r>
      </text>
    </comment>
    <comment ref="B204" authorId="0" shapeId="0" xr:uid="{00000000-0006-0000-4A00-000037000000}">
      <text>
        <r>
          <rPr>
            <sz val="8"/>
            <color indexed="81"/>
            <rFont val="Tahoma"/>
            <family val="2"/>
          </rPr>
          <t>Adding to template for 2011; this is a caption on NCAS CAFR 11p</t>
        </r>
      </text>
    </comment>
    <comment ref="B205" authorId="0" shapeId="0" xr:uid="{00000000-0006-0000-4A00-000038000000}">
      <text>
        <r>
          <rPr>
            <sz val="8"/>
            <color indexed="81"/>
            <rFont val="Tahoma"/>
            <family val="2"/>
          </rPr>
          <t>Adding to template for 2011; this is a caption on NCAS CAFR 11p</t>
        </r>
      </text>
    </comment>
    <comment ref="B216" authorId="4" shapeId="0" xr:uid="{00000000-0006-0000-4A00-000039000000}">
      <text>
        <r>
          <rPr>
            <sz val="9"/>
            <color indexed="81"/>
            <rFont val="Tahoma"/>
            <family val="2"/>
          </rPr>
          <t xml:space="preserve">FY15-Includes new acct for GASB 68 - NCAS acct 531595 Pension expense .
</t>
        </r>
      </text>
    </comment>
    <comment ref="B217" authorId="10" shapeId="0" xr:uid="{00000000-0006-0000-4A00-00003A000000}">
      <text>
        <r>
          <rPr>
            <sz val="9"/>
            <color indexed="81"/>
            <rFont val="Tahoma"/>
            <family val="2"/>
          </rPr>
          <t xml:space="preserve">Beginning FY2013, includes capital outlay/noncap equip
</t>
        </r>
      </text>
    </comment>
    <comment ref="B221" authorId="4" shapeId="0" xr:uid="{00000000-0006-0000-4A00-00003B000000}">
      <text>
        <r>
          <rPr>
            <sz val="8"/>
            <color indexed="81"/>
            <rFont val="Tahoma"/>
            <family val="2"/>
          </rPr>
          <t>FY2012 removed amortization from caption title</t>
        </r>
      </text>
    </comment>
    <comment ref="B223" authorId="0" shapeId="0" xr:uid="{00000000-0006-0000-4A00-00003C000000}">
      <text>
        <r>
          <rPr>
            <sz val="8"/>
            <color indexed="81"/>
            <rFont val="Tahoma"/>
            <family val="2"/>
          </rPr>
          <t xml:space="preserve">Added to template 2011; this is a caption on the NCAS operating statement
</t>
        </r>
      </text>
    </comment>
    <comment ref="B224" authorId="0" shapeId="0" xr:uid="{00000000-0006-0000-4A00-00003D000000}">
      <text>
        <r>
          <rPr>
            <sz val="8"/>
            <color indexed="81"/>
            <rFont val="Tahoma"/>
            <family val="2"/>
          </rPr>
          <t>Prior year template did not show detail. For 2011 added subcaptions making up other expenses on NCAS operating statement.
Beginning FY2013, Other does not include capital outlay-moved to Supplies &amp; materials.</t>
        </r>
      </text>
    </comment>
    <comment ref="B232" authorId="0" shapeId="0" xr:uid="{00000000-0006-0000-4A00-00003E000000}">
      <text>
        <r>
          <rPr>
            <sz val="8"/>
            <color indexed="81"/>
            <rFont val="Tahoma"/>
            <family val="2"/>
          </rPr>
          <t>Caption added to template 2011. State appropriations are funds appropriated by the legislature for general use by a specific agency. For NCAS agencies, this represents the 439100 account balance in the general fund budget code. This caption should not include state aid-program or state capital aid or state capital appropriations in a 4xxxx capital projects budget code.</t>
        </r>
      </text>
    </comment>
    <comment ref="B233" authorId="11" shapeId="0" xr:uid="{1C370758-3EF3-49EF-932C-01A097846BBD}">
      <text>
        <t xml:space="preserve">[Threaded comment]
Your version of Excel allows you to read this threaded comment; however, any edits to it will get removed if the file is opened in a newer version of Excel. Learn more: https://go.microsoft.com/fwlink/?linkid=870924
Comment:
    Additional accounts rolled up to State aid - general in FY2024
42500138 State Aid - Sports Wagering
42500139 State Aid - IT Reserve
42500140 - State Aid - ARPA Temporary Savings (Medicaid Expansion)
</t>
      </text>
    </comment>
    <comment ref="K233" authorId="12" shapeId="0" xr:uid="{5A14C3DB-3E48-45FA-BD91-E1B47B06414E}">
      <text>
        <r>
          <rPr>
            <sz val="9"/>
            <color indexed="81"/>
            <rFont val="Tahoma"/>
            <family val="2"/>
          </rPr>
          <t xml:space="preserve">"State aid-general" is revenue from the primary government to component units of the state for general administration and operation of the agency that cannot be classified elsewhere. For 2011, there is a separate caption for state appropriations that had been included in the definition for state aid-general in prior years. For 2011 the state appropriations caption is separate to correspond with the NCAS operating statement.  State aid-general should not be used for state revenues that are state appropriations or that meet the definitions for state capital aid or state aid-program.  </t>
        </r>
      </text>
    </comment>
    <comment ref="B235" authorId="13" shapeId="0" xr:uid="{A615783C-1191-4045-98F6-5DA93EB3548F}">
      <text>
        <t>[Threaded comment]
Your version of Excel allows you to read this threaded comment; however, any edits to it will get removed if the file is opened in a newer version of Excel. Learn more: https://go.microsoft.com/fwlink/?linkid=870924
Comment:
    This account maps to NCAS Account 432905. This account should only be used for entities receiving coronavirus relief funds or American Rescue Plan State Fiscal Recovery Funds DIRECTLY from OSBM. Coronavirus relief funds or ARP State Fiscal Recovery Funds received from the UNC System Office should be reported in University Transfers Account 438700, and Worksheet 565 should be filled out.
Reply:
    Additional account rolled up to this account in FY2024 --&gt; 42500137 State Aid - SRFR Recovery Reserve</t>
      </text>
    </comment>
    <comment ref="B237" authorId="14" shapeId="0" xr:uid="{E88BAAE7-59B6-49B2-BFA5-5FE8C4DBA888}">
      <text>
        <t>[Threaded comment]
Your version of Excel allows you to read this threaded comment; however, any edits to it will get removed if the file is opened in a newer version of Excel. Learn more: https://go.microsoft.com/fwlink/?linkid=870924
Comment:
    This account will be used to break out federal aid received directly from federal agencies for Coronavirus (COVID-19) relief. This is NOT an account in NCAS; rather, entities should report nonoperating federal grants in the appropriate Noncapital Grant Revenue account during the year, and break out federal aid received due to coronavirus in this account for Annual Report presentation purposes.</t>
      </text>
    </comment>
    <comment ref="B239" authorId="15" shapeId="0" xr:uid="{0665821F-2F78-4D93-BB0F-0CF65F131A8B}">
      <text>
        <t>[Threaded comment]
Your version of Excel allows you to read this threaded comment; however, any edits to it will get removed if the file is opened in a newer version of Excel. Learn more: https://go.microsoft.com/fwlink/?linkid=870924
Comment:
    This is a new account caption on the 905 and in NCAS for FY2021. Amounts in this caption should reflect the proportionate share of the State Health Plan's contribution to the Retiree Health Benefit Fund (RHBF) for employer participants. This caption maps to NCAS Account 436207.
Reply:
    NCFS Account 46207000</t>
      </text>
    </comment>
    <comment ref="B240" authorId="16" shapeId="0" xr:uid="{C9B88260-7184-4C17-BD71-E4AA1246D0AC}">
      <text>
        <t>[Threaded comment]
Your version of Excel allows you to read this threaded comment; however, any edits to it will get removed if the file is opened in a newer version of Excel. Learn more: https://go.microsoft.com/fwlink/?linkid=870924
Comment:
    This includes new account - 535327 SBITA INTEREST PAYMENTS.
Reply:
    NCFS Account 55327000</t>
      </text>
    </comment>
    <comment ref="B247" authorId="0" shapeId="0" xr:uid="{00000000-0006-0000-4A00-00003F000000}">
      <text>
        <r>
          <rPr>
            <sz val="8"/>
            <color indexed="81"/>
            <rFont val="Tahoma"/>
            <family val="2"/>
          </rPr>
          <t>Added to template 2011; this is a caption on the NCAS operating statement</t>
        </r>
      </text>
    </comment>
    <comment ref="B253" authorId="0" shapeId="0" xr:uid="{00000000-0006-0000-4A00-000040000000}">
      <text>
        <r>
          <rPr>
            <sz val="8"/>
            <color indexed="81"/>
            <rFont val="Tahoma"/>
            <family val="2"/>
          </rPr>
          <t xml:space="preserve">State capital aid includes state capital appropriations, state capital contributions and state bond proceeds restricted for the acquisition, renovation or construction of capital assets owned by the agency.  This does not include capital grants from state agencies or other component units which would be classified in the capital grants caption. </t>
        </r>
      </text>
    </comment>
    <comment ref="B254" authorId="0" shapeId="0" xr:uid="{00000000-0006-0000-4A00-000041000000}">
      <text>
        <r>
          <rPr>
            <sz val="8"/>
            <color indexed="81"/>
            <rFont val="Tahoma"/>
            <family val="2"/>
          </rPr>
          <t>Capital grants include federal, state and local capital grants, including the ARRA energy grants from the NC Dept of Commerce.</t>
        </r>
      </text>
    </comment>
    <comment ref="B256" authorId="0" shapeId="0" xr:uid="{00000000-0006-0000-4A00-000042000000}">
      <text>
        <r>
          <rPr>
            <sz val="8"/>
            <color indexed="81"/>
            <rFont val="Tahoma"/>
            <family val="2"/>
          </rPr>
          <t>Added to template 2011; this is a caption on the NCAS operating statement</t>
        </r>
      </text>
    </comment>
    <comment ref="B257" authorId="0" shapeId="0" xr:uid="{00000000-0006-0000-4A00-000043000000}">
      <text>
        <r>
          <rPr>
            <sz val="8"/>
            <color indexed="81"/>
            <rFont val="Tahoma"/>
            <family val="2"/>
          </rPr>
          <t>Added to template 2011; this is a caption on the NCAS operating statement. Complete ws 565 first.</t>
        </r>
      </text>
    </comment>
    <comment ref="F261" authorId="0" shapeId="0" xr:uid="{00000000-0006-0000-4A00-000044000000}">
      <text>
        <r>
          <rPr>
            <sz val="8"/>
            <color indexed="81"/>
            <rFont val="Tahoma"/>
            <family val="2"/>
          </rPr>
          <t xml:space="preserve">Complete the Index sheet first. This cell uses the agency number from the Index Sheet to populate the beginning net position number from the table built from the prior year CAFR ending net position balance .  Any difference  including audit adjustments must be entered on the restatements line.
</t>
        </r>
      </text>
    </comment>
    <comment ref="B262" authorId="4" shapeId="0" xr:uid="{00000000-0006-0000-4A00-000045000000}">
      <text>
        <r>
          <rPr>
            <sz val="9"/>
            <color indexed="81"/>
            <rFont val="Tahoma"/>
            <family val="2"/>
          </rPr>
          <t>Tie to ws 430</t>
        </r>
      </text>
    </comment>
    <comment ref="F262" authorId="12" shapeId="0" xr:uid="{555FAE38-2F9F-4FB1-9468-BA82E827D553}">
      <text>
        <r>
          <rPr>
            <b/>
            <sz val="9"/>
            <color indexed="81"/>
            <rFont val="Tahoma"/>
            <family val="2"/>
          </rPr>
          <t>Formula driven cell: Ensure the main 430BTA captures all restatements if there're more than one 430BTA worksheets.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tc={A9CA9695-6096-4E6D-A7A2-339DEFA6F5CB}</author>
    <author>tc={06C0B543-785C-4B0B-9AD4-25FCAA4A625C}</author>
    <author>tc={7CD77CBF-3456-4F8C-AEAC-1D331E9CB489}</author>
    <author>tc={7C6CE1D7-3D60-4313-897C-9BE7C8BC3C3F}</author>
    <author>tc={7CCF5441-E48F-42C6-9E5F-483B364C3226}</author>
    <author>tc={D3062706-1B5C-4404-BCFB-3C26B137486A}</author>
  </authors>
  <commentList>
    <comment ref="B1" authorId="0" shapeId="0" xr:uid="{A9CA9695-6096-4E6D-A7A2-339DEFA6F5CB}">
      <text>
        <t>[Threaded comment]
Your version of Excel allows you to read this threaded comment; however, any edits to it will get removed if the file is opened in a newer version of Excel. Learn more: https://go.microsoft.com/fwlink/?linkid=870924
Comment:
    Some accounts may not be available in the COA Mapping Search. Please contact OSC for further assistance.</t>
      </text>
    </comment>
    <comment ref="A163" authorId="1" shapeId="0" xr:uid="{06C0B543-785C-4B0B-9AD4-25FCAA4A625C}">
      <text>
        <t>[Threaded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https://www.osc.nc.gov/state-agency-resources/chart-of-accounts?field_site_page_terms_target_id_1=2122&amp;combine=</t>
      </text>
    </comment>
    <comment ref="A283" authorId="2" shapeId="0" xr:uid="{7CD77CBF-3456-4F8C-AEAC-1D331E9CB489}">
      <text>
        <t>[Threaded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https://www.osc.nc.gov/state-agency-resources/chart-of-accounts?field_site_page_terms_target_id_1=2122&amp;combine=</t>
      </text>
    </comment>
    <comment ref="E693" authorId="3" shapeId="0" xr:uid="{7C6CE1D7-3D60-4313-897C-9BE7C8BC3C3F}">
      <text>
        <t xml:space="preserve">[Threaded comment]
Your version of Excel allows you to read this threaded comment; however, any edits to it will get removed if the file is opened in a newer version of Excel. Learn more: https://go.microsoft.com/fwlink/?linkid=870924
Comment:
    Added in FY2023.
No balance in the past. </t>
      </text>
    </comment>
    <comment ref="A716" authorId="4" shapeId="0" xr:uid="{7CCF5441-E48F-42C6-9E5F-483B364C3226}">
      <text>
        <t>[Threaded comment]
Your version of Excel allows you to read this threaded comment; however, any edits to it will get removed if the file is opened in a newer version of Excel. Learn more: https://go.microsoft.com/fwlink/?linkid=870924
Comment:
    Title change from "SCA REV APPLIC FUTURE YRS" tp "Deferred Inflows for PPP Arrangements".</t>
      </text>
    </comment>
    <comment ref="A1478" authorId="5" shapeId="0" xr:uid="{D3062706-1B5C-4404-BCFB-3C26B137486A}">
      <text>
        <t xml:space="preserve">[Threaded comment]
Your version of Excel allows you to read this threaded comment; however, any edits to it will get removed if the file is opened in a newer version of Excel. Learn more: https://go.microsoft.com/fwlink/?linkid=870924
Comment:
    Account is to be used by component units to record state aid from the Retiree Supplement Reserve received from the Office of the State Controller.  This account is NOT valid for primary government agencies. This is in accordance with Session Law 2022-74, Section 2.2(a), 2.2(n). </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Helen Vozzo</author>
    <author>tc={E05F9015-BBA7-4F41-B3C6-BFC0CCC75953}</author>
    <author>tc={3C06B7EF-E58B-4228-9127-17537D60B5D2}</author>
    <author>Helen K. Vozzo</author>
    <author>tc={FECDB75A-DE6D-4152-89F7-E5E48BD40ED0}</author>
    <author>Administrator</author>
    <author>tc={1AD230D2-1978-4F76-8203-C86148E0DE78}</author>
    <author>tc={47ECF78E-7D66-434D-917F-F9752AA0C418}</author>
    <author>tc={76EA8710-07A3-480D-B4C3-12002537D5C0}</author>
    <author>Debbie Dryer</author>
    <author>tc={C6A1113C-250D-47B3-99D7-B26BEEFA7415}</author>
    <author>tc={D1D71853-CCDA-46D0-B986-8C2B920B4B84}</author>
    <author>tc={C46C3533-8015-459F-8AF8-C93EA45BF696}</author>
    <author>tc={0CEA98A3-49A5-493C-A194-BF74532B95A1}</author>
  </authors>
  <commentList>
    <comment ref="C5" authorId="0" shapeId="0" xr:uid="{00000000-0006-0000-4C00-000001000000}">
      <text>
        <r>
          <rPr>
            <sz val="8"/>
            <color indexed="81"/>
            <rFont val="Tahoma"/>
            <family val="2"/>
          </rPr>
          <t>Complete the Index sheet first.</t>
        </r>
      </text>
    </comment>
    <comment ref="C7" authorId="0" shapeId="0" xr:uid="{00000000-0006-0000-4C00-000002000000}">
      <text>
        <r>
          <rPr>
            <sz val="8"/>
            <color indexed="81"/>
            <rFont val="Tahoma"/>
            <family val="2"/>
          </rPr>
          <t xml:space="preserve">Complete the Index sheet first. This cell uses the agency number from the Index Sheet to populate the GASB fund number from the NetAssets table.
</t>
        </r>
      </text>
    </comment>
    <comment ref="B18" authorId="0" shapeId="0" xr:uid="{00000000-0006-0000-4C00-000003000000}">
      <text>
        <r>
          <rPr>
            <sz val="8"/>
            <color indexed="81"/>
            <rFont val="Tahoma"/>
            <family val="2"/>
          </rPr>
          <t xml:space="preserve">Added securities lending caption in 2011. This is not applicable for universities but added in case other agencies need.  This caption is on the NCAS CAFR 11p balance sheet.
</t>
        </r>
      </text>
    </comment>
    <comment ref="F25" authorId="0" shapeId="0" xr:uid="{00000000-0006-0000-4C00-000004000000}">
      <text>
        <r>
          <rPr>
            <sz val="8"/>
            <color indexed="81"/>
            <rFont val="Tahoma"/>
            <family val="2"/>
          </rPr>
          <t xml:space="preserve">Complete ws525 first
</t>
        </r>
      </text>
    </comment>
    <comment ref="F26" authorId="0" shapeId="0" xr:uid="{00000000-0006-0000-4C00-000005000000}">
      <text>
        <r>
          <rPr>
            <sz val="8"/>
            <color indexed="81"/>
            <rFont val="Tahoma"/>
            <family val="2"/>
          </rPr>
          <t>Complete worksheet 616 and the total will automatically populate here.</t>
        </r>
      </text>
    </comment>
    <comment ref="F27" authorId="0" shapeId="0" xr:uid="{00000000-0006-0000-4C00-000006000000}">
      <text>
        <r>
          <rPr>
            <sz val="8"/>
            <color indexed="81"/>
            <rFont val="Tahoma"/>
            <family val="2"/>
          </rPr>
          <t>Complete ws 515 first</t>
        </r>
      </text>
    </comment>
    <comment ref="B32" authorId="1" shapeId="0" xr:uid="{E05F9015-BBA7-4F41-B3C6-BFC0CCC75953}">
      <text>
        <t>[Threaded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t>
      </text>
    </comment>
    <comment ref="B46" authorId="0" shapeId="0" xr:uid="{00000000-0006-0000-4C00-000007000000}">
      <text>
        <r>
          <rPr>
            <sz val="8"/>
            <color indexed="81"/>
            <rFont val="Tahoma"/>
            <family val="2"/>
          </rPr>
          <t xml:space="preserve">'Intergovernmental receivables - noncurrent' is not a caption in DSS, but we had it on the offline agency template in 2010 so we are keeping it on the 905 template.
</t>
        </r>
      </text>
    </comment>
    <comment ref="B51" authorId="2" shapeId="0" xr:uid="{3C06B7EF-E58B-4228-9127-17537D60B5D2}">
      <text>
        <t xml:space="preserve">[Threaded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t>
      </text>
    </comment>
    <comment ref="B53" authorId="3" shapeId="0" xr:uid="{00000000-0006-0000-4C00-000008000000}">
      <text>
        <r>
          <rPr>
            <sz val="9"/>
            <color indexed="81"/>
            <rFont val="Tahoma"/>
            <family val="2"/>
          </rPr>
          <t xml:space="preserve">In FY 2014, we renamed the caption from 'Deferred charges' to 'Prepaid items'. GASB 65 only allows the term 'Deferred' to be used for Deferred outflows or inflows as specifically defined by GASB.  
</t>
        </r>
      </text>
    </comment>
    <comment ref="B57" authorId="0" shapeId="0" xr:uid="{00000000-0006-0000-4C00-000009000000}">
      <text>
        <r>
          <rPr>
            <sz val="8"/>
            <color indexed="81"/>
            <rFont val="Tahoma"/>
            <family val="2"/>
          </rPr>
          <t xml:space="preserve">Added caption back to template in 2009. Did not have in 2008 but did in prior years.  Rolls w/ Restricted investments for CAFR. Do not have this caption on DSS. Kept on template because SEAA uses this caption.  (Note: Post GASB 61, SEAA is no longer a major CU and no longer completes 905.)  </t>
        </r>
      </text>
    </comment>
    <comment ref="F58" authorId="0" shapeId="0" xr:uid="{00000000-0006-0000-4C00-00000A000000}">
      <text>
        <r>
          <rPr>
            <sz val="8"/>
            <color indexed="81"/>
            <rFont val="Tahoma"/>
            <family val="2"/>
          </rPr>
          <t>Complete ws 525 first</t>
        </r>
      </text>
    </comment>
    <comment ref="F59" authorId="0" shapeId="0" xr:uid="{00000000-0006-0000-4C00-00000B000000}">
      <text>
        <r>
          <rPr>
            <sz val="8"/>
            <color indexed="81"/>
            <rFont val="Tahoma"/>
            <family val="2"/>
          </rPr>
          <t>Complete ws 515 first</t>
        </r>
      </text>
    </comment>
    <comment ref="B63" authorId="0" shapeId="0" xr:uid="{00000000-0006-0000-4C00-00000C000000}">
      <text>
        <r>
          <rPr>
            <sz val="8"/>
            <color indexed="81"/>
            <rFont val="Tahoma"/>
            <family val="2"/>
          </rPr>
          <t xml:space="preserve">Complete the 201 worksheet first and the totals will populate here.
</t>
        </r>
      </text>
    </comment>
    <comment ref="B71" authorId="0" shapeId="0" xr:uid="{00000000-0006-0000-4C00-00000D000000}">
      <text>
        <r>
          <rPr>
            <sz val="8"/>
            <color indexed="81"/>
            <rFont val="Tahoma"/>
            <family val="2"/>
          </rPr>
          <t xml:space="preserve">Complete worksheet 201 first and totals will populate here.
</t>
        </r>
      </text>
    </comment>
    <comment ref="B83" authorId="4" shapeId="0" xr:uid="{FECDB75A-DE6D-4152-89F7-E5E48BD40ED0}">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value of the intangible asset for subscription-based IT arrangements for network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
      </text>
    </comment>
    <comment ref="F85" authorId="0" shapeId="0" xr:uid="{00000000-0006-0000-4C00-00000E000000}">
      <text>
        <r>
          <rPr>
            <sz val="8"/>
            <color indexed="81"/>
            <rFont val="Tahoma"/>
            <family val="2"/>
          </rPr>
          <t xml:space="preserve">Complete ws 210 first
</t>
        </r>
      </text>
    </comment>
    <comment ref="D91" authorId="3" shapeId="0" xr:uid="{00000000-0006-0000-4C00-00000F000000}">
      <text>
        <r>
          <rPr>
            <sz val="9"/>
            <color indexed="81"/>
            <rFont val="Tahoma"/>
            <family val="2"/>
          </rPr>
          <t xml:space="preserve">New F/S element starting FY 2013 w/ implementation of GASB 63
</t>
        </r>
      </text>
    </comment>
    <comment ref="B92" authorId="3" shapeId="0" xr:uid="{00000000-0006-0000-4C00-000010000000}">
      <text>
        <r>
          <rPr>
            <sz val="8"/>
            <color indexed="81"/>
            <rFont val="Tahoma"/>
            <family val="2"/>
          </rPr>
          <t>Starting FY2013Acct 129701 Accum dec in fair val of hedging deriv (new acct title) goes here. Former acct title is Deferred outflow of resources.</t>
        </r>
        <r>
          <rPr>
            <sz val="9"/>
            <color indexed="81"/>
            <rFont val="Tahoma"/>
            <family val="2"/>
          </rPr>
          <t xml:space="preserve">
</t>
        </r>
      </text>
    </comment>
    <comment ref="B93" authorId="3" shapeId="0" xr:uid="{00000000-0006-0000-4C00-000011000000}">
      <text>
        <r>
          <rPr>
            <sz val="8"/>
            <color indexed="81"/>
            <rFont val="Tahoma"/>
            <family val="2"/>
          </rPr>
          <t xml:space="preserve">Starting FY2014 for GASB65-New Acct 129702 Deferred loss on refunding bonds goes here. Change from prior yrs-had been part of bonds payable.
</t>
        </r>
        <r>
          <rPr>
            <sz val="9"/>
            <color indexed="81"/>
            <rFont val="Tahoma"/>
            <family val="2"/>
          </rPr>
          <t xml:space="preserve">
</t>
        </r>
      </text>
    </comment>
    <comment ref="B94" authorId="3" shapeId="0" xr:uid="{C5B99692-3024-4023-A70C-4119EFF816D9}">
      <text>
        <r>
          <rPr>
            <sz val="8"/>
            <color indexed="81"/>
            <rFont val="Tahoma"/>
            <family val="2"/>
          </rPr>
          <t xml:space="preserve">Starting FY2014 for GASB65-New Acct 129702 Deferred loss on refunding bonds goes here. Change from prior yrs-had been part of bonds payable.
</t>
        </r>
        <r>
          <rPr>
            <sz val="9"/>
            <color indexed="81"/>
            <rFont val="Tahoma"/>
            <family val="2"/>
          </rPr>
          <t xml:space="preserve">
</t>
        </r>
      </text>
    </comment>
    <comment ref="B95" authorId="3" shapeId="0" xr:uid="{00000000-0006-0000-4C00-000012000000}">
      <text>
        <r>
          <rPr>
            <sz val="8"/>
            <color indexed="81"/>
            <rFont val="Tahoma"/>
            <family val="2"/>
          </rPr>
          <t>Added in FY2015 with the implementation of GASB 68 - for new NCAS Acct 129710 Deferred outflows for pensions.</t>
        </r>
      </text>
    </comment>
    <comment ref="B97" authorId="3" shapeId="0" xr:uid="{00000000-0006-0000-4C00-000013000000}">
      <text>
        <r>
          <rPr>
            <sz val="8"/>
            <color indexed="81"/>
            <rFont val="Tahoma"/>
            <family val="2"/>
          </rPr>
          <t>Added in FY2015 with the implementation of GASB 69 Government Combinations and Disposals of Government Operations. For new NCAS Acct 129705 Excess consideration provided for acquisition.</t>
        </r>
      </text>
    </comment>
    <comment ref="B98" authorId="3" shapeId="0" xr:uid="{00000000-0006-0000-4C00-000014000000}">
      <text>
        <r>
          <rPr>
            <sz val="8"/>
            <color indexed="81"/>
            <rFont val="Tahoma"/>
            <family val="2"/>
          </rPr>
          <t xml:space="preserve">Added in FY 2014 for the implementation of GASB 65-  new acct 129703 Other Deferred outflow of resources, per GASB 65 that are not classified in a more specific account. In FY15, updated caption from "Deferred outflows-other" to "Other deferred outflows" to be consistent w/ CAFR. </t>
        </r>
      </text>
    </comment>
    <comment ref="D103" authorId="0" shapeId="0" xr:uid="{00000000-0006-0000-4C00-000015000000}">
      <text>
        <r>
          <rPr>
            <sz val="8"/>
            <color indexed="81"/>
            <rFont val="Tahoma"/>
            <family val="2"/>
          </rPr>
          <t xml:space="preserve">Note: in prior years there was a separate subcaption for Other payables,  but for 2011 combined other payables with accounts payable to be consistent with NCAS blalance sheet which rolls the other liabilities account to the accounts payable caption.
</t>
        </r>
      </text>
    </comment>
    <comment ref="B104" authorId="0" shapeId="0" xr:uid="{00000000-0006-0000-4C00-000016000000}">
      <text>
        <r>
          <rPr>
            <sz val="8"/>
            <color indexed="81"/>
            <rFont val="Tahoma"/>
            <family val="2"/>
          </rPr>
          <t xml:space="preserve">For 2011 Accounts payable includes Other payables which had been a separate subcaption in prior years.
</t>
        </r>
      </text>
    </comment>
    <comment ref="B109" authorId="0" shapeId="0" xr:uid="{00000000-0006-0000-4C00-000017000000}">
      <text>
        <r>
          <rPr>
            <b/>
            <sz val="8"/>
            <color indexed="81"/>
            <rFont val="Tahoma"/>
            <family val="2"/>
          </rPr>
          <t>Short-term debt caption added 5/27/09 for FY 2009. For 2011 adding detail captions  - see below:
Revolving line of credit and loans payable, commercial paper, anticipation notes.  Amts  should tie to w/s 310</t>
        </r>
        <r>
          <rPr>
            <sz val="8"/>
            <color indexed="81"/>
            <rFont val="Tahoma"/>
            <family val="2"/>
          </rPr>
          <t xml:space="preserve">
</t>
        </r>
      </text>
    </comment>
    <comment ref="B110" authorId="0" shapeId="0" xr:uid="{00000000-0006-0000-4C00-000018000000}">
      <text>
        <r>
          <rPr>
            <sz val="8"/>
            <color indexed="81"/>
            <rFont val="Tahoma"/>
            <family val="2"/>
          </rPr>
          <t xml:space="preserve">Caption title on NCAS CAFR 11p does not include loans payable, but title on template broader to include loans.
</t>
        </r>
      </text>
    </comment>
    <comment ref="F110" authorId="0" shapeId="0" xr:uid="{00000000-0006-0000-4C00-000019000000}">
      <text>
        <r>
          <rPr>
            <sz val="8"/>
            <color indexed="81"/>
            <rFont val="Tahoma"/>
            <family val="2"/>
          </rPr>
          <t>Complete ws 310 Short term debt section first</t>
        </r>
      </text>
    </comment>
    <comment ref="F111" authorId="0" shapeId="0" xr:uid="{00000000-0006-0000-4C00-00001A000000}">
      <text>
        <r>
          <rPr>
            <sz val="8"/>
            <color indexed="81"/>
            <rFont val="Tahoma"/>
            <family val="2"/>
          </rPr>
          <t>Complete ws 310 Short term debt section first</t>
        </r>
      </text>
    </comment>
    <comment ref="F112" authorId="0" shapeId="0" xr:uid="{F86AE7BB-6987-465A-95B8-F7ABB449A360}">
      <text>
        <r>
          <rPr>
            <sz val="8"/>
            <color indexed="81"/>
            <rFont val="Tahoma"/>
            <family val="2"/>
          </rPr>
          <t>Complete ws 310 Short term debt section first</t>
        </r>
      </text>
    </comment>
    <comment ref="F113" authorId="0" shapeId="0" xr:uid="{51E186D8-1727-4300-9BC5-6A917E51DD89}">
      <text>
        <r>
          <rPr>
            <sz val="8"/>
            <color indexed="81"/>
            <rFont val="Tahoma"/>
            <family val="2"/>
          </rPr>
          <t>Complete ws 310 Short term debt section first</t>
        </r>
      </text>
    </comment>
    <comment ref="F114" authorId="0" shapeId="0" xr:uid="{00000000-0006-0000-4C00-00001B000000}">
      <text>
        <r>
          <rPr>
            <sz val="8"/>
            <color indexed="81"/>
            <rFont val="Tahoma"/>
            <family val="2"/>
          </rPr>
          <t>Complete ws 310 Short term debt section first</t>
        </r>
      </text>
    </comment>
    <comment ref="F115" authorId="0" shapeId="0" xr:uid="{00000000-0006-0000-4C00-00001C000000}">
      <text>
        <r>
          <rPr>
            <sz val="8"/>
            <color indexed="81"/>
            <rFont val="Tahoma"/>
            <family val="2"/>
          </rPr>
          <t>Complete ws 530 first</t>
        </r>
      </text>
    </comment>
    <comment ref="F116" authorId="5" shapeId="0" xr:uid="{00000000-0006-0000-4C00-00001D000000}">
      <text>
        <r>
          <rPr>
            <sz val="9"/>
            <color indexed="81"/>
            <rFont val="Tahoma"/>
            <family val="2"/>
          </rPr>
          <t>Complete worksheet 616 first and the total will automatically populate here.</t>
        </r>
      </text>
    </comment>
    <comment ref="F117" authorId="0" shapeId="0" xr:uid="{00000000-0006-0000-4C00-00001E000000}">
      <text>
        <r>
          <rPr>
            <sz val="8"/>
            <color indexed="81"/>
            <rFont val="Tahoma"/>
            <family val="2"/>
          </rPr>
          <t xml:space="preserve">Complete ws 520 first
</t>
        </r>
      </text>
    </comment>
    <comment ref="B120" authorId="0" shapeId="0" xr:uid="{00000000-0006-0000-4C00-00001F000000}">
      <text>
        <r>
          <rPr>
            <sz val="8"/>
            <color indexed="81"/>
            <rFont val="Tahoma"/>
            <family val="2"/>
          </rPr>
          <t>Added Obligations under securities lending caption for 2011. This is not applicable for universities but adding in case other agencies need, and this caption is on the NCAS CAFR 11p balance sheet.</t>
        </r>
      </text>
    </comment>
    <comment ref="B122" authorId="0" shapeId="0" xr:uid="{00000000-0006-0000-4C00-000020000000}">
      <text>
        <r>
          <rPr>
            <sz val="8"/>
            <color indexed="81"/>
            <rFont val="Tahoma"/>
            <family val="2"/>
          </rPr>
          <t>SEAA uses this for Due to IRS Sec 529 (college savings) plan participants</t>
        </r>
      </text>
    </comment>
    <comment ref="B123" authorId="0" shapeId="0" xr:uid="{00000000-0006-0000-4C00-000021000000}">
      <text>
        <r>
          <rPr>
            <sz val="8"/>
            <color indexed="81"/>
            <rFont val="Tahoma"/>
            <family val="2"/>
          </rPr>
          <t>New caption for implementation of GASB 53 Derivatives for 2010</t>
        </r>
      </text>
    </comment>
    <comment ref="F124" authorId="0" shapeId="0" xr:uid="{57F0012E-8353-475C-BB4C-7464E8F7C418}">
      <text>
        <r>
          <rPr>
            <sz val="8"/>
            <color indexed="81"/>
            <rFont val="Tahoma"/>
            <family val="2"/>
          </rPr>
          <t xml:space="preserve">Complete ws 310 first
</t>
        </r>
      </text>
    </comment>
    <comment ref="F125" authorId="0" shapeId="0" xr:uid="{00000000-0006-0000-4C00-000023000000}">
      <text>
        <r>
          <rPr>
            <sz val="8"/>
            <color indexed="81"/>
            <rFont val="Tahoma"/>
            <family val="2"/>
          </rPr>
          <t xml:space="preserve">Complete ws 310 first
</t>
        </r>
      </text>
    </comment>
    <comment ref="B126" authorId="6" shapeId="0" xr:uid="{1AD230D2-1978-4F76-8203-C86148E0DE78}">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current portion of subscription-based IT arrangements obligations due within the current year or within one year of the reporting date.  This account is not for use by governmental funds. 
</t>
      </text>
    </comment>
    <comment ref="B128" authorId="0" shapeId="0" xr:uid="{00000000-0006-0000-4C00-000024000000}">
      <text>
        <r>
          <rPr>
            <sz val="8"/>
            <color indexed="81"/>
            <rFont val="Tahoma"/>
            <family val="2"/>
          </rPr>
          <t xml:space="preserve">Not new, but updating title for 2011 to be consistent with NCAS CAFR 11p caption. From ws 310
</t>
        </r>
      </text>
    </comment>
    <comment ref="F128" authorId="0" shapeId="0" xr:uid="{00000000-0006-0000-4C00-000025000000}">
      <text>
        <r>
          <rPr>
            <sz val="8"/>
            <color indexed="81"/>
            <rFont val="Tahoma"/>
            <family val="2"/>
          </rPr>
          <t xml:space="preserve">Complete ws 310 first
</t>
        </r>
      </text>
    </comment>
    <comment ref="F129" authorId="0" shapeId="0" xr:uid="{00000000-0006-0000-4C00-000026000000}">
      <text>
        <r>
          <rPr>
            <sz val="8"/>
            <color indexed="81"/>
            <rFont val="Tahoma"/>
            <family val="2"/>
          </rPr>
          <t xml:space="preserve">Complete ws 310 first
</t>
        </r>
      </text>
    </comment>
    <comment ref="B130" authorId="3" shapeId="0" xr:uid="{00000000-0006-0000-4C00-000027000000}">
      <text>
        <r>
          <rPr>
            <b/>
            <sz val="9"/>
            <color indexed="81"/>
            <rFont val="Tahoma"/>
            <family val="2"/>
          </rPr>
          <t>FY 2014-</t>
        </r>
        <r>
          <rPr>
            <sz val="9"/>
            <color indexed="81"/>
            <rFont val="Tahoma"/>
            <family val="2"/>
          </rPr>
          <t>added workers comp line on 905-to feed from ws 310</t>
        </r>
      </text>
    </comment>
    <comment ref="F130" authorId="0" shapeId="0" xr:uid="{00000000-0006-0000-4C00-000028000000}">
      <text>
        <r>
          <rPr>
            <sz val="8"/>
            <color indexed="81"/>
            <rFont val="Tahoma"/>
            <family val="2"/>
          </rPr>
          <t xml:space="preserve">Complete ws 310 first
</t>
        </r>
      </text>
    </comment>
    <comment ref="B131" authorId="0" shapeId="0" xr:uid="{00000000-0006-0000-4C00-000029000000}">
      <text>
        <r>
          <rPr>
            <sz val="8"/>
            <color indexed="81"/>
            <rFont val="Tahoma"/>
            <family val="2"/>
          </rPr>
          <t>Adding to template for 2011; this is a caption on NCAS CAFR 11p</t>
        </r>
        <r>
          <rPr>
            <sz val="8"/>
            <color indexed="81"/>
            <rFont val="Tahoma"/>
            <family val="2"/>
          </rPr>
          <t xml:space="preserve">
</t>
        </r>
      </text>
    </comment>
    <comment ref="F131" authorId="0" shapeId="0" xr:uid="{00000000-0006-0000-4C00-00002A000000}">
      <text>
        <r>
          <rPr>
            <sz val="8"/>
            <color indexed="81"/>
            <rFont val="Tahoma"/>
            <family val="2"/>
          </rPr>
          <t xml:space="preserve">Complete ws 310 first
</t>
        </r>
      </text>
    </comment>
    <comment ref="B132" authorId="0" shapeId="0" xr:uid="{00000000-0006-0000-4C00-00002B000000}">
      <text>
        <r>
          <rPr>
            <sz val="8"/>
            <color indexed="81"/>
            <rFont val="Tahoma"/>
            <family val="2"/>
          </rPr>
          <t>New caption for 2009 - see w/s 322</t>
        </r>
      </text>
    </comment>
    <comment ref="F132" authorId="0" shapeId="0" xr:uid="{00000000-0006-0000-4C00-00002C000000}">
      <text>
        <r>
          <rPr>
            <sz val="8"/>
            <color indexed="81"/>
            <rFont val="Tahoma"/>
            <family val="2"/>
          </rPr>
          <t xml:space="preserve">Complete ws 310 first
</t>
        </r>
      </text>
    </comment>
    <comment ref="B133" authorId="0" shapeId="0" xr:uid="{D59201A0-4D9B-4F6F-942C-8BE686C03943}">
      <text>
        <r>
          <rPr>
            <sz val="8"/>
            <color indexed="81"/>
            <rFont val="Tahoma"/>
            <family val="2"/>
          </rPr>
          <t>New caption for 2009 - see w/s 322</t>
        </r>
      </text>
    </comment>
    <comment ref="F133" authorId="0" shapeId="0" xr:uid="{6C99DE0E-115D-4DE3-8795-0725B95118A6}">
      <text>
        <r>
          <rPr>
            <sz val="8"/>
            <color indexed="81"/>
            <rFont val="Tahoma"/>
            <family val="2"/>
          </rPr>
          <t xml:space="preserve">Complete ws 310 first
</t>
        </r>
      </text>
    </comment>
    <comment ref="B134" authorId="3" shapeId="0" xr:uid="{00000000-0006-0000-4C00-00002D000000}">
      <text>
        <r>
          <rPr>
            <sz val="9"/>
            <color indexed="81"/>
            <rFont val="Tahoma"/>
            <family val="2"/>
          </rPr>
          <t>For FY15 updated line description from Accrued vacation leave to Compensated absences to match ws310 and CAFR terminology</t>
        </r>
        <r>
          <rPr>
            <b/>
            <sz val="9"/>
            <color indexed="81"/>
            <rFont val="Tahoma"/>
            <family val="2"/>
          </rPr>
          <t xml:space="preserve">
 </t>
        </r>
        <r>
          <rPr>
            <sz val="9"/>
            <color indexed="81"/>
            <rFont val="Tahoma"/>
            <family val="2"/>
          </rPr>
          <t xml:space="preserve">
</t>
        </r>
      </text>
    </comment>
    <comment ref="F134" authorId="0" shapeId="0" xr:uid="{00000000-0006-0000-4C00-00002E000000}">
      <text>
        <r>
          <rPr>
            <sz val="8"/>
            <color indexed="81"/>
            <rFont val="Tahoma"/>
            <family val="2"/>
          </rPr>
          <t xml:space="preserve">Complete ws 310 first
</t>
        </r>
      </text>
    </comment>
    <comment ref="B135" authorId="3" shapeId="0" xr:uid="{00000000-0006-0000-4C00-00002F000000}">
      <text>
        <r>
          <rPr>
            <sz val="8"/>
            <color indexed="81"/>
            <rFont val="Tahoma"/>
            <family val="2"/>
          </rPr>
          <t xml:space="preserve">Starting FY15 with implementation of GASB68.  Since our plans are so well funded, we will not need to report a current  portion.  There is no NCAS account set up for the Net pension liability-current.  </t>
        </r>
      </text>
    </comment>
    <comment ref="F135" authorId="0" shapeId="0" xr:uid="{00000000-0006-0000-4C00-000030000000}">
      <text>
        <r>
          <rPr>
            <sz val="8"/>
            <color indexed="81"/>
            <rFont val="Tahoma"/>
            <family val="2"/>
          </rPr>
          <t xml:space="preserve">Complete ws 310 first
</t>
        </r>
      </text>
    </comment>
    <comment ref="F136" authorId="0" shapeId="0" xr:uid="{00000000-0006-0000-4C00-000031000000}">
      <text>
        <r>
          <rPr>
            <sz val="8"/>
            <color indexed="81"/>
            <rFont val="Tahoma"/>
            <family val="2"/>
          </rPr>
          <t xml:space="preserve">Complete ws 310 first
</t>
        </r>
      </text>
    </comment>
    <comment ref="B137" authorId="0" shapeId="0" xr:uid="{00000000-0006-0000-4C00-000032000000}">
      <text>
        <r>
          <rPr>
            <sz val="8"/>
            <color indexed="81"/>
            <rFont val="Tahoma"/>
            <family val="2"/>
          </rPr>
          <t>Adding to template for 2011; this is a caption on NCAS CAFR 11p</t>
        </r>
      </text>
    </comment>
    <comment ref="F137" authorId="0" shapeId="0" xr:uid="{00000000-0006-0000-4C00-000033000000}">
      <text>
        <r>
          <rPr>
            <sz val="8"/>
            <color indexed="81"/>
            <rFont val="Tahoma"/>
            <family val="2"/>
          </rPr>
          <t xml:space="preserve">Complete ws 310 first
</t>
        </r>
      </text>
    </comment>
    <comment ref="B138" authorId="0" shapeId="0" xr:uid="{00000000-0006-0000-4C00-000034000000}">
      <text>
        <r>
          <rPr>
            <sz val="8"/>
            <color indexed="81"/>
            <rFont val="Tahoma"/>
            <family val="2"/>
          </rPr>
          <t>Adding to template for 2011; this is a NOT a caption on NCAS CAFR 11p, however it is on the 310 worksheet</t>
        </r>
      </text>
    </comment>
    <comment ref="F138" authorId="0" shapeId="0" xr:uid="{00000000-0006-0000-4C00-000035000000}">
      <text>
        <r>
          <rPr>
            <sz val="8"/>
            <color indexed="81"/>
            <rFont val="Tahoma"/>
            <family val="2"/>
          </rPr>
          <t xml:space="preserve">Complete ws 310 first
</t>
        </r>
      </text>
    </comment>
    <comment ref="D142" authorId="0" shapeId="0" xr:uid="{00000000-0006-0000-4C00-000036000000}">
      <text>
        <r>
          <rPr>
            <sz val="8"/>
            <color indexed="81"/>
            <rFont val="Tahoma"/>
            <family val="2"/>
          </rPr>
          <t xml:space="preserve">Note: in prior years there was a separate subcaption for Other payables,  but for 2011 combined other payables with accounts payable to be consistent with NCAS blalance sheet which rolls the other liabilities-noncurrent account to the accounts payable-noncurrent caption.
</t>
        </r>
      </text>
    </comment>
    <comment ref="B143" authorId="0" shapeId="0" xr:uid="{00000000-0006-0000-4C00-000037000000}">
      <text>
        <r>
          <rPr>
            <sz val="8"/>
            <color indexed="81"/>
            <rFont val="Tahoma"/>
            <family val="2"/>
          </rPr>
          <t xml:space="preserve">The noncurrent accounts payable caption is new on the template for 2011, but it was an existing caption on the DSS CAFR 11P reports.  The noncurrent investment derivative liability would be included in this caption as well as other payables-noncurrent which had a separate subcaption in prior years.
</t>
        </r>
      </text>
    </comment>
    <comment ref="B146" authorId="0" shapeId="0" xr:uid="{00000000-0006-0000-4C00-000038000000}">
      <text>
        <r>
          <rPr>
            <sz val="8"/>
            <color indexed="81"/>
            <rFont val="Tahoma"/>
            <family val="2"/>
          </rPr>
          <t xml:space="preserve">Complete ws 535 first
</t>
        </r>
      </text>
    </comment>
    <comment ref="B149" authorId="0" shapeId="0" xr:uid="{00000000-0006-0000-4C00-000039000000}">
      <text>
        <r>
          <rPr>
            <sz val="8"/>
            <color indexed="81"/>
            <rFont val="Tahoma"/>
            <family val="2"/>
          </rPr>
          <t>SEAA uses this for Due to IRS Sec 529 (college savings) plan participants</t>
        </r>
      </text>
    </comment>
    <comment ref="B150" authorId="0" shapeId="0" xr:uid="{00000000-0006-0000-4C00-00003A000000}">
      <text>
        <r>
          <rPr>
            <sz val="8"/>
            <color indexed="81"/>
            <rFont val="Tahoma"/>
            <family val="2"/>
          </rPr>
          <t>New caption for implementation of GASB 53 Derivatives for 2010</t>
        </r>
      </text>
    </comment>
    <comment ref="F151" authorId="0" shapeId="0" xr:uid="{21647E50-C47E-46A5-9FC8-B6154C5391D5}">
      <text>
        <r>
          <rPr>
            <sz val="8"/>
            <color indexed="81"/>
            <rFont val="Tahoma"/>
            <family val="2"/>
          </rPr>
          <t xml:space="preserve">Complete ws 310 first
</t>
        </r>
      </text>
    </comment>
    <comment ref="F152" authorId="0" shapeId="0" xr:uid="{00000000-0006-0000-4C00-00003C000000}">
      <text>
        <r>
          <rPr>
            <sz val="8"/>
            <color indexed="81"/>
            <rFont val="Tahoma"/>
            <family val="2"/>
          </rPr>
          <t xml:space="preserve">Complete ws 310 first
</t>
        </r>
      </text>
    </comment>
    <comment ref="B153" authorId="7" shapeId="0" xr:uid="{47ECF78E-7D66-434D-917F-F9752AA0C418}">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portion of subscription-based IT arrangements obligations that will be payable in more than one year subsequent to the balance sheet date.  This is for use by both governmental and proprietary funds. </t>
      </text>
    </comment>
    <comment ref="B155" authorId="0" shapeId="0" xr:uid="{00000000-0006-0000-4C00-00003D000000}">
      <text>
        <r>
          <rPr>
            <sz val="8"/>
            <color indexed="81"/>
            <rFont val="Tahoma"/>
            <family val="2"/>
          </rPr>
          <t xml:space="preserve">Not new, but updating title for 2011 to be consistent with NCAS CAFR 11p caption
</t>
        </r>
      </text>
    </comment>
    <comment ref="F155" authorId="0" shapeId="0" xr:uid="{00000000-0006-0000-4C00-00003E000000}">
      <text>
        <r>
          <rPr>
            <sz val="8"/>
            <color indexed="81"/>
            <rFont val="Tahoma"/>
            <family val="2"/>
          </rPr>
          <t xml:space="preserve">Complete ws 310 first
</t>
        </r>
      </text>
    </comment>
    <comment ref="F156" authorId="0" shapeId="0" xr:uid="{00000000-0006-0000-4C00-00003F000000}">
      <text>
        <r>
          <rPr>
            <sz val="8"/>
            <color indexed="81"/>
            <rFont val="Tahoma"/>
            <family val="2"/>
          </rPr>
          <t xml:space="preserve">Complete ws 310 first
</t>
        </r>
      </text>
    </comment>
    <comment ref="B157" authorId="3" shapeId="0" xr:uid="{00000000-0006-0000-4C00-000040000000}">
      <text>
        <r>
          <rPr>
            <b/>
            <sz val="9"/>
            <color indexed="81"/>
            <rFont val="Tahoma"/>
            <family val="2"/>
          </rPr>
          <t>FY 2014</t>
        </r>
        <r>
          <rPr>
            <sz val="9"/>
            <color indexed="81"/>
            <rFont val="Tahoma"/>
            <family val="2"/>
          </rPr>
          <t>added workers comp line on 905-to feed from ws 310</t>
        </r>
      </text>
    </comment>
    <comment ref="F157" authorId="0" shapeId="0" xr:uid="{00000000-0006-0000-4C00-000041000000}">
      <text>
        <r>
          <rPr>
            <sz val="8"/>
            <color indexed="81"/>
            <rFont val="Tahoma"/>
            <family val="2"/>
          </rPr>
          <t xml:space="preserve">Complete ws 310 first
</t>
        </r>
      </text>
    </comment>
    <comment ref="B158" authorId="0" shapeId="0" xr:uid="{00000000-0006-0000-4C00-000042000000}">
      <text>
        <r>
          <rPr>
            <sz val="8"/>
            <color indexed="81"/>
            <rFont val="Tahoma"/>
            <family val="2"/>
          </rPr>
          <t>Adding to template for 2011; this is a caption on NCAS CAFR 11p</t>
        </r>
        <r>
          <rPr>
            <sz val="8"/>
            <color indexed="81"/>
            <rFont val="Tahoma"/>
            <family val="2"/>
          </rPr>
          <t xml:space="preserve">
</t>
        </r>
      </text>
    </comment>
    <comment ref="F158" authorId="0" shapeId="0" xr:uid="{00000000-0006-0000-4C00-000043000000}">
      <text>
        <r>
          <rPr>
            <sz val="8"/>
            <color indexed="81"/>
            <rFont val="Tahoma"/>
            <family val="2"/>
          </rPr>
          <t xml:space="preserve">Complete ws 310 first
</t>
        </r>
      </text>
    </comment>
    <comment ref="B159" authorId="0" shapeId="0" xr:uid="{00000000-0006-0000-4C00-000044000000}">
      <text>
        <r>
          <rPr>
            <sz val="8"/>
            <color indexed="81"/>
            <rFont val="Tahoma"/>
            <family val="2"/>
          </rPr>
          <t xml:space="preserve">New caption for 2009 - see w/s322
</t>
        </r>
      </text>
    </comment>
    <comment ref="F159" authorId="0" shapeId="0" xr:uid="{00000000-0006-0000-4C00-000045000000}">
      <text>
        <r>
          <rPr>
            <sz val="8"/>
            <color indexed="81"/>
            <rFont val="Tahoma"/>
            <family val="2"/>
          </rPr>
          <t xml:space="preserve">Complete ws 310 first
</t>
        </r>
      </text>
    </comment>
    <comment ref="B160" authorId="0" shapeId="0" xr:uid="{6BDA2ACF-E4DC-42E1-9747-2C8E8B3F5CD9}">
      <text>
        <r>
          <rPr>
            <sz val="8"/>
            <color indexed="81"/>
            <rFont val="Tahoma"/>
            <family val="2"/>
          </rPr>
          <t xml:space="preserve">New caption for 2009 - see w/s322
</t>
        </r>
      </text>
    </comment>
    <comment ref="F160" authorId="0" shapeId="0" xr:uid="{BADB8C6A-B7EC-48E0-87B9-578911B32079}">
      <text>
        <r>
          <rPr>
            <sz val="8"/>
            <color indexed="81"/>
            <rFont val="Tahoma"/>
            <family val="2"/>
          </rPr>
          <t xml:space="preserve">Complete ws 310 first
</t>
        </r>
      </text>
    </comment>
    <comment ref="B161" authorId="3" shapeId="0" xr:uid="{00000000-0006-0000-4C00-000046000000}">
      <text>
        <r>
          <rPr>
            <sz val="9"/>
            <color indexed="81"/>
            <rFont val="Tahoma"/>
            <family val="2"/>
          </rPr>
          <t>For FY15 updated line description from Accrued vacation leave to Compensated absences to match ws310 and CAFR terminology</t>
        </r>
        <r>
          <rPr>
            <b/>
            <sz val="9"/>
            <color indexed="81"/>
            <rFont val="Tahoma"/>
            <family val="2"/>
          </rPr>
          <t xml:space="preserve">
 </t>
        </r>
        <r>
          <rPr>
            <sz val="9"/>
            <color indexed="81"/>
            <rFont val="Tahoma"/>
            <family val="2"/>
          </rPr>
          <t xml:space="preserve">
</t>
        </r>
      </text>
    </comment>
    <comment ref="F161" authorId="0" shapeId="0" xr:uid="{00000000-0006-0000-4C00-000047000000}">
      <text>
        <r>
          <rPr>
            <sz val="8"/>
            <color indexed="81"/>
            <rFont val="Tahoma"/>
            <family val="2"/>
          </rPr>
          <t xml:space="preserve">Complete ws 310 first
</t>
        </r>
      </text>
    </comment>
    <comment ref="B162" authorId="3" shapeId="0" xr:uid="{00000000-0006-0000-4C00-000048000000}">
      <text>
        <r>
          <rPr>
            <sz val="8"/>
            <color indexed="81"/>
            <rFont val="Tahoma"/>
            <family val="2"/>
          </rPr>
          <t>Starting FY15 with implementation of GASB68 for NCAS acct 229150 Net pension liability-noncurrent</t>
        </r>
      </text>
    </comment>
    <comment ref="F162" authorId="0" shapeId="0" xr:uid="{00000000-0006-0000-4C00-000049000000}">
      <text>
        <r>
          <rPr>
            <sz val="8"/>
            <color indexed="81"/>
            <rFont val="Tahoma"/>
            <family val="2"/>
          </rPr>
          <t xml:space="preserve">Complete ws 310 first
</t>
        </r>
      </text>
    </comment>
    <comment ref="F163" authorId="0" shapeId="0" xr:uid="{00000000-0006-0000-4C00-00004A000000}">
      <text>
        <r>
          <rPr>
            <sz val="8"/>
            <color indexed="81"/>
            <rFont val="Tahoma"/>
            <family val="2"/>
          </rPr>
          <t xml:space="preserve">Complete ws 310 first
</t>
        </r>
      </text>
    </comment>
    <comment ref="B164" authorId="0" shapeId="0" xr:uid="{00000000-0006-0000-4C00-00004B000000}">
      <text>
        <r>
          <rPr>
            <sz val="8"/>
            <color indexed="81"/>
            <rFont val="Tahoma"/>
            <family val="2"/>
          </rPr>
          <t>Adding to template for 2011; this is a caption on NCAS CAFR 11p</t>
        </r>
      </text>
    </comment>
    <comment ref="F164" authorId="0" shapeId="0" xr:uid="{00000000-0006-0000-4C00-00004C000000}">
      <text>
        <r>
          <rPr>
            <sz val="8"/>
            <color indexed="81"/>
            <rFont val="Tahoma"/>
            <family val="2"/>
          </rPr>
          <t xml:space="preserve">Complete ws 310 first
</t>
        </r>
      </text>
    </comment>
    <comment ref="B165" authorId="0" shapeId="0" xr:uid="{00000000-0006-0000-4C00-00004D000000}">
      <text>
        <r>
          <rPr>
            <sz val="8"/>
            <color indexed="81"/>
            <rFont val="Tahoma"/>
            <family val="2"/>
          </rPr>
          <t>Adding to template for 2011; this is a NOT a caption on NCAS CAFR 11p, however it is on worksheet 310.</t>
        </r>
      </text>
    </comment>
    <comment ref="F165" authorId="0" shapeId="0" xr:uid="{00000000-0006-0000-4C00-00004E000000}">
      <text>
        <r>
          <rPr>
            <sz val="8"/>
            <color indexed="81"/>
            <rFont val="Tahoma"/>
            <family val="2"/>
          </rPr>
          <t xml:space="preserve">Complete ws 310 first
</t>
        </r>
      </text>
    </comment>
    <comment ref="D170" authorId="3" shapeId="0" xr:uid="{00000000-0006-0000-4C00-00004F000000}">
      <text>
        <r>
          <rPr>
            <sz val="9"/>
            <color indexed="81"/>
            <rFont val="Tahoma"/>
            <family val="2"/>
          </rPr>
          <t xml:space="preserve">New F/S element starting FY 2013 w/ implementation of GASB 63
</t>
        </r>
      </text>
    </comment>
    <comment ref="B171" authorId="3" shapeId="0" xr:uid="{00000000-0006-0000-4C00-000050000000}">
      <text>
        <r>
          <rPr>
            <sz val="7"/>
            <color indexed="81"/>
            <rFont val="Tahoma"/>
            <family val="2"/>
          </rPr>
          <t xml:space="preserve">ForFY13 acct229201 Accum Incr in fair val of hedging deriv (new acct title) goes here. Former acct title is Deferred inflow of resources
</t>
        </r>
      </text>
    </comment>
    <comment ref="B172" authorId="8" shapeId="0" xr:uid="{76EA8710-07A3-480D-B4C3-12002537D5C0}">
      <text>
        <t xml:space="preserve">[Threaded comment]
Your version of Excel allows you to read this threaded comment; however, any edits to it will get removed if the file is opened in a newer version of Excel. Learn more: https://go.microsoft.com/fwlink/?linkid=870924
Comment:
    * For FY13, new NCAS acct 229202 added for implementation of GASB60 Service Concession Arrangements.
* For FY23, new title changed from Service Concession Arrangement (SCA) revenue applicable to future years to Deferred inflows for PPP Arrangements per GASB94.
</t>
      </text>
    </comment>
    <comment ref="B173" authorId="3" shapeId="0" xr:uid="{00000000-0006-0000-4C00-000052000000}">
      <text>
        <r>
          <rPr>
            <sz val="7"/>
            <color indexed="81"/>
            <rFont val="Tahoma"/>
            <family val="2"/>
          </rPr>
          <t xml:space="preserve">Added FY14 for GASB65,NCAS acct 229203 Def gain on refunding bonds. For more info refer to GASB Resources webpage available from OSC homepage www.osc.nc.gov
</t>
        </r>
      </text>
    </comment>
    <comment ref="B174" authorId="3" shapeId="0" xr:uid="{00000000-0006-0000-4C00-000053000000}">
      <text>
        <r>
          <rPr>
            <sz val="7"/>
            <color indexed="81"/>
            <rFont val="Tahoma"/>
            <family val="2"/>
          </rPr>
          <t>Added FY14 for GASB65;  NCAS acct 229204 Def Inflows-nonexchange transactions.  Refer to GASB Resources webpage available from OSC homepage www.osc.nc.gov</t>
        </r>
      </text>
    </comment>
    <comment ref="B175" authorId="3" shapeId="0" xr:uid="{00000000-0006-0000-4C00-000054000000}">
      <text>
        <r>
          <rPr>
            <sz val="7"/>
            <color indexed="81"/>
            <rFont val="Tahoma"/>
            <family val="2"/>
          </rPr>
          <t>Added FY15 to the 905 . SEAA had this for FY14 and it met definition for GASB65 so added for FY14 CAFR, but not on FY14 905. Corresponds with  NCAS acct 229206 Deferred state aid.   Refer to acct definition on chart of accts and GASB Resources webpage available from OSC homepage www.osc.nc.gov.</t>
        </r>
      </text>
    </comment>
    <comment ref="B177" authorId="3" shapeId="0" xr:uid="{00000000-0006-0000-4C00-000055000000}">
      <text>
        <r>
          <rPr>
            <sz val="8"/>
            <color indexed="81"/>
            <rFont val="Tahoma"/>
            <family val="2"/>
          </rPr>
          <t>Starting FY2015 with implementation of GASB 68 - for new NCAS Acct 229210 Deferred inflows for pensions. For more info, see acct definition and the GASB Resources webpage available from the OSC homepage www.osc.nc.gov.</t>
        </r>
      </text>
    </comment>
    <comment ref="B180" authorId="3" shapeId="0" xr:uid="{00000000-0006-0000-4C00-000056000000}">
      <text>
        <r>
          <rPr>
            <sz val="7"/>
            <color indexed="81"/>
            <rFont val="Tahoma"/>
            <family val="2"/>
          </rPr>
          <t xml:space="preserve">Added FY14 for GASB65,NCAS acct 229205 Other deferred inflow of resources per GASB 65 not classified in a more specific acct. For more info, refer to GASB Resources webpage available from OSC homepage www.osc.nc.gov.
FY15 updated description from "Deferred inflows-other" to "Other deferred inflows" be consistent with CAFR caption.
</t>
        </r>
      </text>
    </comment>
    <comment ref="B184" authorId="3" shapeId="0" xr:uid="{00000000-0006-0000-4C00-000057000000}">
      <text>
        <r>
          <rPr>
            <sz val="8"/>
            <color indexed="81"/>
            <rFont val="Tahoma"/>
            <family val="2"/>
          </rPr>
          <t>For GASB63 effective for FY2013 new title for this component of net position. (former title is Invested in capital assets, net of related debt.)</t>
        </r>
        <r>
          <rPr>
            <sz val="9"/>
            <color indexed="81"/>
            <rFont val="Tahoma"/>
            <family val="2"/>
          </rPr>
          <t xml:space="preserve">
</t>
        </r>
      </text>
    </comment>
    <comment ref="B185" authorId="0" shapeId="0" xr:uid="{00000000-0006-0000-4C00-000058000000}">
      <text>
        <r>
          <rPr>
            <sz val="8"/>
            <color indexed="81"/>
            <rFont val="Tahoma"/>
            <family val="2"/>
          </rPr>
          <t xml:space="preserve">Added Nonexpendable 7-10-09 - needed by Rex Healthcare.  For 2011 breaking out nonexpendable; in prior year, not detailed, only one line.
</t>
        </r>
      </text>
    </comment>
    <comment ref="B200" authorId="0" shapeId="0" xr:uid="{00000000-0006-0000-4C00-000059000000}">
      <text>
        <r>
          <rPr>
            <sz val="8"/>
            <color indexed="81"/>
            <rFont val="Tahoma"/>
            <family val="2"/>
          </rPr>
          <t xml:space="preserve">added net 2011
</t>
        </r>
      </text>
    </comment>
    <comment ref="B201" authorId="0" shapeId="0" xr:uid="{00000000-0006-0000-4C00-00005A000000}">
      <text>
        <r>
          <rPr>
            <sz val="8"/>
            <color indexed="81"/>
            <rFont val="Tahoma"/>
            <family val="2"/>
          </rPr>
          <t>Adding to template for 2011; this is a caption on NCAS CAFR 11p</t>
        </r>
      </text>
    </comment>
    <comment ref="B202" authorId="0" shapeId="0" xr:uid="{00000000-0006-0000-4C00-00005B000000}">
      <text>
        <r>
          <rPr>
            <sz val="8"/>
            <color indexed="81"/>
            <rFont val="Tahoma"/>
            <family val="2"/>
          </rPr>
          <t>Adding to template for 2011; this is a caption on NCAS CAFR 11p</t>
        </r>
      </text>
    </comment>
    <comment ref="B203" authorId="0" shapeId="0" xr:uid="{00000000-0006-0000-4C00-00005C000000}">
      <text>
        <r>
          <rPr>
            <sz val="8"/>
            <color indexed="81"/>
            <rFont val="Tahoma"/>
            <family val="2"/>
          </rPr>
          <t>Adding to template for 2011; this is a caption on NCAS CAFR 11p</t>
        </r>
      </text>
    </comment>
    <comment ref="B214" authorId="3" shapeId="0" xr:uid="{00000000-0006-0000-4C00-00005D000000}">
      <text>
        <r>
          <rPr>
            <sz val="9"/>
            <color indexed="81"/>
            <rFont val="Tahoma"/>
            <family val="2"/>
          </rPr>
          <t xml:space="preserve">FY15-Includes new acct for GASB 68 - NCAS acct 531595 Pension expense .
</t>
        </r>
      </text>
    </comment>
    <comment ref="B215" authorId="9" shapeId="0" xr:uid="{00000000-0006-0000-4C00-00005E000000}">
      <text>
        <r>
          <rPr>
            <sz val="9"/>
            <color indexed="81"/>
            <rFont val="Tahoma"/>
            <family val="2"/>
          </rPr>
          <t>Beginning FY2013, includes capital outlay/noncap equip.</t>
        </r>
        <r>
          <rPr>
            <sz val="9"/>
            <color indexed="81"/>
            <rFont val="Tahoma"/>
            <family val="2"/>
          </rPr>
          <t xml:space="preserve">
</t>
        </r>
      </text>
    </comment>
    <comment ref="B221" authorId="0" shapeId="0" xr:uid="{00000000-0006-0000-4C00-00005F000000}">
      <text>
        <r>
          <rPr>
            <sz val="8"/>
            <color indexed="81"/>
            <rFont val="Tahoma"/>
            <family val="2"/>
          </rPr>
          <t xml:space="preserve">Added to template 2011; this is a caption on the NCAS operting statement
</t>
        </r>
      </text>
    </comment>
    <comment ref="B222" authorId="0" shapeId="0" xr:uid="{00000000-0006-0000-4C00-000060000000}">
      <text>
        <r>
          <rPr>
            <sz val="8"/>
            <color indexed="81"/>
            <rFont val="Tahoma"/>
            <family val="2"/>
          </rPr>
          <t>Prior year template did not show detail. For 2011 added subcaptions making up other expenses on NCAS operating statement.
Beginning FY2013, Other does not include capital outlay-moved to Supplies &amp; materials</t>
        </r>
      </text>
    </comment>
    <comment ref="B230" authorId="0" shapeId="0" xr:uid="{00000000-0006-0000-4C00-000061000000}">
      <text>
        <r>
          <rPr>
            <sz val="8"/>
            <color indexed="81"/>
            <rFont val="Tahoma"/>
            <family val="2"/>
          </rPr>
          <t>Caption added to template 2011. For funds appropriated by the legislature for general use by a specific agency. For NCAS agencies, this represents the 439100 account balance in the general fund budget code. This caption should not include state aid-program or state capital aid or state appropriations in a 4xxxx capital projects budget code</t>
        </r>
      </text>
    </comment>
    <comment ref="B231" authorId="10" shapeId="0" xr:uid="{C6A1113C-250D-47B3-99D7-B26BEEFA7415}">
      <text>
        <t xml:space="preserve">[Threaded comment]
Your version of Excel allows you to read this threaded comment; however, any edits to it will get removed if the file is opened in a newer version of Excel. Learn more: https://go.microsoft.com/fwlink/?linkid=870924
Comment:
    Additional accounts rolled up to State aid - general in FY2024
42500138 State Aid - Sports Wagering
42500139 State Aid - IT Reserve
42500140 - State Aid - ARPA Temporary Savings (Medicaid Expansion)
</t>
      </text>
    </comment>
    <comment ref="B232" authorId="0" shapeId="0" xr:uid="{00000000-0006-0000-4C00-000063000000}">
      <text>
        <r>
          <rPr>
            <sz val="8"/>
            <color indexed="81"/>
            <rFont val="Tahoma"/>
            <family val="2"/>
          </rPr>
          <t>New break-out for 2010. State aid-program includes clean water bond funds, funds from the State Escheats fund and the NC Education Lottery for higher education/scholarships, state tax credits, and funds from state agencies restricted for use in specific programs.  This includes ARRA state fiscal stabilization funds, and state revenues that may be used either for operating or capital expenditures of the program at the discretion of the agency.  However, this does not include state revenue that meets the definition for state capital aid or state appropriations or general state aid.</t>
        </r>
      </text>
    </comment>
    <comment ref="B233" authorId="11" shapeId="0" xr:uid="{D1D71853-CCDA-46D0-B986-8C2B920B4B84}">
      <text>
        <t>[Threaded comment]
Your version of Excel allows you to read this threaded comment; however, any edits to it will get removed if the file is opened in a newer version of Excel. Learn more: https://go.microsoft.com/fwlink/?linkid=870924
Comment:
    This account maps to NCAS Account 432905. This account should only be used for entities receiving coronavirus relief funds or American Rescue Plan State Fiscal Recovery Funds DIRECTLY from OSBM. Coronavirus relief funds or ARP State Fiscal Recovery Funds received from the UNC System Office should be reported in University Transfers Account 438700, and Worksheet 565 should be filled out.
Reply:
    Additional account rolled up to this account in FY2024 --&gt; 42500137 State Aid - SRFR Recovery Reserve</t>
      </text>
    </comment>
    <comment ref="B237" authorId="12" shapeId="0" xr:uid="{C46C3533-8015-459F-8AF8-C93EA45BF696}">
      <text>
        <t>[Threaded comment]
Your version of Excel allows you to read this threaded comment; however, any edits to it will get removed if the file is opened in a newer version of Excel. Learn more: https://go.microsoft.com/fwlink/?linkid=870924
Comment:
    This is a new account caption on the 905 and in NCAS for FY2021. Amounts in this caption should reflect the proportionate share of the State Health Plan's contribution to the Retiree Health Benefit Fund (RHBF) for employer participants. This caption maps to NCAS Account 436207.</t>
      </text>
    </comment>
    <comment ref="B238" authorId="13" shapeId="0" xr:uid="{0CEA98A3-49A5-493C-A194-BF74532B95A1}">
      <text>
        <t>[Threaded comment]
Your version of Excel allows you to read this threaded comment; however, any edits to it will get removed if the file is opened in a newer version of Excel. Learn more: https://go.microsoft.com/fwlink/?linkid=870924
Comment:
    This includes new account - 535327 SBITA INTEREST PAYMENTS.</t>
      </text>
    </comment>
    <comment ref="B245" authorId="0" shapeId="0" xr:uid="{00000000-0006-0000-4C00-000064000000}">
      <text>
        <r>
          <rPr>
            <sz val="8"/>
            <color indexed="81"/>
            <rFont val="Tahoma"/>
            <family val="2"/>
          </rPr>
          <t>Added to template 2011; this is a caption on the NCAS operating statement</t>
        </r>
      </text>
    </comment>
    <comment ref="B251" authorId="0" shapeId="0" xr:uid="{00000000-0006-0000-4C00-000065000000}">
      <text>
        <r>
          <rPr>
            <sz val="8"/>
            <color indexed="81"/>
            <rFont val="Tahoma"/>
            <family val="2"/>
          </rPr>
          <t xml:space="preserve">State capital aid includes state capital appropriations, state capital contributions and state bond proceeds restricted for the acquisition, renovation or construction of capital assets owned by the agency.  This does not include capital grants from state agencies or other component units which would be classified in the capital grants caption. </t>
        </r>
      </text>
    </comment>
    <comment ref="B252" authorId="0" shapeId="0" xr:uid="{00000000-0006-0000-4C00-000066000000}">
      <text>
        <r>
          <rPr>
            <sz val="8"/>
            <color indexed="81"/>
            <rFont val="Tahoma"/>
            <family val="2"/>
          </rPr>
          <t>Capital grants include federal, state and local capital grants, including the ARRA energy grants from the NC Dept of Commerce.</t>
        </r>
      </text>
    </comment>
    <comment ref="B254" authorId="0" shapeId="0" xr:uid="{00000000-0006-0000-4C00-000067000000}">
      <text>
        <r>
          <rPr>
            <sz val="8"/>
            <color indexed="81"/>
            <rFont val="Tahoma"/>
            <family val="2"/>
          </rPr>
          <t>Added to template 2011; this is a caption on the NCAS operting statement</t>
        </r>
      </text>
    </comment>
    <comment ref="B255" authorId="0" shapeId="0" xr:uid="{00000000-0006-0000-4C00-000068000000}">
      <text>
        <r>
          <rPr>
            <sz val="8"/>
            <color indexed="81"/>
            <rFont val="Tahoma"/>
            <family val="2"/>
          </rPr>
          <t>Added to template 2011; this is a caption on the NCAS operting statement. ws 565</t>
        </r>
      </text>
    </comment>
    <comment ref="F255" authorId="0" shapeId="0" xr:uid="{00000000-0006-0000-4C00-000069000000}">
      <text>
        <r>
          <rPr>
            <sz val="8"/>
            <color indexed="81"/>
            <rFont val="Tahoma"/>
            <family val="2"/>
          </rPr>
          <t xml:space="preserve">Complete ws 565 first
</t>
        </r>
      </text>
    </comment>
    <comment ref="H259" authorId="0" shapeId="0" xr:uid="{00000000-0006-0000-4C00-00006A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I259" authorId="0" shapeId="0" xr:uid="{00000000-0006-0000-4C00-00006B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J259" authorId="0" shapeId="0" xr:uid="{00000000-0006-0000-4C00-00006C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K259" authorId="0" shapeId="0" xr:uid="{00000000-0006-0000-4C00-00006D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L259" authorId="0" shapeId="0" xr:uid="{00000000-0006-0000-4C00-00006E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M259" authorId="0" shapeId="0" xr:uid="{00000000-0006-0000-4C00-00006F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N259" authorId="0" shapeId="0" xr:uid="{00000000-0006-0000-4C00-000070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O259" authorId="0" shapeId="0" xr:uid="{00000000-0006-0000-4C00-000071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P259" authorId="0" shapeId="0" xr:uid="{C4744EC8-08B3-401B-A7E2-20328CD3746C}">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Q259" authorId="0" shapeId="0" xr:uid="{AF14EC8E-5C2D-4EDB-9028-37A79A0C51D6}">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R259" authorId="0" shapeId="0" xr:uid="{00000000-0006-0000-4C00-000074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S259" authorId="0" shapeId="0" xr:uid="{00000000-0006-0000-4C00-000075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Helen Vozzo</author>
  </authors>
  <commentList>
    <comment ref="J85" authorId="0" shapeId="0" xr:uid="{00000000-0006-0000-4D00-000001000000}">
      <text>
        <r>
          <rPr>
            <sz val="8"/>
            <color indexed="81"/>
            <rFont val="Tahoma"/>
            <family val="2"/>
          </rPr>
          <t>Complete the Index sheet first. This cell uses the agency number from the Index Sheet to populate the beginning net asets number from the NetAssets table built from the prior year CAFR ending net asset balance.  Any difference must be entered on the restatement 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<sst xmlns="http://schemas.openxmlformats.org/spreadsheetml/2006/main" count="15799" uniqueCount="6674">
  <si>
    <t>Office of the State Controller</t>
  </si>
  <si>
    <t>Instructions</t>
  </si>
  <si>
    <t>General Instructions</t>
  </si>
  <si>
    <t>–</t>
  </si>
  <si>
    <t xml:space="preserve">Complete the header information on the Index sheet first. This will populate the agency header information </t>
  </si>
  <si>
    <t>for all of the worksheets, as well as other information for certain worksheets.</t>
  </si>
  <si>
    <t>Except as noted otherwise, numbers that are to be subtracted should be entered as negative numbers in the</t>
  </si>
  <si>
    <t xml:space="preserve">cells in order for the formulas to calculate properly. </t>
  </si>
  <si>
    <r>
      <t xml:space="preserve">On the proforma worksheets 905-911, </t>
    </r>
    <r>
      <rPr>
        <b/>
        <sz val="10.5"/>
        <rFont val="Times New Roman"/>
        <family val="1"/>
      </rPr>
      <t>enter dollars and cents</t>
    </r>
    <r>
      <rPr>
        <sz val="10.5"/>
        <rFont val="Times New Roman"/>
        <family val="1"/>
      </rPr>
      <t xml:space="preserve">; </t>
    </r>
    <r>
      <rPr>
        <b/>
        <sz val="10.5"/>
        <rFont val="Times New Roman"/>
        <family val="1"/>
      </rPr>
      <t>do not round to whole dollars</t>
    </r>
    <r>
      <rPr>
        <sz val="10.5"/>
        <rFont val="Times New Roman"/>
        <family val="1"/>
      </rPr>
      <t>.</t>
    </r>
  </si>
  <si>
    <t xml:space="preserve">In general, key positive numbers for financial statement presentation, however on the Statement of Net Position, </t>
  </si>
  <si>
    <t>if the unrestricted net position balance is a deficit, key this as a negative number. Also, on the 905 and 905Hosp</t>
  </si>
  <si>
    <t>operating statement, in the "Nonoperating Revenues (Expenses)" section, key nonoperating expenses as</t>
  </si>
  <si>
    <t>negative numbers.</t>
  </si>
  <si>
    <t xml:space="preserve">Do not delete any worksheets, even if they are NA for your entity. Macros have been added to worksheets and </t>
  </si>
  <si>
    <t>deleting worksheets will negatively impact the macros.</t>
  </si>
  <si>
    <t>Do not delete rows or columns on worksheets as macros have been added to some of the worksheets.</t>
  </si>
  <si>
    <t>Please give us your comments and suggestions on the Comments page at the end of the package.  We value</t>
  </si>
  <si>
    <t xml:space="preserve">your opinion and appreciate your feedback.  Thanks! </t>
  </si>
  <si>
    <t xml:space="preserve">Staggered Due Dates: Earlier submission is strongly encouraged! </t>
  </si>
  <si>
    <t>August 15, 2024 for Tier 1 Entities</t>
  </si>
  <si>
    <t>August 22, 2024 for Tier 2 Entities</t>
  </si>
  <si>
    <t>August 26, 2024 for Tier 3 Entities</t>
  </si>
  <si>
    <t>August 29, 2024 for all others</t>
  </si>
  <si>
    <r>
      <t xml:space="preserve">NOTE:  This workbook is for primary government agencies and </t>
    </r>
    <r>
      <rPr>
        <b/>
        <u/>
        <sz val="10.5"/>
        <rFont val="Times New Roman"/>
        <family val="1"/>
      </rPr>
      <t>major</t>
    </r>
    <r>
      <rPr>
        <sz val="10.5"/>
        <rFont val="Times New Roman"/>
        <family val="1"/>
      </rPr>
      <t xml:space="preserve"> component units only.  All nonmajor </t>
    </r>
  </si>
  <si>
    <t xml:space="preserve">component units, whether offline or on NCFS, must complete the Nonmajor Component unit ACFR </t>
  </si>
  <si>
    <t>workbook.</t>
  </si>
  <si>
    <t>To make a Copy of a Worksheet</t>
  </si>
  <si>
    <r>
      <t xml:space="preserve">Right click on the tab of the sheet you wish to copy, then select </t>
    </r>
    <r>
      <rPr>
        <u/>
        <sz val="10.5"/>
        <rFont val="Times New Roman"/>
        <family val="1"/>
      </rPr>
      <t>Move or Copy…</t>
    </r>
    <r>
      <rPr>
        <sz val="10.5"/>
        <rFont val="Times New Roman"/>
        <family val="1"/>
      </rPr>
      <t xml:space="preserve">, click </t>
    </r>
    <r>
      <rPr>
        <u/>
        <sz val="10.5"/>
        <rFont val="Times New Roman"/>
        <family val="1"/>
      </rPr>
      <t>Create a copy</t>
    </r>
    <r>
      <rPr>
        <sz val="10.5"/>
        <rFont val="Times New Roman"/>
        <family val="1"/>
      </rPr>
      <t xml:space="preserve">, then </t>
    </r>
  </si>
  <si>
    <r>
      <rPr>
        <sz val="10.5"/>
        <rFont val="Times New Roman"/>
        <family val="1"/>
      </rPr>
      <t xml:space="preserve">select from the list </t>
    </r>
    <r>
      <rPr>
        <u/>
        <sz val="10.5"/>
        <rFont val="Times New Roman"/>
        <family val="1"/>
      </rPr>
      <t>Before sheet</t>
    </r>
    <r>
      <rPr>
        <sz val="10.5"/>
        <rFont val="Times New Roman"/>
        <family val="1"/>
      </rPr>
      <t xml:space="preserve"> to indicate where you want the copy placed, then click </t>
    </r>
    <r>
      <rPr>
        <u/>
        <sz val="10.5"/>
        <rFont val="Times New Roman"/>
        <family val="1"/>
      </rPr>
      <t>OK</t>
    </r>
    <r>
      <rPr>
        <sz val="10.5"/>
        <rFont val="Times New Roman"/>
        <family val="1"/>
      </rPr>
      <t>. This will create a</t>
    </r>
  </si>
  <si>
    <t xml:space="preserve">copy of the worksheet with the very same formatting as the original.  The duplicated worksheet will have the </t>
  </si>
  <si>
    <t>same name on the tab, plus a (2), (3), etc., for example 320 (2).</t>
  </si>
  <si>
    <t>Please DO NOT insert a new sheet and then copy from another worksheet to the new sheet; this will not</t>
  </si>
  <si>
    <t>produce a correct copy. Call your OSC analyst for assistance.</t>
  </si>
  <si>
    <t>Index Instructions</t>
  </si>
  <si>
    <t>To go directly to a specific worksheet, click on the corresponding link on the index. To return to the Index</t>
  </si>
  <si>
    <t>worksheet, click on the words "Office of the State Controller" at the top of any worksheet.</t>
  </si>
  <si>
    <t>To label a worksheet as "Not Applicable" (NA), enter "NA" in the "NA Excel Wsheet" column on the Index.</t>
  </si>
  <si>
    <t>To label a narrative as "Not Applicable" (NA), enter "NA" in the "NA Narrative" column on the Index.</t>
  </si>
  <si>
    <t>Shaded, grayed-out boxes in the "NA Excel Wsheet" column indicate mandatory worksheets that must be completed.</t>
  </si>
  <si>
    <r>
      <t xml:space="preserve">Please pay careful attention in filling out the Index sheet, marking all </t>
    </r>
    <r>
      <rPr>
        <b/>
        <u/>
        <sz val="10.5"/>
        <rFont val="Times New Roman"/>
        <family val="1"/>
      </rPr>
      <t xml:space="preserve">worksheets and narratives </t>
    </r>
  </si>
  <si>
    <t>that do not apply as NA in the appropriate place on the Index.</t>
  </si>
  <si>
    <t>ACFR Package Narratives</t>
  </si>
  <si>
    <t>Complete the ACFR Package Narratives, as applicable (see separate WORD file).</t>
  </si>
  <si>
    <t>File revision date note:</t>
  </si>
  <si>
    <t>If OSC makes a revision to the package, agencies will be notified and the file revision date will be updated.</t>
  </si>
  <si>
    <t xml:space="preserve">Please note that if OSC makes changes that do not impact the integrity of the package (i.e. cosmetic changes) </t>
  </si>
  <si>
    <t>you may see an updated revision date, but we will not contact the agencies unless the update is mandatory.</t>
  </si>
  <si>
    <r>
      <t>ALL updates made to the package after</t>
    </r>
    <r>
      <rPr>
        <sz val="10.5"/>
        <color rgb="FFFF0000"/>
        <rFont val="Times New Roman"/>
        <family val="1"/>
      </rPr>
      <t xml:space="preserve"> May 10, 2024</t>
    </r>
    <r>
      <rPr>
        <sz val="10.5"/>
        <rFont val="Times New Roman"/>
        <family val="1"/>
      </rPr>
      <t xml:space="preserve">, will be listed on the "Pkg Updates" tab.  </t>
    </r>
  </si>
  <si>
    <t xml:space="preserve">You will need to review prior to submitting your package to determine if the changes impact your entity and </t>
  </si>
  <si>
    <t>whether or not you need to download the updated version.  Contact your OSC analyst if you have any questions.</t>
  </si>
  <si>
    <t xml:space="preserve"> </t>
  </si>
  <si>
    <t>Hide Columns G-J before publishing to the web.</t>
  </si>
  <si>
    <t>OSC Only</t>
  </si>
  <si>
    <t>Date of Change</t>
  </si>
  <si>
    <t>Worksheet / Narrative #</t>
  </si>
  <si>
    <t>Description of Change</t>
  </si>
  <si>
    <t>Analyst</t>
  </si>
  <si>
    <t>Web Team Notified to Update SIG</t>
  </si>
  <si>
    <t>Revision Date for SIG</t>
  </si>
  <si>
    <t>Date Agencies Notified</t>
  </si>
  <si>
    <t>Dashboard</t>
  </si>
  <si>
    <t>Annual Report E-PACKAGE FILENAME</t>
  </si>
  <si>
    <r>
      <rPr>
        <b/>
        <sz val="10"/>
        <rFont val="Tahoma"/>
        <family val="2"/>
      </rPr>
      <t>OSC Only:  Verify</t>
    </r>
    <r>
      <rPr>
        <sz val="10"/>
        <rFont val="Tahoma"/>
        <family val="2"/>
      </rPr>
      <t xml:space="preserve"> the FCCS Entity on the 905 WS is completed.</t>
    </r>
  </si>
  <si>
    <r>
      <rPr>
        <b/>
        <sz val="10"/>
        <rFont val="Tahoma"/>
        <family val="2"/>
      </rPr>
      <t>OSC Only:  Verify</t>
    </r>
    <r>
      <rPr>
        <sz val="10"/>
        <rFont val="Tahoma"/>
        <family val="2"/>
      </rPr>
      <t xml:space="preserve"> the FCCS Agency on the 905 WS is the 2 digit Entity number on the Index tab </t>
    </r>
  </si>
  <si>
    <t>for that Entiity followed by two zeros.</t>
  </si>
  <si>
    <t>Note: If you make any changes on the Tabs, then you must use the delete key to clear the cell information.</t>
  </si>
  <si>
    <t>Worksheet 101 question #1 answered appropriately - Valuaton Method</t>
  </si>
  <si>
    <t>Worksheet 101 question #2a answered appropriately (Y/N)</t>
  </si>
  <si>
    <t>Worksheet 101 question #2a filled out if answered "NO"</t>
  </si>
  <si>
    <t>Worksheet 101 question #2b answered appropriately (Y/N)</t>
  </si>
  <si>
    <t>Worksheet 101 question #2b filled out if answered "YES"</t>
  </si>
  <si>
    <t>Worksheet 101 question #2b filled out if answered "NO"</t>
  </si>
  <si>
    <t>Worksheet 101 question #2c answered appropriately (Y/N)</t>
  </si>
  <si>
    <t>Worksheet 101 question #2d answered appropriately (Y/N/NA)</t>
  </si>
  <si>
    <t>Worksheet 101 question #2d filled out if answered "NO"</t>
  </si>
  <si>
    <t>Worksheet 101 question #2e answered appropriately (Y/N)</t>
  </si>
  <si>
    <t>Worksheet 101 question #2f answered appropriately (Y/N)</t>
  </si>
  <si>
    <t>Worksheet 101 question #2e or #2f filled out if answered "NO"</t>
  </si>
  <si>
    <t>Worksheet 101 question #2g filled in</t>
  </si>
  <si>
    <t>Worksheet 101 question #4 answered appropriately (Y/N)</t>
  </si>
  <si>
    <t>Worksheet 101 question #4 filled out if answered "YES"</t>
  </si>
  <si>
    <t>Worksheet 101 question #5 answered appropriately (Y/N/na)</t>
  </si>
  <si>
    <t>Worksheet 101 question #6 answered appropriately (Y/N)</t>
  </si>
  <si>
    <t>Worksheet 101 question #6 filled out if answered "YES"</t>
  </si>
  <si>
    <t>Worksheet 101 question #7 answered appropriately (Y/N/na)</t>
  </si>
  <si>
    <t>Worksheet 101 question #7 filled out if answered "YES"</t>
  </si>
  <si>
    <t>Worksheet 110 question is answered appropriately (Y/N)</t>
  </si>
  <si>
    <t>Worksheet 120 question is answered appropriately (Y/N)</t>
  </si>
  <si>
    <t>Worksheet 120 question if answered "YES"</t>
  </si>
  <si>
    <t>Worksheet 201 CIP Column must balance to 0</t>
  </si>
  <si>
    <t>Worksheet 202 question #1a answered appropriately (Y/N)</t>
  </si>
  <si>
    <t>Worksheet 202 question #1a if answered "YES"- Type of Asset</t>
  </si>
  <si>
    <t>Worksheet 202 question #1a if answered "YES"- Value of Asset</t>
  </si>
  <si>
    <t>Worksheet 202 question #1b answered appropriately (Y/N/na)</t>
  </si>
  <si>
    <t>Worksheet 202 question #1b filled out if answered "NO"</t>
  </si>
  <si>
    <t>Worksheet 202 question #2 answered appropriately (Y/N) - CIP</t>
  </si>
  <si>
    <t>Worksheet 202 question #2 filled out if answered "YES"</t>
  </si>
  <si>
    <t>Worksheet 202 question #2 answered appropriately (Y/N/na) - Newly constructed asset in FAS</t>
  </si>
  <si>
    <t>Worksheet 202 question #2 filled out if answered "NO"</t>
  </si>
  <si>
    <t>Worksheet 202 question #3 answered appropriately (Y/N)</t>
  </si>
  <si>
    <t>Worksheet 202 question #3 filled out if answered "YES"</t>
  </si>
  <si>
    <t>Worksheet 202 question #4 answered appropriately (Y/N)</t>
  </si>
  <si>
    <t>Worksheet 202 question #4 filled out if answered "YES"</t>
  </si>
  <si>
    <t>Worksheet 202 question #5 answered appropriately (Y/N/na)</t>
  </si>
  <si>
    <t>Worksheet 202 question #5 filled out if answered "NO"</t>
  </si>
  <si>
    <t>Worksheet 203 question #1 answered appropriately (Y/N)</t>
  </si>
  <si>
    <t>Worksheet 203 question #2 filled out if answered "YES"</t>
  </si>
  <si>
    <t>Worksheet 203 question #3 filled out if answered "YES"</t>
  </si>
  <si>
    <t>Worksheet 203 signature required, if applicable</t>
  </si>
  <si>
    <t>Worksheet 301 Lease with another Component Unit question answered appropriately</t>
  </si>
  <si>
    <t>Worksheet 301 amount identified if applicable</t>
  </si>
  <si>
    <t>Worksheet 301 Lease with another Primary Gov't Agency of State  question answered appropriately</t>
  </si>
  <si>
    <t>Worksheet 301 Lease Receivables in Financial Statements</t>
  </si>
  <si>
    <t>Worksheet 301 Lease  Rec with another Component Unit question answered appropriately</t>
  </si>
  <si>
    <t>Worksheet 301 Lease  Rec with another Prim Gov't Agency of State question answered appropriately</t>
  </si>
  <si>
    <t xml:space="preserve">Worksheet 304 Lessee Right to Use Liab total amount equals WS 305/310 Lease Liability total </t>
  </si>
  <si>
    <t xml:space="preserve">Worksheet 304 Lessee Right to Use Liab current amount equals WS 305/310 Lease Liability current </t>
  </si>
  <si>
    <t xml:space="preserve">Worksheet 304 SBITA Liab total amount equals WS 305/310 Subscription Liability total </t>
  </si>
  <si>
    <t xml:space="preserve">Worksheet 304 SBITA Liab current amount equals WS 305/310 Subscription Liability current amount </t>
  </si>
  <si>
    <t>Worksheet 305 anawered appropriately (Y/N)</t>
  </si>
  <si>
    <t>Worksheet 322 Reasonability Estimate answered appropriately (Y/N)</t>
  </si>
  <si>
    <t>Worksheet 330 Additions Tie</t>
  </si>
  <si>
    <t>Worksheet 338 answer appropriately (Y/N)</t>
  </si>
  <si>
    <t>Worksheet 345 contingencies question answered (Y/N) - Federal Grants and programs</t>
  </si>
  <si>
    <t>Worksheet 345 contingencies question answered (Y/N) - Food stamps and food commodities</t>
  </si>
  <si>
    <t>Worksheet 345 Food Stamps/Commodites identified if answered "YES"</t>
  </si>
  <si>
    <t>Worksheet 345 contingencies question answered (Y/N) - Contingent liabilities</t>
  </si>
  <si>
    <t>Worksheet 355 Subsequent events (Y/N)</t>
  </si>
  <si>
    <t>Worksheet 355 Subsequent events over $10M (Y/N)</t>
  </si>
  <si>
    <t>Worksheet 370 question #1 is answered appropriately (Y/N)</t>
  </si>
  <si>
    <t>Worksheet 370 question #2 is answered appropriately (Y/N)</t>
  </si>
  <si>
    <t>Worksheet 375-A question A. answered appropriately (Y/N)</t>
  </si>
  <si>
    <t>Worksheet 375 question A identified if answered "YES"</t>
  </si>
  <si>
    <t>Worksheet 375-B question A. answered appropriately (Y/N)</t>
  </si>
  <si>
    <t>Worksheet 375 question B identified if answered "YES"</t>
  </si>
  <si>
    <t>Worksheet 425 question answered appropriately (Y/N)</t>
  </si>
  <si>
    <t>Worksheet 425 question identified if answered "YES"</t>
  </si>
  <si>
    <t>Worksheet 540 Total Col A must equal Col B</t>
  </si>
  <si>
    <t>Worksheet 545 Total Col A must equal Col B</t>
  </si>
  <si>
    <t>Worksheet 546 Total Col A must equal Col B</t>
  </si>
  <si>
    <t>Worksheet 602 completed showing TSERS, RHBF, &amp; DIPNC contributions</t>
  </si>
  <si>
    <t>Worksheet 605 answered appropriately</t>
  </si>
  <si>
    <t>Worksheet 610 answered appropriately</t>
  </si>
  <si>
    <t xml:space="preserve">Worksheet 616 "Due From" agrees with Worksheet 905 </t>
  </si>
  <si>
    <t xml:space="preserve">Worksheet 616 "Due To" agrees with Worksheet 905 </t>
  </si>
  <si>
    <t>Worksheet 710 is in balance</t>
  </si>
  <si>
    <t>Worksheet 720 is in balance</t>
  </si>
  <si>
    <t>Worksheet 725 question is answered appropriately (Y/N/N-A)</t>
  </si>
  <si>
    <t>Worksheet 725 question if answered "YES"</t>
  </si>
  <si>
    <t>Worksheet 755 first question answered appropriately (Y/N)</t>
  </si>
  <si>
    <t>Worksheet 755 second question answered appropriately (Y/N)</t>
  </si>
  <si>
    <t>Worksheet 765 question A answered appropriately (Y/N)</t>
  </si>
  <si>
    <t>Worksheet 765 question B answered appropriately (Y/N)</t>
  </si>
  <si>
    <r>
      <t>Worksheet 905 Statement of Net Position in balance</t>
    </r>
    <r>
      <rPr>
        <b/>
        <sz val="9"/>
        <color rgb="FFFF0000"/>
        <rFont val="Arial"/>
        <family val="2"/>
      </rPr>
      <t xml:space="preserve"> (Only required for Universities)</t>
    </r>
  </si>
  <si>
    <r>
      <t xml:space="preserve">Worksheet 905 Net position between Statement of Net Position and O/S are equal </t>
    </r>
    <r>
      <rPr>
        <b/>
        <sz val="8"/>
        <color rgb="FFFF0000"/>
        <rFont val="Arial"/>
        <family val="2"/>
      </rPr>
      <t>(Only required for Universities)</t>
    </r>
  </si>
  <si>
    <r>
      <t xml:space="preserve">Worksheet 905 Signature is required  </t>
    </r>
    <r>
      <rPr>
        <b/>
        <sz val="9"/>
        <color rgb="FFFF0000"/>
        <rFont val="Arial"/>
        <family val="2"/>
      </rPr>
      <t>(Only required for universities)</t>
    </r>
  </si>
  <si>
    <t>Worksheet 906-6B in balance</t>
  </si>
  <si>
    <t>Worksheet 906-6C in balance</t>
  </si>
  <si>
    <t>Worksheet 906-6BC in balance</t>
  </si>
  <si>
    <t xml:space="preserve">                                                               Office of the State Controller                                                                </t>
  </si>
  <si>
    <t>Index</t>
  </si>
  <si>
    <t>Header Information</t>
  </si>
  <si>
    <t>Choose your agency:</t>
  </si>
  <si>
    <t>&lt;&lt;&lt; Click on the cell to see a list of agencies.</t>
  </si>
  <si>
    <t>Enter preparer name and phone number below:</t>
  </si>
  <si>
    <t>Agency number:</t>
  </si>
  <si>
    <t>Agency name:</t>
  </si>
  <si>
    <t>Preparer:</t>
  </si>
  <si>
    <t>Email:</t>
  </si>
  <si>
    <t>Phone:</t>
  </si>
  <si>
    <t>Sheet</t>
  </si>
  <si>
    <t>NA Excel Wsheet</t>
  </si>
  <si>
    <t>NA Narrative</t>
  </si>
  <si>
    <t>Worksheet Title</t>
  </si>
  <si>
    <t>Notes</t>
  </si>
  <si>
    <t>NA</t>
  </si>
  <si>
    <t>Summary of Significant Accounting Policies</t>
  </si>
  <si>
    <t>Operating Indicators By Function</t>
  </si>
  <si>
    <t xml:space="preserve">Public-Private &amp; Public-Public Partnership Arrangements </t>
  </si>
  <si>
    <t>N</t>
  </si>
  <si>
    <t>Government Combinations and Disposals of Government Operations</t>
  </si>
  <si>
    <t>Changes in Capital Assets</t>
  </si>
  <si>
    <t>N, R</t>
  </si>
  <si>
    <t xml:space="preserve">Governmental Fund Capital Assets </t>
  </si>
  <si>
    <t xml:space="preserve">Capital Assets Reconciliation Certification </t>
  </si>
  <si>
    <t xml:space="preserve"> R</t>
  </si>
  <si>
    <t>Accumulated Depreciation</t>
  </si>
  <si>
    <t>R</t>
  </si>
  <si>
    <t>Capital Asset Impairments</t>
  </si>
  <si>
    <t>Capital Asset Statistics</t>
  </si>
  <si>
    <t xml:space="preserve">Leases </t>
  </si>
  <si>
    <t xml:space="preserve">Subscription Based Information Technology Arrangements (SBITAs) </t>
  </si>
  <si>
    <r>
      <t xml:space="preserve">Public-Private &amp; Public-Public Partnership Arrangements (PPPs)  </t>
    </r>
    <r>
      <rPr>
        <b/>
        <sz val="11"/>
        <color rgb="FFFF0000"/>
        <rFont val="Calibri"/>
        <family val="2"/>
      </rPr>
      <t>NEW FY 2024</t>
    </r>
  </si>
  <si>
    <t>Summary Table for Leases and SBITAs</t>
  </si>
  <si>
    <t>Changes in Long-Term Liabilities and Short-Term Debt (Governmental)</t>
  </si>
  <si>
    <t>R, N</t>
  </si>
  <si>
    <t>Long-Term and Short-Term Debt (Governmental) (Narrative Only)</t>
  </si>
  <si>
    <t>Changes in Long-Term Liabilities and Short-Term Debt (Business-Type)</t>
  </si>
  <si>
    <t xml:space="preserve">Long-Term and Short-Term Debt (Business-Type) (Narrative Only) </t>
  </si>
  <si>
    <t>Annual Debt Svc Reqmts - Bonds, Special Indebtedness, Notes from Direct Borrowings &amp; Direct Placements - Without Interest Rate Swaps</t>
  </si>
  <si>
    <t>Annual Debt Svc Reqmts - Bonds, Special Indebtedness, Notes from Direct Borrowings &amp; Direct Placements - With Interest Rate Swaps</t>
  </si>
  <si>
    <t>Pollution Remediation Obligations</t>
  </si>
  <si>
    <t xml:space="preserve">Certain Asset Retirement Obligations </t>
  </si>
  <si>
    <t>Pledged Revenue Coverage</t>
  </si>
  <si>
    <t>Disclosure of Pledged Revenues Coverages (Narrative Only)</t>
  </si>
  <si>
    <t>Debt Defeasances</t>
  </si>
  <si>
    <t>Demand Bonds (Narrative Only)</t>
  </si>
  <si>
    <t>Nonexchange Financial Guarantees</t>
  </si>
  <si>
    <t>Derivative Instruments</t>
  </si>
  <si>
    <t xml:space="preserve">Hedging Derivative Instruments </t>
  </si>
  <si>
    <t>Investment Derivative Instruments</t>
  </si>
  <si>
    <t>Contingencies</t>
  </si>
  <si>
    <t>Construction and Other Significant Commitments</t>
  </si>
  <si>
    <t>Subsequent Events/Other Items</t>
  </si>
  <si>
    <t>Related Party Transactions (Narrative Only)</t>
  </si>
  <si>
    <t xml:space="preserve">Restricted Assets  </t>
  </si>
  <si>
    <t>Government Wide - Debt Issuances</t>
  </si>
  <si>
    <t>375-A</t>
  </si>
  <si>
    <t xml:space="preserve">Financial Reporting for Federal Coronavirus (COVID-19) Funds </t>
  </si>
  <si>
    <t>375-B</t>
  </si>
  <si>
    <t>Budget Reporting for Federal Coronavirus (COVID-19) Funds</t>
  </si>
  <si>
    <t>Fund Balance Classifications General Fund</t>
  </si>
  <si>
    <t>Fund Balance Classifications Special Revenue Funds</t>
  </si>
  <si>
    <t>Fund Balance Classifications Capital Projects Funds</t>
  </si>
  <si>
    <t>Fund Balance Classifications Permanent Funds</t>
  </si>
  <si>
    <t xml:space="preserve">Restricted and Unrestricted Net Position - Business Type Activities </t>
  </si>
  <si>
    <t>Stewardship, Compliance, and Accountability</t>
  </si>
  <si>
    <t>430G</t>
  </si>
  <si>
    <t>Restatements Governmental Funds (Part 1 of 2)</t>
  </si>
  <si>
    <t>430BTA</t>
  </si>
  <si>
    <t>Restatements Business Type Activities (Part 1 of 2)</t>
  </si>
  <si>
    <t>430F</t>
  </si>
  <si>
    <t xml:space="preserve">Restatements Fiduciary Activities (Part 1 of 1) </t>
  </si>
  <si>
    <t>431G</t>
  </si>
  <si>
    <t>Restatements Governmental Funds (Part 2 of 2)</t>
  </si>
  <si>
    <t>431BTA</t>
  </si>
  <si>
    <t>Restatements Business Type Activities (Part 2 of 2)</t>
  </si>
  <si>
    <t>431BTA-CU</t>
  </si>
  <si>
    <r>
      <t xml:space="preserve">Restatements Business Type Activities - Component Units (Part 2 of 2) </t>
    </r>
    <r>
      <rPr>
        <b/>
        <sz val="11"/>
        <color rgb="FFFF0000"/>
        <rFont val="Calibri"/>
        <family val="2"/>
      </rPr>
      <t>NEW FY 2024</t>
    </r>
  </si>
  <si>
    <t>431F</t>
  </si>
  <si>
    <r>
      <t xml:space="preserve">Restatements Fiduciary Funds (Part 2 of 2) </t>
    </r>
    <r>
      <rPr>
        <b/>
        <sz val="11"/>
        <color rgb="FFFF0000"/>
        <rFont val="Calibri"/>
        <family val="2"/>
      </rPr>
      <t>NEW FY 2024</t>
    </r>
  </si>
  <si>
    <r>
      <t xml:space="preserve">Schedule of Due To/From - Summary Explanations </t>
    </r>
    <r>
      <rPr>
        <b/>
        <sz val="11"/>
        <color rgb="FFFF0000"/>
        <rFont val="Calibri"/>
        <family val="2"/>
      </rPr>
      <t>NEW FY 2024</t>
    </r>
  </si>
  <si>
    <t>Schedule of Inter-Agency Receivables</t>
  </si>
  <si>
    <t>Schedule of Inter-Agency Payables</t>
  </si>
  <si>
    <t>Schedule of Due From / Restricted Due From Primary Government</t>
  </si>
  <si>
    <t>Schedule of Due To Primary Government</t>
  </si>
  <si>
    <t>Schedule of Due from / Restricted Due From  State of NC Component Units</t>
  </si>
  <si>
    <t>Schedule of Due to State of NC Component Units</t>
  </si>
  <si>
    <t>Schedule of Advances</t>
  </si>
  <si>
    <r>
      <t xml:space="preserve">Schedule Of Transactions Between NC Component Units </t>
    </r>
    <r>
      <rPr>
        <sz val="11"/>
        <color rgb="FFFF0000"/>
        <rFont val="Calibri"/>
        <family val="2"/>
      </rPr>
      <t xml:space="preserve"> </t>
    </r>
    <r>
      <rPr>
        <b/>
        <sz val="11"/>
        <color rgb="FFFF0000"/>
        <rFont val="Calibri"/>
        <family val="2"/>
      </rPr>
      <t>NEW FY 2024</t>
    </r>
  </si>
  <si>
    <r>
      <t xml:space="preserve">Schedule of Transfers -Summary Explanation  </t>
    </r>
    <r>
      <rPr>
        <sz val="11"/>
        <color rgb="FFFF0000"/>
        <rFont val="Calibri"/>
        <family val="2"/>
      </rPr>
      <t xml:space="preserve"> </t>
    </r>
    <r>
      <rPr>
        <b/>
        <sz val="11"/>
        <color rgb="FFFF0000"/>
        <rFont val="Calibri"/>
        <family val="2"/>
      </rPr>
      <t>NEW FY 2024</t>
    </r>
  </si>
  <si>
    <t>Schedule of Interinstitutional Transfers</t>
  </si>
  <si>
    <t>Receivables</t>
  </si>
  <si>
    <r>
      <t>Employer Contribution Amounts for TSERS and OPEB (</t>
    </r>
    <r>
      <rPr>
        <sz val="11"/>
        <color rgb="FF0000FF"/>
        <rFont val="Calibri"/>
        <family val="2"/>
      </rPr>
      <t>Universities only)</t>
    </r>
  </si>
  <si>
    <t xml:space="preserve">University Optional Retirement Program </t>
  </si>
  <si>
    <t>Significant Transactions Between Component Units (required worksheet for all component units)</t>
  </si>
  <si>
    <t>Foundations Survey</t>
  </si>
  <si>
    <t xml:space="preserve">Schedule of Due from / Due to University Component Units  </t>
  </si>
  <si>
    <t>Analysis of Unavailable Revenues</t>
  </si>
  <si>
    <t>Analytical Review</t>
  </si>
  <si>
    <t>Segments</t>
  </si>
  <si>
    <t xml:space="preserve">Tax Abatements </t>
  </si>
  <si>
    <t>Cash and Cash Equivalents in Banks Outside the State Treasurer - Custodial Credit Risk - Deposits</t>
  </si>
  <si>
    <t>Investments Held Outside the State Treasurer - Custodial Credit Risk - Investments</t>
  </si>
  <si>
    <t>Investments Held Outside the State Treasurer - Custodial Credit Risk - Deposits</t>
  </si>
  <si>
    <t>Investments Held Outside the State Treasurer - Interest Rate Risk</t>
  </si>
  <si>
    <t xml:space="preserve">Investments Held Outside the State Treasurer - Credit Risk </t>
  </si>
  <si>
    <t>Investments Held Outside the State Treasurer - Additional Level of Detail</t>
  </si>
  <si>
    <t>Investments Held Outside the State Treasurer - Concentration of Credit Risk</t>
  </si>
  <si>
    <t>Investments Held Outside the State Treasurer - Foreign Currency</t>
  </si>
  <si>
    <t>Investments Held Outside the State Treasurer - Deposit and Investment Policies</t>
  </si>
  <si>
    <t>Investments Held Outside the State Treasurer - Highly Sensitive Investments (Narrative Only)</t>
  </si>
  <si>
    <t>Investments Held Outside the State Treasurer And Derivatives - Fair Value Measurements</t>
  </si>
  <si>
    <t>Investments Held Outside the State Treasurer - Valuation of Investments (formerly 711)</t>
  </si>
  <si>
    <t>Investments Held Outside the State Treasurer - Investments Measured at NAV</t>
  </si>
  <si>
    <t>Investments Held Outside the State Treasurer - External Investment Pools and Pool Participants</t>
  </si>
  <si>
    <t>Offline Proprietary Proforma - Stmt of Net Position &amp; Stmt of Revs, Exps and Chgs in Net Position and Certification of Data file for Universities</t>
  </si>
  <si>
    <t xml:space="preserve">For 905-NCFS Acct Roll-up </t>
  </si>
  <si>
    <t>Reference</t>
  </si>
  <si>
    <t xml:space="preserve">Roll-up tables for the  11P Stmnt of Net Position &amp;  53P Stmnt of Rev, Exp and Changes in Net Position showing NCAS  accts making  up each caption </t>
  </si>
  <si>
    <t>905Hosp</t>
  </si>
  <si>
    <t>Offline Proprietary Proforma for UNC Health Care Reporting Unit- Combining Statement of Net Position &amp; Statement of Revenues, Expenses and Changes in Net Position</t>
  </si>
  <si>
    <t>906-6B</t>
  </si>
  <si>
    <t>Offline Fiduciary Proforma- Stmt of Net Position &amp; Stmt of Chgs in Net Position Deferred Comp-6B</t>
  </si>
  <si>
    <t>906-6C</t>
  </si>
  <si>
    <t xml:space="preserve">Offline Fiduciary Proforma - Stmt of Net Position &amp; Stmt of Chgs in Net Position NC 401(k)-6C </t>
  </si>
  <si>
    <t>906-6BC</t>
  </si>
  <si>
    <t>Offline Fiduciary Proforma - Stmt of Net Position &amp; Stmt of Chgs in Net Position-Combined DefComp&amp;401(k)</t>
  </si>
  <si>
    <t>Offline Custodial Funds Proforma - Stmt of Net Position &amp; Stmt of Chgs in Net Position</t>
  </si>
  <si>
    <t>Offline Governmental Funds Proforma: Balance Sheet and Statement of Revenue, Expenditures and Changes in Fund Balance</t>
  </si>
  <si>
    <t>Offline Proprietary Analytical Review - Computed Variances</t>
  </si>
  <si>
    <t>910Hosp</t>
  </si>
  <si>
    <t>Offline Proprietary Analytical Review for UNC Health Care Rep Unit Combined Pkg- Computed Variances</t>
  </si>
  <si>
    <t>911-6B</t>
  </si>
  <si>
    <t>Offline Fiduciary Analytical Review  - 6B -  Deferred Comp - Computed Variances</t>
  </si>
  <si>
    <t>911-6C</t>
  </si>
  <si>
    <t>Offline Fiduciary Analytical Review - 6C - 401(k) Computed Variances</t>
  </si>
  <si>
    <t>Exp</t>
  </si>
  <si>
    <t>Worksheet Explanations</t>
  </si>
  <si>
    <t>Comm</t>
  </si>
  <si>
    <t>Your Comments and Suggestions</t>
  </si>
  <si>
    <t>AllAgencies</t>
  </si>
  <si>
    <t xml:space="preserve">List of Agency Names and Numbers </t>
  </si>
  <si>
    <t>OSC Analysts</t>
  </si>
  <si>
    <t>List of OSC Statewide Accounting Financial Reporting Analyst Names and Numbers</t>
  </si>
  <si>
    <t>Functional</t>
  </si>
  <si>
    <t>Functional Table to be used for Fund Balance worksheets 401, 405, 410, 415, and 420</t>
  </si>
  <si>
    <t>NetPosition</t>
  </si>
  <si>
    <t>NetPosition and GASB Table for worksheets 905 &amp; 906</t>
  </si>
  <si>
    <t>PriorYr905</t>
  </si>
  <si>
    <t>Prior Year 905 worksheet - SNP &amp; SRECNP for Computed Variances 910 worksheet</t>
  </si>
  <si>
    <t>PriorYr906</t>
  </si>
  <si>
    <t>Prior Yr 906 worksheet - Stmt of Plan Net Position  &amp; Stmnt of Changes in PNP for Variances 911 ws</t>
  </si>
  <si>
    <t>Notes:</t>
  </si>
  <si>
    <t>N = Worksheet Narrative may also need to be completed</t>
  </si>
  <si>
    <t>R = Must also complete Restatements w/s 430 for any prior year adjustment on this worksheet</t>
  </si>
  <si>
    <t>SUMMARY OF SIGNIFICANT ACCOUNTING POLICIES (101)</t>
  </si>
  <si>
    <t>GASB Fund:  All GASB Funds</t>
  </si>
  <si>
    <t>Agency No:</t>
  </si>
  <si>
    <t>Agency Name:</t>
  </si>
  <si>
    <t>Preparer/Phone:</t>
  </si>
  <si>
    <t>1)</t>
  </si>
  <si>
    <r>
      <t xml:space="preserve">INVENTORY VALUATION </t>
    </r>
    <r>
      <rPr>
        <sz val="9"/>
        <rFont val="Arial"/>
        <family val="2"/>
      </rPr>
      <t>(Indicate "NA" if no inventories)</t>
    </r>
  </si>
  <si>
    <t>Inventories owned by the State traditionally have been valued by one of the following methods:</t>
  </si>
  <si>
    <t>-</t>
  </si>
  <si>
    <t>First-in, first-out (FIFO)</t>
  </si>
  <si>
    <t>Retail inventory (book stores)</t>
  </si>
  <si>
    <t>Moving weighted average</t>
  </si>
  <si>
    <t>Last invoice cost</t>
  </si>
  <si>
    <t>Indicate the methods used to value your inventories:</t>
  </si>
  <si>
    <t>GASB Fund No.</t>
  </si>
  <si>
    <t>Valuation Method</t>
  </si>
  <si>
    <t>2)</t>
  </si>
  <si>
    <t>CAPITAL ASSETS</t>
  </si>
  <si>
    <t>Capitalization Policy - *Assets Other Than Leases and SBITAs*</t>
  </si>
  <si>
    <t>The OSC capitalization thresholds are as follows: Internally generated computer software – $ 1 million;</t>
  </si>
  <si>
    <t>Intangible assets (except for internally generated computer software &amp; leases) – $100,000;</t>
  </si>
  <si>
    <t>and all other capital assets - $5,000</t>
  </si>
  <si>
    <t>a)</t>
  </si>
  <si>
    <t>Do you use the above thresholds to capitalize capital assets?</t>
  </si>
  <si>
    <t>YES</t>
  </si>
  <si>
    <t>NO</t>
  </si>
  <si>
    <r>
      <t>If NO</t>
    </r>
    <r>
      <rPr>
        <sz val="9"/>
        <rFont val="Arial"/>
        <family val="2"/>
      </rPr>
      <t>, state your threshold amount(s).</t>
    </r>
  </si>
  <si>
    <t xml:space="preserve">In addition, assets having an estimated useful life of more than one year that are below the $5,000 threshold and </t>
  </si>
  <si>
    <t>not considered repair or mantenance costs are collectively capitalized on the financial statements if the</t>
  </si>
  <si>
    <t>b)</t>
  </si>
  <si>
    <t>Did you evaluate the significance of assets below the $5,000 threshold?</t>
  </si>
  <si>
    <r>
      <rPr>
        <b/>
        <sz val="9"/>
        <color rgb="FF000000"/>
        <rFont val="Arial"/>
        <family val="2"/>
      </rPr>
      <t>If YES</t>
    </r>
    <r>
      <rPr>
        <sz val="9"/>
        <color rgb="FF000000"/>
        <rFont val="Arial"/>
        <family val="2"/>
      </rPr>
      <t>, how did you evaluate.</t>
    </r>
  </si>
  <si>
    <r>
      <rPr>
        <b/>
        <sz val="9"/>
        <color rgb="FF000000"/>
        <rFont val="Arial"/>
        <family val="2"/>
      </rPr>
      <t>If NO</t>
    </r>
    <r>
      <rPr>
        <sz val="9"/>
        <color rgb="FF000000"/>
        <rFont val="Arial"/>
        <family val="2"/>
      </rPr>
      <t>, explain.</t>
    </r>
  </si>
  <si>
    <t>c)</t>
  </si>
  <si>
    <t>Were the aggregate of those assets significant?</t>
  </si>
  <si>
    <t>d)</t>
  </si>
  <si>
    <r>
      <rPr>
        <b/>
        <sz val="9"/>
        <color rgb="FF000000"/>
        <rFont val="Arial"/>
        <family val="2"/>
      </rPr>
      <t>If YES to question #2c</t>
    </r>
    <r>
      <rPr>
        <sz val="9"/>
        <color rgb="FF000000"/>
        <rFont val="Arial"/>
        <family val="2"/>
      </rPr>
      <t xml:space="preserve">, did you capitalize these assets on the financial statements? </t>
    </r>
  </si>
  <si>
    <r>
      <rPr>
        <b/>
        <sz val="9"/>
        <color rgb="FF000000"/>
        <rFont val="Arial"/>
        <family val="2"/>
      </rPr>
      <t>If NO to question #2d</t>
    </r>
    <r>
      <rPr>
        <sz val="9"/>
        <color rgb="FF000000"/>
        <rFont val="Arial"/>
        <family val="2"/>
      </rPr>
      <t>, explain.</t>
    </r>
  </si>
  <si>
    <t>Capitalization Policy - *Leases and SBITAs Only*</t>
  </si>
  <si>
    <t>The OSC capitalization threshold in the primary government is $10,000 or greater for leases and $400,000 or greater for</t>
  </si>
  <si>
    <t>SBITAs of the future lease/SBITA payments through the lease term. Component units may choose a different threshold.</t>
  </si>
  <si>
    <t>e)</t>
  </si>
  <si>
    <t>Do you use the above threshold to capitalize lease assets?</t>
  </si>
  <si>
    <t>f)</t>
  </si>
  <si>
    <t>Do you use the above threshold to capitalize SBITA assets?</t>
  </si>
  <si>
    <t>Proprietary Funds, Agencies Not on NCFS Fixed Assets Module, All Component Units</t>
  </si>
  <si>
    <t>(Otherwise, indicate "NA" below)</t>
  </si>
  <si>
    <t>g)</t>
  </si>
  <si>
    <t>List your method of depreciation (e.g., straight-line, etc.):</t>
  </si>
  <si>
    <t>3)</t>
  </si>
  <si>
    <r>
      <t xml:space="preserve">AMORTIZATION </t>
    </r>
    <r>
      <rPr>
        <sz val="9"/>
        <rFont val="Arial"/>
        <family val="2"/>
      </rPr>
      <t>(STATE TREASURER, TRANSPORTATION, ENTERPRISE FUNDS, AND COMPONENT UNITS ONLY)</t>
    </r>
  </si>
  <si>
    <t>List method for amortizing premiums/discounts on long-term debt and deferred charges on refundings</t>
  </si>
  <si>
    <t>(e.g., straight-line, effective interest, proportionate-to-stated interest requirements).</t>
  </si>
  <si>
    <t>If no long-term bonds were outstanding, indicate “NA”. If amounts are immaterial and are not deferred,</t>
  </si>
  <si>
    <t>just indicate "expensed".</t>
  </si>
  <si>
    <t>Unamortized premiums/discounts:</t>
  </si>
  <si>
    <t>Deferred charges on debt refundings:</t>
  </si>
  <si>
    <t>4)</t>
  </si>
  <si>
    <t>PROGRAM REVENUE</t>
  </si>
  <si>
    <t>Does your agency receive interest as program revenue that is restricted</t>
  </si>
  <si>
    <t>for use in capital projects? (exclude capitalized interest earnings)</t>
  </si>
  <si>
    <t>IF "YES", LIST GASB AND AMOUNT</t>
  </si>
  <si>
    <t>5)</t>
  </si>
  <si>
    <r>
      <t xml:space="preserve">INTERNAL ACTIVITY </t>
    </r>
    <r>
      <rPr>
        <sz val="9"/>
        <rFont val="Arial"/>
        <family val="2"/>
      </rPr>
      <t>(NA FOR COMPONENT UNITS)</t>
    </r>
  </si>
  <si>
    <t>Do you charge other departments (through internal service funds or the general fund) for "centralized expenses"</t>
  </si>
  <si>
    <t>that include an administrative overhead component (in addition to direct expenses)?</t>
  </si>
  <si>
    <t>6)</t>
  </si>
  <si>
    <t>CAPITALIZATION OF ARTWORK, HISTORICAL TREASURES, OR ARTIFACTS</t>
  </si>
  <si>
    <t>Do you have any artwork, historical treasures, or artifacts that are not</t>
  </si>
  <si>
    <t>capitalized?</t>
  </si>
  <si>
    <t>If yes, please describe:</t>
  </si>
  <si>
    <t>7)</t>
  </si>
  <si>
    <r>
      <rPr>
        <b/>
        <sz val="9"/>
        <rFont val="Arial"/>
        <family val="2"/>
      </rPr>
      <t>REPORTING ENTITY</t>
    </r>
    <r>
      <rPr>
        <sz val="9"/>
        <rFont val="Arial"/>
        <family val="2"/>
      </rPr>
      <t xml:space="preserve"> (Component Units Only)</t>
    </r>
  </si>
  <si>
    <r>
      <t xml:space="preserve">During the fiscal year, did you </t>
    </r>
    <r>
      <rPr>
        <u/>
        <sz val="9"/>
        <rFont val="Arial"/>
        <family val="2"/>
      </rPr>
      <t>add or remove</t>
    </r>
    <r>
      <rPr>
        <sz val="9"/>
        <rFont val="Arial"/>
        <family val="2"/>
      </rPr>
      <t xml:space="preserve"> any component units or participate in any new </t>
    </r>
  </si>
  <si>
    <t>joint ventures / jointly governed organizations?</t>
  </si>
  <si>
    <t>If yes, disclose</t>
  </si>
  <si>
    <t>8)</t>
  </si>
  <si>
    <r>
      <rPr>
        <b/>
        <sz val="10"/>
        <color rgb="FF000000"/>
        <rFont val="MS Sans Serif"/>
      </rPr>
      <t xml:space="preserve">Change in Accounting Estimate </t>
    </r>
    <r>
      <rPr>
        <sz val="10"/>
        <color rgb="FFFF0000"/>
        <rFont val="MS Sans Serif"/>
      </rPr>
      <t>(new for FY24 - GASB 100)</t>
    </r>
  </si>
  <si>
    <t xml:space="preserve">Accounting estimates are amounts subject to measurement uncertainty that are recognized or disclosed in the basic </t>
  </si>
  <si>
    <t xml:space="preserve">financial statements. Accounting estimates are outputs determined based on inputs such as data, assumptions, and </t>
  </si>
  <si>
    <t xml:space="preserve">measurement methodologies. A change in accounting estimate occurs when inputs change. Changes to inputs </t>
  </si>
  <si>
    <t>result from a change in circumstance, new information, or more experience.</t>
  </si>
  <si>
    <t xml:space="preserve">During the fiscal year, did your entity implement a change in any measurement metholodogies relating to </t>
  </si>
  <si>
    <t>accounting estimates?</t>
  </si>
  <si>
    <t>If yes, complete the 430 Narrative for change in estimate.</t>
  </si>
  <si>
    <t>a</t>
  </si>
  <si>
    <t>b</t>
  </si>
  <si>
    <t>c</t>
  </si>
  <si>
    <t>d</t>
  </si>
  <si>
    <t>e</t>
  </si>
  <si>
    <t>f</t>
  </si>
  <si>
    <t>g</t>
  </si>
  <si>
    <t>h</t>
  </si>
  <si>
    <t>i</t>
  </si>
  <si>
    <t>j</t>
  </si>
  <si>
    <t>OPERATING INDICATORS BY FUNCTION (105)</t>
  </si>
  <si>
    <t>Instructions to complete worksheet:</t>
  </si>
  <si>
    <t xml:space="preserve">Please locate your agency below and fill in the requested information. </t>
  </si>
  <si>
    <t>Provide explanations for significant changes from the prior year at the bottom of this worksheet.</t>
  </si>
  <si>
    <t>General Government</t>
  </si>
  <si>
    <t>Economic Development</t>
  </si>
  <si>
    <t>Department of Revenue</t>
  </si>
  <si>
    <t xml:space="preserve">Department of Commerce - Division of Employment Security </t>
  </si>
  <si>
    <t>Number of returns filed electronically</t>
  </si>
  <si>
    <t>Total employed</t>
  </si>
  <si>
    <t>Total employed Department of Commerce</t>
  </si>
  <si>
    <t>Number of tax returns processed</t>
  </si>
  <si>
    <t>Percentage of unemployment</t>
  </si>
  <si>
    <t>Number of individual refunds direct deposited</t>
  </si>
  <si>
    <t>Number of individual refunds processed</t>
  </si>
  <si>
    <t>Environment and Natural Resources</t>
  </si>
  <si>
    <t>Number of pieces of incoming mail</t>
  </si>
  <si>
    <t>Department of Environmental Quality</t>
  </si>
  <si>
    <t>Number of pieces of outgoing mail</t>
  </si>
  <si>
    <t>Public drinking water systems in compliance</t>
  </si>
  <si>
    <t>Department of Administration</t>
  </si>
  <si>
    <t>Department of Natural and Cultural Resources</t>
  </si>
  <si>
    <t>Construction projects administered</t>
  </si>
  <si>
    <t>Visitation to state parks</t>
  </si>
  <si>
    <t>Construction value excluding design fee (thousands)</t>
  </si>
  <si>
    <t>Visitation to historical sites and museums</t>
  </si>
  <si>
    <t>Construction value excluding design fee</t>
  </si>
  <si>
    <t>Visitation to state aquariums</t>
  </si>
  <si>
    <t>USS North Carolina Battleship Commission</t>
  </si>
  <si>
    <t>Visitation to NC Zoo</t>
  </si>
  <si>
    <t>Visitation to USS North Carolina Battleship</t>
  </si>
  <si>
    <t>Wildlife Resources Commission</t>
  </si>
  <si>
    <t>Primary and Secondary Education</t>
  </si>
  <si>
    <t>Hunting licenses sold</t>
  </si>
  <si>
    <t>Department of Public Instruction</t>
  </si>
  <si>
    <t>Fishing licenses sold</t>
  </si>
  <si>
    <t>Total students K-12</t>
  </si>
  <si>
    <t>Combination hunting/fishing licenses sold</t>
  </si>
  <si>
    <t>Total students K12</t>
  </si>
  <si>
    <t>Combination hunting fishing licenses sold</t>
  </si>
  <si>
    <t>Total high school graduates</t>
  </si>
  <si>
    <t>Vessels registered</t>
  </si>
  <si>
    <t>Graduate intention to pursue further education</t>
  </si>
  <si>
    <t>Public Safety, Corrections and Regulation</t>
  </si>
  <si>
    <t>Higher Education</t>
  </si>
  <si>
    <t xml:space="preserve">Department of Adult Corrections </t>
  </si>
  <si>
    <t>Community College System Office</t>
  </si>
  <si>
    <t>Incarcerated adult offenders</t>
  </si>
  <si>
    <t>Number of students(annualized FTE)</t>
  </si>
  <si>
    <t>Supervised adult offenders</t>
  </si>
  <si>
    <t>Number of students annualized FTE</t>
  </si>
  <si>
    <t>Number of certificates and degrees awarded</t>
  </si>
  <si>
    <t>Department of Public Safety</t>
  </si>
  <si>
    <t>Number of certificates and degrees awarded CC</t>
  </si>
  <si>
    <t>Juvenile offenders</t>
  </si>
  <si>
    <t>University System (UNC-System Office)</t>
  </si>
  <si>
    <t>Number of regular term students(FTE)</t>
  </si>
  <si>
    <t>Administrative Office of the Courts</t>
  </si>
  <si>
    <t>Cases disposed as a % of cases filed-Superior Court</t>
  </si>
  <si>
    <t>Number of regular term students FTE</t>
  </si>
  <si>
    <t>Cases disposed as a percent of cases filed Superior Court</t>
  </si>
  <si>
    <t>Cases disposed as a % of cases filed-District Court</t>
  </si>
  <si>
    <t>Number of certificates and degrees awarded UNC</t>
  </si>
  <si>
    <t>Cases disposed as a percent of cases filed District Court</t>
  </si>
  <si>
    <t>Health and Human Services</t>
  </si>
  <si>
    <t>Department of Health and Human Services</t>
  </si>
  <si>
    <t>Agriculture</t>
  </si>
  <si>
    <t>Medicaid recipients</t>
  </si>
  <si>
    <t>Department of Agriculture and Consumer Services</t>
  </si>
  <si>
    <t>Food stamp recipients</t>
  </si>
  <si>
    <t>Motor fuel dispensers tested</t>
  </si>
  <si>
    <t>Clients served by mental health facilities</t>
  </si>
  <si>
    <t>Rejection rate</t>
  </si>
  <si>
    <t>Motor Fuel Rejection Rate</t>
  </si>
  <si>
    <t>Clients served by developmental disabilities facilities</t>
  </si>
  <si>
    <t>Retail scales tested</t>
  </si>
  <si>
    <t>Clients served by substance abuse facilities</t>
  </si>
  <si>
    <t>Retail Scale Rejection Rate</t>
  </si>
  <si>
    <t>Clients served by neuro-meds facilities</t>
  </si>
  <si>
    <t>Children served through subsidized child care</t>
  </si>
  <si>
    <t>Participation in special supplemental nutrition program</t>
  </si>
  <si>
    <t>Clients served through 'Work First'</t>
  </si>
  <si>
    <t>NC Health Choice annual enrollment</t>
  </si>
  <si>
    <t>Clients served through Work First</t>
  </si>
  <si>
    <t>Significant Change Explanations (if need additional space, use Explanations tab):</t>
  </si>
  <si>
    <t>PUBLIC-PRIVATE &amp; PUBLIC-PUBLIC PARTNERSHIP ARRANGEMENTS (110)</t>
  </si>
  <si>
    <t xml:space="preserve">GASB Fund No: </t>
  </si>
  <si>
    <t>All Funds</t>
  </si>
  <si>
    <t>GASB Statement 94 establishes accounting and financial reporting standards for public-private and public-public partnership arrangements (PPPs), including service concession arrangements (SCAs), a type of PPP arrangement.  Previously, GASB Statement 60 (superseded by GASB 94) provided guidance for SCAs.</t>
  </si>
  <si>
    <r>
      <t xml:space="preserve">As used in this Statement, a PPP is an arrangement that includes </t>
    </r>
    <r>
      <rPr>
        <b/>
        <u/>
        <sz val="10"/>
        <rFont val="Arial"/>
        <family val="2"/>
      </rPr>
      <t>ALL</t>
    </r>
    <r>
      <rPr>
        <sz val="10"/>
        <rFont val="Arial"/>
        <family val="2"/>
      </rPr>
      <t xml:space="preserve"> of the following elements: </t>
    </r>
  </si>
  <si>
    <r>
      <t xml:space="preserve">A government (the transferor) contracts with an operator (a governmental or nongovernmental entity) </t>
    </r>
    <r>
      <rPr>
        <b/>
        <i/>
        <sz val="10"/>
        <rFont val="Arial"/>
        <family val="2"/>
      </rPr>
      <t>to provide public services;</t>
    </r>
  </si>
  <si>
    <r>
      <t xml:space="preserve">by </t>
    </r>
    <r>
      <rPr>
        <b/>
        <i/>
        <sz val="10"/>
        <rFont val="Arial"/>
        <family val="2"/>
      </rPr>
      <t>conveying control of the right to operate or use a nonfinancial asset</t>
    </r>
    <r>
      <rPr>
        <sz val="10"/>
        <rFont val="Arial"/>
        <family val="2"/>
      </rPr>
      <t>, such as infrastructure or other capital asset (the underlying PPP asset);</t>
    </r>
  </si>
  <si>
    <r>
      <t xml:space="preserve">for a </t>
    </r>
    <r>
      <rPr>
        <b/>
        <i/>
        <sz val="10"/>
        <rFont val="Arial"/>
        <family val="2"/>
      </rPr>
      <t>period of time</t>
    </r>
    <r>
      <rPr>
        <sz val="10"/>
        <rFont val="Arial"/>
        <family val="2"/>
      </rPr>
      <t>; and</t>
    </r>
  </si>
  <si>
    <r>
      <t xml:space="preserve">in an </t>
    </r>
    <r>
      <rPr>
        <b/>
        <i/>
        <sz val="10"/>
        <rFont val="Arial"/>
        <family val="2"/>
      </rPr>
      <t>exchange or exchange-like transaction</t>
    </r>
    <r>
      <rPr>
        <sz val="10"/>
        <rFont val="Arial"/>
        <family val="2"/>
      </rPr>
      <t>.</t>
    </r>
  </si>
  <si>
    <t>Has your agency/university entered into any public-private or public-public partnership arrangements that are</t>
  </si>
  <si>
    <r>
      <t xml:space="preserve">still in force and meet </t>
    </r>
    <r>
      <rPr>
        <b/>
        <u/>
        <sz val="10"/>
        <rFont val="Arial"/>
        <family val="2"/>
      </rPr>
      <t>ALL</t>
    </r>
    <r>
      <rPr>
        <sz val="10"/>
        <rFont val="Arial"/>
        <family val="2"/>
      </rPr>
      <t xml:space="preserve"> of the above criteria (Indicate with an "X")?</t>
    </r>
  </si>
  <si>
    <t>If you answered YES, disclosure is required:</t>
  </si>
  <si>
    <t xml:space="preserve">GASB Statement 94 requires certain disclosures about an agency's or university's PPP arrangements.   </t>
  </si>
  <si>
    <r>
      <t xml:space="preserve">The required disclosures should be provided in the attached </t>
    </r>
    <r>
      <rPr>
        <b/>
        <u/>
        <sz val="10"/>
        <rFont val="Arial"/>
        <family val="2"/>
      </rPr>
      <t>ACFR Package Narratives</t>
    </r>
    <r>
      <rPr>
        <sz val="10"/>
        <rFont val="Arial"/>
        <family val="2"/>
      </rPr>
      <t>.</t>
    </r>
  </si>
  <si>
    <t>NOTE:  Service concession arrangements are a type of PPP arrangement that include additional criteria giving the transferor government additional control over the underlying PPP asset.  While there may be some differences in the accounting guidance under GASB 94 between arrangements that qualify as an SCA and PPP arrangements that do not meet SCA criteria, the narrative disclosure requirements are the same.</t>
  </si>
  <si>
    <t xml:space="preserve">For additional guidance for public-private and public-public partnership arrangements: </t>
  </si>
  <si>
    <t>Financial Reporting Update for GASB 94</t>
  </si>
  <si>
    <t>GOVERNMENT COMBINATIONS AND DISPOSALS OF GOVERNMENT OPERATIONS (120)</t>
  </si>
  <si>
    <t>GASB Statement 69 establishes accounting and financial reporting standards related to government</t>
  </si>
  <si>
    <t>combinations and disposals of government operations. Additional guidance is included as follows:</t>
  </si>
  <si>
    <t>Financial Reporting Update for GASB 69</t>
  </si>
  <si>
    <r>
      <t xml:space="preserve">As used in this Statement, the term </t>
    </r>
    <r>
      <rPr>
        <i/>
        <sz val="10"/>
        <rFont val="Arial"/>
        <family val="2"/>
      </rPr>
      <t>government combinations</t>
    </r>
    <r>
      <rPr>
        <sz val="10"/>
        <rFont val="Arial"/>
        <family val="2"/>
      </rPr>
      <t xml:space="preserve"> includes a variety of transactions referred to</t>
    </r>
  </si>
  <si>
    <t>as mergers, acquisitions, and transfers of operations.</t>
  </si>
  <si>
    <t>a.</t>
  </si>
  <si>
    <t xml:space="preserve">Government mergers include combinations of legally separate entities without the exchange of </t>
  </si>
  <si>
    <t>significant consideration.</t>
  </si>
  <si>
    <t>b.</t>
  </si>
  <si>
    <t>Government acquisitions are transactions in which a government acquires another entitiy,</t>
  </si>
  <si>
    <t>or its operations, in exchange for significant consideration.</t>
  </si>
  <si>
    <t>c.</t>
  </si>
  <si>
    <t xml:space="preserve">Transfers of operations are government combination involving the operations (as defined in paragraph 4 </t>
  </si>
  <si>
    <t>of GASB 69) of a government or nongovernmental entity, rather than a combination of legally separate</t>
  </si>
  <si>
    <t xml:space="preserve">entities, in which no significant consideration is exchanged. </t>
  </si>
  <si>
    <t>Did your agency/university complete a government merger, a government acquisition, a transfer of</t>
  </si>
  <si>
    <t>operations, or a disposal of operations during fiscal year 2024 (Indicate with an "X")?</t>
  </si>
  <si>
    <t xml:space="preserve">If the answer to the above question is "Yes", indicate the type(s) of government combination(s) or disposal of </t>
  </si>
  <si>
    <t>operations:</t>
  </si>
  <si>
    <t>(Indicate with an "X")</t>
  </si>
  <si>
    <t>Government merger</t>
  </si>
  <si>
    <t>Government acquisition</t>
  </si>
  <si>
    <t>Transfer of operations</t>
  </si>
  <si>
    <t>Disposal of operations</t>
  </si>
  <si>
    <t>GASB Statement 69 requires certain disclosures about an agency/university's government combinations and disposals</t>
  </si>
  <si>
    <r>
      <t xml:space="preserve">of government operations.  The required disclosures should be provided in the attached </t>
    </r>
    <r>
      <rPr>
        <b/>
        <u/>
        <sz val="10"/>
        <rFont val="Arial"/>
        <family val="2"/>
      </rPr>
      <t>ACFR Package Narratives</t>
    </r>
    <r>
      <rPr>
        <sz val="10"/>
        <rFont val="Arial"/>
        <family val="2"/>
      </rPr>
      <t>.</t>
    </r>
  </si>
  <si>
    <t>CHANGES  IN  CAPITAL ASSETS (201)</t>
  </si>
  <si>
    <t xml:space="preserve">NA - Agencies with governmental fund assets (GASB 5100) using the NCFS Fixed Asset Module </t>
  </si>
  <si>
    <t>NA - State Health Plan</t>
  </si>
  <si>
    <t>Function:</t>
  </si>
  <si>
    <t>General government</t>
  </si>
  <si>
    <t>GASB Fund No:</t>
  </si>
  <si>
    <t>Place cursor over cell D17 to view comment.</t>
  </si>
  <si>
    <t>Current Year Assets Transferred In</t>
  </si>
  <si>
    <t>Additions</t>
  </si>
  <si>
    <t>Decrease In</t>
  </si>
  <si>
    <t>Adjustments to</t>
  </si>
  <si>
    <t>Current Year</t>
  </si>
  <si>
    <t>CIP</t>
  </si>
  <si>
    <t>Balance</t>
  </si>
  <si>
    <t>July 1, 2023</t>
  </si>
  <si>
    <t>Assets</t>
  </si>
  <si>
    <t>Purchased</t>
  </si>
  <si>
    <t>Donated</t>
  </si>
  <si>
    <t>(Column must</t>
  </si>
  <si>
    <t>Description</t>
  </si>
  <si>
    <t>Transferred Out</t>
  </si>
  <si>
    <t>Retirements</t>
  </si>
  <si>
    <t>Net to Zero)</t>
  </si>
  <si>
    <t>FCCS_OpeningBalanceAdjustment</t>
  </si>
  <si>
    <t>Mvmts_AssetsTransferredIn</t>
  </si>
  <si>
    <t>Mvmts_AssetsTransferredOut</t>
  </si>
  <si>
    <t>Mvmts_PurchasedAdditions</t>
  </si>
  <si>
    <t>Mvmts_DonatedAdditions</t>
  </si>
  <si>
    <t>Mvmts_Retirements</t>
  </si>
  <si>
    <t>Mvmts_DecreaseInCIP</t>
  </si>
  <si>
    <t>A</t>
  </si>
  <si>
    <t>B</t>
  </si>
  <si>
    <t>C</t>
  </si>
  <si>
    <t>D</t>
  </si>
  <si>
    <t>E</t>
  </si>
  <si>
    <t>F</t>
  </si>
  <si>
    <t>G</t>
  </si>
  <si>
    <t>H</t>
  </si>
  <si>
    <t>I</t>
  </si>
  <si>
    <t>Capital assets, non-depreciable:</t>
  </si>
  <si>
    <t>1.  Land  and permanent easements</t>
  </si>
  <si>
    <t>2.  Art, literature, and artifacts</t>
  </si>
  <si>
    <t>3.  Construction in progress</t>
  </si>
  <si>
    <t>3a</t>
  </si>
  <si>
    <t>3a. Computer software in development</t>
  </si>
  <si>
    <t>3b</t>
  </si>
  <si>
    <t>3b. Patents in development</t>
  </si>
  <si>
    <t>3c</t>
  </si>
  <si>
    <t>3c. Other intangible assets</t>
  </si>
  <si>
    <t>Capital assets, depreciable:</t>
  </si>
  <si>
    <t>4.  Buildings</t>
  </si>
  <si>
    <t>5.  Machinery and equipment</t>
  </si>
  <si>
    <t>6.  Art, literature, and artifacts</t>
  </si>
  <si>
    <t>7. General infrastructure</t>
  </si>
  <si>
    <t>8.  NC DOT Highway Network</t>
  </si>
  <si>
    <t>8a</t>
  </si>
  <si>
    <t>8a. NC Toll Road System</t>
  </si>
  <si>
    <t xml:space="preserve">9. Computer software   </t>
  </si>
  <si>
    <t xml:space="preserve">10.Patents  </t>
  </si>
  <si>
    <t>11.Other intangible assets</t>
  </si>
  <si>
    <t>Right to Use Lease assets, depreciable:</t>
  </si>
  <si>
    <t>12. Right to Use Lease Asset- Land  and permanent easements</t>
  </si>
  <si>
    <t>13. Right to Use Lease Asset- Buildings</t>
  </si>
  <si>
    <t>14. Right to Use Lease Asset- Machinery and equipment</t>
  </si>
  <si>
    <t>15. Right to Use Lease Asset- General Infrastructure</t>
  </si>
  <si>
    <r>
      <t xml:space="preserve">16. Right to Use PPP Asset  </t>
    </r>
    <r>
      <rPr>
        <b/>
        <sz val="10"/>
        <color rgb="FFFF0000"/>
        <rFont val="Arial Narrow"/>
        <family val="2"/>
      </rPr>
      <t>NEW 2024</t>
    </r>
  </si>
  <si>
    <t>Subscription assets, depreciable:</t>
  </si>
  <si>
    <t>17. Subscription (SBITA) Asset</t>
  </si>
  <si>
    <t>Total Capital Assets</t>
  </si>
  <si>
    <t>Note:  If a proprietary fund has adjustments to July 1 balances, each adjustment must be reported on the 430BTA and 431BTA/431BTA-CU Restatements worksheet and reflected in the financial statements as a restatement.</t>
  </si>
  <si>
    <t>For each individual project with a CIP, CSID, or PID balance of $25 million or more at 6/30/2024, complete the schedule in an attached "ACFR Package Narrative".  For all remaining</t>
  </si>
  <si>
    <t>projects below the threshold, provide a total of those projects on the narrative worksheet.</t>
  </si>
  <si>
    <t>Narrative NA for component units</t>
  </si>
  <si>
    <t>Errors:</t>
  </si>
  <si>
    <t>GOVERNMENTAL FUND CAPITAL ASSETS (202)</t>
  </si>
  <si>
    <t>NA for Agencies not on the NCFS Fixed Asset Module</t>
  </si>
  <si>
    <t>NA for Proprietary Funds and Component Units</t>
  </si>
  <si>
    <t>GASB Fund:  5100</t>
  </si>
  <si>
    <t>Did your agency receive any donations during the fiscal year ending June 30, 2024?</t>
  </si>
  <si>
    <t xml:space="preserve">Yes </t>
  </si>
  <si>
    <t>No</t>
  </si>
  <si>
    <t>If yes, give the type of asset and the value of the donation below:</t>
  </si>
  <si>
    <t xml:space="preserve">Type of Asset: </t>
  </si>
  <si>
    <t>(i.e. land, bldg, equip, etc)</t>
  </si>
  <si>
    <t xml:space="preserve">Value of donated asset: </t>
  </si>
  <si>
    <t>Has the donated asset been added to the  Fixed Asset Module?</t>
  </si>
  <si>
    <t>If no, give an explanation below.</t>
  </si>
  <si>
    <t xml:space="preserve">Does your agency report Construction in Progress (CIP)? </t>
  </si>
  <si>
    <t>Yes</t>
  </si>
  <si>
    <r>
      <t xml:space="preserve">If yes, provide the following information below and </t>
    </r>
    <r>
      <rPr>
        <b/>
        <sz val="10"/>
        <rFont val="Arial"/>
        <family val="2"/>
      </rPr>
      <t>complete the corresponding narrative, CIP/CSID for Capital Assets</t>
    </r>
    <r>
      <rPr>
        <sz val="10"/>
        <rFont val="Arial"/>
        <family val="2"/>
      </rPr>
      <t>.</t>
    </r>
  </si>
  <si>
    <t>Adjustments</t>
  </si>
  <si>
    <t>Decrease</t>
  </si>
  <si>
    <t>July 1 Balance</t>
  </si>
  <si>
    <t>Write-offs</t>
  </si>
  <si>
    <t>in CIP</t>
  </si>
  <si>
    <t>If you had a decrease in CIP for the fiscal year, you should have a corresponding increase in an asset.  Provide the type</t>
  </si>
  <si>
    <t xml:space="preserve">of asset and the amount added to the asset.  The decrease in CIP column should net to zero.    </t>
  </si>
  <si>
    <t>Type of Asset</t>
  </si>
  <si>
    <t>(i.e bldg, equip, etc)</t>
  </si>
  <si>
    <t xml:space="preserve">Did you record the newly constructed asset in the Fixed Asset Module?  </t>
  </si>
  <si>
    <t>If no, list the asset, cost and an explanation below.</t>
  </si>
  <si>
    <t xml:space="preserve">Does your agency report Computer Software in Development? </t>
  </si>
  <si>
    <r>
      <t xml:space="preserve">If yes, provide the following information below and </t>
    </r>
    <r>
      <rPr>
        <b/>
        <sz val="10"/>
        <rFont val="Arial"/>
        <family val="2"/>
      </rPr>
      <t>complete the corresponding narrative, CIP/CSID for Capital Assets</t>
    </r>
    <r>
      <rPr>
        <sz val="10"/>
        <rFont val="Arial"/>
        <family val="2"/>
      </rPr>
      <t xml:space="preserve">. </t>
    </r>
  </si>
  <si>
    <t xml:space="preserve">Decrease </t>
  </si>
  <si>
    <t xml:space="preserve">Balance </t>
  </si>
  <si>
    <t>in CSID</t>
  </si>
  <si>
    <t>CSID</t>
  </si>
  <si>
    <t xml:space="preserve">Does your agency report Patents in Development?  </t>
  </si>
  <si>
    <t>If yes, provide the following information:</t>
  </si>
  <si>
    <t>PID</t>
  </si>
  <si>
    <t xml:space="preserve">If you had a decrease in computer software in development or patents in development for the fiscal year, you should have a corresponding </t>
  </si>
  <si>
    <t xml:space="preserve">increase in computer software or patents in the Fixed Asset Module.  </t>
  </si>
  <si>
    <t xml:space="preserve">Did you record the newly created software or patent in the Fixed Asset Module? </t>
  </si>
  <si>
    <t>If no, list the software or patent, cost and an explanation below.</t>
  </si>
  <si>
    <t>202</t>
  </si>
  <si>
    <t/>
  </si>
  <si>
    <t>CAPITAL ASSETS RECONCILIATION CERTIFICATION (203)</t>
  </si>
  <si>
    <t>NA for Agencies not on NCFS Fixed Asset Module</t>
  </si>
  <si>
    <t>If you answered yes, the following from the NCFS FAS module can be used as documentation:</t>
  </si>
  <si>
    <t>NCFS Fixed Asset Module - Asset Inquiry Screen under Cash Book Detail provide a screenshot of the Transaction section.</t>
  </si>
  <si>
    <t>NCFS Fixed Asset Number</t>
  </si>
  <si>
    <t xml:space="preserve">Type of Adjustment </t>
  </si>
  <si>
    <t>Cost</t>
  </si>
  <si>
    <r>
      <t xml:space="preserve">If yes, complete the column for </t>
    </r>
    <r>
      <rPr>
        <u/>
        <sz val="10"/>
        <rFont val="Arial"/>
        <family val="2"/>
      </rPr>
      <t xml:space="preserve">Capital Assets GASB 5100 </t>
    </r>
    <r>
      <rPr>
        <sz val="10"/>
        <rFont val="Arial"/>
        <family val="2"/>
      </rPr>
      <t xml:space="preserve">on worksheet 430G-Fund Equity Restatement. </t>
    </r>
  </si>
  <si>
    <t>If you answered yes, the following from the NCFS Fixed Asset Module can be used as documentation:</t>
  </si>
  <si>
    <t>.</t>
  </si>
  <si>
    <t xml:space="preserve"> If you answered yes, please provide the following information for the restated grouped assets.</t>
  </si>
  <si>
    <t>Type of Grouped Asset</t>
  </si>
  <si>
    <t>Cost of Restate Grouped Asset</t>
  </si>
  <si>
    <t>Total Cost of Grouped Assets from Prior Years</t>
  </si>
  <si>
    <t>*Restatement- Grouped Assets IG 2021-1 Sec 5.1</t>
  </si>
  <si>
    <t>* Restatement - Grouped Assets IG 2021-1 Sec 5.1 is the restatement amount to be reported on the ws 430G.</t>
  </si>
  <si>
    <r>
      <t xml:space="preserve">Please complete the column for </t>
    </r>
    <r>
      <rPr>
        <u/>
        <sz val="10"/>
        <rFont val="Arial"/>
        <family val="2"/>
      </rPr>
      <t xml:space="preserve">Capital Assets GASB 5100 </t>
    </r>
    <r>
      <rPr>
        <sz val="10"/>
        <rFont val="Arial"/>
        <family val="2"/>
      </rPr>
      <t xml:space="preserve">on worksheet 430G-Fund Equity Restatement. </t>
    </r>
  </si>
  <si>
    <t>Restatement Amount for Grouped Assets to be reported on WS 430G</t>
  </si>
  <si>
    <r>
      <t xml:space="preserve">capital assets for  </t>
    </r>
    <r>
      <rPr>
        <b/>
        <sz val="10"/>
        <color theme="1"/>
        <rFont val="Arial"/>
        <family val="2"/>
      </rPr>
      <t>[Insert agency name here.]</t>
    </r>
  </si>
  <si>
    <t>Printed Name</t>
  </si>
  <si>
    <t>Title</t>
  </si>
  <si>
    <t>Date</t>
  </si>
  <si>
    <t>ACCUMULATED DEPRECIATION (210)</t>
  </si>
  <si>
    <t>NA - State Health Plan and Agencies with governmental fund assets (GASB 5100) using NCAS Fixed Asset System</t>
  </si>
  <si>
    <t>No Function</t>
  </si>
  <si>
    <t>Place cursor over cell G14 to view comment.</t>
  </si>
  <si>
    <t>Accumulated</t>
  </si>
  <si>
    <t>Depreciation</t>
  </si>
  <si>
    <t>Transfers</t>
  </si>
  <si>
    <t>In/Out</t>
  </si>
  <si>
    <t>Increases</t>
  </si>
  <si>
    <t>Decreases</t>
  </si>
  <si>
    <t>J</t>
  </si>
  <si>
    <t>K</t>
  </si>
  <si>
    <t>L</t>
  </si>
  <si>
    <t>M</t>
  </si>
  <si>
    <t>O</t>
  </si>
  <si>
    <t xml:space="preserve">8a. NC Toll Road System </t>
  </si>
  <si>
    <t>9. Computer software</t>
  </si>
  <si>
    <t>10.Patents</t>
  </si>
  <si>
    <r>
      <t xml:space="preserve">16. Right to Use PPP Asset   </t>
    </r>
    <r>
      <rPr>
        <b/>
        <sz val="10"/>
        <color rgb="FFFF0000"/>
        <rFont val="Arial Narrow"/>
        <family val="2"/>
      </rPr>
      <t>NEW 2024</t>
    </r>
  </si>
  <si>
    <t>Total  Accumulated Depreciation-Capital Assets</t>
  </si>
  <si>
    <t>For BTAs, the increase in accumulated depreciation should tie to depreciation expense on the 53P/operating statement.  If it doesn't, please provide</t>
  </si>
  <si>
    <t>an explanation for the difference.</t>
  </si>
  <si>
    <t>_____________________________________________________________________________________________________________________________________________</t>
  </si>
  <si>
    <t xml:space="preserve">If you have a current year adjustment to accumulated depreciation, place the adjustment in the appropriate accum depr increases/acc depr decreases columns.  Provide an explanation for the </t>
  </si>
  <si>
    <t>adjustment below.</t>
  </si>
  <si>
    <t>____________________________________________________________________________________________________________________________________________</t>
  </si>
  <si>
    <t xml:space="preserve">Note:  If a proprietary fund has an adjustment to the July 1 balance, the adjustment must be reported on the 430BTA and 431BTA/431BTA-CU Restatements worksheet and reflected in the financial statements as a restatement.  </t>
  </si>
  <si>
    <t>CAPITAL ASSET IMPAIRMENTS (215)</t>
  </si>
  <si>
    <t>All funds</t>
  </si>
  <si>
    <t>Note:  This worksheet should only be completed by State agencies and</t>
  </si>
  <si>
    <t>Universities (i.e., N/A for all component units, except universities).</t>
  </si>
  <si>
    <t xml:space="preserve">GASB Statement No. 42 establishes accounting and financial reporting standards for impairment of </t>
  </si>
  <si>
    <r>
      <t xml:space="preserve">capital assets.  A capital asset is considered impaired when its service utility has declined </t>
    </r>
    <r>
      <rPr>
        <b/>
        <sz val="10"/>
        <rFont val="Arial"/>
        <family val="2"/>
      </rPr>
      <t>significantly</t>
    </r>
  </si>
  <si>
    <r>
      <rPr>
        <b/>
        <sz val="10"/>
        <rFont val="Arial"/>
        <family val="2"/>
      </rPr>
      <t>and unexpectedly</t>
    </r>
    <r>
      <rPr>
        <sz val="10"/>
        <rFont val="Arial"/>
        <family val="2"/>
      </rPr>
      <t>. Additional guidance is included in the Impairment of Capital Assets Policy:</t>
    </r>
  </si>
  <si>
    <t>NC OSC Policy 102.13</t>
  </si>
  <si>
    <r>
      <rPr>
        <b/>
        <u/>
        <sz val="10"/>
        <rFont val="Arial"/>
        <family val="2"/>
      </rPr>
      <t>Examples</t>
    </r>
    <r>
      <rPr>
        <sz val="10"/>
        <rFont val="Arial"/>
        <family val="2"/>
      </rPr>
      <t xml:space="preserve"> – Abandonment of a software project, prison closure, building damaged during a natural</t>
    </r>
  </si>
  <si>
    <t>disaster, mold remediation, and asbestos removal.</t>
  </si>
  <si>
    <t>If your agency has any impaired capital assets with material carrying values, provide the following:</t>
  </si>
  <si>
    <t>1.</t>
  </si>
  <si>
    <t>A general description of the impairment in attached "ACFR Package Narratives".</t>
  </si>
  <si>
    <t>2.</t>
  </si>
  <si>
    <t>The carrying amount of impaired capital assets that were idle at year-end,</t>
  </si>
  <si>
    <t>regardless of whether the impairment is considered permanent or temporary.</t>
  </si>
  <si>
    <r>
      <t xml:space="preserve">(Note: </t>
    </r>
    <r>
      <rPr>
        <i/>
        <sz val="10"/>
        <rFont val="Arial"/>
        <family val="2"/>
      </rPr>
      <t>For governmental activities, provide historical cost</t>
    </r>
    <r>
      <rPr>
        <sz val="10"/>
        <rFont val="Arial"/>
        <family val="2"/>
      </rPr>
      <t>)</t>
    </r>
  </si>
  <si>
    <t>3.</t>
  </si>
  <si>
    <t>For right to use leased assets - disclose the impairment loss and any related change</t>
  </si>
  <si>
    <t xml:space="preserve"> in the lease liability in the attached "ACFR Package Narratives".</t>
  </si>
  <si>
    <t>4.</t>
  </si>
  <si>
    <t>For SBITA assets - disclose the impairment loss and any related change</t>
  </si>
  <si>
    <t xml:space="preserve"> in the subscription liability in the attached "ACFR Package Narratives".</t>
  </si>
  <si>
    <r>
      <t>Primary Government Only</t>
    </r>
    <r>
      <rPr>
        <sz val="10"/>
        <rFont val="Arial"/>
        <family val="2"/>
      </rPr>
      <t xml:space="preserve"> (</t>
    </r>
    <r>
      <rPr>
        <i/>
        <sz val="10"/>
        <rFont val="Arial"/>
        <family val="2"/>
      </rPr>
      <t>State Agencies</t>
    </r>
    <r>
      <rPr>
        <sz val="10"/>
        <rFont val="Arial"/>
        <family val="2"/>
      </rPr>
      <t>)</t>
    </r>
  </si>
  <si>
    <t>5.</t>
  </si>
  <si>
    <r>
      <t>(a)  The historical cost of impaired capital assets (</t>
    </r>
    <r>
      <rPr>
        <i/>
        <sz val="10"/>
        <rFont val="Arial"/>
        <family val="2"/>
      </rPr>
      <t xml:space="preserve">include any </t>
    </r>
  </si>
  <si>
    <r>
      <t>additions and improvements</t>
    </r>
    <r>
      <rPr>
        <sz val="10"/>
        <rFont val="Arial"/>
        <family val="2"/>
      </rPr>
      <t>).</t>
    </r>
  </si>
  <si>
    <r>
      <t>(b)  Less: Accumulated depreciation (</t>
    </r>
    <r>
      <rPr>
        <i/>
        <sz val="10"/>
        <rFont val="Arial"/>
        <family val="2"/>
      </rPr>
      <t>Proprietary funds only</t>
    </r>
    <r>
      <rPr>
        <sz val="10"/>
        <rFont val="Arial"/>
        <family val="2"/>
      </rPr>
      <t>) (enter as negative).</t>
    </r>
  </si>
  <si>
    <t>(c)  Carrying value of impaired capital assets.</t>
  </si>
  <si>
    <t>6.</t>
  </si>
  <si>
    <t>The amount of insurance recoveries recognized during the fiscal year</t>
  </si>
  <si>
    <t>that were associated with impaired capital assets.</t>
  </si>
  <si>
    <t>Universities Only:</t>
  </si>
  <si>
    <t>7.</t>
  </si>
  <si>
    <r>
      <t>(a)  The gross amount of impairment losses on capital assets (</t>
    </r>
    <r>
      <rPr>
        <i/>
        <sz val="10"/>
        <rFont val="Arial"/>
        <family val="2"/>
      </rPr>
      <t>the portion</t>
    </r>
  </si>
  <si>
    <t>of historical cost that was written off).</t>
  </si>
  <si>
    <t>(b)  Less: The amount of insurance recoveries to be netted against above.</t>
  </si>
  <si>
    <t xml:space="preserve">      (enter as negative).</t>
  </si>
  <si>
    <t>(c)  Net impairment loss (or gain) recognized during the fiscal year.</t>
  </si>
  <si>
    <t>8.</t>
  </si>
  <si>
    <t xml:space="preserve">The amount of any insurance recoveries not netted against impairment </t>
  </si>
  <si>
    <r>
      <t xml:space="preserve">losses and recognized as </t>
    </r>
    <r>
      <rPr>
        <u/>
        <sz val="10"/>
        <rFont val="Arial"/>
        <family val="2"/>
      </rPr>
      <t>nonoperating revenues</t>
    </r>
    <r>
      <rPr>
        <sz val="10"/>
        <rFont val="Arial"/>
        <family val="2"/>
      </rPr>
      <t>.</t>
    </r>
  </si>
  <si>
    <t>9.</t>
  </si>
  <si>
    <r>
      <t xml:space="preserve">losses and recognized as </t>
    </r>
    <r>
      <rPr>
        <u/>
        <sz val="10"/>
        <rFont val="Arial"/>
        <family val="2"/>
      </rPr>
      <t>extraordinary items</t>
    </r>
    <r>
      <rPr>
        <sz val="10"/>
        <rFont val="Arial"/>
        <family val="2"/>
      </rPr>
      <t>.</t>
    </r>
  </si>
  <si>
    <t>Disclosures:</t>
  </si>
  <si>
    <t>GASB Statement No. 42 requires certain disclosures about an agency's impaired capital assets. The required</t>
  </si>
  <si>
    <r>
      <t xml:space="preserve">disclosures should be provided in the attached </t>
    </r>
    <r>
      <rPr>
        <b/>
        <u/>
        <sz val="10"/>
        <rFont val="Arial"/>
        <family val="2"/>
      </rPr>
      <t>ACFR Package Narratives</t>
    </r>
    <r>
      <rPr>
        <sz val="10"/>
        <rFont val="Arial"/>
        <family val="2"/>
      </rPr>
      <t>.</t>
    </r>
  </si>
  <si>
    <t xml:space="preserve">CAPITAL ASSET STATISTICS (220) </t>
  </si>
  <si>
    <t>Instructions to complete this worksheet:</t>
  </si>
  <si>
    <r>
      <t>Please locate your agency below and fill in the requested information (</t>
    </r>
    <r>
      <rPr>
        <b/>
        <u/>
        <sz val="10"/>
        <rFont val="Arial"/>
        <family val="2"/>
      </rPr>
      <t>not dollar values</t>
    </r>
    <r>
      <rPr>
        <sz val="10"/>
        <rFont val="Arial"/>
        <family val="2"/>
      </rPr>
      <t>).</t>
    </r>
  </si>
  <si>
    <t>Entity</t>
  </si>
  <si>
    <t>Account</t>
  </si>
  <si>
    <t>FS</t>
  </si>
  <si>
    <t>Function</t>
  </si>
  <si>
    <t>Budget Code</t>
  </si>
  <si>
    <t xml:space="preserve">Primary Government </t>
  </si>
  <si>
    <t>Number of buildings</t>
  </si>
  <si>
    <t>All GASB Funds</t>
  </si>
  <si>
    <t>Gen Gov</t>
  </si>
  <si>
    <t>Y</t>
  </si>
  <si>
    <t>Number of parking lots</t>
  </si>
  <si>
    <t>Number of parking spaces</t>
  </si>
  <si>
    <t xml:space="preserve">Number of Motor Fleet vehicles </t>
  </si>
  <si>
    <t>Number of Motor Fleet vehicles</t>
  </si>
  <si>
    <t>Number of Mental Health Institutions</t>
  </si>
  <si>
    <t>No FS</t>
  </si>
  <si>
    <t>HHS</t>
  </si>
  <si>
    <t>Number of certified beds</t>
  </si>
  <si>
    <t>Number of state park lands</t>
  </si>
  <si>
    <t>ENR</t>
  </si>
  <si>
    <t>Acres of state park lands</t>
  </si>
  <si>
    <t>Number of state recreation areas</t>
  </si>
  <si>
    <t>Acres of state recreation areas</t>
  </si>
  <si>
    <t>Number of state natural areas</t>
  </si>
  <si>
    <t>Acres of state natural areas</t>
  </si>
  <si>
    <t>Number of state lakes</t>
  </si>
  <si>
    <t>Acres of state lakes</t>
  </si>
  <si>
    <t>Number of zoo animals</t>
  </si>
  <si>
    <t xml:space="preserve">Number of vehicles </t>
  </si>
  <si>
    <t>Number of vehicles</t>
  </si>
  <si>
    <t>Number of boats/trailers</t>
  </si>
  <si>
    <t>Number of aircraft</t>
  </si>
  <si>
    <t>Number of scientific equipment</t>
  </si>
  <si>
    <t>Number of Game Lands</t>
  </si>
  <si>
    <t>Acres of Game Lands</t>
  </si>
  <si>
    <t>Number of close security prisons</t>
  </si>
  <si>
    <t>Public Safety</t>
  </si>
  <si>
    <t>Number of medium security prisons</t>
  </si>
  <si>
    <t>Number of minimum security prisons</t>
  </si>
  <si>
    <t>Number of Adult Correction Vehicles:</t>
  </si>
  <si>
    <t xml:space="preserve">     Passenger/Cargo vans</t>
  </si>
  <si>
    <t>Passenger/Cargo vans</t>
  </si>
  <si>
    <t>Adult Correction Vehicles</t>
  </si>
  <si>
    <t xml:space="preserve">     Inmate transfer vans/buses</t>
  </si>
  <si>
    <t>Inmate transfer vans/buses</t>
  </si>
  <si>
    <t xml:space="preserve">     Inmate workcrew vans/buses</t>
  </si>
  <si>
    <t>Inmate workcrew vans/buses</t>
  </si>
  <si>
    <t xml:space="preserve">     Pickup trucks</t>
  </si>
  <si>
    <t>Pickup trucks</t>
  </si>
  <si>
    <t xml:space="preserve">     Roving patrol pickups</t>
  </si>
  <si>
    <t>Roving patrol pickups</t>
  </si>
  <si>
    <t xml:space="preserve">     One ton maintenance trucks</t>
  </si>
  <si>
    <t>One ton maintenance trucks</t>
  </si>
  <si>
    <t xml:space="preserve">     Other/Specialty trucks</t>
  </si>
  <si>
    <t>Other/Specialty trucks</t>
  </si>
  <si>
    <t>Number of Enterprise vehicles:</t>
  </si>
  <si>
    <t>Enterprise Vehicles</t>
  </si>
  <si>
    <t xml:space="preserve">     Inmate workcrew buses</t>
  </si>
  <si>
    <t>Inmate workcrew buses</t>
  </si>
  <si>
    <t xml:space="preserve">Department of Public Safety </t>
  </si>
  <si>
    <t>Youth facilities</t>
  </si>
  <si>
    <t>Number of vehicles:</t>
  </si>
  <si>
    <t>Alcohol Law Enforcement</t>
  </si>
  <si>
    <t xml:space="preserve">     Cars/SUVs</t>
  </si>
  <si>
    <t>Cars/SUV's</t>
  </si>
  <si>
    <t>Alcohol Law Enforcement Vehicles</t>
  </si>
  <si>
    <t>State Highway Patrol</t>
  </si>
  <si>
    <t xml:space="preserve">     Cars</t>
  </si>
  <si>
    <t>Cars</t>
  </si>
  <si>
    <t>State Highway Patrol Vehicles</t>
  </si>
  <si>
    <t xml:space="preserve">     Trucks/Vans</t>
  </si>
  <si>
    <t>Trucks/Vans</t>
  </si>
  <si>
    <t xml:space="preserve">     Motorcycles</t>
  </si>
  <si>
    <t>Motorcycles</t>
  </si>
  <si>
    <t>Aircraft:</t>
  </si>
  <si>
    <t xml:space="preserve">     Helicopters</t>
  </si>
  <si>
    <t>Helicopters</t>
  </si>
  <si>
    <t>State Highway Patrol Aircraft</t>
  </si>
  <si>
    <t>State Bureau of Investigation</t>
  </si>
  <si>
    <t>State Bureau of Investigation Vehicles</t>
  </si>
  <si>
    <t>Transportation</t>
  </si>
  <si>
    <t>Department of Transportation</t>
  </si>
  <si>
    <t>Infrastructure Assets:</t>
  </si>
  <si>
    <t xml:space="preserve">     Pavement (in lane-miles):</t>
  </si>
  <si>
    <t xml:space="preserve">          Primary subsystem</t>
  </si>
  <si>
    <t>Primary subsystem</t>
  </si>
  <si>
    <t>Infrastructure Assets</t>
  </si>
  <si>
    <t>Trans</t>
  </si>
  <si>
    <t xml:space="preserve">         Secondary subsystem</t>
  </si>
  <si>
    <t>Secondary subsystem</t>
  </si>
  <si>
    <t xml:space="preserve">    Bridges:</t>
  </si>
  <si>
    <t xml:space="preserve">         Number of bridges</t>
  </si>
  <si>
    <t>Number of bridges</t>
  </si>
  <si>
    <t>Bridges</t>
  </si>
  <si>
    <t xml:space="preserve">         Number of culverts</t>
  </si>
  <si>
    <t>Number of culverts</t>
  </si>
  <si>
    <t xml:space="preserve">    Vehicles</t>
  </si>
  <si>
    <t>Vehicles</t>
  </si>
  <si>
    <t xml:space="preserve">    Heavy Equipment</t>
  </si>
  <si>
    <t>Heavy Equipment</t>
  </si>
  <si>
    <t>Component Units</t>
  </si>
  <si>
    <t>Community Colleges</t>
  </si>
  <si>
    <t>Higher Ed</t>
  </si>
  <si>
    <t>Universities</t>
  </si>
  <si>
    <t>Number of academic/administrative buildings</t>
  </si>
  <si>
    <t>Number of dormitories/auxiliary buildings</t>
  </si>
  <si>
    <t>Number of medical school buildings - East Carolina Only</t>
  </si>
  <si>
    <t>University system hospitals (UNC HealthCare)</t>
  </si>
  <si>
    <t xml:space="preserve">     Number of administration buildings</t>
  </si>
  <si>
    <t>Number of administration buildings</t>
  </si>
  <si>
    <t xml:space="preserve">     Number of clinical buildings</t>
  </si>
  <si>
    <t>Number of clinical buildings</t>
  </si>
  <si>
    <t xml:space="preserve">     Number of facility services</t>
  </si>
  <si>
    <t>Number of facility services</t>
  </si>
  <si>
    <t xml:space="preserve">     Number of hospitals</t>
  </si>
  <si>
    <t>Number of hospitals</t>
  </si>
  <si>
    <t>LEASES  (301)</t>
  </si>
  <si>
    <t>NA for Component Units, except Universities</t>
  </si>
  <si>
    <t xml:space="preserve">Per GASB 87, leases are no longer classified as operating or capital.  </t>
  </si>
  <si>
    <t>A lease is defined as a contract that conveys control of the right to use another entity's non-financial asset as specified</t>
  </si>
  <si>
    <t>in a contract for a period of time in an exchange or an exchange-like transaction.  Leasing Arrangements as defined</t>
  </si>
  <si>
    <t>by GASB 87 are financings of the right to use leased asset.</t>
  </si>
  <si>
    <t>– Report leases in Governmental Funds (1XXX to 13XX) and Internal Service Funds (GASB 27XX) as Governmental Activities.</t>
  </si>
  <si>
    <t>Note: Internal service funds are considered Governmental Activities for Government-wide presentation for the ACFR.</t>
  </si>
  <si>
    <t>– Report leases in Enterprise Funds (GASB 25XX) and Universities (GASB 4XXX) under Business-Type Activities.</t>
  </si>
  <si>
    <t>– The lease liability reported by the University in the University Foundations column should agree with the</t>
  </si>
  <si>
    <t xml:space="preserve">   lease liability reported by the University foundation on the foundation template.</t>
  </si>
  <si>
    <t>I.</t>
  </si>
  <si>
    <t>Lessee:</t>
  </si>
  <si>
    <t>Complete the following schedule for required lease disclosures:</t>
  </si>
  <si>
    <t>GovtAct</t>
  </si>
  <si>
    <t>BTAAct</t>
  </si>
  <si>
    <t>UnivFounds</t>
  </si>
  <si>
    <t>Lease</t>
  </si>
  <si>
    <t>Principal_Lease</t>
  </si>
  <si>
    <t>Interest_Lease</t>
  </si>
  <si>
    <t>Payments</t>
  </si>
  <si>
    <t>Governmental Activities</t>
  </si>
  <si>
    <t>Business-Type Activities</t>
  </si>
  <si>
    <t>University Foundations</t>
  </si>
  <si>
    <t>for Fiscal Year</t>
  </si>
  <si>
    <t xml:space="preserve">Principal </t>
  </si>
  <si>
    <t xml:space="preserve">Interest </t>
  </si>
  <si>
    <t>CLGA</t>
  </si>
  <si>
    <t>CLBTA</t>
  </si>
  <si>
    <t>UF</t>
  </si>
  <si>
    <t>Op</t>
  </si>
  <si>
    <t>Y1</t>
  </si>
  <si>
    <t>Cap</t>
  </si>
  <si>
    <t>Y2</t>
  </si>
  <si>
    <t>Y3</t>
  </si>
  <si>
    <t>Y4</t>
  </si>
  <si>
    <t>Y5</t>
  </si>
  <si>
    <t>Y6-Y10</t>
  </si>
  <si>
    <t>Y11-Y15</t>
  </si>
  <si>
    <t>Y16-Y20</t>
  </si>
  <si>
    <t>Y21-Y25</t>
  </si>
  <si>
    <t>Y26-Y30</t>
  </si>
  <si>
    <t>Y31-Y35</t>
  </si>
  <si>
    <t>Y36-Y39</t>
  </si>
  <si>
    <t>Y40-Y44</t>
  </si>
  <si>
    <t>Y45-Y49</t>
  </si>
  <si>
    <t>Y50-Beyond</t>
  </si>
  <si>
    <t xml:space="preserve">Total </t>
  </si>
  <si>
    <t xml:space="preserve">    *Lease Liability (Principal)</t>
  </si>
  <si>
    <t>*  NOTE:</t>
  </si>
  <si>
    <t>These balances must agree to Leases Liability on the balance sheet.</t>
  </si>
  <si>
    <t>(1)</t>
  </si>
  <si>
    <r>
      <rPr>
        <b/>
        <u/>
        <sz val="10"/>
        <rFont val="Arial Narrow"/>
        <family val="2"/>
      </rPr>
      <t>Universities Only</t>
    </r>
    <r>
      <rPr>
        <sz val="10"/>
        <rFont val="Arial Narrow"/>
        <family val="2"/>
      </rPr>
      <t xml:space="preserve">: Leases of discretely presented component unit foundations should be reported separately in the "University Foundations" column.  </t>
    </r>
  </si>
  <si>
    <t>The total of the "Business-type Activities" and the "University Foundations" columns must agree to Leases Liability on the balance sheet.</t>
  </si>
  <si>
    <r>
      <t>Additional disclosures are required in the attached</t>
    </r>
    <r>
      <rPr>
        <b/>
        <u/>
        <sz val="9.75"/>
        <rFont val="Arial"/>
        <family val="2"/>
      </rPr>
      <t xml:space="preserve"> ACFR Package Narratives</t>
    </r>
    <r>
      <rPr>
        <b/>
        <sz val="9.75"/>
        <rFont val="Arial"/>
        <family val="2"/>
      </rPr>
      <t xml:space="preserve"> for yes responses provided. </t>
    </r>
  </si>
  <si>
    <t xml:space="preserve">Do you have a lease with a component unit of the State? </t>
  </si>
  <si>
    <t xml:space="preserve">                                       Yes</t>
  </si>
  <si>
    <t xml:space="preserve">No </t>
  </si>
  <si>
    <r>
      <t xml:space="preserve">If yes, provide the component unit the lease is with and the amount of the lease along with the required disclosure in the attached </t>
    </r>
    <r>
      <rPr>
        <b/>
        <u/>
        <sz val="10"/>
        <rFont val="Arial"/>
        <family val="2"/>
      </rPr>
      <t>ACFR Package Narratives.</t>
    </r>
    <r>
      <rPr>
        <b/>
        <sz val="10"/>
        <rFont val="Arial"/>
        <family val="2"/>
      </rPr>
      <t xml:space="preserve"> </t>
    </r>
  </si>
  <si>
    <t xml:space="preserve">Component Unit/ lease amount </t>
  </si>
  <si>
    <t>Confirm lease liability reported on line 55 above with the Lessor's lease receivable.</t>
  </si>
  <si>
    <t>Contact Name/email</t>
  </si>
  <si>
    <t xml:space="preserve">Date Confirmed </t>
  </si>
  <si>
    <t xml:space="preserve">Component units only - Do you have a lease with a primary government agency of the State? </t>
  </si>
  <si>
    <t xml:space="preserve">   Yes</t>
  </si>
  <si>
    <r>
      <t xml:space="preserve">If yes, provide the primary government agency the lease is with and the amount of the lease along with the required disclosure in the attached </t>
    </r>
    <r>
      <rPr>
        <b/>
        <u/>
        <sz val="10"/>
        <rFont val="Arial"/>
        <family val="2"/>
      </rPr>
      <t>ACFR Package Narratives</t>
    </r>
    <r>
      <rPr>
        <b/>
        <sz val="10"/>
        <rFont val="Arial"/>
        <family val="2"/>
      </rPr>
      <t xml:space="preserve">. </t>
    </r>
  </si>
  <si>
    <t xml:space="preserve">Primary government agency/lease amount </t>
  </si>
  <si>
    <t>Confirm lease liability reported on line 62 above with the Lessor's lease receivable.</t>
  </si>
  <si>
    <t>II.</t>
  </si>
  <si>
    <t>Lessor:</t>
  </si>
  <si>
    <t xml:space="preserve">Did you report lease receivables in your financial statements?  </t>
  </si>
  <si>
    <t xml:space="preserve">                                         Yes</t>
  </si>
  <si>
    <r>
      <t xml:space="preserve">If yes, additional disclosures are required in the attached </t>
    </r>
    <r>
      <rPr>
        <b/>
        <u/>
        <sz val="9.75"/>
        <rFont val="Arial"/>
        <family val="2"/>
      </rPr>
      <t>ACFR Package Narratives</t>
    </r>
    <r>
      <rPr>
        <b/>
        <sz val="9.75"/>
        <rFont val="Arial"/>
        <family val="2"/>
      </rPr>
      <t xml:space="preserve">. </t>
    </r>
  </si>
  <si>
    <t xml:space="preserve">Do you have a lease receivable with a component unit of the State? </t>
  </si>
  <si>
    <t xml:space="preserve">                            Yes</t>
  </si>
  <si>
    <r>
      <t xml:space="preserve">If yes, provide the component unit the lease receivable is with and the amount of the receivable along with the required disclosure in the attached </t>
    </r>
    <r>
      <rPr>
        <b/>
        <u/>
        <sz val="10"/>
        <rFont val="Arial"/>
        <family val="2"/>
      </rPr>
      <t>ACFR Package Narratives</t>
    </r>
    <r>
      <rPr>
        <b/>
        <sz val="10"/>
        <rFont val="Arial"/>
        <family val="2"/>
      </rPr>
      <t xml:space="preserve">. </t>
    </r>
  </si>
  <si>
    <t xml:space="preserve">Component Unit /lease receivable amount </t>
  </si>
  <si>
    <t>Confirm lease receivable reported on line 76 above with the Lessee's lease liability.</t>
  </si>
  <si>
    <t xml:space="preserve">Component units only -Do you have a lease receivable with a primary government agency of the State? </t>
  </si>
  <si>
    <r>
      <t xml:space="preserve">If yes, provide the primary government agency the lease receivable is with and the amount of the lease receivable along with the required disclosure in the attached </t>
    </r>
    <r>
      <rPr>
        <b/>
        <u/>
        <sz val="10"/>
        <color theme="1"/>
        <rFont val="Arial"/>
        <family val="2"/>
      </rPr>
      <t xml:space="preserve">ACFR Package Narratives. </t>
    </r>
  </si>
  <si>
    <t xml:space="preserve">Primary government agency/ lease receivable amt </t>
  </si>
  <si>
    <t>Confirm lease receivable reported on line 83 above with the Lessee's lease liability.</t>
  </si>
  <si>
    <t>Subscription Based Information Technology Arrangements - SBITAs  (302)</t>
  </si>
  <si>
    <t>Per GASB 96, a SBITA is a contract that conveys control of the right to use another party's (a SBITA vendor's  IT software, alone or in a combination with tangible capital assets (the underlying IT assets), as specified in the contract for a period of time in an exchange or an exchange-like transaction.</t>
  </si>
  <si>
    <t>– Report SBITAS in Governmental Funds (1XXX to 13XX) and Internal Service Funds (GASB 27XX) as Governmental Activities.</t>
  </si>
  <si>
    <t>– Report SBITAS in Enterprise Funds (GASB 25XX) and Universities (GASB 4XXX) under Business-Type Activities.</t>
  </si>
  <si>
    <t>–The subscription liability reported by the University in the University Foundations column should agree with the subscription liability reported by the University Foundation on the Foundation template.</t>
  </si>
  <si>
    <t>Complete the following schedule for required SBITA disclosures:</t>
  </si>
  <si>
    <t>SBITA</t>
  </si>
  <si>
    <t>Principal_SBITAs</t>
  </si>
  <si>
    <t>Interest_SBITAs</t>
  </si>
  <si>
    <t>Total</t>
  </si>
  <si>
    <t xml:space="preserve">*Subscription Liability (Principal) </t>
  </si>
  <si>
    <t xml:space="preserve">  NOTE:</t>
  </si>
  <si>
    <t>These balances must agree to Subscription (SBITA) Liability on the balance sheet.</t>
  </si>
  <si>
    <r>
      <rPr>
        <b/>
        <u/>
        <sz val="10"/>
        <rFont val="Arial Narrow"/>
        <family val="2"/>
      </rPr>
      <t>Universities Only</t>
    </r>
    <r>
      <rPr>
        <sz val="10"/>
        <rFont val="Arial Narrow"/>
        <family val="2"/>
      </rPr>
      <t xml:space="preserve">: SBITA of discretely presented component unit foundations should be reported separately in the "University Foundations" column.  </t>
    </r>
  </si>
  <si>
    <t>The total of the "Business-type Activities" and the "University Foundations" columns must agree to Subscription Liability on the balance sheet.</t>
  </si>
  <si>
    <r>
      <t xml:space="preserve">Additional disclosures may be required - see </t>
    </r>
    <r>
      <rPr>
        <b/>
        <u/>
        <sz val="9.75"/>
        <rFont val="Arial"/>
        <family val="2"/>
      </rPr>
      <t>ACFR Package Narratives (Worksheet 302 - SBITAs)</t>
    </r>
    <r>
      <rPr>
        <b/>
        <sz val="9.75"/>
        <rFont val="Arial"/>
        <family val="2"/>
      </rPr>
      <t xml:space="preserve">. </t>
    </r>
  </si>
  <si>
    <t>Public-Private and Public-Public Partnerships - PPPs (303)</t>
  </si>
  <si>
    <t>GASB State No 94 requires that operators in public-private and public public partnership arrangements disclose</t>
  </si>
  <si>
    <t>the principal and interest requirements to maturity, presented separtely, for the liability for installment payments</t>
  </si>
  <si>
    <t xml:space="preserve">for each of the five subsequent fiscal years and in five-year increments thereafter.  </t>
  </si>
  <si>
    <t>– Report PPP liabilities in Governmental Funds (1XXX to 13XX) and Internal Service Funds (GASB 27XX) as Governmental Activities.</t>
  </si>
  <si>
    <t>– Report PPP liabilities in Enterprise Funds (GASB 25XX) and Universities (GASB 4XXX) under Business-Type Activities.</t>
  </si>
  <si>
    <t>– Any PPP liability reported by the University in the University Foundations column should agree with the</t>
  </si>
  <si>
    <t xml:space="preserve">   the PPP liability reported by the University foundation on the foundation template.</t>
  </si>
  <si>
    <t>Operators</t>
  </si>
  <si>
    <t>Complete the following schedule for required PPP arrangement disclosures:</t>
  </si>
  <si>
    <t>PPP Liability</t>
  </si>
  <si>
    <t>Principal_PPP</t>
  </si>
  <si>
    <t>Interest_PPP</t>
  </si>
  <si>
    <t xml:space="preserve">    *PPP Liability (Principal)</t>
  </si>
  <si>
    <t>These balances must agree to the PPP Liability on the balance sheet.</t>
  </si>
  <si>
    <r>
      <rPr>
        <b/>
        <u/>
        <sz val="10"/>
        <rFont val="Arial Narrow"/>
        <family val="2"/>
      </rPr>
      <t>Universities Only</t>
    </r>
    <r>
      <rPr>
        <sz val="10"/>
        <rFont val="Arial Narrow"/>
        <family val="2"/>
      </rPr>
      <t xml:space="preserve">: PPPs of discretely presented component unit foundations should be reported separately in the "University Foundations" column.  </t>
    </r>
  </si>
  <si>
    <t>The total of the "Business-type Activities" and the "University Foundations" columns must agree to the PPP Liability on the balance sheet.</t>
  </si>
  <si>
    <t xml:space="preserve">Summary Table for LEASES and SBITAS  (304)   </t>
  </si>
  <si>
    <t>FCCS Entity:</t>
  </si>
  <si>
    <t>I. Leasing arrangements at June 30, 2024, please summarize below (excluding short-term leases):</t>
  </si>
  <si>
    <t>Rec/Liab Total</t>
  </si>
  <si>
    <t>Rec/Liab Current</t>
  </si>
  <si>
    <t>Terms Years Lowest</t>
  </si>
  <si>
    <t>Terms Years Highest</t>
  </si>
  <si>
    <t>Interest Rate Lowest</t>
  </si>
  <si>
    <t>Interest Rate Highest</t>
  </si>
  <si>
    <t>Receivable</t>
  </si>
  <si>
    <t>Lease Terms</t>
  </si>
  <si>
    <t>(Liability)</t>
  </si>
  <si>
    <t>Due Within</t>
  </si>
  <si>
    <t>In Years</t>
  </si>
  <si>
    <t>Interest Rate</t>
  </si>
  <si>
    <t>Classification:</t>
  </si>
  <si>
    <t>June 30, 2024</t>
  </si>
  <si>
    <t>One Year</t>
  </si>
  <si>
    <t>Lowest End of Term</t>
  </si>
  <si>
    <t>Highest End of Term</t>
  </si>
  <si>
    <t>Lowest</t>
  </si>
  <si>
    <t>Right to Use Land</t>
  </si>
  <si>
    <t>$</t>
  </si>
  <si>
    <t>Lessee RTU Land</t>
  </si>
  <si>
    <t>Right to Use Buildings</t>
  </si>
  <si>
    <t>Lessee RTU Buildings</t>
  </si>
  <si>
    <t>Right to Use Machinery and Equipment</t>
  </si>
  <si>
    <t>Lessee RTU Mach and Equip</t>
  </si>
  <si>
    <t>Right to Use General Infrastructure</t>
  </si>
  <si>
    <t>Lessee RTU Gen Infrastructure</t>
  </si>
  <si>
    <t xml:space="preserve">Lessee Totals in Column F and Column H must agree to the June 30, 2024 balance on the worksheet (305/310). </t>
  </si>
  <si>
    <t>Lessor RTU Land</t>
  </si>
  <si>
    <t>Lessor RTU Buildings</t>
  </si>
  <si>
    <t>Lessor RTU Mach and Equip</t>
  </si>
  <si>
    <t>Lessor RTU Gen Infrastructure</t>
  </si>
  <si>
    <t>Lessor Totals in Column F and Column H must agree to the Lease Receivable Amounts as reported in your Financials.</t>
  </si>
  <si>
    <t>II. Subscription Based Information Technolgy Arrangements (SBITA) at June 30, 2024, please summarize below (excluding short-term arrangements):</t>
  </si>
  <si>
    <t xml:space="preserve">Subscription </t>
  </si>
  <si>
    <t>Subscription Terms</t>
  </si>
  <si>
    <t xml:space="preserve">Subscription (SBITA) Asset </t>
  </si>
  <si>
    <t>SBITA Lessee</t>
  </si>
  <si>
    <t>CHANGES IN LONG-TERM LIABILITIES AND SHORT-TERM DEBT (305)</t>
  </si>
  <si>
    <t>GOVERNMENTAL ACTIVITIES</t>
  </si>
  <si>
    <t>Deletions</t>
  </si>
  <si>
    <t>Mvmts_LTDAdditions</t>
  </si>
  <si>
    <t>Mvmts_LTDDeletions</t>
  </si>
  <si>
    <t>FCCS_No Movement</t>
  </si>
  <si>
    <t>Bonds and similar debt payable:</t>
  </si>
  <si>
    <t>General obligation bonds</t>
  </si>
  <si>
    <t>GARVEE bonds</t>
  </si>
  <si>
    <t>Direct placements</t>
  </si>
  <si>
    <t>Certificates of participation</t>
  </si>
  <si>
    <t>Limited obligation bonds</t>
  </si>
  <si>
    <t>Issuance discounts</t>
  </si>
  <si>
    <t>Issuance premium</t>
  </si>
  <si>
    <t>Arbitrage rebate payable</t>
  </si>
  <si>
    <t>Death benefit payable</t>
  </si>
  <si>
    <t>Workers compensation</t>
  </si>
  <si>
    <t>Notes from direct borrowings</t>
  </si>
  <si>
    <t>Lease liability</t>
  </si>
  <si>
    <t>Subscription (SBITA) liability</t>
  </si>
  <si>
    <r>
      <t xml:space="preserve">PPP liability  </t>
    </r>
    <r>
      <rPr>
        <b/>
        <sz val="10"/>
        <color rgb="FFFF0000"/>
        <rFont val="Arial"/>
        <family val="2"/>
      </rPr>
      <t>NEW 2024</t>
    </r>
  </si>
  <si>
    <t>Pollution remediation payable</t>
  </si>
  <si>
    <t>Asset retirement obligation</t>
  </si>
  <si>
    <t>Compensated absences (Gen. Assembly only)</t>
  </si>
  <si>
    <t>Cost settlement payable</t>
  </si>
  <si>
    <r>
      <t>Other</t>
    </r>
    <r>
      <rPr>
        <sz val="8"/>
        <rFont val="Arial Narrow"/>
        <family val="2"/>
      </rPr>
      <t xml:space="preserve"> (Call OSC/describe in Explanations tab)</t>
    </r>
  </si>
  <si>
    <r>
      <t xml:space="preserve">Accrued interest </t>
    </r>
    <r>
      <rPr>
        <sz val="8"/>
        <rFont val="Arial"/>
        <family val="2"/>
      </rPr>
      <t>(</t>
    </r>
    <r>
      <rPr>
        <sz val="8"/>
        <rFont val="Arial Narrow"/>
        <family val="2"/>
      </rPr>
      <t>Bonds, notes, leases, SBITA)</t>
    </r>
  </si>
  <si>
    <t>Short-term debt:
   Revolving line of credit</t>
  </si>
  <si>
    <t>Commercial paper</t>
  </si>
  <si>
    <t>ST_NotesDtBorrowings</t>
  </si>
  <si>
    <t>ST_DtPlacements</t>
  </si>
  <si>
    <t>Anticipation notes</t>
  </si>
  <si>
    <r>
      <t xml:space="preserve">For each type of short-term debt, describe the debt activity and the purpose for which the debt was issued in an attached </t>
    </r>
    <r>
      <rPr>
        <b/>
        <sz val="9"/>
        <rFont val="Arial"/>
        <family val="2"/>
      </rPr>
      <t>"ACFR Package Narratives".</t>
    </r>
  </si>
  <si>
    <t>Bonds &amp; similar debt Payable amounts per column [E] agree to Balance Sheet?</t>
  </si>
  <si>
    <t>*Due Within One Year(Column O &amp; U) Not required for Agency Load</t>
  </si>
  <si>
    <t>CHANGES IN LONG-TERM LIABILITIES AND SHORT-TERM DEBT (310)</t>
  </si>
  <si>
    <t>BUSINESS TYPE ACTIVITIES</t>
  </si>
  <si>
    <t xml:space="preserve">NA for State Health Plan </t>
  </si>
  <si>
    <t>N/A for GASB 3XXX</t>
  </si>
  <si>
    <t>Place cursor over cell E14 to view comment.</t>
  </si>
  <si>
    <t>Revenue bonds</t>
  </si>
  <si>
    <r>
      <t xml:space="preserve">PPP Liability  </t>
    </r>
    <r>
      <rPr>
        <b/>
        <sz val="10"/>
        <color rgb="FFFF0000"/>
        <rFont val="Arial"/>
        <family val="2"/>
      </rPr>
      <t xml:space="preserve"> NEW 2024</t>
    </r>
  </si>
  <si>
    <t>Annuity and life income payable</t>
  </si>
  <si>
    <t>Federal unemployment a/c advances</t>
  </si>
  <si>
    <t>Compensated absences</t>
  </si>
  <si>
    <t>Net pension liability</t>
  </si>
  <si>
    <t>Net OPEB liability</t>
  </si>
  <si>
    <t>Liability insurance trust fund payable</t>
  </si>
  <si>
    <r>
      <t xml:space="preserve">Other </t>
    </r>
    <r>
      <rPr>
        <sz val="9"/>
        <rFont val="Arial Narrow"/>
        <family val="2"/>
      </rPr>
      <t>(Call OSC/describe in Explanations tab)</t>
    </r>
  </si>
  <si>
    <r>
      <t xml:space="preserve">For each type of short-term debt, describe the debt activity and the purpose for which the debt was issued in an attached </t>
    </r>
    <r>
      <rPr>
        <b/>
        <sz val="10"/>
        <rFont val="Arial"/>
        <family val="2"/>
      </rPr>
      <t>"ACFR Package Narratives".</t>
    </r>
  </si>
  <si>
    <t>Bonds &amp; similar debt Payable amounts per column [E] and [F] agree to Statement of Net Position?</t>
  </si>
  <si>
    <t>ANNUAL DEBT SERVICE REQUIREMENTS (315)</t>
  </si>
  <si>
    <t>BONDS, SPECIAL INDEBTEDNESS, NOTES from DIRECT BORROWINGS</t>
  </si>
  <si>
    <t xml:space="preserve"> AND DIRECT PLACEMENTS - WITHOUT INTEREST RATE SWAPS</t>
  </si>
  <si>
    <t>NA for State Health Plan</t>
  </si>
  <si>
    <t>Check type of payable:</t>
  </si>
  <si>
    <t>* Put X in boxes to generate Account number for Macro. Ex at row 15</t>
  </si>
  <si>
    <t xml:space="preserve"> General Obligation Bonds Payable</t>
  </si>
  <si>
    <t>(N/A for Component Units)</t>
  </si>
  <si>
    <t xml:space="preserve"> Revenue Bonds Payable</t>
  </si>
  <si>
    <r>
      <t xml:space="preserve"> GARVEE Bonds</t>
    </r>
    <r>
      <rPr>
        <sz val="9"/>
        <rFont val="Arial"/>
        <family val="2"/>
      </rPr>
      <t xml:space="preserve"> (N/A for Component Units)</t>
    </r>
  </si>
  <si>
    <t xml:space="preserve"> Certificates of Participation Payable</t>
  </si>
  <si>
    <t xml:space="preserve"> Limited Obligation Bonds Payable</t>
  </si>
  <si>
    <r>
      <t xml:space="preserve"> Notes from Direct Borrowings </t>
    </r>
    <r>
      <rPr>
        <sz val="9"/>
        <rFont val="Arial"/>
        <family val="2"/>
      </rPr>
      <t>(Exclude Short-term Debt)</t>
    </r>
  </si>
  <si>
    <r>
      <t xml:space="preserve"> Direct Placements </t>
    </r>
    <r>
      <rPr>
        <sz val="9"/>
        <rFont val="Arial"/>
        <family val="2"/>
      </rPr>
      <t>(Exclude Short-term Debt)</t>
    </r>
  </si>
  <si>
    <t>Principal_DSR</t>
  </si>
  <si>
    <t>Interest_DSR</t>
  </si>
  <si>
    <t>P</t>
  </si>
  <si>
    <t>Fiscal Year</t>
  </si>
  <si>
    <t>Principal</t>
  </si>
  <si>
    <t>Interest*</t>
  </si>
  <si>
    <t>Total Original Issue Amount Related to Total Outstanding Debt</t>
  </si>
  <si>
    <t>Overall Range of Interest Rates of Total Outstanding Debt*</t>
  </si>
  <si>
    <t>From *</t>
  </si>
  <si>
    <t>To *</t>
  </si>
  <si>
    <t>Final Maturity Date of Total Outstanding Debt</t>
  </si>
  <si>
    <t>Total Requirements</t>
  </si>
  <si>
    <t>*</t>
  </si>
  <si>
    <t>For variable-rate debt and "Build America Bonds", see instructions.</t>
  </si>
  <si>
    <t>Do the total principal requirements (including debt with interest rate swaps on 320) agree with column [E]</t>
  </si>
  <si>
    <t>on changes in long-term liabilities worksheet (305/310)?</t>
  </si>
  <si>
    <t xml:space="preserve">YES  </t>
  </si>
  <si>
    <t>column [F] on changes in long-term liabilities worksheet (305/310)?</t>
  </si>
  <si>
    <t>(Note: Only exception is for demand bonds classified as due within one year.)</t>
  </si>
  <si>
    <t>If NO, indicate reason:</t>
  </si>
  <si>
    <t>Has your agency issued any "Build America Bonds" that are included in the annual debt service</t>
  </si>
  <si>
    <r>
      <rPr>
        <sz val="10"/>
        <rFont val="Arial"/>
        <family val="2"/>
      </rPr>
      <t xml:space="preserve">requirements above? </t>
    </r>
    <r>
      <rPr>
        <i/>
        <sz val="10"/>
        <rFont val="Arial"/>
        <family val="2"/>
      </rPr>
      <t>(Note: authorized by Recovery Act)</t>
    </r>
  </si>
  <si>
    <t>If YES, disclose the outstanding balance at year-end:</t>
  </si>
  <si>
    <t>VARIABLE RATE DEBT</t>
  </si>
  <si>
    <t>Was any of the debt reported on this worksheet variable rate debt?</t>
  </si>
  <si>
    <t>(State Treasurer, DOT, and NC Turnpike Authority Only)</t>
  </si>
  <si>
    <t>If YES, disclose the terms by which interest rates change in the "Explanations tab".</t>
  </si>
  <si>
    <t>ANNUAL DEBT SERVICE REQUIREMENTS (320)</t>
  </si>
  <si>
    <t xml:space="preserve">BONDS, SPECIAL INDEBTEDNESS, NOTES from DIRECT BORROWINGS </t>
  </si>
  <si>
    <t>AND DIRECT PLACEMENTS - WITH INTEREST RATE SWAPS</t>
  </si>
  <si>
    <t>* Put X in boxes to generate Account number for Macro. Ex at row 15.</t>
  </si>
  <si>
    <r>
      <t xml:space="preserve"> General Obligation Bonds Payable </t>
    </r>
    <r>
      <rPr>
        <sz val="10"/>
        <rFont val="Arial"/>
        <family val="2"/>
      </rPr>
      <t>(N/A for Component Units)</t>
    </r>
  </si>
  <si>
    <r>
      <t xml:space="preserve"> GARVEE Bonds</t>
    </r>
    <r>
      <rPr>
        <sz val="10"/>
        <rFont val="Arial"/>
        <family val="2"/>
      </rPr>
      <t xml:space="preserve"> (N/A for Component Units)</t>
    </r>
  </si>
  <si>
    <r>
      <t xml:space="preserve"> Notes from Direct Borrowings </t>
    </r>
    <r>
      <rPr>
        <sz val="10"/>
        <rFont val="Arial"/>
        <family val="2"/>
      </rPr>
      <t>(Exclude Short-term Debt)</t>
    </r>
  </si>
  <si>
    <r>
      <t xml:space="preserve"> Direct Placements </t>
    </r>
    <r>
      <rPr>
        <sz val="10"/>
        <rFont val="Arial"/>
        <family val="2"/>
      </rPr>
      <t>(Exclude Short-term Debt)</t>
    </r>
  </si>
  <si>
    <t>Principal_DSRI</t>
  </si>
  <si>
    <t>Interest_DSRI</t>
  </si>
  <si>
    <t>InterestRateSwap_DSRI</t>
  </si>
  <si>
    <t>Swaps, Net</t>
  </si>
  <si>
    <t>Do the total principal requirements (including debt without interest rate swaps on 315) agree with column [E]</t>
  </si>
  <si>
    <t>(Note: The only exception is for demand bonds that are classified as due within one year.)</t>
  </si>
  <si>
    <t>If "NO", indicate reason:</t>
  </si>
  <si>
    <t>Has your agency issued any "Build America Bonds" (BABs) that are included in the annual debt service requirements above?</t>
  </si>
  <si>
    <t>(Note: authorized by Recovery Act)</t>
  </si>
  <si>
    <t>If "YES", disclose the outstanding balance of BABs at year-end:</t>
  </si>
  <si>
    <t>x</t>
  </si>
  <si>
    <t>Pollution Remediation Obligations (322)</t>
  </si>
  <si>
    <t>GASB Statement 49 establishes accounting and financial reporting standards for pollution remediation obligations.</t>
  </si>
  <si>
    <t xml:space="preserve">Pollution remediation liabilities equal to or in excess of the applicable threshold should be accrued at year-end.  </t>
  </si>
  <si>
    <t>For additional guidance, refer to the OSC policy on Pollution Remediation Obligations (see below link):</t>
  </si>
  <si>
    <t>NC OSC Policy 103.2</t>
  </si>
  <si>
    <r>
      <t xml:space="preserve">Provide the following details about your agency's pollution remediation liability </t>
    </r>
    <r>
      <rPr>
        <sz val="9"/>
        <color indexed="8"/>
        <rFont val="Arial Narrow"/>
        <family val="2"/>
      </rPr>
      <t>(</t>
    </r>
    <r>
      <rPr>
        <i/>
        <sz val="9"/>
        <color indexed="8"/>
        <rFont val="Arial Narrow"/>
        <family val="2"/>
      </rPr>
      <t>Note: GASB 5200 for governmental funds</t>
    </r>
    <r>
      <rPr>
        <sz val="9"/>
        <color indexed="8"/>
        <rFont val="Arial Narrow"/>
        <family val="2"/>
      </rPr>
      <t>):</t>
    </r>
  </si>
  <si>
    <t>Pollution Remediation Liability (accrual basis):</t>
  </si>
  <si>
    <t>Reasonably estimable outlays</t>
  </si>
  <si>
    <t>(based on current value and expected cash flows)</t>
  </si>
  <si>
    <r>
      <t>Less: Expected recoveries - not yet realizable</t>
    </r>
    <r>
      <rPr>
        <vertAlign val="superscript"/>
        <sz val="10"/>
        <rFont val="Arial"/>
        <family val="2"/>
      </rPr>
      <t xml:space="preserve"> (1)</t>
    </r>
  </si>
  <si>
    <t>(enter as negative)</t>
  </si>
  <si>
    <t>Pollution remediation liability</t>
  </si>
  <si>
    <t>(must agree to worksheet 305/310)</t>
  </si>
  <si>
    <t>Include expected recoveries from other responsible parties and insurers that are not yet realizable.  A realized/realizable recovery involves the</t>
  </si>
  <si>
    <t>acknowledgment or recognition by the third party of its responsibility. Exclude grants and other nonexchange transactions.</t>
  </si>
  <si>
    <t>Do the "Reasonably estimable outlays" above include any indirect outlays (Indicate with an "X")?</t>
  </si>
  <si>
    <t>Obligating Events (indicate with an "X" each that applies):</t>
  </si>
  <si>
    <t>The government is compelled to take remediation action because the pollution is an imminent</t>
  </si>
  <si>
    <t>danger to public health or welfare or the environment.  The government has little or no choice</t>
  </si>
  <si>
    <t>but to take action.</t>
  </si>
  <si>
    <t xml:space="preserve">The government is in violation of a pollution prevention–related permit or license. This includes </t>
  </si>
  <si>
    <t xml:space="preserve"> federal and state permits.</t>
  </si>
  <si>
    <t>The government is, or evidence indicates that it will be, named, by a regulator as a responsible</t>
  </si>
  <si>
    <t>party or potentially responsible party for remediation (e.g., under Superfund or similar State law),</t>
  </si>
  <si>
    <t xml:space="preserve">or as a government responsible for sharing costs.  </t>
  </si>
  <si>
    <t>d.</t>
  </si>
  <si>
    <t>The government is, or evidence indicates that it will be, named, in a lawsuit that would require</t>
  </si>
  <si>
    <t>the government to participate in remediation activities.</t>
  </si>
  <si>
    <t>e.</t>
  </si>
  <si>
    <t>The government begins remediation activities or legally commits itself to conduct remediation</t>
  </si>
  <si>
    <t>activities. If these activities are begun voluntarily and no other obligating event has occurred</t>
  </si>
  <si>
    <t>relative to the entire site, the activities that the government should measure and recognize</t>
  </si>
  <si>
    <t>should be limited to the activities begun, or to those that the government is legally required to</t>
  </si>
  <si>
    <t>complete.</t>
  </si>
  <si>
    <t>(Note: The occurrence of an obligating event is an absolute precondition for recognizing a pollution remediation liability.)</t>
  </si>
  <si>
    <t>Capitalization Criteria (indicate with an "X" each that applies):</t>
  </si>
  <si>
    <t xml:space="preserve">To prepare property in anticipation of a sale if the outlays take place within a reasonable time </t>
  </si>
  <si>
    <t>before the sale.</t>
  </si>
  <si>
    <t>To prepare property for use when that property was acquired with known or suspected pollution</t>
  </si>
  <si>
    <t>that the government expected to remediate.  Costs should be capitalized only if the outlays take</t>
  </si>
  <si>
    <t>place within a reasonable time after the purchase.</t>
  </si>
  <si>
    <t>To perform remediation to restore a pollution-caused decline in service utility that the government</t>
  </si>
  <si>
    <t>reported as an impairment of one of its capital assets.</t>
  </si>
  <si>
    <t>To acquire capital assets that can be used for other purposes after the remediation is complete.</t>
  </si>
  <si>
    <t>GASB Statement 49 requires certain disclosures about an agency's obligation to remedy pollution.  The required</t>
  </si>
  <si>
    <r>
      <t>disclosures should be provided in the attached</t>
    </r>
    <r>
      <rPr>
        <b/>
        <u/>
        <sz val="10"/>
        <rFont val="Arial"/>
        <family val="2"/>
      </rPr>
      <t xml:space="preserve"> ACFR Package Narratives</t>
    </r>
    <r>
      <rPr>
        <sz val="10"/>
        <rFont val="Arial"/>
        <family val="2"/>
      </rPr>
      <t xml:space="preserve"> (proformas are included).</t>
    </r>
  </si>
  <si>
    <t>CERTAIN ASSET RETIREMENT OBLIGATIONS (323)</t>
  </si>
  <si>
    <t xml:space="preserve">GASB Statement 83 establishes accounting and financial reporting standards for certain asset retirement </t>
  </si>
  <si>
    <t>obligations (AROs).  For additional guidance on GASB 83, refer to the FRU included in the link below:</t>
  </si>
  <si>
    <t>Financial Reporting Update for GASB 83.</t>
  </si>
  <si>
    <t>Also see ACFR worksheet instructions.</t>
  </si>
  <si>
    <t xml:space="preserve">An ARO is a legally enforceable liability associated with the retirement of certain tangible capital assets,  </t>
  </si>
  <si>
    <t>such as decommissioning of nuclear reactors and removal and disposal of X-ray machines and MRI machines.</t>
  </si>
  <si>
    <t>A government that has legal obligations to perform future asset retirement activities related to its tangible</t>
  </si>
  <si>
    <r>
      <t xml:space="preserve">capital assets </t>
    </r>
    <r>
      <rPr>
        <b/>
        <sz val="10"/>
        <rFont val="Arial"/>
        <family val="2"/>
      </rPr>
      <t>should recognize a liability when the liability is incurred and reasonably estimable</t>
    </r>
    <r>
      <rPr>
        <sz val="10"/>
        <rFont val="Arial"/>
        <family val="2"/>
      </rPr>
      <t>.</t>
    </r>
  </si>
  <si>
    <t xml:space="preserve">The incurrence of a liability includes the occurrence of both an external obligating event and an internal </t>
  </si>
  <si>
    <t xml:space="preserve">obligating event resulting from normal operations.  </t>
  </si>
  <si>
    <t>Provide the following details about external and internal obligating events related to your tangible capital asset:</t>
  </si>
  <si>
    <t>External obligating events (indicate with an "X" each that applies):</t>
  </si>
  <si>
    <t>Approval of federal, state or local laws or regulations</t>
  </si>
  <si>
    <t>Creation of a legally binding contract</t>
  </si>
  <si>
    <t>Issuance of a court judgment</t>
  </si>
  <si>
    <t>Internal obligating events (indicate with an "X" each that applies):</t>
  </si>
  <si>
    <t xml:space="preserve">The occurrence of contamination that (1) is a result of normal operation of the tangible </t>
  </si>
  <si>
    <t>asset and (2) is not in the scope of Statement 49, as amended.</t>
  </si>
  <si>
    <t>Placing into operation a tangible capital asset that is required to be retired</t>
  </si>
  <si>
    <t xml:space="preserve">Abandoning a tangible capital asset before it is placed into operation </t>
  </si>
  <si>
    <t>Acquiring a tangible capital asset that has an existing ARO</t>
  </si>
  <si>
    <t>NOTE:  If an ARO or portions thereof is not reasonably estimable, a government will not recognize the</t>
  </si>
  <si>
    <r>
      <t xml:space="preserve">ARO.  If your agency has an ARO that is not reasonably estimable, </t>
    </r>
    <r>
      <rPr>
        <b/>
        <sz val="10"/>
        <rFont val="Arial"/>
        <family val="2"/>
      </rPr>
      <t xml:space="preserve">provide disclosure of this fact and </t>
    </r>
  </si>
  <si>
    <t xml:space="preserve">the reasons thereof in the attached ACFR Package Narratives. </t>
  </si>
  <si>
    <t>Certain Asset Retirement Obligations - Accounting and Financial Reporting</t>
  </si>
  <si>
    <r>
      <t xml:space="preserve">Provide the following details about your ARO </t>
    </r>
    <r>
      <rPr>
        <i/>
        <sz val="10"/>
        <rFont val="Arial"/>
        <family val="2"/>
      </rPr>
      <t>(Note: GASB 5200 for governmental funds)</t>
    </r>
    <r>
      <rPr>
        <sz val="10"/>
        <rFont val="Arial"/>
        <family val="2"/>
      </rPr>
      <t>:</t>
    </r>
  </si>
  <si>
    <t>If this is the first year of recognizing an ARO, complete the section below:</t>
  </si>
  <si>
    <t>First year of recognition</t>
  </si>
  <si>
    <t>Initial ARO Measurement (Liability) accrual basis:</t>
  </si>
  <si>
    <t>The measurement of an ARO should be based on the best estimate of the current value of outlays</t>
  </si>
  <si>
    <t xml:space="preserve">expected to be incurred.  </t>
  </si>
  <si>
    <t>Current value of outlays expected to be incurred</t>
  </si>
  <si>
    <t>(Initial amount of the ARO liability)</t>
  </si>
  <si>
    <t>Corresponding Deferred Outflow of Resources:</t>
  </si>
  <si>
    <t xml:space="preserve">The measurement of a deferred outflow of resources associated with an ARO should be the amount </t>
  </si>
  <si>
    <t xml:space="preserve">corresponding to the liability upon initial measurement.  </t>
  </si>
  <si>
    <t>Corresponding deferred outflow of resources</t>
  </si>
  <si>
    <t>Amortization of the deferred outflow of resources</t>
  </si>
  <si>
    <t xml:space="preserve">The amount of amortization recognized   </t>
  </si>
  <si>
    <t>for the current fiscal year</t>
  </si>
  <si>
    <t>In subsequent years of recognizing the ARO, complete the section below:</t>
  </si>
  <si>
    <t>Subsequent years of recognition</t>
  </si>
  <si>
    <t>Subsequent Measurement and Recognition of the ARO:</t>
  </si>
  <si>
    <t>Subsequent to initial measurement, a government should at least annually adjust the current value of its</t>
  </si>
  <si>
    <t>ARO for the effects of general inflation or deflation; and evaluate all relevant factors to determine whether</t>
  </si>
  <si>
    <t>the effect of one or more of those factors is expected to significantly increase or decrease the estimated</t>
  </si>
  <si>
    <t>outlays associated with the ARO.</t>
  </si>
  <si>
    <t>Adjustments to the ARO liability should be reported on worksheets 305 or 310</t>
  </si>
  <si>
    <t>Subsequent Measurement and Recognition of a Deferred Outflow of Resources:</t>
  </si>
  <si>
    <t>A government should recognize a reduction of the deferred outflow of resource as an outflow of resources</t>
  </si>
  <si>
    <t>(expense) in a systematic and rational manner over a period of time:</t>
  </si>
  <si>
    <t xml:space="preserve">The amount of amortization recognized </t>
  </si>
  <si>
    <t xml:space="preserve">GASB Statement 83 requires certain disclosures about an agency's asset retirement obligations.  The </t>
  </si>
  <si>
    <r>
      <t xml:space="preserve">required disclosures should be provided in the attached </t>
    </r>
    <r>
      <rPr>
        <b/>
        <u/>
        <sz val="10"/>
        <rFont val="Arial"/>
        <family val="2"/>
      </rPr>
      <t>ACFR Package Narratives</t>
    </r>
    <r>
      <rPr>
        <sz val="10"/>
        <rFont val="Arial"/>
        <family val="2"/>
      </rPr>
      <t>.</t>
    </r>
  </si>
  <si>
    <t>PLEDGED REVENUE COVERAGE (325)</t>
  </si>
  <si>
    <t>Please scroll down to see instructions.</t>
  </si>
  <si>
    <t>Select Type of Debt:</t>
  </si>
  <si>
    <t>Click here</t>
  </si>
  <si>
    <t>Revenue Statement Caption</t>
  </si>
  <si>
    <t>Sales and services</t>
  </si>
  <si>
    <t>Student tuition and fees</t>
  </si>
  <si>
    <t>Patient services</t>
  </si>
  <si>
    <t>Rental lease earnings</t>
  </si>
  <si>
    <t>Fees, licenses and fines</t>
  </si>
  <si>
    <t>State appropriations(for CUs only)</t>
  </si>
  <si>
    <t>Investment earnings</t>
  </si>
  <si>
    <t>Contracts and grants</t>
  </si>
  <si>
    <t>Federal transportation revenues</t>
  </si>
  <si>
    <t>Toll revenues</t>
  </si>
  <si>
    <t>Federal interest subsidy on debt</t>
  </si>
  <si>
    <t>Student Loan Principal Collections</t>
  </si>
  <si>
    <t>Interest earnings on loans</t>
  </si>
  <si>
    <t>Net inc(dec) in FV of Investments</t>
  </si>
  <si>
    <t>Non-operating Revenues</t>
  </si>
  <si>
    <t xml:space="preserve">Other revenues </t>
  </si>
  <si>
    <t>Less: Operating Expense</t>
  </si>
  <si>
    <t>Net available revenue</t>
  </si>
  <si>
    <t>Principal_PRC</t>
  </si>
  <si>
    <t>Interest</t>
  </si>
  <si>
    <t>Interest_PRC</t>
  </si>
  <si>
    <t>Total Debt Service</t>
  </si>
  <si>
    <t>Coverage</t>
  </si>
  <si>
    <t>Select type of debt from drop-down box. A separate worksheet is required for each type of debt.</t>
  </si>
  <si>
    <t>NOTE:</t>
  </si>
  <si>
    <t>Revenue bonds which are pledged by general revenues should be excluded.</t>
  </si>
  <si>
    <t>Pledged Revenue Coverage (325) - Continue scrolling down for additional instructions.</t>
  </si>
  <si>
    <t>Row A</t>
  </si>
  <si>
    <t>Row B</t>
  </si>
  <si>
    <t>Include revenue statement caption for each fiscal year pledged directly to servicing the revenue bond requirements.</t>
  </si>
  <si>
    <t>Row C</t>
  </si>
  <si>
    <t>Include direct operating expense paid from the Revenue Bond Fund which reduces the resources</t>
  </si>
  <si>
    <t>available to pay the debt requirement.  Exclude interest, amortization and depreciation.</t>
  </si>
  <si>
    <t>Row D</t>
  </si>
  <si>
    <t xml:space="preserve">Row B (Revenues) less Row C (Direct Operating Expenses) = Row D </t>
  </si>
  <si>
    <t>Row E</t>
  </si>
  <si>
    <t>Principal amount of the Revenue Bond DUE in the specified year.</t>
  </si>
  <si>
    <t>(NOTE - Do not reflect amount actually paid.)</t>
  </si>
  <si>
    <t>Row F</t>
  </si>
  <si>
    <t>Interest amount of the Revenue Bond DUE in the specified fiscal year.</t>
  </si>
  <si>
    <t>Row G</t>
  </si>
  <si>
    <t>Row E (Principal) plus Row F (Interest) = Row G</t>
  </si>
  <si>
    <t>Row H</t>
  </si>
  <si>
    <t>Row D (Net Revenue Available for Debt Service) DIVIDED by Row G (Total Debt Service Requirements) = Row H</t>
  </si>
  <si>
    <t>Back to the top</t>
  </si>
  <si>
    <t>The following must agree to ACFR Narrative Worksheet 326:</t>
  </si>
  <si>
    <t>Agencies :</t>
  </si>
  <si>
    <t>Row D (Net Revenue Available for Debt Service) should equal  Y (Net Revenue Available) on the narrative worksheet 326.</t>
  </si>
  <si>
    <t>Row E (Principal) plus Row F (Interest) should equal X (Principal plus Interest) on the narrative worksheet 326.</t>
  </si>
  <si>
    <t>Universities and Hospitals:</t>
  </si>
  <si>
    <t xml:space="preserve">For Universities, Row D (Net available Revenue), Row E (Principal) Plus Row F (Interest) for this year should equal </t>
  </si>
  <si>
    <t>the narrative 326, second table current year Revenues net of expenses (Y) and Current year Principal and Interest (X) respectively.</t>
  </si>
  <si>
    <t>DEBT DEFEASANCES (330)</t>
  </si>
  <si>
    <r>
      <t xml:space="preserve">NOTE:  An </t>
    </r>
    <r>
      <rPr>
        <u/>
        <sz val="10"/>
        <rFont val="Arial"/>
        <family val="2"/>
      </rPr>
      <t>in substance</t>
    </r>
    <r>
      <rPr>
        <sz val="10"/>
        <rFont val="Arial"/>
        <family val="2"/>
      </rPr>
      <t xml:space="preserve"> defeasance cannot apply to old debt with variable interest rates because of the uncertainty of future debt service requirements.</t>
    </r>
  </si>
  <si>
    <t>A. – Prior Year Defeasance of Debt</t>
  </si>
  <si>
    <t>(i.e., debt defeased in prior fiscal years and no longer reported as a liability)</t>
  </si>
  <si>
    <t xml:space="preserve">(In Thousands) </t>
  </si>
  <si>
    <t xml:space="preserve">for which Risk </t>
  </si>
  <si>
    <t>of Substitution</t>
  </si>
  <si>
    <t>Final</t>
  </si>
  <si>
    <t xml:space="preserve">of Monetary </t>
  </si>
  <si>
    <t>Descriptive Name of Defeased Debt (1)</t>
  </si>
  <si>
    <t>In Thousands</t>
  </si>
  <si>
    <t>Payment</t>
  </si>
  <si>
    <t xml:space="preserve">Assets </t>
  </si>
  <si>
    <t>(DOT - indicate Highway Fund or NC Turnpike Authority)</t>
  </si>
  <si>
    <t xml:space="preserve">   Date (2)</t>
  </si>
  <si>
    <t>Exists (3)</t>
  </si>
  <si>
    <r>
      <t>(1)</t>
    </r>
    <r>
      <rPr>
        <sz val="10"/>
        <rFont val="Arial"/>
        <family val="2"/>
      </rPr>
      <t xml:space="preserve"> Direct placements and notes from direct borrowings should be disclosed separately from other debt. Ensure these are identified </t>
    </r>
  </si>
  <si>
    <t xml:space="preserve">separately. For example, if the defeasance is a direct placement bond, indicate direct placements in the name. </t>
  </si>
  <si>
    <r>
      <t>(2)</t>
    </r>
    <r>
      <rPr>
        <sz val="10"/>
        <rFont val="Arial"/>
        <family val="2"/>
      </rPr>
      <t xml:space="preserve"> The call date or maturity date of the defeased debt (e.g., date when the defeased debt will be paid off in full).</t>
    </r>
  </si>
  <si>
    <r>
      <t>(3)</t>
    </r>
    <r>
      <rPr>
        <sz val="10"/>
        <rFont val="Arial"/>
        <family val="2"/>
      </rPr>
      <t xml:space="preserve"> If the substitution of essentially risk-free monetary assets with monetary assets that are not essentially risk-free is not </t>
    </r>
  </si>
  <si>
    <t>prohibited, disclose the balance at June 30 for which the risk of substitution exists. See instructions for more information.</t>
  </si>
  <si>
    <t>B. – Current Year Defeasances</t>
  </si>
  <si>
    <t>(i.e., debt defeased during the current fiscal year and removed from your books as a liability)</t>
  </si>
  <si>
    <r>
      <t xml:space="preserve">Prepare a note disclosure for current and advance refundings and debt defeased using only existing resources in </t>
    </r>
    <r>
      <rPr>
        <b/>
        <u/>
        <sz val="10"/>
        <rFont val="Arial"/>
        <family val="2"/>
      </rPr>
      <t>attached ACFR Package Narratives</t>
    </r>
    <r>
      <rPr>
        <sz val="10"/>
        <rFont val="Arial"/>
        <family val="2"/>
      </rPr>
      <t xml:space="preserve"> (Note: proforma disclosures are included).  </t>
    </r>
  </si>
  <si>
    <t>(Note to Preparer: The attached narratives should not include disclosures for debt defeased in prior years.)</t>
  </si>
  <si>
    <r>
      <rPr>
        <b/>
        <u/>
        <sz val="10"/>
        <rFont val="Arial"/>
        <family val="2"/>
      </rPr>
      <t>C. – DEFERRED LOSS OR GAIN ON REFUNDING</t>
    </r>
    <r>
      <rPr>
        <b/>
        <sz val="10"/>
        <rFont val="Arial"/>
        <family val="2"/>
      </rPr>
      <t xml:space="preserve"> </t>
    </r>
    <r>
      <rPr>
        <sz val="10"/>
        <rFont val="Arial"/>
        <family val="2"/>
      </rPr>
      <t>(Applies to State Treasurer and Dept. of Transportation Only (Excludes NCTPA))</t>
    </r>
  </si>
  <si>
    <t>Reacquisition price:</t>
  </si>
  <si>
    <r>
      <t xml:space="preserve">Current refunding </t>
    </r>
    <r>
      <rPr>
        <sz val="8"/>
        <rFont val="Arial"/>
        <family val="2"/>
      </rPr>
      <t>(principal of old debt plus call premium on old debt)</t>
    </r>
  </si>
  <si>
    <r>
      <t xml:space="preserve">Advance refunding </t>
    </r>
    <r>
      <rPr>
        <sz val="8"/>
        <rFont val="Arial"/>
        <family val="2"/>
      </rPr>
      <t>(funds required to be deposited with escrow agent to refund old debt)</t>
    </r>
  </si>
  <si>
    <t>Net carrying amount of old debt:</t>
  </si>
  <si>
    <t>Old debt outstanding</t>
  </si>
  <si>
    <t>Old debt prepaid insurance</t>
  </si>
  <si>
    <t>Unamortized old debt premium</t>
  </si>
  <si>
    <r>
      <t xml:space="preserve">Unamortized old debt discount </t>
    </r>
    <r>
      <rPr>
        <sz val="8"/>
        <rFont val="Arial"/>
        <family val="2"/>
      </rPr>
      <t>(enter as negative)</t>
    </r>
  </si>
  <si>
    <r>
      <t xml:space="preserve">Deferred inflow of resources </t>
    </r>
    <r>
      <rPr>
        <sz val="8"/>
        <rFont val="Arial"/>
        <family val="2"/>
      </rPr>
      <t>(enter as positive)</t>
    </r>
  </si>
  <si>
    <r>
      <t xml:space="preserve">Deferred outflow of resources </t>
    </r>
    <r>
      <rPr>
        <sz val="8"/>
        <rFont val="Arial"/>
        <family val="2"/>
      </rPr>
      <t>(enter as negative)</t>
    </r>
  </si>
  <si>
    <t>Immaterial gain on refunding written off in current period</t>
  </si>
  <si>
    <r>
      <t xml:space="preserve">Deferred loss or gain on refunding – Additions </t>
    </r>
    <r>
      <rPr>
        <sz val="10"/>
        <rFont val="Arial"/>
        <family val="2"/>
      </rPr>
      <t>(should agree with additions below)</t>
    </r>
  </si>
  <si>
    <t>(Note: Old debt premium/discount above refers to amounts actually booked.)</t>
  </si>
  <si>
    <t>RECONCILIATION OF DEFERRED LOSS ON REFUNDING:</t>
  </si>
  <si>
    <t>Beginning balance</t>
  </si>
  <si>
    <t>Additions (should agree with amount above if the amount is positive)</t>
  </si>
  <si>
    <t>Deletions (enter as negative)</t>
  </si>
  <si>
    <t>Ending Balance (should agree with account # 61100003)</t>
  </si>
  <si>
    <t>RECONCILIATION OF DEFERRED GAIN ON REFUNDING:</t>
  </si>
  <si>
    <t>Additions (should agree with amount above if the amount is negative)</t>
  </si>
  <si>
    <t>Deletions (enter as positive)</t>
  </si>
  <si>
    <t>Ending Balance (should agree with account # 71100005)</t>
  </si>
  <si>
    <t xml:space="preserve">A nonexchange financial guarantee occurs when a government guarantees a financial obligation but generally </t>
  </si>
  <si>
    <t xml:space="preserve">receives little or no compensation in return. The government guaranteeing the debt (guarantor) agrees to make </t>
  </si>
  <si>
    <t>payments to the holder of the debt if the entity that issued the debt (issuer) is unable to fulfill its obligations.</t>
  </si>
  <si>
    <t>reported in the financial statements.</t>
  </si>
  <si>
    <t>Financial Reporting Update GASB 70</t>
  </si>
  <si>
    <t>GASB Statement 70 requires certain disclosures for both the guarantor government and issuer government.</t>
  </si>
  <si>
    <t>*In Case of Other(Row 20 &amp; 21), add new members in FCCS</t>
  </si>
  <si>
    <t>Derivative Instruments (340)</t>
  </si>
  <si>
    <t>Fair Value Changes</t>
  </si>
  <si>
    <t>Fair Value</t>
  </si>
  <si>
    <t>NotionalAmount</t>
  </si>
  <si>
    <t>Notional</t>
  </si>
  <si>
    <t>Exchange-</t>
  </si>
  <si>
    <r>
      <t>Type</t>
    </r>
    <r>
      <rPr>
        <vertAlign val="superscript"/>
        <sz val="10"/>
        <color indexed="8"/>
        <rFont val="Arial"/>
        <family val="2"/>
      </rPr>
      <t xml:space="preserve"> </t>
    </r>
  </si>
  <si>
    <t>Changes</t>
  </si>
  <si>
    <t>Amount</t>
  </si>
  <si>
    <r>
      <t xml:space="preserve">Traded? </t>
    </r>
    <r>
      <rPr>
        <vertAlign val="superscript"/>
        <sz val="11"/>
        <rFont val="Arial"/>
        <family val="2"/>
      </rPr>
      <t>(1)</t>
    </r>
  </si>
  <si>
    <t>Pay-fixed interest rate swaps</t>
  </si>
  <si>
    <t>Indicate either "Y" or "N". The credit risk</t>
  </si>
  <si>
    <t>U.S. dollar equity futures</t>
  </si>
  <si>
    <t xml:space="preserve">disclosures on Worksheets 341 &amp; 342 </t>
  </si>
  <si>
    <t>Foreign equity futures</t>
  </si>
  <si>
    <t>do not extend to derivative instruments</t>
  </si>
  <si>
    <t>Foreign exchange futures</t>
  </si>
  <si>
    <t>that are exchange-traded, such as futures</t>
  </si>
  <si>
    <t>Commodity futures</t>
  </si>
  <si>
    <t>contracts (GASB Codification Section D40.170.a).</t>
  </si>
  <si>
    <t>Foreign currency futures</t>
  </si>
  <si>
    <t>Foreign currency forwards</t>
  </si>
  <si>
    <t>Other:</t>
  </si>
  <si>
    <t>Hedging Derivative Instruments</t>
  </si>
  <si>
    <t>Effective</t>
  </si>
  <si>
    <t>Maturity</t>
  </si>
  <si>
    <t>Terms</t>
  </si>
  <si>
    <t>Type</t>
  </si>
  <si>
    <t>(i.e., reference rates)</t>
  </si>
  <si>
    <t>Cash flow: Pay-fixed interest rate swap</t>
  </si>
  <si>
    <t>H1</t>
  </si>
  <si>
    <t>Interest rate swaps</t>
  </si>
  <si>
    <t>H2</t>
  </si>
  <si>
    <t>H3</t>
  </si>
  <si>
    <t>H4</t>
  </si>
  <si>
    <t>H5</t>
  </si>
  <si>
    <t>H6</t>
  </si>
  <si>
    <t>Evaluating Hedge Effectiveness</t>
  </si>
  <si>
    <t>Line Number(s)</t>
  </si>
  <si>
    <t>Method Used</t>
  </si>
  <si>
    <t>(H1 thru H6)</t>
  </si>
  <si>
    <t>Consistent critical terms method</t>
  </si>
  <si>
    <t>Quantitative methods:</t>
  </si>
  <si>
    <t>Synthetic instrument method</t>
  </si>
  <si>
    <t>Dollar-offset method</t>
  </si>
  <si>
    <t>Regression analysis method</t>
  </si>
  <si>
    <r>
      <t xml:space="preserve">In the attached </t>
    </r>
    <r>
      <rPr>
        <b/>
        <u/>
        <sz val="10"/>
        <rFont val="Arial"/>
        <family val="2"/>
      </rPr>
      <t>ACFR Package Narratives</t>
    </r>
    <r>
      <rPr>
        <sz val="10"/>
        <rFont val="Arial"/>
        <family val="2"/>
      </rPr>
      <t>, prepare note disclosures that describe, as applicable (a) reclassifications from a hedging derivative instrument</t>
    </r>
  </si>
  <si>
    <t>to an investment derivative instrument, (b) contingent features, (c) companion instrument for a hybrid, and (d) synthetic guaranteed investment contracts.</t>
  </si>
  <si>
    <t>(Note: The required GASB 72 disclosures on fair value measurements should be disclosed on Worksheet 755 and narratives.)</t>
  </si>
  <si>
    <t>Hedging Derivative Instruments (341)</t>
  </si>
  <si>
    <t>Counterparty</t>
  </si>
  <si>
    <t>Associated</t>
  </si>
  <si>
    <t>Fair</t>
  </si>
  <si>
    <t>Collateral</t>
  </si>
  <si>
    <r>
      <t xml:space="preserve">  Credit Ratings </t>
    </r>
    <r>
      <rPr>
        <vertAlign val="superscript"/>
        <sz val="10"/>
        <rFont val="Arial"/>
        <family val="2"/>
      </rPr>
      <t>(3)</t>
    </r>
  </si>
  <si>
    <t>Bond Issue</t>
  </si>
  <si>
    <r>
      <t xml:space="preserve">   Value </t>
    </r>
    <r>
      <rPr>
        <vertAlign val="superscript"/>
        <sz val="10"/>
        <rFont val="Arial"/>
        <family val="2"/>
      </rPr>
      <t>(1)</t>
    </r>
  </si>
  <si>
    <t>Name</t>
  </si>
  <si>
    <t>Held</t>
  </si>
  <si>
    <t>S&amp;P/Fitch</t>
  </si>
  <si>
    <t>Moody's</t>
  </si>
  <si>
    <t>Less:  Total Collateral Held (calculated)</t>
  </si>
  <si>
    <r>
      <t xml:space="preserve">Less:  Netting Arrangement Liability – By Counterparty </t>
    </r>
    <r>
      <rPr>
        <vertAlign val="superscript"/>
        <sz val="10"/>
        <rFont val="Arial"/>
        <family val="2"/>
      </rPr>
      <t>(2)</t>
    </r>
  </si>
  <si>
    <t>Net Exposure to Credit Risk</t>
  </si>
  <si>
    <r>
      <t xml:space="preserve">In the attached </t>
    </r>
    <r>
      <rPr>
        <b/>
        <u/>
        <sz val="10"/>
        <rFont val="Arial"/>
        <family val="2"/>
      </rPr>
      <t>ACFR Package Narratives</t>
    </r>
    <r>
      <rPr>
        <sz val="10"/>
        <rFont val="Arial"/>
        <family val="2"/>
      </rPr>
      <t>, prepare note disclosures that describe, as applicable, other significant terms and your exposure to the following</t>
    </r>
  </si>
  <si>
    <t>risks that could give rise to financial loss: (a) credit risk, (b) interest rate risk, (c) basis risk, (d) termination risk, (e) rollover risk, (f) market-access risk, and</t>
  </si>
  <si>
    <t>(g) foreign currency risk.  Additionally, describe any other significant terms or other quantitative method of evaluating effectiveness, if applicable.</t>
  </si>
  <si>
    <t>A hedging derivative instrument can only expose a government to credit risk if it is reported as an asset (i.e., derivative instrument with negative fair values should be excluded from the above</t>
  </si>
  <si>
    <t>table, except for any netting arrangement liability).  Also, credit risk disclosures are limited to hedging derivative instruments that are reported as of the end of the reporting period.</t>
  </si>
  <si>
    <t>(2)</t>
  </si>
  <si>
    <t>This line applies if the following conditions are met: (a) the government has a policy to enter into netting arrangements whenever it has entered into more than one hedging derivative</t>
  </si>
  <si>
    <t>instrument transaction with the same counterparty, (b) each party owes the other determinable amounts, (c) the government has the right to set off the amount owed by the counterparty, and</t>
  </si>
  <si>
    <t>(d) the right of setoff is legally enforceable.  The "Netting Arrangement Liability" for each counterparty should be reported on separate lines.</t>
  </si>
  <si>
    <t>(3)</t>
  </si>
  <si>
    <t>If the counterparty is not rated, indicate "Unrated".</t>
  </si>
  <si>
    <t>Investment Derivative Instruments (342)</t>
  </si>
  <si>
    <t>Select Type (Click here)</t>
  </si>
  <si>
    <r>
      <t xml:space="preserve">In the attached </t>
    </r>
    <r>
      <rPr>
        <b/>
        <u/>
        <sz val="10"/>
        <rFont val="Arial"/>
        <family val="2"/>
      </rPr>
      <t>ACFR Package Narratives</t>
    </r>
    <r>
      <rPr>
        <sz val="10"/>
        <rFont val="Arial"/>
        <family val="2"/>
      </rPr>
      <t>, prepare note disclosures that describe, as applicable, your exposure to the following risks that could give</t>
    </r>
  </si>
  <si>
    <t>rise to financial loss: (a) credit risk, (b) interest rate risk, and (c) foreign currency risk.</t>
  </si>
  <si>
    <t>An investment derivative instrument can only expose a government to credit risk if it is reported as an asset (i.e., derivative instruments with negative fair values should be excluded from</t>
  </si>
  <si>
    <t>the above table, except for any netting arrangement liability). Also, credit risk disclosures are limited to investment derivative instruments that are reported as of the end of the reporting period.</t>
  </si>
  <si>
    <t>This line applies if the following conditions are met: (a) the government has a policy to enter into netting arrangements whenever it has entered into more than one investment derivative</t>
  </si>
  <si>
    <t>transaction with the same counterparty, (b) each party owes the other determinable amounts, (c) the government has the right to set off the amount owed by the counterparty, and</t>
  </si>
  <si>
    <t>CONTINGENCIES (345)</t>
  </si>
  <si>
    <t>The Certification Letter should indicate material contingent liabilities are disclosed on Worksheet 345.</t>
  </si>
  <si>
    <t>Material contingent liabilities disclosed on the worksheet should be indicated in the Certification Letter.</t>
  </si>
  <si>
    <r>
      <t>Disclosure of material contingent liabilities of the State entity is required under the following conditions</t>
    </r>
    <r>
      <rPr>
        <sz val="10"/>
        <rFont val="Arial"/>
        <family val="2"/>
      </rPr>
      <t>:</t>
    </r>
  </si>
  <si>
    <r>
      <t xml:space="preserve">1.  The chance that the State entity will actually incur the liability is better than a </t>
    </r>
    <r>
      <rPr>
        <b/>
        <sz val="10"/>
        <rFont val="Arial"/>
        <family val="2"/>
      </rPr>
      <t>REMOTE</t>
    </r>
    <r>
      <rPr>
        <sz val="10"/>
        <rFont val="Arial"/>
        <family val="2"/>
      </rPr>
      <t xml:space="preserve"> (either POSSIBLE or</t>
    </r>
  </si>
  <si>
    <t xml:space="preserve">     PROBABLE) likelihood (terms are defined in the instructions); and,</t>
  </si>
  <si>
    <t xml:space="preserve">2.  The amount of the possible liability is known or can be reasonably estimated, or the amount of the </t>
  </si>
  <si>
    <t>probable/possible liability cannot be reasonably estimated.</t>
  </si>
  <si>
    <r>
      <t xml:space="preserve">3.  Material contingent liability is defined as </t>
    </r>
    <r>
      <rPr>
        <b/>
        <sz val="10"/>
        <rFont val="Arial"/>
        <family val="2"/>
      </rPr>
      <t>$20 million or greater</t>
    </r>
    <r>
      <rPr>
        <sz val="10"/>
        <rFont val="Arial"/>
        <family val="2"/>
      </rPr>
      <t>.</t>
    </r>
  </si>
  <si>
    <t>FEDERAL GRANTS AND PROGRAMS</t>
  </si>
  <si>
    <t>Contingent liabilities of the State entity can arise from lawsuits and other legal action, or contingent liabilities may</t>
  </si>
  <si>
    <t>be inherent with the acceptance of the conditions of certain Federal programs.</t>
  </si>
  <si>
    <t>Acceptance by the State entity of Federal grants and programs carry the possibility of reimbursement to the</t>
  </si>
  <si>
    <r>
      <t xml:space="preserve">Federal grantor agency if periodic audits reveal </t>
    </r>
    <r>
      <rPr>
        <b/>
        <sz val="10"/>
        <rFont val="Arial"/>
        <family val="2"/>
      </rPr>
      <t>questioned costs</t>
    </r>
    <r>
      <rPr>
        <sz val="10"/>
        <rFont val="Arial"/>
        <family val="2"/>
      </rPr>
      <t>.</t>
    </r>
  </si>
  <si>
    <t>AGENCY ACTION:</t>
  </si>
  <si>
    <t>This agency has material contingent liabilities involving Federal grants and programs.</t>
  </si>
  <si>
    <r>
      <t xml:space="preserve">If </t>
    </r>
    <r>
      <rPr>
        <b/>
        <sz val="10"/>
        <rFont val="Arial"/>
        <family val="2"/>
      </rPr>
      <t>YES</t>
    </r>
    <r>
      <rPr>
        <sz val="10"/>
        <rFont val="Arial"/>
        <family val="2"/>
      </rPr>
      <t xml:space="preserve">, list any </t>
    </r>
    <r>
      <rPr>
        <b/>
        <sz val="10"/>
        <rFont val="Arial"/>
        <family val="2"/>
      </rPr>
      <t>material</t>
    </r>
    <r>
      <rPr>
        <sz val="10"/>
        <rFont val="Arial"/>
        <family val="2"/>
      </rPr>
      <t xml:space="preserve"> potential reimbursements involving Federal programs that have been identified as</t>
    </r>
  </si>
  <si>
    <t>"questioned" or "disallowed" costs.</t>
  </si>
  <si>
    <t>Federal Agency:</t>
  </si>
  <si>
    <t>Program:</t>
  </si>
  <si>
    <t>FOOD STAMPS, FOOD COMMODITIES</t>
  </si>
  <si>
    <t>This agency maintains material items on a custodial basis for Federal programs.</t>
  </si>
  <si>
    <r>
      <t xml:space="preserve">If </t>
    </r>
    <r>
      <rPr>
        <b/>
        <sz val="10"/>
        <rFont val="Arial"/>
        <family val="2"/>
      </rPr>
      <t>YES</t>
    </r>
    <r>
      <rPr>
        <sz val="10"/>
        <rFont val="Arial"/>
        <family val="2"/>
      </rPr>
      <t>, list the Federal programs in which the State has accepted custodial responsibility for certain items</t>
    </r>
  </si>
  <si>
    <t>(i.e., Food Stamp coupons, USDA-donated commodities, etc.) for which the State would be liable in the event of loss.</t>
  </si>
  <si>
    <t>Description:</t>
  </si>
  <si>
    <t>Amount:</t>
  </si>
  <si>
    <t>OTHER CONTINGENT LIABILITIES</t>
  </si>
  <si>
    <t xml:space="preserve">List any other material contingent liabilities of your agency that require possible disclosure in accordance with the </t>
  </si>
  <si>
    <r>
      <t xml:space="preserve">guidelines listed above in the </t>
    </r>
    <r>
      <rPr>
        <b/>
        <sz val="10"/>
        <rFont val="Arial"/>
        <family val="2"/>
      </rPr>
      <t>ACFR Package Narratives Worksheet 345.</t>
    </r>
  </si>
  <si>
    <t>Answer the following:</t>
  </si>
  <si>
    <r>
      <t>All material contingent liabilities of this agency, if any exist, have been disclosed above.</t>
    </r>
    <r>
      <rPr>
        <i/>
        <u/>
        <sz val="10"/>
        <rFont val="Arial"/>
        <family val="2"/>
      </rPr>
      <t/>
    </r>
  </si>
  <si>
    <t>(check one)</t>
  </si>
  <si>
    <r>
      <t xml:space="preserve">    This agency has </t>
    </r>
    <r>
      <rPr>
        <b/>
        <sz val="10"/>
        <rFont val="Arial"/>
        <family val="2"/>
      </rPr>
      <t>NO</t>
    </r>
    <r>
      <rPr>
        <sz val="10"/>
        <rFont val="Arial"/>
        <family val="2"/>
      </rPr>
      <t xml:space="preserve"> material contingent liabilities requiring disclosure</t>
    </r>
  </si>
  <si>
    <r>
      <t xml:space="preserve">    </t>
    </r>
    <r>
      <rPr>
        <b/>
        <sz val="10"/>
        <rFont val="Arial"/>
        <family val="2"/>
      </rPr>
      <t>YES</t>
    </r>
    <r>
      <rPr>
        <sz val="10"/>
        <rFont val="Arial"/>
        <family val="2"/>
      </rPr>
      <t>, all material contingent liabilities disclosures have been made on this worksheet</t>
    </r>
  </si>
  <si>
    <r>
      <t xml:space="preserve">       or in the </t>
    </r>
    <r>
      <rPr>
        <b/>
        <sz val="10"/>
        <rFont val="Arial"/>
        <family val="2"/>
      </rPr>
      <t>ACFR Package Narratives Worksheet 345.</t>
    </r>
  </si>
  <si>
    <t>CONSTRUCTION AND OTHER SIGNIFICANT COMMITMENTS (350)</t>
  </si>
  <si>
    <r>
      <t>COMMITMENTS</t>
    </r>
    <r>
      <rPr>
        <b/>
        <i/>
        <sz val="10"/>
        <rFont val="Arial"/>
        <family val="2"/>
      </rPr>
      <t xml:space="preserve"> </t>
    </r>
    <r>
      <rPr>
        <sz val="10"/>
        <rFont val="Arial"/>
        <family val="2"/>
      </rPr>
      <t>are</t>
    </r>
    <r>
      <rPr>
        <sz val="10"/>
        <rFont val="Arial"/>
        <family val="2"/>
      </rPr>
      <t xml:space="preserve"> "existing arrangements to enter into future transactions or events."  Construction</t>
    </r>
  </si>
  <si>
    <t>contracts are the most common example of a commitment.  Other examples of commitments are cost</t>
  </si>
  <si>
    <t>reimbursement grants/loans, software in development contracts, and supply contracts.  A supply contract</t>
  </si>
  <si>
    <r>
      <t xml:space="preserve">is a </t>
    </r>
    <r>
      <rPr>
        <b/>
        <u/>
        <sz val="10"/>
        <rFont val="Arial"/>
        <family val="2"/>
      </rPr>
      <t>long-term</t>
    </r>
    <r>
      <rPr>
        <sz val="10"/>
        <rFont val="Arial"/>
        <family val="2"/>
      </rPr>
      <t xml:space="preserve"> contractual obligation with suppliers for future purchases at specified prices and sometimes</t>
    </r>
  </si>
  <si>
    <t>at specified quantities.  A common supply contract is an utility fuel purchase contract.  Common examples</t>
  </si>
  <si>
    <t>of grant/loan commitments would be Clean Water grants/loans and 911 cost reimbursement grants.</t>
  </si>
  <si>
    <r>
      <rPr>
        <b/>
        <sz val="10"/>
        <rFont val="Arial"/>
        <family val="2"/>
      </rPr>
      <t>NOTE:</t>
    </r>
    <r>
      <rPr>
        <sz val="10"/>
        <rFont val="Arial"/>
        <family val="2"/>
      </rPr>
      <t xml:space="preserve"> Outstanding encumbrances (excluding those for capital improvements) or purchase orders are</t>
    </r>
  </si>
  <si>
    <t>not considered to be commitments.</t>
  </si>
  <si>
    <t xml:space="preserve">A.  - Construction and Software in Development (SID) Contract Commitments </t>
  </si>
  <si>
    <r>
      <t xml:space="preserve">Provide the amount of future total expenditures </t>
    </r>
    <r>
      <rPr>
        <b/>
        <sz val="10"/>
        <rFont val="Arial"/>
        <family val="2"/>
      </rPr>
      <t>for all GASBs</t>
    </r>
    <r>
      <rPr>
        <sz val="10"/>
        <rFont val="Arial"/>
        <family val="2"/>
      </rPr>
      <t xml:space="preserve"> for which the entity is </t>
    </r>
    <r>
      <rPr>
        <b/>
        <sz val="10"/>
        <rFont val="Arial"/>
        <family val="2"/>
      </rPr>
      <t>now</t>
    </r>
    <r>
      <rPr>
        <sz val="10"/>
        <rFont val="Arial"/>
        <family val="2"/>
      </rPr>
      <t xml:space="preserve"> committed </t>
    </r>
  </si>
  <si>
    <t xml:space="preserve">with state or non-state funds (i.e., highway construction, major construction of state buildings, </t>
  </si>
  <si>
    <t>improvements of state facilities, and software in development).</t>
  </si>
  <si>
    <t>The amount of the commitment should be calculated as follows:</t>
  </si>
  <si>
    <t>Total commitment amount</t>
  </si>
  <si>
    <t>Less:   Actual cash expenditures paid on the commitment</t>
  </si>
  <si>
    <t>Less:   Accrued expenditures recorded against the contract</t>
  </si>
  <si>
    <t xml:space="preserve">            during 13th month accrual process</t>
  </si>
  <si>
    <t xml:space="preserve"> = Amount of commitment</t>
  </si>
  <si>
    <t>Amount of Construction
and SID Contract Commitments</t>
  </si>
  <si>
    <t>Construction Commitments</t>
  </si>
  <si>
    <t>Software in Development (SID) Contracts</t>
  </si>
  <si>
    <t>Total Construction and SID Contract Commitments</t>
  </si>
  <si>
    <t>B.  - Other Significant Commitments, including investment contracts</t>
  </si>
  <si>
    <t>Amount of
Other Commitments</t>
  </si>
  <si>
    <t>Clean water grants/loans and other cost reimbursement grants</t>
  </si>
  <si>
    <t>Total Other Commitments</t>
  </si>
  <si>
    <r>
      <t xml:space="preserve">If other significant commitments (including investment contracts) </t>
    </r>
    <r>
      <rPr>
        <b/>
        <u/>
        <sz val="10"/>
        <rFont val="Arial"/>
        <family val="2"/>
      </rPr>
      <t>exceed $10 million</t>
    </r>
    <r>
      <rPr>
        <sz val="10"/>
        <rFont val="Arial"/>
        <family val="2"/>
      </rPr>
      <t>, prepare a note disclosure</t>
    </r>
    <r>
      <rPr>
        <b/>
        <u/>
        <sz val="10"/>
        <rFont val="Arial"/>
        <family val="2"/>
      </rPr>
      <t/>
    </r>
  </si>
  <si>
    <t>on the appropriate narrative page.</t>
  </si>
  <si>
    <t>SUBSEQUENT EVENTS / OTHER ITEMS (355)</t>
  </si>
  <si>
    <t>SUBSEQUENT EVENTS:</t>
  </si>
  <si>
    <r>
      <t xml:space="preserve">Disclosure is required to be made of </t>
    </r>
    <r>
      <rPr>
        <b/>
        <sz val="10"/>
        <rFont val="Arial"/>
        <family val="2"/>
      </rPr>
      <t>MAJOR</t>
    </r>
    <r>
      <rPr>
        <sz val="10"/>
        <rFont val="Arial"/>
        <family val="2"/>
      </rPr>
      <t xml:space="preserve"> transactions (</t>
    </r>
    <r>
      <rPr>
        <b/>
        <sz val="10"/>
        <rFont val="Arial"/>
        <family val="2"/>
      </rPr>
      <t>$25 million or greater</t>
    </r>
    <r>
      <rPr>
        <sz val="10"/>
        <rFont val="Arial"/>
        <family val="2"/>
      </rPr>
      <t xml:space="preserve">) and events which occur </t>
    </r>
  </si>
  <si>
    <t>subsequent to June 30 and up to the date of ACFR preparation.</t>
  </si>
  <si>
    <r>
      <t xml:space="preserve">If you become aware of any </t>
    </r>
    <r>
      <rPr>
        <b/>
        <i/>
        <sz val="10"/>
        <rFont val="Arial"/>
        <family val="2"/>
      </rPr>
      <t>MAJOR</t>
    </r>
    <r>
      <rPr>
        <i/>
        <sz val="10"/>
        <rFont val="Arial"/>
        <family val="2"/>
      </rPr>
      <t xml:space="preserve"> transactions (</t>
    </r>
    <r>
      <rPr>
        <b/>
        <i/>
        <sz val="10"/>
        <rFont val="Arial"/>
        <family val="2"/>
      </rPr>
      <t>$25 million or greater</t>
    </r>
    <r>
      <rPr>
        <i/>
        <sz val="10"/>
        <rFont val="Arial"/>
        <family val="2"/>
      </rPr>
      <t xml:space="preserve">) and events occurring after the </t>
    </r>
  </si>
  <si>
    <t>submission of your package but prior to November 30, please contact the Office of the State Controller</t>
  </si>
  <si>
    <t>immediately.</t>
  </si>
  <si>
    <t xml:space="preserve">Any transaction or event, the omission of which would produce a material misstatement of the </t>
  </si>
  <si>
    <r>
      <t xml:space="preserve">financial statements or would cause a reader of these statements to be misinformed, </t>
    </r>
    <r>
      <rPr>
        <b/>
        <sz val="10"/>
        <rFont val="Arial"/>
        <family val="2"/>
      </rPr>
      <t>MUST</t>
    </r>
    <r>
      <rPr>
        <sz val="10"/>
        <rFont val="Arial"/>
        <family val="2"/>
      </rPr>
      <t xml:space="preserve"> be disclosed.</t>
    </r>
  </si>
  <si>
    <r>
      <t>The issuance and sale of revenue bonds is a prime example of a subsequent event (</t>
    </r>
    <r>
      <rPr>
        <b/>
        <sz val="10"/>
        <rFont val="Arial"/>
        <family val="2"/>
      </rPr>
      <t xml:space="preserve">exclude debt issued </t>
    </r>
  </si>
  <si>
    <t>primarily for refunding of bonds).</t>
  </si>
  <si>
    <t>Have any material events occurred subsequent to June 30 and up to the date of this agency's preparation</t>
  </si>
  <si>
    <t>of its statements which require disclosure as described above?</t>
  </si>
  <si>
    <t>Explain YES in the ACFR Package Narratives</t>
  </si>
  <si>
    <t>Give a complete description of the transaction/event and the amount involved, if known.</t>
  </si>
  <si>
    <t>OTHER ITEMS:</t>
  </si>
  <si>
    <r>
      <t xml:space="preserve">Any significant transactions or other events that are </t>
    </r>
    <r>
      <rPr>
        <b/>
        <u/>
        <sz val="10"/>
        <rFont val="Arial"/>
        <family val="2"/>
      </rPr>
      <t>either</t>
    </r>
    <r>
      <rPr>
        <sz val="10"/>
        <rFont val="Arial"/>
        <family val="2"/>
      </rPr>
      <t xml:space="preserve"> unusual </t>
    </r>
    <r>
      <rPr>
        <b/>
        <u/>
        <sz val="10"/>
        <rFont val="Arial"/>
        <family val="2"/>
      </rPr>
      <t>or</t>
    </r>
    <r>
      <rPr>
        <sz val="10"/>
        <rFont val="Arial"/>
        <family val="2"/>
      </rPr>
      <t xml:space="preserve"> infrequent but </t>
    </r>
    <r>
      <rPr>
        <b/>
        <u/>
        <sz val="10"/>
        <rFont val="Arial"/>
        <family val="2"/>
      </rPr>
      <t>not within the</t>
    </r>
    <r>
      <rPr>
        <sz val="10"/>
        <rFont val="Arial"/>
        <family val="2"/>
      </rPr>
      <t xml:space="preserve"> </t>
    </r>
  </si>
  <si>
    <r>
      <t>control of management</t>
    </r>
    <r>
      <rPr>
        <sz val="10"/>
        <rFont val="Arial"/>
        <family val="2"/>
      </rPr>
      <t xml:space="preserve"> that do not meet the definition of special items per paragraph 56 of GASB 34.</t>
    </r>
  </si>
  <si>
    <t xml:space="preserve">Such items would already be recorded as a revenue or expenditure on the Statement of Revenues, </t>
  </si>
  <si>
    <t>Expenditures, and Changes in Fund Balances (for governmental funds) or the Statement of Revenues,</t>
  </si>
  <si>
    <t>Expenses, and Changes in Fund Net Position (for proprietary funds).</t>
  </si>
  <si>
    <t>This agency has such items that exceed $10 million.</t>
  </si>
  <si>
    <t>Restricted Assets (365)</t>
  </si>
  <si>
    <t>Restricted assets should be reported when restrictions on asset use change the nature or normal understanding of the availability of the asset.  For example,</t>
  </si>
  <si>
    <t>cash and investments normally are classified as current assets and a normal understanding of these assets presume that restrictions do not limit the</t>
  </si>
  <si>
    <t>government's ability to use the resources to pay current liabilities.  However, the following resources are not available for the current operations and should be</t>
  </si>
  <si>
    <t>reported as restricted assets:</t>
  </si>
  <si>
    <t xml:space="preserve">     that cannot be used to pay other current liabilities</t>
  </si>
  <si>
    <t>Refer to the Restricted Assets Policy for further guidance.</t>
  </si>
  <si>
    <t>Policy on OSC's website:</t>
  </si>
  <si>
    <t>NC OSC Policy 101.4</t>
  </si>
  <si>
    <r>
      <rPr>
        <b/>
        <u/>
        <sz val="9"/>
        <rFont val="Arial"/>
        <family val="2"/>
      </rPr>
      <t>Instructions:</t>
    </r>
    <r>
      <rPr>
        <b/>
        <sz val="9"/>
        <rFont val="Arial"/>
        <family val="2"/>
      </rPr>
      <t xml:space="preserve">  Analyze the balances for the cash and cash equivalents; pooled cash; investments; pooled investments; and receivables captions on the</t>
    </r>
  </si>
  <si>
    <t>11G report to determine if any amounts have restrictions imposed on them so that they are not available resources for payment of current liabilities.</t>
  </si>
  <si>
    <t>If Restricted Assets are listed, please provide additional detail on the specific assets on the Narrative for 365.</t>
  </si>
  <si>
    <r>
      <rPr>
        <b/>
        <i/>
        <u/>
        <sz val="9.5"/>
        <rFont val="Arial"/>
        <family val="2"/>
      </rPr>
      <t>NOTE:</t>
    </r>
    <r>
      <rPr>
        <b/>
        <i/>
        <sz val="9.5"/>
        <rFont val="Arial"/>
        <family val="2"/>
      </rPr>
      <t xml:space="preserve">  GASB 14XX is excluded from this worksheet.  Only GASB 11XX, 12XX, 13XX and 15XX are pertinent to this worksheet.</t>
    </r>
  </si>
  <si>
    <t>Any of these balances that have restrictions imposed should be disclosed below.</t>
  </si>
  <si>
    <t>Acquisition/construction of government's own capital assets</t>
  </si>
  <si>
    <t>Debt covenants</t>
  </si>
  <si>
    <t>Temporarily invested debt proceeds</t>
  </si>
  <si>
    <t>Nonexpendable resources of permanent funds</t>
  </si>
  <si>
    <t>Cash and cash equivalents</t>
  </si>
  <si>
    <t>Pooled cash</t>
  </si>
  <si>
    <t>Investments</t>
  </si>
  <si>
    <t>Pooled Investments</t>
  </si>
  <si>
    <t>Restricted Investments</t>
  </si>
  <si>
    <r>
      <t>Receivables</t>
    </r>
    <r>
      <rPr>
        <i/>
        <sz val="10"/>
        <rFont val="Arial"/>
        <family val="2"/>
      </rPr>
      <t xml:space="preserve"> (list type of receivable)</t>
    </r>
    <r>
      <rPr>
        <b/>
        <sz val="10"/>
        <rFont val="Arial"/>
        <family val="2"/>
      </rPr>
      <t>:</t>
    </r>
  </si>
  <si>
    <t>Government Wide - Debt Issuances (370)</t>
  </si>
  <si>
    <t>Governmental Funds Only; NA Dept. of State Treasurer Statewide Debt</t>
  </si>
  <si>
    <t>Total Notes from Direct Borrowings, Bonds &amp; Special Indebtedness Payable (net) Breakdown:</t>
  </si>
  <si>
    <t>Capital Debt</t>
  </si>
  <si>
    <t>Noncapital Debt</t>
  </si>
  <si>
    <t>Outstanding Payable balance at 6/30</t>
  </si>
  <si>
    <t>1, 2</t>
  </si>
  <si>
    <t>Amount of unspent debt proceeds</t>
  </si>
  <si>
    <r>
      <rPr>
        <b/>
        <sz val="9"/>
        <rFont val="Arial"/>
        <family val="2"/>
      </rPr>
      <t>1</t>
    </r>
    <r>
      <rPr>
        <sz val="9"/>
        <rFont val="Arial"/>
        <family val="2"/>
      </rPr>
      <t xml:space="preserve">. Outstanding balance agrees to 11G (Notes from direct borrowings, bonds &amp; </t>
    </r>
  </si>
  <si>
    <t>special indebtedness payable)?</t>
  </si>
  <si>
    <r>
      <rPr>
        <b/>
        <sz val="9"/>
        <rFont val="Arial"/>
        <family val="2"/>
      </rPr>
      <t>2</t>
    </r>
    <r>
      <rPr>
        <sz val="9"/>
        <rFont val="Arial"/>
        <family val="2"/>
      </rPr>
      <t>. Outstanding balance should equal amounts in column [E] on worksheet 305</t>
    </r>
  </si>
  <si>
    <t>Financial Reporting for Federal Coronavirus (COVID-19) Funds (375-A)</t>
  </si>
  <si>
    <t>NA Offline Component Units using 905 template</t>
  </si>
  <si>
    <r>
      <rPr>
        <b/>
        <sz val="10"/>
        <color indexed="12"/>
        <rFont val="Arial"/>
        <family val="2"/>
      </rPr>
      <t>Directions</t>
    </r>
    <r>
      <rPr>
        <sz val="10"/>
        <rFont val="Arial"/>
        <family val="2"/>
      </rPr>
      <t xml:space="preserve">:  </t>
    </r>
    <r>
      <rPr>
        <b/>
        <sz val="10"/>
        <rFont val="Arial"/>
        <family val="2"/>
      </rPr>
      <t>All agencies and online component units</t>
    </r>
    <r>
      <rPr>
        <sz val="10"/>
        <rFont val="Arial"/>
        <family val="2"/>
      </rPr>
      <t xml:space="preserve"> (NC School of Science &amp; Math and State Health Plan) </t>
    </r>
    <r>
      <rPr>
        <b/>
        <sz val="10"/>
        <rFont val="Arial"/>
        <family val="2"/>
      </rPr>
      <t xml:space="preserve">are required to complete section A of this </t>
    </r>
  </si>
  <si>
    <r>
      <rPr>
        <b/>
        <sz val="10"/>
        <rFont val="Arial"/>
        <family val="2"/>
      </rPr>
      <t>worksheet.</t>
    </r>
    <r>
      <rPr>
        <sz val="10"/>
        <rFont val="Arial"/>
        <family val="2"/>
      </rPr>
      <t xml:space="preserve"> </t>
    </r>
    <r>
      <rPr>
        <b/>
        <sz val="10"/>
        <rFont val="Arial"/>
        <family val="2"/>
      </rPr>
      <t xml:space="preserve">The purpose of this worksheet is to identify the amount of federal revenues (42XXXXXX accounts) that have been received in response to </t>
    </r>
  </si>
  <si>
    <r>
      <rPr>
        <b/>
        <sz val="10"/>
        <rFont val="Arial"/>
        <family val="2"/>
      </rPr>
      <t>the coronavirus disease (COVID-19)</t>
    </r>
    <r>
      <rPr>
        <sz val="10"/>
        <rFont val="Arial"/>
        <family val="2"/>
      </rPr>
      <t xml:space="preserve"> including federal funding from the Coronavirus Aid, Relief, and Economic Security (CARES) Act and the American Rescue </t>
    </r>
  </si>
  <si>
    <r>
      <t xml:space="preserve">Plan Act (ARPA) in order for OSC to properly report the information in the ACFR. </t>
    </r>
    <r>
      <rPr>
        <b/>
        <sz val="10"/>
        <rFont val="Arial"/>
        <family val="2"/>
      </rPr>
      <t xml:space="preserve">Any agency that received COVID-19 funds </t>
    </r>
    <r>
      <rPr>
        <b/>
        <u/>
        <sz val="10"/>
        <rFont val="Arial"/>
        <family val="2"/>
      </rPr>
      <t>directly</t>
    </r>
    <r>
      <rPr>
        <b/>
        <sz val="10"/>
        <rFont val="Arial"/>
        <family val="2"/>
      </rPr>
      <t xml:space="preserve"> from federal agencies</t>
    </r>
  </si>
  <si>
    <r>
      <t xml:space="preserve">(not indirectly from another state or local agency) </t>
    </r>
    <r>
      <rPr>
        <b/>
        <sz val="10"/>
        <rFont val="Arial"/>
        <family val="2"/>
      </rPr>
      <t xml:space="preserve">is required to complete the information in section B </t>
    </r>
    <r>
      <rPr>
        <sz val="10"/>
        <rFont val="Arial"/>
        <family val="2"/>
      </rPr>
      <t xml:space="preserve">within the appropriate section for your entity. </t>
    </r>
  </si>
  <si>
    <t>If more space is needed, an additional tab can be added to this workbook or you can submit a separate spreadsheet with the ACFR package. If</t>
  </si>
  <si>
    <t>additional information is provided, add a reference in the appropriate section below. See Worksheet Instructions for more information.</t>
  </si>
  <si>
    <r>
      <rPr>
        <b/>
        <sz val="11"/>
        <rFont val="Arial"/>
        <family val="2"/>
      </rPr>
      <t>A</t>
    </r>
    <r>
      <rPr>
        <sz val="11"/>
        <rFont val="Arial"/>
        <family val="2"/>
      </rPr>
      <t>.</t>
    </r>
    <r>
      <rPr>
        <sz val="10"/>
        <rFont val="Arial"/>
        <family val="2"/>
      </rPr>
      <t xml:space="preserve"> Did your agency/university receive COVID-19 revenues </t>
    </r>
    <r>
      <rPr>
        <u/>
        <sz val="10"/>
        <rFont val="Arial"/>
        <family val="2"/>
      </rPr>
      <t>directly</t>
    </r>
    <r>
      <rPr>
        <sz val="10"/>
        <rFont val="Arial"/>
        <family val="2"/>
      </rPr>
      <t xml:space="preserve"> from federal agencies (not indirectly from another state or local agency)?</t>
    </r>
  </si>
  <si>
    <r>
      <rPr>
        <b/>
        <sz val="11"/>
        <rFont val="Arial"/>
        <family val="2"/>
      </rPr>
      <t>B.</t>
    </r>
    <r>
      <rPr>
        <b/>
        <sz val="10"/>
        <rFont val="Arial"/>
        <family val="2"/>
      </rPr>
      <t xml:space="preserve"> </t>
    </r>
    <r>
      <rPr>
        <sz val="10"/>
        <rFont val="Arial"/>
        <family val="2"/>
      </rPr>
      <t>If you answered yes in section A, complete the appropriate section for your agency below.</t>
    </r>
  </si>
  <si>
    <r>
      <t xml:space="preserve">(1) To be </t>
    </r>
    <r>
      <rPr>
        <b/>
        <sz val="10"/>
        <rFont val="Arial"/>
        <family val="2"/>
      </rPr>
      <t xml:space="preserve">completed only by OSC (FRU 90) </t>
    </r>
    <r>
      <rPr>
        <sz val="10"/>
        <rFont val="Arial"/>
        <family val="2"/>
      </rPr>
      <t xml:space="preserve">for the OSC Coronavirus Relief Reserve and Reserves for the American Rescue Plan Act federal revenues </t>
    </r>
  </si>
  <si>
    <t>received. Please provide the following:</t>
  </si>
  <si>
    <t>Cash Basis</t>
  </si>
  <si>
    <t>Accrual Basis</t>
  </si>
  <si>
    <t>Total COVID-19 revenues</t>
  </si>
  <si>
    <t>Federal Fund Revenues</t>
  </si>
  <si>
    <r>
      <t xml:space="preserve">Received </t>
    </r>
    <r>
      <rPr>
        <b/>
        <u/>
        <sz val="10"/>
        <rFont val="Arial"/>
        <family val="2"/>
      </rPr>
      <t>Directly</t>
    </r>
  </si>
  <si>
    <t>GASB</t>
  </si>
  <si>
    <t>Budget Fund</t>
  </si>
  <si>
    <t>Account Number (42XXXXXX)</t>
  </si>
  <si>
    <t>as of 6/29/2024</t>
  </si>
  <si>
    <t>as of 6/30/2024</t>
  </si>
  <si>
    <r>
      <t xml:space="preserve">(2) For </t>
    </r>
    <r>
      <rPr>
        <b/>
        <sz val="10"/>
        <rFont val="Arial"/>
        <family val="2"/>
      </rPr>
      <t>State agencies</t>
    </r>
    <r>
      <rPr>
        <sz val="10"/>
        <rFont val="Arial"/>
        <family val="2"/>
      </rPr>
      <t>, please provide the following information for federal revenues received directly from federal agencies in response to the coronavirus</t>
    </r>
  </si>
  <si>
    <t xml:space="preserve"> disease (COVID-19):</t>
  </si>
  <si>
    <t>Total COVID-19 funds</t>
  </si>
  <si>
    <r>
      <t xml:space="preserve">(3) For </t>
    </r>
    <r>
      <rPr>
        <b/>
        <sz val="10"/>
        <rFont val="Arial"/>
        <family val="2"/>
      </rPr>
      <t>NC School of Science and Math and the State Health Plan</t>
    </r>
    <r>
      <rPr>
        <sz val="10"/>
        <rFont val="Arial"/>
        <family val="2"/>
      </rPr>
      <t>, please provide the following information for federal revenues received directly from</t>
    </r>
  </si>
  <si>
    <t>federal agencies in response to the coronavirus disease (COVID-19):</t>
  </si>
  <si>
    <t>Budget Reporting for Federal Coronavirus (COVID-19) Funds (375-B)</t>
  </si>
  <si>
    <t>NA Component Units</t>
  </si>
  <si>
    <r>
      <rPr>
        <b/>
        <sz val="10"/>
        <color indexed="12"/>
        <rFont val="Arial"/>
        <family val="2"/>
      </rPr>
      <t>Directions</t>
    </r>
    <r>
      <rPr>
        <sz val="10"/>
        <rFont val="Arial"/>
        <family val="2"/>
      </rPr>
      <t xml:space="preserve">:  </t>
    </r>
    <r>
      <rPr>
        <b/>
        <sz val="10"/>
        <rFont val="Arial"/>
        <family val="2"/>
      </rPr>
      <t>All agencies are required to complete section A of this worksheet. The purpose of this worksheet is to identify 1) the certified budgeted amount</t>
    </r>
  </si>
  <si>
    <t xml:space="preserve">approved by the Governor and General Assembly and 2) the authorized budgeted amount approved by OSBM for federal revenues (42XXXXXX or 588XXXXX </t>
  </si>
  <si>
    <r>
      <rPr>
        <b/>
        <sz val="10"/>
        <rFont val="Arial"/>
        <family val="2"/>
      </rPr>
      <t>accounts) in response to the coronavirus disease (COVID-19)</t>
    </r>
    <r>
      <rPr>
        <sz val="10"/>
        <rFont val="Arial"/>
        <family val="2"/>
      </rPr>
      <t xml:space="preserve"> in order for OSC to properly report the information in the ACFR.</t>
    </r>
    <r>
      <rPr>
        <b/>
        <sz val="10"/>
        <rFont val="Arial"/>
        <family val="2"/>
      </rPr>
      <t xml:space="preserve"> Any agency that was budgeted federal</t>
    </r>
  </si>
  <si>
    <r>
      <rPr>
        <b/>
        <sz val="10"/>
        <rFont val="Arial"/>
        <family val="2"/>
      </rPr>
      <t xml:space="preserve">revenues for COVID-19 funds received </t>
    </r>
    <r>
      <rPr>
        <b/>
        <u/>
        <sz val="10"/>
        <rFont val="Arial"/>
        <family val="2"/>
      </rPr>
      <t>directly</t>
    </r>
    <r>
      <rPr>
        <b/>
        <sz val="10"/>
        <rFont val="Arial"/>
        <family val="2"/>
      </rPr>
      <t xml:space="preserve"> from federal agencies</t>
    </r>
    <r>
      <rPr>
        <sz val="10"/>
        <rFont val="Arial"/>
        <family val="2"/>
      </rPr>
      <t xml:space="preserve"> (not indirectly from another state or local agency) </t>
    </r>
    <r>
      <rPr>
        <b/>
        <sz val="10"/>
        <rFont val="Arial"/>
        <family val="2"/>
      </rPr>
      <t xml:space="preserve">is required to complete the information </t>
    </r>
  </si>
  <si>
    <r>
      <rPr>
        <b/>
        <sz val="10"/>
        <rFont val="Arial"/>
        <family val="2"/>
      </rPr>
      <t xml:space="preserve">in section B </t>
    </r>
    <r>
      <rPr>
        <sz val="10"/>
        <rFont val="Arial"/>
        <family val="2"/>
      </rPr>
      <t>within the appropriate section for your entity. If more space is needed, an additional tab can be added to this workbook or you can submit a separate spreadsheet.</t>
    </r>
  </si>
  <si>
    <t>If additional information is provided, add a reference in the appropriate section below. See Worksheet Instructions for more information.</t>
  </si>
  <si>
    <r>
      <rPr>
        <b/>
        <sz val="11"/>
        <rFont val="Arial"/>
        <family val="2"/>
      </rPr>
      <t>A</t>
    </r>
    <r>
      <rPr>
        <sz val="11"/>
        <rFont val="Arial"/>
        <family val="2"/>
      </rPr>
      <t>.</t>
    </r>
    <r>
      <rPr>
        <sz val="10"/>
        <rFont val="Arial"/>
        <family val="2"/>
      </rPr>
      <t xml:space="preserve"> Does your agency have any budgeted federal revenues</t>
    </r>
    <r>
      <rPr>
        <b/>
        <sz val="10"/>
        <rFont val="Arial"/>
        <family val="2"/>
      </rPr>
      <t xml:space="preserve"> </t>
    </r>
    <r>
      <rPr>
        <sz val="10"/>
        <rFont val="Arial"/>
        <family val="2"/>
      </rPr>
      <t xml:space="preserve">for COVID-19 funds received </t>
    </r>
    <r>
      <rPr>
        <u/>
        <sz val="10"/>
        <rFont val="Arial"/>
        <family val="2"/>
      </rPr>
      <t>directly</t>
    </r>
    <r>
      <rPr>
        <sz val="10"/>
        <rFont val="Arial"/>
        <family val="2"/>
      </rPr>
      <t xml:space="preserve"> from federal agencies (not indirectly from another state or local agency)?</t>
    </r>
  </si>
  <si>
    <r>
      <t xml:space="preserve">(1) To be </t>
    </r>
    <r>
      <rPr>
        <b/>
        <sz val="10"/>
        <rFont val="Arial"/>
        <family val="2"/>
      </rPr>
      <t>completed by OSBM only</t>
    </r>
    <r>
      <rPr>
        <sz val="10"/>
        <rFont val="Arial"/>
        <family val="2"/>
      </rPr>
      <t xml:space="preserve"> for the OSBM Coronavirus Relief Fund and American Rescue Plan Act Funds budgeted federal revenues. </t>
    </r>
  </si>
  <si>
    <t>Please provide the following:</t>
  </si>
  <si>
    <r>
      <t xml:space="preserve">Total </t>
    </r>
    <r>
      <rPr>
        <b/>
        <u/>
        <sz val="10"/>
        <rFont val="Arial"/>
        <family val="2"/>
      </rPr>
      <t>Certified</t>
    </r>
    <r>
      <rPr>
        <b/>
        <sz val="10"/>
        <rFont val="Arial"/>
        <family val="2"/>
      </rPr>
      <t xml:space="preserve"> Budgeted </t>
    </r>
  </si>
  <si>
    <r>
      <t xml:space="preserve">Total </t>
    </r>
    <r>
      <rPr>
        <b/>
        <u/>
        <sz val="10"/>
        <rFont val="Arial"/>
        <family val="2"/>
      </rPr>
      <t>Authorized</t>
    </r>
    <r>
      <rPr>
        <b/>
        <sz val="10"/>
        <rFont val="Arial"/>
        <family val="2"/>
      </rPr>
      <t xml:space="preserve"> Budgeted</t>
    </r>
    <r>
      <rPr>
        <b/>
        <sz val="10"/>
        <color rgb="FFFF0000"/>
        <rFont val="Arial"/>
        <family val="2"/>
      </rPr>
      <t xml:space="preserve"> </t>
    </r>
  </si>
  <si>
    <t xml:space="preserve">Amount for COVID-19 </t>
  </si>
  <si>
    <t xml:space="preserve">Federal Fund Revenues Account </t>
  </si>
  <si>
    <r>
      <t xml:space="preserve">funds Received </t>
    </r>
    <r>
      <rPr>
        <b/>
        <u/>
        <sz val="10"/>
        <rFont val="Arial"/>
        <family val="2"/>
      </rPr>
      <t>Directly</t>
    </r>
    <r>
      <rPr>
        <b/>
        <sz val="10"/>
        <rFont val="Arial"/>
        <family val="2"/>
      </rPr>
      <t xml:space="preserve"> </t>
    </r>
  </si>
  <si>
    <t>Number (42XXXXXX or 588XXXXX)</t>
  </si>
  <si>
    <r>
      <t xml:space="preserve">(2) For </t>
    </r>
    <r>
      <rPr>
        <b/>
        <sz val="10"/>
        <rFont val="Arial"/>
        <family val="2"/>
      </rPr>
      <t>State agencies</t>
    </r>
    <r>
      <rPr>
        <sz val="10"/>
        <rFont val="Arial"/>
        <family val="2"/>
      </rPr>
      <t>, please provide the following information for budgeted federal fund revenues (42XXXXXX or 588XXXXX accounts) received directly from federal agencies</t>
    </r>
  </si>
  <si>
    <t xml:space="preserve"> in response to the coronavirus disease (COVID-19):</t>
  </si>
  <si>
    <t>FUND BALANCE CLASSIFICATIONS</t>
  </si>
  <si>
    <t>GENERAL FUND (401)</t>
  </si>
  <si>
    <t>NA - Component Units</t>
  </si>
  <si>
    <t>11XX</t>
  </si>
  <si>
    <t>101.5 - Statewide Accounting Policy - Fund Balance Reporting | NC OSC</t>
  </si>
  <si>
    <t>Describe each restricted, committed, and assigned fund balance identified below in the ACFR Narrative worksheet.  See instructions for more detail.</t>
  </si>
  <si>
    <t>Specify GASB number&gt;&gt;&gt;</t>
  </si>
  <si>
    <t>Fund Balances:</t>
  </si>
  <si>
    <t>Nonspendable:</t>
  </si>
  <si>
    <t>Inventory of supplies (including postage) 116XXXXX accounts</t>
  </si>
  <si>
    <t>Inventories should tie to 11G.</t>
  </si>
  <si>
    <t>NonspenInv</t>
  </si>
  <si>
    <t>Permanent corpus - revolving loans</t>
  </si>
  <si>
    <t>Notes receivable and other corpus restricted to revolving loans.</t>
  </si>
  <si>
    <t>PermCorpus</t>
  </si>
  <si>
    <t>Long-term portion of notes receivable</t>
  </si>
  <si>
    <t>If the proceeds from collection of long-term receivables are restricted, committed, or assigned, those constraints take precedence over the nonspendable nature of resources when classifying the amounts (i.e., classify as restricted, committed, or assigned instead). Therefore, notes receivable/advances on this worksheet may not agree with 11G.</t>
  </si>
  <si>
    <t>LongtermNotesRec</t>
  </si>
  <si>
    <t>Advances to other funds</t>
  </si>
  <si>
    <t>AdvOthfunds</t>
  </si>
  <si>
    <t>Advances to component units</t>
  </si>
  <si>
    <t>AdvCompUnit</t>
  </si>
  <si>
    <t>Restricted for:</t>
  </si>
  <si>
    <t>Select Function/Purpose (Click here)</t>
  </si>
  <si>
    <t>Restricted</t>
  </si>
  <si>
    <t>Committed to:</t>
  </si>
  <si>
    <t>Committed</t>
  </si>
  <si>
    <t>Assigned to:</t>
  </si>
  <si>
    <t>Assigned</t>
  </si>
  <si>
    <t>Unassigned</t>
  </si>
  <si>
    <t>Total Fund Balance and Other Credits per 11G</t>
  </si>
  <si>
    <t>Restricted:</t>
  </si>
  <si>
    <t>Externally imposed by creditors (e.g., debt covenants), grantors (federal, local, private, and pass-through grants that</t>
  </si>
  <si>
    <t>were originally from federal, local or private sector), contributors, or laws/regulations of other governments.</t>
  </si>
  <si>
    <t>Imposed law through constitutional provisions (e.g., State Constitution).</t>
  </si>
  <si>
    <t>Unrestricted:</t>
  </si>
  <si>
    <t>Does not meet the above criteria.</t>
  </si>
  <si>
    <t>Government-wide Net Position – OSC Only (Automatic Calculations)</t>
  </si>
  <si>
    <t>Unrestricted</t>
  </si>
  <si>
    <t>Total Net Position</t>
  </si>
  <si>
    <t>(Agree with above Total Fund Balance)</t>
  </si>
  <si>
    <t>SPECIAL REVENUE FUNDS (405)</t>
  </si>
  <si>
    <t>12XX, 13XX</t>
  </si>
  <si>
    <t>Fund Balance Reporting Policy</t>
  </si>
  <si>
    <t>Negative Unassigned</t>
  </si>
  <si>
    <t>If "negative unassigned" fund balance is reported, then an agency should not report any amounts as being "assigned" (see Fund Balance Reporting Policy).</t>
  </si>
  <si>
    <t>CAPITAL PROJECTS FUNDS (410)</t>
  </si>
  <si>
    <t>14XX</t>
  </si>
  <si>
    <t xml:space="preserve">Policy on OSC's Website: </t>
  </si>
  <si>
    <t>Capital projects/Repairs &amp; renovations</t>
  </si>
  <si>
    <t>CapProjectsReno</t>
  </si>
  <si>
    <t>Debt service (07 State Treasurer only)</t>
  </si>
  <si>
    <t>Debt Serv</t>
  </si>
  <si>
    <t>Other (Specify at bottom of worksheet)</t>
  </si>
  <si>
    <t>OthPur</t>
  </si>
  <si>
    <t>If "Other" was selected above, then list the specific purpose of the fund balance below. Please note whether the fund balance purpose</t>
  </si>
  <si>
    <t>is for restricted, committed, and/or assigned.</t>
  </si>
  <si>
    <t>PERMANENT FUNDS (415)</t>
  </si>
  <si>
    <t>15XX</t>
  </si>
  <si>
    <t>Permanent corpus - Restricted</t>
  </si>
  <si>
    <t>Inventory of supplies (including postage) 116XXX accounts</t>
  </si>
  <si>
    <t>Inventories should tie to 11G on NCFS.</t>
  </si>
  <si>
    <t>This question is to help when making government-wide entry needed per GASB 34.</t>
  </si>
  <si>
    <t>Revenue Allocation:</t>
  </si>
  <si>
    <r>
      <t xml:space="preserve">If </t>
    </r>
    <r>
      <rPr>
        <b/>
        <u/>
        <sz val="11"/>
        <color indexed="8"/>
        <rFont val="Calibri"/>
        <family val="2"/>
      </rPr>
      <t>revenue</t>
    </r>
    <r>
      <rPr>
        <sz val="11"/>
        <color indexed="8"/>
        <rFont val="Calibri"/>
        <family val="2"/>
      </rPr>
      <t xml:space="preserve"> is collected in this fund, how much is a contribution to the principal?</t>
    </r>
  </si>
  <si>
    <t>* Enter Valid GASB Number. Example - Use complete number(2700) instead of 27XX</t>
  </si>
  <si>
    <t>RESTRICTED AND UNRESTRICTED NET POSITION</t>
  </si>
  <si>
    <t>BUSINESS TYPE ACTIVITIES (420)</t>
  </si>
  <si>
    <t>NCFS agencies only; NA for offline using 905 template</t>
  </si>
  <si>
    <t>NC OSC Policy 101.6 - Net Position</t>
  </si>
  <si>
    <t>Describe each restricted net position identified below in the ACFR Narrative worksheet.  See instructions for more detail.</t>
  </si>
  <si>
    <t>Net Position:</t>
  </si>
  <si>
    <t>**Net Investment in Capital Assets</t>
  </si>
  <si>
    <t>NetinvestmentCapitalAssets</t>
  </si>
  <si>
    <t>Restricted Net Position for:</t>
  </si>
  <si>
    <t>Expendable</t>
  </si>
  <si>
    <t>Unrestricted Net Position</t>
  </si>
  <si>
    <t>UnRestricted</t>
  </si>
  <si>
    <t>(Agrees to NC ACFR 11P report)</t>
  </si>
  <si>
    <r>
      <t xml:space="preserve">For Component Units and NCSSM Only: </t>
    </r>
    <r>
      <rPr>
        <sz val="10"/>
        <rFont val="Arial"/>
        <family val="2"/>
      </rPr>
      <t>For the portion of restricted net position identified above, distinguish amounts between expendable/nonexpendable.</t>
    </r>
  </si>
  <si>
    <t>(This section is NA for proprietary funds)</t>
  </si>
  <si>
    <t>Nonexpendable</t>
  </si>
  <si>
    <t>Total Restricted</t>
  </si>
  <si>
    <r>
      <rPr>
        <b/>
        <sz val="10"/>
        <color rgb="FF000000"/>
        <rFont val="Arial"/>
        <family val="2"/>
      </rPr>
      <t xml:space="preserve">**NOTE:  The calculation for "Net Investment in Capital Assets" includes the sum of nondepreciable and net, depreciable capital assets (which includes right to use lease assets and subscription assets), reduced by any capital debt, including the lease and subscription liabilities associated with the right to use lease and subscription assets. </t>
    </r>
    <r>
      <rPr>
        <b/>
        <sz val="10"/>
        <color rgb="FFFF0000"/>
        <rFont val="Arial"/>
        <family val="2"/>
      </rPr>
      <t xml:space="preserve"> Please provide the calculation of Net Investment in Capital Assets on the 420 Narrative for FY 2024.  See instructions for the 420 worksheet.</t>
    </r>
  </si>
  <si>
    <t>STEWARDSHIP, COMPLIANCE, AND ACCOUNTABILITY (425)</t>
  </si>
  <si>
    <t>GASB Fund:</t>
  </si>
  <si>
    <t>Material Violations</t>
  </si>
  <si>
    <t>Answer the following question.  If the answer is yes, explain below.</t>
  </si>
  <si>
    <t>During the past fiscal year, has your agency had any material violations of finance-related legal and contractual provisions?  Examples of such violations may be in connection with grant requirements, bond covenants, and laws/regulations governing deposits and investments.    If the answer is yes, please disclose the following below on this worksheet -- a description of the violation and the actions taken by your agency to correct the violation.  If material violations that may impact the current year ACFR have been disclosed in your agency's audit report issued by Office of the State Auditor or other auditors, then summarize the violation below on this worksheet.</t>
  </si>
  <si>
    <t>(If yes, explain below.)</t>
  </si>
  <si>
    <r>
      <t>RESTATEMENTS GOVERNMENTAL FUNDS</t>
    </r>
    <r>
      <rPr>
        <b/>
        <sz val="11"/>
        <rFont val="Arial"/>
        <family val="2"/>
      </rPr>
      <t xml:space="preserve"> (430G)</t>
    </r>
  </si>
  <si>
    <t>Part 1 of 2 for Fund Equity Restatements</t>
  </si>
  <si>
    <t xml:space="preserve">Complete the following schedule for any governmental fund GASB that has restated numbers (may or may not be fund equity).  If fund equity is restated, the restatement total in the "Other" </t>
  </si>
  <si>
    <t xml:space="preserve">column should agree to the restatement reported in NCFS Account 32000100 on the NC ACFR 52G.  </t>
  </si>
  <si>
    <t>Governmental Funds:</t>
  </si>
  <si>
    <t>NEW 2024 - Narratives Required for All Restatements</t>
  </si>
  <si>
    <t>Capital Assets</t>
  </si>
  <si>
    <t>General Long-Term Debt</t>
  </si>
  <si>
    <t>Reclassification</t>
  </si>
  <si>
    <t>GASB 5100</t>
  </si>
  <si>
    <t>GASB 5200</t>
  </si>
  <si>
    <t>Other</t>
  </si>
  <si>
    <t xml:space="preserve">Change in </t>
  </si>
  <si>
    <t>Change in</t>
  </si>
  <si>
    <t>Note:  Grouped asset restatements should be reported separately</t>
  </si>
  <si>
    <t>Fund</t>
  </si>
  <si>
    <t>from other Capital Asset (GASB 5100) restatements for FY24</t>
  </si>
  <si>
    <t>Number</t>
  </si>
  <si>
    <t>Fund Equity</t>
  </si>
  <si>
    <t>Balances</t>
  </si>
  <si>
    <t>Explanation</t>
  </si>
  <si>
    <t>Grouped Asset Restatements (IG 2021-1 Sec 5.1)</t>
  </si>
  <si>
    <t>Select GASB</t>
  </si>
  <si>
    <t>Total GASB Reclass</t>
  </si>
  <si>
    <t>Total GASB 5100</t>
  </si>
  <si>
    <t>Total GASB 5200</t>
  </si>
  <si>
    <t>Total Other</t>
  </si>
  <si>
    <t>Total restatements in "Other" should tie back to "restatements" caption on the 52G.</t>
  </si>
  <si>
    <t>Complete 431G for GASB Reclass</t>
  </si>
  <si>
    <t>Complete 431G for GASB 5100</t>
  </si>
  <si>
    <t>Complete 431G for GASB 5200</t>
  </si>
  <si>
    <t>Complete a 431G for EACH Restated GASB</t>
  </si>
  <si>
    <t>GASB Reclass</t>
  </si>
  <si>
    <t xml:space="preserve">Note:  </t>
  </si>
  <si>
    <t>For governmental funds, Capital Assets column should be filled in for any Adjustments to July 1 Balance column on worksheets 202/203.</t>
  </si>
  <si>
    <t>For governmental funds, General Long Term Debt should tie back to worksheet 305 Adjustments to July 1 Balance column for GASB 5200.</t>
  </si>
  <si>
    <r>
      <t xml:space="preserve">RESTATEMENTS Business Type Activities </t>
    </r>
    <r>
      <rPr>
        <b/>
        <sz val="11"/>
        <rFont val="Arial"/>
        <family val="2"/>
      </rPr>
      <t>(430BTA)</t>
    </r>
  </si>
  <si>
    <t>Complete the following schedule for any GASB fund that has restated numbers (may or may not be fund equity).  If fund equity is restated, the</t>
  </si>
  <si>
    <t>amounts should agree to the amounts shown on the operating statement.  (see note below)</t>
  </si>
  <si>
    <t>Business-type Activity:</t>
  </si>
  <si>
    <t>NEW 2024 - Narratives and 431 Required for All Restatements</t>
  </si>
  <si>
    <t xml:space="preserve">Capital   </t>
  </si>
  <si>
    <t>Long-term/Short-term</t>
  </si>
  <si>
    <t>Transactions</t>
  </si>
  <si>
    <t>from other Capital Asset restatements for FY24</t>
  </si>
  <si>
    <t>Totals</t>
  </si>
  <si>
    <t>Total restatements should tie back to "restatements" caption on the 53P/905 (does not include GASB reclassifications).</t>
  </si>
  <si>
    <t>For business-type fund activity, Capital Transactions total should tie back to worksheets 201 and 210 Prior Year Adjustments column totals.</t>
  </si>
  <si>
    <t>For business-type fund activity, Long term/short term transactions total should tie back to worksheet 310 Prior Year Adjustments column total.</t>
  </si>
  <si>
    <r>
      <t xml:space="preserve">RESTATEMENTS Fiduciary Activities </t>
    </r>
    <r>
      <rPr>
        <b/>
        <sz val="11"/>
        <rFont val="Arial"/>
        <family val="2"/>
      </rPr>
      <t>(430F)</t>
    </r>
  </si>
  <si>
    <t>Part 1 of 1 for Fiduciary Activities Fund Equity Restatements</t>
  </si>
  <si>
    <t>Complete the following schedule for any GASB fund that has restated numbers.</t>
  </si>
  <si>
    <t>Fiduciary Activities:</t>
  </si>
  <si>
    <t>Note:  Grouped Asset Restatements should be reported separately from other</t>
  </si>
  <si>
    <t>Capital Asset Restatement for FY 2024</t>
  </si>
  <si>
    <t xml:space="preserve">Total Other </t>
  </si>
  <si>
    <t>Total restatements in "Other" should tie back to "restatements" caption on the 54F.</t>
  </si>
  <si>
    <t>RESTATEMENTS GOVERNMENTAL FUNDS (431G)</t>
  </si>
  <si>
    <t xml:space="preserve"> Part 2 of 2 — NA Component Units and Fiduciary Funds</t>
  </si>
  <si>
    <t>Select Function</t>
  </si>
  <si>
    <t>Complete an individual worksheet for each GASB fund (including GASB 5100 and GASB 5200) with adjusted July 1 balances.</t>
  </si>
  <si>
    <t>Restatements related to Error Corrections</t>
  </si>
  <si>
    <t>R_BegBalances</t>
  </si>
  <si>
    <t>R_Restatements</t>
  </si>
  <si>
    <t>R_EndBalance</t>
  </si>
  <si>
    <t>Balances as of</t>
  </si>
  <si>
    <t xml:space="preserve">2023 Balances </t>
  </si>
  <si>
    <t>ErrorCorr</t>
  </si>
  <si>
    <t>Restatements</t>
  </si>
  <si>
    <t>as Restated</t>
  </si>
  <si>
    <t>Reason</t>
  </si>
  <si>
    <t>Balance Sheet</t>
  </si>
  <si>
    <t>Capital assets, net</t>
  </si>
  <si>
    <t>Select Caption</t>
  </si>
  <si>
    <t>Select Reason</t>
  </si>
  <si>
    <t>Total Capital assets, net</t>
  </si>
  <si>
    <t>All other assets</t>
  </si>
  <si>
    <t>Total Assets</t>
  </si>
  <si>
    <t>Deferred Outflows of Resources</t>
  </si>
  <si>
    <t>Long-term liabilities</t>
  </si>
  <si>
    <t>Total Long-term liabilities</t>
  </si>
  <si>
    <t>All other liabilities</t>
  </si>
  <si>
    <t>Total Liabilities</t>
  </si>
  <si>
    <t>Deferred Inflows of Resources</t>
  </si>
  <si>
    <t>Net Position</t>
  </si>
  <si>
    <t>R_Net investment in capital assets</t>
  </si>
  <si>
    <t xml:space="preserve">R_Restricted </t>
  </si>
  <si>
    <t xml:space="preserve">R_Unrestricted </t>
  </si>
  <si>
    <t xml:space="preserve">Balance Sheet Change </t>
  </si>
  <si>
    <t>Operating Statement</t>
  </si>
  <si>
    <t>Revenues</t>
  </si>
  <si>
    <t>Program Revenues</t>
  </si>
  <si>
    <t>General Revenues</t>
  </si>
  <si>
    <t>Taxes</t>
  </si>
  <si>
    <t>R_Tobacco Settlement</t>
  </si>
  <si>
    <t>R_Federal grants not restricted to specific programs</t>
  </si>
  <si>
    <t>R_Miscellaneous_Tax</t>
  </si>
  <si>
    <t>Total Revenues</t>
  </si>
  <si>
    <t>Expenditures</t>
  </si>
  <si>
    <t>Functional Expenditures</t>
  </si>
  <si>
    <t>R_Interest on long term debt</t>
  </si>
  <si>
    <t>Total Expenditures</t>
  </si>
  <si>
    <t>R_Contributions to permanent funds</t>
  </si>
  <si>
    <t>R_Transfers In</t>
  </si>
  <si>
    <t>R_Transfers Out</t>
  </si>
  <si>
    <t>R_Beginning Fund Equity (restated)</t>
  </si>
  <si>
    <t>Operating Statement Change</t>
  </si>
  <si>
    <t>Check:  Restatements column Balance Sheet, net should equal Restatements column Operating</t>
  </si>
  <si>
    <t>Statement, net.</t>
  </si>
  <si>
    <t>Restatements related to Changes in Accounting Principle</t>
  </si>
  <si>
    <t>TOTAL Restatements for Individual GASB</t>
  </si>
  <si>
    <t>Should agree to GASB Total on the 430G</t>
  </si>
  <si>
    <t>RESTATEMENTS BTAs (431BTA)</t>
  </si>
  <si>
    <t>Part 2 of 2 — Required for Enterprise and Internal Service Funds</t>
  </si>
  <si>
    <t xml:space="preserve">Complete an individual worksheet for each GASB fund that has adjusted July 1 balances.  </t>
  </si>
  <si>
    <t>Current Assets</t>
  </si>
  <si>
    <t>Noncurrent Assets</t>
  </si>
  <si>
    <t>Total Capital Assets, net</t>
  </si>
  <si>
    <t>Deferred outflows of resources</t>
  </si>
  <si>
    <t>Current liabilities</t>
  </si>
  <si>
    <t>Noncurrent liabilities</t>
  </si>
  <si>
    <t>Deferred inflows of resources</t>
  </si>
  <si>
    <t>Net position</t>
  </si>
  <si>
    <t>R_Restricted</t>
  </si>
  <si>
    <t>R_Unrestricted</t>
  </si>
  <si>
    <t>Balance Sheet Change</t>
  </si>
  <si>
    <t>R_Unemployment Comp Fund</t>
  </si>
  <si>
    <t>R_NC State Lottery</t>
  </si>
  <si>
    <t>R_EPA Revolving Loan</t>
  </si>
  <si>
    <t>R_NC Turnpike Authority</t>
  </si>
  <si>
    <t>R_Regulatory Programs</t>
  </si>
  <si>
    <t>R_Insurance Programs</t>
  </si>
  <si>
    <t>R_NC State Fair</t>
  </si>
  <si>
    <t>R_Other business-type activities</t>
  </si>
  <si>
    <t>R_Net Position (beginning restated)</t>
  </si>
  <si>
    <t>TOTAL Restatements for GASB</t>
  </si>
  <si>
    <t>Should agree to GASB Total on the 430BTA</t>
  </si>
  <si>
    <t>RESTATEMENTS BTAs (431BTA-CU)</t>
  </si>
  <si>
    <t>Part 2 of 2 — Required for Component Units FY 2024</t>
  </si>
  <si>
    <t xml:space="preserve">Complete for caption(s) that have adjusted July 1 balances.  </t>
  </si>
  <si>
    <t>Select reason</t>
  </si>
  <si>
    <t>Capital assets: Nondepreciable</t>
  </si>
  <si>
    <t>Total Nondpreciable CapAssets</t>
  </si>
  <si>
    <t>Capital assets: Depreciable</t>
  </si>
  <si>
    <t>Total Depreciable CapAssets</t>
  </si>
  <si>
    <t>Liabilities</t>
  </si>
  <si>
    <t>R_Restricted - nonexpendable</t>
  </si>
  <si>
    <t>R_Restricted - expendable</t>
  </si>
  <si>
    <t>General Revenues (Non Tax)</t>
  </si>
  <si>
    <t>R_Contributions to endowments</t>
  </si>
  <si>
    <t>Total Revenues and Contributions</t>
  </si>
  <si>
    <t>R_Total expenses</t>
  </si>
  <si>
    <t>Change in net position</t>
  </si>
  <si>
    <t>Restatements related to Changes in Accounting Principles</t>
  </si>
  <si>
    <t>Total Restatement</t>
  </si>
  <si>
    <t>Should agree to Total Restatement on Worksheet 430BTA</t>
  </si>
  <si>
    <t>RESTATEMENTS FIDUCIARY (431F)</t>
  </si>
  <si>
    <t>Part 2 of 2 — Required for Fiduciary Funds FY 2024</t>
  </si>
  <si>
    <t>Contributions:</t>
  </si>
  <si>
    <t>Investment income and pool share:</t>
  </si>
  <si>
    <t xml:space="preserve"> R_Other operating grants and contributions</t>
  </si>
  <si>
    <t>Other additions:</t>
  </si>
  <si>
    <t>Total additions</t>
  </si>
  <si>
    <t>Deductions</t>
  </si>
  <si>
    <t>Total deductions</t>
  </si>
  <si>
    <t>R_Other operating grants and contributions</t>
  </si>
  <si>
    <t>Should agree to Total Restatement Worksheet 430F</t>
  </si>
  <si>
    <t>2024 ACFR Worksheets</t>
  </si>
  <si>
    <t>SCHEDULE OF DUE TO/FROM -SUMMARY EXPLANATIONS (502)</t>
  </si>
  <si>
    <t>NA - Offline Entities</t>
  </si>
  <si>
    <t>North Carolina General Assembly</t>
  </si>
  <si>
    <t xml:space="preserve">List any identified unmatched amounts on NCFS NC GASB Due To and Due From Reconciliation report (RPT169), that are not listed on Worksheet 525 or Worksheet 530,  </t>
  </si>
  <si>
    <t>not reconciled due to extenuating circumstances, or that have valid exceptions.These items need to be approved by OSC prior to submitting your ACFR package:</t>
  </si>
  <si>
    <t>NCFS</t>
  </si>
  <si>
    <t>OTHER</t>
  </si>
  <si>
    <t>Agency</t>
  </si>
  <si>
    <t>Budget</t>
  </si>
  <si>
    <t>Interfund</t>
  </si>
  <si>
    <t>AGENCY</t>
  </si>
  <si>
    <t>No.</t>
  </si>
  <si>
    <t>1143XXXX / 2123XXXX</t>
  </si>
  <si>
    <t>Budget fund</t>
  </si>
  <si>
    <t>GASB #</t>
  </si>
  <si>
    <t>#</t>
  </si>
  <si>
    <t>Comments</t>
  </si>
  <si>
    <t>1500</t>
  </si>
  <si>
    <t>11020G</t>
  </si>
  <si>
    <t>0300</t>
  </si>
  <si>
    <t>OSC approved exception due to legislation xxxx</t>
  </si>
  <si>
    <t>Example</t>
  </si>
  <si>
    <t>Explain the purpose of due to/from for all accounts listed above.  Use explanation tab if additional space is required.</t>
  </si>
  <si>
    <t>In lieu of filling out multiple due to/from worksheets, agencies are now using Sharepoint to upload a copy of a completed NCFS NC GASB Due To and Due From Reconciliation report (RPT169).</t>
  </si>
  <si>
    <t>Please confirm the following has been completed for this report:</t>
  </si>
  <si>
    <t>1.  The Due To/From Contact at the agency or the CFO has reviewed all due from and due to listed for their agency and all distributions and tabs are accurately completed. This includes having a</t>
  </si>
  <si>
    <t>matching distribution for each due from and due to at your agency.  All distributions MUST have an appropriate interfund value (i.e. no line has the default interfund value of 000000).</t>
  </si>
  <si>
    <t>2.  Any mismatches that are not related to Worksheet 525 (Schedule of Due From / Restricted Due From State of NC Component Units) or Worksheet 530 (Schedule of Due To State of NC Component</t>
  </si>
  <si>
    <t>Units) are listed on this worksheet and the OSC analyst as well as the reciprocal agency contact have been notified.</t>
  </si>
  <si>
    <t>Contact Name/email of CFO/ Due To/From Contact:</t>
  </si>
  <si>
    <t>Date Confirmed:</t>
  </si>
  <si>
    <t>Signature of CFO or Agency Due To/From Contact verifying that all due to/from have been reviewed and there is no pending or missing information on any due to/from line that has not been resolved at</t>
  </si>
  <si>
    <t xml:space="preserve"> the time of submission of this package.</t>
  </si>
  <si>
    <t>Signature:</t>
  </si>
  <si>
    <t>Date:</t>
  </si>
  <si>
    <t>SCHEDULE OF INTER-AGENCY RECEIVABLES (505)</t>
  </si>
  <si>
    <r>
      <t xml:space="preserve">(THRESHOLD APPLICABLE </t>
    </r>
    <r>
      <rPr>
        <b/>
        <sz val="12"/>
        <color rgb="FFFF0000"/>
        <rFont val="Arial"/>
        <family val="2"/>
      </rPr>
      <t>EXCEPT</t>
    </r>
    <r>
      <rPr>
        <b/>
        <sz val="12"/>
        <rFont val="Arial"/>
        <family val="2"/>
      </rPr>
      <t xml:space="preserve"> Coronavirus Funds  - SEE INSTRUCTIONS)</t>
    </r>
  </si>
  <si>
    <t>Note: Balances below the threshold excluding exceptions should be reclassified as Accounts Receivable.</t>
  </si>
  <si>
    <t>Only Applicable for Battleship</t>
  </si>
  <si>
    <t>GASB No:</t>
  </si>
  <si>
    <t>Payor</t>
  </si>
  <si>
    <t>Payor Contact</t>
  </si>
  <si>
    <t>Phone Number/</t>
  </si>
  <si>
    <t xml:space="preserve">Confirmation </t>
  </si>
  <si>
    <t>(See instructions)</t>
  </si>
  <si>
    <t xml:space="preserve">Email </t>
  </si>
  <si>
    <t xml:space="preserve">TOTAL </t>
  </si>
  <si>
    <t>If any of the balances listed above represent interfund loans, submit an explanation with this worksheet.</t>
  </si>
  <si>
    <t>SCHEDULE OF INTER-AGENCY PAYABLES (510)</t>
  </si>
  <si>
    <r>
      <t xml:space="preserve">(THRESHOLD APPLICABLE </t>
    </r>
    <r>
      <rPr>
        <b/>
        <sz val="12"/>
        <color rgb="FFFF0000"/>
        <rFont val="Arial"/>
        <family val="2"/>
      </rPr>
      <t>EXCEPT</t>
    </r>
    <r>
      <rPr>
        <b/>
        <sz val="12"/>
        <rFont val="Arial"/>
        <family val="2"/>
      </rPr>
      <t xml:space="preserve"> Coronavirus Funds - SEE INSTRUCTIONS)</t>
    </r>
  </si>
  <si>
    <t>Note: Balances below the threshold excluding exceptions should be reclassified as Accounts Payable.</t>
  </si>
  <si>
    <t>Payee</t>
  </si>
  <si>
    <t>Payee Contact</t>
  </si>
  <si>
    <t>TOTAL</t>
  </si>
  <si>
    <t>SCHEDULE OF DUE FROM / RESTRICTED DUE FROM PRIMARY GOVERNMENT (515)</t>
  </si>
  <si>
    <t>Note: Balances below the applicable threshold should be reclassified as Accounts Receivable.</t>
  </si>
  <si>
    <t>Due From Prim Gov</t>
  </si>
  <si>
    <t>Restricted due from Prim Gov</t>
  </si>
  <si>
    <t>SCHEDULE OF DUE TO PRIMARY GOVERNMENT (520)</t>
  </si>
  <si>
    <t>Due to Prim Gov</t>
  </si>
  <si>
    <t>SCHEDULE OF DUE FROM / RESTRICTED DUE FROM STATE OF NC COMPONENT UNITS (525)</t>
  </si>
  <si>
    <t>Due Fr St NC Comp Unit</t>
  </si>
  <si>
    <t>Restricted Due From State of NC Comp Unit</t>
  </si>
  <si>
    <t>SCHEDULE OF DUE TO STATE OF NC COMPONENT UNITS (530)</t>
  </si>
  <si>
    <t>Due to St  NC Comp Unit</t>
  </si>
  <si>
    <t>SCHEDULE OF ADVANCES (535)</t>
  </si>
  <si>
    <t>Advances From Other Funds/Primary Government</t>
  </si>
  <si>
    <t>Detailed Explanation</t>
  </si>
  <si>
    <t>Advances To Other Funds/Component Units/Entities Outside of State Reporting Entity</t>
  </si>
  <si>
    <t xml:space="preserve">Agrees to 11G/P/F/905/Statement of Net Position </t>
  </si>
  <si>
    <t>Select an account</t>
  </si>
  <si>
    <t>Select an entity</t>
  </si>
  <si>
    <t>** CURRENT ASSETS **</t>
  </si>
  <si>
    <t>ZN - Project Kitty Hawk</t>
  </si>
  <si>
    <r>
      <t xml:space="preserve">SCHEDULE OF TRANSACTIONS BETWEEN NC COMPONENT UNITS (536)  </t>
    </r>
    <r>
      <rPr>
        <b/>
        <sz val="12"/>
        <color rgb="FFFF0000"/>
        <rFont val="Arial"/>
        <family val="2"/>
      </rPr>
      <t>NEW FY 2024</t>
    </r>
  </si>
  <si>
    <t xml:space="preserve">Cash and cash equivalents </t>
  </si>
  <si>
    <t>1000 Cash and cash equivalents</t>
  </si>
  <si>
    <t>U10 - UNC System Office</t>
  </si>
  <si>
    <t xml:space="preserve">*Applicable for UNC System Entities that participates in the online program setup with Project Kitty Hawk*
</t>
  </si>
  <si>
    <t xml:space="preserve">Pooled cash </t>
  </si>
  <si>
    <t xml:space="preserve">1010 Pooled cash </t>
  </si>
  <si>
    <t>U20 - UNC Chapel Hill</t>
  </si>
  <si>
    <t>Accounts receivable, net (Current)</t>
  </si>
  <si>
    <t>1110 Accounts receivable, net (Current)</t>
  </si>
  <si>
    <t>U30 - NC State University</t>
  </si>
  <si>
    <t>Other receivables, net (Current)</t>
  </si>
  <si>
    <t>1160 Other receivables, net (Current)</t>
  </si>
  <si>
    <t>U40 - UNC Greensboro</t>
  </si>
  <si>
    <t xml:space="preserve">Restricted/designated cash and cash equivalents </t>
  </si>
  <si>
    <t xml:space="preserve">1020 Restricted/designated cash and cash equivalents </t>
  </si>
  <si>
    <t>U50 - UNC Charlotte</t>
  </si>
  <si>
    <t>4XXX</t>
  </si>
  <si>
    <t xml:space="preserve">Restricted pooled cash </t>
  </si>
  <si>
    <t xml:space="preserve">1030 Restricted pooled cash </t>
  </si>
  <si>
    <t>U55 - UNC Asheville</t>
  </si>
  <si>
    <t>** NONCURRENT ASSETS **</t>
  </si>
  <si>
    <t>U60 - UNC Wilmington</t>
  </si>
  <si>
    <t>Summary of Transactions</t>
  </si>
  <si>
    <t>Accounts receivable, net (Noncurrent)</t>
  </si>
  <si>
    <t>1340 Accounts receivable, net (Noncurrent)</t>
  </si>
  <si>
    <t>U65 - East Carolina University</t>
  </si>
  <si>
    <t>Provide total balance of each account at yearend.</t>
  </si>
  <si>
    <t>Other receivables, net (Noncurrent)</t>
  </si>
  <si>
    <t>1370 Other receivables, net (Noncurrent)</t>
  </si>
  <si>
    <t>U70 - NC A&amp;T</t>
  </si>
  <si>
    <t xml:space="preserve">1270 Restricted/designated cash and cash equivalents </t>
  </si>
  <si>
    <t>U75 - Western Carolina University</t>
  </si>
  <si>
    <t xml:space="preserve"> Account Referce &amp; Account Description</t>
  </si>
  <si>
    <t>Partner With</t>
  </si>
  <si>
    <t>Debit = positive number</t>
  </si>
  <si>
    <t xml:space="preserve">Restricted/designated pooled cash </t>
  </si>
  <si>
    <t xml:space="preserve">1280 Restricted/designated pooled cash </t>
  </si>
  <si>
    <t>U80 - Appalachian State University</t>
  </si>
  <si>
    <t>Select from the drop down list</t>
  </si>
  <si>
    <t>Credit = negative number</t>
  </si>
  <si>
    <t>Note</t>
  </si>
  <si>
    <t>DEFERRED OUTFLOWS OF RESOURCES</t>
  </si>
  <si>
    <t>** DEFERRED OUTFLOWS OF RESOURCES **</t>
  </si>
  <si>
    <t>U82 - UNC Pembroke</t>
  </si>
  <si>
    <t>Other deferred outflows</t>
  </si>
  <si>
    <t>1239 Other deferred outflows</t>
  </si>
  <si>
    <t>U84 - Winston Salem State University</t>
  </si>
  <si>
    <t>LIABILITIES</t>
  </si>
  <si>
    <t>** CURRENT LIABILITIES **</t>
  </si>
  <si>
    <t>U86 - Elizabeth City State University</t>
  </si>
  <si>
    <t>Current Liabilities:</t>
  </si>
  <si>
    <t>1640 Accounts payable (Current)</t>
  </si>
  <si>
    <t>U88 - Fayetteville State University</t>
  </si>
  <si>
    <t>Accounts payable (Current)</t>
  </si>
  <si>
    <t>** NONCURRENT LIABILITIES **</t>
  </si>
  <si>
    <t>U90 - NC Central University</t>
  </si>
  <si>
    <t>Noncurrent Liabilities:</t>
  </si>
  <si>
    <t>1940 Accounts payable (Noncurrent)</t>
  </si>
  <si>
    <t>U92 - UNC School of the Arts</t>
  </si>
  <si>
    <t>Accounts payable (Noncurrent)</t>
  </si>
  <si>
    <t>** DEFERRED INFLOWS OF RESOURCES **</t>
  </si>
  <si>
    <t>DEFERRED INFLOWS OF RESOURCES</t>
  </si>
  <si>
    <t>1769 Other deferred inflows</t>
  </si>
  <si>
    <t>Other deferred inflows</t>
  </si>
  <si>
    <t xml:space="preserve">** OPERATING REVENUES ** </t>
  </si>
  <si>
    <t>Operating Revenues</t>
  </si>
  <si>
    <t>2390 State and local grants and contracts</t>
  </si>
  <si>
    <t>State and local grants and contracts</t>
  </si>
  <si>
    <t>2400 Nongovernmental grants and contracts</t>
  </si>
  <si>
    <t>Nongovernmental grants and contracts</t>
  </si>
  <si>
    <t>2450 Miscellaneous</t>
  </si>
  <si>
    <t>Miscellaneous</t>
  </si>
  <si>
    <t xml:space="preserve">** OPERATING EXPENSES ** </t>
  </si>
  <si>
    <t>Operating Expenses</t>
  </si>
  <si>
    <t>2520 Services</t>
  </si>
  <si>
    <t>Services</t>
  </si>
  <si>
    <t>2625 Grants, state aid &amp; subsidies</t>
  </si>
  <si>
    <t>Grants, state aid &amp; subsidies</t>
  </si>
  <si>
    <t>2630 Other expenses</t>
  </si>
  <si>
    <t>Other expenses</t>
  </si>
  <si>
    <t xml:space="preserve">** NONOPERATING REVENUES (EXPENSES) ** </t>
  </si>
  <si>
    <t>Nonoperating Revenues (Expenses):</t>
  </si>
  <si>
    <t>2700 Noncapital grant revenue</t>
  </si>
  <si>
    <t>TOTAL DEBIT</t>
  </si>
  <si>
    <t>Noncapital grant revenue</t>
  </si>
  <si>
    <t>2711 Noncapital Contributions</t>
  </si>
  <si>
    <t>TOTAL CREDIT</t>
  </si>
  <si>
    <t>Noncapital Contributions</t>
  </si>
  <si>
    <t>2780 Grants, aid and subsidies expense</t>
  </si>
  <si>
    <t>Errors *:</t>
  </si>
  <si>
    <t>Check</t>
  </si>
  <si>
    <t>Grants, aid and subsidies expense</t>
  </si>
  <si>
    <t>2800 Miscellaneous nonoperating revenue</t>
  </si>
  <si>
    <t>Miscellaneous nonoperating revenue</t>
  </si>
  <si>
    <t>2810 Miscellaneous nonoperating expense</t>
  </si>
  <si>
    <t>Transactions of Project Kitty Hawk</t>
  </si>
  <si>
    <t>Miscellaneous nonoperating expense</t>
  </si>
  <si>
    <t>University</t>
  </si>
  <si>
    <r>
      <t xml:space="preserve">Errors </t>
    </r>
    <r>
      <rPr>
        <sz val="12"/>
        <color rgb="FFFF0000"/>
        <rFont val="Arial"/>
        <family val="2"/>
      </rPr>
      <t>*</t>
    </r>
    <r>
      <rPr>
        <sz val="12"/>
        <rFont val="Arial"/>
        <family val="2"/>
      </rPr>
      <t>:</t>
    </r>
  </si>
  <si>
    <t>SCHEDULE OF TRANSFERS -SUMMARY EXPLANATIONS (542)</t>
  </si>
  <si>
    <t>List of identified unmatched amounts on NCFS GASB Transfers Reconciliation report (RPT168), that could not be reconciled due to extenuating</t>
  </si>
  <si>
    <t xml:space="preserve"> circumstances or that have valid exceptions.These items need to be approved by OSC prior to submitting your ACFR package:</t>
  </si>
  <si>
    <t>48/58 XXXXXX</t>
  </si>
  <si>
    <t>9000</t>
  </si>
  <si>
    <t>48P00001</t>
  </si>
  <si>
    <t>Explain the purpose of transfers for all accounts over $10 million.  Use explanation tab if additional space is required.</t>
  </si>
  <si>
    <t>Run NCFS GASB Transfer Reconciliation report (RPT168) and include all distributions over $10 million and upload backup information if needed and type "See attached" if necessary</t>
  </si>
  <si>
    <t>Exception :  Transfers over $10 million within the same GASB ( 11XX TO 11XX) do not need any explanations, since these are eliminated at the Statewide ACFR level.</t>
  </si>
  <si>
    <t>In lieu of filling out multiple transfer worksheets, agencies are now using Sharepoint to upload a copy of a completed NCFS GASB Transfers Reconciliation report (RPT168)</t>
  </si>
  <si>
    <t xml:space="preserve">1.  The Transfers Contact at the agency or the CFO has reviewed all transfers (in and out) listed for their agency and all distributions and tabs are accurately completed. This includes having a matching </t>
  </si>
  <si>
    <t>distribution for each transfer in and transfer out at your agency.  All distributions MUST have an appropriate interfund value (i.e. no line has the default interfund value of 000000).</t>
  </si>
  <si>
    <t>2.  Any mismatches are listed on this worksheet and the OSC analyst as well as the reciprocal agency contact have been notified.</t>
  </si>
  <si>
    <t>Contact Name/email of CFO/ Transfers Contact:</t>
  </si>
  <si>
    <t>Signature of CFO  or Agency Transfers Contact verifying that all transfers have been reviewed and there is no pending or missing information on any transfer line that has not been resolved at the time of submission of this package.</t>
  </si>
  <si>
    <t>Signature/ Typed in Name:</t>
  </si>
  <si>
    <t>SCHEDULE OF INTERINSTITUTIONAL TRANSFERS (565)</t>
  </si>
  <si>
    <t xml:space="preserve">UNC System Entities Only </t>
  </si>
  <si>
    <t>Status</t>
  </si>
  <si>
    <t xml:space="preserve">Name of </t>
  </si>
  <si>
    <t xml:space="preserve">Description of </t>
  </si>
  <si>
    <t>4870000-5870000</t>
  </si>
  <si>
    <t xml:space="preserve">University </t>
  </si>
  <si>
    <t>Transfer</t>
  </si>
  <si>
    <t>Agreed</t>
  </si>
  <si>
    <t>Disagreed</t>
  </si>
  <si>
    <t>Response</t>
  </si>
  <si>
    <t>Agrees to NCFS 53P/905</t>
  </si>
  <si>
    <r>
      <t xml:space="preserve">Errors </t>
    </r>
    <r>
      <rPr>
        <b/>
        <sz val="12"/>
        <color rgb="FFFF0000"/>
        <rFont val="Arial"/>
        <family val="2"/>
      </rPr>
      <t>*</t>
    </r>
    <r>
      <rPr>
        <sz val="12"/>
        <rFont val="Arial"/>
        <family val="2"/>
      </rPr>
      <t>:</t>
    </r>
  </si>
  <si>
    <t xml:space="preserve"> RECEIVABLES (570)</t>
  </si>
  <si>
    <t>NA - Proprietary Funds and Component Units</t>
  </si>
  <si>
    <t>For any receivable statement caption (notes rec, accounts rec, taxes receivable, etc) on</t>
  </si>
  <si>
    <t xml:space="preserve">the NC ACFR 11G report that exceeds $1 million record the amount below that is not </t>
  </si>
  <si>
    <t xml:space="preserve">expected to be collected within one year.  </t>
  </si>
  <si>
    <t>Statement Caption</t>
  </si>
  <si>
    <t>EMPLOYER CONTRIBUTION AMOUNTS FOR TSERS AND OPEB (602)</t>
  </si>
  <si>
    <t>University/UNC System Only</t>
  </si>
  <si>
    <t>University No:</t>
  </si>
  <si>
    <t>University Name:</t>
  </si>
  <si>
    <r>
      <t xml:space="preserve">As part of the statewide ACFR compilation for GASB 68, OSC is required to report the </t>
    </r>
    <r>
      <rPr>
        <b/>
        <sz val="10"/>
        <color theme="1"/>
        <rFont val="Arial"/>
        <family val="2"/>
      </rPr>
      <t>TSERS'</t>
    </r>
    <r>
      <rPr>
        <sz val="10"/>
        <color theme="1"/>
        <rFont val="Arial"/>
        <family val="2"/>
      </rPr>
      <t xml:space="preserve"> </t>
    </r>
  </si>
  <si>
    <t xml:space="preserve">employer contribution amounts subsequent to the measurement date for component units.  </t>
  </si>
  <si>
    <t>Please provide the following information regarding your TSERS employer contributions.</t>
  </si>
  <si>
    <t>Total 2024 TSERS' employer contributions</t>
  </si>
  <si>
    <t>This should be the same amount that you keyed into the GASB 68 template for FY2024 employer</t>
  </si>
  <si>
    <t>contributions (on the detail tab, see example below)</t>
  </si>
  <si>
    <r>
      <t xml:space="preserve">As part of the statewide ACFR compilation for GASB 75, OSC is required to report the </t>
    </r>
    <r>
      <rPr>
        <b/>
        <sz val="10"/>
        <color theme="1"/>
        <rFont val="Arial"/>
        <family val="2"/>
      </rPr>
      <t>RHBF</t>
    </r>
    <r>
      <rPr>
        <sz val="10"/>
        <color theme="1"/>
        <rFont val="Arial"/>
        <family val="2"/>
      </rPr>
      <t xml:space="preserve"> </t>
    </r>
  </si>
  <si>
    <t>Please provide the following information regarding your RHBF employer contributions.</t>
  </si>
  <si>
    <t>Total 2024 RHBF employer contributions</t>
  </si>
  <si>
    <t>This should be the same amount that you keyed into the GASB 75 template for FY2024 employer</t>
  </si>
  <si>
    <r>
      <t xml:space="preserve">As part of the statewide ACFR compilation for GASB 75, OSC is required to report the </t>
    </r>
    <r>
      <rPr>
        <b/>
        <sz val="10"/>
        <color theme="1"/>
        <rFont val="Arial"/>
        <family val="2"/>
      </rPr>
      <t>DIPNC</t>
    </r>
    <r>
      <rPr>
        <sz val="10"/>
        <color theme="1"/>
        <rFont val="Arial"/>
        <family val="2"/>
      </rPr>
      <t xml:space="preserve"> </t>
    </r>
  </si>
  <si>
    <t>Please provide the following information regarding your DIPNC employer contributions.</t>
  </si>
  <si>
    <t>Total 2024 DIPNC employer contributions</t>
  </si>
  <si>
    <t>UNIVERSITY OPTIONAL RETIREMENT PROGRAM (605)</t>
  </si>
  <si>
    <t>Please provide the following information regarding covered payroll and contributions to the Optional Retirement Program (ORP) for those employees covered by the Teachers' Insurance and Annuity Association (TIAA) and Fidelity Investments:</t>
  </si>
  <si>
    <t>Fiscal Year Ended</t>
  </si>
  <si>
    <t>(accrual basis)</t>
  </si>
  <si>
    <t>NOTE: The term "covered payroll" is defined as all compensation paid to active employees contributing to the Optional Retirement Program.</t>
  </si>
  <si>
    <t>Covered Payroll</t>
  </si>
  <si>
    <t>Contributions</t>
  </si>
  <si>
    <t>Employee</t>
  </si>
  <si>
    <t>(6.00% of covered payroll)</t>
  </si>
  <si>
    <t>Employer</t>
  </si>
  <si>
    <t>(6.84% of covered payroll)</t>
  </si>
  <si>
    <t>Total Contributions</t>
  </si>
  <si>
    <t>IMPORTANT</t>
  </si>
  <si>
    <t>If your employer rate of contribution differs</t>
  </si>
  <si>
    <t>from that listed above, please contact OSC</t>
  </si>
  <si>
    <t>for additional guidance.</t>
  </si>
  <si>
    <t>Number of employees participating in the program</t>
  </si>
  <si>
    <t>GASB Statement 68 Requirements</t>
  </si>
  <si>
    <t xml:space="preserve">Amount of forfeitures reflected in pension expense recognized during the </t>
  </si>
  <si>
    <t>reporting period</t>
  </si>
  <si>
    <t>Amount of pension expense recognized during the reporting period</t>
  </si>
  <si>
    <t>Amount of liability at the end of the reporting period, if applicable</t>
  </si>
  <si>
    <t>SIGNIFICANT TRANSACTIONS BETWEEN COMPONENT UNITS (610)</t>
  </si>
  <si>
    <t>Component Units Only</t>
  </si>
  <si>
    <t>All component units must complete this worksheet - it cannot be marked NA for component units.</t>
  </si>
  <si>
    <r>
      <rPr>
        <b/>
        <sz val="10"/>
        <rFont val="Arial"/>
        <family val="2"/>
      </rPr>
      <t>(1)</t>
    </r>
    <r>
      <rPr>
        <sz val="10"/>
        <rFont val="Arial"/>
        <family val="2"/>
      </rPr>
      <t xml:space="preserve"> </t>
    </r>
    <r>
      <rPr>
        <b/>
        <sz val="10"/>
        <rFont val="Arial"/>
        <family val="2"/>
      </rPr>
      <t>Transactions with the State Health Plan, a major component unit of the State of NC:</t>
    </r>
    <r>
      <rPr>
        <sz val="10"/>
        <rFont val="Arial"/>
        <family val="2"/>
      </rPr>
      <t xml:space="preserve">  </t>
    </r>
  </si>
  <si>
    <t>Provide below the employer's share of medical insurance premiums for employees paid to the State Health</t>
  </si>
  <si>
    <t>Plan for this fiscal year. For NCFS reference, this corresponds with account 51560000 MED INS CONTRIB.</t>
  </si>
  <si>
    <t>Threshold: There is no threshold applicable to this section and a dollar amount is required even</t>
  </si>
  <si>
    <t>if the amount is $0.</t>
  </si>
  <si>
    <t>(2) Transactions with other component units of the State of NC:</t>
  </si>
  <si>
    <t xml:space="preserve">Describe the nature and amount of any other significant transactions with component units of the </t>
  </si>
  <si>
    <t>State of NC.  For a list of component units, please see the 'All Agencies' tab at the end of this workbook or</t>
  </si>
  <si>
    <t>the Instructions file.</t>
  </si>
  <si>
    <t>Threshold: For purposes of this section, 'significant' is defined as $10 million or greater on an</t>
  </si>
  <si>
    <t>accrual basis.</t>
  </si>
  <si>
    <t>DESCRIPTION</t>
  </si>
  <si>
    <t>AMOUNT</t>
  </si>
  <si>
    <t>(1) Employer's share of medical insurance premiums paid to State Health Plan</t>
  </si>
  <si>
    <t>(2) Other significant transactions ($10 million threshold) with other component units:</t>
  </si>
  <si>
    <t xml:space="preserve">   </t>
  </si>
  <si>
    <t>Foundations  Survey (615)</t>
  </si>
  <si>
    <t>This worksheet should be completed by State agencies and component units, excluding universities.</t>
  </si>
  <si>
    <t>Please complete the following for each legally separate, tax exempt foundation or similarly affiliated</t>
  </si>
  <si>
    <t>organization associated with your agency that have assets or revenues of $10 million or more.</t>
  </si>
  <si>
    <t>Name of Not-For-Profit Organization</t>
  </si>
  <si>
    <t>1)  Total Assets</t>
  </si>
  <si>
    <t>2)  Total Liabilities</t>
  </si>
  <si>
    <t>3)  Total Equity</t>
  </si>
  <si>
    <t>4)  Total Revenues</t>
  </si>
  <si>
    <t>5)  Total Expenses</t>
  </si>
  <si>
    <t>6)  Fiscal Year-End Date (Month/Day)</t>
  </si>
  <si>
    <t>7)  Included with your agency's</t>
  </si>
  <si>
    <t xml:space="preserve">      financial statements (Y/N)?</t>
  </si>
  <si>
    <t>Schedule of Due from / Due to University Component Units (616)</t>
  </si>
  <si>
    <t>No, please comment</t>
  </si>
  <si>
    <t>(Universities Only)</t>
  </si>
  <si>
    <r>
      <t xml:space="preserve">Note: This worksheet </t>
    </r>
    <r>
      <rPr>
        <b/>
        <u/>
        <sz val="10"/>
        <rFont val="Arial"/>
        <family val="2"/>
      </rPr>
      <t>only</t>
    </r>
    <r>
      <rPr>
        <b/>
        <sz val="10"/>
        <rFont val="Arial"/>
        <family val="2"/>
      </rPr>
      <t xml:space="preserve"> applies to a University's transactions with its discretely presented</t>
    </r>
  </si>
  <si>
    <r>
      <t xml:space="preserve">          component units.  It </t>
    </r>
    <r>
      <rPr>
        <b/>
        <u/>
        <sz val="10"/>
        <rFont val="Arial"/>
        <family val="2"/>
      </rPr>
      <t>does not</t>
    </r>
    <r>
      <rPr>
        <b/>
        <sz val="10"/>
        <rFont val="Arial"/>
        <family val="2"/>
      </rPr>
      <t xml:space="preserve"> apply to a University's transactions with its blended</t>
    </r>
  </si>
  <si>
    <t xml:space="preserve">          component units. The amount reported as due from the component unit (due to the </t>
  </si>
  <si>
    <t xml:space="preserve">          component unit) by the University should be reconciled with the component unit and </t>
  </si>
  <si>
    <t xml:space="preserve">          reported as due to the University (due from the University) on the foundation template </t>
  </si>
  <si>
    <t xml:space="preserve">          submitted to OSC.</t>
  </si>
  <si>
    <t>SECTION 1 - SCHEDULE OF DUE FROM UNIVERSITY COMPONENT UNITS</t>
  </si>
  <si>
    <t>NCFS Acct</t>
  </si>
  <si>
    <t>Amount agree to Foundation's Due To University</t>
  </si>
  <si>
    <t>11480000</t>
  </si>
  <si>
    <t>Foundation Name</t>
  </si>
  <si>
    <t>Phone #</t>
  </si>
  <si>
    <t>component units' on w/s 905 / Statement</t>
  </si>
  <si>
    <t>of Net Position</t>
  </si>
  <si>
    <t>SECTION 2 - SCHEDULE OF DUE TO UNIVERSITY COMPONENT UNITS</t>
  </si>
  <si>
    <t>Amount agree to Foundation's Due From University</t>
  </si>
  <si>
    <t>21270000</t>
  </si>
  <si>
    <t>units' on w/s 905 / Statement of Net</t>
  </si>
  <si>
    <t>Position</t>
  </si>
  <si>
    <t>ANALYSIS OF UNAVAILABLE REVENUES (620)</t>
  </si>
  <si>
    <t>Governmental Funds Only</t>
  </si>
  <si>
    <t>Complete the following information only for Deferred Inflows that are for unavailable revenues in the current period (Account 71100001).</t>
  </si>
  <si>
    <t>UR_BegBal</t>
  </si>
  <si>
    <t>UR_IncrInUnRev</t>
  </si>
  <si>
    <t>UR_PYearUnRevErnInCurYr</t>
  </si>
  <si>
    <t>UR_WrtOfUnclAmts</t>
  </si>
  <si>
    <t xml:space="preserve">Prior Year </t>
  </si>
  <si>
    <t>Beginning</t>
  </si>
  <si>
    <t>Unavailable</t>
  </si>
  <si>
    <t>Write-Offs/</t>
  </si>
  <si>
    <t>In Unavailable</t>
  </si>
  <si>
    <t>Revenues Earned</t>
  </si>
  <si>
    <t>Uncollectible</t>
  </si>
  <si>
    <t>Revenue</t>
  </si>
  <si>
    <t>in Current Year</t>
  </si>
  <si>
    <t>Amounts</t>
  </si>
  <si>
    <t>Select Revenue Statement Caption (Click here)</t>
  </si>
  <si>
    <t>(Ties to 11G)</t>
  </si>
  <si>
    <t xml:space="preserve">Revenue statement caption is the type of revenue that has been deferred.  </t>
  </si>
  <si>
    <t>Example: Individual Income Tax, Fee Licenses and Fines, Sales and Services, etc.</t>
  </si>
  <si>
    <t>Write-offs/uncollectible amounts are amounts reported as unavailable revenue in previous years but are now deemed uncollectible.  This</t>
  </si>
  <si>
    <t>amount is not included in the current year unavailable revenue balance.</t>
  </si>
  <si>
    <t>Analytical Review (625)</t>
  </si>
  <si>
    <t>GASB Fund Name:</t>
  </si>
  <si>
    <t xml:space="preserve">$ Change </t>
  </si>
  <si>
    <t>Description — Reason for Significant Change</t>
  </si>
  <si>
    <t>SEGMENTS (635)</t>
  </si>
  <si>
    <t>REPORTABLE SEGMENTS</t>
  </si>
  <si>
    <t xml:space="preserve">Governments that report enterprise funds or that use enterprise fund accounting and reporting standards are </t>
  </si>
  <si>
    <t>required to disclose certain information about each "reportable segment" in the notes to the financial</t>
  </si>
  <si>
    <t>statements.  "Reportable segments" are defined by GASB Statement No. 34, paragraph 122, as amended.</t>
  </si>
  <si>
    <t>AGENCY ACTION</t>
  </si>
  <si>
    <t>If your agency has any "reportable segments" as defined by GAAP, provide the following information</t>
  </si>
  <si>
    <t xml:space="preserve">for each reportable segment (Note: if you have more than one reportable segment, complete a separate </t>
  </si>
  <si>
    <t>worksheet for each one).</t>
  </si>
  <si>
    <t>1) Describe types of goods and services provided by the segment:</t>
  </si>
  <si>
    <t>2) Condensed Statement of Net Position</t>
  </si>
  <si>
    <t>Assets:</t>
  </si>
  <si>
    <t>Due from other funds</t>
  </si>
  <si>
    <t>Due from component unit</t>
  </si>
  <si>
    <t>Other current assets</t>
  </si>
  <si>
    <t>Capital assets</t>
  </si>
  <si>
    <t>Other assets</t>
  </si>
  <si>
    <t>Total assets</t>
  </si>
  <si>
    <t>Deferred outflows of resources:</t>
  </si>
  <si>
    <t>Accumulated decrease in fair value of hedging derivatives</t>
  </si>
  <si>
    <t>Deferred loss on refunding</t>
  </si>
  <si>
    <t>Deferred outflows for pensions</t>
  </si>
  <si>
    <t>Deferred outflows for OPEB</t>
  </si>
  <si>
    <t>Excess consideration provided for acquisition</t>
  </si>
  <si>
    <t>Total deferred outflows</t>
  </si>
  <si>
    <t>Liabilities:</t>
  </si>
  <si>
    <t>Interfund payables</t>
  </si>
  <si>
    <t>Due to component unit</t>
  </si>
  <si>
    <t>Other current liabilities</t>
  </si>
  <si>
    <t>Total liabilities</t>
  </si>
  <si>
    <t>Deferred inflows of resources:</t>
  </si>
  <si>
    <t>Accumulated increase in fair value of hedging derivatives</t>
  </si>
  <si>
    <t>Deferred inflows related to PPP arrangements</t>
  </si>
  <si>
    <t>Deferred gain on refunding</t>
  </si>
  <si>
    <t>Deferred inflows-nonexchange transactions</t>
  </si>
  <si>
    <t>Deferred state aid</t>
  </si>
  <si>
    <t>Deferred inflows for pensions</t>
  </si>
  <si>
    <t>Deferred inflows for OPEB</t>
  </si>
  <si>
    <t>Deferred inflows for leases</t>
  </si>
  <si>
    <t>Total deferred inflows</t>
  </si>
  <si>
    <t>Net position:</t>
  </si>
  <si>
    <t>Net investment in capital assets</t>
  </si>
  <si>
    <t>Total net position</t>
  </si>
  <si>
    <t>check: Assets + Def outflows - Liab - Def inflows = Net position</t>
  </si>
  <si>
    <t>3) Condensed Statement of Revenues, Expenses and Changes in Net Position:</t>
  </si>
  <si>
    <t>Operating revenues (pledged against bonds)</t>
  </si>
  <si>
    <t>Other operating revenues</t>
  </si>
  <si>
    <t>Depreciation expense</t>
  </si>
  <si>
    <t>Other operating expenses</t>
  </si>
  <si>
    <t>Operating income</t>
  </si>
  <si>
    <t>Nonoperating revenues (expenses):</t>
  </si>
  <si>
    <t xml:space="preserve">    Investment income</t>
  </si>
  <si>
    <t xml:space="preserve">    Interest expense</t>
  </si>
  <si>
    <t xml:space="preserve">    Other nonoperating revenues (expenses)</t>
  </si>
  <si>
    <t>Capital contributions</t>
  </si>
  <si>
    <t>Additions to permanent and term endowments</t>
  </si>
  <si>
    <t>Special and extraordinary items</t>
  </si>
  <si>
    <t>Transfers in</t>
  </si>
  <si>
    <t>Transfers out</t>
  </si>
  <si>
    <t>Beginning net position</t>
  </si>
  <si>
    <t>Ending net position</t>
  </si>
  <si>
    <t xml:space="preserve">check: Net position between statements </t>
  </si>
  <si>
    <t>TAX ABATEMENTS (640)</t>
  </si>
  <si>
    <t>Prepare/Phone:</t>
  </si>
  <si>
    <t>For more information on GASB 77, refer to the GASB Resources link on the OSC website (or see link below).</t>
  </si>
  <si>
    <t>Financial Reporting Update GASB 77</t>
  </si>
  <si>
    <t>Please provide the following information for each tax abatement program:</t>
  </si>
  <si>
    <t>1. Program Name:</t>
  </si>
  <si>
    <t>[GASB Codification T10 .105a.(1)]</t>
  </si>
  <si>
    <t>2. Specific Tax Abated:</t>
  </si>
  <si>
    <t>[GASB Codification T10 .105 a,(2)]</t>
  </si>
  <si>
    <t>3. Authority for Abatement:</t>
  </si>
  <si>
    <t>[GASB Codification T10 .105a.(3)]</t>
  </si>
  <si>
    <r>
      <t xml:space="preserve">4. Gross dollar amount of taxes abated during the fiscal year, </t>
    </r>
    <r>
      <rPr>
        <b/>
        <u/>
        <sz val="10"/>
        <rFont val="Arial"/>
        <family val="2"/>
      </rPr>
      <t>on an accrual basis</t>
    </r>
    <r>
      <rPr>
        <b/>
        <sz val="10"/>
        <rFont val="Arial"/>
        <family val="2"/>
      </rPr>
      <t xml:space="preserve"> as a result of the agreement:</t>
    </r>
  </si>
  <si>
    <t>[GASB Codification T10 .105b]</t>
  </si>
  <si>
    <t>5. General Statute or Authority preventing details from being disclosed:</t>
  </si>
  <si>
    <t>[GASB Codification T10 .105f]</t>
  </si>
  <si>
    <t>Note: The paragraph numbers refer to the paragraph numbers in the GASB Codification for Tax Abatements.</t>
  </si>
  <si>
    <r>
      <t xml:space="preserve">Complete the </t>
    </r>
    <r>
      <rPr>
        <b/>
        <u/>
        <sz val="10"/>
        <rFont val="Arial"/>
        <family val="2"/>
      </rPr>
      <t>ACFR Package Narrative</t>
    </r>
    <r>
      <rPr>
        <b/>
        <sz val="10"/>
        <rFont val="Arial"/>
        <family val="2"/>
      </rPr>
      <t xml:space="preserve"> for additional disclosures required for each Tax Abatement Program.</t>
    </r>
  </si>
  <si>
    <t>CASH AND CASH EQUIVALENTS IN BANKS OUTSIDE THE STATE TREASURER</t>
  </si>
  <si>
    <t>CUSTODIAL CREDIT RISK - DEPOSITS (705)</t>
  </si>
  <si>
    <t>Agency/Univ Name:</t>
  </si>
  <si>
    <t>Subject to Custodial Credit Risk Disclosure - Uninsured</t>
  </si>
  <si>
    <t>Held by Pledging</t>
  </si>
  <si>
    <t>Fin. Institution's</t>
  </si>
  <si>
    <t>Cash by</t>
  </si>
  <si>
    <t>Uninsured and</t>
  </si>
  <si>
    <t>Trust Dept. or Agent</t>
  </si>
  <si>
    <t>All Other</t>
  </si>
  <si>
    <t>Summarize by Bank Name</t>
  </si>
  <si>
    <t>Bank</t>
  </si>
  <si>
    <t>Uncollateralized</t>
  </si>
  <si>
    <t>Financial Institution</t>
  </si>
  <si>
    <t>but not in Agency's Name</t>
  </si>
  <si>
    <t>Bank Balances</t>
  </si>
  <si>
    <t>DEMAND  ACCOUNTS:</t>
  </si>
  <si>
    <r>
      <t>Noninterest</t>
    </r>
    <r>
      <rPr>
        <sz val="10"/>
        <rFont val="Arial Narrow"/>
        <family val="2"/>
      </rPr>
      <t xml:space="preserve"> </t>
    </r>
    <r>
      <rPr>
        <b/>
        <u/>
        <sz val="10"/>
        <rFont val="Arial Narrow"/>
        <family val="2"/>
      </rPr>
      <t>and interest</t>
    </r>
    <r>
      <rPr>
        <b/>
        <u/>
        <sz val="9"/>
        <rFont val="Arial Narrow"/>
        <family val="2"/>
      </rPr>
      <t xml:space="preserve"> </t>
    </r>
    <r>
      <rPr>
        <sz val="9"/>
        <rFont val="Arial Narrow"/>
        <family val="2"/>
      </rPr>
      <t>bearing checking accounts</t>
    </r>
  </si>
  <si>
    <t>DA100</t>
  </si>
  <si>
    <t>DA120</t>
  </si>
  <si>
    <t>DA140</t>
  </si>
  <si>
    <t>DA160</t>
  </si>
  <si>
    <t>DA180</t>
  </si>
  <si>
    <t>DA200</t>
  </si>
  <si>
    <t>DA220</t>
  </si>
  <si>
    <t>Residual Cash - Cash with fiscal agent (Trust Accounts)</t>
  </si>
  <si>
    <t>DA240</t>
  </si>
  <si>
    <t>DA260</t>
  </si>
  <si>
    <t>DA320</t>
  </si>
  <si>
    <t>DATot</t>
  </si>
  <si>
    <t>TOTAL DEMAND ACCOUNTS</t>
  </si>
  <si>
    <t>TIME  ACCOUNTS:</t>
  </si>
  <si>
    <t>Savings accounts, NOW accounts, money market accounts, pooled cash accounts (AOC only)</t>
  </si>
  <si>
    <t>TA100</t>
  </si>
  <si>
    <t>TA120</t>
  </si>
  <si>
    <t>TA140</t>
  </si>
  <si>
    <t>TA160</t>
  </si>
  <si>
    <t>TA180</t>
  </si>
  <si>
    <t>TA200</t>
  </si>
  <si>
    <t>TATot</t>
  </si>
  <si>
    <t>TOTAL TIME ACCOUNTS</t>
  </si>
  <si>
    <t>INVESTMENTS HELD OUTSIDE THE STATE TREASURER</t>
  </si>
  <si>
    <t>CUSTODIAL CREDIT RISK - INVESTMENTS (710)</t>
  </si>
  <si>
    <t>Carrying Value</t>
  </si>
  <si>
    <t>Uninsured, Not Registered in Name of Govt.</t>
  </si>
  <si>
    <t>Held by Counterparty</t>
  </si>
  <si>
    <t>Held by Counterparty's Trust Dept. or Agent but not in Agency's Name</t>
  </si>
  <si>
    <t>All Other Investments</t>
  </si>
  <si>
    <t>Held by</t>
  </si>
  <si>
    <t>Counterparty's Trust</t>
  </si>
  <si>
    <t>Dept. or Agent but</t>
  </si>
  <si>
    <t>Out of</t>
  </si>
  <si>
    <t>Type of Investment</t>
  </si>
  <si>
    <t>(Cost + Allowance)</t>
  </si>
  <si>
    <t>not in Agency's Name</t>
  </si>
  <si>
    <t>Investments Categorized:</t>
  </si>
  <si>
    <t>U.S. Treasuries</t>
  </si>
  <si>
    <t>IC100</t>
  </si>
  <si>
    <t>U.S. Treasury STRIPS</t>
  </si>
  <si>
    <t>IC120</t>
  </si>
  <si>
    <t>U.S. agencies</t>
  </si>
  <si>
    <t>IC140</t>
  </si>
  <si>
    <t>Mortgage pass-throughs</t>
  </si>
  <si>
    <t>IC160</t>
  </si>
  <si>
    <t>Collateralized mortgage obligations</t>
  </si>
  <si>
    <t>IC180</t>
  </si>
  <si>
    <t>State and local government</t>
  </si>
  <si>
    <t>IC200</t>
  </si>
  <si>
    <t>Asset-backed securities</t>
  </si>
  <si>
    <t>IC220</t>
  </si>
  <si>
    <t>Collective investment funds</t>
  </si>
  <si>
    <t>IC240</t>
  </si>
  <si>
    <t>Repurchase agreements</t>
  </si>
  <si>
    <t>IC260</t>
  </si>
  <si>
    <t>IC300</t>
  </si>
  <si>
    <t>Domestic corporate bonds</t>
  </si>
  <si>
    <t>IC320</t>
  </si>
  <si>
    <t>Foreign corporate bonds</t>
  </si>
  <si>
    <t>IC340</t>
  </si>
  <si>
    <t>Foreign government bonds</t>
  </si>
  <si>
    <t>IC360</t>
  </si>
  <si>
    <t>Domestic stocks</t>
  </si>
  <si>
    <t>IC380</t>
  </si>
  <si>
    <t>Foreign stocks</t>
  </si>
  <si>
    <t>IC400</t>
  </si>
  <si>
    <t>Other A:</t>
  </si>
  <si>
    <t>Select Other Investment (Click here)</t>
  </si>
  <si>
    <t>IC420</t>
  </si>
  <si>
    <t>Other B:</t>
  </si>
  <si>
    <t>IC440</t>
  </si>
  <si>
    <t xml:space="preserve">Total Categorized </t>
  </si>
  <si>
    <t>IC460</t>
  </si>
  <si>
    <t>Investments Not Categorized:</t>
  </si>
  <si>
    <t>Certificates of deposit (non-negotiable)</t>
  </si>
  <si>
    <t>IN100</t>
  </si>
  <si>
    <t>Money market mutual funds</t>
  </si>
  <si>
    <t>IN160</t>
  </si>
  <si>
    <t>UNC Investment Fund</t>
  </si>
  <si>
    <t>IN180</t>
  </si>
  <si>
    <t>Debt mutual funds</t>
  </si>
  <si>
    <t>IN200</t>
  </si>
  <si>
    <t>Balanced mutual funds</t>
  </si>
  <si>
    <t>IN220</t>
  </si>
  <si>
    <t>International mutual funds</t>
  </si>
  <si>
    <t>IN240</t>
  </si>
  <si>
    <t>Equity mutual funds</t>
  </si>
  <si>
    <t>IN260</t>
  </si>
  <si>
    <t>Pooled debt funds</t>
  </si>
  <si>
    <t>IN280</t>
  </si>
  <si>
    <t>Annuity contracts</t>
  </si>
  <si>
    <t>IN300</t>
  </si>
  <si>
    <t>Investments in real estate</t>
  </si>
  <si>
    <t>IN320</t>
  </si>
  <si>
    <t>Real estate investment trust</t>
  </si>
  <si>
    <t>IN340</t>
  </si>
  <si>
    <t>Hedge funds</t>
  </si>
  <si>
    <t>IN360</t>
  </si>
  <si>
    <t>Private equity limited partnerships</t>
  </si>
  <si>
    <t>IN380</t>
  </si>
  <si>
    <t>Real assets limited partnerships</t>
  </si>
  <si>
    <t>IN400</t>
  </si>
  <si>
    <t>Other limited partnerships</t>
  </si>
  <si>
    <t>IN410</t>
  </si>
  <si>
    <t>Pooled investments</t>
  </si>
  <si>
    <t>IN420</t>
  </si>
  <si>
    <t>Unallocated insurance contracts</t>
  </si>
  <si>
    <t>IN445</t>
  </si>
  <si>
    <t>Other C:</t>
  </si>
  <si>
    <t>IN460</t>
  </si>
  <si>
    <t>Other D:</t>
  </si>
  <si>
    <t>IN480</t>
  </si>
  <si>
    <t>Other E:</t>
  </si>
  <si>
    <t>IN500</t>
  </si>
  <si>
    <t>Other F:</t>
  </si>
  <si>
    <t>IN520</t>
  </si>
  <si>
    <t>Totals per 11G/11P/11F/905 (Bal Sheet/Stmt of Net Position):</t>
  </si>
  <si>
    <t>Current Assets: Investments</t>
  </si>
  <si>
    <t>Current Assets: Restricted Investments</t>
  </si>
  <si>
    <t>Non-Current Assets: Investments</t>
  </si>
  <si>
    <t>Non-Current Assets: Restricted Investmts</t>
  </si>
  <si>
    <t>Contract Value adjustment (401(k) &amp; Def Comp only)</t>
  </si>
  <si>
    <t>Total INVESTMENTS Held Outside the</t>
  </si>
  <si>
    <t xml:space="preserve">State Treasurer </t>
  </si>
  <si>
    <t>HOSTTotal</t>
  </si>
  <si>
    <t>Total per 11G/11P/11F/905</t>
  </si>
  <si>
    <t>HOST11</t>
  </si>
  <si>
    <t>Difference</t>
  </si>
  <si>
    <t>CUSTODIAL CREDIT RISK - DEPOSITS (715)</t>
  </si>
  <si>
    <t>Uninsured and Uncollateralized</t>
  </si>
  <si>
    <t>Held by Pledging Financial Institution</t>
  </si>
  <si>
    <t>Held by Pledging Fin. Institution's Trust Dept. or Agent not Agency's Name</t>
  </si>
  <si>
    <t>All Other Bank Balances</t>
  </si>
  <si>
    <t>CD100</t>
  </si>
  <si>
    <t>CD120</t>
  </si>
  <si>
    <t>CERTIFICATES OF DEPOSIT:</t>
  </si>
  <si>
    <t>CD140</t>
  </si>
  <si>
    <t>CD160</t>
  </si>
  <si>
    <t>CD180</t>
  </si>
  <si>
    <t>CD200</t>
  </si>
  <si>
    <t>CD220</t>
  </si>
  <si>
    <t>CD240</t>
  </si>
  <si>
    <t>CD260</t>
  </si>
  <si>
    <t>CD280</t>
  </si>
  <si>
    <t>CD300</t>
  </si>
  <si>
    <t>CDTotal</t>
  </si>
  <si>
    <t>Total Certificates of Deposit</t>
  </si>
  <si>
    <t>BANK INVESTMENT CONTRACTS:</t>
  </si>
  <si>
    <t>BIC100</t>
  </si>
  <si>
    <t>BIC120</t>
  </si>
  <si>
    <t>BIC140</t>
  </si>
  <si>
    <t>BICTotal</t>
  </si>
  <si>
    <t>Total Bank Investment Contracts</t>
  </si>
  <si>
    <t>TotalTDCDBIC</t>
  </si>
  <si>
    <t>Total Time/Demand/CD/BIC</t>
  </si>
  <si>
    <t>Time/Demand/CD/BIC</t>
  </si>
  <si>
    <t>INTEREST RATE RISK (720)</t>
  </si>
  <si>
    <t>Investment Maturities (in Years)</t>
  </si>
  <si>
    <t>Investment Type</t>
  </si>
  <si>
    <t>Less Than 1</t>
  </si>
  <si>
    <t>1 to 5</t>
  </si>
  <si>
    <t>6 to 10</t>
  </si>
  <si>
    <t>More Than 10</t>
  </si>
  <si>
    <t>Out of Balance</t>
  </si>
  <si>
    <t>Investments Subject to Interest Rate Risk:</t>
  </si>
  <si>
    <t>SIRR100</t>
  </si>
  <si>
    <t>SIRR120</t>
  </si>
  <si>
    <t>SIRR140</t>
  </si>
  <si>
    <t>SIRR160</t>
  </si>
  <si>
    <t>SIRR180</t>
  </si>
  <si>
    <t>SIRR200</t>
  </si>
  <si>
    <t>SIRR220</t>
  </si>
  <si>
    <t>SIRR240</t>
  </si>
  <si>
    <t>SIRR260</t>
  </si>
  <si>
    <t>SIRR300</t>
  </si>
  <si>
    <t>SIRR320</t>
  </si>
  <si>
    <t>SIRR340</t>
  </si>
  <si>
    <t>SIRR360</t>
  </si>
  <si>
    <t>SIRR380</t>
  </si>
  <si>
    <t>SIRR400</t>
  </si>
  <si>
    <t>SIRR420</t>
  </si>
  <si>
    <t>SIRR440</t>
  </si>
  <si>
    <t>SIRR460</t>
  </si>
  <si>
    <t>SIRR480</t>
  </si>
  <si>
    <t>SIRR500</t>
  </si>
  <si>
    <t>Total Investment Subject to Interest Rate Risk</t>
  </si>
  <si>
    <t>Investments Not Subject to Interest Rate Risk:</t>
  </si>
  <si>
    <t>NSIRR100</t>
  </si>
  <si>
    <t>The maturity of a mutual bond fund should be based on the weighted</t>
  </si>
  <si>
    <t>NSIRR160</t>
  </si>
  <si>
    <t>average maturity of all of the debt investment maturities in the fund's</t>
  </si>
  <si>
    <t>NSIRR180</t>
  </si>
  <si>
    <t>portfolio.  For example, a mutual bond fund with a weighted average</t>
  </si>
  <si>
    <t>NSIRR200</t>
  </si>
  <si>
    <t>maturity of 8.5 months should be reported as an investment with a</t>
  </si>
  <si>
    <t>NSIRR220</t>
  </si>
  <si>
    <t>maturity of less than one year. (GASB Codification Section I50.741-5)</t>
  </si>
  <si>
    <t>NSIRR240</t>
  </si>
  <si>
    <t>NSIRR260</t>
  </si>
  <si>
    <t>NSIRR280</t>
  </si>
  <si>
    <t>NSIRR300</t>
  </si>
  <si>
    <t>NSIRR320</t>
  </si>
  <si>
    <t>NSIRR330</t>
  </si>
  <si>
    <t>NSIRR340</t>
  </si>
  <si>
    <t>NSIRR365</t>
  </si>
  <si>
    <t>NSIRR380</t>
  </si>
  <si>
    <t>NSIRR400</t>
  </si>
  <si>
    <t>NSIRR420</t>
  </si>
  <si>
    <t>NSIRR440</t>
  </si>
  <si>
    <t>NSIRR460</t>
  </si>
  <si>
    <t>NSIRR480</t>
  </si>
  <si>
    <t>NSIRR500</t>
  </si>
  <si>
    <t>Total Investments Held Outside the State Treasurer</t>
  </si>
  <si>
    <t>Agrees to page 710</t>
  </si>
  <si>
    <t>*Using exisiting line items in Row 13. Make sure the member names match with other sheets</t>
  </si>
  <si>
    <t xml:space="preserve">                                  CREDIT RISK (725)</t>
  </si>
  <si>
    <t>Moody's/S&amp;P/Fitch</t>
  </si>
  <si>
    <t>Credit Rating</t>
  </si>
  <si>
    <t>Aaa/AAA</t>
  </si>
  <si>
    <t>Aa/AA</t>
  </si>
  <si>
    <t>Baa/BBB</t>
  </si>
  <si>
    <t>Less than Investment Grade</t>
  </si>
  <si>
    <t>Unrated</t>
  </si>
  <si>
    <t xml:space="preserve">Exempt from credit quality </t>
  </si>
  <si>
    <t>Mortgage pass throughs</t>
  </si>
  <si>
    <t>Other A</t>
  </si>
  <si>
    <t>Other B</t>
  </si>
  <si>
    <t>Only Applicable if the Lowest Ratings are not Already Disclosed Above :</t>
  </si>
  <si>
    <t>At year-end, did your agency have any investments in debt securities over $25 million with material differences in credit ratings?  A material difference is defined as a security</t>
  </si>
  <si>
    <t>being rated as investment grade and below investment grade by different rating agencies.</t>
  </si>
  <si>
    <t>N/A</t>
  </si>
  <si>
    <t>If YES, disclose the following:</t>
  </si>
  <si>
    <t>Other Rating Agency (specify)</t>
  </si>
  <si>
    <t>ADDITIONAL LEVEL OF DETAIL (730)</t>
  </si>
  <si>
    <t xml:space="preserve">If there were any dissimilar investments subject to interest rate risk aggregated into a single investment type on Worksheet 720, </t>
  </si>
  <si>
    <t>then breakout out the dissimilar investments below.</t>
  </si>
  <si>
    <r>
      <t>Investments Subject to Interest Rate Risk</t>
    </r>
    <r>
      <rPr>
        <vertAlign val="superscript"/>
        <sz val="10"/>
        <rFont val="Arial"/>
        <family val="2"/>
      </rPr>
      <t xml:space="preserve"> </t>
    </r>
    <r>
      <rPr>
        <vertAlign val="superscript"/>
        <sz val="8"/>
        <rFont val="Arial"/>
        <family val="2"/>
      </rPr>
      <t>a</t>
    </r>
  </si>
  <si>
    <r>
      <t>Credit Rating</t>
    </r>
    <r>
      <rPr>
        <vertAlign val="superscript"/>
        <sz val="10"/>
        <rFont val="Arial"/>
        <family val="2"/>
      </rPr>
      <t xml:space="preserve"> </t>
    </r>
    <r>
      <rPr>
        <vertAlign val="superscript"/>
        <sz val="8"/>
        <rFont val="Arial"/>
        <family val="2"/>
      </rPr>
      <t>b</t>
    </r>
  </si>
  <si>
    <t>1.  Investment Type (per worksheet 720):</t>
  </si>
  <si>
    <t>Dissimilar Investments:</t>
  </si>
  <si>
    <t>2.  Investment Type (per worksheet 720):</t>
  </si>
  <si>
    <t>3.  Investment Type (per worksheet 720):</t>
  </si>
  <si>
    <t>GASB 40 establishes a general disclosure principal that risk disclosures applicable to investments should be reported separately by investment type.  It emphasizes that</t>
  </si>
  <si>
    <t>investments with significantly different risk profiles, such as U.S. Treasury bills and U.S. Treasury strips, should not be aggregated into a single investment type. (GASB</t>
  </si>
  <si>
    <t>Codification Section I50.734-1)</t>
  </si>
  <si>
    <t xml:space="preserve">Indicate the Moody's/S&amp;P/Fitch credit rating or indicate "Unrated" or "Exempt" (for exempt from credit quality).  If you have access to multiple credit ratings for a particular </t>
  </si>
  <si>
    <t>investment, disclose the lowest rating.</t>
  </si>
  <si>
    <t>CONCENTRATION OF CREDIT RISK (735)</t>
  </si>
  <si>
    <t xml:space="preserve">Agency No: </t>
  </si>
  <si>
    <t>This worksheet is only applicable to the University System, the State Treasurer, Department of Transportation, the State 401(k) plan, and the State Deferred Compensation Plan.</t>
  </si>
  <si>
    <r>
      <t>At year-end, did your agency have any investments in any one issuer equal to 5 percent</t>
    </r>
    <r>
      <rPr>
        <vertAlign val="superscript"/>
        <sz val="9"/>
        <rFont val="Arial"/>
        <family val="2"/>
      </rPr>
      <t xml:space="preserve"> 1 </t>
    </r>
    <r>
      <rPr>
        <sz val="9"/>
        <rFont val="Arial"/>
        <family val="2"/>
      </rPr>
      <t>or more of your total investments?</t>
    </r>
  </si>
  <si>
    <t xml:space="preserve">(Note:  Investments issued or explicitly guaranteed by the U.S. government; investments in mutual funds; external investment pools, </t>
  </si>
  <si>
    <r>
      <t>such as STIF</t>
    </r>
    <r>
      <rPr>
        <sz val="9"/>
        <rFont val="Arial"/>
        <family val="2"/>
      </rPr>
      <t xml:space="preserve">; and other pooled investments are </t>
    </r>
    <r>
      <rPr>
        <u/>
        <sz val="9"/>
        <rFont val="Arial"/>
        <family val="2"/>
      </rPr>
      <t>excluded</t>
    </r>
    <r>
      <rPr>
        <sz val="9"/>
        <rFont val="Arial"/>
        <family val="2"/>
      </rPr>
      <t xml:space="preserve"> from this requirement.)</t>
    </r>
  </si>
  <si>
    <t>IF YES, complete the following for each issuer meeting the 5 percent threshold.</t>
  </si>
  <si>
    <r>
      <t xml:space="preserve">Issuer </t>
    </r>
    <r>
      <rPr>
        <vertAlign val="superscript"/>
        <sz val="9"/>
        <rFont val="Arial"/>
        <family val="2"/>
      </rPr>
      <t>2</t>
    </r>
  </si>
  <si>
    <t>Total investments subject to the 5 percent threshold are defined as follows:</t>
  </si>
  <si>
    <t>Total investments held outside the State Treasurer (Worksheet 710)</t>
  </si>
  <si>
    <t>Less: Certificates of deposit (Worksheet 710)</t>
  </si>
  <si>
    <t>Plus: Total STIF balances</t>
  </si>
  <si>
    <t>Total investments subject to 5 percent threshold</t>
  </si>
  <si>
    <t>An issuer is the entity that has the authority to distribute a security or other investment. A bond issuer is the entity that is legally obligated to make principal</t>
  </si>
  <si>
    <t>and interest payments to bond holders.</t>
  </si>
  <si>
    <t>FOREIGN CURRENCY (740)</t>
  </si>
  <si>
    <t>A.  Foreign Currency Risk</t>
  </si>
  <si>
    <t>NOTE:  International Mutual Funds are subject to foreign currency risk if the investment in the fund is not denominated in U.S dollars.  See Worksheet Instructions.</t>
  </si>
  <si>
    <t>Foreign Currency Denomination</t>
  </si>
  <si>
    <t>(i.e., Euro, Japanese Yen, Swiss Franc, etc)</t>
  </si>
  <si>
    <t>(U.S. Dollars)</t>
  </si>
  <si>
    <t>Select Investment Type (Click here)</t>
  </si>
  <si>
    <t>Select Foreign Currency (Click here)</t>
  </si>
  <si>
    <t>B.  Foreign Currency Transactions</t>
  </si>
  <si>
    <t xml:space="preserve">Transaction gains or losses result from a change in exchange rates between the U.S. dollar and the currency in which a foreign currency transaction is </t>
  </si>
  <si>
    <t>denominated.  Also see Worksheet Instructions.</t>
  </si>
  <si>
    <t xml:space="preserve">1.  Provide the aggregate amount of foreign currency transaction gains or losses recognized in the period.  Specify gain or loss by entering gains as </t>
  </si>
  <si>
    <t>positive and losses as negative.</t>
  </si>
  <si>
    <t>Aggregate Gain or Loss</t>
  </si>
  <si>
    <t>(Losses should be negative)</t>
  </si>
  <si>
    <t xml:space="preserve">2.  Provide the total amount of unsettled foreign currency transaction balances at year-end.  </t>
  </si>
  <si>
    <t>Total Amount</t>
  </si>
  <si>
    <t>None</t>
  </si>
  <si>
    <t>DEPOSIT AND INVESTMENT POLICIES (745)</t>
  </si>
  <si>
    <t>This worksheet is only applicable to the University System, Department of Transportation, and Department of State Treasurer.</t>
  </si>
  <si>
    <r>
      <t xml:space="preserve">Does your agency have </t>
    </r>
    <r>
      <rPr>
        <u/>
        <sz val="9"/>
        <rFont val="Arial"/>
        <family val="2"/>
      </rPr>
      <t>formally adopted</t>
    </r>
    <r>
      <rPr>
        <vertAlign val="superscript"/>
        <sz val="9"/>
        <rFont val="Arial"/>
        <family val="2"/>
      </rPr>
      <t xml:space="preserve"> 1 </t>
    </r>
    <r>
      <rPr>
        <sz val="9"/>
        <rFont val="Arial"/>
        <family val="2"/>
      </rPr>
      <t>deposit and investment policies related to the following risk exposures?</t>
    </r>
  </si>
  <si>
    <t>Deposit and Investment Policies?</t>
  </si>
  <si>
    <t>Deposit and Investment Risks</t>
  </si>
  <si>
    <r>
      <t xml:space="preserve">NO </t>
    </r>
    <r>
      <rPr>
        <b/>
        <vertAlign val="superscript"/>
        <sz val="9"/>
        <rFont val="Arial"/>
        <family val="2"/>
      </rPr>
      <t>2</t>
    </r>
  </si>
  <si>
    <r>
      <t xml:space="preserve">N/A </t>
    </r>
    <r>
      <rPr>
        <b/>
        <vertAlign val="superscript"/>
        <sz val="9"/>
        <rFont val="Arial"/>
        <family val="2"/>
      </rPr>
      <t>3</t>
    </r>
  </si>
  <si>
    <t>Credit risk</t>
  </si>
  <si>
    <t>Custodial credit risk - deposits</t>
  </si>
  <si>
    <t>Custodial credit risk - investments</t>
  </si>
  <si>
    <t>Concentration of credit risk</t>
  </si>
  <si>
    <t>Interest rate risk</t>
  </si>
  <si>
    <t>Foreign currency risk</t>
  </si>
  <si>
    <r>
      <t xml:space="preserve">If YES, include a brief description </t>
    </r>
    <r>
      <rPr>
        <vertAlign val="superscript"/>
        <sz val="9"/>
        <rFont val="Arial"/>
        <family val="2"/>
      </rPr>
      <t>4</t>
    </r>
    <r>
      <rPr>
        <sz val="9"/>
        <rFont val="Arial"/>
        <family val="2"/>
      </rPr>
      <t xml:space="preserve"> of your formally adopted policies, by deposit and investment risk, in </t>
    </r>
    <r>
      <rPr>
        <b/>
        <u/>
        <sz val="9"/>
        <rFont val="Arial"/>
        <family val="2"/>
      </rPr>
      <t>attached ACFR Package Narratives</t>
    </r>
    <r>
      <rPr>
        <sz val="9"/>
        <rFont val="Arial"/>
        <family val="2"/>
      </rPr>
      <t>.</t>
    </r>
  </si>
  <si>
    <r>
      <t xml:space="preserve">For the purposes of GASB 40, an investment policy is considered to be a </t>
    </r>
    <r>
      <rPr>
        <u/>
        <sz val="9"/>
        <rFont val="Arial"/>
        <family val="2"/>
      </rPr>
      <t>formally adopted policy</t>
    </r>
    <r>
      <rPr>
        <sz val="9"/>
        <rFont val="Arial"/>
        <family val="2"/>
      </rPr>
      <t xml:space="preserve"> that sets forth a government’s allowable deposits or </t>
    </r>
  </si>
  <si>
    <t>investments.  An investment policy may be formally adopted through legal or contractual provisions or by other means, usually by the governing board.</t>
  </si>
  <si>
    <t>(GASB Codification Section I50.736-1)</t>
  </si>
  <si>
    <t xml:space="preserve">Specific bond covenants related to the investment of debt proceeds should also be considered an investment policy. </t>
  </si>
  <si>
    <t>(GASB Codification Section I50.736-2)</t>
  </si>
  <si>
    <t>If an agency's investment policy is limited to complying with its state's investment statutes, the relevant portions of the state statute relating to the risks</t>
  </si>
  <si>
    <t>required to be disclosed under GASB 40 should be disclosed.  When state law has not addressed a risk, such as interest rate risk, the disclosure should</t>
  </si>
  <si>
    <t>indicate that the agency has not adopted an investment policy on that point. (GASB Codification Section I50.736-3)</t>
  </si>
  <si>
    <t>Indicate "NO" if you are exposed to the risk but do not have an investment policy that addresses the risk.</t>
  </si>
  <si>
    <t>Indicate "N/A" if you are not exposed to the risk.  For example, foreign currency risk would be "N/A" if you have no investments in foreign currencies.</t>
  </si>
  <si>
    <r>
      <t>Only brief disclosures are required</t>
    </r>
    <r>
      <rPr>
        <sz val="9"/>
        <rFont val="Arial"/>
        <family val="2"/>
      </rPr>
      <t xml:space="preserve"> and a government should not include all details of its investment policies in its disclosures.  Many investment</t>
    </r>
  </si>
  <si>
    <t>policies are extremely long and can be quite detailed.  If broad cash management and investment policies have been adopted, only a brief description</t>
  </si>
  <si>
    <t>of the policy that is related to the risks discussed in GASB 40 should be disclosed. (GASB Codification Section I50.736-1)</t>
  </si>
  <si>
    <t>INVESTMENTS HELD OUTSIDE THE STATE TREASURER AND DERIVATIVES</t>
  </si>
  <si>
    <t>FAIR VALUE MEASUREMENTS (755)</t>
  </si>
  <si>
    <t>Fair Value Measurements Using</t>
  </si>
  <si>
    <t>InActiveMarketsForidenticalAssets</t>
  </si>
  <si>
    <t>SignificantOtherObservableInputs</t>
  </si>
  <si>
    <t>SignificantOtherUnObservableInputs</t>
  </si>
  <si>
    <t>AmountNotReported</t>
  </si>
  <si>
    <t>Quoted Prices in</t>
  </si>
  <si>
    <t>Significant Other</t>
  </si>
  <si>
    <t>Significant</t>
  </si>
  <si>
    <t>Valuation</t>
  </si>
  <si>
    <t>Active Markets for</t>
  </si>
  <si>
    <t>Observable</t>
  </si>
  <si>
    <t>Unobservable</t>
  </si>
  <si>
    <t>Technique</t>
  </si>
  <si>
    <t>Identicial Assets</t>
  </si>
  <si>
    <t>Inputs</t>
  </si>
  <si>
    <t xml:space="preserve"> Not reported</t>
  </si>
  <si>
    <t xml:space="preserve">(Select from </t>
  </si>
  <si>
    <t>Select</t>
  </si>
  <si>
    <t>(Level 1)</t>
  </si>
  <si>
    <t>(Level 2)</t>
  </si>
  <si>
    <t>(Level 3)</t>
  </si>
  <si>
    <t>at Fair Value</t>
  </si>
  <si>
    <t>columns G - J)</t>
  </si>
  <si>
    <t>Techniques</t>
  </si>
  <si>
    <t>Investments (excluding NAV investments):</t>
  </si>
  <si>
    <t>FV100</t>
  </si>
  <si>
    <t>—</t>
  </si>
  <si>
    <t>FV120</t>
  </si>
  <si>
    <t>FV140</t>
  </si>
  <si>
    <t>FV160</t>
  </si>
  <si>
    <t>FV180</t>
  </si>
  <si>
    <t>FV200</t>
  </si>
  <si>
    <t>FV220</t>
  </si>
  <si>
    <t>FV240</t>
  </si>
  <si>
    <t>FV260</t>
  </si>
  <si>
    <t>FV280</t>
  </si>
  <si>
    <t>FV300</t>
  </si>
  <si>
    <t>FV320</t>
  </si>
  <si>
    <t>FV340</t>
  </si>
  <si>
    <t>FV360</t>
  </si>
  <si>
    <t>FV380</t>
  </si>
  <si>
    <t>FV400</t>
  </si>
  <si>
    <t>FV420</t>
  </si>
  <si>
    <t>FV440</t>
  </si>
  <si>
    <t>FV460</t>
  </si>
  <si>
    <t>FV480</t>
  </si>
  <si>
    <t>FV500</t>
  </si>
  <si>
    <t>FV520</t>
  </si>
  <si>
    <t>FV540</t>
  </si>
  <si>
    <t>FV560</t>
  </si>
  <si>
    <t>FV580</t>
  </si>
  <si>
    <t>FV600</t>
  </si>
  <si>
    <t>FV620</t>
  </si>
  <si>
    <t>FV640</t>
  </si>
  <si>
    <t>Investments measured at net asset value (NAV):</t>
  </si>
  <si>
    <t>NV720</t>
  </si>
  <si>
    <t>NV740</t>
  </si>
  <si>
    <t>NV760</t>
  </si>
  <si>
    <t>NV780</t>
  </si>
  <si>
    <t>NV800</t>
  </si>
  <si>
    <t>NV820</t>
  </si>
  <si>
    <t>NV840</t>
  </si>
  <si>
    <t>NV860</t>
  </si>
  <si>
    <t>NV880</t>
  </si>
  <si>
    <t>NV900</t>
  </si>
  <si>
    <t>NV1000</t>
  </si>
  <si>
    <t>Investments as a position in an External Investment Pool:</t>
  </si>
  <si>
    <t>NV700</t>
  </si>
  <si>
    <t>Investment derivative instruments:</t>
  </si>
  <si>
    <t>Equity Put Options Long</t>
  </si>
  <si>
    <t>Equity Call Options Short</t>
  </si>
  <si>
    <t>Hedging derivative instruments:</t>
  </si>
  <si>
    <t xml:space="preserve">Did you have a change in a valuation technique that </t>
  </si>
  <si>
    <t xml:space="preserve">had a significant impact on the result? </t>
  </si>
  <si>
    <t xml:space="preserve">Did you report any nonrecurring fair value  </t>
  </si>
  <si>
    <t xml:space="preserve">measurements (such as, impaired capital assets)? </t>
  </si>
  <si>
    <t>If amounts reported in column E are $1 million or greater, then complete WS 756.</t>
  </si>
  <si>
    <t>VALUATION OF INVESTMENTS (756)</t>
  </si>
  <si>
    <t>(Note: The Department of State Treasurer should include all investments)</t>
  </si>
  <si>
    <t>NA for Nonmajor Component Units</t>
  </si>
  <si>
    <r>
      <rPr>
        <b/>
        <u/>
        <sz val="9.75"/>
        <rFont val="Arial"/>
        <family val="2"/>
      </rPr>
      <t>Note</t>
    </r>
    <r>
      <rPr>
        <sz val="9.75"/>
        <rFont val="Arial"/>
        <family val="2"/>
      </rPr>
      <t>: GASB Standards require most investments to be reported at fair value but permit or require cost-based</t>
    </r>
  </si>
  <si>
    <t>measures for certain investments and in certain circumstances (per GASB Statements 31 and 72.)</t>
  </si>
  <si>
    <t>Provide the following information for investments not reported at fair value AND with a</t>
  </si>
  <si>
    <r>
      <t xml:space="preserve">carrying value of </t>
    </r>
    <r>
      <rPr>
        <b/>
        <u/>
        <sz val="9.75"/>
        <rFont val="Arial"/>
        <family val="2"/>
      </rPr>
      <t>$1 million or more</t>
    </r>
    <r>
      <rPr>
        <b/>
        <sz val="9.75"/>
        <rFont val="Arial"/>
        <family val="2"/>
      </rPr>
      <t xml:space="preserve"> (see Worksheet 755, column E):</t>
    </r>
  </si>
  <si>
    <r>
      <t xml:space="preserve">1.   For investments reported </t>
    </r>
    <r>
      <rPr>
        <u/>
        <sz val="9.75"/>
        <rFont val="Arial"/>
        <family val="2"/>
      </rPr>
      <t>at cost</t>
    </r>
    <r>
      <rPr>
        <sz val="9.75"/>
        <rFont val="Arial"/>
        <family val="2"/>
      </rPr>
      <t>, provide the following information:</t>
    </r>
  </si>
  <si>
    <t>Carrying</t>
  </si>
  <si>
    <t>Investment Type (Per 710)</t>
  </si>
  <si>
    <t>Description (if necessary)</t>
  </si>
  <si>
    <t>Value</t>
  </si>
  <si>
    <r>
      <t xml:space="preserve">2.   For investments reported </t>
    </r>
    <r>
      <rPr>
        <u/>
        <sz val="9.75"/>
        <rFont val="Arial"/>
        <family val="2"/>
      </rPr>
      <t>at amortized cost</t>
    </r>
    <r>
      <rPr>
        <sz val="9.75"/>
        <rFont val="Arial"/>
        <family val="2"/>
      </rPr>
      <t>, provide the following information:</t>
    </r>
  </si>
  <si>
    <r>
      <t xml:space="preserve">3.   For investments reported </t>
    </r>
    <r>
      <rPr>
        <u/>
        <sz val="9.75"/>
        <rFont val="Arial"/>
        <family val="2"/>
      </rPr>
      <t>at contract value</t>
    </r>
    <r>
      <rPr>
        <sz val="9.75"/>
        <rFont val="Arial"/>
        <family val="2"/>
      </rPr>
      <t>, provide the following information (e.g. State 401(k) Plan):</t>
    </r>
  </si>
  <si>
    <t>INVESTMENTS MEASURED AT NAV (760)</t>
  </si>
  <si>
    <t>Only Applies to UNC Chapel Hill, the State 401(k) plan, and the State Deferred Compensation Plan.</t>
  </si>
  <si>
    <t>Investments Measured at the NAV</t>
  </si>
  <si>
    <t>Redemption</t>
  </si>
  <si>
    <t>Unfunded</t>
  </si>
  <si>
    <t>Frequency (if</t>
  </si>
  <si>
    <t>Notice</t>
  </si>
  <si>
    <t>Commitments</t>
  </si>
  <si>
    <t>Currently Eligible)</t>
  </si>
  <si>
    <t>Period</t>
  </si>
  <si>
    <t>Total investments measured at the NAV</t>
  </si>
  <si>
    <r>
      <t>Additional disclosures are required in the attached ACFR</t>
    </r>
    <r>
      <rPr>
        <b/>
        <u/>
        <sz val="10"/>
        <rFont val="Arial"/>
        <family val="2"/>
      </rPr>
      <t xml:space="preserve"> Package Narratives</t>
    </r>
    <r>
      <rPr>
        <b/>
        <sz val="10"/>
        <rFont val="Arial"/>
        <family val="2"/>
      </rPr>
      <t>.</t>
    </r>
  </si>
  <si>
    <t>1 - For example, quarterly and/or annually.</t>
  </si>
  <si>
    <t>2 - For example, number of days (30-45 days, 30-60 days, etc.)</t>
  </si>
  <si>
    <t>EXTERNAL INVESTMENT POOLS AND POOL PARTICIPANTS (765)</t>
  </si>
  <si>
    <t>Only Applies to Department of State Treasurer, Department of Transportation, the UNC</t>
  </si>
  <si>
    <t>System the State 401(k) plan, and the State Deferred Compensation Plan.</t>
  </si>
  <si>
    <t xml:space="preserve">GASB Statement 79 allows a qualifying external investment pool to elect to measure all of its investments </t>
  </si>
  <si>
    <t>at amortized cost.</t>
  </si>
  <si>
    <t>For more information on GASB 79, refer to the GASB Resources link on OSC's homepage (or see link below).</t>
  </si>
  <si>
    <t>Financial Reporting Update - GASB 79</t>
  </si>
  <si>
    <t>A.  Entities that Operate Qualifying External Investment Pools</t>
  </si>
  <si>
    <t>An external investment pool may elect to measure all of its investments at amortized cost</t>
  </si>
  <si>
    <t>if it meets all of the following criteria:</t>
  </si>
  <si>
    <t>a. Transacts with its participants at a stable net asset value per share,</t>
  </si>
  <si>
    <t>b. Meets the portfolio maturity requirements in GASB Codification Section In5.108 - .116,</t>
  </si>
  <si>
    <t xml:space="preserve">c. Meets the portfolio quality requirements in GASB Codification Section In5.117 - .126, </t>
  </si>
  <si>
    <t>d. Meets the portfolio diversification requirements in GASB Codification Section In5.127 - .131,</t>
  </si>
  <si>
    <r>
      <t>e. Meets the portfolio liquidity requirements in</t>
    </r>
    <r>
      <rPr>
        <sz val="8"/>
        <rFont val="Arial"/>
        <family val="2"/>
      </rPr>
      <t xml:space="preserve"> </t>
    </r>
    <r>
      <rPr>
        <sz val="10"/>
        <rFont val="Arial"/>
        <family val="2"/>
      </rPr>
      <t>GASB Codification Section In5.132 - .138, and</t>
    </r>
  </si>
  <si>
    <t>f. Meets the shadow pricing requirements in GASB Codification Section In5.139 - .140.</t>
  </si>
  <si>
    <t>Does your entity operate a qualifying external investment pool that measures all of its investments at</t>
  </si>
  <si>
    <t>amortized cost?</t>
  </si>
  <si>
    <t>B.  Entities that Participate in Qualifying External Investment Pools</t>
  </si>
  <si>
    <t xml:space="preserve">If a qualifying external investment pool measures all of its investments at amortized cost, the pool's </t>
  </si>
  <si>
    <t>participants should measure their investments in that qualifyting external investment pool at amortized cost.</t>
  </si>
  <si>
    <t>Does your entity participate in a qualifying external investment pool that measures all of its investments</t>
  </si>
  <si>
    <t>at amortized cost? (Note:  The UNC Investment Fund and the Dept. of State Treasurer (DST) external</t>
  </si>
  <si>
    <t xml:space="preserve">investment pools do not qualify to measure their investments at amortized cost. STIF is a portfolio within the </t>
  </si>
  <si>
    <t>DST external investment pool.)</t>
  </si>
  <si>
    <t>FCCS Entity</t>
  </si>
  <si>
    <t>*Entity To be kept empty in case of Agency Load</t>
  </si>
  <si>
    <t>FCCS Agency</t>
  </si>
  <si>
    <t>905 -  Offline Proprietary Proforma - Statement of Net Position and
 Statement of Revenues, Expenses and Changes in Net Position and Certification of Data File for Universities</t>
  </si>
  <si>
    <r>
      <rPr>
        <u/>
        <sz val="8"/>
        <rFont val="Arial"/>
        <family val="2"/>
      </rPr>
      <t>Instructions</t>
    </r>
    <r>
      <rPr>
        <sz val="8"/>
        <rFont val="Arial"/>
        <family val="2"/>
      </rPr>
      <t xml:space="preserve">: 
(1) Key to Column F, except for shaded cells, which automatically link to other worksheets that must be completed first.
(2) Be sure to sign and date the certification box at the bottom of the worksheet.  (You may either type the signature or paste a digital picture
of the signature.)  Every university and UNC Hospitals must sign the certification.  (Other hospitals do not need to sign the certification.)  </t>
    </r>
  </si>
  <si>
    <t>Column F</t>
  </si>
  <si>
    <t>Statement of Net Position</t>
  </si>
  <si>
    <t>Prior Year -To Compare</t>
  </si>
  <si>
    <t>Account TBL</t>
  </si>
  <si>
    <t>ASSETS</t>
  </si>
  <si>
    <t>**</t>
  </si>
  <si>
    <t>Current Assets:</t>
  </si>
  <si>
    <t xml:space="preserve">Investments </t>
  </si>
  <si>
    <t xml:space="preserve">Pooled investments </t>
  </si>
  <si>
    <t xml:space="preserve">Securities lending collateral </t>
  </si>
  <si>
    <t>Receivables:</t>
  </si>
  <si>
    <t>Accounts receivable, net</t>
  </si>
  <si>
    <t>Intergovernmental receivables</t>
  </si>
  <si>
    <t>Interest receivable</t>
  </si>
  <si>
    <t>Other receivables, net</t>
  </si>
  <si>
    <t>Advances to Outside Entities (ws 535)</t>
  </si>
  <si>
    <t>Due from State of NC component units (ws 525)</t>
  </si>
  <si>
    <t>Due from agency/institution component units (ws 616)</t>
  </si>
  <si>
    <t>Due from primary government (ws 515)</t>
  </si>
  <si>
    <t>Inventories</t>
  </si>
  <si>
    <t>Prepaid items</t>
  </si>
  <si>
    <t>Notes receivable</t>
  </si>
  <si>
    <t>Lease Receivable, Net</t>
  </si>
  <si>
    <t>PPP Asset Receivable - current</t>
  </si>
  <si>
    <t>New FY2024</t>
  </si>
  <si>
    <t>11R11000</t>
  </si>
  <si>
    <t>11R22000</t>
  </si>
  <si>
    <t xml:space="preserve">Restricted investments </t>
  </si>
  <si>
    <t>Hedging derivatives</t>
  </si>
  <si>
    <t>Beneficial interest in assets held by others</t>
  </si>
  <si>
    <t>Net OPEB asset</t>
  </si>
  <si>
    <t xml:space="preserve">   Total Current assets</t>
  </si>
  <si>
    <t>Noncurrent Assets:</t>
  </si>
  <si>
    <t>PPP Asset Receivable - Noncurrent</t>
  </si>
  <si>
    <t>Investment in joint venture</t>
  </si>
  <si>
    <t xml:space="preserve">Restricted pooled investments </t>
  </si>
  <si>
    <t>Restricted due from State of NC component units (ws 525)</t>
  </si>
  <si>
    <t>Restricted due from primary government (ws 515)</t>
  </si>
  <si>
    <t>Capital assets, nondepreciable:</t>
  </si>
  <si>
    <t>Land and permanent easements (ws 201)</t>
  </si>
  <si>
    <t>Art, literature and artifacts, nondepreciable (ws 201)</t>
  </si>
  <si>
    <t>Construction in progress (ws 201)</t>
  </si>
  <si>
    <t>Computer software in development (ws 201)</t>
  </si>
  <si>
    <t>Patents in development (ws 201)</t>
  </si>
  <si>
    <t>Other intangible assets, nondepreciable (ws 201)</t>
  </si>
  <si>
    <t>Total capital assets - nondepreciable</t>
  </si>
  <si>
    <t>Buildings (ws 201)</t>
  </si>
  <si>
    <t>Machinery and equipment (ws 201)</t>
  </si>
  <si>
    <t>Art, literature and artifacts,depreciable (ws 201)</t>
  </si>
  <si>
    <t>General infrastructure (ws 201)</t>
  </si>
  <si>
    <t>Right to Use Lease Asset-Land (ws 201)</t>
  </si>
  <si>
    <t>Right to Use Lease Asset-Buildings (ws 201)</t>
  </si>
  <si>
    <t>Right to Use Lease Asset-Machinery and Equipment (ws 201)</t>
  </si>
  <si>
    <t>Right to Use Lease Asset-General infrastructure (ws 201)</t>
  </si>
  <si>
    <t>Right to Use PPP Asset (ws 201)….........................................................</t>
  </si>
  <si>
    <t>Computer software (ws 201)</t>
  </si>
  <si>
    <t>Patents (ws 201)</t>
  </si>
  <si>
    <t>SBITA Asset (ws 201)</t>
  </si>
  <si>
    <t>Other intangible assets, depreciable (ws 201)</t>
  </si>
  <si>
    <t>Accumulated depreciation (ws 210)</t>
  </si>
  <si>
    <t>Total capital assets - depreciable, (net)</t>
  </si>
  <si>
    <t xml:space="preserve">   Total Noncurrent assets</t>
  </si>
  <si>
    <t xml:space="preserve">       Total  assets</t>
  </si>
  <si>
    <t xml:space="preserve">Accumulated decrease in fair value of hedging derivative </t>
  </si>
  <si>
    <t>Deferred outflows for ARO</t>
  </si>
  <si>
    <t xml:space="preserve">       Total  deferred outflows of resources</t>
  </si>
  <si>
    <t>Accounts payable and accrued liabilities:</t>
  </si>
  <si>
    <t xml:space="preserve">Accounts payable </t>
  </si>
  <si>
    <t>Accrued payroll</t>
  </si>
  <si>
    <t>Intergovernmental payables</t>
  </si>
  <si>
    <t>Claims payable</t>
  </si>
  <si>
    <t>Interest payable</t>
  </si>
  <si>
    <t>Short-term debt:</t>
  </si>
  <si>
    <t>Revolving line of credit (ws 310)</t>
  </si>
  <si>
    <t>Commercial paper payable (ws 310)</t>
  </si>
  <si>
    <t>Notes from direct borrowings (ws 310)</t>
  </si>
  <si>
    <t>Direct placements (ws 310)</t>
  </si>
  <si>
    <t>Bond anticipation notes payable (ws 310)</t>
  </si>
  <si>
    <t>Due to State of NC component units (ws 530)</t>
  </si>
  <si>
    <t>Due to agency/institution component units  (w/s 616)</t>
  </si>
  <si>
    <t>Due to primary government (ws 520)</t>
  </si>
  <si>
    <t>Unearned revenue</t>
  </si>
  <si>
    <t>Obligations under reverse repurchase agreements</t>
  </si>
  <si>
    <t>Obligations under securities lending</t>
  </si>
  <si>
    <t>Deposits payable</t>
  </si>
  <si>
    <t>Funds held for others</t>
  </si>
  <si>
    <t>Hedging derivatives liability</t>
  </si>
  <si>
    <t>Notes from direct borrowings-current (ws 310)</t>
  </si>
  <si>
    <t>Leases liability-current (ws 310)</t>
  </si>
  <si>
    <t>SBITA liability-current (ws 310)…................................................................</t>
  </si>
  <si>
    <t>PPP Liability - current (ws 310)….........................................................</t>
  </si>
  <si>
    <t>NEW FY2024</t>
  </si>
  <si>
    <t>Bonds and similar debt payable, net-current (ws 310)</t>
  </si>
  <si>
    <t>Arbitrage rebate payable-current (ws 310)</t>
  </si>
  <si>
    <t>Workers compensation-current (ws 310)</t>
  </si>
  <si>
    <t>Annuity and life income payable-current (ws 310)</t>
  </si>
  <si>
    <t>Pollution remediation payable-current (ws 310)</t>
  </si>
  <si>
    <t>Asset retirement obligation-current (ws 310)</t>
  </si>
  <si>
    <t>Compensated absences-current (ws 310)</t>
  </si>
  <si>
    <t>Net pension liability-current (ws 310)</t>
  </si>
  <si>
    <t>Net OPEB liability-current (ws 310)</t>
  </si>
  <si>
    <t>Liability Insurance trust fund payable-current (ws 310)</t>
  </si>
  <si>
    <t>Other long-term liabilities - current portion (ws 310)</t>
  </si>
  <si>
    <t xml:space="preserve">   Total current liabilities</t>
  </si>
  <si>
    <t>Accounts payable</t>
  </si>
  <si>
    <t>Advance from primary government (ws 535)</t>
  </si>
  <si>
    <t>Lease liability (ws 310)</t>
  </si>
  <si>
    <t>SBITA liablity (ws 310)….............................................................................</t>
  </si>
  <si>
    <t>PPP Liability (ws 310)…...................................................................</t>
  </si>
  <si>
    <t>Bonds and similar debt payable, net (ws 310)</t>
  </si>
  <si>
    <t>Arbitrage rebate payable (ws 310)</t>
  </si>
  <si>
    <t>Workers compensation (ws 310)</t>
  </si>
  <si>
    <t>Annuity and life income payable (ws 310)</t>
  </si>
  <si>
    <t>Pollution remediation payable (ws 310)</t>
  </si>
  <si>
    <t>Asset retirement obligation (ws 310)</t>
  </si>
  <si>
    <t>Compensated absences (ws 310)</t>
  </si>
  <si>
    <t>Net pension liability (ws 310)</t>
  </si>
  <si>
    <t>Net OPEB liability (ws 310)</t>
  </si>
  <si>
    <t>Liability Insurance trust fund payable (ws 310)</t>
  </si>
  <si>
    <t>Other long-term liabilities (ws 310)</t>
  </si>
  <si>
    <t xml:space="preserve">   Total noncurrent liabilities</t>
  </si>
  <si>
    <t xml:space="preserve">       Total  liabilities</t>
  </si>
  <si>
    <t xml:space="preserve">Accumulated increase in fair value of hedging derivative </t>
  </si>
  <si>
    <t>Deferred Inflows for PPP Arrangements</t>
  </si>
  <si>
    <t xml:space="preserve">Deferred gain on refunding </t>
  </si>
  <si>
    <t>Deferred inflows for irrevocable split-interest agreements</t>
  </si>
  <si>
    <t>Deferred inflows for lease agreements</t>
  </si>
  <si>
    <t xml:space="preserve">       Total  deferred inflows of resources</t>
  </si>
  <si>
    <t>Restricted Nonexpendable:</t>
  </si>
  <si>
    <t>Higher education</t>
  </si>
  <si>
    <t>NonExpendable</t>
  </si>
  <si>
    <t>Health and human services</t>
  </si>
  <si>
    <t>Economic development</t>
  </si>
  <si>
    <t>Econ Dev</t>
  </si>
  <si>
    <t xml:space="preserve">  Restricted Expendable:</t>
  </si>
  <si>
    <t>Other purposes *NA for Universities*</t>
  </si>
  <si>
    <t>NA for Universities</t>
  </si>
  <si>
    <t xml:space="preserve">   Total net position</t>
  </si>
  <si>
    <t>Verification: Assets + Def. Outflows  - Liab. - Def. Inflows = Net Position</t>
  </si>
  <si>
    <t>Out of Balance Amount</t>
  </si>
  <si>
    <t>Statement of Revenues, Expenses and Changes in Net Position</t>
  </si>
  <si>
    <t>Sales and services, net</t>
  </si>
  <si>
    <t>Student tuition and fees, net</t>
  </si>
  <si>
    <t>Patient services, net</t>
  </si>
  <si>
    <t>Federal appropriations</t>
  </si>
  <si>
    <t>Federal grants and contracts</t>
  </si>
  <si>
    <t>427AA000</t>
  </si>
  <si>
    <t>428AA000</t>
  </si>
  <si>
    <t>42BAA000</t>
  </si>
  <si>
    <t>Rental and lease earnings</t>
  </si>
  <si>
    <t xml:space="preserve">   Total operating revenues</t>
  </si>
  <si>
    <t>Personal services</t>
  </si>
  <si>
    <t>Supplies and materials</t>
  </si>
  <si>
    <t>Cost of goods sold</t>
  </si>
  <si>
    <t>Claims and benefits</t>
  </si>
  <si>
    <t>Insurance and bonding</t>
  </si>
  <si>
    <t>Scholarships and fellowships</t>
  </si>
  <si>
    <t>Other fixed charges</t>
  </si>
  <si>
    <t xml:space="preserve">   Total operating expenses</t>
  </si>
  <si>
    <t xml:space="preserve">      Operating income (loss)</t>
  </si>
  <si>
    <t>State appropriations</t>
  </si>
  <si>
    <t xml:space="preserve">State aid - general  </t>
  </si>
  <si>
    <t>See comment or FY24 new account roll up reference</t>
  </si>
  <si>
    <t>State aid - program</t>
  </si>
  <si>
    <t>State aid - Coronavirus</t>
  </si>
  <si>
    <t>*See comment in caption* or See FY24 new account roll up reference</t>
  </si>
  <si>
    <t>421AA000</t>
  </si>
  <si>
    <t>Federal Aid - COVID-19</t>
  </si>
  <si>
    <t>*See comment in caption*</t>
  </si>
  <si>
    <t>421COVID</t>
  </si>
  <si>
    <t>Noncapital gifts, net</t>
  </si>
  <si>
    <t>Interest and fees expense</t>
  </si>
  <si>
    <t>Gain on sale of property and equipment</t>
  </si>
  <si>
    <t>Loss on sale of property and equipment</t>
  </si>
  <si>
    <t>Gain (Loss) on in-substance defeasance of debt</t>
  </si>
  <si>
    <t>Insurance recoveries</t>
  </si>
  <si>
    <t>56J99000</t>
  </si>
  <si>
    <t>Lease interest revenue</t>
  </si>
  <si>
    <t xml:space="preserve">   Total nonoperating revenues (expenses)</t>
  </si>
  <si>
    <t xml:space="preserve">      Income before other revenues expenses gains and losses</t>
  </si>
  <si>
    <t xml:space="preserve">State capital aid </t>
  </si>
  <si>
    <t>Capital grants</t>
  </si>
  <si>
    <t>42DAA000</t>
  </si>
  <si>
    <t>Capital gifts, net</t>
  </si>
  <si>
    <t>Additions to endowments</t>
  </si>
  <si>
    <t>University transfers (ws 565)</t>
  </si>
  <si>
    <t>Special items</t>
  </si>
  <si>
    <t>Extraordinary items</t>
  </si>
  <si>
    <t xml:space="preserve">   Increase (decrease) in net position</t>
  </si>
  <si>
    <t>Net position - beginning of year</t>
  </si>
  <si>
    <t>Net position - end of year</t>
  </si>
  <si>
    <t>Net position between Stmt of Net Position and O/S verification</t>
  </si>
  <si>
    <t>Certification required for Universities and UNC Hospitals:</t>
  </si>
  <si>
    <t>The University/UNC Hospitals data file has been reconciled to the above financial statements and submitted</t>
  </si>
  <si>
    <t>to the Office of the State Auditor at the same time as the submission of the Annual Report package to OSC.</t>
  </si>
  <si>
    <t xml:space="preserve">There will be no further updating of the University/UNC Hospitals data file unless authorized by OSC. </t>
  </si>
  <si>
    <t xml:space="preserve">I hereby certify that the reconciliation of the above financial statements to the University/UNC Hospitals </t>
  </si>
  <si>
    <t>data file has been reviewed by the University Controller/UNC Hospitals management.</t>
  </si>
  <si>
    <t>Certified by</t>
  </si>
  <si>
    <t>**Code in column A is OSC WTB code - for OSC use</t>
  </si>
  <si>
    <t>For 905 - NCFS Acct Roll-up</t>
  </si>
  <si>
    <t>Updated for FY 2024</t>
  </si>
  <si>
    <t>NCAS account</t>
  </si>
  <si>
    <t>NCFS account</t>
  </si>
  <si>
    <t xml:space="preserve">ACCOUNT ROLL-UP FOR 11P </t>
  </si>
  <si>
    <t>Note:  Not all captions on the NCFS 11P are included</t>
  </si>
  <si>
    <t>905 Ref. no.</t>
  </si>
  <si>
    <t>on the 905, but this serves as a general guide for how</t>
  </si>
  <si>
    <r>
      <t xml:space="preserve">the accounts should roll for year-end reporting. </t>
    </r>
    <r>
      <rPr>
        <b/>
        <sz val="10"/>
        <color indexed="8"/>
        <rFont val="Arial"/>
        <family val="2"/>
      </rPr>
      <t>The roll up table is for all proprietary funds and may include accounts that are not applicable to Univesities</t>
    </r>
    <r>
      <rPr>
        <sz val="10"/>
        <color indexed="8"/>
        <rFont val="Arial"/>
        <family val="2"/>
      </rPr>
      <t>.</t>
    </r>
  </si>
  <si>
    <t>See below.</t>
  </si>
  <si>
    <t>CSH ON HAND</t>
  </si>
  <si>
    <t>CSH/BNK-NON INT BEAR CHK</t>
  </si>
  <si>
    <t>CSH/BNK-INT BEAR ACCTS</t>
  </si>
  <si>
    <t>CSH/BNK-POOLED CASH ACCTS</t>
  </si>
  <si>
    <t>CSH/BANK-OTHER ACCTS</t>
  </si>
  <si>
    <t>NON-TREAS-CSH W/FISC AGT</t>
  </si>
  <si>
    <t>CONSOLIDATED BUDGET CODE CASH</t>
  </si>
  <si>
    <t>POOL CSH-LIQ ASSET FND</t>
  </si>
  <si>
    <t>POOL CSH-STATE TREAS STIF</t>
  </si>
  <si>
    <t>POOL CSH-CSH CARRIED FWD</t>
  </si>
  <si>
    <t>CASH CARRYFORWARD-DPI</t>
  </si>
  <si>
    <t>CASH CARRYFORWARD-UNAPPRO</t>
  </si>
  <si>
    <t>POOL CSH-GEN FUND REV</t>
  </si>
  <si>
    <t>POOL CSH-DISBURSING ACCT</t>
  </si>
  <si>
    <t>CASH IN DISB. ACCT.(ACCR)</t>
  </si>
  <si>
    <t>see account 11120000</t>
  </si>
  <si>
    <t>POOL CSH-BUDGET CODE CSH</t>
  </si>
  <si>
    <t>POOL CSH-ALLOTMENT ACCT</t>
  </si>
  <si>
    <t>POOL CSH-UNALLOT APPRO/CI</t>
  </si>
  <si>
    <t>BOND PROCEED CASH ADJUSTM</t>
  </si>
  <si>
    <t>Restricted cash and cash equivalents</t>
  </si>
  <si>
    <t>11R110</t>
  </si>
  <si>
    <t>CASH ON HAND-RESTRICTED</t>
  </si>
  <si>
    <t>11R120</t>
  </si>
  <si>
    <t>CSH/BNK-NON INT CHK-RESTR</t>
  </si>
  <si>
    <t>11R121</t>
  </si>
  <si>
    <t>NON-TREAS CASH W/FISC AGT</t>
  </si>
  <si>
    <t>11R130</t>
  </si>
  <si>
    <t>CSH/BNK-INT BEAR-RESTRICT</t>
  </si>
  <si>
    <t>11R190</t>
  </si>
  <si>
    <t>CSH/BNK-OTHER ACCTS-RESTR</t>
  </si>
  <si>
    <t>11R220</t>
  </si>
  <si>
    <t>POOL CASH-STIF-RESTRICTED</t>
  </si>
  <si>
    <t>11R260</t>
  </si>
  <si>
    <t>see acct 11R20000</t>
  </si>
  <si>
    <t>POOL CSH-BUD CODE-RESTRIC</t>
  </si>
  <si>
    <t>11R270</t>
  </si>
  <si>
    <t>POOL CSH-ALLOTMNT-RESTRIC</t>
  </si>
  <si>
    <t>11R280</t>
  </si>
  <si>
    <t>POOL CSH-UNALLOT APPR-RST</t>
  </si>
  <si>
    <t>11R290</t>
  </si>
  <si>
    <t>BOND PROCEED CSH ADJ-REST</t>
  </si>
  <si>
    <t>NON-TREAS-US GOV SEC</t>
  </si>
  <si>
    <t>NON-TREAS-ST &amp; MUNI SEC</t>
  </si>
  <si>
    <t>NON-TREAS-CORP BONDS</t>
  </si>
  <si>
    <t>NON-TREAS-CORP STOCKS</t>
  </si>
  <si>
    <t>NON-TREAS-REPO</t>
  </si>
  <si>
    <t>NON-TREAS-COMM PAPER</t>
  </si>
  <si>
    <t>NON-TREAS-BANKERS' ACCEPT</t>
  </si>
  <si>
    <t>NON-TREAS-ANNUITY CONTR</t>
  </si>
  <si>
    <t>NON-TREAS-INV-REAL ESTATE</t>
  </si>
  <si>
    <t>International Bonds (Corp)</t>
  </si>
  <si>
    <t>International Bonds (Govt)</t>
  </si>
  <si>
    <t>NON-TREAS-INTL STOCKS</t>
  </si>
  <si>
    <t>NON-TREAS-CD'S</t>
  </si>
  <si>
    <t>NON-TREAS-INV AGREEMENTS</t>
  </si>
  <si>
    <t>NON-TREAS-INVEST CONTRACT</t>
  </si>
  <si>
    <t>NON-TREAS-MONEY MARKET</t>
  </si>
  <si>
    <t>NON-TREAS-MUTUAL FUNDS</t>
  </si>
  <si>
    <t>NON-TREAS-REIT</t>
  </si>
  <si>
    <t>NON-TREAS-LIM PARTNERSHIP</t>
  </si>
  <si>
    <t>NON-TREAS-REVERSE REPO</t>
  </si>
  <si>
    <t>NON-TREAS-INV W/FISC AGT</t>
  </si>
  <si>
    <t>NON-TREAS-POOLED INVEST</t>
  </si>
  <si>
    <t>Collateral Mortgage Oblig</t>
  </si>
  <si>
    <t>ALLOW-FV INVESTMENTS</t>
  </si>
  <si>
    <t>ALLOW-FV INVEST FISCAL AG</t>
  </si>
  <si>
    <t>NON-TREAS-OTHER INV</t>
  </si>
  <si>
    <t>NON-TREAS INVST DERIV-CURR</t>
  </si>
  <si>
    <t>NEW ACCT FOR 2009-2010 - GASB 53</t>
  </si>
  <si>
    <t>POOL INV-LONG TERM</t>
  </si>
  <si>
    <t>L/T INVESTMENT-GLOBAL TP</t>
  </si>
  <si>
    <t>BOND INDEX FUND</t>
  </si>
  <si>
    <t>NEW ACCT FOR FY 2016-2017</t>
  </si>
  <si>
    <t>EQUITY INDEX FUND</t>
  </si>
  <si>
    <t>NEW ACCT FOR FY 2018-2019</t>
  </si>
  <si>
    <t>POOL INV-EQUITY INV FUND</t>
  </si>
  <si>
    <t>POOL INV-REAL ES INV FUND</t>
  </si>
  <si>
    <t>POOL INV-VENTURE CAP FUND</t>
  </si>
  <si>
    <t>INFLATION PROTECTION INVESTMENT FUND</t>
  </si>
  <si>
    <t>NEW ACCT FOR FY 2009-2010</t>
  </si>
  <si>
    <t>EXTERNAL FIXED INCOME INVESTMENT</t>
  </si>
  <si>
    <t>NEW ACCT FOR FY 2013-2014</t>
  </si>
  <si>
    <t>CREDIT INVESTMENT FUND</t>
  </si>
  <si>
    <t>INVESTMENTS-EXTERNAL UNIT</t>
  </si>
  <si>
    <t>ALLOW-FV OF POOLED INVEST</t>
  </si>
  <si>
    <t>ALLOW-FV EQUITY INV FUND</t>
  </si>
  <si>
    <t>ALLOW-FV REAL EST INV FND</t>
  </si>
  <si>
    <t>ALLOW-FV VENTURE CAP INV</t>
  </si>
  <si>
    <t>ALLOW -FV LIMITED PART LIA</t>
  </si>
  <si>
    <t>NEW ACCT FOR FY 2007-2008</t>
  </si>
  <si>
    <t>ALLOW -FV OF INFLATION PROTECTION INVESTMENT FUND</t>
  </si>
  <si>
    <t>ALLOW -FV OF CREDIT INVESTMENT FUND</t>
  </si>
  <si>
    <t>ALLOWANCE - FAIR VALUE OF EXTERNAL FIXED INCOME INVESTMENT</t>
  </si>
  <si>
    <t>ALLOWANCE - FAIR VALUE BOND INDEX FUND</t>
  </si>
  <si>
    <t>ALLOW-FV EQUITY INDEX FUND</t>
  </si>
  <si>
    <t>NON-TREAS RESTRICT INVEST</t>
  </si>
  <si>
    <t>ALLOW-FV RESTRICT INVESTM</t>
  </si>
  <si>
    <t>Bond Proceeds</t>
  </si>
  <si>
    <t>Securities lending collateral</t>
  </si>
  <si>
    <t>SECURITY LEND COLL INVEST</t>
  </si>
  <si>
    <t xml:space="preserve">          Receivables:</t>
  </si>
  <si>
    <t xml:space="preserve">     Accounts receivable</t>
  </si>
  <si>
    <t>A/R</t>
  </si>
  <si>
    <t>A/R - STUDENTS</t>
  </si>
  <si>
    <t>A/R - PATIENTS</t>
  </si>
  <si>
    <t>RETAILER ACCTS RECEIVABLE</t>
  </si>
  <si>
    <t>NEW ACCT FOR FY 2005-2006</t>
  </si>
  <si>
    <t>NSF RECEIVABLE</t>
  </si>
  <si>
    <t>NSF FEE DUE</t>
  </si>
  <si>
    <t>ALLOW FOR DOUBTFUL ACCTS</t>
  </si>
  <si>
    <t>ALLOW-DOUBT ACCT-STUDENT</t>
  </si>
  <si>
    <t>ALLOW-DOUBT ACCT-PATIENT</t>
  </si>
  <si>
    <t xml:space="preserve">       Intergovernmental receivables</t>
  </si>
  <si>
    <t>INTERGOV-LOC GOV REC</t>
  </si>
  <si>
    <t>INTERGOV-FED AGY REC</t>
  </si>
  <si>
    <t>RECEIVABLES FROM OTHER STATES</t>
  </si>
  <si>
    <t>NEW ACCT FOR FY 2010-2011</t>
  </si>
  <si>
    <t>ALLOWANCE -INTERGOVT REC</t>
  </si>
  <si>
    <t>New account FY 2014-15</t>
  </si>
  <si>
    <t xml:space="preserve">     Interest receivable</t>
  </si>
  <si>
    <t>INT EARN REC ON LOAN/NOTE</t>
  </si>
  <si>
    <t>INT REC - ON INVESTMNT</t>
  </si>
  <si>
    <t xml:space="preserve">       Premiums receivable</t>
  </si>
  <si>
    <t>PREMIUMS RECEIVABLE</t>
  </si>
  <si>
    <t xml:space="preserve">     Contributions receivable</t>
  </si>
  <si>
    <t>ALLOWANCE-CONTRIBUTIONS</t>
  </si>
  <si>
    <t>CONTRIBUTIONS RECEIVABLE</t>
  </si>
  <si>
    <t xml:space="preserve">     Other receivables</t>
  </si>
  <si>
    <t>ALLOWANCE-PLEDGES</t>
  </si>
  <si>
    <t>DUE FROM EMPLOYEES</t>
  </si>
  <si>
    <t>PLEDGES RECEIVABLE</t>
  </si>
  <si>
    <t>OTHER CURRENT RECEIVABLES</t>
  </si>
  <si>
    <t>Due from fiduciary funds</t>
  </si>
  <si>
    <t>GOV INTRA REC-PENS TRUST</t>
  </si>
  <si>
    <t>GOV INTRA REC-AGENCY</t>
  </si>
  <si>
    <t>GOV INTRA REC-PRIV PUR TR</t>
  </si>
  <si>
    <t>Due from Pension Trst Fnd</t>
  </si>
  <si>
    <t>GOV INTER REC-AGENCY</t>
  </si>
  <si>
    <t>GOV INTER REC-PRIV PUR TR</t>
  </si>
  <si>
    <t>GOV INTRA REC-GENERAL</t>
  </si>
  <si>
    <t>GOV INTRA REC-SPECIAL REV</t>
  </si>
  <si>
    <t>GOV INTRA REC-CAP IMPROV</t>
  </si>
  <si>
    <t>GOV INTRA REC-ENTERPRISE</t>
  </si>
  <si>
    <t>GOV INTRA REC-INTERN SVC</t>
  </si>
  <si>
    <t>GOV INTRA REC-PERMANENT</t>
  </si>
  <si>
    <t>GOV INTER REC-GENERAL</t>
  </si>
  <si>
    <t>GOV INTER REC-SPEC REV</t>
  </si>
  <si>
    <t>GOV INTER REC-CAP IMPROV</t>
  </si>
  <si>
    <t>Due from Enterprise Fund</t>
  </si>
  <si>
    <t>GOV INTER REC-INTERN SVC</t>
  </si>
  <si>
    <t>GOV INTER REC-PERMANENT</t>
  </si>
  <si>
    <t>DUE FROM PRIVATE PURPOSE TRUST</t>
  </si>
  <si>
    <t>Advances to Outside Entities</t>
  </si>
  <si>
    <t>See below. NEW FY2021</t>
  </si>
  <si>
    <t>Due from component units</t>
  </si>
  <si>
    <t>DUE FROM ST OF NC COMPONENT UNITS</t>
  </si>
  <si>
    <t>Due from agency/institution component units</t>
  </si>
  <si>
    <t>DUE FROM AG/INSTITUTION COMPONENT UNITS</t>
  </si>
  <si>
    <t>NEW ACCT for FY 2003-2004</t>
  </si>
  <si>
    <t>Due from primary government</t>
  </si>
  <si>
    <t>DUE FROM PRI GOV AGENCY</t>
  </si>
  <si>
    <t>NOTES/LOANS RECEIVABLE</t>
  </si>
  <si>
    <t>NOTE REC-NDSL LNS REC</t>
  </si>
  <si>
    <t>NOTE REC-OTH STUD LOANS</t>
  </si>
  <si>
    <t>Other Student Loans Rec</t>
  </si>
  <si>
    <t>ALLOW-DOUBT ACCTS - NDSL</t>
  </si>
  <si>
    <t>ALLOW-DOUBT ACCT-OTH STUD</t>
  </si>
  <si>
    <t>Lease receivable</t>
  </si>
  <si>
    <t>LEASE RECEIVABLE</t>
  </si>
  <si>
    <t>NEW FY2022</t>
  </si>
  <si>
    <t>PPP Asset Receivable</t>
  </si>
  <si>
    <t>PPP Asset Receivable - Current</t>
  </si>
  <si>
    <t>NEW FY2023</t>
  </si>
  <si>
    <t>Accounts 116110 - 116990</t>
  </si>
  <si>
    <t>INVEN-POSTAGE</t>
  </si>
  <si>
    <t>INVEN-DP SUPPLIES</t>
  </si>
  <si>
    <t>INVEN-OTH OFF MAT/SUPPL</t>
  </si>
  <si>
    <t>INVEN-JANITORIAL SUPPLIES</t>
  </si>
  <si>
    <t>INVEN-BEDDING &amp; TEXTILE</t>
  </si>
  <si>
    <t>INVEN-AGRICULTURAL</t>
  </si>
  <si>
    <t>INVEN-CONSTR/REPAIR SUPPL</t>
  </si>
  <si>
    <t>INVEN-HEAT &amp; UTIL SUPPL</t>
  </si>
  <si>
    <t>INVEN-OTH HSE &amp; CLN SUPPL</t>
  </si>
  <si>
    <t>INVEN-MOTOR FUEL &amp; LUBRIC</t>
  </si>
  <si>
    <t>INVEN-TIRES &amp; TUBES</t>
  </si>
  <si>
    <t>INVEN-MOTOR VEHIC PARTS</t>
  </si>
  <si>
    <t>INVEN-OTH MOTR VEH OP SUP</t>
  </si>
  <si>
    <t>INVEN-FOOD &amp; DIETARY</t>
  </si>
  <si>
    <t>INVEN-CLOTHING &amp; REC SUP</t>
  </si>
  <si>
    <t>INVEN-SCIENTIFIC</t>
  </si>
  <si>
    <t>INVEN-DRUGS/PHARM</t>
  </si>
  <si>
    <t>INVEN-R&amp;D, ED SUPPL</t>
  </si>
  <si>
    <t>INVEN-PURCHASE FOR RESALE</t>
  </si>
  <si>
    <t>INVEN-CENTRAL STORES</t>
  </si>
  <si>
    <t>INVEN-OTH MATERIAL/SUPPL</t>
  </si>
  <si>
    <t>Food stamps</t>
  </si>
  <si>
    <t>FOOD STAMPS</t>
  </si>
  <si>
    <t>PREPAID ITEMS</t>
  </si>
  <si>
    <t>Securities held in trust (Sureties)</t>
  </si>
  <si>
    <t>SECURITIES HELD IN TRUST</t>
  </si>
  <si>
    <t>Hedging Derivatives</t>
  </si>
  <si>
    <t>HEDGING DERIVATIVES-CURR</t>
  </si>
  <si>
    <t xml:space="preserve">Beneficial interest in Assets Held by Others </t>
  </si>
  <si>
    <t>BENEFICIAL INTEREST IN ASSETS HELD BY OTHERS</t>
  </si>
  <si>
    <t>NEW ACCT FOR FY 2017-2018</t>
  </si>
  <si>
    <t>Net OPEB Asset</t>
  </si>
  <si>
    <t>NET OPEB ASSET</t>
  </si>
  <si>
    <t>Total Current Assets</t>
  </si>
  <si>
    <t>Non-Current Assets:</t>
  </si>
  <si>
    <t>Restricted/designated cash and cash equivalents</t>
  </si>
  <si>
    <t>CASH ON HAND-NONCURRENT</t>
  </si>
  <si>
    <t>not new acct, but univ will begin using for fy 2002</t>
  </si>
  <si>
    <t>CSH/BNK-:POOLED CASH</t>
  </si>
  <si>
    <t>CSH/BNK-OTH ACCTS</t>
  </si>
  <si>
    <t>Restricted/designated pooled cash</t>
  </si>
  <si>
    <t>POOL CASH-STIF-NONCURRENT</t>
  </si>
  <si>
    <t>POOL CSH-BUD CODE-NONCURR</t>
  </si>
  <si>
    <t>POOL CSH-ALLOTMNT-NONCURR</t>
  </si>
  <si>
    <t>POOL CSH-UNALLOT APPR-NON</t>
  </si>
  <si>
    <t>BOND PROCEED CSH ADJ-NONC</t>
  </si>
  <si>
    <t>NON-TREAS-BANKERS' ACCEP</t>
  </si>
  <si>
    <t>NON-TREAS-REAL ESTATE</t>
  </si>
  <si>
    <t>NON-TREAS-INTL BONDS-CORP</t>
  </si>
  <si>
    <t>NON-TREAS-INTL BONDS-GOV</t>
  </si>
  <si>
    <t>NON-TREAS-LIMITED PARTNER</t>
  </si>
  <si>
    <t>NON-TREAS-INV W/FIS AGT</t>
  </si>
  <si>
    <t>NON-TREAS-COLL MORT OBLIG</t>
  </si>
  <si>
    <t>NON-TREAS-OTHER INVESTS</t>
  </si>
  <si>
    <t>NON-TREAS INV DERIV- NONCU</t>
  </si>
  <si>
    <t>NEW ACCT for FY 2002-2003</t>
  </si>
  <si>
    <t>ENDOWMENT INVESTMENTS</t>
  </si>
  <si>
    <t>Moved from Endowment Investments for 2008ACFR</t>
  </si>
  <si>
    <t>ALLOW-FV ENDOWMENT INVEST</t>
  </si>
  <si>
    <t>Accounts receivable</t>
  </si>
  <si>
    <t>A/R-NON CURRENT</t>
  </si>
  <si>
    <t>A/R-STUDENTS</t>
  </si>
  <si>
    <t>Accounts Rec - Patients</t>
  </si>
  <si>
    <t>Allow for Doubtful Accts</t>
  </si>
  <si>
    <t>Allow Doubt Accts-Student</t>
  </si>
  <si>
    <t>INT REC ON LOANS/NOTES</t>
  </si>
  <si>
    <t>INT REC ON INVESTMENTS</t>
  </si>
  <si>
    <t>Contributions receivable</t>
  </si>
  <si>
    <t>ALLOWANCE FOR DOUBTFUL ACCTS-CONTRIBUTIONS</t>
  </si>
  <si>
    <t>CONTRIBUTIONS RECEIVABLE-NONCURRENT</t>
  </si>
  <si>
    <t>Other receivables</t>
  </si>
  <si>
    <t>REC-DUE FROM EMPLOYEE</t>
  </si>
  <si>
    <t>OTHER NONCURRENT RECEIV</t>
  </si>
  <si>
    <t>Restricted due from primary government</t>
  </si>
  <si>
    <t>RESTRIC DUE FROM PRIM GOV</t>
  </si>
  <si>
    <t>Restricted due from component unit</t>
  </si>
  <si>
    <t>RESTRICTED DUE FROM STATE OF NC COMPONENT UNIT</t>
  </si>
  <si>
    <t>NOTES RECEIVABLE</t>
  </si>
  <si>
    <t>NOTES REC-NDSL LOANS REC</t>
  </si>
  <si>
    <t>NOTES REC-OTH STUD LOANS</t>
  </si>
  <si>
    <t>ALLOW-UNCOLL NOTES REC</t>
  </si>
  <si>
    <t>ALLOW DOUBT ACCTS-NDSL</t>
  </si>
  <si>
    <t>ALLOW DOUBT ACCT-OTH STUD</t>
  </si>
  <si>
    <t>PPP Asset Receivable -Non current</t>
  </si>
  <si>
    <t>Investment in Joint Venture</t>
  </si>
  <si>
    <t>INVESTMENT IN JOINT VENTURE</t>
  </si>
  <si>
    <t>Prepaid Items -Noncurrent</t>
  </si>
  <si>
    <t>See below. Caption title changed FY 2014</t>
  </si>
  <si>
    <t>PREPAID ITEMS - NON CUR</t>
  </si>
  <si>
    <t>UNAMORTIZED DREDGING</t>
  </si>
  <si>
    <t>Account title changed FY2014</t>
  </si>
  <si>
    <t>Advances to General Fund</t>
  </si>
  <si>
    <t>Advances to Spec Rev Fund</t>
  </si>
  <si>
    <t>Advances to Cap Imp Fund</t>
  </si>
  <si>
    <t>Advances to Enterpri Fund</t>
  </si>
  <si>
    <t>Advances to int service fund</t>
  </si>
  <si>
    <t>Advances Pension Trst Fnd</t>
  </si>
  <si>
    <t>Advances Agency Fund</t>
  </si>
  <si>
    <t>Adv to component Units</t>
  </si>
  <si>
    <t>HEDGING DERIVATIV-NONCURR</t>
  </si>
  <si>
    <t>NEW ACCOUNT FY 2009-2010</t>
  </si>
  <si>
    <t>NET OPEB ASSET-NONCURR</t>
  </si>
  <si>
    <t>NEW ACCT FY 2017-2018</t>
  </si>
  <si>
    <t>Total Non-Current Assets</t>
  </si>
  <si>
    <t>Capital Assets:</t>
  </si>
  <si>
    <t xml:space="preserve">     Land and permanent Easements</t>
  </si>
  <si>
    <t>LAND/LAND IMPRV/NONDEPREC</t>
  </si>
  <si>
    <t>PERMANENT EASEMENTS -NON DEPRECIABLE</t>
  </si>
  <si>
    <t xml:space="preserve">     Art, other artifacts &amp; literature - non-depre</t>
  </si>
  <si>
    <t>ART/LIT/ARTIFAC-NONDEPREC</t>
  </si>
  <si>
    <t xml:space="preserve">     Construction in progress</t>
  </si>
  <si>
    <t>CONSTRUCTION IN PROGRESS</t>
  </si>
  <si>
    <t xml:space="preserve">     Computer software in development </t>
  </si>
  <si>
    <t>COMPUTER SOFTWARE IN DEVELOPMENT</t>
  </si>
  <si>
    <t xml:space="preserve">     Patents in development</t>
  </si>
  <si>
    <t>PATENTS IN DEVELOPMENT</t>
  </si>
  <si>
    <t xml:space="preserve">     Other intangible assets, nondepreciable</t>
  </si>
  <si>
    <t>Other intangible assets - Nondepreciable.</t>
  </si>
  <si>
    <t>Capital assets, depreciable</t>
  </si>
  <si>
    <t>Buildings</t>
  </si>
  <si>
    <t>BUILDINGS</t>
  </si>
  <si>
    <t>LEASEHOLD IMPROVEMENTS</t>
  </si>
  <si>
    <t>New FY 2010-2011</t>
  </si>
  <si>
    <t>Machinery and equipment</t>
  </si>
  <si>
    <t>FURNITURE</t>
  </si>
  <si>
    <t>EQUIPMENT</t>
  </si>
  <si>
    <t>MOTOR VEH/MOTORIZED EQUIP</t>
  </si>
  <si>
    <t>LIVESTOCK/OTHER ANIMALS</t>
  </si>
  <si>
    <t>Art, literature &amp; artifacts, depreciable</t>
  </si>
  <si>
    <t>ART/LITERATURE/ARTIFACTS</t>
  </si>
  <si>
    <t>General Infrastructure</t>
  </si>
  <si>
    <t>ROAD SYSTEMS</t>
  </si>
  <si>
    <t>BRIDGES</t>
  </si>
  <si>
    <t>LANDSCAPING</t>
  </si>
  <si>
    <t>UTILITY SYSTEMS</t>
  </si>
  <si>
    <t>TOWERS/TANKS/WELLS</t>
  </si>
  <si>
    <t>DAMS</t>
  </si>
  <si>
    <t>FENCES</t>
  </si>
  <si>
    <t>EXTERIOR LIGHTING SYSTEMS</t>
  </si>
  <si>
    <t>PARKING AREAS</t>
  </si>
  <si>
    <t>TUNNELS</t>
  </si>
  <si>
    <t>OTHER STRUCT/IMPROV</t>
  </si>
  <si>
    <t>NC DOT Highway Network</t>
  </si>
  <si>
    <t>NCDOT HIGHWAY NETWORK</t>
  </si>
  <si>
    <t>Computer software</t>
  </si>
  <si>
    <t>COMPUTER SOFTWARE</t>
  </si>
  <si>
    <t>Patents</t>
  </si>
  <si>
    <t>PATENTS</t>
  </si>
  <si>
    <t>Other Intangible assets- depreciable</t>
  </si>
  <si>
    <t>OTHER INTANGIBLE ASSETS</t>
  </si>
  <si>
    <t>RTU Land and permanent Easements</t>
  </si>
  <si>
    <t>RTU LAND &amp; PERMANET EASEMENTS</t>
  </si>
  <si>
    <t>RTU Buildings</t>
  </si>
  <si>
    <t>RTU BUILDINGS</t>
  </si>
  <si>
    <t>RTU Machinery &amp; Equipment</t>
  </si>
  <si>
    <t>RTU MACHINERY &amp; EQUIPMENT</t>
  </si>
  <si>
    <t>RTU General Infrastructure</t>
  </si>
  <si>
    <t>RTU GENERAL INFRASTRUCTURE</t>
  </si>
  <si>
    <t>RTU Public-Private and Public-Public Partnership (PPP)</t>
  </si>
  <si>
    <t>Right to Use PPP/SCA Asset</t>
  </si>
  <si>
    <t>New account FY2024</t>
  </si>
  <si>
    <t>Subscription Assets</t>
  </si>
  <si>
    <t>Subscription (SBITA) Asset</t>
  </si>
  <si>
    <t>New account FY2023</t>
  </si>
  <si>
    <t>Accumulated depreciation</t>
  </si>
  <si>
    <t>Accounts 1279XXXX</t>
  </si>
  <si>
    <t>ACCUMULATED DEPRECIATION-NC DOT Highway Network</t>
  </si>
  <si>
    <t>DEPREC-BUILDINGS</t>
  </si>
  <si>
    <t>ACCUM DEPREC - LEASEHOLD IMPOVEMENTS</t>
  </si>
  <si>
    <t>DEPREC-OTHER STRUCTURES</t>
  </si>
  <si>
    <t>ACCUM DEPREC-MOTOR VEH/EQ</t>
  </si>
  <si>
    <t>ACCUM DEPREC-LANDSCAPING</t>
  </si>
  <si>
    <t>ACCUM DEPREC-TOWERS/TANKS</t>
  </si>
  <si>
    <t>ACCUM DEPREC-FENCES</t>
  </si>
  <si>
    <t>ACCUM DEPREC-PARKING AREA</t>
  </si>
  <si>
    <t>ACCUM DEPREC-FURNITURE</t>
  </si>
  <si>
    <t>ACCUM DEPREC-EQUIPMENT</t>
  </si>
  <si>
    <t>ACCDEPREC - LIVESTOCK AND OTHER ANIMALS</t>
  </si>
  <si>
    <t>ACCUM DEP - ART, LIT, ARTIF</t>
  </si>
  <si>
    <t>ACCUM DEP - INTANG ASSETS</t>
  </si>
  <si>
    <t>ACCUM DEPREC- PATENTS</t>
  </si>
  <si>
    <t>ACCUM DEPREC - COMPUTER SOFTWARE</t>
  </si>
  <si>
    <t>ACCUM DEPREC-ROAD NON DOT</t>
  </si>
  <si>
    <t>ACCUM DEPREC - BRIDGES</t>
  </si>
  <si>
    <t>ACCUM DEPREC-UTILITY SYST</t>
  </si>
  <si>
    <t>ACCUM DEPREC-DAMS</t>
  </si>
  <si>
    <t>ACCUM DEPREC - EXTERIOR LIGHTING SYSTEMS</t>
  </si>
  <si>
    <t>ACCUM DEPREC - TUNNELS</t>
  </si>
  <si>
    <t>ACCUM DEPREC-RTU LAND</t>
  </si>
  <si>
    <t>New account FY2022</t>
  </si>
  <si>
    <t>ACCUM DEPREC-RTU BUILDINGS</t>
  </si>
  <si>
    <t>ACCUM DEPREC-RTU MACHINERY &amp; EQUIP</t>
  </si>
  <si>
    <t>ACCUM DEPREC-RTU GENERAL INFRASTRUCTURE</t>
  </si>
  <si>
    <t>ACCUM DEPREC-Subscription (SBITA) Asset</t>
  </si>
  <si>
    <t>Accumulated Depreciation – Right to Use PPP/SCA Assets</t>
  </si>
  <si>
    <t>TOTAL ASSETS</t>
  </si>
  <si>
    <t>DEFERRED OUTFLOWS OF RESOURCES:</t>
  </si>
  <si>
    <t>Moved caption below assets in FY 2012-13 as per GASB 63</t>
  </si>
  <si>
    <t xml:space="preserve">   Accum dec in fair value hedg deriv</t>
  </si>
  <si>
    <t>Accum Decrease in Fair Value Hedging Derivatives</t>
  </si>
  <si>
    <t>New account title for FY 2012-13</t>
  </si>
  <si>
    <t xml:space="preserve">  Deferred loss on refunding</t>
  </si>
  <si>
    <t>New caption FY 2013-14</t>
  </si>
  <si>
    <t>DEF LOSS ON REFUNDING BOND</t>
  </si>
  <si>
    <t>New account FY 2013-14</t>
  </si>
  <si>
    <t xml:space="preserve">  Forward funded state aid</t>
  </si>
  <si>
    <t>Forward funded state aid</t>
  </si>
  <si>
    <t xml:space="preserve">  Excess consideration provided for acqusition</t>
  </si>
  <si>
    <t>New caption FY 2014-15</t>
  </si>
  <si>
    <t>Excss cons prov for aqstn</t>
  </si>
  <si>
    <t xml:space="preserve">    Deferred outflows for ARO</t>
  </si>
  <si>
    <t>New caption FY 2018-19</t>
  </si>
  <si>
    <t>Def outflows for ARO</t>
  </si>
  <si>
    <t>New account FY 2018-19</t>
  </si>
  <si>
    <t xml:space="preserve">    Deferred outflows for Pensions</t>
  </si>
  <si>
    <t>Def outflows for Pensions</t>
  </si>
  <si>
    <t xml:space="preserve">    Deferred outflows for OPEB</t>
  </si>
  <si>
    <t>New caption FY 2017-2018</t>
  </si>
  <si>
    <t>DEF OUTFLOWS FOR OPEB</t>
  </si>
  <si>
    <t>NEW ACCT FY2017-2018</t>
  </si>
  <si>
    <t xml:space="preserve">  Deferred outflows - Other</t>
  </si>
  <si>
    <t>OTH DEF OUTFLOW OF RESRCS</t>
  </si>
  <si>
    <t>TOTAL DEFERRED OUTFLOWS OF RESOURCES</t>
  </si>
  <si>
    <t>UNCLASSIFIED ASSETS</t>
  </si>
  <si>
    <t>None at this time.</t>
  </si>
  <si>
    <t>Valid asset accts that must be zero at year-end</t>
  </si>
  <si>
    <t>UNIV INTRA REC-UNREST CUR</t>
  </si>
  <si>
    <t>moved from unclass for 2005-2006</t>
  </si>
  <si>
    <t>UNIV INTRA REC-PROPRIET</t>
  </si>
  <si>
    <t>UNIV INTRA REC-RESTR CUR</t>
  </si>
  <si>
    <t>UNIV INTRA REC-LOAN</t>
  </si>
  <si>
    <t>UNIV INTRA REC-ENDOWMENT</t>
  </si>
  <si>
    <t>UNIV INTRA REC-AGENCY</t>
  </si>
  <si>
    <t>UNIV INTRA REC-UNEXP PLNT</t>
  </si>
  <si>
    <t>UNIV INTRA REC-DEBT SVC</t>
  </si>
  <si>
    <t>UNIV INTRA REC-INV PLNT</t>
  </si>
  <si>
    <t>INVALID Asset Accounts</t>
  </si>
  <si>
    <t>Beginning 6/30/02</t>
  </si>
  <si>
    <t>TAXES RECEIVABLE</t>
  </si>
  <si>
    <t>ALLOW-DOUBT ACCT-TAX REV</t>
  </si>
  <si>
    <t>UNIV INTER RECEIVABLE</t>
  </si>
  <si>
    <t>Moved to invalid in FY 2011-12</t>
  </si>
  <si>
    <t>11419100</t>
  </si>
  <si>
    <t>UNIV INTER REC-UNREST CUR</t>
  </si>
  <si>
    <t>UNIV INTER REC-PROPRIET</t>
  </si>
  <si>
    <t>UNIV INTER REC-RESTR CUR</t>
  </si>
  <si>
    <t>UNIV INTER REC-LOAN FUND</t>
  </si>
  <si>
    <t>UNIV INTER REC-ENDOWMENT</t>
  </si>
  <si>
    <t>UNIV INTER REC-AGENCY FND</t>
  </si>
  <si>
    <t>UNIV INTER REC-UNEXP PLNT</t>
  </si>
  <si>
    <t>UNIV INTER REC-DEBT SVCE</t>
  </si>
  <si>
    <t>UNIV INTER REC-INV PLANT</t>
  </si>
  <si>
    <t>Due from Debt Svce Fund</t>
  </si>
  <si>
    <t>GOV INTRA REC-EXP TRUST</t>
  </si>
  <si>
    <t>GOV INTRA REC-NONEXP TRST</t>
  </si>
  <si>
    <t>GOV INTER REC-EXP TRUST</t>
  </si>
  <si>
    <t>Due from Nonexp Trst Fund</t>
  </si>
  <si>
    <t>BOND ISSUANCE COST</t>
  </si>
  <si>
    <t>Moved to Invalid FY 2014</t>
  </si>
  <si>
    <t>Amt Provided for LTD Retire.</t>
  </si>
  <si>
    <t>Deferred Outflow - Current</t>
  </si>
  <si>
    <t>New acct for 2009-10 - GASB 53. Moved to Invalid FY 2012-13</t>
  </si>
  <si>
    <t>POOL INV-ST INVESTMT POOL</t>
  </si>
  <si>
    <t>New for  FY15. For State Treasurer use only</t>
  </si>
  <si>
    <t>Advances to Debt Svc Fund</t>
  </si>
  <si>
    <t>Advances to Exp Trust Fnd</t>
  </si>
  <si>
    <t>Advances Nonexp Trst Fnd</t>
  </si>
  <si>
    <t>Advances Prim Gov Agcy-NC</t>
  </si>
  <si>
    <t>ACCUMULATED AMORTIZATION - EASEMENTS</t>
  </si>
  <si>
    <t>AMT AVAIL/PROV GLT DEBT</t>
  </si>
  <si>
    <t>New acct beginning 6/30/02; for governmental only, will be invalid for proprietary</t>
  </si>
  <si>
    <t>AMT AVAIL-GENERAL FUND</t>
  </si>
  <si>
    <t>AMT AVAIL-DEBT SVC FUND</t>
  </si>
  <si>
    <t>Amt Avail In Exp Trst Fnd</t>
  </si>
  <si>
    <t>AMT AVAIL-CAP IMPROV FUND</t>
  </si>
  <si>
    <t>AMT AVAIL-SPEC REV FUND</t>
  </si>
  <si>
    <t>AMT PROV GLT DEBT-GENERAL</t>
  </si>
  <si>
    <t>Amt to be Prov-Debt Svce</t>
  </si>
  <si>
    <t>AMT PROV GLT DEBT-EXP TRS</t>
  </si>
  <si>
    <t>Amt to be Prov-Cap Imp</t>
  </si>
  <si>
    <t>AMT PROV GLT DEBT-SPC REV</t>
  </si>
  <si>
    <t>AMT PROVIDED-GLT NONEXPEN</t>
  </si>
  <si>
    <t>GOODWILL</t>
  </si>
  <si>
    <t>BOND ISSUANCE COST-NONCUR</t>
  </si>
  <si>
    <t>Moved in FY 2013-14</t>
  </si>
  <si>
    <t>OTHER NON-CURRENT ASSETS</t>
  </si>
  <si>
    <t>moved to invalid 7/30/2002</t>
  </si>
  <si>
    <t>Clearing Accounts</t>
  </si>
  <si>
    <t>Includes accounts 113800XXX plus the ones below.</t>
  </si>
  <si>
    <t>RECEIVABLES CLEARING</t>
  </si>
  <si>
    <t>DUE FROM CAP IMP FUND</t>
  </si>
  <si>
    <t>FEDERAL FUNDS REC CLRING</t>
  </si>
  <si>
    <t>OTHER CON/GRANT REC CLEAR</t>
  </si>
  <si>
    <t>LIABILITIES:</t>
  </si>
  <si>
    <t xml:space="preserve">        Accounts payable &amp; accrued liabilities:</t>
  </si>
  <si>
    <t xml:space="preserve">   Accounts payable</t>
  </si>
  <si>
    <t>ACCOUNTS PAYABLE</t>
  </si>
  <si>
    <t>DUE TO EMPLOYEES</t>
  </si>
  <si>
    <t>PRIZE LIABILITY</t>
  </si>
  <si>
    <t>LOW TIER PRIZE LIABILITY</t>
  </si>
  <si>
    <t>PRIZE LIABILITY - ROLLOVER</t>
  </si>
  <si>
    <t>PRIZE LIABILITY - BREAKAGE</t>
  </si>
  <si>
    <t>PAYROLL GARNISHMENT PAY</t>
  </si>
  <si>
    <t>ACCR-SALES TAX PAYABLE</t>
  </si>
  <si>
    <t>DMV ACCR-SALES TAX PAY</t>
  </si>
  <si>
    <t>FED 1099 WITHHOLDING PAY</t>
  </si>
  <si>
    <t>ST NONRESIDENT WITHHOLD</t>
  </si>
  <si>
    <t>FED/ST 1099 NONRES WITHLD</t>
  </si>
  <si>
    <t>NONRESIDENT ALIEN WITHLD</t>
  </si>
  <si>
    <t>NEW ACCT for FY 2004-2005</t>
  </si>
  <si>
    <t>1099 FED WITHHOLDING NONRESIDENT ALIEN WITHLD</t>
  </si>
  <si>
    <t>NEW ACCT for FY 2006-2007</t>
  </si>
  <si>
    <t>ESCHEATS PAYABLE</t>
  </si>
  <si>
    <t>OTH LIABILITIES-ACCRUED</t>
  </si>
  <si>
    <t>INVESTMT DERIV LIAB-CURR</t>
  </si>
  <si>
    <t>NEW ACCT for FY 2009-2010</t>
  </si>
  <si>
    <t>DEP PAY-CONTR RETAINAGE</t>
  </si>
  <si>
    <t>NEW PLACEMENT ON 11P</t>
  </si>
  <si>
    <t xml:space="preserve">     Accrued payroll</t>
  </si>
  <si>
    <t>ACCR-SALARY &amp; WAGES</t>
  </si>
  <si>
    <t>W/HOLD &amp; EMPLOY MATCH PAY</t>
  </si>
  <si>
    <t xml:space="preserve">     Intergovernmental payables</t>
  </si>
  <si>
    <t>INTERGOV PAY-LOCAL GOV</t>
  </si>
  <si>
    <t>LIAB RESV-SALES &amp; USE TAX</t>
  </si>
  <si>
    <t>INTERGOV PAY-FED AGENCY</t>
  </si>
  <si>
    <t>PAYABLES TO OTHER STATES</t>
  </si>
  <si>
    <t>NEW ACCT for FY 2010-2011</t>
  </si>
  <si>
    <t>LIAB RESV FOR WHITE GOODS</t>
  </si>
  <si>
    <t>LIAB RESV FOR SCRAP TIRE</t>
  </si>
  <si>
    <t>LIAB RESV-BEVERAGE TAX</t>
  </si>
  <si>
    <t>Liab Reserve-Franchise Tx</t>
  </si>
  <si>
    <t xml:space="preserve">   Premium tax credit payable</t>
  </si>
  <si>
    <t>PREMIUM TAX CREDIT PAY-ST</t>
  </si>
  <si>
    <t xml:space="preserve">     Due to plan participants</t>
  </si>
  <si>
    <t>DUE TO DEFER COMP PARTIC</t>
  </si>
  <si>
    <t xml:space="preserve">     Claims payable</t>
  </si>
  <si>
    <t>ESCHEATS REFUNDS PAY</t>
  </si>
  <si>
    <t>CLAIMS PAY-OTH ASSISTANCE</t>
  </si>
  <si>
    <t>Unemployment benefits payable</t>
  </si>
  <si>
    <t>CLAIMS PAY-UNEMPLOYMENT</t>
  </si>
  <si>
    <t>Due to fiduciary funds</t>
  </si>
  <si>
    <t>GOV INTRA PAY-PENS TRST</t>
  </si>
  <si>
    <t>GOV INTRA PAY-AGENCY</t>
  </si>
  <si>
    <t>GOV INTRA PAY-PRIV PUR TR</t>
  </si>
  <si>
    <t>GOV INTER PAY-PENS TRST</t>
  </si>
  <si>
    <t>GOV INTER PAY-AGENCY</t>
  </si>
  <si>
    <t>GOV INTER PAY-PRIV PUR TR</t>
  </si>
  <si>
    <t>Due to other funds</t>
  </si>
  <si>
    <t>GOV INTRA PAY-GENERAL</t>
  </si>
  <si>
    <t>GOV INTRA PAY-SPECIAL REV</t>
  </si>
  <si>
    <t>GOV INTRA PAY-CAP IMPROV</t>
  </si>
  <si>
    <t>GOV INTRA PAY-ENTERPRISE</t>
  </si>
  <si>
    <t>GOV INTRA PAY-INTERN SVC</t>
  </si>
  <si>
    <t>GOV INTRA PAY-PERMANENT</t>
  </si>
  <si>
    <t>GOV INTER PAY-GENERAL</t>
  </si>
  <si>
    <t>GOV INTER PAY-SPECIAL REV</t>
  </si>
  <si>
    <t>GOV INTER PAY-CAP IMPROV</t>
  </si>
  <si>
    <t>GOV INTER PAY-ENTERPRISE</t>
  </si>
  <si>
    <t>GOV INTER PAY-INTERN SVC</t>
  </si>
  <si>
    <t>GOV INTER PAY-PERMANENT</t>
  </si>
  <si>
    <t>Due to component units</t>
  </si>
  <si>
    <t>DUE TO ST OF NC COMPONENT UNITS</t>
  </si>
  <si>
    <t>title changed for FY 2003-2004</t>
  </si>
  <si>
    <t>Due to agency/institution component units</t>
  </si>
  <si>
    <t>DUE TO AG/INSTITUTION COMPONENT UNITS</t>
  </si>
  <si>
    <t>Due to primary government</t>
  </si>
  <si>
    <t>DUE TO PRIMARY GOV AGENCY</t>
  </si>
  <si>
    <t>Obligations under reverse repo agre</t>
  </si>
  <si>
    <t>OBL UNDER RVRSE PUR AGREE</t>
  </si>
  <si>
    <t>Obligation under securities lending</t>
  </si>
  <si>
    <t>OBL UNDER SECUR LEND TRAN</t>
  </si>
  <si>
    <t>Hedging deriv liab -Curr</t>
  </si>
  <si>
    <t>Notes from Direct Borrowings *</t>
  </si>
  <si>
    <t>NOTES FROM DIRECT BORROWINGS</t>
  </si>
  <si>
    <t xml:space="preserve">* For the Statewide ACFR -Rolls to Long Term Liabilities Due within 1 year for CU and GW </t>
  </si>
  <si>
    <t>New FY2020</t>
  </si>
  <si>
    <t>Lease liability *</t>
  </si>
  <si>
    <t>LEASE LIABILITY</t>
  </si>
  <si>
    <t>New in FY2022 and Name Change FY2023</t>
  </si>
  <si>
    <t>SBITA liability</t>
  </si>
  <si>
    <t>SBITA LIABILITY</t>
  </si>
  <si>
    <t>New acct FY2023</t>
  </si>
  <si>
    <t>PPP liability</t>
  </si>
  <si>
    <t>PPP LIABILITY</t>
  </si>
  <si>
    <t>Medical claims payable</t>
  </si>
  <si>
    <t>CLAIMS PAY-MEDICAL</t>
  </si>
  <si>
    <t>Liability insurance trust fund payable *</t>
  </si>
  <si>
    <t>LIAB INS  TRUST FD PAY-CUR</t>
  </si>
  <si>
    <t>Revolving line of credit payable</t>
  </si>
  <si>
    <t>Revolving line of credit</t>
  </si>
  <si>
    <t>Commercial paper payable</t>
  </si>
  <si>
    <t>Bond anticipation notes payable</t>
  </si>
  <si>
    <t>Bonds &amp; similar debt payable *</t>
  </si>
  <si>
    <t>See below.* For the statewide ACFR -Rolls to Long Term Liabilities Due within 1 year for CU and GW</t>
  </si>
  <si>
    <t>REVENUE BONDS PAYABLE</t>
  </si>
  <si>
    <t>GRANT ANTICIPATION REVENUE BONDS PAYABLE-CURRENT</t>
  </si>
  <si>
    <t>NEW ACCT for FY 2012-13</t>
  </si>
  <si>
    <t>DIRECT PLACEMENTS</t>
  </si>
  <si>
    <t>NEW ACCT FOR FY 2020</t>
  </si>
  <si>
    <t>CERTIF OF PARTICIPA PAYAB</t>
  </si>
  <si>
    <t>NEW ACCT FOR FY 2003-2004</t>
  </si>
  <si>
    <t>LIMITED OBLIGATION BONDS PAYABLE - CURRENT</t>
  </si>
  <si>
    <t>New account for FY 2014-15</t>
  </si>
  <si>
    <t>.  Matured Interest Payable</t>
  </si>
  <si>
    <t>MATURED INTEREST PAYABLE</t>
  </si>
  <si>
    <t>.  Accrued Interest Payable</t>
  </si>
  <si>
    <t>ACCRUED INTEREST PAYABLE</t>
  </si>
  <si>
    <t>DEP PAY-FEDERAL GOV</t>
  </si>
  <si>
    <t>N.C. Funds and Govt Units</t>
  </si>
  <si>
    <t>DEP PAY-PATIENT DEPOSITS</t>
  </si>
  <si>
    <t>DEP PAY-STUDENT DEPOSITS</t>
  </si>
  <si>
    <t>DEP PAY-TENANTS DEPOSIT</t>
  </si>
  <si>
    <t>FUNDS HELD FOR OTHERS</t>
  </si>
  <si>
    <t>Arbitrage rebate payable *</t>
  </si>
  <si>
    <t>See below.(moved from under A/P to separate caption)</t>
  </si>
  <si>
    <t>ARBITRAGE REBATE PAYABLE</t>
  </si>
  <si>
    <t>Obligation for Workers comp - Current *</t>
  </si>
  <si>
    <t>See below. New Caption FY 2013-14</t>
  </si>
  <si>
    <t>OBLIG FOR WORKERS COMP</t>
  </si>
  <si>
    <t>* For the Statewide ACFR -Rolls to Long Term Liabilities Due within 1 year for CU and GW. Moved from Accounts payable for FY 2013-14.</t>
  </si>
  <si>
    <t>Annuity &amp; life income payable *</t>
  </si>
  <si>
    <t>ANNUITY &amp; LIFE INCOME PAYABLE</t>
  </si>
  <si>
    <t>Federal unemployment acct advances</t>
  </si>
  <si>
    <t xml:space="preserve">  Fed unemploy acct advances- current</t>
  </si>
  <si>
    <t>New caption FY 2010-2011</t>
  </si>
  <si>
    <t>Federal unemployment accounts -current</t>
  </si>
  <si>
    <t>Pollution Remediation *</t>
  </si>
  <si>
    <t xml:space="preserve">Pollution Remediation Payable - Current </t>
  </si>
  <si>
    <t xml:space="preserve">New Account FY 2008-2009. </t>
  </si>
  <si>
    <t>Asset Retirement Obligation*</t>
  </si>
  <si>
    <t>Asset Retirement Obligation - Current</t>
  </si>
  <si>
    <t>New Account FY 2018-2019</t>
  </si>
  <si>
    <t>Accrued vacation leave *</t>
  </si>
  <si>
    <t>ACCRUED VACATION</t>
  </si>
  <si>
    <t>See below.  Changed from Deferred Rev caption for 2005-2006.</t>
  </si>
  <si>
    <t>UNEARNED REVENUE</t>
  </si>
  <si>
    <t>UNEARNED INSURANCE PREM</t>
  </si>
  <si>
    <t>Net OPEB Liabilities</t>
  </si>
  <si>
    <t>NET OPEB LIABILITY</t>
  </si>
  <si>
    <t>Total Current Liabilities</t>
  </si>
  <si>
    <t>ACCTS PAYABLE-NON CURR</t>
  </si>
  <si>
    <t>OTHER PAYABLES-NON CURR</t>
  </si>
  <si>
    <t>INVEST DERIV LIAB NONCURR</t>
  </si>
  <si>
    <t xml:space="preserve">   Death benefit payable</t>
  </si>
  <si>
    <t>See below. Caption title updated FY 2014</t>
  </si>
  <si>
    <t>DEATH BEN PAYABLE</t>
  </si>
  <si>
    <t>Account title updated FY 2014</t>
  </si>
  <si>
    <t>PREMIUM TAX CREDIT PAY-LT</t>
  </si>
  <si>
    <t xml:space="preserve">   Intergovernmental payables</t>
  </si>
  <si>
    <t xml:space="preserve">See below </t>
  </si>
  <si>
    <t>INTERGOV PAY-FED-NONCURR</t>
  </si>
  <si>
    <t xml:space="preserve">   Claims payable</t>
  </si>
  <si>
    <t>Other Assist Claims Pay</t>
  </si>
  <si>
    <t>Unemployment Claims Pay</t>
  </si>
  <si>
    <t>No accounts roll to this caption currently.</t>
  </si>
  <si>
    <t>( Blank )</t>
  </si>
  <si>
    <t>Advances from primary government</t>
  </si>
  <si>
    <t>ADV FROM PRIM GOV AGENCY</t>
  </si>
  <si>
    <t>Advance from Other funds</t>
  </si>
  <si>
    <t>Advances From Cap Imp Fnd</t>
  </si>
  <si>
    <t>Advances From Enterp Fund</t>
  </si>
  <si>
    <t>Advances From Int Svc Fnd</t>
  </si>
  <si>
    <t>Advances From Agency Fund</t>
  </si>
  <si>
    <t>Advances from component units</t>
  </si>
  <si>
    <t>Advances from Comp Units</t>
  </si>
  <si>
    <t>Contracts payable</t>
  </si>
  <si>
    <t>( blank )</t>
  </si>
  <si>
    <t>HEDGING DERIV LIAB-NONCURR</t>
  </si>
  <si>
    <t>NOTES FROM DIRECT BORROWINGS - NONCURRENT</t>
  </si>
  <si>
    <t xml:space="preserve">* For the Statewide ACFR -Rolls to Long Term Liabilities Due in more than one year for CU and GW </t>
  </si>
  <si>
    <t>LEASES LIABILITY</t>
  </si>
  <si>
    <t>SBITA liability*</t>
  </si>
  <si>
    <t>SBITA LIABILITY-NON CURR</t>
  </si>
  <si>
    <t>PPP liability*</t>
  </si>
  <si>
    <t>PPP LIABILITY-NON CURR</t>
  </si>
  <si>
    <t>New acct FY2024</t>
  </si>
  <si>
    <t>CLAIMS PAYABLE-MEDICAL</t>
  </si>
  <si>
    <t>LIAB INS  TRUST FD PAY-NONCUR</t>
  </si>
  <si>
    <t>GENERAL OBLIGATION BONDS PAYABLE</t>
  </si>
  <si>
    <t>LSE-PURCH REV BNDS PAYABLE</t>
  </si>
  <si>
    <t>GRANT ANTIC REV BONDS PAY</t>
  </si>
  <si>
    <t>NEW ACCT FOR FY 2006-2007</t>
  </si>
  <si>
    <t>DIRECT PLACEMENTS-NONCURRENT</t>
  </si>
  <si>
    <t>CERTIFICATES OF PARTICIPATION PAYABLE</t>
  </si>
  <si>
    <t>LIMITED OBLIGATION BONDS PAYABLE</t>
  </si>
  <si>
    <t>UNAMORT DISC ON BONDS PAY</t>
  </si>
  <si>
    <t>UNAMORT PREM ON BONDS PAY</t>
  </si>
  <si>
    <t>acct title change 7/12/02</t>
  </si>
  <si>
    <t>DEEP DISCOUNT DEBT</t>
  </si>
  <si>
    <t>Accrued Interest Payable</t>
  </si>
  <si>
    <t>NEW ACCT for FY 2014-15</t>
  </si>
  <si>
    <t>Federal Government</t>
  </si>
  <si>
    <t>Patient Deposits</t>
  </si>
  <si>
    <t>Tenants Deposits</t>
  </si>
  <si>
    <t>Due to Defd Comp Plan Par</t>
  </si>
  <si>
    <t>FNDS HLD TRUST POOL PARTI</t>
  </si>
  <si>
    <t>See below. (moved from under A/P to separate caption)</t>
  </si>
  <si>
    <t xml:space="preserve">* For the Statewide ACFR -Rolls to Long Term Liabilities Due in more than one year for CU and GW. </t>
  </si>
  <si>
    <t>Oblig for Workers Comp</t>
  </si>
  <si>
    <t>OBLIG FOR WORKER COMP</t>
  </si>
  <si>
    <t xml:space="preserve">* For the Statewide ACFR -Rolls to Long Term Liabilities Due in more than one year for CU and GW. Moved from Claims payable for FY 2013-14. </t>
  </si>
  <si>
    <t>Fed unemploy acct advances- noncurr</t>
  </si>
  <si>
    <t xml:space="preserve"> Federal unemployment accounts -noncurrent</t>
  </si>
  <si>
    <t>New account FY-2010-2011</t>
  </si>
  <si>
    <t>Pollution Remediation Payable - NonCurrent</t>
  </si>
  <si>
    <t>Asset Retirement Obligation *</t>
  </si>
  <si>
    <t>Asset Retirement Obligation - NonCurrent</t>
  </si>
  <si>
    <t>UNEARNED REVENUE - NONCURRENT</t>
  </si>
  <si>
    <t>NEW ACCOUNT FOR FY 2016-2017</t>
  </si>
  <si>
    <t>See below. New caption for FY 2014-2015</t>
  </si>
  <si>
    <t>Net pension liab - Noncur</t>
  </si>
  <si>
    <t>* For the Statewide ACFR -Rolls to Long Term Liabilities Due in more than one year for CU and GW . New account for FY 2014-15</t>
  </si>
  <si>
    <t>See below. New caption for FY 2017-2018</t>
  </si>
  <si>
    <t>NET OPEB LIABILITY - NONCURRENT</t>
  </si>
  <si>
    <t>* For the Statewide ACFR -Rolls to Long Term Liabilities Due in more than one year for CU and GW . New account for FY 2017-18</t>
  </si>
  <si>
    <t>Total Non-Current Liabilities</t>
  </si>
  <si>
    <t>TOTAL LIABILITIES</t>
  </si>
  <si>
    <t>Moved caption after liabilities in FY 2012-13 as per GASB 63</t>
  </si>
  <si>
    <t xml:space="preserve">   Accum incr in fair value hedg deriv</t>
  </si>
  <si>
    <t>ACCUM INCR FV HEDG DERIV</t>
  </si>
  <si>
    <t>NEW ACCT title for FY 2012-13</t>
  </si>
  <si>
    <t>DEF INFLOWS FOR PPP ARRAGEMENTS</t>
  </si>
  <si>
    <t>DEF INFLOWS FOR PPP ARRANGEMENTS</t>
  </si>
  <si>
    <t>Account title changed for FY 2023</t>
  </si>
  <si>
    <t xml:space="preserve">  Deferred Gain on refunding</t>
  </si>
  <si>
    <t>New caption for FY 2013-14</t>
  </si>
  <si>
    <t>DEF GAIN ON REFUNDNG BOND</t>
  </si>
  <si>
    <t>New account for  FY 2013-14</t>
  </si>
  <si>
    <t xml:space="preserve">  Deferred inflows - nonexchange transactions</t>
  </si>
  <si>
    <t>DEF INFLOW-NONEXCH TXNS</t>
  </si>
  <si>
    <t>New account for FY 2013-14</t>
  </si>
  <si>
    <t xml:space="preserve">  Deferred State aid</t>
  </si>
  <si>
    <t xml:space="preserve">  Deferred Inflows for Pensions</t>
  </si>
  <si>
    <t>New caption for FY 2014-15</t>
  </si>
  <si>
    <t>Def inflows for Pensions</t>
  </si>
  <si>
    <t xml:space="preserve">  Deferred Inflows for OPEB</t>
  </si>
  <si>
    <t>New caption for FY 2017-2018</t>
  </si>
  <si>
    <t>DEF INFLOWS FOR OPEB</t>
  </si>
  <si>
    <t xml:space="preserve">  Deferred Inflow for Irrevocable Split-Interest Agreement</t>
  </si>
  <si>
    <t>DEFERRED INFLOW OF IRREVOCABLE SPLIT-INTEREST AGRMNT</t>
  </si>
  <si>
    <t xml:space="preserve">  Deferred inflows - other</t>
  </si>
  <si>
    <t>OTH DEF INFLOW OF RESRCS</t>
  </si>
  <si>
    <t xml:space="preserve">  Deferred inflows Lease Agreements</t>
  </si>
  <si>
    <t>DEFERRED INFLOWS FOR LEASE AGREEMENTS</t>
  </si>
  <si>
    <t>New Account FY2022</t>
  </si>
  <si>
    <t>TOTAL DEFERRED INFLOWS OF RESOURCES</t>
  </si>
  <si>
    <t>UNCLASSIFIED LIABILITIES</t>
  </si>
  <si>
    <t>Valid liability accts that must be zero at year-end</t>
  </si>
  <si>
    <t>UNIV INTRA PAY-UNREST CUR</t>
  </si>
  <si>
    <t>UNIV INTRA PAY-PROPRI</t>
  </si>
  <si>
    <t>UNIV INTRA PAY-RESTR CUR</t>
  </si>
  <si>
    <t>UNIV INTRA PAY-LOAN</t>
  </si>
  <si>
    <t>UNIV INTRA PAY-ENDOWMENT</t>
  </si>
  <si>
    <t>UNIV INTRA PAY-AGENCY</t>
  </si>
  <si>
    <t>UNIV INTRA PAY-UNEXP PLNT</t>
  </si>
  <si>
    <t>UNIV INTRA PAY-DEBT SVC</t>
  </si>
  <si>
    <t>UNIV INTRA PAY-INV/PLANT</t>
  </si>
  <si>
    <t>INVALID Liability Accounts</t>
  </si>
  <si>
    <t>Liab resv for Solid waste</t>
  </si>
  <si>
    <t>TAX REFUNDS PAYABLE</t>
  </si>
  <si>
    <t>AP ACCRUAL CLEARING</t>
  </si>
  <si>
    <t>moved from clearing accounts 2005-2006</t>
  </si>
  <si>
    <t>UNIV INTER PAYABLE</t>
  </si>
  <si>
    <t>UNIV INTER PAY-UNREST CUR</t>
  </si>
  <si>
    <t>UNIV INTER PAY-PROPRI</t>
  </si>
  <si>
    <t>UNIV INTER PAY-RESTR CUR</t>
  </si>
  <si>
    <t>UNIV INTER PAY-LOAN</t>
  </si>
  <si>
    <t>UNIV INTER PAY-ENDOWMENT</t>
  </si>
  <si>
    <t>UNIV INTER PAY-AGENCY</t>
  </si>
  <si>
    <t>UNIV INTER PAY-UNEX PLANT</t>
  </si>
  <si>
    <t>UNIV INTER PAY-DEBT SVC</t>
  </si>
  <si>
    <t>UNIV INTER PAY-INV PLANT</t>
  </si>
  <si>
    <t>GOV INTRA PAY-DEBT SVC</t>
  </si>
  <si>
    <t>GOV INTRA PAY-EXP TRUST</t>
  </si>
  <si>
    <t>GOV INTRA PAY-NONEXP TRST</t>
  </si>
  <si>
    <t>Due To Debt Service Fund</t>
  </si>
  <si>
    <t>GOV INTER PAY-EXP TRUST</t>
  </si>
  <si>
    <t>Due To Nonexp Trust Fund</t>
  </si>
  <si>
    <t>BENEFIT PAY-PENSION</t>
  </si>
  <si>
    <t>State Retirement Sys Pay</t>
  </si>
  <si>
    <t>DISCNT/PREM ON BONDS PAY</t>
  </si>
  <si>
    <t>use noncurrent acct 22611000</t>
  </si>
  <si>
    <t>UNDERWRITERS FEES</t>
  </si>
  <si>
    <t>use noncurrent acct 22612000</t>
  </si>
  <si>
    <t>DEF CHRGE DUE TO ADV REF</t>
  </si>
  <si>
    <t>use noncurrent bonds payable accts 2261XXXX</t>
  </si>
  <si>
    <t>22614000</t>
  </si>
  <si>
    <t>Deep Discount Debt</t>
  </si>
  <si>
    <t>MATURED BONDS PAYABLE</t>
  </si>
  <si>
    <t>Unmatured Bonds Payable</t>
  </si>
  <si>
    <t>INV TRUST DISTRIBUTIONS</t>
  </si>
  <si>
    <t>proprietary funds should not use/have this acct.(7/22/02)</t>
  </si>
  <si>
    <t>use noncurrent acct 22719100</t>
  </si>
  <si>
    <t>DEF REV-UNAVAIL CURR PER</t>
  </si>
  <si>
    <t>moved from Unearned Rev 2005-2006</t>
  </si>
  <si>
    <t>OTHER DEFERRED CREDITS</t>
  </si>
  <si>
    <t>Moved for FY 2013-14</t>
  </si>
  <si>
    <t>OTHER CURRENT LIABILITIES</t>
  </si>
  <si>
    <t>Deferred Inflow - Current</t>
  </si>
  <si>
    <t>NEW ACCT for FY 2009-2010. Invalid for FY-2012-2013</t>
  </si>
  <si>
    <t>Advances From Dbt Svc Fnd</t>
  </si>
  <si>
    <t>Not used since GASB 34</t>
  </si>
  <si>
    <t>Advances Exp Trst Fund</t>
  </si>
  <si>
    <t>UNAMORT CHARGE-REFUNDING BONDS</t>
  </si>
  <si>
    <t>OTHER NON-CURRENT LIAB</t>
  </si>
  <si>
    <t>Includes account 213800XX plus the ones below.</t>
  </si>
  <si>
    <t>CENTRAL PAYROLL CLEARING</t>
  </si>
  <si>
    <t>ELECTRONIC PAYABLES CLEAR</t>
  </si>
  <si>
    <t>PAYROLL BENEFITS PAYABLES CLEAR</t>
  </si>
  <si>
    <t>PROCUREMENT CARD CLEARING</t>
  </si>
  <si>
    <t>A/P RECOVERY CLEARING</t>
  </si>
  <si>
    <t>SET OFF DEBT CLEARING</t>
  </si>
  <si>
    <t>HEALTH BENEFITS PAYABLE</t>
  </si>
  <si>
    <t>FED CONT/GRANT PAY CLEAR</t>
  </si>
  <si>
    <t>OTHER CONT/GRANT PAY CLEA</t>
  </si>
  <si>
    <t>2138AA</t>
  </si>
  <si>
    <t>21381000</t>
  </si>
  <si>
    <t>PAYABLES CLEARING</t>
  </si>
  <si>
    <t>NET POSITION</t>
  </si>
  <si>
    <t>Change in title for FY2012-13</t>
  </si>
  <si>
    <t>Net Position Adjustments</t>
  </si>
  <si>
    <t>See below</t>
  </si>
  <si>
    <t>RESTATEMENT-NET POSITION</t>
  </si>
  <si>
    <t>Revenue/expense summaries</t>
  </si>
  <si>
    <t>PRIOR YEAR REV/EXP SUM</t>
  </si>
  <si>
    <t>Curr Year Rev/Exp Summary</t>
  </si>
  <si>
    <t>TOTAL NET POSITION</t>
  </si>
  <si>
    <t>UNCLASSIFIED FUND EQUITY</t>
  </si>
  <si>
    <t>COMPANY CLOSING ACCOUNT</t>
  </si>
  <si>
    <t>should be zero at year-end</t>
  </si>
  <si>
    <t>SUSPENSE ACCOUNT</t>
  </si>
  <si>
    <t>98 SUSPENSE ACCOUNT</t>
  </si>
  <si>
    <t>INVALID Equity Accts</t>
  </si>
  <si>
    <t>CONTRIBUTED CAPITAL</t>
  </si>
  <si>
    <t>CONT CAPITAL-DONATE ASSET</t>
  </si>
  <si>
    <t>FUND BALANCE</t>
  </si>
  <si>
    <t>RESTATEMENT-FUND BAL</t>
  </si>
  <si>
    <t>32xxxx</t>
  </si>
  <si>
    <t>RESERVED BALANCES ( OLD REPORTING MODEL)</t>
  </si>
  <si>
    <t>RESV BAL-INVENTORIES</t>
  </si>
  <si>
    <t>RESV BAL-INVTY-VARIANCE</t>
  </si>
  <si>
    <t>RESV BAL-SPECIFIC ENCUM</t>
  </si>
  <si>
    <t>RESV BAL-CLEAN WATER PROJ</t>
  </si>
  <si>
    <t>RESV BAL-RETRE HLTH PREM</t>
  </si>
  <si>
    <t>RESV BAL-ENERGY CONSERV</t>
  </si>
  <si>
    <t>RESV BAL-MEDICAID</t>
  </si>
  <si>
    <t>RESV BAL-ADV FOR COM UNIT</t>
  </si>
  <si>
    <t>RESV BAL-SAVINGS</t>
  </si>
  <si>
    <t>RESV BAL-REPAIRS&amp;RENOV</t>
  </si>
  <si>
    <t>RESV BAL-DISPROP SHARE</t>
  </si>
  <si>
    <t>RESV BAL-VAC &amp; SICK LEAVE</t>
  </si>
  <si>
    <t>RESV BAL-NOTES REC</t>
  </si>
  <si>
    <t>RESV BAL-PUB SCHL BLDG</t>
  </si>
  <si>
    <t>RESV-CRIT SCHL FAC NEEDS</t>
  </si>
  <si>
    <t>RESV BAL-PREPAID EXPENSE</t>
  </si>
  <si>
    <t>RESV BAL-CAPITAL PROJECTS</t>
  </si>
  <si>
    <t>RESV BAL-CLAIMS/BENEFITS</t>
  </si>
  <si>
    <t>RESV BAL-LOAN &amp; GRANT COM</t>
  </si>
  <si>
    <t>RESV BAL-ABANDONED PROP</t>
  </si>
  <si>
    <t>RESV BAL-POLITICL PARTIES</t>
  </si>
  <si>
    <t>RESV BAL-WILDLIFE ENDOW</t>
  </si>
  <si>
    <t>RESV BAL-RETIREMENT SYS</t>
  </si>
  <si>
    <t>RES-WILDLIFE LT INTEREST</t>
  </si>
  <si>
    <t>RES-WILDLIFE ST INTEREST</t>
  </si>
  <si>
    <t>RES-WILDLIFE INTEREST EX</t>
  </si>
  <si>
    <t>RES-WILDLIFE TRANS YOUTH</t>
  </si>
  <si>
    <t>RES-CHEM ALCH TEST</t>
  </si>
  <si>
    <t>RES-CULTURAL RESOURCES</t>
  </si>
  <si>
    <t>RES-RESV FED RETIREE ADMIN.</t>
  </si>
  <si>
    <t>RESV FED RETIREE REFUND</t>
  </si>
  <si>
    <t>RESV CLEAN WATER MGMT.</t>
  </si>
  <si>
    <t>RESERVE FOR INVESTMENTS</t>
  </si>
  <si>
    <t>RESV BAL-INTANGIBLE TAX</t>
  </si>
  <si>
    <t>RESV BAL-RAILROAD</t>
  </si>
  <si>
    <t>RESV BAL-BAILEY &amp; EMORY</t>
  </si>
  <si>
    <t>RESERVE FOR WORK FIRST</t>
  </si>
  <si>
    <t>RESERVE FOR DPI ALLOCATIO</t>
  </si>
  <si>
    <t>RESERVE-WILDLIFE TRANS IN</t>
  </si>
  <si>
    <t>RESERVE FOR AQUARIUMS</t>
  </si>
  <si>
    <t>RESV FOR RAILROAD DIVIDENDS</t>
  </si>
  <si>
    <t>RESV BAL-OTHER RESERVED</t>
  </si>
  <si>
    <t>RESV BAL-MONTHLY ACCRUALS</t>
  </si>
  <si>
    <t>RESV BEG FUND BAL ADJUST</t>
  </si>
  <si>
    <t>RESTR FUND BALANCE</t>
  </si>
  <si>
    <t>RESTR BAL-LOANS</t>
  </si>
  <si>
    <t>RESTR BAL-ENDOWMENTS</t>
  </si>
  <si>
    <t>RESTR-REV BOND RETIREMENT</t>
  </si>
  <si>
    <t>RESTR FOR RESTR FUNDS</t>
  </si>
  <si>
    <t>RESTRICTED FOR UNEXP PLNT</t>
  </si>
  <si>
    <t>REST US GOV GRANTS REFUND</t>
  </si>
  <si>
    <t>RESTRICTED FOR TERM ENDOW</t>
  </si>
  <si>
    <t>RESTRICT FOR QUASI-ENDOWM</t>
  </si>
  <si>
    <t>REST ANNUITY LIFE INC FDS</t>
  </si>
  <si>
    <t>RESTRICT REPAIR &amp; REPLACE</t>
  </si>
  <si>
    <t>RESTR BEG FUND BAL ADJUST</t>
  </si>
  <si>
    <t>UNRESV-UNDESIG FUND BAL</t>
  </si>
  <si>
    <t>UNRESV-SUBSEQUENT YR EXP</t>
  </si>
  <si>
    <t>UNRES SAVINGS RESERVE</t>
  </si>
  <si>
    <t>DES REPAIRS &amp; RENOVATIONS</t>
  </si>
  <si>
    <t>DES CW MANAGEMNT TRUST FD</t>
  </si>
  <si>
    <t>DES DISPROPORTIONATE SHAR</t>
  </si>
  <si>
    <t>DES AQUARIUMS</t>
  </si>
  <si>
    <t>DES WORK FIRST</t>
  </si>
  <si>
    <t>DES CAPITAL PROJECTS</t>
  </si>
  <si>
    <t>DES RAILROAD DIVIDENDS</t>
  </si>
  <si>
    <t>DES INTANGIBLES RESERVE</t>
  </si>
  <si>
    <t>UNRSV BEG FUND BAL ADJUST</t>
  </si>
  <si>
    <t>UNRESTR-UNDESIG FUND BAL</t>
  </si>
  <si>
    <t>UNRESTR-SUBSEQUENT YR EXP</t>
  </si>
  <si>
    <t>UNRESTRICTED QUASI ENDOW</t>
  </si>
  <si>
    <t>UNRESTR-BEG FUND BAL ADJ</t>
  </si>
  <si>
    <t>RET EARN-AJD TO CSH REV</t>
  </si>
  <si>
    <t>RET EARN-AJD TO CSH EXP</t>
  </si>
  <si>
    <t>INVESTMENT IN PROPERTY</t>
  </si>
  <si>
    <t xml:space="preserve">Note: New accounts for current fiscal year can be found at </t>
  </si>
  <si>
    <t>https://www.osc.nc.gov/state-agency-resources/chart-accounts/ncas-chart-accounts</t>
  </si>
  <si>
    <t>ACCOUNT ROLL-UP FOR ACFR 53P</t>
  </si>
  <si>
    <t>UPDATED for FY 2024</t>
  </si>
  <si>
    <t>Note:  Not all captions on the ACFR 53P are included</t>
  </si>
  <si>
    <t>OPERATING REVENUES</t>
  </si>
  <si>
    <t>the accounts should roll for year-end reporting.</t>
  </si>
  <si>
    <t>SALES/SERVICES - BAD DEBT</t>
  </si>
  <si>
    <t>SALES/SERVICES-ALLOWANCE</t>
  </si>
  <si>
    <t>HOUSEHOLD/CLEANING SVC</t>
  </si>
  <si>
    <t>TRANSPORTATION SALES/SVC</t>
  </si>
  <si>
    <t>TELEPHONE/TELECOM SVC</t>
  </si>
  <si>
    <t>COMPUTER SALES &amp; SVC</t>
  </si>
  <si>
    <t>POSTGE,FRGHT &amp; DELIV SVC</t>
  </si>
  <si>
    <t>PRINT, BIND &amp; DUPLIC SVC</t>
  </si>
  <si>
    <t>OTHER COMMUNICATION SVC</t>
  </si>
  <si>
    <t>MAINTENANCE &amp; REPAIR SVC</t>
  </si>
  <si>
    <t>FOOD &amp; VENDING SVC</t>
  </si>
  <si>
    <t>PROFESSIONAL SERVICES</t>
  </si>
  <si>
    <t>UTILITY SALES &amp; SERVICES</t>
  </si>
  <si>
    <t>AGRICULT &amp; FORESTRY SVC</t>
  </si>
  <si>
    <t>OTHER SALES &amp; SERVICES</t>
  </si>
  <si>
    <t>UNIV/CC AUXILIARY SALES</t>
  </si>
  <si>
    <t>SALES COMMISSIONS</t>
  </si>
  <si>
    <t>SALE OF PUBLICATIONS</t>
  </si>
  <si>
    <t>OTH SALES OF GOODS</t>
  </si>
  <si>
    <t>LOTTERY TICKET SALES</t>
  </si>
  <si>
    <t>See below. Exceptions are 458110000 and 45800000 which are invalid</t>
  </si>
  <si>
    <t>4358XX</t>
  </si>
  <si>
    <t>Tuition &amp; fees</t>
  </si>
  <si>
    <t>HOSPITAL &amp; MEDICAL SALES</t>
  </si>
  <si>
    <t>HOSP/MED SALES-BAD DEBT</t>
  </si>
  <si>
    <t>CONTRACTUAL ADJUSTMENTS</t>
  </si>
  <si>
    <t>INDIGENT CARE WRITE-OFFS</t>
  </si>
  <si>
    <t>Employer contributions</t>
  </si>
  <si>
    <t>EMPLYER UNEMP INS CONTRIB</t>
  </si>
  <si>
    <t>FEDERAL APPROPRIATIONS</t>
  </si>
  <si>
    <t>Accounts 42700XXX</t>
  </si>
  <si>
    <t>State and local grants and contacts</t>
  </si>
  <si>
    <t>Accounts 42800XXX,42C00XXX</t>
  </si>
  <si>
    <t>Nongovernmental grants and contacts</t>
  </si>
  <si>
    <t>Accounts 42B00XXX</t>
  </si>
  <si>
    <t>INTEREST EARN ON LOANS-PROGRAM</t>
  </si>
  <si>
    <t>CONSTRUCTION PERIOD INT</t>
  </si>
  <si>
    <t>LOAN COLLECTION-INTEREST</t>
  </si>
  <si>
    <t>RENTAL OF REAL PROPERTY</t>
  </si>
  <si>
    <t>RENTAL OF EQUIPMENT</t>
  </si>
  <si>
    <t>RENTAL PARKING LOTS</t>
  </si>
  <si>
    <t>LEASE INCOME</t>
  </si>
  <si>
    <t>See below. Accts 45100XXX except for 458XXXXX, 45500005 to 45500008, 45500031, 45500118, 45590000, 45710000, 45711000 and 45900064.</t>
  </si>
  <si>
    <t>ELECTRON/DIGITAL TRAN FEE</t>
  </si>
  <si>
    <t>moved from Misc Rev 2005-2006</t>
  </si>
  <si>
    <t>RETURNED CHECK FEE</t>
  </si>
  <si>
    <t>UPPER PAYMENT LIMIT (UPL) HOSPITAL ASSESSMENTS</t>
  </si>
  <si>
    <t>New for FY 2011-2012</t>
  </si>
  <si>
    <t>EQUITY ASSESSMENTS</t>
  </si>
  <si>
    <t>PUB HOSP ENHANCED DEF PAY</t>
  </si>
  <si>
    <t>FINE/PENALTY/FORFEIT -TRANSFER</t>
  </si>
  <si>
    <t>New account for FY 2010-2011</t>
  </si>
  <si>
    <t>Toll revenue</t>
  </si>
  <si>
    <t>Toll receipts</t>
  </si>
  <si>
    <t>New for FY 2010-2011</t>
  </si>
  <si>
    <t>Toll receipts - bad debt</t>
  </si>
  <si>
    <t>Insurance premiums</t>
  </si>
  <si>
    <t>INSURANCE PREMIUMS</t>
  </si>
  <si>
    <t>LOAN COLLECTION-PRINCIPAL</t>
  </si>
  <si>
    <t>LIQU. DAMAGE COLLECTIONS</t>
  </si>
  <si>
    <t>REBATES</t>
  </si>
  <si>
    <t>PER DIEM COLLECTIONS</t>
  </si>
  <si>
    <t>PUBLIC ASSIST COLLECTIONS</t>
  </si>
  <si>
    <t>MED RECOUP NON-ST AGENCY</t>
  </si>
  <si>
    <t>PAYBACK SETTLEMENTS</t>
  </si>
  <si>
    <t>ACCTS REC INTEREST</t>
  </si>
  <si>
    <t>ACCTS REC PENALTY</t>
  </si>
  <si>
    <t>PROCUREMENT CARD REBATES</t>
  </si>
  <si>
    <t>NEW FOR FY 2008</t>
  </si>
  <si>
    <t>RESERVE TO BDGT REDUCTION</t>
  </si>
  <si>
    <t>OTHER MISC REVENUE-GRANT RELATED PROGRAM REVENUE</t>
  </si>
  <si>
    <t>NEW FOR FY 2014-15</t>
  </si>
  <si>
    <t>OTHER MISC REV-PROGRAM</t>
  </si>
  <si>
    <t>OTHER MISC REV-GENERAL</t>
  </si>
  <si>
    <t>UNCLASSIFIED REVENUES</t>
  </si>
  <si>
    <t>COUNTY APPROPRIATIONS</t>
  </si>
  <si>
    <t>will be analyzed, when used</t>
  </si>
  <si>
    <t>Valid rev accts that must be zero at year-end</t>
  </si>
  <si>
    <t>PROVIDER MATCH</t>
  </si>
  <si>
    <t>SALE OF LAND</t>
  </si>
  <si>
    <t>64 STATE ICF-MR ASSESSMENT CLEARING</t>
  </si>
  <si>
    <t>moved from fees for 2005-2006</t>
  </si>
  <si>
    <t>PROCEEDS-GENERAL OBLIGATION BONDS</t>
  </si>
  <si>
    <t>PROCEEDS - REVENUE BONDS</t>
  </si>
  <si>
    <t>PROCEEDS OF REFUND DEBT</t>
  </si>
  <si>
    <t>PROCEEDS-LEASES</t>
  </si>
  <si>
    <t>moved from unclass for 2005-2006; New acct title FY2022</t>
  </si>
  <si>
    <t>PROCEEDS-OTHER FINANCING</t>
  </si>
  <si>
    <t>BOND PREMIUM</t>
  </si>
  <si>
    <t>PROCEED-LSE PURCH REV BND</t>
  </si>
  <si>
    <t>PROCEEDS - GARVEE</t>
  </si>
  <si>
    <t>NEW FOR FY 2007-2008</t>
  </si>
  <si>
    <t>PROCEEDS-LIMITED OBLIGATION BONDS</t>
  </si>
  <si>
    <t>PROCEEDS -FEDERAL LOAN</t>
  </si>
  <si>
    <t>NEW FOR FY 2009-2010</t>
  </si>
  <si>
    <t>INDIRECT(OVERHD) COST REC</t>
  </si>
  <si>
    <t>moved from misc for 2006-2007</t>
  </si>
  <si>
    <t>RETIREMENT OF INDEBTEDNES</t>
  </si>
  <si>
    <t>moved from misc for 2005-2006</t>
  </si>
  <si>
    <t>PLANT FUND ADDITION-UNIV</t>
  </si>
  <si>
    <t>IMP/PETTY CASH RE-DEPOSIT</t>
  </si>
  <si>
    <t>INTERFUND BORROWING</t>
  </si>
  <si>
    <t>NEW FOR FY 2010-2011</t>
  </si>
  <si>
    <t>INTERFUND BORROWING REPAYMENT</t>
  </si>
  <si>
    <t>4389 PR</t>
  </si>
  <si>
    <t>IOR YEAR CARRYFORWARD</t>
  </si>
  <si>
    <t>moved from trf in for 2005-2006</t>
  </si>
  <si>
    <t>438RAA</t>
  </si>
  <si>
    <t>Transfer In- ARRA Billing Rate (should be zero for year end)</t>
  </si>
  <si>
    <t>NEW ACCOUNT FOR FY 2009-2010</t>
  </si>
  <si>
    <t>INVALID Revenue Accounts</t>
  </si>
  <si>
    <t>TAX REVENUES</t>
  </si>
  <si>
    <t>HIGHWAY USE TAX</t>
  </si>
  <si>
    <t>MOTOR FUEL TAX</t>
  </si>
  <si>
    <t>TAX REVENUE REFUNDS</t>
  </si>
  <si>
    <t>TAX REFUND HIGHWAY USE</t>
  </si>
  <si>
    <t>TAX REFUND MOTOR FUEL</t>
  </si>
  <si>
    <t>TAX DISTRIBUTION IN</t>
  </si>
  <si>
    <t>TAX DISTRIBUTION OUT</t>
  </si>
  <si>
    <t>FEDERAL GRANTS - NONOPER</t>
  </si>
  <si>
    <t>INT/DIV ON INVESTMENTS</t>
  </si>
  <si>
    <t>INTEREST INC-BOND PROCEED</t>
  </si>
  <si>
    <t>INT/DIV INC INVST-GENERAL</t>
  </si>
  <si>
    <t>INT INC-BOND PROC-GENERAL</t>
  </si>
  <si>
    <t>STIF INTEREST INCOME</t>
  </si>
  <si>
    <t>STIF INT INC-GENERAL REV</t>
  </si>
  <si>
    <t>LTIF INTEREST INCOME</t>
  </si>
  <si>
    <t>LTIF INT INC-GENERAL REV</t>
  </si>
  <si>
    <t>BOND INDEX FUND INTEREST INCOME-PROGRAM REV</t>
  </si>
  <si>
    <t>New Account FY 2016-2017</t>
  </si>
  <si>
    <t>BOND INDEX FUND INTEREST INCOME-GENERAL REV</t>
  </si>
  <si>
    <t>EQUITY FUND INT INCOME</t>
  </si>
  <si>
    <t>REAL ESTATE FUND INT INC</t>
  </si>
  <si>
    <t>VENTURE CAP FUND INT INC</t>
  </si>
  <si>
    <t>LIQUID ASSET FUND INT INC</t>
  </si>
  <si>
    <t>INFLATION PROTECTION INVESTMENT FUND INTEREST INCOME</t>
  </si>
  <si>
    <t>New Account FY 2009-2010</t>
  </si>
  <si>
    <t>CREDIT INVESTMENT FUND INTEREST INCOME</t>
  </si>
  <si>
    <t>INT EARNINGS LOAN-GENERAL</t>
  </si>
  <si>
    <t>Use acct 43200000</t>
  </si>
  <si>
    <t>SALE OF SURPLUS PROPERTY</t>
  </si>
  <si>
    <t>05 FEED TAX</t>
  </si>
  <si>
    <t xml:space="preserve"> Moved from Fees, licenses and fines in FY 2012-2013</t>
  </si>
  <si>
    <t>06 FERTILIZER TAX</t>
  </si>
  <si>
    <t>07 LIME TAX</t>
  </si>
  <si>
    <t>08 SEED TAX</t>
  </si>
  <si>
    <t>31 FOREST PRODUCTION ASSESSMENT</t>
  </si>
  <si>
    <t>18 911 FEE</t>
  </si>
  <si>
    <t>New for FY 2012-13</t>
  </si>
  <si>
    <t>TOBACCO SETTLEMENT</t>
  </si>
  <si>
    <t>RESIDENT ELDERLY TUITION WAIVER</t>
  </si>
  <si>
    <t>moved from Fees, Lic 2005-2006</t>
  </si>
  <si>
    <t>NONRES MILITARY TUITION</t>
  </si>
  <si>
    <t>PENS/INSUR EMPLYER CONTR</t>
  </si>
  <si>
    <t>PENS/INSUR EMPLYEE CONTR</t>
  </si>
  <si>
    <t>ON BEHALF CONTRIBUTIONS</t>
  </si>
  <si>
    <t>RETIREE INSURANCE CONTRIB</t>
  </si>
  <si>
    <t>TRUSTEE DEPOSITS</t>
  </si>
  <si>
    <t>Use accts 46200000 or 46203000</t>
  </si>
  <si>
    <t>PRIV DON &amp; GIFTS - NONOP</t>
  </si>
  <si>
    <t>PUBLIC DONATIONS &amp; GIFTS</t>
  </si>
  <si>
    <t>PUB DON &amp; GIFTS - NONOPER</t>
  </si>
  <si>
    <t>moved from Miscell Rev 2005-2006</t>
  </si>
  <si>
    <t>INSURANCE RECOVERIES</t>
  </si>
  <si>
    <t>ESCHEAT FUND COLLECTIONS</t>
  </si>
  <si>
    <t>CERTIFICATES OF PARTICIPA</t>
  </si>
  <si>
    <t>PROCEEDS-SBITA</t>
  </si>
  <si>
    <t>REALIZED GAIN-SALE OF INV</t>
  </si>
  <si>
    <t>REALIZD GAIN-SALE INV-GEN</t>
  </si>
  <si>
    <t>UNREALIZD GAIN INV-PROGRM</t>
  </si>
  <si>
    <t>UNREALIZD GAIN INV-GENERL</t>
  </si>
  <si>
    <t>PURCHASE/REDEMPT OF UNITS</t>
  </si>
  <si>
    <t>REINVESTMENT OF DISTRIB</t>
  </si>
  <si>
    <t>New Account FY 2010-2011</t>
  </si>
  <si>
    <t>TRANSFER FROM CIVIL FINE/PENALTY FUND</t>
  </si>
  <si>
    <t>TRANSFER -CONNECT GO BOND</t>
  </si>
  <si>
    <t>New account FY 2016-17</t>
  </si>
  <si>
    <t>TRANSFER NIN TO UNIV 2011 R&amp;R RESERVE</t>
  </si>
  <si>
    <t>4382AA</t>
  </si>
  <si>
    <t>STATEWIDE REIMBURSEMENTS</t>
  </si>
  <si>
    <t>OPERATING EXPENSES</t>
  </si>
  <si>
    <t>.  Personal services</t>
  </si>
  <si>
    <t>EPA REG SALARIES</t>
  </si>
  <si>
    <t>EPA-SPC SAL-APP-DIRECTOR</t>
  </si>
  <si>
    <t>EPA-SPC SAL-APP-JUDGES</t>
  </si>
  <si>
    <t>EPA-SPC SAL-APP-DA/AST DA</t>
  </si>
  <si>
    <t>EPA-SPC SAL-APP-MAGISTRAT</t>
  </si>
  <si>
    <t>EPA-SPC SAL-APP-CRT REP</t>
  </si>
  <si>
    <t>EPA-SPC SAL-APP-CLERK</t>
  </si>
  <si>
    <t>EPA-SPC SAL-APP-SPEC COUN</t>
  </si>
  <si>
    <t>EPA-SPC SAL-APP-CRT COUN</t>
  </si>
  <si>
    <t>EPA-SPC SAL-APP-PD/AST PD</t>
  </si>
  <si>
    <t>EPA-SPC SAL-APP-AD/AST AD</t>
  </si>
  <si>
    <t>EPA-SPC-SAL-APP-STAFF</t>
  </si>
  <si>
    <t>SEC/COUNCIL OF ST SAL-APP</t>
  </si>
  <si>
    <t>EPA-TEACH SALARIES</t>
  </si>
  <si>
    <t>EPA - TIME LIMITED SAL</t>
  </si>
  <si>
    <t>EPA- Time limited Sal</t>
  </si>
  <si>
    <t>Old account used in FY 2008-2009</t>
  </si>
  <si>
    <t>EPA-REG SALARY -INCREASES</t>
  </si>
  <si>
    <t>EPA-TEACH SAL -INCREASES</t>
  </si>
  <si>
    <t>SPA-REG SALARIES</t>
  </si>
  <si>
    <t>SPA TIME LIMITED SAL</t>
  </si>
  <si>
    <t>LEO SALARIES</t>
  </si>
  <si>
    <t>NEW ACCT FOR FY 2005-2006. Title changed in 2009-2010</t>
  </si>
  <si>
    <t>LEO SALARIES -APPROPRIATED</t>
  </si>
  <si>
    <t>SPA-TEACH SALARIES</t>
  </si>
  <si>
    <t>SPA T LIMIT TEACH SAL</t>
  </si>
  <si>
    <t>SPA REG SALARY -INCREASES</t>
  </si>
  <si>
    <t>SPA TEACH SAL -INCREASES</t>
  </si>
  <si>
    <t>REG(N S) TEMP WAGES</t>
  </si>
  <si>
    <t>CONTR EMPL PER IRS</t>
  </si>
  <si>
    <t>CONTR EMPL-IRS-DNTST</t>
  </si>
  <si>
    <t>CONTR EMPL-IRS-NUR/PA</t>
  </si>
  <si>
    <t>CONTR EMPL-IRS-PHRM</t>
  </si>
  <si>
    <t>CONTR EMPL-IRS-GPPHY</t>
  </si>
  <si>
    <t>CONTR EMPL-IRS-PSYCH</t>
  </si>
  <si>
    <t>STU TEMP WAGES</t>
  </si>
  <si>
    <t>OT PAY</t>
  </si>
  <si>
    <t>STRAIGHT-TIME OT</t>
  </si>
  <si>
    <t>OT-INTERNAL NURSING POOL</t>
  </si>
  <si>
    <t>EXTENDED DUTY</t>
  </si>
  <si>
    <t>OVERTIME PAY ADDITIVE</t>
  </si>
  <si>
    <t>CDE MAND PREM PAY</t>
  </si>
  <si>
    <t>HOLIDAY PAY</t>
  </si>
  <si>
    <t>SHIFT PREM PAY</t>
  </si>
  <si>
    <t>SHIFT PREM PAY - APPRO</t>
  </si>
  <si>
    <t>SHIFT PREM PAY - RECEIPTS</t>
  </si>
  <si>
    <t>SHIFT PREM PAY - UNDESIG</t>
  </si>
  <si>
    <t>SHIFT 5% PREM PAY</t>
  </si>
  <si>
    <t>SHIFT 10% PREM PAY</t>
  </si>
  <si>
    <t>SHIFT 15% PREM PAY</t>
  </si>
  <si>
    <t>SHIFT 20% PREM PAY</t>
  </si>
  <si>
    <t>SHIFT 25% PREM PAY</t>
  </si>
  <si>
    <t>SHIFT 30% PREM PAY</t>
  </si>
  <si>
    <t>SHIFT PREMIUM PAY ADDITIVE</t>
  </si>
  <si>
    <t>CALLBK/STBY PREM PAY</t>
  </si>
  <si>
    <t>DUAL EMPL WAGES</t>
  </si>
  <si>
    <t>SEVER SLRY CONTINUE</t>
  </si>
  <si>
    <t>INMATE LABOR</t>
  </si>
  <si>
    <t>INMATE LABOR-HIGHWAY</t>
  </si>
  <si>
    <t>INMATE LABOR-UNIT</t>
  </si>
  <si>
    <t>INMATE LABOR-ENTERPRISE</t>
  </si>
  <si>
    <t>INMATE LABR-CI</t>
  </si>
  <si>
    <t>THERAPEUTIC WAGES</t>
  </si>
  <si>
    <t>NATIONAL GUARD PAYMENTS</t>
  </si>
  <si>
    <t>OTH SPECIAL PROGRAM WAGES</t>
  </si>
  <si>
    <t>COMPENSATION TO BOARD MEM</t>
  </si>
  <si>
    <t>COMPEN TO OTH ELECTED OFF</t>
  </si>
  <si>
    <t>COMPEN TO NATIONAL GUARD</t>
  </si>
  <si>
    <t>.  Employee benefits</t>
  </si>
  <si>
    <t>EPA&amp;SPA-LONGVTY PAY</t>
  </si>
  <si>
    <t>EPA&amp;SPA-LONGTY-MONTH</t>
  </si>
  <si>
    <t>BONUS INCENTIVE PAY</t>
  </si>
  <si>
    <t>BONUS-ARPA</t>
  </si>
  <si>
    <t>SUBSIDIZED WAGE SUPPLMNT</t>
  </si>
  <si>
    <t>NEW ACCT FOR FY 2016-17</t>
  </si>
  <si>
    <t>CUSTODY LEVEL DIFF</t>
  </si>
  <si>
    <t>FACILITY HIGH NEED SUP</t>
  </si>
  <si>
    <t>SOCIAL SEC CONTRIB</t>
  </si>
  <si>
    <t>REG RETIRE CONTRIB</t>
  </si>
  <si>
    <t>LEO RETIRE CONTRIB</t>
  </si>
  <si>
    <t>OPT RETIRE CONTRIB</t>
  </si>
  <si>
    <t>PENSION SPIKE PMT</t>
  </si>
  <si>
    <t>CHANGED TITLE IN FY2015-16</t>
  </si>
  <si>
    <t>MED INS CONTRIB</t>
  </si>
  <si>
    <t>UNEMP COMP PAYMNTS TO DES</t>
  </si>
  <si>
    <t>TITLE UPDATED FY 2013-14</t>
  </si>
  <si>
    <t>WORKER COMP PREMIUMS</t>
  </si>
  <si>
    <t>ADDITIONAL EMPLOYEE BENEFITS</t>
  </si>
  <si>
    <t>EMPLOYEE ASSISTANCE PROGR</t>
  </si>
  <si>
    <t>FLEXIBLE SPENDING ACCOUNT SAVINGS TRANSFER</t>
  </si>
  <si>
    <t>UNEMPLOYMENT INSURANCE 1% PAYMENT TO DIVISION OF EMPLOYMENT SECURITY</t>
  </si>
  <si>
    <t>NEW ACCT FOR FY 2013-14</t>
  </si>
  <si>
    <t>RESERVES FOR STAFF BENE</t>
  </si>
  <si>
    <t>PENSION EXPENSE</t>
  </si>
  <si>
    <t>NEW FOR FY 2014-2015</t>
  </si>
  <si>
    <t>OPEB EXPENSE</t>
  </si>
  <si>
    <t>NEW FOR FY 2017-2018</t>
  </si>
  <si>
    <t>EMPLOYEE SUGGESTION AWARD</t>
  </si>
  <si>
    <t>GRIEVANCE SETTLEMENT</t>
  </si>
  <si>
    <t>ST DISABILITY PMT-UNDES/UNIV</t>
  </si>
  <si>
    <t>EXTEND ST DISABILITY PMT</t>
  </si>
  <si>
    <t>WORKERS COMENSATION-UNIVERSITY</t>
  </si>
  <si>
    <t>WRKER COMP-MED PAYMENTS</t>
  </si>
  <si>
    <t>WRKER COMP-MED PAY-INMATE</t>
  </si>
  <si>
    <t>WRKER COMP-TEMP DIS PAYMN</t>
  </si>
  <si>
    <t>WRKER COMP-PERM DIS PAYMN</t>
  </si>
  <si>
    <t>WRKER COMP-DEATH BENEFITS</t>
  </si>
  <si>
    <t>OTHER WORKERS COMP COSTS</t>
  </si>
  <si>
    <t>TAXBLE EMPL EXP REIMB</t>
  </si>
  <si>
    <t>NONTAXABLE EMPLOYEE CELL PHONE REIMBURSEMENT</t>
  </si>
  <si>
    <t>NEW ACCT FOR FY 2011-2012</t>
  </si>
  <si>
    <t>CHANGE IN ACCRD VACATION</t>
  </si>
  <si>
    <t>HLTH BNFITS INTRFACE SUSP</t>
  </si>
  <si>
    <t>PAYROLL INTRFACE SUSPENSE</t>
  </si>
  <si>
    <t>EMP EDUCATION ASSIST PROG</t>
  </si>
  <si>
    <t>moved from Other Services 2005-2006</t>
  </si>
  <si>
    <t>OTHER EMP EDUCATIONAL EXP</t>
  </si>
  <si>
    <t>EMP MOVING EXPENSES</t>
  </si>
  <si>
    <t>STAFF TUITION WAIVER</t>
  </si>
  <si>
    <t>SERVICE &amp; OTHER AWARDS</t>
  </si>
  <si>
    <t>WKSHOP/CONF-SERV&amp;OTH AWDS</t>
  </si>
  <si>
    <t>Unemployment benefits</t>
  </si>
  <si>
    <t>UNEMP COMP PAYMENTS</t>
  </si>
  <si>
    <t>533XXX</t>
  </si>
  <si>
    <t>Supplies except 533800
NCFS - Supplies except 53800000</t>
  </si>
  <si>
    <t>.534XX</t>
  </si>
  <si>
    <t>540999PB</t>
  </si>
  <si>
    <t>X Capital outlay (Accounts 534XXX. 534522 and 534710 are invalid accounts)
NCFS - Capital outlay accounts roll to parent 540999PB</t>
  </si>
  <si>
    <t xml:space="preserve"> (moved from Other to be under supplies and materials in FY 2013)</t>
  </si>
  <si>
    <t>.  Contracted personal services</t>
  </si>
  <si>
    <t>LEGAL SERVICES</t>
  </si>
  <si>
    <t>FINAN/AUDIT SERVICES</t>
  </si>
  <si>
    <t>ARRA BILLING RATE</t>
  </si>
  <si>
    <t>HOSPITAL PROVDED MED SERV</t>
  </si>
  <si>
    <t>OTHER PROVIDED MED SER</t>
  </si>
  <si>
    <t>EMPLYEE/EMPLYMENT PHYSICA</t>
  </si>
  <si>
    <t>53214B</t>
  </si>
  <si>
    <t>IT SUBSCRIPTION SUPPORT</t>
  </si>
  <si>
    <t>NEW ACCT FOR FY 2015-16</t>
  </si>
  <si>
    <t>OTH INFORMATION TECH SVCS</t>
  </si>
  <si>
    <t>Revised title FY 2013-14</t>
  </si>
  <si>
    <t>WAN SUPPORT SERVICES</t>
  </si>
  <si>
    <t>NEW effective July 1, 2002</t>
  </si>
  <si>
    <t>VIDEO TRANSMISSION SUPPORT SVCS</t>
  </si>
  <si>
    <t>NEW effective January 1, 2003</t>
  </si>
  <si>
    <t>LAN SUPPORT SERVICES</t>
  </si>
  <si>
    <t>PC/PRINTER SUPPORT SVC</t>
  </si>
  <si>
    <t>MANAGE SERVER SUPPORT SVC</t>
  </si>
  <si>
    <t>NEW effective January 1, 2003. Revised title FY 2013-14</t>
  </si>
  <si>
    <t>MAINFRAME SUPPORT SVC</t>
  </si>
  <si>
    <t>IT SEAT MANAGEMENT SVC</t>
  </si>
  <si>
    <t>ACADEMIC SERVICES</t>
  </si>
  <si>
    <t>APPLICATION DEVELOPMENT</t>
  </si>
  <si>
    <t>IT PROJ MGMT ANLSIS SVCS</t>
  </si>
  <si>
    <t>00 ACADEMIC SERVICES</t>
  </si>
  <si>
    <t>ENGINEERING SERVICES</t>
  </si>
  <si>
    <t>ADMIN SERVICES</t>
  </si>
  <si>
    <t>ADMIN SVCS-EXTENDED SVCS</t>
  </si>
  <si>
    <t>FOOD SER AGREEMENT</t>
  </si>
  <si>
    <t>LAUNDRY SER AGREEMENT</t>
  </si>
  <si>
    <t>LABORATORY SER AGREEMENT</t>
  </si>
  <si>
    <t>00 LABORATORY SER AGREEMENT</t>
  </si>
  <si>
    <t>WASTE REM/RECY SER AGREEM</t>
  </si>
  <si>
    <t>00 WASTE REM/RECY SER AGREEM</t>
  </si>
  <si>
    <t>JANITORIAL SER AGREEMENT</t>
  </si>
  <si>
    <t>Moved from Other Services FY 2015</t>
  </si>
  <si>
    <t>SECURITY SERVICE AGREE</t>
  </si>
  <si>
    <t>PEST CONTROL AGREEMENT</t>
  </si>
  <si>
    <t>LAWNS &amp; GROUNDS SER AGREE</t>
  </si>
  <si>
    <t>ELECTRONIC MONITORING</t>
  </si>
  <si>
    <t>NEW ACCT FOR FY 2014-15</t>
  </si>
  <si>
    <t>DUAL EMP PAY TO AGENCY</t>
  </si>
  <si>
    <t>HONORARIUMS</t>
  </si>
  <si>
    <t>TRANSPORTATION SVCS</t>
  </si>
  <si>
    <t>EMPLOYEE ON LOAN PAYMENTS</t>
  </si>
  <si>
    <t>VETERINARY SERVICES</t>
  </si>
  <si>
    <t>NEW ACCT FOR FY 2004-2005</t>
  </si>
  <si>
    <t>RESTORATION SERVICES</t>
  </si>
  <si>
    <t>GAMING SYSTEMS SERVICES</t>
  </si>
  <si>
    <t>MISC CONTRACTUAL SERVICES</t>
  </si>
  <si>
    <t>Acct 532199014 inactivated 5/9/05</t>
  </si>
  <si>
    <t>00 MISC CONTRACTUAL SERVICES</t>
  </si>
  <si>
    <t>01 MISC SVC-AUCTION SVC</t>
  </si>
  <si>
    <t>02 MISC SVC-AGRI/FORSTRY SVC</t>
  </si>
  <si>
    <t>03 MISC SVC-BURIAL/CREM SVCS</t>
  </si>
  <si>
    <t>04 MISC SVC-INTERPRETER SVCS</t>
  </si>
  <si>
    <t>05 MISC SVC-O/S HOUSE CSTS-M</t>
  </si>
  <si>
    <t>06 MISC SVC-O/S HOUSE CSTS-F</t>
  </si>
  <si>
    <t>07 MISC SVC-NURSE AID TR PG</t>
  </si>
  <si>
    <t>08 PARENT KIDNAP SVCS</t>
  </si>
  <si>
    <t>09 PARENT LOCATING SERVICES</t>
  </si>
  <si>
    <t>10 TRANSITIONAL HOME PROGRAM</t>
  </si>
  <si>
    <t xml:space="preserve">15 MISC CONTRACTUAL SERVICES </t>
  </si>
  <si>
    <t>10 MISC CONTRACTUAL SERVICES</t>
  </si>
  <si>
    <t>14 MISC CONTRACTUAL SERVICES</t>
  </si>
  <si>
    <t>56 STUDENT WORK PROGRAM</t>
  </si>
  <si>
    <t>53219935A</t>
  </si>
  <si>
    <t>5A MISC CONTRACTUAL SERVICES</t>
  </si>
  <si>
    <t>80 MISC CONTRACTUAL SERVICES</t>
  </si>
  <si>
    <t>83 MISC CONTRACTUAL SERVICES</t>
  </si>
  <si>
    <t>76 MISC CONTRACTUAL SERVICES</t>
  </si>
  <si>
    <t>04 ACQ OF ROW-DEED FROM IND</t>
  </si>
  <si>
    <t>19 MISC CONTRACTUAL SERVICES</t>
  </si>
  <si>
    <t>00 WORKSHOP/CONF EXP-MISC</t>
  </si>
  <si>
    <t>.  Utilities</t>
  </si>
  <si>
    <t>ENRG SER -ELECTRICAL</t>
  </si>
  <si>
    <t>ENRG SER -NAT.GAS/PROPANE</t>
  </si>
  <si>
    <t>ENRG SER -WATER &amp; SEWER</t>
  </si>
  <si>
    <t>ENRG SER -FUEL OIL</t>
  </si>
  <si>
    <t>ENRG SER -COAL FUEL</t>
  </si>
  <si>
    <t>ENRG SER -WOOD FUEL</t>
  </si>
  <si>
    <t>ENRG SER -CHEM &amp; ADDIT</t>
  </si>
  <si>
    <t>STEAM</t>
  </si>
  <si>
    <t>CABLE TV</t>
  </si>
  <si>
    <t>.  Travel</t>
  </si>
  <si>
    <t>TRANSP AIR - IN STATE</t>
  </si>
  <si>
    <t>TRANS AIR-OUT STATE,IN US</t>
  </si>
  <si>
    <t>TRANSP AIR-OUT OF COUNTRY</t>
  </si>
  <si>
    <t>TRANSP-GRND - IN STATE</t>
  </si>
  <si>
    <t>TRANS GRND-OUT STA,IN US</t>
  </si>
  <si>
    <t>TRANS GRND-OUT OF COUNTRY</t>
  </si>
  <si>
    <t>TRANSP OTHER - IN STATE</t>
  </si>
  <si>
    <t>TRANS OTH-OUTSTATE, IN US</t>
  </si>
  <si>
    <t>TRANS OTH-OUT OF COUNTRY</t>
  </si>
  <si>
    <t>LODGING - IN STATE</t>
  </si>
  <si>
    <t>LODGING-OUT STATE, IN US</t>
  </si>
  <si>
    <t>LODGING-OUT OF COUNTRY</t>
  </si>
  <si>
    <t>MEALS - IN STATE</t>
  </si>
  <si>
    <t>MEALS-OUT OF STATE,IN US</t>
  </si>
  <si>
    <t>MEALS  - OUT OF COUNTRY</t>
  </si>
  <si>
    <t>MISC - IN STATE</t>
  </si>
  <si>
    <t>MISC - OUT STATE, IN US</t>
  </si>
  <si>
    <t>MISC  - OUT OF COUNTRY</t>
  </si>
  <si>
    <t>BD/NON-EMPLOYEE TRANSP</t>
  </si>
  <si>
    <t>BD/NON-EMPLOYEE SUBSIS</t>
  </si>
  <si>
    <t>BD/NON-EMPLOYEE TRAINING</t>
  </si>
  <si>
    <t>.  Communication</t>
  </si>
  <si>
    <t>BUNDLED VOICE/DATA</t>
  </si>
  <si>
    <t>new account for 2005-2006</t>
  </si>
  <si>
    <t>TELEPHONE SERVICE</t>
  </si>
  <si>
    <t>TELECOMMUN DATA CHRG</t>
  </si>
  <si>
    <t>TELECONFERENCE CHARGES</t>
  </si>
  <si>
    <t>CELLULAR PHONE SERVICES</t>
  </si>
  <si>
    <t>EMAIL AND CALENDARING</t>
  </si>
  <si>
    <t>VIDEO TRANSMISSION CHARGE</t>
  </si>
  <si>
    <t>INTERNET SERV PROV CHARGE</t>
  </si>
  <si>
    <t>DATA WIRING SVC CHRG</t>
  </si>
  <si>
    <t>TELEPHONE WIRING SVC CHRG</t>
  </si>
  <si>
    <t>.  Data processing services</t>
  </si>
  <si>
    <t>COMPUTER/DATA PROCESS SVC</t>
  </si>
  <si>
    <t>MANAGED LAN SVC CHARGE</t>
  </si>
  <si>
    <t>AUTHENTIC &amp; AUTHORIZ SVCS</t>
  </si>
  <si>
    <t>MANAGED SERVER SVCS</t>
  </si>
  <si>
    <t>MANAGED WAN SVCS</t>
  </si>
  <si>
    <t>SOFTWARE SUBSCRIPTIONS</t>
  </si>
  <si>
    <t>ELECTRONIC SERVICES</t>
  </si>
  <si>
    <t>MANAGED DESKTOP SVCS</t>
  </si>
  <si>
    <t>.  Other services</t>
  </si>
  <si>
    <t>REPAIRS-BUILDINGS</t>
  </si>
  <si>
    <t>REPAIRS-OTHER STRUCTURES</t>
  </si>
  <si>
    <t>REPAIRS-MOTOR VEHICLES</t>
  </si>
  <si>
    <t>REPAIRS-OTHER COMPUTER EQUIP</t>
  </si>
  <si>
    <t>REPAIRS-OTHER EQUIPMENT</t>
  </si>
  <si>
    <t>REPAIR-WAN EQUIP</t>
  </si>
  <si>
    <t>REPAIR-VIDEO TRANSMSN EQP</t>
  </si>
  <si>
    <t>REPAIRS-LAN EQUIP</t>
  </si>
  <si>
    <t>REPAIRS-PC/PRINTER</t>
  </si>
  <si>
    <t>REPAIRS-SERVERS</t>
  </si>
  <si>
    <t>REPAIRS - VOICE COMMUNICATIONS EQUIPMENT</t>
  </si>
  <si>
    <t>REPAIRS-OTHER</t>
  </si>
  <si>
    <t>POSTAGE, FREIGHT &amp; DELIV</t>
  </si>
  <si>
    <t>CENTRAL MAIL SUSPENSE</t>
  </si>
  <si>
    <t>PRINT,BIND,DUPLICATE</t>
  </si>
  <si>
    <t>ADVERTISING</t>
  </si>
  <si>
    <t>moved from unclassified for 2005-2006</t>
  </si>
  <si>
    <t>INMATE TUITION</t>
  </si>
  <si>
    <t>REGISTRATION FEES</t>
  </si>
  <si>
    <t>INVENTOR PRICE VAR ADJUST</t>
  </si>
  <si>
    <t>OTH INVENTORY ADJUSTMENTS</t>
  </si>
  <si>
    <t>FIXED ASSET WRITEDOWNS</t>
  </si>
  <si>
    <t>SVC CHRG-SALE SURPLUS</t>
  </si>
  <si>
    <t>AD VALORUM TAX-ST SHARE</t>
  </si>
  <si>
    <t>VENDOR REFUND CLEARING</t>
  </si>
  <si>
    <t>STUD/PATINT ENTRTNMNT EXP</t>
  </si>
  <si>
    <t>OTHER ADMIN EXPENSE</t>
  </si>
  <si>
    <t>Lottery Prize</t>
  </si>
  <si>
    <t>See below.  New Caption 2005-2006</t>
  </si>
  <si>
    <t>LOTTERY PRIZE EXPENSE</t>
  </si>
  <si>
    <t>Claims</t>
  </si>
  <si>
    <t>PENSION FUND PAYMENTS</t>
  </si>
  <si>
    <t>OTHER NON-EMP PENSIONS</t>
  </si>
  <si>
    <t>LONG TERM DISAB PAYMENTS</t>
  </si>
  <si>
    <t>DIS CLAIM-DEATH BENEFITS</t>
  </si>
  <si>
    <t>REIM-STATE DISABILITY PAY</t>
  </si>
  <si>
    <t>LEO SEPARATION ALLOWANCE</t>
  </si>
  <si>
    <t>MEDICAL CLAIM PAYMENTS</t>
  </si>
  <si>
    <t>CONTRIB DEATH BENEFITS</t>
  </si>
  <si>
    <t>PHARMACY CLAIM PAYMENTS</t>
  </si>
  <si>
    <t>FIRE LOSS CLAIM PAYMENTS</t>
  </si>
  <si>
    <t>WIND STORM LOSSES &amp; OTHR</t>
  </si>
  <si>
    <t>INSURANCE EXTENDED COVER</t>
  </si>
  <si>
    <t>VOL SAFETY WC CLAIM PMTS</t>
  </si>
  <si>
    <t>PURCHASES FOR RESALE</t>
  </si>
  <si>
    <t>DEPRECIATION</t>
  </si>
  <si>
    <t>PROPERTY-INSURANCE</t>
  </si>
  <si>
    <t>MOTOR VEHICLE INSURANCE</t>
  </si>
  <si>
    <t>LIABILITY INSURANCE</t>
  </si>
  <si>
    <t>OTHER INSURANCE</t>
  </si>
  <si>
    <t>BONDING</t>
  </si>
  <si>
    <t>Refund of contributions</t>
  </si>
  <si>
    <t>REFUND OF CONTRIB</t>
  </si>
  <si>
    <t>EDUC AWAR-APPROP GRANTS</t>
  </si>
  <si>
    <t>MINORITY PRESENCE AWARD</t>
  </si>
  <si>
    <t>ACAD ENHANCEMENT SCHOOL</t>
  </si>
  <si>
    <t>TEACHERS SCHOLARSHIPS</t>
  </si>
  <si>
    <t>MEDICAL &amp; DENTAL GRANTS</t>
  </si>
  <si>
    <t>TRAINEESHIPS</t>
  </si>
  <si>
    <t>GRAD ASST TUITION AWARDS</t>
  </si>
  <si>
    <t>INCENTIVE SCHOLARSHIPS</t>
  </si>
  <si>
    <t>NO DESCRIPTION FOUND</t>
  </si>
  <si>
    <t>OTHER EDUCATIONAL AWARDS</t>
  </si>
  <si>
    <t>5368XX</t>
  </si>
  <si>
    <t>EDUCATIONAL AWARDS &amp; SCHOLARSHIPS</t>
  </si>
  <si>
    <t xml:space="preserve">      Other:</t>
  </si>
  <si>
    <t>.   Other fixed charges</t>
  </si>
  <si>
    <t>MAINT AGREEMNT-BUILDINGS</t>
  </si>
  <si>
    <t>MAINT AGREEMNT-OTH STRUCT</t>
  </si>
  <si>
    <t>MAINT AGREEMENT-EQUIP</t>
  </si>
  <si>
    <t>MAINT AGREEMENT-OTHER SOFTWARE</t>
  </si>
  <si>
    <t>MAINT AGRMT-WAN SOFTWARE</t>
  </si>
  <si>
    <t>NEW ACCT effective July 1, 2002</t>
  </si>
  <si>
    <t>MAINT AGRMT-NON-WAN DP EQ</t>
  </si>
  <si>
    <t>MAINT AGRMT-WAN EQUIP</t>
  </si>
  <si>
    <t>MAINT AGRMT-VIDEO TRAN EQ</t>
  </si>
  <si>
    <t>MAINT AGREE-LAN EQUIP</t>
  </si>
  <si>
    <t>NEW ACCT effective January 1, 2003</t>
  </si>
  <si>
    <t>MAINT AGREE-PC/PRINTER</t>
  </si>
  <si>
    <t>MAINT AGREE-PC SOFTWARE</t>
  </si>
  <si>
    <t>MAINT AGREE-SERVER SOFTWR</t>
  </si>
  <si>
    <t>MAINT AGREE-SERVER EQUIP</t>
  </si>
  <si>
    <t>MAINT AGREE-MAINFRAME EQP</t>
  </si>
  <si>
    <t>MAINT AGREE-MAINFRME SFTW</t>
  </si>
  <si>
    <t>MAINT AGREEMENT-OTHER</t>
  </si>
  <si>
    <t>LEGAL SETTLEMENTS</t>
  </si>
  <si>
    <t>TORT CLAIMS</t>
  </si>
  <si>
    <t>COURT COSTS</t>
  </si>
  <si>
    <t>EXPERT WITNESS FEES</t>
  </si>
  <si>
    <t>REWRD,CAPTRE,EXTRDITN EXP</t>
  </si>
  <si>
    <t>LICENSES &amp; PERMIT COSTS</t>
  </si>
  <si>
    <t>MEMBERSHIP DUES&amp;SUBSCRIPT</t>
  </si>
  <si>
    <t>. Grants, aid and subsidies</t>
  </si>
  <si>
    <t>536J00</t>
  </si>
  <si>
    <t>56J00001</t>
  </si>
  <si>
    <t>NGO OTHER AIDS &amp; GRANTS</t>
  </si>
  <si>
    <t>moved from invalid for 2005-2006</t>
  </si>
  <si>
    <t>OTHER AIDS &amp; GRANTS</t>
  </si>
  <si>
    <t>536Q00</t>
  </si>
  <si>
    <t>56Q00003</t>
  </si>
  <si>
    <t>OTHER AIDS &amp; GRANTS TO INDIVIDUALS</t>
  </si>
  <si>
    <t>.   Other expenses</t>
  </si>
  <si>
    <t>RENT/LEASE -LAND</t>
  </si>
  <si>
    <t>RENT/LEASE-BLDINGS/OFFICE</t>
  </si>
  <si>
    <t>RENT/LEASE-OTH FACILITIES</t>
  </si>
  <si>
    <t>RENT/LEASE-MOTOR VEHICLES</t>
  </si>
  <si>
    <t>RENT/LEASE-COMMUN EQUIP</t>
  </si>
  <si>
    <t>RENT/LEASE-GEN OFF EQUIP</t>
  </si>
  <si>
    <t>RENT/LEASE-FURN &amp; FURNISH</t>
  </si>
  <si>
    <t>RENT/LEASE-NON-WAN DP EQ</t>
  </si>
  <si>
    <t>RENT/LEASE-WAN EQUIP</t>
  </si>
  <si>
    <t>RENT/LEASE-VIDEO TRAN EQU</t>
  </si>
  <si>
    <t>RENT/LEASE OF LAN EQUIMENT</t>
  </si>
  <si>
    <t>RENT/LEASE-PC/PRINTER</t>
  </si>
  <si>
    <t>RENT/LEASE-SERVER EQUIP</t>
  </si>
  <si>
    <t>RENT/LEASE-MAINFRAME EQP</t>
  </si>
  <si>
    <t>RENT/LEASE-PC SOFTWARE</t>
  </si>
  <si>
    <t>RENT/LEASE-SERVER SOFTWR</t>
  </si>
  <si>
    <t>RENT/LEASE-MAINFRAME SOFTWR</t>
  </si>
  <si>
    <t>RENT/LEASE OTHER PROPERTY</t>
  </si>
  <si>
    <t>RECEIVABLE WRITEOFFS</t>
  </si>
  <si>
    <t>new title</t>
  </si>
  <si>
    <t>ADMIN TRANSITION EXP</t>
  </si>
  <si>
    <t>INTERST EXP-CASH MGMT ACT</t>
  </si>
  <si>
    <t>OTHER EXPENSES</t>
  </si>
  <si>
    <t>INV INCOME DISTRIBUTION</t>
  </si>
  <si>
    <t>AIRCRAFT EXPENSES</t>
  </si>
  <si>
    <t>EQUIPMENT USAGE</t>
  </si>
  <si>
    <t>New effective FY2017</t>
  </si>
  <si>
    <t>COLLECTION COSTS</t>
  </si>
  <si>
    <t>ELECTRONIC PAYMT PROC FEE</t>
  </si>
  <si>
    <t>UNCLASSIFIED EXPENSES</t>
  </si>
  <si>
    <t>Valid exp accts that must be zero at year-end</t>
  </si>
  <si>
    <t>Ref Pr Yr Deduction Clrng</t>
  </si>
  <si>
    <t>New acct - Fiscal Year 2006-2007</t>
  </si>
  <si>
    <t>TRAVEL ADVANCES</t>
  </si>
  <si>
    <t>moved from travel for 2005-2006</t>
  </si>
  <si>
    <t>RTU LAND AND PERM EASE</t>
  </si>
  <si>
    <t>RTU MACHINERY AND EQUIPMENT</t>
  </si>
  <si>
    <t>SBITA OUTLAY</t>
  </si>
  <si>
    <t>BOND PRINCIPAL PAYMENTS</t>
  </si>
  <si>
    <t>ANTICIPATN NOTES PRIN PAY</t>
  </si>
  <si>
    <t>LEASE PRINCIPLE PAYMENTS</t>
  </si>
  <si>
    <t>moved from unclass for 2005-2006; new acct title FY2022</t>
  </si>
  <si>
    <t>OTHER PRINCIPAL PAYMENTS</t>
  </si>
  <si>
    <t>SBITA PRINCIPAL PAYMENTS</t>
  </si>
  <si>
    <t>PAY-REF DEBT ESCROW AGENT</t>
  </si>
  <si>
    <t>PAYMENT OF DEBT SERVICE PRINCIPAL</t>
  </si>
  <si>
    <t>ACCRUED EXPENSE ADJUSTMNT</t>
  </si>
  <si>
    <t>INDIRECT (OVERHEAD) COSTS</t>
  </si>
  <si>
    <t>moved from other services for 2006-2007</t>
  </si>
  <si>
    <t>P-CARD CLEARING</t>
  </si>
  <si>
    <t>PETTY/IMPREST CASH</t>
  </si>
  <si>
    <t>moved from other exp for 2005-2006</t>
  </si>
  <si>
    <t>5382XX</t>
  </si>
  <si>
    <t>STATEWIDE REIMBURSEMENT</t>
  </si>
  <si>
    <t>5383AA</t>
  </si>
  <si>
    <t>AGENCY REIMBURSEMENT</t>
  </si>
  <si>
    <t>5388AA</t>
  </si>
  <si>
    <t>AGENCY FED FUND TRANS/RECEIPT</t>
  </si>
  <si>
    <t>5389AA</t>
  </si>
  <si>
    <t>TRANSFER OF APPROPRIATIONS</t>
  </si>
  <si>
    <t>moved from trf out for 2005-2006</t>
  </si>
  <si>
    <t>538RAA</t>
  </si>
  <si>
    <t>Transfer Out - ARRA Billing Rate (should be zero for year end)</t>
  </si>
  <si>
    <t>INVALID EXPENSES</t>
  </si>
  <si>
    <t>See below - invalid accts for proprietary funds</t>
  </si>
  <si>
    <t>51560000</t>
  </si>
  <si>
    <t>MED INS CONTRIB-INDIRECT</t>
  </si>
  <si>
    <t>NO STATEWIDE DESC FOUND</t>
  </si>
  <si>
    <t>acct has not been set up in NCAS as of 7/1/14</t>
  </si>
  <si>
    <t>SECURITIES TRANS FEE</t>
  </si>
  <si>
    <t>moved from Contracted Personal Svc 2005-2006</t>
  </si>
  <si>
    <t>52443000</t>
  </si>
  <si>
    <t>MAINT AGREEMENT-DP EQUIP</t>
  </si>
  <si>
    <t>stop using effective January 1, 2003</t>
  </si>
  <si>
    <t>RENT/LEASE-DP EQUIPMENT</t>
  </si>
  <si>
    <t>THIRTEENTH PERIOD PURCHASE FOR RESALE INVENTORY ADJUSTMENT</t>
  </si>
  <si>
    <t>THIRTEENTH PERIOD SUPPLIES AND MATERIALS INVENTORY ADJUSTMENT</t>
  </si>
  <si>
    <t>COMPUTER EQUIPMENT</t>
  </si>
  <si>
    <t>RETIREMENT SUPPLEMENT</t>
  </si>
  <si>
    <t>moved from Claims 2005-2006</t>
  </si>
  <si>
    <t>RETIREMENT OF INDEBTEDNESS</t>
  </si>
  <si>
    <t>BOND DISCOUNT</t>
  </si>
  <si>
    <t>Moved to Invalid for FY 2011-2012</t>
  </si>
  <si>
    <t>55430010</t>
  </si>
  <si>
    <t>DEPRECIATION-BUILDINGS</t>
  </si>
  <si>
    <t>use acct 55430000 Depreciation</t>
  </si>
  <si>
    <t>55430090</t>
  </si>
  <si>
    <t>DEPRCIATN-OTH STR&amp;IMPROV</t>
  </si>
  <si>
    <t>AMORTIZATION</t>
  </si>
  <si>
    <t>55630000</t>
  </si>
  <si>
    <t>FIXED ASSET WRTDWNS-NONOP</t>
  </si>
  <si>
    <t>moved from Fixed Asset Writedown 2005-2006</t>
  </si>
  <si>
    <t>LOSS-REFUNDING OF DEBT</t>
  </si>
  <si>
    <t>55909000</t>
  </si>
  <si>
    <t>REALIZD LOSS-SALE INV-GEN</t>
  </si>
  <si>
    <t>REALIZED LOSS SALE ON INV</t>
  </si>
  <si>
    <t>55911000</t>
  </si>
  <si>
    <t>UNREALIZD LOSS INV-PROGRM</t>
  </si>
  <si>
    <t>55913000</t>
  </si>
  <si>
    <t>UNREALIZD LOSS INV-GENERL</t>
  </si>
  <si>
    <t>55970000</t>
  </si>
  <si>
    <t>PAYMENTS UNDER TRUST</t>
  </si>
  <si>
    <t>55971000</t>
  </si>
  <si>
    <t>PAYMENTS UNDER CUSTODIAL</t>
  </si>
  <si>
    <t>UNALLOT APP-BROUGHT FORWD</t>
  </si>
  <si>
    <t>536XXX</t>
  </si>
  <si>
    <t>except 568XX00, 56900000, 56997000, 56999000, 56J00000,56J99000, 56Q0000 and 56Q99000</t>
  </si>
  <si>
    <t>537XXX</t>
  </si>
  <si>
    <t>Agency Reserves</t>
  </si>
  <si>
    <t>Moved to Invalid for 2007 ACFR</t>
  </si>
  <si>
    <t>5800999B</t>
  </si>
  <si>
    <t>Statewide Operating Transfer</t>
  </si>
  <si>
    <t>NON OPERATING REVENUES (EXPENSES)</t>
  </si>
  <si>
    <t>Transfer to Reimburse Appropriation for payroll.</t>
  </si>
  <si>
    <t xml:space="preserve">State Aid- General </t>
  </si>
  <si>
    <t>State Aid - General</t>
  </si>
  <si>
    <t>State Aid - Retiree Supplement Reserve</t>
  </si>
  <si>
    <t>State Aid - Sports Wagering</t>
  </si>
  <si>
    <t>NEW account FY2024</t>
  </si>
  <si>
    <t>State Aid - IT Reserve</t>
  </si>
  <si>
    <t>State Aid - ARPA Temporary Savings (Medicaid Expansion)</t>
  </si>
  <si>
    <t>State Aid-Program</t>
  </si>
  <si>
    <t>State aid- National Mortgage Settlement</t>
  </si>
  <si>
    <t>State Aid- Coronavirus</t>
  </si>
  <si>
    <t>NEW FY2020, account caption changed FY2021</t>
  </si>
  <si>
    <t>State Aid - Coronavirus</t>
  </si>
  <si>
    <t>State Aid - SRFR Recovery Reserve</t>
  </si>
  <si>
    <t>State aid - lottery proceeds</t>
  </si>
  <si>
    <t>state aid - Lottery proceeds</t>
  </si>
  <si>
    <t>Noncapital grants</t>
  </si>
  <si>
    <t xml:space="preserve">Accounts 42100XXX, 42200XXX, 42300XXX, 42400XXX, </t>
  </si>
  <si>
    <t>42500XXX, 42600XXX, 42995000</t>
  </si>
  <si>
    <t>NONCAP GIFTS</t>
  </si>
  <si>
    <t>NONCAP GIFTS-BAD DEBT</t>
  </si>
  <si>
    <t>See below NEW FY2021</t>
  </si>
  <si>
    <t>LEASE INTEREST</t>
  </si>
  <si>
    <t>Interest &amp; fees on capital asset-related debt</t>
  </si>
  <si>
    <t xml:space="preserve">.    Debt interest </t>
  </si>
  <si>
    <t>BOND INTEREST PAYMENTS</t>
  </si>
  <si>
    <t>ANTICIPATN NOTES INT PAY</t>
  </si>
  <si>
    <t>LEASE INTEREST PAYMENTS</t>
  </si>
  <si>
    <t>OTHER INTEREST PAYMENTS</t>
  </si>
  <si>
    <t>OTH INT PAY-NONOPERATING</t>
  </si>
  <si>
    <t>AMORTIZATION - DEBT DISCOUNTS, PREMIUMS, AND REFUNDING DEFERRALS</t>
  </si>
  <si>
    <t>NEW ACCT FOR FY 2011-12</t>
  </si>
  <si>
    <t>SBITA INTEREST PAYMENTS</t>
  </si>
  <si>
    <t>.    Other debt service costs</t>
  </si>
  <si>
    <t>FISCAL AGENT &amp; OTH FEES</t>
  </si>
  <si>
    <t>ARBITRAGE EXPENSE</t>
  </si>
  <si>
    <t>Gain (loss) on sale of property &amp; equip</t>
  </si>
  <si>
    <t>Accounts 44330000 and 55650000.</t>
  </si>
  <si>
    <t>2740/2750</t>
  </si>
  <si>
    <t xml:space="preserve">Gain on extinguishment of Debt </t>
  </si>
  <si>
    <t>Gain on Extinguishment of Debt</t>
  </si>
  <si>
    <t>Gain on in-substance defeasance of debt</t>
  </si>
  <si>
    <t>GAIN ON IN-SUBSTANCE DEFEASANCE OF DEBT</t>
  </si>
  <si>
    <t>Investment earnings, net</t>
  </si>
  <si>
    <t>INT/DIV ON INV - NONOPER</t>
  </si>
  <si>
    <t>STIF INT INCOME - NONOPER</t>
  </si>
  <si>
    <t>EIF INT INC-PROG</t>
  </si>
  <si>
    <t>LTIF INT INCOME - NONOPER</t>
  </si>
  <si>
    <t>BOND INDEX FUND INTEREST INCOME - NONOPER PROG</t>
  </si>
  <si>
    <t>ENDOWMENT INCOME</t>
  </si>
  <si>
    <t>SECURITIES LENDING INCOME</t>
  </si>
  <si>
    <t>REAL GAIN INV-NONOP-PROG</t>
  </si>
  <si>
    <t>UNREA GAIN INV-NONOP-PROG</t>
  </si>
  <si>
    <t>SECURITIES TRANS FEE NOOP</t>
  </si>
  <si>
    <t>REAL LOSS INV-NONOP-PROG</t>
  </si>
  <si>
    <t>UNREA LOSS INV-NONOP-PROG</t>
  </si>
  <si>
    <t>INVESTMENT EXP-NONOP-PROG</t>
  </si>
  <si>
    <t>INSURANCE RECOV - NONOPER</t>
  </si>
  <si>
    <t>Grants, aid and subsidies</t>
  </si>
  <si>
    <t>536J99</t>
  </si>
  <si>
    <t>FEDERAL LOAN SUBSIDY</t>
  </si>
  <si>
    <t>56999000</t>
  </si>
  <si>
    <t>OTHER GRANTS &amp; AIDS-NONOP</t>
  </si>
  <si>
    <t>536Q99</t>
  </si>
  <si>
    <t xml:space="preserve">OTHER AIDS AND GRANTS TO INDIVIDUALS - NONOPERATING
</t>
  </si>
  <si>
    <t>Federal interest Subsidy on debt</t>
  </si>
  <si>
    <t>FEDERAL INTEREST SUBSIDY ON DEBT</t>
  </si>
  <si>
    <t>Loss on In-Substance Defeasance of Debt</t>
  </si>
  <si>
    <t>LOSS ON IN-SUBSTANCE DEFEASANCE OF DEBT</t>
  </si>
  <si>
    <t>Miscellaneous:</t>
  </si>
  <si>
    <t>.   Miscellaneous non-operating rev</t>
  </si>
  <si>
    <t>SALE OF SURP PROP-NONOPER</t>
  </si>
  <si>
    <t>GAIN ON TERMINATION OF IRREVOCABLE SPLLIT-INTEREST AGR</t>
  </si>
  <si>
    <t>OTHER MISC REV-NONOP-PROG</t>
  </si>
  <si>
    <t>NATIONAL MORTGAGE SETTLEMENT</t>
  </si>
  <si>
    <t>NEW FY 2012-13</t>
  </si>
  <si>
    <t>SETTLEMENTS</t>
  </si>
  <si>
    <t>NEW FY 2014-15</t>
  </si>
  <si>
    <t>4383AA</t>
  </si>
  <si>
    <t>48300001</t>
  </si>
  <si>
    <t>OTH REV-COMPONENT UNITS (as directed only by OSC)</t>
  </si>
  <si>
    <t>Moved from Invalid for FY 2011-2012</t>
  </si>
  <si>
    <t>.   Miscellaneous non-operating exp</t>
  </si>
  <si>
    <t>BOND ISSUE COST</t>
  </si>
  <si>
    <t>Moved from Other debt service in FY 2011-2012</t>
  </si>
  <si>
    <t>OTHER EXPENSES, NON-OPER</t>
  </si>
  <si>
    <t>NEW FY 2008-2009</t>
  </si>
  <si>
    <t>REFUNDED TO GRANTORS</t>
  </si>
  <si>
    <t>LEGISLATIVE MANDATED TRANSFER</t>
  </si>
  <si>
    <t>NEW FY 2011-12</t>
  </si>
  <si>
    <t>COMPONENT UNIT CI REVERSION</t>
  </si>
  <si>
    <t>REVRSN CI- PROJECT RES 40703</t>
  </si>
  <si>
    <t>COMPONENT UNIT TRANSFER TO CONTINGENCY RESERVE</t>
  </si>
  <si>
    <t>Other Revenues, expenses, gains ,or losses:</t>
  </si>
  <si>
    <t>Capital Contributions</t>
  </si>
  <si>
    <t>.   State capital aid</t>
  </si>
  <si>
    <t>Account 42901000, 42902000, 42903000, 42904000, 42993000, 42991000, 42994000</t>
  </si>
  <si>
    <t>.   Capital grants</t>
  </si>
  <si>
    <t xml:space="preserve">Account 42D00XXX, 42E00XXX, 42J00XXX, </t>
  </si>
  <si>
    <t>42K00XXX, 42L00XXX, 42G00XXX, 42S00XXX (NEW FY2021)</t>
  </si>
  <si>
    <t>.   Capital gifts, net</t>
  </si>
  <si>
    <t>46203000, 46204000</t>
  </si>
  <si>
    <t>PERMANENT ENDOWMENTS</t>
  </si>
  <si>
    <t>TERM ENDOWMENTS</t>
  </si>
  <si>
    <t>4380XX</t>
  </si>
  <si>
    <t>4800999B</t>
  </si>
  <si>
    <t>STATEWIDE OPERATING TRANSFERS (Invalid for Universities and Component Units)</t>
  </si>
  <si>
    <t>Except 48030000 rolls to 56XXXX, 48045000 and 48046000 roll to valid accounts that zero at Year end</t>
  </si>
  <si>
    <t>4381XX</t>
  </si>
  <si>
    <t>OPERATING TRANSFERS (Invalid for Universities and Component Units)</t>
  </si>
  <si>
    <t>4384XX</t>
  </si>
  <si>
    <t>4840000x</t>
  </si>
  <si>
    <t>AGENCY NONROUTINE TRANSFR (Invalid for Universities and Component Units)</t>
  </si>
  <si>
    <t>5380XX</t>
  </si>
  <si>
    <t>5804xxxx</t>
  </si>
  <si>
    <t>58010000 is invalid. Effective July 1, 2008. 58030000 rolls to Fees, Licenses and fines. 58045000 and 58046000 roll to valid expenses which are zero at year end. 58044000 rolls to State appropriations</t>
  </si>
  <si>
    <t>5381XX</t>
  </si>
  <si>
    <t>5810000x</t>
  </si>
  <si>
    <t>5384XX</t>
  </si>
  <si>
    <t>58400008</t>
  </si>
  <si>
    <t>University transfers</t>
  </si>
  <si>
    <t>4385XX</t>
  </si>
  <si>
    <t>Mandatory</t>
  </si>
  <si>
    <t>4386XX</t>
  </si>
  <si>
    <t>Non Mandatory</t>
  </si>
  <si>
    <t>4387XX</t>
  </si>
  <si>
    <t>Inter-Institutional</t>
  </si>
  <si>
    <t>5385XX</t>
  </si>
  <si>
    <t>5386XX</t>
  </si>
  <si>
    <t>5387XX</t>
  </si>
  <si>
    <t>Accounts 47750000, 55750000</t>
  </si>
  <si>
    <t>Extraordinary gain (loss):</t>
  </si>
  <si>
    <t>.   Extraordinary gain</t>
  </si>
  <si>
    <t>EXTRAORDINARY GAIN</t>
  </si>
  <si>
    <t>.   Extraordinary loss</t>
  </si>
  <si>
    <t>EXTRAORDINARY LOSS</t>
  </si>
  <si>
    <t>Account 32000100</t>
  </si>
  <si>
    <t xml:space="preserve">905Hosp - Offline Proprietary Proforma for UNC-Health Care Reporting Unit  - Combining Stmt of Net Position &amp; 
Stmt of Revenues, Expenses and Changes in Net Position </t>
  </si>
  <si>
    <t xml:space="preserve">Crossfoot </t>
  </si>
  <si>
    <r>
      <rPr>
        <u/>
        <sz val="8"/>
        <rFont val="Arial"/>
        <family val="2"/>
      </rPr>
      <t>Instructions</t>
    </r>
    <r>
      <rPr>
        <sz val="8"/>
        <rFont val="Arial"/>
        <family val="2"/>
      </rPr>
      <t xml:space="preserve">: 
(1) Key to each member entity's column.  The balances for the UNC Health Care System as a whole (column F) will automatically populate based on the sum of the balances in the member entities' columns, except for the shaded cells.  The shaded cells in the UNC Health Care System column (column F) automatically link to other worksheets that must be completed first.
(2) Be sure to sign and date the certification box at the bottom of the worksheet.  (You may either type the signature or paste a digital picture of the signature.)  </t>
    </r>
  </si>
  <si>
    <t>Removed FY20</t>
  </si>
  <si>
    <t>Agency number</t>
  </si>
  <si>
    <t>48X</t>
  </si>
  <si>
    <t>Eliminations</t>
  </si>
  <si>
    <t>48</t>
  </si>
  <si>
    <t>48E</t>
  </si>
  <si>
    <t>48L</t>
  </si>
  <si>
    <t>48R</t>
  </si>
  <si>
    <t>48C</t>
  </si>
  <si>
    <t>48T</t>
  </si>
  <si>
    <t>48RH</t>
  </si>
  <si>
    <t>48CW</t>
  </si>
  <si>
    <t>48HP</t>
  </si>
  <si>
    <t>Agency GASB number</t>
  </si>
  <si>
    <t>263X</t>
  </si>
  <si>
    <t>2631&amp;2634</t>
  </si>
  <si>
    <t>26xx</t>
  </si>
  <si>
    <t>UNC Health Care</t>
  </si>
  <si>
    <t>Hospital-wide</t>
  </si>
  <si>
    <t>UNC Hosp</t>
  </si>
  <si>
    <t>Liability Insurance</t>
  </si>
  <si>
    <t>Rex</t>
  </si>
  <si>
    <t xml:space="preserve">Chatham </t>
  </si>
  <si>
    <t>UNC</t>
  </si>
  <si>
    <t>Rockingham</t>
  </si>
  <si>
    <t>Caldwell</t>
  </si>
  <si>
    <t>High Point</t>
  </si>
  <si>
    <t>Rep Unit Total</t>
  </si>
  <si>
    <t>UNC Hospitals</t>
  </si>
  <si>
    <t>Enterprise Fund</t>
  </si>
  <si>
    <t>Trust Fund</t>
  </si>
  <si>
    <t>Healthcare</t>
  </si>
  <si>
    <t>Hospital</t>
  </si>
  <si>
    <t>Physicians Ntwrk</t>
  </si>
  <si>
    <t>Health Care</t>
  </si>
  <si>
    <t>Memorial</t>
  </si>
  <si>
    <t>Lease receivable, net</t>
  </si>
  <si>
    <t xml:space="preserve">PPP Asset Receivable – Current                  </t>
  </si>
  <si>
    <t>*Removed FCCS Account Codes*</t>
  </si>
  <si>
    <t>Due to agency/institution component units (ws 616)</t>
  </si>
  <si>
    <t>Asset Retirement Obligation-current (ws 310)</t>
  </si>
  <si>
    <t>Leases liability (ws 310)</t>
  </si>
  <si>
    <t>Asset Retirement Obligation (ws 310)</t>
  </si>
  <si>
    <t xml:space="preserve">Supplies and materials </t>
  </si>
  <si>
    <t>Beginning net position total = ending net position per prior yr Annual Rprt</t>
  </si>
  <si>
    <t>Certification required for UNC Health Care System:</t>
  </si>
  <si>
    <t>I hereby certify that the financial information for the UNC Health Care System above is complete and includes every</t>
  </si>
  <si>
    <t>member of the UNC Health Care System financial reporting entity.  I further certify that the balances for each member</t>
  </si>
  <si>
    <t>entity (i.e. each column) reconcile back to that member's w/s 905.  I certify that the above reconciliation has been</t>
  </si>
  <si>
    <t>reviewed by appropriate management of the UNC Health Care System.</t>
  </si>
  <si>
    <t>33240G</t>
  </si>
  <si>
    <t>06BC</t>
  </si>
  <si>
    <t>Offline Fiduciary Proforma for Deferred Compensation Plan 
Stmt of Net Position &amp; Stmt of Changes in Net Postion  - 906-6B</t>
  </si>
  <si>
    <t xml:space="preserve">Notes: This worksheet is only for Deferred Comp, so NA for all others. </t>
  </si>
  <si>
    <t>6B</t>
  </si>
  <si>
    <t>Deferred Compensation Plan</t>
  </si>
  <si>
    <r>
      <rPr>
        <u/>
        <sz val="8"/>
        <rFont val="Arial"/>
        <family val="2"/>
      </rPr>
      <t>Instructions</t>
    </r>
    <r>
      <rPr>
        <sz val="8"/>
        <rFont val="Arial"/>
        <family val="2"/>
      </rPr>
      <t>: Please key current year financial statements  to Column J, except for shaded cells and totals.</t>
    </r>
  </si>
  <si>
    <t>Column J</t>
  </si>
  <si>
    <t>Investments:</t>
  </si>
  <si>
    <t xml:space="preserve">  U.S. government and agency securities</t>
  </si>
  <si>
    <t xml:space="preserve">  Mortgage pass throughs</t>
  </si>
  <si>
    <t>*Not being Used</t>
  </si>
  <si>
    <t xml:space="preserve">  Collateralized mortgage obligations</t>
  </si>
  <si>
    <t xml:space="preserve">  Government bonds</t>
  </si>
  <si>
    <t xml:space="preserve">  Asset-backed securities</t>
  </si>
  <si>
    <t xml:space="preserve">  Negotiable certificates of deposit</t>
  </si>
  <si>
    <t xml:space="preserve">  Repurchase agreements</t>
  </si>
  <si>
    <t xml:space="preserve">  Commercial paper</t>
  </si>
  <si>
    <t xml:space="preserve">  Annuity contracts</t>
  </si>
  <si>
    <t xml:space="preserve">  Corporate bonds</t>
  </si>
  <si>
    <t xml:space="preserve">  Certificates of deposit</t>
  </si>
  <si>
    <t xml:space="preserve">  Collective investment funds</t>
  </si>
  <si>
    <t>CollInvFund</t>
  </si>
  <si>
    <t xml:space="preserve">  Pooled debt funds</t>
  </si>
  <si>
    <t xml:space="preserve">  Unallocated insurance contracts</t>
  </si>
  <si>
    <t>UnalInsCont</t>
  </si>
  <si>
    <t xml:space="preserve">  Synthetic guaranteed investment contracts</t>
  </si>
  <si>
    <t>SynthInvCont</t>
  </si>
  <si>
    <t xml:space="preserve">  Non-State Treasurer pooled investments</t>
  </si>
  <si>
    <t xml:space="preserve">  Accounts receivable</t>
  </si>
  <si>
    <t xml:space="preserve">  Interest receivable</t>
  </si>
  <si>
    <t xml:space="preserve">  Contributions receivable</t>
  </si>
  <si>
    <t>Sureties</t>
  </si>
  <si>
    <t xml:space="preserve">Capital assets-nondepreciable </t>
  </si>
  <si>
    <t xml:space="preserve">Capital assets-depreciable, net </t>
  </si>
  <si>
    <t>Benefits payable</t>
  </si>
  <si>
    <t xml:space="preserve">  Other employee benefits</t>
  </si>
  <si>
    <t>OthEmpBenefitsNP</t>
  </si>
  <si>
    <t>Stmnt of Fid Net Position verification</t>
  </si>
  <si>
    <t>Additions:</t>
  </si>
  <si>
    <t xml:space="preserve">  Employer</t>
  </si>
  <si>
    <t xml:space="preserve">  Members</t>
  </si>
  <si>
    <t xml:space="preserve">  Trustee deposits</t>
  </si>
  <si>
    <t xml:space="preserve">  Other contributions</t>
  </si>
  <si>
    <t xml:space="preserve">    Total contributions</t>
  </si>
  <si>
    <t>Investment income:</t>
  </si>
  <si>
    <t xml:space="preserve">  Investment earnings (loss)</t>
  </si>
  <si>
    <t xml:space="preserve">  Less investment expenses</t>
  </si>
  <si>
    <t xml:space="preserve">    Net investment income (loss)</t>
  </si>
  <si>
    <t xml:space="preserve">  Fees, licenses and fines</t>
  </si>
  <si>
    <t xml:space="preserve">  Interest earnings on loans</t>
  </si>
  <si>
    <t xml:space="preserve">  Miscellaneous</t>
  </si>
  <si>
    <t xml:space="preserve">    Total other additions</t>
  </si>
  <si>
    <t>Deductions:</t>
  </si>
  <si>
    <t>Administrative expenses</t>
  </si>
  <si>
    <t>AdminExp</t>
  </si>
  <si>
    <t>Other deductions</t>
  </si>
  <si>
    <t xml:space="preserve">  Total deductions</t>
  </si>
  <si>
    <t xml:space="preserve">    Change in net position</t>
  </si>
  <si>
    <t>Net position - beginning</t>
  </si>
  <si>
    <t>Restatement</t>
  </si>
  <si>
    <t>Net position - ending</t>
  </si>
  <si>
    <t>Stmnt of Changes in Net Position verification</t>
  </si>
  <si>
    <t>33180G</t>
  </si>
  <si>
    <t>Offline Fiduciary Proforma for NC 401(k) Plan 
Stmt of Net Position &amp; Stmt of Changes in Net Postion - 906-6C</t>
  </si>
  <si>
    <t xml:space="preserve">Notes: This worksheet is only for 401(k) , so NA for all others. </t>
  </si>
  <si>
    <t>6C</t>
  </si>
  <si>
    <t>NC 401(k) Plan</t>
  </si>
  <si>
    <t xml:space="preserve">  Pension benefits</t>
  </si>
  <si>
    <t>PensionBen</t>
  </si>
  <si>
    <r>
      <rPr>
        <b/>
        <sz val="10"/>
        <rFont val="Arial"/>
        <family val="2"/>
      </rPr>
      <t xml:space="preserve">Offline Fiduciary Proforma-Deferred Comp and NC 401(k) </t>
    </r>
    <r>
      <rPr>
        <b/>
        <sz val="12"/>
        <rFont val="Arial"/>
        <family val="2"/>
      </rPr>
      <t xml:space="preserve">
</t>
    </r>
    <r>
      <rPr>
        <b/>
        <sz val="10"/>
        <rFont val="Arial"/>
        <family val="2"/>
      </rPr>
      <t>Combining Stmt of Net Position &amp; Stmt of Changes in Net Postion - 906-6BC</t>
    </r>
  </si>
  <si>
    <t>This worksheet is only for Def Comp and 401(k) combined Package so is NA for all others.</t>
  </si>
  <si>
    <t>6BC</t>
  </si>
  <si>
    <t>Deferred Comp &amp; NC 401(k) Plan</t>
  </si>
  <si>
    <t>3324&amp;3318</t>
  </si>
  <si>
    <r>
      <rPr>
        <u/>
        <sz val="9"/>
        <rFont val="Arial"/>
        <family val="2"/>
      </rPr>
      <t>Note</t>
    </r>
    <r>
      <rPr>
        <sz val="9"/>
        <rFont val="Arial"/>
        <family val="2"/>
      </rPr>
      <t>: Please do not key to this worksheet. It is populated from the 906-6B and 906-6C worksheets</t>
    </r>
  </si>
  <si>
    <t>Total Def Comp + 401(k)</t>
  </si>
  <si>
    <t>Deferred Comp  906-6B</t>
  </si>
  <si>
    <t>401(k)  906-6C</t>
  </si>
  <si>
    <t xml:space="preserve"> Net Position verification between SNP &amp; O/S</t>
  </si>
  <si>
    <t>Offline Custodial Funds Proforma - 907</t>
  </si>
  <si>
    <t>Statements of Fiduciary Net Position &amp; Changes in Net Position</t>
  </si>
  <si>
    <t>Balance
June 30, 2024</t>
  </si>
  <si>
    <t>Cash &amp; cash equivalents</t>
  </si>
  <si>
    <t xml:space="preserve">  Bank investment contracts</t>
  </si>
  <si>
    <t xml:space="preserve">  U.S. Govt. securities</t>
  </si>
  <si>
    <t xml:space="preserve">  State and municipal securities</t>
  </si>
  <si>
    <t xml:space="preserve">  Corporate stocks</t>
  </si>
  <si>
    <t xml:space="preserve">  Mutual funds</t>
  </si>
  <si>
    <t xml:space="preserve">  Accounts receivables</t>
  </si>
  <si>
    <t>Notes receivables</t>
  </si>
  <si>
    <t>Capital assets-nondepreciable</t>
  </si>
  <si>
    <t>Capital assets-depreciable,net</t>
  </si>
  <si>
    <t>Funds Held for Others</t>
  </si>
  <si>
    <t>Individuals, organizations, and other governments</t>
  </si>
  <si>
    <t>Participant deposits</t>
  </si>
  <si>
    <t>Less investment expenses</t>
  </si>
  <si>
    <t>Net investment income</t>
  </si>
  <si>
    <t>Payments in accordance with custodial arrangements</t>
  </si>
  <si>
    <t xml:space="preserve">Net position - July 1, as originally reported </t>
  </si>
  <si>
    <t>Net position - June 30</t>
  </si>
  <si>
    <t>Offline Governmental Funds Proforma - 908</t>
  </si>
  <si>
    <t>Balance Sheet and Statement of Revenues, Expenditures and Changes in Fund Balance</t>
  </si>
  <si>
    <t>ONLY APPLICABLE FOR DEPARTMENT OF CULTURAL RESOURCES</t>
  </si>
  <si>
    <t>BALANCE SHEET:</t>
  </si>
  <si>
    <t>Receivables, net:</t>
  </si>
  <si>
    <t xml:space="preserve">  Intergovernmental receivable</t>
  </si>
  <si>
    <t xml:space="preserve">  Other receivable</t>
  </si>
  <si>
    <t>Notes receivables, net</t>
  </si>
  <si>
    <t>Restricted investments</t>
  </si>
  <si>
    <t>Total Assets and Deferred Outflows</t>
  </si>
  <si>
    <t xml:space="preserve">  Accounts payable</t>
  </si>
  <si>
    <t xml:space="preserve">  Accrued payroll</t>
  </si>
  <si>
    <t xml:space="preserve">  Intergovernmental payable</t>
  </si>
  <si>
    <t>Total Deferred Inflows of Resources</t>
  </si>
  <si>
    <t>Fund Balance</t>
  </si>
  <si>
    <t>Nonspendable</t>
  </si>
  <si>
    <t>Total Fund Balance</t>
  </si>
  <si>
    <t>Total Liabilities, Deferred Inflows and Fund Balance</t>
  </si>
  <si>
    <t>STATEMENT OF REVENUES, EXPENDITURES AND CHANGES IN FUND BALANCE</t>
  </si>
  <si>
    <t>For the Fiscal Year Ended
June 30, 2024</t>
  </si>
  <si>
    <t>Federal funds</t>
  </si>
  <si>
    <t>Local funds</t>
  </si>
  <si>
    <t>422AA000</t>
  </si>
  <si>
    <t>Investment earnings (losses)</t>
  </si>
  <si>
    <t>Rental and lease property</t>
  </si>
  <si>
    <t>Fees, licenses, and fines</t>
  </si>
  <si>
    <t>Contributions, gifts, and grants</t>
  </si>
  <si>
    <t>Federal COVID-19 funds</t>
  </si>
  <si>
    <t xml:space="preserve">  Total revenues</t>
  </si>
  <si>
    <t>Current:</t>
  </si>
  <si>
    <t xml:space="preserve">  Environment and natural resources</t>
  </si>
  <si>
    <t>Total expenditures</t>
  </si>
  <si>
    <t>Excess revenues over (under) expenditures</t>
  </si>
  <si>
    <t>Other Financing Sources (Uses)</t>
  </si>
  <si>
    <t>481AA000</t>
  </si>
  <si>
    <t>581AA000</t>
  </si>
  <si>
    <t xml:space="preserve">  Total other financing sources (uses)</t>
  </si>
  <si>
    <t>Net change in fund balance</t>
  </si>
  <si>
    <t xml:space="preserve">Fund balance - July 1, as restated </t>
  </si>
  <si>
    <t>Fund balance - June 30</t>
  </si>
  <si>
    <t>Thresholds:</t>
  </si>
  <si>
    <t>Percent change</t>
  </si>
  <si>
    <t>Offline Computed Variances  - 910</t>
  </si>
  <si>
    <t>$ value of change</t>
  </si>
  <si>
    <t>From the 905 for Analytical Review ws 625</t>
  </si>
  <si>
    <t>Number of comments</t>
  </si>
  <si>
    <r>
      <rPr>
        <u/>
        <sz val="9"/>
        <rFont val="Arial"/>
        <family val="2"/>
      </rPr>
      <t>Note</t>
    </r>
    <r>
      <rPr>
        <sz val="9"/>
        <rFont val="Arial"/>
        <family val="2"/>
      </rPr>
      <t>: Please do not key to this worksheet. It is populated from the 905 and PriorYr905 worksheets, so the cells are locked.</t>
    </r>
  </si>
  <si>
    <t>From 905 Tab</t>
  </si>
  <si>
    <t>From PriorYr905 tab</t>
  </si>
  <si>
    <t>For ws 625</t>
  </si>
  <si>
    <t>% Diff</t>
  </si>
  <si>
    <t>C=Comment</t>
  </si>
  <si>
    <r>
      <rPr>
        <b/>
        <u/>
        <sz val="8"/>
        <rFont val="Arial"/>
        <family val="2"/>
      </rPr>
      <t>SNP</t>
    </r>
    <r>
      <rPr>
        <b/>
        <sz val="8"/>
        <rFont val="Arial"/>
        <family val="2"/>
      </rPr>
      <t xml:space="preserve"> - ASSETS</t>
    </r>
  </si>
  <si>
    <t>Due from State of NC component units</t>
  </si>
  <si>
    <t>NEW FY 2024</t>
  </si>
  <si>
    <t>Restricted pooled cash</t>
  </si>
  <si>
    <t>Prepaid Items</t>
  </si>
  <si>
    <t>Restricted pooled investments</t>
  </si>
  <si>
    <t>Restricted due from State of NC component units</t>
  </si>
  <si>
    <t>Capital assets - nondepreciable:</t>
  </si>
  <si>
    <t>Land and permanent easements</t>
  </si>
  <si>
    <t>Art, literature and artifacts, nondepreciable</t>
  </si>
  <si>
    <t>Construction in progress</t>
  </si>
  <si>
    <t>Computer software in deveopment</t>
  </si>
  <si>
    <t>Patents in development</t>
  </si>
  <si>
    <t>Other intangible assets, nondepreciable</t>
  </si>
  <si>
    <t>Total capital assets, nondepreciable</t>
  </si>
  <si>
    <t>Capital assets - depreciable:</t>
  </si>
  <si>
    <t>Art, literature and artifacts, depreciable</t>
  </si>
  <si>
    <t>General infrastructure</t>
  </si>
  <si>
    <t>Right to use lease asset-Land</t>
  </si>
  <si>
    <t>Right to use lease asset-Buildings</t>
  </si>
  <si>
    <t>Right to use lease asset-Machinery and Equipment</t>
  </si>
  <si>
    <t>Right to use lease asset-General Infrastructure</t>
  </si>
  <si>
    <t>Right to Use PPP Asset (ws 201)…....................................</t>
  </si>
  <si>
    <t xml:space="preserve">Computer software </t>
  </si>
  <si>
    <t>Other intangible assets, depreciable</t>
  </si>
  <si>
    <t>Total Capital assets - depreciable, net</t>
  </si>
  <si>
    <t>Total Noncurrent Assets</t>
  </si>
  <si>
    <t>Total Deferred Outflows of Resources</t>
  </si>
  <si>
    <t xml:space="preserve">LIABILITIES </t>
  </si>
  <si>
    <t xml:space="preserve">Revolving line of credit </t>
  </si>
  <si>
    <t>Due to State of NC component units</t>
  </si>
  <si>
    <t>Notes from direct borrowings-current</t>
  </si>
  <si>
    <t>Leases liability - current</t>
  </si>
  <si>
    <t>SBITA liability-current (ws 310)…..............................</t>
  </si>
  <si>
    <t>PPP Liability - current (ws 310)….....................................</t>
  </si>
  <si>
    <t>Bonds and similar debt payable, net - current</t>
  </si>
  <si>
    <t>Arbitrage rebate payable - current</t>
  </si>
  <si>
    <t>Workers compensation - current</t>
  </si>
  <si>
    <t>Annuity and life income payable - current</t>
  </si>
  <si>
    <t>Pollution remediation payable - current</t>
  </si>
  <si>
    <t>Asset retirement obligation - current</t>
  </si>
  <si>
    <t xml:space="preserve">Compensated absences-current </t>
  </si>
  <si>
    <t>Net pension liability-current</t>
  </si>
  <si>
    <t>Net OPEB liability-current</t>
  </si>
  <si>
    <t>Liability insurance trust fund payable - current</t>
  </si>
  <si>
    <t>Other long-term liabilities - current</t>
  </si>
  <si>
    <t>Advance from primary government</t>
  </si>
  <si>
    <t>Leases Liability</t>
  </si>
  <si>
    <t>SBITA liablity ….............................................................................</t>
  </si>
  <si>
    <t>PPP Liability …........................................................</t>
  </si>
  <si>
    <t>Bonds and similar debt payable, net</t>
  </si>
  <si>
    <t xml:space="preserve">Compensated absences </t>
  </si>
  <si>
    <t xml:space="preserve">Net pension liability </t>
  </si>
  <si>
    <t>Other long-term liabilities</t>
  </si>
  <si>
    <t>Total noncurrent Liabilities</t>
  </si>
  <si>
    <t>Deferred inflows for PPP Arrangements</t>
  </si>
  <si>
    <t>Review net position changes and classifications for reasonableness</t>
  </si>
  <si>
    <t>Net Investment in capital assets</t>
  </si>
  <si>
    <t xml:space="preserve">   Restricted Nonexpendable:</t>
  </si>
  <si>
    <t xml:space="preserve">      Higher education</t>
  </si>
  <si>
    <t xml:space="preserve">      Health and human services</t>
  </si>
  <si>
    <t xml:space="preserve">      Economic development</t>
  </si>
  <si>
    <t>Other Purposes *NA for Universities*</t>
  </si>
  <si>
    <t xml:space="preserve">Statement of Net Position verification </t>
  </si>
  <si>
    <t>SRECNP</t>
  </si>
  <si>
    <t>Operating Revenues:</t>
  </si>
  <si>
    <t>Total operating revenues</t>
  </si>
  <si>
    <t>Operating Expenses:</t>
  </si>
  <si>
    <t>Total operating expenses</t>
  </si>
  <si>
    <t>Operating income (loss)</t>
  </si>
  <si>
    <t>State aid - general</t>
  </si>
  <si>
    <t>Gain on sale of property &amp; equipment</t>
  </si>
  <si>
    <t>Loss on sale of property &amp; equipment</t>
  </si>
  <si>
    <t>Federal  interest subsidy on debt</t>
  </si>
  <si>
    <t>Total nonoperating revenues (expenses)</t>
  </si>
  <si>
    <t>Income before other rev, exp, gains, or losses</t>
  </si>
  <si>
    <t>State capital aid</t>
  </si>
  <si>
    <t>Increase (Decrease) in Net Position</t>
  </si>
  <si>
    <t>Review</t>
  </si>
  <si>
    <t>Net position—beginning of year</t>
  </si>
  <si>
    <t>Net Position for</t>
  </si>
  <si>
    <t>reasonableness</t>
  </si>
  <si>
    <t>Net position—end of year</t>
  </si>
  <si>
    <t xml:space="preserve">Net position between Stmt of Net Position and O/S </t>
  </si>
  <si>
    <t>Offline Computed Variances  - 910Hosp
For 48X UNC Health Care Combined Pkg; NA for others</t>
  </si>
  <si>
    <r>
      <rPr>
        <u/>
        <sz val="9"/>
        <rFont val="Arial"/>
        <family val="2"/>
      </rPr>
      <t>Note</t>
    </r>
    <r>
      <rPr>
        <sz val="9"/>
        <rFont val="Arial"/>
        <family val="2"/>
      </rPr>
      <t>: Please do not key to this worksheet. It is populated from the 905Hosp and PriorYr905 worksheets, so the cells are locked.</t>
    </r>
  </si>
  <si>
    <t>From 905Hosp Tab</t>
  </si>
  <si>
    <t>Right to Use PPP Asset (ws 201)…..............................</t>
  </si>
  <si>
    <t>NEW FY 2024 ????</t>
  </si>
  <si>
    <t xml:space="preserve">    SBITA Asset (ws 201)</t>
  </si>
  <si>
    <t xml:space="preserve">Accumulated decr in fair value of hedging derivative </t>
  </si>
  <si>
    <t>SBITA liability-current (ws 310)…..........................</t>
  </si>
  <si>
    <t>PPP Liability - current (ws 310)…................................</t>
  </si>
  <si>
    <t>Leases liability</t>
  </si>
  <si>
    <t>PPP Liability …........................................</t>
  </si>
  <si>
    <t xml:space="preserve">Accumulated incr in fair value of hedging derivative </t>
  </si>
  <si>
    <t>Offline Fiduciary Analytical Review for Deferred Comp  - Computed Variances - 911-6B</t>
  </si>
  <si>
    <t>Note: for 6B - Deferred Comp only-NA all other agencies</t>
  </si>
  <si>
    <t>3324</t>
  </si>
  <si>
    <t>From 906-6B tab</t>
  </si>
  <si>
    <t>From PriorYr906 tab</t>
  </si>
  <si>
    <t xml:space="preserve">   Mortgage pass throughs</t>
  </si>
  <si>
    <t xml:space="preserve">   Collateralized mortgage obligations</t>
  </si>
  <si>
    <t xml:space="preserve">  Collective investment funds*</t>
  </si>
  <si>
    <t xml:space="preserve">  Non-State Treasurer pooled  investments</t>
  </si>
  <si>
    <t>Capital assets-depreciable, net</t>
  </si>
  <si>
    <t>Held in trust for:</t>
  </si>
  <si>
    <t>Employees pension and other benefits</t>
  </si>
  <si>
    <t xml:space="preserve"> Employer</t>
  </si>
  <si>
    <t xml:space="preserve"> Members</t>
  </si>
  <si>
    <t xml:space="preserve"> Trustee deposits</t>
  </si>
  <si>
    <t xml:space="preserve"> Other contributions</t>
  </si>
  <si>
    <t xml:space="preserve">   Total contributions</t>
  </si>
  <si>
    <t xml:space="preserve"> Investment earnings(loss)</t>
  </si>
  <si>
    <t xml:space="preserve"> Less investment expenses</t>
  </si>
  <si>
    <t xml:space="preserve">    Net investment income(loss)</t>
  </si>
  <si>
    <t xml:space="preserve"> Fees, licenses and fines</t>
  </si>
  <si>
    <t xml:space="preserve"> Interest earnings on loans</t>
  </si>
  <si>
    <t xml:space="preserve"> Miscellaneous</t>
  </si>
  <si>
    <t xml:space="preserve">   Total other additions</t>
  </si>
  <si>
    <t xml:space="preserve">   Change in net assets</t>
  </si>
  <si>
    <t>Net position—July 1</t>
  </si>
  <si>
    <t>Net position—June 30</t>
  </si>
  <si>
    <t>Verification of Net Position between statements</t>
  </si>
  <si>
    <t xml:space="preserve">* Note caption name changed from Mutual funds for 2011 Annual Report to Collective investment funds for 2012 Annual Report per request from DST </t>
  </si>
  <si>
    <t>on 7-24-12.</t>
  </si>
  <si>
    <t>Offline Fiduciary Analytical Review for  NC 401(k)  - Computed Variances - 911-6C</t>
  </si>
  <si>
    <t>Note: for 6C - NC 401(k) only-NA all other agencies</t>
  </si>
  <si>
    <t>3318</t>
  </si>
  <si>
    <t>From 906-6C tab</t>
  </si>
  <si>
    <t xml:space="preserve">   Change in net position</t>
  </si>
  <si>
    <t>Explanations</t>
  </si>
  <si>
    <t>GASB Fund No: All</t>
  </si>
  <si>
    <t>Wksht</t>
  </si>
  <si>
    <t>All</t>
  </si>
  <si>
    <t>This sheet is optional but we encourage your participation.</t>
  </si>
  <si>
    <t xml:space="preserve">The OSC is committed to improving our year end process.  We would appreciate any comments or </t>
  </si>
  <si>
    <t>suggestions you may have in this regard.  We will use this feedback as a quality tool to enhance</t>
  </si>
  <si>
    <t>the year end package for next year.  Thank you.</t>
  </si>
  <si>
    <t>Agency 
Number</t>
  </si>
  <si>
    <t>2024 Agency  Name</t>
  </si>
  <si>
    <t>Type of Agency**</t>
  </si>
  <si>
    <t>01</t>
  </si>
  <si>
    <t>PG</t>
  </si>
  <si>
    <t>02</t>
  </si>
  <si>
    <t>03</t>
  </si>
  <si>
    <t>Office of the Governor</t>
  </si>
  <si>
    <t>04</t>
  </si>
  <si>
    <t>Office of Lieutenant Governor</t>
  </si>
  <si>
    <t>05</t>
  </si>
  <si>
    <t>Office of the Secretary of State</t>
  </si>
  <si>
    <t>06</t>
  </si>
  <si>
    <t>Office of the State Auditor</t>
  </si>
  <si>
    <t>07</t>
  </si>
  <si>
    <t xml:space="preserve">Department of the State Treasurer </t>
  </si>
  <si>
    <t>Dept. State Treasurer - State Health Plan</t>
  </si>
  <si>
    <t>CU-Major</t>
  </si>
  <si>
    <t>08</t>
  </si>
  <si>
    <t xml:space="preserve">Department of Public Instruction </t>
  </si>
  <si>
    <t>09</t>
  </si>
  <si>
    <t xml:space="preserve">Department of Justice </t>
  </si>
  <si>
    <t>10</t>
  </si>
  <si>
    <t>Department of Agriculture</t>
  </si>
  <si>
    <t>11</t>
  </si>
  <si>
    <t>Department of Labor</t>
  </si>
  <si>
    <t>12</t>
  </si>
  <si>
    <t xml:space="preserve">Department of Insurance </t>
  </si>
  <si>
    <t>13</t>
  </si>
  <si>
    <t xml:space="preserve">Department of Administration </t>
  </si>
  <si>
    <t>14</t>
  </si>
  <si>
    <t xml:space="preserve">Office of the State Controller </t>
  </si>
  <si>
    <t>15</t>
  </si>
  <si>
    <t>16</t>
  </si>
  <si>
    <t>17</t>
  </si>
  <si>
    <t>19</t>
  </si>
  <si>
    <t>Dept. of Public Safety</t>
  </si>
  <si>
    <t>2X</t>
  </si>
  <si>
    <t>Dept. of Health and Human Services</t>
  </si>
  <si>
    <t>3X</t>
  </si>
  <si>
    <t>DHHS - Mental Health</t>
  </si>
  <si>
    <t>40</t>
  </si>
  <si>
    <t>Department of Military &amp; Veterans Affairs</t>
  </si>
  <si>
    <t>41</t>
  </si>
  <si>
    <t>Department of Information Technology</t>
  </si>
  <si>
    <t>43</t>
  </si>
  <si>
    <t>Department of Commerce</t>
  </si>
  <si>
    <t>45</t>
  </si>
  <si>
    <t>46</t>
  </si>
  <si>
    <t>UNC Hlth Care Rep Unit (Combined Pkg)</t>
  </si>
  <si>
    <t>CU-UNC</t>
  </si>
  <si>
    <t>UNC Hospitals - Enterprise Fund</t>
  </si>
  <si>
    <t>UNC Hospitals - LITF</t>
  </si>
  <si>
    <t>Rex Healthcare</t>
  </si>
  <si>
    <t>Chatham Hospital</t>
  </si>
  <si>
    <t>UNC Physicians Network</t>
  </si>
  <si>
    <t>UNC Rockingham Health Care</t>
  </si>
  <si>
    <t>Caldwell Memorial Hospital</t>
  </si>
  <si>
    <t>49 State Bureau of Investigation</t>
  </si>
  <si>
    <t>49</t>
  </si>
  <si>
    <t>50</t>
  </si>
  <si>
    <t>52 Department of Adult Correction</t>
  </si>
  <si>
    <t>52</t>
  </si>
  <si>
    <t>Department of Adult Correction</t>
  </si>
  <si>
    <t>60</t>
  </si>
  <si>
    <t>State Board of Elections</t>
  </si>
  <si>
    <t>61</t>
  </si>
  <si>
    <t>NC Education Lottery</t>
  </si>
  <si>
    <t>67</t>
  </si>
  <si>
    <t>Office of Administrative Hearings</t>
  </si>
  <si>
    <t>69</t>
  </si>
  <si>
    <t>USS North Carolina Battleship Comm.</t>
  </si>
  <si>
    <t>Deferred Comp &amp; NC 401(k)-Combined Pkg</t>
  </si>
  <si>
    <t>87</t>
  </si>
  <si>
    <t>NC School of Science &amp; Mathematics</t>
  </si>
  <si>
    <t>90</t>
  </si>
  <si>
    <t>General Fund - OSC</t>
  </si>
  <si>
    <t>99</t>
  </si>
  <si>
    <t>General Fund - DOR</t>
  </si>
  <si>
    <t>RX</t>
  </si>
  <si>
    <t>OSC-Central Accounts</t>
  </si>
  <si>
    <t>U10</t>
  </si>
  <si>
    <t>UNC-System Office</t>
  </si>
  <si>
    <t>U20</t>
  </si>
  <si>
    <t>UNC at Chapel Hill</t>
  </si>
  <si>
    <t>U30</t>
  </si>
  <si>
    <t>North Carolina State University</t>
  </si>
  <si>
    <t>U40</t>
  </si>
  <si>
    <t>UNC at Greensboro</t>
  </si>
  <si>
    <t>U50</t>
  </si>
  <si>
    <t>UNC at Charlotte</t>
  </si>
  <si>
    <t>U55</t>
  </si>
  <si>
    <t>UNC at Asheville</t>
  </si>
  <si>
    <t>U60</t>
  </si>
  <si>
    <t>UNC at Wilmington</t>
  </si>
  <si>
    <t>U65</t>
  </si>
  <si>
    <t>East Carolina University</t>
  </si>
  <si>
    <t>U70</t>
  </si>
  <si>
    <t>North Carolina A&amp;T University</t>
  </si>
  <si>
    <t>U75</t>
  </si>
  <si>
    <t>Western Carolina University</t>
  </si>
  <si>
    <t>U80</t>
  </si>
  <si>
    <t>Appalachian State University</t>
  </si>
  <si>
    <t>U82</t>
  </si>
  <si>
    <t>UNC at Pembroke</t>
  </si>
  <si>
    <t>U84</t>
  </si>
  <si>
    <t>Winston-Salem State University</t>
  </si>
  <si>
    <t>U86</t>
  </si>
  <si>
    <t>Elizabeth City State University</t>
  </si>
  <si>
    <t>U88</t>
  </si>
  <si>
    <t>Fayetteville State University</t>
  </si>
  <si>
    <t>U90</t>
  </si>
  <si>
    <t>North Carolina Central University</t>
  </si>
  <si>
    <t>U92</t>
  </si>
  <si>
    <t>UNC School of the Arts</t>
  </si>
  <si>
    <t>ZL</t>
  </si>
  <si>
    <t>Gateway Research Park, Inc.</t>
  </si>
  <si>
    <t>ZN</t>
  </si>
  <si>
    <t>Project Kitty Hawk</t>
  </si>
  <si>
    <t>DATA FOR ANNUAL REPORT 5XX WORKSHEETS</t>
  </si>
  <si>
    <t>USED FOR  W/S 502, 505, 510, 515, 520</t>
  </si>
  <si>
    <t>0100</t>
  </si>
  <si>
    <t>ONLY INCLUDES AGENCIES</t>
  </si>
  <si>
    <t>0200</t>
  </si>
  <si>
    <t>0400</t>
  </si>
  <si>
    <t>0500</t>
  </si>
  <si>
    <t>0600</t>
  </si>
  <si>
    <t>0700</t>
  </si>
  <si>
    <t>0800</t>
  </si>
  <si>
    <t>0900</t>
  </si>
  <si>
    <t>1000</t>
  </si>
  <si>
    <t>1100</t>
  </si>
  <si>
    <t>1200</t>
  </si>
  <si>
    <t>1300</t>
  </si>
  <si>
    <t>1400</t>
  </si>
  <si>
    <t>1600</t>
  </si>
  <si>
    <t>1700</t>
  </si>
  <si>
    <t>1900</t>
  </si>
  <si>
    <t>Dept. of Adult Correction</t>
  </si>
  <si>
    <t>2X00</t>
  </si>
  <si>
    <t>3X00</t>
  </si>
  <si>
    <t>4000</t>
  </si>
  <si>
    <t>4100</t>
  </si>
  <si>
    <t>4300</t>
  </si>
  <si>
    <t>4500</t>
  </si>
  <si>
    <t>4600</t>
  </si>
  <si>
    <t xml:space="preserve">4900 </t>
  </si>
  <si>
    <t>5000</t>
  </si>
  <si>
    <t>5200</t>
  </si>
  <si>
    <t>6000</t>
  </si>
  <si>
    <t>6100</t>
  </si>
  <si>
    <t>6700</t>
  </si>
  <si>
    <t>6900</t>
  </si>
  <si>
    <t>9900</t>
  </si>
  <si>
    <t>RX00</t>
  </si>
  <si>
    <t>USED FOR W/S 525 AND 530</t>
  </si>
  <si>
    <t>ONLY COMPONENT UNITS</t>
  </si>
  <si>
    <t>4800</t>
  </si>
  <si>
    <t>8700</t>
  </si>
  <si>
    <t>U100</t>
  </si>
  <si>
    <t>U200</t>
  </si>
  <si>
    <t>U300</t>
  </si>
  <si>
    <t>U400</t>
  </si>
  <si>
    <t>U500</t>
  </si>
  <si>
    <t>U550</t>
  </si>
  <si>
    <t>U600</t>
  </si>
  <si>
    <t>U650</t>
  </si>
  <si>
    <t>U700</t>
  </si>
  <si>
    <t>U750</t>
  </si>
  <si>
    <t>U800</t>
  </si>
  <si>
    <t>U820</t>
  </si>
  <si>
    <t>U840</t>
  </si>
  <si>
    <t>U860</t>
  </si>
  <si>
    <t>U880</t>
  </si>
  <si>
    <t>U900</t>
  </si>
  <si>
    <t>U920</t>
  </si>
  <si>
    <t>0A00</t>
  </si>
  <si>
    <t>North Carolina Housing Finance Ag.</t>
  </si>
  <si>
    <t>CU-Nonmajor</t>
  </si>
  <si>
    <t>Z200</t>
  </si>
  <si>
    <t>NC Biotechnology Center</t>
  </si>
  <si>
    <t>Z300</t>
  </si>
  <si>
    <t>NC Global TransPark Authority</t>
  </si>
  <si>
    <t>Z3F0</t>
  </si>
  <si>
    <t>NC Global TransPark Authority Foundation</t>
  </si>
  <si>
    <t>Z700</t>
  </si>
  <si>
    <t>NC Partnership for Children</t>
  </si>
  <si>
    <t>ZA00</t>
  </si>
  <si>
    <t>NC State Ports Authority</t>
  </si>
  <si>
    <t>ZB00</t>
  </si>
  <si>
    <t>State Education Assistance Authority</t>
  </si>
  <si>
    <t>ZG00</t>
  </si>
  <si>
    <t>Centennial Authority</t>
  </si>
  <si>
    <t>ZH00</t>
  </si>
  <si>
    <t>NC Railroad Company</t>
  </si>
  <si>
    <t>ZI00</t>
  </si>
  <si>
    <t>The Golden LEAF, Inc.</t>
  </si>
  <si>
    <t>ZL00</t>
  </si>
  <si>
    <t>Gateway University Research Park, Inc.</t>
  </si>
  <si>
    <t>ZM00</t>
  </si>
  <si>
    <t>Economic Development Partnership of NC</t>
  </si>
  <si>
    <t>ZN00</t>
  </si>
  <si>
    <t>C0</t>
  </si>
  <si>
    <t>Alamance Community College</t>
  </si>
  <si>
    <t>CU-CC</t>
  </si>
  <si>
    <t>C2</t>
  </si>
  <si>
    <t>Asheville-Buncombe Technical Community College</t>
  </si>
  <si>
    <t>C3</t>
  </si>
  <si>
    <t>Beaufort County Community College</t>
  </si>
  <si>
    <t>C4</t>
  </si>
  <si>
    <t>Bladen Community College</t>
  </si>
  <si>
    <t>C5</t>
  </si>
  <si>
    <t>Blue Ridge Community College</t>
  </si>
  <si>
    <t>C6</t>
  </si>
  <si>
    <t>Brunswick Community College</t>
  </si>
  <si>
    <t>C7</t>
  </si>
  <si>
    <t>Caldwell Community College and Technical Institute</t>
  </si>
  <si>
    <t>C8</t>
  </si>
  <si>
    <t>Cape Fear Community College</t>
  </si>
  <si>
    <t>C9</t>
  </si>
  <si>
    <t>Carteret Community College</t>
  </si>
  <si>
    <t>CA</t>
  </si>
  <si>
    <t>Catawba Valley Community College</t>
  </si>
  <si>
    <t>CB</t>
  </si>
  <si>
    <t>Central Carolina Community College</t>
  </si>
  <si>
    <t>CC</t>
  </si>
  <si>
    <t>Central Piedmont Community College</t>
  </si>
  <si>
    <t>CD</t>
  </si>
  <si>
    <t>Cleveland Community College</t>
  </si>
  <si>
    <t>CE</t>
  </si>
  <si>
    <t>Coastal Carolina Community College</t>
  </si>
  <si>
    <t>CF</t>
  </si>
  <si>
    <t>College of the Albemarle</t>
  </si>
  <si>
    <t>CG</t>
  </si>
  <si>
    <t>Craven Community College</t>
  </si>
  <si>
    <t>CH</t>
  </si>
  <si>
    <t>Davidson County Community College</t>
  </si>
  <si>
    <t>CJ</t>
  </si>
  <si>
    <t>Durham Technical Community College</t>
  </si>
  <si>
    <t>CK</t>
  </si>
  <si>
    <t>Edgecombe Community College</t>
  </si>
  <si>
    <t>CL</t>
  </si>
  <si>
    <t>Fayetteville Technical Community College</t>
  </si>
  <si>
    <t>CM</t>
  </si>
  <si>
    <t>Forsyth Technical Community College</t>
  </si>
  <si>
    <t>CN</t>
  </si>
  <si>
    <t>Gaston College</t>
  </si>
  <si>
    <t>CP</t>
  </si>
  <si>
    <t>Guilford Technical Community College</t>
  </si>
  <si>
    <t>CQ</t>
  </si>
  <si>
    <t>Halifax Community College</t>
  </si>
  <si>
    <t>CR</t>
  </si>
  <si>
    <t>Haywood Community College</t>
  </si>
  <si>
    <t>CS</t>
  </si>
  <si>
    <t>Isothermal Community College</t>
  </si>
  <si>
    <t>CT</t>
  </si>
  <si>
    <t>James Sprunt Community College</t>
  </si>
  <si>
    <t>CU</t>
  </si>
  <si>
    <t>Johnston Community College</t>
  </si>
  <si>
    <t>CV</t>
  </si>
  <si>
    <t>Lenoir Community College</t>
  </si>
  <si>
    <t>CW</t>
  </si>
  <si>
    <t>Martin Community College</t>
  </si>
  <si>
    <t>CX</t>
  </si>
  <si>
    <t>Mayland Community College</t>
  </si>
  <si>
    <t>CY</t>
  </si>
  <si>
    <t>McDowell Technical Community College</t>
  </si>
  <si>
    <t>CZ</t>
  </si>
  <si>
    <t>Mitchell Community College</t>
  </si>
  <si>
    <t>D0</t>
  </si>
  <si>
    <t>Montgomery Community College</t>
  </si>
  <si>
    <t>D1</t>
  </si>
  <si>
    <t>Nash Community College</t>
  </si>
  <si>
    <t>D2</t>
  </si>
  <si>
    <t>Pamlico Community College</t>
  </si>
  <si>
    <t>D3</t>
  </si>
  <si>
    <t>Piedmont Community College</t>
  </si>
  <si>
    <t>D4</t>
  </si>
  <si>
    <t>Pitt Community College</t>
  </si>
  <si>
    <t>D5</t>
  </si>
  <si>
    <t>Randolph Community College</t>
  </si>
  <si>
    <t>D6</t>
  </si>
  <si>
    <t>Richmond Community College</t>
  </si>
  <si>
    <t>D7</t>
  </si>
  <si>
    <t>Roanoke-Chowan Community College</t>
  </si>
  <si>
    <t>D8</t>
  </si>
  <si>
    <t>Robeson Community College</t>
  </si>
  <si>
    <t>D9</t>
  </si>
  <si>
    <t>Rockingham Community College</t>
  </si>
  <si>
    <t>DA</t>
  </si>
  <si>
    <t>Rowan-Cabarrus Community College</t>
  </si>
  <si>
    <t>DB</t>
  </si>
  <si>
    <t>Sampson Community College</t>
  </si>
  <si>
    <t>DC</t>
  </si>
  <si>
    <t>Sandhills Community College</t>
  </si>
  <si>
    <t>C1</t>
  </si>
  <si>
    <t>South Piedmont Community College</t>
  </si>
  <si>
    <t>DD</t>
  </si>
  <si>
    <t>Southeastern Community College</t>
  </si>
  <si>
    <t>DE</t>
  </si>
  <si>
    <t>Southwestern Community College</t>
  </si>
  <si>
    <t>DF</t>
  </si>
  <si>
    <t>Stanly Community College</t>
  </si>
  <si>
    <t>DG</t>
  </si>
  <si>
    <t>Surry Community College</t>
  </si>
  <si>
    <t>DH</t>
  </si>
  <si>
    <t>Tri-County Community College</t>
  </si>
  <si>
    <t>DJ</t>
  </si>
  <si>
    <t>Vance-Granville Community College</t>
  </si>
  <si>
    <t>DK</t>
  </si>
  <si>
    <t>Wake Technical Community College</t>
  </si>
  <si>
    <t>DL</t>
  </si>
  <si>
    <t>Wayne Community College</t>
  </si>
  <si>
    <t>DM</t>
  </si>
  <si>
    <t>Western Piedmont Community College</t>
  </si>
  <si>
    <t>DN</t>
  </si>
  <si>
    <t>Wilkes Community College</t>
  </si>
  <si>
    <t>DP</t>
  </si>
  <si>
    <t>Wilson Community College</t>
  </si>
  <si>
    <t>Functional Table to be used for Worksheets 401, 405, 410, 415 and 420</t>
  </si>
  <si>
    <t>updated 3/06/2023</t>
  </si>
  <si>
    <t>Beginning FRU #</t>
  </si>
  <si>
    <t>Ending FRU #</t>
  </si>
  <si>
    <t>Beginning GASB #</t>
  </si>
  <si>
    <t>Ending GASB #</t>
  </si>
  <si>
    <t>010</t>
  </si>
  <si>
    <r>
      <t>1599</t>
    </r>
    <r>
      <rPr>
        <b/>
        <sz val="10"/>
        <rFont val="MS Sans Serif"/>
        <family val="2"/>
      </rPr>
      <t>*</t>
    </r>
  </si>
  <si>
    <t>Public Safety, Corrections &amp; Reg</t>
  </si>
  <si>
    <t>020</t>
  </si>
  <si>
    <t>022</t>
  </si>
  <si>
    <r>
      <t>Separate analysis required</t>
    </r>
    <r>
      <rPr>
        <b/>
        <sz val="10"/>
        <rFont val="MS Sans Serif"/>
        <family val="2"/>
      </rPr>
      <t>**</t>
    </r>
  </si>
  <si>
    <t>030</t>
  </si>
  <si>
    <t>035</t>
  </si>
  <si>
    <t>Health &amp; Human Services</t>
  </si>
  <si>
    <t>1398</t>
  </si>
  <si>
    <t>Capital Outlay</t>
  </si>
  <si>
    <t>1599</t>
  </si>
  <si>
    <t>040</t>
  </si>
  <si>
    <t>050</t>
  </si>
  <si>
    <t>051</t>
  </si>
  <si>
    <t>060</t>
  </si>
  <si>
    <t>070</t>
  </si>
  <si>
    <t>076</t>
  </si>
  <si>
    <t>Environment &amp; Natural Resource</t>
  </si>
  <si>
    <t>Higher Education - Student aid</t>
  </si>
  <si>
    <t>077</t>
  </si>
  <si>
    <t>078</t>
  </si>
  <si>
    <t>080</t>
  </si>
  <si>
    <t>083</t>
  </si>
  <si>
    <t>090</t>
  </si>
  <si>
    <t>100</t>
  </si>
  <si>
    <t>101</t>
  </si>
  <si>
    <t>110</t>
  </si>
  <si>
    <t>111</t>
  </si>
  <si>
    <t>120</t>
  </si>
  <si>
    <t>124</t>
  </si>
  <si>
    <t>130</t>
  </si>
  <si>
    <t>134</t>
  </si>
  <si>
    <t>140</t>
  </si>
  <si>
    <t>150</t>
  </si>
  <si>
    <t>151</t>
  </si>
  <si>
    <t>160</t>
  </si>
  <si>
    <t>162</t>
  </si>
  <si>
    <t>170</t>
  </si>
  <si>
    <t>190</t>
  </si>
  <si>
    <t>198</t>
  </si>
  <si>
    <t>200</t>
  </si>
  <si>
    <t>3ZZ</t>
  </si>
  <si>
    <t>410</t>
  </si>
  <si>
    <t>1325</t>
  </si>
  <si>
    <t>1326</t>
  </si>
  <si>
    <t>1330</t>
  </si>
  <si>
    <t>1357</t>
  </si>
  <si>
    <t>1361</t>
  </si>
  <si>
    <t>1362</t>
  </si>
  <si>
    <t>430</t>
  </si>
  <si>
    <t>436</t>
  </si>
  <si>
    <t>450</t>
  </si>
  <si>
    <t>451</t>
  </si>
  <si>
    <t>460</t>
  </si>
  <si>
    <t>461</t>
  </si>
  <si>
    <t>500</t>
  </si>
  <si>
    <r>
      <t>1599</t>
    </r>
    <r>
      <rPr>
        <b/>
        <sz val="10"/>
        <rFont val="MS Sans Serif"/>
      </rPr>
      <t>*</t>
    </r>
  </si>
  <si>
    <t>600</t>
  </si>
  <si>
    <t>601</t>
  </si>
  <si>
    <t>670</t>
  </si>
  <si>
    <t>900</t>
  </si>
  <si>
    <t>990</t>
  </si>
  <si>
    <t>1199</t>
  </si>
  <si>
    <t>R10</t>
  </si>
  <si>
    <t>RG0</t>
  </si>
  <si>
    <t>* GASB 14XX is Capital Outlay function</t>
  </si>
  <si>
    <t>** Analysis of accounts needed to determine functionality</t>
  </si>
  <si>
    <t xml:space="preserve">NC Office of the State Controller </t>
  </si>
  <si>
    <t>2023 Year End Financial Reporting Package</t>
  </si>
  <si>
    <t>Agency No.</t>
  </si>
  <si>
    <t>Net Position and GASB Table for 905 &amp; 906 Templates
Agency Name</t>
  </si>
  <si>
    <t>For Beginning Net position:
Ending Net Position per 2023 ACFR</t>
  </si>
  <si>
    <t>GASB Number for Financial Reporting</t>
  </si>
  <si>
    <t>Source for 2023 ending net position</t>
  </si>
  <si>
    <t>2022 ACFR</t>
  </si>
  <si>
    <t>UNC Health Care Reporting Unit (Combined Package)</t>
  </si>
  <si>
    <t>Univ WTB</t>
  </si>
  <si>
    <t>Triangle Physicians Network</t>
  </si>
  <si>
    <t>High Point Regional</t>
  </si>
  <si>
    <t xml:space="preserve">Caldwell Memorial </t>
  </si>
  <si>
    <t>DSS</t>
  </si>
  <si>
    <t xml:space="preserve"> not using ws 905/must hand key (11P) -agreeing to WTB 4/7/24</t>
  </si>
  <si>
    <t>OK</t>
  </si>
  <si>
    <t>Deferred Comp</t>
  </si>
  <si>
    <t>use ws 906, not 905</t>
  </si>
  <si>
    <t>Check total for all agencies using 905</t>
  </si>
  <si>
    <t>263X&amp;4XXX</t>
  </si>
  <si>
    <t>UNC System total (48 - ZN)</t>
  </si>
  <si>
    <t xml:space="preserve">Materially agreed to total per WTB for UNC System (UNC System Total WTB after adjustments, Note 18 tab -$14,982,789,179.98 ).  </t>
  </si>
  <si>
    <t>The difference is $1,738.93 due to rounding during ACFR compilation. PK 4/7/24</t>
  </si>
  <si>
    <t xml:space="preserve">Note: The ending net position per 2023 ACFR must be used as beginning net position for the 2024 ACFR. Any difference must be keyed on the Restatements line and explained on worksheet 430. </t>
  </si>
  <si>
    <t>Updated Def. Comp and 401(k) amounts - JRK 3/14/22</t>
  </si>
  <si>
    <t>Updated UNC System amounts - PK 4/7/24</t>
  </si>
  <si>
    <r>
      <t>See instructions at</t>
    </r>
    <r>
      <rPr>
        <sz val="10"/>
        <color theme="0"/>
        <rFont val="Arial"/>
        <family val="2"/>
      </rPr>
      <t xml:space="preserve"> K:\SASD\24CAFR\Statements\Component\Univ\Prior Year Balances\Instructions for Updating PY Balances.docx</t>
    </r>
  </si>
  <si>
    <t>Prior Year 905 -  Offline Proprietary Proforma - SNP &amp; SRECNP
 Statement of Rev, Exp and Changes in Net Position</t>
  </si>
  <si>
    <t>Per Prior year Annual Report. Purpose: To populate Prior Yr columns  &amp; Beg bal for ws 201, 210 &amp; 310</t>
  </si>
  <si>
    <t>Agency Number</t>
  </si>
  <si>
    <t>Agency Name</t>
  </si>
  <si>
    <t>UNC-Hosp</t>
  </si>
  <si>
    <t>Chatham</t>
  </si>
  <si>
    <t>UNC Physicians</t>
  </si>
  <si>
    <t>UNC Rockingham</t>
  </si>
  <si>
    <t>UNC-General</t>
  </si>
  <si>
    <t>UNC-</t>
  </si>
  <si>
    <t>NC State</t>
  </si>
  <si>
    <t xml:space="preserve">East </t>
  </si>
  <si>
    <t>NC A&amp;T</t>
  </si>
  <si>
    <t>Western</t>
  </si>
  <si>
    <t>Appalachian</t>
  </si>
  <si>
    <t>Winston-Salem</t>
  </si>
  <si>
    <t>Elizabeth City</t>
  </si>
  <si>
    <t>Fayetteville</t>
  </si>
  <si>
    <t>NC Central</t>
  </si>
  <si>
    <t>UNC School</t>
  </si>
  <si>
    <t>Gateway University</t>
  </si>
  <si>
    <t>Project</t>
  </si>
  <si>
    <t>USS NC</t>
  </si>
  <si>
    <t>SNP</t>
  </si>
  <si>
    <t>Reporting  Unit</t>
  </si>
  <si>
    <t xml:space="preserve">Hospitals </t>
  </si>
  <si>
    <t>Enterprise</t>
  </si>
  <si>
    <t>Liab Ins Trust Fund</t>
  </si>
  <si>
    <t>Network</t>
  </si>
  <si>
    <t>Regional</t>
  </si>
  <si>
    <t>Admininistration</t>
  </si>
  <si>
    <t>Chapel Hill</t>
  </si>
  <si>
    <t>Greensboro</t>
  </si>
  <si>
    <t>Charlotte</t>
  </si>
  <si>
    <t>Asheville</t>
  </si>
  <si>
    <t>Wilmington</t>
  </si>
  <si>
    <t>Carolina Univ</t>
  </si>
  <si>
    <t>State Univ</t>
  </si>
  <si>
    <t>Pembroke</t>
  </si>
  <si>
    <t>of the Arts</t>
  </si>
  <si>
    <t>Research Park</t>
  </si>
  <si>
    <t>Kitty Hawk</t>
  </si>
  <si>
    <t>Battleship Comm</t>
  </si>
  <si>
    <t xml:space="preserve">Hedging derivatives </t>
  </si>
  <si>
    <t>Right to Use Lease Asset-Land</t>
  </si>
  <si>
    <t>Right to Use Lease Asset-Buildings</t>
  </si>
  <si>
    <t>Right to Use Lease Asset-Machinery and Equipment</t>
  </si>
  <si>
    <t>Right to Use Lease Asset-General infrastructure</t>
  </si>
  <si>
    <t>Right to Use Lease Asset-PPP (WS201)…....</t>
  </si>
  <si>
    <t>SBITA Asset …......................................................</t>
  </si>
  <si>
    <t>Total deferred outflows of resources</t>
  </si>
  <si>
    <t>SBITA liability - current …....................................................</t>
  </si>
  <si>
    <t>PPP liability - current …....................................................</t>
  </si>
  <si>
    <t>Asset retirement obligation-current</t>
  </si>
  <si>
    <t>Compensated absences - current</t>
  </si>
  <si>
    <t>Net pension liabiilty - current</t>
  </si>
  <si>
    <t>Net OPEB liabiilty - current</t>
  </si>
  <si>
    <t>SBTIA liability</t>
  </si>
  <si>
    <t>u10</t>
  </si>
  <si>
    <t>u20</t>
  </si>
  <si>
    <t>UNC System total</t>
  </si>
  <si>
    <t>Check: Assets + Def OutFlo - Liab - Def Inflo = Net Position</t>
  </si>
  <si>
    <t>State aid - Coronavirus Relief Fund</t>
  </si>
  <si>
    <t>Noncapital contributions</t>
  </si>
  <si>
    <t>Gain (loss) on in-substance defeasance of debt</t>
  </si>
  <si>
    <t>Net position between Stmt of Net Position  and Operating Stmnt</t>
  </si>
  <si>
    <t>Prior Year worksheet 210 Accumulated depreciation</t>
  </si>
  <si>
    <t>Ending balances per 2023 ACFR</t>
  </si>
  <si>
    <t>Accumulated Depreciation:</t>
  </si>
  <si>
    <t>SBITA Asset</t>
  </si>
  <si>
    <t>NC Toll Road System</t>
  </si>
  <si>
    <t>Total Accumulated depreciation, capital assets</t>
  </si>
  <si>
    <t>Check from WS210</t>
  </si>
  <si>
    <t>Check- agree to Accum depreciation total in SNP above</t>
  </si>
  <si>
    <t>Prior Year worksheet 310 Long-term liabilities</t>
  </si>
  <si>
    <t>Balances 6/30/23 per ws 310, Column E:</t>
  </si>
  <si>
    <t>Limited Obligation Bonds</t>
  </si>
  <si>
    <t>Less deferred amt for issuance discounts</t>
  </si>
  <si>
    <t>Add issuance premium</t>
  </si>
  <si>
    <r>
      <t>Other (</t>
    </r>
    <r>
      <rPr>
        <sz val="10"/>
        <rFont val="Arial Narrow"/>
        <family val="2"/>
      </rPr>
      <t>describe in "Explanations" tab</t>
    </r>
    <r>
      <rPr>
        <sz val="10"/>
        <rFont val="Arial"/>
        <family val="2"/>
      </rPr>
      <t>)</t>
    </r>
  </si>
  <si>
    <t>Total LT Liabilities Current &amp; Noncurrent</t>
  </si>
  <si>
    <t>Bonds and COPS payable check to SNP</t>
  </si>
  <si>
    <t>Other LT Liabilities (Cur &amp; NonCur) tie to SNP</t>
  </si>
  <si>
    <t>Revolving Line of Credit</t>
  </si>
  <si>
    <t>Commercial Paper</t>
  </si>
  <si>
    <t>Anticipation Notes</t>
  </si>
  <si>
    <t xml:space="preserve">    Total ST Debt</t>
  </si>
  <si>
    <t>Notes from Direct Borrowings</t>
  </si>
  <si>
    <t>Direct Placements</t>
  </si>
  <si>
    <t>Asset Retirement Obligation</t>
  </si>
  <si>
    <t>Compensated Absences</t>
  </si>
  <si>
    <t>Net Pension Liability</t>
  </si>
  <si>
    <t>Net OPEB Liability</t>
  </si>
  <si>
    <t>Prior year 906- Offline Fiduciary Proforma for 401(k) and Deferred Compensation Plans
Stmt of Plan Net Position &amp; Stmt of Changes in Plan Net Position
To populate prior year balances on 906 and 911 worksheeets</t>
  </si>
  <si>
    <t>updated for 2014 on 1/15/15 dkd</t>
  </si>
  <si>
    <t xml:space="preserve">  Employees' pension and other benefits</t>
  </si>
  <si>
    <t>Net position — July 1</t>
  </si>
  <si>
    <t>Net position — June 30</t>
  </si>
  <si>
    <t>Stmnt of Changes in Fid Net Position verification</t>
  </si>
  <si>
    <t>GASB Fund Number</t>
  </si>
  <si>
    <t>Conc</t>
  </si>
  <si>
    <t>Co</t>
  </si>
  <si>
    <t>NCFS or Offline</t>
  </si>
  <si>
    <t>Package contact name</t>
  </si>
  <si>
    <t>Contact telephone</t>
  </si>
  <si>
    <t>For Comp Unit Package</t>
  </si>
  <si>
    <t>Changes for 2024/Comments</t>
  </si>
  <si>
    <t>NCFS Agency</t>
  </si>
  <si>
    <t>UnivEnt</t>
  </si>
  <si>
    <t>Malinda Peters</t>
  </si>
  <si>
    <t>(919) 733-7500</t>
  </si>
  <si>
    <t>malinda.peters@ncleg.gov</t>
  </si>
  <si>
    <t>Lily Mariano</t>
  </si>
  <si>
    <t>(919) 890-1024</t>
  </si>
  <si>
    <t>lily.mariano@nccourts.org</t>
  </si>
  <si>
    <t>Providence Hakizimana</t>
  </si>
  <si>
    <t>(984) 236-0626</t>
  </si>
  <si>
    <t>providence.hakizimana@osbm.nc.gov</t>
  </si>
  <si>
    <t>Elizabeth Moreno</t>
  </si>
  <si>
    <t>(984) 236-0082</t>
  </si>
  <si>
    <t>elizabeth.moreno@doa.nc.gov</t>
  </si>
  <si>
    <t xml:space="preserve">Wendy Pendergraph </t>
  </si>
  <si>
    <t>(919) 814-5321</t>
  </si>
  <si>
    <t>wpendergraph@sosnc.gov</t>
  </si>
  <si>
    <t>Nicholas  Bunner</t>
  </si>
  <si>
    <t>(919) 807-7767</t>
  </si>
  <si>
    <t>nicholas.bunner@ncauditor.gov</t>
  </si>
  <si>
    <t>Sam Fuller</t>
  </si>
  <si>
    <t>(919) 814-3912</t>
  </si>
  <si>
    <t>sam.fuller@nctreasurer.com</t>
  </si>
  <si>
    <t>State Health Plan</t>
  </si>
  <si>
    <t xml:space="preserve">Jessica Mapes </t>
  </si>
  <si>
    <t>(984) 236-2373</t>
  </si>
  <si>
    <t>jessica.mapes@dpi.nc.gov</t>
  </si>
  <si>
    <t>Matthew Longobardi</t>
  </si>
  <si>
    <t>(919) 716-6077</t>
  </si>
  <si>
    <t>Mlongobardi@ncdoj.gov</t>
  </si>
  <si>
    <t>Melinda Green</t>
  </si>
  <si>
    <t>(919) 707-3037</t>
  </si>
  <si>
    <t>Melinda.Green@ncagr.gov</t>
  </si>
  <si>
    <t>Lisa Culbreth</t>
  </si>
  <si>
    <t>(919) 707-7743</t>
  </si>
  <si>
    <t>lisa.culbreth@labor.nc.gov</t>
  </si>
  <si>
    <t>Peta-Gaye Shaw</t>
  </si>
  <si>
    <t>(919) 807-6036</t>
  </si>
  <si>
    <t>peta.shaw@ncdoi.gov</t>
  </si>
  <si>
    <t>Ashley Price</t>
  </si>
  <si>
    <t>(919) 707-0768</t>
  </si>
  <si>
    <t>Ashley.Price@osc.nc.gov</t>
  </si>
  <si>
    <t xml:space="preserve">Manasa Cooper </t>
  </si>
  <si>
    <t>(919) 707-4219</t>
  </si>
  <si>
    <t>mlcooper1@ncdot.gov</t>
  </si>
  <si>
    <t>Akhira McDonald</t>
  </si>
  <si>
    <t>(919) 707-8566</t>
  </si>
  <si>
    <t>akhira.mcdonald@deq.nc.gov</t>
  </si>
  <si>
    <t>Jason Cottle</t>
  </si>
  <si>
    <t>(919) 707-0081</t>
  </si>
  <si>
    <t>jason.cottle@wildlife.org</t>
  </si>
  <si>
    <t>25170G</t>
  </si>
  <si>
    <t>Allis Talley-Burton</t>
  </si>
  <si>
    <t>(919) 324-1045</t>
  </si>
  <si>
    <t>allis.talley-burton@ncdps.gov</t>
  </si>
  <si>
    <t>Laketha Miller</t>
  </si>
  <si>
    <t>(919) 855-3700</t>
  </si>
  <si>
    <t>2000</t>
  </si>
  <si>
    <t>Amy Causby</t>
  </si>
  <si>
    <t>(828) 433-2384</t>
  </si>
  <si>
    <t>3000</t>
  </si>
  <si>
    <t>Beth Lane</t>
  </si>
  <si>
    <t>919-609-3421</t>
  </si>
  <si>
    <t>Beth.lane@nc.gov</t>
  </si>
  <si>
    <t>Cheryl Davis</t>
  </si>
  <si>
    <t>(919) 814-4633</t>
  </si>
  <si>
    <t>cheryl.davis@commerce.nc.gov</t>
  </si>
  <si>
    <t>Anita Bunch</t>
  </si>
  <si>
    <t>(919) 754-2518</t>
  </si>
  <si>
    <t>anita.bunch@ncdor.gov</t>
  </si>
  <si>
    <t>Lori Oldham</t>
  </si>
  <si>
    <t>(919) 814-6719</t>
  </si>
  <si>
    <t>Lori.Oldham@ncdcr.gov</t>
  </si>
  <si>
    <t>Offline</t>
  </si>
  <si>
    <t>Ryan Hertel</t>
  </si>
  <si>
    <t>(770) 696-0251</t>
  </si>
  <si>
    <t>Ryan.Hertel@unchealth.unc.edu</t>
  </si>
  <si>
    <t>Jeff Stevens</t>
  </si>
  <si>
    <t>(984) 974-1003</t>
  </si>
  <si>
    <t>Jeffrey.Stevens@unchealth.unc.edu</t>
  </si>
  <si>
    <t>2631 &amp; 2634</t>
  </si>
  <si>
    <t>Michael Griffin</t>
  </si>
  <si>
    <t>(984) 974-1260</t>
  </si>
  <si>
    <t>Michael.Griffin@unchealth.unc.edu</t>
  </si>
  <si>
    <t>David Sims</t>
  </si>
  <si>
    <t>(804) 815-8293</t>
  </si>
  <si>
    <t>David.Sims@unchealth.unc.edu</t>
  </si>
  <si>
    <t>Lisa Cox</t>
  </si>
  <si>
    <t>(984) 215-3810</t>
  </si>
  <si>
    <t>Lisa.Cox2@unchealth.unc.edu</t>
  </si>
  <si>
    <t>Carolyn Perkins</t>
  </si>
  <si>
    <t>(919) 784-3479</t>
  </si>
  <si>
    <t>Carolyn.Perkins@unchealth.unc.edu</t>
  </si>
  <si>
    <t>Bill Hosterman</t>
  </si>
  <si>
    <t>(919) 360-4668</t>
  </si>
  <si>
    <t>William.Hostermanjr@unchealth.unc.edu</t>
  </si>
  <si>
    <t>Janina Thomas</t>
  </si>
  <si>
    <t>(919) 852-8594</t>
  </si>
  <si>
    <t>JThomas@ncsbi.gov</t>
  </si>
  <si>
    <t>4900</t>
  </si>
  <si>
    <t>Ann Anderson</t>
  </si>
  <si>
    <t>(919) 807-7073</t>
  </si>
  <si>
    <t>andersona@communitycolleges.edu</t>
  </si>
  <si>
    <t>Prabha Vijayaraghavan</t>
  </si>
  <si>
    <t>(919) 324-1425</t>
  </si>
  <si>
    <t>prabhavathi.Vijayaraghavan@dac.nc.gov</t>
  </si>
  <si>
    <t>Daniel Honeycutt</t>
  </si>
  <si>
    <t>(919) 301-3441</t>
  </si>
  <si>
    <t>daniel.honeycutt_lotterync.net</t>
  </si>
  <si>
    <t>Tonia Brown</t>
  </si>
  <si>
    <t>(984) 236-1904</t>
  </si>
  <si>
    <t>tonia.brown@oah.nc.gov</t>
  </si>
  <si>
    <t>Elizabeth Haynes</t>
  </si>
  <si>
    <t>(910) 399-9104</t>
  </si>
  <si>
    <t>elizabeth.haynes@ncdr.gov</t>
  </si>
  <si>
    <t>Paul Palermo</t>
  </si>
  <si>
    <t>(919) 814-3899</t>
  </si>
  <si>
    <t>Paul.Palermo@nctreasurer.com</t>
  </si>
  <si>
    <t>Leah Englebright</t>
  </si>
  <si>
    <t>(919) 416-2870</t>
  </si>
  <si>
    <t>englebright@ncssm.edu</t>
  </si>
  <si>
    <t>Although part of UNC System, NCSSM is a primary NCAS agency that will continue using DSS.</t>
  </si>
  <si>
    <t>Katie Potts</t>
  </si>
  <si>
    <t>(919) 707-0523</t>
  </si>
  <si>
    <t>katie.potts@ncosc.gov</t>
  </si>
  <si>
    <t>Jackie McKoy</t>
  </si>
  <si>
    <t>(919) 754-2524</t>
  </si>
  <si>
    <t>jacqueline.mckoy@ncdor.gov</t>
  </si>
  <si>
    <t>Natasha Farrington</t>
  </si>
  <si>
    <t>(919) 707-0657</t>
  </si>
  <si>
    <t>natasha.farrington@ncosc.gov</t>
  </si>
  <si>
    <t>R100</t>
  </si>
  <si>
    <r>
      <t xml:space="preserve">Offline </t>
    </r>
    <r>
      <rPr>
        <b/>
        <sz val="14"/>
        <rFont val="Calibri"/>
        <family val="2"/>
      </rPr>
      <t>²</t>
    </r>
  </si>
  <si>
    <t>Daniel Dryer</t>
  </si>
  <si>
    <t>(919) 228-8486</t>
  </si>
  <si>
    <t>dkdryer@northcarolina.edu</t>
  </si>
  <si>
    <r>
      <rPr>
        <b/>
        <sz val="8"/>
        <rFont val="Calibri"/>
        <family val="2"/>
      </rPr>
      <t>²</t>
    </r>
    <r>
      <rPr>
        <sz val="8"/>
        <rFont val="Times New Roman"/>
        <family val="1"/>
      </rPr>
      <t xml:space="preserve"> Offline reporting for all universities starting FY 2012. Still use NCAS for monthly reporting.</t>
    </r>
  </si>
  <si>
    <t>Beth McAndrew</t>
  </si>
  <si>
    <t>(919) 843-2694</t>
  </si>
  <si>
    <t>bmcandre@email.unc.edu</t>
  </si>
  <si>
    <t>Jennifer Brady</t>
  </si>
  <si>
    <t>(919) 515-3823</t>
  </si>
  <si>
    <t>jbrady@ncsu.edu</t>
  </si>
  <si>
    <t>Melissa Roberts</t>
  </si>
  <si>
    <t>(704) 687-5755</t>
  </si>
  <si>
    <t>Mrobe138@uncc.edu</t>
  </si>
  <si>
    <t>Mary E. Hall</t>
  </si>
  <si>
    <t>(828) 231-5109</t>
  </si>
  <si>
    <t>mhall7@unca.edu</t>
  </si>
  <si>
    <t>Heather Iannucci</t>
  </si>
  <si>
    <t>(910) 962-3144</t>
  </si>
  <si>
    <t>iannuccih@uncw.edu</t>
  </si>
  <si>
    <t>Steve Strickland</t>
  </si>
  <si>
    <t>(252) 737-4916</t>
  </si>
  <si>
    <t>stricklands@ecu.edu</t>
  </si>
  <si>
    <t>Kathy Burckley</t>
  </si>
  <si>
    <t>(336) 285-3028</t>
  </si>
  <si>
    <t>burckley@ncat.edu</t>
  </si>
  <si>
    <t>Morgan Burnett</t>
  </si>
  <si>
    <t>(828) 227-3793</t>
  </si>
  <si>
    <t>cmburnett@email.wcu.edu</t>
  </si>
  <si>
    <t>David Jamison</t>
  </si>
  <si>
    <t>(828) 262-6426</t>
  </si>
  <si>
    <t>jamisondt@appstate.edu</t>
  </si>
  <si>
    <t xml:space="preserve">Kim Stafford </t>
  </si>
  <si>
    <t>910-521-6583</t>
  </si>
  <si>
    <t>kimberly.stafford@uncp.edu</t>
  </si>
  <si>
    <t>Kristina McCain</t>
  </si>
  <si>
    <t>(336) 750-2718</t>
  </si>
  <si>
    <t>mccaink@wssu.edu</t>
  </si>
  <si>
    <t>Sonya Miller</t>
  </si>
  <si>
    <t>(252) 335-3958</t>
  </si>
  <si>
    <t>swmiller@ecsu.edu</t>
  </si>
  <si>
    <t>Jennifer Addison</t>
  </si>
  <si>
    <t>(910) 672-1163</t>
  </si>
  <si>
    <t>jaddison1@uncfsu.edu</t>
  </si>
  <si>
    <t>Antonio McDaniel</t>
  </si>
  <si>
    <t>(919) 530-5422</t>
  </si>
  <si>
    <t>Antonio.McDaniel@nccu.edu</t>
  </si>
  <si>
    <t>Jarrett Bailey</t>
  </si>
  <si>
    <t>(336) 631-1247</t>
  </si>
  <si>
    <t>baileyj@uncsa.edu</t>
  </si>
  <si>
    <t>0A</t>
  </si>
  <si>
    <t>Taylor Davies</t>
  </si>
  <si>
    <t>(919)875-3761</t>
  </si>
  <si>
    <t>Reclassified to nonmajor based on GASB 61; NCAS interface monthly, Offline for Annual Report</t>
  </si>
  <si>
    <t>Z2</t>
  </si>
  <si>
    <t>James Bullock</t>
  </si>
  <si>
    <t>(919) 549-8850</t>
  </si>
  <si>
    <t>james_bullock@ncbiotech.org</t>
  </si>
  <si>
    <t>Z3</t>
  </si>
  <si>
    <t>Trina Warren</t>
  </si>
  <si>
    <t>(252)775-6186</t>
  </si>
  <si>
    <t>tdwarren1@ncdot.gov</t>
  </si>
  <si>
    <t>Z3F</t>
  </si>
  <si>
    <t>The Global TransPark Foundation is a component unit of Global TransPark; it is remaining offline.</t>
  </si>
  <si>
    <t>Z7</t>
  </si>
  <si>
    <t>Lisa Rash</t>
  </si>
  <si>
    <t>919-821-9530</t>
  </si>
  <si>
    <t>ZA</t>
  </si>
  <si>
    <t>Terry Dail</t>
  </si>
  <si>
    <t>(910) 343-6414</t>
  </si>
  <si>
    <t>Terry.Dail@ncports.com</t>
  </si>
  <si>
    <t>ZB</t>
  </si>
  <si>
    <t>Larna Griffin</t>
  </si>
  <si>
    <t>919-248-4698</t>
  </si>
  <si>
    <t>lgriffin@ncseaa.edu</t>
  </si>
  <si>
    <t>Reclassified to nonmajor based on GASB 61</t>
  </si>
  <si>
    <t>ZG</t>
  </si>
  <si>
    <t>Resumed as component unit for FY 2013(last time in Annual Report was 1999)</t>
  </si>
  <si>
    <t>ZH</t>
  </si>
  <si>
    <t>Michelle Jeng</t>
  </si>
  <si>
    <t>919-954-7601</t>
  </si>
  <si>
    <t>MJeng@ncrr.com</t>
  </si>
  <si>
    <t>ZI</t>
  </si>
  <si>
    <t>Erica Smith</t>
  </si>
  <si>
    <t>(252) 442-7474</t>
  </si>
  <si>
    <t>esmith@goldenleaf.org</t>
  </si>
  <si>
    <t>Joy Klenke</t>
  </si>
  <si>
    <t>336-417-5511</t>
  </si>
  <si>
    <t>jklenke@gbmcpas.com</t>
  </si>
  <si>
    <t>Gateway Research Park is a component unit of the UNC System.</t>
  </si>
  <si>
    <t>ZM</t>
  </si>
  <si>
    <t>Larry Price</t>
  </si>
  <si>
    <t>919-447-7807</t>
  </si>
  <si>
    <t>larry.price@edpnc.com</t>
  </si>
  <si>
    <t>New in 2015</t>
  </si>
  <si>
    <t>Rae Williams</t>
  </si>
  <si>
    <t>404-844-3649</t>
  </si>
  <si>
    <t>rmwilliams@projectkittyhawk.com</t>
  </si>
  <si>
    <t>New in 2023</t>
  </si>
  <si>
    <t>Barbara Thornton</t>
  </si>
  <si>
    <t>336-506-4010</t>
  </si>
  <si>
    <t>barbara.thornton@alamancecc.edu</t>
  </si>
  <si>
    <t>Kristabell Certain</t>
  </si>
  <si>
    <t>828-398-7358</t>
  </si>
  <si>
    <t>kristabellcertain@abtech.edu</t>
  </si>
  <si>
    <t>Edie Barbour</t>
  </si>
  <si>
    <t>252-940-6266</t>
  </si>
  <si>
    <t>edie.barbour@beaufortccc.edu</t>
  </si>
  <si>
    <t>Heather Garner</t>
  </si>
  <si>
    <t>910-879-5511</t>
  </si>
  <si>
    <t>hgarner@bladencc.edu</t>
  </si>
  <si>
    <t>Carolyn Alley</t>
  </si>
  <si>
    <t>828-697-1730</t>
  </si>
  <si>
    <t>carolyna@blueridge.edu</t>
  </si>
  <si>
    <t>Santresa Culpepper</t>
  </si>
  <si>
    <t>910-755-7314</t>
  </si>
  <si>
    <t>culpeppers@brunswickcc.edu</t>
  </si>
  <si>
    <t>Rashelle Penley</t>
  </si>
  <si>
    <t>828-726-2218</t>
  </si>
  <si>
    <t>rpenley@cccti.edu</t>
  </si>
  <si>
    <t>Christina Greene</t>
  </si>
  <si>
    <t>910-362-7551</t>
  </si>
  <si>
    <t>cgreene@cfcc.edu</t>
  </si>
  <si>
    <t>Donna Cumbie</t>
  </si>
  <si>
    <t>252-222-6161</t>
  </si>
  <si>
    <t>cumbied@carteret.edu</t>
  </si>
  <si>
    <t>Shirley Swanson</t>
  </si>
  <si>
    <t>828-327-7000 x4508</t>
  </si>
  <si>
    <t>sswanson109@cvcc.edu</t>
  </si>
  <si>
    <t>Brian Bridgers</t>
  </si>
  <si>
    <t>919-718-7498</t>
  </si>
  <si>
    <t>bbrid219@cccc.edu</t>
  </si>
  <si>
    <t>Lauren Gates</t>
  </si>
  <si>
    <t>704-330-6709</t>
  </si>
  <si>
    <t>lauren.gates@cpcc.edu</t>
  </si>
  <si>
    <t>Pam Boling</t>
  </si>
  <si>
    <t>704-669-4109</t>
  </si>
  <si>
    <t>bolingp@clevelandcc.edu</t>
  </si>
  <si>
    <t>Michelle Stiles</t>
  </si>
  <si>
    <t>910-938-6218</t>
  </si>
  <si>
    <t>stilesm@coastalcarolina.edu</t>
  </si>
  <si>
    <t>Susan Gentry</t>
  </si>
  <si>
    <t>252-335-0821 x2214</t>
  </si>
  <si>
    <t>susan_gentry@albemarle.edu</t>
  </si>
  <si>
    <t>Christine Sachs</t>
  </si>
  <si>
    <t>252-637-5740</t>
  </si>
  <si>
    <t>sachsc@cravencc.edu</t>
  </si>
  <si>
    <t>Davidson-Davie Community College</t>
  </si>
  <si>
    <t>Jennifer Starsick</t>
  </si>
  <si>
    <t>336-224-4661</t>
  </si>
  <si>
    <t>jennifer_starsick@davidsondavie.edu</t>
  </si>
  <si>
    <t>Andrew Kleitsch</t>
  </si>
  <si>
    <t>919-536-7201 x1001</t>
  </si>
  <si>
    <t>kleitsch@durhamtech.edu</t>
  </si>
  <si>
    <t>Pamela Twitty</t>
  </si>
  <si>
    <t>252-618-6506</t>
  </si>
  <si>
    <t>twittyp@edgecombe.edu</t>
  </si>
  <si>
    <t>Robin Deaver</t>
  </si>
  <si>
    <t>910-678-8250</t>
  </si>
  <si>
    <t>deaverr@faytechcc.edu</t>
  </si>
  <si>
    <t>Emily Hellard</t>
  </si>
  <si>
    <t>336-757-3368</t>
  </si>
  <si>
    <t>ehellard@forsythtech.edu</t>
  </si>
  <si>
    <t>Shelly Alman</t>
  </si>
  <si>
    <t>(704) 922-6405</t>
  </si>
  <si>
    <t>alman.shelly@gaston.edu</t>
  </si>
  <si>
    <t>Kathi Riffe</t>
  </si>
  <si>
    <t>336-334-4822 x50457</t>
  </si>
  <si>
    <t>klriffe@gtcc.edu</t>
  </si>
  <si>
    <t>Sanethia Smith</t>
  </si>
  <si>
    <t>252-538-4304</t>
  </si>
  <si>
    <t>ssmith640@halifaxcc.edu</t>
  </si>
  <si>
    <t>Christie Medford</t>
  </si>
  <si>
    <t>828-565-4168</t>
  </si>
  <si>
    <t>cmedford@haywood.edu</t>
  </si>
  <si>
    <t>Amy Penson</t>
  </si>
  <si>
    <t>828-395-1296</t>
  </si>
  <si>
    <t>apenson@isothermal.edu</t>
  </si>
  <si>
    <t>LaTasha Moore</t>
  </si>
  <si>
    <t>910-275-6127</t>
  </si>
  <si>
    <t>LMoore@jamessprunt.edu</t>
  </si>
  <si>
    <t>David Webb</t>
  </si>
  <si>
    <t>919-209-2070</t>
  </si>
  <si>
    <t>dgwebb@johnstoncc.edu</t>
  </si>
  <si>
    <t>JD Gibbs</t>
  </si>
  <si>
    <t>252-527-6223 x358</t>
  </si>
  <si>
    <t>jdgibbs27@lenoircc.edu</t>
  </si>
  <si>
    <t>Tammy Bailey</t>
  </si>
  <si>
    <t>252-789-0225</t>
  </si>
  <si>
    <t>tammy.bailey@martincc.edu</t>
  </si>
  <si>
    <t>Cynthia Renfro</t>
  </si>
  <si>
    <t>828-766-1228</t>
  </si>
  <si>
    <t>crenfro@mayland.edu</t>
  </si>
  <si>
    <t>Ryan Garrison</t>
  </si>
  <si>
    <t>828-652-0627</t>
  </si>
  <si>
    <t>ftgarrison55@go.mcdowelltech.edu</t>
  </si>
  <si>
    <t>Jonathan Harris</t>
  </si>
  <si>
    <t>704-978-1307</t>
  </si>
  <si>
    <t>jharris@mitchellcc.edu</t>
  </si>
  <si>
    <t>Tonya Luck</t>
  </si>
  <si>
    <t>910-898-9631</t>
  </si>
  <si>
    <t>luckt@montgomery.edu</t>
  </si>
  <si>
    <t>Carol Dornseif</t>
  </si>
  <si>
    <t>252-451-8365</t>
  </si>
  <si>
    <t>cjdornseif810@nashcc.edu</t>
  </si>
  <si>
    <t>Sherry Raby</t>
  </si>
  <si>
    <t>252-249-1851 x3003</t>
  </si>
  <si>
    <t>sraby@pamlicocc.edu</t>
  </si>
  <si>
    <t>Beverly Murphy</t>
  </si>
  <si>
    <t>336-322-2117</t>
  </si>
  <si>
    <t>Beverly.murphy@piedmontcc.edu</t>
  </si>
  <si>
    <t>Angela Peadan</t>
  </si>
  <si>
    <t>252-493-7257</t>
  </si>
  <si>
    <t>apeaden@email.pittcc.edu</t>
  </si>
  <si>
    <t>Cathy Biby</t>
  </si>
  <si>
    <t>336-625-5607</t>
  </si>
  <si>
    <t>cebiby@randolph.edu</t>
  </si>
  <si>
    <t>Debbie Cashwell</t>
  </si>
  <si>
    <t>910-410-1803</t>
  </si>
  <si>
    <t>dccashwell@richmondcc.edu</t>
  </si>
  <si>
    <t>Carrie Douglas</t>
  </si>
  <si>
    <t>252-862-1229</t>
  </si>
  <si>
    <t>carriedouglas8479@roanokechowan.edu</t>
  </si>
  <si>
    <t>Lettie Navarrete</t>
  </si>
  <si>
    <t>910-272-3552</t>
  </si>
  <si>
    <t>lnavarrete@robeson.edu</t>
  </si>
  <si>
    <t>Gloria Moore</t>
  </si>
  <si>
    <t>336-342-4261 x2186</t>
  </si>
  <si>
    <t>mooreg6174@rockinghamcc.edu</t>
  </si>
  <si>
    <t>Kristin Boatright</t>
  </si>
  <si>
    <t>704-216-3732</t>
  </si>
  <si>
    <t>kristin.boatright@rccc.edu</t>
  </si>
  <si>
    <t>Kelly Jackson</t>
  </si>
  <si>
    <t>910-900-4060 x2012</t>
  </si>
  <si>
    <t>kjackson@sampsoncc.edu</t>
  </si>
  <si>
    <t>Elizabeth Thomas</t>
  </si>
  <si>
    <t>910-246-4971</t>
  </si>
  <si>
    <t>thomase@sandhills.edu</t>
  </si>
  <si>
    <t>Jennifer Ricketts</t>
  </si>
  <si>
    <t>704-272-5356</t>
  </si>
  <si>
    <t>jricketts2@spcc.edu</t>
  </si>
  <si>
    <t>Donna Turbeville</t>
  </si>
  <si>
    <t>910-788-6203</t>
  </si>
  <si>
    <t>donna.turbeville@sccnc.edu</t>
  </si>
  <si>
    <t>Carol Martin</t>
  </si>
  <si>
    <t>828-339-4473</t>
  </si>
  <si>
    <t>c_martin@southwesterncc.edu</t>
  </si>
  <si>
    <t>Kimberly Bradshaw</t>
  </si>
  <si>
    <t>704-991-0206</t>
  </si>
  <si>
    <t>kbradshaw9661@stanly.edu</t>
  </si>
  <si>
    <t>Tony Martin</t>
  </si>
  <si>
    <t>336-386-3222</t>
  </si>
  <si>
    <t>martint@surry.edu</t>
  </si>
  <si>
    <t>Bill Vespasian</t>
  </si>
  <si>
    <t>828-835-4211</t>
  </si>
  <si>
    <t>bvespasian@tricountycc.edu</t>
  </si>
  <si>
    <t>Joshua Lagunas</t>
  </si>
  <si>
    <t>252-738-3472</t>
  </si>
  <si>
    <t>lagunasj@vgcc.edu</t>
  </si>
  <si>
    <t>David Mcnally</t>
  </si>
  <si>
    <t>919-866-5688</t>
  </si>
  <si>
    <t>dmmcnally@waketech.edu</t>
  </si>
  <si>
    <t>Annette Woodard</t>
  </si>
  <si>
    <t>919-739-7098</t>
  </si>
  <si>
    <t>aswoodard@waynecc.edu</t>
  </si>
  <si>
    <t>Monica Arney</t>
  </si>
  <si>
    <t>828-448-3129</t>
  </si>
  <si>
    <t>marney@wpcc.edu</t>
  </si>
  <si>
    <t>Crystal Huffman</t>
  </si>
  <si>
    <t>336-838-6109</t>
  </si>
  <si>
    <t>cahuffman078@wilkescc.edu</t>
  </si>
  <si>
    <t>Jessica Jones</t>
  </si>
  <si>
    <t>252-246-1221</t>
  </si>
  <si>
    <t>jsjones@wilsoncc.edu</t>
  </si>
  <si>
    <t>none</t>
  </si>
  <si>
    <t>**    Type of Agency:</t>
  </si>
  <si>
    <t>Component Unit</t>
  </si>
  <si>
    <t>UNC System, major component unit</t>
  </si>
  <si>
    <t>Community College, major component unit</t>
  </si>
  <si>
    <t>Nonmajor</t>
  </si>
  <si>
    <t xml:space="preserve">Nonmajor component unit - see note below </t>
  </si>
  <si>
    <t>Accounting data included in the North Carolina Financial System, and reporting from NCFS for Annual Report</t>
  </si>
  <si>
    <t>Full accounting data not in NCFS, so paper reporting for Annual Report; agency uses another accounting system</t>
  </si>
  <si>
    <t xml:space="preserve">Note:  All entities complete the NCFS excel package, except the Community Colleges </t>
  </si>
  <si>
    <r>
      <t xml:space="preserve">and the </t>
    </r>
    <r>
      <rPr>
        <u/>
        <sz val="12"/>
        <rFont val="Times New Roman"/>
        <family val="1"/>
      </rPr>
      <t>nonmajor</t>
    </r>
    <r>
      <rPr>
        <sz val="12"/>
        <rFont val="Times New Roman"/>
        <family val="1"/>
      </rPr>
      <t xml:space="preserve"> component units which have separate packages.</t>
    </r>
  </si>
  <si>
    <t>Contact Name</t>
  </si>
  <si>
    <t>Phone Number</t>
  </si>
  <si>
    <t>Email Address</t>
  </si>
  <si>
    <t>Kim Battle</t>
  </si>
  <si>
    <t>919-707-0521</t>
  </si>
  <si>
    <t>Kim.Battle@ncosc.gov</t>
  </si>
  <si>
    <t>Ellen Burns</t>
  </si>
  <si>
    <t>919-707-0520</t>
  </si>
  <si>
    <t>Ellen.Burns@ncosc.gov</t>
  </si>
  <si>
    <t>Joannie Burtoft</t>
  </si>
  <si>
    <t>919-707-0527</t>
  </si>
  <si>
    <t>Joannie.Burtoft@ncosc.gov</t>
  </si>
  <si>
    <t>Patcha Kidking</t>
  </si>
  <si>
    <t>919-707-0525</t>
  </si>
  <si>
    <t>Patcha.Kidking@ncosc.gov</t>
  </si>
  <si>
    <t>John Krellner</t>
  </si>
  <si>
    <t>919-707-0474</t>
  </si>
  <si>
    <t>John.Krellner@ncosc.gov</t>
  </si>
  <si>
    <t>Ellen Rockefeller</t>
  </si>
  <si>
    <t>919-707-0528</t>
  </si>
  <si>
    <t>ellen.rockefeller@ncosc.gov</t>
  </si>
  <si>
    <t>Joan Saucier</t>
  </si>
  <si>
    <t>919-707-0590</t>
  </si>
  <si>
    <t>Joan.Saucier@ncosc.gov</t>
  </si>
  <si>
    <t>Yelena Zaytseva</t>
  </si>
  <si>
    <t>919-707-0575</t>
  </si>
  <si>
    <t>Yelena.Zaytseva@ncosc.gov</t>
  </si>
  <si>
    <t>Sravani Bhimavarapu</t>
  </si>
  <si>
    <t>919-707-0468</t>
  </si>
  <si>
    <t>Sravani.Bhimavarapu@ncosc.gov</t>
  </si>
  <si>
    <t>Kerrie Russo</t>
  </si>
  <si>
    <t>919-707-0530</t>
  </si>
  <si>
    <t>Kerrie.Russo@ncosc.gov</t>
  </si>
  <si>
    <t>Dates</t>
  </si>
  <si>
    <t>Fiscal Year End</t>
  </si>
  <si>
    <t>Fiscal Year Begin</t>
  </si>
  <si>
    <t>Last Fiscal Year End</t>
  </si>
  <si>
    <t>Next Fiscal Year Begin</t>
  </si>
  <si>
    <t>Next Fiscal Year End</t>
  </si>
  <si>
    <t>Purpose/Directions  - For OSC use only:</t>
  </si>
  <si>
    <t>To update all dates in workbook, enter the above dates.  This Data</t>
  </si>
  <si>
    <t>tab is the starting point and source for all dates in the workbook.</t>
  </si>
  <si>
    <t>Error Code</t>
  </si>
  <si>
    <t>Error Key</t>
  </si>
  <si>
    <t>Indicator</t>
  </si>
  <si>
    <t>Page</t>
  </si>
  <si>
    <t>Message</t>
  </si>
  <si>
    <t>Invalid filename</t>
  </si>
  <si>
    <t>GASB number is blank.</t>
  </si>
  <si>
    <t>Decrease in CIP column does not net to zero.</t>
  </si>
  <si>
    <t>If capital lease payments are listed, then Section II must be completed.</t>
  </si>
  <si>
    <t>Compensated absences must have additions and deletions.</t>
  </si>
  <si>
    <t>Interest rate range is invalid.</t>
  </si>
  <si>
    <t>More than one type of payable has been selected.</t>
  </si>
  <si>
    <t>Original issue amount is blank.</t>
  </si>
  <si>
    <t>"From" interest rate is blank.</t>
  </si>
  <si>
    <t>"To" interest rate is blank.</t>
  </si>
  <si>
    <t>Final maturity date is blank.</t>
  </si>
  <si>
    <t>All questions have not been answered.</t>
  </si>
  <si>
    <t>Total Expendable and Nonexpendable amount does not match the total of the Restricted Net Position column.</t>
  </si>
  <si>
    <t>Worksheet is out of balance.</t>
  </si>
  <si>
    <t>One or more lines are incomplete.  See lines marked *.</t>
  </si>
  <si>
    <t>Invalid NCAS account number.  See lines marked *.</t>
  </si>
  <si>
    <t>Budget code is blank.</t>
  </si>
  <si>
    <t>Worksheet is incomplete.</t>
  </si>
  <si>
    <t>GASB name is blank.</t>
  </si>
  <si>
    <t>Column A does not equal Column F.  See lines marked *.</t>
  </si>
  <si>
    <t>Column A does not equal the sum of columns B, C, and D.  See lines marked *.</t>
  </si>
  <si>
    <t>Total investments does not equal Total per CAFR 11G/11P/11F.</t>
  </si>
  <si>
    <t>Narrative</t>
  </si>
  <si>
    <t>WS 431BTA dropdowns</t>
  </si>
  <si>
    <t>WS 420 dropdowns</t>
  </si>
  <si>
    <t>For 710, 720, 725 - top Other A &amp; B</t>
  </si>
  <si>
    <t>For 755 - Investments (excluding NAV) lines 45-47</t>
  </si>
  <si>
    <t>740 Investment Type</t>
  </si>
  <si>
    <t>740 Currency</t>
  </si>
  <si>
    <t>WS 536</t>
  </si>
  <si>
    <t>WS 535</t>
  </si>
  <si>
    <t>manually deleted ref error.</t>
  </si>
  <si>
    <t xml:space="preserve">Matrix Pricing (M1)  </t>
  </si>
  <si>
    <t>Primary and secondary education</t>
  </si>
  <si>
    <t>GARVEE</t>
  </si>
  <si>
    <t xml:space="preserve">Market Multiples (M2)  </t>
  </si>
  <si>
    <t>GASB Type</t>
  </si>
  <si>
    <t>COPS</t>
  </si>
  <si>
    <t xml:space="preserve">Present value using discounted cash flows (I1)  </t>
  </si>
  <si>
    <t>GASB Type (Click here)</t>
  </si>
  <si>
    <t>Fixed income collective investment funds</t>
  </si>
  <si>
    <t>Cash Surrender Value of Life Insurance_FV</t>
  </si>
  <si>
    <t>Australian Dollar</t>
  </si>
  <si>
    <t>Higher education student aid</t>
  </si>
  <si>
    <t>Short Term Debt</t>
  </si>
  <si>
    <t xml:space="preserve">Options Pricing (I2)  </t>
  </si>
  <si>
    <t>R_Cash and cash equivalents</t>
  </si>
  <si>
    <t>Enterprise (25XX)</t>
  </si>
  <si>
    <t>Fixed Income ETFs</t>
  </si>
  <si>
    <t>Collection and Mineral Rights_FV</t>
  </si>
  <si>
    <t>Brazilian Real</t>
  </si>
  <si>
    <t xml:space="preserve">Multiperiod Excess Earnings (I3)  </t>
  </si>
  <si>
    <t>R_Pooled cash</t>
  </si>
  <si>
    <t>Internal Service (27XX)</t>
  </si>
  <si>
    <t>Preferred Stock</t>
  </si>
  <si>
    <t>Canadian Dollar</t>
  </si>
  <si>
    <t xml:space="preserve">Relief-from-royalty method (I4)  </t>
  </si>
  <si>
    <t>R_Restricted pooled cash</t>
  </si>
  <si>
    <t>Component Units (26XX)</t>
  </si>
  <si>
    <t>Chinese Yuan Renminbi</t>
  </si>
  <si>
    <t>Environment and natural resources</t>
  </si>
  <si>
    <t xml:space="preserve">Depreciated replacement cost (C1)  </t>
  </si>
  <si>
    <t>R_Investments</t>
  </si>
  <si>
    <t>NCSSM (4XXX)</t>
  </si>
  <si>
    <t>For 710 and 720 - bottom - for other C, D, E &amp; F</t>
  </si>
  <si>
    <t>Real estate investment trust_FV</t>
  </si>
  <si>
    <t>Danish Krone</t>
  </si>
  <si>
    <t>Public safety, corrections, and regulation</t>
  </si>
  <si>
    <t>Other-_____________</t>
  </si>
  <si>
    <t xml:space="preserve">Other </t>
  </si>
  <si>
    <t>R_Pooled investments</t>
  </si>
  <si>
    <t>Egyptian Pound</t>
  </si>
  <si>
    <t>Debt Service</t>
  </si>
  <si>
    <t>R_Securities lending collateral</t>
  </si>
  <si>
    <t>For 755 - Investments measured net asset value (NAV) lines 55-60</t>
  </si>
  <si>
    <t>Euro</t>
  </si>
  <si>
    <t>1230 Prepaid items</t>
  </si>
  <si>
    <t>R_Accounts receivable</t>
  </si>
  <si>
    <t>Hong Kong Dollar</t>
  </si>
  <si>
    <t>12470000</t>
  </si>
  <si>
    <t>Highway construction/preservation</t>
  </si>
  <si>
    <t>WS 430G and 431G dropdowns</t>
  </si>
  <si>
    <t>431G Functions</t>
  </si>
  <si>
    <t>R_Intergovernmental receivable</t>
  </si>
  <si>
    <t>Cash Surrender Value of Life Insurance_NAV</t>
  </si>
  <si>
    <t>Indian Rupee</t>
  </si>
  <si>
    <t>Highway maintenance</t>
  </si>
  <si>
    <t>R_Interest receivable</t>
  </si>
  <si>
    <t>Indonesian Rupiah</t>
  </si>
  <si>
    <t>R_Premiums receivable</t>
  </si>
  <si>
    <t>Collection and Mineral Rights_NAV</t>
  </si>
  <si>
    <t>Israeli Shekel</t>
  </si>
  <si>
    <t>Capital projects/repairs and renovations</t>
  </si>
  <si>
    <t>R_Contributions receivable</t>
  </si>
  <si>
    <t>Emerging Markets Equity</t>
  </si>
  <si>
    <t>Debt mutual funds_NAV</t>
  </si>
  <si>
    <t>Japanese Yen</t>
  </si>
  <si>
    <t>R_Other receivables</t>
  </si>
  <si>
    <t>Equity collective inv trusts</t>
  </si>
  <si>
    <t>Malaysian Ringgit</t>
  </si>
  <si>
    <t>Committed:</t>
  </si>
  <si>
    <t>R_Due from other funds</t>
  </si>
  <si>
    <t>Hedge_commodity_debt collective inv trust</t>
  </si>
  <si>
    <t>Mexican Peso</t>
  </si>
  <si>
    <t>Debt service</t>
  </si>
  <si>
    <t>Master Limited Partnerships</t>
  </si>
  <si>
    <t>New Taiwan Dollar</t>
  </si>
  <si>
    <t xml:space="preserve">1420 Prepaid items </t>
  </si>
  <si>
    <t>R_Inventories</t>
  </si>
  <si>
    <t>Short-term Inv Collective Trust</t>
  </si>
  <si>
    <t>New Zealand Dollar</t>
  </si>
  <si>
    <t>R_Prepaid items</t>
  </si>
  <si>
    <t>Unit Investment Trusts</t>
  </si>
  <si>
    <t>Norwegian Krone</t>
  </si>
  <si>
    <t>Public school capital projects/repairs &amp; renovations</t>
  </si>
  <si>
    <t>R_Lease receivable</t>
  </si>
  <si>
    <t>Other purposes</t>
  </si>
  <si>
    <t>Pooled debt funds_NAV</t>
  </si>
  <si>
    <t>Philippine Peso</t>
  </si>
  <si>
    <t>R_PPP asset receivable</t>
  </si>
  <si>
    <t>Polish Zloty</t>
  </si>
  <si>
    <t>ZL - Gateway Research Park</t>
  </si>
  <si>
    <t>Capital projects-repairs and renovations</t>
  </si>
  <si>
    <t>Pound Sterling</t>
  </si>
  <si>
    <t>87 - NC School of Science and Mathematics</t>
  </si>
  <si>
    <t>1650 Accrued payroll (Current)</t>
  </si>
  <si>
    <t>Highway construction-preservation</t>
  </si>
  <si>
    <t>Non-current Assets</t>
  </si>
  <si>
    <t>WS 620 Revenue Captions</t>
  </si>
  <si>
    <t>Qatari Riyal</t>
  </si>
  <si>
    <t>1890 Unearned revenue</t>
  </si>
  <si>
    <t>Saudi Riyal</t>
  </si>
  <si>
    <t>R_Restricted-designated pooled cash_NC</t>
  </si>
  <si>
    <t>UR_Alcoholic beverage tax</t>
  </si>
  <si>
    <t>Singapore Dollar</t>
  </si>
  <si>
    <t>R_Investments_NC</t>
  </si>
  <si>
    <t>UR_Corporate income tax</t>
  </si>
  <si>
    <t>South African Rand</t>
  </si>
  <si>
    <t>2097 Unearned revenue (Noncurrent)</t>
  </si>
  <si>
    <t>R_Restricted investments_NC</t>
  </si>
  <si>
    <t>UR_Estate tax</t>
  </si>
  <si>
    <t>South Korean Won</t>
  </si>
  <si>
    <t>431BTA Funcions</t>
  </si>
  <si>
    <t>R_Contributions receivable_NC</t>
  </si>
  <si>
    <t>UR_Gift tax</t>
  </si>
  <si>
    <t>Swedish Krona</t>
  </si>
  <si>
    <t>R_Net OPEB asset_NC</t>
  </si>
  <si>
    <t>UR_Manufacturing tax</t>
  </si>
  <si>
    <t>Swiss Franc</t>
  </si>
  <si>
    <t>Disaster relief (OSC only)</t>
  </si>
  <si>
    <t>R_Notes receivable_NC</t>
  </si>
  <si>
    <t>UR_Other taxes</t>
  </si>
  <si>
    <t>Thai Baht</t>
  </si>
  <si>
    <t>2310 Sales and services, net</t>
  </si>
  <si>
    <t>Capital projects/Repairs and renovations</t>
  </si>
  <si>
    <t>R_Prepaid items_NC</t>
  </si>
  <si>
    <t>UR_Privilege license tax</t>
  </si>
  <si>
    <t>Turkish Lira</t>
  </si>
  <si>
    <t>R_Lease receivable_NC</t>
  </si>
  <si>
    <t>UR_Scrap tire disposal tax</t>
  </si>
  <si>
    <t>UAE Dirham</t>
  </si>
  <si>
    <t>R_PPP asset receivable_NC</t>
  </si>
  <si>
    <t>UR_Solid waste disposal tax</t>
  </si>
  <si>
    <t>Vietnamese Dong</t>
  </si>
  <si>
    <t>UR_Unauthorized substance tax</t>
  </si>
  <si>
    <t>Current Liabilities</t>
  </si>
  <si>
    <t>UR_White goods disposal tax</t>
  </si>
  <si>
    <t>2490 Personal Services</t>
  </si>
  <si>
    <t>UR_Federal funds</t>
  </si>
  <si>
    <t>R_Accounts payable</t>
  </si>
  <si>
    <t>UR_Interest earnings</t>
  </si>
  <si>
    <t>2560 Depreciation</t>
  </si>
  <si>
    <t>430 Explanations</t>
  </si>
  <si>
    <t>R_Accrued payroll</t>
  </si>
  <si>
    <t>UR_Local funds</t>
  </si>
  <si>
    <t>Select explanation</t>
  </si>
  <si>
    <t>R_Intergovernmental payable</t>
  </si>
  <si>
    <t>UR_Fees licenses and fines</t>
  </si>
  <si>
    <t>Capital asset audit adjustments and other error corrections</t>
  </si>
  <si>
    <t>R_Claims payable</t>
  </si>
  <si>
    <t>UR_Miscellaneous revenue</t>
  </si>
  <si>
    <t>Capital assets (prior year) entered after cut-off date</t>
  </si>
  <si>
    <t>R_Unemployment benefits payable</t>
  </si>
  <si>
    <t>UR_Sales and services</t>
  </si>
  <si>
    <t>Capital assets - reclassification of asset type</t>
  </si>
  <si>
    <t>R_Notes payable</t>
  </si>
  <si>
    <t>UR_Franchise tax</t>
  </si>
  <si>
    <t>Other asset audit adjustments and error corrections</t>
  </si>
  <si>
    <t>R_Due to fiduciary funds</t>
  </si>
  <si>
    <t>UR_Motor fuels tax</t>
  </si>
  <si>
    <t>Deferred outflows audit adjustments and other error correction</t>
  </si>
  <si>
    <t>R_Due to other funds</t>
  </si>
  <si>
    <t>UR_Highway use tax</t>
  </si>
  <si>
    <t>Long-term liability audit adjustments and other error corrections</t>
  </si>
  <si>
    <t>R_Obligations under securities lending</t>
  </si>
  <si>
    <t>UR_Insurance tax</t>
  </si>
  <si>
    <t>2890 Capital gifts, net</t>
  </si>
  <si>
    <t>Subsequent year's budget (OSC only)</t>
  </si>
  <si>
    <t>Other liability audit adjustments and error corrections</t>
  </si>
  <si>
    <t>UR_Reimbursements</t>
  </si>
  <si>
    <t>Deferred inflow audit adjustments and other error corrections</t>
  </si>
  <si>
    <t>UR_Sales and use tax</t>
  </si>
  <si>
    <t xml:space="preserve">Revenues understated in prior year </t>
  </si>
  <si>
    <t>R_Bond &amp; similar debt payable</t>
  </si>
  <si>
    <t>UR_Tobacco products tax</t>
  </si>
  <si>
    <t>Revenues overstated in prior year</t>
  </si>
  <si>
    <t>R_Accrued interest payable</t>
  </si>
  <si>
    <t>UR_Tobacco settlement</t>
  </si>
  <si>
    <t>Expenditures understated in prior year</t>
  </si>
  <si>
    <t>R_Funds held for others</t>
  </si>
  <si>
    <t>Expenditures overstated in prior year</t>
  </si>
  <si>
    <t>R_Annuity &amp; life income payable</t>
  </si>
  <si>
    <t>Change in accounting principle</t>
  </si>
  <si>
    <t>R_Accrued vacation leave</t>
  </si>
  <si>
    <t>Change to or within the financial reporting entity</t>
  </si>
  <si>
    <t>R_Unearned revenue</t>
  </si>
  <si>
    <t>431 Series</t>
  </si>
  <si>
    <t>Non-current liabilities</t>
  </si>
  <si>
    <t>Capital Assets, net</t>
  </si>
  <si>
    <t>R_Accounts payable_NC</t>
  </si>
  <si>
    <t>R_Land and permanent easements</t>
  </si>
  <si>
    <t>R_Advances from other funds_NC</t>
  </si>
  <si>
    <t>R_Construction in progress</t>
  </si>
  <si>
    <t>R_Computer software in development</t>
  </si>
  <si>
    <t>R_Other intang assets - nondepr</t>
  </si>
  <si>
    <t>R_Buildings</t>
  </si>
  <si>
    <t>R_Machinery &amp; equipment</t>
  </si>
  <si>
    <t>R_Accrued interest payable_NC</t>
  </si>
  <si>
    <t>R_General infrastructure</t>
  </si>
  <si>
    <t>R_State highway system</t>
  </si>
  <si>
    <t>R_Accrued vacation leave_NC</t>
  </si>
  <si>
    <t>R_NC toll road system</t>
  </si>
  <si>
    <t>R_Net OPEB liability_NC</t>
  </si>
  <si>
    <t>R_Computer software - depr</t>
  </si>
  <si>
    <t>R_Net pension liability_NC</t>
  </si>
  <si>
    <t>R_Subscription asset</t>
  </si>
  <si>
    <t>R_Other intangible assets - depr</t>
  </si>
  <si>
    <t>R_RTU land &amp; perm easements</t>
  </si>
  <si>
    <t>R_RTU buildings</t>
  </si>
  <si>
    <t>R_Deferred loss on refunding</t>
  </si>
  <si>
    <t>R_RTU machinery &amp; equipment</t>
  </si>
  <si>
    <t>R_Deferred outflows for ARO</t>
  </si>
  <si>
    <t>R_RTU general infrastructure</t>
  </si>
  <si>
    <t>R_Deferred outflows for OPEB</t>
  </si>
  <si>
    <t>R_Accumulated depreciation</t>
  </si>
  <si>
    <t>R_Deferred outflows for pension</t>
  </si>
  <si>
    <t>R_Other deferred outflows of resources</t>
  </si>
  <si>
    <t>Long-term Liabilities</t>
  </si>
  <si>
    <t>R_Bonds and similar debt payable</t>
  </si>
  <si>
    <t>R_Notes from direct borrowings</t>
  </si>
  <si>
    <t>R_Lease liability</t>
  </si>
  <si>
    <t>R_Deferred inflows for OPEB</t>
  </si>
  <si>
    <t>R_Subscription liability</t>
  </si>
  <si>
    <t>R_Deferred inflows for pension</t>
  </si>
  <si>
    <t>R_Compensated absences</t>
  </si>
  <si>
    <t>R_Deferred inflows for irrevocable split-interest agreements</t>
  </si>
  <si>
    <t>R_Pension liability</t>
  </si>
  <si>
    <t>R_Deferred inflows for leases</t>
  </si>
  <si>
    <t>R_Net OPEB liability</t>
  </si>
  <si>
    <t>R_Deferred inflows for PPP arrangements</t>
  </si>
  <si>
    <t>R_Workers compensation</t>
  </si>
  <si>
    <t>R_Other deferred inflows of resources</t>
  </si>
  <si>
    <t>R_Death benefit payable</t>
  </si>
  <si>
    <t>R_Pollution remediation payable</t>
  </si>
  <si>
    <t>WS 431BTA-CU dropdowns</t>
  </si>
  <si>
    <t>R_Claims and judgments payable</t>
  </si>
  <si>
    <t>431 Reasons for Error Corrections</t>
  </si>
  <si>
    <t>ER_Capital asset audit adj and other error corrections</t>
  </si>
  <si>
    <t>ER_Capital assets (prior year) entered after cut-off date</t>
  </si>
  <si>
    <t>ER_Capital assets - reclassification of asset type</t>
  </si>
  <si>
    <t>ER_Other asset audit adj and error corrections</t>
  </si>
  <si>
    <t>R_Due from component units</t>
  </si>
  <si>
    <t>ER_Deferred outflows audit adj and other error corrections</t>
  </si>
  <si>
    <t>R_Due from primary government</t>
  </si>
  <si>
    <t>ER_Long-term liability audit adj and other error corrections</t>
  </si>
  <si>
    <t>ER_Other liability audit adj and error corrections</t>
  </si>
  <si>
    <t>ER_Deferred inflow audit adj and other error corrections</t>
  </si>
  <si>
    <t>R_Hedging derivatives asset</t>
  </si>
  <si>
    <t xml:space="preserve">ER_Revenues understated in prior year </t>
  </si>
  <si>
    <t>R_Notes receivable</t>
  </si>
  <si>
    <t>ER_Revenues overstated in prior year</t>
  </si>
  <si>
    <t>ER_Expenditures understated in prior year</t>
  </si>
  <si>
    <t>ER_Expenditures overstated in prior year</t>
  </si>
  <si>
    <t>R_Investment in joint venture</t>
  </si>
  <si>
    <t>R_Restricted-designated cash and cash equivalents</t>
  </si>
  <si>
    <t>431 Reasons for Change in Accounts Principle or Change to or in a Financial Reporting Entity</t>
  </si>
  <si>
    <t>R_Restricted investments</t>
  </si>
  <si>
    <t>R_Restricted due from primary government</t>
  </si>
  <si>
    <t>R_Restricted due from component units</t>
  </si>
  <si>
    <t>O_Other change in accounting principle</t>
  </si>
  <si>
    <t>R_Advances to outside entities</t>
  </si>
  <si>
    <t>R_Beneficial interest in assets held by others</t>
  </si>
  <si>
    <t>431BTA GASBS</t>
  </si>
  <si>
    <t>R_Net OPEB asset</t>
  </si>
  <si>
    <t>R_Accumulated decrease in fair value of hedging derivatives</t>
  </si>
  <si>
    <t>R_Accounts payable and accrued liabilities</t>
  </si>
  <si>
    <t>2544_OSC</t>
  </si>
  <si>
    <t>R_Medical claims payable</t>
  </si>
  <si>
    <t>R_Interest payable</t>
  </si>
  <si>
    <t>R_Short-term debt</t>
  </si>
  <si>
    <t>R_Due to component units</t>
  </si>
  <si>
    <t>R_Due to primary government</t>
  </si>
  <si>
    <t>R_Advance from primary government</t>
  </si>
  <si>
    <t>R_Deposits payable</t>
  </si>
  <si>
    <t>431F GASBS</t>
  </si>
  <si>
    <t>R_Hedging derivatives liability</t>
  </si>
  <si>
    <t>R_Bonds payable due in 1 year</t>
  </si>
  <si>
    <t>R_Bonds payable_noncurrent</t>
  </si>
  <si>
    <t>R_Notes from direct borrowings due in 1 year</t>
  </si>
  <si>
    <t>R_Leases payable due in 1 year</t>
  </si>
  <si>
    <t>R_Leases payable_noncurrent</t>
  </si>
  <si>
    <t>R_Subscription liability due in 1 year</t>
  </si>
  <si>
    <t>R_Subscription liability_noncurrent</t>
  </si>
  <si>
    <t>R_Compensated absences due in 1 year</t>
  </si>
  <si>
    <t>R_Compensated absences_noncurrent</t>
  </si>
  <si>
    <t>R_Net pension liability</t>
  </si>
  <si>
    <t>R_Workers compensation due in 1 year</t>
  </si>
  <si>
    <t>R_Workers compensation_noncurrent</t>
  </si>
  <si>
    <t>R_Pollution remediation payable due in 1 year</t>
  </si>
  <si>
    <t>R_Pollution remediation payable_noncurrent</t>
  </si>
  <si>
    <t>R_Asset retirement obligation due in 1 year</t>
  </si>
  <si>
    <t>R_Liability insurance trust fund payable due in 1 year</t>
  </si>
  <si>
    <t>R_Liability insurance trust fund payable_noncurrent</t>
  </si>
  <si>
    <t>R_Deferred state aid</t>
  </si>
  <si>
    <t>R_Accumulated increase in fair value of hedging derivatives</t>
  </si>
  <si>
    <t>WS 431F dropdowns</t>
  </si>
  <si>
    <t>R_Corporate bonds</t>
  </si>
  <si>
    <t>R_Corporate stocks</t>
  </si>
  <si>
    <t>R_Certificates of deposit</t>
  </si>
  <si>
    <t>R_Collective investment funds</t>
  </si>
  <si>
    <t>R_State Treasurer investment pool</t>
  </si>
  <si>
    <t>R_Unallocated insurance contracts</t>
  </si>
  <si>
    <t>R_Synthetic guaranteed investment contracts</t>
  </si>
  <si>
    <t>R_Non-State Treasurer pooled investments</t>
  </si>
  <si>
    <t>R_Receivables</t>
  </si>
  <si>
    <t>R_Taxes receivable</t>
  </si>
  <si>
    <t>R_Sureties</t>
  </si>
  <si>
    <t>R_Capital assets-nondepreciable</t>
  </si>
  <si>
    <t>R_Capital assets-depreciable</t>
  </si>
  <si>
    <t>R_Benefits payable</t>
  </si>
  <si>
    <t>Restricted Net Position</t>
  </si>
  <si>
    <t>R_Pension benefits</t>
  </si>
  <si>
    <t>R_Other postemployment benefits</t>
  </si>
  <si>
    <t>R_Other employment benefits</t>
  </si>
  <si>
    <t>R_Pool participants</t>
  </si>
  <si>
    <t>R_Individual, organizations, and other governments</t>
  </si>
  <si>
    <t>R_Employer contributions</t>
  </si>
  <si>
    <t>R_Members contributions</t>
  </si>
  <si>
    <t>R_Trustee deposits</t>
  </si>
  <si>
    <t>R_Other contributions</t>
  </si>
  <si>
    <t>Investment income and pool share</t>
  </si>
  <si>
    <t>R_Investment earnings</t>
  </si>
  <si>
    <t>R_Investment expenses</t>
  </si>
  <si>
    <t>R_Reinvestment dividends</t>
  </si>
  <si>
    <t>R_Net share purchases (redemptions)</t>
  </si>
  <si>
    <t>Other additions</t>
  </si>
  <si>
    <t>R_Property tax collections</t>
  </si>
  <si>
    <t>R_Sales and use tax collections for local governments</t>
  </si>
  <si>
    <t>R_Participant deposits</t>
  </si>
  <si>
    <t>R_Child support deposits</t>
  </si>
  <si>
    <t>R_Sales and services</t>
  </si>
  <si>
    <t>R_Fees, licenses and fines</t>
  </si>
  <si>
    <t>R_Interest earnings on loans</t>
  </si>
  <si>
    <t>R_Miscellaneous</t>
  </si>
  <si>
    <t>R_Claims and benefits</t>
  </si>
  <si>
    <t>R_Medical insurance premiums</t>
  </si>
  <si>
    <t>R_Refund of contributions</t>
  </si>
  <si>
    <t>R_Distributions paid and payable</t>
  </si>
  <si>
    <t>R_Payments in accordance with trust arrangements</t>
  </si>
  <si>
    <t>R_Payments of property tax to local governments</t>
  </si>
  <si>
    <t>R_Payments of sales and use tax to local governments</t>
  </si>
  <si>
    <t>R_Payments in accordance with custodial arrangements</t>
  </si>
  <si>
    <t>R_Payments in accordance with child support arrangements</t>
  </si>
  <si>
    <t>R_Payments of grants to local governments</t>
  </si>
  <si>
    <t>R_Payments of refunds to grantors</t>
  </si>
  <si>
    <t>R_Administrative expenses</t>
  </si>
  <si>
    <t>R_Other deductions</t>
  </si>
  <si>
    <t>WS 431G Dropdowns</t>
  </si>
  <si>
    <t>Other Assets</t>
  </si>
  <si>
    <t>R_Advances to other funds</t>
  </si>
  <si>
    <t>R_Advances to component units</t>
  </si>
  <si>
    <t>R_Securities held in trust</t>
  </si>
  <si>
    <t>Deferred Outflows</t>
  </si>
  <si>
    <t>R_Forward funded state aid</t>
  </si>
  <si>
    <t>Other Liabilities</t>
  </si>
  <si>
    <t>R_Tax refunds payable</t>
  </si>
  <si>
    <t>R_Advance from other funds</t>
  </si>
  <si>
    <t>Deferred Inflows</t>
  </si>
  <si>
    <t>R_Unavailable revenue</t>
  </si>
  <si>
    <t>Dependent Drop-down List: Tabular dataset</t>
  </si>
  <si>
    <t>Unique Drop-down for Divison</t>
  </si>
  <si>
    <t>Dependent Drop-down</t>
  </si>
  <si>
    <t>11000G</t>
  </si>
  <si>
    <t>14000G</t>
  </si>
  <si>
    <t>Count</t>
  </si>
  <si>
    <t>11210G</t>
  </si>
  <si>
    <t>12000G</t>
  </si>
  <si>
    <t>13980G</t>
  </si>
  <si>
    <t>35020G</t>
  </si>
  <si>
    <t>39140G</t>
  </si>
  <si>
    <t>11030G</t>
  </si>
  <si>
    <t>11140G</t>
  </si>
  <si>
    <t>11220G</t>
  </si>
  <si>
    <t>14240G</t>
  </si>
  <si>
    <t>14290G</t>
  </si>
  <si>
    <t>14300G</t>
  </si>
  <si>
    <t>39230G</t>
  </si>
  <si>
    <t>11060G</t>
  </si>
  <si>
    <t>11120G</t>
  </si>
  <si>
    <t>11230G</t>
  </si>
  <si>
    <t>13710G</t>
  </si>
  <si>
    <t>13940G</t>
  </si>
  <si>
    <t>25350G</t>
  </si>
  <si>
    <t>25360G</t>
  </si>
  <si>
    <t>25370G</t>
  </si>
  <si>
    <t>26290G</t>
  </si>
  <si>
    <t>33110G</t>
  </si>
  <si>
    <t>33120G</t>
  </si>
  <si>
    <t>33140G</t>
  </si>
  <si>
    <t>33150G</t>
  </si>
  <si>
    <t>33160G</t>
  </si>
  <si>
    <t>33170G</t>
  </si>
  <si>
    <t>33190G</t>
  </si>
  <si>
    <t>33210G</t>
  </si>
  <si>
    <t>33220G</t>
  </si>
  <si>
    <t>33250G</t>
  </si>
  <si>
    <t>34010G</t>
  </si>
  <si>
    <t>35000G</t>
  </si>
  <si>
    <t>39000G</t>
  </si>
  <si>
    <t>39190G</t>
  </si>
  <si>
    <t>39200G</t>
  </si>
  <si>
    <t>39210G</t>
  </si>
  <si>
    <t>39220G</t>
  </si>
  <si>
    <t>11150G</t>
  </si>
  <si>
    <t>11160G</t>
  </si>
  <si>
    <t>11180G</t>
  </si>
  <si>
    <t>13030G</t>
  </si>
  <si>
    <t>14260G</t>
  </si>
  <si>
    <t>25310G</t>
  </si>
  <si>
    <t>25440G</t>
  </si>
  <si>
    <t>33230G</t>
  </si>
  <si>
    <t>11130G</t>
  </si>
  <si>
    <t>25000G</t>
  </si>
  <si>
    <t>25010G</t>
  </si>
  <si>
    <t>25150G</t>
  </si>
  <si>
    <t>26140G</t>
  </si>
  <si>
    <t>13370G</t>
  </si>
  <si>
    <t>13450G</t>
  </si>
  <si>
    <t>25200G</t>
  </si>
  <si>
    <t>27170G</t>
  </si>
  <si>
    <t>35010G</t>
  </si>
  <si>
    <t>11200G</t>
  </si>
  <si>
    <t>27020G</t>
  </si>
  <si>
    <t>27060G</t>
  </si>
  <si>
    <t>27140G</t>
  </si>
  <si>
    <t>27230G</t>
  </si>
  <si>
    <t>27280G</t>
  </si>
  <si>
    <t>13870G</t>
  </si>
  <si>
    <t>13890G</t>
  </si>
  <si>
    <t>25430G</t>
  </si>
  <si>
    <t>39180G</t>
  </si>
  <si>
    <t>11110G</t>
  </si>
  <si>
    <t>12210G</t>
  </si>
  <si>
    <t>13160G</t>
  </si>
  <si>
    <t>13520G</t>
  </si>
  <si>
    <t>13530G</t>
  </si>
  <si>
    <t>13910G</t>
  </si>
  <si>
    <t>13950G</t>
  </si>
  <si>
    <t>15020G</t>
  </si>
  <si>
    <t>11250G</t>
  </si>
  <si>
    <t>15010G</t>
  </si>
  <si>
    <t>13960G</t>
  </si>
  <si>
    <t>25400G</t>
  </si>
  <si>
    <t>43100G</t>
  </si>
  <si>
    <t>11320G</t>
  </si>
  <si>
    <t>2100</t>
  </si>
  <si>
    <t>2200</t>
  </si>
  <si>
    <t>2300</t>
  </si>
  <si>
    <t>2400</t>
  </si>
  <si>
    <t>2500</t>
  </si>
  <si>
    <t>2600</t>
  </si>
  <si>
    <t>13260G</t>
  </si>
  <si>
    <t>2700</t>
  </si>
  <si>
    <t>2800</t>
  </si>
  <si>
    <t>2A00</t>
  </si>
  <si>
    <t>13100G</t>
  </si>
  <si>
    <t>2B00</t>
  </si>
  <si>
    <t>2D00</t>
  </si>
  <si>
    <t>15000G</t>
  </si>
  <si>
    <t>3100</t>
  </si>
  <si>
    <t>3200</t>
  </si>
  <si>
    <t>3300</t>
  </si>
  <si>
    <t>3400</t>
  </si>
  <si>
    <t>3500</t>
  </si>
  <si>
    <t>3600</t>
  </si>
  <si>
    <t>3700</t>
  </si>
  <si>
    <t>3800</t>
  </si>
  <si>
    <t>3900</t>
  </si>
  <si>
    <t>3A00</t>
  </si>
  <si>
    <t>3B00</t>
  </si>
  <si>
    <t>3C00</t>
  </si>
  <si>
    <t>3D00</t>
  </si>
  <si>
    <t>11190G</t>
  </si>
  <si>
    <t>13610G</t>
  </si>
  <si>
    <t>27300G</t>
  </si>
  <si>
    <t>27310G</t>
  </si>
  <si>
    <t>13640G</t>
  </si>
  <si>
    <t>13650G</t>
  </si>
  <si>
    <t>25390G</t>
  </si>
  <si>
    <t>25410G</t>
  </si>
  <si>
    <t>12240G</t>
  </si>
  <si>
    <t>13470G</t>
  </si>
  <si>
    <t>13480G</t>
  </si>
  <si>
    <t>13490G</t>
  </si>
  <si>
    <t>26310G</t>
  </si>
  <si>
    <t>26340G</t>
  </si>
  <si>
    <t>25420G</t>
  </si>
  <si>
    <t>41100G</t>
  </si>
  <si>
    <t>41300G</t>
  </si>
  <si>
    <t>42300G</t>
  </si>
  <si>
    <t>11980G</t>
  </si>
  <si>
    <t>39120G</t>
  </si>
  <si>
    <t>11040G</t>
  </si>
  <si>
    <t>R200</t>
  </si>
  <si>
    <t>R700</t>
  </si>
  <si>
    <t>11070G</t>
  </si>
  <si>
    <t>RC00</t>
  </si>
  <si>
    <t>13620G</t>
  </si>
  <si>
    <t>RG00</t>
  </si>
  <si>
    <t>26150G</t>
  </si>
  <si>
    <t>26120G</t>
  </si>
  <si>
    <t>CDF</t>
  </si>
  <si>
    <t>48200G</t>
  </si>
  <si>
    <t>CCF</t>
  </si>
  <si>
    <t>CFF</t>
  </si>
  <si>
    <t>CHF</t>
  </si>
  <si>
    <t>CJF</t>
  </si>
  <si>
    <t>CKF</t>
  </si>
  <si>
    <t>CMF</t>
  </si>
  <si>
    <t>CNF</t>
  </si>
  <si>
    <t>CPF</t>
  </si>
  <si>
    <t>CSF</t>
  </si>
  <si>
    <t>CTF</t>
  </si>
  <si>
    <t>CUF</t>
  </si>
  <si>
    <t>CVF</t>
  </si>
  <si>
    <t>CWF</t>
  </si>
  <si>
    <t>CXF</t>
  </si>
  <si>
    <t>D0F</t>
  </si>
  <si>
    <t>D1F</t>
  </si>
  <si>
    <t>D3F</t>
  </si>
  <si>
    <t>D4F</t>
  </si>
  <si>
    <t>D5F</t>
  </si>
  <si>
    <t>D6F</t>
  </si>
  <si>
    <t>D8F</t>
  </si>
  <si>
    <t>D9F</t>
  </si>
  <si>
    <t>DAF</t>
  </si>
  <si>
    <t>DBF</t>
  </si>
  <si>
    <t>C1F</t>
  </si>
  <si>
    <t>DDF</t>
  </si>
  <si>
    <t>DEF</t>
  </si>
  <si>
    <t>DFF</t>
  </si>
  <si>
    <t>DGF</t>
  </si>
  <si>
    <t>DHF</t>
  </si>
  <si>
    <t>DJF</t>
  </si>
  <si>
    <t>DLF</t>
  </si>
  <si>
    <t>DMF</t>
  </si>
  <si>
    <t>DNF</t>
  </si>
  <si>
    <t>DPF</t>
  </si>
  <si>
    <t>C0F</t>
  </si>
  <si>
    <t>C2F</t>
  </si>
  <si>
    <t>C4F</t>
  </si>
  <si>
    <t>C5F</t>
  </si>
  <si>
    <t>C6F</t>
  </si>
  <si>
    <t>C7F</t>
  </si>
  <si>
    <t>C8F</t>
  </si>
  <si>
    <t>C9F</t>
  </si>
  <si>
    <t>CAF</t>
  </si>
  <si>
    <t>CBF</t>
  </si>
  <si>
    <t>48100G</t>
  </si>
  <si>
    <t>26200G</t>
  </si>
  <si>
    <t>26110G</t>
  </si>
  <si>
    <t>26400G</t>
  </si>
  <si>
    <t>26151G</t>
  </si>
  <si>
    <t>26270G</t>
  </si>
  <si>
    <t>26180G</t>
  </si>
  <si>
    <t>26210G</t>
  </si>
  <si>
    <t>26260G</t>
  </si>
  <si>
    <t>26440G</t>
  </si>
  <si>
    <t>Outside Agency</t>
  </si>
  <si>
    <t>FCCS_No Intercompany</t>
  </si>
  <si>
    <t>Agrees to 905</t>
  </si>
  <si>
    <t xml:space="preserve">Agrees to 905/Statement of Net Position </t>
  </si>
  <si>
    <t>Agrees to 905/Statement of Net Position</t>
  </si>
  <si>
    <t>R_Charges for services</t>
  </si>
  <si>
    <t>R_Operating grants &amp; contributions</t>
  </si>
  <si>
    <t>R_Capital grants &amp; contributions</t>
  </si>
  <si>
    <t>R_Miscellaneous_PR</t>
  </si>
  <si>
    <t>R_Miscellaneous_GR</t>
  </si>
  <si>
    <t>R_Individual Income Tax</t>
  </si>
  <si>
    <t>R_Corporate Tax</t>
  </si>
  <si>
    <t>R_Sales and Use Tax</t>
  </si>
  <si>
    <t>R_Gasoline Tax</t>
  </si>
  <si>
    <t>R_Franchise Tax</t>
  </si>
  <si>
    <t>R_Highway Use Tax</t>
  </si>
  <si>
    <t>R_Insurance Tax</t>
  </si>
  <si>
    <t>R_Beverage Tax</t>
  </si>
  <si>
    <t>R_Tobacco Products Tax</t>
  </si>
  <si>
    <t>R_Other Taxes</t>
  </si>
  <si>
    <t>R_General government</t>
  </si>
  <si>
    <t>R_Primary &amp; secondary education</t>
  </si>
  <si>
    <t>R_Higher education</t>
  </si>
  <si>
    <t>R_Health &amp; human services</t>
  </si>
  <si>
    <t>R_Economic development</t>
  </si>
  <si>
    <t>R_Environment &amp; natural resources</t>
  </si>
  <si>
    <t>R_Transportation</t>
  </si>
  <si>
    <t>R_Agriculture</t>
  </si>
  <si>
    <t>Operating Grants &amp; Contributions:</t>
  </si>
  <si>
    <t>R_Federal aid - COVID-19</t>
  </si>
  <si>
    <t>R_State aid - program</t>
  </si>
  <si>
    <t>Capital Grants &amp; Contributions:</t>
  </si>
  <si>
    <t>R_State capital aid</t>
  </si>
  <si>
    <t>R_Other capital grants and contributions</t>
  </si>
  <si>
    <t>R_Unrestricted investment earnings</t>
  </si>
  <si>
    <t>R_State aid - coronavirus</t>
  </si>
  <si>
    <t>R_State aid - general</t>
  </si>
  <si>
    <t>R_Noncapital contributions</t>
  </si>
  <si>
    <t>R_Annuity &amp; life income payable due in 1 year</t>
  </si>
  <si>
    <t>R_Annuity &amp; life income payable_noncurrent</t>
  </si>
  <si>
    <t>R_Asset retirement obligation_noncurrent</t>
  </si>
  <si>
    <t>R_Notes receivable net</t>
  </si>
  <si>
    <t>R_Notes from direct borrowings_noncurrent</t>
  </si>
  <si>
    <t>R_Receivables net</t>
  </si>
  <si>
    <t>R_Lease payable_noncurrent</t>
  </si>
  <si>
    <t>R_Bond &amp; similar debt payable_noncurrent</t>
  </si>
  <si>
    <t>R_Notes payable_noncurrent</t>
  </si>
  <si>
    <t>R_Lease payable due in 1 year</t>
  </si>
  <si>
    <t xml:space="preserve">O_IG 2021-1 Sec 5.1 Grouped Asset </t>
  </si>
  <si>
    <t>R_Art lit &amp; oth artifacts - depr</t>
  </si>
  <si>
    <t>R_Public safety corrections &amp; reg</t>
  </si>
  <si>
    <t>Public safety corrections and regulation</t>
  </si>
  <si>
    <t>NA for online Primary Gov agencies – for offline PG/Component units only</t>
  </si>
  <si>
    <t>*Applicable for offline PG/Universities for Balances in Account 11450100*</t>
  </si>
  <si>
    <r>
      <t xml:space="preserve">aggregate of those assets are considered significant </t>
    </r>
    <r>
      <rPr>
        <b/>
        <sz val="9"/>
        <color rgb="FF000000"/>
        <rFont val="Arial"/>
        <family val="2"/>
      </rPr>
      <t>(Component Units Only for questions 2b to 2d)</t>
    </r>
  </si>
  <si>
    <t>Removed the requirement for Departmental Audit Agencies to complete questions 2b to 2d.</t>
  </si>
  <si>
    <t>Laura Klem</t>
  </si>
  <si>
    <t>NONEXCHANGE AND EXCHANGE FINANCIAL GUARANTEES (338)</t>
  </si>
  <si>
    <r>
      <t xml:space="preserve">governments that extend or receive </t>
    </r>
    <r>
      <rPr>
        <b/>
        <i/>
        <sz val="10"/>
        <rFont val="Arial"/>
        <family val="2"/>
      </rPr>
      <t>nonexchange</t>
    </r>
    <r>
      <rPr>
        <sz val="10"/>
        <rFont val="Arial"/>
        <family val="2"/>
      </rPr>
      <t xml:space="preserve"> financial guarantees.</t>
    </r>
  </si>
  <si>
    <t xml:space="preserve">under the same financial reporting requirements and disclosures. </t>
  </si>
  <si>
    <t xml:space="preserve">GASB Statement 70 provided recognition, measurement, and disclosure guidance for state and local </t>
  </si>
  <si>
    <t xml:space="preserve">An exchange or exchange-like financial guarantee is a guarantee of an obligation of a separate legal entity, </t>
  </si>
  <si>
    <t>including a component unit (discretely presented or blended) that requires a guarantor to indemnify a third-party</t>
  </si>
  <si>
    <t>obligation holder under specified conditions is an exchange or exchange_x0002_like transaction.</t>
  </si>
  <si>
    <t xml:space="preserve">Nonexchange and exchange financial guarantees that meet recognition and measurement requirements should be </t>
  </si>
  <si>
    <t>For more information on GASB 70 and GASB 99, refer to the GASB Resources link on OSC's homepage (or see link below).</t>
  </si>
  <si>
    <t>Financial Reporting Update GASB 99</t>
  </si>
  <si>
    <r>
      <t xml:space="preserve">Has your agency/university been a party to any </t>
    </r>
    <r>
      <rPr>
        <b/>
        <i/>
        <sz val="10"/>
        <rFont val="Arial"/>
        <family val="2"/>
      </rPr>
      <t>nonexchange</t>
    </r>
    <r>
      <rPr>
        <sz val="10"/>
        <rFont val="Arial"/>
        <family val="2"/>
      </rPr>
      <t xml:space="preserve"> or </t>
    </r>
    <r>
      <rPr>
        <b/>
        <i/>
        <sz val="10"/>
        <rFont val="Arial"/>
        <family val="2"/>
      </rPr>
      <t xml:space="preserve">exchange </t>
    </r>
    <r>
      <rPr>
        <sz val="10"/>
        <rFont val="Arial"/>
        <family val="2"/>
      </rPr>
      <t>or</t>
    </r>
    <r>
      <rPr>
        <b/>
        <i/>
        <sz val="10"/>
        <rFont val="Arial"/>
        <family val="2"/>
      </rPr>
      <t xml:space="preserve"> exchange-like</t>
    </r>
    <r>
      <rPr>
        <sz val="10"/>
        <rFont val="Arial"/>
        <family val="2"/>
      </rPr>
      <t xml:space="preserve"> financial guarantees during the year?</t>
    </r>
  </si>
  <si>
    <r>
      <t xml:space="preserve">GASB Statement 99, </t>
    </r>
    <r>
      <rPr>
        <i/>
        <sz val="10"/>
        <rFont val="Arial"/>
        <family val="2"/>
      </rPr>
      <t>Omnibus 2022</t>
    </r>
    <r>
      <rPr>
        <sz val="10"/>
        <rFont val="Arial"/>
        <family val="2"/>
      </rPr>
      <t xml:space="preserve">, modified GASB 70 to include </t>
    </r>
    <r>
      <rPr>
        <b/>
        <i/>
        <sz val="10"/>
        <rFont val="Arial"/>
        <family val="2"/>
      </rPr>
      <t>exchange or exchange-like</t>
    </r>
    <r>
      <rPr>
        <sz val="10"/>
        <rFont val="Arial"/>
        <family val="2"/>
      </rPr>
      <t xml:space="preserve"> guarantees </t>
    </r>
  </si>
  <si>
    <t xml:space="preserve">Yelena Zaytseva </t>
  </si>
  <si>
    <r>
      <t xml:space="preserve">Added financial reporting requirements for exchange or exchange-like financial guarantees per GASB 99, </t>
    </r>
    <r>
      <rPr>
        <i/>
        <sz val="11"/>
        <rFont val="Arial"/>
        <family val="2"/>
      </rPr>
      <t>Omnibus 22</t>
    </r>
    <r>
      <rPr>
        <sz val="11"/>
        <rFont val="Arial"/>
        <family val="2"/>
      </rPr>
      <t xml:space="preserve">, par. 4-7, effective FY24. </t>
    </r>
  </si>
  <si>
    <t>Added agencies 49 State Bureau of Investigation and 52 Adult Correction as entities required to complete the 338 worksheet</t>
  </si>
  <si>
    <t>Joanie Saucier</t>
  </si>
  <si>
    <t>Only applies to 07 Treasurer, 13 Administration, 15 Transportation, 16 Environmental Quality, 19 Public Safety, 46 Natural and Cultureal Resource, 49 State Bureau of Investigation, 52 Adult Correction, and UNC System Entities (incuding UNC Healthcare System)</t>
  </si>
  <si>
    <t>201 &amp; 210</t>
  </si>
  <si>
    <t>Add beginning balance formula to SBITA Asset.</t>
  </si>
  <si>
    <t>Right to Use Lease Asset-PPP</t>
  </si>
  <si>
    <t>PriorYr 905</t>
  </si>
  <si>
    <t xml:space="preserve">Update fomula of RTU PPP, Computer Software, Patents and other intangible assets to pull beginning balance at the correct row </t>
  </si>
  <si>
    <t xml:space="preserve">Add RTU PPP to accumulated depreciation table </t>
  </si>
  <si>
    <t>01 North Carolina General Assembly</t>
  </si>
  <si>
    <r>
      <t xml:space="preserve">Note by  PK 4/7/24:  </t>
    </r>
    <r>
      <rPr>
        <sz val="10"/>
        <color rgb="FFFF0000"/>
        <rFont val="Arial"/>
        <family val="2"/>
      </rPr>
      <t>Prior Year balances have been updated.  Net position has been materiallly reconciled to the 2023 ACFR. See journal entries for more information. All entries incorporated into beginning balances were corrective in nature.</t>
    </r>
    <r>
      <rPr>
        <sz val="10"/>
        <rFont val="Arial"/>
        <family val="2"/>
      </rPr>
      <t xml:space="preserve">
6/10/24: update cells related to WS 210 and 310</t>
    </r>
  </si>
  <si>
    <t>Update the beginning balance of Lease Liability and SBITA liability</t>
  </si>
  <si>
    <r>
      <t xml:space="preserve">Added a question to ensure NCFS agencies have validated the balances on the 201/210 worksheet to the FBR Fixed Asset Outbound Interface to FCCS Report (INTFA006).  Additionally, added remarks that agencies should </t>
    </r>
    <r>
      <rPr>
        <b/>
        <sz val="11"/>
        <rFont val="Arial"/>
        <family val="2"/>
      </rPr>
      <t>not</t>
    </r>
    <r>
      <rPr>
        <sz val="11"/>
        <rFont val="Arial"/>
        <family val="2"/>
      </rPr>
      <t xml:space="preserve"> make any capital asset adjustments to the accrual ledger after the July 21, 2024 deadline if the adjustment is below $10 million.</t>
    </r>
  </si>
  <si>
    <t>Added three questions if the agency doesn't agree with the FBR Fixed Asset Outbound Interface to FCCS Report (INTFA006): 1) to identify material adjustments (individual assets over $10 million) to the July 1 balances for acquisitions and/or cost adjustments; 2) to identify material acquisitions or cost adjustments ($10 million or greater) for FY24; and 3) to identify any acquisitions/cost adjustments and/or adjustments to the July 1 balances under the $10 million threshold.</t>
  </si>
  <si>
    <r>
      <t xml:space="preserve">5)  Did your agency record </t>
    </r>
    <r>
      <rPr>
        <b/>
        <sz val="10"/>
        <rFont val="Arial"/>
        <family val="2"/>
      </rPr>
      <t>restated</t>
    </r>
    <r>
      <rPr>
        <sz val="10"/>
        <rFont val="Arial"/>
        <family val="2"/>
      </rPr>
      <t xml:space="preserve"> grouped assets as required by Implementation Guide 2021-1 Section 5.1, effective for FY 2024?</t>
    </r>
  </si>
  <si>
    <r>
      <t xml:space="preserve">Did your agency have any </t>
    </r>
    <r>
      <rPr>
        <sz val="10"/>
        <color rgb="FFFF0000"/>
        <rFont val="Arial"/>
        <family val="2"/>
      </rPr>
      <t xml:space="preserve">material adjustments (individual assets over $10 million) to the July 1 balances </t>
    </r>
    <r>
      <rPr>
        <sz val="10"/>
        <rFont val="Arial"/>
        <family val="2"/>
      </rPr>
      <t xml:space="preserve">for acquisitions or cost adjustments that </t>
    </r>
  </si>
  <si>
    <t>did not get reported in the NCFS Fixed Asset Module?</t>
  </si>
  <si>
    <t>Placed in Service Date</t>
  </si>
  <si>
    <r>
      <t xml:space="preserve">Are there any </t>
    </r>
    <r>
      <rPr>
        <sz val="10"/>
        <color rgb="FFFF0000"/>
        <rFont val="Arial"/>
        <family val="2"/>
      </rPr>
      <t>material acquisitions or cost adjustments (individual assets over $10 million)</t>
    </r>
    <r>
      <rPr>
        <sz val="10"/>
        <rFont val="Arial"/>
        <family val="2"/>
      </rPr>
      <t xml:space="preserve"> that should be reported in FY 2024 that did not get </t>
    </r>
  </si>
  <si>
    <t>recorded in the Fixed Asset Module during FY 2024?</t>
  </si>
  <si>
    <t>Are there any acquisitions/cost adjustments and/or adjustments to the July 1 balances under $10 million that did not get recorded in the Fixed Asset</t>
  </si>
  <si>
    <r>
      <rPr>
        <sz val="10"/>
        <rFont val="Arial"/>
        <family val="2"/>
      </rPr>
      <t xml:space="preserve">Module during FY2024?  </t>
    </r>
    <r>
      <rPr>
        <sz val="10"/>
        <color rgb="FFFF0000"/>
        <rFont val="Arial"/>
        <family val="2"/>
      </rPr>
      <t>Note: Unless instructed otherwise by OSC, these assets will be adjustments to the July 1 balances in fiscal year 2025.</t>
    </r>
  </si>
  <si>
    <t>Total adjustments to July 1 balances for fiscal year 2025</t>
  </si>
  <si>
    <t>Worksheet 203 question #2 answered appropriately (Y/N/NA)</t>
  </si>
  <si>
    <t>Worksheet 203 question #3 answered appropriately (Y/N/NA)</t>
  </si>
  <si>
    <t>Worksheet 201 Question on line 11 is answered appropriately (Y/N/NA)</t>
  </si>
  <si>
    <t>Worksheet 203 question #4 filled out if answered "YES"</t>
  </si>
  <si>
    <t>Worksheet 203 question #4 answered appropriately (Y/N/NA)</t>
  </si>
  <si>
    <t>Worksheet 203 question #5 answered appropriately (Y/N)</t>
  </si>
  <si>
    <t>Package Updates made after May 10, 2024</t>
  </si>
  <si>
    <r>
      <t xml:space="preserve">*If no, NCFS agencies </t>
    </r>
    <r>
      <rPr>
        <b/>
        <u/>
        <sz val="10"/>
        <color rgb="FFFF0000"/>
        <rFont val="Arial Narrow"/>
        <family val="2"/>
      </rPr>
      <t>should not</t>
    </r>
    <r>
      <rPr>
        <b/>
        <sz val="10"/>
        <color rgb="FFFF0000"/>
        <rFont val="Arial Narrow"/>
        <family val="2"/>
      </rPr>
      <t xml:space="preserve"> make any capital asset adjustments to the accrual ledger after the July 21, 2024 if the individual adjustments are below the $10 million threshold.</t>
    </r>
  </si>
  <si>
    <t xml:space="preserve"> If above the $10 million, contact your OSC analyst. OSC will work with the NCFS agencies to make correcting entries in fiscal year 2024 &amp; 2025.</t>
  </si>
  <si>
    <t>If yes, list the FAS asset number, type of asset (i.e. land, bldg, equip, etc.), placed in service date, and the cost below:</t>
  </si>
  <si>
    <t>If yes, list the NCFS asset number, type of asset (i.e. land, bldg, equip, etc.), placed in service date, and the cost below:</t>
  </si>
  <si>
    <t xml:space="preserve">If you answered no to question 1, please refer to questions 2, 3, and 4 below to provide adjustments. </t>
  </si>
  <si>
    <t xml:space="preserve">I hereby certify that we have verified the above Fixed Assets Outbound Interface to FCCS report (RPTFA006) and reconciled the FY 2024 </t>
  </si>
  <si>
    <t>Do you agree with the Fixed Assets Outbound Interface to FCCS report (RPTFA006) as of Fiscal Year End 2024?</t>
  </si>
  <si>
    <t>For NCFS users, do you agree with the FBR Fixed Asset Outbound Interface to FCCS Report (RPTFA006) report as of FY 2024?*</t>
  </si>
  <si>
    <t>Ghazala Bibi</t>
  </si>
  <si>
    <t>336-256-0402</t>
  </si>
  <si>
    <t>g_bibi@uncg.edu</t>
  </si>
  <si>
    <t>Sarah Dozier</t>
  </si>
  <si>
    <t>(919) 829-8132</t>
  </si>
  <si>
    <t>sdozier@centauth.com</t>
  </si>
  <si>
    <t>R_Net position (beginning restated)</t>
  </si>
  <si>
    <t>Under the Operating Statement Sections for both tables (Restatements Related to Error Corrections and Restatements Related to Changes in Accounting Principles), captions were provided on lines 69 and 136 for restatements to beginning net position related to periods earlier than FY 2023.</t>
  </si>
  <si>
    <r>
      <rPr>
        <b/>
        <sz val="9"/>
        <color rgb="FF000000"/>
        <rFont val="Calibri"/>
        <family val="2"/>
      </rPr>
      <t>File revision date:</t>
    </r>
    <r>
      <rPr>
        <b/>
        <sz val="9"/>
        <color rgb="FFFF0000"/>
        <rFont val="Calibri"/>
        <family val="2"/>
      </rPr>
      <t xml:space="preserve"> 7/01/2024</t>
    </r>
  </si>
  <si>
    <r>
      <t>Updated the Employer Contribution rates for TSERS, RHBF and DIPNC to reflect the 23-24 legislatively mandated contribution rates. Changes to worksheet 602 do not change any calculation, however the ACFR package is updated so the correct rate is reflected under each Plan.  These are only changes to the description or language on this sheet; so it is not "required" to pull down the latest package to update to the latest version, but the description on this worksheet has changed.   OSC has also updated the GASB 68 ( Pension) and GASB 75( RHBF &amp; DIPNC) templates for</t>
    </r>
    <r>
      <rPr>
        <u/>
        <sz val="11"/>
        <rFont val="Arial"/>
        <family val="2"/>
      </rPr>
      <t xml:space="preserve"> component units </t>
    </r>
    <r>
      <rPr>
        <sz val="11"/>
        <rFont val="Arial"/>
        <family val="2"/>
      </rPr>
      <t>on the OSC website at :  https://www.osc.nc.gov/state-agency-resources/ncas-ncfs-year-end  (GASB Statement 68 &amp; GASB Statement 75 links).</t>
    </r>
  </si>
  <si>
    <t>Elizabeth John</t>
  </si>
  <si>
    <t>Updated  Net Position for 6B Deferred Comp and 6C NC401K Plan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</si>
</sst>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_);\(#,##0\);&quot;-       &quot;"/>
    <numFmt numFmtId="165" formatCode="#,###\ ;\(#,###\)"/>
    <numFmt numFmtId="166" formatCode="#,###\ ;\(#,###\);@*."/>
    <numFmt numFmtId="167" formatCode="&quot;$&quot;* #,###\ ;&quot;$&quot;* \(#,###\);&quot;$&quot;* \-\ \ \ \ \ \ "/>
    <numFmt numFmtId="168" formatCode="* #,###\ ;* \(#,###\);* \-\ \ \ \ \ \ "/>
    <numFmt numFmtId="169" formatCode="#,###\ ;\(#,###\);\ \ @*."/>
    <numFmt numFmtId="170" formatCode="#,##0.00_);\(#,##0.00\);"/>
    <numFmt numFmtId="171" formatCode=";;"/>
    <numFmt numFmtId="172" formatCode="mmmm\ d\,\ yyyy"/>
    <numFmt numFmtId="173" formatCode="#,###\ ;\(#,###\);@"/>
    <numFmt numFmtId="174" formatCode="#,##0.00_);\(#,##0.00\);&quot;&quot;"/>
    <numFmt numFmtId="175" formatCode="[&lt;=9999999]###\-####;\(###\)\ ###\-####"/>
    <numFmt numFmtId="176" formatCode="#,##0.00_);\(#,##0.00\);;"/>
    <numFmt numFmtId="177" formatCode="&quot;$&quot;#,##0.00_);\(&quot;$&quot;#,##0.00\);;"/>
    <numFmt numFmtId="178" formatCode=";;;\ @*."/>
    <numFmt numFmtId="179" formatCode="#,##0_);\(#,##0\);;"/>
    <numFmt numFmtId="180" formatCode="#,##0.00_);\(#,##0.00\);\—\ \ \ \ \ \ "/>
    <numFmt numFmtId="181" formatCode="#,##0.00_);\(#,##0.00\);* \ \-\ \ \ \ \ "/>
    <numFmt numFmtId="182" formatCode="m/d/yyyy;@"/>
    <numFmt numFmtId="183" formatCode="#,###\ ;\(#,###\);\ \ \ \ @*."/>
    <numFmt numFmtId="184" formatCode="0.00%\ ;\(0.00\)%"/>
    <numFmt numFmtId="185" formatCode="&quot;$&quot;* #,##0.00_);&quot;$&quot;* \(#,##0.00\);&quot;$&quot;* \—\ \ \ \ \ \ "/>
    <numFmt numFmtId="186" formatCode="&quot;$&quot;#,##0\ ;\(&quot;$&quot;#,##0\);@*."/>
    <numFmt numFmtId="187" formatCode="* #,###\ ;* \(#,###\);* \—\ \ "/>
    <numFmt numFmtId="188" formatCode="[$-409]mmmm\ d\,\ yyyy;@"/>
    <numFmt numFmtId="189" formatCode="m/d/yy;@"/>
    <numFmt numFmtId="190" formatCode="0_);\(0\)"/>
    <numFmt numFmtId="191" formatCode="* #,###\ ;* \(#,###\);@*."/>
    <numFmt numFmtId="192" formatCode="0.00_);\(0.00\)"/>
    <numFmt numFmtId="193" formatCode="_([$$-409]* #,##0.00_);_([$$-409]* \(#,##0.00\);_([$$-409]* &quot;-&quot;??_);_(@_)"/>
    <numFmt numFmtId="194" formatCode="mm/dd/yy;@"/>
    <numFmt numFmtId="195" formatCode="&quot;$&quot;#,##0"/>
    <numFmt numFmtId="196" formatCode="#,##0.00_);\(#,##0.00\);&quot;-       &quot;"/>
    <numFmt numFmtId="197" formatCode="_(* #,##0_);_(* \(#,##0\);_(* &quot;-&quot;??_);_(@_)"/>
    <numFmt numFmtId="198" formatCode="#,###.00\ ;\(#,###.00\);@*."/>
  </numFmts>
  <fonts count="3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b/>
      <sz val="10"/>
      <name val="Arial"/>
      <family val="2"/>
    </font>
    <font>
      <b/>
      <u/>
      <sz val="10"/>
      <name val="Arial"/>
      <family val="2"/>
    </font>
    <font>
      <sz val="12"/>
      <name val="Arial"/>
      <family val="2"/>
    </font>
    <font>
      <sz val="10"/>
      <name val="Arial"/>
      <family val="2"/>
    </font>
    <font>
      <sz val="10"/>
      <name val="MS Sans Serif"/>
      <family val="2"/>
    </font>
    <font>
      <b/>
      <sz val="12"/>
      <name val="Times New Roman"/>
      <family val="1"/>
    </font>
    <font>
      <sz val="12"/>
      <name val="Times New Roman"/>
      <family val="1"/>
    </font>
    <font>
      <b/>
      <sz val="9"/>
      <name val="Arial"/>
      <family val="2"/>
    </font>
    <font>
      <sz val="9"/>
      <name val="Arial"/>
      <family val="2"/>
    </font>
    <font>
      <b/>
      <sz val="10"/>
      <name val="Arial"/>
      <family val="2"/>
    </font>
    <font>
      <b/>
      <sz val="8"/>
      <name val="Arial"/>
      <family val="2"/>
    </font>
    <font>
      <sz val="8"/>
      <name val="Arial"/>
      <family val="2"/>
    </font>
    <font>
      <b/>
      <i/>
      <sz val="9"/>
      <name val="Arial"/>
      <family val="2"/>
    </font>
    <font>
      <sz val="9"/>
      <name val="Arial"/>
      <family val="2"/>
    </font>
    <font>
      <b/>
      <sz val="12"/>
      <name val="Book Antiqua"/>
      <family val="1"/>
    </font>
    <font>
      <sz val="14"/>
      <name val="Book Antiqua"/>
      <family val="1"/>
    </font>
    <font>
      <sz val="8"/>
      <name val="Arial"/>
      <family val="2"/>
    </font>
    <font>
      <b/>
      <u/>
      <sz val="9"/>
      <name val="Arial"/>
      <family val="2"/>
    </font>
    <font>
      <i/>
      <sz val="9"/>
      <name val="Arial"/>
      <family val="2"/>
    </font>
    <font>
      <sz val="12"/>
      <name val="Book Antiqua"/>
      <family val="1"/>
    </font>
    <font>
      <sz val="10"/>
      <name val="Book Antiqua"/>
      <family val="1"/>
    </font>
    <font>
      <sz val="9"/>
      <name val="Book Antiqua"/>
      <family val="1"/>
    </font>
    <font>
      <sz val="9.75"/>
      <name val="Arial"/>
      <family val="2"/>
    </font>
    <font>
      <i/>
      <sz val="10"/>
      <name val="Arial"/>
      <family val="2"/>
    </font>
    <font>
      <sz val="9.75"/>
      <name val="Helv"/>
    </font>
    <font>
      <b/>
      <sz val="9.75"/>
      <name val="Arial"/>
      <family val="2"/>
    </font>
    <font>
      <sz val="9"/>
      <name val="Arial Narrow"/>
      <family val="2"/>
    </font>
    <font>
      <b/>
      <sz val="9"/>
      <name val="Arial Narrow"/>
      <family val="2"/>
    </font>
    <font>
      <i/>
      <sz val="8"/>
      <name val="Arial"/>
      <family val="2"/>
    </font>
    <font>
      <b/>
      <sz val="10"/>
      <name val="Arial Narrow"/>
      <family val="2"/>
    </font>
    <font>
      <sz val="10"/>
      <name val="Helv"/>
    </font>
    <font>
      <b/>
      <i/>
      <sz val="10"/>
      <name val="Arial"/>
      <family val="2"/>
    </font>
    <font>
      <i/>
      <sz val="10"/>
      <name val="Arial"/>
      <family val="2"/>
    </font>
    <font>
      <b/>
      <sz val="16"/>
      <name val="Arial"/>
      <family val="2"/>
    </font>
    <font>
      <b/>
      <sz val="10"/>
      <color indexed="9"/>
      <name val="Arial"/>
      <family val="2"/>
    </font>
    <font>
      <sz val="10"/>
      <name val="Arial Narrow"/>
      <family val="2"/>
    </font>
    <font>
      <sz val="12"/>
      <name val="Helv"/>
    </font>
    <font>
      <sz val="8"/>
      <name val="Helv"/>
    </font>
    <font>
      <b/>
      <sz val="10"/>
      <name val="Helv"/>
    </font>
    <font>
      <u/>
      <sz val="10"/>
      <color indexed="12"/>
      <name val="Arial"/>
      <family val="2"/>
    </font>
    <font>
      <sz val="9.5"/>
      <name val="Arial"/>
      <family val="2"/>
    </font>
    <font>
      <sz val="12"/>
      <name val="Times New Roman"/>
      <family val="1"/>
    </font>
    <font>
      <b/>
      <sz val="12"/>
      <name val="Times New Roman"/>
      <family val="1"/>
    </font>
    <font>
      <b/>
      <u/>
      <sz val="12"/>
      <name val="Times New Roman"/>
      <family val="1"/>
    </font>
    <font>
      <b/>
      <sz val="10"/>
      <name val="Book Antiqua"/>
      <family val="1"/>
    </font>
    <font>
      <b/>
      <u val="singleAccounting"/>
      <sz val="10"/>
      <name val="Arial Narrow"/>
      <family val="2"/>
    </font>
    <font>
      <u/>
      <sz val="9"/>
      <name val="Arial"/>
      <family val="2"/>
    </font>
    <font>
      <i/>
      <u/>
      <sz val="10"/>
      <name val="Arial"/>
      <family val="2"/>
    </font>
    <font>
      <sz val="12"/>
      <name val="MS Sans Serif"/>
      <family val="2"/>
    </font>
    <font>
      <b/>
      <sz val="10"/>
      <name val="MS Sans Serif"/>
      <family val="2"/>
    </font>
    <font>
      <b/>
      <sz val="12"/>
      <name val="MS Sans Serif"/>
      <family val="2"/>
    </font>
    <font>
      <sz val="10"/>
      <color indexed="10"/>
      <name val="Arial"/>
      <family val="2"/>
    </font>
    <font>
      <b/>
      <i/>
      <u/>
      <sz val="10"/>
      <name val="Arial"/>
      <family val="2"/>
    </font>
    <font>
      <sz val="10"/>
      <name val="Arial"/>
      <family val="2"/>
    </font>
    <font>
      <b/>
      <sz val="10"/>
      <color indexed="18"/>
      <name val="Arial Narrow"/>
      <family val="2"/>
    </font>
    <font>
      <sz val="12"/>
      <name val="Arial"/>
      <family val="2"/>
    </font>
    <font>
      <b/>
      <sz val="10"/>
      <name val="Times New Roman"/>
      <family val="1"/>
    </font>
    <font>
      <sz val="10"/>
      <name val="Arial"/>
      <family val="2"/>
    </font>
    <font>
      <u/>
      <sz val="10"/>
      <name val="Arial"/>
      <family val="2"/>
    </font>
    <font>
      <sz val="8"/>
      <name val="Arial Narrow"/>
      <family val="2"/>
    </font>
    <font>
      <b/>
      <i/>
      <sz val="8"/>
      <name val="Arial"/>
      <family val="2"/>
    </font>
    <font>
      <b/>
      <sz val="11"/>
      <name val="Arial"/>
      <family val="2"/>
    </font>
    <font>
      <sz val="10"/>
      <name val="Times New Roman"/>
      <family val="1"/>
    </font>
    <font>
      <sz val="8.5"/>
      <name val="Helv"/>
    </font>
    <font>
      <b/>
      <u/>
      <sz val="12"/>
      <name val="Arial"/>
      <family val="2"/>
    </font>
    <font>
      <b/>
      <sz val="12"/>
      <color indexed="12"/>
      <name val="Arial"/>
      <family val="2"/>
    </font>
    <font>
      <b/>
      <sz val="8"/>
      <name val="Arial Narrow"/>
      <family val="2"/>
    </font>
    <font>
      <i/>
      <sz val="8"/>
      <name val="Arial Narrow"/>
      <family val="2"/>
    </font>
    <font>
      <b/>
      <u/>
      <sz val="8"/>
      <name val="Arial"/>
      <family val="2"/>
    </font>
    <font>
      <b/>
      <u/>
      <sz val="8"/>
      <name val="Arial Narrow"/>
      <family val="2"/>
    </font>
    <font>
      <b/>
      <i/>
      <sz val="9"/>
      <name val="Arial Narrow"/>
      <family val="2"/>
    </font>
    <font>
      <vertAlign val="superscript"/>
      <sz val="8"/>
      <name val="Arial"/>
      <family val="2"/>
    </font>
    <font>
      <b/>
      <sz val="6"/>
      <name val="Arial"/>
      <family val="2"/>
    </font>
    <font>
      <sz val="7"/>
      <name val="Arial"/>
      <family val="2"/>
    </font>
    <font>
      <vertAlign val="superscript"/>
      <sz val="10"/>
      <name val="Arial"/>
      <family val="2"/>
    </font>
    <font>
      <vertAlign val="superscript"/>
      <sz val="9"/>
      <name val="Arial"/>
      <family val="2"/>
    </font>
    <font>
      <b/>
      <vertAlign val="superscript"/>
      <sz val="9"/>
      <name val="Arial"/>
      <family val="2"/>
    </font>
    <font>
      <sz val="10"/>
      <color indexed="12"/>
      <name val="Arial"/>
      <family val="2"/>
    </font>
    <font>
      <b/>
      <sz val="10"/>
      <color indexed="32"/>
      <name val="Arial Narrow"/>
      <family val="2"/>
    </font>
    <font>
      <b/>
      <sz val="10"/>
      <color indexed="9"/>
      <name val="Arial Narrow"/>
      <family val="2"/>
    </font>
    <font>
      <sz val="8"/>
      <color indexed="18"/>
      <name val="Arial Narrow"/>
      <family val="2"/>
    </font>
    <font>
      <sz val="8"/>
      <color indexed="10"/>
      <name val="Arial"/>
      <family val="2"/>
    </font>
    <font>
      <sz val="20"/>
      <color indexed="10"/>
      <name val="Arial"/>
      <family val="2"/>
    </font>
    <font>
      <b/>
      <sz val="8.5"/>
      <name val="Arial"/>
      <family val="2"/>
    </font>
    <font>
      <sz val="18"/>
      <color indexed="10"/>
      <name val="Arial"/>
      <family val="2"/>
    </font>
    <font>
      <i/>
      <sz val="12"/>
      <name val="Arial"/>
      <family val="2"/>
    </font>
    <font>
      <sz val="8"/>
      <name val="Times New Roman"/>
      <family val="1"/>
    </font>
    <font>
      <sz val="10"/>
      <color indexed="22"/>
      <name val="Arial"/>
      <family val="2"/>
    </font>
    <font>
      <sz val="9"/>
      <color indexed="10"/>
      <name val="Arial"/>
      <family val="2"/>
    </font>
    <font>
      <sz val="8"/>
      <name val="Arial"/>
      <family val="2"/>
    </font>
    <font>
      <sz val="10"/>
      <color indexed="14"/>
      <name val="Arial"/>
      <family val="2"/>
    </font>
    <font>
      <b/>
      <sz val="10"/>
      <color indexed="12"/>
      <name val="Arial"/>
      <family val="2"/>
    </font>
    <font>
      <sz val="12"/>
      <color indexed="10"/>
      <name val="Arial"/>
      <family val="2"/>
    </font>
    <font>
      <sz val="11"/>
      <name val="Times New Roman"/>
      <family val="1"/>
    </font>
    <font>
      <sz val="10"/>
      <color indexed="8"/>
      <name val="Arial"/>
      <family val="2"/>
    </font>
    <font>
      <b/>
      <sz val="9.5"/>
      <name val="Arial"/>
      <family val="2"/>
    </font>
    <font>
      <sz val="9"/>
      <color indexed="14"/>
      <name val="Arial"/>
      <family val="2"/>
    </font>
    <font>
      <u/>
      <sz val="10"/>
      <color indexed="12"/>
      <name val="Arial"/>
      <family val="2"/>
    </font>
    <font>
      <sz val="10"/>
      <name val="MS Sans Serif"/>
      <family val="2"/>
    </font>
    <font>
      <b/>
      <sz val="18"/>
      <name val="MS Sans Serif"/>
      <family val="2"/>
    </font>
    <font>
      <sz val="12"/>
      <name val="MS Sans Serif"/>
      <family val="2"/>
    </font>
    <font>
      <b/>
      <sz val="9"/>
      <name val="MS Sans Serif"/>
      <family val="2"/>
    </font>
    <font>
      <sz val="8"/>
      <name val="Arial"/>
      <family val="2"/>
    </font>
    <font>
      <b/>
      <i/>
      <sz val="9.5"/>
      <name val="Arial"/>
      <family val="2"/>
    </font>
    <font>
      <b/>
      <i/>
      <u/>
      <sz val="9.5"/>
      <name val="Arial"/>
      <family val="2"/>
    </font>
    <font>
      <u/>
      <sz val="12"/>
      <name val="Arial"/>
      <family val="2"/>
    </font>
    <font>
      <b/>
      <sz val="9"/>
      <color indexed="9"/>
      <name val="Arial"/>
      <family val="2"/>
    </font>
    <font>
      <sz val="10"/>
      <name val="Arial"/>
      <family val="2"/>
    </font>
    <font>
      <sz val="12"/>
      <name val="Arial Narrow"/>
      <family val="2"/>
    </font>
    <font>
      <b/>
      <i/>
      <sz val="10"/>
      <name val="Arial Narrow"/>
      <family val="2"/>
    </font>
    <font>
      <b/>
      <sz val="14"/>
      <name val="Calibri"/>
      <family val="2"/>
    </font>
    <font>
      <sz val="9"/>
      <name val="Times New Roman"/>
      <family val="1"/>
    </font>
    <font>
      <u/>
      <sz val="8"/>
      <name val="Arial"/>
      <family val="2"/>
    </font>
    <font>
      <u/>
      <sz val="7"/>
      <name val="Arial"/>
      <family val="2"/>
    </font>
    <font>
      <b/>
      <sz val="14"/>
      <name val="Arial"/>
      <family val="2"/>
    </font>
    <font>
      <vertAlign val="superscript"/>
      <sz val="11"/>
      <name val="Arial"/>
      <family val="2"/>
    </font>
    <font>
      <u/>
      <sz val="10.5"/>
      <name val="Times New Roman"/>
      <family val="1"/>
    </font>
    <font>
      <sz val="10.5"/>
      <name val="Times New Roman"/>
      <family val="1"/>
    </font>
    <font>
      <b/>
      <sz val="10.5"/>
      <name val="Times New Roman"/>
      <family val="1"/>
    </font>
    <font>
      <sz val="10.5"/>
      <name val="Arial"/>
      <family val="2"/>
    </font>
    <font>
      <u/>
      <sz val="9.75"/>
      <name val="Arial"/>
      <family val="2"/>
    </font>
    <font>
      <b/>
      <u/>
      <sz val="9.75"/>
      <name val="Arial"/>
      <family val="2"/>
    </font>
    <font>
      <b/>
      <sz val="10"/>
      <color indexed="10"/>
      <name val="Arial"/>
      <family val="2"/>
    </font>
    <font>
      <sz val="8"/>
      <color indexed="81"/>
      <name val="Tahoma"/>
      <family val="2"/>
    </font>
    <font>
      <b/>
      <sz val="8"/>
      <color indexed="81"/>
      <name val="Tahoma"/>
      <family val="2"/>
    </font>
    <font>
      <sz val="9.75"/>
      <name val="Arial Narrow"/>
      <family val="2"/>
    </font>
    <font>
      <u/>
      <sz val="12"/>
      <name val="Times New Roman"/>
      <family val="1"/>
    </font>
    <font>
      <sz val="9"/>
      <color indexed="81"/>
      <name val="Tahoma"/>
      <family val="2"/>
    </font>
    <font>
      <i/>
      <sz val="10"/>
      <name val="Arial Narrow"/>
      <family val="2"/>
    </font>
    <font>
      <b/>
      <u/>
      <sz val="10.5"/>
      <name val="Times New Roman"/>
      <family val="1"/>
    </font>
    <font>
      <b/>
      <u/>
      <sz val="10"/>
      <name val="Arial Narrow"/>
      <family val="2"/>
    </font>
    <font>
      <sz val="7"/>
      <color indexed="81"/>
      <name val="Tahoma"/>
      <family val="2"/>
    </font>
    <font>
      <sz val="11"/>
      <name val="Calibri"/>
      <family val="2"/>
    </font>
    <font>
      <sz val="12"/>
      <name val="Calibri"/>
      <family val="2"/>
    </font>
    <font>
      <b/>
      <sz val="8"/>
      <name val="Calibri"/>
      <family val="2"/>
    </font>
    <font>
      <vertAlign val="superscript"/>
      <sz val="10"/>
      <color indexed="8"/>
      <name val="Arial"/>
      <family val="2"/>
    </font>
    <font>
      <sz val="10"/>
      <name val="Calibri"/>
      <family val="2"/>
    </font>
    <font>
      <b/>
      <sz val="8"/>
      <color indexed="18"/>
      <name val="Arial Narrow"/>
      <family val="2"/>
    </font>
    <font>
      <sz val="8.5"/>
      <name val="Arial"/>
      <family val="2"/>
    </font>
    <font>
      <sz val="8"/>
      <name val="Arial"/>
      <family val="2"/>
    </font>
    <font>
      <b/>
      <u/>
      <sz val="9"/>
      <name val="Arial Narrow"/>
      <family val="2"/>
    </font>
    <font>
      <sz val="11"/>
      <color indexed="8"/>
      <name val="Calibri"/>
      <family val="2"/>
    </font>
    <font>
      <b/>
      <u/>
      <sz val="11"/>
      <color indexed="8"/>
      <name val="Calibri"/>
      <family val="2"/>
    </font>
    <font>
      <b/>
      <sz val="9"/>
      <color indexed="81"/>
      <name val="Tahoma"/>
      <family val="2"/>
    </font>
    <font>
      <b/>
      <u/>
      <sz val="10"/>
      <color indexed="12"/>
      <name val="Arial"/>
      <family val="2"/>
    </font>
    <font>
      <b/>
      <sz val="10"/>
      <color indexed="8"/>
      <name val="Arial"/>
      <family val="2"/>
    </font>
    <font>
      <b/>
      <i/>
      <sz val="10"/>
      <color indexed="10"/>
      <name val="Arial"/>
      <family val="2"/>
    </font>
    <font>
      <b/>
      <u/>
      <sz val="8.5"/>
      <name val="Arial"/>
      <family val="2"/>
    </font>
    <font>
      <sz val="11"/>
      <color indexed="8"/>
      <name val="Calibri"/>
      <family val="2"/>
    </font>
    <font>
      <b/>
      <sz val="11"/>
      <color indexed="8"/>
      <name val="Calibri"/>
      <family val="2"/>
    </font>
    <font>
      <sz val="8"/>
      <color indexed="14"/>
      <name val="Arial"/>
      <family val="2"/>
    </font>
    <font>
      <sz val="10"/>
      <color indexed="8"/>
      <name val="Arial"/>
      <family val="2"/>
    </font>
    <font>
      <sz val="9"/>
      <color indexed="8"/>
      <name val="Arial Narrow"/>
      <family val="2"/>
    </font>
    <font>
      <b/>
      <u/>
      <sz val="10"/>
      <color indexed="8"/>
      <name val="Arial"/>
      <family val="2"/>
    </font>
    <font>
      <sz val="10"/>
      <color indexed="8"/>
      <name val="Calibri"/>
      <family val="2"/>
    </font>
    <font>
      <sz val="8"/>
      <color indexed="36"/>
      <name val="Arial"/>
      <family val="2"/>
    </font>
    <font>
      <i/>
      <sz val="8"/>
      <color indexed="36"/>
      <name val="Arial"/>
      <family val="2"/>
    </font>
    <font>
      <sz val="9"/>
      <color indexed="8"/>
      <name val="Arial"/>
      <family val="2"/>
    </font>
    <font>
      <sz val="10"/>
      <color indexed="8"/>
      <name val="Arial Narrow"/>
      <family val="2"/>
    </font>
    <font>
      <b/>
      <u/>
      <sz val="10"/>
      <color indexed="14"/>
      <name val="Arial"/>
      <family val="2"/>
    </font>
    <font>
      <sz val="10"/>
      <color indexed="30"/>
      <name val="Arial"/>
      <family val="2"/>
    </font>
    <font>
      <b/>
      <i/>
      <sz val="8"/>
      <color indexed="36"/>
      <name val="Arial"/>
      <family val="2"/>
    </font>
    <font>
      <sz val="11"/>
      <color indexed="16"/>
      <name val="Calibri"/>
      <family val="2"/>
    </font>
    <font>
      <sz val="11"/>
      <name val="Calibri"/>
      <family val="2"/>
    </font>
    <font>
      <b/>
      <sz val="11"/>
      <color indexed="10"/>
      <name val="Calibri"/>
      <family val="2"/>
    </font>
    <font>
      <b/>
      <u/>
      <sz val="11"/>
      <name val="Calibri"/>
      <family val="2"/>
    </font>
    <font>
      <sz val="11"/>
      <color indexed="10"/>
      <name val="Calibri"/>
      <family val="2"/>
    </font>
    <font>
      <sz val="11"/>
      <color indexed="12"/>
      <name val="Calibri"/>
      <family val="2"/>
    </font>
    <font>
      <u/>
      <sz val="11"/>
      <name val="Calibri"/>
      <family val="2"/>
    </font>
    <font>
      <b/>
      <sz val="11"/>
      <name val="Calibri"/>
      <family val="2"/>
    </font>
    <font>
      <sz val="8"/>
      <color indexed="9"/>
      <name val="Arial"/>
      <family val="2"/>
    </font>
    <font>
      <sz val="9"/>
      <color indexed="9"/>
      <name val="Arial"/>
      <family val="2"/>
    </font>
    <font>
      <b/>
      <sz val="8"/>
      <color indexed="10"/>
      <name val="Arial"/>
      <family val="2"/>
    </font>
    <font>
      <b/>
      <sz val="11"/>
      <color indexed="16"/>
      <name val="Calibri"/>
      <family val="2"/>
    </font>
    <font>
      <sz val="8"/>
      <name val="Calibri"/>
      <family val="2"/>
    </font>
    <font>
      <sz val="10.5"/>
      <name val="Calibri"/>
      <family val="2"/>
    </font>
    <font>
      <b/>
      <sz val="12"/>
      <name val="Calibri"/>
      <family val="2"/>
    </font>
    <font>
      <sz val="10.5"/>
      <color indexed="10"/>
      <name val="Calibri"/>
      <family val="2"/>
    </font>
    <font>
      <b/>
      <sz val="10.5"/>
      <name val="Calibri"/>
      <family val="2"/>
    </font>
    <font>
      <sz val="10.5"/>
      <color indexed="12"/>
      <name val="Calibri"/>
      <family val="2"/>
    </font>
    <font>
      <i/>
      <sz val="14"/>
      <color indexed="8"/>
      <name val="Arial Narrow"/>
      <family val="2"/>
    </font>
    <font>
      <sz val="9"/>
      <color indexed="12"/>
      <name val="Arial"/>
      <family val="2"/>
    </font>
    <font>
      <i/>
      <sz val="10"/>
      <color indexed="8"/>
      <name val="Arial Narrow"/>
      <family val="2"/>
    </font>
    <font>
      <u/>
      <sz val="10"/>
      <name val="Calibri"/>
      <family val="2"/>
    </font>
    <font>
      <sz val="12"/>
      <color indexed="14"/>
      <name val="Times New Roman"/>
      <family val="1"/>
    </font>
    <font>
      <sz val="8"/>
      <color indexed="28"/>
      <name val="Arial"/>
      <family val="2"/>
    </font>
    <font>
      <b/>
      <sz val="10"/>
      <color indexed="30"/>
      <name val="Arial"/>
      <family val="2"/>
    </font>
    <font>
      <b/>
      <sz val="11"/>
      <color indexed="8"/>
      <name val="Arial Narrow"/>
      <family val="2"/>
    </font>
    <font>
      <b/>
      <sz val="14"/>
      <color indexed="8"/>
      <name val="Arial"/>
      <family val="2"/>
    </font>
    <font>
      <b/>
      <sz val="12"/>
      <color indexed="10"/>
      <name val="Arial"/>
      <family val="2"/>
    </font>
    <font>
      <i/>
      <sz val="10"/>
      <color indexed="8"/>
      <name val="Calibri"/>
      <family val="2"/>
    </font>
    <font>
      <sz val="10"/>
      <color indexed="16"/>
      <name val="Arial"/>
      <family val="2"/>
    </font>
    <font>
      <sz val="8"/>
      <color indexed="16"/>
      <name val="Arial Narrow"/>
      <family val="2"/>
    </font>
    <font>
      <b/>
      <sz val="9"/>
      <color indexed="16"/>
      <name val="Arial Narrow"/>
      <family val="2"/>
    </font>
    <font>
      <b/>
      <sz val="12"/>
      <color indexed="16"/>
      <name val="Arial"/>
      <family val="2"/>
    </font>
    <font>
      <b/>
      <u/>
      <sz val="8"/>
      <color indexed="16"/>
      <name val="Arial Narrow"/>
      <family val="2"/>
    </font>
    <font>
      <b/>
      <sz val="9"/>
      <color indexed="16"/>
      <name val="Arial"/>
      <family val="2"/>
    </font>
    <font>
      <b/>
      <sz val="10"/>
      <color indexed="16"/>
      <name val="Arial"/>
      <family val="2"/>
    </font>
    <font>
      <b/>
      <sz val="9"/>
      <name val="Calibri"/>
      <family val="2"/>
    </font>
    <font>
      <sz val="10"/>
      <color indexed="12"/>
      <name val="Calibri"/>
      <family val="2"/>
    </font>
    <font>
      <sz val="8"/>
      <color indexed="8"/>
      <name val="Arial Narrow"/>
      <family val="2"/>
    </font>
    <font>
      <sz val="10.75"/>
      <color indexed="8"/>
      <name val="Arial Narrow"/>
      <family val="2"/>
    </font>
    <font>
      <i/>
      <sz val="9"/>
      <color indexed="8"/>
      <name val="Arial Narrow"/>
      <family val="2"/>
    </font>
    <font>
      <b/>
      <sz val="14"/>
      <name val="Times New Roman"/>
      <family val="1"/>
    </font>
    <font>
      <sz val="1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font>
    <font>
      <b/>
      <sz val="11"/>
      <color theme="1"/>
      <name val="Calibri"/>
      <family val="2"/>
      <scheme val="minor"/>
    </font>
    <font>
      <sz val="11"/>
      <color rgb="FFFF0000"/>
      <name val="Calibri"/>
      <family val="2"/>
      <scheme val="minor"/>
    </font>
    <font>
      <sz val="10"/>
      <color rgb="FFFF0000"/>
      <name val="Arial"/>
      <family val="2"/>
    </font>
    <font>
      <sz val="10"/>
      <color rgb="FF0070C0"/>
      <name val="Arial"/>
      <family val="2"/>
    </font>
    <font>
      <sz val="12"/>
      <color rgb="FF000000"/>
      <name val="Times New Roman"/>
      <family val="1"/>
    </font>
    <font>
      <sz val="10"/>
      <color theme="1"/>
      <name val="Calibri"/>
      <family val="2"/>
      <scheme val="minor"/>
    </font>
    <font>
      <sz val="11"/>
      <color indexed="12"/>
      <name val="Calibri"/>
      <family val="2"/>
      <scheme val="minor"/>
    </font>
    <font>
      <b/>
      <sz val="12"/>
      <color rgb="FF0066FF"/>
      <name val="Arial"/>
      <family val="2"/>
    </font>
    <font>
      <b/>
      <sz val="12"/>
      <color theme="1"/>
      <name val="Arial"/>
      <family val="2"/>
    </font>
    <font>
      <b/>
      <sz val="10"/>
      <color theme="0"/>
      <name val="Arial"/>
      <family val="2"/>
    </font>
    <font>
      <b/>
      <u/>
      <sz val="12"/>
      <name val="Calibri"/>
      <family val="2"/>
    </font>
    <font>
      <sz val="12"/>
      <color rgb="FFFF0000"/>
      <name val="Times New Roman"/>
      <family val="1"/>
    </font>
    <font>
      <b/>
      <sz val="10"/>
      <color rgb="FFFF0000"/>
      <name val="Arial"/>
      <family val="2"/>
    </font>
    <font>
      <i/>
      <sz val="10"/>
      <name val="MS Sans Serif"/>
    </font>
    <font>
      <sz val="10.5"/>
      <color rgb="FF3366FF"/>
      <name val="Calibri"/>
      <family val="2"/>
    </font>
    <font>
      <sz val="10"/>
      <color theme="1"/>
      <name val="Arial"/>
      <family val="2"/>
    </font>
    <font>
      <sz val="12"/>
      <color theme="1"/>
      <name val="Arial"/>
      <family val="2"/>
    </font>
    <font>
      <b/>
      <sz val="10"/>
      <color theme="1"/>
      <name val="Arial"/>
      <family val="2"/>
    </font>
    <font>
      <b/>
      <i/>
      <u/>
      <sz val="12"/>
      <name val="Arial"/>
      <family val="2"/>
    </font>
    <font>
      <b/>
      <sz val="10"/>
      <name val="MS Sans Serif"/>
    </font>
    <font>
      <b/>
      <sz val="10"/>
      <color rgb="FF0000FF"/>
      <name val="Arial"/>
      <family val="2"/>
    </font>
    <font>
      <u/>
      <sz val="10"/>
      <color theme="1"/>
      <name val="Arial"/>
      <family val="2"/>
    </font>
    <font>
      <u/>
      <sz val="10"/>
      <color theme="1"/>
      <name val="Calibri"/>
      <family val="2"/>
      <scheme val="minor"/>
    </font>
    <font>
      <b/>
      <sz val="12"/>
      <color rgb="FFFF0000"/>
      <name val="Arial"/>
      <family val="2"/>
    </font>
    <font>
      <sz val="11"/>
      <color rgb="FF0000FF"/>
      <name val="Calibri"/>
      <family val="2"/>
    </font>
    <font>
      <sz val="8"/>
      <name val="Times New Roman"/>
      <family val="2"/>
    </font>
    <font>
      <sz val="10.5"/>
      <color rgb="FFFF0000"/>
      <name val="Times New Roman"/>
      <family val="1"/>
    </font>
    <font>
      <sz val="10"/>
      <color theme="0"/>
      <name val="Arial"/>
      <family val="2"/>
    </font>
    <font>
      <sz val="10"/>
      <color rgb="FF3366FF"/>
      <name val="Arial"/>
      <family val="2"/>
    </font>
    <font>
      <b/>
      <sz val="10"/>
      <color rgb="FF3366FF"/>
      <name val="Arial Narrow"/>
      <family val="2"/>
    </font>
    <font>
      <sz val="14"/>
      <color rgb="FF3366FF"/>
      <name val="Book Antiqua"/>
      <family val="1"/>
    </font>
    <font>
      <sz val="8"/>
      <color rgb="FF3366FF"/>
      <name val="Arial"/>
      <family val="2"/>
    </font>
    <font>
      <sz val="12"/>
      <color rgb="FF3366FF"/>
      <name val="Book Antiqua"/>
      <family val="1"/>
    </font>
    <font>
      <sz val="10"/>
      <color rgb="FF3366FF"/>
      <name val="Arial Narrow"/>
      <family val="2"/>
    </font>
    <font>
      <sz val="12"/>
      <color rgb="FF0066FF"/>
      <name val="Book Antiqua"/>
      <family val="1"/>
    </font>
    <font>
      <sz val="8"/>
      <color rgb="FF0066FF"/>
      <name val="Arial"/>
      <family val="2"/>
    </font>
    <font>
      <sz val="10"/>
      <color rgb="FF0066FF"/>
      <name val="Arial"/>
      <family val="2"/>
    </font>
    <font>
      <sz val="9.75"/>
      <color rgb="FF3366FF"/>
      <name val="Arial"/>
      <family val="2"/>
    </font>
    <font>
      <b/>
      <sz val="10"/>
      <color rgb="FF3366FF"/>
      <name val="Arial"/>
      <family val="2"/>
    </font>
    <font>
      <sz val="10"/>
      <color rgb="FF0000FF"/>
      <name val="Arial"/>
      <family val="2"/>
    </font>
    <font>
      <sz val="12"/>
      <color rgb="FF3366FF"/>
      <name val="Arial"/>
      <family val="2"/>
    </font>
    <font>
      <sz val="12"/>
      <color rgb="FF0000FF"/>
      <name val="Book Antiqua"/>
      <family val="1"/>
    </font>
    <font>
      <sz val="11"/>
      <color rgb="FF0000FF"/>
      <name val="Calibri"/>
      <family val="2"/>
      <scheme val="minor"/>
    </font>
    <font>
      <sz val="11"/>
      <color rgb="FF0066FF"/>
      <name val="Calibri"/>
      <family val="2"/>
      <scheme val="minor"/>
    </font>
    <font>
      <sz val="8"/>
      <color rgb="FF3366FF"/>
      <name val="Arial Narrow"/>
      <family val="2"/>
    </font>
    <font>
      <sz val="9"/>
      <color rgb="FF0000FF"/>
      <name val="Arial"/>
      <family val="2"/>
    </font>
    <font>
      <sz val="9"/>
      <color rgb="FF0066FF"/>
      <name val="Arial"/>
      <family val="2"/>
    </font>
    <font>
      <b/>
      <sz val="12"/>
      <color rgb="FF0066FF"/>
      <name val="Book Antiqua"/>
      <family val="1"/>
    </font>
    <font>
      <u/>
      <sz val="8"/>
      <color rgb="FF0066FF"/>
      <name val="Arial"/>
      <family val="2"/>
    </font>
    <font>
      <sz val="12"/>
      <color rgb="FF0000FF"/>
      <name val="Arial"/>
      <family val="2"/>
    </font>
    <font>
      <sz val="10"/>
      <name val="Tahoma"/>
      <family val="2"/>
    </font>
    <font>
      <b/>
      <sz val="10"/>
      <name val="Tahoma"/>
      <family val="2"/>
    </font>
    <font>
      <b/>
      <sz val="9"/>
      <color rgb="FFFF0000"/>
      <name val="Arial"/>
      <family val="2"/>
    </font>
    <font>
      <b/>
      <u/>
      <sz val="10"/>
      <color theme="1"/>
      <name val="Arial"/>
      <family val="2"/>
    </font>
    <font>
      <b/>
      <i/>
      <sz val="10"/>
      <color rgb="FFFF0000"/>
      <name val="Arial"/>
      <family val="2"/>
    </font>
    <font>
      <i/>
      <sz val="10"/>
      <color rgb="FF3366FF"/>
      <name val="Arial"/>
      <family val="2"/>
    </font>
    <font>
      <b/>
      <sz val="10"/>
      <color theme="1"/>
      <name val="Calibri"/>
      <family val="2"/>
      <scheme val="minor"/>
    </font>
    <font>
      <sz val="11"/>
      <color rgb="FF444444"/>
      <name val="Arial"/>
      <family val="2"/>
    </font>
    <font>
      <b/>
      <i/>
      <sz val="9"/>
      <color rgb="FFFF0000"/>
      <name val="Tahoma"/>
      <family val="2"/>
    </font>
    <font>
      <b/>
      <sz val="8"/>
      <color rgb="FFFF0000"/>
      <name val="Arial"/>
      <family val="2"/>
    </font>
    <font>
      <sz val="11"/>
      <color rgb="FF000000"/>
      <name val="Cambria"/>
      <family val="1"/>
    </font>
    <font>
      <u/>
      <sz val="11"/>
      <color rgb="FF0563C1"/>
      <name val="Calibri"/>
      <family val="2"/>
    </font>
    <font>
      <sz val="11"/>
      <color rgb="FF000000"/>
      <name val="Calibri"/>
      <family val="2"/>
    </font>
    <font>
      <b/>
      <sz val="11"/>
      <color rgb="FF000000"/>
      <name val="Arial"/>
      <family val="2"/>
    </font>
    <font>
      <b/>
      <sz val="10"/>
      <color rgb="FF0000FF"/>
      <name val="MS Sans Serif"/>
      <family val="2"/>
    </font>
    <font>
      <sz val="8"/>
      <color rgb="FFFF0000"/>
      <name val="Arial"/>
      <family val="2"/>
    </font>
    <font>
      <sz val="9"/>
      <name val="Segoe UI"/>
      <family val="2"/>
    </font>
    <font>
      <sz val="11"/>
      <color rgb="FFFF0000"/>
      <name val="Calibri"/>
      <family val="2"/>
    </font>
    <font>
      <sz val="10"/>
      <color rgb="FF00B050"/>
      <name val="Arial"/>
      <family val="2"/>
    </font>
    <font>
      <sz val="22"/>
      <color indexed="10"/>
      <name val="Arial"/>
      <family val="2"/>
    </font>
    <font>
      <sz val="10"/>
      <color theme="4" tint="-0.249977111117893"/>
      <name val="Arial"/>
      <family val="2"/>
    </font>
    <font>
      <sz val="10"/>
      <color theme="9" tint="-0.249977111117893"/>
      <name val="Arial"/>
      <family val="2"/>
    </font>
    <font>
      <b/>
      <i/>
      <sz val="8.5"/>
      <name val="Arial"/>
      <family val="2"/>
    </font>
    <font>
      <b/>
      <i/>
      <sz val="12"/>
      <name val="Times New Roman"/>
      <family val="1"/>
    </font>
    <font>
      <b/>
      <sz val="10"/>
      <color rgb="FFFF0000"/>
      <name val="Arial Narrow"/>
      <family val="2"/>
    </font>
    <font>
      <b/>
      <sz val="12"/>
      <name val="MS Sans Serif"/>
    </font>
    <font>
      <b/>
      <u/>
      <sz val="10"/>
      <color rgb="FFFF0000"/>
      <name val="Arial"/>
      <family val="2"/>
    </font>
    <font>
      <sz val="12"/>
      <color rgb="FFFF0000"/>
      <name val="MS Sans Serif"/>
      <family val="2"/>
    </font>
    <font>
      <b/>
      <sz val="12"/>
      <color rgb="FF0000FF"/>
      <name val="Arial"/>
      <family val="2"/>
    </font>
    <font>
      <b/>
      <sz val="12"/>
      <color rgb="FF0000FF"/>
      <name val="Book Antiqua"/>
      <family val="1"/>
    </font>
    <font>
      <b/>
      <sz val="11"/>
      <color rgb="FFFF0000"/>
      <name val="Calibri"/>
      <family val="2"/>
    </font>
    <font>
      <b/>
      <u/>
      <sz val="10"/>
      <color theme="8" tint="-0.249977111117893"/>
      <name val="Arial"/>
      <family val="2"/>
    </font>
    <font>
      <sz val="12"/>
      <color rgb="FFFF0000"/>
      <name val="Arial"/>
      <family val="2"/>
    </font>
    <font>
      <b/>
      <sz val="10"/>
      <color rgb="FF00B050"/>
      <name val="Arial"/>
      <family val="2"/>
    </font>
    <font>
      <b/>
      <sz val="9"/>
      <color rgb="FF000000"/>
      <name val="Calibri"/>
      <family val="2"/>
    </font>
    <font>
      <b/>
      <sz val="9"/>
      <color rgb="FFFF0000"/>
      <name val="Calibri"/>
      <family val="2"/>
    </font>
    <font>
      <b/>
      <sz val="9"/>
      <color rgb="FF000000"/>
      <name val="Arial"/>
      <family val="2"/>
    </font>
    <font>
      <sz val="9"/>
      <color rgb="FF000000"/>
      <name val="Arial"/>
      <family val="2"/>
    </font>
    <font>
      <b/>
      <sz val="10"/>
      <color theme="1" tint="0.34998626667073579"/>
      <name val="Arial"/>
      <family val="2"/>
    </font>
    <font>
      <b/>
      <sz val="11"/>
      <color rgb="FFFF0000"/>
      <name val="Arial"/>
      <family val="2"/>
    </font>
    <font>
      <b/>
      <sz val="10"/>
      <color rgb="FF000000"/>
      <name val="Arial"/>
      <family val="2"/>
    </font>
    <font>
      <b/>
      <sz val="10"/>
      <color rgb="FF000000"/>
      <name val="MS Sans Serif"/>
    </font>
    <font>
      <b/>
      <sz val="10"/>
      <color rgb="FF000000"/>
      <name val="MS Sans Serif"/>
      <family val="2"/>
    </font>
    <font>
      <sz val="10"/>
      <color rgb="FFFF0000"/>
      <name val="MS Sans Serif"/>
    </font>
    <font>
      <sz val="10"/>
      <color rgb="FF0000FF"/>
      <name val="Helv"/>
    </font>
    <font>
      <sz val="10"/>
      <color rgb="FFFF0000"/>
      <name val="Helv"/>
    </font>
    <font>
      <sz val="8.5"/>
      <color rgb="FF0000FF"/>
      <name val="Arial"/>
      <family val="2"/>
    </font>
    <font>
      <b/>
      <sz val="12"/>
      <color theme="1"/>
      <name val="Calibri"/>
      <family val="2"/>
      <scheme val="minor"/>
    </font>
    <font>
      <b/>
      <sz val="13"/>
      <color theme="1"/>
      <name val="Calibri"/>
      <family val="2"/>
      <scheme val="minor"/>
    </font>
    <font>
      <i/>
      <sz val="11"/>
      <name val="Arial"/>
      <family val="2"/>
    </font>
    <font>
      <b/>
      <u/>
      <sz val="10"/>
      <color rgb="FFFF0000"/>
      <name val="Arial Narrow"/>
      <family val="2"/>
    </font>
    <font>
      <u/>
      <sz val="11"/>
      <name val="Arial"/>
      <family val="2"/>
    </font>
  </fonts>
  <fills count="73">
    <fill>
      <patternFill patternType="none"/>
    </fill>
    <fill>
      <patternFill patternType="gray125"/>
    </fill>
    <fill>
      <patternFill patternType="solid">
        <fgColor indexed="10"/>
        <bgColor indexed="64"/>
      </patternFill>
    </fill>
    <fill>
      <patternFill patternType="lightTrellis"/>
    </fill>
    <fill>
      <patternFill patternType="solid">
        <fgColor indexed="43"/>
        <bgColor indexed="64"/>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26"/>
        <bgColor indexed="64"/>
      </patternFill>
    </fill>
    <fill>
      <patternFill patternType="solid">
        <fgColor indexed="13"/>
        <bgColor indexed="64"/>
      </patternFill>
    </fill>
    <fill>
      <patternFill patternType="solid">
        <fgColor indexed="27"/>
        <bgColor indexed="64"/>
      </patternFill>
    </fill>
    <fill>
      <patternFill patternType="solid">
        <fgColor indexed="56"/>
        <bgColor indexed="64"/>
      </patternFill>
    </fill>
    <fill>
      <patternFill patternType="solid">
        <fgColor indexed="14"/>
        <bgColor indexed="64"/>
      </patternFill>
    </fill>
    <fill>
      <patternFill patternType="solid">
        <fgColor indexed="50"/>
        <bgColor indexed="64"/>
      </patternFill>
    </fill>
    <fill>
      <patternFill patternType="solid">
        <fgColor indexed="44"/>
        <bgColor indexed="64"/>
      </patternFill>
    </fill>
    <fill>
      <patternFill patternType="solid">
        <fgColor indexed="42"/>
        <bgColor indexed="64"/>
      </patternFill>
    </fill>
    <fill>
      <patternFill patternType="solid">
        <fgColor indexed="55"/>
        <bgColor indexed="64"/>
      </patternFill>
    </fill>
    <fill>
      <patternFill patternType="solid">
        <fgColor indexed="2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theme="0" tint="-0.34998626667073579"/>
        <bgColor indexed="64"/>
      </patternFill>
    </fill>
    <fill>
      <patternFill patternType="solid">
        <fgColor rgb="FFFFFF00"/>
        <bgColor indexed="64"/>
      </patternFill>
    </fill>
    <fill>
      <patternFill patternType="solid">
        <fgColor theme="6" tint="0.59999389629810485"/>
        <bgColor indexed="64"/>
      </patternFill>
    </fill>
    <fill>
      <patternFill patternType="solid">
        <fgColor theme="6"/>
        <bgColor indexed="64"/>
      </patternFill>
    </fill>
    <fill>
      <patternFill patternType="solid">
        <fgColor theme="1"/>
        <bgColor indexed="64"/>
      </patternFill>
    </fill>
    <fill>
      <patternFill patternType="solid">
        <fgColor theme="0"/>
        <bgColor indexed="64"/>
      </patternFill>
    </fill>
    <fill>
      <patternFill patternType="solid">
        <fgColor theme="0" tint="-0.14999847407452621"/>
        <bgColor indexed="64"/>
      </patternFill>
    </fill>
    <fill>
      <patternFill patternType="solid">
        <fgColor indexed="65"/>
        <bgColor indexed="64"/>
      </patternFill>
    </fill>
    <fill>
      <patternFill patternType="solid">
        <fgColor rgb="FFCCCCFF"/>
        <bgColor indexed="64"/>
      </patternFill>
    </fill>
    <fill>
      <patternFill patternType="solid">
        <fgColor rgb="FF92D050"/>
        <bgColor indexed="64"/>
      </patternFill>
    </fill>
    <fill>
      <patternFill patternType="solid">
        <fgColor rgb="FFFF0000"/>
        <bgColor indexed="64"/>
      </patternFill>
    </fill>
    <fill>
      <patternFill patternType="solid">
        <fgColor theme="9" tint="0.39997558519241921"/>
        <bgColor indexed="64"/>
      </patternFill>
    </fill>
    <fill>
      <patternFill patternType="solid">
        <fgColor rgb="FFD6D6D6"/>
        <bgColor indexed="64"/>
      </patternFill>
    </fill>
    <fill>
      <patternFill patternType="solid">
        <fgColor theme="6" tint="0.39997558519241921"/>
        <bgColor indexed="64"/>
      </patternFill>
    </fill>
    <fill>
      <patternFill patternType="solid">
        <fgColor theme="9" tint="0.59999389629810485"/>
        <bgColor indexed="64"/>
      </patternFill>
    </fill>
    <fill>
      <patternFill patternType="lightTrellis">
        <bgColor theme="0"/>
      </patternFill>
    </fill>
    <fill>
      <patternFill patternType="solid">
        <fgColor rgb="FFFFFFFF"/>
        <bgColor rgb="FF000000"/>
      </patternFill>
    </fill>
    <fill>
      <patternFill patternType="solid">
        <fgColor theme="2"/>
        <bgColor indexed="64"/>
      </patternFill>
    </fill>
    <fill>
      <patternFill patternType="solid">
        <fgColor theme="0"/>
      </patternFill>
    </fill>
    <fill>
      <patternFill patternType="solid">
        <fgColor rgb="FFFFC000"/>
        <bgColor indexed="64"/>
      </patternFill>
    </fill>
  </fills>
  <borders count="62">
    <border>
      <left/>
      <right/>
      <top/>
      <bottom/>
      <diagonal/>
    </border>
    <border>
      <left/>
      <right/>
      <top/>
      <bottom style="thin">
        <color indexed="64"/>
      </bottom>
      <diagonal/>
    </border>
    <border>
      <left/>
      <right/>
      <top/>
      <bottom style="medium">
        <color indexed="64"/>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bottom style="thick">
        <color indexed="64"/>
      </bottom>
      <diagonal/>
    </border>
    <border>
      <left/>
      <right/>
      <top style="thin">
        <color indexed="64"/>
      </top>
      <bottom style="medium">
        <color indexed="64"/>
      </bottom>
      <diagonal/>
    </border>
    <border>
      <left/>
      <right/>
      <top style="medium">
        <color indexed="64"/>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double">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C0C0C0"/>
      </left>
      <right style="thin">
        <color rgb="FFC0C0C0"/>
      </right>
      <top style="thin">
        <color rgb="FFC0C0C0"/>
      </top>
      <bottom style="thin">
        <color rgb="FFC0C0C0"/>
      </bottom>
      <diagonal/>
    </border>
    <border>
      <left/>
      <right/>
      <top/>
      <bottom style="thin">
        <color rgb="FF000000"/>
      </bottom>
      <diagonal/>
    </border>
    <border>
      <left style="thin">
        <color theme="0" tint="-0.499984740745262"/>
      </left>
      <right style="thin">
        <color theme="0" tint="-0.499984740745262"/>
      </right>
      <top style="thin">
        <color theme="0" tint="-0.499984740745262"/>
      </top>
      <bottom style="thin">
        <color theme="0" tint="-0.499984740745262"/>
      </bottom>
      <diagonal/>
    </border>
  </borders>
  <cellStyleXfs count="187">
    <xf numFmtId="0" fontId="0" fillId="0" borderId="0"/>
    <xf numFmtId="0" fontId="212" fillId="21" borderId="0" applyNumberFormat="0" applyBorder="0" applyAlignment="0" applyProtection="0"/>
    <xf numFmtId="0" fontId="212" fillId="22" borderId="0" applyNumberFormat="0" applyBorder="0" applyAlignment="0" applyProtection="0"/>
    <xf numFmtId="0" fontId="212" fillId="23" borderId="0" applyNumberFormat="0" applyBorder="0" applyAlignment="0" applyProtection="0"/>
    <xf numFmtId="0" fontId="212" fillId="24" borderId="0" applyNumberFormat="0" applyBorder="0" applyAlignment="0" applyProtection="0"/>
    <xf numFmtId="0" fontId="212" fillId="25" borderId="0" applyNumberFormat="0" applyBorder="0" applyAlignment="0" applyProtection="0"/>
    <xf numFmtId="0" fontId="212" fillId="26" borderId="0" applyNumberFormat="0" applyBorder="0" applyAlignment="0" applyProtection="0"/>
    <xf numFmtId="0" fontId="212" fillId="27" borderId="0" applyNumberFormat="0" applyBorder="0" applyAlignment="0" applyProtection="0"/>
    <xf numFmtId="0" fontId="212" fillId="28" borderId="0" applyNumberFormat="0" applyBorder="0" applyAlignment="0" applyProtection="0"/>
    <xf numFmtId="0" fontId="212" fillId="29" borderId="0" applyNumberFormat="0" applyBorder="0" applyAlignment="0" applyProtection="0"/>
    <xf numFmtId="0" fontId="212" fillId="30" borderId="0" applyNumberFormat="0" applyBorder="0" applyAlignment="0" applyProtection="0"/>
    <xf numFmtId="0" fontId="212" fillId="31" borderId="0" applyNumberFormat="0" applyBorder="0" applyAlignment="0" applyProtection="0"/>
    <xf numFmtId="0" fontId="212" fillId="32" borderId="0" applyNumberFormat="0" applyBorder="0" applyAlignment="0" applyProtection="0"/>
    <xf numFmtId="0" fontId="213" fillId="33" borderId="0" applyNumberFormat="0" applyBorder="0" applyAlignment="0" applyProtection="0"/>
    <xf numFmtId="0" fontId="213" fillId="34" borderId="0" applyNumberFormat="0" applyBorder="0" applyAlignment="0" applyProtection="0"/>
    <xf numFmtId="0" fontId="213" fillId="35" borderId="0" applyNumberFormat="0" applyBorder="0" applyAlignment="0" applyProtection="0"/>
    <xf numFmtId="0" fontId="213" fillId="36" borderId="0" applyNumberFormat="0" applyBorder="0" applyAlignment="0" applyProtection="0"/>
    <xf numFmtId="0" fontId="213" fillId="37" borderId="0" applyNumberFormat="0" applyBorder="0" applyAlignment="0" applyProtection="0"/>
    <xf numFmtId="0" fontId="213" fillId="38" borderId="0" applyNumberFormat="0" applyBorder="0" applyAlignment="0" applyProtection="0"/>
    <xf numFmtId="0" fontId="213" fillId="39" borderId="0" applyNumberFormat="0" applyBorder="0" applyAlignment="0" applyProtection="0"/>
    <xf numFmtId="0" fontId="213" fillId="40" borderId="0" applyNumberFormat="0" applyBorder="0" applyAlignment="0" applyProtection="0"/>
    <xf numFmtId="0" fontId="213" fillId="41" borderId="0" applyNumberFormat="0" applyBorder="0" applyAlignment="0" applyProtection="0"/>
    <xf numFmtId="0" fontId="213" fillId="42" borderId="0" applyNumberFormat="0" applyBorder="0" applyAlignment="0" applyProtection="0"/>
    <xf numFmtId="0" fontId="213" fillId="43" borderId="0" applyNumberFormat="0" applyBorder="0" applyAlignment="0" applyProtection="0"/>
    <xf numFmtId="0" fontId="213" fillId="44" borderId="0" applyNumberFormat="0" applyBorder="0" applyAlignment="0" applyProtection="0"/>
    <xf numFmtId="0" fontId="214" fillId="45" borderId="0" applyNumberFormat="0" applyBorder="0" applyAlignment="0" applyProtection="0"/>
    <xf numFmtId="0" fontId="215" fillId="46" borderId="50" applyNumberFormat="0" applyAlignment="0" applyProtection="0"/>
    <xf numFmtId="186" fontId="15" fillId="0" borderId="0"/>
    <xf numFmtId="0" fontId="216" fillId="47" borderId="51"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3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0" fontId="11" fillId="0" borderId="0" applyFont="0" applyFill="0" applyBorder="0" applyAlignment="0" applyProtection="0"/>
    <xf numFmtId="40" fontId="1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8" fontId="37" fillId="0" borderId="0" applyFont="0" applyFill="0" applyBorder="0" applyAlignment="0" applyProtection="0"/>
    <xf numFmtId="0" fontId="39" fillId="0" borderId="1">
      <alignment horizontal="right"/>
      <protection locked="0"/>
    </xf>
    <xf numFmtId="0" fontId="30" fillId="0" borderId="1">
      <alignment horizontal="right"/>
      <protection locked="0"/>
    </xf>
    <xf numFmtId="0" fontId="30" fillId="0" borderId="1">
      <alignment horizontal="right"/>
      <protection locked="0"/>
    </xf>
    <xf numFmtId="0" fontId="217" fillId="0" borderId="0" applyNumberFormat="0" applyFill="0" applyBorder="0" applyAlignment="0" applyProtection="0"/>
    <xf numFmtId="0" fontId="218" fillId="48" borderId="0" applyNumberFormat="0" applyBorder="0" applyAlignment="0" applyProtection="0"/>
    <xf numFmtId="0" fontId="219" fillId="0" borderId="52" applyNumberFormat="0" applyFill="0" applyAlignment="0" applyProtection="0"/>
    <xf numFmtId="0" fontId="220" fillId="0" borderId="53" applyNumberFormat="0" applyFill="0" applyAlignment="0" applyProtection="0"/>
    <xf numFmtId="0" fontId="221" fillId="0" borderId="54" applyNumberFormat="0" applyFill="0" applyAlignment="0" applyProtection="0"/>
    <xf numFmtId="0" fontId="221" fillId="0" borderId="0" applyNumberFormat="0" applyFill="0" applyBorder="0" applyAlignment="0" applyProtection="0"/>
    <xf numFmtId="0" fontId="13" fillId="0" borderId="2">
      <protection locked="0"/>
    </xf>
    <xf numFmtId="0" fontId="26" fillId="0" borderId="2" applyBorder="0">
      <protection locked="0"/>
    </xf>
    <xf numFmtId="0" fontId="12" fillId="0" borderId="0">
      <protection locked="0"/>
    </xf>
    <xf numFmtId="0" fontId="21" fillId="0" borderId="0">
      <protection locked="0"/>
    </xf>
    <xf numFmtId="15" fontId="15" fillId="0" borderId="1" applyNumberFormat="0">
      <protection locked="0"/>
    </xf>
    <xf numFmtId="0" fontId="46" fillId="0" borderId="0" applyNumberFormat="0" applyFon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222" fillId="0" borderId="0" applyNumberFormat="0" applyFill="0" applyBorder="0" applyAlignment="0" applyProtection="0">
      <alignment vertical="top"/>
      <protection locked="0"/>
    </xf>
    <xf numFmtId="0" fontId="223" fillId="49" borderId="50" applyNumberFormat="0" applyAlignment="0" applyProtection="0"/>
    <xf numFmtId="0" fontId="224" fillId="0" borderId="55" applyNumberFormat="0" applyFill="0" applyAlignment="0" applyProtection="0"/>
    <xf numFmtId="0" fontId="225" fillId="50" borderId="0" applyNumberFormat="0" applyBorder="0" applyAlignment="0" applyProtection="0"/>
    <xf numFmtId="165" fontId="109" fillId="0" borderId="0">
      <protection locked="0"/>
    </xf>
    <xf numFmtId="165" fontId="18" fillId="0" borderId="0">
      <protection locked="0"/>
    </xf>
    <xf numFmtId="0" fontId="11" fillId="0" borderId="0"/>
    <xf numFmtId="165" fontId="18" fillId="0" borderId="0">
      <protection locked="0"/>
    </xf>
    <xf numFmtId="0" fontId="212" fillId="0" borderId="0"/>
    <xf numFmtId="0" fontId="212" fillId="0" borderId="0"/>
    <xf numFmtId="0" fontId="11" fillId="0" borderId="0"/>
    <xf numFmtId="0" fontId="5" fillId="0" borderId="0"/>
    <xf numFmtId="0" fontId="5" fillId="0" borderId="0"/>
    <xf numFmtId="0" fontId="10" fillId="0" borderId="0"/>
    <xf numFmtId="0" fontId="5" fillId="0" borderId="0"/>
    <xf numFmtId="0" fontId="5" fillId="0" borderId="0"/>
    <xf numFmtId="168" fontId="18" fillId="0" borderId="0">
      <protection locked="0"/>
    </xf>
    <xf numFmtId="168" fontId="146" fillId="0" borderId="0">
      <protection locked="0"/>
    </xf>
    <xf numFmtId="168" fontId="18" fillId="0" borderId="0">
      <protection locked="0"/>
    </xf>
    <xf numFmtId="0" fontId="5" fillId="0" borderId="0"/>
    <xf numFmtId="0" fontId="31" fillId="0" borderId="0"/>
    <xf numFmtId="168" fontId="18" fillId="0" borderId="0">
      <protection locked="0"/>
    </xf>
    <xf numFmtId="168" fontId="18" fillId="0" borderId="0">
      <protection locked="0"/>
    </xf>
    <xf numFmtId="0" fontId="13" fillId="0" borderId="0"/>
    <xf numFmtId="168" fontId="18" fillId="0" borderId="0">
      <protection locked="0"/>
    </xf>
    <xf numFmtId="0" fontId="15" fillId="0" borderId="0"/>
    <xf numFmtId="0" fontId="15" fillId="0" borderId="0"/>
    <xf numFmtId="0" fontId="15" fillId="0" borderId="0"/>
    <xf numFmtId="0" fontId="15" fillId="0" borderId="0"/>
    <xf numFmtId="0" fontId="20" fillId="0" borderId="0"/>
    <xf numFmtId="0" fontId="15" fillId="0" borderId="0"/>
    <xf numFmtId="0" fontId="15" fillId="0" borderId="0"/>
    <xf numFmtId="0" fontId="15" fillId="0" borderId="0"/>
    <xf numFmtId="0" fontId="15" fillId="0" borderId="0"/>
    <xf numFmtId="0" fontId="15" fillId="0" borderId="0"/>
    <xf numFmtId="0" fontId="5" fillId="0" borderId="0"/>
    <xf numFmtId="0" fontId="5" fillId="0" borderId="0"/>
    <xf numFmtId="0" fontId="15" fillId="0" borderId="0"/>
    <xf numFmtId="0" fontId="5" fillId="0" borderId="0"/>
    <xf numFmtId="0" fontId="5" fillId="0" borderId="0"/>
    <xf numFmtId="0" fontId="15" fillId="0" borderId="0"/>
    <xf numFmtId="0" fontId="15" fillId="0" borderId="0"/>
    <xf numFmtId="0" fontId="47" fillId="0" borderId="0"/>
    <xf numFmtId="0" fontId="11" fillId="0" borderId="0"/>
    <xf numFmtId="0" fontId="15" fillId="0" borderId="0"/>
    <xf numFmtId="0" fontId="11" fillId="0" borderId="0"/>
    <xf numFmtId="0" fontId="11" fillId="0" borderId="0"/>
    <xf numFmtId="0" fontId="11" fillId="0" borderId="0"/>
    <xf numFmtId="0" fontId="105" fillId="0" borderId="0"/>
    <xf numFmtId="0" fontId="11" fillId="0" borderId="0"/>
    <xf numFmtId="0" fontId="11" fillId="0" borderId="0"/>
    <xf numFmtId="0" fontId="11" fillId="0" borderId="0"/>
    <xf numFmtId="0" fontId="15" fillId="0" borderId="0"/>
    <xf numFmtId="0" fontId="15" fillId="0" borderId="0"/>
    <xf numFmtId="0" fontId="11" fillId="0" borderId="0"/>
    <xf numFmtId="0" fontId="105" fillId="0" borderId="0"/>
    <xf numFmtId="0" fontId="5" fillId="0" borderId="0"/>
    <xf numFmtId="0" fontId="18" fillId="0" borderId="0">
      <protection locked="0"/>
    </xf>
    <xf numFmtId="0" fontId="5" fillId="0" borderId="0"/>
    <xf numFmtId="0" fontId="155" fillId="51" borderId="56" applyNumberFormat="0" applyFont="0" applyAlignment="0" applyProtection="0"/>
    <xf numFmtId="167" fontId="18" fillId="0" borderId="0">
      <protection locked="0"/>
    </xf>
    <xf numFmtId="168" fontId="18" fillId="0" borderId="0">
      <protection locked="0"/>
    </xf>
    <xf numFmtId="0" fontId="18" fillId="0" borderId="0">
      <protection locked="0"/>
    </xf>
    <xf numFmtId="167" fontId="18" fillId="0" borderId="3">
      <protection locked="0"/>
    </xf>
    <xf numFmtId="168" fontId="18" fillId="0" borderId="4">
      <protection locked="0"/>
    </xf>
    <xf numFmtId="181" fontId="18" fillId="0" borderId="0"/>
    <xf numFmtId="181" fontId="18" fillId="0" borderId="3"/>
    <xf numFmtId="181" fontId="18" fillId="0" borderId="4"/>
    <xf numFmtId="0" fontId="226" fillId="46" borderId="57" applyNumberFormat="0" applyAlignment="0" applyProtection="0"/>
    <xf numFmtId="9" fontId="5" fillId="0" borderId="0" applyFont="0" applyFill="0" applyBorder="0" applyAlignment="0" applyProtection="0"/>
    <xf numFmtId="9" fontId="5" fillId="0" borderId="0" applyFont="0" applyFill="0" applyBorder="0" applyAlignment="0" applyProtection="0"/>
    <xf numFmtId="0" fontId="227" fillId="0" borderId="0" applyNumberFormat="0" applyFill="0" applyBorder="0" applyAlignment="0" applyProtection="0"/>
    <xf numFmtId="0" fontId="228" fillId="0" borderId="58" applyNumberFormat="0" applyFill="0" applyAlignment="0" applyProtection="0"/>
    <xf numFmtId="0" fontId="229" fillId="0" borderId="0" applyNumberFormat="0" applyFill="0" applyBorder="0" applyAlignment="0" applyProtection="0"/>
    <xf numFmtId="168" fontId="18" fillId="0" borderId="0">
      <protection locked="0"/>
    </xf>
    <xf numFmtId="0" fontId="11" fillId="0" borderId="0"/>
    <xf numFmtId="0" fontId="11" fillId="0" borderId="0"/>
    <xf numFmtId="0" fontId="11" fillId="0" borderId="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43" fontId="148" fillId="0" borderId="0" applyFont="0" applyFill="0" applyBorder="0" applyAlignment="0" applyProtection="0"/>
    <xf numFmtId="0" fontId="4" fillId="0" borderId="0"/>
    <xf numFmtId="0" fontId="4" fillId="0" borderId="0"/>
    <xf numFmtId="0" fontId="148" fillId="51" borderId="56" applyNumberFormat="0" applyFont="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46" fillId="0" borderId="0" applyNumberFormat="0" applyFont="0" applyFill="0" applyBorder="0" applyAlignment="0" applyProtection="0">
      <alignment vertical="top"/>
      <protection locked="0"/>
    </xf>
    <xf numFmtId="0" fontId="2" fillId="0" borderId="0"/>
    <xf numFmtId="0" fontId="18" fillId="0" borderId="0">
      <protection locked="0"/>
    </xf>
    <xf numFmtId="49" fontId="278" fillId="71" borderId="61">
      <alignment horizontal="right"/>
      <protection locked="0"/>
    </xf>
  </cellStyleXfs>
  <cellXfs count="3158">
    <xf numFmtId="0" fontId="0" fillId="0" borderId="0" xfId="0"/>
    <xf numFmtId="0" fontId="7" fillId="0" borderId="0" xfId="0" applyFont="1"/>
    <xf numFmtId="0" fontId="8" fillId="0" borderId="0" xfId="0" applyFont="1"/>
    <xf numFmtId="164" fontId="6" fillId="0" borderId="2" xfId="0" applyNumberFormat="1" applyFont="1" applyBorder="1" applyAlignment="1">
      <alignment horizontal="center"/>
    </xf>
    <xf numFmtId="0" fontId="29" fillId="0" borderId="0" xfId="101" applyFont="1"/>
    <xf numFmtId="0" fontId="29" fillId="0" borderId="0" xfId="101" applyFont="1" applyAlignment="1">
      <alignment horizontal="right"/>
    </xf>
    <xf numFmtId="40" fontId="29" fillId="0" borderId="0" xfId="39" applyFont="1"/>
    <xf numFmtId="0" fontId="29" fillId="0" borderId="0" xfId="98" applyFont="1"/>
    <xf numFmtId="40" fontId="29" fillId="0" borderId="0" xfId="38" applyFont="1"/>
    <xf numFmtId="0" fontId="40" fillId="0" borderId="0" xfId="0" applyFont="1"/>
    <xf numFmtId="0" fontId="10" fillId="0" borderId="0" xfId="0" applyFont="1"/>
    <xf numFmtId="0" fontId="30" fillId="0" borderId="0" xfId="0" applyFont="1"/>
    <xf numFmtId="0" fontId="26" fillId="0" borderId="0" xfId="88" applyFont="1"/>
    <xf numFmtId="0" fontId="28" fillId="0" borderId="0" xfId="88" applyFont="1"/>
    <xf numFmtId="0" fontId="26" fillId="0" borderId="0" xfId="88" applyFont="1" applyAlignment="1">
      <alignment horizontal="centerContinuous"/>
    </xf>
    <xf numFmtId="0" fontId="18" fillId="0" borderId="0" xfId="88" applyFont="1"/>
    <xf numFmtId="0" fontId="43" fillId="0" borderId="0" xfId="81" applyFont="1"/>
    <xf numFmtId="0" fontId="44" fillId="0" borderId="0" xfId="81" applyFont="1"/>
    <xf numFmtId="0" fontId="37" fillId="0" borderId="0" xfId="81" applyFont="1"/>
    <xf numFmtId="0" fontId="37" fillId="0" borderId="0" xfId="81" applyFont="1" applyAlignment="1">
      <alignment horizontal="right"/>
    </xf>
    <xf numFmtId="0" fontId="20" fillId="0" borderId="0" xfId="0" applyFont="1"/>
    <xf numFmtId="164" fontId="7" fillId="0" borderId="0" xfId="0" applyNumberFormat="1" applyFont="1" applyAlignment="1">
      <alignment horizontal="center" shrinkToFit="1"/>
    </xf>
    <xf numFmtId="164" fontId="6" fillId="0" borderId="0" xfId="100" applyNumberFormat="1" applyFont="1" applyAlignment="1">
      <alignment horizontal="centerContinuous"/>
    </xf>
    <xf numFmtId="164" fontId="6" fillId="0" borderId="0" xfId="97" applyNumberFormat="1" applyFont="1" applyAlignment="1">
      <alignment horizontal="centerContinuous"/>
    </xf>
    <xf numFmtId="0" fontId="5" fillId="0" borderId="0" xfId="100"/>
    <xf numFmtId="164" fontId="9" fillId="0" borderId="0" xfId="100" applyNumberFormat="1" applyFont="1"/>
    <xf numFmtId="164" fontId="6" fillId="0" borderId="2" xfId="100" applyNumberFormat="1" applyFont="1" applyBorder="1" applyAlignment="1">
      <alignment horizontal="center"/>
    </xf>
    <xf numFmtId="0" fontId="5" fillId="0" borderId="0" xfId="95" applyFont="1"/>
    <xf numFmtId="0" fontId="18" fillId="0" borderId="0" xfId="89" applyFont="1"/>
    <xf numFmtId="0" fontId="26" fillId="0" borderId="0" xfId="89" applyFont="1"/>
    <xf numFmtId="0" fontId="28" fillId="0" borderId="0" xfId="89" applyFont="1"/>
    <xf numFmtId="0" fontId="29" fillId="0" borderId="0" xfId="86" applyFont="1"/>
    <xf numFmtId="0" fontId="23" fillId="0" borderId="0" xfId="0" applyFont="1"/>
    <xf numFmtId="0" fontId="55" fillId="0" borderId="0" xfId="110" applyFont="1"/>
    <xf numFmtId="0" fontId="57" fillId="0" borderId="0" xfId="110" applyFont="1" applyAlignment="1">
      <alignment horizontal="center"/>
    </xf>
    <xf numFmtId="0" fontId="57" fillId="0" borderId="0" xfId="110" applyFont="1"/>
    <xf numFmtId="0" fontId="55" fillId="0" borderId="0" xfId="112" applyFont="1"/>
    <xf numFmtId="0" fontId="11" fillId="0" borderId="0" xfId="112"/>
    <xf numFmtId="0" fontId="57" fillId="0" borderId="0" xfId="112" applyFont="1"/>
    <xf numFmtId="0" fontId="5" fillId="0" borderId="0" xfId="113" applyFont="1"/>
    <xf numFmtId="0" fontId="15" fillId="0" borderId="0" xfId="113"/>
    <xf numFmtId="0" fontId="11" fillId="0" borderId="0" xfId="115"/>
    <xf numFmtId="0" fontId="6" fillId="0" borderId="0" xfId="122" applyNumberFormat="1" applyFont="1" applyAlignment="1" applyProtection="1">
      <alignment horizontal="center" wrapText="1"/>
    </xf>
    <xf numFmtId="0" fontId="55" fillId="0" borderId="0" xfId="115" applyFont="1"/>
    <xf numFmtId="0" fontId="40" fillId="0" borderId="0" xfId="115" applyFont="1"/>
    <xf numFmtId="164" fontId="6" fillId="0" borderId="0" xfId="115" applyNumberFormat="1" applyFont="1" applyAlignment="1">
      <alignment horizontal="center"/>
    </xf>
    <xf numFmtId="0" fontId="11" fillId="0" borderId="0" xfId="115" applyAlignment="1">
      <alignment horizontal="center" shrinkToFit="1"/>
    </xf>
    <xf numFmtId="164" fontId="9" fillId="0" borderId="0" xfId="115" applyNumberFormat="1" applyFont="1"/>
    <xf numFmtId="164" fontId="6" fillId="0" borderId="2" xfId="115" applyNumberFormat="1" applyFont="1" applyBorder="1" applyAlignment="1">
      <alignment horizontal="center"/>
    </xf>
    <xf numFmtId="168" fontId="22" fillId="0" borderId="0" xfId="82" applyFont="1" applyProtection="1"/>
    <xf numFmtId="168" fontId="51" fillId="0" borderId="0" xfId="82" applyFont="1" applyProtection="1"/>
    <xf numFmtId="168" fontId="22" fillId="0" borderId="0" xfId="82" applyFont="1" applyAlignment="1" applyProtection="1">
      <alignment horizontal="centerContinuous"/>
    </xf>
    <xf numFmtId="168" fontId="51" fillId="0" borderId="0" xfId="82" applyFont="1" applyAlignment="1" applyProtection="1">
      <alignment horizontal="centerContinuous"/>
    </xf>
    <xf numFmtId="168" fontId="18" fillId="0" borderId="0" xfId="82" applyProtection="1"/>
    <xf numFmtId="168" fontId="10" fillId="0" borderId="0" xfId="82" applyFont="1" applyProtection="1"/>
    <xf numFmtId="168" fontId="36" fillId="0" borderId="0" xfId="82" applyFont="1" applyAlignment="1" applyProtection="1">
      <alignment horizontal="center"/>
    </xf>
    <xf numFmtId="168" fontId="36" fillId="0" borderId="5" xfId="82" applyFont="1" applyBorder="1" applyAlignment="1" applyProtection="1">
      <alignment horizontal="center"/>
    </xf>
    <xf numFmtId="168" fontId="36" fillId="0" borderId="0" xfId="82" applyFont="1" applyAlignment="1" applyProtection="1">
      <alignment horizontal="center" wrapText="1"/>
    </xf>
    <xf numFmtId="168" fontId="36" fillId="0" borderId="6" xfId="82" applyFont="1" applyBorder="1" applyAlignment="1" applyProtection="1">
      <alignment horizontal="center"/>
    </xf>
    <xf numFmtId="168" fontId="36" fillId="0" borderId="1" xfId="82" applyFont="1" applyBorder="1" applyAlignment="1" applyProtection="1">
      <alignment horizontal="center"/>
    </xf>
    <xf numFmtId="172" fontId="36" fillId="0" borderId="7" xfId="82" applyNumberFormat="1" applyFont="1" applyBorder="1" applyAlignment="1" applyProtection="1">
      <alignment horizontal="center"/>
    </xf>
    <xf numFmtId="168" fontId="36" fillId="0" borderId="7" xfId="82" applyFont="1" applyBorder="1" applyAlignment="1" applyProtection="1">
      <alignment horizontal="center"/>
    </xf>
    <xf numFmtId="180" fontId="61" fillId="0" borderId="0" xfId="127" applyNumberFormat="1" applyFont="1" applyBorder="1" applyAlignment="1">
      <alignment horizontal="center"/>
    </xf>
    <xf numFmtId="168" fontId="7" fillId="0" borderId="0" xfId="82" applyFont="1" applyProtection="1"/>
    <xf numFmtId="0" fontId="26" fillId="0" borderId="0" xfId="86" applyFont="1"/>
    <xf numFmtId="0" fontId="26" fillId="0" borderId="0" xfId="86" applyFont="1" applyAlignment="1">
      <alignment horizontal="centerContinuous"/>
    </xf>
    <xf numFmtId="0" fontId="7" fillId="0" borderId="0" xfId="86" applyFont="1" applyAlignment="1">
      <alignment horizontal="center"/>
    </xf>
    <xf numFmtId="0" fontId="10" fillId="0" borderId="0" xfId="88" applyFont="1"/>
    <xf numFmtId="172" fontId="7" fillId="0" borderId="1" xfId="0" applyNumberFormat="1" applyFont="1" applyBorder="1" applyAlignment="1">
      <alignment horizontal="center"/>
    </xf>
    <xf numFmtId="0" fontId="8" fillId="0" borderId="0" xfId="0" applyFont="1" applyAlignment="1">
      <alignment horizontal="left"/>
    </xf>
    <xf numFmtId="0" fontId="60" fillId="0" borderId="0" xfId="0" applyFont="1"/>
    <xf numFmtId="0" fontId="63" fillId="0" borderId="0" xfId="90" applyFont="1" applyAlignment="1">
      <alignment horizontal="centerContinuous"/>
    </xf>
    <xf numFmtId="0" fontId="62" fillId="0" borderId="0" xfId="0" applyFont="1"/>
    <xf numFmtId="0" fontId="5" fillId="0" borderId="0" xfId="90" applyFont="1"/>
    <xf numFmtId="0" fontId="64" fillId="0" borderId="0" xfId="0" applyFont="1"/>
    <xf numFmtId="164" fontId="7" fillId="0" borderId="1" xfId="0" applyNumberFormat="1" applyFont="1" applyBorder="1" applyAlignment="1">
      <alignment horizontal="center"/>
    </xf>
    <xf numFmtId="0" fontId="37" fillId="0" borderId="2" xfId="81" applyFont="1" applyBorder="1"/>
    <xf numFmtId="164" fontId="7" fillId="0" borderId="0" xfId="0" applyNumberFormat="1" applyFont="1" applyAlignment="1">
      <alignment horizontal="center"/>
    </xf>
    <xf numFmtId="0" fontId="60" fillId="0" borderId="0" xfId="95" applyFont="1"/>
    <xf numFmtId="0" fontId="7" fillId="0" borderId="0" xfId="95" applyFont="1" applyAlignment="1">
      <alignment horizontal="centerContinuous"/>
    </xf>
    <xf numFmtId="0" fontId="9" fillId="0" borderId="0" xfId="0" applyFont="1"/>
    <xf numFmtId="0" fontId="10" fillId="0" borderId="0" xfId="89" applyFont="1"/>
    <xf numFmtId="0" fontId="7" fillId="0" borderId="0" xfId="89" applyFont="1" applyAlignment="1">
      <alignment horizontal="center"/>
    </xf>
    <xf numFmtId="164" fontId="7" fillId="0" borderId="0" xfId="100" applyNumberFormat="1" applyFont="1"/>
    <xf numFmtId="164" fontId="7" fillId="0" borderId="0" xfId="100" applyNumberFormat="1" applyFont="1" applyAlignment="1">
      <alignment horizontal="centerContinuous"/>
    </xf>
    <xf numFmtId="0" fontId="9" fillId="0" borderId="0" xfId="98" applyFont="1"/>
    <xf numFmtId="0" fontId="5" fillId="0" borderId="0" xfId="98" applyFont="1"/>
    <xf numFmtId="0" fontId="39" fillId="0" borderId="0" xfId="98" applyFont="1"/>
    <xf numFmtId="0" fontId="29" fillId="0" borderId="2" xfId="101" applyFont="1" applyBorder="1"/>
    <xf numFmtId="0" fontId="18" fillId="0" borderId="0" xfId="101" applyFont="1"/>
    <xf numFmtId="0" fontId="9" fillId="0" borderId="0" xfId="110" applyFont="1"/>
    <xf numFmtId="0" fontId="10" fillId="0" borderId="0" xfId="110" applyFont="1"/>
    <xf numFmtId="0" fontId="7" fillId="0" borderId="0" xfId="110" applyFont="1" applyAlignment="1">
      <alignment horizontal="centerContinuous"/>
    </xf>
    <xf numFmtId="0" fontId="7" fillId="0" borderId="2" xfId="110" applyFont="1" applyBorder="1" applyAlignment="1">
      <alignment horizontal="center"/>
    </xf>
    <xf numFmtId="0" fontId="9" fillId="0" borderId="0" xfId="112" applyFont="1"/>
    <xf numFmtId="0" fontId="10" fillId="0" borderId="0" xfId="112" applyFont="1"/>
    <xf numFmtId="0" fontId="9" fillId="0" borderId="0" xfId="113" applyFont="1"/>
    <xf numFmtId="0" fontId="7" fillId="0" borderId="0" xfId="113" applyFont="1" applyAlignment="1">
      <alignment horizontal="center"/>
    </xf>
    <xf numFmtId="0" fontId="10" fillId="0" borderId="0" xfId="113" applyFont="1"/>
    <xf numFmtId="0" fontId="8" fillId="0" borderId="0" xfId="113" applyFont="1" applyAlignment="1">
      <alignment horizontal="center"/>
    </xf>
    <xf numFmtId="0" fontId="7" fillId="0" borderId="0" xfId="113" applyFont="1"/>
    <xf numFmtId="0" fontId="7" fillId="0" borderId="0" xfId="113" applyFont="1" applyAlignment="1">
      <alignment horizontal="right"/>
    </xf>
    <xf numFmtId="0" fontId="7" fillId="0" borderId="2" xfId="113" applyFont="1" applyBorder="1"/>
    <xf numFmtId="0" fontId="7" fillId="0" borderId="15" xfId="0" applyFont="1" applyBorder="1" applyAlignment="1">
      <alignment horizontal="center"/>
    </xf>
    <xf numFmtId="0" fontId="15" fillId="0" borderId="0" xfId="103" applyFont="1"/>
    <xf numFmtId="0" fontId="5" fillId="0" borderId="0" xfId="114" applyFont="1"/>
    <xf numFmtId="0" fontId="5" fillId="0" borderId="0" xfId="114" applyFont="1" applyAlignment="1">
      <alignment horizontal="center" shrinkToFit="1"/>
    </xf>
    <xf numFmtId="0" fontId="65" fillId="0" borderId="0" xfId="0" applyFont="1"/>
    <xf numFmtId="172" fontId="36" fillId="0" borderId="6" xfId="82" applyNumberFormat="1" applyFont="1" applyBorder="1" applyAlignment="1" applyProtection="1">
      <alignment horizontal="center"/>
    </xf>
    <xf numFmtId="0" fontId="9" fillId="0" borderId="0" xfId="104" applyFont="1"/>
    <xf numFmtId="0" fontId="10" fillId="0" borderId="0" xfId="104" applyFont="1"/>
    <xf numFmtId="0" fontId="7" fillId="0" borderId="0" xfId="104" applyFont="1" applyAlignment="1">
      <alignment horizontal="center"/>
    </xf>
    <xf numFmtId="0" fontId="7" fillId="0" borderId="0" xfId="104" applyFont="1" applyAlignment="1">
      <alignment horizontal="centerContinuous"/>
    </xf>
    <xf numFmtId="0" fontId="7" fillId="0" borderId="16" xfId="104" applyFont="1" applyBorder="1" applyAlignment="1">
      <alignment horizontal="centerContinuous"/>
    </xf>
    <xf numFmtId="0" fontId="7" fillId="0" borderId="2" xfId="104" applyFont="1" applyBorder="1" applyAlignment="1">
      <alignment horizontal="center"/>
    </xf>
    <xf numFmtId="0" fontId="55" fillId="0" borderId="0" xfId="104" applyFont="1"/>
    <xf numFmtId="164" fontId="5" fillId="0" borderId="0" xfId="106" applyNumberFormat="1" applyFont="1"/>
    <xf numFmtId="0" fontId="11" fillId="0" borderId="0" xfId="106"/>
    <xf numFmtId="164" fontId="18" fillId="0" borderId="2" xfId="106" applyNumberFormat="1" applyFont="1" applyBorder="1"/>
    <xf numFmtId="164" fontId="18" fillId="0" borderId="0" xfId="106" applyNumberFormat="1" applyFont="1"/>
    <xf numFmtId="164" fontId="10" fillId="0" borderId="0" xfId="106" applyNumberFormat="1" applyFont="1"/>
    <xf numFmtId="164" fontId="7" fillId="0" borderId="0" xfId="106" applyNumberFormat="1" applyFont="1"/>
    <xf numFmtId="164" fontId="7" fillId="0" borderId="0" xfId="106" applyNumberFormat="1" applyFont="1" applyAlignment="1">
      <alignment horizontal="right"/>
    </xf>
    <xf numFmtId="164" fontId="15" fillId="0" borderId="0" xfId="106" applyNumberFormat="1" applyFont="1"/>
    <xf numFmtId="0" fontId="6" fillId="0" borderId="0" xfId="104" applyFont="1" applyAlignment="1">
      <alignment horizontal="left"/>
    </xf>
    <xf numFmtId="0" fontId="7" fillId="0" borderId="0" xfId="110" applyFont="1"/>
    <xf numFmtId="172" fontId="36" fillId="0" borderId="0" xfId="82" applyNumberFormat="1" applyFont="1" applyAlignment="1" applyProtection="1">
      <alignment horizontal="center"/>
    </xf>
    <xf numFmtId="0" fontId="45" fillId="0" borderId="0" xfId="81" applyFont="1"/>
    <xf numFmtId="0" fontId="37" fillId="0" borderId="0" xfId="81" applyFont="1" applyAlignment="1">
      <alignment horizontal="center"/>
    </xf>
    <xf numFmtId="176" fontId="37" fillId="0" borderId="0" xfId="81" applyNumberFormat="1" applyFont="1"/>
    <xf numFmtId="164" fontId="71" fillId="0" borderId="0" xfId="106" applyNumberFormat="1" applyFont="1"/>
    <xf numFmtId="164" fontId="8" fillId="0" borderId="0" xfId="106" applyNumberFormat="1" applyFont="1"/>
    <xf numFmtId="164" fontId="7" fillId="0" borderId="8" xfId="106" applyNumberFormat="1" applyFont="1" applyBorder="1" applyAlignment="1">
      <alignment horizontal="center"/>
    </xf>
    <xf numFmtId="0" fontId="0" fillId="0" borderId="0" xfId="0" applyAlignment="1">
      <alignment vertical="top"/>
    </xf>
    <xf numFmtId="0" fontId="7" fillId="0" borderId="0" xfId="0" applyFont="1" applyAlignment="1">
      <alignment vertical="top"/>
    </xf>
    <xf numFmtId="0" fontId="15" fillId="0" borderId="0" xfId="0" applyFont="1" applyAlignment="1">
      <alignment vertical="top"/>
    </xf>
    <xf numFmtId="0" fontId="5" fillId="0" borderId="0" xfId="0" applyFont="1" applyAlignment="1">
      <alignment vertical="top"/>
    </xf>
    <xf numFmtId="0" fontId="5" fillId="0" borderId="0" xfId="89" applyFont="1" applyAlignment="1">
      <alignment horizontal="left" indent="1"/>
    </xf>
    <xf numFmtId="0" fontId="5" fillId="0" borderId="0" xfId="0" applyFont="1"/>
    <xf numFmtId="0" fontId="5" fillId="0" borderId="0" xfId="89" applyFont="1"/>
    <xf numFmtId="0" fontId="5" fillId="0" borderId="0" xfId="89" applyFont="1" applyAlignment="1">
      <alignment horizontal="left" indent="3"/>
    </xf>
    <xf numFmtId="0" fontId="60" fillId="0" borderId="0" xfId="89" applyFont="1"/>
    <xf numFmtId="0" fontId="5" fillId="0" borderId="2" xfId="98" applyFont="1" applyBorder="1"/>
    <xf numFmtId="0" fontId="15" fillId="0" borderId="0" xfId="98"/>
    <xf numFmtId="0" fontId="34" fillId="0" borderId="0" xfId="98" applyFont="1" applyAlignment="1">
      <alignment horizontal="center"/>
    </xf>
    <xf numFmtId="0" fontId="0" fillId="0" borderId="0" xfId="0" applyAlignment="1">
      <alignment horizontal="center"/>
    </xf>
    <xf numFmtId="0" fontId="35" fillId="0" borderId="0" xfId="98" applyFont="1"/>
    <xf numFmtId="0" fontId="35" fillId="0" borderId="0" xfId="98" applyFont="1" applyAlignment="1">
      <alignment horizontal="center"/>
    </xf>
    <xf numFmtId="0" fontId="19" fillId="0" borderId="0" xfId="98" applyFont="1"/>
    <xf numFmtId="0" fontId="33" fillId="0" borderId="0" xfId="98" applyFont="1"/>
    <xf numFmtId="0" fontId="19" fillId="0" borderId="0" xfId="98" applyFont="1" applyAlignment="1">
      <alignment horizontal="left"/>
    </xf>
    <xf numFmtId="0" fontId="5" fillId="0" borderId="0" xfId="101" applyFont="1"/>
    <xf numFmtId="0" fontId="73" fillId="0" borderId="0" xfId="101" applyFont="1" applyAlignment="1">
      <alignment horizontal="center"/>
    </xf>
    <xf numFmtId="0" fontId="73" fillId="0" borderId="0" xfId="101" applyFont="1" applyAlignment="1">
      <alignment horizontal="centerContinuous"/>
    </xf>
    <xf numFmtId="0" fontId="73" fillId="0" borderId="1" xfId="101" applyFont="1" applyBorder="1" applyAlignment="1">
      <alignment horizontal="centerContinuous"/>
    </xf>
    <xf numFmtId="0" fontId="74" fillId="0" borderId="0" xfId="101" applyFont="1" applyAlignment="1">
      <alignment horizontal="left"/>
    </xf>
    <xf numFmtId="0" fontId="67" fillId="0" borderId="0" xfId="101" applyFont="1"/>
    <xf numFmtId="40" fontId="75" fillId="0" borderId="0" xfId="39" applyFont="1" applyAlignment="1">
      <alignment horizontal="center"/>
    </xf>
    <xf numFmtId="40" fontId="76" fillId="0" borderId="0" xfId="39" applyFont="1" applyAlignment="1">
      <alignment horizontal="left"/>
    </xf>
    <xf numFmtId="0" fontId="73" fillId="0" borderId="0" xfId="101" applyFont="1"/>
    <xf numFmtId="0" fontId="15" fillId="0" borderId="0" xfId="101"/>
    <xf numFmtId="40" fontId="15" fillId="0" borderId="0" xfId="39" applyFont="1"/>
    <xf numFmtId="0" fontId="77" fillId="0" borderId="0" xfId="98" applyFont="1"/>
    <xf numFmtId="0" fontId="42" fillId="0" borderId="0" xfId="98" applyFont="1"/>
    <xf numFmtId="176" fontId="15" fillId="0" borderId="3" xfId="38" applyNumberFormat="1" applyFont="1" applyBorder="1"/>
    <xf numFmtId="0" fontId="42" fillId="0" borderId="0" xfId="98" applyFont="1" applyAlignment="1">
      <alignment horizontal="left"/>
    </xf>
    <xf numFmtId="0" fontId="15" fillId="0" borderId="0" xfId="0" applyFont="1"/>
    <xf numFmtId="0" fontId="32" fillId="0" borderId="2" xfId="101" applyFont="1" applyBorder="1"/>
    <xf numFmtId="0" fontId="15" fillId="0" borderId="2" xfId="0" applyFont="1" applyBorder="1"/>
    <xf numFmtId="0" fontId="29" fillId="0" borderId="2" xfId="101" applyFont="1" applyBorder="1" applyAlignment="1">
      <alignment horizontal="right"/>
    </xf>
    <xf numFmtId="0" fontId="18" fillId="0" borderId="0" xfId="0" applyFont="1"/>
    <xf numFmtId="0" fontId="18" fillId="0" borderId="0" xfId="0" applyFont="1" applyAlignment="1">
      <alignment horizontal="center"/>
    </xf>
    <xf numFmtId="0" fontId="18" fillId="0" borderId="0" xfId="0" applyFont="1" applyAlignment="1">
      <alignment horizontal="left" indent="1"/>
    </xf>
    <xf numFmtId="0" fontId="73" fillId="0" borderId="0" xfId="0" applyFont="1"/>
    <xf numFmtId="176" fontId="18" fillId="0" borderId="16" xfId="38" applyNumberFormat="1" applyFont="1" applyBorder="1"/>
    <xf numFmtId="49" fontId="78" fillId="0" borderId="0" xfId="0" applyNumberFormat="1" applyFont="1"/>
    <xf numFmtId="0" fontId="73" fillId="0" borderId="0" xfId="0" applyFont="1" applyAlignment="1">
      <alignment horizontal="left"/>
    </xf>
    <xf numFmtId="0" fontId="78" fillId="0" borderId="0" xfId="0" quotePrefix="1" applyFont="1" applyAlignment="1">
      <alignment horizontal="left"/>
    </xf>
    <xf numFmtId="0" fontId="5" fillId="0" borderId="0" xfId="101" applyFont="1" applyAlignment="1">
      <alignment horizontal="right"/>
    </xf>
    <xf numFmtId="0" fontId="32" fillId="0" borderId="0" xfId="101" applyFont="1"/>
    <xf numFmtId="0" fontId="18" fillId="0" borderId="0" xfId="0" quotePrefix="1" applyFont="1" applyAlignment="1">
      <alignment horizontal="left"/>
    </xf>
    <xf numFmtId="0" fontId="79" fillId="0" borderId="0" xfId="0" applyFont="1" applyAlignment="1">
      <alignment horizontal="center"/>
    </xf>
    <xf numFmtId="0" fontId="80" fillId="0" borderId="0" xfId="0" applyFont="1"/>
    <xf numFmtId="0" fontId="80" fillId="0" borderId="0" xfId="0" quotePrefix="1" applyFont="1" applyAlignment="1">
      <alignment horizontal="left"/>
    </xf>
    <xf numFmtId="0" fontId="15" fillId="0" borderId="0" xfId="0" applyFont="1" applyAlignment="1">
      <alignment horizontal="right"/>
    </xf>
    <xf numFmtId="0" fontId="15" fillId="0" borderId="0" xfId="0" applyFont="1" applyAlignment="1">
      <alignment horizontal="center"/>
    </xf>
    <xf numFmtId="0" fontId="0" fillId="0" borderId="0" xfId="0" applyAlignment="1">
      <alignment horizontal="left"/>
    </xf>
    <xf numFmtId="0" fontId="18" fillId="0" borderId="1" xfId="0" applyFont="1" applyBorder="1"/>
    <xf numFmtId="0" fontId="18" fillId="0" borderId="3" xfId="0" applyFont="1" applyBorder="1"/>
    <xf numFmtId="0" fontId="75" fillId="0" borderId="0" xfId="0" applyFont="1"/>
    <xf numFmtId="0" fontId="24" fillId="0" borderId="0" xfId="0" applyFont="1"/>
    <xf numFmtId="0" fontId="5" fillId="0" borderId="0" xfId="98" applyFont="1" applyAlignment="1">
      <alignment horizontal="right"/>
    </xf>
    <xf numFmtId="0" fontId="5" fillId="0" borderId="8" xfId="98" applyFont="1" applyBorder="1" applyAlignment="1">
      <alignment horizontal="center"/>
    </xf>
    <xf numFmtId="0" fontId="5" fillId="0" borderId="0" xfId="98" applyFont="1" applyAlignment="1">
      <alignment horizontal="center"/>
    </xf>
    <xf numFmtId="0" fontId="66" fillId="0" borderId="0" xfId="98" applyFont="1"/>
    <xf numFmtId="0" fontId="18" fillId="0" borderId="0" xfId="98" applyFont="1"/>
    <xf numFmtId="174" fontId="15" fillId="0" borderId="1" xfId="38" applyNumberFormat="1" applyFont="1" applyBorder="1"/>
    <xf numFmtId="174" fontId="15" fillId="0" borderId="0" xfId="38" applyNumberFormat="1" applyFont="1"/>
    <xf numFmtId="174" fontId="15" fillId="0" borderId="2" xfId="38" applyNumberFormat="1" applyFont="1" applyBorder="1"/>
    <xf numFmtId="174" fontId="15" fillId="0" borderId="18" xfId="38" applyNumberFormat="1" applyFont="1" applyBorder="1"/>
    <xf numFmtId="174" fontId="15" fillId="0" borderId="14" xfId="38" applyNumberFormat="1" applyFont="1" applyBorder="1"/>
    <xf numFmtId="174" fontId="0" fillId="0" borderId="19" xfId="0" applyNumberFormat="1" applyBorder="1"/>
    <xf numFmtId="174" fontId="19" fillId="0" borderId="0" xfId="38" applyNumberFormat="1" applyFont="1"/>
    <xf numFmtId="174" fontId="29" fillId="0" borderId="0" xfId="38" applyNumberFormat="1" applyFont="1"/>
    <xf numFmtId="174" fontId="73" fillId="0" borderId="0" xfId="38" applyNumberFormat="1" applyFont="1"/>
    <xf numFmtId="0" fontId="7" fillId="0" borderId="0" xfId="0" applyFont="1" applyAlignment="1">
      <alignment vertical="top" wrapText="1"/>
    </xf>
    <xf numFmtId="0" fontId="0" fillId="0" borderId="2" xfId="0" applyBorder="1" applyAlignment="1">
      <alignment vertical="top" wrapText="1"/>
    </xf>
    <xf numFmtId="0" fontId="8" fillId="0" borderId="0" xfId="89" applyFont="1"/>
    <xf numFmtId="43" fontId="15" fillId="0" borderId="0" xfId="89" applyNumberFormat="1"/>
    <xf numFmtId="176" fontId="15" fillId="0" borderId="0" xfId="0" applyNumberFormat="1" applyFont="1"/>
    <xf numFmtId="0" fontId="48" fillId="0" borderId="0" xfId="0" applyFont="1" applyProtection="1">
      <protection hidden="1"/>
    </xf>
    <xf numFmtId="15" fontId="0" fillId="0" borderId="0" xfId="0" quotePrefix="1" applyNumberFormat="1"/>
    <xf numFmtId="180" fontId="5" fillId="0" borderId="0" xfId="0" applyNumberFormat="1" applyFont="1"/>
    <xf numFmtId="0" fontId="17" fillId="0" borderId="0" xfId="0" applyFont="1"/>
    <xf numFmtId="185" fontId="5" fillId="0" borderId="0" xfId="40" applyNumberFormat="1" applyProtection="1">
      <protection locked="0"/>
    </xf>
    <xf numFmtId="180" fontId="5" fillId="0" borderId="0" xfId="0" applyNumberFormat="1" applyFont="1" applyProtection="1">
      <protection locked="0"/>
    </xf>
    <xf numFmtId="180" fontId="84" fillId="0" borderId="4" xfId="124" applyNumberFormat="1" applyFont="1" applyBorder="1" applyProtection="1"/>
    <xf numFmtId="180" fontId="84" fillId="0" borderId="4" xfId="0" applyNumberFormat="1" applyFont="1" applyBorder="1"/>
    <xf numFmtId="173" fontId="17" fillId="0" borderId="0" xfId="0" applyNumberFormat="1" applyFont="1"/>
    <xf numFmtId="180" fontId="84" fillId="0" borderId="1" xfId="0" applyNumberFormat="1" applyFont="1" applyBorder="1"/>
    <xf numFmtId="185" fontId="84" fillId="0" borderId="3" xfId="0" applyNumberFormat="1" applyFont="1" applyBorder="1"/>
    <xf numFmtId="180" fontId="85" fillId="0" borderId="0" xfId="127" applyNumberFormat="1" applyFont="1" applyBorder="1" applyAlignment="1">
      <alignment horizontal="center"/>
    </xf>
    <xf numFmtId="165" fontId="17" fillId="0" borderId="0" xfId="0" applyNumberFormat="1" applyFont="1"/>
    <xf numFmtId="180" fontId="86" fillId="2" borderId="1" xfId="126" applyNumberFormat="1" applyFont="1" applyFill="1" applyBorder="1" applyAlignment="1">
      <alignment horizontal="center"/>
    </xf>
    <xf numFmtId="180" fontId="42" fillId="0" borderId="0" xfId="0" applyNumberFormat="1" applyFont="1"/>
    <xf numFmtId="180" fontId="66" fillId="0" borderId="0" xfId="0" applyNumberFormat="1" applyFont="1"/>
    <xf numFmtId="0" fontId="66" fillId="0" borderId="0" xfId="0" applyFont="1"/>
    <xf numFmtId="181" fontId="86" fillId="2" borderId="1" xfId="126" applyFont="1" applyFill="1" applyBorder="1" applyAlignment="1">
      <alignment horizontal="center"/>
    </xf>
    <xf numFmtId="180" fontId="87" fillId="0" borderId="0" xfId="0" applyNumberFormat="1" applyFont="1"/>
    <xf numFmtId="184" fontId="87" fillId="0" borderId="0" xfId="0" applyNumberFormat="1" applyFont="1"/>
    <xf numFmtId="0" fontId="26" fillId="0" borderId="0" xfId="92" applyFont="1"/>
    <xf numFmtId="0" fontId="28" fillId="0" borderId="0" xfId="92" applyFont="1"/>
    <xf numFmtId="0" fontId="10" fillId="0" borderId="0" xfId="92" applyFont="1"/>
    <xf numFmtId="0" fontId="7" fillId="0" borderId="0" xfId="92" applyFont="1"/>
    <xf numFmtId="0" fontId="15" fillId="0" borderId="0" xfId="92"/>
    <xf numFmtId="0" fontId="18" fillId="0" borderId="0" xfId="92" applyFont="1"/>
    <xf numFmtId="0" fontId="7" fillId="0" borderId="0" xfId="88" applyFont="1" applyAlignment="1">
      <alignment horizontal="center"/>
    </xf>
    <xf numFmtId="0" fontId="59" fillId="0" borderId="0" xfId="0" applyFont="1" applyAlignment="1">
      <alignment horizontal="left"/>
    </xf>
    <xf numFmtId="0" fontId="62" fillId="0" borderId="0" xfId="88" applyFont="1"/>
    <xf numFmtId="0" fontId="26" fillId="0" borderId="0" xfId="88" applyFont="1" applyProtection="1">
      <protection hidden="1"/>
    </xf>
    <xf numFmtId="0" fontId="18" fillId="0" borderId="0" xfId="88" applyFont="1" applyProtection="1">
      <protection hidden="1"/>
    </xf>
    <xf numFmtId="164" fontId="6" fillId="0" borderId="0" xfId="99" applyNumberFormat="1" applyFont="1" applyAlignment="1">
      <alignment horizontal="centerContinuous"/>
    </xf>
    <xf numFmtId="0" fontId="5" fillId="0" borderId="0" xfId="99"/>
    <xf numFmtId="0" fontId="11" fillId="0" borderId="0" xfId="115" applyAlignment="1">
      <alignment horizontal="center"/>
    </xf>
    <xf numFmtId="164" fontId="9" fillId="0" borderId="0" xfId="99" applyNumberFormat="1" applyFont="1" applyAlignment="1">
      <alignment horizontal="center"/>
    </xf>
    <xf numFmtId="164" fontId="7" fillId="0" borderId="0" xfId="99" applyNumberFormat="1" applyFont="1"/>
    <xf numFmtId="164" fontId="9" fillId="0" borderId="0" xfId="99" applyNumberFormat="1" applyFont="1"/>
    <xf numFmtId="164" fontId="7" fillId="0" borderId="0" xfId="99" applyNumberFormat="1" applyFont="1" applyAlignment="1">
      <alignment horizontal="centerContinuous"/>
    </xf>
    <xf numFmtId="164" fontId="6" fillId="0" borderId="2" xfId="99" applyNumberFormat="1" applyFont="1" applyBorder="1" applyAlignment="1">
      <alignment horizontal="center"/>
    </xf>
    <xf numFmtId="0" fontId="11" fillId="0" borderId="0" xfId="115" applyAlignment="1">
      <alignment horizontal="right"/>
    </xf>
    <xf numFmtId="0" fontId="24" fillId="0" borderId="0" xfId="115" applyFont="1"/>
    <xf numFmtId="168" fontId="26" fillId="0" borderId="0" xfId="85" applyFont="1" applyProtection="1"/>
    <xf numFmtId="168" fontId="26" fillId="0" borderId="0" xfId="85" applyFont="1" applyAlignment="1" applyProtection="1">
      <alignment horizontal="centerContinuous"/>
    </xf>
    <xf numFmtId="168" fontId="36" fillId="0" borderId="0" xfId="85" applyFont="1" applyAlignment="1" applyProtection="1">
      <alignment horizontal="center"/>
    </xf>
    <xf numFmtId="168" fontId="36" fillId="0" borderId="5" xfId="85" applyFont="1" applyBorder="1" applyAlignment="1" applyProtection="1">
      <alignment horizontal="center"/>
    </xf>
    <xf numFmtId="168" fontId="36" fillId="0" borderId="6" xfId="85" applyFont="1" applyBorder="1" applyAlignment="1" applyProtection="1">
      <alignment horizontal="center"/>
    </xf>
    <xf numFmtId="168" fontId="36" fillId="0" borderId="1" xfId="85" applyFont="1" applyBorder="1" applyAlignment="1" applyProtection="1">
      <alignment horizontal="center"/>
    </xf>
    <xf numFmtId="172" fontId="36" fillId="0" borderId="7" xfId="85" applyNumberFormat="1" applyFont="1" applyBorder="1" applyAlignment="1" applyProtection="1">
      <alignment horizontal="center"/>
    </xf>
    <xf numFmtId="168" fontId="36" fillId="0" borderId="7" xfId="85" applyFont="1" applyBorder="1" applyAlignment="1" applyProtection="1">
      <alignment horizontal="center"/>
    </xf>
    <xf numFmtId="168" fontId="52" fillId="0" borderId="0" xfId="85" applyFont="1" applyAlignment="1" applyProtection="1">
      <alignment horizontal="center"/>
    </xf>
    <xf numFmtId="172" fontId="36" fillId="0" borderId="0" xfId="85" applyNumberFormat="1" applyFont="1" applyAlignment="1" applyProtection="1">
      <alignment horizontal="center"/>
    </xf>
    <xf numFmtId="168" fontId="42" fillId="0" borderId="0" xfId="82" applyFont="1" applyProtection="1"/>
    <xf numFmtId="168" fontId="18" fillId="0" borderId="0" xfId="85" applyProtection="1"/>
    <xf numFmtId="0" fontId="26" fillId="0" borderId="0" xfId="88" applyFont="1" applyAlignment="1">
      <alignment horizontal="center"/>
    </xf>
    <xf numFmtId="0" fontId="7" fillId="0" borderId="0" xfId="84" applyFont="1" applyAlignment="1">
      <alignment horizontal="center"/>
    </xf>
    <xf numFmtId="172" fontId="7" fillId="0" borderId="1" xfId="84" applyNumberFormat="1" applyFont="1" applyBorder="1" applyAlignment="1">
      <alignment horizontal="center"/>
    </xf>
    <xf numFmtId="0" fontId="7" fillId="0" borderId="1" xfId="84" applyFont="1" applyBorder="1" applyAlignment="1">
      <alignment horizontal="center"/>
    </xf>
    <xf numFmtId="0" fontId="5" fillId="0" borderId="0" xfId="88" applyFont="1" applyAlignment="1">
      <alignment horizontal="center"/>
    </xf>
    <xf numFmtId="0" fontId="5" fillId="0" borderId="0" xfId="88" applyFont="1"/>
    <xf numFmtId="0" fontId="22" fillId="0" borderId="0" xfId="94" applyFont="1"/>
    <xf numFmtId="0" fontId="28" fillId="0" borderId="0" xfId="94" applyFont="1"/>
    <xf numFmtId="0" fontId="10" fillId="0" borderId="0" xfId="94" applyFont="1"/>
    <xf numFmtId="0" fontId="7" fillId="0" borderId="0" xfId="94" applyFont="1"/>
    <xf numFmtId="0" fontId="7" fillId="0" borderId="0" xfId="94" applyFont="1" applyAlignment="1">
      <alignment horizontal="center"/>
    </xf>
    <xf numFmtId="0" fontId="7" fillId="0" borderId="1" xfId="94" applyFont="1" applyBorder="1" applyAlignment="1">
      <alignment horizontal="center"/>
    </xf>
    <xf numFmtId="0" fontId="7" fillId="0" borderId="0" xfId="94" applyFont="1" applyAlignment="1">
      <alignment horizontal="left"/>
    </xf>
    <xf numFmtId="0" fontId="29" fillId="0" borderId="0" xfId="94" applyFont="1"/>
    <xf numFmtId="176" fontId="15" fillId="0" borderId="1" xfId="0" applyNumberFormat="1" applyFont="1" applyBorder="1" applyProtection="1">
      <protection locked="0"/>
    </xf>
    <xf numFmtId="176" fontId="15" fillId="0" borderId="4" xfId="0" applyNumberFormat="1" applyFont="1" applyBorder="1" applyProtection="1">
      <protection locked="0"/>
    </xf>
    <xf numFmtId="164" fontId="7" fillId="0" borderId="2" xfId="0" applyNumberFormat="1" applyFont="1" applyBorder="1" applyAlignment="1">
      <alignment horizontal="center"/>
    </xf>
    <xf numFmtId="0" fontId="0" fillId="0" borderId="0" xfId="0" applyProtection="1">
      <protection hidden="1"/>
    </xf>
    <xf numFmtId="0" fontId="5" fillId="0" borderId="0" xfId="107" applyFont="1"/>
    <xf numFmtId="0" fontId="7" fillId="0" borderId="0" xfId="89" applyFont="1"/>
    <xf numFmtId="49" fontId="8" fillId="0" borderId="0" xfId="0" applyNumberFormat="1" applyFont="1" applyAlignment="1">
      <alignment horizontal="left"/>
    </xf>
    <xf numFmtId="0" fontId="7" fillId="0" borderId="0" xfId="0" applyFont="1" applyAlignment="1">
      <alignment horizontal="left" indent="5"/>
    </xf>
    <xf numFmtId="49" fontId="30" fillId="0" borderId="0" xfId="0" applyNumberFormat="1" applyFont="1" applyAlignment="1">
      <alignment horizontal="left" indent="3"/>
    </xf>
    <xf numFmtId="49" fontId="8" fillId="0" borderId="0" xfId="0" applyNumberFormat="1" applyFont="1"/>
    <xf numFmtId="0" fontId="7" fillId="0" borderId="0" xfId="108" applyFont="1" applyAlignment="1">
      <alignment horizontal="centerContinuous"/>
    </xf>
    <xf numFmtId="0" fontId="7" fillId="0" borderId="0" xfId="108" applyFont="1"/>
    <xf numFmtId="0" fontId="89" fillId="0" borderId="0" xfId="107" applyFont="1" applyAlignment="1" applyProtection="1">
      <alignment vertical="top"/>
      <protection hidden="1"/>
    </xf>
    <xf numFmtId="0" fontId="38" fillId="0" borderId="0" xfId="95" applyFont="1"/>
    <xf numFmtId="43" fontId="0" fillId="0" borderId="0" xfId="0" applyNumberFormat="1"/>
    <xf numFmtId="0" fontId="7" fillId="0" borderId="0" xfId="110" applyFont="1" applyAlignment="1" applyProtection="1">
      <alignment horizontal="center"/>
      <protection hidden="1"/>
    </xf>
    <xf numFmtId="168" fontId="9" fillId="0" borderId="0" xfId="83" applyFont="1" applyProtection="1"/>
    <xf numFmtId="168" fontId="5" fillId="0" borderId="0" xfId="83" applyFont="1" applyProtection="1"/>
    <xf numFmtId="168" fontId="7" fillId="0" borderId="0" xfId="83" applyFont="1" applyProtection="1"/>
    <xf numFmtId="168" fontId="60" fillId="0" borderId="0" xfId="83" applyFont="1" applyProtection="1"/>
    <xf numFmtId="168" fontId="7" fillId="0" borderId="0" xfId="83" applyFont="1" applyAlignment="1" applyProtection="1">
      <alignment horizontal="right"/>
    </xf>
    <xf numFmtId="1" fontId="7" fillId="0" borderId="0" xfId="83" applyNumberFormat="1" applyFont="1" applyAlignment="1" applyProtection="1">
      <alignment horizontal="center"/>
    </xf>
    <xf numFmtId="168" fontId="7" fillId="0" borderId="0" xfId="83" applyFont="1" applyAlignment="1" applyProtection="1">
      <alignment horizontal="center"/>
    </xf>
    <xf numFmtId="168" fontId="36" fillId="0" borderId="0" xfId="83" applyFont="1" applyAlignment="1" applyProtection="1">
      <alignment horizontal="center"/>
    </xf>
    <xf numFmtId="168" fontId="36" fillId="0" borderId="21" xfId="83" applyFont="1" applyBorder="1" applyAlignment="1" applyProtection="1">
      <alignment horizontal="center"/>
    </xf>
    <xf numFmtId="168" fontId="36" fillId="0" borderId="8" xfId="83" applyFont="1" applyBorder="1" applyAlignment="1" applyProtection="1">
      <alignment horizontal="center"/>
    </xf>
    <xf numFmtId="168" fontId="36" fillId="0" borderId="9" xfId="83" applyFont="1" applyBorder="1" applyAlignment="1" applyProtection="1">
      <alignment horizontal="center"/>
    </xf>
    <xf numFmtId="168" fontId="36" fillId="0" borderId="5" xfId="83" applyFont="1" applyBorder="1" applyAlignment="1" applyProtection="1">
      <alignment horizontal="center"/>
    </xf>
    <xf numFmtId="168" fontId="36" fillId="0" borderId="10" xfId="83" applyFont="1" applyBorder="1" applyAlignment="1" applyProtection="1">
      <alignment horizontal="center"/>
    </xf>
    <xf numFmtId="168" fontId="36" fillId="0" borderId="11" xfId="83" applyFont="1" applyBorder="1" applyAlignment="1" applyProtection="1">
      <alignment horizontal="center"/>
    </xf>
    <xf numFmtId="168" fontId="36" fillId="0" borderId="6" xfId="83" applyFont="1" applyBorder="1" applyAlignment="1" applyProtection="1">
      <alignment horizontal="center"/>
    </xf>
    <xf numFmtId="168" fontId="36" fillId="0" borderId="7" xfId="83" applyFont="1" applyBorder="1" applyAlignment="1" applyProtection="1">
      <alignment horizontal="center"/>
    </xf>
    <xf numFmtId="168" fontId="58" fillId="0" borderId="0" xfId="83" applyFont="1" applyProtection="1"/>
    <xf numFmtId="168" fontId="18" fillId="0" borderId="0" xfId="83" applyProtection="1"/>
    <xf numFmtId="174" fontId="15" fillId="0" borderId="1" xfId="38" applyNumberFormat="1" applyFont="1" applyBorder="1" applyProtection="1">
      <protection locked="0"/>
    </xf>
    <xf numFmtId="174" fontId="15" fillId="0" borderId="4" xfId="38" applyNumberFormat="1" applyFont="1" applyBorder="1" applyProtection="1">
      <protection locked="0"/>
    </xf>
    <xf numFmtId="174" fontId="15" fillId="0" borderId="2" xfId="38" applyNumberFormat="1" applyFont="1" applyBorder="1" applyProtection="1">
      <protection locked="0"/>
    </xf>
    <xf numFmtId="174" fontId="15" fillId="0" borderId="18" xfId="38" applyNumberFormat="1" applyFont="1" applyBorder="1" applyProtection="1">
      <protection locked="0"/>
    </xf>
    <xf numFmtId="0" fontId="91" fillId="0" borderId="0" xfId="98" applyFont="1" applyAlignment="1" applyProtection="1">
      <alignment vertical="top"/>
      <protection hidden="1"/>
    </xf>
    <xf numFmtId="0" fontId="5" fillId="0" borderId="0" xfId="98" applyFont="1" applyProtection="1">
      <protection hidden="1"/>
    </xf>
    <xf numFmtId="0" fontId="15" fillId="0" borderId="0" xfId="98" applyProtection="1">
      <protection hidden="1"/>
    </xf>
    <xf numFmtId="176" fontId="18" fillId="0" borderId="1" xfId="38" applyNumberFormat="1" applyFont="1" applyBorder="1" applyProtection="1">
      <protection locked="0"/>
    </xf>
    <xf numFmtId="176" fontId="18" fillId="0" borderId="0" xfId="38" applyNumberFormat="1" applyFont="1" applyProtection="1">
      <protection locked="0"/>
    </xf>
    <xf numFmtId="0" fontId="18" fillId="0" borderId="1" xfId="0" applyFont="1" applyBorder="1" applyProtection="1">
      <protection locked="0"/>
    </xf>
    <xf numFmtId="49" fontId="18" fillId="0" borderId="0" xfId="0" applyNumberFormat="1" applyFont="1" applyAlignment="1" applyProtection="1">
      <alignment horizontal="center"/>
      <protection locked="0"/>
    </xf>
    <xf numFmtId="0" fontId="21" fillId="0" borderId="0" xfId="114" applyFont="1" applyAlignment="1">
      <alignment horizontal="center"/>
    </xf>
    <xf numFmtId="49" fontId="15" fillId="0" borderId="1" xfId="0" applyNumberFormat="1" applyFont="1" applyBorder="1" applyAlignment="1" applyProtection="1">
      <alignment horizontal="center"/>
      <protection locked="0"/>
    </xf>
    <xf numFmtId="176" fontId="15" fillId="0" borderId="1" xfId="38" applyNumberFormat="1" applyFont="1" applyBorder="1" applyProtection="1">
      <protection locked="0"/>
    </xf>
    <xf numFmtId="0" fontId="15" fillId="0" borderId="0" xfId="0" applyFont="1" applyAlignment="1">
      <alignment horizontal="left"/>
    </xf>
    <xf numFmtId="0" fontId="15" fillId="0" borderId="0" xfId="0" quotePrefix="1" applyFont="1" applyAlignment="1">
      <alignment horizontal="left"/>
    </xf>
    <xf numFmtId="0" fontId="15" fillId="0" borderId="0" xfId="0" quotePrefix="1" applyFont="1"/>
    <xf numFmtId="49" fontId="15" fillId="0" borderId="4" xfId="0" applyNumberFormat="1" applyFont="1" applyBorder="1" applyAlignment="1" applyProtection="1">
      <alignment horizontal="center"/>
      <protection locked="0"/>
    </xf>
    <xf numFmtId="0" fontId="21" fillId="0" borderId="0" xfId="114" applyFont="1"/>
    <xf numFmtId="0" fontId="5" fillId="0" borderId="0" xfId="114" applyFont="1" applyAlignment="1">
      <alignment horizontal="center"/>
    </xf>
    <xf numFmtId="0" fontId="5" fillId="0" borderId="0" xfId="114" applyFont="1" applyAlignment="1">
      <alignment shrinkToFit="1"/>
    </xf>
    <xf numFmtId="49" fontId="5" fillId="0" borderId="0" xfId="114" applyNumberFormat="1" applyFont="1" applyAlignment="1">
      <alignment horizontal="center"/>
    </xf>
    <xf numFmtId="49" fontId="5" fillId="0" borderId="1" xfId="114" applyNumberFormat="1" applyFont="1" applyBorder="1" applyAlignment="1">
      <alignment horizontal="center" shrinkToFit="1"/>
    </xf>
    <xf numFmtId="0" fontId="7" fillId="0" borderId="1" xfId="0" applyFont="1" applyBorder="1" applyAlignment="1">
      <alignment horizontal="center" wrapText="1"/>
    </xf>
    <xf numFmtId="49" fontId="5" fillId="0" borderId="1" xfId="114" applyNumberFormat="1" applyFont="1" applyBorder="1" applyAlignment="1">
      <alignment horizontal="center"/>
    </xf>
    <xf numFmtId="43" fontId="5" fillId="0" borderId="0" xfId="29" applyAlignment="1" applyProtection="1">
      <alignment horizontal="center"/>
      <protection locked="0"/>
    </xf>
    <xf numFmtId="43" fontId="5" fillId="0" borderId="1" xfId="29" applyBorder="1" applyAlignment="1" applyProtection="1">
      <alignment horizontal="center"/>
      <protection locked="0"/>
    </xf>
    <xf numFmtId="180" fontId="5" fillId="0" borderId="1" xfId="0" applyNumberFormat="1" applyFont="1" applyBorder="1" applyProtection="1">
      <protection locked="0"/>
    </xf>
    <xf numFmtId="180" fontId="86" fillId="0" borderId="0" xfId="126" applyNumberFormat="1" applyFont="1" applyAlignment="1">
      <alignment horizontal="center"/>
    </xf>
    <xf numFmtId="181" fontId="86" fillId="0" borderId="0" xfId="126" applyFont="1" applyAlignment="1">
      <alignment horizontal="center"/>
    </xf>
    <xf numFmtId="180" fontId="0" fillId="0" borderId="0" xfId="0" applyNumberFormat="1"/>
    <xf numFmtId="185" fontId="0" fillId="0" borderId="0" xfId="0" applyNumberFormat="1"/>
    <xf numFmtId="180" fontId="0" fillId="0" borderId="1" xfId="0" applyNumberFormat="1" applyBorder="1"/>
    <xf numFmtId="0" fontId="84" fillId="0" borderId="0" xfId="0" applyFont="1"/>
    <xf numFmtId="0" fontId="84" fillId="0" borderId="0" xfId="0" applyFont="1" applyAlignment="1">
      <alignment horizontal="center"/>
    </xf>
    <xf numFmtId="180" fontId="84" fillId="0" borderId="0" xfId="0" applyNumberFormat="1" applyFont="1"/>
    <xf numFmtId="185" fontId="0" fillId="0" borderId="0" xfId="0" applyNumberFormat="1" applyProtection="1">
      <protection locked="0"/>
    </xf>
    <xf numFmtId="180" fontId="0" fillId="0" borderId="0" xfId="0" applyNumberFormat="1" applyProtection="1">
      <protection locked="0"/>
    </xf>
    <xf numFmtId="180" fontId="0" fillId="0" borderId="1" xfId="0" applyNumberFormat="1" applyBorder="1" applyProtection="1">
      <protection locked="0"/>
    </xf>
    <xf numFmtId="180" fontId="0" fillId="0" borderId="4" xfId="0" applyNumberFormat="1" applyBorder="1"/>
    <xf numFmtId="180" fontId="0" fillId="0" borderId="8" xfId="0" applyNumberFormat="1" applyBorder="1"/>
    <xf numFmtId="0" fontId="14" fillId="0" borderId="0" xfId="0" applyFont="1"/>
    <xf numFmtId="0" fontId="25" fillId="0" borderId="0" xfId="0" applyFont="1"/>
    <xf numFmtId="0" fontId="7" fillId="0" borderId="0" xfId="95" applyFont="1"/>
    <xf numFmtId="179" fontId="15" fillId="0" borderId="1" xfId="0" applyNumberFormat="1" applyFont="1" applyBorder="1" applyProtection="1">
      <protection locked="0"/>
    </xf>
    <xf numFmtId="0" fontId="72" fillId="0" borderId="0" xfId="57" applyFont="1" applyAlignment="1">
      <alignment horizontal="center"/>
      <protection locked="0"/>
    </xf>
    <xf numFmtId="0" fontId="0" fillId="0" borderId="0" xfId="0" applyProtection="1">
      <protection locked="0"/>
    </xf>
    <xf numFmtId="0" fontId="21" fillId="0" borderId="0" xfId="114" applyFont="1" applyAlignment="1" applyProtection="1">
      <alignment horizontal="center"/>
      <protection locked="0"/>
    </xf>
    <xf numFmtId="0" fontId="21" fillId="0" borderId="0" xfId="114" applyFont="1" applyProtection="1">
      <protection locked="0"/>
    </xf>
    <xf numFmtId="0" fontId="5" fillId="0" borderId="0" xfId="114" applyFont="1" applyProtection="1">
      <protection locked="0"/>
    </xf>
    <xf numFmtId="0" fontId="5" fillId="0" borderId="0" xfId="114" applyFont="1" applyAlignment="1" applyProtection="1">
      <alignment horizontal="center"/>
      <protection locked="0"/>
    </xf>
    <xf numFmtId="0" fontId="15" fillId="0" borderId="0" xfId="103" applyFont="1" applyProtection="1">
      <protection locked="0"/>
    </xf>
    <xf numFmtId="0" fontId="5" fillId="0" borderId="0" xfId="114" applyFont="1" applyAlignment="1" applyProtection="1">
      <alignment shrinkToFit="1"/>
      <protection locked="0"/>
    </xf>
    <xf numFmtId="0" fontId="5" fillId="0" borderId="0" xfId="114" applyFont="1" applyAlignment="1" applyProtection="1">
      <alignment horizontal="center" shrinkToFit="1"/>
      <protection locked="0"/>
    </xf>
    <xf numFmtId="0" fontId="5" fillId="0" borderId="0" xfId="95" applyFont="1" applyProtection="1">
      <protection locked="0"/>
    </xf>
    <xf numFmtId="0" fontId="90" fillId="0" borderId="0" xfId="118" applyFont="1" applyAlignment="1">
      <alignment horizontal="left"/>
      <protection locked="0"/>
    </xf>
    <xf numFmtId="0" fontId="17" fillId="0" borderId="0" xfId="0" applyFont="1" applyAlignment="1" applyProtection="1">
      <alignment horizontal="left"/>
      <protection locked="0"/>
    </xf>
    <xf numFmtId="0" fontId="17" fillId="0" borderId="0" xfId="0" applyFont="1" applyProtection="1">
      <protection locked="0"/>
    </xf>
    <xf numFmtId="0" fontId="18" fillId="0" borderId="0" xfId="0" applyFont="1" applyProtection="1">
      <protection locked="0"/>
    </xf>
    <xf numFmtId="183" fontId="18" fillId="0" borderId="0" xfId="0" applyNumberFormat="1" applyFont="1" applyProtection="1">
      <protection locked="0"/>
    </xf>
    <xf numFmtId="0" fontId="67" fillId="0" borderId="0" xfId="118" applyFont="1" applyAlignment="1">
      <alignment horizontal="left"/>
      <protection locked="0"/>
    </xf>
    <xf numFmtId="0" fontId="18" fillId="0" borderId="0" xfId="118">
      <protection locked="0"/>
    </xf>
    <xf numFmtId="187" fontId="18" fillId="0" borderId="0" xfId="118" applyNumberFormat="1">
      <protection locked="0"/>
    </xf>
    <xf numFmtId="180" fontId="7" fillId="0" borderId="0" xfId="0" applyNumberFormat="1" applyFont="1" applyAlignment="1" applyProtection="1">
      <alignment horizontal="center"/>
      <protection locked="0"/>
    </xf>
    <xf numFmtId="0" fontId="90" fillId="0" borderId="0" xfId="0" applyFont="1" applyProtection="1">
      <protection locked="0"/>
    </xf>
    <xf numFmtId="15" fontId="0" fillId="0" borderId="0" xfId="0" quotePrefix="1" applyNumberFormat="1" applyProtection="1">
      <protection locked="0"/>
    </xf>
    <xf numFmtId="173" fontId="17" fillId="0" borderId="0" xfId="0" applyNumberFormat="1" applyFont="1" applyProtection="1">
      <protection locked="0"/>
    </xf>
    <xf numFmtId="165" fontId="17" fillId="0" borderId="0" xfId="0" applyNumberFormat="1" applyFont="1" applyProtection="1">
      <protection locked="0"/>
    </xf>
    <xf numFmtId="180" fontId="5" fillId="0" borderId="4" xfId="0" applyNumberFormat="1" applyFont="1" applyBorder="1"/>
    <xf numFmtId="185" fontId="5" fillId="0" borderId="3" xfId="0" applyNumberFormat="1" applyFont="1" applyBorder="1"/>
    <xf numFmtId="180" fontId="5" fillId="0" borderId="3" xfId="0" applyNumberFormat="1" applyFont="1" applyBorder="1"/>
    <xf numFmtId="0" fontId="49" fillId="0" borderId="0" xfId="0" applyFont="1" applyProtection="1">
      <protection hidden="1"/>
    </xf>
    <xf numFmtId="0" fontId="26" fillId="0" borderId="0" xfId="95" applyFont="1" applyAlignment="1">
      <alignment horizontal="centerContinuous"/>
    </xf>
    <xf numFmtId="0" fontId="26" fillId="0" borderId="0" xfId="95" applyFont="1"/>
    <xf numFmtId="0" fontId="27" fillId="0" borderId="0" xfId="95" applyFont="1" applyAlignment="1">
      <alignment horizontal="centerContinuous"/>
    </xf>
    <xf numFmtId="0" fontId="27" fillId="0" borderId="0" xfId="95" applyFont="1"/>
    <xf numFmtId="0" fontId="42" fillId="0" borderId="0" xfId="95" applyFont="1"/>
    <xf numFmtId="0" fontId="16" fillId="0" borderId="0" xfId="95" applyFont="1" applyAlignment="1">
      <alignment horizontal="center"/>
    </xf>
    <xf numFmtId="0" fontId="7" fillId="0" borderId="15" xfId="95" applyFont="1" applyBorder="1" applyAlignment="1">
      <alignment horizontal="center" wrapText="1"/>
    </xf>
    <xf numFmtId="0" fontId="15" fillId="0" borderId="0" xfId="95"/>
    <xf numFmtId="0" fontId="18" fillId="0" borderId="0" xfId="95" applyFont="1"/>
    <xf numFmtId="0" fontId="9" fillId="0" borderId="4" xfId="89" applyFont="1" applyBorder="1" applyAlignment="1" applyProtection="1">
      <alignment horizontal="center"/>
      <protection locked="0"/>
    </xf>
    <xf numFmtId="176" fontId="37" fillId="0" borderId="0" xfId="81" applyNumberFormat="1" applyFont="1" applyProtection="1">
      <protection locked="0"/>
    </xf>
    <xf numFmtId="0" fontId="9" fillId="0" borderId="0" xfId="89" applyFont="1"/>
    <xf numFmtId="0" fontId="6" fillId="0" borderId="1" xfId="89" applyFont="1" applyBorder="1"/>
    <xf numFmtId="0" fontId="30" fillId="0" borderId="0" xfId="0" applyFont="1" applyAlignment="1">
      <alignment horizontal="left" vertical="top"/>
    </xf>
    <xf numFmtId="179" fontId="0" fillId="0" borderId="0" xfId="0" applyNumberFormat="1"/>
    <xf numFmtId="9" fontId="0" fillId="0" borderId="0" xfId="130" applyFont="1"/>
    <xf numFmtId="10" fontId="0" fillId="0" borderId="0" xfId="130" applyNumberFormat="1" applyFont="1"/>
    <xf numFmtId="0" fontId="7" fillId="0" borderId="0" xfId="88" applyFont="1"/>
    <xf numFmtId="0" fontId="92" fillId="0" borderId="0" xfId="0" applyFont="1"/>
    <xf numFmtId="49" fontId="15" fillId="0" borderId="0" xfId="0" applyNumberFormat="1" applyFont="1" applyAlignment="1" applyProtection="1">
      <alignment horizontal="center"/>
      <protection locked="0"/>
    </xf>
    <xf numFmtId="0" fontId="42" fillId="0" borderId="0" xfId="0" applyFont="1"/>
    <xf numFmtId="0" fontId="71" fillId="0" borderId="0" xfId="0" applyFont="1"/>
    <xf numFmtId="0" fontId="30" fillId="0" borderId="0" xfId="88" applyFont="1"/>
    <xf numFmtId="168" fontId="7" fillId="0" borderId="0" xfId="82" applyFont="1" applyAlignment="1" applyProtection="1">
      <alignment horizontal="centerContinuous"/>
    </xf>
    <xf numFmtId="0" fontId="93" fillId="0" borderId="0" xfId="0" applyFont="1" applyAlignment="1" applyProtection="1">
      <alignment horizontal="left" wrapText="1"/>
      <protection hidden="1"/>
    </xf>
    <xf numFmtId="0" fontId="93" fillId="0" borderId="0" xfId="0" applyFont="1" applyAlignment="1" applyProtection="1">
      <alignment wrapText="1"/>
      <protection hidden="1"/>
    </xf>
    <xf numFmtId="0" fontId="5" fillId="0" borderId="0" xfId="85" applyNumberFormat="1" applyFont="1" applyAlignment="1">
      <alignment horizontal="center"/>
      <protection locked="0"/>
    </xf>
    <xf numFmtId="0" fontId="29" fillId="0" borderId="0" xfId="101" applyFont="1" applyAlignment="1">
      <alignment horizontal="center"/>
    </xf>
    <xf numFmtId="0" fontId="11" fillId="0" borderId="0" xfId="0" applyFont="1" applyAlignment="1">
      <alignment horizontal="center"/>
    </xf>
    <xf numFmtId="0" fontId="11" fillId="0" borderId="0" xfId="0" applyFont="1"/>
    <xf numFmtId="0" fontId="11" fillId="0" borderId="15" xfId="0" quotePrefix="1" applyFont="1" applyBorder="1"/>
    <xf numFmtId="0" fontId="11" fillId="0" borderId="15" xfId="0" quotePrefix="1" applyFont="1" applyBorder="1" applyAlignment="1">
      <alignment horizontal="center"/>
    </xf>
    <xf numFmtId="0" fontId="56" fillId="0" borderId="15" xfId="0" applyFont="1" applyBorder="1"/>
    <xf numFmtId="0" fontId="56" fillId="0" borderId="15" xfId="0" applyFont="1" applyBorder="1" applyAlignment="1">
      <alignment horizontal="center" wrapText="1"/>
    </xf>
    <xf numFmtId="164" fontId="5" fillId="0" borderId="0" xfId="106" applyNumberFormat="1" applyFont="1" applyAlignment="1">
      <alignment horizontal="right"/>
    </xf>
    <xf numFmtId="0" fontId="5" fillId="0" borderId="0" xfId="101" applyFont="1" applyAlignment="1">
      <alignment horizontal="left"/>
    </xf>
    <xf numFmtId="0" fontId="29" fillId="0" borderId="0" xfId="101" applyFont="1" applyAlignment="1">
      <alignment horizontal="left"/>
    </xf>
    <xf numFmtId="0" fontId="37" fillId="0" borderId="0" xfId="81" applyFont="1" applyAlignment="1" applyProtection="1">
      <alignment horizontal="center"/>
      <protection locked="0"/>
    </xf>
    <xf numFmtId="0" fontId="9" fillId="0" borderId="0" xfId="88" applyFont="1" applyProtection="1">
      <protection hidden="1"/>
    </xf>
    <xf numFmtId="0" fontId="45" fillId="0" borderId="0" xfId="81" applyFont="1" applyAlignment="1">
      <alignment horizontal="left"/>
    </xf>
    <xf numFmtId="188" fontId="7" fillId="0" borderId="1" xfId="0" applyNumberFormat="1" applyFont="1" applyBorder="1" applyAlignment="1">
      <alignment horizontal="center"/>
    </xf>
    <xf numFmtId="180" fontId="5" fillId="0" borderId="0" xfId="114" applyNumberFormat="1" applyFont="1" applyAlignment="1">
      <alignment horizontal="right"/>
    </xf>
    <xf numFmtId="180" fontId="5" fillId="0" borderId="0" xfId="114" applyNumberFormat="1" applyFont="1" applyAlignment="1">
      <alignment horizontal="right" shrinkToFit="1"/>
    </xf>
    <xf numFmtId="180" fontId="5" fillId="0" borderId="0" xfId="114" applyNumberFormat="1" applyFont="1"/>
    <xf numFmtId="1" fontId="0" fillId="0" borderId="0" xfId="0" applyNumberFormat="1" applyAlignment="1">
      <alignment horizontal="center"/>
    </xf>
    <xf numFmtId="1" fontId="7" fillId="0" borderId="0" xfId="0" applyNumberFormat="1" applyFont="1" applyAlignment="1">
      <alignment horizontal="center"/>
    </xf>
    <xf numFmtId="185" fontId="0" fillId="0" borderId="3" xfId="0" applyNumberFormat="1" applyBorder="1"/>
    <xf numFmtId="180" fontId="98" fillId="0" borderId="0" xfId="0" applyNumberFormat="1" applyFont="1" applyAlignment="1">
      <alignment horizontal="center"/>
    </xf>
    <xf numFmtId="0" fontId="5" fillId="0" borderId="0" xfId="114" applyFont="1" applyAlignment="1">
      <alignment horizontal="right"/>
    </xf>
    <xf numFmtId="0" fontId="14" fillId="0" borderId="0" xfId="0" applyFont="1" applyAlignment="1">
      <alignment horizontal="left"/>
    </xf>
    <xf numFmtId="180" fontId="84" fillId="0" borderId="0" xfId="124" applyNumberFormat="1" applyFont="1" applyBorder="1" applyProtection="1"/>
    <xf numFmtId="0" fontId="99" fillId="0" borderId="0" xfId="88" applyFont="1" applyProtection="1">
      <protection hidden="1"/>
    </xf>
    <xf numFmtId="0" fontId="5" fillId="0" borderId="0" xfId="114" applyFont="1" applyAlignment="1" applyProtection="1">
      <alignment horizontal="right"/>
      <protection locked="0"/>
    </xf>
    <xf numFmtId="0" fontId="100" fillId="0" borderId="0" xfId="0" applyFont="1" applyProtection="1">
      <protection hidden="1"/>
    </xf>
    <xf numFmtId="0" fontId="8" fillId="0" borderId="0" xfId="94" applyFont="1"/>
    <xf numFmtId="0" fontId="72" fillId="0" borderId="0" xfId="57" applyFont="1" applyAlignment="1" applyProtection="1"/>
    <xf numFmtId="0" fontId="157" fillId="0" borderId="0" xfId="0" applyFont="1"/>
    <xf numFmtId="0" fontId="158" fillId="0" borderId="0" xfId="0" applyFont="1"/>
    <xf numFmtId="0" fontId="159" fillId="0" borderId="0" xfId="0" applyFont="1" applyAlignment="1">
      <alignment horizontal="left"/>
    </xf>
    <xf numFmtId="0" fontId="42" fillId="0" borderId="0" xfId="89" applyFont="1"/>
    <xf numFmtId="0" fontId="15" fillId="0" borderId="0" xfId="89"/>
    <xf numFmtId="0" fontId="33" fillId="0" borderId="0" xfId="89" quotePrefix="1" applyFont="1" applyAlignment="1">
      <alignment horizontal="center"/>
    </xf>
    <xf numFmtId="0" fontId="6" fillId="0" borderId="0" xfId="88" applyFont="1" applyProtection="1">
      <protection hidden="1"/>
    </xf>
    <xf numFmtId="0" fontId="32" fillId="0" borderId="0" xfId="94" applyFont="1"/>
    <xf numFmtId="0" fontId="30" fillId="0" borderId="2" xfId="0" applyFont="1" applyBorder="1"/>
    <xf numFmtId="0" fontId="0" fillId="0" borderId="2" xfId="0" applyBorder="1"/>
    <xf numFmtId="0" fontId="102" fillId="0" borderId="0" xfId="0" applyFont="1"/>
    <xf numFmtId="0" fontId="13" fillId="0" borderId="0" xfId="0" applyFont="1" applyProtection="1">
      <protection hidden="1"/>
    </xf>
    <xf numFmtId="185" fontId="5" fillId="0" borderId="0" xfId="40" applyNumberFormat="1"/>
    <xf numFmtId="180" fontId="5" fillId="0" borderId="1" xfId="0" applyNumberFormat="1" applyFont="1" applyBorder="1"/>
    <xf numFmtId="0" fontId="107" fillId="0" borderId="0" xfId="116" applyFont="1" applyProtection="1">
      <protection locked="0"/>
    </xf>
    <xf numFmtId="0" fontId="105" fillId="0" borderId="0" xfId="116" applyProtection="1">
      <protection locked="0"/>
    </xf>
    <xf numFmtId="0" fontId="105" fillId="0" borderId="2" xfId="116" applyBorder="1" applyAlignment="1" applyProtection="1">
      <alignment horizontal="centerContinuous"/>
      <protection locked="0"/>
    </xf>
    <xf numFmtId="176" fontId="105" fillId="0" borderId="1" xfId="116" applyNumberFormat="1" applyBorder="1" applyProtection="1">
      <protection locked="0"/>
    </xf>
    <xf numFmtId="0" fontId="105" fillId="0" borderId="1" xfId="116" applyBorder="1" applyAlignment="1" applyProtection="1">
      <alignment horizontal="center"/>
      <protection locked="0"/>
    </xf>
    <xf numFmtId="0" fontId="105" fillId="0" borderId="1" xfId="116" applyBorder="1" applyProtection="1">
      <protection locked="0"/>
    </xf>
    <xf numFmtId="0" fontId="105" fillId="0" borderId="0" xfId="116"/>
    <xf numFmtId="0" fontId="105" fillId="0" borderId="2" xfId="116" applyBorder="1" applyProtection="1">
      <protection locked="0"/>
    </xf>
    <xf numFmtId="39" fontId="0" fillId="0" borderId="1" xfId="0" applyNumberFormat="1" applyBorder="1" applyProtection="1">
      <protection locked="0"/>
    </xf>
    <xf numFmtId="168" fontId="97" fillId="0" borderId="0" xfId="0" applyNumberFormat="1" applyFont="1"/>
    <xf numFmtId="0" fontId="70" fillId="0" borderId="0" xfId="81" applyFont="1"/>
    <xf numFmtId="0" fontId="212" fillId="0" borderId="0" xfId="69"/>
    <xf numFmtId="0" fontId="8" fillId="0" borderId="0" xfId="69" applyFont="1"/>
    <xf numFmtId="0" fontId="15" fillId="0" borderId="0" xfId="69" applyFont="1" applyAlignment="1">
      <alignment horizontal="left"/>
    </xf>
    <xf numFmtId="0" fontId="14" fillId="0" borderId="1" xfId="88" applyFont="1" applyBorder="1" applyAlignment="1">
      <alignment horizontal="center"/>
    </xf>
    <xf numFmtId="176" fontId="15" fillId="0" borderId="0" xfId="84" applyNumberFormat="1" applyFont="1" applyAlignment="1">
      <alignment horizontal="center"/>
    </xf>
    <xf numFmtId="176" fontId="15" fillId="0" borderId="0" xfId="84" applyNumberFormat="1" applyFont="1"/>
    <xf numFmtId="176" fontId="15" fillId="0" borderId="1" xfId="84" applyNumberFormat="1" applyFont="1" applyBorder="1" applyProtection="1">
      <protection locked="0"/>
    </xf>
    <xf numFmtId="176" fontId="15" fillId="0" borderId="1" xfId="84" applyNumberFormat="1" applyFont="1" applyBorder="1"/>
    <xf numFmtId="176" fontId="15" fillId="0" borderId="4" xfId="84" applyNumberFormat="1" applyFont="1" applyBorder="1" applyProtection="1">
      <protection locked="0"/>
    </xf>
    <xf numFmtId="176" fontId="15" fillId="0" borderId="0" xfId="84" applyNumberFormat="1" applyFont="1" applyProtection="1">
      <protection locked="0"/>
    </xf>
    <xf numFmtId="0" fontId="42" fillId="0" borderId="0" xfId="69" applyFont="1"/>
    <xf numFmtId="0" fontId="15" fillId="0" borderId="0" xfId="69" applyFont="1"/>
    <xf numFmtId="0" fontId="15" fillId="0" borderId="0" xfId="88"/>
    <xf numFmtId="0" fontId="15" fillId="0" borderId="0" xfId="88" applyAlignment="1">
      <alignment horizontal="right"/>
    </xf>
    <xf numFmtId="0" fontId="15" fillId="0" borderId="1" xfId="69" applyFont="1" applyBorder="1" applyAlignment="1" applyProtection="1">
      <alignment horizontal="center"/>
      <protection locked="0"/>
    </xf>
    <xf numFmtId="0" fontId="15" fillId="0" borderId="0" xfId="84" applyFont="1"/>
    <xf numFmtId="176" fontId="15" fillId="0" borderId="4" xfId="84" applyNumberFormat="1" applyFont="1" applyBorder="1"/>
    <xf numFmtId="0" fontId="110" fillId="0" borderId="0" xfId="0" applyFont="1"/>
    <xf numFmtId="164" fontId="71" fillId="0" borderId="0" xfId="115" applyNumberFormat="1" applyFont="1" applyAlignment="1">
      <alignment horizontal="center"/>
    </xf>
    <xf numFmtId="0" fontId="7" fillId="0" borderId="0" xfId="115" applyFont="1" applyAlignment="1">
      <alignment horizontal="right"/>
    </xf>
    <xf numFmtId="164" fontId="112" fillId="0" borderId="0" xfId="115" applyNumberFormat="1" applyFont="1" applyAlignment="1">
      <alignment horizontal="center"/>
    </xf>
    <xf numFmtId="164" fontId="25" fillId="0" borderId="0" xfId="115" applyNumberFormat="1" applyFont="1" applyAlignment="1">
      <alignment horizontal="left"/>
    </xf>
    <xf numFmtId="0" fontId="7" fillId="0" borderId="0" xfId="88" applyFont="1" applyProtection="1">
      <protection locked="0"/>
    </xf>
    <xf numFmtId="0" fontId="66" fillId="0" borderId="0" xfId="0" applyFont="1" applyAlignment="1">
      <alignment horizontal="left"/>
    </xf>
    <xf numFmtId="0" fontId="6" fillId="0" borderId="0" xfId="81" applyFont="1"/>
    <xf numFmtId="0" fontId="7" fillId="0" borderId="0" xfId="0" applyFont="1" applyAlignment="1" applyProtection="1">
      <alignment horizontal="center"/>
      <protection locked="0"/>
    </xf>
    <xf numFmtId="0" fontId="33" fillId="0" borderId="0" xfId="0" applyFont="1" applyAlignment="1">
      <alignment horizontal="left"/>
    </xf>
    <xf numFmtId="0" fontId="6" fillId="0" borderId="0" xfId="115" applyFont="1"/>
    <xf numFmtId="168" fontId="114" fillId="0" borderId="0" xfId="82" applyFont="1" applyProtection="1"/>
    <xf numFmtId="168" fontId="36" fillId="0" borderId="0" xfId="82" applyFont="1" applyProtection="1"/>
    <xf numFmtId="169" fontId="36" fillId="0" borderId="0" xfId="82" applyNumberFormat="1" applyFont="1" applyProtection="1"/>
    <xf numFmtId="0" fontId="38" fillId="0" borderId="0" xfId="88" applyFont="1"/>
    <xf numFmtId="0" fontId="9" fillId="0" borderId="0" xfId="88" applyFont="1" applyProtection="1">
      <protection locked="0"/>
    </xf>
    <xf numFmtId="168" fontId="9" fillId="0" borderId="0" xfId="85" applyFont="1" applyProtection="1"/>
    <xf numFmtId="168" fontId="21" fillId="0" borderId="0" xfId="85" applyFont="1" applyAlignment="1" applyProtection="1">
      <alignment horizontal="centerContinuous"/>
    </xf>
    <xf numFmtId="168" fontId="9" fillId="0" borderId="0" xfId="85" applyFont="1" applyAlignment="1" applyProtection="1">
      <alignment horizontal="centerContinuous"/>
    </xf>
    <xf numFmtId="168" fontId="114" fillId="0" borderId="0" xfId="85" applyFont="1" applyProtection="1"/>
    <xf numFmtId="168" fontId="46" fillId="0" borderId="0" xfId="57" applyNumberFormat="1" applyAlignment="1" applyProtection="1"/>
    <xf numFmtId="0" fontId="162" fillId="0" borderId="0" xfId="0" applyFont="1"/>
    <xf numFmtId="0" fontId="163" fillId="0" borderId="0" xfId="0" applyFont="1"/>
    <xf numFmtId="168" fontId="42" fillId="0" borderId="0" xfId="85" applyFont="1" applyProtection="1"/>
    <xf numFmtId="0" fontId="115" fillId="0" borderId="0" xfId="88" applyFont="1" applyProtection="1">
      <protection hidden="1"/>
    </xf>
    <xf numFmtId="0" fontId="42" fillId="0" borderId="0" xfId="88" applyFont="1" applyProtection="1">
      <protection hidden="1"/>
    </xf>
    <xf numFmtId="0" fontId="30" fillId="0" borderId="0" xfId="90" applyFont="1" applyAlignment="1">
      <alignment horizontal="right"/>
    </xf>
    <xf numFmtId="0" fontId="14" fillId="0" borderId="0" xfId="115" applyFont="1" applyAlignment="1">
      <alignment horizontal="center"/>
    </xf>
    <xf numFmtId="168" fontId="15" fillId="0" borderId="0" xfId="85" applyFont="1" applyProtection="1"/>
    <xf numFmtId="0" fontId="11" fillId="0" borderId="0" xfId="115" applyAlignment="1" applyProtection="1">
      <alignment horizontal="center"/>
      <protection locked="0"/>
    </xf>
    <xf numFmtId="0" fontId="15" fillId="0" borderId="1" xfId="99" applyFont="1" applyBorder="1" applyAlignment="1" applyProtection="1">
      <alignment horizontal="center"/>
      <protection locked="0"/>
    </xf>
    <xf numFmtId="0" fontId="15" fillId="0" borderId="0" xfId="115" applyFont="1"/>
    <xf numFmtId="0" fontId="15" fillId="0" borderId="0" xfId="89" applyAlignment="1">
      <alignment horizontal="center"/>
    </xf>
    <xf numFmtId="0" fontId="164" fillId="0" borderId="0" xfId="0" applyFont="1" applyAlignment="1">
      <alignment horizontal="left"/>
    </xf>
    <xf numFmtId="49" fontId="42" fillId="0" borderId="4" xfId="89" applyNumberFormat="1" applyFont="1" applyBorder="1" applyAlignment="1" applyProtection="1">
      <alignment horizontal="center"/>
      <protection locked="0"/>
    </xf>
    <xf numFmtId="49" fontId="42" fillId="0" borderId="1" xfId="89" applyNumberFormat="1" applyFont="1" applyBorder="1" applyAlignment="1" applyProtection="1">
      <alignment horizontal="center"/>
      <protection locked="0"/>
    </xf>
    <xf numFmtId="49" fontId="165" fillId="0" borderId="1" xfId="0" applyNumberFormat="1" applyFont="1" applyBorder="1" applyAlignment="1" applyProtection="1">
      <alignment horizontal="center"/>
      <protection locked="0"/>
    </xf>
    <xf numFmtId="49" fontId="165" fillId="0" borderId="4" xfId="0" applyNumberFormat="1" applyFont="1" applyBorder="1" applyAlignment="1" applyProtection="1">
      <alignment horizontal="center"/>
      <protection locked="0"/>
    </xf>
    <xf numFmtId="49" fontId="33" fillId="0" borderId="1" xfId="84" applyNumberFormat="1" applyFont="1" applyBorder="1" applyAlignment="1" applyProtection="1">
      <alignment horizontal="center"/>
      <protection locked="0"/>
    </xf>
    <xf numFmtId="49" fontId="33" fillId="0" borderId="4" xfId="84" applyNumberFormat="1" applyFont="1" applyBorder="1" applyAlignment="1" applyProtection="1">
      <alignment horizontal="center"/>
      <protection locked="0"/>
    </xf>
    <xf numFmtId="0" fontId="42" fillId="0" borderId="0" xfId="89" applyFont="1" applyAlignment="1">
      <alignment horizontal="left"/>
    </xf>
    <xf numFmtId="49" fontId="33" fillId="0" borderId="0" xfId="84" applyNumberFormat="1" applyFont="1" applyAlignment="1" applyProtection="1">
      <alignment horizontal="center"/>
      <protection locked="0"/>
    </xf>
    <xf numFmtId="49" fontId="15" fillId="0" borderId="0" xfId="89" applyNumberFormat="1"/>
    <xf numFmtId="49" fontId="42" fillId="0" borderId="0" xfId="89" applyNumberFormat="1" applyFont="1"/>
    <xf numFmtId="0" fontId="15" fillId="0" borderId="0" xfId="89" quotePrefix="1"/>
    <xf numFmtId="0" fontId="160" fillId="0" borderId="0" xfId="0" applyFont="1" applyAlignment="1">
      <alignment horizontal="center"/>
    </xf>
    <xf numFmtId="189" fontId="15" fillId="0" borderId="1" xfId="89" applyNumberFormat="1" applyBorder="1" applyAlignment="1" applyProtection="1">
      <alignment horizontal="right"/>
      <protection locked="0"/>
    </xf>
    <xf numFmtId="189" fontId="15" fillId="0" borderId="4" xfId="89" applyNumberFormat="1" applyBorder="1" applyAlignment="1" applyProtection="1">
      <alignment horizontal="right"/>
      <protection locked="0"/>
    </xf>
    <xf numFmtId="0" fontId="69" fillId="0" borderId="0" xfId="0" applyFont="1" applyProtection="1">
      <protection hidden="1"/>
    </xf>
    <xf numFmtId="49" fontId="15" fillId="0" borderId="4" xfId="89" applyNumberFormat="1" applyBorder="1" applyAlignment="1" applyProtection="1">
      <alignment horizontal="center"/>
      <protection locked="0"/>
    </xf>
    <xf numFmtId="0" fontId="33" fillId="0" borderId="1" xfId="89" applyFont="1" applyBorder="1" applyAlignment="1" applyProtection="1">
      <alignment horizontal="center"/>
      <protection locked="0"/>
    </xf>
    <xf numFmtId="0" fontId="33" fillId="0" borderId="4" xfId="89" applyFont="1" applyBorder="1" applyAlignment="1" applyProtection="1">
      <alignment horizontal="center"/>
      <protection locked="0"/>
    </xf>
    <xf numFmtId="0" fontId="164" fillId="0" borderId="0" xfId="0" applyFont="1" applyAlignment="1" applyProtection="1">
      <alignment horizontal="left"/>
      <protection locked="0"/>
    </xf>
    <xf numFmtId="0" fontId="166" fillId="0" borderId="0" xfId="0" applyFont="1"/>
    <xf numFmtId="1" fontId="8" fillId="0" borderId="0" xfId="0" applyNumberFormat="1" applyFont="1" applyAlignment="1">
      <alignment horizontal="center"/>
    </xf>
    <xf numFmtId="0" fontId="7" fillId="0" borderId="0" xfId="91" applyFont="1"/>
    <xf numFmtId="0" fontId="212" fillId="0" borderId="0" xfId="69" applyAlignment="1">
      <alignment vertical="top" wrapText="1"/>
    </xf>
    <xf numFmtId="0" fontId="65" fillId="0" borderId="5" xfId="91" applyFont="1" applyBorder="1" applyAlignment="1">
      <alignment horizontal="center"/>
    </xf>
    <xf numFmtId="0" fontId="65" fillId="0" borderId="9" xfId="91" applyFont="1" applyBorder="1" applyAlignment="1">
      <alignment horizontal="center"/>
    </xf>
    <xf numFmtId="0" fontId="33" fillId="0" borderId="0" xfId="91" applyFont="1"/>
    <xf numFmtId="0" fontId="63" fillId="0" borderId="0" xfId="91" applyFont="1" applyAlignment="1">
      <alignment horizontal="centerContinuous"/>
    </xf>
    <xf numFmtId="0" fontId="88" fillId="0" borderId="0" xfId="69" applyFont="1" applyAlignment="1" applyProtection="1">
      <alignment horizontal="center"/>
      <protection hidden="1"/>
    </xf>
    <xf numFmtId="0" fontId="65" fillId="0" borderId="0" xfId="91" applyFont="1" applyAlignment="1">
      <alignment horizontal="center"/>
    </xf>
    <xf numFmtId="0" fontId="161" fillId="0" borderId="0" xfId="69" applyFont="1"/>
    <xf numFmtId="0" fontId="212" fillId="0" borderId="0" xfId="69" applyAlignment="1">
      <alignment vertical="top"/>
    </xf>
    <xf numFmtId="0" fontId="7" fillId="0" borderId="0" xfId="69" applyFont="1" applyAlignment="1">
      <alignment horizontal="center"/>
    </xf>
    <xf numFmtId="170" fontId="94" fillId="6" borderId="0" xfId="91" applyNumberFormat="1" applyFont="1" applyFill="1"/>
    <xf numFmtId="0" fontId="0" fillId="7" borderId="27" xfId="0" applyFill="1" applyBorder="1"/>
    <xf numFmtId="180" fontId="0" fillId="7" borderId="27" xfId="0" applyNumberFormat="1" applyFill="1" applyBorder="1"/>
    <xf numFmtId="0" fontId="0" fillId="7" borderId="28" xfId="0" applyFill="1" applyBorder="1"/>
    <xf numFmtId="0" fontId="0" fillId="7" borderId="29" xfId="0" applyFill="1" applyBorder="1"/>
    <xf numFmtId="0" fontId="0" fillId="7" borderId="0" xfId="0" applyFill="1"/>
    <xf numFmtId="180" fontId="0" fillId="7" borderId="0" xfId="0" applyNumberFormat="1" applyFill="1"/>
    <xf numFmtId="0" fontId="0" fillId="7" borderId="30" xfId="0" applyFill="1" applyBorder="1"/>
    <xf numFmtId="180" fontId="0" fillId="7" borderId="30" xfId="0" applyNumberFormat="1" applyFill="1" applyBorder="1"/>
    <xf numFmtId="0" fontId="0" fillId="7" borderId="31" xfId="0" applyFill="1" applyBorder="1"/>
    <xf numFmtId="0" fontId="0" fillId="7" borderId="2" xfId="0" applyFill="1" applyBorder="1"/>
    <xf numFmtId="180" fontId="0" fillId="7" borderId="2" xfId="0" applyNumberFormat="1" applyFill="1" applyBorder="1"/>
    <xf numFmtId="0" fontId="0" fillId="7" borderId="32" xfId="0" applyFill="1" applyBorder="1"/>
    <xf numFmtId="168" fontId="42" fillId="0" borderId="0" xfId="85" applyFont="1">
      <protection locked="0"/>
    </xf>
    <xf numFmtId="0" fontId="116" fillId="0" borderId="0" xfId="82" applyNumberFormat="1" applyFont="1" applyProtection="1"/>
    <xf numFmtId="180" fontId="167" fillId="8" borderId="0" xfId="0" applyNumberFormat="1" applyFont="1" applyFill="1"/>
    <xf numFmtId="0" fontId="65" fillId="0" borderId="0" xfId="74" applyFont="1"/>
    <xf numFmtId="0" fontId="65" fillId="7" borderId="0" xfId="74" applyFont="1" applyFill="1" applyAlignment="1">
      <alignment wrapText="1"/>
    </xf>
    <xf numFmtId="0" fontId="65" fillId="0" borderId="0" xfId="74" applyFont="1" applyAlignment="1">
      <alignment wrapText="1"/>
    </xf>
    <xf numFmtId="0" fontId="10" fillId="0" borderId="0" xfId="74"/>
    <xf numFmtId="49" fontId="13" fillId="0" borderId="0" xfId="74" applyNumberFormat="1" applyFont="1" applyAlignment="1" applyProtection="1">
      <alignment horizontal="center"/>
      <protection hidden="1"/>
    </xf>
    <xf numFmtId="0" fontId="69" fillId="0" borderId="0" xfId="74" applyFont="1" applyProtection="1">
      <protection hidden="1"/>
    </xf>
    <xf numFmtId="39" fontId="13" fillId="0" borderId="0" xfId="74" applyNumberFormat="1" applyFont="1" applyProtection="1">
      <protection hidden="1"/>
    </xf>
    <xf numFmtId="0" fontId="13" fillId="0" borderId="0" xfId="74" applyFont="1" applyProtection="1">
      <protection hidden="1"/>
    </xf>
    <xf numFmtId="0" fontId="13" fillId="0" borderId="0" xfId="74" applyFont="1" applyAlignment="1" applyProtection="1">
      <alignment horizontal="left"/>
      <protection hidden="1"/>
    </xf>
    <xf numFmtId="39" fontId="10" fillId="0" borderId="0" xfId="74" applyNumberFormat="1"/>
    <xf numFmtId="49" fontId="167" fillId="8" borderId="0" xfId="0" applyNumberFormat="1" applyFont="1" applyFill="1"/>
    <xf numFmtId="180" fontId="167" fillId="8" borderId="1" xfId="0" applyNumberFormat="1" applyFont="1" applyFill="1" applyBorder="1"/>
    <xf numFmtId="39" fontId="13" fillId="0" borderId="0" xfId="74" applyNumberFormat="1" applyFont="1"/>
    <xf numFmtId="49" fontId="13" fillId="9" borderId="0" xfId="74" applyNumberFormat="1" applyFont="1" applyFill="1" applyAlignment="1" applyProtection="1">
      <alignment horizontal="center"/>
      <protection hidden="1"/>
    </xf>
    <xf numFmtId="49" fontId="13" fillId="10" borderId="0" xfId="74" applyNumberFormat="1" applyFont="1" applyFill="1" applyAlignment="1" applyProtection="1">
      <alignment horizontal="center"/>
      <protection hidden="1"/>
    </xf>
    <xf numFmtId="49" fontId="93" fillId="10" borderId="0" xfId="74" applyNumberFormat="1" applyFont="1" applyFill="1" applyAlignment="1" applyProtection="1">
      <alignment horizontal="center"/>
      <protection hidden="1"/>
    </xf>
    <xf numFmtId="0" fontId="118" fillId="0" borderId="0" xfId="0" applyFont="1" applyProtection="1">
      <protection hidden="1"/>
    </xf>
    <xf numFmtId="0" fontId="12" fillId="0" borderId="0" xfId="0" applyFont="1" applyAlignment="1" applyProtection="1">
      <alignment horizontal="center"/>
      <protection hidden="1"/>
    </xf>
    <xf numFmtId="0" fontId="12" fillId="7" borderId="0" xfId="0" applyFont="1" applyFill="1" applyAlignment="1" applyProtection="1">
      <alignment horizontal="center"/>
      <protection hidden="1"/>
    </xf>
    <xf numFmtId="0" fontId="50" fillId="7" borderId="0" xfId="0" applyFont="1" applyFill="1" applyAlignment="1" applyProtection="1">
      <alignment horizontal="center" wrapText="1"/>
      <protection hidden="1"/>
    </xf>
    <xf numFmtId="0" fontId="50" fillId="7" borderId="0" xfId="0" applyFont="1" applyFill="1" applyAlignment="1" applyProtection="1">
      <alignment horizontal="center"/>
      <protection hidden="1"/>
    </xf>
    <xf numFmtId="0" fontId="50" fillId="0" borderId="0" xfId="0" applyFont="1" applyAlignment="1" applyProtection="1">
      <alignment horizontal="center" wrapText="1"/>
      <protection hidden="1"/>
    </xf>
    <xf numFmtId="0" fontId="12" fillId="0" borderId="0" xfId="0" applyFont="1" applyProtection="1">
      <protection hidden="1"/>
    </xf>
    <xf numFmtId="0" fontId="50" fillId="0" borderId="0" xfId="0" applyFont="1" applyAlignment="1" applyProtection="1">
      <alignment wrapText="1"/>
      <protection hidden="1"/>
    </xf>
    <xf numFmtId="0" fontId="5" fillId="0" borderId="0" xfId="74" applyFont="1"/>
    <xf numFmtId="49" fontId="13" fillId="10" borderId="0" xfId="74" quotePrefix="1" applyNumberFormat="1" applyFont="1" applyFill="1" applyAlignment="1">
      <alignment horizontal="center"/>
    </xf>
    <xf numFmtId="49" fontId="13" fillId="10" borderId="0" xfId="74" quotePrefix="1" applyNumberFormat="1" applyFont="1" applyFill="1" applyAlignment="1" applyProtection="1">
      <alignment horizontal="center"/>
      <protection hidden="1"/>
    </xf>
    <xf numFmtId="180" fontId="5" fillId="0" borderId="8" xfId="0" applyNumberFormat="1" applyFont="1" applyBorder="1"/>
    <xf numFmtId="180" fontId="5" fillId="8" borderId="0" xfId="0" applyNumberFormat="1" applyFont="1" applyFill="1"/>
    <xf numFmtId="49" fontId="5" fillId="8" borderId="0" xfId="0" applyNumberFormat="1" applyFont="1" applyFill="1"/>
    <xf numFmtId="180" fontId="7" fillId="0" borderId="2" xfId="95" applyNumberFormat="1" applyFont="1" applyBorder="1" applyAlignment="1">
      <alignment horizontal="center"/>
    </xf>
    <xf numFmtId="0" fontId="7" fillId="0" borderId="2" xfId="95" applyFont="1" applyBorder="1" applyAlignment="1">
      <alignment horizontal="center"/>
    </xf>
    <xf numFmtId="49" fontId="167" fillId="8" borderId="4" xfId="0" applyNumberFormat="1" applyFont="1" applyFill="1" applyBorder="1"/>
    <xf numFmtId="0" fontId="168" fillId="0" borderId="0" xfId="0" applyFont="1"/>
    <xf numFmtId="180" fontId="0" fillId="11" borderId="0" xfId="0" applyNumberFormat="1" applyFill="1"/>
    <xf numFmtId="0" fontId="7" fillId="0" borderId="2" xfId="95" quotePrefix="1" applyFont="1" applyBorder="1" applyAlignment="1">
      <alignment horizontal="center"/>
    </xf>
    <xf numFmtId="0" fontId="6" fillId="0" borderId="0" xfId="0" applyFont="1" applyAlignment="1">
      <alignment wrapText="1"/>
    </xf>
    <xf numFmtId="0" fontId="72" fillId="8" borderId="0" xfId="57" applyFont="1" applyFill="1" applyAlignment="1" applyProtection="1">
      <alignment horizontal="center"/>
    </xf>
    <xf numFmtId="180" fontId="15" fillId="0" borderId="0" xfId="114" applyNumberFormat="1" applyAlignment="1">
      <alignment horizontal="right"/>
    </xf>
    <xf numFmtId="180" fontId="98" fillId="0" borderId="0" xfId="0" applyNumberFormat="1" applyFont="1" applyAlignment="1">
      <alignment horizontal="left"/>
    </xf>
    <xf numFmtId="0" fontId="103" fillId="0" borderId="0" xfId="0" applyFont="1"/>
    <xf numFmtId="0" fontId="75" fillId="8" borderId="0" xfId="110" applyFont="1" applyFill="1" applyAlignment="1">
      <alignment horizontal="left"/>
    </xf>
    <xf numFmtId="0" fontId="75" fillId="8" borderId="0" xfId="110" applyFont="1" applyFill="1" applyAlignment="1">
      <alignment horizontal="center"/>
    </xf>
    <xf numFmtId="0" fontId="119" fillId="8" borderId="0" xfId="110" applyFont="1" applyFill="1"/>
    <xf numFmtId="0" fontId="65" fillId="8" borderId="0" xfId="110" applyFont="1" applyFill="1"/>
    <xf numFmtId="0" fontId="7" fillId="8" borderId="0" xfId="110" applyFont="1" applyFill="1" applyAlignment="1">
      <alignment horizontal="center"/>
    </xf>
    <xf numFmtId="0" fontId="120" fillId="8" borderId="0" xfId="110" applyFont="1" applyFill="1" applyAlignment="1">
      <alignment horizontal="left"/>
    </xf>
    <xf numFmtId="15" fontId="15" fillId="0" borderId="1" xfId="0" applyNumberFormat="1" applyFont="1" applyBorder="1" applyAlignment="1">
      <alignment horizontal="center"/>
    </xf>
    <xf numFmtId="0" fontId="7" fillId="0" borderId="0" xfId="115" applyFont="1"/>
    <xf numFmtId="0" fontId="5" fillId="0" borderId="0" xfId="115" applyFont="1"/>
    <xf numFmtId="0" fontId="7" fillId="0" borderId="0" xfId="115" applyFont="1" applyAlignment="1">
      <alignment horizontal="center"/>
    </xf>
    <xf numFmtId="0" fontId="7" fillId="0" borderId="0" xfId="115" applyFont="1" applyAlignment="1">
      <alignment horizontal="left"/>
    </xf>
    <xf numFmtId="168" fontId="7" fillId="0" borderId="0" xfId="82" applyFont="1" applyAlignment="1" applyProtection="1">
      <alignment horizontal="left"/>
    </xf>
    <xf numFmtId="0" fontId="121" fillId="0" borderId="0" xfId="0" applyFont="1"/>
    <xf numFmtId="0" fontId="5" fillId="6" borderId="0" xfId="0" applyFont="1" applyFill="1"/>
    <xf numFmtId="176" fontId="15" fillId="0" borderId="2" xfId="0" applyNumberFormat="1" applyFont="1" applyBorder="1"/>
    <xf numFmtId="0" fontId="7" fillId="0" borderId="0" xfId="0" quotePrefix="1" applyFont="1" applyAlignment="1">
      <alignment horizontal="center"/>
    </xf>
    <xf numFmtId="0" fontId="122" fillId="0" borderId="0" xfId="0" quotePrefix="1" applyFont="1"/>
    <xf numFmtId="0" fontId="169" fillId="0" borderId="0" xfId="0" applyFont="1"/>
    <xf numFmtId="0" fontId="170" fillId="0" borderId="0" xfId="0" applyFont="1" applyProtection="1">
      <protection locked="0"/>
    </xf>
    <xf numFmtId="0" fontId="170" fillId="0" borderId="0" xfId="0" applyFont="1"/>
    <xf numFmtId="0" fontId="171" fillId="0" borderId="0" xfId="0" applyFont="1"/>
    <xf numFmtId="0" fontId="169" fillId="0" borderId="0" xfId="0" applyFont="1" applyProtection="1">
      <protection hidden="1"/>
    </xf>
    <xf numFmtId="0" fontId="172" fillId="0" borderId="0" xfId="0" applyFont="1"/>
    <xf numFmtId="0" fontId="173" fillId="0" borderId="0" xfId="0" applyFont="1"/>
    <xf numFmtId="0" fontId="174" fillId="0" borderId="0" xfId="0" applyFont="1" applyAlignment="1" applyProtection="1">
      <alignment horizontal="center"/>
      <protection hidden="1"/>
    </xf>
    <xf numFmtId="0" fontId="173" fillId="0" borderId="0" xfId="0" applyFont="1" applyProtection="1">
      <protection hidden="1"/>
    </xf>
    <xf numFmtId="175" fontId="174" fillId="0" borderId="0" xfId="0" applyNumberFormat="1" applyFont="1" applyAlignment="1" applyProtection="1">
      <alignment horizontal="center"/>
      <protection hidden="1"/>
    </xf>
    <xf numFmtId="0" fontId="175" fillId="0" borderId="0" xfId="0" applyFont="1"/>
    <xf numFmtId="0" fontId="170" fillId="0" borderId="0" xfId="119" applyFont="1" applyProtection="1">
      <protection locked="0"/>
    </xf>
    <xf numFmtId="0" fontId="176" fillId="0" borderId="23" xfId="0" applyFont="1" applyBorder="1" applyAlignment="1">
      <alignment horizontal="center" wrapText="1"/>
    </xf>
    <xf numFmtId="0" fontId="174" fillId="0" borderId="15" xfId="57" applyFont="1" applyBorder="1" applyAlignment="1" applyProtection="1">
      <alignment horizontal="center"/>
    </xf>
    <xf numFmtId="0" fontId="173" fillId="0" borderId="23" xfId="119" applyFont="1" applyBorder="1" applyAlignment="1">
      <alignment horizontal="center"/>
    </xf>
    <xf numFmtId="0" fontId="174" fillId="0" borderId="15" xfId="57" applyFont="1" applyBorder="1" applyAlignment="1" applyProtection="1">
      <alignment horizontal="center" shrinkToFit="1"/>
    </xf>
    <xf numFmtId="0" fontId="174" fillId="0" borderId="15" xfId="57" applyFont="1" applyBorder="1" applyAlignment="1" applyProtection="1"/>
    <xf numFmtId="0" fontId="18" fillId="8" borderId="0" xfId="0" applyFont="1" applyFill="1"/>
    <xf numFmtId="0" fontId="18" fillId="0" borderId="0" xfId="98" applyFont="1" applyAlignment="1">
      <alignment horizontal="center"/>
    </xf>
    <xf numFmtId="0" fontId="17" fillId="0" borderId="0" xfId="98" applyFont="1" applyAlignment="1">
      <alignment horizontal="center"/>
    </xf>
    <xf numFmtId="0" fontId="17" fillId="0" borderId="0" xfId="98" applyFont="1"/>
    <xf numFmtId="0" fontId="18" fillId="0" borderId="0" xfId="101" applyFont="1" applyAlignment="1">
      <alignment horizontal="right"/>
    </xf>
    <xf numFmtId="40" fontId="18" fillId="0" borderId="0" xfId="39" applyFont="1"/>
    <xf numFmtId="39" fontId="29" fillId="0" borderId="0" xfId="101" applyNumberFormat="1" applyFont="1"/>
    <xf numFmtId="0" fontId="32" fillId="0" borderId="0" xfId="101" applyFont="1" applyAlignment="1">
      <alignment horizontal="center"/>
    </xf>
    <xf numFmtId="0" fontId="15" fillId="0" borderId="0" xfId="98" applyAlignment="1">
      <alignment horizontal="center"/>
    </xf>
    <xf numFmtId="0" fontId="15" fillId="0" borderId="1" xfId="98" applyBorder="1" applyAlignment="1">
      <alignment horizontal="center"/>
    </xf>
    <xf numFmtId="0" fontId="25" fillId="0" borderId="0" xfId="98" applyFont="1"/>
    <xf numFmtId="39" fontId="15" fillId="0" borderId="0" xfId="98" applyNumberFormat="1"/>
    <xf numFmtId="176" fontId="18" fillId="0" borderId="1" xfId="38" applyNumberFormat="1" applyFont="1" applyBorder="1"/>
    <xf numFmtId="176" fontId="18" fillId="0" borderId="14" xfId="38" applyNumberFormat="1" applyFont="1" applyBorder="1"/>
    <xf numFmtId="0" fontId="15" fillId="0" borderId="0" xfId="0" applyFont="1" applyAlignment="1">
      <alignment wrapText="1"/>
    </xf>
    <xf numFmtId="0" fontId="14" fillId="0" borderId="1" xfId="0" applyFont="1" applyBorder="1" applyAlignment="1">
      <alignment horizontal="center" wrapText="1"/>
    </xf>
    <xf numFmtId="0" fontId="14" fillId="0" borderId="0" xfId="0" applyFont="1" applyAlignment="1">
      <alignment horizontal="center" wrapText="1"/>
    </xf>
    <xf numFmtId="0" fontId="177" fillId="0" borderId="0" xfId="0" applyFont="1"/>
    <xf numFmtId="39" fontId="18" fillId="0" borderId="1" xfId="38" applyNumberFormat="1" applyFont="1" applyBorder="1" applyProtection="1">
      <protection locked="0"/>
    </xf>
    <xf numFmtId="39" fontId="18" fillId="0" borderId="0" xfId="38" applyNumberFormat="1" applyFont="1" applyProtection="1">
      <protection locked="0"/>
    </xf>
    <xf numFmtId="39" fontId="18" fillId="0" borderId="0" xfId="0" applyNumberFormat="1" applyFont="1"/>
    <xf numFmtId="39" fontId="18" fillId="0" borderId="3" xfId="0" applyNumberFormat="1" applyFont="1" applyBorder="1"/>
    <xf numFmtId="0" fontId="178" fillId="0" borderId="0" xfId="0" applyFont="1"/>
    <xf numFmtId="0" fontId="75" fillId="0" borderId="0" xfId="0" applyFont="1" applyAlignment="1">
      <alignment horizontal="center"/>
    </xf>
    <xf numFmtId="0" fontId="179" fillId="12" borderId="0" xfId="0" applyFont="1" applyFill="1" applyAlignment="1">
      <alignment horizontal="center"/>
    </xf>
    <xf numFmtId="0" fontId="180" fillId="0" borderId="0" xfId="0" applyFont="1"/>
    <xf numFmtId="0" fontId="46" fillId="0" borderId="0" xfId="57" applyAlignment="1" applyProtection="1"/>
    <xf numFmtId="0" fontId="13" fillId="0" borderId="0" xfId="0" applyFont="1" applyAlignment="1" applyProtection="1">
      <alignment horizontal="left"/>
      <protection hidden="1"/>
    </xf>
    <xf numFmtId="0" fontId="93" fillId="0" borderId="0" xfId="0" applyFont="1" applyProtection="1">
      <protection hidden="1"/>
    </xf>
    <xf numFmtId="0" fontId="181" fillId="0" borderId="0" xfId="119" applyFont="1" applyProtection="1">
      <protection locked="0"/>
    </xf>
    <xf numFmtId="0" fontId="11" fillId="0" borderId="1" xfId="116" applyFont="1" applyBorder="1" applyAlignment="1" applyProtection="1">
      <alignment horizontal="center"/>
      <protection locked="0"/>
    </xf>
    <xf numFmtId="0" fontId="11" fillId="0" borderId="1" xfId="116" quotePrefix="1" applyFont="1" applyBorder="1" applyAlignment="1" applyProtection="1">
      <alignment horizontal="center"/>
      <protection locked="0"/>
    </xf>
    <xf numFmtId="0" fontId="106" fillId="0" borderId="0" xfId="116" applyFont="1" applyAlignment="1">
      <alignment vertical="center"/>
    </xf>
    <xf numFmtId="0" fontId="105" fillId="0" borderId="0" xfId="116" applyAlignment="1">
      <alignment horizontal="center"/>
    </xf>
    <xf numFmtId="0" fontId="176" fillId="0" borderId="0" xfId="0" applyFont="1" applyAlignment="1">
      <alignment horizontal="center"/>
    </xf>
    <xf numFmtId="49" fontId="182" fillId="0" borderId="0" xfId="0" applyNumberFormat="1" applyFont="1"/>
    <xf numFmtId="0" fontId="124" fillId="0" borderId="0" xfId="0" applyFont="1" applyAlignment="1">
      <alignment horizontal="center"/>
    </xf>
    <xf numFmtId="49" fontId="124" fillId="0" borderId="0" xfId="0" applyNumberFormat="1" applyFont="1"/>
    <xf numFmtId="0" fontId="124" fillId="0" borderId="0" xfId="0" applyFont="1"/>
    <xf numFmtId="0" fontId="123" fillId="0" borderId="0" xfId="0" applyFont="1"/>
    <xf numFmtId="0" fontId="126" fillId="0" borderId="0" xfId="0" applyFont="1"/>
    <xf numFmtId="0" fontId="182" fillId="0" borderId="0" xfId="0" applyFont="1"/>
    <xf numFmtId="0" fontId="124" fillId="0" borderId="0" xfId="119" applyFont="1"/>
    <xf numFmtId="0" fontId="184" fillId="0" borderId="0" xfId="0" applyFont="1"/>
    <xf numFmtId="0" fontId="185" fillId="0" borderId="15" xfId="0" applyFont="1" applyBorder="1" applyAlignment="1">
      <alignment horizontal="center"/>
    </xf>
    <xf numFmtId="0" fontId="185" fillId="0" borderId="23" xfId="0" applyFont="1" applyBorder="1" applyAlignment="1">
      <alignment horizontal="center" wrapText="1"/>
    </xf>
    <xf numFmtId="0" fontId="186" fillId="0" borderId="15" xfId="57" applyFont="1" applyBorder="1" applyAlignment="1" applyProtection="1">
      <alignment horizontal="center"/>
    </xf>
    <xf numFmtId="0" fontId="182" fillId="3" borderId="15" xfId="119" applyFont="1" applyFill="1" applyBorder="1" applyAlignment="1">
      <alignment horizontal="center" vertical="center" wrapText="1"/>
    </xf>
    <xf numFmtId="0" fontId="182" fillId="0" borderId="15" xfId="119" applyFont="1" applyBorder="1" applyAlignment="1" applyProtection="1">
      <alignment horizontal="center"/>
      <protection locked="0"/>
    </xf>
    <xf numFmtId="0" fontId="11" fillId="0" borderId="0" xfId="115" applyProtection="1">
      <protection locked="0"/>
    </xf>
    <xf numFmtId="0" fontId="14" fillId="0" borderId="0" xfId="115" applyFont="1"/>
    <xf numFmtId="49" fontId="42" fillId="0" borderId="0" xfId="89" quotePrefix="1" applyNumberFormat="1" applyFont="1" applyAlignment="1">
      <alignment horizontal="right"/>
    </xf>
    <xf numFmtId="176" fontId="5" fillId="0" borderId="1" xfId="39" applyNumberFormat="1" applyFont="1" applyBorder="1" applyProtection="1">
      <protection locked="0"/>
    </xf>
    <xf numFmtId="0" fontId="5" fillId="0" borderId="0" xfId="86" applyFont="1"/>
    <xf numFmtId="0" fontId="5" fillId="6" borderId="0" xfId="0" applyFont="1" applyFill="1" applyAlignment="1">
      <alignment horizontal="center"/>
    </xf>
    <xf numFmtId="0" fontId="7" fillId="0" borderId="0" xfId="0" applyFont="1" applyAlignment="1">
      <alignment horizontal="left" indent="4"/>
    </xf>
    <xf numFmtId="0" fontId="30" fillId="0" borderId="0" xfId="86" applyFont="1" applyAlignment="1">
      <alignment horizontal="left" indent="1"/>
    </xf>
    <xf numFmtId="0" fontId="5" fillId="0" borderId="0" xfId="0" applyFont="1" applyAlignment="1">
      <alignment vertical="center"/>
    </xf>
    <xf numFmtId="0" fontId="5" fillId="0" borderId="7" xfId="91" applyFont="1" applyBorder="1" applyAlignment="1" applyProtection="1">
      <alignment horizontal="center"/>
      <protection locked="0"/>
    </xf>
    <xf numFmtId="0" fontId="72" fillId="7" borderId="0" xfId="57" applyFont="1" applyFill="1" applyAlignment="1" applyProtection="1">
      <alignment horizontal="center"/>
      <protection hidden="1"/>
    </xf>
    <xf numFmtId="39" fontId="13" fillId="9" borderId="0" xfId="74" applyNumberFormat="1" applyFont="1" applyFill="1" applyProtection="1">
      <protection hidden="1"/>
    </xf>
    <xf numFmtId="39" fontId="13" fillId="13" borderId="0" xfId="74" applyNumberFormat="1" applyFont="1" applyFill="1" applyProtection="1">
      <protection hidden="1"/>
    </xf>
    <xf numFmtId="0" fontId="50" fillId="13" borderId="0" xfId="0" applyFont="1" applyFill="1" applyProtection="1">
      <protection hidden="1"/>
    </xf>
    <xf numFmtId="0" fontId="13" fillId="13" borderId="0" xfId="0" applyFont="1" applyFill="1" applyProtection="1">
      <protection hidden="1"/>
    </xf>
    <xf numFmtId="49" fontId="5" fillId="0" borderId="18" xfId="0" applyNumberFormat="1" applyFont="1" applyBorder="1"/>
    <xf numFmtId="49" fontId="13" fillId="13" borderId="0" xfId="74" quotePrefix="1" applyNumberFormat="1" applyFont="1" applyFill="1" applyAlignment="1" applyProtection="1">
      <alignment horizontal="center"/>
      <protection hidden="1"/>
    </xf>
    <xf numFmtId="49" fontId="5" fillId="0" borderId="1" xfId="114" applyNumberFormat="1" applyFont="1" applyBorder="1" applyAlignment="1">
      <alignment horizontal="left" shrinkToFit="1"/>
    </xf>
    <xf numFmtId="0" fontId="5" fillId="0" borderId="2" xfId="114" applyFont="1" applyBorder="1"/>
    <xf numFmtId="0" fontId="0" fillId="10" borderId="0" xfId="0" applyFill="1" applyAlignment="1">
      <alignment horizontal="center"/>
    </xf>
    <xf numFmtId="180" fontId="0" fillId="10" borderId="0" xfId="0" applyNumberFormat="1" applyFill="1" applyAlignment="1">
      <alignment horizontal="center"/>
    </xf>
    <xf numFmtId="180" fontId="5" fillId="10" borderId="0" xfId="0" applyNumberFormat="1" applyFont="1" applyFill="1" applyAlignment="1">
      <alignment horizontal="center"/>
    </xf>
    <xf numFmtId="0" fontId="119" fillId="0" borderId="0" xfId="74" applyFont="1" applyAlignment="1">
      <alignment wrapText="1"/>
    </xf>
    <xf numFmtId="0" fontId="187" fillId="0" borderId="0" xfId="69" applyFont="1"/>
    <xf numFmtId="0" fontId="119" fillId="8" borderId="0" xfId="95" applyFont="1" applyFill="1" applyAlignment="1">
      <alignment horizontal="center"/>
    </xf>
    <xf numFmtId="180" fontId="84" fillId="8" borderId="0" xfId="0" applyNumberFormat="1" applyFont="1" applyFill="1"/>
    <xf numFmtId="0" fontId="5" fillId="8" borderId="0" xfId="0" applyFont="1" applyFill="1" applyAlignment="1">
      <alignment horizontal="center"/>
    </xf>
    <xf numFmtId="168" fontId="97" fillId="10" borderId="0" xfId="0" applyNumberFormat="1" applyFont="1" applyFill="1"/>
    <xf numFmtId="0" fontId="0" fillId="10" borderId="0" xfId="0" quotePrefix="1" applyFill="1" applyAlignment="1">
      <alignment horizontal="center"/>
    </xf>
    <xf numFmtId="0" fontId="0" fillId="8" borderId="0" xfId="0" quotePrefix="1" applyFill="1" applyAlignment="1">
      <alignment horizontal="center"/>
    </xf>
    <xf numFmtId="0" fontId="0" fillId="10" borderId="0" xfId="0" applyFill="1"/>
    <xf numFmtId="166" fontId="18" fillId="10" borderId="0" xfId="0" applyNumberFormat="1" applyFont="1" applyFill="1"/>
    <xf numFmtId="0" fontId="5" fillId="10" borderId="0" xfId="0" applyFont="1" applyFill="1"/>
    <xf numFmtId="0" fontId="188" fillId="0" borderId="0" xfId="0" applyFont="1"/>
    <xf numFmtId="0" fontId="0" fillId="14" borderId="0" xfId="0" applyFill="1"/>
    <xf numFmtId="0" fontId="65" fillId="0" borderId="0" xfId="84" applyFont="1"/>
    <xf numFmtId="0" fontId="25" fillId="8" borderId="0" xfId="84" applyFont="1" applyFill="1"/>
    <xf numFmtId="0" fontId="25" fillId="8" borderId="0" xfId="88" applyFont="1" applyFill="1" applyAlignment="1">
      <alignment horizontal="center"/>
    </xf>
    <xf numFmtId="0" fontId="25" fillId="8" borderId="0" xfId="88" applyFont="1" applyFill="1" applyAlignment="1" applyProtection="1">
      <alignment horizontal="center"/>
      <protection locked="0"/>
    </xf>
    <xf numFmtId="0" fontId="25" fillId="8" borderId="0" xfId="88" applyFont="1" applyFill="1" applyAlignment="1">
      <alignment horizontal="center" wrapText="1" shrinkToFit="1"/>
    </xf>
    <xf numFmtId="1" fontId="8" fillId="8" borderId="0" xfId="0" applyNumberFormat="1" applyFont="1" applyFill="1" applyAlignment="1">
      <alignment horizontal="center"/>
    </xf>
    <xf numFmtId="0" fontId="13" fillId="0" borderId="0" xfId="74" applyFont="1" applyAlignment="1" applyProtection="1">
      <alignment horizontal="right"/>
      <protection hidden="1"/>
    </xf>
    <xf numFmtId="0" fontId="133" fillId="0" borderId="0" xfId="74" applyFont="1" applyAlignment="1" applyProtection="1">
      <alignment horizontal="right"/>
      <protection hidden="1"/>
    </xf>
    <xf numFmtId="15" fontId="15" fillId="0" borderId="1" xfId="0" applyNumberFormat="1" applyFont="1" applyBorder="1" applyAlignment="1" applyProtection="1">
      <alignment horizontal="center"/>
      <protection locked="0"/>
    </xf>
    <xf numFmtId="180" fontId="5" fillId="5" borderId="0" xfId="0" applyNumberFormat="1" applyFont="1" applyFill="1"/>
    <xf numFmtId="0" fontId="15" fillId="8" borderId="1" xfId="0" applyFont="1" applyFill="1" applyBorder="1" applyAlignment="1" applyProtection="1">
      <alignment horizontal="center"/>
      <protection locked="0"/>
    </xf>
    <xf numFmtId="180" fontId="5" fillId="0" borderId="0" xfId="95" applyNumberFormat="1" applyFont="1"/>
    <xf numFmtId="0" fontId="15" fillId="8" borderId="1" xfId="0" applyFont="1" applyFill="1" applyBorder="1" applyAlignment="1">
      <alignment horizontal="center"/>
    </xf>
    <xf numFmtId="165" fontId="75" fillId="0" borderId="0" xfId="0" applyNumberFormat="1" applyFont="1"/>
    <xf numFmtId="0" fontId="189" fillId="0" borderId="0" xfId="69" applyFont="1"/>
    <xf numFmtId="180" fontId="7" fillId="0" borderId="0" xfId="0" applyNumberFormat="1" applyFont="1" applyAlignment="1">
      <alignment horizontal="center"/>
    </xf>
    <xf numFmtId="187" fontId="18" fillId="0" borderId="0" xfId="123" applyNumberFormat="1" applyProtection="1"/>
    <xf numFmtId="187" fontId="18" fillId="0" borderId="0" xfId="118" applyNumberFormat="1" applyProtection="1"/>
    <xf numFmtId="0" fontId="190" fillId="0" borderId="0" xfId="0" applyFont="1"/>
    <xf numFmtId="0" fontId="136" fillId="0" borderId="0" xfId="0" applyFont="1"/>
    <xf numFmtId="179" fontId="15" fillId="0" borderId="4" xfId="0" applyNumberFormat="1" applyFont="1" applyBorder="1" applyProtection="1">
      <protection locked="0"/>
    </xf>
    <xf numFmtId="179" fontId="15" fillId="0" borderId="0" xfId="0" applyNumberFormat="1" applyFont="1" applyProtection="1">
      <protection locked="0"/>
    </xf>
    <xf numFmtId="0" fontId="5" fillId="0" borderId="0" xfId="94" applyFont="1" applyAlignment="1">
      <alignment horizontal="center"/>
    </xf>
    <xf numFmtId="0" fontId="5" fillId="11" borderId="0" xfId="74" applyFont="1" applyFill="1"/>
    <xf numFmtId="0" fontId="0" fillId="11" borderId="0" xfId="0" applyFill="1" applyProtection="1">
      <protection locked="0"/>
    </xf>
    <xf numFmtId="1" fontId="66" fillId="0" borderId="0" xfId="101" applyNumberFormat="1" applyFont="1" applyAlignment="1">
      <alignment horizontal="center"/>
    </xf>
    <xf numFmtId="0" fontId="18" fillId="0" borderId="0" xfId="101" applyFont="1" applyAlignment="1">
      <alignment horizontal="left"/>
    </xf>
    <xf numFmtId="1" fontId="17" fillId="0" borderId="0" xfId="101" applyNumberFormat="1" applyFont="1" applyAlignment="1">
      <alignment horizontal="center"/>
    </xf>
    <xf numFmtId="176" fontId="18" fillId="0" borderId="2" xfId="38" applyNumberFormat="1" applyFont="1" applyBorder="1" applyProtection="1">
      <protection locked="0"/>
    </xf>
    <xf numFmtId="0" fontId="5" fillId="0" borderId="0" xfId="0" quotePrefix="1" applyFont="1"/>
    <xf numFmtId="0" fontId="42" fillId="0" borderId="0" xfId="0" applyFont="1" applyAlignment="1">
      <alignment horizontal="left"/>
    </xf>
    <xf numFmtId="0" fontId="14" fillId="0" borderId="0" xfId="0" quotePrefix="1" applyFont="1"/>
    <xf numFmtId="0" fontId="12" fillId="8" borderId="0" xfId="0" applyFont="1" applyFill="1" applyAlignment="1">
      <alignment horizontal="center"/>
    </xf>
    <xf numFmtId="0" fontId="12" fillId="8" borderId="34" xfId="0" applyFont="1" applyFill="1" applyBorder="1" applyAlignment="1">
      <alignment horizontal="left"/>
    </xf>
    <xf numFmtId="0" fontId="12" fillId="8" borderId="35" xfId="0" applyFont="1" applyFill="1" applyBorder="1" applyAlignment="1">
      <alignment horizontal="left"/>
    </xf>
    <xf numFmtId="0" fontId="12" fillId="8" borderId="36" xfId="0" applyFont="1" applyFill="1" applyBorder="1" applyAlignment="1">
      <alignment horizontal="left"/>
    </xf>
    <xf numFmtId="176" fontId="5" fillId="0" borderId="0" xfId="84" applyNumberFormat="1" applyFont="1"/>
    <xf numFmtId="180" fontId="167" fillId="8" borderId="0" xfId="75" applyNumberFormat="1" applyFont="1" applyFill="1"/>
    <xf numFmtId="180" fontId="5" fillId="0" borderId="0" xfId="75" applyNumberFormat="1"/>
    <xf numFmtId="180" fontId="5" fillId="0" borderId="0" xfId="73" applyNumberFormat="1"/>
    <xf numFmtId="168" fontId="5" fillId="0" borderId="0" xfId="85" applyFont="1">
      <protection locked="0"/>
    </xf>
    <xf numFmtId="0" fontId="125" fillId="12" borderId="0" xfId="119" applyFont="1" applyFill="1"/>
    <xf numFmtId="0" fontId="0" fillId="16" borderId="0" xfId="0" applyFill="1"/>
    <xf numFmtId="180" fontId="5" fillId="16" borderId="0" xfId="0" applyNumberFormat="1" applyFont="1" applyFill="1"/>
    <xf numFmtId="0" fontId="80" fillId="11" borderId="0" xfId="0" applyFont="1" applyFill="1" applyProtection="1">
      <protection locked="0"/>
    </xf>
    <xf numFmtId="49" fontId="18" fillId="8" borderId="0" xfId="0" applyNumberFormat="1" applyFont="1" applyFill="1"/>
    <xf numFmtId="0" fontId="18" fillId="16" borderId="0" xfId="0" applyFont="1" applyFill="1"/>
    <xf numFmtId="166" fontId="17" fillId="0" borderId="0" xfId="0" applyNumberFormat="1" applyFont="1" applyAlignment="1" applyProtection="1">
      <alignment horizontal="center"/>
      <protection locked="0"/>
    </xf>
    <xf numFmtId="0" fontId="65" fillId="8" borderId="0" xfId="0" applyFont="1" applyFill="1" applyAlignment="1">
      <alignment horizontal="center"/>
    </xf>
    <xf numFmtId="0" fontId="90" fillId="0" borderId="0" xfId="118" applyFont="1" applyAlignment="1" applyProtection="1">
      <alignment horizontal="left"/>
    </xf>
    <xf numFmtId="0" fontId="67" fillId="0" borderId="0" xfId="118" applyFont="1" applyAlignment="1" applyProtection="1">
      <alignment horizontal="left"/>
    </xf>
    <xf numFmtId="0" fontId="18" fillId="0" borderId="0" xfId="118" applyProtection="1"/>
    <xf numFmtId="0" fontId="90" fillId="0" borderId="0" xfId="0" applyFont="1"/>
    <xf numFmtId="0" fontId="0" fillId="15" borderId="0" xfId="0" applyFill="1"/>
    <xf numFmtId="0" fontId="139" fillId="0" borderId="0" xfId="0" applyFont="1" applyAlignment="1">
      <alignment vertical="center"/>
    </xf>
    <xf numFmtId="0" fontId="140" fillId="0" borderId="0" xfId="0" applyFont="1" applyAlignment="1">
      <alignment horizontal="left" vertical="center" indent="4"/>
    </xf>
    <xf numFmtId="39" fontId="18" fillId="0" borderId="0" xfId="0" applyNumberFormat="1" applyFont="1" applyProtection="1">
      <protection locked="0"/>
    </xf>
    <xf numFmtId="0" fontId="5" fillId="0" borderId="0" xfId="84" applyFont="1" applyAlignment="1">
      <alignment horizontal="left" indent="1"/>
    </xf>
    <xf numFmtId="0" fontId="7" fillId="0" borderId="15" xfId="0" applyFont="1" applyBorder="1"/>
    <xf numFmtId="0" fontId="121" fillId="9" borderId="0" xfId="0" applyFont="1" applyFill="1"/>
    <xf numFmtId="0" fontId="121" fillId="17" borderId="0" xfId="73" applyFont="1" applyFill="1"/>
    <xf numFmtId="0" fontId="7" fillId="0" borderId="15" xfId="73" applyFont="1" applyBorder="1"/>
    <xf numFmtId="0" fontId="5" fillId="11" borderId="0" xfId="0" applyFont="1" applyFill="1"/>
    <xf numFmtId="0" fontId="119" fillId="0" borderId="0" xfId="0" applyFont="1" applyProtection="1">
      <protection locked="0"/>
    </xf>
    <xf numFmtId="0" fontId="7" fillId="6" borderId="37" xfId="95" applyFont="1" applyFill="1" applyBorder="1"/>
    <xf numFmtId="0" fontId="5" fillId="6" borderId="40" xfId="95" applyFont="1" applyFill="1" applyBorder="1"/>
    <xf numFmtId="0" fontId="5" fillId="6" borderId="42" xfId="95" applyFont="1" applyFill="1" applyBorder="1"/>
    <xf numFmtId="164" fontId="5" fillId="0" borderId="1" xfId="99" applyNumberFormat="1" applyBorder="1" applyAlignment="1">
      <alignment horizontal="center"/>
    </xf>
    <xf numFmtId="164" fontId="5" fillId="0" borderId="0" xfId="99" applyNumberFormat="1" applyAlignment="1">
      <alignment horizontal="right"/>
    </xf>
    <xf numFmtId="164" fontId="5" fillId="0" borderId="1" xfId="96" applyNumberFormat="1" applyBorder="1" applyAlignment="1">
      <alignment horizontal="left"/>
    </xf>
    <xf numFmtId="164" fontId="5" fillId="0" borderId="4" xfId="96" applyNumberFormat="1" applyBorder="1" applyAlignment="1">
      <alignment horizontal="left"/>
    </xf>
    <xf numFmtId="164" fontId="5" fillId="0" borderId="4" xfId="96" applyNumberFormat="1" applyBorder="1" applyAlignment="1" applyProtection="1">
      <alignment horizontal="left"/>
      <protection locked="0"/>
    </xf>
    <xf numFmtId="0" fontId="143" fillId="0" borderId="0" xfId="0" applyFont="1" applyAlignment="1">
      <alignment vertical="center"/>
    </xf>
    <xf numFmtId="0" fontId="8" fillId="0" borderId="0" xfId="0" applyFont="1" applyAlignment="1">
      <alignment vertical="center"/>
    </xf>
    <xf numFmtId="164" fontId="7" fillId="0" borderId="0" xfId="99" applyNumberFormat="1" applyFont="1" applyAlignment="1">
      <alignment horizontal="center"/>
    </xf>
    <xf numFmtId="164" fontId="7" fillId="0" borderId="2" xfId="99" applyNumberFormat="1" applyFont="1" applyBorder="1" applyAlignment="1">
      <alignment horizontal="center"/>
    </xf>
    <xf numFmtId="0" fontId="98" fillId="0" borderId="0" xfId="94" applyFont="1" applyAlignment="1" applyProtection="1">
      <alignment horizontal="center"/>
      <protection locked="0"/>
    </xf>
    <xf numFmtId="0" fontId="5" fillId="0" borderId="0" xfId="94" applyFont="1"/>
    <xf numFmtId="39" fontId="191" fillId="0" borderId="0" xfId="74" applyNumberFormat="1" applyFont="1" applyProtection="1">
      <protection hidden="1"/>
    </xf>
    <xf numFmtId="0" fontId="5" fillId="0" borderId="4" xfId="94" applyFont="1" applyBorder="1"/>
    <xf numFmtId="0" fontId="192" fillId="0" borderId="0" xfId="0" applyFont="1" applyAlignment="1">
      <alignment horizontal="center"/>
    </xf>
    <xf numFmtId="0" fontId="15" fillId="9" borderId="23" xfId="95" applyFill="1" applyBorder="1"/>
    <xf numFmtId="0" fontId="15" fillId="9" borderId="4" xfId="95" applyFill="1" applyBorder="1"/>
    <xf numFmtId="180" fontId="15" fillId="9" borderId="4" xfId="95" applyNumberFormat="1" applyFill="1" applyBorder="1"/>
    <xf numFmtId="0" fontId="15" fillId="9" borderId="33" xfId="95" applyFill="1" applyBorder="1"/>
    <xf numFmtId="0" fontId="15" fillId="9" borderId="4" xfId="0" applyFont="1" applyFill="1" applyBorder="1"/>
    <xf numFmtId="0" fontId="15" fillId="9" borderId="33" xfId="0" applyFont="1" applyFill="1" applyBorder="1"/>
    <xf numFmtId="0" fontId="5" fillId="16" borderId="0" xfId="0" applyFont="1" applyFill="1"/>
    <xf numFmtId="180" fontId="144" fillId="0" borderId="0" xfId="0" applyNumberFormat="1" applyFont="1"/>
    <xf numFmtId="0" fontId="5" fillId="15" borderId="0" xfId="0" applyFont="1" applyFill="1"/>
    <xf numFmtId="22" fontId="5" fillId="0" borderId="0" xfId="0" applyNumberFormat="1" applyFont="1"/>
    <xf numFmtId="0" fontId="5" fillId="0" borderId="15" xfId="115" applyFont="1" applyBorder="1" applyAlignment="1" applyProtection="1">
      <alignment horizontal="center"/>
      <protection locked="0"/>
    </xf>
    <xf numFmtId="0" fontId="5" fillId="0" borderId="0" xfId="81" applyFont="1"/>
    <xf numFmtId="0" fontId="5" fillId="0" borderId="0" xfId="81" applyFont="1" applyAlignment="1">
      <alignment horizontal="right"/>
    </xf>
    <xf numFmtId="0" fontId="5" fillId="0" borderId="2" xfId="81" applyFont="1" applyBorder="1" applyAlignment="1">
      <alignment horizontal="centerContinuous"/>
    </xf>
    <xf numFmtId="0" fontId="5" fillId="0" borderId="0" xfId="81" applyFont="1" applyAlignment="1">
      <alignment horizontal="centerContinuous"/>
    </xf>
    <xf numFmtId="0" fontId="5" fillId="0" borderId="1" xfId="81" applyFont="1" applyBorder="1" applyAlignment="1">
      <alignment horizontal="centerContinuous"/>
    </xf>
    <xf numFmtId="0" fontId="5" fillId="0" borderId="0" xfId="81" applyFont="1" applyAlignment="1" applyProtection="1">
      <alignment horizontal="center"/>
      <protection locked="0"/>
    </xf>
    <xf numFmtId="0" fontId="18" fillId="0" borderId="0" xfId="81" applyFont="1"/>
    <xf numFmtId="0" fontId="145" fillId="0" borderId="0" xfId="81" applyFont="1"/>
    <xf numFmtId="176" fontId="5" fillId="0" borderId="1" xfId="81" applyNumberFormat="1" applyFont="1" applyBorder="1" applyProtection="1">
      <protection locked="0"/>
    </xf>
    <xf numFmtId="176" fontId="5" fillId="0" borderId="0" xfId="81" applyNumberFormat="1" applyFont="1"/>
    <xf numFmtId="0" fontId="7" fillId="0" borderId="0" xfId="81" applyFont="1" applyAlignment="1">
      <alignment horizontal="center"/>
    </xf>
    <xf numFmtId="0" fontId="7" fillId="0" borderId="0" xfId="81" applyFont="1" applyAlignment="1">
      <alignment horizontal="centerContinuous"/>
    </xf>
    <xf numFmtId="176" fontId="7" fillId="0" borderId="0" xfId="81" applyNumberFormat="1" applyFont="1" applyProtection="1">
      <protection locked="0"/>
    </xf>
    <xf numFmtId="176" fontId="7" fillId="0" borderId="0" xfId="81" applyNumberFormat="1" applyFont="1"/>
    <xf numFmtId="0" fontId="90" fillId="0" borderId="0" xfId="81" applyFont="1"/>
    <xf numFmtId="170" fontId="5" fillId="6" borderId="15" xfId="91" applyNumberFormat="1" applyFont="1" applyFill="1" applyBorder="1"/>
    <xf numFmtId="170" fontId="5" fillId="6" borderId="25" xfId="91" applyNumberFormat="1" applyFont="1" applyFill="1" applyBorder="1"/>
    <xf numFmtId="0" fontId="7" fillId="0" borderId="5" xfId="0" applyFont="1" applyBorder="1"/>
    <xf numFmtId="49" fontId="124" fillId="12" borderId="0" xfId="0" applyNumberFormat="1" applyFont="1" applyFill="1"/>
    <xf numFmtId="0" fontId="18" fillId="0" borderId="0" xfId="0" quotePrefix="1" applyFont="1"/>
    <xf numFmtId="164" fontId="9" fillId="0" borderId="1" xfId="115" applyNumberFormat="1" applyFont="1" applyBorder="1" applyAlignment="1" applyProtection="1">
      <alignment horizontal="center"/>
      <protection locked="0"/>
    </xf>
    <xf numFmtId="192" fontId="5" fillId="0" borderId="0" xfId="81" applyNumberFormat="1" applyFont="1" applyAlignment="1" applyProtection="1">
      <alignment horizontal="center"/>
      <protection locked="0"/>
    </xf>
    <xf numFmtId="192" fontId="5" fillId="0" borderId="0" xfId="81" applyNumberFormat="1" applyFont="1" applyAlignment="1">
      <alignment horizontal="center"/>
    </xf>
    <xf numFmtId="192" fontId="5" fillId="0" borderId="0" xfId="81" applyNumberFormat="1" applyFont="1"/>
    <xf numFmtId="176" fontId="18" fillId="0" borderId="1" xfId="39" applyNumberFormat="1" applyFont="1" applyBorder="1" applyProtection="1">
      <protection locked="0"/>
    </xf>
    <xf numFmtId="168" fontId="22" fillId="0" borderId="0" xfId="82" applyFont="1" applyAlignment="1" applyProtection="1">
      <alignment horizontal="right"/>
    </xf>
    <xf numFmtId="168" fontId="114" fillId="0" borderId="0" xfId="82" applyFont="1" applyAlignment="1" applyProtection="1">
      <alignment horizontal="right"/>
    </xf>
    <xf numFmtId="168" fontId="36" fillId="0" borderId="0" xfId="82" applyFont="1" applyAlignment="1" applyProtection="1">
      <alignment horizontal="right"/>
    </xf>
    <xf numFmtId="168" fontId="5" fillId="0" borderId="0" xfId="82" applyFont="1" applyAlignment="1" applyProtection="1">
      <alignment horizontal="right"/>
    </xf>
    <xf numFmtId="0" fontId="9" fillId="0" borderId="0" xfId="88" applyFont="1" applyAlignment="1" applyProtection="1">
      <alignment horizontal="right"/>
      <protection hidden="1"/>
    </xf>
    <xf numFmtId="168" fontId="18" fillId="0" borderId="0" xfId="82" applyAlignment="1" applyProtection="1">
      <alignment horizontal="right"/>
    </xf>
    <xf numFmtId="0" fontId="193" fillId="0" borderId="0" xfId="0" applyFont="1"/>
    <xf numFmtId="0" fontId="7" fillId="0" borderId="0" xfId="81" applyFont="1"/>
    <xf numFmtId="0" fontId="128" fillId="0" borderId="0" xfId="101" applyFont="1"/>
    <xf numFmtId="0" fontId="6" fillId="0" borderId="0" xfId="115" applyFont="1" applyAlignment="1">
      <alignment vertical="center"/>
    </xf>
    <xf numFmtId="0" fontId="57" fillId="0" borderId="0" xfId="115" applyFont="1" applyAlignment="1">
      <alignment vertical="center"/>
    </xf>
    <xf numFmtId="0" fontId="46" fillId="0" borderId="0" xfId="57" applyAlignment="1" applyProtection="1">
      <alignment vertical="center"/>
    </xf>
    <xf numFmtId="174" fontId="15" fillId="0" borderId="8" xfId="38" applyNumberFormat="1" applyFont="1" applyBorder="1" applyProtection="1">
      <protection locked="0"/>
    </xf>
    <xf numFmtId="0" fontId="18" fillId="0" borderId="8" xfId="0" applyFont="1" applyBorder="1" applyAlignment="1">
      <alignment vertical="top"/>
    </xf>
    <xf numFmtId="0" fontId="7" fillId="0" borderId="0" xfId="91" applyFont="1" applyAlignment="1">
      <alignment horizontal="center"/>
    </xf>
    <xf numFmtId="0" fontId="13" fillId="0" borderId="0" xfId="0" applyFont="1"/>
    <xf numFmtId="0" fontId="56" fillId="0" borderId="0" xfId="0" applyFont="1"/>
    <xf numFmtId="180" fontId="98" fillId="0" borderId="0" xfId="124" applyNumberFormat="1" applyFont="1" applyBorder="1" applyProtection="1"/>
    <xf numFmtId="166" fontId="157" fillId="0" borderId="0" xfId="0" applyNumberFormat="1" applyFont="1"/>
    <xf numFmtId="0" fontId="17" fillId="0" borderId="0" xfId="101" applyFont="1"/>
    <xf numFmtId="0" fontId="212" fillId="0" borderId="0" xfId="69" applyAlignment="1">
      <alignment horizontal="right"/>
    </xf>
    <xf numFmtId="0" fontId="56" fillId="0" borderId="0" xfId="115" applyFont="1" applyAlignment="1">
      <alignment horizontal="center"/>
    </xf>
    <xf numFmtId="0" fontId="56" fillId="0" borderId="0" xfId="115" applyFont="1"/>
    <xf numFmtId="176" fontId="5" fillId="0" borderId="1" xfId="122" applyNumberFormat="1" applyFont="1" applyBorder="1">
      <protection locked="0"/>
    </xf>
    <xf numFmtId="43" fontId="15" fillId="0" borderId="1" xfId="29" applyFont="1" applyBorder="1" applyProtection="1">
      <protection locked="0"/>
    </xf>
    <xf numFmtId="0" fontId="15" fillId="0" borderId="0" xfId="0" applyFont="1" applyAlignment="1" applyProtection="1">
      <alignment horizontal="center"/>
      <protection locked="0"/>
    </xf>
    <xf numFmtId="43" fontId="15" fillId="0" borderId="0" xfId="29" applyFont="1" applyAlignment="1" applyProtection="1">
      <alignment horizontal="center"/>
      <protection locked="0"/>
    </xf>
    <xf numFmtId="0" fontId="7" fillId="0" borderId="23" xfId="0" applyFont="1" applyBorder="1"/>
    <xf numFmtId="0" fontId="7" fillId="0" borderId="23" xfId="0" applyFont="1" applyBorder="1" applyAlignment="1">
      <alignment vertical="top"/>
    </xf>
    <xf numFmtId="0" fontId="7" fillId="0" borderId="12" xfId="0" applyFont="1" applyBorder="1"/>
    <xf numFmtId="0" fontId="7" fillId="0" borderId="21" xfId="0" applyFont="1" applyBorder="1"/>
    <xf numFmtId="0" fontId="101" fillId="0" borderId="0" xfId="0" applyFont="1"/>
    <xf numFmtId="0" fontId="5" fillId="0" borderId="0" xfId="0" applyFont="1" applyAlignment="1">
      <alignment vertical="top" wrapText="1"/>
    </xf>
    <xf numFmtId="0" fontId="33" fillId="0" borderId="0" xfId="84" applyFont="1"/>
    <xf numFmtId="0" fontId="194" fillId="0" borderId="0" xfId="0" applyFont="1"/>
    <xf numFmtId="0" fontId="5" fillId="0" borderId="2" xfId="92" applyFont="1" applyBorder="1" applyProtection="1">
      <protection locked="0"/>
    </xf>
    <xf numFmtId="0" fontId="46" fillId="0" borderId="15" xfId="57" applyBorder="1" applyAlignment="1" applyProtection="1"/>
    <xf numFmtId="0" fontId="46" fillId="0" borderId="15" xfId="57" applyBorder="1" applyAlignment="1" applyProtection="1">
      <alignment horizontal="center" shrinkToFit="1"/>
    </xf>
    <xf numFmtId="0" fontId="5" fillId="0" borderId="1" xfId="110" applyFont="1" applyBorder="1" applyAlignment="1" applyProtection="1">
      <alignment horizontal="center"/>
      <protection locked="0"/>
    </xf>
    <xf numFmtId="0" fontId="5" fillId="0" borderId="1" xfId="108" applyFont="1" applyBorder="1" applyAlignment="1" applyProtection="1">
      <alignment horizontal="center"/>
      <protection locked="0"/>
    </xf>
    <xf numFmtId="49" fontId="136" fillId="0" borderId="0" xfId="0" applyNumberFormat="1" applyFont="1"/>
    <xf numFmtId="43" fontId="15" fillId="0" borderId="4" xfId="29" applyFont="1" applyBorder="1" applyProtection="1">
      <protection locked="0"/>
    </xf>
    <xf numFmtId="49" fontId="5" fillId="0" borderId="0" xfId="0" applyNumberFormat="1" applyFont="1"/>
    <xf numFmtId="176" fontId="15" fillId="0" borderId="14" xfId="0" applyNumberFormat="1" applyFont="1" applyBorder="1"/>
    <xf numFmtId="14" fontId="195" fillId="9" borderId="0" xfId="0" applyNumberFormat="1" applyFont="1" applyFill="1" applyAlignment="1">
      <alignment horizontal="right" wrapText="1"/>
    </xf>
    <xf numFmtId="14" fontId="195" fillId="17" borderId="0" xfId="73" applyNumberFormat="1" applyFont="1" applyFill="1" applyAlignment="1">
      <alignment horizontal="right"/>
    </xf>
    <xf numFmtId="43" fontId="10" fillId="0" borderId="0" xfId="29" applyFont="1"/>
    <xf numFmtId="49" fontId="196" fillId="0" borderId="0" xfId="114" applyNumberFormat="1" applyFont="1" applyAlignment="1">
      <alignment horizontal="center"/>
    </xf>
    <xf numFmtId="180" fontId="167" fillId="0" borderId="0" xfId="0" applyNumberFormat="1" applyFont="1"/>
    <xf numFmtId="0" fontId="5" fillId="0" borderId="0" xfId="115" applyFont="1" applyAlignment="1" applyProtection="1">
      <alignment horizontal="center"/>
      <protection locked="0"/>
    </xf>
    <xf numFmtId="0" fontId="5" fillId="0" borderId="0" xfId="115" applyFont="1" applyAlignment="1">
      <alignment horizontal="left" indent="1"/>
    </xf>
    <xf numFmtId="49" fontId="5" fillId="0" borderId="0" xfId="115" applyNumberFormat="1" applyFont="1" applyAlignment="1">
      <alignment horizontal="center"/>
    </xf>
    <xf numFmtId="49" fontId="5" fillId="0" borderId="15" xfId="115" applyNumberFormat="1" applyFont="1" applyBorder="1" applyAlignment="1" applyProtection="1">
      <alignment horizontal="center"/>
      <protection locked="0"/>
    </xf>
    <xf numFmtId="0" fontId="7" fillId="8" borderId="0" xfId="94" applyFont="1" applyFill="1" applyProtection="1">
      <protection locked="0"/>
    </xf>
    <xf numFmtId="0" fontId="7" fillId="8" borderId="0" xfId="94" applyFont="1" applyFill="1" applyAlignment="1">
      <alignment horizontal="left"/>
    </xf>
    <xf numFmtId="0" fontId="6" fillId="8" borderId="0" xfId="94" applyFont="1" applyFill="1" applyAlignment="1">
      <alignment horizontal="left" vertical="top"/>
    </xf>
    <xf numFmtId="0" fontId="7" fillId="9" borderId="0" xfId="94" applyFont="1" applyFill="1"/>
    <xf numFmtId="0" fontId="65" fillId="0" borderId="0" xfId="94" applyFont="1"/>
    <xf numFmtId="0" fontId="38" fillId="5" borderId="15" xfId="0" applyFont="1" applyFill="1" applyBorder="1" applyAlignment="1">
      <alignment wrapText="1"/>
    </xf>
    <xf numFmtId="0" fontId="7" fillId="5" borderId="15" xfId="0" applyFont="1" applyFill="1" applyBorder="1"/>
    <xf numFmtId="0" fontId="18" fillId="0" borderId="0" xfId="0" applyFont="1" applyAlignment="1">
      <alignment wrapText="1"/>
    </xf>
    <xf numFmtId="0" fontId="7" fillId="0" borderId="7" xfId="0" applyFont="1" applyBorder="1"/>
    <xf numFmtId="0" fontId="18" fillId="0" borderId="0" xfId="0" applyFont="1" applyAlignment="1">
      <alignment vertical="top" wrapText="1"/>
    </xf>
    <xf numFmtId="0" fontId="5" fillId="5" borderId="15" xfId="0" applyFont="1" applyFill="1" applyBorder="1" applyAlignment="1">
      <alignment vertical="top" wrapText="1"/>
    </xf>
    <xf numFmtId="0" fontId="5" fillId="6" borderId="0" xfId="0" applyFont="1" applyFill="1" applyAlignment="1">
      <alignment wrapText="1"/>
    </xf>
    <xf numFmtId="0" fontId="18" fillId="5" borderId="15" xfId="0" applyFont="1" applyFill="1" applyBorder="1" applyAlignment="1">
      <alignment wrapText="1"/>
    </xf>
    <xf numFmtId="0" fontId="5" fillId="5" borderId="15" xfId="0" applyFont="1" applyFill="1" applyBorder="1" applyAlignment="1">
      <alignment wrapText="1"/>
    </xf>
    <xf numFmtId="0" fontId="5" fillId="6" borderId="4" xfId="0" applyFont="1" applyFill="1" applyBorder="1" applyAlignment="1">
      <alignment wrapText="1"/>
    </xf>
    <xf numFmtId="0" fontId="5" fillId="19" borderId="15" xfId="0" applyFont="1" applyFill="1" applyBorder="1" applyAlignment="1">
      <alignment wrapText="1"/>
    </xf>
    <xf numFmtId="0" fontId="5" fillId="0" borderId="12" xfId="0" applyFont="1" applyBorder="1" applyAlignment="1">
      <alignment wrapText="1"/>
    </xf>
    <xf numFmtId="0" fontId="5" fillId="0" borderId="10" xfId="0" applyFont="1" applyBorder="1" applyAlignment="1">
      <alignment wrapText="1"/>
    </xf>
    <xf numFmtId="14" fontId="5" fillId="0" borderId="0" xfId="0" applyNumberFormat="1" applyFont="1" applyAlignment="1">
      <alignment wrapText="1"/>
    </xf>
    <xf numFmtId="0" fontId="5" fillId="0" borderId="0" xfId="0" applyFont="1" applyAlignment="1">
      <alignment vertical="center" wrapText="1"/>
    </xf>
    <xf numFmtId="0" fontId="5" fillId="0" borderId="4" xfId="0" applyFont="1" applyBorder="1" applyAlignment="1">
      <alignment wrapText="1"/>
    </xf>
    <xf numFmtId="0" fontId="153" fillId="0" borderId="0" xfId="0" applyFont="1"/>
    <xf numFmtId="0" fontId="38" fillId="5" borderId="15" xfId="0" applyFont="1" applyFill="1" applyBorder="1"/>
    <xf numFmtId="0" fontId="153" fillId="0" borderId="1" xfId="0" applyFont="1" applyBorder="1"/>
    <xf numFmtId="0" fontId="7" fillId="5" borderId="7" xfId="0" applyFont="1" applyFill="1" applyBorder="1"/>
    <xf numFmtId="0" fontId="0" fillId="0" borderId="12" xfId="0" applyBorder="1"/>
    <xf numFmtId="0" fontId="97" fillId="0" borderId="0" xfId="0" applyFont="1"/>
    <xf numFmtId="0" fontId="7" fillId="0" borderId="8" xfId="0" applyFont="1" applyBorder="1"/>
    <xf numFmtId="0" fontId="97" fillId="0" borderId="1" xfId="0" applyFont="1" applyBorder="1"/>
    <xf numFmtId="0" fontId="152" fillId="0" borderId="0" xfId="0" applyFont="1"/>
    <xf numFmtId="0" fontId="7" fillId="5" borderId="5" xfId="0" applyFont="1" applyFill="1" applyBorder="1"/>
    <xf numFmtId="0" fontId="152" fillId="5" borderId="15" xfId="0" applyFont="1" applyFill="1" applyBorder="1"/>
    <xf numFmtId="0" fontId="7" fillId="5" borderId="15" xfId="0" applyFont="1" applyFill="1" applyBorder="1" applyAlignment="1">
      <alignment vertical="top" wrapText="1"/>
    </xf>
    <xf numFmtId="49" fontId="5" fillId="0" borderId="1" xfId="115" applyNumberFormat="1" applyFont="1" applyBorder="1" applyAlignment="1" applyProtection="1">
      <alignment horizontal="center"/>
      <protection locked="0"/>
    </xf>
    <xf numFmtId="0" fontId="45" fillId="0" borderId="0" xfId="81" applyFont="1" applyAlignment="1">
      <alignment horizontal="right"/>
    </xf>
    <xf numFmtId="0" fontId="18" fillId="7" borderId="29" xfId="0" applyFont="1" applyFill="1" applyBorder="1"/>
    <xf numFmtId="0" fontId="24" fillId="7" borderId="45" xfId="0" applyFont="1" applyFill="1" applyBorder="1"/>
    <xf numFmtId="49" fontId="5" fillId="0" borderId="4" xfId="115" applyNumberFormat="1" applyFont="1" applyBorder="1" applyAlignment="1" applyProtection="1">
      <alignment horizontal="center"/>
      <protection locked="0"/>
    </xf>
    <xf numFmtId="0" fontId="15" fillId="0" borderId="1" xfId="115" applyFont="1" applyBorder="1" applyAlignment="1" applyProtection="1">
      <alignment horizontal="center"/>
      <protection locked="0"/>
    </xf>
    <xf numFmtId="176" fontId="15" fillId="0" borderId="22" xfId="0" applyNumberFormat="1" applyFont="1" applyBorder="1" applyProtection="1">
      <protection locked="0"/>
    </xf>
    <xf numFmtId="39" fontId="5" fillId="0" borderId="2" xfId="92" applyNumberFormat="1" applyFont="1" applyBorder="1" applyAlignment="1" applyProtection="1">
      <alignment vertical="top" wrapText="1"/>
      <protection locked="0"/>
    </xf>
    <xf numFmtId="181" fontId="86" fillId="2" borderId="0" xfId="126" applyFont="1" applyFill="1" applyAlignment="1">
      <alignment horizontal="center"/>
    </xf>
    <xf numFmtId="180" fontId="198" fillId="18" borderId="46" xfId="0" applyNumberFormat="1" applyFont="1" applyFill="1" applyBorder="1"/>
    <xf numFmtId="0" fontId="198" fillId="18" borderId="16" xfId="0" applyFont="1" applyFill="1" applyBorder="1"/>
    <xf numFmtId="180" fontId="198" fillId="18" borderId="16" xfId="0" applyNumberFormat="1" applyFont="1" applyFill="1" applyBorder="1"/>
    <xf numFmtId="0" fontId="198" fillId="18" borderId="47" xfId="0" applyFont="1" applyFill="1" applyBorder="1"/>
    <xf numFmtId="0" fontId="199" fillId="18" borderId="5" xfId="0" applyFont="1" applyFill="1" applyBorder="1"/>
    <xf numFmtId="0" fontId="199" fillId="18" borderId="6" xfId="0" applyFont="1" applyFill="1" applyBorder="1"/>
    <xf numFmtId="0" fontId="199" fillId="18" borderId="7" xfId="0" applyFont="1" applyFill="1" applyBorder="1"/>
    <xf numFmtId="0" fontId="15" fillId="9" borderId="0" xfId="95" applyFill="1"/>
    <xf numFmtId="49" fontId="167" fillId="8" borderId="8" xfId="0" applyNumberFormat="1" applyFont="1" applyFill="1" applyBorder="1"/>
    <xf numFmtId="0" fontId="200" fillId="18" borderId="0" xfId="0" applyFont="1" applyFill="1" applyAlignment="1">
      <alignment horizontal="right"/>
    </xf>
    <xf numFmtId="0" fontId="201" fillId="18" borderId="0" xfId="57" applyFont="1" applyFill="1" applyAlignment="1" applyProtection="1">
      <alignment horizontal="center"/>
    </xf>
    <xf numFmtId="0" fontId="202" fillId="18" borderId="0" xfId="0" applyFont="1" applyFill="1" applyAlignment="1">
      <alignment horizontal="right"/>
    </xf>
    <xf numFmtId="0" fontId="201" fillId="18" borderId="0" xfId="0" applyFont="1" applyFill="1" applyAlignment="1">
      <alignment horizontal="center"/>
    </xf>
    <xf numFmtId="9" fontId="203" fillId="18" borderId="0" xfId="0" applyNumberFormat="1" applyFont="1" applyFill="1"/>
    <xf numFmtId="0" fontId="201" fillId="18" borderId="0" xfId="0" applyFont="1" applyFill="1" applyAlignment="1">
      <alignment horizontal="center" wrapText="1"/>
    </xf>
    <xf numFmtId="42" fontId="203" fillId="18" borderId="0" xfId="0" applyNumberFormat="1" applyFont="1" applyFill="1" applyAlignment="1">
      <alignment horizontal="right"/>
    </xf>
    <xf numFmtId="0" fontId="204" fillId="18" borderId="0" xfId="0" applyFont="1" applyFill="1" applyAlignment="1">
      <alignment horizontal="center"/>
    </xf>
    <xf numFmtId="0" fontId="203" fillId="18" borderId="0" xfId="0" applyFont="1" applyFill="1" applyAlignment="1">
      <alignment horizontal="right"/>
    </xf>
    <xf numFmtId="0" fontId="5" fillId="0" borderId="20" xfId="0" applyFont="1" applyBorder="1" applyAlignment="1" applyProtection="1">
      <alignment horizontal="center"/>
      <protection locked="0"/>
    </xf>
    <xf numFmtId="0" fontId="5" fillId="0" borderId="0" xfId="110" applyFont="1"/>
    <xf numFmtId="0" fontId="5" fillId="8" borderId="0" xfId="110" applyFont="1" applyFill="1"/>
    <xf numFmtId="176" fontId="5" fillId="0" borderId="0" xfId="110" applyNumberFormat="1" applyFont="1"/>
    <xf numFmtId="175" fontId="5" fillId="0" borderId="0" xfId="110" applyNumberFormat="1" applyFont="1"/>
    <xf numFmtId="0" fontId="5" fillId="0" borderId="0" xfId="110" applyFont="1" applyProtection="1">
      <protection hidden="1"/>
    </xf>
    <xf numFmtId="0" fontId="5" fillId="0" borderId="1" xfId="110" applyFont="1" applyBorder="1" applyAlignment="1">
      <alignment horizontal="center"/>
    </xf>
    <xf numFmtId="0" fontId="5" fillId="0" borderId="0" xfId="110" applyFont="1" applyAlignment="1">
      <alignment horizontal="center"/>
    </xf>
    <xf numFmtId="176" fontId="5" fillId="0" borderId="1" xfId="110" applyNumberFormat="1" applyFont="1" applyBorder="1" applyProtection="1">
      <protection locked="0"/>
    </xf>
    <xf numFmtId="176" fontId="5" fillId="0" borderId="2" xfId="110" applyNumberFormat="1" applyFont="1" applyBorder="1"/>
    <xf numFmtId="0" fontId="44" fillId="0" borderId="0" xfId="81" applyFont="1" applyAlignment="1">
      <alignment horizontal="left"/>
    </xf>
    <xf numFmtId="0" fontId="102" fillId="0" borderId="0" xfId="81" applyFont="1"/>
    <xf numFmtId="168" fontId="5" fillId="0" borderId="0" xfId="85" applyFont="1" applyAlignment="1" applyProtection="1">
      <alignment horizontal="right"/>
    </xf>
    <xf numFmtId="0" fontId="8" fillId="0" borderId="0" xfId="81" applyFont="1"/>
    <xf numFmtId="0" fontId="14" fillId="0" borderId="0" xfId="81" applyFont="1"/>
    <xf numFmtId="0" fontId="154" fillId="0" borderId="0" xfId="81" applyFont="1"/>
    <xf numFmtId="0" fontId="18" fillId="0" borderId="0" xfId="95" applyFont="1" applyAlignment="1">
      <alignment vertical="top"/>
    </xf>
    <xf numFmtId="180" fontId="0" fillId="0" borderId="3" xfId="0" applyNumberFormat="1" applyBorder="1"/>
    <xf numFmtId="0" fontId="152" fillId="4" borderId="20" xfId="0" applyFont="1" applyFill="1" applyBorder="1"/>
    <xf numFmtId="0" fontId="230" fillId="0" borderId="0" xfId="0" applyFont="1"/>
    <xf numFmtId="0" fontId="7" fillId="52" borderId="15" xfId="0" applyFont="1" applyFill="1" applyBorder="1"/>
    <xf numFmtId="0" fontId="231" fillId="0" borderId="0" xfId="0" applyFont="1"/>
    <xf numFmtId="0" fontId="7" fillId="53" borderId="15" xfId="0" applyFont="1" applyFill="1" applyBorder="1"/>
    <xf numFmtId="0" fontId="18" fillId="54" borderId="16" xfId="0" applyFont="1" applyFill="1" applyBorder="1" applyAlignment="1">
      <alignment horizontal="right"/>
    </xf>
    <xf numFmtId="180" fontId="98" fillId="54" borderId="16" xfId="0" applyNumberFormat="1" applyFont="1" applyFill="1" applyBorder="1" applyAlignment="1">
      <alignment horizontal="center"/>
    </xf>
    <xf numFmtId="180" fontId="98" fillId="54" borderId="47" xfId="0" applyNumberFormat="1" applyFont="1" applyFill="1" applyBorder="1" applyAlignment="1">
      <alignment horizontal="center"/>
    </xf>
    <xf numFmtId="49" fontId="42" fillId="0" borderId="0" xfId="89" applyNumberFormat="1" applyFont="1" applyAlignment="1" applyProtection="1">
      <alignment horizontal="left"/>
      <protection locked="0"/>
    </xf>
    <xf numFmtId="189" fontId="15" fillId="0" borderId="0" xfId="89" applyNumberFormat="1" applyAlignment="1" applyProtection="1">
      <alignment horizontal="right"/>
      <protection locked="0"/>
    </xf>
    <xf numFmtId="49" fontId="42" fillId="0" borderId="0" xfId="89" applyNumberFormat="1" applyFont="1" applyAlignment="1" applyProtection="1">
      <alignment horizontal="center"/>
      <protection locked="0"/>
    </xf>
    <xf numFmtId="0" fontId="5" fillId="0" borderId="0" xfId="101" applyFont="1" applyAlignment="1">
      <alignment horizontal="center"/>
    </xf>
    <xf numFmtId="0" fontId="29" fillId="0" borderId="2" xfId="101" applyFont="1" applyBorder="1" applyAlignment="1">
      <alignment horizontal="center"/>
    </xf>
    <xf numFmtId="0" fontId="66" fillId="0" borderId="0" xfId="101" applyFont="1"/>
    <xf numFmtId="0" fontId="66" fillId="0" borderId="0" xfId="101" applyFont="1" applyAlignment="1">
      <alignment horizontal="centerContinuous"/>
    </xf>
    <xf numFmtId="0" fontId="66" fillId="0" borderId="0" xfId="101" applyFont="1" applyAlignment="1">
      <alignment horizontal="center"/>
    </xf>
    <xf numFmtId="0" fontId="66" fillId="0" borderId="0" xfId="101" applyFont="1" applyAlignment="1">
      <alignment horizontal="left"/>
    </xf>
    <xf numFmtId="0" fontId="18" fillId="0" borderId="0" xfId="101" applyFont="1" applyAlignment="1">
      <alignment horizontal="center"/>
    </xf>
    <xf numFmtId="0" fontId="66" fillId="0" borderId="1" xfId="101" applyFont="1" applyBorder="1" applyAlignment="1">
      <alignment horizontal="centerContinuous"/>
    </xf>
    <xf numFmtId="14" fontId="66" fillId="0" borderId="1" xfId="101" applyNumberFormat="1" applyFont="1" applyBorder="1" applyAlignment="1">
      <alignment horizontal="center"/>
    </xf>
    <xf numFmtId="0" fontId="66" fillId="0" borderId="1" xfId="101" applyFont="1" applyBorder="1" applyAlignment="1">
      <alignment horizontal="center"/>
    </xf>
    <xf numFmtId="1" fontId="18" fillId="0" borderId="0" xfId="101" applyNumberFormat="1" applyFont="1" applyAlignment="1">
      <alignment horizontal="center"/>
    </xf>
    <xf numFmtId="0" fontId="17" fillId="0" borderId="0" xfId="101" applyFont="1" applyAlignment="1">
      <alignment horizontal="center"/>
    </xf>
    <xf numFmtId="176" fontId="18" fillId="0" borderId="0" xfId="101" applyNumberFormat="1" applyFont="1"/>
    <xf numFmtId="1" fontId="66" fillId="54" borderId="0" xfId="101" applyNumberFormat="1" applyFont="1" applyFill="1" applyAlignment="1">
      <alignment horizontal="center"/>
    </xf>
    <xf numFmtId="176" fontId="18" fillId="0" borderId="0" xfId="39" applyNumberFormat="1" applyFont="1"/>
    <xf numFmtId="176" fontId="5" fillId="3" borderId="1" xfId="84" applyNumberFormat="1" applyFont="1" applyFill="1" applyBorder="1"/>
    <xf numFmtId="176" fontId="18" fillId="0" borderId="0" xfId="39" applyNumberFormat="1" applyFont="1" applyProtection="1">
      <protection locked="0"/>
    </xf>
    <xf numFmtId="49" fontId="18" fillId="0" borderId="1" xfId="39" applyNumberFormat="1" applyFont="1" applyBorder="1" applyProtection="1">
      <protection locked="0"/>
    </xf>
    <xf numFmtId="176" fontId="18" fillId="0" borderId="4" xfId="39" applyNumberFormat="1" applyFont="1" applyBorder="1" applyProtection="1">
      <protection locked="0"/>
    </xf>
    <xf numFmtId="1" fontId="66" fillId="0" borderId="0" xfId="101" applyNumberFormat="1" applyFont="1" applyAlignment="1">
      <alignment horizontal="right"/>
    </xf>
    <xf numFmtId="0" fontId="7" fillId="0" borderId="0" xfId="88" applyFont="1" applyAlignment="1">
      <alignment horizontal="left"/>
    </xf>
    <xf numFmtId="49" fontId="18" fillId="0" borderId="0" xfId="39" applyNumberFormat="1" applyFont="1"/>
    <xf numFmtId="176" fontId="18" fillId="0" borderId="3" xfId="39" applyNumberFormat="1" applyFont="1" applyBorder="1"/>
    <xf numFmtId="0" fontId="18" fillId="0" borderId="0" xfId="101" applyFont="1" applyProtection="1">
      <protection hidden="1"/>
    </xf>
    <xf numFmtId="0" fontId="5" fillId="0" borderId="0" xfId="0" applyFont="1" applyAlignment="1">
      <alignment horizontal="left" vertical="center" indent="1"/>
    </xf>
    <xf numFmtId="0" fontId="232" fillId="0" borderId="0" xfId="0" applyFont="1"/>
    <xf numFmtId="176" fontId="5" fillId="3" borderId="0" xfId="84" applyNumberFormat="1" applyFont="1" applyFill="1"/>
    <xf numFmtId="168" fontId="5" fillId="0" borderId="0" xfId="83" applyFont="1" applyAlignment="1" applyProtection="1">
      <alignment horizontal="left"/>
    </xf>
    <xf numFmtId="0" fontId="139" fillId="0" borderId="15" xfId="119" applyFont="1" applyBorder="1" applyAlignment="1" applyProtection="1">
      <alignment horizontal="center"/>
      <protection locked="0"/>
    </xf>
    <xf numFmtId="176" fontId="5" fillId="0" borderId="8" xfId="81" applyNumberFormat="1" applyFont="1" applyBorder="1" applyProtection="1">
      <protection locked="0"/>
    </xf>
    <xf numFmtId="0" fontId="101" fillId="0" borderId="1" xfId="0" applyFont="1" applyBorder="1" applyAlignment="1" applyProtection="1">
      <alignment horizontal="center"/>
      <protection locked="0"/>
    </xf>
    <xf numFmtId="0" fontId="139" fillId="8" borderId="23" xfId="119" applyFont="1" applyFill="1" applyBorder="1" applyAlignment="1" applyProtection="1">
      <alignment horizontal="center"/>
      <protection locked="0"/>
    </xf>
    <xf numFmtId="0" fontId="124" fillId="54" borderId="0" xfId="119" applyFont="1" applyFill="1"/>
    <xf numFmtId="0" fontId="173" fillId="0" borderId="23" xfId="119" applyFont="1" applyBorder="1" applyAlignment="1">
      <alignment horizontal="center" vertical="top" wrapText="1"/>
    </xf>
    <xf numFmtId="0" fontId="170" fillId="0" borderId="0" xfId="119" applyFont="1" applyAlignment="1" applyProtection="1">
      <alignment vertical="top" wrapText="1"/>
      <protection locked="0"/>
    </xf>
    <xf numFmtId="0" fontId="174" fillId="0" borderId="15" xfId="57" applyFont="1" applyBorder="1" applyAlignment="1" applyProtection="1">
      <alignment horizontal="center" vertical="center" wrapText="1"/>
    </xf>
    <xf numFmtId="0" fontId="174" fillId="0" borderId="15" xfId="57" applyFont="1" applyBorder="1" applyAlignment="1" applyProtection="1">
      <alignment horizontal="center" vertical="center"/>
    </xf>
    <xf numFmtId="0" fontId="233" fillId="0" borderId="0" xfId="0" applyFont="1" applyAlignment="1">
      <alignment horizontal="center"/>
    </xf>
    <xf numFmtId="0" fontId="29" fillId="0" borderId="0" xfId="101" applyFont="1" applyAlignment="1" applyProtection="1">
      <alignment horizontal="center"/>
      <protection locked="0"/>
    </xf>
    <xf numFmtId="0" fontId="13" fillId="0" borderId="0" xfId="0" quotePrefix="1" applyFont="1" applyAlignment="1" applyProtection="1">
      <alignment horizontal="center"/>
      <protection hidden="1"/>
    </xf>
    <xf numFmtId="0" fontId="139" fillId="0" borderId="15" xfId="119" applyFont="1" applyBorder="1" applyAlignment="1" applyProtection="1">
      <alignment horizontal="center" vertical="top" wrapText="1"/>
      <protection locked="0"/>
    </xf>
    <xf numFmtId="0" fontId="139" fillId="0" borderId="23" xfId="119" applyFont="1" applyBorder="1" applyAlignment="1" applyProtection="1">
      <alignment horizontal="center"/>
      <protection locked="0"/>
    </xf>
    <xf numFmtId="0" fontId="139" fillId="0" borderId="23" xfId="119" applyFont="1" applyBorder="1" applyAlignment="1" applyProtection="1">
      <alignment horizontal="center" vertical="top" wrapText="1"/>
      <protection locked="0"/>
    </xf>
    <xf numFmtId="0" fontId="5" fillId="0" borderId="4" xfId="0" applyFont="1" applyBorder="1" applyAlignment="1" applyProtection="1">
      <alignment horizontal="center"/>
      <protection locked="0"/>
    </xf>
    <xf numFmtId="0" fontId="101" fillId="0" borderId="4" xfId="0" applyFont="1" applyBorder="1" applyAlignment="1" applyProtection="1">
      <alignment horizontal="center"/>
      <protection locked="0"/>
    </xf>
    <xf numFmtId="14" fontId="5" fillId="0" borderId="1" xfId="0" applyNumberFormat="1" applyFont="1" applyBorder="1" applyAlignment="1" applyProtection="1">
      <alignment horizontal="center"/>
      <protection locked="0"/>
    </xf>
    <xf numFmtId="0" fontId="0" fillId="0" borderId="0" xfId="0" applyAlignment="1">
      <alignment horizontal="center" vertical="top"/>
    </xf>
    <xf numFmtId="0" fontId="0" fillId="0" borderId="0" xfId="0" quotePrefix="1"/>
    <xf numFmtId="0" fontId="0" fillId="0" borderId="0" xfId="0" applyAlignment="1">
      <alignment horizontal="right"/>
    </xf>
    <xf numFmtId="195" fontId="0" fillId="0" borderId="0" xfId="0" applyNumberFormat="1"/>
    <xf numFmtId="0" fontId="84" fillId="0" borderId="15" xfId="57" applyFont="1" applyBorder="1" applyAlignment="1" applyProtection="1">
      <alignment horizontal="center"/>
    </xf>
    <xf numFmtId="5" fontId="0" fillId="0" borderId="0" xfId="0" applyNumberFormat="1"/>
    <xf numFmtId="164" fontId="5" fillId="0" borderId="0" xfId="106" applyNumberFormat="1" applyFont="1" applyAlignment="1">
      <alignment horizontal="center"/>
    </xf>
    <xf numFmtId="164" fontId="5" fillId="0" borderId="0" xfId="106" quotePrefix="1" applyNumberFormat="1" applyFont="1" applyAlignment="1">
      <alignment horizontal="center"/>
    </xf>
    <xf numFmtId="164" fontId="5" fillId="0" borderId="18" xfId="106" applyNumberFormat="1" applyFont="1" applyBorder="1" applyAlignment="1">
      <alignment horizontal="center"/>
    </xf>
    <xf numFmtId="176" fontId="5" fillId="0" borderId="1" xfId="104" applyNumberFormat="1" applyFont="1" applyBorder="1" applyProtection="1">
      <protection locked="0"/>
    </xf>
    <xf numFmtId="164" fontId="15" fillId="0" borderId="8" xfId="106" applyNumberFormat="1" applyFont="1" applyBorder="1" applyAlignment="1">
      <alignment horizontal="center"/>
    </xf>
    <xf numFmtId="164" fontId="7" fillId="0" borderId="0" xfId="106" applyNumberFormat="1" applyFont="1" applyAlignment="1">
      <alignment horizontal="center"/>
    </xf>
    <xf numFmtId="164" fontId="15" fillId="0" borderId="2" xfId="106" applyNumberFormat="1" applyFont="1" applyBorder="1"/>
    <xf numFmtId="164" fontId="15" fillId="0" borderId="2" xfId="106" applyNumberFormat="1" applyFont="1" applyBorder="1" applyAlignment="1">
      <alignment horizontal="center"/>
    </xf>
    <xf numFmtId="164" fontId="15" fillId="0" borderId="0" xfId="106" applyNumberFormat="1" applyFont="1" applyAlignment="1">
      <alignment horizontal="center"/>
    </xf>
    <xf numFmtId="168" fontId="230" fillId="0" borderId="0" xfId="0" applyNumberFormat="1" applyFont="1"/>
    <xf numFmtId="0" fontId="5" fillId="0" borderId="0" xfId="91" applyFont="1" applyAlignment="1">
      <alignment horizontal="right"/>
    </xf>
    <xf numFmtId="0" fontId="5" fillId="0" borderId="0" xfId="91" applyFont="1"/>
    <xf numFmtId="49" fontId="13" fillId="55" borderId="0" xfId="0" applyNumberFormat="1" applyFont="1" applyFill="1" applyAlignment="1" applyProtection="1">
      <alignment horizontal="center"/>
      <protection hidden="1"/>
    </xf>
    <xf numFmtId="0" fontId="13" fillId="55" borderId="0" xfId="0" applyFont="1" applyFill="1" applyProtection="1">
      <protection hidden="1"/>
    </xf>
    <xf numFmtId="0" fontId="0" fillId="55" borderId="0" xfId="0" applyFill="1"/>
    <xf numFmtId="0" fontId="69" fillId="55" borderId="0" xfId="0" applyFont="1" applyFill="1" applyProtection="1">
      <protection hidden="1"/>
    </xf>
    <xf numFmtId="49" fontId="13" fillId="56" borderId="0" xfId="77" applyNumberFormat="1" applyFont="1" applyFill="1" applyAlignment="1" applyProtection="1">
      <alignment horizontal="center"/>
      <protection hidden="1"/>
    </xf>
    <xf numFmtId="168" fontId="69" fillId="56" borderId="0" xfId="77" applyFont="1" applyFill="1" applyProtection="1">
      <protection hidden="1"/>
    </xf>
    <xf numFmtId="168" fontId="13" fillId="56" borderId="0" xfId="77" applyFont="1" applyFill="1" applyProtection="1">
      <protection hidden="1"/>
    </xf>
    <xf numFmtId="0" fontId="0" fillId="56" borderId="0" xfId="0" applyFill="1"/>
    <xf numFmtId="49" fontId="13" fillId="56" borderId="0" xfId="135" applyNumberFormat="1" applyFont="1" applyFill="1" applyAlignment="1" applyProtection="1">
      <alignment horizontal="center"/>
      <protection hidden="1"/>
    </xf>
    <xf numFmtId="168" fontId="13" fillId="56" borderId="0" xfId="135" applyFont="1" applyFill="1" applyProtection="1">
      <protection hidden="1"/>
    </xf>
    <xf numFmtId="0" fontId="7" fillId="56" borderId="0" xfId="0" applyFont="1" applyFill="1"/>
    <xf numFmtId="0" fontId="0" fillId="55" borderId="2" xfId="0" applyFill="1" applyBorder="1"/>
    <xf numFmtId="49" fontId="13" fillId="55" borderId="2" xfId="0" applyNumberFormat="1" applyFont="1" applyFill="1" applyBorder="1" applyAlignment="1" applyProtection="1">
      <alignment horizontal="center"/>
      <protection hidden="1"/>
    </xf>
    <xf numFmtId="0" fontId="13" fillId="55" borderId="2" xfId="0" applyFont="1" applyFill="1" applyBorder="1" applyProtection="1">
      <protection hidden="1"/>
    </xf>
    <xf numFmtId="0" fontId="7" fillId="55" borderId="0" xfId="0" applyFont="1" applyFill="1"/>
    <xf numFmtId="0" fontId="5" fillId="0" borderId="0" xfId="107" applyFont="1" applyProtection="1">
      <protection hidden="1"/>
    </xf>
    <xf numFmtId="0" fontId="5" fillId="0" borderId="0" xfId="108" applyFont="1" applyProtection="1">
      <protection hidden="1"/>
    </xf>
    <xf numFmtId="0" fontId="11" fillId="0" borderId="0" xfId="138" applyProtection="1">
      <protection hidden="1"/>
    </xf>
    <xf numFmtId="0" fontId="55" fillId="0" borderId="0" xfId="136" applyFont="1"/>
    <xf numFmtId="0" fontId="11" fillId="0" borderId="0" xfId="136"/>
    <xf numFmtId="0" fontId="56" fillId="0" borderId="0" xfId="138" applyFont="1"/>
    <xf numFmtId="0" fontId="11" fillId="0" borderId="0" xfId="138"/>
    <xf numFmtId="0" fontId="57" fillId="0" borderId="0" xfId="136" applyFont="1"/>
    <xf numFmtId="0" fontId="55" fillId="0" borderId="0" xfId="138" applyFont="1"/>
    <xf numFmtId="0" fontId="6" fillId="0" borderId="0" xfId="138" applyFont="1" applyAlignment="1">
      <alignment horizontal="centerContinuous"/>
    </xf>
    <xf numFmtId="0" fontId="9" fillId="0" borderId="0" xfId="138" applyFont="1" applyAlignment="1">
      <alignment horizontal="centerContinuous"/>
    </xf>
    <xf numFmtId="0" fontId="5" fillId="0" borderId="0" xfId="138" applyFont="1"/>
    <xf numFmtId="0" fontId="5" fillId="0" borderId="0" xfId="137" applyFont="1" applyAlignment="1" applyProtection="1">
      <alignment shrinkToFit="1"/>
      <protection locked="0"/>
    </xf>
    <xf numFmtId="0" fontId="5" fillId="0" borderId="2" xfId="138" applyFont="1" applyBorder="1"/>
    <xf numFmtId="0" fontId="5" fillId="0" borderId="2" xfId="138" applyFont="1" applyBorder="1" applyAlignment="1">
      <alignment horizontal="right"/>
    </xf>
    <xf numFmtId="0" fontId="7" fillId="0" borderId="0" xfId="138" applyFont="1" applyAlignment="1">
      <alignment horizontal="center"/>
    </xf>
    <xf numFmtId="0" fontId="7" fillId="0" borderId="0" xfId="138" applyFont="1"/>
    <xf numFmtId="0" fontId="56" fillId="0" borderId="0" xfId="138" applyFont="1" applyAlignment="1">
      <alignment horizontal="center"/>
    </xf>
    <xf numFmtId="49" fontId="5" fillId="0" borderId="1" xfId="138" quotePrefix="1" applyNumberFormat="1" applyFont="1" applyBorder="1" applyAlignment="1" applyProtection="1">
      <alignment horizontal="center"/>
      <protection locked="0"/>
    </xf>
    <xf numFmtId="0" fontId="5" fillId="0" borderId="0" xfId="138" applyFont="1" applyAlignment="1">
      <alignment horizontal="center"/>
    </xf>
    <xf numFmtId="0" fontId="5" fillId="0" borderId="1" xfId="138" applyFont="1" applyBorder="1" applyAlignment="1" applyProtection="1">
      <alignment horizontal="center"/>
      <protection locked="0"/>
    </xf>
    <xf numFmtId="176" fontId="5" fillId="0" borderId="1" xfId="138" applyNumberFormat="1" applyFont="1" applyBorder="1" applyProtection="1">
      <protection locked="0"/>
    </xf>
    <xf numFmtId="49" fontId="5" fillId="0" borderId="1" xfId="138" applyNumberFormat="1" applyFont="1" applyBorder="1" applyAlignment="1" applyProtection="1">
      <alignment horizontal="center"/>
      <protection locked="0"/>
    </xf>
    <xf numFmtId="0" fontId="5" fillId="0" borderId="0" xfId="138" applyFont="1" applyAlignment="1" applyProtection="1">
      <alignment horizontal="center"/>
      <protection locked="0"/>
    </xf>
    <xf numFmtId="0" fontId="7" fillId="0" borderId="1" xfId="138" applyFont="1" applyBorder="1" applyAlignment="1">
      <alignment horizontal="center"/>
    </xf>
    <xf numFmtId="0" fontId="139" fillId="8" borderId="23" xfId="119" applyFont="1" applyFill="1" applyBorder="1" applyAlignment="1">
      <alignment horizontal="center"/>
    </xf>
    <xf numFmtId="0" fontId="6" fillId="0" borderId="0" xfId="101" applyFont="1"/>
    <xf numFmtId="188" fontId="7" fillId="0" borderId="0" xfId="0" applyNumberFormat="1" applyFont="1" applyAlignment="1">
      <alignment horizontal="center"/>
    </xf>
    <xf numFmtId="176" fontId="5" fillId="0" borderId="1" xfId="81" applyNumberFormat="1" applyFont="1" applyBorder="1"/>
    <xf numFmtId="176" fontId="7" fillId="0" borderId="14" xfId="81" applyNumberFormat="1" applyFont="1" applyBorder="1"/>
    <xf numFmtId="176" fontId="5" fillId="0" borderId="3" xfId="81" applyNumberFormat="1" applyFont="1" applyBorder="1"/>
    <xf numFmtId="0" fontId="7" fillId="0" borderId="0" xfId="0" applyFont="1" applyProtection="1">
      <protection locked="0"/>
    </xf>
    <xf numFmtId="39" fontId="239" fillId="0" borderId="0" xfId="74" applyNumberFormat="1" applyFont="1" applyProtection="1">
      <protection hidden="1"/>
    </xf>
    <xf numFmtId="180" fontId="0" fillId="8" borderId="0" xfId="0" applyNumberFormat="1" applyFill="1"/>
    <xf numFmtId="180" fontId="5" fillId="0" borderId="1" xfId="75" applyNumberFormat="1" applyBorder="1"/>
    <xf numFmtId="185" fontId="5" fillId="0" borderId="0" xfId="0" applyNumberFormat="1" applyFont="1"/>
    <xf numFmtId="185" fontId="5" fillId="0" borderId="0" xfId="73" applyNumberFormat="1"/>
    <xf numFmtId="43" fontId="155" fillId="0" borderId="0" xfId="32"/>
    <xf numFmtId="180" fontId="5" fillId="0" borderId="1" xfId="73" applyNumberFormat="1" applyBorder="1"/>
    <xf numFmtId="43" fontId="0" fillId="0" borderId="0" xfId="29" applyFont="1"/>
    <xf numFmtId="0" fontId="72" fillId="0" borderId="0" xfId="57" applyFont="1" applyAlignment="1" applyProtection="1">
      <alignment horizontal="left"/>
      <protection hidden="1"/>
    </xf>
    <xf numFmtId="0" fontId="12" fillId="0" borderId="0" xfId="0" applyFont="1" applyAlignment="1" applyProtection="1">
      <alignment horizontal="left"/>
      <protection hidden="1"/>
    </xf>
    <xf numFmtId="0" fontId="46" fillId="0" borderId="0" xfId="57" applyAlignment="1" applyProtection="1">
      <alignment horizontal="left"/>
      <protection hidden="1"/>
    </xf>
    <xf numFmtId="0" fontId="12" fillId="0" borderId="1" xfId="0" applyFont="1" applyBorder="1" applyAlignment="1" applyProtection="1">
      <alignment horizontal="left"/>
      <protection hidden="1"/>
    </xf>
    <xf numFmtId="0" fontId="240" fillId="0" borderId="0" xfId="0" applyFont="1"/>
    <xf numFmtId="0" fontId="17" fillId="0" borderId="0" xfId="0" applyFont="1" applyAlignment="1">
      <alignment vertical="top" wrapText="1"/>
    </xf>
    <xf numFmtId="0" fontId="5" fillId="53" borderId="0" xfId="0" applyFont="1" applyFill="1" applyAlignment="1">
      <alignment wrapText="1"/>
    </xf>
    <xf numFmtId="0" fontId="7" fillId="0" borderId="23" xfId="0" applyFont="1" applyBorder="1" applyAlignment="1">
      <alignment horizontal="left" vertical="top"/>
    </xf>
    <xf numFmtId="0" fontId="5" fillId="0" borderId="1" xfId="108" applyFont="1" applyBorder="1" applyProtection="1">
      <protection locked="0"/>
    </xf>
    <xf numFmtId="0" fontId="7" fillId="0" borderId="0" xfId="114" applyFont="1"/>
    <xf numFmtId="0" fontId="18" fillId="58" borderId="0" xfId="0" quotePrefix="1" applyFont="1" applyFill="1"/>
    <xf numFmtId="0" fontId="5" fillId="0" borderId="0" xfId="0" quotePrefix="1" applyFont="1" applyAlignment="1">
      <alignment horizontal="left" indent="1"/>
    </xf>
    <xf numFmtId="0" fontId="102" fillId="54" borderId="0" xfId="0" applyFont="1" applyFill="1"/>
    <xf numFmtId="0" fontId="0" fillId="54" borderId="0" xfId="0" applyFill="1"/>
    <xf numFmtId="0" fontId="18" fillId="58" borderId="0" xfId="0" applyFont="1" applyFill="1"/>
    <xf numFmtId="49" fontId="30" fillId="52" borderId="1" xfId="138" quotePrefix="1" applyNumberFormat="1" applyFont="1" applyFill="1" applyBorder="1" applyAlignment="1">
      <alignment horizontal="center"/>
    </xf>
    <xf numFmtId="0" fontId="30" fillId="0" borderId="0" xfId="138" applyFont="1" applyAlignment="1">
      <alignment horizontal="center"/>
    </xf>
    <xf numFmtId="0" fontId="30" fillId="52" borderId="1" xfId="138" applyFont="1" applyFill="1" applyBorder="1" applyAlignment="1">
      <alignment horizontal="center"/>
    </xf>
    <xf numFmtId="176" fontId="30" fillId="52" borderId="1" xfId="138" applyNumberFormat="1" applyFont="1" applyFill="1" applyBorder="1"/>
    <xf numFmtId="0" fontId="30" fillId="0" borderId="0" xfId="138" applyFont="1"/>
    <xf numFmtId="0" fontId="89" fillId="0" borderId="0" xfId="107" applyFont="1" applyAlignment="1">
      <alignment vertical="top"/>
    </xf>
    <xf numFmtId="0" fontId="5" fillId="0" borderId="0" xfId="108" applyFont="1"/>
    <xf numFmtId="0" fontId="241" fillId="0" borderId="0" xfId="138" applyFont="1"/>
    <xf numFmtId="0" fontId="5" fillId="0" borderId="0" xfId="73"/>
    <xf numFmtId="1" fontId="7" fillId="59" borderId="0" xfId="0" applyNumberFormat="1" applyFont="1" applyFill="1" applyAlignment="1">
      <alignment horizontal="center"/>
    </xf>
    <xf numFmtId="180" fontId="7" fillId="59" borderId="0" xfId="0" applyNumberFormat="1" applyFont="1" applyFill="1" applyAlignment="1">
      <alignment horizontal="center"/>
    </xf>
    <xf numFmtId="1" fontId="8" fillId="59" borderId="0" xfId="0" applyNumberFormat="1" applyFont="1" applyFill="1" applyAlignment="1">
      <alignment horizontal="center"/>
    </xf>
    <xf numFmtId="180" fontId="97" fillId="0" borderId="0" xfId="0" applyNumberFormat="1" applyFont="1"/>
    <xf numFmtId="164" fontId="5" fillId="0" borderId="0" xfId="99" applyNumberFormat="1" applyAlignment="1">
      <alignment horizontal="centerContinuous"/>
    </xf>
    <xf numFmtId="168" fontId="5" fillId="0" borderId="0" xfId="82" applyFont="1" applyAlignment="1">
      <alignment shrinkToFit="1"/>
      <protection locked="0"/>
    </xf>
    <xf numFmtId="0" fontId="5" fillId="0" borderId="27" xfId="115" applyFont="1" applyBorder="1" applyAlignment="1">
      <alignment horizontal="centerContinuous"/>
    </xf>
    <xf numFmtId="0" fontId="42" fillId="0" borderId="0" xfId="115" applyFont="1"/>
    <xf numFmtId="0" fontId="5" fillId="0" borderId="0" xfId="115" applyFont="1" applyAlignment="1">
      <alignment horizontal="right"/>
    </xf>
    <xf numFmtId="0" fontId="5" fillId="0" borderId="1" xfId="115" applyFont="1" applyBorder="1" applyProtection="1">
      <protection locked="0"/>
    </xf>
    <xf numFmtId="0" fontId="5" fillId="0" borderId="8" xfId="115" applyFont="1" applyBorder="1"/>
    <xf numFmtId="0" fontId="5" fillId="0" borderId="0" xfId="115" applyFont="1" applyAlignment="1">
      <alignment horizontal="left"/>
    </xf>
    <xf numFmtId="0" fontId="7" fillId="0" borderId="0" xfId="99" applyFont="1" applyAlignment="1">
      <alignment horizontal="center"/>
    </xf>
    <xf numFmtId="0" fontId="5" fillId="0" borderId="0" xfId="99" applyAlignment="1">
      <alignment horizontal="right"/>
    </xf>
    <xf numFmtId="0" fontId="8" fillId="0" borderId="0" xfId="115" applyFont="1" applyAlignment="1">
      <alignment horizontal="center"/>
    </xf>
    <xf numFmtId="0" fontId="5" fillId="0" borderId="0" xfId="99" applyAlignment="1">
      <alignment horizontal="center"/>
    </xf>
    <xf numFmtId="0" fontId="5" fillId="0" borderId="1" xfId="99" applyBorder="1" applyAlignment="1" applyProtection="1">
      <alignment horizontal="right"/>
      <protection locked="0"/>
    </xf>
    <xf numFmtId="0" fontId="5" fillId="0" borderId="1" xfId="99" applyBorder="1" applyAlignment="1" applyProtection="1">
      <alignment horizontal="center"/>
      <protection locked="0"/>
    </xf>
    <xf numFmtId="0" fontId="5" fillId="0" borderId="1" xfId="99" applyBorder="1" applyProtection="1">
      <protection locked="0"/>
    </xf>
    <xf numFmtId="188" fontId="7" fillId="0" borderId="0" xfId="115" applyNumberFormat="1" applyFont="1" applyAlignment="1">
      <alignment horizontal="center"/>
    </xf>
    <xf numFmtId="188" fontId="8" fillId="0" borderId="0" xfId="115" applyNumberFormat="1" applyFont="1" applyAlignment="1">
      <alignment horizontal="center"/>
    </xf>
    <xf numFmtId="0" fontId="8" fillId="0" borderId="0" xfId="99" applyFont="1" applyAlignment="1">
      <alignment horizontal="center"/>
    </xf>
    <xf numFmtId="39" fontId="5" fillId="0" borderId="0" xfId="115" applyNumberFormat="1" applyFont="1"/>
    <xf numFmtId="39" fontId="5" fillId="0" borderId="1" xfId="115" applyNumberFormat="1" applyFont="1" applyBorder="1" applyProtection="1">
      <protection locked="0"/>
    </xf>
    <xf numFmtId="39" fontId="5" fillId="0" borderId="1" xfId="99" applyNumberFormat="1" applyBorder="1" applyAlignment="1" applyProtection="1">
      <alignment horizontal="center"/>
      <protection locked="0"/>
    </xf>
    <xf numFmtId="39" fontId="5" fillId="0" borderId="0" xfId="99" applyNumberFormat="1"/>
    <xf numFmtId="39" fontId="5" fillId="0" borderId="0" xfId="115" applyNumberFormat="1" applyFont="1" applyProtection="1">
      <protection locked="0"/>
    </xf>
    <xf numFmtId="39" fontId="5" fillId="0" borderId="0" xfId="99" applyNumberFormat="1" applyAlignment="1" applyProtection="1">
      <alignment horizontal="center"/>
      <protection locked="0"/>
    </xf>
    <xf numFmtId="0" fontId="5" fillId="0" borderId="0" xfId="115" applyFont="1" applyProtection="1">
      <protection locked="0"/>
    </xf>
    <xf numFmtId="39" fontId="8" fillId="0" borderId="0" xfId="115" applyNumberFormat="1" applyFont="1" applyAlignment="1" applyProtection="1">
      <alignment horizontal="center"/>
      <protection locked="0"/>
    </xf>
    <xf numFmtId="39" fontId="5" fillId="0" borderId="1" xfId="115" applyNumberFormat="1" applyFont="1" applyBorder="1"/>
    <xf numFmtId="39" fontId="5" fillId="0" borderId="1" xfId="99" applyNumberFormat="1" applyBorder="1"/>
    <xf numFmtId="0" fontId="7" fillId="5" borderId="0" xfId="115" applyFont="1" applyFill="1" applyAlignment="1">
      <alignment horizontal="center"/>
    </xf>
    <xf numFmtId="0" fontId="7" fillId="0" borderId="1" xfId="115" applyFont="1" applyBorder="1" applyAlignment="1" applyProtection="1">
      <alignment horizontal="center"/>
      <protection locked="0"/>
    </xf>
    <xf numFmtId="0" fontId="5" fillId="0" borderId="0" xfId="115" applyFont="1" applyAlignment="1">
      <alignment horizontal="center"/>
    </xf>
    <xf numFmtId="0" fontId="5" fillId="0" borderId="0" xfId="99" applyAlignment="1" applyProtection="1">
      <alignment horizontal="center"/>
      <protection locked="0"/>
    </xf>
    <xf numFmtId="39" fontId="5" fillId="0" borderId="0" xfId="99" applyNumberFormat="1" applyAlignment="1">
      <alignment horizontal="center"/>
    </xf>
    <xf numFmtId="0" fontId="242" fillId="0" borderId="15" xfId="57" applyFont="1" applyBorder="1" applyAlignment="1" applyProtection="1">
      <alignment horizontal="center"/>
    </xf>
    <xf numFmtId="164" fontId="98" fillId="0" borderId="0" xfId="57" applyNumberFormat="1" applyFont="1" applyAlignment="1" applyProtection="1">
      <alignment horizontal="centerContinuous"/>
    </xf>
    <xf numFmtId="0" fontId="11" fillId="0" borderId="0" xfId="115" applyAlignment="1">
      <alignment horizontal="centerContinuous"/>
    </xf>
    <xf numFmtId="164" fontId="7" fillId="0" borderId="0" xfId="96" applyNumberFormat="1" applyFont="1" applyAlignment="1">
      <alignment horizontal="centerContinuous"/>
    </xf>
    <xf numFmtId="0" fontId="5" fillId="0" borderId="0" xfId="99" applyAlignment="1">
      <alignment horizontal="centerContinuous"/>
    </xf>
    <xf numFmtId="164" fontId="7" fillId="0" borderId="2" xfId="99" applyNumberFormat="1" applyFont="1" applyBorder="1" applyAlignment="1">
      <alignment horizontal="centerContinuous"/>
    </xf>
    <xf numFmtId="0" fontId="11" fillId="0" borderId="1" xfId="115" applyBorder="1"/>
    <xf numFmtId="0" fontId="244" fillId="0" borderId="0" xfId="0" applyFont="1" applyAlignment="1">
      <alignment horizontal="center"/>
    </xf>
    <xf numFmtId="0" fontId="243" fillId="0" borderId="0" xfId="0" applyFont="1" applyAlignment="1">
      <alignment horizontal="center"/>
    </xf>
    <xf numFmtId="0" fontId="243" fillId="0" borderId="0" xfId="0" applyFont="1"/>
    <xf numFmtId="0" fontId="5" fillId="0" borderId="0" xfId="115" applyFont="1" applyAlignment="1" applyProtection="1">
      <alignment horizontal="left"/>
      <protection locked="0"/>
    </xf>
    <xf numFmtId="0" fontId="233" fillId="0" borderId="0" xfId="0" applyFont="1"/>
    <xf numFmtId="0" fontId="65" fillId="0" borderId="0" xfId="115" applyFont="1" applyAlignment="1">
      <alignment horizontal="centerContinuous"/>
    </xf>
    <xf numFmtId="0" fontId="5" fillId="0" borderId="0" xfId="115" applyFont="1" applyAlignment="1">
      <alignment horizontal="centerContinuous"/>
    </xf>
    <xf numFmtId="0" fontId="8" fillId="0" borderId="0" xfId="115" applyFont="1"/>
    <xf numFmtId="0" fontId="59" fillId="0" borderId="0" xfId="115" applyFont="1"/>
    <xf numFmtId="0" fontId="246" fillId="0" borderId="0" xfId="115" applyFont="1"/>
    <xf numFmtId="0" fontId="68" fillId="0" borderId="0" xfId="115" applyFont="1"/>
    <xf numFmtId="0" fontId="63" fillId="0" borderId="0" xfId="91" applyFont="1" applyAlignment="1">
      <alignment horizontal="left"/>
    </xf>
    <xf numFmtId="0" fontId="7" fillId="0" borderId="0" xfId="91" applyFont="1" applyAlignment="1">
      <alignment horizontal="left"/>
    </xf>
    <xf numFmtId="0" fontId="7" fillId="0" borderId="0" xfId="90" applyFont="1" applyAlignment="1">
      <alignment horizontal="left"/>
    </xf>
    <xf numFmtId="0" fontId="6" fillId="0" borderId="0" xfId="90" applyFont="1"/>
    <xf numFmtId="0" fontId="5" fillId="0" borderId="0" xfId="90" applyFont="1" applyAlignment="1">
      <alignment horizontal="left"/>
    </xf>
    <xf numFmtId="49" fontId="13" fillId="0" borderId="0" xfId="0" applyNumberFormat="1" applyFont="1" applyAlignment="1" applyProtection="1">
      <alignment horizontal="center"/>
      <protection hidden="1"/>
    </xf>
    <xf numFmtId="0" fontId="5" fillId="10" borderId="0" xfId="0" applyFont="1" applyFill="1" applyAlignment="1">
      <alignment horizontal="center"/>
    </xf>
    <xf numFmtId="0" fontId="5" fillId="0" borderId="16" xfId="104" applyFont="1" applyBorder="1" applyAlignment="1">
      <alignment horizontal="centerContinuous"/>
    </xf>
    <xf numFmtId="0" fontId="5" fillId="0" borderId="0" xfId="104" applyFont="1" applyAlignment="1">
      <alignment horizontal="centerContinuous"/>
    </xf>
    <xf numFmtId="0" fontId="5" fillId="0" borderId="0" xfId="104" applyFont="1"/>
    <xf numFmtId="43" fontId="5" fillId="0" borderId="0" xfId="29"/>
    <xf numFmtId="0" fontId="18" fillId="8" borderId="0" xfId="0" applyFont="1" applyFill="1" applyAlignment="1">
      <alignment horizontal="right"/>
    </xf>
    <xf numFmtId="0" fontId="14" fillId="0" borderId="0" xfId="99" applyFont="1" applyAlignment="1">
      <alignment horizontal="center"/>
    </xf>
    <xf numFmtId="0" fontId="55" fillId="0" borderId="1" xfId="115" applyFont="1" applyBorder="1" applyAlignment="1" applyProtection="1">
      <alignment horizontal="center"/>
      <protection locked="0"/>
    </xf>
    <xf numFmtId="0" fontId="55" fillId="0" borderId="4" xfId="115" applyFont="1" applyBorder="1" applyAlignment="1" applyProtection="1">
      <alignment horizontal="center"/>
      <protection locked="0"/>
    </xf>
    <xf numFmtId="0" fontId="15" fillId="0" borderId="0" xfId="69" applyFont="1" applyProtection="1">
      <protection locked="0"/>
    </xf>
    <xf numFmtId="170" fontId="5" fillId="0" borderId="1" xfId="69" applyNumberFormat="1" applyFont="1" applyBorder="1" applyProtection="1">
      <protection locked="0"/>
    </xf>
    <xf numFmtId="0" fontId="243" fillId="0" borderId="1" xfId="0" applyFont="1" applyBorder="1" applyProtection="1">
      <protection locked="0"/>
    </xf>
    <xf numFmtId="0" fontId="5" fillId="0" borderId="0" xfId="0" applyFont="1" applyAlignment="1">
      <alignment horizontal="left" indent="2"/>
    </xf>
    <xf numFmtId="0" fontId="243" fillId="0" borderId="0" xfId="0" applyFont="1" applyProtection="1">
      <protection locked="0"/>
    </xf>
    <xf numFmtId="0" fontId="18" fillId="58" borderId="0" xfId="95" applyFont="1" applyFill="1"/>
    <xf numFmtId="0" fontId="18" fillId="58" borderId="2" xfId="95" applyFont="1" applyFill="1" applyBorder="1"/>
    <xf numFmtId="0" fontId="5" fillId="58" borderId="2" xfId="95" applyFont="1" applyFill="1" applyBorder="1" applyAlignment="1">
      <alignment horizontal="right"/>
    </xf>
    <xf numFmtId="0" fontId="18" fillId="58" borderId="2" xfId="95" applyFont="1" applyFill="1" applyBorder="1" applyAlignment="1">
      <alignment horizontal="center" shrinkToFit="1"/>
    </xf>
    <xf numFmtId="0" fontId="243" fillId="58" borderId="0" xfId="0" applyFont="1" applyFill="1"/>
    <xf numFmtId="0" fontId="245" fillId="58" borderId="0" xfId="0" applyFont="1" applyFill="1"/>
    <xf numFmtId="0" fontId="0" fillId="58" borderId="0" xfId="0" applyFill="1"/>
    <xf numFmtId="0" fontId="5" fillId="0" borderId="0" xfId="92" applyFont="1" applyProtection="1">
      <protection locked="0"/>
    </xf>
    <xf numFmtId="39" fontId="5" fillId="0" borderId="0" xfId="92" applyNumberFormat="1" applyFont="1" applyAlignment="1" applyProtection="1">
      <alignment vertical="top" wrapText="1"/>
      <protection locked="0"/>
    </xf>
    <xf numFmtId="43" fontId="5" fillId="0" borderId="0" xfId="29" applyFont="1"/>
    <xf numFmtId="43" fontId="5" fillId="0" borderId="0" xfId="0" applyNumberFormat="1" applyFont="1"/>
    <xf numFmtId="0" fontId="5" fillId="14" borderId="0" xfId="0" applyFont="1" applyFill="1"/>
    <xf numFmtId="43" fontId="5" fillId="61" borderId="0" xfId="0" applyNumberFormat="1" applyFont="1" applyFill="1"/>
    <xf numFmtId="180" fontId="5" fillId="61" borderId="0" xfId="0" applyNumberFormat="1" applyFont="1" applyFill="1"/>
    <xf numFmtId="180" fontId="5" fillId="61" borderId="0" xfId="75" applyNumberFormat="1" applyFill="1"/>
    <xf numFmtId="180" fontId="248" fillId="0" borderId="0" xfId="0" applyNumberFormat="1" applyFont="1" applyAlignment="1">
      <alignment horizontal="center"/>
    </xf>
    <xf numFmtId="180" fontId="5" fillId="52" borderId="0" xfId="75" applyNumberFormat="1" applyFill="1"/>
    <xf numFmtId="180" fontId="0" fillId="61" borderId="0" xfId="0" applyNumberFormat="1" applyFill="1"/>
    <xf numFmtId="43" fontId="0" fillId="61" borderId="0" xfId="29" applyFont="1" applyFill="1"/>
    <xf numFmtId="0" fontId="5" fillId="0" borderId="8" xfId="0" applyFont="1" applyBorder="1" applyProtection="1">
      <protection locked="0"/>
    </xf>
    <xf numFmtId="176" fontId="5" fillId="0" borderId="18" xfId="81" applyNumberFormat="1" applyFont="1" applyBorder="1"/>
    <xf numFmtId="0" fontId="0" fillId="62" borderId="0" xfId="0" applyFill="1"/>
    <xf numFmtId="0" fontId="18" fillId="61" borderId="0" xfId="0" applyFont="1" applyFill="1"/>
    <xf numFmtId="0" fontId="230" fillId="0" borderId="0" xfId="114" applyFont="1"/>
    <xf numFmtId="0" fontId="15" fillId="0" borderId="0" xfId="69" applyFont="1" applyAlignment="1">
      <alignment horizontal="left" indent="1"/>
    </xf>
    <xf numFmtId="0" fontId="5" fillId="0" borderId="2" xfId="81" applyFont="1" applyBorder="1" applyAlignment="1">
      <alignment horizontal="center"/>
    </xf>
    <xf numFmtId="0" fontId="5" fillId="0" borderId="1" xfId="81" applyFont="1" applyBorder="1"/>
    <xf numFmtId="16" fontId="5" fillId="0" borderId="0" xfId="81" applyNumberFormat="1" applyFont="1"/>
    <xf numFmtId="188" fontId="5" fillId="0" borderId="0" xfId="81" applyNumberFormat="1" applyFont="1"/>
    <xf numFmtId="176" fontId="5" fillId="0" borderId="0" xfId="81" applyNumberFormat="1" applyFont="1" applyAlignment="1" applyProtection="1">
      <alignment horizontal="center"/>
      <protection locked="0"/>
    </xf>
    <xf numFmtId="0" fontId="5" fillId="0" borderId="4" xfId="81" applyFont="1" applyBorder="1" applyAlignment="1" applyProtection="1">
      <alignment horizontal="center"/>
      <protection locked="0"/>
    </xf>
    <xf numFmtId="39" fontId="5" fillId="0" borderId="0" xfId="81" applyNumberFormat="1" applyFont="1"/>
    <xf numFmtId="0" fontId="7" fillId="0" borderId="0" xfId="91" applyFont="1" applyAlignment="1">
      <alignment horizontal="right"/>
    </xf>
    <xf numFmtId="0" fontId="46" fillId="0" borderId="0" xfId="57" applyFill="1" applyAlignment="1" applyProtection="1">
      <alignment horizontal="left"/>
      <protection hidden="1"/>
    </xf>
    <xf numFmtId="0" fontId="13" fillId="58" borderId="0" xfId="0" applyFont="1" applyFill="1" applyAlignment="1" applyProtection="1">
      <alignment horizontal="left"/>
      <protection hidden="1"/>
    </xf>
    <xf numFmtId="176" fontId="5" fillId="0" borderId="1" xfId="94" applyNumberFormat="1" applyFont="1" applyBorder="1" applyProtection="1">
      <protection locked="0"/>
    </xf>
    <xf numFmtId="49" fontId="15" fillId="0" borderId="4" xfId="106" applyNumberFormat="1" applyFont="1" applyBorder="1" applyAlignment="1" applyProtection="1">
      <alignment horizontal="center"/>
      <protection locked="0"/>
    </xf>
    <xf numFmtId="49" fontId="15" fillId="0" borderId="1" xfId="106" applyNumberFormat="1" applyFont="1" applyBorder="1" applyAlignment="1" applyProtection="1">
      <alignment horizontal="center"/>
      <protection locked="0"/>
    </xf>
    <xf numFmtId="0" fontId="211" fillId="0" borderId="0" xfId="0" applyFont="1" applyAlignment="1">
      <alignment horizontal="left" vertical="center"/>
    </xf>
    <xf numFmtId="49" fontId="211" fillId="0" borderId="0" xfId="0" applyNumberFormat="1" applyFont="1" applyAlignment="1">
      <alignment horizontal="left" vertical="center" wrapText="1"/>
    </xf>
    <xf numFmtId="0" fontId="0" fillId="0" borderId="0" xfId="0" applyAlignment="1" applyProtection="1">
      <alignment horizontal="left" vertical="center"/>
      <protection locked="0"/>
    </xf>
    <xf numFmtId="0" fontId="8" fillId="0" borderId="0" xfId="69" applyFont="1" applyAlignment="1">
      <alignment horizontal="center"/>
    </xf>
    <xf numFmtId="14" fontId="7" fillId="0" borderId="1" xfId="69" applyNumberFormat="1" applyFont="1" applyBorder="1" applyAlignment="1">
      <alignment horizontal="center"/>
    </xf>
    <xf numFmtId="190" fontId="5" fillId="0" borderId="1" xfId="81" applyNumberFormat="1" applyFont="1" applyBorder="1" applyAlignment="1" applyProtection="1">
      <alignment horizontal="center"/>
      <protection locked="0"/>
    </xf>
    <xf numFmtId="176" fontId="7" fillId="0" borderId="0" xfId="81" applyNumberFormat="1" applyFont="1" applyAlignment="1" applyProtection="1">
      <alignment horizontal="center"/>
      <protection locked="0"/>
    </xf>
    <xf numFmtId="1" fontId="5" fillId="0" borderId="1" xfId="81" applyNumberFormat="1" applyFont="1" applyBorder="1" applyAlignment="1" applyProtection="1">
      <alignment horizontal="center"/>
      <protection locked="0"/>
    </xf>
    <xf numFmtId="176" fontId="5" fillId="0" borderId="1" xfId="84" applyNumberFormat="1" applyFont="1" applyBorder="1" applyProtection="1">
      <protection locked="0"/>
    </xf>
    <xf numFmtId="176" fontId="5" fillId="0" borderId="0" xfId="84" applyNumberFormat="1" applyFont="1" applyProtection="1">
      <protection locked="0"/>
    </xf>
    <xf numFmtId="14" fontId="7" fillId="0" borderId="0" xfId="69" applyNumberFormat="1" applyFont="1" applyAlignment="1">
      <alignment horizontal="center"/>
    </xf>
    <xf numFmtId="190" fontId="37" fillId="0" borderId="0" xfId="81" applyNumberFormat="1" applyFont="1" applyAlignment="1" applyProtection="1">
      <alignment horizontal="left"/>
      <protection locked="0"/>
    </xf>
    <xf numFmtId="39" fontId="37" fillId="0" borderId="0" xfId="81" applyNumberFormat="1" applyFont="1" applyProtection="1">
      <protection locked="0"/>
    </xf>
    <xf numFmtId="0" fontId="37" fillId="0" borderId="0" xfId="81" applyFont="1" applyProtection="1">
      <protection locked="0"/>
    </xf>
    <xf numFmtId="176" fontId="45" fillId="0" borderId="0" xfId="81" applyNumberFormat="1" applyFont="1" applyProtection="1">
      <protection locked="0"/>
    </xf>
    <xf numFmtId="0" fontId="7" fillId="59" borderId="0" xfId="0" applyFont="1" applyFill="1" applyAlignment="1">
      <alignment horizontal="left"/>
    </xf>
    <xf numFmtId="0" fontId="243" fillId="0" borderId="0" xfId="69" applyFont="1"/>
    <xf numFmtId="0" fontId="68" fillId="0" borderId="0" xfId="81" applyFont="1" applyAlignment="1">
      <alignment horizontal="left"/>
    </xf>
    <xf numFmtId="0" fontId="211" fillId="0" borderId="0" xfId="0" applyFont="1" applyAlignment="1">
      <alignment horizontal="center" vertical="center" wrapText="1"/>
    </xf>
    <xf numFmtId="14" fontId="211" fillId="0" borderId="0" xfId="0" applyNumberFormat="1" applyFont="1" applyAlignment="1">
      <alignment horizontal="center" vertical="center"/>
    </xf>
    <xf numFmtId="39" fontId="243" fillId="58" borderId="0" xfId="0" applyNumberFormat="1" applyFont="1" applyFill="1" applyProtection="1">
      <protection locked="0"/>
    </xf>
    <xf numFmtId="43" fontId="0" fillId="52" borderId="0" xfId="29" applyFont="1" applyFill="1"/>
    <xf numFmtId="0" fontId="0" fillId="0" borderId="0" xfId="57" applyFont="1" applyAlignment="1" applyProtection="1"/>
    <xf numFmtId="43" fontId="5" fillId="0" borderId="0" xfId="29" applyAlignment="1">
      <alignment horizontal="center"/>
    </xf>
    <xf numFmtId="43" fontId="5" fillId="0" borderId="1" xfId="29" applyBorder="1" applyAlignment="1">
      <alignment horizontal="center"/>
    </xf>
    <xf numFmtId="43" fontId="0" fillId="0" borderId="4" xfId="0" applyNumberFormat="1" applyBorder="1"/>
    <xf numFmtId="44" fontId="0" fillId="0" borderId="3" xfId="40" applyFont="1" applyBorder="1"/>
    <xf numFmtId="0" fontId="8" fillId="0" borderId="0" xfId="57" applyFont="1" applyAlignment="1" applyProtection="1">
      <alignment vertical="center"/>
    </xf>
    <xf numFmtId="0" fontId="143" fillId="0" borderId="0" xfId="0" applyFont="1" applyAlignment="1">
      <alignment horizontal="left" vertical="center" indent="4"/>
    </xf>
    <xf numFmtId="0" fontId="7" fillId="0" borderId="8" xfId="115" applyFont="1" applyBorder="1"/>
    <xf numFmtId="0" fontId="7" fillId="0" borderId="8" xfId="115" applyFont="1" applyBorder="1" applyAlignment="1">
      <alignment horizontal="center"/>
    </xf>
    <xf numFmtId="0" fontId="5" fillId="0" borderId="8" xfId="115" applyFont="1" applyBorder="1" applyAlignment="1" applyProtection="1">
      <alignment horizontal="center"/>
      <protection locked="0"/>
    </xf>
    <xf numFmtId="0" fontId="11" fillId="0" borderId="8" xfId="115" applyBorder="1"/>
    <xf numFmtId="0" fontId="5" fillId="0" borderId="1" xfId="85" applyNumberFormat="1" applyFont="1" applyBorder="1" applyAlignment="1" applyProtection="1">
      <alignment horizontal="center"/>
    </xf>
    <xf numFmtId="0" fontId="101" fillId="4" borderId="44" xfId="0" applyFont="1" applyFill="1" applyBorder="1"/>
    <xf numFmtId="0" fontId="253" fillId="0" borderId="0" xfId="0" applyFont="1" applyProtection="1">
      <protection hidden="1"/>
    </xf>
    <xf numFmtId="0" fontId="256" fillId="0" borderId="0" xfId="88" applyFont="1" applyAlignment="1">
      <alignment horizontal="right"/>
    </xf>
    <xf numFmtId="0" fontId="256" fillId="0" borderId="0" xfId="88" applyFont="1" applyAlignment="1">
      <alignment horizontal="center"/>
    </xf>
    <xf numFmtId="168" fontId="257" fillId="0" borderId="0" xfId="82" applyFont="1" applyAlignment="1" applyProtection="1">
      <alignment horizontal="center"/>
    </xf>
    <xf numFmtId="168" fontId="257" fillId="0" borderId="0" xfId="82" applyFont="1" applyAlignment="1" applyProtection="1">
      <alignment horizontal="center" wrapText="1"/>
    </xf>
    <xf numFmtId="172" fontId="257" fillId="0" borderId="0" xfId="82" applyNumberFormat="1" applyFont="1" applyAlignment="1" applyProtection="1">
      <alignment horizontal="center"/>
    </xf>
    <xf numFmtId="168" fontId="256" fillId="0" borderId="0" xfId="82" applyFont="1" applyProtection="1"/>
    <xf numFmtId="0" fontId="36" fillId="0" borderId="0" xfId="82" applyNumberFormat="1" applyFont="1" applyAlignment="1" applyProtection="1">
      <alignment horizontal="center"/>
    </xf>
    <xf numFmtId="168" fontId="258" fillId="0" borderId="0" xfId="82" applyFont="1" applyProtection="1"/>
    <xf numFmtId="168" fontId="5" fillId="0" borderId="0" xfId="82" applyFont="1" applyProtection="1"/>
    <xf numFmtId="0" fontId="256" fillId="0" borderId="0" xfId="82" applyNumberFormat="1" applyFont="1" applyProtection="1"/>
    <xf numFmtId="168" fontId="259" fillId="0" borderId="0" xfId="82" applyFont="1" applyProtection="1"/>
    <xf numFmtId="168" fontId="5" fillId="0" borderId="0" xfId="85" applyFont="1" applyProtection="1"/>
    <xf numFmtId="168" fontId="5" fillId="8" borderId="0" xfId="85" applyFont="1" applyFill="1" applyProtection="1"/>
    <xf numFmtId="168" fontId="256" fillId="58" borderId="0" xfId="85" applyFont="1" applyFill="1" applyProtection="1"/>
    <xf numFmtId="168" fontId="256" fillId="0" borderId="0" xfId="85" applyFont="1" applyProtection="1"/>
    <xf numFmtId="168" fontId="260" fillId="0" borderId="0" xfId="85" applyFont="1" applyProtection="1"/>
    <xf numFmtId="168" fontId="256" fillId="0" borderId="0" xfId="82" applyFont="1" applyAlignment="1" applyProtection="1">
      <alignment horizontal="center"/>
    </xf>
    <xf numFmtId="168" fontId="256" fillId="0" borderId="0" xfId="82" applyFont="1" applyAlignment="1" applyProtection="1">
      <alignment horizontal="center" shrinkToFit="1"/>
    </xf>
    <xf numFmtId="168" fontId="257" fillId="0" borderId="0" xfId="85" applyFont="1" applyAlignment="1" applyProtection="1">
      <alignment horizontal="center"/>
    </xf>
    <xf numFmtId="0" fontId="256" fillId="58" borderId="0" xfId="85" applyNumberFormat="1" applyFont="1" applyFill="1" applyProtection="1"/>
    <xf numFmtId="168" fontId="261" fillId="0" borderId="0" xfId="85" applyFont="1" applyProtection="1"/>
    <xf numFmtId="0" fontId="262" fillId="0" borderId="0" xfId="86" applyFont="1"/>
    <xf numFmtId="0" fontId="263" fillId="0" borderId="0" xfId="0" applyFont="1"/>
    <xf numFmtId="0" fontId="264" fillId="0" borderId="0" xfId="95" applyFont="1"/>
    <xf numFmtId="0" fontId="264" fillId="0" borderId="0" xfId="0" applyFont="1"/>
    <xf numFmtId="179" fontId="264" fillId="0" borderId="0" xfId="0" applyNumberFormat="1" applyFont="1"/>
    <xf numFmtId="0" fontId="256" fillId="0" borderId="0" xfId="0" applyFont="1"/>
    <xf numFmtId="0" fontId="256" fillId="6" borderId="0" xfId="0" applyFont="1" applyFill="1"/>
    <xf numFmtId="0" fontId="256" fillId="0" borderId="0" xfId="86" applyFont="1"/>
    <xf numFmtId="0" fontId="260" fillId="0" borderId="0" xfId="86" applyFont="1"/>
    <xf numFmtId="0" fontId="265" fillId="0" borderId="0" xfId="86" applyFont="1"/>
    <xf numFmtId="172" fontId="7" fillId="0" borderId="0" xfId="84" applyNumberFormat="1" applyFont="1" applyAlignment="1">
      <alignment horizontal="center"/>
    </xf>
    <xf numFmtId="0" fontId="256" fillId="0" borderId="0" xfId="84" applyFont="1" applyAlignment="1">
      <alignment horizontal="center"/>
    </xf>
    <xf numFmtId="0" fontId="266" fillId="0" borderId="0" xfId="84" applyFont="1" applyAlignment="1">
      <alignment horizontal="center"/>
    </xf>
    <xf numFmtId="172" fontId="266" fillId="0" borderId="0" xfId="84" applyNumberFormat="1" applyFont="1" applyAlignment="1">
      <alignment horizontal="center"/>
    </xf>
    <xf numFmtId="0" fontId="256" fillId="0" borderId="0" xfId="84" applyFont="1"/>
    <xf numFmtId="0" fontId="256" fillId="0" borderId="0" xfId="88" applyFont="1"/>
    <xf numFmtId="176" fontId="5" fillId="0" borderId="0" xfId="88" applyNumberFormat="1" applyFont="1"/>
    <xf numFmtId="0" fontId="262" fillId="0" borderId="0" xfId="88" applyFont="1"/>
    <xf numFmtId="0" fontId="264" fillId="0" borderId="0" xfId="88" applyFont="1"/>
    <xf numFmtId="0" fontId="264" fillId="0" borderId="0" xfId="88" applyFont="1" applyAlignment="1">
      <alignment horizontal="center"/>
    </xf>
    <xf numFmtId="0" fontId="260" fillId="0" borderId="0" xfId="88" applyFont="1"/>
    <xf numFmtId="0" fontId="267" fillId="0" borderId="0" xfId="88" applyFont="1"/>
    <xf numFmtId="0" fontId="259" fillId="0" borderId="0" xfId="88" applyFont="1"/>
    <xf numFmtId="0" fontId="9" fillId="0" borderId="0" xfId="88" applyFont="1"/>
    <xf numFmtId="0" fontId="268" fillId="0" borderId="0" xfId="88" applyFont="1"/>
    <xf numFmtId="0" fontId="258" fillId="0" borderId="0" xfId="94" applyFont="1"/>
    <xf numFmtId="0" fontId="256" fillId="0" borderId="0" xfId="94" applyFont="1"/>
    <xf numFmtId="0" fontId="265" fillId="0" borderId="0" xfId="94" applyFont="1"/>
    <xf numFmtId="0" fontId="260" fillId="0" borderId="0" xfId="89" applyFont="1"/>
    <xf numFmtId="0" fontId="256" fillId="0" borderId="0" xfId="89" applyFont="1"/>
    <xf numFmtId="0" fontId="256" fillId="0" borderId="0" xfId="89" applyFont="1" applyAlignment="1">
      <alignment horizontal="center"/>
    </xf>
    <xf numFmtId="0" fontId="259" fillId="0" borderId="0" xfId="89" applyFont="1"/>
    <xf numFmtId="0" fontId="256" fillId="0" borderId="0" xfId="102" applyFont="1"/>
    <xf numFmtId="0" fontId="269" fillId="0" borderId="0" xfId="89" applyFont="1"/>
    <xf numFmtId="0" fontId="269" fillId="0" borderId="0" xfId="88" applyFont="1"/>
    <xf numFmtId="0" fontId="270" fillId="0" borderId="0" xfId="69" applyFont="1"/>
    <xf numFmtId="0" fontId="271" fillId="0" borderId="0" xfId="69" applyFont="1"/>
    <xf numFmtId="0" fontId="272" fillId="0" borderId="0" xfId="101" applyFont="1" applyAlignment="1">
      <alignment horizontal="center"/>
    </xf>
    <xf numFmtId="0" fontId="272" fillId="0" borderId="0" xfId="101" applyFont="1" applyAlignment="1">
      <alignment horizontal="left"/>
    </xf>
    <xf numFmtId="0" fontId="14" fillId="0" borderId="0" xfId="98" applyFont="1" applyAlignment="1">
      <alignment horizontal="center"/>
    </xf>
    <xf numFmtId="0" fontId="30" fillId="0" borderId="0" xfId="98" applyFont="1"/>
    <xf numFmtId="0" fontId="265" fillId="0" borderId="0" xfId="98" applyFont="1"/>
    <xf numFmtId="0" fontId="273" fillId="0" borderId="0" xfId="0" applyFont="1"/>
    <xf numFmtId="0" fontId="274" fillId="0" borderId="0" xfId="0" applyFont="1"/>
    <xf numFmtId="0" fontId="265" fillId="0" borderId="0" xfId="101" applyFont="1"/>
    <xf numFmtId="0" fontId="72" fillId="0" borderId="0" xfId="57" applyFont="1" applyAlignment="1" applyProtection="1">
      <alignment horizontal="center" vertical="center"/>
    </xf>
    <xf numFmtId="0" fontId="139" fillId="64" borderId="15" xfId="0" applyFont="1" applyFill="1" applyBorder="1"/>
    <xf numFmtId="0" fontId="275" fillId="0" borderId="0" xfId="114" applyFont="1" applyAlignment="1">
      <alignment horizontal="center"/>
    </xf>
    <xf numFmtId="0" fontId="264" fillId="0" borderId="0" xfId="0" applyFont="1" applyAlignment="1">
      <alignment horizontal="center"/>
    </xf>
    <xf numFmtId="0" fontId="264" fillId="0" borderId="0" xfId="114" applyFont="1" applyAlignment="1">
      <alignment horizontal="center"/>
    </xf>
    <xf numFmtId="0" fontId="264" fillId="0" borderId="0" xfId="114" applyFont="1" applyAlignment="1">
      <alignment horizontal="center" shrinkToFit="1"/>
    </xf>
    <xf numFmtId="0" fontId="264" fillId="0" borderId="0" xfId="95" applyFont="1" applyAlignment="1">
      <alignment horizontal="center"/>
    </xf>
    <xf numFmtId="0" fontId="264" fillId="0" borderId="0" xfId="0" quotePrefix="1" applyFont="1" applyAlignment="1">
      <alignment horizontal="center"/>
    </xf>
    <xf numFmtId="0" fontId="21" fillId="0" borderId="0" xfId="114" applyFont="1" applyAlignment="1">
      <alignment horizontal="center" vertical="center"/>
    </xf>
    <xf numFmtId="0" fontId="0" fillId="0" borderId="0" xfId="0" applyAlignment="1">
      <alignment horizontal="center" vertical="center"/>
    </xf>
    <xf numFmtId="0" fontId="5" fillId="0" borderId="0" xfId="114" applyFont="1" applyAlignment="1">
      <alignment horizontal="center" vertical="center"/>
    </xf>
    <xf numFmtId="0" fontId="5" fillId="0" borderId="0" xfId="114" applyFont="1" applyAlignment="1">
      <alignment horizontal="center" vertical="center" shrinkToFit="1"/>
    </xf>
    <xf numFmtId="0" fontId="5" fillId="0" borderId="0" xfId="95" applyFont="1" applyAlignment="1">
      <alignment horizontal="center" vertical="center"/>
    </xf>
    <xf numFmtId="0" fontId="139" fillId="64" borderId="15" xfId="0" applyFont="1" applyFill="1" applyBorder="1" applyAlignment="1">
      <alignment horizontal="left"/>
    </xf>
    <xf numFmtId="0" fontId="264" fillId="0" borderId="0" xfId="0" quotePrefix="1" applyFont="1" applyAlignment="1">
      <alignment horizontal="center" vertical="center"/>
    </xf>
    <xf numFmtId="0" fontId="264" fillId="0" borderId="0" xfId="0" applyFont="1" applyAlignment="1">
      <alignment horizontal="center" vertical="center"/>
    </xf>
    <xf numFmtId="0" fontId="230" fillId="0" borderId="0" xfId="0" applyFont="1" applyAlignment="1">
      <alignment horizontal="center"/>
    </xf>
    <xf numFmtId="0" fontId="264" fillId="63" borderId="0" xfId="0" applyFont="1" applyFill="1" applyAlignment="1">
      <alignment horizontal="center" vertical="center"/>
    </xf>
    <xf numFmtId="0" fontId="230" fillId="0" borderId="0" xfId="0" applyFont="1" applyAlignment="1">
      <alignment horizontal="center" vertical="center"/>
    </xf>
    <xf numFmtId="0" fontId="264" fillId="63" borderId="0" xfId="0" applyFont="1" applyFill="1"/>
    <xf numFmtId="0" fontId="264" fillId="0" borderId="0" xfId="0" applyFont="1" applyAlignment="1">
      <alignment horizontal="right"/>
    </xf>
    <xf numFmtId="0" fontId="264" fillId="0" borderId="0" xfId="0" quotePrefix="1" applyFont="1"/>
    <xf numFmtId="0" fontId="275" fillId="0" borderId="0" xfId="114" applyFont="1"/>
    <xf numFmtId="0" fontId="264" fillId="0" borderId="0" xfId="114" applyFont="1"/>
    <xf numFmtId="0" fontId="264" fillId="0" borderId="0" xfId="114" applyFont="1" applyAlignment="1">
      <alignment shrinkToFit="1"/>
    </xf>
    <xf numFmtId="0" fontId="276" fillId="8" borderId="0" xfId="95" applyFont="1" applyFill="1" applyAlignment="1">
      <alignment horizontal="center"/>
    </xf>
    <xf numFmtId="0" fontId="256" fillId="0" borderId="0" xfId="88" applyFont="1" applyAlignment="1" applyProtection="1">
      <alignment horizontal="center"/>
      <protection locked="0"/>
    </xf>
    <xf numFmtId="0" fontId="5" fillId="0" borderId="0" xfId="0" applyFont="1" applyProtection="1">
      <protection hidden="1"/>
    </xf>
    <xf numFmtId="0" fontId="277" fillId="0" borderId="0" xfId="110" applyFont="1"/>
    <xf numFmtId="0" fontId="6" fillId="0" borderId="0" xfId="91" applyFont="1"/>
    <xf numFmtId="0" fontId="5" fillId="0" borderId="0" xfId="91" applyFont="1" applyAlignment="1">
      <alignment horizontal="center" shrinkToFit="1"/>
    </xf>
    <xf numFmtId="49" fontId="13" fillId="0" borderId="0" xfId="0" applyNumberFormat="1" applyFont="1" applyProtection="1">
      <protection hidden="1"/>
    </xf>
    <xf numFmtId="0" fontId="13" fillId="0" borderId="0" xfId="0" quotePrefix="1" applyFont="1" applyProtection="1">
      <protection hidden="1"/>
    </xf>
    <xf numFmtId="0" fontId="256" fillId="0" borderId="0" xfId="85" applyNumberFormat="1" applyFont="1" applyProtection="1"/>
    <xf numFmtId="0" fontId="267" fillId="0" borderId="0" xfId="88" applyFont="1" applyProtection="1">
      <protection locked="0"/>
    </xf>
    <xf numFmtId="170" fontId="5" fillId="0" borderId="14" xfId="69" applyNumberFormat="1" applyFont="1" applyBorder="1"/>
    <xf numFmtId="0" fontId="5" fillId="0" borderId="1" xfId="94" applyFont="1" applyBorder="1" applyAlignment="1" applyProtection="1">
      <alignment horizontal="center"/>
      <protection locked="0"/>
    </xf>
    <xf numFmtId="176" fontId="105" fillId="0" borderId="2" xfId="116" applyNumberFormat="1" applyBorder="1"/>
    <xf numFmtId="0" fontId="56" fillId="0" borderId="0" xfId="116" applyFont="1" applyAlignment="1">
      <alignment horizontal="left"/>
    </xf>
    <xf numFmtId="0" fontId="108" fillId="0" borderId="0" xfId="116" applyFont="1" applyAlignment="1">
      <alignment horizontal="center"/>
    </xf>
    <xf numFmtId="0" fontId="105" fillId="0" borderId="0" xfId="116" applyAlignment="1">
      <alignment horizontal="centerContinuous"/>
    </xf>
    <xf numFmtId="0" fontId="7" fillId="0" borderId="0" xfId="109" applyFont="1" applyAlignment="1">
      <alignment horizontal="center"/>
    </xf>
    <xf numFmtId="0" fontId="7" fillId="0" borderId="2" xfId="109" applyFont="1" applyBorder="1" applyAlignment="1">
      <alignment horizontal="center"/>
    </xf>
    <xf numFmtId="0" fontId="18" fillId="0" borderId="2" xfId="109" applyFont="1" applyBorder="1"/>
    <xf numFmtId="0" fontId="18" fillId="0" borderId="0" xfId="109" applyFont="1"/>
    <xf numFmtId="0" fontId="65" fillId="0" borderId="0" xfId="0" applyFont="1" applyAlignment="1">
      <alignment horizontal="center"/>
    </xf>
    <xf numFmtId="0" fontId="105" fillId="0" borderId="0" xfId="116" applyAlignment="1" applyProtection="1">
      <alignment horizontal="center"/>
      <protection locked="0"/>
    </xf>
    <xf numFmtId="0" fontId="0" fillId="0" borderId="45" xfId="0" applyBorder="1"/>
    <xf numFmtId="0" fontId="0" fillId="0" borderId="29" xfId="0" applyBorder="1"/>
    <xf numFmtId="0" fontId="0" fillId="0" borderId="31" xfId="0" applyBorder="1"/>
    <xf numFmtId="0" fontId="0" fillId="0" borderId="27" xfId="0" applyBorder="1"/>
    <xf numFmtId="0" fontId="68" fillId="0" borderId="0" xfId="0" applyFont="1"/>
    <xf numFmtId="0" fontId="278" fillId="0" borderId="0" xfId="0" applyFont="1"/>
    <xf numFmtId="0" fontId="0" fillId="0" borderId="28" xfId="0" applyBorder="1"/>
    <xf numFmtId="0" fontId="0" fillId="0" borderId="30" xfId="0" applyBorder="1"/>
    <xf numFmtId="0" fontId="7" fillId="0" borderId="32" xfId="0" applyFont="1" applyBorder="1" applyAlignment="1">
      <alignment horizontal="center"/>
    </xf>
    <xf numFmtId="0" fontId="0" fillId="0" borderId="32" xfId="0" applyBorder="1"/>
    <xf numFmtId="0" fontId="7" fillId="0" borderId="30" xfId="0" applyFont="1" applyBorder="1"/>
    <xf numFmtId="0" fontId="6" fillId="0" borderId="0" xfId="0" applyFont="1"/>
    <xf numFmtId="0" fontId="248" fillId="0" borderId="30" xfId="0" applyFont="1" applyBorder="1"/>
    <xf numFmtId="180" fontId="98" fillId="0" borderId="30" xfId="0" applyNumberFormat="1" applyFont="1" applyBorder="1" applyAlignment="1">
      <alignment horizontal="left"/>
    </xf>
    <xf numFmtId="168" fontId="230" fillId="0" borderId="0" xfId="82" applyFont="1" applyProtection="1"/>
    <xf numFmtId="168" fontId="240" fillId="0" borderId="0" xfId="85" applyFont="1" applyProtection="1"/>
    <xf numFmtId="168" fontId="240" fillId="0" borderId="0" xfId="82" applyFont="1" applyProtection="1"/>
    <xf numFmtId="0" fontId="30" fillId="0" borderId="0" xfId="0" applyFont="1" applyAlignment="1">
      <alignment horizontal="center"/>
    </xf>
    <xf numFmtId="0" fontId="282" fillId="0" borderId="0" xfId="0" applyFont="1"/>
    <xf numFmtId="0" fontId="30" fillId="0" borderId="0" xfId="86" applyFont="1"/>
    <xf numFmtId="0" fontId="283" fillId="0" borderId="0" xfId="86" applyFont="1"/>
    <xf numFmtId="0" fontId="65" fillId="0" borderId="0" xfId="86" applyFont="1"/>
    <xf numFmtId="0" fontId="32" fillId="0" borderId="0" xfId="86" applyFont="1"/>
    <xf numFmtId="0" fontId="264" fillId="54" borderId="0" xfId="0" applyFont="1" applyFill="1" applyAlignment="1">
      <alignment horizontal="center" vertical="center"/>
    </xf>
    <xf numFmtId="0" fontId="37" fillId="58" borderId="0" xfId="81" applyFont="1" applyFill="1"/>
    <xf numFmtId="0" fontId="45" fillId="58" borderId="0" xfId="81" applyFont="1" applyFill="1" applyAlignment="1">
      <alignment horizontal="left"/>
    </xf>
    <xf numFmtId="0" fontId="68" fillId="58" borderId="0" xfId="81" applyFont="1" applyFill="1" applyAlignment="1">
      <alignment horizontal="left"/>
    </xf>
    <xf numFmtId="0" fontId="37" fillId="58" borderId="0" xfId="81" applyFont="1" applyFill="1" applyAlignment="1">
      <alignment horizontal="center"/>
    </xf>
    <xf numFmtId="0" fontId="37" fillId="58" borderId="0" xfId="81" applyFont="1" applyFill="1" applyAlignment="1">
      <alignment horizontal="left"/>
    </xf>
    <xf numFmtId="164" fontId="5" fillId="58" borderId="4" xfId="69" applyNumberFormat="1" applyFont="1" applyFill="1" applyBorder="1" applyAlignment="1" applyProtection="1">
      <alignment horizontal="center" shrinkToFit="1"/>
      <protection locked="0"/>
    </xf>
    <xf numFmtId="0" fontId="37" fillId="58" borderId="0" xfId="81" applyFont="1" applyFill="1" applyAlignment="1" applyProtection="1">
      <alignment horizontal="center"/>
      <protection locked="0"/>
    </xf>
    <xf numFmtId="0" fontId="37" fillId="58" borderId="2" xfId="81" applyFont="1" applyFill="1" applyBorder="1"/>
    <xf numFmtId="0" fontId="7" fillId="58" borderId="0" xfId="115" applyFont="1" applyFill="1" applyAlignment="1">
      <alignment horizontal="right"/>
    </xf>
    <xf numFmtId="0" fontId="5" fillId="58" borderId="0" xfId="101" applyFont="1" applyFill="1"/>
    <xf numFmtId="0" fontId="5" fillId="58" borderId="15" xfId="115" applyFont="1" applyFill="1" applyBorder="1" applyAlignment="1" applyProtection="1">
      <alignment horizontal="center"/>
      <protection locked="0"/>
    </xf>
    <xf numFmtId="0" fontId="7" fillId="58" borderId="10" xfId="0" applyFont="1" applyFill="1" applyBorder="1" applyAlignment="1">
      <alignment horizontal="left"/>
    </xf>
    <xf numFmtId="0" fontId="5" fillId="58" borderId="0" xfId="115" applyFont="1" applyFill="1"/>
    <xf numFmtId="0" fontId="5" fillId="58" borderId="0" xfId="115" applyFont="1" applyFill="1" applyAlignment="1" applyProtection="1">
      <alignment horizontal="center"/>
      <protection locked="0"/>
    </xf>
    <xf numFmtId="0" fontId="5" fillId="58" borderId="0" xfId="0" applyFont="1" applyFill="1" applyAlignment="1">
      <alignment horizontal="left" indent="1"/>
    </xf>
    <xf numFmtId="0" fontId="5" fillId="58" borderId="0" xfId="81" applyFont="1" applyFill="1"/>
    <xf numFmtId="0" fontId="7" fillId="58" borderId="0" xfId="69" applyFont="1" applyFill="1" applyAlignment="1">
      <alignment horizontal="center"/>
    </xf>
    <xf numFmtId="0" fontId="7" fillId="58" borderId="1" xfId="69" applyFont="1" applyFill="1" applyBorder="1" applyAlignment="1">
      <alignment horizontal="center"/>
    </xf>
    <xf numFmtId="0" fontId="243" fillId="58" borderId="0" xfId="69" applyFont="1" applyFill="1"/>
    <xf numFmtId="14" fontId="7" fillId="58" borderId="1" xfId="69" applyNumberFormat="1" applyFont="1" applyFill="1" applyBorder="1" applyAlignment="1">
      <alignment horizontal="center"/>
    </xf>
    <xf numFmtId="190" fontId="5" fillId="58" borderId="1" xfId="81" applyNumberFormat="1" applyFont="1" applyFill="1" applyBorder="1" applyAlignment="1" applyProtection="1">
      <alignment horizontal="center"/>
      <protection locked="0"/>
    </xf>
    <xf numFmtId="176" fontId="5" fillId="58" borderId="0" xfId="81" applyNumberFormat="1" applyFont="1" applyFill="1" applyAlignment="1" applyProtection="1">
      <alignment horizontal="center"/>
      <protection locked="0"/>
    </xf>
    <xf numFmtId="0" fontId="5" fillId="58" borderId="1" xfId="81" applyFont="1" applyFill="1" applyBorder="1" applyAlignment="1" applyProtection="1">
      <alignment horizontal="center"/>
      <protection locked="0"/>
    </xf>
    <xf numFmtId="176" fontId="7" fillId="58" borderId="0" xfId="81" applyNumberFormat="1" applyFont="1" applyFill="1" applyAlignment="1" applyProtection="1">
      <alignment horizontal="center"/>
      <protection locked="0"/>
    </xf>
    <xf numFmtId="1" fontId="5" fillId="58" borderId="1" xfId="81" applyNumberFormat="1" applyFont="1" applyFill="1" applyBorder="1" applyAlignment="1" applyProtection="1">
      <alignment horizontal="center"/>
      <protection locked="0"/>
    </xf>
    <xf numFmtId="0" fontId="5" fillId="58" borderId="0" xfId="81" applyFont="1" applyFill="1" applyAlignment="1" applyProtection="1">
      <alignment horizontal="center"/>
      <protection locked="0"/>
    </xf>
    <xf numFmtId="0" fontId="5" fillId="58" borderId="0" xfId="81" applyFont="1" applyFill="1" applyAlignment="1" applyProtection="1">
      <alignment horizontal="left"/>
      <protection locked="0"/>
    </xf>
    <xf numFmtId="176" fontId="5" fillId="58" borderId="1" xfId="84" applyNumberFormat="1" applyFont="1" applyFill="1" applyBorder="1" applyProtection="1">
      <protection locked="0"/>
    </xf>
    <xf numFmtId="176" fontId="5" fillId="58" borderId="0" xfId="84" applyNumberFormat="1" applyFont="1" applyFill="1" applyProtection="1">
      <protection locked="0"/>
    </xf>
    <xf numFmtId="0" fontId="8" fillId="58" borderId="0" xfId="69" applyFont="1" applyFill="1"/>
    <xf numFmtId="0" fontId="5" fillId="58" borderId="0" xfId="69" applyFont="1" applyFill="1"/>
    <xf numFmtId="176" fontId="5" fillId="58" borderId="0" xfId="84" applyNumberFormat="1" applyFont="1" applyFill="1"/>
    <xf numFmtId="0" fontId="7" fillId="58" borderId="0" xfId="88" applyFont="1" applyFill="1" applyAlignment="1">
      <alignment horizontal="center"/>
    </xf>
    <xf numFmtId="190" fontId="5" fillId="58" borderId="0" xfId="81" applyNumberFormat="1" applyFont="1" applyFill="1" applyAlignment="1" applyProtection="1">
      <alignment horizontal="center"/>
      <protection locked="0"/>
    </xf>
    <xf numFmtId="1" fontId="5" fillId="58" borderId="0" xfId="81" applyNumberFormat="1" applyFont="1" applyFill="1" applyAlignment="1" applyProtection="1">
      <alignment horizontal="center"/>
      <protection locked="0"/>
    </xf>
    <xf numFmtId="190" fontId="37" fillId="58" borderId="0" xfId="81" applyNumberFormat="1" applyFont="1" applyFill="1" applyAlignment="1" applyProtection="1">
      <alignment horizontal="left"/>
      <protection locked="0"/>
    </xf>
    <xf numFmtId="176" fontId="37" fillId="58" borderId="0" xfId="81" applyNumberFormat="1" applyFont="1" applyFill="1" applyProtection="1">
      <protection locked="0"/>
    </xf>
    <xf numFmtId="39" fontId="37" fillId="58" borderId="0" xfId="81" applyNumberFormat="1" applyFont="1" applyFill="1" applyProtection="1">
      <protection locked="0"/>
    </xf>
    <xf numFmtId="0" fontId="37" fillId="58" borderId="0" xfId="81" applyFont="1" applyFill="1" applyProtection="1">
      <protection locked="0"/>
    </xf>
    <xf numFmtId="176" fontId="45" fillId="58" borderId="0" xfId="81" applyNumberFormat="1" applyFont="1" applyFill="1" applyProtection="1">
      <protection locked="0"/>
    </xf>
    <xf numFmtId="0" fontId="44" fillId="58" borderId="0" xfId="81" applyFont="1" applyFill="1"/>
    <xf numFmtId="0" fontId="43" fillId="58" borderId="0" xfId="81" applyFont="1" applyFill="1"/>
    <xf numFmtId="0" fontId="212" fillId="58" borderId="0" xfId="69" applyFill="1"/>
    <xf numFmtId="0" fontId="243" fillId="0" borderId="0" xfId="0" applyFont="1" applyAlignment="1" applyProtection="1">
      <alignment horizontal="center"/>
      <protection locked="0"/>
    </xf>
    <xf numFmtId="0" fontId="256" fillId="0" borderId="0" xfId="57" applyFont="1" applyAlignment="1" applyProtection="1"/>
    <xf numFmtId="6" fontId="15" fillId="0" borderId="0" xfId="115" applyNumberFormat="1" applyFont="1" applyProtection="1">
      <protection locked="0"/>
    </xf>
    <xf numFmtId="0" fontId="15" fillId="0" borderId="0" xfId="99" applyFont="1"/>
    <xf numFmtId="0" fontId="15" fillId="0" borderId="0" xfId="115" applyFont="1" applyProtection="1">
      <protection locked="0"/>
    </xf>
    <xf numFmtId="0" fontId="256" fillId="0" borderId="0" xfId="0" applyFont="1" applyAlignment="1">
      <alignment horizontal="right"/>
    </xf>
    <xf numFmtId="0" fontId="256" fillId="0" borderId="0" xfId="0" applyFont="1" applyAlignment="1">
      <alignment horizontal="left"/>
    </xf>
    <xf numFmtId="0" fontId="285" fillId="0" borderId="0" xfId="0" applyFont="1"/>
    <xf numFmtId="0" fontId="115" fillId="0" borderId="0" xfId="0" applyFont="1" applyProtection="1">
      <protection hidden="1"/>
    </xf>
    <xf numFmtId="0" fontId="264" fillId="54" borderId="0" xfId="0" applyFont="1" applyFill="1" applyAlignment="1">
      <alignment horizontal="center"/>
    </xf>
    <xf numFmtId="49" fontId="254" fillId="54" borderId="0" xfId="0" applyNumberFormat="1" applyFont="1" applyFill="1"/>
    <xf numFmtId="43" fontId="7" fillId="61" borderId="0" xfId="0" applyNumberFormat="1" applyFont="1" applyFill="1"/>
    <xf numFmtId="180" fontId="7" fillId="8" borderId="0" xfId="0" applyNumberFormat="1" applyFont="1" applyFill="1"/>
    <xf numFmtId="180" fontId="7" fillId="0" borderId="0" xfId="0" applyNumberFormat="1" applyFont="1"/>
    <xf numFmtId="0" fontId="32" fillId="0" borderId="0" xfId="115" applyFont="1"/>
    <xf numFmtId="49" fontId="5" fillId="0" borderId="0" xfId="0" quotePrefix="1" applyNumberFormat="1" applyFont="1" applyAlignment="1">
      <alignment horizontal="left"/>
    </xf>
    <xf numFmtId="49" fontId="5" fillId="0" borderId="0" xfId="0" applyNumberFormat="1" applyFont="1" applyAlignment="1">
      <alignment horizontal="left"/>
    </xf>
    <xf numFmtId="49" fontId="5" fillId="0" borderId="0" xfId="0" quotePrefix="1" applyNumberFormat="1" applyFont="1"/>
    <xf numFmtId="0" fontId="57" fillId="58" borderId="0" xfId="115" applyFont="1" applyFill="1" applyAlignment="1">
      <alignment horizontal="center" vertical="center"/>
    </xf>
    <xf numFmtId="0" fontId="11" fillId="0" borderId="1" xfId="116" applyFont="1" applyBorder="1" applyProtection="1">
      <protection locked="0"/>
    </xf>
    <xf numFmtId="189" fontId="11" fillId="0" borderId="1" xfId="116" applyNumberFormat="1" applyFont="1" applyBorder="1" applyProtection="1">
      <protection locked="0"/>
    </xf>
    <xf numFmtId="194" fontId="5" fillId="0" borderId="1" xfId="108" applyNumberFormat="1" applyFont="1" applyBorder="1" applyProtection="1">
      <protection locked="0"/>
    </xf>
    <xf numFmtId="175" fontId="5" fillId="0" borderId="1" xfId="108" applyNumberFormat="1" applyFont="1" applyBorder="1" applyProtection="1">
      <protection locked="0"/>
    </xf>
    <xf numFmtId="0" fontId="230" fillId="0" borderId="0" xfId="0" applyFont="1" applyAlignment="1">
      <alignment wrapText="1"/>
    </xf>
    <xf numFmtId="0" fontId="5" fillId="5" borderId="15" xfId="0" applyFont="1" applyFill="1" applyBorder="1"/>
    <xf numFmtId="43" fontId="5" fillId="0" borderId="0" xfId="29" applyBorder="1" applyAlignment="1" applyProtection="1">
      <alignment horizontal="center"/>
      <protection locked="0"/>
    </xf>
    <xf numFmtId="44" fontId="5" fillId="0" borderId="14" xfId="40" applyBorder="1" applyAlignment="1" applyProtection="1">
      <alignment horizontal="center"/>
    </xf>
    <xf numFmtId="43" fontId="5" fillId="0" borderId="4" xfId="29" applyBorder="1" applyAlignment="1" applyProtection="1">
      <alignment horizontal="center"/>
    </xf>
    <xf numFmtId="43" fontId="0" fillId="0" borderId="0" xfId="0" applyNumberFormat="1" applyProtection="1">
      <protection locked="0"/>
    </xf>
    <xf numFmtId="43" fontId="0" fillId="0" borderId="1" xfId="0" applyNumberFormat="1" applyBorder="1" applyProtection="1">
      <protection locked="0"/>
    </xf>
    <xf numFmtId="0" fontId="29" fillId="0" borderId="0" xfId="86" applyFont="1" applyAlignment="1">
      <alignment horizontal="right"/>
    </xf>
    <xf numFmtId="0" fontId="29" fillId="0" borderId="0" xfId="86" applyFont="1" applyAlignment="1">
      <alignment horizontal="left"/>
    </xf>
    <xf numFmtId="0" fontId="29" fillId="0" borderId="1" xfId="86" applyFont="1" applyBorder="1" applyProtection="1">
      <protection locked="0"/>
    </xf>
    <xf numFmtId="3" fontId="211" fillId="0" borderId="0" xfId="0" applyNumberFormat="1" applyFont="1" applyAlignment="1">
      <alignment horizontal="center" vertical="center" wrapText="1"/>
    </xf>
    <xf numFmtId="0" fontId="13" fillId="0" borderId="0" xfId="57" applyFont="1" applyAlignment="1" applyProtection="1">
      <protection hidden="1"/>
    </xf>
    <xf numFmtId="0" fontId="288" fillId="0" borderId="0" xfId="57" applyFont="1" applyAlignment="1" applyProtection="1"/>
    <xf numFmtId="0" fontId="290" fillId="0" borderId="0" xfId="0" applyFont="1"/>
    <xf numFmtId="0" fontId="13" fillId="0" borderId="0" xfId="57" applyFont="1" applyFill="1" applyAlignment="1" applyProtection="1">
      <alignment horizontal="left"/>
      <protection hidden="1"/>
    </xf>
    <xf numFmtId="0" fontId="232" fillId="0" borderId="0" xfId="57" applyFont="1" applyAlignment="1" applyProtection="1"/>
    <xf numFmtId="0" fontId="13" fillId="0" borderId="0" xfId="57" applyFont="1" applyFill="1" applyAlignment="1" applyProtection="1">
      <protection hidden="1"/>
    </xf>
    <xf numFmtId="0" fontId="13" fillId="0" borderId="0" xfId="57" applyFont="1" applyAlignment="1" applyProtection="1">
      <alignment wrapText="1"/>
      <protection hidden="1"/>
    </xf>
    <xf numFmtId="0" fontId="211" fillId="0" borderId="0" xfId="0" applyFont="1" applyAlignment="1">
      <alignment vertical="center"/>
    </xf>
    <xf numFmtId="0" fontId="0" fillId="0" borderId="0" xfId="0" applyAlignment="1" applyProtection="1">
      <alignment vertical="center"/>
      <protection locked="0"/>
    </xf>
    <xf numFmtId="0" fontId="0" fillId="0" borderId="0" xfId="0" applyAlignment="1" applyProtection="1">
      <alignment horizontal="center" vertical="center"/>
      <protection locked="0"/>
    </xf>
    <xf numFmtId="14" fontId="0" fillId="0" borderId="0" xfId="0" applyNumberFormat="1" applyAlignment="1" applyProtection="1">
      <alignment horizontal="center" vertical="center"/>
      <protection locked="0"/>
    </xf>
    <xf numFmtId="0" fontId="139" fillId="0" borderId="0" xfId="0" applyFont="1"/>
    <xf numFmtId="0" fontId="139" fillId="0" borderId="0" xfId="0" applyFont="1" applyProtection="1">
      <protection locked="0"/>
    </xf>
    <xf numFmtId="0" fontId="139" fillId="0" borderId="0" xfId="0" applyFont="1" applyAlignment="1">
      <alignment horizontal="center"/>
    </xf>
    <xf numFmtId="0" fontId="139" fillId="0" borderId="0" xfId="0" applyFont="1" applyProtection="1">
      <protection hidden="1"/>
    </xf>
    <xf numFmtId="175" fontId="139" fillId="0" borderId="0" xfId="0" applyNumberFormat="1" applyFont="1"/>
    <xf numFmtId="0" fontId="139" fillId="0" borderId="0" xfId="119" applyFont="1" applyProtection="1">
      <protection locked="0"/>
    </xf>
    <xf numFmtId="0" fontId="139" fillId="8" borderId="15" xfId="119" applyFont="1" applyFill="1" applyBorder="1" applyAlignment="1">
      <alignment horizontal="center"/>
    </xf>
    <xf numFmtId="0" fontId="139" fillId="3" borderId="15" xfId="119" applyFont="1" applyFill="1" applyBorder="1" applyAlignment="1">
      <alignment horizontal="center" vertical="center" wrapText="1"/>
    </xf>
    <xf numFmtId="0" fontId="139" fillId="0" borderId="0" xfId="119" applyFont="1" applyAlignment="1" applyProtection="1">
      <alignment vertical="top" wrapText="1"/>
      <protection locked="0"/>
    </xf>
    <xf numFmtId="0" fontId="143" fillId="0" borderId="15" xfId="119" applyFont="1" applyBorder="1" applyAlignment="1">
      <alignment horizontal="center" vertical="center" wrapText="1"/>
    </xf>
    <xf numFmtId="0" fontId="139" fillId="8" borderId="23" xfId="119" applyFont="1" applyFill="1" applyBorder="1" applyAlignment="1">
      <alignment horizontal="center" vertical="center" wrapText="1"/>
    </xf>
    <xf numFmtId="182" fontId="139" fillId="0" borderId="0" xfId="0" applyNumberFormat="1" applyFont="1"/>
    <xf numFmtId="49" fontId="139" fillId="0" borderId="0" xfId="0" applyNumberFormat="1" applyFont="1"/>
    <xf numFmtId="49" fontId="139" fillId="0" borderId="0" xfId="0" applyNumberFormat="1" applyFont="1" applyProtection="1">
      <protection locked="0"/>
    </xf>
    <xf numFmtId="0" fontId="15" fillId="0" borderId="0" xfId="115" applyFont="1" applyAlignment="1">
      <alignment horizontal="right"/>
    </xf>
    <xf numFmtId="0" fontId="15" fillId="0" borderId="4" xfId="115" applyFont="1" applyBorder="1" applyAlignment="1" applyProtection="1">
      <alignment horizontal="center"/>
      <protection locked="0"/>
    </xf>
    <xf numFmtId="0" fontId="15" fillId="0" borderId="0" xfId="99" applyFont="1" applyAlignment="1" applyProtection="1">
      <alignment horizontal="center"/>
      <protection locked="0"/>
    </xf>
    <xf numFmtId="0" fontId="5" fillId="0" borderId="0" xfId="95" applyFont="1" applyAlignment="1">
      <alignment horizontal="left"/>
    </xf>
    <xf numFmtId="0" fontId="5" fillId="0" borderId="0" xfId="95" applyFont="1" applyAlignment="1">
      <alignment horizontal="centerContinuous"/>
    </xf>
    <xf numFmtId="0" fontId="5" fillId="0" borderId="0" xfId="95" applyFont="1" applyAlignment="1">
      <alignment horizontal="center"/>
    </xf>
    <xf numFmtId="0" fontId="5" fillId="0" borderId="0" xfId="95" applyFont="1" applyAlignment="1">
      <alignment horizontal="right"/>
    </xf>
    <xf numFmtId="0" fontId="5" fillId="0" borderId="1" xfId="95" applyFont="1" applyBorder="1" applyAlignment="1">
      <alignment horizontal="center" shrinkToFit="1"/>
    </xf>
    <xf numFmtId="0" fontId="5" fillId="0" borderId="1" xfId="95" applyFont="1" applyBorder="1" applyAlignment="1" applyProtection="1">
      <alignment horizontal="center" shrinkToFit="1"/>
      <protection locked="0"/>
    </xf>
    <xf numFmtId="164" fontId="5" fillId="0" borderId="1" xfId="95" applyNumberFormat="1" applyFont="1" applyBorder="1" applyAlignment="1" applyProtection="1">
      <alignment horizontal="center" shrinkToFit="1"/>
      <protection locked="0"/>
    </xf>
    <xf numFmtId="164" fontId="5" fillId="0" borderId="0" xfId="96" applyNumberFormat="1" applyAlignment="1">
      <alignment shrinkToFit="1"/>
    </xf>
    <xf numFmtId="0" fontId="5" fillId="0" borderId="2" xfId="95" applyFont="1" applyBorder="1"/>
    <xf numFmtId="179" fontId="18" fillId="0" borderId="1" xfId="0" applyNumberFormat="1" applyFont="1" applyBorder="1" applyProtection="1">
      <protection locked="0"/>
    </xf>
    <xf numFmtId="10" fontId="18" fillId="0" borderId="4" xfId="130" applyNumberFormat="1" applyFont="1" applyBorder="1" applyProtection="1">
      <protection locked="0"/>
    </xf>
    <xf numFmtId="3" fontId="18" fillId="0" borderId="0" xfId="0" applyNumberFormat="1" applyFont="1"/>
    <xf numFmtId="9" fontId="18" fillId="0" borderId="1" xfId="130" applyFont="1" applyBorder="1" applyProtection="1">
      <protection locked="0"/>
    </xf>
    <xf numFmtId="10" fontId="18" fillId="0" borderId="0" xfId="130" applyNumberFormat="1" applyFont="1"/>
    <xf numFmtId="10" fontId="18" fillId="0" borderId="1" xfId="130" applyNumberFormat="1" applyFont="1" applyBorder="1" applyProtection="1">
      <protection locked="0"/>
    </xf>
    <xf numFmtId="1" fontId="5" fillId="0" borderId="0" xfId="82" applyNumberFormat="1" applyFont="1" applyAlignment="1" applyProtection="1">
      <alignment horizontal="center"/>
    </xf>
    <xf numFmtId="1" fontId="5" fillId="0" borderId="1" xfId="82" applyNumberFormat="1" applyFont="1" applyBorder="1" applyAlignment="1" applyProtection="1">
      <alignment horizontal="center" shrinkToFit="1"/>
    </xf>
    <xf numFmtId="168" fontId="5" fillId="0" borderId="0" xfId="82" applyFont="1" applyAlignment="1" applyProtection="1">
      <alignment horizontal="center" shrinkToFit="1"/>
    </xf>
    <xf numFmtId="0" fontId="5" fillId="0" borderId="1" xfId="82" applyNumberFormat="1" applyFont="1" applyBorder="1" applyAlignment="1">
      <alignment horizontal="center"/>
      <protection locked="0"/>
    </xf>
    <xf numFmtId="0" fontId="5" fillId="0" borderId="0" xfId="82" applyNumberFormat="1" applyFont="1" applyAlignment="1">
      <alignment horizontal="center"/>
      <protection locked="0"/>
    </xf>
    <xf numFmtId="168" fontId="5" fillId="0" borderId="2" xfId="82" applyFont="1" applyBorder="1" applyProtection="1"/>
    <xf numFmtId="168" fontId="5" fillId="8" borderId="0" xfId="82" applyFont="1" applyFill="1" applyProtection="1"/>
    <xf numFmtId="176" fontId="5" fillId="0" borderId="0" xfId="82" applyNumberFormat="1" applyFont="1" applyProtection="1"/>
    <xf numFmtId="176" fontId="5" fillId="0" borderId="1" xfId="122" applyNumberFormat="1" applyFont="1" applyBorder="1" applyProtection="1"/>
    <xf numFmtId="176" fontId="5" fillId="0" borderId="4" xfId="122" applyNumberFormat="1" applyFont="1" applyBorder="1">
      <protection locked="0"/>
    </xf>
    <xf numFmtId="176" fontId="5" fillId="0" borderId="0" xfId="122" applyNumberFormat="1" applyFont="1" applyProtection="1"/>
    <xf numFmtId="176" fontId="5" fillId="0" borderId="0" xfId="122" applyNumberFormat="1" applyFont="1">
      <protection locked="0"/>
    </xf>
    <xf numFmtId="176" fontId="5" fillId="0" borderId="3" xfId="122" applyNumberFormat="1" applyFont="1" applyBorder="1" applyProtection="1"/>
    <xf numFmtId="168" fontId="5" fillId="0" borderId="0" xfId="82" applyFont="1">
      <protection locked="0"/>
    </xf>
    <xf numFmtId="1" fontId="5" fillId="0" borderId="0" xfId="85" applyNumberFormat="1" applyFont="1" applyAlignment="1" applyProtection="1">
      <alignment horizontal="center"/>
    </xf>
    <xf numFmtId="168" fontId="5" fillId="0" borderId="0" xfId="82" applyFont="1" applyAlignment="1" applyProtection="1">
      <alignment horizontal="center"/>
    </xf>
    <xf numFmtId="0" fontId="5" fillId="0" borderId="1" xfId="85" applyNumberFormat="1" applyFont="1" applyBorder="1" applyAlignment="1">
      <alignment horizontal="center"/>
      <protection locked="0"/>
    </xf>
    <xf numFmtId="168" fontId="5" fillId="0" borderId="2" xfId="85" applyFont="1" applyBorder="1" applyProtection="1"/>
    <xf numFmtId="176" fontId="5" fillId="0" borderId="0" xfId="85" applyNumberFormat="1" applyFont="1" applyProtection="1"/>
    <xf numFmtId="168" fontId="5" fillId="0" borderId="0" xfId="85" applyFont="1" applyAlignment="1" applyProtection="1">
      <alignment horizontal="center"/>
    </xf>
    <xf numFmtId="176" fontId="5" fillId="0" borderId="1" xfId="85" applyNumberFormat="1" applyFont="1" applyBorder="1">
      <protection locked="0"/>
    </xf>
    <xf numFmtId="176" fontId="5" fillId="0" borderId="4" xfId="85" applyNumberFormat="1" applyFont="1" applyBorder="1">
      <protection locked="0"/>
    </xf>
    <xf numFmtId="176" fontId="5" fillId="0" borderId="0" xfId="85" applyNumberFormat="1" applyFont="1">
      <protection locked="0"/>
    </xf>
    <xf numFmtId="168" fontId="5" fillId="0" borderId="0" xfId="85" applyFont="1" applyAlignment="1" applyProtection="1">
      <alignment horizontal="left"/>
    </xf>
    <xf numFmtId="0" fontId="5" fillId="0" borderId="0" xfId="89" applyFont="1" applyAlignment="1">
      <alignment horizontal="right"/>
    </xf>
    <xf numFmtId="0" fontId="5" fillId="0" borderId="1" xfId="89" applyFont="1" applyBorder="1"/>
    <xf numFmtId="0" fontId="5" fillId="0" borderId="2" xfId="89" applyFont="1" applyBorder="1"/>
    <xf numFmtId="49" fontId="5" fillId="0" borderId="0" xfId="89" applyNumberFormat="1" applyFont="1"/>
    <xf numFmtId="39" fontId="5" fillId="0" borderId="0" xfId="89" applyNumberFormat="1" applyFont="1"/>
    <xf numFmtId="176" fontId="5" fillId="0" borderId="1" xfId="89" applyNumberFormat="1" applyFont="1" applyBorder="1" applyProtection="1">
      <protection locked="0"/>
    </xf>
    <xf numFmtId="176" fontId="5" fillId="0" borderId="4" xfId="89" applyNumberFormat="1" applyFont="1" applyBorder="1" applyProtection="1">
      <protection locked="0"/>
    </xf>
    <xf numFmtId="176" fontId="5" fillId="0" borderId="3" xfId="89" applyNumberFormat="1" applyFont="1" applyBorder="1"/>
    <xf numFmtId="49" fontId="5" fillId="0" borderId="0" xfId="0" applyNumberFormat="1" applyFont="1" applyAlignment="1">
      <alignment horizontal="left" indent="1"/>
    </xf>
    <xf numFmtId="49" fontId="38" fillId="0" borderId="0" xfId="0" applyNumberFormat="1" applyFont="1" applyAlignment="1">
      <alignment horizontal="left"/>
    </xf>
    <xf numFmtId="176" fontId="5" fillId="0" borderId="0" xfId="89" applyNumberFormat="1" applyFont="1" applyProtection="1">
      <protection locked="0"/>
    </xf>
    <xf numFmtId="0" fontId="19" fillId="0" borderId="0" xfId="0" applyFont="1"/>
    <xf numFmtId="0" fontId="5" fillId="0" borderId="2" xfId="86" applyFont="1" applyBorder="1"/>
    <xf numFmtId="170" fontId="5" fillId="0" borderId="0" xfId="29" applyNumberFormat="1" applyFont="1"/>
    <xf numFmtId="170" fontId="5" fillId="0" borderId="1" xfId="29" applyNumberFormat="1" applyFont="1" applyBorder="1" applyProtection="1">
      <protection locked="0"/>
    </xf>
    <xf numFmtId="170" fontId="5" fillId="0" borderId="0" xfId="86" applyNumberFormat="1" applyFont="1"/>
    <xf numFmtId="171" fontId="5" fillId="0" borderId="0" xfId="0" applyNumberFormat="1" applyFont="1"/>
    <xf numFmtId="0" fontId="5" fillId="0" borderId="0" xfId="0" quotePrefix="1" applyFont="1" applyAlignment="1">
      <alignment horizontal="center"/>
    </xf>
    <xf numFmtId="170" fontId="5" fillId="0" borderId="4" xfId="29" applyNumberFormat="1" applyFont="1" applyBorder="1" applyProtection="1">
      <protection locked="0"/>
    </xf>
    <xf numFmtId="170" fontId="5" fillId="0" borderId="2" xfId="29" applyNumberFormat="1" applyFont="1" applyBorder="1" applyProtection="1">
      <protection locked="0"/>
    </xf>
    <xf numFmtId="170" fontId="5" fillId="0" borderId="14" xfId="29" applyNumberFormat="1" applyFont="1" applyBorder="1"/>
    <xf numFmtId="0" fontId="5" fillId="0" borderId="0" xfId="88" applyFont="1" applyAlignment="1">
      <alignment horizontal="right"/>
    </xf>
    <xf numFmtId="0" fontId="5" fillId="0" borderId="0" xfId="87" applyFont="1" applyAlignment="1">
      <alignment horizontal="center" shrinkToFit="1"/>
    </xf>
    <xf numFmtId="0" fontId="5" fillId="0" borderId="2" xfId="88" applyFont="1" applyBorder="1"/>
    <xf numFmtId="0" fontId="14" fillId="0" borderId="0" xfId="84" applyFont="1" applyAlignment="1">
      <alignment horizontal="center"/>
    </xf>
    <xf numFmtId="0" fontId="38" fillId="0" borderId="0" xfId="84" applyFont="1"/>
    <xf numFmtId="0" fontId="5" fillId="0" borderId="0" xfId="84" applyFont="1" applyAlignment="1">
      <alignment horizontal="center"/>
    </xf>
    <xf numFmtId="176" fontId="5" fillId="0" borderId="1" xfId="84" applyNumberFormat="1" applyFont="1" applyBorder="1"/>
    <xf numFmtId="176" fontId="5" fillId="0" borderId="18" xfId="84" applyNumberFormat="1" applyFont="1" applyBorder="1" applyProtection="1">
      <protection locked="0"/>
    </xf>
    <xf numFmtId="176" fontId="5" fillId="3" borderId="18" xfId="84" applyNumberFormat="1" applyFont="1" applyFill="1" applyBorder="1"/>
    <xf numFmtId="1" fontId="5" fillId="0" borderId="0" xfId="84" applyNumberFormat="1" applyFont="1" applyAlignment="1">
      <alignment horizontal="center"/>
    </xf>
    <xf numFmtId="176" fontId="5" fillId="0" borderId="4" xfId="84" applyNumberFormat="1" applyFont="1" applyBorder="1" applyProtection="1">
      <protection locked="0"/>
    </xf>
    <xf numFmtId="176" fontId="5" fillId="0" borderId="8" xfId="84" applyNumberFormat="1" applyFont="1" applyBorder="1" applyProtection="1">
      <protection locked="0"/>
    </xf>
    <xf numFmtId="176" fontId="5" fillId="0" borderId="22" xfId="84" applyNumberFormat="1" applyFont="1" applyBorder="1" applyProtection="1">
      <protection locked="0"/>
    </xf>
    <xf numFmtId="176" fontId="5" fillId="3" borderId="4" xfId="84" applyNumberFormat="1" applyFont="1" applyFill="1" applyBorder="1"/>
    <xf numFmtId="0" fontId="5" fillId="0" borderId="1" xfId="88" applyFont="1" applyBorder="1" applyAlignment="1" applyProtection="1">
      <alignment horizontal="center"/>
      <protection locked="0"/>
    </xf>
    <xf numFmtId="0" fontId="5" fillId="0" borderId="1" xfId="88" applyFont="1" applyBorder="1" applyAlignment="1">
      <alignment horizontal="center"/>
    </xf>
    <xf numFmtId="0" fontId="5" fillId="0" borderId="0" xfId="0" applyFont="1" applyAlignment="1" applyProtection="1">
      <alignment horizontal="center"/>
      <protection hidden="1"/>
    </xf>
    <xf numFmtId="176" fontId="5" fillId="0" borderId="0" xfId="0" applyNumberFormat="1" applyFont="1" applyProtection="1">
      <protection hidden="1"/>
    </xf>
    <xf numFmtId="176" fontId="5" fillId="0" borderId="3" xfId="0" applyNumberFormat="1" applyFont="1" applyBorder="1"/>
    <xf numFmtId="0" fontId="18" fillId="0" borderId="2" xfId="0" applyFont="1" applyBorder="1"/>
    <xf numFmtId="0" fontId="5" fillId="0" borderId="0" xfId="93" applyFont="1" applyAlignment="1">
      <alignment horizontal="center" shrinkToFit="1"/>
    </xf>
    <xf numFmtId="164" fontId="5" fillId="0" borderId="0" xfId="0" applyNumberFormat="1" applyFont="1" applyAlignment="1" applyProtection="1">
      <alignment horizontal="center" shrinkToFit="1"/>
      <protection locked="0"/>
    </xf>
    <xf numFmtId="164" fontId="5" fillId="0" borderId="0" xfId="93" applyNumberFormat="1" applyFont="1" applyAlignment="1" applyProtection="1">
      <alignment horizontal="center" shrinkToFit="1"/>
      <protection locked="0"/>
    </xf>
    <xf numFmtId="44" fontId="5" fillId="0" borderId="1" xfId="89" applyNumberFormat="1" applyFont="1" applyBorder="1" applyProtection="1">
      <protection locked="0"/>
    </xf>
    <xf numFmtId="43" fontId="5" fillId="0" borderId="4" xfId="89" applyNumberFormat="1" applyFont="1" applyBorder="1" applyProtection="1">
      <protection locked="0"/>
    </xf>
    <xf numFmtId="0" fontId="101" fillId="0" borderId="0" xfId="0" applyFont="1" applyAlignment="1">
      <alignment horizontal="left" indent="2"/>
    </xf>
    <xf numFmtId="44" fontId="5" fillId="0" borderId="3" xfId="89" applyNumberFormat="1" applyFont="1" applyBorder="1"/>
    <xf numFmtId="44" fontId="5" fillId="0" borderId="0" xfId="89" applyNumberFormat="1" applyFont="1"/>
    <xf numFmtId="0" fontId="101" fillId="0" borderId="0" xfId="0" applyFont="1" applyAlignment="1">
      <alignment horizontal="center"/>
    </xf>
    <xf numFmtId="0" fontId="101" fillId="0" borderId="0" xfId="0" applyFont="1" applyAlignment="1">
      <alignment horizontal="left" indent="1"/>
    </xf>
    <xf numFmtId="0" fontId="101" fillId="0" borderId="0" xfId="0" quotePrefix="1" applyFont="1" applyAlignment="1">
      <alignment horizontal="center"/>
    </xf>
    <xf numFmtId="0" fontId="5" fillId="0" borderId="0" xfId="94" applyFont="1" applyAlignment="1">
      <alignment horizontal="right"/>
    </xf>
    <xf numFmtId="0" fontId="5" fillId="0" borderId="1" xfId="94" applyFont="1" applyBorder="1"/>
    <xf numFmtId="0" fontId="5" fillId="0" borderId="0" xfId="94" applyFont="1" applyAlignment="1" applyProtection="1">
      <alignment horizontal="center"/>
      <protection locked="0"/>
    </xf>
    <xf numFmtId="0" fontId="5" fillId="0" borderId="2" xfId="94" applyFont="1" applyBorder="1"/>
    <xf numFmtId="176" fontId="5" fillId="0" borderId="0" xfId="94" applyNumberFormat="1" applyFont="1"/>
    <xf numFmtId="0" fontId="5" fillId="0" borderId="4" xfId="94" applyFont="1" applyBorder="1" applyProtection="1">
      <protection locked="0"/>
    </xf>
    <xf numFmtId="0" fontId="5" fillId="8" borderId="0" xfId="94" applyFont="1" applyFill="1"/>
    <xf numFmtId="176" fontId="5" fillId="8" borderId="0" xfId="94" applyNumberFormat="1" applyFont="1" applyFill="1"/>
    <xf numFmtId="0" fontId="5" fillId="8" borderId="0" xfId="94" applyFont="1" applyFill="1" applyAlignment="1">
      <alignment horizontal="center"/>
    </xf>
    <xf numFmtId="0" fontId="129" fillId="8" borderId="0" xfId="0" applyFont="1" applyFill="1" applyAlignment="1">
      <alignment horizontal="left" vertical="top"/>
    </xf>
    <xf numFmtId="0" fontId="5" fillId="9" borderId="0" xfId="94" applyFont="1" applyFill="1"/>
    <xf numFmtId="3" fontId="5" fillId="0" borderId="1" xfId="0" applyNumberFormat="1" applyFont="1" applyBorder="1" applyProtection="1">
      <protection locked="0"/>
    </xf>
    <xf numFmtId="0" fontId="5" fillId="0" borderId="0" xfId="93" applyFont="1" applyAlignment="1">
      <alignment horizontal="center"/>
    </xf>
    <xf numFmtId="164" fontId="5" fillId="0" borderId="0" xfId="0" applyNumberFormat="1" applyFont="1" applyAlignment="1" applyProtection="1">
      <alignment horizontal="center"/>
      <protection locked="0"/>
    </xf>
    <xf numFmtId="164" fontId="5" fillId="0" borderId="0" xfId="93" applyNumberFormat="1" applyFont="1" applyAlignment="1" applyProtection="1">
      <alignment horizontal="center"/>
      <protection locked="0"/>
    </xf>
    <xf numFmtId="188" fontId="5" fillId="0" borderId="1" xfId="89" applyNumberFormat="1" applyFont="1" applyBorder="1" applyAlignment="1">
      <alignment horizontal="center"/>
    </xf>
    <xf numFmtId="176" fontId="5" fillId="0" borderId="14" xfId="84" applyNumberFormat="1" applyFont="1" applyBorder="1"/>
    <xf numFmtId="49" fontId="101" fillId="0" borderId="0" xfId="0" applyNumberFormat="1" applyFont="1" applyAlignment="1">
      <alignment horizontal="center"/>
    </xf>
    <xf numFmtId="0" fontId="101" fillId="0" borderId="0" xfId="0" applyFont="1" applyAlignment="1" applyProtection="1">
      <alignment horizontal="center"/>
      <protection locked="0"/>
    </xf>
    <xf numFmtId="49" fontId="5" fillId="0" borderId="0" xfId="84" applyNumberFormat="1" applyFont="1" applyProtection="1">
      <protection locked="0"/>
    </xf>
    <xf numFmtId="176" fontId="5" fillId="4" borderId="1" xfId="84" applyNumberFormat="1" applyFont="1" applyFill="1" applyBorder="1"/>
    <xf numFmtId="0" fontId="5" fillId="0" borderId="0" xfId="89" applyFont="1" applyProtection="1">
      <protection locked="0"/>
    </xf>
    <xf numFmtId="164" fontId="5" fillId="0" borderId="0" xfId="0" applyNumberFormat="1" applyFont="1"/>
    <xf numFmtId="164" fontId="5" fillId="0" borderId="0" xfId="0" applyNumberFormat="1" applyFont="1" applyAlignment="1">
      <alignment horizontal="right"/>
    </xf>
    <xf numFmtId="0" fontId="9" fillId="0" borderId="0" xfId="95" applyFont="1"/>
    <xf numFmtId="0" fontId="51" fillId="0" borderId="0" xfId="95" applyFont="1" applyAlignment="1">
      <alignment horizontal="center"/>
    </xf>
    <xf numFmtId="0" fontId="5" fillId="0" borderId="1" xfId="95" applyFont="1" applyBorder="1" applyAlignment="1">
      <alignment horizontal="center"/>
    </xf>
    <xf numFmtId="0" fontId="5" fillId="6" borderId="38" xfId="95" applyFont="1" applyFill="1" applyBorder="1"/>
    <xf numFmtId="0" fontId="7" fillId="6" borderId="38" xfId="95" applyFont="1" applyFill="1" applyBorder="1"/>
    <xf numFmtId="0" fontId="7" fillId="6" borderId="39" xfId="95" applyFont="1" applyFill="1" applyBorder="1"/>
    <xf numFmtId="0" fontId="5" fillId="6" borderId="0" xfId="95" applyFont="1" applyFill="1"/>
    <xf numFmtId="0" fontId="7" fillId="6" borderId="0" xfId="95" applyFont="1" applyFill="1"/>
    <xf numFmtId="0" fontId="7" fillId="6" borderId="41" xfId="95" applyFont="1" applyFill="1" applyBorder="1"/>
    <xf numFmtId="0" fontId="5" fillId="6" borderId="14" xfId="95" applyFont="1" applyFill="1" applyBorder="1"/>
    <xf numFmtId="0" fontId="5" fillId="6" borderId="43" xfId="95" applyFont="1" applyFill="1" applyBorder="1"/>
    <xf numFmtId="0" fontId="7" fillId="0" borderId="3" xfId="95" applyFont="1" applyBorder="1"/>
    <xf numFmtId="0" fontId="7" fillId="0" borderId="0" xfId="95" applyFont="1" applyAlignment="1">
      <alignment horizontal="center"/>
    </xf>
    <xf numFmtId="170" fontId="5" fillId="0" borderId="1" xfId="95" applyNumberFormat="1" applyFont="1" applyBorder="1" applyProtection="1">
      <protection locked="0"/>
    </xf>
    <xf numFmtId="170" fontId="5" fillId="0" borderId="0" xfId="95" applyNumberFormat="1" applyFont="1" applyProtection="1">
      <protection locked="0"/>
    </xf>
    <xf numFmtId="170" fontId="5" fillId="0" borderId="19" xfId="95" applyNumberFormat="1" applyFont="1" applyBorder="1"/>
    <xf numFmtId="0" fontId="5" fillId="0" borderId="2" xfId="0" applyFont="1" applyBorder="1"/>
    <xf numFmtId="0" fontId="5" fillId="0" borderId="0" xfId="91" applyFont="1" applyAlignment="1">
      <alignment horizontal="center"/>
    </xf>
    <xf numFmtId="0" fontId="5" fillId="0" borderId="1" xfId="91" applyFont="1" applyBorder="1" applyAlignment="1">
      <alignment horizontal="center"/>
    </xf>
    <xf numFmtId="0" fontId="5" fillId="0" borderId="2" xfId="91" applyFont="1" applyBorder="1"/>
    <xf numFmtId="0" fontId="5" fillId="0" borderId="0" xfId="69" applyFont="1" applyAlignment="1">
      <alignment vertical="top" wrapText="1"/>
    </xf>
    <xf numFmtId="176" fontId="5" fillId="0" borderId="7" xfId="91" applyNumberFormat="1" applyFont="1" applyBorder="1" applyProtection="1">
      <protection locked="0"/>
    </xf>
    <xf numFmtId="176" fontId="5" fillId="5" borderId="15" xfId="69" applyNumberFormat="1" applyFont="1" applyFill="1" applyBorder="1"/>
    <xf numFmtId="176" fontId="5" fillId="0" borderId="6" xfId="69" applyNumberFormat="1" applyFont="1" applyBorder="1" applyProtection="1">
      <protection locked="0"/>
    </xf>
    <xf numFmtId="176" fontId="5" fillId="0" borderId="24" xfId="69" applyNumberFormat="1" applyFont="1" applyBorder="1"/>
    <xf numFmtId="0" fontId="5" fillId="0" borderId="0" xfId="69" applyFont="1" applyAlignment="1">
      <alignment horizontal="left" indent="1"/>
    </xf>
    <xf numFmtId="170" fontId="5" fillId="6" borderId="26" xfId="91" applyNumberFormat="1" applyFont="1" applyFill="1" applyBorder="1"/>
    <xf numFmtId="176" fontId="5" fillId="0" borderId="0" xfId="69" applyNumberFormat="1" applyFont="1" applyProtection="1">
      <protection locked="0"/>
    </xf>
    <xf numFmtId="0" fontId="5" fillId="0" borderId="6" xfId="91" applyFont="1" applyBorder="1" applyAlignment="1" applyProtection="1">
      <alignment horizontal="center"/>
      <protection locked="0"/>
    </xf>
    <xf numFmtId="0" fontId="5" fillId="0" borderId="13" xfId="91" applyFont="1" applyBorder="1" applyAlignment="1" applyProtection="1">
      <alignment horizontal="center"/>
      <protection locked="0"/>
    </xf>
    <xf numFmtId="0" fontId="5" fillId="0" borderId="0" xfId="91" applyFont="1" applyAlignment="1" applyProtection="1">
      <alignment horizontal="center"/>
      <protection locked="0"/>
    </xf>
    <xf numFmtId="176" fontId="5" fillId="0" borderId="0" xfId="91" applyNumberFormat="1" applyFont="1" applyProtection="1">
      <protection locked="0"/>
    </xf>
    <xf numFmtId="176" fontId="5" fillId="0" borderId="12" xfId="91" applyNumberFormat="1" applyFont="1" applyBorder="1" applyProtection="1">
      <protection locked="0"/>
    </xf>
    <xf numFmtId="176" fontId="5" fillId="0" borderId="15" xfId="91" applyNumberFormat="1" applyFont="1" applyBorder="1" applyProtection="1">
      <protection locked="0"/>
    </xf>
    <xf numFmtId="176" fontId="5" fillId="5" borderId="23" xfId="69" applyNumberFormat="1" applyFont="1" applyFill="1" applyBorder="1"/>
    <xf numFmtId="176" fontId="5" fillId="0" borderId="0" xfId="69" applyNumberFormat="1" applyFont="1"/>
    <xf numFmtId="170" fontId="5" fillId="6" borderId="0" xfId="91" applyNumberFormat="1" applyFont="1" applyFill="1"/>
    <xf numFmtId="193" fontId="148" fillId="0" borderId="1" xfId="40" applyNumberFormat="1" applyFont="1" applyBorder="1" applyProtection="1">
      <protection locked="0"/>
    </xf>
    <xf numFmtId="0" fontId="5" fillId="0" borderId="0" xfId="90" applyFont="1" applyAlignment="1">
      <alignment horizontal="right"/>
    </xf>
    <xf numFmtId="0" fontId="5" fillId="0" borderId="0" xfId="90" applyFont="1" applyAlignment="1">
      <alignment horizontal="center" shrinkToFit="1"/>
    </xf>
    <xf numFmtId="176" fontId="5" fillId="5" borderId="5" xfId="91" applyNumberFormat="1" applyFont="1" applyFill="1" applyBorder="1"/>
    <xf numFmtId="164" fontId="5" fillId="0" borderId="0" xfId="115" applyNumberFormat="1" applyFont="1"/>
    <xf numFmtId="164" fontId="5" fillId="0" borderId="0" xfId="115" applyNumberFormat="1" applyFont="1" applyAlignment="1">
      <alignment horizontal="right"/>
    </xf>
    <xf numFmtId="164" fontId="5" fillId="0" borderId="0" xfId="115" applyNumberFormat="1" applyFont="1" applyAlignment="1">
      <alignment horizontal="center"/>
    </xf>
    <xf numFmtId="0" fontId="129" fillId="0" borderId="0" xfId="0" applyFont="1"/>
    <xf numFmtId="0" fontId="129" fillId="0" borderId="0" xfId="0" applyFont="1" applyAlignment="1">
      <alignment vertical="top" wrapText="1"/>
    </xf>
    <xf numFmtId="0" fontId="129" fillId="0" borderId="0" xfId="0" applyFont="1" applyAlignment="1">
      <alignment horizontal="right"/>
    </xf>
    <xf numFmtId="0" fontId="58" fillId="0" borderId="0" xfId="81" applyFont="1" applyAlignment="1">
      <alignment horizontal="center"/>
    </xf>
    <xf numFmtId="0" fontId="129" fillId="0" borderId="0" xfId="81" applyFont="1" applyAlignment="1" applyProtection="1">
      <alignment horizontal="left"/>
      <protection locked="0"/>
    </xf>
    <xf numFmtId="0" fontId="55" fillId="0" borderId="0" xfId="116" applyFont="1" applyProtection="1">
      <protection locked="0"/>
    </xf>
    <xf numFmtId="0" fontId="5" fillId="0" borderId="0" xfId="108" applyFont="1" applyAlignment="1">
      <alignment horizontal="centerContinuous"/>
    </xf>
    <xf numFmtId="0" fontId="5" fillId="0" borderId="0" xfId="108" applyFont="1" applyAlignment="1">
      <alignment horizontal="left"/>
    </xf>
    <xf numFmtId="0" fontId="5" fillId="0" borderId="0" xfId="108" applyFont="1" applyAlignment="1">
      <alignment shrinkToFit="1"/>
    </xf>
    <xf numFmtId="0" fontId="5" fillId="0" borderId="0" xfId="108" applyFont="1" applyAlignment="1">
      <alignment horizontal="right"/>
    </xf>
    <xf numFmtId="0" fontId="5" fillId="0" borderId="0" xfId="116" applyFont="1" applyProtection="1">
      <protection locked="0"/>
    </xf>
    <xf numFmtId="0" fontId="56" fillId="0" borderId="2" xfId="116" applyFont="1" applyBorder="1" applyAlignment="1" applyProtection="1">
      <alignment horizontal="centerContinuous"/>
      <protection locked="0"/>
    </xf>
    <xf numFmtId="0" fontId="56" fillId="0" borderId="0" xfId="116" applyFont="1" applyAlignment="1" applyProtection="1">
      <alignment horizontal="centerContinuous"/>
      <protection locked="0"/>
    </xf>
    <xf numFmtId="0" fontId="56" fillId="0" borderId="2" xfId="116" applyFont="1" applyBorder="1" applyAlignment="1" applyProtection="1">
      <alignment horizontal="center"/>
      <protection locked="0"/>
    </xf>
    <xf numFmtId="0" fontId="56" fillId="0" borderId="0" xfId="116" applyFont="1" applyAlignment="1">
      <alignment horizontal="centerContinuous"/>
    </xf>
    <xf numFmtId="0" fontId="56" fillId="0" borderId="0" xfId="116" applyFont="1" applyAlignment="1">
      <alignment horizontal="center"/>
    </xf>
    <xf numFmtId="0" fontId="5" fillId="0" borderId="0" xfId="109" applyFont="1"/>
    <xf numFmtId="0" fontId="108" fillId="0" borderId="2" xfId="116" applyFont="1" applyBorder="1" applyAlignment="1">
      <alignment horizontal="center"/>
    </xf>
    <xf numFmtId="0" fontId="57" fillId="0" borderId="0" xfId="116" applyFont="1" applyAlignment="1" applyProtection="1">
      <alignment horizontal="center"/>
      <protection locked="0"/>
    </xf>
    <xf numFmtId="0" fontId="55" fillId="0" borderId="0" xfId="116" applyFont="1"/>
    <xf numFmtId="0" fontId="56" fillId="0" borderId="0" xfId="116" applyFont="1" applyProtection="1">
      <protection locked="0"/>
    </xf>
    <xf numFmtId="0" fontId="57" fillId="0" borderId="0" xfId="116" applyFont="1" applyProtection="1">
      <protection locked="0"/>
    </xf>
    <xf numFmtId="0" fontId="5" fillId="0" borderId="0" xfId="110" applyFont="1" applyAlignment="1">
      <alignment horizontal="centerContinuous"/>
    </xf>
    <xf numFmtId="0" fontId="5" fillId="0" borderId="0" xfId="110" applyFont="1" applyAlignment="1">
      <alignment horizontal="left"/>
    </xf>
    <xf numFmtId="0" fontId="5" fillId="0" borderId="0" xfId="110" applyFont="1" applyAlignment="1">
      <alignment horizontal="right"/>
    </xf>
    <xf numFmtId="0" fontId="5" fillId="0" borderId="1" xfId="108" applyFont="1" applyBorder="1" applyAlignment="1" applyProtection="1">
      <alignment horizontal="center" shrinkToFit="1"/>
      <protection locked="0"/>
    </xf>
    <xf numFmtId="0" fontId="5" fillId="0" borderId="1" xfId="110" applyFont="1" applyBorder="1" applyProtection="1">
      <protection locked="0"/>
    </xf>
    <xf numFmtId="0" fontId="5" fillId="0" borderId="2" xfId="110" applyFont="1" applyBorder="1"/>
    <xf numFmtId="0" fontId="5" fillId="0" borderId="2" xfId="110" applyFont="1" applyBorder="1" applyAlignment="1">
      <alignment horizontal="right"/>
    </xf>
    <xf numFmtId="0" fontId="18" fillId="0" borderId="0" xfId="108" applyFont="1"/>
    <xf numFmtId="0" fontId="5" fillId="0" borderId="0" xfId="108" applyFont="1" applyAlignment="1">
      <alignment horizontal="center"/>
    </xf>
    <xf numFmtId="176" fontId="5" fillId="0" borderId="1" xfId="108" applyNumberFormat="1" applyFont="1" applyBorder="1" applyProtection="1">
      <protection locked="0"/>
    </xf>
    <xf numFmtId="0" fontId="5" fillId="0" borderId="0" xfId="110" applyFont="1" applyProtection="1">
      <protection locked="0"/>
    </xf>
    <xf numFmtId="0" fontId="5" fillId="0" borderId="0" xfId="108" applyFont="1" applyProtection="1">
      <protection locked="0"/>
    </xf>
    <xf numFmtId="175" fontId="5" fillId="0" borderId="0" xfId="108" applyNumberFormat="1" applyFont="1" applyProtection="1">
      <protection locked="0"/>
    </xf>
    <xf numFmtId="0" fontId="5" fillId="0" borderId="0" xfId="108" applyFont="1" applyAlignment="1" applyProtection="1">
      <alignment horizontal="center"/>
      <protection locked="0"/>
    </xf>
    <xf numFmtId="175" fontId="5" fillId="0" borderId="1" xfId="110" applyNumberFormat="1" applyFont="1" applyBorder="1" applyProtection="1">
      <protection locked="0"/>
    </xf>
    <xf numFmtId="175" fontId="5" fillId="0" borderId="0" xfId="110" applyNumberFormat="1" applyFont="1" applyProtection="1">
      <protection locked="0"/>
    </xf>
    <xf numFmtId="0" fontId="5" fillId="0" borderId="1" xfId="108" applyFont="1" applyBorder="1" applyAlignment="1">
      <alignment shrinkToFit="1"/>
    </xf>
    <xf numFmtId="0" fontId="5" fillId="0" borderId="0" xfId="112" applyFont="1" applyAlignment="1">
      <alignment horizontal="left"/>
    </xf>
    <xf numFmtId="0" fontId="5" fillId="0" borderId="0" xfId="112" applyFont="1"/>
    <xf numFmtId="0" fontId="5" fillId="0" borderId="0" xfId="112" applyFont="1" applyAlignment="1">
      <alignment horizontal="center"/>
    </xf>
    <xf numFmtId="0" fontId="5" fillId="0" borderId="2" xfId="104" applyFont="1" applyBorder="1"/>
    <xf numFmtId="0" fontId="5" fillId="0" borderId="2" xfId="104" applyFont="1" applyBorder="1" applyAlignment="1">
      <alignment horizontal="right"/>
    </xf>
    <xf numFmtId="0" fontId="17" fillId="0" borderId="2" xfId="104" applyFont="1" applyBorder="1" applyAlignment="1">
      <alignment horizontal="center"/>
    </xf>
    <xf numFmtId="0" fontId="5" fillId="0" borderId="1" xfId="104" applyFont="1" applyBorder="1" applyAlignment="1" applyProtection="1">
      <alignment horizontal="center"/>
      <protection locked="0"/>
    </xf>
    <xf numFmtId="0" fontId="5" fillId="0" borderId="0" xfId="104" applyFont="1" applyAlignment="1" applyProtection="1">
      <alignment horizontal="center"/>
      <protection locked="0"/>
    </xf>
    <xf numFmtId="0" fontId="5" fillId="0" borderId="0" xfId="92" applyFont="1" applyAlignment="1">
      <alignment horizontal="left"/>
    </xf>
    <xf numFmtId="0" fontId="5" fillId="0" borderId="0" xfId="92" applyFont="1" applyAlignment="1">
      <alignment horizontal="right"/>
    </xf>
    <xf numFmtId="0" fontId="5" fillId="0" borderId="2" xfId="92" applyFont="1" applyBorder="1"/>
    <xf numFmtId="5" fontId="5" fillId="0" borderId="0" xfId="92" applyNumberFormat="1" applyFont="1"/>
    <xf numFmtId="176" fontId="5" fillId="0" borderId="0" xfId="92" applyNumberFormat="1" applyFont="1" applyProtection="1">
      <protection locked="0"/>
    </xf>
    <xf numFmtId="176" fontId="5" fillId="0" borderId="0" xfId="92" applyNumberFormat="1" applyFont="1"/>
    <xf numFmtId="10" fontId="5" fillId="0" borderId="0" xfId="130" applyNumberFormat="1" applyFont="1"/>
    <xf numFmtId="0" fontId="5" fillId="0" borderId="0" xfId="92" applyFont="1" applyAlignment="1">
      <alignment horizontal="center" vertical="top" shrinkToFit="1"/>
    </xf>
    <xf numFmtId="0" fontId="5" fillId="0" borderId="2" xfId="90" applyFont="1" applyBorder="1" applyAlignment="1">
      <alignment horizontal="right"/>
    </xf>
    <xf numFmtId="0" fontId="5" fillId="0" borderId="2" xfId="90" applyFont="1" applyBorder="1" applyAlignment="1">
      <alignment horizontal="center" shrinkToFit="1"/>
    </xf>
    <xf numFmtId="0" fontId="5" fillId="0" borderId="4" xfId="90" applyFont="1" applyBorder="1" applyAlignment="1">
      <alignment horizontal="right"/>
    </xf>
    <xf numFmtId="0" fontId="5" fillId="0" borderId="33" xfId="90" applyFont="1" applyBorder="1" applyAlignment="1">
      <alignment horizontal="center" shrinkToFit="1"/>
    </xf>
    <xf numFmtId="0" fontId="5" fillId="0" borderId="8" xfId="0" applyFont="1" applyBorder="1"/>
    <xf numFmtId="176" fontId="5" fillId="0" borderId="8" xfId="0" applyNumberFormat="1" applyFont="1" applyBorder="1"/>
    <xf numFmtId="0" fontId="11" fillId="0" borderId="0" xfId="106" applyAlignment="1">
      <alignment horizontal="right" shrinkToFit="1"/>
    </xf>
    <xf numFmtId="164" fontId="7" fillId="0" borderId="2" xfId="106" applyNumberFormat="1" applyFont="1" applyBorder="1"/>
    <xf numFmtId="49" fontId="15" fillId="0" borderId="0" xfId="106" applyNumberFormat="1" applyFont="1" applyAlignment="1">
      <alignment horizontal="center"/>
    </xf>
    <xf numFmtId="168" fontId="5" fillId="0" borderId="0" xfId="83" applyFont="1" applyAlignment="1" applyProtection="1">
      <alignment horizontal="right"/>
    </xf>
    <xf numFmtId="168" fontId="5" fillId="0" borderId="2" xfId="83" applyFont="1" applyBorder="1" applyProtection="1"/>
    <xf numFmtId="176" fontId="5" fillId="0" borderId="0" xfId="83" applyNumberFormat="1" applyFont="1" applyProtection="1"/>
    <xf numFmtId="176" fontId="5" fillId="0" borderId="14" xfId="122" applyNumberFormat="1" applyFont="1" applyBorder="1" applyProtection="1"/>
    <xf numFmtId="0" fontId="5" fillId="0" borderId="0" xfId="113" applyFont="1" applyAlignment="1">
      <alignment horizontal="center" shrinkToFit="1"/>
    </xf>
    <xf numFmtId="0" fontId="5" fillId="0" borderId="2" xfId="113" applyFont="1" applyBorder="1" applyAlignment="1">
      <alignment horizontal="center" shrinkToFit="1"/>
    </xf>
    <xf numFmtId="0" fontId="5" fillId="0" borderId="2" xfId="113" applyFont="1" applyBorder="1"/>
    <xf numFmtId="37" fontId="5" fillId="0" borderId="0" xfId="113" applyNumberFormat="1" applyFont="1"/>
    <xf numFmtId="176" fontId="5" fillId="0" borderId="4" xfId="113" applyNumberFormat="1" applyFont="1" applyBorder="1" applyProtection="1">
      <protection locked="0"/>
    </xf>
    <xf numFmtId="176" fontId="5" fillId="0" borderId="1" xfId="113" applyNumberFormat="1" applyFont="1" applyBorder="1" applyProtection="1">
      <protection locked="0"/>
    </xf>
    <xf numFmtId="164" fontId="5" fillId="0" borderId="0" xfId="100" applyNumberFormat="1" applyAlignment="1">
      <alignment horizontal="left"/>
    </xf>
    <xf numFmtId="164" fontId="5" fillId="0" borderId="0" xfId="100" applyNumberFormat="1" applyAlignment="1">
      <alignment horizontal="right"/>
    </xf>
    <xf numFmtId="164" fontId="5" fillId="0" borderId="0" xfId="97" applyNumberFormat="1" applyAlignment="1">
      <alignment horizontal="center" shrinkToFit="1"/>
    </xf>
    <xf numFmtId="164" fontId="5" fillId="0" borderId="0" xfId="100" applyNumberFormat="1"/>
    <xf numFmtId="180" fontId="18" fillId="0" borderId="1" xfId="0" applyNumberFormat="1" applyFont="1" applyBorder="1" applyProtection="1">
      <protection locked="0"/>
    </xf>
    <xf numFmtId="180" fontId="18" fillId="8" borderId="1" xfId="0" applyNumberFormat="1" applyFont="1" applyFill="1" applyBorder="1"/>
    <xf numFmtId="179" fontId="18" fillId="0" borderId="0" xfId="0" applyNumberFormat="1" applyFont="1"/>
    <xf numFmtId="180" fontId="18" fillId="8" borderId="4" xfId="0" applyNumberFormat="1" applyFont="1" applyFill="1" applyBorder="1"/>
    <xf numFmtId="180" fontId="18" fillId="0" borderId="0" xfId="0" applyNumberFormat="1" applyFont="1" applyProtection="1">
      <protection locked="0"/>
    </xf>
    <xf numFmtId="180" fontId="18" fillId="8" borderId="3" xfId="0" applyNumberFormat="1" applyFont="1" applyFill="1" applyBorder="1"/>
    <xf numFmtId="178" fontId="15" fillId="0" borderId="0" xfId="0" applyNumberFormat="1" applyFont="1"/>
    <xf numFmtId="179" fontId="15" fillId="0" borderId="0" xfId="0" applyNumberFormat="1" applyFont="1"/>
    <xf numFmtId="0" fontId="5" fillId="0" borderId="0" xfId="98" applyFont="1" applyAlignment="1">
      <alignment horizontal="centerContinuous"/>
    </xf>
    <xf numFmtId="0" fontId="33" fillId="0" borderId="8" xfId="98" applyFont="1" applyBorder="1" applyAlignment="1">
      <alignment horizontal="center"/>
    </xf>
    <xf numFmtId="176" fontId="18" fillId="0" borderId="1" xfId="39" applyNumberFormat="1" applyFont="1" applyBorder="1"/>
    <xf numFmtId="176" fontId="18" fillId="0" borderId="18" xfId="39" applyNumberFormat="1" applyFont="1" applyBorder="1" applyProtection="1">
      <protection locked="0"/>
    </xf>
    <xf numFmtId="176" fontId="18" fillId="0" borderId="2" xfId="39" applyNumberFormat="1" applyFont="1" applyBorder="1"/>
    <xf numFmtId="176" fontId="17" fillId="0" borderId="0" xfId="39" applyNumberFormat="1" applyFont="1"/>
    <xf numFmtId="40" fontId="17" fillId="0" borderId="0" xfId="39" applyFont="1"/>
    <xf numFmtId="176" fontId="18" fillId="0" borderId="14" xfId="39" applyNumberFormat="1" applyFont="1" applyBorder="1"/>
    <xf numFmtId="0" fontId="88" fillId="0" borderId="0" xfId="0" applyFont="1" applyAlignment="1">
      <alignment horizontal="left" indent="1"/>
    </xf>
    <xf numFmtId="0" fontId="88" fillId="0" borderId="0" xfId="0" applyFont="1"/>
    <xf numFmtId="0" fontId="113" fillId="0" borderId="0" xfId="0" applyFont="1" applyAlignment="1">
      <alignment horizontal="center"/>
    </xf>
    <xf numFmtId="0" fontId="66" fillId="0" borderId="1" xfId="0" applyFont="1" applyBorder="1"/>
    <xf numFmtId="0" fontId="66" fillId="0" borderId="3" xfId="0" applyFont="1" applyBorder="1"/>
    <xf numFmtId="0" fontId="82" fillId="0" borderId="0" xfId="0" quotePrefix="1" applyFont="1" applyAlignment="1">
      <alignment horizontal="left"/>
    </xf>
    <xf numFmtId="0" fontId="18" fillId="54" borderId="46" xfId="0" applyFont="1" applyFill="1" applyBorder="1"/>
    <xf numFmtId="180" fontId="97" fillId="0" borderId="0" xfId="0" applyNumberFormat="1" applyFont="1" applyProtection="1">
      <protection locked="0"/>
    </xf>
    <xf numFmtId="180" fontId="97" fillId="0" borderId="1" xfId="0" applyNumberFormat="1" applyFont="1" applyBorder="1" applyProtection="1">
      <protection locked="0"/>
    </xf>
    <xf numFmtId="0" fontId="101" fillId="4" borderId="35" xfId="0" applyFont="1" applyFill="1" applyBorder="1"/>
    <xf numFmtId="0" fontId="152" fillId="0" borderId="0" xfId="0" applyFont="1" applyAlignment="1">
      <alignment vertical="center"/>
    </xf>
    <xf numFmtId="0" fontId="101" fillId="4" borderId="30" xfId="0" applyFont="1" applyFill="1" applyBorder="1"/>
    <xf numFmtId="0" fontId="101" fillId="4" borderId="32" xfId="0" applyFont="1" applyFill="1" applyBorder="1"/>
    <xf numFmtId="0" fontId="57" fillId="0" borderId="0" xfId="115" applyFont="1" applyAlignment="1" applyProtection="1">
      <alignment vertical="center"/>
      <protection locked="0"/>
    </xf>
    <xf numFmtId="173" fontId="18" fillId="0" borderId="0" xfId="118" applyNumberFormat="1" applyProtection="1"/>
    <xf numFmtId="187" fontId="18" fillId="0" borderId="0" xfId="123" applyNumberFormat="1">
      <protection locked="0"/>
    </xf>
    <xf numFmtId="173" fontId="18" fillId="0" borderId="0" xfId="0" applyNumberFormat="1" applyFont="1"/>
    <xf numFmtId="165" fontId="18" fillId="0" borderId="0" xfId="0" applyNumberFormat="1" applyFont="1"/>
    <xf numFmtId="0" fontId="5" fillId="0" borderId="0" xfId="89" quotePrefix="1" applyFont="1"/>
    <xf numFmtId="0" fontId="88" fillId="0" borderId="0" xfId="95" applyFont="1"/>
    <xf numFmtId="180" fontId="97" fillId="0" borderId="0" xfId="73" applyNumberFormat="1" applyFont="1"/>
    <xf numFmtId="180" fontId="97" fillId="0" borderId="1" xfId="0" applyNumberFormat="1" applyFont="1" applyBorder="1"/>
    <xf numFmtId="0" fontId="5" fillId="0" borderId="2" xfId="95" applyFont="1" applyBorder="1" applyProtection="1">
      <protection locked="0"/>
    </xf>
    <xf numFmtId="173" fontId="18" fillId="0" borderId="0" xfId="0" applyNumberFormat="1" applyFont="1" applyProtection="1">
      <protection locked="0"/>
    </xf>
    <xf numFmtId="15" fontId="13" fillId="0" borderId="0" xfId="0" applyNumberFormat="1" applyFont="1" applyAlignment="1" applyProtection="1">
      <alignment horizontal="center"/>
      <protection hidden="1"/>
    </xf>
    <xf numFmtId="0" fontId="12" fillId="0" borderId="0" xfId="0" applyFont="1"/>
    <xf numFmtId="0" fontId="13" fillId="0" borderId="15" xfId="0" applyFont="1" applyBorder="1" applyAlignment="1" applyProtection="1">
      <alignment horizontal="center"/>
      <protection hidden="1"/>
    </xf>
    <xf numFmtId="0" fontId="13" fillId="0" borderId="0" xfId="0" applyFont="1" applyAlignment="1" applyProtection="1">
      <alignment horizontal="center"/>
      <protection hidden="1"/>
    </xf>
    <xf numFmtId="0" fontId="5" fillId="60" borderId="0" xfId="81" applyFont="1" applyFill="1" applyAlignment="1">
      <alignment horizontal="center"/>
    </xf>
    <xf numFmtId="168" fontId="68" fillId="0" borderId="0" xfId="82" applyFont="1" applyAlignment="1" applyProtection="1">
      <alignment horizontal="centerContinuous"/>
    </xf>
    <xf numFmtId="0" fontId="211" fillId="0" borderId="0" xfId="108" applyFont="1" applyAlignment="1">
      <alignment horizontal="centerContinuous"/>
    </xf>
    <xf numFmtId="0" fontId="211" fillId="0" borderId="0" xfId="110" applyFont="1" applyAlignment="1">
      <alignment horizontal="centerContinuous"/>
    </xf>
    <xf numFmtId="0" fontId="68" fillId="0" borderId="0" xfId="110" applyFont="1" applyAlignment="1">
      <alignment horizontal="right"/>
    </xf>
    <xf numFmtId="39" fontId="0" fillId="0" borderId="0" xfId="0" applyNumberFormat="1"/>
    <xf numFmtId="176" fontId="0" fillId="0" borderId="1" xfId="122" applyNumberFormat="1" applyFont="1" applyBorder="1">
      <protection locked="0"/>
    </xf>
    <xf numFmtId="176" fontId="0" fillId="0" borderId="1" xfId="85" applyNumberFormat="1" applyFont="1" applyBorder="1">
      <protection locked="0"/>
    </xf>
    <xf numFmtId="176" fontId="0" fillId="0" borderId="1" xfId="122" applyNumberFormat="1" applyFont="1" applyBorder="1" applyProtection="1"/>
    <xf numFmtId="0" fontId="5" fillId="0" borderId="0" xfId="0" applyFont="1" applyAlignment="1">
      <alignment horizontal="right"/>
    </xf>
    <xf numFmtId="4" fontId="0" fillId="65" borderId="59" xfId="0" applyNumberFormat="1" applyFill="1" applyBorder="1" applyProtection="1">
      <protection locked="0"/>
    </xf>
    <xf numFmtId="180" fontId="230" fillId="0" borderId="0" xfId="0" applyNumberFormat="1" applyFont="1"/>
    <xf numFmtId="0" fontId="0" fillId="0" borderId="0" xfId="0" applyAlignment="1">
      <alignment horizontal="left" vertical="center"/>
    </xf>
    <xf numFmtId="0" fontId="0" fillId="0" borderId="0" xfId="0" applyAlignment="1">
      <alignment horizontal="left" vertical="top" wrapText="1"/>
    </xf>
    <xf numFmtId="0" fontId="0" fillId="0" borderId="0" xfId="89" applyFont="1"/>
    <xf numFmtId="0" fontId="0" fillId="0" borderId="0" xfId="89" applyFont="1" applyAlignment="1">
      <alignment horizontal="left" indent="1"/>
    </xf>
    <xf numFmtId="0" fontId="292" fillId="0" borderId="0" xfId="57" applyFont="1" applyAlignment="1" applyProtection="1"/>
    <xf numFmtId="0" fontId="230" fillId="54" borderId="0" xfId="0" applyFont="1" applyFill="1"/>
    <xf numFmtId="0" fontId="240" fillId="54" borderId="0" xfId="0" applyFont="1" applyFill="1"/>
    <xf numFmtId="0" fontId="11" fillId="0" borderId="15" xfId="0" applyFont="1" applyBorder="1" applyAlignment="1">
      <alignment horizontal="center"/>
    </xf>
    <xf numFmtId="0" fontId="294" fillId="0" borderId="0" xfId="0" applyFont="1"/>
    <xf numFmtId="4" fontId="10" fillId="0" borderId="0" xfId="74" applyNumberFormat="1"/>
    <xf numFmtId="185" fontId="5" fillId="55" borderId="3" xfId="0" applyNumberFormat="1" applyFont="1" applyFill="1" applyBorder="1"/>
    <xf numFmtId="185" fontId="0" fillId="55" borderId="3" xfId="0" applyNumberFormat="1" applyFill="1" applyBorder="1"/>
    <xf numFmtId="39" fontId="13" fillId="55" borderId="0" xfId="74" applyNumberFormat="1" applyFont="1" applyFill="1" applyProtection="1">
      <protection hidden="1"/>
    </xf>
    <xf numFmtId="43" fontId="10" fillId="0" borderId="0" xfId="74" applyNumberFormat="1"/>
    <xf numFmtId="180" fontId="5" fillId="55" borderId="0" xfId="0" applyNumberFormat="1" applyFont="1" applyFill="1"/>
    <xf numFmtId="180" fontId="0" fillId="55" borderId="0" xfId="0" applyNumberFormat="1" applyFill="1"/>
    <xf numFmtId="0" fontId="0" fillId="58" borderId="0" xfId="81" applyFont="1" applyFill="1" applyAlignment="1">
      <alignment horizontal="right"/>
    </xf>
    <xf numFmtId="0" fontId="0" fillId="58" borderId="0" xfId="81" applyFont="1" applyFill="1" applyAlignment="1">
      <alignment horizontal="left"/>
    </xf>
    <xf numFmtId="0" fontId="0" fillId="58" borderId="1" xfId="81" applyFont="1" applyFill="1" applyBorder="1" applyAlignment="1" applyProtection="1">
      <alignment horizontal="center"/>
      <protection locked="0"/>
    </xf>
    <xf numFmtId="176" fontId="0" fillId="0" borderId="0" xfId="122" applyNumberFormat="1" applyFont="1">
      <protection locked="0"/>
    </xf>
    <xf numFmtId="176" fontId="0" fillId="0" borderId="0" xfId="85" applyNumberFormat="1" applyFont="1">
      <protection locked="0"/>
    </xf>
    <xf numFmtId="0" fontId="5" fillId="0" borderId="18" xfId="86" applyFont="1" applyBorder="1"/>
    <xf numFmtId="170" fontId="5" fillId="0" borderId="0" xfId="29" applyNumberFormat="1" applyFont="1" applyBorder="1" applyProtection="1">
      <protection locked="0"/>
    </xf>
    <xf numFmtId="170" fontId="5" fillId="0" borderId="0" xfId="29" applyNumberFormat="1" applyFont="1" applyBorder="1"/>
    <xf numFmtId="0" fontId="7" fillId="0" borderId="0" xfId="86" applyFont="1"/>
    <xf numFmtId="39" fontId="7" fillId="0" borderId="0" xfId="0" applyNumberFormat="1" applyFont="1"/>
    <xf numFmtId="0" fontId="228" fillId="0" borderId="0" xfId="0" applyFont="1"/>
    <xf numFmtId="14" fontId="243" fillId="0" borderId="0" xfId="0" applyNumberFormat="1" applyFont="1" applyAlignment="1" applyProtection="1">
      <alignment horizontal="center"/>
      <protection locked="0"/>
    </xf>
    <xf numFmtId="0" fontId="29" fillId="0" borderId="0" xfId="86" applyFont="1" applyProtection="1">
      <protection locked="0"/>
    </xf>
    <xf numFmtId="0" fontId="29" fillId="0" borderId="0" xfId="86" applyFont="1" applyAlignment="1" applyProtection="1">
      <alignment horizontal="center"/>
      <protection locked="0"/>
    </xf>
    <xf numFmtId="0" fontId="245" fillId="0" borderId="0" xfId="0" applyFont="1"/>
    <xf numFmtId="0" fontId="186" fillId="0" borderId="0" xfId="57" applyFont="1" applyBorder="1" applyAlignment="1" applyProtection="1">
      <alignment horizontal="center"/>
    </xf>
    <xf numFmtId="0" fontId="9" fillId="0" borderId="0" xfId="86" applyFont="1"/>
    <xf numFmtId="0" fontId="112" fillId="0" borderId="0" xfId="86" applyFont="1"/>
    <xf numFmtId="0" fontId="9" fillId="0" borderId="2" xfId="86" applyFont="1" applyBorder="1"/>
    <xf numFmtId="0" fontId="9" fillId="0" borderId="2" xfId="86" applyFont="1" applyBorder="1" applyAlignment="1" applyProtection="1">
      <alignment horizontal="center" shrinkToFit="1"/>
      <protection locked="0"/>
    </xf>
    <xf numFmtId="0" fontId="9" fillId="0" borderId="2" xfId="0" applyFont="1" applyBorder="1"/>
    <xf numFmtId="0" fontId="5" fillId="0" borderId="0" xfId="86" applyFont="1" applyAlignment="1" applyProtection="1">
      <alignment horizontal="center" shrinkToFit="1"/>
      <protection locked="0"/>
    </xf>
    <xf numFmtId="0" fontId="243" fillId="0" borderId="0" xfId="0" applyFont="1" applyAlignment="1">
      <alignment horizontal="right"/>
    </xf>
    <xf numFmtId="0" fontId="243" fillId="0" borderId="0" xfId="0" applyFont="1" applyAlignment="1">
      <alignment vertical="center"/>
    </xf>
    <xf numFmtId="15" fontId="243" fillId="0" borderId="1" xfId="0" quotePrefix="1" applyNumberFormat="1" applyFont="1" applyBorder="1" applyAlignment="1">
      <alignment horizontal="center"/>
    </xf>
    <xf numFmtId="15" fontId="243" fillId="0" borderId="0" xfId="0" quotePrefix="1" applyNumberFormat="1" applyFont="1" applyAlignment="1">
      <alignment horizontal="center"/>
    </xf>
    <xf numFmtId="0" fontId="243" fillId="0" borderId="0" xfId="0" applyFont="1" applyAlignment="1">
      <alignment vertical="center" wrapText="1"/>
    </xf>
    <xf numFmtId="0" fontId="245" fillId="0" borderId="0" xfId="0" applyFont="1" applyAlignment="1">
      <alignment horizontal="right"/>
    </xf>
    <xf numFmtId="43" fontId="245" fillId="0" borderId="0" xfId="0" applyNumberFormat="1" applyFont="1"/>
    <xf numFmtId="197" fontId="243" fillId="0" borderId="0" xfId="0" applyNumberFormat="1" applyFont="1" applyAlignment="1">
      <alignment horizontal="center"/>
    </xf>
    <xf numFmtId="0" fontId="243" fillId="0" borderId="0" xfId="0" quotePrefix="1" applyFont="1" applyAlignment="1">
      <alignment horizontal="center"/>
    </xf>
    <xf numFmtId="10" fontId="243" fillId="0" borderId="0" xfId="0" quotePrefix="1" applyNumberFormat="1" applyFont="1" applyAlignment="1">
      <alignment horizontal="center"/>
    </xf>
    <xf numFmtId="43" fontId="243" fillId="0" borderId="0" xfId="0" applyNumberFormat="1" applyFont="1" applyAlignment="1">
      <alignment horizontal="center"/>
    </xf>
    <xf numFmtId="42" fontId="243" fillId="0" borderId="8" xfId="0" quotePrefix="1" applyNumberFormat="1" applyFont="1" applyBorder="1" applyAlignment="1">
      <alignment horizontal="center"/>
    </xf>
    <xf numFmtId="42" fontId="245" fillId="0" borderId="0" xfId="0" quotePrefix="1" applyNumberFormat="1" applyFont="1" applyAlignment="1">
      <alignment horizontal="center"/>
    </xf>
    <xf numFmtId="42" fontId="243" fillId="0" borderId="0" xfId="0" applyNumberFormat="1" applyFont="1" applyAlignment="1">
      <alignment horizontal="center"/>
    </xf>
    <xf numFmtId="43" fontId="243" fillId="0" borderId="8" xfId="0" applyNumberFormat="1" applyFont="1" applyBorder="1" applyAlignment="1">
      <alignment horizontal="center"/>
    </xf>
    <xf numFmtId="0" fontId="243" fillId="0" borderId="0" xfId="0" quotePrefix="1" applyFont="1" applyAlignment="1">
      <alignment horizontal="right"/>
    </xf>
    <xf numFmtId="0" fontId="243" fillId="0" borderId="0" xfId="0" applyFont="1" applyAlignment="1">
      <alignment horizontal="left"/>
    </xf>
    <xf numFmtId="39" fontId="5" fillId="0" borderId="0" xfId="0" applyNumberFormat="1" applyFont="1"/>
    <xf numFmtId="185" fontId="296" fillId="0" borderId="0" xfId="0" applyNumberFormat="1" applyFont="1"/>
    <xf numFmtId="185" fontId="0" fillId="66" borderId="3" xfId="0" applyNumberFormat="1" applyFill="1" applyBorder="1"/>
    <xf numFmtId="0" fontId="0" fillId="5" borderId="15" xfId="0" applyFill="1" applyBorder="1" applyAlignment="1">
      <alignment wrapText="1"/>
    </xf>
    <xf numFmtId="0" fontId="293" fillId="8" borderId="0" xfId="0" applyFont="1" applyFill="1"/>
    <xf numFmtId="166" fontId="293" fillId="0" borderId="0" xfId="0" applyNumberFormat="1" applyFont="1"/>
    <xf numFmtId="44" fontId="5" fillId="0" borderId="1" xfId="40" applyFont="1" applyBorder="1" applyProtection="1">
      <protection locked="0"/>
    </xf>
    <xf numFmtId="0" fontId="0" fillId="0" borderId="0" xfId="107" applyFont="1" applyProtection="1">
      <protection hidden="1"/>
    </xf>
    <xf numFmtId="0" fontId="0" fillId="0" borderId="0" xfId="104" applyFont="1"/>
    <xf numFmtId="0" fontId="297" fillId="0" borderId="0" xfId="107" applyFont="1" applyAlignment="1" applyProtection="1">
      <alignment vertical="center"/>
      <protection hidden="1"/>
    </xf>
    <xf numFmtId="49" fontId="0" fillId="0" borderId="0" xfId="0" applyNumberFormat="1" applyAlignment="1">
      <alignment horizontal="left"/>
    </xf>
    <xf numFmtId="49" fontId="0" fillId="0" borderId="0" xfId="0" quotePrefix="1" applyNumberFormat="1" applyAlignment="1">
      <alignment horizontal="left"/>
    </xf>
    <xf numFmtId="0" fontId="5" fillId="0" borderId="0" xfId="57" applyFont="1" applyAlignment="1" applyProtection="1"/>
    <xf numFmtId="176" fontId="5" fillId="59" borderId="1" xfId="94" applyNumberFormat="1" applyFont="1" applyFill="1" applyBorder="1"/>
    <xf numFmtId="176" fontId="5" fillId="59" borderId="0" xfId="94" applyNumberFormat="1" applyFont="1" applyFill="1"/>
    <xf numFmtId="176" fontId="0" fillId="0" borderId="0" xfId="94" applyNumberFormat="1" applyFont="1" applyProtection="1">
      <protection locked="0"/>
    </xf>
    <xf numFmtId="176" fontId="5" fillId="0" borderId="0" xfId="94" applyNumberFormat="1" applyFont="1" applyProtection="1">
      <protection locked="0"/>
    </xf>
    <xf numFmtId="0" fontId="298" fillId="0" borderId="0" xfId="0" applyFont="1"/>
    <xf numFmtId="0" fontId="5" fillId="0" borderId="0" xfId="111" applyFont="1" applyAlignment="1">
      <alignment horizontal="center" shrinkToFit="1"/>
    </xf>
    <xf numFmtId="0" fontId="5" fillId="0" borderId="0" xfId="112" applyFont="1" applyAlignment="1">
      <alignment horizontal="right"/>
    </xf>
    <xf numFmtId="176" fontId="5" fillId="0" borderId="17" xfId="104" applyNumberFormat="1" applyFont="1" applyBorder="1"/>
    <xf numFmtId="0" fontId="5" fillId="0" borderId="0" xfId="104" applyFont="1" applyProtection="1">
      <protection locked="0"/>
    </xf>
    <xf numFmtId="0" fontId="5" fillId="0" borderId="1" xfId="112" applyFont="1" applyBorder="1" applyAlignment="1" applyProtection="1">
      <alignment horizontal="center"/>
      <protection locked="0"/>
    </xf>
    <xf numFmtId="164" fontId="15" fillId="0" borderId="0" xfId="106" applyNumberFormat="1" applyFont="1" applyProtection="1">
      <protection locked="0"/>
    </xf>
    <xf numFmtId="164" fontId="15" fillId="0" borderId="0" xfId="106" applyNumberFormat="1" applyFont="1" applyAlignment="1" applyProtection="1">
      <alignment horizontal="right"/>
      <protection locked="0"/>
    </xf>
    <xf numFmtId="0" fontId="5" fillId="0" borderId="0" xfId="86" applyFont="1" applyAlignment="1">
      <alignment shrinkToFit="1"/>
    </xf>
    <xf numFmtId="0" fontId="5" fillId="0" borderId="0" xfId="86" applyFont="1" applyAlignment="1" applyProtection="1">
      <alignment shrinkToFit="1"/>
      <protection locked="0"/>
    </xf>
    <xf numFmtId="0" fontId="9" fillId="0" borderId="0" xfId="86" applyFont="1" applyAlignment="1" applyProtection="1">
      <alignment shrinkToFit="1"/>
      <protection locked="0"/>
    </xf>
    <xf numFmtId="0" fontId="9" fillId="0" borderId="0" xfId="86" applyFont="1" applyAlignment="1">
      <alignment shrinkToFit="1"/>
    </xf>
    <xf numFmtId="0" fontId="286" fillId="54" borderId="0" xfId="0" applyFont="1" applyFill="1"/>
    <xf numFmtId="0" fontId="68" fillId="54" borderId="0" xfId="0" applyFont="1" applyFill="1"/>
    <xf numFmtId="0" fontId="0" fillId="0" borderId="0" xfId="114" applyFont="1"/>
    <xf numFmtId="0" fontId="0" fillId="0" borderId="0" xfId="95" applyFont="1"/>
    <xf numFmtId="49" fontId="0" fillId="0" borderId="0" xfId="114" applyNumberFormat="1" applyFont="1" applyAlignment="1">
      <alignment horizontal="center"/>
    </xf>
    <xf numFmtId="0" fontId="0" fillId="0" borderId="0" xfId="114" applyFont="1" applyAlignment="1">
      <alignment horizontal="right"/>
    </xf>
    <xf numFmtId="0" fontId="0" fillId="0" borderId="0" xfId="114" applyFont="1" applyAlignment="1">
      <alignment horizontal="center"/>
    </xf>
    <xf numFmtId="0" fontId="0" fillId="0" borderId="0" xfId="114" applyFont="1" applyAlignment="1">
      <alignment shrinkToFit="1"/>
    </xf>
    <xf numFmtId="0" fontId="0" fillId="0" borderId="0" xfId="114" applyFont="1" applyAlignment="1">
      <alignment horizontal="center" shrinkToFit="1"/>
    </xf>
    <xf numFmtId="0" fontId="0" fillId="0" borderId="0" xfId="114" applyFont="1" applyProtection="1">
      <protection locked="0"/>
    </xf>
    <xf numFmtId="0" fontId="0" fillId="0" borderId="2" xfId="95" applyFont="1" applyBorder="1"/>
    <xf numFmtId="15" fontId="0" fillId="0" borderId="0" xfId="0" applyNumberFormat="1"/>
    <xf numFmtId="43" fontId="0" fillId="0" borderId="0" xfId="29" applyFont="1" applyAlignment="1" applyProtection="1">
      <alignment horizontal="center"/>
      <protection locked="0"/>
    </xf>
    <xf numFmtId="43" fontId="0" fillId="0" borderId="0" xfId="29" applyFont="1" applyAlignment="1">
      <alignment horizontal="center"/>
    </xf>
    <xf numFmtId="43" fontId="0" fillId="0" borderId="1" xfId="29" applyFont="1" applyBorder="1" applyAlignment="1" applyProtection="1">
      <alignment horizontal="center"/>
      <protection locked="0"/>
    </xf>
    <xf numFmtId="43" fontId="0" fillId="0" borderId="1" xfId="29" applyFont="1" applyBorder="1" applyAlignment="1">
      <alignment horizontal="center"/>
    </xf>
    <xf numFmtId="0" fontId="0" fillId="0" borderId="0" xfId="0" applyAlignment="1">
      <alignment horizontal="left" indent="1"/>
    </xf>
    <xf numFmtId="43" fontId="0" fillId="0" borderId="4" xfId="29" applyFont="1" applyBorder="1" applyAlignment="1">
      <alignment horizontal="center"/>
    </xf>
    <xf numFmtId="43" fontId="0" fillId="0" borderId="0" xfId="29" applyFont="1" applyBorder="1" applyAlignment="1">
      <alignment horizontal="center"/>
    </xf>
    <xf numFmtId="43" fontId="0" fillId="0" borderId="0" xfId="29" applyFont="1" applyBorder="1" applyAlignment="1" applyProtection="1">
      <alignment horizontal="center"/>
      <protection locked="0"/>
    </xf>
    <xf numFmtId="44" fontId="0" fillId="0" borderId="0" xfId="40" applyFont="1" applyBorder="1" applyAlignment="1">
      <alignment horizontal="center"/>
    </xf>
    <xf numFmtId="43" fontId="0" fillId="0" borderId="1" xfId="40" applyNumberFormat="1" applyFont="1" applyBorder="1" applyAlignment="1">
      <alignment horizontal="center"/>
    </xf>
    <xf numFmtId="44" fontId="0" fillId="0" borderId="3" xfId="29" applyNumberFormat="1" applyFont="1" applyBorder="1" applyAlignment="1">
      <alignment horizontal="center"/>
    </xf>
    <xf numFmtId="44" fontId="0" fillId="0" borderId="14" xfId="0" applyNumberFormat="1" applyBorder="1"/>
    <xf numFmtId="0" fontId="7" fillId="0" borderId="0" xfId="0" applyFont="1" applyAlignment="1">
      <alignment horizontal="left" indent="2"/>
    </xf>
    <xf numFmtId="43" fontId="0" fillId="0" borderId="4" xfId="0" applyNumberFormat="1" applyBorder="1" applyProtection="1">
      <protection locked="0"/>
    </xf>
    <xf numFmtId="0" fontId="0" fillId="0" borderId="0" xfId="88" applyFont="1"/>
    <xf numFmtId="180" fontId="299" fillId="0" borderId="1" xfId="0" applyNumberFormat="1" applyFont="1" applyBorder="1"/>
    <xf numFmtId="180" fontId="299" fillId="0" borderId="4" xfId="0" applyNumberFormat="1" applyFont="1" applyBorder="1"/>
    <xf numFmtId="179" fontId="18" fillId="0" borderId="0" xfId="0" applyNumberFormat="1" applyFont="1" applyProtection="1">
      <protection locked="0"/>
    </xf>
    <xf numFmtId="179" fontId="18" fillId="0" borderId="4" xfId="0" applyNumberFormat="1" applyFont="1" applyBorder="1" applyProtection="1">
      <protection locked="0"/>
    </xf>
    <xf numFmtId="0" fontId="256" fillId="6" borderId="0" xfId="0" applyFont="1" applyFill="1" applyAlignment="1">
      <alignment horizontal="center" wrapText="1"/>
    </xf>
    <xf numFmtId="0" fontId="256" fillId="6" borderId="0" xfId="0" applyFont="1" applyFill="1" applyAlignment="1">
      <alignment horizontal="left" wrapText="1"/>
    </xf>
    <xf numFmtId="0" fontId="243" fillId="0" borderId="0" xfId="0" applyFont="1" applyAlignment="1">
      <alignment horizontal="center" vertical="center"/>
    </xf>
    <xf numFmtId="0" fontId="243" fillId="0" borderId="1" xfId="0" applyFont="1" applyBorder="1" applyAlignment="1">
      <alignment horizontal="center" vertical="center"/>
    </xf>
    <xf numFmtId="164" fontId="15" fillId="0" borderId="1" xfId="106" applyNumberFormat="1" applyFont="1" applyBorder="1" applyAlignment="1" applyProtection="1">
      <alignment horizontal="center" vertical="center"/>
      <protection locked="0"/>
    </xf>
    <xf numFmtId="164" fontId="15" fillId="0" borderId="0" xfId="106" applyNumberFormat="1" applyFont="1" applyAlignment="1" applyProtection="1">
      <alignment horizontal="center" vertical="center"/>
      <protection locked="0"/>
    </xf>
    <xf numFmtId="175" fontId="15" fillId="0" borderId="1" xfId="106" applyNumberFormat="1" applyFont="1" applyBorder="1" applyAlignment="1" applyProtection="1">
      <alignment horizontal="center" vertical="center"/>
      <protection locked="0"/>
    </xf>
    <xf numFmtId="164" fontId="15" fillId="0" borderId="4" xfId="106" applyNumberFormat="1" applyFont="1" applyBorder="1" applyAlignment="1" applyProtection="1">
      <alignment horizontal="center" vertical="center"/>
      <protection locked="0"/>
    </xf>
    <xf numFmtId="175" fontId="15" fillId="0" borderId="4" xfId="106" applyNumberFormat="1" applyFont="1" applyBorder="1" applyAlignment="1" applyProtection="1">
      <alignment horizontal="center" vertical="center"/>
      <protection locked="0"/>
    </xf>
    <xf numFmtId="176" fontId="5" fillId="0" borderId="1" xfId="104" applyNumberFormat="1" applyFont="1" applyBorder="1" applyAlignment="1" applyProtection="1">
      <alignment horizontal="center" vertical="center"/>
      <protection locked="0"/>
    </xf>
    <xf numFmtId="176" fontId="5" fillId="0" borderId="0" xfId="104" applyNumberFormat="1" applyFont="1" applyAlignment="1">
      <alignment horizontal="center" vertical="center"/>
    </xf>
    <xf numFmtId="196" fontId="5" fillId="0" borderId="0" xfId="106" applyNumberFormat="1" applyFont="1" applyAlignment="1">
      <alignment horizontal="center" vertical="center"/>
    </xf>
    <xf numFmtId="164" fontId="15" fillId="0" borderId="16" xfId="106" applyNumberFormat="1" applyFont="1" applyBorder="1" applyAlignment="1">
      <alignment horizontal="center" vertical="center"/>
    </xf>
    <xf numFmtId="164" fontId="15" fillId="0" borderId="0" xfId="106" applyNumberFormat="1" applyFont="1" applyAlignment="1">
      <alignment horizontal="center" vertical="center"/>
    </xf>
    <xf numFmtId="164" fontId="5" fillId="0" borderId="0" xfId="106" applyNumberFormat="1" applyFont="1" applyAlignment="1">
      <alignment horizontal="center" vertical="center"/>
    </xf>
    <xf numFmtId="164" fontId="5" fillId="0" borderId="0" xfId="106" quotePrefix="1" applyNumberFormat="1" applyFont="1" applyAlignment="1">
      <alignment horizontal="center" vertical="center"/>
    </xf>
    <xf numFmtId="164" fontId="5" fillId="0" borderId="2" xfId="106" applyNumberFormat="1" applyFont="1" applyBorder="1" applyAlignment="1">
      <alignment horizontal="center" vertical="center"/>
    </xf>
    <xf numFmtId="176" fontId="5" fillId="0" borderId="8" xfId="104" applyNumberFormat="1" applyFont="1" applyBorder="1" applyAlignment="1">
      <alignment horizontal="center" vertical="center"/>
    </xf>
    <xf numFmtId="196" fontId="5" fillId="0" borderId="2" xfId="106" applyNumberFormat="1" applyFont="1" applyBorder="1" applyAlignment="1">
      <alignment horizontal="center" vertical="center"/>
    </xf>
    <xf numFmtId="176" fontId="5" fillId="0" borderId="4" xfId="122" applyNumberFormat="1" applyFont="1" applyBorder="1" applyProtection="1"/>
    <xf numFmtId="2" fontId="243" fillId="0" borderId="1" xfId="0" quotePrefix="1" applyNumberFormat="1" applyFont="1" applyBorder="1" applyAlignment="1" applyProtection="1">
      <alignment horizontal="center"/>
      <protection locked="0"/>
    </xf>
    <xf numFmtId="2" fontId="243" fillId="0" borderId="1" xfId="0" applyNumberFormat="1" applyFont="1" applyBorder="1" applyAlignment="1" applyProtection="1">
      <alignment horizontal="center"/>
      <protection locked="0"/>
    </xf>
    <xf numFmtId="10" fontId="243" fillId="0" borderId="1" xfId="130" applyNumberFormat="1" applyFont="1" applyBorder="1" applyAlignment="1" applyProtection="1">
      <alignment horizontal="center"/>
      <protection locked="0"/>
    </xf>
    <xf numFmtId="10" fontId="243" fillId="0" borderId="1" xfId="130" quotePrefix="1" applyNumberFormat="1" applyFont="1" applyBorder="1" applyAlignment="1" applyProtection="1">
      <alignment horizontal="center"/>
      <protection locked="0"/>
    </xf>
    <xf numFmtId="0" fontId="5" fillId="0" borderId="0" xfId="88" applyFont="1" applyProtection="1">
      <protection locked="0"/>
    </xf>
    <xf numFmtId="176" fontId="0" fillId="0" borderId="1" xfId="84" applyNumberFormat="1" applyFont="1" applyBorder="1"/>
    <xf numFmtId="0" fontId="13" fillId="0" borderId="0" xfId="57" applyFont="1" applyAlignment="1" applyProtection="1">
      <alignment horizontal="left"/>
      <protection hidden="1"/>
    </xf>
    <xf numFmtId="0" fontId="157" fillId="0" borderId="0" xfId="0" applyFont="1" applyProtection="1">
      <protection locked="0"/>
    </xf>
    <xf numFmtId="168" fontId="97" fillId="0" borderId="0" xfId="0" applyNumberFormat="1" applyFont="1" applyProtection="1">
      <protection locked="0"/>
    </xf>
    <xf numFmtId="0" fontId="5" fillId="6" borderId="0" xfId="0" applyFont="1" applyFill="1" applyProtection="1">
      <protection locked="0"/>
    </xf>
    <xf numFmtId="0" fontId="0" fillId="6" borderId="0" xfId="0" applyFill="1" applyProtection="1">
      <protection locked="0"/>
    </xf>
    <xf numFmtId="166" fontId="157" fillId="0" borderId="0" xfId="0" applyNumberFormat="1" applyFont="1" applyProtection="1">
      <protection locked="0"/>
    </xf>
    <xf numFmtId="0" fontId="163" fillId="0" borderId="0" xfId="0" applyFont="1" applyProtection="1">
      <protection locked="0"/>
    </xf>
    <xf numFmtId="0" fontId="168" fillId="0" borderId="0" xfId="0" applyFont="1" applyProtection="1">
      <protection locked="0"/>
    </xf>
    <xf numFmtId="0" fontId="103" fillId="0" borderId="0" xfId="0" applyFont="1" applyProtection="1">
      <protection locked="0"/>
    </xf>
    <xf numFmtId="14" fontId="5" fillId="0" borderId="0" xfId="0" applyNumberFormat="1" applyFont="1" applyAlignment="1" applyProtection="1">
      <alignment horizontal="center" vertical="center"/>
      <protection locked="0"/>
    </xf>
    <xf numFmtId="0" fontId="256" fillId="0" borderId="0" xfId="0" applyFont="1" applyAlignment="1">
      <alignment horizontal="left" wrapText="1"/>
    </xf>
    <xf numFmtId="176" fontId="0" fillId="0" borderId="4" xfId="122" applyNumberFormat="1" applyFont="1" applyBorder="1">
      <protection locked="0"/>
    </xf>
    <xf numFmtId="176" fontId="0" fillId="0" borderId="4" xfId="85" applyNumberFormat="1" applyFont="1" applyBorder="1">
      <protection locked="0"/>
    </xf>
    <xf numFmtId="0" fontId="5" fillId="0" borderId="0" xfId="0" applyFont="1" applyAlignment="1" applyProtection="1">
      <alignment horizontal="center" vertical="center"/>
      <protection locked="0"/>
    </xf>
    <xf numFmtId="0" fontId="29" fillId="0" borderId="1" xfId="86" applyFont="1" applyBorder="1" applyAlignment="1" applyProtection="1">
      <alignment horizontal="right"/>
      <protection locked="0"/>
    </xf>
    <xf numFmtId="14" fontId="211" fillId="0" borderId="0" xfId="0" applyNumberFormat="1" applyFont="1" applyAlignment="1" applyProtection="1">
      <alignment horizontal="center" vertical="center"/>
      <protection locked="0"/>
    </xf>
    <xf numFmtId="0" fontId="211" fillId="0" borderId="0" xfId="0" applyFont="1" applyAlignment="1" applyProtection="1">
      <alignment vertical="center"/>
      <protection locked="0"/>
    </xf>
    <xf numFmtId="0" fontId="211" fillId="0" borderId="0" xfId="0" applyFont="1" applyAlignment="1" applyProtection="1">
      <alignment horizontal="center" vertical="center" wrapText="1"/>
      <protection locked="0"/>
    </xf>
    <xf numFmtId="49" fontId="211" fillId="0" borderId="0" xfId="0" applyNumberFormat="1" applyFont="1" applyAlignment="1" applyProtection="1">
      <alignment horizontal="left" vertical="center" wrapText="1"/>
      <protection locked="0"/>
    </xf>
    <xf numFmtId="49" fontId="211" fillId="0" borderId="0" xfId="0" applyNumberFormat="1" applyFont="1" applyAlignment="1" applyProtection="1">
      <alignment horizontal="left" vertical="center"/>
      <protection locked="0"/>
    </xf>
    <xf numFmtId="0" fontId="13" fillId="0" borderId="0" xfId="119" applyFont="1" applyAlignment="1" applyProtection="1">
      <alignment vertical="center"/>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protection locked="0"/>
    </xf>
    <xf numFmtId="14" fontId="211" fillId="0" borderId="27" xfId="0" applyNumberFormat="1" applyFont="1" applyBorder="1" applyAlignment="1">
      <alignment horizontal="center" vertical="center"/>
    </xf>
    <xf numFmtId="0" fontId="5" fillId="0" borderId="0" xfId="0" applyFont="1" applyAlignment="1" applyProtection="1">
      <alignment horizontal="center" vertical="center" wrapText="1"/>
      <protection locked="0"/>
    </xf>
    <xf numFmtId="0" fontId="5" fillId="0" borderId="0" xfId="0" applyFont="1" applyAlignment="1" applyProtection="1">
      <alignment vertical="center"/>
      <protection locked="0"/>
    </xf>
    <xf numFmtId="0" fontId="211" fillId="0" borderId="0" xfId="0" applyFont="1" applyAlignment="1">
      <alignment vertical="center" wrapText="1"/>
    </xf>
    <xf numFmtId="0" fontId="0" fillId="0" borderId="0" xfId="0" applyAlignment="1" applyProtection="1">
      <alignment vertical="center" wrapText="1"/>
      <protection locked="0"/>
    </xf>
    <xf numFmtId="49" fontId="211" fillId="0" borderId="0" xfId="0" applyNumberFormat="1" applyFont="1" applyAlignment="1" applyProtection="1">
      <alignment horizontal="center" vertical="center"/>
      <protection locked="0"/>
    </xf>
    <xf numFmtId="0" fontId="18" fillId="0" borderId="0" xfId="0" applyFont="1" applyAlignment="1">
      <alignment vertical="center"/>
    </xf>
    <xf numFmtId="0" fontId="211" fillId="0" borderId="0" xfId="0" applyFont="1" applyAlignment="1" applyProtection="1">
      <alignment horizontal="center" vertical="center"/>
      <protection locked="0"/>
    </xf>
    <xf numFmtId="0" fontId="211" fillId="0" borderId="0" xfId="0" applyFont="1" applyAlignment="1" applyProtection="1">
      <alignment horizontal="left" vertical="center"/>
      <protection locked="0"/>
    </xf>
    <xf numFmtId="194" fontId="211" fillId="0" borderId="0" xfId="0" applyNumberFormat="1" applyFont="1" applyAlignment="1" applyProtection="1">
      <alignment horizontal="center" vertical="center"/>
      <protection locked="0"/>
    </xf>
    <xf numFmtId="43" fontId="243" fillId="0" borderId="1" xfId="0" applyNumberFormat="1" applyFont="1" applyBorder="1" applyAlignment="1" applyProtection="1">
      <alignment horizontal="center"/>
      <protection locked="0"/>
    </xf>
    <xf numFmtId="43" fontId="243" fillId="0" borderId="4" xfId="0" applyNumberFormat="1" applyFont="1" applyBorder="1" applyAlignment="1" applyProtection="1">
      <alignment horizontal="center"/>
      <protection locked="0"/>
    </xf>
    <xf numFmtId="43" fontId="243" fillId="0" borderId="14" xfId="0" applyNumberFormat="1" applyFont="1" applyBorder="1" applyAlignment="1">
      <alignment horizontal="center"/>
    </xf>
    <xf numFmtId="0" fontId="267" fillId="0" borderId="0" xfId="0" applyFont="1"/>
    <xf numFmtId="164" fontId="72" fillId="0" borderId="0" xfId="57" applyNumberFormat="1" applyFont="1" applyAlignment="1" applyProtection="1">
      <alignment horizontal="center" vertical="center"/>
    </xf>
    <xf numFmtId="0" fontId="0" fillId="0" borderId="0" xfId="84" applyFont="1" applyAlignment="1">
      <alignment horizontal="center"/>
    </xf>
    <xf numFmtId="0" fontId="12" fillId="54" borderId="0" xfId="119" applyFont="1" applyFill="1" applyAlignment="1" applyProtection="1">
      <alignment vertical="center"/>
      <protection locked="0"/>
    </xf>
    <xf numFmtId="168" fontId="36" fillId="0" borderId="6" xfId="82" quotePrefix="1" applyFont="1" applyBorder="1" applyAlignment="1" applyProtection="1">
      <alignment horizontal="center"/>
    </xf>
    <xf numFmtId="168" fontId="36" fillId="0" borderId="6" xfId="85" quotePrefix="1" applyFont="1" applyBorder="1" applyAlignment="1" applyProtection="1">
      <alignment horizontal="center"/>
    </xf>
    <xf numFmtId="0" fontId="300" fillId="0" borderId="0" xfId="81" applyFont="1"/>
    <xf numFmtId="176" fontId="5" fillId="0" borderId="8" xfId="81" applyNumberFormat="1" applyFont="1" applyBorder="1"/>
    <xf numFmtId="176" fontId="5" fillId="0" borderId="14" xfId="81" applyNumberFormat="1" applyFont="1" applyBorder="1" applyProtection="1">
      <protection locked="0"/>
    </xf>
    <xf numFmtId="176" fontId="5" fillId="0" borderId="14" xfId="81" applyNumberFormat="1" applyFont="1" applyBorder="1"/>
    <xf numFmtId="0" fontId="59" fillId="0" borderId="0" xfId="81" applyFont="1"/>
    <xf numFmtId="170" fontId="5" fillId="0" borderId="1" xfId="29" applyNumberFormat="1" applyFont="1" applyFill="1" applyBorder="1" applyProtection="1">
      <protection locked="0"/>
    </xf>
    <xf numFmtId="170" fontId="5" fillId="0" borderId="0" xfId="29" applyNumberFormat="1" applyFont="1" applyFill="1" applyBorder="1" applyProtection="1">
      <protection locked="0"/>
    </xf>
    <xf numFmtId="170" fontId="5" fillId="0" borderId="4" xfId="29" applyNumberFormat="1" applyFont="1" applyFill="1" applyBorder="1" applyProtection="1">
      <protection locked="0"/>
    </xf>
    <xf numFmtId="170" fontId="5" fillId="0" borderId="2" xfId="29" applyNumberFormat="1" applyFont="1" applyFill="1" applyBorder="1" applyProtection="1">
      <protection locked="0"/>
    </xf>
    <xf numFmtId="170" fontId="5" fillId="0" borderId="14" xfId="29" applyNumberFormat="1" applyFont="1" applyFill="1" applyBorder="1"/>
    <xf numFmtId="0" fontId="256" fillId="54" borderId="0" xfId="0" applyFont="1" applyFill="1"/>
    <xf numFmtId="176" fontId="0" fillId="60" borderId="1" xfId="84" applyNumberFormat="1" applyFont="1" applyFill="1" applyBorder="1" applyProtection="1">
      <protection locked="0"/>
    </xf>
    <xf numFmtId="0" fontId="256" fillId="54" borderId="0" xfId="82" applyNumberFormat="1" applyFont="1" applyFill="1" applyProtection="1"/>
    <xf numFmtId="0" fontId="256" fillId="54" borderId="0" xfId="85" applyNumberFormat="1" applyFont="1" applyFill="1" applyProtection="1"/>
    <xf numFmtId="0" fontId="256" fillId="54" borderId="0" xfId="88" applyFont="1" applyFill="1" applyAlignment="1">
      <alignment horizontal="center"/>
    </xf>
    <xf numFmtId="0" fontId="256" fillId="54" borderId="0" xfId="88" applyFont="1" applyFill="1"/>
    <xf numFmtId="0" fontId="7" fillId="0" borderId="2" xfId="138" applyFont="1" applyBorder="1" applyAlignment="1">
      <alignment horizontal="center"/>
    </xf>
    <xf numFmtId="0" fontId="5" fillId="0" borderId="0" xfId="138" applyFont="1" applyAlignment="1">
      <alignment horizontal="left"/>
    </xf>
    <xf numFmtId="0" fontId="293" fillId="54" borderId="0" xfId="0" applyFont="1" applyFill="1"/>
    <xf numFmtId="0" fontId="18" fillId="0" borderId="0" xfId="88" applyFont="1" applyAlignment="1">
      <alignment horizontal="left"/>
    </xf>
    <xf numFmtId="176" fontId="5" fillId="0" borderId="0" xfId="0" applyNumberFormat="1" applyFont="1" applyAlignment="1" applyProtection="1">
      <alignment horizontal="left"/>
      <protection locked="0"/>
    </xf>
    <xf numFmtId="176" fontId="5" fillId="0" borderId="1" xfId="0" applyNumberFormat="1" applyFont="1" applyBorder="1" applyAlignment="1" applyProtection="1">
      <alignment horizontal="left"/>
      <protection locked="0"/>
    </xf>
    <xf numFmtId="0" fontId="0" fillId="0" borderId="0" xfId="0" applyAlignment="1">
      <alignment vertical="center"/>
    </xf>
    <xf numFmtId="166" fontId="18" fillId="54" borderId="0" xfId="0" applyNumberFormat="1" applyFont="1" applyFill="1" applyAlignment="1">
      <alignment horizontal="left" indent="1"/>
    </xf>
    <xf numFmtId="176" fontId="5" fillId="0" borderId="1" xfId="105" applyNumberFormat="1" applyFont="1" applyBorder="1" applyProtection="1">
      <protection locked="0"/>
    </xf>
    <xf numFmtId="0" fontId="5" fillId="0" borderId="0" xfId="105" applyFont="1" applyProtection="1">
      <protection locked="0"/>
    </xf>
    <xf numFmtId="9" fontId="5" fillId="0" borderId="1" xfId="130" applyFont="1" applyBorder="1" applyAlignment="1" applyProtection="1">
      <alignment horizontal="right"/>
      <protection locked="0"/>
    </xf>
    <xf numFmtId="0" fontId="5" fillId="0" borderId="0" xfId="113" applyFont="1" applyProtection="1">
      <protection locked="0"/>
    </xf>
    <xf numFmtId="180" fontId="0" fillId="0" borderId="0" xfId="0" applyNumberFormat="1" applyAlignment="1" applyProtection="1">
      <alignment vertical="center"/>
      <protection locked="0"/>
    </xf>
    <xf numFmtId="0" fontId="163" fillId="0" borderId="0" xfId="0" applyFont="1" applyAlignment="1">
      <alignment vertical="center"/>
    </xf>
    <xf numFmtId="180" fontId="0" fillId="0" borderId="0" xfId="0" applyNumberFormat="1" applyAlignment="1">
      <alignment vertical="center"/>
    </xf>
    <xf numFmtId="0" fontId="230" fillId="54" borderId="0" xfId="0" applyFont="1" applyFill="1" applyAlignment="1">
      <alignment vertical="center" wrapText="1"/>
    </xf>
    <xf numFmtId="0" fontId="264" fillId="0" borderId="0" xfId="0" applyFont="1" applyAlignment="1">
      <alignment horizontal="right" vertical="center"/>
    </xf>
    <xf numFmtId="39" fontId="239" fillId="55" borderId="0" xfId="74" applyNumberFormat="1" applyFont="1" applyFill="1" applyProtection="1">
      <protection hidden="1"/>
    </xf>
    <xf numFmtId="0" fontId="5" fillId="0" borderId="1" xfId="138" applyFont="1" applyBorder="1"/>
    <xf numFmtId="0" fontId="7" fillId="0" borderId="2" xfId="138" applyFont="1" applyBorder="1" applyAlignment="1">
      <alignment horizontal="left" vertical="top"/>
    </xf>
    <xf numFmtId="0" fontId="5" fillId="0" borderId="2" xfId="138" applyFont="1" applyBorder="1" applyAlignment="1">
      <alignment horizontal="left" vertical="top"/>
    </xf>
    <xf numFmtId="49" fontId="30" fillId="52" borderId="1" xfId="138" applyNumberFormat="1" applyFont="1" applyFill="1" applyBorder="1"/>
    <xf numFmtId="0" fontId="5" fillId="0" borderId="1" xfId="138" applyFont="1" applyBorder="1" applyProtection="1">
      <protection locked="0"/>
    </xf>
    <xf numFmtId="0" fontId="5" fillId="0" borderId="4" xfId="138" applyFont="1" applyBorder="1" applyProtection="1">
      <protection locked="0"/>
    </xf>
    <xf numFmtId="0" fontId="7" fillId="0" borderId="1" xfId="0" applyFont="1" applyBorder="1"/>
    <xf numFmtId="0" fontId="245" fillId="0" borderId="0" xfId="0" applyFont="1" applyAlignment="1" applyProtection="1">
      <alignment horizontal="center"/>
      <protection locked="0"/>
    </xf>
    <xf numFmtId="0" fontId="245" fillId="0" borderId="0" xfId="0" applyFont="1" applyAlignment="1">
      <alignment horizontal="center"/>
    </xf>
    <xf numFmtId="0" fontId="55" fillId="0" borderId="1" xfId="136" applyFont="1" applyBorder="1"/>
    <xf numFmtId="0" fontId="303" fillId="0" borderId="0" xfId="136" applyFont="1"/>
    <xf numFmtId="0" fontId="5" fillId="62" borderId="0" xfId="0" applyFont="1" applyFill="1"/>
    <xf numFmtId="185" fontId="5" fillId="0" borderId="0" xfId="75" applyNumberFormat="1"/>
    <xf numFmtId="43" fontId="5" fillId="0" borderId="0" xfId="29" applyFont="1" applyFill="1"/>
    <xf numFmtId="0" fontId="230" fillId="62" borderId="0" xfId="0" applyFont="1" applyFill="1"/>
    <xf numFmtId="180" fontId="230" fillId="8" borderId="0" xfId="0" applyNumberFormat="1" applyFont="1" applyFill="1"/>
    <xf numFmtId="43" fontId="5" fillId="61" borderId="0" xfId="29" applyFont="1" applyFill="1"/>
    <xf numFmtId="0" fontId="5" fillId="62" borderId="2" xfId="114" applyFont="1" applyFill="1" applyBorder="1"/>
    <xf numFmtId="180" fontId="5" fillId="62" borderId="2" xfId="114" applyNumberFormat="1" applyFont="1" applyFill="1" applyBorder="1"/>
    <xf numFmtId="180" fontId="296" fillId="0" borderId="0" xfId="0" applyNumberFormat="1" applyFont="1"/>
    <xf numFmtId="0" fontId="304" fillId="0" borderId="0" xfId="0" applyFont="1" applyAlignment="1">
      <alignment horizontal="center"/>
    </xf>
    <xf numFmtId="0" fontId="5" fillId="0" borderId="0" xfId="0" applyFont="1" applyAlignment="1">
      <alignment horizontal="center" vertical="top"/>
    </xf>
    <xf numFmtId="0" fontId="101" fillId="0" borderId="0" xfId="0" applyFont="1" applyAlignment="1">
      <alignment horizontal="center" vertical="center" wrapText="1"/>
    </xf>
    <xf numFmtId="0" fontId="222" fillId="0" borderId="0" xfId="61" applyAlignment="1" applyProtection="1">
      <alignment horizontal="center"/>
    </xf>
    <xf numFmtId="0" fontId="29" fillId="0" borderId="1" xfId="86" applyFont="1" applyBorder="1"/>
    <xf numFmtId="0" fontId="243" fillId="0" borderId="1" xfId="0" applyFont="1" applyBorder="1" applyAlignment="1" applyProtection="1">
      <alignment horizontal="left"/>
      <protection locked="0"/>
    </xf>
    <xf numFmtId="0" fontId="84" fillId="0" borderId="1" xfId="57" applyFont="1" applyBorder="1" applyAlignment="1" applyProtection="1">
      <protection locked="0"/>
    </xf>
    <xf numFmtId="0" fontId="0" fillId="0" borderId="0" xfId="0" applyAlignment="1">
      <alignment horizontal="left" vertical="top"/>
    </xf>
    <xf numFmtId="0" fontId="0" fillId="64" borderId="0" xfId="0" applyFill="1" applyAlignment="1">
      <alignment horizontal="center"/>
    </xf>
    <xf numFmtId="0" fontId="5" fillId="67" borderId="0" xfId="0" applyFont="1" applyFill="1" applyAlignment="1">
      <alignment horizontal="center"/>
    </xf>
    <xf numFmtId="0" fontId="13" fillId="54" borderId="0" xfId="0" applyFont="1" applyFill="1" applyAlignment="1" applyProtection="1">
      <alignment horizontal="left"/>
      <protection hidden="1"/>
    </xf>
    <xf numFmtId="0" fontId="12" fillId="54" borderId="0" xfId="0" applyFont="1" applyFill="1" applyProtection="1">
      <protection hidden="1"/>
    </xf>
    <xf numFmtId="166" fontId="293" fillId="54" borderId="0" xfId="0" applyNumberFormat="1" applyFont="1" applyFill="1" applyAlignment="1">
      <alignment horizontal="left" indent="1"/>
    </xf>
    <xf numFmtId="0" fontId="0" fillId="0" borderId="0" xfId="138" applyFont="1" applyAlignment="1">
      <alignment horizontal="left"/>
    </xf>
    <xf numFmtId="0" fontId="0" fillId="0" borderId="0" xfId="138" applyFont="1"/>
    <xf numFmtId="0" fontId="0" fillId="0" borderId="1" xfId="138" applyFont="1" applyBorder="1"/>
    <xf numFmtId="0" fontId="0" fillId="0" borderId="0" xfId="137" applyFont="1" applyAlignment="1" applyProtection="1">
      <alignment shrinkToFit="1"/>
      <protection locked="0"/>
    </xf>
    <xf numFmtId="0" fontId="0" fillId="0" borderId="2" xfId="138" applyFont="1" applyBorder="1"/>
    <xf numFmtId="0" fontId="0" fillId="0" borderId="2" xfId="138" applyFont="1" applyBorder="1" applyAlignment="1">
      <alignment horizontal="right"/>
    </xf>
    <xf numFmtId="0" fontId="0" fillId="0" borderId="2" xfId="138" applyFont="1" applyBorder="1" applyAlignment="1">
      <alignment horizontal="left" vertical="top"/>
    </xf>
    <xf numFmtId="49" fontId="0" fillId="0" borderId="1" xfId="138" applyNumberFormat="1" applyFont="1" applyBorder="1" applyAlignment="1" applyProtection="1">
      <alignment horizontal="center"/>
      <protection locked="0"/>
    </xf>
    <xf numFmtId="0" fontId="0" fillId="0" borderId="0" xfId="138" applyFont="1" applyAlignment="1">
      <alignment horizontal="center"/>
    </xf>
    <xf numFmtId="0" fontId="0" fillId="0" borderId="1" xfId="138" applyFont="1" applyBorder="1" applyAlignment="1" applyProtection="1">
      <alignment horizontal="center"/>
      <protection locked="0"/>
    </xf>
    <xf numFmtId="176" fontId="0" fillId="0" borderId="1" xfId="138" applyNumberFormat="1" applyFont="1" applyBorder="1" applyProtection="1">
      <protection locked="0"/>
    </xf>
    <xf numFmtId="0" fontId="0" fillId="0" borderId="0" xfId="138" applyFont="1" applyAlignment="1" applyProtection="1">
      <alignment horizontal="center"/>
      <protection locked="0"/>
    </xf>
    <xf numFmtId="0" fontId="0" fillId="0" borderId="1" xfId="138" applyFont="1" applyBorder="1" applyProtection="1">
      <protection locked="0"/>
    </xf>
    <xf numFmtId="0" fontId="0" fillId="0" borderId="4" xfId="138" applyFont="1" applyBorder="1" applyProtection="1">
      <protection locked="0"/>
    </xf>
    <xf numFmtId="0" fontId="245" fillId="0" borderId="1" xfId="0" applyFont="1" applyBorder="1" applyAlignment="1" applyProtection="1">
      <alignment horizontal="center"/>
      <protection locked="0"/>
    </xf>
    <xf numFmtId="0" fontId="55" fillId="0" borderId="1" xfId="138" applyFont="1" applyBorder="1"/>
    <xf numFmtId="0" fontId="5" fillId="3" borderId="1" xfId="81" applyFont="1" applyFill="1" applyBorder="1" applyAlignment="1">
      <alignment horizontal="center"/>
    </xf>
    <xf numFmtId="0" fontId="65" fillId="0" borderId="0" xfId="115" applyFont="1"/>
    <xf numFmtId="0" fontId="7" fillId="0" borderId="0" xfId="115" applyFont="1" applyAlignment="1" applyProtection="1">
      <alignment horizontal="left"/>
      <protection locked="0"/>
    </xf>
    <xf numFmtId="0" fontId="7" fillId="0" borderId="0" xfId="115" applyFont="1" applyProtection="1">
      <protection locked="0"/>
    </xf>
    <xf numFmtId="4" fontId="7" fillId="0" borderId="0" xfId="115" applyNumberFormat="1" applyFont="1" applyAlignment="1" applyProtection="1">
      <alignment horizontal="center"/>
      <protection locked="0"/>
    </xf>
    <xf numFmtId="0" fontId="284" fillId="0" borderId="0" xfId="0" applyFont="1"/>
    <xf numFmtId="0" fontId="305" fillId="0" borderId="0" xfId="104" applyFont="1"/>
    <xf numFmtId="0" fontId="5" fillId="0" borderId="0" xfId="104" applyFont="1" applyAlignment="1">
      <alignment horizontal="center"/>
    </xf>
    <xf numFmtId="0" fontId="306" fillId="0" borderId="0" xfId="57" applyFont="1" applyAlignment="1" applyProtection="1">
      <alignment horizontal="center"/>
    </xf>
    <xf numFmtId="0" fontId="307" fillId="0" borderId="0" xfId="114" applyFont="1"/>
    <xf numFmtId="0" fontId="267" fillId="0" borderId="0" xfId="114" applyFont="1"/>
    <xf numFmtId="0" fontId="267" fillId="0" borderId="0" xfId="114" applyFont="1" applyAlignment="1">
      <alignment shrinkToFit="1"/>
    </xf>
    <xf numFmtId="0" fontId="267" fillId="0" borderId="0" xfId="95" applyFont="1"/>
    <xf numFmtId="164" fontId="15" fillId="54" borderId="8" xfId="106" applyNumberFormat="1" applyFont="1" applyFill="1" applyBorder="1" applyAlignment="1" applyProtection="1">
      <alignment horizontal="right"/>
      <protection locked="0"/>
    </xf>
    <xf numFmtId="164" fontId="15" fillId="54" borderId="4" xfId="106" applyNumberFormat="1" applyFont="1" applyFill="1" applyBorder="1" applyAlignment="1" applyProtection="1">
      <alignment horizontal="right"/>
      <protection locked="0"/>
    </xf>
    <xf numFmtId="164" fontId="15" fillId="54" borderId="0" xfId="106" applyNumberFormat="1" applyFont="1" applyFill="1" applyAlignment="1" applyProtection="1">
      <alignment horizontal="right"/>
      <protection locked="0"/>
    </xf>
    <xf numFmtId="164" fontId="18" fillId="0" borderId="1" xfId="106" applyNumberFormat="1" applyFont="1" applyBorder="1" applyAlignment="1" applyProtection="1">
      <alignment horizontal="center" vertical="center" wrapText="1"/>
      <protection locked="0"/>
    </xf>
    <xf numFmtId="164" fontId="18" fillId="0" borderId="4" xfId="106" applyNumberFormat="1" applyFont="1" applyBorder="1" applyAlignment="1" applyProtection="1">
      <alignment horizontal="center" vertical="center" wrapText="1"/>
      <protection locked="0"/>
    </xf>
    <xf numFmtId="164" fontId="18" fillId="0" borderId="1" xfId="106" applyNumberFormat="1" applyFont="1" applyBorder="1" applyAlignment="1" applyProtection="1">
      <alignment horizontal="left" vertical="center" wrapText="1"/>
      <protection locked="0"/>
    </xf>
    <xf numFmtId="164" fontId="18" fillId="0" borderId="4" xfId="106" applyNumberFormat="1" applyFont="1" applyBorder="1" applyAlignment="1" applyProtection="1">
      <alignment horizontal="left" vertical="center" wrapText="1"/>
      <protection locked="0"/>
    </xf>
    <xf numFmtId="164" fontId="15" fillId="0" borderId="8" xfId="106" applyNumberFormat="1" applyFont="1" applyBorder="1" applyAlignment="1">
      <alignment wrapText="1"/>
    </xf>
    <xf numFmtId="0" fontId="5" fillId="67" borderId="0" xfId="110" applyFont="1" applyFill="1"/>
    <xf numFmtId="0" fontId="7" fillId="67" borderId="0" xfId="110" applyFont="1" applyFill="1" applyAlignment="1">
      <alignment horizontal="center"/>
    </xf>
    <xf numFmtId="0" fontId="7" fillId="67" borderId="0" xfId="108" applyFont="1" applyFill="1" applyAlignment="1">
      <alignment horizontal="center"/>
    </xf>
    <xf numFmtId="0" fontId="5" fillId="67" borderId="0" xfId="108" applyFont="1" applyFill="1"/>
    <xf numFmtId="0" fontId="7" fillId="67" borderId="0" xfId="110" applyFont="1" applyFill="1" applyAlignment="1">
      <alignment horizontal="centerContinuous"/>
    </xf>
    <xf numFmtId="0" fontId="7" fillId="67" borderId="2" xfId="110" applyFont="1" applyFill="1" applyBorder="1" applyAlignment="1">
      <alignment horizontal="center"/>
    </xf>
    <xf numFmtId="0" fontId="18" fillId="67" borderId="0" xfId="108" applyFont="1" applyFill="1"/>
    <xf numFmtId="0" fontId="5" fillId="67" borderId="0" xfId="110" applyFont="1" applyFill="1" applyAlignment="1">
      <alignment horizontal="center"/>
    </xf>
    <xf numFmtId="176" fontId="5" fillId="67" borderId="1" xfId="110" applyNumberFormat="1" applyFont="1" applyFill="1" applyBorder="1" applyProtection="1">
      <protection locked="0"/>
    </xf>
    <xf numFmtId="0" fontId="5" fillId="67" borderId="1" xfId="110" applyFont="1" applyFill="1" applyBorder="1" applyProtection="1">
      <protection locked="0"/>
    </xf>
    <xf numFmtId="176" fontId="5" fillId="67" borderId="2" xfId="110" applyNumberFormat="1" applyFont="1" applyFill="1" applyBorder="1"/>
    <xf numFmtId="0" fontId="7" fillId="67" borderId="0" xfId="110" applyFont="1" applyFill="1"/>
    <xf numFmtId="0" fontId="309" fillId="0" borderId="0" xfId="0" applyFont="1" applyAlignment="1">
      <alignment horizontal="center"/>
    </xf>
    <xf numFmtId="0" fontId="0" fillId="0" borderId="0" xfId="0" applyAlignment="1">
      <alignment horizontal="center" vertical="top" wrapText="1"/>
    </xf>
    <xf numFmtId="0" fontId="5" fillId="0" borderId="0" xfId="0" applyFont="1" applyAlignment="1">
      <alignment horizontal="center" vertical="top" wrapText="1"/>
    </xf>
    <xf numFmtId="0" fontId="293" fillId="0" borderId="0" xfId="0" applyFont="1"/>
    <xf numFmtId="166" fontId="293" fillId="0" borderId="0" xfId="0" applyNumberFormat="1" applyFont="1" applyAlignment="1">
      <alignment horizontal="left" indent="1"/>
    </xf>
    <xf numFmtId="49" fontId="18" fillId="0" borderId="0" xfId="0" applyNumberFormat="1" applyFont="1"/>
    <xf numFmtId="0" fontId="230" fillId="54" borderId="0" xfId="0" applyFont="1" applyFill="1" applyAlignment="1">
      <alignment vertical="center"/>
    </xf>
    <xf numFmtId="0" fontId="6" fillId="0" borderId="0" xfId="110" applyFont="1"/>
    <xf numFmtId="180" fontId="311" fillId="8" borderId="0" xfId="0" applyNumberFormat="1" applyFont="1" applyFill="1"/>
    <xf numFmtId="180" fontId="311" fillId="0" borderId="0" xfId="0" applyNumberFormat="1" applyFont="1"/>
    <xf numFmtId="180" fontId="311" fillId="0" borderId="4" xfId="0" applyNumberFormat="1" applyFont="1" applyBorder="1"/>
    <xf numFmtId="180" fontId="311" fillId="0" borderId="1" xfId="0" applyNumberFormat="1" applyFont="1" applyBorder="1"/>
    <xf numFmtId="180" fontId="311" fillId="55" borderId="0" xfId="0" applyNumberFormat="1" applyFont="1" applyFill="1"/>
    <xf numFmtId="185" fontId="311" fillId="0" borderId="3" xfId="0" applyNumberFormat="1" applyFont="1" applyBorder="1"/>
    <xf numFmtId="180" fontId="0" fillId="54" borderId="0" xfId="0" applyNumberFormat="1" applyFill="1"/>
    <xf numFmtId="180" fontId="0" fillId="54" borderId="1" xfId="0" applyNumberFormat="1" applyFill="1" applyBorder="1"/>
    <xf numFmtId="198" fontId="18" fillId="0" borderId="0" xfId="0" applyNumberFormat="1" applyFont="1"/>
    <xf numFmtId="43" fontId="0" fillId="54" borderId="0" xfId="29" applyFont="1" applyFill="1"/>
    <xf numFmtId="0" fontId="314" fillId="0" borderId="0" xfId="115" applyFont="1"/>
    <xf numFmtId="0" fontId="15" fillId="0" borderId="60" xfId="99" applyFont="1" applyBorder="1" applyAlignment="1" applyProtection="1">
      <alignment horizontal="center"/>
      <protection locked="0"/>
    </xf>
    <xf numFmtId="0" fontId="5" fillId="67" borderId="1" xfId="110" applyFont="1" applyFill="1" applyBorder="1" applyAlignment="1" applyProtection="1">
      <alignment horizontal="left"/>
      <protection locked="0"/>
    </xf>
    <xf numFmtId="0" fontId="245" fillId="0" borderId="1" xfId="0" applyFont="1" applyBorder="1" applyAlignment="1">
      <alignment horizontal="left"/>
    </xf>
    <xf numFmtId="0" fontId="7" fillId="0" borderId="4" xfId="0" applyFont="1" applyBorder="1" applyAlignment="1">
      <alignment horizontal="center"/>
    </xf>
    <xf numFmtId="0" fontId="304" fillId="0" borderId="4" xfId="0" applyFont="1" applyBorder="1" applyAlignment="1">
      <alignment horizontal="center"/>
    </xf>
    <xf numFmtId="0" fontId="0" fillId="0" borderId="33" xfId="0" applyBorder="1" applyAlignment="1">
      <alignment horizontal="left"/>
    </xf>
    <xf numFmtId="0" fontId="0" fillId="0" borderId="8" xfId="0" applyBorder="1" applyAlignment="1">
      <alignment horizontal="center"/>
    </xf>
    <xf numFmtId="0" fontId="0" fillId="0" borderId="9" xfId="0" applyBorder="1" applyAlignment="1">
      <alignment horizontal="left"/>
    </xf>
    <xf numFmtId="0" fontId="0" fillId="0" borderId="13" xfId="0" applyBorder="1" applyAlignment="1">
      <alignment horizontal="left"/>
    </xf>
    <xf numFmtId="0" fontId="152" fillId="0" borderId="23" xfId="0" applyFont="1" applyBorder="1" applyAlignment="1">
      <alignment vertical="center"/>
    </xf>
    <xf numFmtId="0" fontId="7" fillId="0" borderId="10" xfId="0" applyFont="1" applyBorder="1"/>
    <xf numFmtId="0" fontId="0" fillId="0" borderId="11" xfId="0" applyBorder="1" applyAlignment="1">
      <alignment horizontal="left"/>
    </xf>
    <xf numFmtId="0" fontId="304" fillId="0" borderId="23" xfId="0" applyFont="1" applyBorder="1" applyAlignment="1">
      <alignment horizontal="center"/>
    </xf>
    <xf numFmtId="0" fontId="304" fillId="0" borderId="33" xfId="0" applyFont="1" applyBorder="1" applyAlignment="1">
      <alignment horizontal="center"/>
    </xf>
    <xf numFmtId="0" fontId="0" fillId="0" borderId="15" xfId="0" applyBorder="1" applyAlignment="1">
      <alignment horizontal="left"/>
    </xf>
    <xf numFmtId="0" fontId="0" fillId="0" borderId="6" xfId="0" applyBorder="1" applyAlignment="1">
      <alignment horizontal="center"/>
    </xf>
    <xf numFmtId="0" fontId="222" fillId="0" borderId="0" xfId="57" applyFont="1" applyAlignment="1" applyProtection="1"/>
    <xf numFmtId="0" fontId="0" fillId="0" borderId="0" xfId="0" applyAlignment="1">
      <alignment horizontal="left" wrapText="1"/>
    </xf>
    <xf numFmtId="0" fontId="7" fillId="0" borderId="21" xfId="0" applyFont="1" applyBorder="1" applyAlignment="1">
      <alignment vertical="top"/>
    </xf>
    <xf numFmtId="49" fontId="101" fillId="4" borderId="36" xfId="0" applyNumberFormat="1" applyFont="1" applyFill="1" applyBorder="1" applyAlignment="1">
      <alignment vertical="top" wrapText="1"/>
    </xf>
    <xf numFmtId="0" fontId="230" fillId="0" borderId="0" xfId="110" applyFont="1" applyAlignment="1">
      <alignment horizontal="center"/>
    </xf>
    <xf numFmtId="0" fontId="230" fillId="0" borderId="0" xfId="110" applyFont="1"/>
    <xf numFmtId="39" fontId="230" fillId="0" borderId="0" xfId="110" applyNumberFormat="1" applyFont="1"/>
    <xf numFmtId="44" fontId="5" fillId="0" borderId="1" xfId="40" applyFont="1" applyFill="1" applyBorder="1" applyAlignment="1" applyProtection="1">
      <alignment horizontal="center"/>
      <protection locked="0"/>
    </xf>
    <xf numFmtId="43" fontId="5" fillId="0" borderId="1" xfId="29" applyFont="1" applyFill="1" applyBorder="1" applyProtection="1">
      <protection locked="0"/>
    </xf>
    <xf numFmtId="0" fontId="5" fillId="0" borderId="0" xfId="110" applyFont="1" applyAlignment="1" applyProtection="1">
      <alignment horizontal="center"/>
      <protection locked="0"/>
    </xf>
    <xf numFmtId="43" fontId="5" fillId="0" borderId="0" xfId="29" applyFont="1" applyFill="1" applyBorder="1" applyProtection="1">
      <protection locked="0"/>
    </xf>
    <xf numFmtId="0" fontId="310" fillId="0" borderId="0" xfId="88" applyFont="1" applyProtection="1">
      <protection hidden="1"/>
    </xf>
    <xf numFmtId="0" fontId="7" fillId="0" borderId="0" xfId="110" applyFont="1" applyAlignment="1">
      <alignment horizontal="left"/>
    </xf>
    <xf numFmtId="0" fontId="7" fillId="0" borderId="0" xfId="110" applyFont="1" applyAlignment="1" applyProtection="1">
      <alignment horizontal="center"/>
      <protection locked="0"/>
    </xf>
    <xf numFmtId="0" fontId="36" fillId="0" borderId="0" xfId="88" applyFont="1" applyProtection="1">
      <protection hidden="1"/>
    </xf>
    <xf numFmtId="0" fontId="317" fillId="0" borderId="0" xfId="81" applyFont="1"/>
    <xf numFmtId="0" fontId="211" fillId="0" borderId="0" xfId="81" applyFont="1" applyProtection="1">
      <protection locked="0"/>
    </xf>
    <xf numFmtId="0" fontId="315" fillId="0" borderId="0" xfId="115" applyFont="1"/>
    <xf numFmtId="0" fontId="5" fillId="5" borderId="0" xfId="0" applyFont="1" applyFill="1" applyAlignment="1">
      <alignment wrapText="1"/>
    </xf>
    <xf numFmtId="0" fontId="143" fillId="69" borderId="15" xfId="0" applyFont="1" applyFill="1" applyBorder="1" applyAlignment="1">
      <alignment horizontal="left"/>
    </xf>
    <xf numFmtId="0" fontId="320" fillId="0" borderId="0" xfId="115" applyFont="1"/>
    <xf numFmtId="176" fontId="18" fillId="0" borderId="1" xfId="39" applyNumberFormat="1" applyFont="1" applyFill="1" applyBorder="1" applyProtection="1">
      <protection locked="0"/>
    </xf>
    <xf numFmtId="0" fontId="18" fillId="0" borderId="1" xfId="0" applyFont="1" applyBorder="1" applyAlignment="1" applyProtection="1">
      <alignment horizontal="center"/>
      <protection locked="0"/>
    </xf>
    <xf numFmtId="0" fontId="0" fillId="0" borderId="0" xfId="81" applyFont="1"/>
    <xf numFmtId="176" fontId="0" fillId="0" borderId="1" xfId="81" applyNumberFormat="1" applyFont="1" applyBorder="1" applyProtection="1">
      <protection locked="0"/>
    </xf>
    <xf numFmtId="176" fontId="0" fillId="0" borderId="1" xfId="81" applyNumberFormat="1" applyFont="1" applyBorder="1"/>
    <xf numFmtId="176" fontId="0" fillId="0" borderId="8" xfId="81" applyNumberFormat="1" applyFont="1" applyBorder="1"/>
    <xf numFmtId="176" fontId="0" fillId="0" borderId="0" xfId="81" applyNumberFormat="1" applyFont="1"/>
    <xf numFmtId="176" fontId="0" fillId="0" borderId="0" xfId="81" applyNumberFormat="1" applyFont="1" applyProtection="1">
      <protection locked="0"/>
    </xf>
    <xf numFmtId="176" fontId="0" fillId="0" borderId="18" xfId="81" applyNumberFormat="1" applyFont="1" applyBorder="1"/>
    <xf numFmtId="176" fontId="0" fillId="0" borderId="4" xfId="81" applyNumberFormat="1" applyFont="1" applyBorder="1" applyProtection="1">
      <protection locked="0"/>
    </xf>
    <xf numFmtId="176" fontId="0" fillId="0" borderId="3" xfId="81" applyNumberFormat="1" applyFont="1" applyBorder="1"/>
    <xf numFmtId="176" fontId="0" fillId="0" borderId="8" xfId="81" applyNumberFormat="1" applyFont="1" applyBorder="1" applyProtection="1">
      <protection locked="0"/>
    </xf>
    <xf numFmtId="0" fontId="7" fillId="0" borderId="0" xfId="138" applyFont="1" applyAlignment="1">
      <alignment horizontal="left" vertical="top"/>
    </xf>
    <xf numFmtId="0" fontId="0" fillId="0" borderId="0" xfId="138" applyFont="1" applyAlignment="1">
      <alignment horizontal="left" vertical="top"/>
    </xf>
    <xf numFmtId="0" fontId="322" fillId="0" borderId="0" xfId="81" applyFont="1"/>
    <xf numFmtId="0" fontId="323" fillId="0" borderId="0" xfId="81" applyFont="1"/>
    <xf numFmtId="0" fontId="5" fillId="60" borderId="1" xfId="81" applyFont="1" applyFill="1" applyBorder="1" applyAlignment="1">
      <alignment horizontal="center"/>
    </xf>
    <xf numFmtId="0" fontId="46" fillId="0" borderId="0" xfId="59" applyAlignment="1" applyProtection="1">
      <protection hidden="1"/>
    </xf>
    <xf numFmtId="0" fontId="289" fillId="0" borderId="0" xfId="183" applyFont="1" applyAlignment="1" applyProtection="1"/>
    <xf numFmtId="0" fontId="46" fillId="0" borderId="0" xfId="59" applyAlignment="1" applyProtection="1"/>
    <xf numFmtId="0" fontId="13" fillId="0" borderId="0" xfId="183" applyFont="1" applyAlignment="1" applyProtection="1">
      <protection hidden="1"/>
    </xf>
    <xf numFmtId="0" fontId="290" fillId="0" borderId="0" xfId="183" applyFont="1" applyAlignment="1" applyProtection="1"/>
    <xf numFmtId="0" fontId="68" fillId="0" borderId="0" xfId="81" applyFont="1"/>
    <xf numFmtId="39" fontId="7" fillId="0" borderId="15" xfId="81" applyNumberFormat="1" applyFont="1" applyBorder="1"/>
    <xf numFmtId="0" fontId="145" fillId="0" borderId="0" xfId="0" applyFont="1"/>
    <xf numFmtId="0" fontId="267" fillId="0" borderId="0" xfId="81" applyFont="1" applyProtection="1">
      <protection locked="0"/>
    </xf>
    <xf numFmtId="0" fontId="267" fillId="0" borderId="1" xfId="81" applyFont="1" applyBorder="1" applyAlignment="1" applyProtection="1">
      <alignment horizontal="center"/>
      <protection locked="0"/>
    </xf>
    <xf numFmtId="0" fontId="267" fillId="0" borderId="0" xfId="81" applyFont="1"/>
    <xf numFmtId="43" fontId="5" fillId="0" borderId="8" xfId="29" applyBorder="1" applyAlignment="1" applyProtection="1">
      <alignment horizontal="center"/>
    </xf>
    <xf numFmtId="39" fontId="7" fillId="0" borderId="15" xfId="0" applyNumberFormat="1" applyFont="1" applyBorder="1"/>
    <xf numFmtId="43" fontId="7" fillId="0" borderId="1" xfId="29" applyFont="1" applyBorder="1" applyAlignment="1" applyProtection="1">
      <alignment horizontal="center"/>
      <protection locked="0"/>
    </xf>
    <xf numFmtId="0" fontId="264" fillId="0" borderId="0" xfId="81" applyFont="1"/>
    <xf numFmtId="0" fontId="264" fillId="0" borderId="1" xfId="81" applyFont="1" applyBorder="1" applyAlignment="1" applyProtection="1">
      <alignment horizontal="center"/>
      <protection locked="0"/>
    </xf>
    <xf numFmtId="0" fontId="240" fillId="0" borderId="23" xfId="0" applyFont="1" applyBorder="1"/>
    <xf numFmtId="0" fontId="295" fillId="0" borderId="0" xfId="0" applyFont="1" applyAlignment="1">
      <alignment horizontal="center" vertical="center"/>
    </xf>
    <xf numFmtId="0" fontId="230" fillId="0" borderId="0" xfId="0" applyFont="1" applyAlignment="1">
      <alignment horizontal="left"/>
    </xf>
    <xf numFmtId="0" fontId="6" fillId="0" borderId="0" xfId="107" applyFont="1" applyAlignment="1">
      <alignment horizontal="center"/>
    </xf>
    <xf numFmtId="0" fontId="293" fillId="0" borderId="0" xfId="0" applyFont="1" applyAlignment="1">
      <alignment vertical="top" wrapText="1"/>
    </xf>
    <xf numFmtId="0" fontId="0" fillId="58" borderId="4" xfId="0" applyFill="1" applyBorder="1" applyAlignment="1">
      <alignment horizontal="center"/>
    </xf>
    <xf numFmtId="0" fontId="230" fillId="54" borderId="0" xfId="0" applyFont="1" applyFill="1" applyAlignment="1">
      <alignment wrapText="1"/>
    </xf>
    <xf numFmtId="0" fontId="267" fillId="0" borderId="2" xfId="110" applyFont="1" applyBorder="1"/>
    <xf numFmtId="0" fontId="267" fillId="0" borderId="2" xfId="110" applyFont="1" applyBorder="1" applyAlignment="1">
      <alignment horizontal="center"/>
    </xf>
    <xf numFmtId="39" fontId="14" fillId="0" borderId="15" xfId="81" applyNumberFormat="1" applyFont="1" applyBorder="1"/>
    <xf numFmtId="0" fontId="7" fillId="0" borderId="0" xfId="0" applyFont="1" applyAlignment="1">
      <alignment wrapText="1"/>
    </xf>
    <xf numFmtId="0" fontId="7" fillId="62" borderId="1" xfId="0" applyFont="1" applyFill="1" applyBorder="1" applyAlignment="1">
      <alignment horizontal="center" wrapText="1"/>
    </xf>
    <xf numFmtId="0" fontId="7" fillId="62" borderId="1" xfId="0" applyFont="1" applyFill="1" applyBorder="1" applyAlignment="1">
      <alignment horizontal="center"/>
    </xf>
    <xf numFmtId="0" fontId="7" fillId="0" borderId="2" xfId="138" applyFont="1" applyBorder="1" applyAlignment="1">
      <alignment horizontal="center" wrapText="1"/>
    </xf>
    <xf numFmtId="0" fontId="7" fillId="62" borderId="1" xfId="0" applyFont="1" applyFill="1" applyBorder="1" applyAlignment="1">
      <alignment horizontal="left" wrapText="1"/>
    </xf>
    <xf numFmtId="49" fontId="30" fillId="0" borderId="1" xfId="138" applyNumberFormat="1" applyFont="1" applyBorder="1"/>
    <xf numFmtId="0" fontId="267" fillId="0" borderId="0" xfId="110" applyFont="1"/>
    <xf numFmtId="0" fontId="267" fillId="0" borderId="4" xfId="81" applyFont="1" applyBorder="1" applyAlignment="1" applyProtection="1">
      <alignment horizontal="center"/>
      <protection locked="0"/>
    </xf>
    <xf numFmtId="0" fontId="145" fillId="0" borderId="0" xfId="81" applyFont="1" applyProtection="1">
      <protection locked="0"/>
    </xf>
    <xf numFmtId="0" fontId="324" fillId="0" borderId="0" xfId="0" applyFont="1" applyProtection="1">
      <protection locked="0"/>
    </xf>
    <xf numFmtId="0" fontId="44" fillId="0" borderId="0" xfId="81" applyFont="1" applyProtection="1">
      <protection locked="0"/>
    </xf>
    <xf numFmtId="0" fontId="267" fillId="0" borderId="0" xfId="0" applyFont="1" applyProtection="1">
      <protection locked="0"/>
    </xf>
    <xf numFmtId="0" fontId="228" fillId="0" borderId="0" xfId="184" applyFont="1"/>
    <xf numFmtId="0" fontId="2" fillId="0" borderId="0" xfId="184"/>
    <xf numFmtId="0" fontId="2" fillId="0" borderId="0" xfId="184" quotePrefix="1"/>
    <xf numFmtId="0" fontId="325" fillId="0" borderId="1" xfId="185" applyFont="1" applyBorder="1" applyProtection="1"/>
    <xf numFmtId="0" fontId="326" fillId="0" borderId="1" xfId="185" applyFont="1" applyBorder="1" applyProtection="1"/>
    <xf numFmtId="0" fontId="18" fillId="0" borderId="0" xfId="185" applyProtection="1"/>
    <xf numFmtId="0" fontId="18" fillId="0" borderId="0" xfId="185">
      <protection locked="0"/>
    </xf>
    <xf numFmtId="0" fontId="228" fillId="0" borderId="1" xfId="185" applyFont="1" applyBorder="1" applyAlignment="1" applyProtection="1">
      <alignment wrapText="1"/>
    </xf>
    <xf numFmtId="0" fontId="18" fillId="67" borderId="0" xfId="185" applyFill="1" applyProtection="1"/>
    <xf numFmtId="0" fontId="18" fillId="62" borderId="0" xfId="185" applyFill="1" applyProtection="1"/>
    <xf numFmtId="0" fontId="18" fillId="0" borderId="1" xfId="185" applyBorder="1" applyAlignment="1" applyProtection="1">
      <alignment horizontal="right"/>
    </xf>
    <xf numFmtId="0" fontId="18" fillId="70" borderId="0" xfId="185" applyFill="1" applyProtection="1"/>
    <xf numFmtId="0" fontId="18" fillId="54" borderId="0" xfId="185" applyFill="1" applyProtection="1"/>
    <xf numFmtId="0" fontId="316" fillId="0" borderId="2" xfId="110" applyFont="1" applyBorder="1"/>
    <xf numFmtId="0" fontId="7" fillId="0" borderId="0" xfId="110" applyFont="1" applyAlignment="1">
      <alignment horizontal="center" vertical="center"/>
    </xf>
    <xf numFmtId="0" fontId="7" fillId="0" borderId="2" xfId="110" applyFont="1" applyBorder="1" applyAlignment="1">
      <alignment vertical="center"/>
    </xf>
    <xf numFmtId="0" fontId="173" fillId="0" borderId="23" xfId="119" applyFont="1" applyBorder="1" applyAlignment="1">
      <alignment horizontal="center" vertical="center"/>
    </xf>
    <xf numFmtId="0" fontId="139" fillId="0" borderId="0" xfId="119" applyFont="1" applyAlignment="1" applyProtection="1">
      <alignment vertical="center"/>
      <protection locked="0"/>
    </xf>
    <xf numFmtId="0" fontId="170" fillId="0" borderId="0" xfId="119" applyFont="1" applyAlignment="1" applyProtection="1">
      <alignment vertical="center"/>
      <protection locked="0"/>
    </xf>
    <xf numFmtId="0" fontId="14" fillId="0" borderId="2" xfId="108" applyFont="1" applyBorder="1" applyAlignment="1">
      <alignment horizontal="center"/>
    </xf>
    <xf numFmtId="0" fontId="14" fillId="0" borderId="2" xfId="110" applyFont="1" applyBorder="1" applyAlignment="1">
      <alignment horizontal="center"/>
    </xf>
    <xf numFmtId="0" fontId="240" fillId="0" borderId="0" xfId="0" applyFont="1" applyAlignment="1">
      <alignment wrapText="1"/>
    </xf>
    <xf numFmtId="0" fontId="17" fillId="62" borderId="0" xfId="0" applyFont="1" applyFill="1"/>
    <xf numFmtId="43" fontId="18" fillId="62" borderId="0" xfId="29" applyFont="1" applyFill="1"/>
    <xf numFmtId="43" fontId="18" fillId="0" borderId="0" xfId="29" applyFont="1"/>
    <xf numFmtId="0" fontId="1" fillId="0" borderId="0" xfId="184" quotePrefix="1" applyFont="1"/>
    <xf numFmtId="0" fontId="267" fillId="0" borderId="0" xfId="0" applyFont="1" applyAlignment="1">
      <alignment horizontal="right"/>
    </xf>
    <xf numFmtId="0" fontId="5" fillId="0" borderId="0" xfId="0" applyFont="1" applyAlignment="1">
      <alignment horizontal="center" vertical="center"/>
    </xf>
    <xf numFmtId="0" fontId="267" fillId="0" borderId="4" xfId="81" applyFont="1" applyBorder="1" applyProtection="1">
      <protection locked="0"/>
    </xf>
    <xf numFmtId="0" fontId="5" fillId="0" borderId="10" xfId="0" applyFont="1" applyBorder="1" applyAlignment="1">
      <alignment horizontal="center" vertical="top"/>
    </xf>
    <xf numFmtId="49" fontId="0" fillId="0" borderId="0" xfId="0" applyNumberFormat="1" applyAlignment="1">
      <alignment horizontal="center"/>
    </xf>
    <xf numFmtId="0" fontId="7" fillId="5" borderId="0" xfId="0" applyFont="1" applyFill="1" applyAlignment="1">
      <alignment vertical="center" wrapText="1"/>
    </xf>
    <xf numFmtId="0" fontId="12" fillId="0" borderId="0" xfId="0" applyFont="1" applyAlignment="1">
      <alignment horizontal="center"/>
    </xf>
    <xf numFmtId="0" fontId="6" fillId="0" borderId="0" xfId="0" applyFont="1" applyAlignment="1">
      <alignment horizontal="center"/>
    </xf>
    <xf numFmtId="0" fontId="174" fillId="0" borderId="23" xfId="57" applyFont="1" applyBorder="1" applyAlignment="1" applyProtection="1"/>
    <xf numFmtId="0" fontId="174" fillId="0" borderId="4" xfId="57" applyFont="1" applyBorder="1" applyAlignment="1" applyProtection="1"/>
    <xf numFmtId="0" fontId="174" fillId="0" borderId="33" xfId="57" applyFont="1" applyBorder="1" applyAlignment="1" applyProtection="1"/>
    <xf numFmtId="0" fontId="183" fillId="0" borderId="0" xfId="0" applyFont="1" applyAlignment="1">
      <alignment horizontal="center"/>
    </xf>
    <xf numFmtId="0" fontId="182" fillId="0" borderId="23" xfId="0" applyFont="1" applyBorder="1"/>
    <xf numFmtId="0" fontId="139" fillId="0" borderId="4" xfId="0" applyFont="1" applyBorder="1"/>
    <xf numFmtId="0" fontId="176" fillId="0" borderId="15" xfId="0" applyFont="1" applyBorder="1" applyAlignment="1">
      <alignment horizontal="center"/>
    </xf>
    <xf numFmtId="0" fontId="174" fillId="0" borderId="0" xfId="0" applyFont="1" applyAlignment="1">
      <alignment horizontal="center"/>
    </xf>
    <xf numFmtId="0" fontId="46" fillId="0" borderId="23" xfId="57" applyBorder="1" applyAlignment="1" applyProtection="1"/>
    <xf numFmtId="0" fontId="46" fillId="0" borderId="4" xfId="57" applyBorder="1" applyAlignment="1" applyProtection="1"/>
    <xf numFmtId="0" fontId="46" fillId="0" borderId="33" xfId="57" applyBorder="1" applyAlignment="1" applyProtection="1"/>
    <xf numFmtId="164" fontId="6" fillId="0" borderId="0" xfId="99" applyNumberFormat="1" applyFont="1" applyAlignment="1">
      <alignment horizontal="center"/>
    </xf>
    <xf numFmtId="0" fontId="24" fillId="0" borderId="0" xfId="115" applyFont="1" applyAlignment="1">
      <alignment horizontal="center"/>
    </xf>
    <xf numFmtId="0" fontId="7" fillId="6" borderId="0" xfId="0" applyFont="1" applyFill="1"/>
    <xf numFmtId="0" fontId="0" fillId="0" borderId="1" xfId="0" applyBorder="1" applyProtection="1">
      <protection locked="0"/>
    </xf>
    <xf numFmtId="0" fontId="11" fillId="0" borderId="1" xfId="115" applyBorder="1" applyAlignment="1" applyProtection="1">
      <alignment horizontal="center"/>
      <protection locked="0"/>
    </xf>
    <xf numFmtId="0" fontId="72" fillId="0" borderId="0" xfId="57" applyFont="1" applyAlignment="1" applyProtection="1">
      <alignment horizontal="center"/>
    </xf>
    <xf numFmtId="0" fontId="57" fillId="0" borderId="0" xfId="115" applyFont="1" applyAlignment="1">
      <alignment horizontal="center" vertical="center"/>
    </xf>
    <xf numFmtId="0" fontId="6" fillId="0" borderId="0" xfId="86" applyFont="1" applyAlignment="1">
      <alignment horizontal="center"/>
    </xf>
    <xf numFmtId="164" fontId="5" fillId="0" borderId="0" xfId="99" applyNumberFormat="1"/>
    <xf numFmtId="0" fontId="5" fillId="0" borderId="0" xfId="0" applyFont="1" applyAlignment="1">
      <alignment horizontal="left" vertical="center"/>
    </xf>
    <xf numFmtId="164" fontId="68" fillId="0" borderId="0" xfId="99" applyNumberFormat="1" applyFont="1" applyAlignment="1">
      <alignment horizontal="center"/>
    </xf>
    <xf numFmtId="0" fontId="6" fillId="0" borderId="0" xfId="115" applyFont="1" applyAlignment="1">
      <alignment horizontal="center"/>
    </xf>
    <xf numFmtId="0" fontId="36" fillId="0" borderId="0" xfId="82" applyNumberFormat="1" applyFont="1" applyProtection="1"/>
    <xf numFmtId="0" fontId="5" fillId="0" borderId="1" xfId="115" applyFont="1" applyBorder="1" applyAlignment="1" applyProtection="1">
      <alignment horizontal="left"/>
      <protection locked="0"/>
    </xf>
    <xf numFmtId="0" fontId="56" fillId="0" borderId="0" xfId="115" applyFont="1" applyAlignment="1">
      <alignment horizontal="center" vertical="center"/>
    </xf>
    <xf numFmtId="4" fontId="5" fillId="0" borderId="0" xfId="115" applyNumberFormat="1" applyFont="1" applyAlignment="1" applyProtection="1">
      <alignment horizontal="center"/>
      <protection locked="0"/>
    </xf>
    <xf numFmtId="0" fontId="243" fillId="0" borderId="1" xfId="0" applyFont="1" applyBorder="1" applyAlignment="1" applyProtection="1">
      <alignment horizontal="center"/>
      <protection locked="0"/>
    </xf>
    <xf numFmtId="14" fontId="243" fillId="0" borderId="1" xfId="0" applyNumberFormat="1" applyFont="1" applyBorder="1" applyAlignment="1" applyProtection="1">
      <alignment horizontal="center"/>
      <protection locked="0"/>
    </xf>
    <xf numFmtId="0" fontId="42" fillId="0" borderId="0" xfId="82" applyNumberFormat="1" applyFont="1" applyProtection="1"/>
    <xf numFmtId="168" fontId="5" fillId="0" borderId="0" xfId="85" applyFont="1" applyAlignment="1">
      <alignment horizontal="left" wrapText="1"/>
      <protection locked="0"/>
    </xf>
    <xf numFmtId="49" fontId="151" fillId="0" borderId="0" xfId="57" applyNumberFormat="1" applyFont="1" applyAlignment="1" applyProtection="1">
      <alignment horizontal="left"/>
    </xf>
    <xf numFmtId="49" fontId="7" fillId="0" borderId="0" xfId="0" applyNumberFormat="1" applyFont="1" applyAlignment="1">
      <alignment horizontal="left"/>
    </xf>
    <xf numFmtId="0" fontId="7" fillId="0" borderId="0" xfId="0" applyFont="1" applyAlignment="1">
      <alignment horizontal="left" wrapText="1"/>
    </xf>
    <xf numFmtId="0" fontId="256" fillId="6" borderId="0" xfId="0" applyFont="1" applyFill="1" applyAlignment="1">
      <alignment horizontal="center"/>
    </xf>
    <xf numFmtId="0" fontId="7" fillId="0" borderId="0" xfId="0" applyFont="1" applyAlignment="1">
      <alignment horizontal="center"/>
    </xf>
    <xf numFmtId="0" fontId="7" fillId="0" borderId="0" xfId="0" applyFont="1" applyAlignment="1">
      <alignment horizontal="center" wrapText="1"/>
    </xf>
    <xf numFmtId="0" fontId="256" fillId="0" borderId="0" xfId="0" applyFont="1" applyAlignment="1">
      <alignment horizontal="center"/>
    </xf>
    <xf numFmtId="0" fontId="256" fillId="54" borderId="0" xfId="0" applyFont="1" applyFill="1" applyAlignment="1">
      <alignment horizontal="center"/>
    </xf>
    <xf numFmtId="0" fontId="243" fillId="0" borderId="0" xfId="0" applyFont="1" applyAlignment="1">
      <alignment horizontal="center" vertical="center" wrapText="1"/>
    </xf>
    <xf numFmtId="0" fontId="243" fillId="0" borderId="1" xfId="0" applyFont="1" applyBorder="1" applyAlignment="1">
      <alignment horizontal="center" vertical="center" wrapText="1"/>
    </xf>
    <xf numFmtId="0" fontId="243" fillId="0" borderId="1" xfId="0" applyFont="1" applyBorder="1" applyAlignment="1">
      <alignment horizontal="center"/>
    </xf>
    <xf numFmtId="0" fontId="18" fillId="0" borderId="0" xfId="88" applyFont="1" applyAlignment="1">
      <alignment horizontal="center" wrapText="1" shrinkToFit="1"/>
    </xf>
    <xf numFmtId="0" fontId="5" fillId="0" borderId="0" xfId="84" applyFont="1"/>
    <xf numFmtId="0" fontId="6" fillId="0" borderId="0" xfId="88" applyFont="1" applyAlignment="1">
      <alignment horizontal="center"/>
    </xf>
    <xf numFmtId="0" fontId="14" fillId="0" borderId="0" xfId="88" applyFont="1" applyAlignment="1">
      <alignment horizontal="center"/>
    </xf>
    <xf numFmtId="0" fontId="6" fillId="0" borderId="0" xfId="115" applyFont="1" applyAlignment="1">
      <alignment horizontal="center" vertical="center"/>
    </xf>
    <xf numFmtId="164" fontId="5" fillId="0" borderId="4" xfId="0" applyNumberFormat="1" applyFont="1" applyBorder="1" applyAlignment="1" applyProtection="1">
      <alignment horizontal="center" shrinkToFit="1"/>
      <protection locked="0"/>
    </xf>
    <xf numFmtId="0" fontId="5" fillId="0" borderId="0" xfId="0" applyFont="1" applyAlignment="1">
      <alignment horizontal="center"/>
    </xf>
    <xf numFmtId="0" fontId="5" fillId="0" borderId="1" xfId="0" applyFont="1" applyBorder="1" applyAlignment="1" applyProtection="1">
      <alignment horizontal="center"/>
      <protection locked="0"/>
    </xf>
    <xf numFmtId="0" fontId="0" fillId="0" borderId="0" xfId="0" applyAlignment="1">
      <alignment vertical="top" wrapText="1"/>
    </xf>
    <xf numFmtId="0" fontId="5" fillId="0" borderId="1" xfId="0" applyFont="1" applyBorder="1" applyAlignment="1" applyProtection="1">
      <alignment horizontal="left"/>
      <protection locked="0"/>
    </xf>
    <xf numFmtId="0" fontId="5" fillId="0" borderId="0" xfId="0" applyFont="1" applyAlignment="1">
      <alignment horizontal="left"/>
    </xf>
    <xf numFmtId="0" fontId="5" fillId="0" borderId="1" xfId="0" applyFont="1" applyBorder="1" applyAlignment="1">
      <alignment horizontal="left"/>
    </xf>
    <xf numFmtId="0" fontId="5" fillId="0" borderId="4" xfId="0" applyFont="1" applyBorder="1" applyAlignment="1" applyProtection="1">
      <alignment horizontal="left"/>
      <protection locked="0"/>
    </xf>
    <xf numFmtId="0" fontId="5" fillId="0" borderId="4" xfId="0" applyFont="1" applyBorder="1" applyAlignment="1">
      <alignment horizontal="left"/>
    </xf>
    <xf numFmtId="0" fontId="7" fillId="0" borderId="0" xfId="0" applyFont="1" applyAlignment="1" applyProtection="1">
      <alignment horizontal="left"/>
      <protection locked="0"/>
    </xf>
    <xf numFmtId="0" fontId="5" fillId="0" borderId="0" xfId="0" applyFont="1" applyAlignment="1" applyProtection="1">
      <alignment horizontal="left"/>
      <protection locked="0"/>
    </xf>
    <xf numFmtId="49" fontId="101" fillId="0" borderId="0" xfId="0" applyNumberFormat="1" applyFont="1"/>
    <xf numFmtId="0" fontId="5" fillId="0" borderId="1" xfId="89" applyFont="1" applyBorder="1" applyAlignment="1">
      <alignment horizontal="center"/>
    </xf>
    <xf numFmtId="0" fontId="0" fillId="0" borderId="1" xfId="0" applyBorder="1" applyAlignment="1">
      <alignment horizontal="center"/>
    </xf>
    <xf numFmtId="49" fontId="151" fillId="0" borderId="0" xfId="57" applyNumberFormat="1" applyFont="1" applyAlignment="1" applyProtection="1"/>
    <xf numFmtId="0" fontId="151" fillId="0" borderId="0" xfId="57" applyFont="1" applyAlignment="1" applyProtection="1"/>
    <xf numFmtId="185" fontId="5" fillId="0" borderId="0" xfId="115" applyNumberFormat="1" applyFont="1" applyAlignment="1">
      <alignment horizontal="center"/>
    </xf>
    <xf numFmtId="0" fontId="7" fillId="8" borderId="0" xfId="94" applyFont="1" applyFill="1"/>
    <xf numFmtId="0" fontId="7" fillId="0" borderId="1" xfId="0" applyFont="1" applyBorder="1" applyAlignment="1">
      <alignment horizontal="center"/>
    </xf>
    <xf numFmtId="0" fontId="5" fillId="0" borderId="4" xfId="0" applyFont="1" applyBorder="1" applyProtection="1">
      <protection locked="0"/>
    </xf>
    <xf numFmtId="0" fontId="0" fillId="0" borderId="4" xfId="0" applyBorder="1"/>
    <xf numFmtId="0" fontId="5" fillId="0" borderId="0" xfId="0" applyFont="1" applyAlignment="1">
      <alignment wrapText="1"/>
    </xf>
    <xf numFmtId="0" fontId="5" fillId="0" borderId="0" xfId="89" applyFont="1" applyAlignment="1">
      <alignment horizontal="center"/>
    </xf>
    <xf numFmtId="164" fontId="5" fillId="0" borderId="0" xfId="99" applyNumberFormat="1" applyAlignment="1">
      <alignment horizontal="center"/>
    </xf>
    <xf numFmtId="0" fontId="101" fillId="0" borderId="0" xfId="0" applyFont="1" applyAlignment="1">
      <alignment horizontal="left"/>
    </xf>
    <xf numFmtId="0" fontId="0" fillId="0" borderId="1" xfId="0" applyBorder="1"/>
    <xf numFmtId="0" fontId="5" fillId="0" borderId="1" xfId="0" applyFont="1" applyBorder="1" applyAlignment="1">
      <alignment horizontal="center"/>
    </xf>
    <xf numFmtId="0" fontId="5" fillId="0" borderId="0" xfId="102" applyFont="1"/>
    <xf numFmtId="0" fontId="160" fillId="0" borderId="0" xfId="0" applyFont="1"/>
    <xf numFmtId="164" fontId="5" fillId="0" borderId="0" xfId="0" applyNumberFormat="1" applyFont="1" applyAlignment="1">
      <alignment horizontal="center"/>
    </xf>
    <xf numFmtId="0" fontId="0" fillId="0" borderId="8" xfId="0" applyBorder="1"/>
    <xf numFmtId="0" fontId="90" fillId="6" borderId="0" xfId="115" applyFont="1" applyFill="1" applyAlignment="1">
      <alignment horizontal="left"/>
    </xf>
    <xf numFmtId="176" fontId="5" fillId="0" borderId="1" xfId="0" applyNumberFormat="1" applyFont="1" applyBorder="1" applyProtection="1">
      <protection locked="0"/>
    </xf>
    <xf numFmtId="0" fontId="5" fillId="0" borderId="1" xfId="0" applyFont="1" applyBorder="1" applyProtection="1">
      <protection locked="0"/>
    </xf>
    <xf numFmtId="0" fontId="5" fillId="0" borderId="0" xfId="0" applyFont="1" applyAlignment="1" applyProtection="1">
      <alignment horizontal="center"/>
      <protection locked="0"/>
    </xf>
    <xf numFmtId="0" fontId="7" fillId="0" borderId="0" xfId="0" applyFont="1" applyAlignment="1">
      <alignment horizontal="right"/>
    </xf>
    <xf numFmtId="164" fontId="5" fillId="0" borderId="4" xfId="69" applyNumberFormat="1" applyFont="1" applyBorder="1" applyAlignment="1" applyProtection="1">
      <alignment horizontal="center" shrinkToFit="1"/>
      <protection locked="0"/>
    </xf>
    <xf numFmtId="164" fontId="5" fillId="0" borderId="0" xfId="69" applyNumberFormat="1" applyFont="1" applyAlignment="1">
      <alignment horizontal="center" shrinkToFit="1"/>
    </xf>
    <xf numFmtId="164" fontId="5" fillId="0" borderId="1" xfId="69" applyNumberFormat="1" applyFont="1" applyBorder="1" applyAlignment="1">
      <alignment horizontal="center" shrinkToFit="1"/>
    </xf>
    <xf numFmtId="0" fontId="37" fillId="0" borderId="0" xfId="81" applyFont="1" applyAlignment="1" applyProtection="1">
      <alignment horizontal="left"/>
      <protection locked="0"/>
    </xf>
    <xf numFmtId="0" fontId="5" fillId="0" borderId="0" xfId="0" applyFont="1" applyAlignment="1">
      <alignment horizontal="left" indent="1"/>
    </xf>
    <xf numFmtId="0" fontId="5" fillId="58" borderId="0" xfId="0" applyFont="1" applyFill="1" applyAlignment="1">
      <alignment horizontal="left"/>
    </xf>
    <xf numFmtId="0" fontId="5" fillId="58" borderId="0" xfId="0" applyFont="1" applyFill="1"/>
    <xf numFmtId="0" fontId="37" fillId="58" borderId="0" xfId="81" applyFont="1" applyFill="1" applyAlignment="1" applyProtection="1">
      <alignment horizontal="left"/>
      <protection locked="0"/>
    </xf>
    <xf numFmtId="0" fontId="0" fillId="58" borderId="0" xfId="0" applyFill="1" applyAlignment="1">
      <alignment horizontal="center"/>
    </xf>
    <xf numFmtId="164" fontId="5" fillId="58" borderId="0" xfId="69" applyNumberFormat="1" applyFont="1" applyFill="1" applyAlignment="1">
      <alignment horizontal="center" shrinkToFit="1"/>
    </xf>
    <xf numFmtId="164" fontId="5" fillId="58" borderId="1" xfId="69" applyNumberFormat="1" applyFont="1" applyFill="1" applyBorder="1" applyAlignment="1" applyProtection="1">
      <alignment horizontal="center" shrinkToFit="1"/>
      <protection locked="0"/>
    </xf>
    <xf numFmtId="0" fontId="7" fillId="58" borderId="0" xfId="0" applyFont="1" applyFill="1" applyAlignment="1">
      <alignment horizontal="left"/>
    </xf>
    <xf numFmtId="0" fontId="6" fillId="0" borderId="0" xfId="91" applyFont="1" applyAlignment="1">
      <alignment horizontal="center"/>
    </xf>
    <xf numFmtId="0" fontId="95" fillId="0" borderId="0" xfId="69" applyFont="1" applyAlignment="1">
      <alignment horizontal="right"/>
    </xf>
    <xf numFmtId="0" fontId="212" fillId="0" borderId="11" xfId="69" applyBorder="1"/>
    <xf numFmtId="0" fontId="5" fillId="0" borderId="0" xfId="69" applyFont="1" applyProtection="1">
      <protection locked="0"/>
    </xf>
    <xf numFmtId="0" fontId="197" fillId="0" borderId="0" xfId="69" applyFont="1" applyAlignment="1">
      <alignment wrapText="1"/>
    </xf>
    <xf numFmtId="0" fontId="5" fillId="0" borderId="0" xfId="69" applyFont="1"/>
    <xf numFmtId="0" fontId="7" fillId="0" borderId="0" xfId="69" applyFont="1"/>
    <xf numFmtId="0" fontId="7" fillId="0" borderId="1" xfId="69" applyFont="1" applyBorder="1" applyAlignment="1">
      <alignment horizontal="center"/>
    </xf>
    <xf numFmtId="0" fontId="6" fillId="0" borderId="0" xfId="90" applyFont="1" applyAlignment="1">
      <alignment horizontal="center"/>
    </xf>
    <xf numFmtId="0" fontId="90" fillId="6" borderId="0" xfId="115" applyFont="1" applyFill="1" applyAlignment="1" applyProtection="1">
      <alignment horizontal="left"/>
      <protection locked="0"/>
    </xf>
    <xf numFmtId="0" fontId="5" fillId="0" borderId="0" xfId="81" applyFont="1" applyAlignment="1">
      <alignment horizontal="center"/>
    </xf>
    <xf numFmtId="0" fontId="5" fillId="0" borderId="1" xfId="81" applyFont="1" applyBorder="1" applyAlignment="1">
      <alignment horizontal="center"/>
    </xf>
    <xf numFmtId="164" fontId="6" fillId="0" borderId="0" xfId="0" applyNumberFormat="1" applyFont="1" applyAlignment="1">
      <alignment horizontal="center"/>
    </xf>
    <xf numFmtId="0" fontId="38" fillId="0" borderId="0" xfId="81" applyFont="1" applyAlignment="1">
      <alignment horizontal="left"/>
    </xf>
    <xf numFmtId="176" fontId="5" fillId="0" borderId="4" xfId="81" applyNumberFormat="1" applyFont="1" applyBorder="1" applyProtection="1">
      <protection locked="0"/>
    </xf>
    <xf numFmtId="16" fontId="5" fillId="0" borderId="0" xfId="81" applyNumberFormat="1" applyFont="1" applyAlignment="1">
      <alignment horizontal="center"/>
    </xf>
    <xf numFmtId="188" fontId="5" fillId="0" borderId="0" xfId="81" applyNumberFormat="1" applyFont="1" applyAlignment="1">
      <alignment horizontal="center"/>
    </xf>
    <xf numFmtId="0" fontId="38" fillId="0" borderId="0" xfId="0" applyFont="1"/>
    <xf numFmtId="0" fontId="5" fillId="0" borderId="0" xfId="88" applyFont="1" applyProtection="1">
      <protection hidden="1"/>
    </xf>
    <xf numFmtId="0" fontId="5" fillId="0" borderId="0" xfId="81" applyFont="1" applyProtection="1">
      <protection locked="0"/>
    </xf>
    <xf numFmtId="176" fontId="5" fillId="0" borderId="0" xfId="81" applyNumberFormat="1" applyFont="1" applyProtection="1">
      <protection locked="0"/>
    </xf>
    <xf numFmtId="0" fontId="5" fillId="0" borderId="1" xfId="81" applyFont="1" applyBorder="1" applyAlignment="1" applyProtection="1">
      <alignment horizontal="center"/>
      <protection locked="0"/>
    </xf>
    <xf numFmtId="0" fontId="5" fillId="0" borderId="0" xfId="81" applyFont="1" applyAlignment="1">
      <alignment horizontal="left"/>
    </xf>
    <xf numFmtId="0" fontId="5" fillId="0" borderId="4" xfId="81" applyFont="1" applyBorder="1"/>
    <xf numFmtId="0" fontId="5" fillId="0" borderId="0" xfId="81" applyFont="1" applyAlignment="1" applyProtection="1">
      <alignment horizontal="left"/>
      <protection locked="0"/>
    </xf>
    <xf numFmtId="0" fontId="58" fillId="0" borderId="0" xfId="81" applyFont="1"/>
    <xf numFmtId="0" fontId="58" fillId="0" borderId="0" xfId="0" applyFont="1"/>
    <xf numFmtId="0" fontId="0" fillId="0" borderId="1" xfId="138" applyFont="1" applyBorder="1" applyAlignment="1">
      <alignment horizontal="left" shrinkToFit="1"/>
    </xf>
    <xf numFmtId="0" fontId="7" fillId="0" borderId="2" xfId="109" applyFont="1" applyBorder="1" applyAlignment="1" applyProtection="1">
      <alignment horizontal="center"/>
      <protection locked="0"/>
    </xf>
    <xf numFmtId="0" fontId="5" fillId="0" borderId="1" xfId="107" applyFont="1" applyBorder="1" applyAlignment="1" applyProtection="1">
      <alignment horizontal="center" shrinkToFit="1"/>
      <protection locked="0"/>
    </xf>
    <xf numFmtId="0" fontId="6" fillId="0" borderId="0" xfId="110" applyFont="1" applyAlignment="1">
      <alignment horizontal="center"/>
    </xf>
    <xf numFmtId="0" fontId="7" fillId="0" borderId="2" xfId="108" applyFont="1" applyBorder="1" applyAlignment="1">
      <alignment horizontal="center"/>
    </xf>
    <xf numFmtId="0" fontId="8" fillId="0" borderId="0" xfId="110" applyFont="1" applyAlignment="1">
      <alignment horizontal="left"/>
    </xf>
    <xf numFmtId="166" fontId="18" fillId="0" borderId="0" xfId="0" applyNumberFormat="1" applyFont="1"/>
    <xf numFmtId="0" fontId="7" fillId="67" borderId="2" xfId="108" applyFont="1" applyFill="1" applyBorder="1" applyAlignment="1">
      <alignment horizontal="center"/>
    </xf>
    <xf numFmtId="0" fontId="7" fillId="0" borderId="0" xfId="108" applyFont="1" applyAlignment="1">
      <alignment horizontal="center"/>
    </xf>
    <xf numFmtId="0" fontId="7" fillId="0" borderId="0" xfId="110" applyFont="1" applyAlignment="1">
      <alignment horizontal="center"/>
    </xf>
    <xf numFmtId="0" fontId="316" fillId="0" borderId="2" xfId="110" applyFont="1" applyBorder="1" applyAlignment="1">
      <alignment horizontal="center"/>
    </xf>
    <xf numFmtId="0" fontId="5" fillId="0" borderId="1" xfId="138" applyFont="1" applyBorder="1" applyAlignment="1">
      <alignment horizontal="left" shrinkToFit="1"/>
    </xf>
    <xf numFmtId="0" fontId="5" fillId="0" borderId="1" xfId="111" applyFont="1" applyBorder="1" applyAlignment="1">
      <alignment horizontal="center" shrinkToFit="1"/>
    </xf>
    <xf numFmtId="0" fontId="45" fillId="0" borderId="0" xfId="81" applyFont="1" applyAlignment="1">
      <alignment horizontal="center"/>
    </xf>
    <xf numFmtId="0" fontId="37" fillId="0" borderId="1" xfId="81" applyFont="1" applyBorder="1" applyAlignment="1">
      <alignment horizontal="center"/>
    </xf>
    <xf numFmtId="0" fontId="37" fillId="0" borderId="0" xfId="81" applyFont="1" applyAlignment="1">
      <alignment horizontal="left"/>
    </xf>
    <xf numFmtId="0" fontId="5" fillId="0" borderId="0" xfId="92" applyFont="1" applyAlignment="1">
      <alignment vertical="top" wrapText="1"/>
    </xf>
    <xf numFmtId="0" fontId="7" fillId="0" borderId="0" xfId="92" applyFont="1" applyAlignment="1">
      <alignment horizontal="center"/>
    </xf>
    <xf numFmtId="172" fontId="7" fillId="0" borderId="0" xfId="92" applyNumberFormat="1" applyFont="1" applyAlignment="1">
      <alignment horizontal="center"/>
    </xf>
    <xf numFmtId="0" fontId="5" fillId="0" borderId="0" xfId="92" applyFont="1"/>
    <xf numFmtId="176" fontId="5" fillId="0" borderId="0" xfId="0" applyNumberFormat="1" applyFont="1"/>
    <xf numFmtId="176" fontId="5" fillId="0" borderId="0" xfId="0" applyNumberFormat="1" applyFont="1" applyProtection="1">
      <protection locked="0"/>
    </xf>
    <xf numFmtId="170" fontId="5" fillId="0" borderId="0" xfId="0" applyNumberFormat="1" applyFont="1"/>
    <xf numFmtId="0" fontId="5" fillId="0" borderId="4" xfId="0" applyFont="1" applyBorder="1" applyAlignment="1">
      <alignment horizontal="center"/>
    </xf>
    <xf numFmtId="0" fontId="5" fillId="0" borderId="0" xfId="0" applyFont="1" applyProtection="1">
      <protection locked="0"/>
    </xf>
    <xf numFmtId="0" fontId="5" fillId="0" borderId="4" xfId="0" applyFont="1" applyBorder="1"/>
    <xf numFmtId="0" fontId="5" fillId="0" borderId="4" xfId="90" applyFont="1" applyBorder="1" applyAlignment="1">
      <alignment horizontal="center" shrinkToFit="1"/>
    </xf>
    <xf numFmtId="164" fontId="21" fillId="0" borderId="0" xfId="106" applyNumberFormat="1" applyFont="1" applyAlignment="1">
      <alignment horizontal="center"/>
    </xf>
    <xf numFmtId="164" fontId="5" fillId="0" borderId="2" xfId="106" applyNumberFormat="1" applyFont="1" applyBorder="1" applyAlignment="1">
      <alignment horizontal="center"/>
    </xf>
    <xf numFmtId="164" fontId="5" fillId="0" borderId="1" xfId="106" applyNumberFormat="1" applyFont="1" applyBorder="1" applyAlignment="1">
      <alignment horizontal="center" shrinkToFit="1"/>
    </xf>
    <xf numFmtId="0" fontId="5" fillId="0" borderId="1" xfId="113" applyFont="1" applyBorder="1" applyProtection="1">
      <protection locked="0"/>
    </xf>
    <xf numFmtId="0" fontId="7" fillId="0" borderId="1" xfId="113" applyFont="1" applyBorder="1" applyAlignment="1">
      <alignment horizontal="center"/>
    </xf>
    <xf numFmtId="178" fontId="18" fillId="0" borderId="0" xfId="0" applyNumberFormat="1" applyFont="1"/>
    <xf numFmtId="178" fontId="18" fillId="0" borderId="0" xfId="0" quotePrefix="1" applyNumberFormat="1" applyFont="1"/>
    <xf numFmtId="178" fontId="18" fillId="0" borderId="0" xfId="0" quotePrefix="1" applyNumberFormat="1" applyFont="1" applyAlignment="1">
      <alignment horizontal="center"/>
    </xf>
    <xf numFmtId="0" fontId="15" fillId="0" borderId="1" xfId="0" applyFont="1" applyBorder="1" applyAlignment="1" applyProtection="1">
      <alignment horizontal="center"/>
      <protection locked="0"/>
    </xf>
    <xf numFmtId="164" fontId="6" fillId="0" borderId="0" xfId="100" applyNumberFormat="1" applyFont="1" applyAlignment="1">
      <alignment horizontal="center"/>
    </xf>
    <xf numFmtId="0" fontId="0" fillId="0" borderId="4" xfId="0" applyBorder="1" applyAlignment="1">
      <alignment horizontal="center"/>
    </xf>
    <xf numFmtId="0" fontId="235" fillId="0" borderId="0" xfId="57" applyFont="1" applyAlignment="1" applyProtection="1">
      <alignment horizontal="center"/>
    </xf>
    <xf numFmtId="0" fontId="33" fillId="0" borderId="1" xfId="98" applyFont="1" applyBorder="1" applyAlignment="1">
      <alignment horizontal="center"/>
    </xf>
    <xf numFmtId="0" fontId="33" fillId="0" borderId="0" xfId="98" applyFont="1" applyAlignment="1">
      <alignment horizontal="center"/>
    </xf>
    <xf numFmtId="0" fontId="18" fillId="0" borderId="1" xfId="101" applyFont="1" applyBorder="1" applyAlignment="1" applyProtection="1">
      <alignment horizontal="left"/>
      <protection locked="0"/>
    </xf>
    <xf numFmtId="0" fontId="6" fillId="0" borderId="0" xfId="101" applyFont="1" applyAlignment="1">
      <alignment horizontal="center"/>
    </xf>
    <xf numFmtId="0" fontId="18" fillId="0" borderId="0" xfId="0" applyFont="1" applyAlignment="1">
      <alignment horizontal="right"/>
    </xf>
    <xf numFmtId="0" fontId="18" fillId="0" borderId="1" xfId="0" applyFont="1" applyBorder="1" applyAlignment="1">
      <alignment horizontal="center"/>
    </xf>
    <xf numFmtId="0" fontId="15" fillId="0" borderId="1" xfId="0" applyFont="1" applyBorder="1" applyAlignment="1">
      <alignment horizontal="center"/>
    </xf>
    <xf numFmtId="49" fontId="18" fillId="0" borderId="4" xfId="0" applyNumberFormat="1" applyFont="1" applyBorder="1" applyAlignment="1" applyProtection="1">
      <alignment horizontal="center"/>
      <protection locked="0"/>
    </xf>
    <xf numFmtId="0" fontId="17" fillId="0" borderId="0" xfId="0" applyFont="1" applyAlignment="1">
      <alignment horizontal="center"/>
    </xf>
    <xf numFmtId="0" fontId="14" fillId="0" borderId="1" xfId="0" applyFont="1" applyBorder="1" applyAlignment="1">
      <alignment horizontal="center"/>
    </xf>
    <xf numFmtId="0" fontId="18" fillId="0" borderId="8" xfId="0" applyFont="1" applyBorder="1" applyAlignment="1">
      <alignment horizontal="center"/>
    </xf>
    <xf numFmtId="49" fontId="18" fillId="0" borderId="1" xfId="0" applyNumberFormat="1" applyFont="1" applyBorder="1" applyAlignment="1" applyProtection="1">
      <alignment horizontal="center"/>
      <protection locked="0"/>
    </xf>
    <xf numFmtId="49" fontId="18" fillId="0" borderId="8" xfId="0" applyNumberFormat="1" applyFont="1" applyBorder="1" applyAlignment="1">
      <alignment horizontal="center" vertical="top"/>
    </xf>
    <xf numFmtId="0" fontId="7" fillId="6" borderId="10" xfId="0" applyFont="1" applyFill="1" applyBorder="1" applyAlignment="1">
      <alignment horizontal="left"/>
    </xf>
    <xf numFmtId="0" fontId="7" fillId="6" borderId="0" xfId="0" applyFont="1" applyFill="1" applyAlignment="1">
      <alignment horizontal="left"/>
    </xf>
    <xf numFmtId="0" fontId="21" fillId="0" borderId="0" xfId="101" applyFont="1" applyAlignment="1">
      <alignment horizontal="center"/>
    </xf>
    <xf numFmtId="0" fontId="32" fillId="0" borderId="1" xfId="101" applyFont="1" applyBorder="1" applyAlignment="1">
      <alignment horizontal="center"/>
    </xf>
    <xf numFmtId="166" fontId="18" fillId="0" borderId="0" xfId="0" applyNumberFormat="1" applyFont="1" applyProtection="1">
      <protection locked="0"/>
    </xf>
    <xf numFmtId="166" fontId="18" fillId="0" borderId="0" xfId="0" applyNumberFormat="1" applyFont="1" applyAlignment="1">
      <alignment horizontal="center"/>
    </xf>
    <xf numFmtId="166" fontId="293" fillId="54" borderId="0" xfId="0" applyNumberFormat="1" applyFont="1" applyFill="1"/>
    <xf numFmtId="0" fontId="7" fillId="0" borderId="33" xfId="0" applyFont="1" applyBorder="1" applyAlignment="1">
      <alignment horizontal="left"/>
    </xf>
    <xf numFmtId="0" fontId="7" fillId="0" borderId="0" xfId="0" applyFont="1" applyAlignment="1">
      <alignment horizontal="left"/>
    </xf>
    <xf numFmtId="0" fontId="5" fillId="0" borderId="1" xfId="114" applyFont="1" applyBorder="1" applyAlignment="1" applyProtection="1">
      <alignment horizontal="center"/>
      <protection locked="0"/>
    </xf>
    <xf numFmtId="0" fontId="6" fillId="0" borderId="0" xfId="0" applyFont="1" applyAlignment="1">
      <alignment horizontal="center" wrapText="1"/>
    </xf>
    <xf numFmtId="186" fontId="18" fillId="0" borderId="0" xfId="27" applyFont="1" applyAlignment="1">
      <alignment horizontal="center"/>
    </xf>
    <xf numFmtId="0" fontId="90" fillId="0" borderId="0" xfId="0" applyFont="1" applyAlignment="1">
      <alignment horizontal="left"/>
    </xf>
    <xf numFmtId="0" fontId="18" fillId="0" borderId="0" xfId="0" applyFont="1" applyAlignment="1">
      <alignment horizontal="left"/>
    </xf>
    <xf numFmtId="183" fontId="18" fillId="0" borderId="0" xfId="0" applyNumberFormat="1" applyFont="1"/>
    <xf numFmtId="0" fontId="72" fillId="0" borderId="0" xfId="57" applyFont="1" applyAlignment="1" applyProtection="1">
      <alignment horizontal="left"/>
    </xf>
    <xf numFmtId="0" fontId="17" fillId="0" borderId="0" xfId="0" applyFont="1" applyAlignment="1">
      <alignment horizontal="left"/>
    </xf>
    <xf numFmtId="186" fontId="18" fillId="0" borderId="0" xfId="27" applyFont="1" applyAlignment="1" applyProtection="1">
      <alignment horizontal="center"/>
      <protection locked="0"/>
    </xf>
    <xf numFmtId="0" fontId="90" fillId="0" borderId="0" xfId="0" applyFont="1" applyAlignment="1" applyProtection="1">
      <alignment horizontal="left"/>
      <protection locked="0"/>
    </xf>
    <xf numFmtId="0" fontId="280" fillId="0" borderId="0" xfId="110" applyFont="1" applyAlignment="1">
      <alignment vertical="top" wrapText="1"/>
    </xf>
    <xf numFmtId="0" fontId="13" fillId="72" borderId="0" xfId="0" applyFont="1" applyFill="1" applyProtection="1">
      <protection hidden="1"/>
    </xf>
    <xf numFmtId="0" fontId="301" fillId="0" borderId="0" xfId="0" applyFont="1" applyProtection="1">
      <protection hidden="1"/>
    </xf>
    <xf numFmtId="0" fontId="145" fillId="0" borderId="0" xfId="115" applyFont="1"/>
    <xf numFmtId="0" fontId="151" fillId="0" borderId="0" xfId="57" applyFont="1" applyAlignment="1" applyProtection="1">
      <alignment horizontal="left" vertical="center"/>
    </xf>
    <xf numFmtId="44" fontId="243" fillId="0" borderId="1" xfId="40" applyFont="1" applyBorder="1" applyAlignment="1" applyProtection="1">
      <alignment horizontal="center"/>
      <protection locked="0"/>
    </xf>
    <xf numFmtId="0" fontId="5" fillId="0" borderId="0" xfId="115" applyFont="1" applyAlignment="1" applyProtection="1">
      <alignment horizontal="right"/>
      <protection locked="0"/>
    </xf>
    <xf numFmtId="0" fontId="8" fillId="0" borderId="0" xfId="115" applyFont="1" applyProtection="1">
      <protection locked="0"/>
    </xf>
    <xf numFmtId="0" fontId="65" fillId="0" borderId="0" xfId="115" applyFont="1" applyProtection="1">
      <protection locked="0"/>
    </xf>
    <xf numFmtId="0" fontId="249" fillId="0" borderId="0" xfId="0" applyFont="1"/>
    <xf numFmtId="0" fontId="250" fillId="0" borderId="0" xfId="0" applyFont="1"/>
    <xf numFmtId="0" fontId="230" fillId="0" borderId="0" xfId="115" applyFont="1" applyProtection="1">
      <protection locked="0"/>
    </xf>
    <xf numFmtId="0" fontId="65" fillId="0" borderId="0" xfId="115" applyFont="1" applyAlignment="1">
      <alignment horizontal="left"/>
    </xf>
    <xf numFmtId="0" fontId="249" fillId="0" borderId="0" xfId="0" applyFont="1" applyAlignment="1">
      <alignment horizontal="center"/>
    </xf>
    <xf numFmtId="0" fontId="230" fillId="0" borderId="0" xfId="0" applyFont="1" applyAlignment="1">
      <alignment horizontal="right"/>
    </xf>
    <xf numFmtId="0" fontId="233" fillId="0" borderId="1" xfId="0" applyFont="1" applyBorder="1" applyAlignment="1" applyProtection="1">
      <alignment horizontal="center"/>
      <protection locked="0"/>
    </xf>
    <xf numFmtId="14" fontId="5" fillId="0" borderId="1" xfId="0" applyNumberFormat="1" applyFont="1" applyBorder="1" applyProtection="1">
      <protection locked="0"/>
    </xf>
    <xf numFmtId="14" fontId="5" fillId="0" borderId="4" xfId="0" applyNumberFormat="1" applyFont="1" applyBorder="1" applyProtection="1">
      <protection locked="0"/>
    </xf>
    <xf numFmtId="168" fontId="240" fillId="54" borderId="0" xfId="82" applyFont="1" applyFill="1" applyProtection="1"/>
    <xf numFmtId="168" fontId="240" fillId="54" borderId="0" xfId="82" applyFont="1" applyFill="1" applyAlignment="1" applyProtection="1">
      <alignment horizontal="right"/>
    </xf>
    <xf numFmtId="168" fontId="5" fillId="54" borderId="0" xfId="82" applyFont="1" applyFill="1" applyProtection="1"/>
    <xf numFmtId="168" fontId="240" fillId="54" borderId="22" xfId="82" applyFont="1" applyFill="1" applyBorder="1" applyAlignment="1">
      <alignment horizontal="center"/>
      <protection locked="0"/>
    </xf>
    <xf numFmtId="168" fontId="5" fillId="54" borderId="1" xfId="82" applyFont="1" applyFill="1" applyBorder="1" applyAlignment="1">
      <alignment horizontal="center"/>
      <protection locked="0"/>
    </xf>
    <xf numFmtId="0" fontId="302" fillId="0" borderId="0" xfId="82" applyNumberFormat="1" applyFont="1" applyProtection="1"/>
    <xf numFmtId="0" fontId="240" fillId="0" borderId="0" xfId="88" applyFont="1"/>
    <xf numFmtId="43" fontId="0" fillId="0" borderId="1" xfId="29" applyFont="1" applyBorder="1" applyAlignment="1" applyProtection="1">
      <alignment horizontal="center"/>
    </xf>
    <xf numFmtId="49" fontId="211" fillId="0" borderId="0" xfId="0" applyNumberFormat="1" applyFont="1" applyAlignment="1">
      <alignment horizontal="left" wrapText="1"/>
    </xf>
    <xf numFmtId="49" fontId="211" fillId="0" borderId="0" xfId="0" applyNumberFormat="1" applyFont="1" applyAlignment="1">
      <alignment horizontal="left" vertical="center"/>
    </xf>
    <xf numFmtId="0" fontId="12" fillId="0" borderId="0" xfId="0" applyFont="1" applyAlignment="1">
      <alignment horizontal="center"/>
    </xf>
    <xf numFmtId="0" fontId="210" fillId="0" borderId="0" xfId="119" applyFont="1" applyAlignment="1" applyProtection="1">
      <alignment horizontal="center" vertical="center"/>
      <protection locked="0"/>
    </xf>
    <xf numFmtId="0" fontId="0" fillId="0" borderId="0" xfId="0" applyAlignment="1">
      <alignment vertical="center"/>
    </xf>
    <xf numFmtId="164" fontId="72" fillId="54" borderId="0" xfId="57" applyNumberFormat="1" applyFont="1" applyFill="1" applyAlignment="1" applyProtection="1">
      <alignment horizontal="center" vertical="center"/>
    </xf>
    <xf numFmtId="0" fontId="68" fillId="0" borderId="1" xfId="0" applyFont="1" applyBorder="1" applyAlignment="1" applyProtection="1">
      <alignment horizontal="center" vertical="center"/>
      <protection locked="0"/>
    </xf>
    <xf numFmtId="166" fontId="18" fillId="0" borderId="0" xfId="0" applyNumberFormat="1" applyFont="1" applyAlignment="1">
      <alignment vertical="center"/>
    </xf>
    <xf numFmtId="0" fontId="174" fillId="0" borderId="23" xfId="57" applyFont="1" applyBorder="1" applyAlignment="1" applyProtection="1">
      <alignment horizontal="left" wrapText="1"/>
    </xf>
    <xf numFmtId="0" fontId="174" fillId="0" borderId="4" xfId="57" applyFont="1" applyBorder="1" applyAlignment="1" applyProtection="1">
      <alignment horizontal="left" wrapText="1"/>
    </xf>
    <xf numFmtId="0" fontId="174" fillId="0" borderId="33" xfId="57" applyFont="1" applyBorder="1" applyAlignment="1" applyProtection="1">
      <alignment horizontal="left" wrapText="1"/>
    </xf>
    <xf numFmtId="0" fontId="206" fillId="0" borderId="23" xfId="57" applyFont="1" applyBorder="1" applyAlignment="1" applyProtection="1">
      <alignment wrapText="1"/>
    </xf>
    <xf numFmtId="0" fontId="206" fillId="0" borderId="4" xfId="57" applyFont="1" applyBorder="1" applyAlignment="1" applyProtection="1">
      <alignment wrapText="1"/>
    </xf>
    <xf numFmtId="0" fontId="206" fillId="0" borderId="33" xfId="57" applyFont="1" applyBorder="1" applyAlignment="1" applyProtection="1">
      <alignment wrapText="1"/>
    </xf>
    <xf numFmtId="0" fontId="174" fillId="0" borderId="23" xfId="57" applyFont="1" applyBorder="1" applyAlignment="1" applyProtection="1"/>
    <xf numFmtId="0" fontId="174" fillId="0" borderId="4" xfId="57" applyFont="1" applyBorder="1" applyAlignment="1" applyProtection="1"/>
    <xf numFmtId="0" fontId="174" fillId="0" borderId="33" xfId="57" applyFont="1" applyBorder="1" applyAlignment="1" applyProtection="1"/>
    <xf numFmtId="0" fontId="174" fillId="0" borderId="23" xfId="57" applyFont="1" applyBorder="1" applyAlignment="1" applyProtection="1">
      <alignment vertical="top" wrapText="1"/>
    </xf>
    <xf numFmtId="0" fontId="174" fillId="0" borderId="4" xfId="57" applyFont="1" applyBorder="1" applyAlignment="1" applyProtection="1">
      <alignment vertical="top" wrapText="1"/>
    </xf>
    <xf numFmtId="0" fontId="174" fillId="0" borderId="33" xfId="57" applyFont="1" applyBorder="1" applyAlignment="1" applyProtection="1">
      <alignment vertical="top" wrapText="1"/>
    </xf>
    <xf numFmtId="0" fontId="174" fillId="0" borderId="23" xfId="57" applyFont="1" applyBorder="1" applyAlignment="1" applyProtection="1">
      <alignment horizontal="left"/>
    </xf>
    <xf numFmtId="0" fontId="174" fillId="0" borderId="4" xfId="57" applyFont="1" applyBorder="1" applyAlignment="1" applyProtection="1">
      <alignment horizontal="left"/>
    </xf>
    <xf numFmtId="0" fontId="174" fillId="0" borderId="33" xfId="57" applyFont="1" applyBorder="1" applyAlignment="1" applyProtection="1">
      <alignment horizontal="left"/>
    </xf>
    <xf numFmtId="0" fontId="174" fillId="0" borderId="23" xfId="57" applyFont="1" applyBorder="1" applyAlignment="1" applyProtection="1">
      <alignment wrapText="1"/>
    </xf>
    <xf numFmtId="0" fontId="174" fillId="0" borderId="4" xfId="57" applyFont="1" applyBorder="1" applyAlignment="1" applyProtection="1">
      <alignment wrapText="1"/>
    </xf>
    <xf numFmtId="0" fontId="174" fillId="0" borderId="33" xfId="57" applyFont="1" applyBorder="1" applyAlignment="1" applyProtection="1">
      <alignment wrapText="1"/>
    </xf>
    <xf numFmtId="0" fontId="238" fillId="0" borderId="0" xfId="0" applyFont="1" applyAlignment="1">
      <alignment horizontal="center"/>
    </xf>
    <xf numFmtId="0" fontId="183" fillId="0" borderId="0" xfId="0" applyFont="1" applyAlignment="1">
      <alignment horizontal="center"/>
    </xf>
    <xf numFmtId="0" fontId="182" fillId="0" borderId="23" xfId="0" applyFont="1" applyBorder="1"/>
    <xf numFmtId="0" fontId="139" fillId="0" borderId="4" xfId="0" applyFont="1" applyBorder="1"/>
    <xf numFmtId="0" fontId="174" fillId="0" borderId="1" xfId="0" applyFont="1" applyBorder="1" applyAlignment="1" applyProtection="1">
      <alignment horizontal="center"/>
      <protection locked="0"/>
    </xf>
    <xf numFmtId="0" fontId="174" fillId="0" borderId="4" xfId="0" applyFont="1" applyBorder="1" applyAlignment="1">
      <alignment horizontal="center"/>
    </xf>
    <xf numFmtId="0" fontId="174" fillId="0" borderId="33" xfId="0" applyFont="1" applyBorder="1" applyAlignment="1">
      <alignment horizontal="center"/>
    </xf>
    <xf numFmtId="0" fontId="205" fillId="18" borderId="23" xfId="0" applyFont="1" applyFill="1" applyBorder="1" applyAlignment="1">
      <alignment horizontal="center"/>
    </xf>
    <xf numFmtId="0" fontId="205" fillId="18" borderId="4" xfId="0" applyFont="1" applyFill="1" applyBorder="1" applyAlignment="1">
      <alignment horizontal="center"/>
    </xf>
    <xf numFmtId="0" fontId="205" fillId="18" borderId="33" xfId="0" applyFont="1" applyFill="1" applyBorder="1" applyAlignment="1">
      <alignment horizontal="center"/>
    </xf>
    <xf numFmtId="0" fontId="176" fillId="0" borderId="15" xfId="0" applyFont="1" applyBorder="1" applyAlignment="1">
      <alignment horizontal="center"/>
    </xf>
    <xf numFmtId="0" fontId="174" fillId="0" borderId="0" xfId="0" applyFont="1" applyAlignment="1">
      <alignment horizontal="center"/>
    </xf>
    <xf numFmtId="0" fontId="46" fillId="0" borderId="4" xfId="57" applyBorder="1" applyAlignment="1">
      <alignment horizontal="center"/>
      <protection locked="0"/>
    </xf>
    <xf numFmtId="0" fontId="174" fillId="0" borderId="4" xfId="0" applyFont="1" applyBorder="1" applyAlignment="1" applyProtection="1">
      <alignment horizontal="center"/>
      <protection locked="0"/>
    </xf>
    <xf numFmtId="0" fontId="174" fillId="0" borderId="33" xfId="0" applyFont="1" applyBorder="1" applyAlignment="1" applyProtection="1">
      <alignment horizontal="center"/>
      <protection locked="0"/>
    </xf>
    <xf numFmtId="0" fontId="139" fillId="0" borderId="23" xfId="0" applyFont="1" applyBorder="1"/>
    <xf numFmtId="0" fontId="139" fillId="0" borderId="33" xfId="0" applyFont="1" applyBorder="1"/>
    <xf numFmtId="0" fontId="174" fillId="0" borderId="23" xfId="57" quotePrefix="1" applyFont="1" applyBorder="1" applyAlignment="1" applyProtection="1"/>
    <xf numFmtId="0" fontId="173" fillId="0" borderId="0" xfId="0" applyFont="1" applyAlignment="1" applyProtection="1">
      <alignment horizontal="left" wrapText="1"/>
      <protection hidden="1"/>
    </xf>
    <xf numFmtId="0" fontId="143" fillId="0" borderId="0" xfId="0" applyFont="1" applyAlignment="1">
      <alignment horizontal="left"/>
    </xf>
    <xf numFmtId="0" fontId="5" fillId="0" borderId="0" xfId="0" applyFont="1"/>
    <xf numFmtId="0" fontId="143" fillId="0" borderId="0" xfId="57" applyFont="1" applyAlignment="1" applyProtection="1"/>
    <xf numFmtId="0" fontId="46" fillId="0" borderId="23" xfId="57" applyBorder="1" applyAlignment="1" applyProtection="1"/>
    <xf numFmtId="0" fontId="46" fillId="0" borderId="4" xfId="57" applyBorder="1" applyAlignment="1" applyProtection="1"/>
    <xf numFmtId="0" fontId="46" fillId="0" borderId="33" xfId="57" applyBorder="1" applyAlignment="1" applyProtection="1"/>
    <xf numFmtId="0" fontId="46" fillId="0" borderId="23" xfId="57" applyFont="1" applyBorder="1" applyAlignment="1" applyProtection="1"/>
    <xf numFmtId="0" fontId="46" fillId="0" borderId="4" xfId="57" applyFont="1" applyBorder="1" applyAlignment="1" applyProtection="1"/>
    <xf numFmtId="0" fontId="46" fillId="0" borderId="33" xfId="57" applyFont="1" applyBorder="1" applyAlignment="1" applyProtection="1"/>
    <xf numFmtId="0" fontId="174" fillId="0" borderId="23" xfId="57" applyFont="1" applyBorder="1" applyAlignment="1" applyProtection="1">
      <alignment vertical="center" wrapText="1"/>
    </xf>
    <xf numFmtId="0" fontId="174" fillId="0" borderId="4" xfId="57" applyFont="1" applyBorder="1" applyAlignment="1" applyProtection="1">
      <alignment vertical="center" wrapText="1"/>
    </xf>
    <xf numFmtId="0" fontId="174" fillId="0" borderId="33" xfId="57" applyFont="1" applyBorder="1" applyAlignment="1" applyProtection="1">
      <alignment vertical="center" wrapText="1"/>
    </xf>
    <xf numFmtId="0" fontId="139" fillId="0" borderId="0" xfId="0" applyFont="1" applyAlignment="1">
      <alignment horizontal="right"/>
    </xf>
    <xf numFmtId="0" fontId="234" fillId="0" borderId="23" xfId="57" applyFont="1" applyBorder="1" applyAlignment="1" applyProtection="1"/>
    <xf numFmtId="0" fontId="234" fillId="0" borderId="4" xfId="57" applyFont="1" applyBorder="1" applyAlignment="1" applyProtection="1"/>
    <xf numFmtId="0" fontId="234" fillId="0" borderId="33" xfId="57" applyFont="1" applyBorder="1" applyAlignment="1" applyProtection="1"/>
    <xf numFmtId="0" fontId="6" fillId="0" borderId="0" xfId="0" applyFont="1" applyAlignment="1">
      <alignment horizontal="center"/>
    </xf>
    <xf numFmtId="0" fontId="57" fillId="0" borderId="0" xfId="115" applyFont="1" applyAlignment="1" applyProtection="1">
      <alignment horizontal="center" vertical="center"/>
      <protection hidden="1"/>
    </xf>
    <xf numFmtId="164" fontId="72" fillId="0" borderId="0" xfId="57" applyNumberFormat="1" applyFont="1" applyAlignment="1" applyProtection="1">
      <alignment horizontal="center"/>
    </xf>
    <xf numFmtId="164" fontId="5" fillId="0" borderId="4" xfId="96" applyNumberFormat="1" applyBorder="1" applyAlignment="1">
      <alignment horizontal="center" shrinkToFit="1"/>
    </xf>
    <xf numFmtId="164" fontId="5" fillId="0" borderId="4" xfId="96" applyNumberFormat="1" applyBorder="1" applyAlignment="1" applyProtection="1">
      <alignment horizontal="center" shrinkToFit="1"/>
      <protection locked="0"/>
    </xf>
    <xf numFmtId="164" fontId="6" fillId="0" borderId="0" xfId="96" applyNumberFormat="1" applyFont="1" applyAlignment="1">
      <alignment horizontal="center"/>
    </xf>
    <xf numFmtId="164" fontId="6" fillId="0" borderId="0" xfId="99" applyNumberFormat="1" applyFont="1" applyAlignment="1">
      <alignment horizontal="center"/>
    </xf>
    <xf numFmtId="164" fontId="5" fillId="0" borderId="1" xfId="96" applyNumberFormat="1" applyBorder="1" applyAlignment="1">
      <alignment horizontal="center" shrinkToFit="1"/>
    </xf>
    <xf numFmtId="6" fontId="15" fillId="0" borderId="1" xfId="115" applyNumberFormat="1" applyFont="1" applyBorder="1" applyProtection="1">
      <protection locked="0"/>
    </xf>
    <xf numFmtId="0" fontId="15" fillId="0" borderId="1" xfId="115" applyFont="1" applyBorder="1" applyProtection="1">
      <protection locked="0"/>
    </xf>
    <xf numFmtId="0" fontId="15" fillId="0" borderId="4" xfId="115" applyFont="1" applyBorder="1" applyProtection="1">
      <protection locked="0"/>
    </xf>
    <xf numFmtId="0" fontId="24" fillId="0" borderId="0" xfId="115" applyFont="1" applyAlignment="1">
      <alignment horizontal="center"/>
    </xf>
    <xf numFmtId="0" fontId="15" fillId="0" borderId="60" xfId="115" applyFont="1" applyBorder="1" applyAlignment="1" applyProtection="1">
      <alignment horizontal="left" wrapText="1"/>
      <protection locked="0"/>
    </xf>
    <xf numFmtId="0" fontId="15" fillId="0" borderId="1" xfId="115" applyFont="1" applyBorder="1" applyAlignment="1" applyProtection="1">
      <alignment horizontal="left" wrapText="1"/>
      <protection locked="0"/>
    </xf>
    <xf numFmtId="0" fontId="15" fillId="0" borderId="1" xfId="115" applyFont="1" applyBorder="1" applyAlignment="1" applyProtection="1">
      <alignment horizontal="left"/>
      <protection locked="0"/>
    </xf>
    <xf numFmtId="0" fontId="7" fillId="6" borderId="0" xfId="0" applyFont="1" applyFill="1"/>
    <xf numFmtId="0" fontId="0" fillId="0" borderId="0" xfId="0"/>
    <xf numFmtId="0" fontId="11" fillId="0" borderId="1" xfId="115" applyBorder="1" applyProtection="1">
      <protection locked="0"/>
    </xf>
    <xf numFmtId="0" fontId="0" fillId="0" borderId="1" xfId="0" applyBorder="1" applyProtection="1">
      <protection locked="0"/>
    </xf>
    <xf numFmtId="0" fontId="11" fillId="0" borderId="1" xfId="115" applyBorder="1" applyAlignment="1" applyProtection="1">
      <alignment horizontal="center"/>
      <protection locked="0"/>
    </xf>
    <xf numFmtId="0" fontId="7" fillId="0" borderId="0" xfId="0" applyFont="1"/>
    <xf numFmtId="0" fontId="72" fillId="0" borderId="0" xfId="57" applyFont="1" applyAlignment="1" applyProtection="1">
      <alignment horizontal="center"/>
    </xf>
    <xf numFmtId="0" fontId="57" fillId="0" borderId="0" xfId="115" applyFont="1" applyAlignment="1">
      <alignment horizontal="center" vertical="center"/>
    </xf>
    <xf numFmtId="0" fontId="6" fillId="0" borderId="0" xfId="86" applyFont="1" applyAlignment="1">
      <alignment horizontal="center"/>
    </xf>
    <xf numFmtId="0" fontId="7" fillId="0" borderId="0" xfId="0" applyFont="1" applyAlignment="1">
      <alignment horizontal="left" vertical="center" wrapText="1"/>
    </xf>
    <xf numFmtId="0" fontId="0" fillId="0" borderId="27" xfId="0" applyBorder="1" applyAlignment="1">
      <alignment horizontal="left" vertical="center" wrapText="1"/>
    </xf>
    <xf numFmtId="0" fontId="0" fillId="0" borderId="0" xfId="0" applyAlignment="1">
      <alignment horizontal="left" vertical="center" wrapText="1"/>
    </xf>
    <xf numFmtId="164" fontId="5" fillId="0" borderId="0" xfId="99" applyNumberFormat="1"/>
    <xf numFmtId="0" fontId="5" fillId="0" borderId="0" xfId="0" applyFont="1" applyAlignment="1">
      <alignment horizontal="left" vertical="center"/>
    </xf>
    <xf numFmtId="164" fontId="68" fillId="0" borderId="0" xfId="99" applyNumberFormat="1" applyFont="1" applyAlignment="1">
      <alignment horizontal="center"/>
    </xf>
    <xf numFmtId="0" fontId="151" fillId="0" borderId="0" xfId="57" applyFont="1" applyAlignment="1" applyProtection="1">
      <alignment vertical="center"/>
    </xf>
    <xf numFmtId="0" fontId="7" fillId="0" borderId="0" xfId="57" applyFont="1" applyAlignment="1" applyProtection="1">
      <alignment vertical="center"/>
    </xf>
    <xf numFmtId="0" fontId="6" fillId="0" borderId="0" xfId="115" applyFont="1" applyAlignment="1">
      <alignment horizontal="center"/>
    </xf>
    <xf numFmtId="168" fontId="5" fillId="0" borderId="1" xfId="82" applyFont="1" applyBorder="1" applyAlignment="1" applyProtection="1">
      <alignment horizontal="center" shrinkToFit="1"/>
    </xf>
    <xf numFmtId="168" fontId="5" fillId="0" borderId="4" xfId="82" applyFont="1" applyBorder="1" applyAlignment="1">
      <alignment horizontal="center" shrinkToFit="1"/>
      <protection locked="0"/>
    </xf>
    <xf numFmtId="168" fontId="5" fillId="0" borderId="1" xfId="82" applyFont="1" applyBorder="1" applyAlignment="1">
      <alignment horizontal="center" shrinkToFit="1"/>
      <protection locked="0"/>
    </xf>
    <xf numFmtId="168" fontId="36" fillId="0" borderId="5" xfId="82" applyFont="1" applyBorder="1" applyAlignment="1" applyProtection="1">
      <alignment horizontal="center" wrapText="1"/>
    </xf>
    <xf numFmtId="168" fontId="36" fillId="0" borderId="6" xfId="82" applyFont="1" applyBorder="1" applyAlignment="1" applyProtection="1">
      <alignment horizontal="center" wrapText="1"/>
    </xf>
    <xf numFmtId="168" fontId="36" fillId="0" borderId="7" xfId="82" applyFont="1" applyBorder="1" applyAlignment="1" applyProtection="1">
      <alignment horizontal="center" wrapText="1"/>
    </xf>
    <xf numFmtId="168" fontId="36" fillId="0" borderId="23" xfId="82" applyFont="1" applyBorder="1" applyAlignment="1" applyProtection="1">
      <alignment horizontal="center"/>
    </xf>
    <xf numFmtId="168" fontId="36" fillId="0" borderId="4" xfId="82" applyFont="1" applyBorder="1" applyAlignment="1" applyProtection="1">
      <alignment horizontal="center"/>
    </xf>
    <xf numFmtId="168" fontId="36" fillId="0" borderId="33" xfId="82" applyFont="1" applyBorder="1" applyAlignment="1" applyProtection="1">
      <alignment horizontal="center"/>
    </xf>
    <xf numFmtId="0" fontId="36" fillId="0" borderId="0" xfId="82" applyNumberFormat="1" applyFont="1" applyProtection="1"/>
    <xf numFmtId="39" fontId="5" fillId="0" borderId="1" xfId="115" applyNumberFormat="1" applyFont="1" applyBorder="1" applyAlignment="1" applyProtection="1">
      <alignment horizontal="left"/>
      <protection locked="0"/>
    </xf>
    <xf numFmtId="0" fontId="5" fillId="0" borderId="1" xfId="115" applyFont="1" applyBorder="1" applyAlignment="1" applyProtection="1">
      <alignment horizontal="left"/>
      <protection locked="0"/>
    </xf>
    <xf numFmtId="0" fontId="56" fillId="0" borderId="0" xfId="115" applyFont="1" applyAlignment="1">
      <alignment horizontal="center" vertical="center"/>
    </xf>
    <xf numFmtId="168" fontId="5" fillId="0" borderId="4" xfId="82" applyFont="1" applyBorder="1" applyAlignment="1">
      <alignment horizontal="left" shrinkToFit="1"/>
      <protection locked="0"/>
    </xf>
    <xf numFmtId="0" fontId="243" fillId="0" borderId="1" xfId="0" applyFont="1" applyBorder="1" applyAlignment="1" applyProtection="1">
      <alignment horizontal="center"/>
      <protection locked="0"/>
    </xf>
    <xf numFmtId="4" fontId="5" fillId="0" borderId="1" xfId="115" applyNumberFormat="1" applyFont="1" applyBorder="1" applyAlignment="1" applyProtection="1">
      <alignment horizontal="center"/>
      <protection locked="0"/>
    </xf>
    <xf numFmtId="4" fontId="5" fillId="0" borderId="1" xfId="115" applyNumberFormat="1" applyFont="1" applyBorder="1" applyAlignment="1" applyProtection="1">
      <alignment horizontal="right"/>
      <protection locked="0"/>
    </xf>
    <xf numFmtId="0" fontId="65" fillId="0" borderId="0" xfId="115" applyFont="1" applyAlignment="1">
      <alignment horizontal="center"/>
    </xf>
    <xf numFmtId="4" fontId="5" fillId="0" borderId="3" xfId="115" applyNumberFormat="1" applyFont="1" applyBorder="1" applyAlignment="1">
      <alignment horizontal="right"/>
    </xf>
    <xf numFmtId="4" fontId="5" fillId="0" borderId="0" xfId="115" applyNumberFormat="1" applyFont="1" applyAlignment="1" applyProtection="1">
      <alignment horizontal="center"/>
      <protection locked="0"/>
    </xf>
    <xf numFmtId="0" fontId="243" fillId="0" borderId="8" xfId="0" applyFont="1" applyBorder="1" applyAlignment="1">
      <alignment horizontal="center"/>
    </xf>
    <xf numFmtId="14" fontId="243" fillId="0" borderId="1" xfId="0" applyNumberFormat="1" applyFont="1" applyBorder="1" applyAlignment="1" applyProtection="1">
      <alignment horizontal="center"/>
      <protection locked="0"/>
    </xf>
    <xf numFmtId="4" fontId="5" fillId="0" borderId="4" xfId="115" applyNumberFormat="1" applyFont="1" applyBorder="1" applyAlignment="1" applyProtection="1">
      <alignment horizontal="center"/>
      <protection locked="0"/>
    </xf>
    <xf numFmtId="168" fontId="6" fillId="0" borderId="0" xfId="85" applyFont="1" applyAlignment="1" applyProtection="1">
      <alignment horizontal="center"/>
    </xf>
    <xf numFmtId="0" fontId="5" fillId="0" borderId="1" xfId="85" applyNumberFormat="1" applyFont="1" applyBorder="1" applyAlignment="1" applyProtection="1">
      <alignment horizontal="center" shrinkToFit="1"/>
    </xf>
    <xf numFmtId="0" fontId="42" fillId="0" borderId="0" xfId="82" applyNumberFormat="1" applyFont="1" applyProtection="1"/>
    <xf numFmtId="168" fontId="5" fillId="0" borderId="4" xfId="82" applyFont="1" applyBorder="1" applyAlignment="1" applyProtection="1">
      <alignment horizontal="center"/>
    </xf>
    <xf numFmtId="168" fontId="72" fillId="0" borderId="0" xfId="57" applyNumberFormat="1" applyFont="1" applyAlignment="1" applyProtection="1">
      <alignment horizontal="center"/>
    </xf>
    <xf numFmtId="168" fontId="0" fillId="0" borderId="0" xfId="85" applyFont="1" applyAlignment="1">
      <alignment horizontal="left" wrapText="1"/>
      <protection locked="0"/>
    </xf>
    <xf numFmtId="168" fontId="5" fillId="0" borderId="0" xfId="85" applyFont="1" applyAlignment="1">
      <alignment horizontal="left" wrapText="1"/>
      <protection locked="0"/>
    </xf>
    <xf numFmtId="49" fontId="151" fillId="0" borderId="0" xfId="57" applyNumberFormat="1" applyFont="1" applyAlignment="1" applyProtection="1">
      <alignment horizontal="left"/>
    </xf>
    <xf numFmtId="164" fontId="5" fillId="0" borderId="1" xfId="0" applyNumberFormat="1" applyFont="1" applyBorder="1" applyAlignment="1">
      <alignment horizontal="center" shrinkToFit="1"/>
    </xf>
    <xf numFmtId="0" fontId="6" fillId="0" borderId="0" xfId="89" applyFont="1" applyAlignment="1">
      <alignment horizontal="center"/>
    </xf>
    <xf numFmtId="164" fontId="5" fillId="0" borderId="1" xfId="0" applyNumberFormat="1" applyFont="1" applyBorder="1" applyAlignment="1" applyProtection="1">
      <alignment horizontal="center" shrinkToFit="1"/>
      <protection locked="0"/>
    </xf>
    <xf numFmtId="0" fontId="5" fillId="0" borderId="0" xfId="89" applyFont="1"/>
    <xf numFmtId="49" fontId="7" fillId="0" borderId="0" xfId="0" applyNumberFormat="1" applyFont="1" applyAlignment="1">
      <alignment horizontal="left"/>
    </xf>
    <xf numFmtId="0" fontId="7" fillId="0" borderId="0" xfId="0" applyFont="1" applyAlignment="1">
      <alignment horizontal="left" wrapText="1"/>
    </xf>
    <xf numFmtId="0" fontId="245" fillId="0" borderId="0" xfId="0" applyFont="1" applyAlignment="1">
      <alignment horizontal="left" wrapText="1"/>
    </xf>
    <xf numFmtId="0" fontId="5" fillId="0" borderId="1" xfId="86" applyFont="1" applyBorder="1" applyAlignment="1">
      <alignment horizontal="center" shrinkToFit="1"/>
    </xf>
    <xf numFmtId="0" fontId="5" fillId="0" borderId="4" xfId="86" applyFont="1" applyBorder="1" applyAlignment="1">
      <alignment horizontal="center" shrinkToFit="1"/>
    </xf>
    <xf numFmtId="0" fontId="5" fillId="0" borderId="4" xfId="86" applyFont="1" applyBorder="1" applyAlignment="1" applyProtection="1">
      <alignment horizontal="center" shrinkToFit="1"/>
      <protection locked="0"/>
    </xf>
    <xf numFmtId="0" fontId="256" fillId="6" borderId="0" xfId="0" applyFont="1" applyFill="1" applyAlignment="1">
      <alignment horizontal="center"/>
    </xf>
    <xf numFmtId="0" fontId="7" fillId="0" borderId="0" xfId="0" applyFont="1" applyAlignment="1">
      <alignment horizontal="center"/>
    </xf>
    <xf numFmtId="0" fontId="7" fillId="0" borderId="0" xfId="0" applyFont="1" applyAlignment="1">
      <alignment horizontal="center" wrapText="1"/>
    </xf>
    <xf numFmtId="0" fontId="256" fillId="0" borderId="0" xfId="0" applyFont="1" applyAlignment="1">
      <alignment horizontal="center"/>
    </xf>
    <xf numFmtId="0" fontId="14" fillId="0" borderId="0" xfId="0" quotePrefix="1" applyFont="1" applyAlignment="1">
      <alignment horizontal="left" wrapText="1"/>
    </xf>
    <xf numFmtId="0" fontId="38" fillId="0" borderId="0" xfId="0" applyFont="1" applyAlignment="1">
      <alignment horizontal="left" wrapText="1"/>
    </xf>
    <xf numFmtId="0" fontId="256" fillId="54" borderId="0" xfId="0" applyFont="1" applyFill="1" applyAlignment="1">
      <alignment horizontal="center"/>
    </xf>
    <xf numFmtId="168" fontId="7" fillId="0" borderId="0" xfId="82" applyFont="1" applyAlignment="1" applyProtection="1">
      <alignment horizontal="right"/>
    </xf>
    <xf numFmtId="0" fontId="243" fillId="0" borderId="0" xfId="0" applyFont="1" applyAlignment="1">
      <alignment horizontal="center" vertical="center" wrapText="1"/>
    </xf>
    <xf numFmtId="0" fontId="243" fillId="0" borderId="1" xfId="0" applyFont="1" applyBorder="1" applyAlignment="1">
      <alignment horizontal="center" vertical="center" wrapText="1"/>
    </xf>
    <xf numFmtId="0" fontId="243" fillId="0" borderId="1" xfId="0" applyFont="1" applyBorder="1" applyAlignment="1">
      <alignment horizontal="center"/>
    </xf>
    <xf numFmtId="0" fontId="5" fillId="0" borderId="1" xfId="87" applyFont="1" applyBorder="1" applyAlignment="1">
      <alignment horizontal="center" shrinkToFit="1"/>
    </xf>
    <xf numFmtId="0" fontId="5" fillId="0" borderId="4" xfId="87" applyFont="1" applyBorder="1" applyAlignment="1">
      <alignment horizontal="center" shrinkToFit="1"/>
    </xf>
    <xf numFmtId="0" fontId="5" fillId="0" borderId="4" xfId="87" applyFont="1" applyBorder="1" applyAlignment="1" applyProtection="1">
      <alignment horizontal="center" shrinkToFit="1"/>
      <protection locked="0"/>
    </xf>
    <xf numFmtId="0" fontId="5" fillId="0" borderId="0" xfId="84" applyFont="1" applyAlignment="1">
      <alignment wrapText="1"/>
    </xf>
    <xf numFmtId="0" fontId="5" fillId="0" borderId="0" xfId="84" applyFont="1" applyAlignment="1">
      <alignment horizontal="left" vertical="top" wrapText="1" indent="1"/>
    </xf>
    <xf numFmtId="0" fontId="18" fillId="0" borderId="0" xfId="88" applyFont="1" applyAlignment="1">
      <alignment horizontal="center" wrapText="1" shrinkToFit="1"/>
    </xf>
    <xf numFmtId="0" fontId="5" fillId="0" borderId="0" xfId="84" applyFont="1"/>
    <xf numFmtId="0" fontId="6" fillId="0" borderId="0" xfId="88" applyFont="1" applyAlignment="1">
      <alignment horizontal="center"/>
    </xf>
    <xf numFmtId="0" fontId="14" fillId="0" borderId="0" xfId="88" applyFont="1" applyAlignment="1">
      <alignment horizontal="center"/>
    </xf>
    <xf numFmtId="0" fontId="6" fillId="0" borderId="0" xfId="115" applyFont="1" applyAlignment="1">
      <alignment horizontal="center" vertical="center"/>
    </xf>
    <xf numFmtId="0" fontId="41" fillId="20" borderId="15" xfId="0" applyFont="1" applyFill="1" applyBorder="1" applyAlignment="1">
      <alignment horizontal="center" wrapText="1"/>
    </xf>
    <xf numFmtId="164" fontId="5" fillId="0" borderId="4" xfId="0" applyNumberFormat="1" applyFont="1" applyBorder="1" applyAlignment="1">
      <alignment horizontal="center" shrinkToFit="1"/>
    </xf>
    <xf numFmtId="164" fontId="5" fillId="0" borderId="4" xfId="0" applyNumberFormat="1" applyFont="1" applyBorder="1" applyAlignment="1" applyProtection="1">
      <alignment horizontal="center" shrinkToFit="1"/>
      <protection locked="0"/>
    </xf>
    <xf numFmtId="0" fontId="5" fillId="0" borderId="0" xfId="0" applyFont="1" applyAlignment="1">
      <alignment horizontal="center"/>
    </xf>
    <xf numFmtId="0" fontId="7" fillId="0" borderId="1" xfId="0" applyFont="1" applyBorder="1" applyAlignment="1" applyProtection="1">
      <alignment horizontal="center"/>
      <protection locked="0"/>
    </xf>
    <xf numFmtId="0" fontId="5" fillId="0" borderId="0" xfId="0" applyFont="1" applyAlignment="1">
      <alignment horizontal="right"/>
    </xf>
    <xf numFmtId="0" fontId="5" fillId="0" borderId="1" xfId="0" applyFont="1" applyBorder="1" applyAlignment="1" applyProtection="1">
      <alignment horizontal="center"/>
      <protection locked="0"/>
    </xf>
    <xf numFmtId="0" fontId="5" fillId="0" borderId="0" xfId="0" applyFont="1" applyAlignment="1">
      <alignment horizontal="left" vertical="top" wrapText="1"/>
    </xf>
    <xf numFmtId="0" fontId="0" fillId="0" borderId="0" xfId="0" applyAlignment="1">
      <alignment vertical="top" wrapText="1"/>
    </xf>
    <xf numFmtId="0" fontId="5" fillId="0" borderId="1" xfId="0" applyFont="1" applyBorder="1" applyAlignment="1" applyProtection="1">
      <alignment horizontal="left"/>
      <protection locked="0"/>
    </xf>
    <xf numFmtId="14" fontId="5" fillId="0" borderId="23" xfId="0" applyNumberFormat="1" applyFont="1" applyBorder="1" applyAlignment="1" applyProtection="1">
      <alignment horizontal="center"/>
      <protection locked="0"/>
    </xf>
    <xf numFmtId="14" fontId="5" fillId="0" borderId="4" xfId="0" applyNumberFormat="1" applyFont="1" applyBorder="1" applyAlignment="1" applyProtection="1">
      <alignment horizontal="center"/>
      <protection locked="0"/>
    </xf>
    <xf numFmtId="14" fontId="5" fillId="0" borderId="33" xfId="0" applyNumberFormat="1" applyFont="1" applyBorder="1" applyAlignment="1" applyProtection="1">
      <alignment horizontal="center"/>
      <protection locked="0"/>
    </xf>
    <xf numFmtId="0" fontId="41" fillId="20" borderId="21" xfId="0" applyFont="1" applyFill="1" applyBorder="1" applyAlignment="1">
      <alignment horizontal="center" vertical="top" wrapText="1"/>
    </xf>
    <xf numFmtId="0" fontId="41" fillId="20" borderId="8" xfId="0" applyFont="1" applyFill="1" applyBorder="1" applyAlignment="1">
      <alignment horizontal="center" vertical="top" wrapText="1"/>
    </xf>
    <xf numFmtId="0" fontId="41" fillId="20" borderId="9" xfId="0" applyFont="1" applyFill="1" applyBorder="1" applyAlignment="1">
      <alignment horizontal="center" vertical="top" wrapText="1"/>
    </xf>
    <xf numFmtId="0" fontId="41" fillId="20" borderId="12" xfId="0" applyFont="1" applyFill="1" applyBorder="1" applyAlignment="1">
      <alignment horizontal="center" vertical="top" wrapText="1"/>
    </xf>
    <xf numFmtId="0" fontId="41" fillId="20" borderId="1" xfId="0" applyFont="1" applyFill="1" applyBorder="1" applyAlignment="1">
      <alignment horizontal="center" vertical="top" wrapText="1"/>
    </xf>
    <xf numFmtId="0" fontId="41" fillId="20" borderId="13" xfId="0" applyFont="1" applyFill="1" applyBorder="1" applyAlignment="1">
      <alignment horizontal="center" vertical="top" wrapText="1"/>
    </xf>
    <xf numFmtId="0" fontId="5" fillId="0" borderId="0" xfId="0" applyFont="1" applyAlignment="1">
      <alignment horizontal="left"/>
    </xf>
    <xf numFmtId="0" fontId="41" fillId="20" borderId="5" xfId="0" applyFont="1" applyFill="1" applyBorder="1" applyAlignment="1">
      <alignment horizontal="center" wrapText="1"/>
    </xf>
    <xf numFmtId="177" fontId="5" fillId="0" borderId="23" xfId="0" applyNumberFormat="1" applyFont="1" applyBorder="1" applyAlignment="1" applyProtection="1">
      <alignment horizontal="center"/>
      <protection locked="0"/>
    </xf>
    <xf numFmtId="177" fontId="5" fillId="0" borderId="4" xfId="0" applyNumberFormat="1" applyFont="1" applyBorder="1" applyAlignment="1" applyProtection="1">
      <alignment horizontal="center"/>
      <protection locked="0"/>
    </xf>
    <xf numFmtId="177" fontId="5" fillId="0" borderId="33" xfId="0" applyNumberFormat="1" applyFont="1" applyBorder="1" applyAlignment="1" applyProtection="1">
      <alignment horizontal="center"/>
      <protection locked="0"/>
    </xf>
    <xf numFmtId="10" fontId="5" fillId="0" borderId="4" xfId="0" applyNumberFormat="1" applyFont="1" applyBorder="1" applyAlignment="1" applyProtection="1">
      <alignment horizontal="center"/>
      <protection locked="0"/>
    </xf>
    <xf numFmtId="10" fontId="5" fillId="0" borderId="33" xfId="0" applyNumberFormat="1" applyFont="1" applyBorder="1" applyAlignment="1" applyProtection="1">
      <alignment horizontal="center"/>
      <protection locked="0"/>
    </xf>
    <xf numFmtId="10" fontId="5" fillId="0" borderId="23" xfId="0" applyNumberFormat="1" applyFont="1" applyBorder="1" applyAlignment="1" applyProtection="1">
      <alignment horizontal="center"/>
      <protection locked="0"/>
    </xf>
    <xf numFmtId="0" fontId="113" fillId="20" borderId="21" xfId="0" applyFont="1" applyFill="1" applyBorder="1" applyAlignment="1">
      <alignment horizontal="center" vertical="center" wrapText="1"/>
    </xf>
    <xf numFmtId="0" fontId="113" fillId="20" borderId="8" xfId="0" applyFont="1" applyFill="1" applyBorder="1" applyAlignment="1">
      <alignment horizontal="center" vertical="center" wrapText="1"/>
    </xf>
    <xf numFmtId="0" fontId="113" fillId="20" borderId="9" xfId="0" applyFont="1" applyFill="1" applyBorder="1" applyAlignment="1">
      <alignment horizontal="center" vertical="center" wrapText="1"/>
    </xf>
    <xf numFmtId="0" fontId="113" fillId="20" borderId="10" xfId="0" applyFont="1" applyFill="1" applyBorder="1" applyAlignment="1">
      <alignment horizontal="center" vertical="center" wrapText="1"/>
    </xf>
    <xf numFmtId="0" fontId="113" fillId="20" borderId="0" xfId="0" applyFont="1" applyFill="1" applyAlignment="1">
      <alignment horizontal="center" vertical="center" wrapText="1"/>
    </xf>
    <xf numFmtId="0" fontId="113" fillId="20" borderId="11" xfId="0" applyFont="1" applyFill="1" applyBorder="1" applyAlignment="1">
      <alignment horizontal="center" vertical="center" wrapText="1"/>
    </xf>
    <xf numFmtId="0" fontId="113" fillId="20" borderId="12" xfId="0" applyFont="1" applyFill="1" applyBorder="1" applyAlignment="1">
      <alignment horizontal="center" vertical="center" wrapText="1"/>
    </xf>
    <xf numFmtId="0" fontId="113" fillId="20" borderId="1" xfId="0" applyFont="1" applyFill="1" applyBorder="1" applyAlignment="1">
      <alignment horizontal="center" vertical="center" wrapText="1"/>
    </xf>
    <xf numFmtId="0" fontId="113" fillId="20" borderId="13" xfId="0" applyFont="1" applyFill="1" applyBorder="1" applyAlignment="1">
      <alignment horizontal="center" vertical="center" wrapText="1"/>
    </xf>
    <xf numFmtId="0" fontId="0" fillId="0" borderId="1" xfId="0" applyBorder="1" applyAlignment="1">
      <alignment horizontal="left"/>
    </xf>
    <xf numFmtId="0" fontId="5" fillId="0" borderId="1" xfId="0" applyFont="1" applyBorder="1" applyAlignment="1">
      <alignment horizontal="left"/>
    </xf>
    <xf numFmtId="0" fontId="5" fillId="0" borderId="4" xfId="0" applyFont="1" applyBorder="1" applyAlignment="1" applyProtection="1">
      <alignment horizontal="left"/>
      <protection locked="0"/>
    </xf>
    <xf numFmtId="0" fontId="5" fillId="0" borderId="4" xfId="0" applyFont="1" applyBorder="1" applyAlignment="1">
      <alignment horizontal="left"/>
    </xf>
    <xf numFmtId="0" fontId="41" fillId="20" borderId="23" xfId="0" applyFont="1" applyFill="1" applyBorder="1" applyAlignment="1">
      <alignment horizontal="center" wrapText="1"/>
    </xf>
    <xf numFmtId="0" fontId="41" fillId="20" borderId="4" xfId="0" applyFont="1" applyFill="1" applyBorder="1" applyAlignment="1">
      <alignment horizontal="center" wrapText="1"/>
    </xf>
    <xf numFmtId="0" fontId="41" fillId="20" borderId="33" xfId="0" applyFont="1" applyFill="1" applyBorder="1" applyAlignment="1">
      <alignment horizontal="center" wrapText="1"/>
    </xf>
    <xf numFmtId="0" fontId="7" fillId="0" borderId="0" xfId="0" applyFont="1" applyAlignment="1" applyProtection="1">
      <alignment horizontal="left"/>
      <protection locked="0"/>
    </xf>
    <xf numFmtId="0" fontId="5" fillId="0" borderId="0" xfId="0" applyFont="1" applyAlignment="1" applyProtection="1">
      <alignment horizontal="left"/>
      <protection locked="0"/>
    </xf>
    <xf numFmtId="0" fontId="207" fillId="0" borderId="0" xfId="0" applyFont="1" applyAlignment="1">
      <alignment horizontal="left"/>
    </xf>
    <xf numFmtId="0" fontId="18" fillId="0" borderId="0" xfId="0" applyFont="1"/>
    <xf numFmtId="49" fontId="101" fillId="0" borderId="0" xfId="0" applyNumberFormat="1" applyFont="1"/>
    <xf numFmtId="0" fontId="5" fillId="0" borderId="4" xfId="93" applyFont="1" applyBorder="1" applyAlignment="1">
      <alignment horizontal="center" shrinkToFit="1"/>
    </xf>
    <xf numFmtId="0" fontId="5" fillId="0" borderId="1" xfId="89" applyFont="1" applyBorder="1" applyAlignment="1">
      <alignment horizontal="center"/>
    </xf>
    <xf numFmtId="0" fontId="0" fillId="0" borderId="1" xfId="0" applyBorder="1" applyAlignment="1">
      <alignment horizontal="center"/>
    </xf>
    <xf numFmtId="164" fontId="5" fillId="0" borderId="4" xfId="93" applyNumberFormat="1" applyFont="1" applyBorder="1" applyAlignment="1" applyProtection="1">
      <alignment horizontal="center" shrinkToFit="1"/>
      <protection locked="0"/>
    </xf>
    <xf numFmtId="49" fontId="151" fillId="0" borderId="0" xfId="57" applyNumberFormat="1" applyFont="1" applyAlignment="1" applyProtection="1"/>
    <xf numFmtId="0" fontId="151" fillId="0" borderId="0" xfId="57" applyFont="1" applyAlignment="1" applyProtection="1"/>
    <xf numFmtId="0" fontId="5" fillId="0" borderId="1" xfId="93" applyFont="1" applyBorder="1" applyAlignment="1">
      <alignment horizontal="center" shrinkToFit="1"/>
    </xf>
    <xf numFmtId="0" fontId="8" fillId="0" borderId="0" xfId="57" applyFont="1" applyAlignment="1" applyProtection="1">
      <alignment horizontal="left"/>
    </xf>
    <xf numFmtId="185" fontId="5" fillId="0" borderId="0" xfId="115" applyNumberFormat="1" applyFont="1" applyAlignment="1">
      <alignment horizontal="center"/>
    </xf>
    <xf numFmtId="185" fontId="5" fillId="0" borderId="1" xfId="115" applyNumberFormat="1" applyFont="1" applyBorder="1" applyAlignment="1" applyProtection="1">
      <alignment horizontal="center"/>
      <protection locked="0"/>
    </xf>
    <xf numFmtId="0" fontId="7" fillId="8" borderId="0" xfId="94" applyFont="1" applyFill="1"/>
    <xf numFmtId="164" fontId="5" fillId="0" borderId="1" xfId="93" applyNumberFormat="1" applyFont="1" applyBorder="1" applyAlignment="1" applyProtection="1">
      <alignment horizontal="center" shrinkToFit="1"/>
      <protection locked="0"/>
    </xf>
    <xf numFmtId="0" fontId="230" fillId="0" borderId="0" xfId="94" applyFont="1" applyAlignment="1">
      <alignment horizontal="left" wrapText="1"/>
    </xf>
    <xf numFmtId="0" fontId="5" fillId="0" borderId="46" xfId="94" applyFont="1" applyBorder="1" applyAlignment="1" applyProtection="1">
      <alignment horizontal="center" vertical="center"/>
      <protection locked="0"/>
    </xf>
    <xf numFmtId="0" fontId="5" fillId="0" borderId="16" xfId="94" applyFont="1" applyBorder="1" applyAlignment="1" applyProtection="1">
      <alignment horizontal="center" vertical="center"/>
      <protection locked="0"/>
    </xf>
    <xf numFmtId="0" fontId="5" fillId="0" borderId="47" xfId="94" applyFont="1" applyBorder="1" applyAlignment="1" applyProtection="1">
      <alignment horizontal="center" vertical="center"/>
      <protection locked="0"/>
    </xf>
    <xf numFmtId="0" fontId="5" fillId="0" borderId="0" xfId="0" applyFont="1" applyAlignment="1">
      <alignment horizontal="left" wrapText="1" indent="2"/>
    </xf>
    <xf numFmtId="0" fontId="7" fillId="0" borderId="1" xfId="0" applyFont="1" applyBorder="1" applyAlignment="1">
      <alignment horizontal="center"/>
    </xf>
    <xf numFmtId="0" fontId="5" fillId="0" borderId="4" xfId="0" applyFont="1" applyBorder="1" applyProtection="1">
      <protection locked="0"/>
    </xf>
    <xf numFmtId="0" fontId="0" fillId="0" borderId="4" xfId="0" applyBorder="1"/>
    <xf numFmtId="0" fontId="5" fillId="0" borderId="0" xfId="0" applyFont="1" applyAlignment="1">
      <alignment wrapText="1"/>
    </xf>
    <xf numFmtId="0" fontId="21" fillId="0" borderId="0" xfId="89" applyFont="1" applyAlignment="1">
      <alignment horizontal="center"/>
    </xf>
    <xf numFmtId="0" fontId="5" fillId="0" borderId="0" xfId="89" applyFont="1" applyAlignment="1">
      <alignment horizontal="center"/>
    </xf>
    <xf numFmtId="0" fontId="5" fillId="0" borderId="0" xfId="0" applyFont="1" applyAlignment="1">
      <alignment horizontal="left" vertical="center" wrapText="1"/>
    </xf>
    <xf numFmtId="0" fontId="151" fillId="0" borderId="0" xfId="57" applyFont="1" applyAlignment="1" applyProtection="1">
      <alignment horizontal="left" vertical="center"/>
    </xf>
    <xf numFmtId="164" fontId="5" fillId="0" borderId="0" xfId="99" applyNumberFormat="1" applyAlignment="1">
      <alignment horizontal="center"/>
    </xf>
    <xf numFmtId="164" fontId="7" fillId="0" borderId="0" xfId="99" applyNumberFormat="1" applyFont="1" applyAlignment="1">
      <alignment horizontal="left" wrapText="1"/>
    </xf>
    <xf numFmtId="0" fontId="101" fillId="0" borderId="0" xfId="0" applyFont="1" applyAlignment="1">
      <alignment horizontal="left"/>
    </xf>
    <xf numFmtId="49" fontId="42" fillId="0" borderId="1" xfId="89" applyNumberFormat="1" applyFont="1" applyBorder="1" applyAlignment="1" applyProtection="1">
      <alignment horizontal="left"/>
      <protection locked="0"/>
    </xf>
    <xf numFmtId="49" fontId="42" fillId="0" borderId="4" xfId="89" applyNumberFormat="1" applyFont="1" applyBorder="1" applyAlignment="1" applyProtection="1">
      <alignment horizontal="left"/>
      <protection locked="0"/>
    </xf>
    <xf numFmtId="0" fontId="0" fillId="0" borderId="4" xfId="0" applyBorder="1" applyAlignment="1">
      <alignment horizontal="left"/>
    </xf>
    <xf numFmtId="0" fontId="15" fillId="0" borderId="0" xfId="89" applyAlignment="1">
      <alignment horizontal="left"/>
    </xf>
    <xf numFmtId="0" fontId="0" fillId="0" borderId="0" xfId="0" applyAlignment="1">
      <alignment horizontal="left"/>
    </xf>
    <xf numFmtId="49" fontId="5" fillId="0" borderId="4" xfId="89" applyNumberFormat="1" applyFont="1" applyBorder="1" applyAlignment="1" applyProtection="1">
      <alignment horizontal="center"/>
      <protection locked="0"/>
    </xf>
    <xf numFmtId="0" fontId="5" fillId="0" borderId="1" xfId="93" applyFont="1" applyBorder="1" applyAlignment="1">
      <alignment horizontal="left"/>
    </xf>
    <xf numFmtId="0" fontId="0" fillId="0" borderId="1" xfId="0" applyBorder="1"/>
    <xf numFmtId="164" fontId="5" fillId="0" borderId="4" xfId="0" applyNumberFormat="1" applyFont="1" applyBorder="1" applyAlignment="1" applyProtection="1">
      <alignment horizontal="left"/>
      <protection locked="0"/>
    </xf>
    <xf numFmtId="0" fontId="0" fillId="0" borderId="4" xfId="0" applyBorder="1" applyProtection="1">
      <protection locked="0"/>
    </xf>
    <xf numFmtId="164" fontId="5" fillId="0" borderId="4" xfId="93" applyNumberFormat="1" applyFont="1" applyBorder="1" applyAlignment="1" applyProtection="1">
      <alignment horizontal="left"/>
      <protection locked="0"/>
    </xf>
    <xf numFmtId="0" fontId="101" fillId="0" borderId="1" xfId="0" applyFont="1" applyBorder="1" applyAlignment="1">
      <alignment horizontal="center"/>
    </xf>
    <xf numFmtId="0" fontId="5" fillId="0" borderId="1" xfId="0" applyFont="1" applyBorder="1" applyAlignment="1">
      <alignment horizontal="center"/>
    </xf>
    <xf numFmtId="0" fontId="47" fillId="0" borderId="0" xfId="89" applyFont="1" applyAlignment="1">
      <alignment horizontal="center"/>
    </xf>
    <xf numFmtId="0" fontId="47" fillId="0" borderId="1" xfId="89" applyFont="1" applyBorder="1" applyAlignment="1">
      <alignment horizontal="center"/>
    </xf>
    <xf numFmtId="0" fontId="5" fillId="0" borderId="0" xfId="102" applyFont="1"/>
    <xf numFmtId="0" fontId="7" fillId="0" borderId="0" xfId="102" applyFont="1"/>
    <xf numFmtId="49" fontId="5" fillId="0" borderId="1" xfId="89" applyNumberFormat="1" applyFont="1" applyBorder="1" applyAlignment="1" applyProtection="1">
      <alignment horizontal="left"/>
      <protection locked="0"/>
    </xf>
    <xf numFmtId="0" fontId="5" fillId="0" borderId="0" xfId="89" applyFont="1" applyAlignment="1">
      <alignment horizontal="left" indent="2"/>
    </xf>
    <xf numFmtId="0" fontId="0" fillId="0" borderId="0" xfId="0" applyAlignment="1">
      <alignment horizontal="left" indent="2"/>
    </xf>
    <xf numFmtId="0" fontId="7" fillId="0" borderId="1" xfId="89" applyFont="1" applyBorder="1" applyAlignment="1">
      <alignment horizontal="center"/>
    </xf>
    <xf numFmtId="0" fontId="208" fillId="0" borderId="0" xfId="0" applyFont="1" applyAlignment="1">
      <alignment horizontal="left"/>
    </xf>
    <xf numFmtId="0" fontId="160" fillId="0" borderId="0" xfId="0" applyFont="1"/>
    <xf numFmtId="0" fontId="208" fillId="0" borderId="4" xfId="0" applyFont="1" applyBorder="1" applyAlignment="1" applyProtection="1">
      <alignment horizontal="left"/>
      <protection locked="0"/>
    </xf>
    <xf numFmtId="164" fontId="5" fillId="0" borderId="1" xfId="0" applyNumberFormat="1" applyFont="1" applyBorder="1" applyAlignment="1">
      <alignment horizontal="center"/>
    </xf>
    <xf numFmtId="164" fontId="5" fillId="0" borderId="0" xfId="0" applyNumberFormat="1" applyFont="1" applyAlignment="1">
      <alignment horizontal="center"/>
    </xf>
    <xf numFmtId="0" fontId="7" fillId="6" borderId="8" xfId="0" applyFont="1" applyFill="1" applyBorder="1"/>
    <xf numFmtId="0" fontId="0" fillId="0" borderId="8" xfId="0" applyBorder="1"/>
    <xf numFmtId="0" fontId="90" fillId="6" borderId="0" xfId="115" applyFont="1" applyFill="1" applyAlignment="1">
      <alignment horizontal="left"/>
    </xf>
    <xf numFmtId="176" fontId="5" fillId="0" borderId="1" xfId="0" applyNumberFormat="1" applyFont="1" applyBorder="1" applyProtection="1">
      <protection locked="0"/>
    </xf>
    <xf numFmtId="0" fontId="5" fillId="0" borderId="1" xfId="0" applyFont="1" applyBorder="1" applyProtection="1">
      <protection locked="0"/>
    </xf>
    <xf numFmtId="191" fontId="7" fillId="0" borderId="0" xfId="95" applyNumberFormat="1" applyFont="1"/>
    <xf numFmtId="191" fontId="7" fillId="0" borderId="0" xfId="0" applyNumberFormat="1" applyFont="1"/>
    <xf numFmtId="0" fontId="21" fillId="0" borderId="0" xfId="95" applyFont="1" applyAlignment="1">
      <alignment horizontal="center"/>
    </xf>
    <xf numFmtId="191" fontId="5" fillId="0" borderId="0" xfId="95" applyNumberFormat="1" applyFont="1"/>
    <xf numFmtId="191" fontId="0" fillId="0" borderId="0" xfId="0" applyNumberFormat="1"/>
    <xf numFmtId="0" fontId="0" fillId="6" borderId="0" xfId="0" applyFill="1"/>
    <xf numFmtId="0" fontId="5" fillId="0" borderId="0" xfId="0" applyFont="1" applyAlignment="1" applyProtection="1">
      <alignment horizontal="center"/>
      <protection locked="0"/>
    </xf>
    <xf numFmtId="0" fontId="9" fillId="0" borderId="0" xfId="0" applyFont="1" applyAlignment="1">
      <alignment horizontal="center"/>
    </xf>
    <xf numFmtId="164" fontId="5" fillId="0" borderId="4" xfId="0" applyNumberFormat="1" applyFont="1" applyBorder="1" applyAlignment="1">
      <alignment horizontal="center"/>
    </xf>
    <xf numFmtId="190" fontId="5" fillId="0" borderId="1" xfId="0" applyNumberFormat="1" applyFont="1" applyBorder="1" applyAlignment="1" applyProtection="1">
      <alignment horizontal="center"/>
      <protection locked="0"/>
    </xf>
    <xf numFmtId="164" fontId="5" fillId="0" borderId="4" xfId="0" applyNumberFormat="1" applyFont="1" applyBorder="1" applyAlignment="1" applyProtection="1">
      <alignment horizontal="center"/>
      <protection locked="0"/>
    </xf>
    <xf numFmtId="164" fontId="5" fillId="0" borderId="1" xfId="0" applyNumberFormat="1" applyFont="1" applyBorder="1" applyAlignment="1" applyProtection="1">
      <alignment horizontal="center"/>
      <protection locked="0"/>
    </xf>
    <xf numFmtId="0" fontId="7" fillId="0" borderId="0" xfId="0" applyFont="1" applyAlignment="1">
      <alignment horizontal="right"/>
    </xf>
    <xf numFmtId="164" fontId="5" fillId="0" borderId="4" xfId="69" applyNumberFormat="1" applyFont="1" applyBorder="1" applyAlignment="1" applyProtection="1">
      <alignment horizontal="center" shrinkToFit="1"/>
      <protection locked="0"/>
    </xf>
    <xf numFmtId="164" fontId="6" fillId="0" borderId="0" xfId="69" applyNumberFormat="1" applyFont="1" applyAlignment="1">
      <alignment horizontal="center"/>
    </xf>
    <xf numFmtId="0" fontId="6" fillId="0" borderId="0" xfId="81" applyFont="1" applyAlignment="1">
      <alignment horizontal="center"/>
    </xf>
    <xf numFmtId="164" fontId="5" fillId="0" borderId="0" xfId="69" applyNumberFormat="1" applyFont="1" applyAlignment="1">
      <alignment horizontal="center" shrinkToFit="1"/>
    </xf>
    <xf numFmtId="164" fontId="5" fillId="0" borderId="1" xfId="69" applyNumberFormat="1" applyFont="1" applyBorder="1" applyAlignment="1">
      <alignment horizontal="center" shrinkToFit="1"/>
    </xf>
    <xf numFmtId="0" fontId="37" fillId="0" borderId="0" xfId="81" applyFont="1" applyAlignment="1" applyProtection="1">
      <alignment horizontal="left"/>
      <protection locked="0"/>
    </xf>
    <xf numFmtId="0" fontId="5" fillId="0" borderId="0" xfId="0" applyFont="1" applyAlignment="1">
      <alignment horizontal="left" indent="1"/>
    </xf>
    <xf numFmtId="0" fontId="0" fillId="0" borderId="0" xfId="0" applyAlignment="1">
      <alignment horizontal="center"/>
    </xf>
    <xf numFmtId="0" fontId="5" fillId="58" borderId="0" xfId="0" applyFont="1" applyFill="1" applyAlignment="1">
      <alignment horizontal="left"/>
    </xf>
    <xf numFmtId="0" fontId="5" fillId="58" borderId="0" xfId="0" applyFont="1" applyFill="1"/>
    <xf numFmtId="0" fontId="37" fillId="58" borderId="0" xfId="81" applyFont="1" applyFill="1" applyAlignment="1" applyProtection="1">
      <alignment horizontal="left"/>
      <protection locked="0"/>
    </xf>
    <xf numFmtId="0" fontId="72" fillId="58" borderId="0" xfId="57" applyFont="1" applyFill="1" applyAlignment="1" applyProtection="1">
      <alignment horizontal="center"/>
    </xf>
    <xf numFmtId="0" fontId="0" fillId="58" borderId="0" xfId="57" applyFont="1" applyFill="1" applyAlignment="1" applyProtection="1">
      <alignment horizontal="center"/>
    </xf>
    <xf numFmtId="0" fontId="6" fillId="58" borderId="0" xfId="81" applyFont="1" applyFill="1" applyAlignment="1">
      <alignment horizontal="center"/>
    </xf>
    <xf numFmtId="0" fontId="0" fillId="58" borderId="0" xfId="0" applyFill="1" applyAlignment="1">
      <alignment horizontal="center"/>
    </xf>
    <xf numFmtId="164" fontId="5" fillId="58" borderId="0" xfId="69" applyNumberFormat="1" applyFont="1" applyFill="1" applyAlignment="1">
      <alignment horizontal="center" shrinkToFit="1"/>
    </xf>
    <xf numFmtId="164" fontId="5" fillId="58" borderId="1" xfId="69" applyNumberFormat="1" applyFont="1" applyFill="1" applyBorder="1" applyAlignment="1" applyProtection="1">
      <alignment horizontal="center" shrinkToFit="1"/>
      <protection locked="0"/>
    </xf>
    <xf numFmtId="0" fontId="7" fillId="58" borderId="0" xfId="0" applyFont="1" applyFill="1" applyAlignment="1">
      <alignment horizontal="left"/>
    </xf>
    <xf numFmtId="0" fontId="6" fillId="0" borderId="0" xfId="91" applyFont="1" applyAlignment="1">
      <alignment horizontal="center"/>
    </xf>
    <xf numFmtId="0" fontId="7" fillId="0" borderId="23" xfId="69" applyFont="1" applyBorder="1" applyAlignment="1">
      <alignment vertical="top" wrapText="1"/>
    </xf>
    <xf numFmtId="0" fontId="5" fillId="0" borderId="4" xfId="69" applyFont="1" applyBorder="1" applyAlignment="1">
      <alignment vertical="top" wrapText="1"/>
    </xf>
    <xf numFmtId="0" fontId="212" fillId="0" borderId="4" xfId="69" applyBorder="1" applyAlignment="1">
      <alignment vertical="top" wrapText="1"/>
    </xf>
    <xf numFmtId="0" fontId="212" fillId="0" borderId="33" xfId="69" applyBorder="1" applyAlignment="1">
      <alignment vertical="top" wrapText="1"/>
    </xf>
    <xf numFmtId="0" fontId="95" fillId="0" borderId="0" xfId="69" applyFont="1" applyAlignment="1">
      <alignment horizontal="right"/>
    </xf>
    <xf numFmtId="176" fontId="5" fillId="5" borderId="15" xfId="91" applyNumberFormat="1" applyFont="1" applyFill="1" applyBorder="1"/>
    <xf numFmtId="0" fontId="212" fillId="5" borderId="15" xfId="69" applyFill="1" applyBorder="1"/>
    <xf numFmtId="0" fontId="129" fillId="0" borderId="0" xfId="69" applyFont="1" applyAlignment="1">
      <alignment horizontal="right"/>
    </xf>
    <xf numFmtId="0" fontId="5" fillId="0" borderId="0" xfId="69" applyFont="1" applyAlignment="1">
      <alignment wrapText="1"/>
    </xf>
    <xf numFmtId="0" fontId="5" fillId="0" borderId="0" xfId="91" applyFont="1" applyAlignment="1">
      <alignment wrapText="1"/>
    </xf>
    <xf numFmtId="0" fontId="212" fillId="0" borderId="0" xfId="69"/>
    <xf numFmtId="0" fontId="212" fillId="0" borderId="11" xfId="69" applyBorder="1"/>
    <xf numFmtId="0" fontId="5" fillId="0" borderId="0" xfId="69" applyFont="1" applyProtection="1">
      <protection locked="0"/>
    </xf>
    <xf numFmtId="0" fontId="189" fillId="0" borderId="1" xfId="69" applyFont="1" applyBorder="1"/>
    <xf numFmtId="0" fontId="135" fillId="0" borderId="8" xfId="91" applyFont="1" applyBorder="1" applyAlignment="1">
      <alignment vertical="top" wrapText="1"/>
    </xf>
    <xf numFmtId="0" fontId="197" fillId="0" borderId="8" xfId="69" applyFont="1" applyBorder="1" applyAlignment="1">
      <alignment wrapText="1"/>
    </xf>
    <xf numFmtId="0" fontId="197" fillId="0" borderId="0" xfId="69" applyFont="1" applyAlignment="1">
      <alignment wrapText="1"/>
    </xf>
    <xf numFmtId="0" fontId="5" fillId="0" borderId="1" xfId="0" applyFont="1" applyBorder="1" applyAlignment="1">
      <alignment wrapText="1"/>
    </xf>
    <xf numFmtId="0" fontId="5" fillId="0" borderId="0" xfId="69" applyFont="1"/>
    <xf numFmtId="0" fontId="0" fillId="0" borderId="11" xfId="0" applyBorder="1"/>
    <xf numFmtId="0" fontId="212" fillId="0" borderId="11" xfId="69" applyBorder="1" applyAlignment="1">
      <alignment wrapText="1"/>
    </xf>
    <xf numFmtId="0" fontId="5" fillId="0" borderId="0" xfId="69" applyFont="1" applyAlignment="1" applyProtection="1">
      <alignment horizontal="left"/>
      <protection locked="0"/>
    </xf>
    <xf numFmtId="0" fontId="5" fillId="0" borderId="11" xfId="69" applyFont="1" applyBorder="1" applyAlignment="1" applyProtection="1">
      <alignment horizontal="left"/>
      <protection locked="0"/>
    </xf>
    <xf numFmtId="0" fontId="67" fillId="0" borderId="0" xfId="69" applyFont="1" applyAlignment="1">
      <alignment horizontal="left"/>
    </xf>
    <xf numFmtId="0" fontId="7" fillId="0" borderId="0" xfId="91" applyFont="1" applyAlignment="1">
      <alignment wrapText="1"/>
    </xf>
    <xf numFmtId="0" fontId="7" fillId="0" borderId="0" xfId="69" applyFont="1"/>
    <xf numFmtId="0" fontId="7" fillId="0" borderId="11" xfId="69" applyFont="1" applyBorder="1"/>
    <xf numFmtId="0" fontId="165" fillId="0" borderId="0" xfId="69" applyFont="1" applyAlignment="1">
      <alignment vertical="top" wrapText="1"/>
    </xf>
    <xf numFmtId="0" fontId="212" fillId="0" borderId="0" xfId="69" applyAlignment="1">
      <alignment wrapText="1"/>
    </xf>
    <xf numFmtId="0" fontId="7" fillId="0" borderId="0" xfId="69" applyFont="1" applyAlignment="1">
      <alignment wrapText="1"/>
    </xf>
    <xf numFmtId="0" fontId="7" fillId="0" borderId="1" xfId="69" applyFont="1" applyBorder="1" applyAlignment="1">
      <alignment horizontal="center"/>
    </xf>
    <xf numFmtId="0" fontId="189" fillId="0" borderId="4" xfId="69" applyFont="1" applyBorder="1"/>
    <xf numFmtId="0" fontId="156" fillId="0" borderId="0" xfId="69" applyFont="1" applyAlignment="1">
      <alignment horizontal="left"/>
    </xf>
    <xf numFmtId="0" fontId="161" fillId="0" borderId="0" xfId="69" applyFont="1" applyAlignment="1">
      <alignment horizontal="left" wrapText="1"/>
    </xf>
    <xf numFmtId="0" fontId="5" fillId="0" borderId="0" xfId="90" applyFont="1" applyAlignment="1" applyProtection="1">
      <alignment horizontal="center" shrinkToFit="1"/>
      <protection locked="0"/>
    </xf>
    <xf numFmtId="0" fontId="7" fillId="0" borderId="11" xfId="69" applyFont="1" applyBorder="1" applyAlignment="1">
      <alignment wrapText="1"/>
    </xf>
    <xf numFmtId="0" fontId="6" fillId="0" borderId="0" xfId="90" applyFont="1" applyAlignment="1">
      <alignment horizontal="center"/>
    </xf>
    <xf numFmtId="0" fontId="5" fillId="0" borderId="1" xfId="90" applyFont="1" applyBorder="1" applyAlignment="1">
      <alignment horizontal="center"/>
    </xf>
    <xf numFmtId="0" fontId="15" fillId="0" borderId="4" xfId="90" applyFont="1" applyBorder="1" applyAlignment="1">
      <alignment horizontal="center"/>
    </xf>
    <xf numFmtId="0" fontId="5" fillId="0" borderId="1" xfId="90" applyFont="1" applyBorder="1" applyAlignment="1" applyProtection="1">
      <alignment horizontal="center" shrinkToFit="1"/>
      <protection locked="0"/>
    </xf>
    <xf numFmtId="0" fontId="5" fillId="0" borderId="4" xfId="90" applyFont="1" applyBorder="1" applyAlignment="1" applyProtection="1">
      <alignment horizontal="center" shrinkToFit="1"/>
      <protection locked="0"/>
    </xf>
    <xf numFmtId="0" fontId="55" fillId="0" borderId="0" xfId="115" applyFont="1" applyAlignment="1">
      <alignment horizontal="center"/>
    </xf>
    <xf numFmtId="164" fontId="5" fillId="0" borderId="1" xfId="115" applyNumberFormat="1" applyFont="1" applyBorder="1" applyAlignment="1" applyProtection="1">
      <alignment horizontal="center" shrinkToFit="1"/>
      <protection locked="0"/>
    </xf>
    <xf numFmtId="164" fontId="5" fillId="0" borderId="1" xfId="115" applyNumberFormat="1" applyFont="1" applyBorder="1" applyAlignment="1">
      <alignment horizontal="center" shrinkToFit="1"/>
    </xf>
    <xf numFmtId="0" fontId="11" fillId="0" borderId="1" xfId="115" applyBorder="1" applyAlignment="1" applyProtection="1">
      <alignment horizontal="left"/>
      <protection locked="0"/>
    </xf>
    <xf numFmtId="0" fontId="0" fillId="0" borderId="1" xfId="0" applyBorder="1" applyAlignment="1" applyProtection="1">
      <alignment horizontal="left"/>
      <protection locked="0"/>
    </xf>
    <xf numFmtId="164" fontId="5" fillId="0" borderId="4" xfId="115" applyNumberFormat="1" applyFont="1" applyBorder="1" applyAlignment="1" applyProtection="1">
      <alignment horizontal="center" shrinkToFit="1"/>
      <protection locked="0"/>
    </xf>
    <xf numFmtId="0" fontId="7" fillId="6" borderId="0" xfId="115" applyFont="1" applyFill="1" applyAlignment="1">
      <alignment horizontal="left"/>
    </xf>
    <xf numFmtId="0" fontId="5" fillId="0" borderId="0" xfId="115" applyFont="1" applyAlignment="1">
      <alignment vertical="center" wrapText="1"/>
    </xf>
    <xf numFmtId="0" fontId="0" fillId="0" borderId="0" xfId="0" applyAlignment="1">
      <alignment vertical="center" wrapText="1"/>
    </xf>
    <xf numFmtId="0" fontId="90" fillId="6" borderId="0" xfId="115" applyFont="1" applyFill="1" applyAlignment="1" applyProtection="1">
      <alignment horizontal="left"/>
      <protection locked="0"/>
    </xf>
    <xf numFmtId="0" fontId="0" fillId="0" borderId="0" xfId="0" applyProtection="1">
      <protection locked="0"/>
    </xf>
    <xf numFmtId="0" fontId="0" fillId="0" borderId="4" xfId="0" applyBorder="1" applyAlignment="1" applyProtection="1">
      <alignment horizontal="left"/>
      <protection locked="0"/>
    </xf>
    <xf numFmtId="0" fontId="5" fillId="0" borderId="4" xfId="81" applyFont="1" applyBorder="1" applyAlignment="1" applyProtection="1">
      <alignment horizontal="left"/>
      <protection locked="0"/>
    </xf>
    <xf numFmtId="0" fontId="5" fillId="0" borderId="0" xfId="81" applyFont="1" applyAlignment="1">
      <alignment horizontal="center"/>
    </xf>
    <xf numFmtId="0" fontId="5" fillId="0" borderId="1" xfId="81" applyFont="1" applyBorder="1" applyAlignment="1">
      <alignment horizontal="center"/>
    </xf>
    <xf numFmtId="0" fontId="5" fillId="0" borderId="1" xfId="0" applyFont="1" applyBorder="1"/>
    <xf numFmtId="164" fontId="6" fillId="0" borderId="0" xfId="0" applyNumberFormat="1" applyFont="1" applyAlignment="1">
      <alignment horizontal="center"/>
    </xf>
    <xf numFmtId="0" fontId="68" fillId="0" borderId="0" xfId="81" applyFont="1" applyAlignment="1">
      <alignment horizontal="center"/>
    </xf>
    <xf numFmtId="0" fontId="251" fillId="0" borderId="0" xfId="81" applyFont="1" applyAlignment="1">
      <alignment horizontal="left"/>
    </xf>
    <xf numFmtId="0" fontId="38" fillId="0" borderId="0" xfId="81" applyFont="1" applyAlignment="1">
      <alignment horizontal="left"/>
    </xf>
    <xf numFmtId="176" fontId="5" fillId="0" borderId="4" xfId="81" applyNumberFormat="1" applyFont="1" applyBorder="1" applyProtection="1">
      <protection locked="0"/>
    </xf>
    <xf numFmtId="0" fontId="5" fillId="0" borderId="4" xfId="81" applyFont="1" applyBorder="1" applyAlignment="1">
      <alignment horizontal="center"/>
    </xf>
    <xf numFmtId="0" fontId="240" fillId="0" borderId="0" xfId="81" applyFont="1" applyAlignment="1">
      <alignment horizontal="left"/>
    </xf>
    <xf numFmtId="176" fontId="5" fillId="3" borderId="4" xfId="81" applyNumberFormat="1" applyFont="1" applyFill="1" applyBorder="1"/>
    <xf numFmtId="16" fontId="5" fillId="0" borderId="0" xfId="81" applyNumberFormat="1" applyFont="1" applyAlignment="1">
      <alignment horizontal="center"/>
    </xf>
    <xf numFmtId="176" fontId="5" fillId="3" borderId="4" xfId="81" applyNumberFormat="1" applyFont="1" applyFill="1" applyBorder="1" applyAlignment="1">
      <alignment horizontal="right"/>
    </xf>
    <xf numFmtId="188" fontId="5" fillId="0" borderId="0" xfId="81" applyNumberFormat="1" applyFont="1" applyAlignment="1">
      <alignment horizontal="center"/>
    </xf>
    <xf numFmtId="176" fontId="5" fillId="60" borderId="4" xfId="81" applyNumberFormat="1" applyFont="1" applyFill="1" applyBorder="1" applyProtection="1">
      <protection locked="0"/>
    </xf>
    <xf numFmtId="0" fontId="38" fillId="0" borderId="0" xfId="88" applyFont="1" applyAlignment="1" applyProtection="1">
      <alignment horizontal="left"/>
      <protection hidden="1"/>
    </xf>
    <xf numFmtId="0" fontId="38" fillId="0" borderId="0" xfId="0" applyFont="1"/>
    <xf numFmtId="39" fontId="5" fillId="0" borderId="3" xfId="81" applyNumberFormat="1" applyFont="1" applyBorder="1"/>
    <xf numFmtId="0" fontId="282" fillId="0" borderId="0" xfId="81" applyFont="1" applyAlignment="1">
      <alignment horizontal="left" wrapText="1"/>
    </xf>
    <xf numFmtId="176" fontId="5" fillId="60" borderId="4" xfId="81" applyNumberFormat="1" applyFont="1" applyFill="1" applyBorder="1" applyAlignment="1" applyProtection="1">
      <alignment horizontal="right"/>
      <protection locked="0"/>
    </xf>
    <xf numFmtId="0" fontId="5" fillId="0" borderId="4" xfId="81" applyFont="1" applyBorder="1" applyProtection="1">
      <protection locked="0"/>
    </xf>
    <xf numFmtId="0" fontId="5" fillId="0" borderId="0" xfId="88" applyFont="1" applyProtection="1">
      <protection hidden="1"/>
    </xf>
    <xf numFmtId="0" fontId="5" fillId="0" borderId="0" xfId="81" applyFont="1" applyProtection="1">
      <protection locked="0"/>
    </xf>
    <xf numFmtId="176" fontId="5" fillId="0" borderId="0" xfId="81" applyNumberFormat="1" applyFont="1" applyProtection="1">
      <protection locked="0"/>
    </xf>
    <xf numFmtId="39" fontId="5" fillId="0" borderId="4" xfId="81" applyNumberFormat="1" applyFont="1" applyBorder="1"/>
    <xf numFmtId="0" fontId="5" fillId="0" borderId="1" xfId="81" applyFont="1" applyBorder="1" applyAlignment="1" applyProtection="1">
      <alignment horizontal="center"/>
      <protection locked="0"/>
    </xf>
    <xf numFmtId="0" fontId="5" fillId="0" borderId="0" xfId="81" applyFont="1" applyAlignment="1">
      <alignment horizontal="left"/>
    </xf>
    <xf numFmtId="176" fontId="5" fillId="68" borderId="4" xfId="81" applyNumberFormat="1" applyFont="1" applyFill="1" applyBorder="1"/>
    <xf numFmtId="0" fontId="5" fillId="0" borderId="4" xfId="81" applyFont="1" applyBorder="1"/>
    <xf numFmtId="0" fontId="287" fillId="0" borderId="0" xfId="81" applyFont="1" applyAlignment="1">
      <alignment horizontal="left"/>
    </xf>
    <xf numFmtId="176" fontId="5" fillId="58" borderId="4" xfId="81" applyNumberFormat="1" applyFont="1" applyFill="1" applyBorder="1" applyProtection="1">
      <protection locked="0"/>
    </xf>
    <xf numFmtId="176" fontId="0" fillId="0" borderId="4" xfId="81" applyNumberFormat="1" applyFont="1" applyBorder="1" applyAlignment="1">
      <alignment horizontal="center"/>
    </xf>
    <xf numFmtId="176" fontId="5" fillId="0" borderId="4" xfId="81" applyNumberFormat="1" applyFont="1" applyBorder="1" applyAlignment="1" applyProtection="1">
      <alignment horizontal="right"/>
      <protection locked="0"/>
    </xf>
    <xf numFmtId="39" fontId="5" fillId="0" borderId="3" xfId="81" applyNumberFormat="1" applyFont="1" applyBorder="1" applyAlignment="1">
      <alignment horizontal="right"/>
    </xf>
    <xf numFmtId="0" fontId="5" fillId="0" borderId="38" xfId="81" applyFont="1" applyBorder="1" applyAlignment="1">
      <alignment horizontal="center"/>
    </xf>
    <xf numFmtId="16" fontId="240" fillId="0" borderId="0" xfId="81" applyNumberFormat="1" applyFont="1" applyAlignment="1">
      <alignment horizontal="left"/>
    </xf>
    <xf numFmtId="188" fontId="240" fillId="0" borderId="0" xfId="81" applyNumberFormat="1" applyFont="1" applyAlignment="1">
      <alignment horizontal="left"/>
    </xf>
    <xf numFmtId="0" fontId="5" fillId="0" borderId="0" xfId="81" applyFont="1" applyAlignment="1" applyProtection="1">
      <alignment horizontal="left"/>
      <protection locked="0"/>
    </xf>
    <xf numFmtId="0" fontId="5" fillId="0" borderId="1" xfId="81" applyFont="1" applyBorder="1" applyAlignment="1">
      <alignment horizontal="left"/>
    </xf>
    <xf numFmtId="0" fontId="5" fillId="0" borderId="4" xfId="81" applyFont="1" applyBorder="1" applyAlignment="1">
      <alignment horizontal="left"/>
    </xf>
    <xf numFmtId="0" fontId="68" fillId="0" borderId="0" xfId="81" applyFont="1" applyAlignment="1">
      <alignment horizontal="center" wrapText="1"/>
    </xf>
    <xf numFmtId="0" fontId="323" fillId="0" borderId="0" xfId="81" applyFont="1" applyAlignment="1">
      <alignment horizontal="center"/>
    </xf>
    <xf numFmtId="0" fontId="121" fillId="0" borderId="0" xfId="81" applyFont="1" applyAlignment="1">
      <alignment horizontal="center"/>
    </xf>
    <xf numFmtId="0" fontId="58" fillId="0" borderId="0" xfId="81" applyFont="1"/>
    <xf numFmtId="0" fontId="58" fillId="0" borderId="0" xfId="0" applyFont="1"/>
    <xf numFmtId="164" fontId="5" fillId="0" borderId="0" xfId="0" applyNumberFormat="1" applyFont="1" applyAlignment="1">
      <alignment horizontal="center" shrinkToFit="1"/>
    </xf>
    <xf numFmtId="0" fontId="7" fillId="0" borderId="0" xfId="81" applyFont="1" applyAlignment="1">
      <alignment horizontal="left" wrapText="1"/>
    </xf>
    <xf numFmtId="0" fontId="251" fillId="0" borderId="0" xfId="81" applyFont="1" applyAlignment="1">
      <alignment horizontal="center"/>
    </xf>
    <xf numFmtId="0" fontId="0" fillId="0" borderId="1" xfId="138" applyFont="1" applyBorder="1" applyAlignment="1">
      <alignment horizontal="left" shrinkToFit="1"/>
    </xf>
    <xf numFmtId="0" fontId="0" fillId="0" borderId="1" xfId="138" applyFont="1" applyBorder="1" applyAlignment="1" applyProtection="1">
      <alignment horizontal="left" shrinkToFit="1"/>
      <protection locked="0"/>
    </xf>
    <xf numFmtId="0" fontId="72" fillId="0" borderId="0" xfId="59" applyFont="1" applyAlignment="1" applyProtection="1">
      <alignment horizontal="center"/>
    </xf>
    <xf numFmtId="0" fontId="6" fillId="0" borderId="0" xfId="112" applyFont="1" applyAlignment="1">
      <alignment horizontal="center"/>
    </xf>
    <xf numFmtId="0" fontId="6" fillId="0" borderId="0" xfId="138" applyFont="1" applyAlignment="1">
      <alignment horizontal="center"/>
    </xf>
    <xf numFmtId="0" fontId="68" fillId="0" borderId="0" xfId="112" applyFont="1" applyAlignment="1">
      <alignment horizontal="center"/>
    </xf>
    <xf numFmtId="0" fontId="5" fillId="0" borderId="1" xfId="137" applyFont="1" applyBorder="1" applyAlignment="1" applyProtection="1">
      <alignment horizontal="left" shrinkToFit="1"/>
      <protection locked="0"/>
    </xf>
    <xf numFmtId="0" fontId="0" fillId="0" borderId="1" xfId="137" applyFont="1" applyBorder="1" applyAlignment="1" applyProtection="1">
      <alignment horizontal="left" shrinkToFit="1"/>
      <protection locked="0"/>
    </xf>
    <xf numFmtId="0" fontId="7" fillId="0" borderId="16" xfId="109" applyFont="1" applyBorder="1" applyAlignment="1">
      <alignment horizontal="center"/>
    </xf>
    <xf numFmtId="0" fontId="6" fillId="0" borderId="0" xfId="108" applyFont="1" applyAlignment="1">
      <alignment horizontal="center"/>
    </xf>
    <xf numFmtId="0" fontId="7" fillId="0" borderId="2" xfId="109" applyFont="1" applyBorder="1" applyAlignment="1" applyProtection="1">
      <alignment horizontal="center"/>
      <protection locked="0"/>
    </xf>
    <xf numFmtId="0" fontId="6" fillId="0" borderId="0" xfId="115" applyFont="1" applyAlignment="1" applyProtection="1">
      <alignment horizontal="center" vertical="center"/>
      <protection locked="0"/>
    </xf>
    <xf numFmtId="0" fontId="5" fillId="0" borderId="1" xfId="108" applyFont="1" applyBorder="1" applyAlignment="1">
      <alignment horizontal="center" shrinkToFit="1"/>
    </xf>
    <xf numFmtId="0" fontId="5" fillId="0" borderId="1" xfId="107" applyFont="1" applyBorder="1" applyAlignment="1" applyProtection="1">
      <alignment horizontal="center" shrinkToFit="1"/>
      <protection locked="0"/>
    </xf>
    <xf numFmtId="0" fontId="5" fillId="0" borderId="4" xfId="108" applyFont="1" applyBorder="1" applyAlignment="1" applyProtection="1">
      <alignment horizontal="center" shrinkToFit="1"/>
      <protection locked="0"/>
    </xf>
    <xf numFmtId="0" fontId="291" fillId="54" borderId="0" xfId="0" applyFont="1" applyFill="1" applyAlignment="1">
      <alignment horizontal="center"/>
    </xf>
    <xf numFmtId="0" fontId="7" fillId="0" borderId="16" xfId="108" applyFont="1" applyBorder="1" applyAlignment="1">
      <alignment horizontal="center"/>
    </xf>
    <xf numFmtId="0" fontId="6" fillId="0" borderId="0" xfId="110" applyFont="1" applyAlignment="1">
      <alignment horizontal="center"/>
    </xf>
    <xf numFmtId="0" fontId="14" fillId="0" borderId="0" xfId="110" applyFont="1"/>
    <xf numFmtId="0" fontId="7" fillId="0" borderId="2" xfId="108" applyFont="1" applyBorder="1" applyAlignment="1">
      <alignment horizontal="center"/>
    </xf>
    <xf numFmtId="0" fontId="8" fillId="0" borderId="0" xfId="110" applyFont="1"/>
    <xf numFmtId="0" fontId="8" fillId="0" borderId="0" xfId="110" applyFont="1" applyAlignment="1">
      <alignment horizontal="left"/>
    </xf>
    <xf numFmtId="166" fontId="18" fillId="0" borderId="0" xfId="0" applyNumberFormat="1" applyFont="1"/>
    <xf numFmtId="0" fontId="5" fillId="0" borderId="1" xfId="110" applyFont="1" applyBorder="1" applyAlignment="1" applyProtection="1">
      <alignment horizontal="left"/>
      <protection locked="0"/>
    </xf>
    <xf numFmtId="0" fontId="5" fillId="0" borderId="4" xfId="108" applyFont="1" applyBorder="1" applyAlignment="1">
      <alignment horizontal="center" shrinkToFit="1"/>
    </xf>
    <xf numFmtId="0" fontId="8" fillId="67" borderId="0" xfId="110" applyFont="1" applyFill="1" applyAlignment="1">
      <alignment horizontal="left"/>
    </xf>
    <xf numFmtId="166" fontId="18" fillId="0" borderId="0" xfId="0" applyNumberFormat="1" applyFont="1" applyAlignment="1">
      <alignment horizontal="left" indent="1"/>
    </xf>
    <xf numFmtId="0" fontId="7" fillId="67" borderId="2" xfId="108" applyFont="1" applyFill="1" applyBorder="1" applyAlignment="1">
      <alignment horizontal="center"/>
    </xf>
    <xf numFmtId="0" fontId="7" fillId="0" borderId="0" xfId="108" applyFont="1" applyAlignment="1">
      <alignment horizontal="center"/>
    </xf>
    <xf numFmtId="0" fontId="7" fillId="0" borderId="0" xfId="110" applyFont="1" applyAlignment="1">
      <alignment horizontal="center"/>
    </xf>
    <xf numFmtId="0" fontId="316" fillId="0" borderId="2" xfId="110" applyFont="1" applyBorder="1" applyAlignment="1">
      <alignment horizontal="center"/>
    </xf>
    <xf numFmtId="0" fontId="280" fillId="0" borderId="0" xfId="110" applyFont="1" applyAlignment="1">
      <alignment horizontal="left" vertical="top" wrapText="1"/>
    </xf>
    <xf numFmtId="0" fontId="5" fillId="0" borderId="1" xfId="138" applyFont="1" applyBorder="1" applyAlignment="1">
      <alignment horizontal="left" shrinkToFit="1"/>
    </xf>
    <xf numFmtId="0" fontId="5" fillId="0" borderId="1" xfId="138" applyFont="1" applyBorder="1" applyAlignment="1" applyProtection="1">
      <alignment horizontal="left" shrinkToFit="1"/>
      <protection locked="0"/>
    </xf>
    <xf numFmtId="0" fontId="5" fillId="0" borderId="1" xfId="111" applyFont="1" applyBorder="1" applyAlignment="1">
      <alignment horizontal="center" shrinkToFit="1"/>
    </xf>
    <xf numFmtId="0" fontId="6" fillId="0" borderId="0" xfId="104" applyFont="1" applyAlignment="1">
      <alignment horizontal="center"/>
    </xf>
    <xf numFmtId="0" fontId="5" fillId="0" borderId="4" xfId="111" applyFont="1" applyBorder="1" applyAlignment="1" applyProtection="1">
      <alignment horizontal="center" shrinkToFit="1"/>
      <protection locked="0"/>
    </xf>
    <xf numFmtId="0" fontId="37" fillId="0" borderId="4" xfId="81" applyFont="1" applyBorder="1" applyAlignment="1" applyProtection="1">
      <alignment horizontal="left"/>
      <protection locked="0"/>
    </xf>
    <xf numFmtId="0" fontId="45" fillId="0" borderId="0" xfId="81" applyFont="1" applyAlignment="1">
      <alignment horizontal="center"/>
    </xf>
    <xf numFmtId="176" fontId="37" fillId="0" borderId="4" xfId="81" applyNumberFormat="1" applyFont="1" applyBorder="1" applyProtection="1">
      <protection locked="0"/>
    </xf>
    <xf numFmtId="0" fontId="37" fillId="0" borderId="1" xfId="81" applyFont="1" applyBorder="1" applyAlignment="1" applyProtection="1">
      <alignment horizontal="center"/>
      <protection locked="0"/>
    </xf>
    <xf numFmtId="0" fontId="37" fillId="0" borderId="1" xfId="81" applyFont="1" applyBorder="1" applyAlignment="1">
      <alignment horizontal="center"/>
    </xf>
    <xf numFmtId="0" fontId="37" fillId="0" borderId="0" xfId="81" applyFont="1" applyAlignment="1">
      <alignment horizontal="left"/>
    </xf>
    <xf numFmtId="0" fontId="37" fillId="0" borderId="4" xfId="81" applyFont="1" applyBorder="1" applyProtection="1">
      <protection locked="0"/>
    </xf>
    <xf numFmtId="4" fontId="5" fillId="0" borderId="1" xfId="92" applyNumberFormat="1" applyFont="1" applyBorder="1" applyAlignment="1" applyProtection="1">
      <alignment horizontal="right"/>
      <protection locked="0"/>
    </xf>
    <xf numFmtId="0" fontId="5" fillId="0" borderId="1" xfId="92" applyFont="1" applyBorder="1" applyAlignment="1">
      <alignment horizontal="center"/>
    </xf>
    <xf numFmtId="0" fontId="5" fillId="0" borderId="0" xfId="92" applyFont="1" applyAlignment="1">
      <alignment horizontal="center"/>
    </xf>
    <xf numFmtId="0" fontId="6" fillId="0" borderId="0" xfId="92" applyFont="1" applyAlignment="1">
      <alignment horizontal="center"/>
    </xf>
    <xf numFmtId="0" fontId="7" fillId="0" borderId="1" xfId="92" applyFont="1" applyBorder="1" applyAlignment="1">
      <alignment horizontal="center"/>
    </xf>
    <xf numFmtId="176" fontId="5" fillId="0" borderId="2" xfId="92" applyNumberFormat="1" applyFont="1" applyBorder="1" applyProtection="1">
      <protection locked="0"/>
    </xf>
    <xf numFmtId="0" fontId="5" fillId="0" borderId="0" xfId="92" applyFont="1" applyAlignment="1">
      <alignment vertical="top" wrapText="1"/>
    </xf>
    <xf numFmtId="0" fontId="7" fillId="0" borderId="0" xfId="92" applyFont="1" applyAlignment="1">
      <alignment horizontal="center"/>
    </xf>
    <xf numFmtId="172" fontId="7" fillId="0" borderId="0" xfId="92" applyNumberFormat="1" applyFont="1" applyAlignment="1">
      <alignment horizontal="center"/>
    </xf>
    <xf numFmtId="0" fontId="5" fillId="0" borderId="0" xfId="92" applyFont="1"/>
    <xf numFmtId="0" fontId="5" fillId="0" borderId="10" xfId="92" applyFont="1" applyBorder="1" applyAlignment="1">
      <alignment vertical="top" wrapText="1"/>
    </xf>
    <xf numFmtId="0" fontId="5" fillId="0" borderId="11" xfId="92" applyFont="1" applyBorder="1" applyAlignment="1">
      <alignment vertical="top" wrapText="1"/>
    </xf>
    <xf numFmtId="0" fontId="5" fillId="0" borderId="12" xfId="92" applyFont="1" applyBorder="1" applyAlignment="1">
      <alignment vertical="top" wrapText="1"/>
    </xf>
    <xf numFmtId="0" fontId="5" fillId="0" borderId="1" xfId="92" applyFont="1" applyBorder="1" applyAlignment="1">
      <alignment vertical="top" wrapText="1"/>
    </xf>
    <xf numFmtId="0" fontId="5" fillId="0" borderId="13" xfId="92" applyFont="1" applyBorder="1" applyAlignment="1">
      <alignment vertical="top" wrapText="1"/>
    </xf>
    <xf numFmtId="0" fontId="5" fillId="0" borderId="21" xfId="92" applyFont="1" applyBorder="1" applyAlignment="1">
      <alignment vertical="top" wrapText="1"/>
    </xf>
    <xf numFmtId="0" fontId="5" fillId="0" borderId="8" xfId="92" applyFont="1" applyBorder="1" applyAlignment="1">
      <alignment vertical="top" wrapText="1"/>
    </xf>
    <xf numFmtId="0" fontId="5" fillId="0" borderId="9" xfId="92" applyFont="1" applyBorder="1" applyAlignment="1">
      <alignment vertical="top" wrapText="1"/>
    </xf>
    <xf numFmtId="176" fontId="5" fillId="0" borderId="2" xfId="92" applyNumberFormat="1" applyFont="1" applyBorder="1"/>
    <xf numFmtId="176" fontId="5" fillId="0" borderId="14" xfId="92" applyNumberFormat="1" applyFont="1" applyBorder="1"/>
    <xf numFmtId="0" fontId="5" fillId="0" borderId="27" xfId="92" applyFont="1" applyBorder="1" applyAlignment="1">
      <alignment horizontal="center" vertical="top" shrinkToFit="1"/>
    </xf>
    <xf numFmtId="176" fontId="5" fillId="0" borderId="0" xfId="0" applyNumberFormat="1" applyFont="1"/>
    <xf numFmtId="176" fontId="5" fillId="0" borderId="0" xfId="0" applyNumberFormat="1" applyFont="1" applyProtection="1">
      <protection locked="0"/>
    </xf>
    <xf numFmtId="176" fontId="5" fillId="0" borderId="4" xfId="0" applyNumberFormat="1" applyFont="1" applyBorder="1" applyProtection="1">
      <protection locked="0"/>
    </xf>
    <xf numFmtId="170" fontId="5" fillId="0" borderId="0" xfId="0" applyNumberFormat="1" applyFont="1"/>
    <xf numFmtId="0" fontId="5" fillId="0" borderId="23" xfId="0" applyFont="1" applyBorder="1" applyAlignment="1">
      <alignment horizontal="center"/>
    </xf>
    <xf numFmtId="0" fontId="5" fillId="0" borderId="4" xfId="0" applyFont="1" applyBorder="1" applyAlignment="1">
      <alignment horizontal="center"/>
    </xf>
    <xf numFmtId="0" fontId="5" fillId="0" borderId="33" xfId="0" applyFont="1" applyBorder="1" applyAlignment="1">
      <alignment horizontal="center"/>
    </xf>
    <xf numFmtId="39" fontId="5" fillId="0" borderId="1" xfId="0" applyNumberFormat="1" applyFont="1" applyBorder="1" applyProtection="1">
      <protection locked="0"/>
    </xf>
    <xf numFmtId="0" fontId="56" fillId="0" borderId="0" xfId="115" applyFont="1" applyProtection="1">
      <protection locked="0"/>
    </xf>
    <xf numFmtId="0" fontId="5" fillId="0" borderId="0" xfId="0" applyFont="1" applyProtection="1">
      <protection locked="0"/>
    </xf>
    <xf numFmtId="0" fontId="5" fillId="0" borderId="4" xfId="0" applyFont="1" applyBorder="1"/>
    <xf numFmtId="0" fontId="56" fillId="9" borderId="0" xfId="115" applyFont="1" applyFill="1"/>
    <xf numFmtId="0" fontId="5" fillId="9" borderId="0" xfId="0" applyFont="1" applyFill="1"/>
    <xf numFmtId="0" fontId="5" fillId="0" borderId="1" xfId="90" applyFont="1" applyBorder="1" applyAlignment="1">
      <alignment horizontal="center" shrinkToFit="1"/>
    </xf>
    <xf numFmtId="0" fontId="7" fillId="0" borderId="4" xfId="0" applyFont="1" applyBorder="1" applyProtection="1">
      <protection locked="0"/>
    </xf>
    <xf numFmtId="0" fontId="5" fillId="0" borderId="4" xfId="90" applyFont="1" applyBorder="1" applyAlignment="1">
      <alignment horizontal="center" shrinkToFit="1"/>
    </xf>
    <xf numFmtId="164" fontId="5" fillId="0" borderId="4" xfId="90" applyNumberFormat="1" applyFont="1" applyBorder="1" applyAlignment="1" applyProtection="1">
      <alignment horizontal="center" shrinkToFit="1"/>
      <protection locked="0"/>
    </xf>
    <xf numFmtId="164" fontId="15" fillId="0" borderId="5" xfId="106" applyNumberFormat="1" applyFont="1" applyBorder="1" applyAlignment="1" applyProtection="1">
      <alignment horizontal="center" wrapText="1"/>
      <protection locked="0"/>
    </xf>
    <xf numFmtId="164" fontId="15" fillId="0" borderId="6" xfId="106" applyNumberFormat="1" applyFont="1" applyBorder="1" applyAlignment="1" applyProtection="1">
      <alignment horizontal="center" wrapText="1"/>
      <protection locked="0"/>
    </xf>
    <xf numFmtId="164" fontId="15" fillId="0" borderId="7" xfId="106" applyNumberFormat="1" applyFont="1" applyBorder="1" applyAlignment="1" applyProtection="1">
      <alignment horizontal="center" wrapText="1"/>
      <protection locked="0"/>
    </xf>
    <xf numFmtId="164" fontId="15" fillId="0" borderId="23" xfId="106" applyNumberFormat="1" applyFont="1" applyBorder="1" applyAlignment="1">
      <alignment horizontal="center"/>
    </xf>
    <xf numFmtId="164" fontId="15" fillId="0" borderId="4" xfId="106" applyNumberFormat="1" applyFont="1" applyBorder="1" applyAlignment="1">
      <alignment horizontal="center"/>
    </xf>
    <xf numFmtId="164" fontId="15" fillId="0" borderId="33" xfId="106" applyNumberFormat="1" applyFont="1" applyBorder="1" applyAlignment="1">
      <alignment horizontal="center"/>
    </xf>
    <xf numFmtId="164" fontId="21" fillId="0" borderId="0" xfId="106" applyNumberFormat="1" applyFont="1" applyAlignment="1">
      <alignment horizontal="center"/>
    </xf>
    <xf numFmtId="0" fontId="11" fillId="0" borderId="1" xfId="106" applyBorder="1" applyAlignment="1">
      <alignment horizontal="left" shrinkToFit="1"/>
    </xf>
    <xf numFmtId="164" fontId="5" fillId="0" borderId="1" xfId="106" applyNumberFormat="1" applyFont="1" applyBorder="1" applyAlignment="1" applyProtection="1">
      <alignment horizontal="center" shrinkToFit="1"/>
      <protection locked="0"/>
    </xf>
    <xf numFmtId="164" fontId="5" fillId="0" borderId="4" xfId="106" applyNumberFormat="1" applyFont="1" applyBorder="1" applyAlignment="1" applyProtection="1">
      <alignment horizontal="center" shrinkToFit="1"/>
      <protection locked="0"/>
    </xf>
    <xf numFmtId="164" fontId="66" fillId="0" borderId="4" xfId="106" applyNumberFormat="1" applyFont="1" applyBorder="1" applyAlignment="1" applyProtection="1">
      <alignment horizontal="center" vertical="center"/>
      <protection locked="0"/>
    </xf>
    <xf numFmtId="0" fontId="66" fillId="0" borderId="4" xfId="0" applyFont="1" applyBorder="1" applyAlignment="1" applyProtection="1">
      <alignment horizontal="center" vertical="center"/>
      <protection locked="0"/>
    </xf>
    <xf numFmtId="164" fontId="33" fillId="0" borderId="4" xfId="106" applyNumberFormat="1" applyFont="1" applyBorder="1" applyAlignment="1" applyProtection="1">
      <alignment horizontal="center" vertical="center"/>
      <protection locked="0"/>
    </xf>
    <xf numFmtId="164" fontId="5" fillId="0" borderId="2" xfId="106" applyNumberFormat="1" applyFont="1" applyBorder="1" applyAlignment="1">
      <alignment horizontal="center"/>
    </xf>
    <xf numFmtId="164" fontId="33" fillId="0" borderId="1" xfId="106" applyNumberFormat="1" applyFont="1" applyBorder="1" applyAlignment="1" applyProtection="1">
      <alignment horizontal="center" vertical="center"/>
      <protection locked="0"/>
    </xf>
    <xf numFmtId="0" fontId="5" fillId="0" borderId="1" xfId="106" applyFont="1" applyBorder="1" applyAlignment="1" applyProtection="1">
      <alignment horizontal="left" shrinkToFit="1"/>
      <protection locked="0"/>
    </xf>
    <xf numFmtId="164" fontId="5" fillId="0" borderId="1" xfId="106" applyNumberFormat="1" applyFont="1" applyBorder="1" applyAlignment="1">
      <alignment horizontal="center"/>
    </xf>
    <xf numFmtId="0" fontId="42" fillId="0" borderId="4" xfId="0" applyFont="1" applyBorder="1" applyAlignment="1" applyProtection="1">
      <alignment horizontal="center" vertical="center"/>
      <protection locked="0"/>
    </xf>
    <xf numFmtId="164" fontId="5" fillId="54" borderId="0" xfId="106" applyNumberFormat="1" applyFont="1" applyFill="1" applyAlignment="1">
      <alignment horizontal="center" wrapText="1"/>
    </xf>
    <xf numFmtId="164" fontId="5" fillId="54" borderId="2" xfId="106" applyNumberFormat="1" applyFont="1" applyFill="1" applyBorder="1" applyAlignment="1">
      <alignment horizontal="center" wrapText="1"/>
    </xf>
    <xf numFmtId="164" fontId="5" fillId="0" borderId="1" xfId="106" applyNumberFormat="1" applyFont="1" applyBorder="1" applyAlignment="1">
      <alignment horizontal="center" shrinkToFit="1"/>
    </xf>
    <xf numFmtId="168" fontId="5" fillId="0" borderId="1" xfId="83" applyFont="1" applyBorder="1" applyAlignment="1">
      <alignment horizontal="center" shrinkToFit="1"/>
      <protection locked="0"/>
    </xf>
    <xf numFmtId="168" fontId="6" fillId="0" borderId="0" xfId="83" applyFont="1" applyAlignment="1" applyProtection="1">
      <alignment horizontal="center"/>
    </xf>
    <xf numFmtId="1" fontId="5" fillId="0" borderId="1" xfId="83" applyNumberFormat="1" applyFont="1" applyBorder="1" applyAlignment="1" applyProtection="1">
      <alignment horizontal="center" shrinkToFit="1"/>
    </xf>
    <xf numFmtId="168" fontId="5" fillId="0" borderId="1" xfId="83" applyFont="1" applyBorder="1" applyAlignment="1" applyProtection="1">
      <alignment horizontal="center" shrinkToFit="1"/>
    </xf>
    <xf numFmtId="168" fontId="36" fillId="0" borderId="12" xfId="83" applyFont="1" applyBorder="1" applyAlignment="1" applyProtection="1">
      <alignment horizontal="center"/>
    </xf>
    <xf numFmtId="168" fontId="36" fillId="0" borderId="1" xfId="83" applyFont="1" applyBorder="1" applyAlignment="1" applyProtection="1">
      <alignment horizontal="center"/>
    </xf>
    <xf numFmtId="168" fontId="36" fillId="0" borderId="13" xfId="83" applyFont="1" applyBorder="1" applyAlignment="1" applyProtection="1">
      <alignment horizontal="center"/>
    </xf>
    <xf numFmtId="168" fontId="5" fillId="0" borderId="4" xfId="83" applyFont="1" applyBorder="1" applyAlignment="1">
      <alignment horizontal="center"/>
      <protection locked="0"/>
    </xf>
    <xf numFmtId="0" fontId="5" fillId="0" borderId="1" xfId="113" applyFont="1" applyBorder="1" applyProtection="1">
      <protection locked="0"/>
    </xf>
    <xf numFmtId="0" fontId="15" fillId="0" borderId="4" xfId="105" applyBorder="1" applyAlignment="1" applyProtection="1">
      <alignment horizontal="left" vertical="top" wrapText="1"/>
      <protection locked="0"/>
    </xf>
    <xf numFmtId="0" fontId="15" fillId="0" borderId="4" xfId="113" applyBorder="1" applyAlignment="1" applyProtection="1">
      <alignment wrapText="1"/>
      <protection locked="0"/>
    </xf>
    <xf numFmtId="0" fontId="5" fillId="0" borderId="1" xfId="113" applyFont="1" applyBorder="1" applyAlignment="1">
      <alignment horizontal="center" shrinkToFit="1"/>
    </xf>
    <xf numFmtId="0" fontId="5" fillId="0" borderId="4" xfId="113" applyFont="1" applyBorder="1" applyAlignment="1" applyProtection="1">
      <alignment horizontal="center" shrinkToFit="1"/>
      <protection locked="0"/>
    </xf>
    <xf numFmtId="164" fontId="5" fillId="0" borderId="1" xfId="113" applyNumberFormat="1" applyFont="1" applyBorder="1" applyAlignment="1" applyProtection="1">
      <alignment horizontal="center" shrinkToFit="1"/>
      <protection locked="0"/>
    </xf>
    <xf numFmtId="0" fontId="6" fillId="0" borderId="0" xfId="113" applyFont="1" applyAlignment="1">
      <alignment horizontal="center"/>
    </xf>
    <xf numFmtId="0" fontId="5" fillId="0" borderId="1" xfId="113" applyFont="1" applyBorder="1" applyAlignment="1" applyProtection="1">
      <alignment horizontal="center" shrinkToFit="1"/>
      <protection locked="0"/>
    </xf>
    <xf numFmtId="0" fontId="7" fillId="0" borderId="1" xfId="113" applyFont="1" applyBorder="1" applyAlignment="1">
      <alignment horizontal="center"/>
    </xf>
    <xf numFmtId="0" fontId="5" fillId="0" borderId="4" xfId="113" applyFont="1" applyBorder="1" applyProtection="1">
      <protection locked="0"/>
    </xf>
    <xf numFmtId="0" fontId="7" fillId="0" borderId="1" xfId="113" applyFont="1" applyBorder="1" applyAlignment="1">
      <alignment horizontal="left" wrapText="1"/>
    </xf>
    <xf numFmtId="178" fontId="18" fillId="0" borderId="0" xfId="0" applyNumberFormat="1" applyFont="1"/>
    <xf numFmtId="178" fontId="18" fillId="0" borderId="0" xfId="0" quotePrefix="1" applyNumberFormat="1" applyFont="1"/>
    <xf numFmtId="178" fontId="18" fillId="0" borderId="0" xfId="0" quotePrefix="1" applyNumberFormat="1" applyFont="1" applyAlignment="1">
      <alignment horizontal="center"/>
    </xf>
    <xf numFmtId="0" fontId="15" fillId="0" borderId="1" xfId="0" applyFont="1" applyBorder="1" applyAlignment="1" applyProtection="1">
      <alignment horizontal="center"/>
      <protection locked="0"/>
    </xf>
    <xf numFmtId="0" fontId="15" fillId="0" borderId="4" xfId="0" applyFont="1" applyBorder="1" applyAlignment="1" applyProtection="1">
      <alignment horizontal="center"/>
      <protection locked="0"/>
    </xf>
    <xf numFmtId="0" fontId="5" fillId="0" borderId="1" xfId="100" applyBorder="1" applyAlignment="1" applyProtection="1">
      <alignment horizontal="center"/>
      <protection locked="0"/>
    </xf>
    <xf numFmtId="0" fontId="5" fillId="0" borderId="1" xfId="100" applyBorder="1" applyAlignment="1">
      <alignment horizontal="center"/>
    </xf>
    <xf numFmtId="164" fontId="6" fillId="0" borderId="0" xfId="97" applyNumberFormat="1" applyFont="1" applyAlignment="1">
      <alignment horizontal="center"/>
    </xf>
    <xf numFmtId="164" fontId="6" fillId="0" borderId="0" xfId="100" applyNumberFormat="1" applyFont="1" applyAlignment="1">
      <alignment horizontal="center"/>
    </xf>
    <xf numFmtId="0" fontId="5" fillId="0" borderId="1" xfId="97" applyBorder="1" applyAlignment="1">
      <alignment horizontal="center" shrinkToFit="1"/>
    </xf>
    <xf numFmtId="0" fontId="5" fillId="0" borderId="4" xfId="97" applyBorder="1" applyAlignment="1" applyProtection="1">
      <alignment horizontal="center" shrinkToFit="1"/>
      <protection locked="0"/>
    </xf>
    <xf numFmtId="0" fontId="5" fillId="0" borderId="1" xfId="97" applyBorder="1" applyAlignment="1" applyProtection="1">
      <alignment horizontal="center" shrinkToFit="1"/>
      <protection locked="0"/>
    </xf>
    <xf numFmtId="5" fontId="0" fillId="0" borderId="4" xfId="0" applyNumberFormat="1" applyBorder="1" applyAlignment="1" applyProtection="1">
      <alignment horizontal="left"/>
      <protection locked="0"/>
    </xf>
    <xf numFmtId="0" fontId="0" fillId="0" borderId="4" xfId="0" applyBorder="1" applyAlignment="1">
      <alignment horizontal="center"/>
    </xf>
    <xf numFmtId="0" fontId="235" fillId="0" borderId="0" xfId="57" applyFont="1" applyAlignment="1" applyProtection="1">
      <alignment horizontal="center"/>
    </xf>
    <xf numFmtId="0" fontId="236" fillId="0" borderId="0" xfId="0" applyFont="1" applyAlignment="1">
      <alignment horizontal="center"/>
    </xf>
    <xf numFmtId="5" fontId="0" fillId="0" borderId="1" xfId="0" applyNumberFormat="1" applyBorder="1" applyAlignment="1" applyProtection="1">
      <alignment horizontal="left"/>
      <protection locked="0"/>
    </xf>
    <xf numFmtId="0" fontId="46" fillId="0" borderId="0" xfId="57" applyAlignment="1" applyProtection="1">
      <alignment horizontal="left"/>
    </xf>
    <xf numFmtId="0" fontId="65" fillId="0" borderId="4" xfId="0" applyFont="1" applyBorder="1" applyAlignment="1" applyProtection="1">
      <alignment horizontal="left"/>
      <protection locked="0"/>
    </xf>
    <xf numFmtId="0" fontId="5" fillId="0" borderId="1" xfId="98" applyFont="1" applyBorder="1" applyAlignment="1">
      <alignment horizontal="center" shrinkToFit="1"/>
    </xf>
    <xf numFmtId="0" fontId="5" fillId="0" borderId="4" xfId="98" applyFont="1" applyBorder="1" applyAlignment="1" applyProtection="1">
      <alignment horizontal="center" shrinkToFit="1"/>
      <protection locked="0"/>
    </xf>
    <xf numFmtId="0" fontId="5" fillId="0" borderId="1" xfId="98" applyFont="1" applyBorder="1" applyAlignment="1" applyProtection="1">
      <alignment horizontal="center" shrinkToFit="1"/>
      <protection locked="0"/>
    </xf>
    <xf numFmtId="0" fontId="5" fillId="0" borderId="1" xfId="98" applyFont="1" applyBorder="1" applyAlignment="1">
      <alignment horizontal="center"/>
    </xf>
    <xf numFmtId="0" fontId="6" fillId="0" borderId="0" xfId="98" applyFont="1" applyAlignment="1">
      <alignment horizontal="center"/>
    </xf>
    <xf numFmtId="49" fontId="15" fillId="0" borderId="1" xfId="98" applyNumberFormat="1" applyBorder="1" applyProtection="1">
      <protection locked="0"/>
    </xf>
    <xf numFmtId="49" fontId="15" fillId="0" borderId="4" xfId="98" applyNumberFormat="1" applyBorder="1" applyProtection="1">
      <protection locked="0"/>
    </xf>
    <xf numFmtId="49" fontId="15" fillId="0" borderId="4" xfId="98" applyNumberFormat="1" applyBorder="1" applyAlignment="1" applyProtection="1">
      <alignment horizontal="center"/>
      <protection locked="0"/>
    </xf>
    <xf numFmtId="0" fontId="33" fillId="0" borderId="1" xfId="98" applyFont="1" applyBorder="1" applyAlignment="1">
      <alignment horizontal="center"/>
    </xf>
    <xf numFmtId="0" fontId="33" fillId="0" borderId="0" xfId="98" applyFont="1" applyAlignment="1">
      <alignment horizontal="center"/>
    </xf>
    <xf numFmtId="0" fontId="18" fillId="0" borderId="1" xfId="101" applyFont="1" applyBorder="1" applyAlignment="1" applyProtection="1">
      <alignment horizontal="left"/>
      <protection locked="0"/>
    </xf>
    <xf numFmtId="0" fontId="6" fillId="0" borderId="0" xfId="101" applyFont="1" applyAlignment="1">
      <alignment horizontal="center"/>
    </xf>
    <xf numFmtId="0" fontId="29" fillId="0" borderId="1" xfId="101" applyFont="1" applyBorder="1" applyAlignment="1">
      <alignment horizontal="center" shrinkToFit="1"/>
    </xf>
    <xf numFmtId="0" fontId="29" fillId="0" borderId="1" xfId="101" applyFont="1" applyBorder="1" applyAlignment="1">
      <alignment horizontal="center"/>
    </xf>
    <xf numFmtId="0" fontId="66" fillId="0" borderId="22" xfId="101" applyFont="1" applyBorder="1" applyAlignment="1">
      <alignment horizontal="center"/>
    </xf>
    <xf numFmtId="0" fontId="73" fillId="0" borderId="2" xfId="101" applyFont="1" applyBorder="1" applyAlignment="1">
      <alignment horizontal="center"/>
    </xf>
    <xf numFmtId="0" fontId="29" fillId="0" borderId="1" xfId="101" applyFont="1" applyBorder="1" applyAlignment="1" applyProtection="1">
      <alignment horizontal="center" shrinkToFit="1"/>
      <protection locked="0"/>
    </xf>
    <xf numFmtId="164" fontId="29" fillId="0" borderId="1" xfId="101" applyNumberFormat="1" applyFont="1" applyBorder="1" applyAlignment="1" applyProtection="1">
      <alignment horizontal="center" shrinkToFit="1"/>
      <protection locked="0"/>
    </xf>
    <xf numFmtId="49" fontId="15" fillId="0" borderId="1" xfId="98" quotePrefix="1" applyNumberFormat="1" applyBorder="1" applyProtection="1">
      <protection locked="0"/>
    </xf>
    <xf numFmtId="0" fontId="18" fillId="0" borderId="0" xfId="0" quotePrefix="1" applyFont="1" applyAlignment="1">
      <alignment horizontal="right"/>
    </xf>
    <xf numFmtId="0" fontId="18" fillId="0" borderId="0" xfId="0" applyFont="1" applyAlignment="1">
      <alignment horizontal="right"/>
    </xf>
    <xf numFmtId="0" fontId="18" fillId="0" borderId="1" xfId="0" applyFont="1" applyBorder="1" applyAlignment="1">
      <alignment horizontal="center"/>
    </xf>
    <xf numFmtId="0" fontId="18" fillId="0" borderId="1" xfId="0" applyFont="1" applyBorder="1" applyAlignment="1" applyProtection="1">
      <alignment horizontal="left"/>
      <protection locked="0"/>
    </xf>
    <xf numFmtId="49" fontId="15" fillId="0" borderId="1" xfId="0" applyNumberFormat="1" applyFont="1" applyBorder="1" applyAlignment="1">
      <alignment horizontal="center"/>
    </xf>
    <xf numFmtId="0" fontId="15" fillId="0" borderId="1" xfId="0" applyFont="1" applyBorder="1" applyAlignment="1">
      <alignment horizontal="center"/>
    </xf>
    <xf numFmtId="0" fontId="15" fillId="0" borderId="4" xfId="0" applyFont="1" applyBorder="1" applyAlignment="1">
      <alignment horizontal="center"/>
    </xf>
    <xf numFmtId="164" fontId="15" fillId="0" borderId="4" xfId="0" applyNumberFormat="1" applyFont="1" applyBorder="1" applyAlignment="1" applyProtection="1">
      <alignment horizontal="center"/>
      <protection locked="0"/>
    </xf>
    <xf numFmtId="49" fontId="18" fillId="0" borderId="4" xfId="0" applyNumberFormat="1" applyFont="1" applyBorder="1" applyAlignment="1" applyProtection="1">
      <alignment horizontal="center"/>
      <protection locked="0"/>
    </xf>
    <xf numFmtId="0" fontId="17" fillId="0" borderId="0" xfId="0" applyFont="1" applyAlignment="1">
      <alignment horizontal="center"/>
    </xf>
    <xf numFmtId="0" fontId="17" fillId="0" borderId="1" xfId="0" applyFont="1" applyBorder="1" applyAlignment="1">
      <alignment horizontal="center"/>
    </xf>
    <xf numFmtId="0" fontId="18" fillId="0" borderId="0" xfId="0" applyFont="1" applyAlignment="1">
      <alignment horizontal="center"/>
    </xf>
    <xf numFmtId="0" fontId="14" fillId="0" borderId="1" xfId="0" applyFont="1" applyBorder="1" applyAlignment="1">
      <alignment horizontal="center"/>
    </xf>
    <xf numFmtId="49" fontId="18" fillId="0" borderId="4" xfId="0" applyNumberFormat="1" applyFont="1" applyBorder="1" applyProtection="1">
      <protection locked="0"/>
    </xf>
    <xf numFmtId="49" fontId="18" fillId="0" borderId="1" xfId="0" applyNumberFormat="1" applyFont="1" applyBorder="1" applyProtection="1">
      <protection locked="0"/>
    </xf>
    <xf numFmtId="0" fontId="18" fillId="0" borderId="8" xfId="0" applyFont="1" applyBorder="1" applyAlignment="1">
      <alignment horizontal="center"/>
    </xf>
    <xf numFmtId="49" fontId="18" fillId="0" borderId="1" xfId="0" applyNumberFormat="1" applyFont="1" applyBorder="1" applyAlignment="1" applyProtection="1">
      <alignment horizontal="center"/>
      <protection locked="0"/>
    </xf>
    <xf numFmtId="0" fontId="14" fillId="0" borderId="0" xfId="0" applyFont="1" applyAlignment="1">
      <alignment wrapText="1"/>
    </xf>
    <xf numFmtId="0" fontId="14" fillId="0" borderId="0" xfId="101" applyFont="1" applyAlignment="1">
      <alignment horizontal="left" wrapText="1"/>
    </xf>
    <xf numFmtId="49" fontId="18" fillId="0" borderId="1" xfId="0" applyNumberFormat="1" applyFont="1" applyBorder="1" applyAlignment="1" applyProtection="1">
      <alignment horizontal="left"/>
      <protection locked="0"/>
    </xf>
    <xf numFmtId="49" fontId="18" fillId="0" borderId="8" xfId="0" applyNumberFormat="1" applyFont="1" applyBorder="1" applyAlignment="1">
      <alignment horizontal="center" vertical="top"/>
    </xf>
    <xf numFmtId="0" fontId="7" fillId="6" borderId="10" xfId="0" applyFont="1" applyFill="1" applyBorder="1" applyAlignment="1">
      <alignment horizontal="left"/>
    </xf>
    <xf numFmtId="0" fontId="7" fillId="6" borderId="0" xfId="0" applyFont="1" applyFill="1" applyAlignment="1">
      <alignment horizontal="left"/>
    </xf>
    <xf numFmtId="0" fontId="18" fillId="0" borderId="4" xfId="101" applyFont="1" applyBorder="1" applyAlignment="1" applyProtection="1">
      <alignment horizontal="left"/>
      <protection locked="0"/>
    </xf>
    <xf numFmtId="0" fontId="21" fillId="0" borderId="0" xfId="101" applyFont="1" applyAlignment="1">
      <alignment horizontal="center"/>
    </xf>
    <xf numFmtId="0" fontId="7" fillId="0" borderId="0" xfId="101" applyFont="1" applyAlignment="1">
      <alignment horizontal="center"/>
    </xf>
    <xf numFmtId="49" fontId="132" fillId="0" borderId="4" xfId="101" applyNumberFormat="1" applyFont="1" applyBorder="1" applyProtection="1">
      <protection locked="0"/>
    </xf>
    <xf numFmtId="49" fontId="42" fillId="0" borderId="4" xfId="0" applyNumberFormat="1" applyFont="1" applyBorder="1" applyProtection="1">
      <protection locked="0"/>
    </xf>
    <xf numFmtId="0" fontId="32" fillId="0" borderId="1" xfId="101" applyFont="1" applyBorder="1" applyAlignment="1">
      <alignment horizontal="center"/>
    </xf>
    <xf numFmtId="49" fontId="29" fillId="0" borderId="4" xfId="101" applyNumberFormat="1" applyFont="1" applyBorder="1" applyProtection="1">
      <protection locked="0"/>
    </xf>
    <xf numFmtId="49" fontId="0" fillId="0" borderId="4" xfId="0" applyNumberFormat="1" applyBorder="1" applyProtection="1">
      <protection locked="0"/>
    </xf>
    <xf numFmtId="49" fontId="29" fillId="0" borderId="0" xfId="101" applyNumberFormat="1" applyFont="1"/>
    <xf numFmtId="49" fontId="0" fillId="0" borderId="0" xfId="0" applyNumberFormat="1"/>
    <xf numFmtId="49" fontId="0" fillId="0" borderId="4" xfId="0" applyNumberFormat="1" applyBorder="1"/>
    <xf numFmtId="0" fontId="7" fillId="0" borderId="0" xfId="88" applyFont="1" applyAlignment="1">
      <alignment horizontal="left" wrapText="1"/>
    </xf>
    <xf numFmtId="0" fontId="73" fillId="0" borderId="1" xfId="101" applyFont="1" applyBorder="1" applyAlignment="1">
      <alignment horizontal="center"/>
    </xf>
    <xf numFmtId="0" fontId="5" fillId="7" borderId="49" xfId="0" applyFont="1" applyFill="1" applyBorder="1" applyAlignment="1" applyProtection="1">
      <alignment horizontal="left"/>
      <protection locked="0"/>
    </xf>
    <xf numFmtId="0" fontId="5" fillId="7" borderId="1" xfId="0" applyFont="1" applyFill="1" applyBorder="1" applyAlignment="1" applyProtection="1">
      <alignment horizontal="left"/>
      <protection locked="0"/>
    </xf>
    <xf numFmtId="166" fontId="18" fillId="0" borderId="0" xfId="0" applyNumberFormat="1" applyFont="1" applyAlignment="1">
      <alignment horizontal="left"/>
    </xf>
    <xf numFmtId="166" fontId="18" fillId="0" borderId="0" xfId="0" applyNumberFormat="1" applyFont="1" applyProtection="1">
      <protection locked="0"/>
    </xf>
    <xf numFmtId="166" fontId="18" fillId="54" borderId="0" xfId="0" applyNumberFormat="1" applyFont="1" applyFill="1" applyAlignment="1">
      <alignment horizontal="left" vertical="center"/>
    </xf>
    <xf numFmtId="166" fontId="18" fillId="0" borderId="0" xfId="0" applyNumberFormat="1" applyFont="1" applyAlignment="1">
      <alignment horizontal="center"/>
    </xf>
    <xf numFmtId="166" fontId="18" fillId="54" borderId="0" xfId="0" applyNumberFormat="1" applyFont="1" applyFill="1" applyAlignment="1">
      <alignment horizontal="left"/>
    </xf>
    <xf numFmtId="0" fontId="14" fillId="0" borderId="0" xfId="0" applyFont="1" applyAlignment="1">
      <alignment horizontal="center"/>
    </xf>
    <xf numFmtId="166" fontId="293" fillId="54" borderId="0" xfId="0" applyNumberFormat="1" applyFont="1" applyFill="1" applyAlignment="1">
      <alignment horizontal="center"/>
    </xf>
    <xf numFmtId="0" fontId="5" fillId="0" borderId="1" xfId="114" applyFont="1" applyBorder="1" applyAlignment="1" applyProtection="1">
      <alignment horizontal="center" shrinkToFit="1"/>
      <protection locked="0"/>
    </xf>
    <xf numFmtId="164" fontId="5" fillId="0" borderId="4" xfId="114" applyNumberFormat="1" applyFont="1" applyBorder="1" applyAlignment="1" applyProtection="1">
      <alignment horizontal="center"/>
      <protection locked="0"/>
    </xf>
    <xf numFmtId="0" fontId="18" fillId="8" borderId="23" xfId="95" applyFont="1" applyFill="1" applyBorder="1" applyAlignment="1">
      <alignment horizontal="left" vertical="top" wrapText="1"/>
    </xf>
    <xf numFmtId="0" fontId="18" fillId="8" borderId="4" xfId="95" applyFont="1" applyFill="1" applyBorder="1" applyAlignment="1">
      <alignment horizontal="left" vertical="top"/>
    </xf>
    <xf numFmtId="0" fontId="18" fillId="8" borderId="33" xfId="95" applyFont="1" applyFill="1" applyBorder="1" applyAlignment="1">
      <alignment horizontal="left" vertical="top"/>
    </xf>
    <xf numFmtId="0" fontId="15" fillId="0" borderId="1" xfId="114" applyBorder="1" applyAlignment="1">
      <alignment horizontal="left" shrinkToFit="1"/>
    </xf>
    <xf numFmtId="0" fontId="6" fillId="8" borderId="0" xfId="0" applyFont="1" applyFill="1" applyAlignment="1">
      <alignment horizontal="center" vertical="top" wrapText="1"/>
    </xf>
    <xf numFmtId="0" fontId="14" fillId="8" borderId="0" xfId="0" applyFont="1" applyFill="1" applyAlignment="1">
      <alignment horizontal="center"/>
    </xf>
    <xf numFmtId="14" fontId="0" fillId="7" borderId="1" xfId="0" applyNumberFormat="1" applyFill="1" applyBorder="1" applyAlignment="1" applyProtection="1">
      <alignment horizontal="center"/>
      <protection locked="0"/>
    </xf>
    <xf numFmtId="14" fontId="0" fillId="7" borderId="48" xfId="0" applyNumberFormat="1" applyFill="1" applyBorder="1" applyAlignment="1" applyProtection="1">
      <alignment horizontal="center"/>
      <protection locked="0"/>
    </xf>
    <xf numFmtId="166" fontId="293" fillId="54" borderId="0" xfId="0" applyNumberFormat="1" applyFont="1" applyFill="1"/>
    <xf numFmtId="0" fontId="7" fillId="0" borderId="23" xfId="0" applyFont="1" applyBorder="1" applyAlignment="1">
      <alignment horizontal="left"/>
    </xf>
    <xf numFmtId="0" fontId="7" fillId="0" borderId="4" xfId="0" applyFont="1" applyBorder="1" applyAlignment="1">
      <alignment horizontal="left"/>
    </xf>
    <xf numFmtId="0" fontId="7" fillId="0" borderId="33" xfId="0" applyFont="1" applyBorder="1" applyAlignment="1">
      <alignment horizontal="left"/>
    </xf>
    <xf numFmtId="0" fontId="7" fillId="0" borderId="46" xfId="0" applyFont="1" applyBorder="1" applyAlignment="1">
      <alignment horizontal="left"/>
    </xf>
    <xf numFmtId="0" fontId="7" fillId="0" borderId="16" xfId="0" applyFont="1" applyBorder="1" applyAlignment="1">
      <alignment horizontal="left"/>
    </xf>
    <xf numFmtId="0" fontId="7" fillId="0" borderId="47" xfId="0" applyFont="1" applyBorder="1" applyAlignment="1">
      <alignment horizontal="left"/>
    </xf>
    <xf numFmtId="0" fontId="7" fillId="0" borderId="10" xfId="0" applyFont="1" applyBorder="1" applyAlignment="1">
      <alignment horizontal="left"/>
    </xf>
    <xf numFmtId="0" fontId="7" fillId="0" borderId="0" xfId="0" applyFont="1" applyAlignment="1">
      <alignment horizontal="left"/>
    </xf>
    <xf numFmtId="0" fontId="7" fillId="11" borderId="0" xfId="0" applyFont="1" applyFill="1" applyAlignment="1">
      <alignment horizontal="center"/>
    </xf>
    <xf numFmtId="0" fontId="7" fillId="0" borderId="0" xfId="0" applyFont="1" applyAlignment="1">
      <alignment horizontal="left" vertical="top"/>
    </xf>
    <xf numFmtId="0" fontId="6" fillId="18" borderId="0" xfId="0" applyFont="1" applyFill="1" applyAlignment="1">
      <alignment horizontal="center" wrapText="1"/>
    </xf>
    <xf numFmtId="0" fontId="18" fillId="8" borderId="4" xfId="95" applyFont="1" applyFill="1" applyBorder="1" applyAlignment="1">
      <alignment horizontal="left" vertical="top" wrapText="1"/>
    </xf>
    <xf numFmtId="0" fontId="18" fillId="8" borderId="33" xfId="95" applyFont="1" applyFill="1" applyBorder="1" applyAlignment="1">
      <alignment horizontal="left" vertical="top" wrapText="1"/>
    </xf>
    <xf numFmtId="14" fontId="0" fillId="7" borderId="1" xfId="0" applyNumberFormat="1" applyFill="1" applyBorder="1" applyAlignment="1" applyProtection="1">
      <alignment horizontal="left"/>
      <protection locked="0"/>
    </xf>
    <xf numFmtId="14" fontId="0" fillId="7" borderId="48" xfId="0" applyNumberFormat="1" applyFill="1" applyBorder="1" applyAlignment="1" applyProtection="1">
      <alignment horizontal="left"/>
      <protection locked="0"/>
    </xf>
    <xf numFmtId="0" fontId="5" fillId="0" borderId="1" xfId="114" applyFont="1" applyBorder="1" applyAlignment="1" applyProtection="1">
      <alignment horizontal="center"/>
      <protection locked="0"/>
    </xf>
    <xf numFmtId="186" fontId="18" fillId="0" borderId="0" xfId="27" applyFont="1"/>
    <xf numFmtId="0" fontId="18" fillId="8" borderId="23" xfId="95" applyFont="1" applyFill="1" applyBorder="1" applyAlignment="1">
      <alignment horizontal="left"/>
    </xf>
    <xf numFmtId="0" fontId="18" fillId="8" borderId="4" xfId="95" applyFont="1" applyFill="1" applyBorder="1" applyAlignment="1">
      <alignment horizontal="left"/>
    </xf>
    <xf numFmtId="0" fontId="18" fillId="8" borderId="33" xfId="95" applyFont="1" applyFill="1" applyBorder="1" applyAlignment="1">
      <alignment horizontal="left"/>
    </xf>
    <xf numFmtId="0" fontId="5" fillId="0" borderId="1" xfId="114" applyFont="1" applyBorder="1" applyAlignment="1">
      <alignment horizontal="center" shrinkToFit="1"/>
    </xf>
    <xf numFmtId="0" fontId="6" fillId="0" borderId="0" xfId="0" applyFont="1" applyAlignment="1">
      <alignment horizontal="center" wrapText="1"/>
    </xf>
    <xf numFmtId="183" fontId="18" fillId="0" borderId="0" xfId="0" applyNumberFormat="1" applyFont="1" applyAlignment="1">
      <alignment horizontal="left"/>
    </xf>
    <xf numFmtId="186" fontId="18" fillId="0" borderId="0" xfId="27" applyFont="1" applyAlignment="1">
      <alignment horizontal="center"/>
    </xf>
    <xf numFmtId="186" fontId="18" fillId="0" borderId="0" xfId="27" applyFont="1" applyAlignment="1">
      <alignment horizontal="left"/>
    </xf>
    <xf numFmtId="0" fontId="90" fillId="0" borderId="0" xfId="0" applyFont="1" applyAlignment="1">
      <alignment horizontal="left"/>
    </xf>
    <xf numFmtId="0" fontId="18" fillId="0" borderId="0" xfId="0" applyFont="1" applyAlignment="1">
      <alignment horizontal="left"/>
    </xf>
    <xf numFmtId="173" fontId="18" fillId="0" borderId="0" xfId="27" applyNumberFormat="1" applyFont="1" applyAlignment="1">
      <alignment horizontal="left"/>
    </xf>
    <xf numFmtId="0" fontId="0" fillId="0" borderId="1" xfId="0" applyBorder="1" applyAlignment="1" applyProtection="1">
      <alignment shrinkToFit="1"/>
      <protection locked="0"/>
    </xf>
    <xf numFmtId="0" fontId="0" fillId="0" borderId="1" xfId="114" applyFont="1" applyBorder="1" applyAlignment="1">
      <alignment horizontal="center" shrinkToFit="1"/>
    </xf>
    <xf numFmtId="0" fontId="0" fillId="0" borderId="1" xfId="114" applyFont="1" applyBorder="1" applyAlignment="1" applyProtection="1">
      <alignment horizontal="center"/>
      <protection locked="0"/>
    </xf>
    <xf numFmtId="0" fontId="0" fillId="0" borderId="1" xfId="114" applyFont="1" applyBorder="1" applyAlignment="1" applyProtection="1">
      <alignment horizontal="center" shrinkToFit="1"/>
      <protection locked="0"/>
    </xf>
    <xf numFmtId="183" fontId="18" fillId="0" borderId="0" xfId="0" applyNumberFormat="1" applyFont="1"/>
    <xf numFmtId="0" fontId="5" fillId="0" borderId="1" xfId="114" applyFont="1" applyBorder="1" applyAlignment="1">
      <alignment horizontal="center"/>
    </xf>
    <xf numFmtId="0" fontId="5" fillId="0" borderId="4" xfId="114" applyFont="1" applyBorder="1" applyAlignment="1" applyProtection="1">
      <alignment horizontal="center"/>
      <protection locked="0"/>
    </xf>
    <xf numFmtId="166" fontId="18" fillId="54" borderId="0" xfId="0" applyNumberFormat="1" applyFont="1" applyFill="1"/>
    <xf numFmtId="183" fontId="18" fillId="0" borderId="0" xfId="0" applyNumberFormat="1" applyFont="1" applyAlignment="1">
      <alignment horizontal="center"/>
    </xf>
    <xf numFmtId="166" fontId="18" fillId="58" borderId="0" xfId="0" applyNumberFormat="1" applyFont="1" applyFill="1"/>
    <xf numFmtId="0" fontId="6" fillId="0" borderId="0" xfId="57" applyFont="1" applyAlignment="1" applyProtection="1">
      <alignment horizontal="center"/>
    </xf>
    <xf numFmtId="0" fontId="68" fillId="0" borderId="0" xfId="0" applyFont="1" applyAlignment="1">
      <alignment horizontal="center" wrapText="1"/>
    </xf>
    <xf numFmtId="0" fontId="9" fillId="0" borderId="4" xfId="89" applyFont="1" applyBorder="1" applyProtection="1">
      <protection locked="0"/>
    </xf>
    <xf numFmtId="164" fontId="5" fillId="0" borderId="1" xfId="80" applyNumberFormat="1" applyBorder="1" applyAlignment="1">
      <alignment horizontal="center" shrinkToFit="1"/>
    </xf>
    <xf numFmtId="164" fontId="5" fillId="0" borderId="4" xfId="80" applyNumberFormat="1" applyBorder="1" applyAlignment="1">
      <alignment horizontal="center" shrinkToFit="1"/>
    </xf>
    <xf numFmtId="164" fontId="5" fillId="0" borderId="4" xfId="80" applyNumberFormat="1" applyBorder="1" applyAlignment="1" applyProtection="1">
      <alignment horizontal="center" shrinkToFit="1"/>
      <protection locked="0"/>
    </xf>
    <xf numFmtId="0" fontId="6" fillId="0" borderId="1" xfId="89" applyFont="1" applyBorder="1" applyAlignment="1">
      <alignment horizontal="center"/>
    </xf>
    <xf numFmtId="49" fontId="8" fillId="0" borderId="0" xfId="117" applyNumberFormat="1" applyFont="1"/>
    <xf numFmtId="49" fontId="5" fillId="0" borderId="0" xfId="117" applyNumberFormat="1"/>
    <xf numFmtId="0" fontId="5" fillId="0" borderId="4" xfId="89" applyFont="1" applyBorder="1" applyAlignment="1" applyProtection="1">
      <alignment horizontal="left"/>
      <protection locked="0"/>
    </xf>
    <xf numFmtId="0" fontId="5" fillId="0" borderId="1" xfId="89" applyFont="1" applyBorder="1" applyAlignment="1" applyProtection="1">
      <alignment horizontal="left"/>
      <protection locked="0"/>
    </xf>
    <xf numFmtId="49" fontId="5" fillId="0" borderId="0" xfId="89" applyNumberFormat="1" applyFont="1" applyAlignment="1">
      <alignment horizontal="left"/>
    </xf>
    <xf numFmtId="0" fontId="237" fillId="57" borderId="0" xfId="0" applyFont="1" applyFill="1" applyAlignment="1">
      <alignment horizontal="center"/>
    </xf>
    <xf numFmtId="0" fontId="72" fillId="0" borderId="0" xfId="57" applyFont="1" applyAlignment="1" applyProtection="1">
      <alignment horizontal="left"/>
    </xf>
    <xf numFmtId="0" fontId="57" fillId="0" borderId="0" xfId="0" applyFont="1"/>
    <xf numFmtId="0" fontId="65" fillId="0" borderId="0" xfId="74" applyFont="1" applyAlignment="1">
      <alignment horizontal="left" wrapText="1"/>
    </xf>
    <xf numFmtId="0" fontId="5" fillId="0" borderId="45" xfId="0" applyFont="1" applyBorder="1" applyAlignment="1">
      <alignment horizontal="left" vertical="top" wrapText="1"/>
    </xf>
    <xf numFmtId="0" fontId="0" fillId="0" borderId="27" xfId="0" applyBorder="1" applyAlignment="1">
      <alignment horizontal="left" vertical="top" wrapText="1"/>
    </xf>
    <xf numFmtId="0" fontId="0" fillId="0" borderId="28" xfId="0" applyBorder="1" applyAlignment="1">
      <alignment horizontal="left" vertical="top" wrapText="1"/>
    </xf>
    <xf numFmtId="0" fontId="0" fillId="0" borderId="31" xfId="0" applyBorder="1" applyAlignment="1">
      <alignment horizontal="left" vertical="top" wrapText="1"/>
    </xf>
    <xf numFmtId="0" fontId="0" fillId="0" borderId="2" xfId="0" applyBorder="1" applyAlignment="1">
      <alignment horizontal="left" vertical="top" wrapText="1"/>
    </xf>
    <xf numFmtId="0" fontId="0" fillId="0" borderId="32" xfId="0" applyBorder="1" applyAlignment="1">
      <alignment horizontal="left" vertical="top" wrapText="1"/>
    </xf>
    <xf numFmtId="0" fontId="17" fillId="0" borderId="0" xfId="0" applyFont="1" applyAlignment="1">
      <alignment horizontal="left"/>
    </xf>
    <xf numFmtId="166" fontId="18" fillId="0" borderId="0" xfId="0" applyNumberFormat="1" applyFont="1" applyAlignment="1" applyProtection="1">
      <alignment horizontal="center"/>
      <protection locked="0"/>
    </xf>
    <xf numFmtId="164" fontId="5" fillId="0" borderId="1" xfId="114" applyNumberFormat="1" applyFont="1" applyBorder="1" applyAlignment="1">
      <alignment horizontal="center"/>
    </xf>
    <xf numFmtId="0" fontId="57" fillId="0" borderId="0" xfId="115" applyFont="1" applyAlignment="1" applyProtection="1">
      <alignment horizontal="center" vertical="center"/>
      <protection locked="0"/>
    </xf>
    <xf numFmtId="186" fontId="18" fillId="0" borderId="0" xfId="27" applyFont="1" applyAlignment="1" applyProtection="1">
      <alignment horizontal="left"/>
      <protection locked="0"/>
    </xf>
    <xf numFmtId="186" fontId="18" fillId="0" borderId="0" xfId="27" applyFont="1" applyProtection="1">
      <protection locked="0"/>
    </xf>
    <xf numFmtId="183" fontId="18" fillId="0" borderId="0" xfId="0" applyNumberFormat="1" applyFont="1" applyAlignment="1" applyProtection="1">
      <alignment horizontal="left"/>
      <protection locked="0"/>
    </xf>
    <xf numFmtId="0" fontId="18" fillId="0" borderId="0" xfId="0" applyFont="1" applyAlignment="1" applyProtection="1">
      <alignment horizontal="left"/>
      <protection locked="0"/>
    </xf>
    <xf numFmtId="173" fontId="18" fillId="0" borderId="0" xfId="27" applyNumberFormat="1" applyFont="1" applyAlignment="1" applyProtection="1">
      <alignment horizontal="left"/>
      <protection locked="0"/>
    </xf>
    <xf numFmtId="186" fontId="18" fillId="0" borderId="0" xfId="27" applyFont="1" applyAlignment="1" applyProtection="1">
      <alignment horizontal="center"/>
      <protection locked="0"/>
    </xf>
    <xf numFmtId="166" fontId="18" fillId="0" borderId="0" xfId="0" applyNumberFormat="1" applyFont="1" applyAlignment="1" applyProtection="1">
      <alignment horizontal="left"/>
      <protection locked="0"/>
    </xf>
    <xf numFmtId="0" fontId="90" fillId="0" borderId="0" xfId="0" applyFont="1" applyAlignment="1" applyProtection="1">
      <alignment horizontal="left"/>
      <protection locked="0"/>
    </xf>
    <xf numFmtId="0" fontId="13" fillId="0" borderId="23" xfId="0" applyFont="1" applyBorder="1" applyAlignment="1" applyProtection="1">
      <alignment horizontal="center"/>
      <protection hidden="1"/>
    </xf>
    <xf numFmtId="0" fontId="13" fillId="0" borderId="33" xfId="0" applyFont="1" applyBorder="1" applyAlignment="1" applyProtection="1">
      <alignment horizontal="center"/>
      <protection hidden="1"/>
    </xf>
  </cellXfs>
  <cellStyles count="187">
    <cellStyle name="20% - Accent1" xfId="1" builtinId="30" customBuiltin="1"/>
    <cellStyle name="20% - Accent1 2" xfId="139" xr:uid="{913AB230-AECA-462F-BA6A-A08AD403998F}"/>
    <cellStyle name="20% - Accent1 2 2" xfId="169" xr:uid="{E5001716-35A2-488D-B82C-B976A5DB8FB4}"/>
    <cellStyle name="20% - Accent1 3" xfId="155" xr:uid="{21EA111C-03B6-4E73-A775-7C7C9E1BFDFE}"/>
    <cellStyle name="20% - Accent2" xfId="2" builtinId="34" customBuiltin="1"/>
    <cellStyle name="20% - Accent2 2" xfId="140" xr:uid="{9591E0AF-6B93-4718-816C-1A7FBA31DF2A}"/>
    <cellStyle name="20% - Accent2 2 2" xfId="170" xr:uid="{182F0728-5D72-4808-996F-490432C4F28D}"/>
    <cellStyle name="20% - Accent2 3" xfId="156" xr:uid="{4D6221D8-7AE9-47D1-9FE7-1AF3E9442DF3}"/>
    <cellStyle name="20% - Accent3" xfId="3" builtinId="38" customBuiltin="1"/>
    <cellStyle name="20% - Accent3 2" xfId="141" xr:uid="{B1CB5223-624E-4E58-8168-FC229108715B}"/>
    <cellStyle name="20% - Accent3 2 2" xfId="171" xr:uid="{1E540631-7818-4932-B04E-A48DF826C643}"/>
    <cellStyle name="20% - Accent3 3" xfId="157" xr:uid="{7AC784A1-9223-4E1F-AFAA-1027F7C51218}"/>
    <cellStyle name="20% - Accent4" xfId="4" builtinId="42" customBuiltin="1"/>
    <cellStyle name="20% - Accent4 2" xfId="142" xr:uid="{19655590-7C48-429B-9ACA-D097E1ADF208}"/>
    <cellStyle name="20% - Accent4 2 2" xfId="172" xr:uid="{531F72E0-E194-4A82-8B0B-F055C914BF19}"/>
    <cellStyle name="20% - Accent4 3" xfId="158" xr:uid="{09F1CEF6-4922-4DFC-95C4-F5C007EC62B1}"/>
    <cellStyle name="20% - Accent5" xfId="5" builtinId="46" customBuiltin="1"/>
    <cellStyle name="20% - Accent5 2" xfId="143" xr:uid="{AF449C6B-D563-4134-9D43-D80C6792F4F3}"/>
    <cellStyle name="20% - Accent5 2 2" xfId="173" xr:uid="{27C64824-35BB-4955-B2EA-299579C6461D}"/>
    <cellStyle name="20% - Accent5 3" xfId="159" xr:uid="{ED2FD705-D2E2-44C9-A004-DBBF23DA939F}"/>
    <cellStyle name="20% - Accent6" xfId="6" builtinId="50" customBuiltin="1"/>
    <cellStyle name="20% - Accent6 2" xfId="144" xr:uid="{425082D8-4206-4630-B326-32152329B3C8}"/>
    <cellStyle name="20% - Accent6 2 2" xfId="174" xr:uid="{9BE2C398-EA3B-4001-A0DF-28C3A972BF25}"/>
    <cellStyle name="20% - Accent6 3" xfId="160" xr:uid="{F7583977-4BFA-491A-BE1B-F82EA887AEE7}"/>
    <cellStyle name="40% - Accent1" xfId="7" builtinId="31" customBuiltin="1"/>
    <cellStyle name="40% - Accent1 2" xfId="145" xr:uid="{A134F4E6-D323-4407-B8A6-57568652815F}"/>
    <cellStyle name="40% - Accent1 2 2" xfId="175" xr:uid="{607439DF-9425-41CC-A22F-0CA540FB0054}"/>
    <cellStyle name="40% - Accent1 3" xfId="161" xr:uid="{40DE7D7B-8977-4EF4-9846-A183796CB247}"/>
    <cellStyle name="40% - Accent2" xfId="8" builtinId="35" customBuiltin="1"/>
    <cellStyle name="40% - Accent2 2" xfId="146" xr:uid="{8296FBED-2792-4F46-998C-46A0A330B219}"/>
    <cellStyle name="40% - Accent2 2 2" xfId="176" xr:uid="{775286ED-645A-4608-BBDA-294950B4BAFC}"/>
    <cellStyle name="40% - Accent2 3" xfId="162" xr:uid="{B06035C6-5B7D-4853-83E9-7D2DCFAB8583}"/>
    <cellStyle name="40% - Accent3" xfId="9" builtinId="39" customBuiltin="1"/>
    <cellStyle name="40% - Accent3 2" xfId="147" xr:uid="{7AD64DF3-3F7E-4C24-BE78-421403720E62}"/>
    <cellStyle name="40% - Accent3 2 2" xfId="177" xr:uid="{7E1A4AD6-EFD7-43E4-B158-0CC274D353D9}"/>
    <cellStyle name="40% - Accent3 3" xfId="163" xr:uid="{EEB6C3B5-B130-4346-BBF3-6D97ABA36034}"/>
    <cellStyle name="40% - Accent4" xfId="10" builtinId="43" customBuiltin="1"/>
    <cellStyle name="40% - Accent4 2" xfId="148" xr:uid="{5FF8AD78-B60D-4351-8816-639A7F8A90BF}"/>
    <cellStyle name="40% - Accent4 2 2" xfId="178" xr:uid="{CDD003CD-2D1F-4760-ABCD-A244BE754868}"/>
    <cellStyle name="40% - Accent4 3" xfId="164" xr:uid="{DB767660-82DF-4F87-9C40-CDD816953DD0}"/>
    <cellStyle name="40% - Accent5" xfId="11" builtinId="47" customBuiltin="1"/>
    <cellStyle name="40% - Accent5 2" xfId="149" xr:uid="{92ECC5E5-1001-4865-AC90-0E189F03E394}"/>
    <cellStyle name="40% - Accent5 2 2" xfId="179" xr:uid="{1C0B8AB3-BF34-48A0-BB03-CBD13844414C}"/>
    <cellStyle name="40% - Accent5 3" xfId="165" xr:uid="{E057B9B6-308D-4481-9E3B-C75582F77724}"/>
    <cellStyle name="40% - Accent6" xfId="12" builtinId="51" customBuiltin="1"/>
    <cellStyle name="40% - Accent6 2" xfId="150" xr:uid="{6D4245D7-CEB4-476A-8D17-EA65FA2FDCB5}"/>
    <cellStyle name="40% - Accent6 2 2" xfId="180" xr:uid="{8C0A3DB8-01A9-4B79-A094-71A1F4868E88}"/>
    <cellStyle name="40% - Accent6 3" xfId="166" xr:uid="{EB9C038E-61B3-407C-877D-1080AF8BDE2C}"/>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PPS_FormEntry_rightaligned" xfId="186" xr:uid="{95449A3C-31A9-4929-90BC-A6AF65BA44D9}"/>
    <cellStyle name="Bad" xfId="25" builtinId="27" customBuiltin="1"/>
    <cellStyle name="Calculation" xfId="26" builtinId="22" customBuiltin="1"/>
    <cellStyle name="CaptionDots..." xfId="27" xr:uid="{00000000-0005-0000-0000-00001A000000}"/>
    <cellStyle name="Check Cell" xfId="28" builtinId="23" customBuiltin="1"/>
    <cellStyle name="Comma" xfId="29" builtinId="3"/>
    <cellStyle name="Comma 2" xfId="30" xr:uid="{00000000-0005-0000-0000-00001D000000}"/>
    <cellStyle name="Comma 2 2" xfId="31" xr:uid="{00000000-0005-0000-0000-00001E000000}"/>
    <cellStyle name="Comma 2 3" xfId="32" xr:uid="{00000000-0005-0000-0000-00001F000000}"/>
    <cellStyle name="Comma 2 3 2" xfId="151" xr:uid="{FD63B23C-EB04-4076-BBBE-D49AD185C3E7}"/>
    <cellStyle name="Comma 3" xfId="33" xr:uid="{00000000-0005-0000-0000-000020000000}"/>
    <cellStyle name="Comma 3 2" xfId="34" xr:uid="{00000000-0005-0000-0000-000021000000}"/>
    <cellStyle name="Comma 4" xfId="35" xr:uid="{00000000-0005-0000-0000-000022000000}"/>
    <cellStyle name="Comma 7" xfId="36" xr:uid="{00000000-0005-0000-0000-000023000000}"/>
    <cellStyle name="Comma 8" xfId="37" xr:uid="{00000000-0005-0000-0000-000024000000}"/>
    <cellStyle name="Comma_a4p02" xfId="38" xr:uid="{00000000-0005-0000-0000-000025000000}"/>
    <cellStyle name="Comma_a4p05" xfId="39" xr:uid="{00000000-0005-0000-0000-000026000000}"/>
    <cellStyle name="Currency" xfId="40" builtinId="4"/>
    <cellStyle name="Currency 2" xfId="41" xr:uid="{00000000-0005-0000-0000-000028000000}"/>
    <cellStyle name="Currency 3" xfId="42" xr:uid="{00000000-0005-0000-0000-000029000000}"/>
    <cellStyle name="Exhibit No." xfId="43" xr:uid="{00000000-0005-0000-0000-00002A000000}"/>
    <cellStyle name="Exhibit No. 2" xfId="44" xr:uid="{00000000-0005-0000-0000-00002B000000}"/>
    <cellStyle name="Exhibit No. 3" xfId="45" xr:uid="{00000000-0005-0000-0000-00002C000000}"/>
    <cellStyle name="Explanatory Text" xfId="46" builtinId="53" customBuiltin="1"/>
    <cellStyle name="Good" xfId="47" builtinId="26" customBuiltin="1"/>
    <cellStyle name="Heading 1" xfId="48" builtinId="16" customBuiltin="1"/>
    <cellStyle name="Heading 2" xfId="49" builtinId="17" customBuiltin="1"/>
    <cellStyle name="Heading 3" xfId="50" builtinId="18" customBuiltin="1"/>
    <cellStyle name="Heading 4" xfId="51" builtinId="19" customBuiltin="1"/>
    <cellStyle name="HeadStateofNC" xfId="52" xr:uid="{00000000-0005-0000-0000-000033000000}"/>
    <cellStyle name="HeadStateofNC 2" xfId="53" xr:uid="{00000000-0005-0000-0000-000034000000}"/>
    <cellStyle name="HeadTitles" xfId="54" xr:uid="{00000000-0005-0000-0000-000035000000}"/>
    <cellStyle name="HeadTitles 2" xfId="55" xr:uid="{00000000-0005-0000-0000-000036000000}"/>
    <cellStyle name="HeadYE_Date" xfId="56" xr:uid="{00000000-0005-0000-0000-000037000000}"/>
    <cellStyle name="Hyperlink" xfId="57" builtinId="8" customBuiltin="1"/>
    <cellStyle name="Hyperlink 2" xfId="58" xr:uid="{00000000-0005-0000-0000-000039000000}"/>
    <cellStyle name="Hyperlink 2 2" xfId="59" xr:uid="{00000000-0005-0000-0000-00003A000000}"/>
    <cellStyle name="Hyperlink 2 3" xfId="60" xr:uid="{00000000-0005-0000-0000-00003B000000}"/>
    <cellStyle name="Hyperlink 3" xfId="61" xr:uid="{00000000-0005-0000-0000-00003C000000}"/>
    <cellStyle name="Hyperlink 4" xfId="183" xr:uid="{29FDAA59-8A01-4D06-87FF-E2C37AF9B33C}"/>
    <cellStyle name="Input" xfId="62" builtinId="20" customBuiltin="1"/>
    <cellStyle name="Linked Cell" xfId="63" builtinId="24" customBuiltin="1"/>
    <cellStyle name="Neutral" xfId="64" builtinId="28" customBuiltin="1"/>
    <cellStyle name="Normal" xfId="0" builtinId="0"/>
    <cellStyle name="Normal 12" xfId="184" xr:uid="{035FA67B-29E9-43C7-9010-1A4A2F6DED44}"/>
    <cellStyle name="Normal 2" xfId="65" xr:uid="{00000000-0005-0000-0000-000041000000}"/>
    <cellStyle name="Normal 2 2" xfId="66" xr:uid="{00000000-0005-0000-0000-000042000000}"/>
    <cellStyle name="Normal 2 2 2" xfId="67" xr:uid="{00000000-0005-0000-0000-000043000000}"/>
    <cellStyle name="Normal 2 3" xfId="68" xr:uid="{00000000-0005-0000-0000-000044000000}"/>
    <cellStyle name="Normal 2 5" xfId="135" xr:uid="{00000000-0005-0000-0000-000045000000}"/>
    <cellStyle name="Normal 3" xfId="69" xr:uid="{00000000-0005-0000-0000-000046000000}"/>
    <cellStyle name="Normal 3 2" xfId="70" xr:uid="{00000000-0005-0000-0000-000047000000}"/>
    <cellStyle name="Normal 3 2 2" xfId="153" xr:uid="{898039F3-AA11-4B2F-91B5-F13099C703EA}"/>
    <cellStyle name="Normal 3 2 2 2" xfId="182" xr:uid="{CF46906F-8836-4482-981F-76363FDB2A0E}"/>
    <cellStyle name="Normal 3 2 3" xfId="168" xr:uid="{D9D82900-805A-4084-9D82-75CB25F3D6E9}"/>
    <cellStyle name="Normal 3 3" xfId="71" xr:uid="{00000000-0005-0000-0000-000048000000}"/>
    <cellStyle name="Normal 3 4" xfId="72" xr:uid="{00000000-0005-0000-0000-000049000000}"/>
    <cellStyle name="Normal 3 5" xfId="152" xr:uid="{DC21F60A-4C3E-4186-B3A0-1DE12634EC44}"/>
    <cellStyle name="Normal 3 5 2" xfId="181" xr:uid="{A5DE7354-D292-4996-A289-4C14BF0AFF5E}"/>
    <cellStyle name="Normal 3 6" xfId="167" xr:uid="{5D4DAE16-D907-4BD7-9DA4-B52CDC453AB8}"/>
    <cellStyle name="Normal 4" xfId="73" xr:uid="{00000000-0005-0000-0000-00004A000000}"/>
    <cellStyle name="Normal 5" xfId="74" xr:uid="{00000000-0005-0000-0000-00004B000000}"/>
    <cellStyle name="Normal 5 2" xfId="75" xr:uid="{00000000-0005-0000-0000-00004C000000}"/>
    <cellStyle name="Normal 5 3" xfId="76" xr:uid="{00000000-0005-0000-0000-00004D000000}"/>
    <cellStyle name="Normal 5 4" xfId="77" xr:uid="{00000000-0005-0000-0000-00004E000000}"/>
    <cellStyle name="Normal 6" xfId="78" xr:uid="{00000000-0005-0000-0000-00004F000000}"/>
    <cellStyle name="Normal 6 2" xfId="79" xr:uid="{00000000-0005-0000-0000-000050000000}"/>
    <cellStyle name="Normal 7" xfId="185" xr:uid="{29B03D72-B51B-4295-BF71-6CAA899F74F5}"/>
    <cellStyle name="Normal_2002 pkg changesMartha" xfId="80" xr:uid="{00000000-0005-0000-0000-000051000000}"/>
    <cellStyle name="Normal_a3p04" xfId="81" xr:uid="{00000000-0005-0000-0000-000052000000}"/>
    <cellStyle name="Normal_a3p04_2002NCASfawhsts" xfId="82" xr:uid="{00000000-0005-0000-0000-000053000000}"/>
    <cellStyle name="Normal_a3p04_attch5" xfId="83" xr:uid="{00000000-0005-0000-0000-000054000000}"/>
    <cellStyle name="Normal_a3p06_1" xfId="84" xr:uid="{00000000-0005-0000-0000-000055000000}"/>
    <cellStyle name="Normal_a3p06_2002NCASfawhsts" xfId="85" xr:uid="{00000000-0005-0000-0000-000056000000}"/>
    <cellStyle name="Normal_a3p07_attch3" xfId="86" xr:uid="{00000000-0005-0000-0000-000057000000}"/>
    <cellStyle name="Normal_a3p07_NCAS a3p08" xfId="87" xr:uid="{00000000-0005-0000-0000-000058000000}"/>
    <cellStyle name="Normal_a3p08" xfId="88" xr:uid="{00000000-0005-0000-0000-000059000000}"/>
    <cellStyle name="Normal_a3p09" xfId="89" xr:uid="{00000000-0005-0000-0000-00005A000000}"/>
    <cellStyle name="Normal_a3p10-15" xfId="90" xr:uid="{00000000-0005-0000-0000-00005B000000}"/>
    <cellStyle name="Normal_a3p10-15 2" xfId="91" xr:uid="{00000000-0005-0000-0000-00005C000000}"/>
    <cellStyle name="Normal_a3p11" xfId="92" xr:uid="{00000000-0005-0000-0000-00005D000000}"/>
    <cellStyle name="Normal_a3p14" xfId="93" xr:uid="{00000000-0005-0000-0000-00005E000000}"/>
    <cellStyle name="Normal_a3p15" xfId="94" xr:uid="{00000000-0005-0000-0000-00005F000000}"/>
    <cellStyle name="Normal_a3p19" xfId="95" xr:uid="{00000000-0005-0000-0000-000060000000}"/>
    <cellStyle name="Normal_a4p01_CmCoExcl" xfId="96" xr:uid="{00000000-0005-0000-0000-000061000000}"/>
    <cellStyle name="Normal_a4p01_segment2" xfId="97" xr:uid="{00000000-0005-0000-0000-000062000000}"/>
    <cellStyle name="Normal_a4p02" xfId="98" xr:uid="{00000000-0005-0000-0000-000063000000}"/>
    <cellStyle name="Normal_a4p02_CmCoExcl" xfId="99" xr:uid="{00000000-0005-0000-0000-000064000000}"/>
    <cellStyle name="Normal_a4p02_segment2" xfId="100" xr:uid="{00000000-0005-0000-0000-000065000000}"/>
    <cellStyle name="Normal_a4p05" xfId="101" xr:uid="{00000000-0005-0000-0000-000066000000}"/>
    <cellStyle name="Normal_a4p08" xfId="102" xr:uid="{00000000-0005-0000-0000-000068000000}"/>
    <cellStyle name="Normal_a5p07-09" xfId="103" xr:uid="{00000000-0005-0000-0000-000069000000}"/>
    <cellStyle name="Normal_a5p09" xfId="104" xr:uid="{00000000-0005-0000-0000-00006A000000}"/>
    <cellStyle name="Normal_a5p10" xfId="105" xr:uid="{00000000-0005-0000-0000-00006B000000}"/>
    <cellStyle name="Normal_a5p11" xfId="106" xr:uid="{00000000-0005-0000-0000-00006C000000}"/>
    <cellStyle name="Normal_a7p01" xfId="107" xr:uid="{00000000-0005-0000-0000-00006D000000}"/>
    <cellStyle name="Normal_a7p02" xfId="108" xr:uid="{00000000-0005-0000-0000-00006E000000}"/>
    <cellStyle name="Normal_a7p02 2" xfId="109" xr:uid="{00000000-0005-0000-0000-00006F000000}"/>
    <cellStyle name="Normal_a7p03" xfId="110" xr:uid="{00000000-0005-0000-0000-000070000000}"/>
    <cellStyle name="Normal_a7p04" xfId="111" xr:uid="{00000000-0005-0000-0000-000071000000}"/>
    <cellStyle name="Normal_a7p05" xfId="112" xr:uid="{00000000-0005-0000-0000-000072000000}"/>
    <cellStyle name="Normal_a7p07" xfId="137" xr:uid="{00000000-0005-0000-0000-000073000000}"/>
    <cellStyle name="Normal_a7p08" xfId="138" xr:uid="{00000000-0005-0000-0000-000074000000}"/>
    <cellStyle name="Normal_a7p10" xfId="136" xr:uid="{00000000-0005-0000-0000-000076000000}"/>
    <cellStyle name="Normal_a7p12" xfId="113" xr:uid="{00000000-0005-0000-0000-000077000000}"/>
    <cellStyle name="Normal_allocation_worksheet" xfId="114" xr:uid="{00000000-0005-0000-0000-000078000000}"/>
    <cellStyle name="Normal_CmCoExcl" xfId="115" xr:uid="{00000000-0005-0000-0000-000079000000}"/>
    <cellStyle name="Normal_CmCoExcl 2" xfId="116" xr:uid="{00000000-0005-0000-0000-00007A000000}"/>
    <cellStyle name="Normal_Related_Party" xfId="117" xr:uid="{00000000-0005-0000-0000-00007B000000}"/>
    <cellStyle name="Normal_Sheet1" xfId="118" xr:uid="{00000000-0005-0000-0000-00007C000000}"/>
    <cellStyle name="Normal_UnivExcl" xfId="119" xr:uid="{00000000-0005-0000-0000-00007D000000}"/>
    <cellStyle name="Note 2" xfId="120" xr:uid="{00000000-0005-0000-0000-00007E000000}"/>
    <cellStyle name="Note 2 2" xfId="154" xr:uid="{41DBA68D-DA9B-46C6-9CA4-A38660632CE5}"/>
    <cellStyle name="Number$ -" xfId="121" xr:uid="{00000000-0005-0000-0000-00007F000000}"/>
    <cellStyle name="Number-no $ -" xfId="122" xr:uid="{00000000-0005-0000-0000-000080000000}"/>
    <cellStyle name="Number-no $ -_2006Agencyproforma" xfId="123" xr:uid="{00000000-0005-0000-0000-000081000000}"/>
    <cellStyle name="NumberTotal$ -" xfId="124" xr:uid="{00000000-0005-0000-0000-000082000000}"/>
    <cellStyle name="NumberTotal-no $ -" xfId="125" xr:uid="{00000000-0005-0000-0000-000083000000}"/>
    <cellStyle name="NumNo$" xfId="126" xr:uid="{00000000-0005-0000-0000-000084000000}"/>
    <cellStyle name="NumTotD" xfId="127" xr:uid="{00000000-0005-0000-0000-000085000000}"/>
    <cellStyle name="NumTotNo$" xfId="128" xr:uid="{00000000-0005-0000-0000-000086000000}"/>
    <cellStyle name="Output" xfId="129" builtinId="21" customBuiltin="1"/>
    <cellStyle name="Percent" xfId="130" builtinId="5"/>
    <cellStyle name="Percent 2" xfId="131" xr:uid="{00000000-0005-0000-0000-000089000000}"/>
    <cellStyle name="Title" xfId="132" builtinId="15" customBuiltin="1"/>
    <cellStyle name="Total" xfId="133" builtinId="25" customBuiltin="1"/>
    <cellStyle name="Warning Text" xfId="134" builtinId="11" customBuiltin="1"/>
  </cellStyles>
  <dxfs count="184">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rgb="FF9C0006"/>
      </font>
      <fill>
        <patternFill>
          <bgColor rgb="FFFFC7CE"/>
        </patternFill>
      </fill>
    </dxf>
    <dxf>
      <border>
        <left style="thin">
          <color indexed="64"/>
        </left>
        <right style="thin">
          <color indexed="64"/>
        </right>
        <top style="thin">
          <color indexed="64"/>
        </top>
        <bottom style="thin">
          <color indexed="64"/>
        </bottom>
      </border>
    </dxf>
    <dxf>
      <font>
        <color rgb="FF9C0006"/>
      </font>
      <fill>
        <patternFill>
          <bgColor rgb="FFFFC7CE"/>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2499465926084170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border>
        <left style="thin">
          <color indexed="64"/>
        </left>
        <right style="thin">
          <color indexed="64"/>
        </right>
        <top style="thin">
          <color indexed="64"/>
        </top>
        <bottom style="thin">
          <color indexed="64"/>
        </bottom>
      </border>
    </dxf>
    <dxf>
      <font>
        <color rgb="FF0000FF"/>
      </font>
    </dxf>
    <dxf>
      <font>
        <color rgb="FFFF0000"/>
      </font>
    </dxf>
    <dxf>
      <fill>
        <patternFill>
          <bgColor indexed="26"/>
        </patternFill>
      </fill>
    </dxf>
    <dxf>
      <font>
        <b/>
        <i val="0"/>
        <strike val="0"/>
        <condense val="0"/>
        <extend val="0"/>
        <outline val="0"/>
        <shadow val="0"/>
        <u val="none"/>
        <vertAlign val="baseline"/>
        <sz val="11"/>
        <color theme="1"/>
        <name val="Calibri"/>
        <family val="2"/>
        <scheme val="minor"/>
      </font>
    </dxf>
  </dxfs>
  <tableStyles count="0" defaultTableStyle="TableStyleMedium9" defaultPivotStyle="PivotStyleLight16"/>
  <colors>
    <mruColors>
      <color rgb="FF0000FF"/>
      <color rgb="FF0066FF"/>
      <color rgb="FFCCCCFF"/>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microsoft.com/office/2017/06/relationships/rdRichValueStructure" Target="richData/rdrichvaluestructure.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tyles" Target="styles.xml"/><Relationship Id="rId118" Type="http://schemas.microsoft.com/office/2017/06/relationships/rdRichValueTypes" Target="richData/rdRichValueType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sharedStrings" Target="sharedStrings.xml"/><Relationship Id="rId119" Type="http://schemas.microsoft.com/office/2017/10/relationships/person" Target="persons/person.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xml"/><Relationship Id="rId115" Type="http://schemas.openxmlformats.org/officeDocument/2006/relationships/sheetMetadata" Target="metadata.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microsoft.com/office/2017/06/relationships/rdRichValue" Target="richData/rdrichvalue.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2.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hyperlink" Target="https://app.powerbigov.us/view?r=eyJrIjoiM2EzODllZDEtZDg0OS00YTEwLTkzYjctZjQ0ZmY0NjNlZjQ3IiwidCI6IjdhNzY4MWRjLWI5ZDAtNDQ5YS04NWMzLWVjYzI2Y2Q3ZWQxOSJ9" TargetMode="External"/></Relationships>
</file>

<file path=xl/drawings/drawing1.xml><?xml version="1.0" encoding="utf-8"?>
<xdr:wsDr xmlns:xdr="http://schemas.openxmlformats.org/drawingml/2006/spreadsheetDrawing" xmlns:a="http://schemas.openxmlformats.org/drawingml/2006/main">
  <xdr:twoCellAnchor>
    <xdr:from>
      <xdr:col>1</xdr:col>
      <xdr:colOff>19050</xdr:colOff>
      <xdr:row>63</xdr:row>
      <xdr:rowOff>0</xdr:rowOff>
    </xdr:from>
    <xdr:to>
      <xdr:col>10</xdr:col>
      <xdr:colOff>331478</xdr:colOff>
      <xdr:row>69</xdr:row>
      <xdr:rowOff>123825</xdr:rowOff>
    </xdr:to>
    <xdr:sp macro="" textlink="">
      <xdr:nvSpPr>
        <xdr:cNvPr id="37889" name="Text Box 1">
          <a:extLst>
            <a:ext uri="{FF2B5EF4-FFF2-40B4-BE49-F238E27FC236}">
              <a16:creationId xmlns:a16="http://schemas.microsoft.com/office/drawing/2014/main" id="{00000000-0008-0000-0A00-000001940000}"/>
            </a:ext>
          </a:extLst>
        </xdr:cNvPr>
        <xdr:cNvSpPr txBox="1">
          <a:spLocks noChangeArrowheads="1"/>
        </xdr:cNvSpPr>
      </xdr:nvSpPr>
      <xdr:spPr bwMode="auto">
        <a:xfrm>
          <a:off x="219075" y="8410575"/>
          <a:ext cx="4017653" cy="9429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1" strike="noStrike">
              <a:solidFill>
                <a:srgbClr val="000000"/>
              </a:solidFill>
              <a:latin typeface="Arial"/>
              <a:cs typeface="Arial"/>
            </a:rPr>
            <a:t>Note:  The impairment loss should be reported net of the associated insurance recovery when the recovery and loss occur in the same year.  Insurance recoveries reported in subsequent years should be reported only when realized or realizable.  For example, if an insurer has admitted or acknowledged coverage, an insurance recovery would be realizable (GASB 42, paragraph 21).</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57150</xdr:colOff>
      <xdr:row>33</xdr:row>
      <xdr:rowOff>150497</xdr:rowOff>
    </xdr:from>
    <xdr:to>
      <xdr:col>16</xdr:col>
      <xdr:colOff>1257330</xdr:colOff>
      <xdr:row>38</xdr:row>
      <xdr:rowOff>47631</xdr:rowOff>
    </xdr:to>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3181350" y="5372102"/>
          <a:ext cx="4648200" cy="7143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900"/>
            </a:lnSpc>
          </a:pPr>
          <a:r>
            <a:rPr lang="en-US" sz="1000" b="0" i="0" u="none" strike="noStrike">
              <a:solidFill>
                <a:schemeClr val="dk1"/>
              </a:solidFill>
              <a:latin typeface="Arial" pitchFamily="34" charset="0"/>
              <a:ea typeface="+mn-ea"/>
              <a:cs typeface="Arial" pitchFamily="34" charset="0"/>
            </a:rPr>
            <a:t>Note: Hedging derivative instruments must meet </a:t>
          </a:r>
          <a:r>
            <a:rPr lang="en-US" sz="1000" b="0" i="0" u="sng" strike="noStrike">
              <a:solidFill>
                <a:schemeClr val="dk1"/>
              </a:solidFill>
              <a:latin typeface="Arial" pitchFamily="34" charset="0"/>
              <a:ea typeface="+mn-ea"/>
              <a:cs typeface="Arial" pitchFamily="34" charset="0"/>
            </a:rPr>
            <a:t>annual</a:t>
          </a:r>
          <a:r>
            <a:rPr lang="en-US" sz="1000" b="0" i="0" u="none" strike="noStrike">
              <a:solidFill>
                <a:schemeClr val="dk1"/>
              </a:solidFill>
              <a:latin typeface="Arial" pitchFamily="34" charset="0"/>
              <a:ea typeface="+mn-ea"/>
              <a:cs typeface="Arial" pitchFamily="34" charset="0"/>
            </a:rPr>
            <a:t> effectiveness</a:t>
          </a:r>
          <a:r>
            <a:rPr lang="en-US" sz="1000" b="0" i="0" u="none" strike="noStrike" baseline="0">
              <a:solidFill>
                <a:schemeClr val="dk1"/>
              </a:solidFill>
              <a:latin typeface="Arial" pitchFamily="34" charset="0"/>
              <a:ea typeface="+mn-ea"/>
              <a:cs typeface="Arial" pitchFamily="34" charset="0"/>
            </a:rPr>
            <a:t> tests.  Indicate the method(s) used to determine effectiveness by </a:t>
          </a:r>
          <a:r>
            <a:rPr lang="en-US" sz="1000" b="1" i="0" u="none" strike="noStrike" baseline="0">
              <a:solidFill>
                <a:schemeClr val="dk1"/>
              </a:solidFill>
              <a:latin typeface="Arial" pitchFamily="34" charset="0"/>
              <a:ea typeface="+mn-ea"/>
              <a:cs typeface="Arial" pitchFamily="34" charset="0"/>
            </a:rPr>
            <a:t>keying the line numbers</a:t>
          </a:r>
          <a:r>
            <a:rPr lang="en-US" sz="1000" b="0" i="0" u="none" strike="noStrike" baseline="0">
              <a:solidFill>
                <a:schemeClr val="dk1"/>
              </a:solidFill>
              <a:latin typeface="Arial" pitchFamily="34" charset="0"/>
              <a:ea typeface="+mn-ea"/>
              <a:cs typeface="Arial" pitchFamily="34" charset="0"/>
            </a:rPr>
            <a:t> of the hedging derivative instruments above. A method can have more than one line number.</a:t>
          </a:r>
          <a:endParaRPr lang="en-US" sz="1000">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27</xdr:col>
      <xdr:colOff>36495</xdr:colOff>
      <xdr:row>24</xdr:row>
      <xdr:rowOff>104571</xdr:rowOff>
    </xdr:to>
    <xdr:pic>
      <xdr:nvPicPr>
        <xdr:cNvPr id="6" name="Picture 5">
          <a:extLst>
            <a:ext uri="{FF2B5EF4-FFF2-40B4-BE49-F238E27FC236}">
              <a16:creationId xmlns:a16="http://schemas.microsoft.com/office/drawing/2014/main" id="{E2DBA86A-569A-D45D-9119-081462C31D0A}"/>
            </a:ext>
          </a:extLst>
        </xdr:cNvPr>
        <xdr:cNvPicPr>
          <a:picLocks noChangeAspect="1"/>
        </xdr:cNvPicPr>
      </xdr:nvPicPr>
      <xdr:blipFill>
        <a:blip xmlns:r="http://schemas.openxmlformats.org/officeDocument/2006/relationships" r:embed="rId1"/>
        <a:stretch>
          <a:fillRect/>
        </a:stretch>
      </xdr:blipFill>
      <xdr:spPr>
        <a:xfrm>
          <a:off x="0" y="3177540"/>
          <a:ext cx="12838095" cy="1628571"/>
        </a:xfrm>
        <a:prstGeom prst="rect">
          <a:avLst/>
        </a:prstGeom>
      </xdr:spPr>
    </xdr:pic>
    <xdr:clientData/>
  </xdr:twoCellAnchor>
  <xdr:twoCellAnchor editAs="oneCell">
    <xdr:from>
      <xdr:col>0</xdr:col>
      <xdr:colOff>0</xdr:colOff>
      <xdr:row>33</xdr:row>
      <xdr:rowOff>0</xdr:rowOff>
    </xdr:from>
    <xdr:to>
      <xdr:col>23</xdr:col>
      <xdr:colOff>474914</xdr:colOff>
      <xdr:row>39</xdr:row>
      <xdr:rowOff>9381</xdr:rowOff>
    </xdr:to>
    <xdr:pic>
      <xdr:nvPicPr>
        <xdr:cNvPr id="7" name="Picture 6">
          <a:extLst>
            <a:ext uri="{FF2B5EF4-FFF2-40B4-BE49-F238E27FC236}">
              <a16:creationId xmlns:a16="http://schemas.microsoft.com/office/drawing/2014/main" id="{A277B3C5-EE4E-96AD-009F-8F893EC47582}"/>
            </a:ext>
          </a:extLst>
        </xdr:cNvPr>
        <xdr:cNvPicPr>
          <a:picLocks noChangeAspect="1"/>
        </xdr:cNvPicPr>
      </xdr:nvPicPr>
      <xdr:blipFill>
        <a:blip xmlns:r="http://schemas.openxmlformats.org/officeDocument/2006/relationships" r:embed="rId2"/>
        <a:stretch>
          <a:fillRect/>
        </a:stretch>
      </xdr:blipFill>
      <xdr:spPr>
        <a:xfrm>
          <a:off x="0" y="6416040"/>
          <a:ext cx="10685714" cy="1152381"/>
        </a:xfrm>
        <a:prstGeom prst="rect">
          <a:avLst/>
        </a:prstGeom>
      </xdr:spPr>
    </xdr:pic>
    <xdr:clientData/>
  </xdr:twoCellAnchor>
  <xdr:twoCellAnchor editAs="oneCell">
    <xdr:from>
      <xdr:col>0</xdr:col>
      <xdr:colOff>0</xdr:colOff>
      <xdr:row>50</xdr:row>
      <xdr:rowOff>0</xdr:rowOff>
    </xdr:from>
    <xdr:to>
      <xdr:col>24</xdr:col>
      <xdr:colOff>198643</xdr:colOff>
      <xdr:row>56</xdr:row>
      <xdr:rowOff>37952</xdr:rowOff>
    </xdr:to>
    <xdr:pic>
      <xdr:nvPicPr>
        <xdr:cNvPr id="8" name="Picture 7">
          <a:extLst>
            <a:ext uri="{FF2B5EF4-FFF2-40B4-BE49-F238E27FC236}">
              <a16:creationId xmlns:a16="http://schemas.microsoft.com/office/drawing/2014/main" id="{59A4300E-B1E0-F85E-B762-2EE075010B31}"/>
            </a:ext>
          </a:extLst>
        </xdr:cNvPr>
        <xdr:cNvPicPr>
          <a:picLocks noChangeAspect="1"/>
        </xdr:cNvPicPr>
      </xdr:nvPicPr>
      <xdr:blipFill>
        <a:blip xmlns:r="http://schemas.openxmlformats.org/officeDocument/2006/relationships" r:embed="rId3"/>
        <a:stretch>
          <a:fillRect/>
        </a:stretch>
      </xdr:blipFill>
      <xdr:spPr>
        <a:xfrm>
          <a:off x="0" y="9425940"/>
          <a:ext cx="11057143" cy="11809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8</xdr:row>
      <xdr:rowOff>76200</xdr:rowOff>
    </xdr:from>
    <xdr:to>
      <xdr:col>21</xdr:col>
      <xdr:colOff>866563</xdr:colOff>
      <xdr:row>13</xdr:row>
      <xdr:rowOff>912395</xdr:rowOff>
    </xdr:to>
    <xdr:sp macro="" textlink="">
      <xdr:nvSpPr>
        <xdr:cNvPr id="24629" name="Text Box 1">
          <a:extLst>
            <a:ext uri="{FF2B5EF4-FFF2-40B4-BE49-F238E27FC236}">
              <a16:creationId xmlns:a16="http://schemas.microsoft.com/office/drawing/2014/main" id="{00000000-0008-0000-3700-000035600000}"/>
            </a:ext>
          </a:extLst>
        </xdr:cNvPr>
        <xdr:cNvSpPr txBox="1">
          <a:spLocks noChangeArrowheads="1"/>
        </xdr:cNvSpPr>
      </xdr:nvSpPr>
      <xdr:spPr bwMode="auto">
        <a:xfrm>
          <a:off x="0" y="1600200"/>
          <a:ext cx="9474870" cy="1788695"/>
        </a:xfrm>
        <a:prstGeom prst="rect">
          <a:avLst/>
        </a:prstGeom>
        <a:noFill/>
        <a:ln w="9525">
          <a:solidFill>
            <a:srgbClr val="000000"/>
          </a:solidFill>
          <a:miter lim="800000"/>
          <a:headEnd/>
          <a:tailEnd/>
        </a:ln>
      </xdr:spPr>
      <xdr:txBody>
        <a:bodyPr vertOverflow="clip" wrap="square" lIns="27432" tIns="22860" rIns="0" bIns="0" anchor="t" upright="1"/>
        <a:lstStyle/>
        <a:p>
          <a:pPr algn="l" rtl="0">
            <a:defRPr sz="1000"/>
          </a:pPr>
          <a:r>
            <a:rPr lang="en-US" sz="900" b="0" i="0" strike="noStrike">
              <a:solidFill>
                <a:srgbClr val="000000"/>
              </a:solidFill>
              <a:latin typeface="Arial"/>
              <a:cs typeface="Arial"/>
            </a:rPr>
            <a:t>For each </a:t>
          </a:r>
          <a:r>
            <a:rPr lang="en-US" sz="900" b="1" i="0" strike="noStrike">
              <a:solidFill>
                <a:srgbClr val="000000"/>
              </a:solidFill>
              <a:latin typeface="Arial"/>
              <a:cs typeface="Arial"/>
            </a:rPr>
            <a:t>GASB fund number</a:t>
          </a:r>
          <a:r>
            <a:rPr lang="en-US" sz="900" b="0" i="0" strike="noStrike">
              <a:solidFill>
                <a:srgbClr val="000000"/>
              </a:solidFill>
              <a:latin typeface="Arial"/>
              <a:cs typeface="Arial"/>
            </a:rPr>
            <a:t>, analyze </a:t>
          </a:r>
          <a:r>
            <a:rPr lang="en-US" sz="900" b="1" i="0" strike="noStrike">
              <a:solidFill>
                <a:srgbClr val="000000"/>
              </a:solidFill>
              <a:latin typeface="Arial"/>
              <a:cs typeface="Arial"/>
            </a:rPr>
            <a:t>SIGNIFICANT INCREASES/DECREASES</a:t>
          </a:r>
          <a:r>
            <a:rPr lang="en-US" sz="900" b="0" i="0" strike="noStrike">
              <a:solidFill>
                <a:srgbClr val="000000"/>
              </a:solidFill>
              <a:latin typeface="Arial"/>
              <a:cs typeface="Arial"/>
            </a:rPr>
            <a:t> from the prior year at the financial statement report caption level . The threshold for significant is defined as a change of 15% AND a dollar amount of $15 million or greater for primary government agencies/</a:t>
          </a:r>
          <a:r>
            <a:rPr lang="en-US" sz="900" b="0" i="0" strike="noStrike" baseline="0">
              <a:solidFill>
                <a:srgbClr val="000000"/>
              </a:solidFill>
              <a:latin typeface="Arial"/>
              <a:cs typeface="Arial"/>
            </a:rPr>
            <a:t> $40 million or greater for UNC Chapel Hill and the UNC Health Care System/ $30 million or greater for North Carolina State University/</a:t>
          </a:r>
          <a:r>
            <a:rPr lang="en-US" sz="900" b="0" i="0" strike="noStrike">
              <a:solidFill>
                <a:srgbClr val="000000"/>
              </a:solidFill>
              <a:latin typeface="Arial"/>
              <a:cs typeface="Arial"/>
            </a:rPr>
            <a:t> $10 million or greater for all other universities and major component units/ $2 million or greater for colleges and nonmajor component units. Start with the operating statement and analyze revenues and other financing sources, and expenditures/expenses and other uses. </a:t>
          </a:r>
          <a:r>
            <a:rPr lang="en-US" sz="900" b="0" i="0">
              <a:effectLst/>
              <a:latin typeface="Arial" pitchFamily="34" charset="0"/>
              <a:ea typeface="+mn-ea"/>
              <a:cs typeface="Arial" pitchFamily="34" charset="0"/>
            </a:rPr>
            <a:t>First explain the operating statement variances.</a:t>
          </a:r>
          <a:r>
            <a:rPr lang="en-US" sz="1000" b="0" i="0">
              <a:effectLst/>
              <a:latin typeface="+mn-lt"/>
              <a:ea typeface="+mn-ea"/>
              <a:cs typeface="+mn-cs"/>
            </a:rPr>
            <a:t> </a:t>
          </a:r>
          <a:r>
            <a:rPr lang="en-US" sz="900" b="0" i="0" strike="noStrike">
              <a:solidFill>
                <a:srgbClr val="000000"/>
              </a:solidFill>
              <a:latin typeface="Arial"/>
              <a:cs typeface="Arial"/>
            </a:rPr>
            <a:t>Then look at assets and liabilities</a:t>
          </a:r>
          <a:r>
            <a:rPr lang="en-US" sz="900" b="0" i="0" u="sng" strike="noStrike">
              <a:solidFill>
                <a:srgbClr val="000000"/>
              </a:solidFill>
              <a:latin typeface="Arial"/>
              <a:cs typeface="Arial"/>
            </a:rPr>
            <a:t>,</a:t>
          </a:r>
          <a:r>
            <a:rPr lang="en-US" sz="900" b="0" i="0" u="sng" strike="noStrike" baseline="0">
              <a:solidFill>
                <a:srgbClr val="000000"/>
              </a:solidFill>
              <a:latin typeface="Arial"/>
              <a:cs typeface="Arial"/>
            </a:rPr>
            <a:t>deferred outflows and inflows. </a:t>
          </a:r>
          <a:r>
            <a:rPr lang="en-US" sz="900" b="0" i="0" u="sng" strike="noStrike">
              <a:solidFill>
                <a:srgbClr val="000000"/>
              </a:solidFill>
              <a:latin typeface="Arial"/>
              <a:cs typeface="Arial"/>
            </a:rPr>
            <a:t> For BTAs, if</a:t>
          </a:r>
          <a:r>
            <a:rPr lang="en-US" sz="900" b="0" i="0" u="sng" strike="noStrike" baseline="0">
              <a:solidFill>
                <a:srgbClr val="000000"/>
              </a:solidFill>
              <a:latin typeface="Arial"/>
              <a:cs typeface="Arial"/>
            </a:rPr>
            <a:t> it is helpful for your explanation, you may combine the current and noncurrent portions for assets and liabilities to provide one explanation for significant changes.</a:t>
          </a:r>
          <a:r>
            <a:rPr lang="en-US" sz="900" b="0" i="0" strike="noStrike" baseline="0">
              <a:solidFill>
                <a:srgbClr val="000000"/>
              </a:solidFill>
              <a:latin typeface="Arial"/>
              <a:cs typeface="Arial"/>
            </a:rPr>
            <a:t> E</a:t>
          </a:r>
          <a:r>
            <a:rPr lang="en-US" sz="900" b="0" i="0" strike="noStrike">
              <a:solidFill>
                <a:srgbClr val="000000"/>
              </a:solidFill>
              <a:latin typeface="Arial"/>
              <a:cs typeface="Arial"/>
            </a:rPr>
            <a:t>xplain balance sheet variances if not already explained by the operating statement. Write an </a:t>
          </a:r>
          <a:r>
            <a:rPr lang="en-US" sz="900" b="0" i="0" u="sng" strike="noStrike">
              <a:solidFill>
                <a:srgbClr val="000000"/>
              </a:solidFill>
              <a:latin typeface="Arial"/>
              <a:cs typeface="Arial"/>
            </a:rPr>
            <a:t>informative</a:t>
          </a:r>
          <a:r>
            <a:rPr lang="en-US" sz="900" b="0" i="0" strike="noStrike">
              <a:solidFill>
                <a:srgbClr val="000000"/>
              </a:solidFill>
              <a:latin typeface="Arial"/>
              <a:cs typeface="Arial"/>
            </a:rPr>
            <a:t> description to explain variances, indicating the </a:t>
          </a:r>
          <a:r>
            <a:rPr lang="en-US" sz="900" b="1" i="1" u="sng" strike="noStrike">
              <a:solidFill>
                <a:srgbClr val="000000"/>
              </a:solidFill>
              <a:latin typeface="Arial"/>
              <a:cs typeface="Arial"/>
            </a:rPr>
            <a:t>REASON , e.g., Why did sales increase? What happened this year to cause this variance?</a:t>
          </a:r>
          <a:r>
            <a:rPr lang="en-US" sz="900" b="0" i="0" strike="noStrike">
              <a:solidFill>
                <a:srgbClr val="000000"/>
              </a:solidFill>
              <a:latin typeface="Arial"/>
              <a:cs typeface="Arial"/>
            </a:rPr>
            <a:t>  Variances</a:t>
          </a:r>
          <a:r>
            <a:rPr lang="en-US" sz="900" b="0" i="0" strike="noStrike" baseline="0">
              <a:solidFill>
                <a:srgbClr val="000000"/>
              </a:solidFill>
              <a:latin typeface="Arial"/>
              <a:cs typeface="Arial"/>
            </a:rPr>
            <a:t> in fund equity do not require explanation. </a:t>
          </a:r>
          <a:r>
            <a:rPr lang="en-US" sz="900" b="0" i="0" strike="noStrike">
              <a:solidFill>
                <a:srgbClr val="000000"/>
              </a:solidFill>
              <a:latin typeface="Arial"/>
              <a:cs typeface="Arial"/>
            </a:rPr>
            <a:t>The description area is formatted to wrap text, so take as much space as needed to explain, and just increase the height of the row to show the text. Create copies of this page for different GASBs and more space as needed. This worksheet should include unusual and significant items.  NCAS agencies should use DSS COMP reports to accumulate this information, with two-year comparative statements available to assist you. </a:t>
          </a:r>
          <a:r>
            <a:rPr lang="en-US" sz="900" b="0" i="0" u="sng" strike="noStrike">
              <a:solidFill>
                <a:srgbClr val="000000"/>
              </a:solidFill>
              <a:latin typeface="Arial"/>
              <a:cs typeface="Arial"/>
            </a:rPr>
            <a:t>Pay</a:t>
          </a:r>
          <a:r>
            <a:rPr lang="en-US" sz="900" b="0" i="0" u="sng" strike="noStrike" baseline="0">
              <a:solidFill>
                <a:srgbClr val="000000"/>
              </a:solidFill>
              <a:latin typeface="Arial"/>
              <a:cs typeface="Arial"/>
            </a:rPr>
            <a:t> particular attention to 100% or /0 changes where there is a value in the caption in one year, but not the other year.  This could indicate a misclassification which would need to be corrected or a new item/change that would need to be explained. Please use this worksheet as a tool for your own review of the statements to see that amounts are reasonable/expected and big changes can be explained. </a:t>
          </a:r>
          <a:r>
            <a:rPr lang="en-US" sz="900" b="0" i="0" u="sng" strike="noStrike">
              <a:solidFill>
                <a:srgbClr val="000000"/>
              </a:solidFill>
              <a:latin typeface="Arial"/>
              <a:cs typeface="Arial"/>
            </a:rPr>
            <a:t>See instructions for more detail</a:t>
          </a:r>
          <a:r>
            <a:rPr lang="en-US" sz="900" b="0" i="0" u="sng" strike="noStrike" baseline="0">
              <a:solidFill>
                <a:srgbClr val="000000"/>
              </a:solidFill>
              <a:latin typeface="Arial"/>
              <a:cs typeface="Arial"/>
            </a:rPr>
            <a:t> or contact your OSC analyst for additional guidance</a:t>
          </a:r>
          <a:r>
            <a:rPr lang="en-US" sz="900" b="0" i="0" u="sng" strike="noStrike">
              <a:solidFill>
                <a:srgbClr val="000000"/>
              </a:solidFill>
              <a:latin typeface="Arial"/>
              <a:cs typeface="Arial"/>
            </a:rPr>
            <a:t>.</a:t>
          </a:r>
        </a:p>
      </xdr:txBody>
    </xdr:sp>
    <xdr:clientData/>
  </xdr:twoCellAnchor>
  <xdr:twoCellAnchor>
    <xdr:from>
      <xdr:col>1</xdr:col>
      <xdr:colOff>19050</xdr:colOff>
      <xdr:row>25</xdr:row>
      <xdr:rowOff>110290</xdr:rowOff>
    </xdr:from>
    <xdr:to>
      <xdr:col>22</xdr:col>
      <xdr:colOff>0</xdr:colOff>
      <xdr:row>27</xdr:row>
      <xdr:rowOff>224590</xdr:rowOff>
    </xdr:to>
    <xdr:sp macro="" textlink="">
      <xdr:nvSpPr>
        <xdr:cNvPr id="24630" name="Text Box 2">
          <a:extLst>
            <a:ext uri="{FF2B5EF4-FFF2-40B4-BE49-F238E27FC236}">
              <a16:creationId xmlns:a16="http://schemas.microsoft.com/office/drawing/2014/main" id="{00000000-0008-0000-3700-000036600000}"/>
            </a:ext>
          </a:extLst>
        </xdr:cNvPr>
        <xdr:cNvSpPr txBox="1">
          <a:spLocks noChangeArrowheads="1"/>
        </xdr:cNvSpPr>
      </xdr:nvSpPr>
      <xdr:spPr bwMode="auto">
        <a:xfrm>
          <a:off x="19050" y="7509711"/>
          <a:ext cx="9305424" cy="495300"/>
        </a:xfrm>
        <a:prstGeom prst="rect">
          <a:avLst/>
        </a:prstGeom>
        <a:noFill/>
        <a:ln w="9525">
          <a:solidFill>
            <a:srgbClr val="000000"/>
          </a:solidFill>
          <a:miter lim="800000"/>
          <a:headEnd/>
          <a:tailEnd/>
        </a:ln>
      </xdr:spPr>
      <xdr:txBody>
        <a:bodyPr vertOverflow="clip" wrap="square" lIns="27432" tIns="22860" rIns="0" bIns="0" anchor="t" upright="1"/>
        <a:lstStyle/>
        <a:p>
          <a:pPr algn="l" rtl="0">
            <a:defRPr sz="1000"/>
          </a:pPr>
          <a:r>
            <a:rPr lang="en-US" sz="900" b="0" i="0" strike="noStrike">
              <a:solidFill>
                <a:srgbClr val="000000"/>
              </a:solidFill>
              <a:latin typeface="Arial"/>
              <a:cs typeface="Arial"/>
            </a:rPr>
            <a:t>Based on your </a:t>
          </a:r>
          <a:r>
            <a:rPr lang="en-US" sz="900" b="1" i="1" u="sng" strike="noStrike">
              <a:solidFill>
                <a:srgbClr val="000000"/>
              </a:solidFill>
              <a:latin typeface="Arial"/>
              <a:cs typeface="Arial"/>
            </a:rPr>
            <a:t>professional judgement</a:t>
          </a:r>
          <a:r>
            <a:rPr lang="en-US" sz="900" b="0" i="0" strike="noStrike">
              <a:solidFill>
                <a:srgbClr val="000000"/>
              </a:solidFill>
              <a:latin typeface="Arial"/>
              <a:cs typeface="Arial"/>
            </a:rPr>
            <a:t>, are you aware of any currently known facts, decisions, or conditions that are expected to significantly impact the State's finances in the future (e.g., approved changes in fees/tax rates, new programs, legislative changes, economic/demographic factors, etc.)?  If so, indicate below and provide supporting documentation as necessary in the attached </a:t>
          </a:r>
          <a:r>
            <a:rPr lang="en-US" sz="900" b="1" i="0" strike="noStrike">
              <a:solidFill>
                <a:srgbClr val="000000"/>
              </a:solidFill>
              <a:latin typeface="Arial"/>
              <a:cs typeface="Arial"/>
            </a:rPr>
            <a:t>ACFR Package Narratives</a:t>
          </a:r>
          <a:r>
            <a:rPr lang="en-US" sz="900" b="0" i="0" strike="noStrike">
              <a:solidFill>
                <a:srgbClr val="000000"/>
              </a:solidFill>
              <a:latin typeface="Arial"/>
              <a:cs typeface="Arial"/>
            </a:rPr>
            <a:t>.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28575</xdr:colOff>
      <xdr:row>9</xdr:row>
      <xdr:rowOff>104774</xdr:rowOff>
    </xdr:from>
    <xdr:to>
      <xdr:col>12</xdr:col>
      <xdr:colOff>0</xdr:colOff>
      <xdr:row>19</xdr:row>
      <xdr:rowOff>30480</xdr:rowOff>
    </xdr:to>
    <xdr:sp macro="" textlink="">
      <xdr:nvSpPr>
        <xdr:cNvPr id="4" name="TextBox 3">
          <a:extLst>
            <a:ext uri="{FF2B5EF4-FFF2-40B4-BE49-F238E27FC236}">
              <a16:creationId xmlns:a16="http://schemas.microsoft.com/office/drawing/2014/main" id="{00000000-0008-0000-3900-000004000000}"/>
            </a:ext>
          </a:extLst>
        </xdr:cNvPr>
        <xdr:cNvSpPr txBox="1"/>
      </xdr:nvSpPr>
      <xdr:spPr>
        <a:xfrm>
          <a:off x="28575" y="1704974"/>
          <a:ext cx="7149465" cy="16021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panose="020B0604020202020204" pitchFamily="34" charset="0"/>
              <a:cs typeface="Arial" panose="020B0604020202020204" pitchFamily="34" charset="0"/>
            </a:rPr>
            <a:t>GASB Statement 77 establishes</a:t>
          </a:r>
          <a:r>
            <a:rPr lang="en-US" sz="1100" baseline="0">
              <a:latin typeface="Arial" panose="020B0604020202020204" pitchFamily="34" charset="0"/>
              <a:cs typeface="Arial" panose="020B0604020202020204" pitchFamily="34" charset="0"/>
            </a:rPr>
            <a:t> accounting and financial reporting standards for tax abatement disclosures.  GASB 77 defines tax abatements for financial reporting purposes as, "A reduction in tax revenues that results from an agreement between one or more governments and an individual or entity in which (a) one or more governments promise to forgo tax revenues to which they are otherwise entitled and (b) the individual or entity promises to take a specific action after the agreement has been entered into that contributes to economic development or otherwise benefits the governments or the citizens of those governments."</a:t>
          </a:r>
        </a:p>
        <a:p>
          <a:endParaRPr lang="en-US" sz="1100" baseline="0">
            <a:latin typeface="Arial" panose="020B0604020202020204" pitchFamily="34" charset="0"/>
            <a:cs typeface="Arial" panose="020B0604020202020204" pitchFamily="34" charset="0"/>
          </a:endParaRPr>
        </a:p>
        <a:p>
          <a:r>
            <a:rPr lang="en-US" sz="1100" b="1" u="sng" baseline="0">
              <a:latin typeface="Arial" panose="020B0604020202020204" pitchFamily="34" charset="0"/>
              <a:cs typeface="Arial" panose="020B0604020202020204" pitchFamily="34" charset="0"/>
            </a:rPr>
            <a:t>This worksheet applies only to the Department of Commerce</a:t>
          </a:r>
          <a:r>
            <a:rPr lang="en-US" sz="1100" b="0" u="none" baseline="0">
              <a:latin typeface="Arial" panose="020B0604020202020204" pitchFamily="34" charset="0"/>
              <a:cs typeface="Arial" panose="020B0604020202020204" pitchFamily="34" charset="0"/>
            </a:rPr>
            <a:t> (NA for all other agencies and component units).</a:t>
          </a:r>
          <a:endParaRPr lang="en-US" sz="1100">
            <a:latin typeface="Arial" panose="020B060402020202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605790</xdr:colOff>
      <xdr:row>39</xdr:row>
      <xdr:rowOff>161925</xdr:rowOff>
    </xdr:from>
    <xdr:to>
      <xdr:col>16</xdr:col>
      <xdr:colOff>596265</xdr:colOff>
      <xdr:row>42</xdr:row>
      <xdr:rowOff>19050</xdr:rowOff>
    </xdr:to>
    <xdr:sp macro="" textlink="">
      <xdr:nvSpPr>
        <xdr:cNvPr id="30721" name="Text 2">
          <a:extLst>
            <a:ext uri="{FF2B5EF4-FFF2-40B4-BE49-F238E27FC236}">
              <a16:creationId xmlns:a16="http://schemas.microsoft.com/office/drawing/2014/main" id="{00000000-0008-0000-3B00-000001780000}"/>
            </a:ext>
          </a:extLst>
        </xdr:cNvPr>
        <xdr:cNvSpPr>
          <a:spLocks noChangeArrowheads="1"/>
        </xdr:cNvSpPr>
      </xdr:nvSpPr>
      <xdr:spPr bwMode="auto">
        <a:xfrm>
          <a:off x="4184650" y="6010275"/>
          <a:ext cx="1914525" cy="352425"/>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0" anchor="t" upright="1"/>
        <a:lstStyle/>
        <a:p>
          <a:pPr algn="l" rtl="0">
            <a:defRPr sz="1000"/>
          </a:pPr>
          <a:r>
            <a:rPr lang="en-US" sz="800" b="1" i="0" strike="noStrike">
              <a:solidFill>
                <a:srgbClr val="000000"/>
              </a:solidFill>
              <a:latin typeface="Arial"/>
              <a:cs typeface="Arial"/>
            </a:rPr>
            <a:t>Note:  </a:t>
          </a:r>
          <a:r>
            <a:rPr lang="en-US" sz="800" b="0" i="0" strike="noStrike">
              <a:solidFill>
                <a:srgbClr val="000000"/>
              </a:solidFill>
              <a:latin typeface="Arial"/>
              <a:cs typeface="Arial"/>
            </a:rPr>
            <a:t>The sum of columns </a:t>
          </a:r>
          <a:r>
            <a:rPr lang="en-US" sz="800" b="1" i="0" strike="noStrike">
              <a:solidFill>
                <a:srgbClr val="000000"/>
              </a:solidFill>
              <a:latin typeface="Arial"/>
              <a:cs typeface="Arial"/>
            </a:rPr>
            <a:t>(B)</a:t>
          </a:r>
          <a:r>
            <a:rPr lang="en-US" sz="800" b="0" i="0" strike="noStrike">
              <a:solidFill>
                <a:srgbClr val="000000"/>
              </a:solidFill>
              <a:latin typeface="Arial"/>
              <a:cs typeface="Arial"/>
            </a:rPr>
            <a:t>, </a:t>
          </a:r>
          <a:r>
            <a:rPr lang="en-US" sz="800" b="1" i="0" strike="noStrike">
              <a:solidFill>
                <a:srgbClr val="000000"/>
              </a:solidFill>
              <a:latin typeface="Arial"/>
              <a:cs typeface="Arial"/>
            </a:rPr>
            <a:t>(C)</a:t>
          </a:r>
          <a:r>
            <a:rPr lang="en-US" sz="800" b="0" i="0" strike="noStrike">
              <a:solidFill>
                <a:srgbClr val="000000"/>
              </a:solidFill>
              <a:latin typeface="Arial"/>
              <a:cs typeface="Arial"/>
            </a:rPr>
            <a:t> and</a:t>
          </a:r>
          <a:r>
            <a:rPr lang="en-US" sz="800" b="1" i="0" strike="noStrike">
              <a:solidFill>
                <a:srgbClr val="000000"/>
              </a:solidFill>
              <a:latin typeface="Arial"/>
              <a:cs typeface="Arial"/>
            </a:rPr>
            <a:t> (D)</a:t>
          </a:r>
          <a:r>
            <a:rPr lang="en-US" sz="800" b="0" i="0" strike="noStrike">
              <a:solidFill>
                <a:srgbClr val="000000"/>
              </a:solidFill>
              <a:latin typeface="Arial"/>
              <a:cs typeface="Arial"/>
            </a:rPr>
            <a:t> must equal column </a:t>
          </a:r>
          <a:r>
            <a:rPr lang="en-US" sz="800" b="1" i="0" strike="noStrike">
              <a:solidFill>
                <a:srgbClr val="000000"/>
              </a:solidFill>
              <a:latin typeface="Arial"/>
              <a:cs typeface="Arial"/>
            </a:rPr>
            <a:t>(A)</a:t>
          </a:r>
          <a:r>
            <a:rPr lang="en-US" sz="800" b="0" i="0" strike="noStrike">
              <a:solidFill>
                <a:srgbClr val="000000"/>
              </a:solidFill>
              <a:latin typeface="Arial"/>
              <a:cs typeface="Arial"/>
            </a:rPr>
            <a:t>.</a:t>
          </a:r>
        </a:p>
      </xdr:txBody>
    </xdr:sp>
    <xdr:clientData/>
  </xdr:twoCellAnchor>
  <xdr:twoCellAnchor>
    <xdr:from>
      <xdr:col>1</xdr:col>
      <xdr:colOff>255270</xdr:colOff>
      <xdr:row>62</xdr:row>
      <xdr:rowOff>87630</xdr:rowOff>
    </xdr:from>
    <xdr:to>
      <xdr:col>10</xdr:col>
      <xdr:colOff>609600</xdr:colOff>
      <xdr:row>67</xdr:row>
      <xdr:rowOff>66675</xdr:rowOff>
    </xdr:to>
    <xdr:sp macro="" textlink="">
      <xdr:nvSpPr>
        <xdr:cNvPr id="30722" name="Text 1">
          <a:extLst>
            <a:ext uri="{FF2B5EF4-FFF2-40B4-BE49-F238E27FC236}">
              <a16:creationId xmlns:a16="http://schemas.microsoft.com/office/drawing/2014/main" id="{00000000-0008-0000-3B00-000002780000}"/>
            </a:ext>
          </a:extLst>
        </xdr:cNvPr>
        <xdr:cNvSpPr>
          <a:spLocks noChangeArrowheads="1"/>
        </xdr:cNvSpPr>
      </xdr:nvSpPr>
      <xdr:spPr bwMode="auto">
        <a:xfrm>
          <a:off x="255270" y="9364980"/>
          <a:ext cx="2754630" cy="779145"/>
        </a:xfrm>
        <a:prstGeom prst="roundRect">
          <a:avLst>
            <a:gd name="adj" fmla="val 16667"/>
          </a:avLst>
        </a:prstGeom>
        <a:solidFill>
          <a:sysClr val="window" lastClr="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27432" bIns="0" anchor="t" upright="1"/>
        <a:lstStyle/>
        <a:p>
          <a:pPr algn="ctr" rtl="0">
            <a:defRPr sz="1000"/>
          </a:pPr>
          <a:r>
            <a:rPr lang="en-US" sz="900" b="1" i="0" strike="noStrike">
              <a:solidFill>
                <a:srgbClr val="000000"/>
              </a:solidFill>
              <a:latin typeface="Arial"/>
              <a:cs typeface="Arial"/>
            </a:rPr>
            <a:t>Note:</a:t>
          </a:r>
          <a:endParaRPr lang="en-US" sz="900" b="0" i="0" strike="noStrike">
            <a:solidFill>
              <a:srgbClr val="000000"/>
            </a:solidFill>
            <a:latin typeface="Arial"/>
            <a:cs typeface="Arial"/>
          </a:endParaRPr>
        </a:p>
        <a:p>
          <a:pPr algn="ctr" rtl="0">
            <a:defRPr sz="1000"/>
          </a:pPr>
          <a:r>
            <a:rPr lang="en-US" sz="900" b="0" i="1" strike="noStrike">
              <a:solidFill>
                <a:srgbClr val="000000"/>
              </a:solidFill>
              <a:latin typeface="Arial"/>
              <a:cs typeface="Arial"/>
            </a:rPr>
            <a:t>Total must equal 11G/11P/11F/905.  </a:t>
          </a:r>
          <a:r>
            <a:rPr lang="en-US" sz="900" b="1" i="1" strike="noStrike">
              <a:solidFill>
                <a:srgbClr val="000000"/>
              </a:solidFill>
              <a:latin typeface="Arial"/>
              <a:cs typeface="Arial"/>
            </a:rPr>
            <a:t>Exception for Universities:  </a:t>
          </a:r>
          <a:r>
            <a:rPr lang="en-US" sz="900" b="0" i="1" strike="noStrike">
              <a:solidFill>
                <a:srgbClr val="000000"/>
              </a:solidFill>
              <a:latin typeface="Arial"/>
              <a:cs typeface="Arial"/>
            </a:rPr>
            <a:t>Any difference must be equal to GASB 39 foundation investments and/or</a:t>
          </a:r>
          <a:r>
            <a:rPr lang="en-US" sz="900" b="0" i="1" strike="noStrike" baseline="0">
              <a:solidFill>
                <a:srgbClr val="000000"/>
              </a:solidFill>
              <a:latin typeface="Arial"/>
              <a:cs typeface="Arial"/>
            </a:rPr>
            <a:t> external investment pools</a:t>
          </a:r>
          <a:r>
            <a:rPr lang="en-US" sz="900" b="0" i="1" strike="noStrike">
              <a:solidFill>
                <a:srgbClr val="000000"/>
              </a:solidFill>
              <a:latin typeface="Arial"/>
              <a:cs typeface="Arial"/>
            </a:rPr>
            <a: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66675</xdr:colOff>
      <xdr:row>42</xdr:row>
      <xdr:rowOff>11430</xdr:rowOff>
    </xdr:from>
    <xdr:to>
      <xdr:col>15</xdr:col>
      <xdr:colOff>66675</xdr:colOff>
      <xdr:row>47</xdr:row>
      <xdr:rowOff>133350</xdr:rowOff>
    </xdr:to>
    <xdr:sp macro="" textlink="">
      <xdr:nvSpPr>
        <xdr:cNvPr id="31745" name="Text 2">
          <a:extLst>
            <a:ext uri="{FF2B5EF4-FFF2-40B4-BE49-F238E27FC236}">
              <a16:creationId xmlns:a16="http://schemas.microsoft.com/office/drawing/2014/main" id="{00000000-0008-0000-3E00-0000017C0000}"/>
            </a:ext>
          </a:extLst>
        </xdr:cNvPr>
        <xdr:cNvSpPr>
          <a:spLocks noChangeArrowheads="1"/>
        </xdr:cNvSpPr>
      </xdr:nvSpPr>
      <xdr:spPr bwMode="auto">
        <a:xfrm>
          <a:off x="5057775" y="5915025"/>
          <a:ext cx="2076450" cy="542925"/>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0" anchor="t" upright="1"/>
        <a:lstStyle/>
        <a:p>
          <a:pPr algn="l" rtl="0">
            <a:defRPr sz="1000"/>
          </a:pPr>
          <a:r>
            <a:rPr lang="en-US" sz="800" b="1" i="0" strike="noStrike">
              <a:solidFill>
                <a:srgbClr val="000000"/>
              </a:solidFill>
              <a:latin typeface="Arial"/>
              <a:cs typeface="Arial"/>
            </a:rPr>
            <a:t>Note:  </a:t>
          </a:r>
          <a:r>
            <a:rPr lang="en-US" sz="800" b="0" i="0" strike="noStrike">
              <a:solidFill>
                <a:srgbClr val="000000"/>
              </a:solidFill>
              <a:latin typeface="Arial"/>
              <a:cs typeface="Arial"/>
            </a:rPr>
            <a:t>For investments subject to interest rate risk, the sum of columns </a:t>
          </a:r>
          <a:r>
            <a:rPr lang="en-US" sz="800" b="1" i="0" strike="noStrike">
              <a:solidFill>
                <a:srgbClr val="000000"/>
              </a:solidFill>
              <a:latin typeface="Arial"/>
              <a:cs typeface="Arial"/>
            </a:rPr>
            <a:t>(B)</a:t>
          </a:r>
          <a:r>
            <a:rPr lang="en-US" sz="800" b="0" i="0" strike="noStrike">
              <a:solidFill>
                <a:srgbClr val="000000"/>
              </a:solidFill>
              <a:latin typeface="Arial"/>
              <a:cs typeface="Arial"/>
            </a:rPr>
            <a:t>, </a:t>
          </a:r>
          <a:r>
            <a:rPr lang="en-US" sz="800" b="1" i="0" strike="noStrike">
              <a:solidFill>
                <a:srgbClr val="000000"/>
              </a:solidFill>
              <a:latin typeface="Arial"/>
              <a:cs typeface="Arial"/>
            </a:rPr>
            <a:t>(C)</a:t>
          </a:r>
          <a:r>
            <a:rPr lang="en-US" sz="800" b="0" i="0" strike="noStrike">
              <a:solidFill>
                <a:srgbClr val="000000"/>
              </a:solidFill>
              <a:latin typeface="Arial"/>
              <a:cs typeface="Arial"/>
            </a:rPr>
            <a:t> </a:t>
          </a:r>
          <a:r>
            <a:rPr lang="en-US" sz="800" b="1" i="0" strike="noStrike">
              <a:solidFill>
                <a:srgbClr val="000000"/>
              </a:solidFill>
              <a:latin typeface="Arial"/>
              <a:cs typeface="Arial"/>
            </a:rPr>
            <a:t>(D), and (E) </a:t>
          </a:r>
          <a:r>
            <a:rPr lang="en-US" sz="800" b="0" i="0" strike="noStrike">
              <a:solidFill>
                <a:srgbClr val="000000"/>
              </a:solidFill>
              <a:latin typeface="Arial"/>
              <a:cs typeface="Arial"/>
            </a:rPr>
            <a:t>must equal column </a:t>
          </a:r>
          <a:r>
            <a:rPr lang="en-US" sz="800" b="1" i="0" strike="noStrike">
              <a:solidFill>
                <a:srgbClr val="000000"/>
              </a:solidFill>
              <a:latin typeface="Arial"/>
              <a:cs typeface="Arial"/>
            </a:rPr>
            <a:t>(A)</a:t>
          </a:r>
          <a:r>
            <a:rPr lang="en-US" sz="800" b="0" i="0" strike="noStrike">
              <a:solidFill>
                <a:srgbClr val="000000"/>
              </a:solidFill>
              <a:latin typeface="Arial"/>
              <a:cs typeface="Arial"/>
            </a:rPr>
            <a: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85725</xdr:colOff>
      <xdr:row>11</xdr:row>
      <xdr:rowOff>57150</xdr:rowOff>
    </xdr:from>
    <xdr:to>
      <xdr:col>11</xdr:col>
      <xdr:colOff>28575</xdr:colOff>
      <xdr:row>15</xdr:row>
      <xdr:rowOff>57150</xdr:rowOff>
    </xdr:to>
    <xdr:sp macro="" textlink="">
      <xdr:nvSpPr>
        <xdr:cNvPr id="2" name="Text 2">
          <a:extLst>
            <a:ext uri="{FF2B5EF4-FFF2-40B4-BE49-F238E27FC236}">
              <a16:creationId xmlns:a16="http://schemas.microsoft.com/office/drawing/2014/main" id="{00000000-0008-0000-4400-000002000000}"/>
            </a:ext>
          </a:extLst>
        </xdr:cNvPr>
        <xdr:cNvSpPr>
          <a:spLocks noChangeArrowheads="1"/>
        </xdr:cNvSpPr>
      </xdr:nvSpPr>
      <xdr:spPr bwMode="auto">
        <a:xfrm>
          <a:off x="1762125" y="1876425"/>
          <a:ext cx="1666875" cy="466725"/>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0" anchor="t" upright="1"/>
        <a:lstStyle/>
        <a:p>
          <a:pPr algn="l" rtl="0">
            <a:defRPr sz="1000"/>
          </a:pPr>
          <a:r>
            <a:rPr lang="en-US" sz="800" b="1" i="0" strike="noStrike">
              <a:solidFill>
                <a:srgbClr val="000000"/>
              </a:solidFill>
              <a:latin typeface="Arial"/>
              <a:cs typeface="Arial"/>
            </a:rPr>
            <a:t>Note:  </a:t>
          </a:r>
          <a:r>
            <a:rPr lang="en-US" sz="800" b="0" i="0" strike="noStrike">
              <a:solidFill>
                <a:srgbClr val="000000"/>
              </a:solidFill>
              <a:latin typeface="Arial"/>
              <a:cs typeface="Arial"/>
            </a:rPr>
            <a:t>The sum of columns </a:t>
          </a:r>
          <a:r>
            <a:rPr lang="en-US" sz="800" b="1" i="0" strike="noStrike">
              <a:solidFill>
                <a:srgbClr val="000000"/>
              </a:solidFill>
              <a:latin typeface="Arial"/>
              <a:cs typeface="Arial"/>
            </a:rPr>
            <a:t>(B)</a:t>
          </a:r>
          <a:r>
            <a:rPr lang="en-US" sz="800" b="0" i="0" strike="noStrike">
              <a:solidFill>
                <a:srgbClr val="000000"/>
              </a:solidFill>
              <a:latin typeface="Arial"/>
              <a:cs typeface="Arial"/>
            </a:rPr>
            <a:t>, </a:t>
          </a:r>
          <a:r>
            <a:rPr lang="en-US" sz="800" b="1" i="0" strike="noStrike">
              <a:solidFill>
                <a:srgbClr val="000000"/>
              </a:solidFill>
              <a:latin typeface="Arial"/>
              <a:cs typeface="Arial"/>
            </a:rPr>
            <a:t>(C), (D)</a:t>
          </a:r>
          <a:r>
            <a:rPr lang="en-US" sz="800" b="0" i="0" strike="noStrike">
              <a:solidFill>
                <a:srgbClr val="000000"/>
              </a:solidFill>
              <a:latin typeface="Arial"/>
              <a:cs typeface="Arial"/>
            </a:rPr>
            <a:t>,</a:t>
          </a:r>
          <a:r>
            <a:rPr lang="en-US" sz="800" b="0" i="0" strike="noStrike" baseline="0">
              <a:solidFill>
                <a:srgbClr val="000000"/>
              </a:solidFill>
              <a:latin typeface="Arial"/>
              <a:cs typeface="Arial"/>
            </a:rPr>
            <a:t> and </a:t>
          </a:r>
          <a:r>
            <a:rPr lang="en-US" sz="800" b="1" i="0" strike="noStrike" baseline="0">
              <a:solidFill>
                <a:srgbClr val="000000"/>
              </a:solidFill>
              <a:latin typeface="Arial"/>
              <a:cs typeface="Arial"/>
            </a:rPr>
            <a:t>(E)</a:t>
          </a:r>
          <a:r>
            <a:rPr lang="en-US" sz="800" b="0" i="0" strike="noStrike" baseline="0">
              <a:solidFill>
                <a:srgbClr val="000000"/>
              </a:solidFill>
              <a:latin typeface="Arial"/>
              <a:cs typeface="Arial"/>
            </a:rPr>
            <a:t> </a:t>
          </a:r>
          <a:r>
            <a:rPr lang="en-US" sz="800" b="0" i="0" strike="noStrike">
              <a:solidFill>
                <a:srgbClr val="000000"/>
              </a:solidFill>
              <a:latin typeface="Arial"/>
              <a:cs typeface="Arial"/>
            </a:rPr>
            <a:t>must equal column </a:t>
          </a:r>
          <a:r>
            <a:rPr lang="en-US" sz="800" b="1" i="0" strike="noStrike">
              <a:solidFill>
                <a:srgbClr val="000000"/>
              </a:solidFill>
              <a:latin typeface="Arial"/>
              <a:cs typeface="Arial"/>
            </a:rPr>
            <a:t>(A)</a:t>
          </a:r>
          <a:r>
            <a:rPr lang="en-US" sz="800" b="0" i="0" strike="noStrike">
              <a:solidFill>
                <a:srgbClr val="000000"/>
              </a:solidFill>
              <a:latin typeface="Arial"/>
              <a:cs typeface="Arial"/>
            </a:rPr>
            <a: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114300</xdr:colOff>
      <xdr:row>0</xdr:row>
      <xdr:rowOff>47624</xdr:rowOff>
    </xdr:from>
    <xdr:to>
      <xdr:col>1</xdr:col>
      <xdr:colOff>1019175</xdr:colOff>
      <xdr:row>0</xdr:row>
      <xdr:rowOff>333375</xdr:rowOff>
    </xdr:to>
    <xdr:sp macro="" textlink="">
      <xdr:nvSpPr>
        <xdr:cNvPr id="2" name="Flowchart: Process 1">
          <a:hlinkClick xmlns:r="http://schemas.openxmlformats.org/officeDocument/2006/relationships" r:id="rId1"/>
          <a:extLst>
            <a:ext uri="{FF2B5EF4-FFF2-40B4-BE49-F238E27FC236}">
              <a16:creationId xmlns:a16="http://schemas.microsoft.com/office/drawing/2014/main" id="{2B094679-6270-8AEF-F1C4-A20D42478809}"/>
            </a:ext>
          </a:extLst>
        </xdr:cNvPr>
        <xdr:cNvSpPr/>
      </xdr:nvSpPr>
      <xdr:spPr bwMode="auto">
        <a:xfrm>
          <a:off x="114300" y="47624"/>
          <a:ext cx="1981200" cy="285751"/>
        </a:xfrm>
        <a:prstGeom prst="flowChartProcess">
          <a:avLst/>
        </a:prstGeom>
        <a:solidFill>
          <a:schemeClr val="accent5">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b="1">
              <a:solidFill>
                <a:srgbClr val="0000FF"/>
              </a:solidFill>
            </a:rPr>
            <a:t>NCAS-NCFS COA Mapping link</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ncconnect.sharepoint.com/sites/CAFR/ACFR%20Team%20Documents/2024NCASexcl.xlsx" TargetMode="External"/><Relationship Id="rId1" Type="http://schemas.openxmlformats.org/officeDocument/2006/relationships/externalLinkPath" Target="https://ncosc.sharepoint.com/sites/CAFR/ACFR%20Team%20Documents/2024NCASexc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ncosc-my.sharepoint.com/Users/ayekula/Documents/Anil/NC/NC%20State/Files%20from%20Laura/Interfund%20Information/2024%20NonMajorC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
      <sheetName val="Pkg Updates"/>
      <sheetName val="Index"/>
      <sheetName val="Dashboard"/>
      <sheetName val="101"/>
      <sheetName val="105"/>
      <sheetName val="110"/>
      <sheetName val="120"/>
      <sheetName val="201"/>
      <sheetName val="202"/>
      <sheetName val="203"/>
      <sheetName val="210"/>
      <sheetName val="215"/>
      <sheetName val="220"/>
      <sheetName val="301"/>
      <sheetName val="302"/>
      <sheetName val="303"/>
      <sheetName val="304"/>
      <sheetName val="305"/>
      <sheetName val="310"/>
      <sheetName val="315"/>
      <sheetName val="320"/>
      <sheetName val="322"/>
      <sheetName val="323"/>
      <sheetName val="325"/>
      <sheetName val="330"/>
      <sheetName val="338"/>
      <sheetName val="340"/>
      <sheetName val="341"/>
      <sheetName val="342"/>
      <sheetName val="345"/>
      <sheetName val="350"/>
      <sheetName val="355"/>
      <sheetName val="365"/>
      <sheetName val="370"/>
      <sheetName val="375-A"/>
      <sheetName val="375-B"/>
      <sheetName val="401"/>
      <sheetName val="405"/>
      <sheetName val="410"/>
      <sheetName val="415"/>
      <sheetName val="420"/>
      <sheetName val="425"/>
      <sheetName val="430G"/>
      <sheetName val="430BTA"/>
      <sheetName val="430F"/>
      <sheetName val="431G"/>
      <sheetName val="431BTA"/>
      <sheetName val="431BTA-CU"/>
      <sheetName val="431F"/>
      <sheetName val="501"/>
      <sheetName val="505"/>
      <sheetName val="510"/>
      <sheetName val="515"/>
      <sheetName val="520"/>
      <sheetName val="525"/>
      <sheetName val="530"/>
      <sheetName val="535"/>
      <sheetName val="540"/>
      <sheetName val="545"/>
      <sheetName val="546"/>
      <sheetName val="550"/>
      <sheetName val="555"/>
      <sheetName val="560"/>
      <sheetName val="565"/>
      <sheetName val="570"/>
      <sheetName val="602"/>
      <sheetName val="605"/>
      <sheetName val="610"/>
      <sheetName val="615"/>
      <sheetName val="616"/>
      <sheetName val="620"/>
      <sheetName val="625"/>
      <sheetName val="635"/>
      <sheetName val="640"/>
      <sheetName val="705"/>
      <sheetName val="710"/>
      <sheetName val="715"/>
      <sheetName val="720"/>
      <sheetName val="725"/>
      <sheetName val="730"/>
      <sheetName val="735"/>
      <sheetName val="740"/>
      <sheetName val="745"/>
      <sheetName val="755"/>
      <sheetName val="756"/>
      <sheetName val="760"/>
      <sheetName val="765"/>
      <sheetName val="905"/>
      <sheetName val="For 905-NCAS Acct Roll-up"/>
      <sheetName val="905Hosp"/>
      <sheetName val="906-6B"/>
      <sheetName val="906-6C"/>
      <sheetName val="906-6BC"/>
      <sheetName val="907"/>
      <sheetName val="908"/>
      <sheetName val="910"/>
      <sheetName val="910Hosp"/>
      <sheetName val="911-6B"/>
      <sheetName val="911-6C"/>
      <sheetName val="Explanations"/>
      <sheetName val="Comments"/>
      <sheetName val="Agencies"/>
      <sheetName val="Functional"/>
      <sheetName val="NetPosition"/>
      <sheetName val="PriorYr905"/>
      <sheetName val="PriorYr906"/>
      <sheetName val="All Agencies"/>
      <sheetName val="OSC Analysts"/>
      <sheetName val="Data"/>
      <sheetName val="Errors"/>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ow r="5">
          <cell r="K5" t="str">
            <v>01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row r="3">
          <cell r="A3" t="str">
            <v>01 North Carolina General Assembly</v>
          </cell>
        </row>
        <row r="71">
          <cell r="B71" t="str">
            <v>01</v>
          </cell>
        </row>
        <row r="72">
          <cell r="B72" t="str">
            <v>02</v>
          </cell>
        </row>
        <row r="73">
          <cell r="B73" t="str">
            <v>03</v>
          </cell>
        </row>
        <row r="74">
          <cell r="B74" t="str">
            <v>04</v>
          </cell>
        </row>
        <row r="75">
          <cell r="B75" t="str">
            <v>05</v>
          </cell>
        </row>
        <row r="76">
          <cell r="B76" t="str">
            <v>06</v>
          </cell>
        </row>
        <row r="77">
          <cell r="B77" t="str">
            <v>07</v>
          </cell>
        </row>
        <row r="78">
          <cell r="B78" t="str">
            <v>08</v>
          </cell>
        </row>
        <row r="79">
          <cell r="B79" t="str">
            <v>09</v>
          </cell>
        </row>
        <row r="80">
          <cell r="B80" t="str">
            <v>10</v>
          </cell>
        </row>
        <row r="81">
          <cell r="B81" t="str">
            <v>11</v>
          </cell>
        </row>
        <row r="82">
          <cell r="B82" t="str">
            <v>12</v>
          </cell>
        </row>
        <row r="83">
          <cell r="B83" t="str">
            <v>13</v>
          </cell>
        </row>
        <row r="84">
          <cell r="B84" t="str">
            <v>14</v>
          </cell>
        </row>
        <row r="85">
          <cell r="B85" t="str">
            <v>15</v>
          </cell>
        </row>
        <row r="86">
          <cell r="B86" t="str">
            <v>16</v>
          </cell>
        </row>
        <row r="87">
          <cell r="B87" t="str">
            <v>17</v>
          </cell>
        </row>
        <row r="88">
          <cell r="B88" t="str">
            <v>19</v>
          </cell>
        </row>
        <row r="89">
          <cell r="B89" t="str">
            <v>2X</v>
          </cell>
        </row>
        <row r="90">
          <cell r="B90" t="str">
            <v>3X</v>
          </cell>
        </row>
        <row r="91">
          <cell r="B91" t="str">
            <v>40</v>
          </cell>
        </row>
        <row r="92">
          <cell r="B92" t="str">
            <v>41</v>
          </cell>
        </row>
        <row r="93">
          <cell r="B93" t="str">
            <v>43</v>
          </cell>
        </row>
        <row r="94">
          <cell r="B94" t="str">
            <v>45</v>
          </cell>
        </row>
        <row r="95">
          <cell r="B95" t="str">
            <v>46</v>
          </cell>
        </row>
        <row r="96">
          <cell r="B96" t="str">
            <v>50</v>
          </cell>
        </row>
        <row r="97">
          <cell r="B97" t="str">
            <v>60</v>
          </cell>
        </row>
        <row r="98">
          <cell r="B98" t="str">
            <v>61</v>
          </cell>
        </row>
        <row r="99">
          <cell r="B99" t="str">
            <v>67</v>
          </cell>
        </row>
        <row r="100">
          <cell r="B100" t="str">
            <v>69</v>
          </cell>
        </row>
        <row r="101">
          <cell r="B101" t="str">
            <v>6BC</v>
          </cell>
        </row>
        <row r="102">
          <cell r="B102" t="str">
            <v>90</v>
          </cell>
        </row>
        <row r="103">
          <cell r="B103" t="str">
            <v>99</v>
          </cell>
        </row>
        <row r="104">
          <cell r="B104" t="str">
            <v>RX</v>
          </cell>
        </row>
        <row r="105">
          <cell r="B105" t="str">
            <v>48X</v>
          </cell>
        </row>
        <row r="106">
          <cell r="B106" t="str">
            <v>48</v>
          </cell>
        </row>
        <row r="107">
          <cell r="B107" t="str">
            <v>48E</v>
          </cell>
        </row>
        <row r="108">
          <cell r="B108" t="str">
            <v>48L</v>
          </cell>
        </row>
        <row r="109">
          <cell r="B109" t="str">
            <v>48R</v>
          </cell>
        </row>
        <row r="110">
          <cell r="B110" t="str">
            <v>48C</v>
          </cell>
        </row>
        <row r="111">
          <cell r="B111" t="str">
            <v>48T</v>
          </cell>
        </row>
        <row r="112">
          <cell r="B112" t="str">
            <v>48RH</v>
          </cell>
        </row>
        <row r="113">
          <cell r="B113" t="str">
            <v>48CW</v>
          </cell>
        </row>
        <row r="114">
          <cell r="B114" t="str">
            <v>87</v>
          </cell>
        </row>
        <row r="115">
          <cell r="B115" t="str">
            <v>U10</v>
          </cell>
        </row>
        <row r="116">
          <cell r="B116" t="str">
            <v>U20</v>
          </cell>
        </row>
        <row r="117">
          <cell r="B117" t="str">
            <v>U30</v>
          </cell>
        </row>
        <row r="118">
          <cell r="B118" t="str">
            <v>U40</v>
          </cell>
        </row>
        <row r="119">
          <cell r="B119" t="str">
            <v>U50</v>
          </cell>
        </row>
        <row r="120">
          <cell r="B120" t="str">
            <v>U55</v>
          </cell>
        </row>
        <row r="121">
          <cell r="B121" t="str">
            <v>U60</v>
          </cell>
        </row>
        <row r="122">
          <cell r="B122" t="str">
            <v>U65</v>
          </cell>
        </row>
        <row r="123">
          <cell r="B123" t="str">
            <v>U70</v>
          </cell>
        </row>
        <row r="124">
          <cell r="B124" t="str">
            <v>U75</v>
          </cell>
        </row>
        <row r="125">
          <cell r="B125" t="str">
            <v>U80</v>
          </cell>
        </row>
        <row r="126">
          <cell r="B126" t="str">
            <v>U82</v>
          </cell>
        </row>
        <row r="127">
          <cell r="B127" t="str">
            <v>U84</v>
          </cell>
        </row>
        <row r="128">
          <cell r="B128" t="str">
            <v>U86</v>
          </cell>
        </row>
        <row r="129">
          <cell r="B129" t="str">
            <v>U88</v>
          </cell>
        </row>
        <row r="130">
          <cell r="B130" t="str">
            <v>U90</v>
          </cell>
        </row>
        <row r="131">
          <cell r="B131" t="str">
            <v>U92</v>
          </cell>
        </row>
        <row r="132">
          <cell r="B132" t="str">
            <v>0A</v>
          </cell>
        </row>
        <row r="133">
          <cell r="B133" t="str">
            <v>Z2</v>
          </cell>
        </row>
        <row r="134">
          <cell r="B134" t="str">
            <v>Z3</v>
          </cell>
        </row>
        <row r="135">
          <cell r="B135" t="str">
            <v>Z3F</v>
          </cell>
        </row>
        <row r="136">
          <cell r="B136" t="str">
            <v>Z7</v>
          </cell>
        </row>
        <row r="137">
          <cell r="B137" t="str">
            <v>ZA</v>
          </cell>
        </row>
        <row r="138">
          <cell r="B138" t="str">
            <v>ZB</v>
          </cell>
        </row>
        <row r="139">
          <cell r="B139" t="str">
            <v>ZG</v>
          </cell>
        </row>
        <row r="140">
          <cell r="B140" t="str">
            <v>ZH</v>
          </cell>
        </row>
        <row r="141">
          <cell r="B141" t="str">
            <v>ZI</v>
          </cell>
        </row>
        <row r="142">
          <cell r="B142" t="str">
            <v>ZL</v>
          </cell>
        </row>
        <row r="143">
          <cell r="B143" t="str">
            <v>ZM</v>
          </cell>
        </row>
        <row r="144">
          <cell r="B144" t="str">
            <v>C0</v>
          </cell>
        </row>
        <row r="145">
          <cell r="B145" t="str">
            <v>C2</v>
          </cell>
        </row>
        <row r="146">
          <cell r="B146" t="str">
            <v>C3</v>
          </cell>
        </row>
        <row r="147">
          <cell r="B147" t="str">
            <v>C4</v>
          </cell>
        </row>
        <row r="148">
          <cell r="B148" t="str">
            <v>C5</v>
          </cell>
        </row>
        <row r="149">
          <cell r="B149" t="str">
            <v>C6</v>
          </cell>
        </row>
        <row r="150">
          <cell r="B150" t="str">
            <v>C7</v>
          </cell>
        </row>
        <row r="151">
          <cell r="B151" t="str">
            <v>C8</v>
          </cell>
        </row>
        <row r="152">
          <cell r="B152" t="str">
            <v>C9</v>
          </cell>
        </row>
        <row r="153">
          <cell r="B153" t="str">
            <v>CA</v>
          </cell>
        </row>
        <row r="154">
          <cell r="B154" t="str">
            <v>CB</v>
          </cell>
        </row>
        <row r="155">
          <cell r="B155" t="str">
            <v>CC</v>
          </cell>
        </row>
        <row r="156">
          <cell r="B156" t="str">
            <v>CD</v>
          </cell>
        </row>
        <row r="157">
          <cell r="B157" t="str">
            <v>CE</v>
          </cell>
        </row>
        <row r="158">
          <cell r="B158" t="str">
            <v>CF</v>
          </cell>
        </row>
        <row r="159">
          <cell r="B159" t="str">
            <v>CG</v>
          </cell>
        </row>
        <row r="160">
          <cell r="B160" t="str">
            <v>CH</v>
          </cell>
        </row>
        <row r="161">
          <cell r="B161" t="str">
            <v>CJ</v>
          </cell>
        </row>
        <row r="162">
          <cell r="B162" t="str">
            <v>CK</v>
          </cell>
        </row>
        <row r="163">
          <cell r="B163" t="str">
            <v>CL</v>
          </cell>
        </row>
        <row r="164">
          <cell r="B164" t="str">
            <v>CM</v>
          </cell>
        </row>
        <row r="165">
          <cell r="B165" t="str">
            <v>CN</v>
          </cell>
        </row>
        <row r="166">
          <cell r="B166" t="str">
            <v>CP</v>
          </cell>
        </row>
        <row r="167">
          <cell r="B167" t="str">
            <v>CQ</v>
          </cell>
        </row>
        <row r="168">
          <cell r="B168" t="str">
            <v>CR</v>
          </cell>
        </row>
        <row r="169">
          <cell r="B169" t="str">
            <v>CS</v>
          </cell>
        </row>
        <row r="170">
          <cell r="B170" t="str">
            <v>CT</v>
          </cell>
        </row>
        <row r="171">
          <cell r="B171" t="str">
            <v>CU</v>
          </cell>
        </row>
        <row r="172">
          <cell r="B172" t="str">
            <v>CV</v>
          </cell>
        </row>
        <row r="173">
          <cell r="B173" t="str">
            <v>CW</v>
          </cell>
        </row>
        <row r="174">
          <cell r="B174" t="str">
            <v>CX</v>
          </cell>
        </row>
        <row r="175">
          <cell r="B175" t="str">
            <v>CY</v>
          </cell>
        </row>
        <row r="176">
          <cell r="B176" t="str">
            <v>CZ</v>
          </cell>
        </row>
        <row r="177">
          <cell r="B177" t="str">
            <v>D0</v>
          </cell>
        </row>
        <row r="178">
          <cell r="B178" t="str">
            <v>D1</v>
          </cell>
        </row>
        <row r="179">
          <cell r="B179" t="str">
            <v>D2</v>
          </cell>
        </row>
        <row r="180">
          <cell r="B180" t="str">
            <v>D3</v>
          </cell>
        </row>
        <row r="181">
          <cell r="B181" t="str">
            <v>D4</v>
          </cell>
        </row>
        <row r="182">
          <cell r="B182" t="str">
            <v>D5</v>
          </cell>
        </row>
        <row r="183">
          <cell r="B183" t="str">
            <v>D6</v>
          </cell>
        </row>
        <row r="184">
          <cell r="B184" t="str">
            <v>D7</v>
          </cell>
        </row>
        <row r="185">
          <cell r="B185" t="str">
            <v>D8</v>
          </cell>
        </row>
        <row r="186">
          <cell r="B186" t="str">
            <v>D9</v>
          </cell>
        </row>
        <row r="187">
          <cell r="B187" t="str">
            <v>DA</v>
          </cell>
        </row>
        <row r="188">
          <cell r="B188" t="str">
            <v>DB</v>
          </cell>
        </row>
        <row r="189">
          <cell r="B189" t="str">
            <v>DC</v>
          </cell>
        </row>
        <row r="190">
          <cell r="B190" t="str">
            <v>C1</v>
          </cell>
        </row>
        <row r="191">
          <cell r="B191" t="str">
            <v>DD</v>
          </cell>
        </row>
        <row r="192">
          <cell r="B192" t="str">
            <v>DE</v>
          </cell>
        </row>
        <row r="193">
          <cell r="B193" t="str">
            <v>DF</v>
          </cell>
        </row>
        <row r="194">
          <cell r="B194" t="str">
            <v>DG</v>
          </cell>
        </row>
        <row r="195">
          <cell r="B195" t="str">
            <v>DH</v>
          </cell>
        </row>
        <row r="196">
          <cell r="B196" t="str">
            <v>DJ</v>
          </cell>
        </row>
        <row r="197">
          <cell r="B197" t="str">
            <v>DK</v>
          </cell>
        </row>
        <row r="198">
          <cell r="B198" t="str">
            <v>DL</v>
          </cell>
        </row>
        <row r="199">
          <cell r="B199" t="str">
            <v>DM</v>
          </cell>
        </row>
        <row r="200">
          <cell r="B200" t="str">
            <v>DN</v>
          </cell>
        </row>
        <row r="201">
          <cell r="B201" t="str">
            <v>DP</v>
          </cell>
        </row>
      </sheetData>
      <sheetData sheetId="103" refreshError="1"/>
      <sheetData sheetId="104">
        <row r="5">
          <cell r="A5" t="str">
            <v>48X</v>
          </cell>
        </row>
      </sheetData>
      <sheetData sheetId="105">
        <row r="1">
          <cell r="B1" t="str">
            <v xml:space="preserve">                                                               Office of the State Controller                                                                </v>
          </cell>
        </row>
      </sheetData>
      <sheetData sheetId="106" refreshError="1"/>
      <sheetData sheetId="107" refreshError="1">
        <row r="2">
          <cell r="N2" t="str">
            <v>Agency Number</v>
          </cell>
          <cell r="O2" t="str">
            <v>NCFS Agency</v>
          </cell>
          <cell r="S2" t="str">
            <v>University</v>
          </cell>
          <cell r="T2" t="str">
            <v>UnivEnt</v>
          </cell>
        </row>
        <row r="3">
          <cell r="N3" t="str">
            <v>01</v>
          </cell>
          <cell r="O3" t="str">
            <v>0100</v>
          </cell>
          <cell r="S3" t="str">
            <v>U10</v>
          </cell>
          <cell r="T3" t="str">
            <v>U10</v>
          </cell>
        </row>
        <row r="4">
          <cell r="N4" t="str">
            <v>02</v>
          </cell>
          <cell r="O4" t="str">
            <v>0200</v>
          </cell>
          <cell r="S4" t="str">
            <v>U20</v>
          </cell>
          <cell r="T4" t="str">
            <v>U20</v>
          </cell>
        </row>
        <row r="5">
          <cell r="N5" t="str">
            <v>03</v>
          </cell>
          <cell r="O5" t="str">
            <v>0300</v>
          </cell>
          <cell r="S5" t="str">
            <v>U30</v>
          </cell>
          <cell r="T5" t="str">
            <v>U30</v>
          </cell>
        </row>
        <row r="6">
          <cell r="N6" t="str">
            <v>04</v>
          </cell>
          <cell r="O6" t="str">
            <v>0400</v>
          </cell>
          <cell r="S6" t="str">
            <v>U40</v>
          </cell>
          <cell r="T6" t="str">
            <v>U40</v>
          </cell>
        </row>
        <row r="7">
          <cell r="N7" t="str">
            <v>05</v>
          </cell>
          <cell r="O7" t="str">
            <v>0500</v>
          </cell>
          <cell r="S7" t="str">
            <v>U50</v>
          </cell>
          <cell r="T7" t="str">
            <v>U50</v>
          </cell>
        </row>
        <row r="8">
          <cell r="N8" t="str">
            <v>06</v>
          </cell>
          <cell r="O8" t="str">
            <v>0600</v>
          </cell>
          <cell r="S8" t="str">
            <v>U55</v>
          </cell>
          <cell r="T8" t="str">
            <v>U55</v>
          </cell>
        </row>
        <row r="9">
          <cell r="N9" t="str">
            <v>07</v>
          </cell>
          <cell r="O9" t="str">
            <v>0700</v>
          </cell>
          <cell r="S9" t="str">
            <v>U60</v>
          </cell>
          <cell r="T9" t="str">
            <v>U60</v>
          </cell>
        </row>
        <row r="10">
          <cell r="N10" t="str">
            <v>07</v>
          </cell>
          <cell r="O10" t="str">
            <v>0700</v>
          </cell>
          <cell r="S10" t="str">
            <v>U65</v>
          </cell>
          <cell r="T10" t="str">
            <v>U65</v>
          </cell>
        </row>
        <row r="11">
          <cell r="N11" t="str">
            <v>08</v>
          </cell>
          <cell r="O11" t="str">
            <v>0800</v>
          </cell>
          <cell r="S11" t="str">
            <v>U70</v>
          </cell>
          <cell r="T11" t="str">
            <v>U70</v>
          </cell>
        </row>
        <row r="12">
          <cell r="N12" t="str">
            <v>09</v>
          </cell>
          <cell r="O12" t="str">
            <v>0900</v>
          </cell>
          <cell r="S12" t="str">
            <v>U75</v>
          </cell>
          <cell r="T12" t="str">
            <v>U75</v>
          </cell>
        </row>
        <row r="13">
          <cell r="N13" t="str">
            <v>10</v>
          </cell>
          <cell r="O13" t="str">
            <v>1000</v>
          </cell>
          <cell r="S13" t="str">
            <v>U80</v>
          </cell>
          <cell r="T13" t="str">
            <v>U80</v>
          </cell>
        </row>
        <row r="14">
          <cell r="N14" t="str">
            <v>11</v>
          </cell>
          <cell r="O14" t="str">
            <v>1100</v>
          </cell>
          <cell r="S14" t="str">
            <v>U82</v>
          </cell>
          <cell r="T14" t="str">
            <v>U82</v>
          </cell>
        </row>
        <row r="15">
          <cell r="N15" t="str">
            <v>12</v>
          </cell>
          <cell r="O15" t="str">
            <v>1200</v>
          </cell>
          <cell r="S15" t="str">
            <v>U84</v>
          </cell>
          <cell r="T15" t="str">
            <v>U84</v>
          </cell>
        </row>
        <row r="16">
          <cell r="N16" t="str">
            <v>13</v>
          </cell>
          <cell r="O16" t="str">
            <v>1300</v>
          </cell>
          <cell r="S16" t="str">
            <v>U86</v>
          </cell>
          <cell r="T16" t="str">
            <v>U86</v>
          </cell>
        </row>
        <row r="17">
          <cell r="N17" t="str">
            <v>14</v>
          </cell>
          <cell r="O17" t="str">
            <v>1400</v>
          </cell>
          <cell r="S17" t="str">
            <v>U88</v>
          </cell>
          <cell r="T17" t="str">
            <v>U88</v>
          </cell>
        </row>
        <row r="18">
          <cell r="N18" t="str">
            <v>15</v>
          </cell>
          <cell r="O18" t="str">
            <v>1500</v>
          </cell>
          <cell r="S18" t="str">
            <v>U90</v>
          </cell>
          <cell r="T18" t="str">
            <v>U90</v>
          </cell>
        </row>
        <row r="19">
          <cell r="N19" t="str">
            <v>16</v>
          </cell>
          <cell r="O19" t="str">
            <v>1600</v>
          </cell>
          <cell r="S19" t="str">
            <v>U92</v>
          </cell>
          <cell r="T19" t="str">
            <v>U92</v>
          </cell>
        </row>
        <row r="20">
          <cell r="N20" t="str">
            <v>17</v>
          </cell>
          <cell r="O20" t="str">
            <v>1700</v>
          </cell>
          <cell r="S20" t="str">
            <v>69</v>
          </cell>
          <cell r="T20" t="str">
            <v>25170G</v>
          </cell>
        </row>
        <row r="21">
          <cell r="N21" t="str">
            <v>19</v>
          </cell>
          <cell r="O21" t="str">
            <v>1900</v>
          </cell>
          <cell r="S21" t="str">
            <v>ZL</v>
          </cell>
          <cell r="T21" t="str">
            <v>ZL</v>
          </cell>
        </row>
        <row r="22">
          <cell r="N22" t="str">
            <v>2X</v>
          </cell>
          <cell r="O22" t="str">
            <v>2000</v>
          </cell>
        </row>
        <row r="23">
          <cell r="N23" t="str">
            <v>3X</v>
          </cell>
          <cell r="O23" t="str">
            <v>3000</v>
          </cell>
        </row>
        <row r="24">
          <cell r="N24" t="str">
            <v>40</v>
          </cell>
          <cell r="O24" t="str">
            <v>4000</v>
          </cell>
        </row>
        <row r="25">
          <cell r="N25" t="str">
            <v>41</v>
          </cell>
          <cell r="O25" t="str">
            <v>4100</v>
          </cell>
        </row>
        <row r="26">
          <cell r="N26" t="str">
            <v>43</v>
          </cell>
          <cell r="O26" t="str">
            <v>4300</v>
          </cell>
        </row>
        <row r="27">
          <cell r="N27" t="str">
            <v>45</v>
          </cell>
          <cell r="O27" t="str">
            <v>4500</v>
          </cell>
        </row>
        <row r="28">
          <cell r="N28" t="str">
            <v>46</v>
          </cell>
          <cell r="O28" t="str">
            <v>4600</v>
          </cell>
        </row>
        <row r="29">
          <cell r="N29" t="str">
            <v>48X</v>
          </cell>
        </row>
        <row r="30">
          <cell r="N30" t="str">
            <v>48</v>
          </cell>
        </row>
        <row r="31">
          <cell r="N31" t="str">
            <v>48E</v>
          </cell>
        </row>
        <row r="32">
          <cell r="N32" t="str">
            <v>48L</v>
          </cell>
        </row>
        <row r="33">
          <cell r="N33" t="str">
            <v>48R</v>
          </cell>
        </row>
        <row r="34">
          <cell r="N34" t="str">
            <v>48C</v>
          </cell>
        </row>
        <row r="35">
          <cell r="N35" t="str">
            <v>48T</v>
          </cell>
        </row>
        <row r="36">
          <cell r="N36" t="str">
            <v>48RH</v>
          </cell>
        </row>
        <row r="37">
          <cell r="N37" t="str">
            <v>48CW</v>
          </cell>
        </row>
        <row r="38">
          <cell r="N38" t="str">
            <v>50</v>
          </cell>
          <cell r="O38" t="str">
            <v>5000</v>
          </cell>
        </row>
        <row r="39">
          <cell r="N39" t="str">
            <v>52</v>
          </cell>
          <cell r="O39" t="str">
            <v>5200</v>
          </cell>
        </row>
        <row r="40">
          <cell r="N40" t="str">
            <v>60</v>
          </cell>
          <cell r="O40" t="str">
            <v>6000</v>
          </cell>
        </row>
        <row r="41">
          <cell r="N41" t="str">
            <v>61</v>
          </cell>
          <cell r="O41" t="str">
            <v>6100</v>
          </cell>
        </row>
        <row r="42">
          <cell r="N42" t="str">
            <v>67</v>
          </cell>
          <cell r="O42" t="str">
            <v>6700</v>
          </cell>
        </row>
        <row r="43">
          <cell r="N43" t="str">
            <v>69</v>
          </cell>
          <cell r="O43" t="str">
            <v>6900</v>
          </cell>
        </row>
        <row r="44">
          <cell r="N44" t="str">
            <v>6BC</v>
          </cell>
        </row>
        <row r="45">
          <cell r="N45" t="str">
            <v>87</v>
          </cell>
          <cell r="O45" t="str">
            <v>8700</v>
          </cell>
        </row>
        <row r="46">
          <cell r="N46" t="str">
            <v>90</v>
          </cell>
          <cell r="O46" t="str">
            <v>9000</v>
          </cell>
        </row>
        <row r="47">
          <cell r="N47" t="str">
            <v>99</v>
          </cell>
          <cell r="O47" t="str">
            <v>9900</v>
          </cell>
        </row>
        <row r="48">
          <cell r="N48" t="str">
            <v>RX</v>
          </cell>
          <cell r="O48" t="str">
            <v>R100</v>
          </cell>
        </row>
        <row r="49">
          <cell r="N49" t="str">
            <v>U10</v>
          </cell>
          <cell r="O49" t="str">
            <v>U100</v>
          </cell>
          <cell r="P49" t="str">
            <v>U10</v>
          </cell>
        </row>
        <row r="50">
          <cell r="N50" t="str">
            <v>U20</v>
          </cell>
          <cell r="O50" t="str">
            <v>U200</v>
          </cell>
          <cell r="P50" t="str">
            <v>U20</v>
          </cell>
        </row>
        <row r="51">
          <cell r="N51" t="str">
            <v>U30</v>
          </cell>
          <cell r="O51" t="str">
            <v>U300</v>
          </cell>
          <cell r="P51" t="str">
            <v>U30</v>
          </cell>
        </row>
        <row r="52">
          <cell r="N52" t="str">
            <v>U40</v>
          </cell>
          <cell r="O52" t="str">
            <v>U400</v>
          </cell>
          <cell r="P52" t="str">
            <v>U40</v>
          </cell>
        </row>
        <row r="53">
          <cell r="N53" t="str">
            <v>U50</v>
          </cell>
          <cell r="O53" t="str">
            <v>U500</v>
          </cell>
          <cell r="P53" t="str">
            <v>U50</v>
          </cell>
        </row>
        <row r="54">
          <cell r="N54" t="str">
            <v>U55</v>
          </cell>
          <cell r="O54" t="str">
            <v>U550</v>
          </cell>
          <cell r="P54" t="str">
            <v>U55</v>
          </cell>
        </row>
        <row r="55">
          <cell r="N55" t="str">
            <v>U60</v>
          </cell>
          <cell r="O55" t="str">
            <v>U600</v>
          </cell>
          <cell r="P55" t="str">
            <v>U60</v>
          </cell>
        </row>
        <row r="56">
          <cell r="N56" t="str">
            <v>U65</v>
          </cell>
          <cell r="O56" t="str">
            <v>U650</v>
          </cell>
          <cell r="P56" t="str">
            <v>U65</v>
          </cell>
        </row>
        <row r="57">
          <cell r="N57" t="str">
            <v>U70</v>
          </cell>
          <cell r="O57" t="str">
            <v>U700</v>
          </cell>
          <cell r="P57" t="str">
            <v>U70</v>
          </cell>
        </row>
        <row r="58">
          <cell r="N58" t="str">
            <v>U75</v>
          </cell>
          <cell r="O58" t="str">
            <v>U750</v>
          </cell>
          <cell r="P58" t="str">
            <v>U75</v>
          </cell>
        </row>
        <row r="59">
          <cell r="N59" t="str">
            <v>U80</v>
          </cell>
          <cell r="O59" t="str">
            <v>U800</v>
          </cell>
          <cell r="P59" t="str">
            <v>U80</v>
          </cell>
        </row>
        <row r="60">
          <cell r="N60" t="str">
            <v>U82</v>
          </cell>
          <cell r="O60" t="str">
            <v>U820</v>
          </cell>
          <cell r="P60" t="str">
            <v>U82</v>
          </cell>
        </row>
        <row r="61">
          <cell r="N61" t="str">
            <v>U84</v>
          </cell>
          <cell r="O61" t="str">
            <v>U840</v>
          </cell>
          <cell r="P61" t="str">
            <v>U84</v>
          </cell>
        </row>
        <row r="62">
          <cell r="N62" t="str">
            <v>U86</v>
          </cell>
          <cell r="O62" t="str">
            <v>U860</v>
          </cell>
          <cell r="P62" t="str">
            <v>U86</v>
          </cell>
        </row>
        <row r="63">
          <cell r="N63" t="str">
            <v>U88</v>
          </cell>
          <cell r="O63" t="str">
            <v>U880</v>
          </cell>
          <cell r="P63" t="str">
            <v>U88</v>
          </cell>
        </row>
        <row r="64">
          <cell r="N64" t="str">
            <v>U90</v>
          </cell>
          <cell r="O64" t="str">
            <v>U900</v>
          </cell>
          <cell r="P64" t="str">
            <v>U90</v>
          </cell>
        </row>
        <row r="65">
          <cell r="N65" t="str">
            <v>U92</v>
          </cell>
          <cell r="O65" t="str">
            <v>U920</v>
          </cell>
          <cell r="P65" t="str">
            <v>U92</v>
          </cell>
        </row>
        <row r="66">
          <cell r="N66" t="str">
            <v>0A</v>
          </cell>
          <cell r="O66" t="str">
            <v>0A00</v>
          </cell>
        </row>
        <row r="67">
          <cell r="N67" t="str">
            <v>Z2</v>
          </cell>
          <cell r="O67" t="str">
            <v>Z200</v>
          </cell>
        </row>
        <row r="68">
          <cell r="N68" t="str">
            <v>Z3</v>
          </cell>
          <cell r="O68" t="str">
            <v>Z300</v>
          </cell>
        </row>
        <row r="69">
          <cell r="N69" t="str">
            <v>Z3F</v>
          </cell>
          <cell r="O69" t="str">
            <v>Z300</v>
          </cell>
        </row>
        <row r="70">
          <cell r="N70" t="str">
            <v>Z7</v>
          </cell>
          <cell r="O70" t="str">
            <v>Z700</v>
          </cell>
        </row>
        <row r="71">
          <cell r="N71" t="str">
            <v>ZA</v>
          </cell>
          <cell r="O71" t="str">
            <v>ZA00</v>
          </cell>
        </row>
        <row r="72">
          <cell r="N72" t="str">
            <v>ZB</v>
          </cell>
          <cell r="O72" t="str">
            <v>ZB00</v>
          </cell>
        </row>
        <row r="73">
          <cell r="N73" t="str">
            <v>ZG</v>
          </cell>
          <cell r="O73" t="str">
            <v>ZG00</v>
          </cell>
        </row>
        <row r="74">
          <cell r="N74" t="str">
            <v>ZH</v>
          </cell>
          <cell r="O74" t="str">
            <v>ZH00</v>
          </cell>
        </row>
        <row r="75">
          <cell r="N75" t="str">
            <v>ZI</v>
          </cell>
          <cell r="O75" t="str">
            <v>ZI00</v>
          </cell>
        </row>
        <row r="76">
          <cell r="N76" t="str">
            <v>ZL</v>
          </cell>
          <cell r="O76" t="str">
            <v>ZL00</v>
          </cell>
        </row>
        <row r="77">
          <cell r="N77" t="str">
            <v>ZM</v>
          </cell>
          <cell r="O77" t="str">
            <v>ZM00</v>
          </cell>
        </row>
      </sheetData>
      <sheetData sheetId="108" refreshError="1"/>
      <sheetData sheetId="109" refreshError="1"/>
      <sheetData sheetId="110">
        <row r="1">
          <cell r="A1" t="str">
            <v>Error Code</v>
          </cell>
        </row>
      </sheetData>
      <sheetData sheetId="111" refreshError="1">
        <row r="1">
          <cell r="H1" t="str">
            <v>Select Function/Purpose (Click here)</v>
          </cell>
          <cell r="M1" t="str">
            <v>—</v>
          </cell>
        </row>
        <row r="2">
          <cell r="M2" t="str">
            <v xml:space="preserve">Matrix Pricing (M1)  </v>
          </cell>
        </row>
        <row r="3">
          <cell r="M3" t="str">
            <v xml:space="preserve">Market Multiples (M2)  </v>
          </cell>
        </row>
        <row r="4">
          <cell r="M4" t="str">
            <v xml:space="preserve">Present value using discounted cash flows (I1)  </v>
          </cell>
        </row>
        <row r="5">
          <cell r="M5" t="str">
            <v xml:space="preserve">Options Pricing (I2)  </v>
          </cell>
        </row>
        <row r="6">
          <cell r="M6" t="str">
            <v xml:space="preserve">Multiperiod Excess Earnings (I3)  </v>
          </cell>
        </row>
        <row r="7">
          <cell r="M7" t="str">
            <v xml:space="preserve">Relief-from-royalty method (I4)  </v>
          </cell>
        </row>
        <row r="8">
          <cell r="M8" t="str">
            <v xml:space="preserve">Depreciated replacement cost (C1)  </v>
          </cell>
        </row>
        <row r="9">
          <cell r="M9" t="str">
            <v xml:space="preserve">Other </v>
          </cell>
        </row>
        <row r="37">
          <cell r="R37" t="str">
            <v>Select Caption</v>
          </cell>
        </row>
        <row r="38">
          <cell r="R38" t="str">
            <v>Accounts Payable</v>
          </cell>
        </row>
        <row r="39">
          <cell r="R39" t="str">
            <v>Accrued payroll</v>
          </cell>
        </row>
        <row r="40">
          <cell r="R40" t="str">
            <v>Intergovernmental payables</v>
          </cell>
        </row>
        <row r="41">
          <cell r="R41" t="str">
            <v>Claims Payable</v>
          </cell>
        </row>
        <row r="42">
          <cell r="R42" t="str">
            <v>Unemployment benefits payable</v>
          </cell>
        </row>
        <row r="43">
          <cell r="R43" t="str">
            <v>Notes Payable</v>
          </cell>
        </row>
        <row r="44">
          <cell r="R44" t="str">
            <v>Due to fiduciary funds</v>
          </cell>
        </row>
        <row r="45">
          <cell r="R45" t="str">
            <v>Due to other funds</v>
          </cell>
        </row>
        <row r="46">
          <cell r="R46" t="str">
            <v>Obligations under securities lending</v>
          </cell>
        </row>
        <row r="47">
          <cell r="R47" t="str">
            <v>Lease Payable</v>
          </cell>
        </row>
        <row r="48">
          <cell r="R48" t="str">
            <v>Subscription (SBITA) payable</v>
          </cell>
        </row>
        <row r="49">
          <cell r="R49" t="str">
            <v>Bond &amp; similar debt payable</v>
          </cell>
        </row>
        <row r="50">
          <cell r="R50" t="str">
            <v>Accrued interest payable</v>
          </cell>
        </row>
        <row r="51">
          <cell r="R51" t="str">
            <v>Funds held for others</v>
          </cell>
        </row>
        <row r="52">
          <cell r="R52" t="str">
            <v>Annuity &amp; life income payable</v>
          </cell>
        </row>
        <row r="53">
          <cell r="R53" t="str">
            <v>Accrued vacation leave</v>
          </cell>
        </row>
        <row r="54">
          <cell r="R54" t="str">
            <v>Unearned revenue</v>
          </cell>
        </row>
        <row r="57">
          <cell r="R57" t="str">
            <v>Select Caption</v>
          </cell>
        </row>
        <row r="58">
          <cell r="R58" t="str">
            <v>Accounts Payable</v>
          </cell>
        </row>
        <row r="59">
          <cell r="R59" t="str">
            <v>Advances from other funds</v>
          </cell>
        </row>
        <row r="60">
          <cell r="R60" t="str">
            <v>Asset retirement obligation</v>
          </cell>
        </row>
        <row r="61">
          <cell r="R61" t="str">
            <v>Workers Compensation</v>
          </cell>
        </row>
        <row r="62">
          <cell r="R62" t="str">
            <v>Notes Payable</v>
          </cell>
        </row>
        <row r="63">
          <cell r="R63" t="str">
            <v>Lease Payable</v>
          </cell>
        </row>
        <row r="64">
          <cell r="R64" t="str">
            <v>Subscription (SBITA) Payable</v>
          </cell>
        </row>
        <row r="65">
          <cell r="R65" t="str">
            <v>Bond &amp; similar debt payable</v>
          </cell>
        </row>
        <row r="66">
          <cell r="R66" t="str">
            <v>Accrued interest payable</v>
          </cell>
        </row>
        <row r="67">
          <cell r="R67" t="str">
            <v>Annuity &amp; life income payable</v>
          </cell>
        </row>
        <row r="68">
          <cell r="R68" t="str">
            <v>Accrued vacation leave</v>
          </cell>
        </row>
        <row r="69">
          <cell r="R69" t="str">
            <v>Net OPEB liability</v>
          </cell>
        </row>
        <row r="70">
          <cell r="R70" t="str">
            <v>Net Pension Liability</v>
          </cell>
        </row>
        <row r="73">
          <cell r="R73" t="str">
            <v>Select Caption</v>
          </cell>
        </row>
        <row r="74">
          <cell r="R74" t="str">
            <v>Deferred loss on refunding</v>
          </cell>
        </row>
        <row r="75">
          <cell r="R75" t="str">
            <v>Deferred outflows for ARO</v>
          </cell>
        </row>
        <row r="76">
          <cell r="R76" t="str">
            <v>Deferred outflows for OPEB</v>
          </cell>
        </row>
        <row r="77">
          <cell r="R77" t="str">
            <v>Deferred outflows for pension</v>
          </cell>
        </row>
        <row r="78">
          <cell r="R78" t="str">
            <v>Other deferred outflows of resources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Pkg Updates"/>
      <sheetName val="Dashboard"/>
      <sheetName val="GASB_Stmts"/>
      <sheetName val="FASB_Adj"/>
      <sheetName val="FASB_Stmts"/>
      <sheetName val="ACFR_Stmts"/>
      <sheetName val="Variances"/>
      <sheetName val="110"/>
      <sheetName val="115"/>
      <sheetName val="120"/>
      <sheetName val="323"/>
      <sheetName val="338"/>
      <sheetName val="345"/>
      <sheetName val="355"/>
      <sheetName val="375"/>
      <sheetName val="420"/>
      <sheetName val="430"/>
      <sheetName val="431"/>
      <sheetName val="515"/>
      <sheetName val="520"/>
      <sheetName val="525"/>
      <sheetName val="530"/>
      <sheetName val="535"/>
      <sheetName val="602"/>
      <sheetName val="610"/>
      <sheetName val="615"/>
      <sheetName val="625"/>
      <sheetName val="Explanations"/>
      <sheetName val="Comments "/>
      <sheetName val="Agencies"/>
      <sheetName val="All Agencies"/>
      <sheetName val="PriorYrBal"/>
      <sheetName val="Notes"/>
      <sheetName val="Data"/>
    </sheetNames>
    <sheetDataSet>
      <sheetData sheetId="0"/>
      <sheetData sheetId="1"/>
      <sheetData sheetId="2"/>
      <sheetData sheetId="3">
        <row r="13">
          <cell r="A13">
            <v>100</v>
          </cell>
          <cell r="F13">
            <v>0</v>
          </cell>
        </row>
        <row r="14">
          <cell r="A14">
            <v>110</v>
          </cell>
          <cell r="F14">
            <v>0</v>
          </cell>
        </row>
        <row r="15">
          <cell r="A15">
            <v>110</v>
          </cell>
          <cell r="F15">
            <v>0</v>
          </cell>
        </row>
        <row r="17">
          <cell r="A17">
            <v>124</v>
          </cell>
          <cell r="F17">
            <v>0</v>
          </cell>
        </row>
        <row r="18">
          <cell r="A18">
            <v>124</v>
          </cell>
          <cell r="F18">
            <v>0</v>
          </cell>
        </row>
        <row r="19">
          <cell r="A19">
            <v>124</v>
          </cell>
          <cell r="F19">
            <v>0</v>
          </cell>
        </row>
        <row r="20">
          <cell r="A20">
            <v>124</v>
          </cell>
          <cell r="F20">
            <v>0</v>
          </cell>
        </row>
        <row r="21">
          <cell r="A21">
            <v>124</v>
          </cell>
          <cell r="F21">
            <v>0</v>
          </cell>
        </row>
        <row r="22">
          <cell r="A22">
            <v>122</v>
          </cell>
          <cell r="F22">
            <v>0</v>
          </cell>
        </row>
        <row r="23">
          <cell r="A23">
            <v>120</v>
          </cell>
          <cell r="F23">
            <v>0</v>
          </cell>
        </row>
        <row r="24">
          <cell r="A24">
            <v>126</v>
          </cell>
          <cell r="F24">
            <v>0</v>
          </cell>
        </row>
        <row r="25">
          <cell r="A25">
            <v>130</v>
          </cell>
          <cell r="F25">
            <v>0</v>
          </cell>
        </row>
        <row r="26">
          <cell r="A26">
            <v>140</v>
          </cell>
          <cell r="F26">
            <v>0</v>
          </cell>
        </row>
        <row r="27">
          <cell r="A27">
            <v>154</v>
          </cell>
          <cell r="F27">
            <v>0</v>
          </cell>
        </row>
        <row r="28">
          <cell r="A28">
            <v>155</v>
          </cell>
          <cell r="F28">
            <v>0</v>
          </cell>
        </row>
        <row r="29">
          <cell r="A29">
            <v>156</v>
          </cell>
        </row>
        <row r="30">
          <cell r="A30">
            <v>160</v>
          </cell>
          <cell r="F30">
            <v>0</v>
          </cell>
        </row>
        <row r="31">
          <cell r="A31">
            <v>162</v>
          </cell>
          <cell r="F31">
            <v>0</v>
          </cell>
        </row>
        <row r="32">
          <cell r="A32">
            <v>162</v>
          </cell>
          <cell r="F32">
            <v>0</v>
          </cell>
        </row>
        <row r="33">
          <cell r="A33">
            <v>165</v>
          </cell>
          <cell r="F33">
            <v>0</v>
          </cell>
        </row>
        <row r="34">
          <cell r="A34">
            <v>167</v>
          </cell>
          <cell r="F34">
            <v>0</v>
          </cell>
        </row>
        <row r="35">
          <cell r="F35">
            <v>0</v>
          </cell>
        </row>
        <row r="38">
          <cell r="A38">
            <v>110</v>
          </cell>
          <cell r="F38">
            <v>0</v>
          </cell>
        </row>
        <row r="39">
          <cell r="A39">
            <v>110</v>
          </cell>
          <cell r="F39">
            <v>0</v>
          </cell>
        </row>
        <row r="41">
          <cell r="A41">
            <v>124</v>
          </cell>
          <cell r="F41">
            <v>0</v>
          </cell>
        </row>
        <row r="42">
          <cell r="A42">
            <v>124</v>
          </cell>
          <cell r="F42">
            <v>0</v>
          </cell>
        </row>
        <row r="43">
          <cell r="A43">
            <v>124</v>
          </cell>
          <cell r="F43">
            <v>0</v>
          </cell>
        </row>
        <row r="44">
          <cell r="A44">
            <v>124</v>
          </cell>
          <cell r="F44">
            <v>0</v>
          </cell>
        </row>
        <row r="45">
          <cell r="A45">
            <v>124</v>
          </cell>
          <cell r="F45">
            <v>0</v>
          </cell>
        </row>
        <row r="46">
          <cell r="A46">
            <v>154</v>
          </cell>
          <cell r="F46">
            <v>0</v>
          </cell>
        </row>
        <row r="47">
          <cell r="A47">
            <v>155</v>
          </cell>
          <cell r="F47">
            <v>0</v>
          </cell>
        </row>
        <row r="48">
          <cell r="A48">
            <v>156</v>
          </cell>
        </row>
        <row r="49">
          <cell r="A49">
            <v>140</v>
          </cell>
          <cell r="F49">
            <v>0</v>
          </cell>
        </row>
        <row r="50">
          <cell r="A50">
            <v>158</v>
          </cell>
          <cell r="F50">
            <v>0</v>
          </cell>
        </row>
        <row r="51">
          <cell r="A51">
            <v>159</v>
          </cell>
          <cell r="F51">
            <v>0</v>
          </cell>
        </row>
        <row r="52">
          <cell r="A52">
            <v>160</v>
          </cell>
          <cell r="F52">
            <v>0</v>
          </cell>
        </row>
        <row r="53">
          <cell r="A53">
            <v>162</v>
          </cell>
          <cell r="F53">
            <v>0</v>
          </cell>
        </row>
        <row r="54">
          <cell r="A54">
            <v>162</v>
          </cell>
          <cell r="F54">
            <v>0</v>
          </cell>
        </row>
        <row r="55">
          <cell r="A55">
            <v>163</v>
          </cell>
          <cell r="F55">
            <v>0</v>
          </cell>
        </row>
        <row r="56">
          <cell r="A56">
            <v>164</v>
          </cell>
          <cell r="F56">
            <v>0</v>
          </cell>
        </row>
        <row r="57">
          <cell r="A57">
            <v>165</v>
          </cell>
          <cell r="F57">
            <v>0</v>
          </cell>
        </row>
        <row r="58">
          <cell r="A58">
            <v>167</v>
          </cell>
          <cell r="F58">
            <v>0</v>
          </cell>
        </row>
        <row r="59">
          <cell r="A59">
            <v>170</v>
          </cell>
          <cell r="F59">
            <v>0</v>
          </cell>
        </row>
        <row r="60">
          <cell r="A60">
            <v>171</v>
          </cell>
          <cell r="F60">
            <v>0</v>
          </cell>
        </row>
        <row r="61">
          <cell r="F61">
            <v>0</v>
          </cell>
        </row>
        <row r="62">
          <cell r="F62">
            <v>0</v>
          </cell>
        </row>
        <row r="65">
          <cell r="A65">
            <v>190</v>
          </cell>
          <cell r="F65">
            <v>0</v>
          </cell>
        </row>
        <row r="66">
          <cell r="A66">
            <v>193</v>
          </cell>
          <cell r="F66">
            <v>0</v>
          </cell>
        </row>
        <row r="67">
          <cell r="A67">
            <v>197</v>
          </cell>
          <cell r="F67">
            <v>0</v>
          </cell>
        </row>
        <row r="68">
          <cell r="A68">
            <v>194</v>
          </cell>
          <cell r="F68">
            <v>0</v>
          </cell>
        </row>
        <row r="69">
          <cell r="A69">
            <v>195</v>
          </cell>
          <cell r="F69">
            <v>0</v>
          </cell>
        </row>
        <row r="70">
          <cell r="A70">
            <v>196</v>
          </cell>
          <cell r="F70">
            <v>0</v>
          </cell>
        </row>
        <row r="71">
          <cell r="F71">
            <v>0</v>
          </cell>
        </row>
        <row r="76">
          <cell r="A76">
            <v>204</v>
          </cell>
          <cell r="F76">
            <v>0</v>
          </cell>
        </row>
        <row r="77">
          <cell r="A77">
            <v>204</v>
          </cell>
          <cell r="F77">
            <v>0</v>
          </cell>
        </row>
        <row r="78">
          <cell r="A78">
            <v>204</v>
          </cell>
          <cell r="F78">
            <v>0</v>
          </cell>
        </row>
        <row r="79">
          <cell r="A79">
            <v>204</v>
          </cell>
          <cell r="F79">
            <v>0</v>
          </cell>
        </row>
        <row r="80">
          <cell r="A80">
            <v>204</v>
          </cell>
          <cell r="F80">
            <v>0</v>
          </cell>
        </row>
        <row r="81">
          <cell r="A81">
            <v>210</v>
          </cell>
          <cell r="F81">
            <v>0</v>
          </cell>
        </row>
        <row r="82">
          <cell r="A82">
            <v>212</v>
          </cell>
          <cell r="F82">
            <v>0</v>
          </cell>
        </row>
        <row r="83">
          <cell r="A83">
            <v>202</v>
          </cell>
          <cell r="F83">
            <v>0</v>
          </cell>
        </row>
        <row r="84">
          <cell r="A84">
            <v>200</v>
          </cell>
          <cell r="F84">
            <v>0</v>
          </cell>
        </row>
        <row r="85">
          <cell r="A85">
            <v>220</v>
          </cell>
          <cell r="F85">
            <v>0</v>
          </cell>
        </row>
        <row r="86">
          <cell r="A86">
            <v>222</v>
          </cell>
          <cell r="F86">
            <v>0</v>
          </cell>
        </row>
        <row r="87">
          <cell r="A87">
            <v>230</v>
          </cell>
          <cell r="F87">
            <v>0</v>
          </cell>
        </row>
        <row r="88">
          <cell r="A88">
            <v>235</v>
          </cell>
          <cell r="F88">
            <v>0</v>
          </cell>
        </row>
        <row r="89">
          <cell r="A89">
            <v>242</v>
          </cell>
          <cell r="F89">
            <v>0</v>
          </cell>
        </row>
        <row r="90">
          <cell r="A90">
            <v>240</v>
          </cell>
          <cell r="F90">
            <v>0</v>
          </cell>
        </row>
        <row r="91">
          <cell r="A91">
            <v>243</v>
          </cell>
          <cell r="F91">
            <v>0</v>
          </cell>
        </row>
        <row r="92">
          <cell r="A92">
            <v>244</v>
          </cell>
          <cell r="F92">
            <v>0</v>
          </cell>
        </row>
        <row r="93">
          <cell r="A93">
            <v>240</v>
          </cell>
          <cell r="F93">
            <v>0</v>
          </cell>
        </row>
        <row r="94">
          <cell r="A94">
            <v>240</v>
          </cell>
          <cell r="F94">
            <v>0</v>
          </cell>
        </row>
        <row r="95">
          <cell r="A95">
            <v>240</v>
          </cell>
          <cell r="F95">
            <v>0</v>
          </cell>
        </row>
        <row r="96">
          <cell r="A96">
            <v>240</v>
          </cell>
          <cell r="F96">
            <v>0</v>
          </cell>
        </row>
        <row r="97">
          <cell r="A97">
            <v>240</v>
          </cell>
          <cell r="F97">
            <v>0</v>
          </cell>
        </row>
        <row r="98">
          <cell r="A98">
            <v>240</v>
          </cell>
          <cell r="F98">
            <v>0</v>
          </cell>
        </row>
        <row r="99">
          <cell r="A99">
            <v>240</v>
          </cell>
          <cell r="F99">
            <v>0</v>
          </cell>
        </row>
        <row r="100">
          <cell r="F100">
            <v>0</v>
          </cell>
        </row>
        <row r="104">
          <cell r="A104">
            <v>204</v>
          </cell>
          <cell r="F104">
            <v>0</v>
          </cell>
        </row>
        <row r="105">
          <cell r="A105">
            <v>204</v>
          </cell>
          <cell r="F105">
            <v>0</v>
          </cell>
        </row>
        <row r="106">
          <cell r="A106">
            <v>204</v>
          </cell>
          <cell r="F106">
            <v>0</v>
          </cell>
        </row>
        <row r="107">
          <cell r="A107">
            <v>225</v>
          </cell>
          <cell r="F107">
            <v>0</v>
          </cell>
        </row>
        <row r="108">
          <cell r="A108">
            <v>220</v>
          </cell>
          <cell r="F108">
            <v>0</v>
          </cell>
        </row>
        <row r="109">
          <cell r="A109">
            <v>230</v>
          </cell>
          <cell r="F109">
            <v>0</v>
          </cell>
        </row>
        <row r="110">
          <cell r="A110">
            <v>235</v>
          </cell>
          <cell r="F110">
            <v>0</v>
          </cell>
        </row>
        <row r="111">
          <cell r="A111">
            <v>242</v>
          </cell>
          <cell r="F111">
            <v>0</v>
          </cell>
        </row>
        <row r="112">
          <cell r="A112">
            <v>241</v>
          </cell>
          <cell r="F112">
            <v>0</v>
          </cell>
        </row>
        <row r="113">
          <cell r="A113">
            <v>243</v>
          </cell>
          <cell r="F113">
            <v>0</v>
          </cell>
        </row>
        <row r="114">
          <cell r="A114">
            <v>244</v>
          </cell>
          <cell r="F114">
            <v>0</v>
          </cell>
        </row>
        <row r="115">
          <cell r="A115">
            <v>241</v>
          </cell>
          <cell r="F115">
            <v>0</v>
          </cell>
        </row>
        <row r="116">
          <cell r="A116">
            <v>241</v>
          </cell>
          <cell r="F116">
            <v>0</v>
          </cell>
        </row>
        <row r="117">
          <cell r="A117">
            <v>241</v>
          </cell>
          <cell r="F117">
            <v>0</v>
          </cell>
        </row>
        <row r="118">
          <cell r="A118">
            <v>241</v>
          </cell>
          <cell r="F118">
            <v>0</v>
          </cell>
        </row>
        <row r="119">
          <cell r="A119">
            <v>241</v>
          </cell>
          <cell r="F119">
            <v>0</v>
          </cell>
        </row>
        <row r="120">
          <cell r="A120">
            <v>241</v>
          </cell>
          <cell r="F120">
            <v>0</v>
          </cell>
        </row>
        <row r="121">
          <cell r="A121">
            <v>241</v>
          </cell>
          <cell r="F121">
            <v>0</v>
          </cell>
        </row>
        <row r="122">
          <cell r="A122">
            <v>241</v>
          </cell>
          <cell r="F122">
            <v>0</v>
          </cell>
        </row>
        <row r="123">
          <cell r="F123">
            <v>0</v>
          </cell>
        </row>
        <row r="124">
          <cell r="F124">
            <v>0</v>
          </cell>
        </row>
        <row r="127">
          <cell r="A127">
            <v>270</v>
          </cell>
          <cell r="F127">
            <v>0</v>
          </cell>
        </row>
        <row r="128">
          <cell r="A128">
            <v>275</v>
          </cell>
          <cell r="F128">
            <v>0</v>
          </cell>
        </row>
        <row r="129">
          <cell r="A129">
            <v>280</v>
          </cell>
          <cell r="F129">
            <v>0</v>
          </cell>
        </row>
        <row r="130">
          <cell r="A130">
            <v>285</v>
          </cell>
          <cell r="F130">
            <v>0</v>
          </cell>
        </row>
        <row r="131">
          <cell r="A131">
            <v>287</v>
          </cell>
          <cell r="F131">
            <v>0</v>
          </cell>
        </row>
        <row r="132">
          <cell r="A132">
            <v>291</v>
          </cell>
          <cell r="F132">
            <v>0</v>
          </cell>
        </row>
        <row r="133">
          <cell r="A133">
            <v>288</v>
          </cell>
          <cell r="F133">
            <v>0</v>
          </cell>
        </row>
        <row r="134">
          <cell r="A134">
            <v>289</v>
          </cell>
          <cell r="F134">
            <v>0</v>
          </cell>
        </row>
        <row r="135">
          <cell r="A135">
            <v>292</v>
          </cell>
          <cell r="F135">
            <v>0</v>
          </cell>
        </row>
        <row r="136">
          <cell r="A136">
            <v>290</v>
          </cell>
          <cell r="F136">
            <v>0</v>
          </cell>
        </row>
        <row r="137">
          <cell r="F137">
            <v>0</v>
          </cell>
        </row>
        <row r="140">
          <cell r="A140">
            <v>300</v>
          </cell>
          <cell r="F140">
            <v>0</v>
          </cell>
        </row>
        <row r="143">
          <cell r="A143">
            <v>305</v>
          </cell>
          <cell r="F143">
            <v>0</v>
          </cell>
        </row>
        <row r="144">
          <cell r="A144">
            <v>310</v>
          </cell>
          <cell r="F144">
            <v>0</v>
          </cell>
        </row>
        <row r="145">
          <cell r="A145">
            <v>315</v>
          </cell>
          <cell r="F145">
            <v>0</v>
          </cell>
        </row>
        <row r="146">
          <cell r="A146">
            <v>320</v>
          </cell>
          <cell r="F146">
            <v>0</v>
          </cell>
        </row>
        <row r="147">
          <cell r="F147">
            <v>0</v>
          </cell>
        </row>
        <row r="149">
          <cell r="F149" t="str">
            <v>In Bal.</v>
          </cell>
        </row>
        <row r="151">
          <cell r="F151" t="str">
            <v>FYE June 30,2024</v>
          </cell>
        </row>
        <row r="153">
          <cell r="A153">
            <v>500</v>
          </cell>
          <cell r="F153">
            <v>0</v>
          </cell>
        </row>
        <row r="154">
          <cell r="A154">
            <v>500</v>
          </cell>
          <cell r="F154">
            <v>0</v>
          </cell>
        </row>
        <row r="155">
          <cell r="A155">
            <v>500</v>
          </cell>
          <cell r="F155">
            <v>0</v>
          </cell>
        </row>
        <row r="156">
          <cell r="A156">
            <v>500</v>
          </cell>
          <cell r="F156">
            <v>0</v>
          </cell>
        </row>
        <row r="157">
          <cell r="A157">
            <v>500</v>
          </cell>
          <cell r="F157">
            <v>0</v>
          </cell>
        </row>
        <row r="158">
          <cell r="A158">
            <v>500</v>
          </cell>
          <cell r="F158">
            <v>0</v>
          </cell>
        </row>
        <row r="159">
          <cell r="A159">
            <v>500</v>
          </cell>
          <cell r="F159">
            <v>0</v>
          </cell>
        </row>
        <row r="160">
          <cell r="A160">
            <v>500</v>
          </cell>
          <cell r="F160">
            <v>0</v>
          </cell>
        </row>
        <row r="161">
          <cell r="F161">
            <v>0</v>
          </cell>
        </row>
        <row r="162">
          <cell r="A162">
            <v>600</v>
          </cell>
          <cell r="F162">
            <v>0</v>
          </cell>
        </row>
        <row r="163">
          <cell r="F163">
            <v>0</v>
          </cell>
        </row>
        <row r="165">
          <cell r="A165">
            <v>508</v>
          </cell>
          <cell r="F165">
            <v>0</v>
          </cell>
        </row>
        <row r="166">
          <cell r="A166">
            <v>509</v>
          </cell>
          <cell r="F166">
            <v>0</v>
          </cell>
        </row>
        <row r="167">
          <cell r="A167">
            <v>512</v>
          </cell>
          <cell r="F167">
            <v>0</v>
          </cell>
        </row>
        <row r="168">
          <cell r="A168" t="str">
            <v xml:space="preserve">  512A</v>
          </cell>
          <cell r="F168">
            <v>0</v>
          </cell>
        </row>
        <row r="169">
          <cell r="A169">
            <v>512</v>
          </cell>
          <cell r="F169">
            <v>0</v>
          </cell>
        </row>
        <row r="170">
          <cell r="A170">
            <v>515</v>
          </cell>
          <cell r="F170">
            <v>0</v>
          </cell>
        </row>
        <row r="171">
          <cell r="A171">
            <v>510</v>
          </cell>
          <cell r="F171">
            <v>0</v>
          </cell>
        </row>
        <row r="172">
          <cell r="A172">
            <v>520</v>
          </cell>
          <cell r="F172">
            <v>0</v>
          </cell>
        </row>
        <row r="173">
          <cell r="A173">
            <v>512</v>
          </cell>
          <cell r="F173">
            <v>0</v>
          </cell>
        </row>
        <row r="174">
          <cell r="A174">
            <v>512</v>
          </cell>
          <cell r="F174">
            <v>0</v>
          </cell>
        </row>
        <row r="175">
          <cell r="A175">
            <v>514</v>
          </cell>
          <cell r="F175">
            <v>0</v>
          </cell>
        </row>
        <row r="176">
          <cell r="A176">
            <v>520</v>
          </cell>
          <cell r="F176">
            <v>0</v>
          </cell>
        </row>
        <row r="177">
          <cell r="A177">
            <v>521</v>
          </cell>
          <cell r="F177">
            <v>0</v>
          </cell>
        </row>
        <row r="178">
          <cell r="A178">
            <v>520</v>
          </cell>
          <cell r="F178">
            <v>0</v>
          </cell>
        </row>
        <row r="179">
          <cell r="F179">
            <v>0</v>
          </cell>
        </row>
        <row r="180">
          <cell r="A180">
            <v>600</v>
          </cell>
          <cell r="F180">
            <v>0</v>
          </cell>
        </row>
        <row r="181">
          <cell r="F181">
            <v>0</v>
          </cell>
        </row>
        <row r="182">
          <cell r="F182">
            <v>0</v>
          </cell>
        </row>
        <row r="183">
          <cell r="A183">
            <v>511</v>
          </cell>
          <cell r="F183">
            <v>0</v>
          </cell>
        </row>
        <row r="184">
          <cell r="A184">
            <v>513</v>
          </cell>
          <cell r="F184">
            <v>0</v>
          </cell>
        </row>
        <row r="185">
          <cell r="A185">
            <v>513</v>
          </cell>
          <cell r="F185">
            <v>0</v>
          </cell>
        </row>
        <row r="186">
          <cell r="A186">
            <v>700</v>
          </cell>
          <cell r="F186">
            <v>0</v>
          </cell>
        </row>
        <row r="187">
          <cell r="A187">
            <v>701</v>
          </cell>
          <cell r="F187">
            <v>0</v>
          </cell>
        </row>
        <row r="188">
          <cell r="F188">
            <v>0</v>
          </cell>
        </row>
        <row r="189">
          <cell r="A189">
            <v>800</v>
          </cell>
          <cell r="F189" t="str">
            <v xml:space="preserve">NCAS agency </v>
          </cell>
        </row>
        <row r="190">
          <cell r="A190">
            <v>801</v>
          </cell>
          <cell r="F190">
            <v>0</v>
          </cell>
        </row>
      </sheetData>
      <sheetData sheetId="4">
        <row r="13">
          <cell r="A13">
            <v>120</v>
          </cell>
          <cell r="F13">
            <v>0</v>
          </cell>
        </row>
        <row r="14">
          <cell r="A14">
            <v>164</v>
          </cell>
          <cell r="F14">
            <v>0</v>
          </cell>
        </row>
        <row r="15">
          <cell r="A15">
            <v>122</v>
          </cell>
          <cell r="F15">
            <v>0</v>
          </cell>
        </row>
        <row r="16">
          <cell r="A16">
            <v>126</v>
          </cell>
          <cell r="F16">
            <v>0</v>
          </cell>
        </row>
        <row r="17">
          <cell r="A17">
            <v>163</v>
          </cell>
          <cell r="F17">
            <v>0</v>
          </cell>
        </row>
        <row r="18">
          <cell r="A18">
            <v>155</v>
          </cell>
          <cell r="F18">
            <v>0</v>
          </cell>
        </row>
        <row r="19">
          <cell r="A19">
            <v>124</v>
          </cell>
          <cell r="F19">
            <v>0</v>
          </cell>
        </row>
        <row r="20">
          <cell r="F20">
            <v>0</v>
          </cell>
        </row>
        <row r="21">
          <cell r="F21" t="str">
            <v>OK</v>
          </cell>
        </row>
        <row r="24">
          <cell r="A24">
            <v>120</v>
          </cell>
          <cell r="F24">
            <v>0</v>
          </cell>
        </row>
        <row r="25">
          <cell r="A25">
            <v>164</v>
          </cell>
          <cell r="F25">
            <v>0</v>
          </cell>
        </row>
        <row r="26">
          <cell r="A26">
            <v>122</v>
          </cell>
          <cell r="F26">
            <v>0</v>
          </cell>
        </row>
        <row r="27">
          <cell r="A27">
            <v>154</v>
          </cell>
          <cell r="F27">
            <v>0</v>
          </cell>
        </row>
        <row r="28">
          <cell r="F28">
            <v>0</v>
          </cell>
        </row>
        <row r="29">
          <cell r="F29" t="str">
            <v>OK</v>
          </cell>
        </row>
        <row r="32">
          <cell r="A32">
            <v>170</v>
          </cell>
          <cell r="F32">
            <v>0</v>
          </cell>
        </row>
        <row r="33">
          <cell r="A33">
            <v>171</v>
          </cell>
          <cell r="F33">
            <v>0</v>
          </cell>
        </row>
        <row r="34">
          <cell r="A34">
            <v>170</v>
          </cell>
          <cell r="F34">
            <v>0</v>
          </cell>
        </row>
        <row r="35">
          <cell r="A35">
            <v>171</v>
          </cell>
          <cell r="F35">
            <v>0</v>
          </cell>
        </row>
        <row r="36">
          <cell r="F36">
            <v>0</v>
          </cell>
        </row>
        <row r="37">
          <cell r="F37" t="str">
            <v>OK</v>
          </cell>
        </row>
        <row r="40">
          <cell r="A40">
            <v>200</v>
          </cell>
          <cell r="F40">
            <v>0</v>
          </cell>
        </row>
        <row r="41">
          <cell r="A41">
            <v>202</v>
          </cell>
          <cell r="F41">
            <v>0</v>
          </cell>
        </row>
        <row r="42">
          <cell r="A42">
            <v>204</v>
          </cell>
          <cell r="F42">
            <v>0</v>
          </cell>
        </row>
        <row r="43">
          <cell r="F43">
            <v>0</v>
          </cell>
        </row>
        <row r="44">
          <cell r="F44" t="str">
            <v>OK</v>
          </cell>
        </row>
        <row r="47">
          <cell r="A47">
            <v>200</v>
          </cell>
          <cell r="F47">
            <v>0</v>
          </cell>
        </row>
        <row r="48">
          <cell r="A48">
            <v>202</v>
          </cell>
          <cell r="F48">
            <v>0</v>
          </cell>
        </row>
        <row r="49">
          <cell r="A49">
            <v>204</v>
          </cell>
          <cell r="F49">
            <v>0</v>
          </cell>
        </row>
        <row r="50">
          <cell r="F50">
            <v>0</v>
          </cell>
        </row>
        <row r="51">
          <cell r="F51" t="str">
            <v>OK</v>
          </cell>
        </row>
        <row r="54">
          <cell r="A54">
            <v>243</v>
          </cell>
          <cell r="F54">
            <v>0</v>
          </cell>
        </row>
        <row r="55">
          <cell r="A55">
            <v>243</v>
          </cell>
          <cell r="F55">
            <v>0</v>
          </cell>
        </row>
        <row r="56">
          <cell r="F56">
            <v>0</v>
          </cell>
        </row>
        <row r="57">
          <cell r="F57" t="str">
            <v>OK</v>
          </cell>
        </row>
        <row r="60">
          <cell r="A60">
            <v>244</v>
          </cell>
          <cell r="F60">
            <v>0</v>
          </cell>
        </row>
        <row r="61">
          <cell r="A61">
            <v>244</v>
          </cell>
          <cell r="F61">
            <v>0</v>
          </cell>
        </row>
        <row r="62">
          <cell r="F62">
            <v>0</v>
          </cell>
        </row>
        <row r="63">
          <cell r="F63" t="str">
            <v>OK</v>
          </cell>
        </row>
        <row r="66">
          <cell r="A66">
            <v>240</v>
          </cell>
          <cell r="F66">
            <v>0</v>
          </cell>
        </row>
        <row r="67">
          <cell r="A67">
            <v>241</v>
          </cell>
          <cell r="F67">
            <v>0</v>
          </cell>
        </row>
        <row r="68">
          <cell r="F68">
            <v>0</v>
          </cell>
        </row>
        <row r="69">
          <cell r="F69" t="str">
            <v>OK</v>
          </cell>
        </row>
        <row r="72">
          <cell r="A72">
            <v>508</v>
          </cell>
          <cell r="F72">
            <v>0</v>
          </cell>
        </row>
        <row r="73">
          <cell r="A73">
            <v>509</v>
          </cell>
          <cell r="F73">
            <v>0</v>
          </cell>
        </row>
        <row r="74">
          <cell r="A74">
            <v>510</v>
          </cell>
          <cell r="F74">
            <v>0</v>
          </cell>
        </row>
        <row r="75">
          <cell r="A75">
            <v>511</v>
          </cell>
          <cell r="F75">
            <v>0</v>
          </cell>
        </row>
        <row r="76">
          <cell r="A76">
            <v>512</v>
          </cell>
          <cell r="F76">
            <v>0</v>
          </cell>
        </row>
        <row r="77">
          <cell r="A77">
            <v>515</v>
          </cell>
          <cell r="F77">
            <v>0</v>
          </cell>
        </row>
        <row r="78">
          <cell r="A78" t="str">
            <v xml:space="preserve">  512A</v>
          </cell>
          <cell r="F78">
            <v>0</v>
          </cell>
        </row>
        <row r="79">
          <cell r="A79">
            <v>513</v>
          </cell>
        </row>
        <row r="80">
          <cell r="A80">
            <v>521</v>
          </cell>
          <cell r="F80">
            <v>0</v>
          </cell>
        </row>
        <row r="81">
          <cell r="F81">
            <v>0</v>
          </cell>
        </row>
        <row r="82">
          <cell r="F82" t="str">
            <v>OK</v>
          </cell>
        </row>
        <row r="85">
          <cell r="A85">
            <v>512</v>
          </cell>
          <cell r="F85">
            <v>0</v>
          </cell>
        </row>
        <row r="86">
          <cell r="A86">
            <v>514</v>
          </cell>
          <cell r="F86">
            <v>0</v>
          </cell>
        </row>
        <row r="87">
          <cell r="F87">
            <v>0</v>
          </cell>
        </row>
        <row r="88">
          <cell r="F88" t="str">
            <v>OK</v>
          </cell>
        </row>
        <row r="91">
          <cell r="A91">
            <v>512</v>
          </cell>
          <cell r="F91">
            <v>0</v>
          </cell>
        </row>
        <row r="92">
          <cell r="A92">
            <v>514</v>
          </cell>
          <cell r="F92">
            <v>0</v>
          </cell>
        </row>
        <row r="93">
          <cell r="F93">
            <v>0</v>
          </cell>
        </row>
        <row r="94">
          <cell r="F94" t="str">
            <v>OK</v>
          </cell>
        </row>
        <row r="97">
          <cell r="F97">
            <v>0</v>
          </cell>
        </row>
        <row r="98">
          <cell r="F98">
            <v>0</v>
          </cell>
        </row>
        <row r="99">
          <cell r="F99">
            <v>0</v>
          </cell>
        </row>
        <row r="106">
          <cell r="F106">
            <v>0</v>
          </cell>
        </row>
        <row r="107">
          <cell r="F107">
            <v>0</v>
          </cell>
        </row>
        <row r="108">
          <cell r="F108">
            <v>0</v>
          </cell>
        </row>
        <row r="109">
          <cell r="F109" t="str">
            <v>OK</v>
          </cell>
        </row>
        <row r="112">
          <cell r="F112">
            <v>0</v>
          </cell>
        </row>
        <row r="113">
          <cell r="F113">
            <v>0</v>
          </cell>
        </row>
        <row r="114">
          <cell r="F114">
            <v>0</v>
          </cell>
        </row>
        <row r="118">
          <cell r="F118">
            <v>0</v>
          </cell>
        </row>
        <row r="119">
          <cell r="F119">
            <v>0</v>
          </cell>
        </row>
        <row r="120">
          <cell r="F120">
            <v>0</v>
          </cell>
        </row>
        <row r="121">
          <cell r="F121">
            <v>0</v>
          </cell>
        </row>
        <row r="122">
          <cell r="A122">
            <v>300</v>
          </cell>
          <cell r="F122">
            <v>0</v>
          </cell>
        </row>
        <row r="125">
          <cell r="F125">
            <v>0</v>
          </cell>
        </row>
        <row r="126">
          <cell r="F126">
            <v>0</v>
          </cell>
        </row>
        <row r="127">
          <cell r="F127">
            <v>0</v>
          </cell>
        </row>
        <row r="128">
          <cell r="F128">
            <v>0</v>
          </cell>
        </row>
        <row r="129">
          <cell r="A129">
            <v>315</v>
          </cell>
          <cell r="F129">
            <v>0</v>
          </cell>
        </row>
        <row r="132">
          <cell r="F132">
            <v>0</v>
          </cell>
        </row>
        <row r="133">
          <cell r="F133">
            <v>0</v>
          </cell>
        </row>
        <row r="134">
          <cell r="F134">
            <v>0</v>
          </cell>
        </row>
        <row r="135">
          <cell r="A135">
            <v>320</v>
          </cell>
          <cell r="F135">
            <v>0</v>
          </cell>
        </row>
      </sheetData>
      <sheetData sheetId="5">
        <row r="12">
          <cell r="A12">
            <v>100</v>
          </cell>
          <cell r="F12">
            <v>0</v>
          </cell>
        </row>
        <row r="13">
          <cell r="A13">
            <v>110</v>
          </cell>
          <cell r="F13">
            <v>0</v>
          </cell>
        </row>
        <row r="14">
          <cell r="A14" t="str">
            <v>**</v>
          </cell>
          <cell r="F14">
            <v>0</v>
          </cell>
        </row>
        <row r="15">
          <cell r="A15">
            <v>130</v>
          </cell>
          <cell r="F15">
            <v>0</v>
          </cell>
        </row>
        <row r="16">
          <cell r="A16">
            <v>140</v>
          </cell>
          <cell r="F16">
            <v>0</v>
          </cell>
        </row>
        <row r="17">
          <cell r="A17">
            <v>140</v>
          </cell>
          <cell r="F17">
            <v>0</v>
          </cell>
        </row>
        <row r="18">
          <cell r="A18" t="str">
            <v>**</v>
          </cell>
          <cell r="F18">
            <v>0</v>
          </cell>
        </row>
        <row r="19">
          <cell r="A19">
            <v>162</v>
          </cell>
          <cell r="F19">
            <v>0</v>
          </cell>
        </row>
        <row r="20">
          <cell r="A20">
            <v>160</v>
          </cell>
          <cell r="F20">
            <v>0</v>
          </cell>
        </row>
        <row r="21">
          <cell r="A21">
            <v>160</v>
          </cell>
          <cell r="F21">
            <v>0</v>
          </cell>
        </row>
        <row r="22">
          <cell r="A22">
            <v>162</v>
          </cell>
          <cell r="F22">
            <v>0</v>
          </cell>
        </row>
        <row r="23">
          <cell r="A23" t="str">
            <v>**</v>
          </cell>
          <cell r="F23">
            <v>0</v>
          </cell>
        </row>
        <row r="24">
          <cell r="F24">
            <v>0</v>
          </cell>
        </row>
        <row r="27">
          <cell r="A27" t="str">
            <v>**</v>
          </cell>
          <cell r="F27">
            <v>0</v>
          </cell>
        </row>
        <row r="28">
          <cell r="A28" t="str">
            <v>**</v>
          </cell>
          <cell r="F28">
            <v>0</v>
          </cell>
        </row>
        <row r="29">
          <cell r="A29">
            <v>204</v>
          </cell>
          <cell r="F29">
            <v>0</v>
          </cell>
        </row>
        <row r="30">
          <cell r="A30">
            <v>210</v>
          </cell>
          <cell r="F30">
            <v>0</v>
          </cell>
        </row>
        <row r="31">
          <cell r="A31">
            <v>220</v>
          </cell>
          <cell r="F31">
            <v>0</v>
          </cell>
        </row>
        <row r="32">
          <cell r="A32">
            <v>230</v>
          </cell>
          <cell r="F32">
            <v>0</v>
          </cell>
        </row>
        <row r="33">
          <cell r="A33" t="str">
            <v>**</v>
          </cell>
          <cell r="F33">
            <v>0</v>
          </cell>
        </row>
        <row r="34">
          <cell r="A34" t="str">
            <v>**</v>
          </cell>
          <cell r="F34">
            <v>0</v>
          </cell>
        </row>
        <row r="35">
          <cell r="A35" t="str">
            <v>**</v>
          </cell>
          <cell r="F35">
            <v>0</v>
          </cell>
        </row>
        <row r="36">
          <cell r="A36">
            <v>241</v>
          </cell>
          <cell r="F36">
            <v>0</v>
          </cell>
        </row>
        <row r="37">
          <cell r="A37">
            <v>204</v>
          </cell>
          <cell r="F37">
            <v>0</v>
          </cell>
        </row>
        <row r="38">
          <cell r="F38">
            <v>0</v>
          </cell>
        </row>
        <row r="41">
          <cell r="F41">
            <v>0</v>
          </cell>
        </row>
        <row r="42">
          <cell r="F42">
            <v>0</v>
          </cell>
        </row>
        <row r="43">
          <cell r="F43">
            <v>0</v>
          </cell>
        </row>
        <row r="44">
          <cell r="F44">
            <v>0</v>
          </cell>
        </row>
        <row r="45">
          <cell r="F45">
            <v>0</v>
          </cell>
        </row>
        <row r="46">
          <cell r="F46">
            <v>0</v>
          </cell>
        </row>
        <row r="47">
          <cell r="F47">
            <v>0</v>
          </cell>
        </row>
        <row r="49">
          <cell r="F49" t="str">
            <v>OK</v>
          </cell>
        </row>
        <row r="52">
          <cell r="A52" t="str">
            <v>Notes:</v>
          </cell>
        </row>
        <row r="53">
          <cell r="A53" t="str">
            <v>*</v>
          </cell>
        </row>
        <row r="54">
          <cell r="A54" t="str">
            <v>**</v>
          </cell>
        </row>
        <row r="56">
          <cell r="F56" t="str">
            <v>FYE June 30,2024</v>
          </cell>
        </row>
        <row r="58">
          <cell r="A58">
            <v>500</v>
          </cell>
          <cell r="F58">
            <v>0</v>
          </cell>
        </row>
        <row r="59">
          <cell r="A59">
            <v>500</v>
          </cell>
          <cell r="F59">
            <v>0</v>
          </cell>
        </row>
        <row r="60">
          <cell r="A60">
            <v>500</v>
          </cell>
          <cell r="F60">
            <v>0</v>
          </cell>
        </row>
        <row r="61">
          <cell r="A61" t="str">
            <v>**</v>
          </cell>
          <cell r="F61">
            <v>0</v>
          </cell>
        </row>
        <row r="62">
          <cell r="A62" t="str">
            <v>**</v>
          </cell>
          <cell r="F62">
            <v>0</v>
          </cell>
        </row>
        <row r="63">
          <cell r="A63" t="str">
            <v>**</v>
          </cell>
          <cell r="F63">
            <v>0</v>
          </cell>
        </row>
        <row r="64">
          <cell r="A64">
            <v>520</v>
          </cell>
          <cell r="F64">
            <v>0</v>
          </cell>
        </row>
        <row r="65">
          <cell r="A65">
            <v>520</v>
          </cell>
          <cell r="F65">
            <v>0</v>
          </cell>
        </row>
        <row r="66">
          <cell r="A66">
            <v>520</v>
          </cell>
          <cell r="F66">
            <v>0</v>
          </cell>
        </row>
        <row r="67">
          <cell r="F67">
            <v>0</v>
          </cell>
        </row>
        <row r="70">
          <cell r="A70">
            <v>600</v>
          </cell>
          <cell r="F70">
            <v>0</v>
          </cell>
        </row>
        <row r="72">
          <cell r="F72">
            <v>0</v>
          </cell>
        </row>
        <row r="74">
          <cell r="A74">
            <v>800</v>
          </cell>
          <cell r="F74">
            <v>0</v>
          </cell>
        </row>
        <row r="75">
          <cell r="A75">
            <v>801</v>
          </cell>
          <cell r="F75">
            <v>0</v>
          </cell>
        </row>
        <row r="77">
          <cell r="A77">
            <v>600</v>
          </cell>
          <cell r="F77">
            <v>0</v>
          </cell>
        </row>
        <row r="78">
          <cell r="A78">
            <v>511</v>
          </cell>
          <cell r="F78">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A3" t="str">
            <v>0A NC Housing Finance Agency</v>
          </cell>
          <cell r="B3" t="str">
            <v>0A</v>
          </cell>
          <cell r="C3" t="str">
            <v>0A</v>
          </cell>
          <cell r="D3" t="str">
            <v>NC Housing Finance Agency</v>
          </cell>
          <cell r="E3" t="str">
            <v>GASB</v>
          </cell>
          <cell r="F3">
            <v>2611</v>
          </cell>
          <cell r="G3">
            <v>937177000</v>
          </cell>
        </row>
        <row r="4">
          <cell r="A4" t="str">
            <v>ZA NC State Ports Authority</v>
          </cell>
          <cell r="B4" t="str">
            <v>ZA</v>
          </cell>
          <cell r="C4" t="str">
            <v>ZA</v>
          </cell>
          <cell r="D4" t="str">
            <v>NC State Ports Authority</v>
          </cell>
          <cell r="E4" t="str">
            <v>GASB</v>
          </cell>
          <cell r="F4">
            <v>2612</v>
          </cell>
          <cell r="G4" t="str">
            <v xml:space="preserve">NCAS agency </v>
          </cell>
        </row>
        <row r="5">
          <cell r="A5" t="str">
            <v>Z3 NC Global TransPark Authority</v>
          </cell>
          <cell r="B5" t="str">
            <v>Z3</v>
          </cell>
          <cell r="C5" t="str">
            <v>Z3</v>
          </cell>
          <cell r="D5" t="str">
            <v>NC Global TransPark Authority</v>
          </cell>
          <cell r="E5" t="str">
            <v>GASB</v>
          </cell>
          <cell r="F5">
            <v>2615</v>
          </cell>
          <cell r="G5" t="str">
            <v>NCAS agency</v>
          </cell>
        </row>
        <row r="6">
          <cell r="A6" t="str">
            <v>Z3F NC Global TransPark Auth Foundation</v>
          </cell>
          <cell r="B6" t="str">
            <v>Z3F</v>
          </cell>
          <cell r="C6" t="str">
            <v>Z3F</v>
          </cell>
          <cell r="D6" t="str">
            <v>NC Global TransPark Auth Foundation</v>
          </cell>
          <cell r="E6" t="str">
            <v>FASB</v>
          </cell>
          <cell r="F6">
            <v>2615</v>
          </cell>
          <cell r="G6">
            <v>9252010.9000000004</v>
          </cell>
        </row>
        <row r="7">
          <cell r="A7" t="str">
            <v>Z2 NC Biotechnology Center</v>
          </cell>
          <cell r="B7" t="str">
            <v>Z2</v>
          </cell>
          <cell r="C7" t="str">
            <v>Z2</v>
          </cell>
          <cell r="D7" t="str">
            <v>NC Biotechnology Center</v>
          </cell>
          <cell r="E7" t="str">
            <v>FASB</v>
          </cell>
          <cell r="F7">
            <v>2618</v>
          </cell>
          <cell r="G7">
            <v>43096710</v>
          </cell>
        </row>
        <row r="8">
          <cell r="A8" t="str">
            <v>ZB State Education Assistance Auth.</v>
          </cell>
          <cell r="B8" t="str">
            <v>ZB</v>
          </cell>
          <cell r="C8" t="str">
            <v>ZB</v>
          </cell>
          <cell r="D8" t="str">
            <v>State Education Assistance Auth.</v>
          </cell>
          <cell r="E8" t="str">
            <v>GASB</v>
          </cell>
          <cell r="F8">
            <v>2620</v>
          </cell>
          <cell r="G8">
            <v>569043406</v>
          </cell>
        </row>
        <row r="9">
          <cell r="A9" t="str">
            <v>Z7 NC Partnership for Children</v>
          </cell>
          <cell r="B9" t="str">
            <v>Z7</v>
          </cell>
          <cell r="C9" t="str">
            <v>Z7</v>
          </cell>
          <cell r="D9" t="str">
            <v>NC Partnership for Children</v>
          </cell>
          <cell r="E9" t="str">
            <v>GASB</v>
          </cell>
          <cell r="F9">
            <v>2621</v>
          </cell>
          <cell r="G9">
            <v>1958482</v>
          </cell>
        </row>
        <row r="10">
          <cell r="A10" t="str">
            <v>ZG Centennial Authority</v>
          </cell>
          <cell r="B10" t="str">
            <v>ZG</v>
          </cell>
          <cell r="C10" t="str">
            <v>ZG</v>
          </cell>
          <cell r="D10" t="str">
            <v>Centennial Authority</v>
          </cell>
          <cell r="E10" t="str">
            <v>GASB</v>
          </cell>
          <cell r="F10">
            <v>2626</v>
          </cell>
          <cell r="G10">
            <v>127130520</v>
          </cell>
        </row>
        <row r="11">
          <cell r="A11" t="str">
            <v>ZH NC Railroad Company</v>
          </cell>
          <cell r="B11" t="str">
            <v>ZH</v>
          </cell>
          <cell r="C11" t="str">
            <v>ZH</v>
          </cell>
          <cell r="D11" t="str">
            <v>NC Railroad Company</v>
          </cell>
          <cell r="E11" t="str">
            <v>FASB</v>
          </cell>
          <cell r="F11">
            <v>2627</v>
          </cell>
          <cell r="G11">
            <v>313249258</v>
          </cell>
        </row>
        <row r="12">
          <cell r="A12" t="str">
            <v>ZI The Golden LEAF, Inc.</v>
          </cell>
          <cell r="B12" t="str">
            <v>ZI</v>
          </cell>
          <cell r="C12" t="str">
            <v>ZI</v>
          </cell>
          <cell r="D12" t="str">
            <v>The Golden LEAF, Inc.</v>
          </cell>
          <cell r="E12" t="str">
            <v>GASB</v>
          </cell>
          <cell r="F12">
            <v>2640</v>
          </cell>
          <cell r="G12">
            <v>1074845013.54</v>
          </cell>
        </row>
        <row r="13">
          <cell r="A13" t="str">
            <v>ZM Economic Development Partnership of NC</v>
          </cell>
          <cell r="B13" t="str">
            <v>ZM</v>
          </cell>
          <cell r="C13" t="str">
            <v>ZM</v>
          </cell>
          <cell r="D13" t="str">
            <v>Economic Development Partnership of NC</v>
          </cell>
          <cell r="E13" t="str">
            <v>GASB</v>
          </cell>
          <cell r="F13">
            <v>2644</v>
          </cell>
          <cell r="G13">
            <v>6958336</v>
          </cell>
        </row>
      </sheetData>
      <sheetData sheetId="31"/>
      <sheetData sheetId="32"/>
      <sheetData sheetId="33"/>
      <sheetData sheetId="34">
        <row r="15">
          <cell r="A15" t="str">
            <v>01</v>
          </cell>
        </row>
        <row r="16">
          <cell r="A16" t="str">
            <v>02</v>
          </cell>
        </row>
        <row r="17">
          <cell r="A17" t="str">
            <v>03</v>
          </cell>
        </row>
        <row r="18">
          <cell r="A18" t="str">
            <v>04</v>
          </cell>
        </row>
        <row r="19">
          <cell r="A19" t="str">
            <v>05</v>
          </cell>
        </row>
        <row r="20">
          <cell r="A20" t="str">
            <v>06</v>
          </cell>
        </row>
        <row r="21">
          <cell r="A21" t="str">
            <v>07</v>
          </cell>
        </row>
        <row r="22">
          <cell r="A22" t="str">
            <v>08</v>
          </cell>
        </row>
        <row r="23">
          <cell r="A23" t="str">
            <v>09</v>
          </cell>
        </row>
        <row r="24">
          <cell r="A24" t="str">
            <v>10</v>
          </cell>
        </row>
        <row r="25">
          <cell r="A25" t="str">
            <v>11</v>
          </cell>
        </row>
        <row r="26">
          <cell r="A26" t="str">
            <v>12</v>
          </cell>
        </row>
        <row r="27">
          <cell r="A27" t="str">
            <v>13</v>
          </cell>
        </row>
        <row r="28">
          <cell r="A28" t="str">
            <v>14</v>
          </cell>
        </row>
        <row r="29">
          <cell r="A29" t="str">
            <v>15</v>
          </cell>
        </row>
        <row r="30">
          <cell r="A30" t="str">
            <v>16</v>
          </cell>
        </row>
        <row r="31">
          <cell r="A31" t="str">
            <v>17</v>
          </cell>
        </row>
        <row r="32">
          <cell r="A32" t="str">
            <v>19</v>
          </cell>
        </row>
        <row r="33">
          <cell r="A33" t="str">
            <v>2X</v>
          </cell>
        </row>
        <row r="34">
          <cell r="A34" t="str">
            <v>3X</v>
          </cell>
        </row>
        <row r="35">
          <cell r="A35" t="str">
            <v>40</v>
          </cell>
        </row>
        <row r="36">
          <cell r="A36" t="str">
            <v>41</v>
          </cell>
        </row>
        <row r="37">
          <cell r="A37" t="str">
            <v>43</v>
          </cell>
        </row>
        <row r="38">
          <cell r="A38" t="str">
            <v>45</v>
          </cell>
        </row>
        <row r="39">
          <cell r="A39" t="str">
            <v>46</v>
          </cell>
        </row>
        <row r="40">
          <cell r="A40" t="str">
            <v>50</v>
          </cell>
        </row>
        <row r="41">
          <cell r="A41" t="str">
            <v>60</v>
          </cell>
        </row>
        <row r="42">
          <cell r="A42" t="str">
            <v>61</v>
          </cell>
        </row>
        <row r="43">
          <cell r="A43" t="str">
            <v>67</v>
          </cell>
        </row>
        <row r="44">
          <cell r="A44" t="str">
            <v>69</v>
          </cell>
        </row>
        <row r="45">
          <cell r="A45" t="str">
            <v>6BC</v>
          </cell>
        </row>
        <row r="46">
          <cell r="A46" t="str">
            <v>90</v>
          </cell>
        </row>
        <row r="47">
          <cell r="A47" t="str">
            <v>99</v>
          </cell>
        </row>
        <row r="48">
          <cell r="A48" t="str">
            <v>RX</v>
          </cell>
        </row>
      </sheetData>
    </sheetDataSet>
  </externalBook>
</externalLink>
</file>

<file path=xl/persons/person.xml><?xml version="1.0" encoding="utf-8"?>
<personList xmlns="http://schemas.microsoft.com/office/spreadsheetml/2018/threadedcomments" xmlns:x="http://schemas.openxmlformats.org/spreadsheetml/2006/main">
  <person displayName="Kidking, Patcha" id="{26F94831-2B19-4799-854E-3C9F55ACA907}" userId="Kidking, Patcha" providerId="None"/>
  <person displayName="Jani, Shivani R" id="{740380A9-CF4E-4B87-8031-BF1D1DE7B644}" userId="S::Shivani.Jani@osc.nc.gov::8bd54d9f-5548-45b6-ba73-81064f073bb9" providerId="AD"/>
  <person displayName="Zaytseva, Yelena A" id="{5584C60A-74CC-4AFE-90EB-09D626C95B62}" userId="S::yelena.zaytseva@osc.nc.gov::a4e268fb-379f-45d6-bd1e-097365dd6a03" providerId="AD"/>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8</v>
    <v>15</v>
    <v>1</v>
  </rv>
</rvData>
</file>

<file path=xl/richData/rdrichvaluestructure.xml><?xml version="1.0" encoding="utf-8"?>
<rvStructures xmlns="http://schemas.microsoft.com/office/spreadsheetml/2017/richdata" count="1">
  <s t="_error">
    <k n="colOffset" t="i"/>
    <k n="errorType" t="i"/>
    <k n="rwOffset"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8A8311D-882F-4323-800F-F6D27B64BD9E}" name="TableDiv" displayName="TableDiv" ref="A3:B526" totalsRowShown="0" headerRowDxfId="183" headerRowCellStyle="Normal 12" dataCellStyle="Normal 12">
  <autoFilter ref="A3:B526" xr:uid="{01D90C9B-49B0-4B47-95B2-17146F30F837}"/>
  <tableColumns count="2">
    <tableColumn id="1" xr3:uid="{7459FF8E-B840-4A92-ABFC-FA61C887DE97}" name="Agency" dataCellStyle="Normal 12"/>
    <tableColumn id="2" xr3:uid="{E3EAB8CF-178E-4A04-BE33-758D45A18AE3}" name="GASB" dataCellStyle="Normal 1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K33" dT="2021-05-25T21:18:39.96" personId="{740380A9-CF4E-4B87-8031-BF1D1DE7B644}" id="{9A2DE285-BBE9-4FEE-9FE0-08BBCE7203DF}">
    <text>This is a new account caption on the 905 and in NCAS for FY2021. Amounts in this caption should reflect the proportionate share of the State Health Plan's contribution to the Retiree Health Benefit Fund (RHBF) for employer participants. This caption maps to NCAS Account 436207.</text>
  </threadedComment>
  <threadedComment ref="AH34" dT="2021-05-25T21:18:39.96" personId="{740380A9-CF4E-4B87-8031-BF1D1DE7B644}" id="{305FC425-AF07-4D37-B4D2-D9C4649666A7}">
    <text>This is a new account caption on the 905 and in NCAS for FY2021. Amounts in this caption should reflect the proportionate share of the State Health Plan's contribution to the Retiree Health Benefit Fund (RHBF) for employer participants. This caption maps to NCAS Account 436207.</text>
  </threadedComment>
  <threadedComment ref="AH104" dT="2023-03-06T21:30:23.92" personId="{26F94831-2B19-4799-854E-3C9F55ACA907}" id="{FC0ECBC6-E7BA-4606-9B47-A7F68E153637}">
    <text xml:space="preserve">This account represents the value of the intangible asset for subscription-based IT arrangements for network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ext>
  </threadedComment>
</ThreadedComments>
</file>

<file path=xl/threadedComments/threadedComment2.xml><?xml version="1.0" encoding="utf-8"?>
<ThreadedComments xmlns="http://schemas.microsoft.com/office/spreadsheetml/2018/threadedcomments" xmlns:x="http://schemas.openxmlformats.org/spreadsheetml/2006/main">
  <threadedComment ref="B31" dT="2023-03-17T16:49:35.87" personId="{26F94831-2B19-4799-854E-3C9F55ACA907}" id="{6E589C20-8CC6-48E5-9761-4F45E006DB12}">
    <text>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https://www.osc.nc.gov/state-agency-resources/chart-of-accounts?field_site_page_terms_target_id_1=2122&amp;combine=</text>
    <extLst>
      <x:ext xmlns:xltc2="http://schemas.microsoft.com/office/spreadsheetml/2020/threadedcomments2" uri="{F7C98A9C-CBB3-438F-8F68-D28B6AF4A901}">
        <xltc2:checksum>1014491545</xltc2:checksum>
        <xltc2:hyperlink startIndex="381" length="111" url="https://www.osc.nc.gov/state-agency-resources/chart-of-accounts?field_site_page_terms_target_id_1=2122&amp;combine="/>
      </x:ext>
    </extLst>
  </threadedComment>
  <threadedComment ref="B50" dT="2023-03-17T17:00:05.95" personId="{26F94831-2B19-4799-854E-3C9F55ACA907}" id="{F9708C46-9873-4941-B230-59E081783605}">
    <text>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https://www.osc.nc.gov/state-agency-resources/chart-of-accounts?field_site_page_terms_target_id_1=2119&amp;combine=</text>
    <extLst>
      <x:ext xmlns:xltc2="http://schemas.microsoft.com/office/spreadsheetml/2020/threadedcomments2" uri="{F7C98A9C-CBB3-438F-8F68-D28B6AF4A901}">
        <xltc2:checksum>377163041</xltc2:checksum>
        <xltc2:hyperlink startIndex="381" length="111" url="https://www.osc.nc.gov/state-agency-resources/chart-of-accounts?field_site_page_terms_target_id_1=2119&amp;combine="/>
      </x:ext>
    </extLst>
  </threadedComment>
  <threadedComment ref="B82" dT="2023-03-06T21:30:23.92" personId="{26F94831-2B19-4799-854E-3C9F55ACA907}" id="{58892122-B2EB-45B2-B33D-B968846C629F}">
    <text xml:space="preserve">This account represents the value of the intangible asset for subscription-based IT arrangements for network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ext>
  </threadedComment>
  <threadedComment ref="B125" dT="2023-03-06T21:41:06.49" personId="{26F94831-2B19-4799-854E-3C9F55ACA907}" id="{E516E17E-FF41-4685-A8CE-FF4788FBCBD0}">
    <text xml:space="preserve">This account represents the current portion of subscription-based IT arrangements obligations due within the current year or within one year of the reporting date.  This account is not for use by governmental funds. </text>
  </threadedComment>
  <threadedComment ref="B152" dT="2023-03-06T21:41:29.66" personId="{26F94831-2B19-4799-854E-3C9F55ACA907}" id="{21F9FA95-98E5-4723-8F27-74809263C196}">
    <text xml:space="preserve">This account represents the portion of subscription-based IT arrangements obligations that will be payable in more than one year subsequent to the balance sheet date.  This is for use by both governmental and proprietary funds. </text>
  </threadedComment>
  <threadedComment ref="B171" dT="2023-03-17T18:32:08.17" personId="{26F94831-2B19-4799-854E-3C9F55ACA907}" id="{8C0E3826-3596-4385-8E32-7756BE9D2DDA}">
    <text>* For FY13, new NCAS acct 229202 added for implementation of GASB60 Service Concession Arrangements.
* For FY23, new title changed from Service Concession Arrangement (SCA) revenue applicable to future years to Deferred inflows for PPP Arrangements per GASB94.</text>
  </threadedComment>
  <threadedComment ref="B233" dT="2024-03-01T21:28:16.70" personId="{26F94831-2B19-4799-854E-3C9F55ACA907}" id="{1C370758-3EF3-49EF-932C-01A097846BBD}">
    <text xml:space="preserve">Additional accounts rolled up to State aid - general in FY2024
42500138 State Aid - Sports Wagering
42500139 State Aid - IT Reserve
42500140 - State Aid - ARPA Temporary Savings (Medicaid Expansion)
</text>
  </threadedComment>
  <threadedComment ref="B235" dT="2020-05-20T19:11:00.42" personId="{740380A9-CF4E-4B87-8031-BF1D1DE7B644}" id="{A615783C-1191-4045-98F6-5DA93EB3548F}">
    <text>This account maps to NCAS Account 432905. This account should only be used for entities receiving coronavirus relief funds or American Rescue Plan State Fiscal Recovery Funds DIRECTLY from OSBM. Coronavirus relief funds or ARP State Fiscal Recovery Funds received from the UNC System Office should be reported in University Transfers Account 438700, and Worksheet 565 should be filled out.</text>
  </threadedComment>
  <threadedComment ref="B235" dT="2024-03-01T21:29:09.88" personId="{26F94831-2B19-4799-854E-3C9F55ACA907}" id="{25683291-825A-447A-8F59-F40D7195B91B}" parentId="{A615783C-1191-4045-98F6-5DA93EB3548F}">
    <text>Additional account rolled up to this account in FY2024 --&gt; 42500137 State Aid - SRFR Recovery Reserve</text>
  </threadedComment>
  <threadedComment ref="B237" dT="2020-05-18T15:55:48.96" personId="{740380A9-CF4E-4B87-8031-BF1D1DE7B644}" id="{E88BAAE7-59B6-49B2-BFA5-5FE8C4DBA888}">
    <text>This account will be used to break out federal aid received directly from federal agencies for Coronavirus (COVID-19) relief. This is NOT an account in NCAS; rather, entities should report nonoperating federal grants in the appropriate Noncapital Grant Revenue account during the year, and break out federal aid received due to coronavirus in this account for Annual Report presentation purposes.</text>
  </threadedComment>
  <threadedComment ref="B239" dT="2021-05-25T21:18:39.96" personId="{740380A9-CF4E-4B87-8031-BF1D1DE7B644}" id="{0665821F-2F78-4D93-BB0F-0CF65F131A8B}">
    <text>This is a new account caption on the 905 and in NCAS for FY2021. Amounts in this caption should reflect the proportionate share of the State Health Plan's contribution to the Retiree Health Benefit Fund (RHBF) for employer participants. This caption maps to NCAS Account 436207.</text>
  </threadedComment>
  <threadedComment ref="B239" dT="2024-04-11T18:36:46.57" personId="{26F94831-2B19-4799-854E-3C9F55ACA907}" id="{A612FB8A-3141-4F62-BEEE-14270FFFBBED}" parentId="{0665821F-2F78-4D93-BB0F-0CF65F131A8B}">
    <text>NCFS Account 46207000</text>
  </threadedComment>
  <threadedComment ref="B240" dT="2023-03-06T22:09:47.01" personId="{26F94831-2B19-4799-854E-3C9F55ACA907}" id="{C9B88260-7184-4C17-BD71-E4AA1246D0AC}">
    <text>This includes new account - 535327 SBITA INTEREST PAYMENTS.</text>
  </threadedComment>
  <threadedComment ref="B240" dT="2024-04-11T18:38:40.87" personId="{26F94831-2B19-4799-854E-3C9F55ACA907}" id="{6D0B6329-F7B2-438E-A89F-A2B2C1A17A5C}" parentId="{C9B88260-7184-4C17-BD71-E4AA1246D0AC}">
    <text>NCFS Account 55327000</text>
  </threadedComment>
</ThreadedComments>
</file>

<file path=xl/threadedComments/threadedComment3.xml><?xml version="1.0" encoding="utf-8"?>
<ThreadedComments xmlns="http://schemas.microsoft.com/office/spreadsheetml/2018/threadedcomments" xmlns:x="http://schemas.openxmlformats.org/spreadsheetml/2006/main">
  <threadedComment ref="B1" dT="2024-04-04T15:39:20.74" personId="{26F94831-2B19-4799-854E-3C9F55ACA907}" id="{A9CA9695-6096-4E6D-A7A2-339DEFA6F5CB}">
    <text>Some accounts may not be available in the COA Mapping Search. Please contact OSC for further assistance.</text>
  </threadedComment>
  <threadedComment ref="A163" dT="2023-03-17T18:27:23.46" personId="{26F94831-2B19-4799-854E-3C9F55ACA907}" id="{06C0B543-785C-4B0B-9AD4-25FCAA4A625C}">
    <text>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https://www.osc.nc.gov/state-agency-resources/chart-of-accounts?field_site_page_terms_target_id_1=2122&amp;combine=</text>
    <extLst>
      <x:ext xmlns:xltc2="http://schemas.microsoft.com/office/spreadsheetml/2020/threadedcomments2" uri="{F7C98A9C-CBB3-438F-8F68-D28B6AF4A901}">
        <xltc2:checksum>1014491545</xltc2:checksum>
        <xltc2:hyperlink startIndex="381" length="111" url="https://www.osc.nc.gov/state-agency-resources/chart-of-accounts?field_site_page_terms_target_id_1=2122&amp;combine="/>
      </x:ext>
    </extLst>
  </threadedComment>
  <threadedComment ref="A283" dT="2023-03-17T18:27:23.46" personId="{26F94831-2B19-4799-854E-3C9F55ACA907}" id="{7CD77CBF-3456-4F8C-AEAC-1D331E9CB489}">
    <text>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https://www.osc.nc.gov/state-agency-resources/chart-of-accounts?field_site_page_terms_target_id_1=2122&amp;combine=</text>
    <extLst>
      <x:ext xmlns:xltc2="http://schemas.microsoft.com/office/spreadsheetml/2020/threadedcomments2" uri="{F7C98A9C-CBB3-438F-8F68-D28B6AF4A901}">
        <xltc2:checksum>1014491545</xltc2:checksum>
        <xltc2:hyperlink startIndex="381" length="111" url="https://www.osc.nc.gov/state-agency-resources/chart-of-accounts?field_site_page_terms_target_id_1=2122&amp;combine="/>
      </x:ext>
    </extLst>
  </threadedComment>
  <threadedComment ref="E693" dT="2023-04-21T14:50:27.25" personId="{26F94831-2B19-4799-854E-3C9F55ACA907}" id="{7C6CE1D7-3D60-4313-897C-9BE7C8BC3C3F}">
    <text xml:space="preserve">Added in FY2023.
No balance in the past. </text>
  </threadedComment>
  <threadedComment ref="A716" dT="2023-03-17T17:25:41.74" personId="{26F94831-2B19-4799-854E-3C9F55ACA907}" id="{7CCF5441-E48F-42C6-9E5F-483B364C3226}">
    <text>Title change from "SCA REV APPLIC FUTURE YRS" tp "Deferred Inflows for PPP Arrangements".</text>
  </threadedComment>
  <threadedComment ref="A1478" dT="2024-02-20T21:36:09.00" personId="{26F94831-2B19-4799-854E-3C9F55ACA907}" id="{D3062706-1B5C-4404-BCFB-3C26B137486A}">
    <text xml:space="preserve">Account is to be used by component units to record state aid from the Retiree Supplement Reserve received from the Office of the State Controller.  This account is NOT valid for primary government agencies. This is in accordance with Session Law 2022-74, Section 2.2(a), 2.2(n). </text>
  </threadedComment>
</ThreadedComments>
</file>

<file path=xl/threadedComments/threadedComment4.xml><?xml version="1.0" encoding="utf-8"?>
<ThreadedComments xmlns="http://schemas.microsoft.com/office/spreadsheetml/2018/threadedcomments" xmlns:x="http://schemas.openxmlformats.org/spreadsheetml/2006/main">
  <threadedComment ref="B32" dT="2023-03-17T19:26:14.17" personId="{26F94831-2B19-4799-854E-3C9F55ACA907}" id="{E05F9015-BBA7-4F41-B3C6-BFC0CCC75953}">
    <text>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text>
  </threadedComment>
  <threadedComment ref="B51" dT="2023-03-17T19:25:32.52" personId="{26F94831-2B19-4799-854E-3C9F55ACA907}" id="{3C06B7EF-E58B-4228-9127-17537D60B5D2}">
    <text xml:space="preserve">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text>
  </threadedComment>
  <threadedComment ref="B83" dT="2023-03-06T21:30:23.92" personId="{26F94831-2B19-4799-854E-3C9F55ACA907}" id="{FECDB75A-DE6D-4152-89F7-E5E48BD40ED0}">
    <text xml:space="preserve">This account represents the value of the intangible asset for subscription-based IT arrangements for network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ext>
  </threadedComment>
  <threadedComment ref="B126" dT="2023-03-06T21:42:56.84" personId="{26F94831-2B19-4799-854E-3C9F55ACA907}" id="{1AD230D2-1978-4F76-8203-C86148E0DE78}">
    <text xml:space="preserve">This account represents the current portion of subscription-based IT arrangements obligations due within the current year or within one year of the reporting date.  This account is not for use by governmental funds. 
</text>
  </threadedComment>
  <threadedComment ref="B153" dT="2023-03-06T21:41:29.66" personId="{26F94831-2B19-4799-854E-3C9F55ACA907}" id="{47ECF78E-7D66-434D-917F-F9752AA0C418}">
    <text xml:space="preserve">This account represents the portion of subscription-based IT arrangements obligations that will be payable in more than one year subsequent to the balance sheet date.  This is for use by both governmental and proprietary funds. </text>
  </threadedComment>
  <threadedComment ref="B172" dT="2023-03-17T19:33:35.24" personId="{26F94831-2B19-4799-854E-3C9F55ACA907}" id="{76EA8710-07A3-480D-B4C3-12002537D5C0}">
    <text xml:space="preserve">* For FY13, new NCAS acct 229202 added for implementation of GASB60 Service Concession Arrangements.
* For FY23, new title changed from Service Concession Arrangement (SCA) revenue applicable to future years to Deferred inflows for PPP Arrangements per GASB94.
</text>
  </threadedComment>
  <threadedComment ref="B231" dT="2024-03-01T21:28:16.70" personId="{26F94831-2B19-4799-854E-3C9F55ACA907}" id="{C6A1113C-250D-47B3-99D7-B26BEEFA7415}">
    <text xml:space="preserve">Additional accounts rolled up to State aid - general in FY2024
42500138 State Aid - Sports Wagering
42500139 State Aid - IT Reserve
42500140 - State Aid - ARPA Temporary Savings (Medicaid Expansion)
</text>
  </threadedComment>
  <threadedComment ref="B233" dT="2020-05-20T19:11:00.42" personId="{740380A9-CF4E-4B87-8031-BF1D1DE7B644}" id="{D1D71853-CCDA-46D0-B986-8C2B920B4B84}">
    <text>This account maps to NCAS Account 432905. This account should only be used for entities receiving coronavirus relief funds or American Rescue Plan State Fiscal Recovery Funds DIRECTLY from OSBM. Coronavirus relief funds or ARP State Fiscal Recovery Funds received from the UNC System Office should be reported in University Transfers Account 438700, and Worksheet 565 should be filled out.</text>
  </threadedComment>
  <threadedComment ref="B233" dT="2024-03-01T21:29:09.88" personId="{26F94831-2B19-4799-854E-3C9F55ACA907}" id="{A9205463-CABF-41C5-8ED0-E38450C66966}" parentId="{D1D71853-CCDA-46D0-B986-8C2B920B4B84}">
    <text>Additional account rolled up to this account in FY2024 --&gt; 42500137 State Aid - SRFR Recovery Reserve</text>
  </threadedComment>
  <threadedComment ref="B237" dT="2021-05-25T21:18:39.96" personId="{740380A9-CF4E-4B87-8031-BF1D1DE7B644}" id="{C46C3533-8015-459F-8AF8-C93EA45BF696}">
    <text>This is a new account caption on the 905 and in NCAS for FY2021. Amounts in this caption should reflect the proportionate share of the State Health Plan's contribution to the Retiree Health Benefit Fund (RHBF) for employer participants. This caption maps to NCAS Account 436207.</text>
  </threadedComment>
  <threadedComment ref="B238" dT="2023-03-06T22:09:47.01" personId="{26F94831-2B19-4799-854E-3C9F55ACA907}" id="{0CEA98A3-49A5-493C-A194-BF74532B95A1}">
    <text>This includes new account - 535327 SBITA INTEREST PAYMENTS.</text>
  </threadedComment>
</ThreadedComments>
</file>

<file path=xl/threadedComments/threadedComment5.xml><?xml version="1.0" encoding="utf-8"?>
<ThreadedComments xmlns="http://schemas.microsoft.com/office/spreadsheetml/2018/threadedcomments" xmlns:x="http://schemas.openxmlformats.org/spreadsheetml/2006/main">
  <threadedComment ref="B31" dT="2023-03-17T19:26:14.17" personId="{26F94831-2B19-4799-854E-3C9F55ACA907}" id="{7514A894-4CD8-4D7A-9BA0-ED5B859E3356}">
    <text>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text>
  </threadedComment>
  <threadedComment ref="B50" dT="2023-03-17T19:25:32.52" personId="{26F94831-2B19-4799-854E-3C9F55ACA907}" id="{8F06C560-DC65-4C5A-8FA6-DF394E5B7654}">
    <text xml:space="preserve">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text>
  </threadedComment>
  <threadedComment ref="B82" dT="2023-03-06T21:30:23.92" personId="{26F94831-2B19-4799-854E-3C9F55ACA907}" id="{F82ED83D-5764-49EC-AD01-49AFC12A5668}">
    <text xml:space="preserve">This account represents the value of the intangible asset for subscription-based IT arrangements for network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ext>
  </threadedComment>
  <threadedComment ref="B125" dT="2023-03-06T21:41:06.49" personId="{26F94831-2B19-4799-854E-3C9F55ACA907}" id="{6F1EFC1A-AB55-4899-A7BC-969273916635}">
    <text xml:space="preserve">This account represents the current portion of subscription-based IT arrangements obligations due within the current year or within one year of the reporting date.  This account is not for use by governmental funds. </text>
  </threadedComment>
  <threadedComment ref="B152" dT="2023-03-06T21:41:29.66" personId="{26F94831-2B19-4799-854E-3C9F55ACA907}" id="{DDD2FC2B-3215-47D8-8309-03C9BAAB1F21}">
    <text xml:space="preserve">This account represents the portion of subscription-based IT arrangements obligations that will be payable in more than one year subsequent to the balance sheet date.  This is for use by both governmental and proprietary funds. </text>
  </threadedComment>
</ThreadedComments>
</file>

<file path=xl/threadedComments/threadedComment6.xml><?xml version="1.0" encoding="utf-8"?>
<ThreadedComments xmlns="http://schemas.microsoft.com/office/spreadsheetml/2018/threadedcomments" xmlns:x="http://schemas.openxmlformats.org/spreadsheetml/2006/main">
  <threadedComment ref="B31" dT="2023-03-17T19:26:14.17" personId="{26F94831-2B19-4799-854E-3C9F55ACA907}" id="{AF03DD84-5C48-42A2-BF0C-EB83C528DD40}">
    <text>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text>
  </threadedComment>
  <threadedComment ref="B50" dT="2023-03-17T19:25:32.52" personId="{26F94831-2B19-4799-854E-3C9F55ACA907}" id="{D7347BB3-7F16-4E1A-BEA7-C337F52A41DB}">
    <text xml:space="preserve">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text>
  </threadedComment>
  <threadedComment ref="B82" dT="2023-03-06T21:30:23.92" personId="{26F94831-2B19-4799-854E-3C9F55ACA907}" id="{6FC81978-19F2-403E-836D-2A680FDA91A8}">
    <text xml:space="preserve">This account represents the value of the intangible asset for subscription-based IT arrangements for network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ext>
  </threadedComment>
  <threadedComment ref="B125" dT="2023-03-06T21:41:06.49" personId="{26F94831-2B19-4799-854E-3C9F55ACA907}" id="{97DF9D76-21E1-4B1C-B80D-086DB28A1EC1}">
    <text xml:space="preserve">This account represents the current portion of subscription-based IT arrangements obligations due within the current year or within one year of the reporting date.  This account is not for use by governmental funds. </text>
  </threadedComment>
  <threadedComment ref="B152" dT="2023-03-06T21:41:29.66" personId="{26F94831-2B19-4799-854E-3C9F55ACA907}" id="{DF8AB67B-DD53-4A87-ABB5-FF017C5B5A7C}">
    <text xml:space="preserve">This account represents the portion of subscription-based IT arrangements obligations that will be payable in more than one year subsequent to the balance sheet date.  This is for use by both governmental and proprietary funds. </text>
  </threadedComment>
</ThreadedComments>
</file>

<file path=xl/threadedComments/threadedComment7.xml><?xml version="1.0" encoding="utf-8"?>
<ThreadedComments xmlns="http://schemas.microsoft.com/office/spreadsheetml/2018/threadedcomments" xmlns:x="http://schemas.openxmlformats.org/spreadsheetml/2006/main">
  <threadedComment ref="E22" dT="2024-04-08T00:22:45.59" personId="{26F94831-2B19-4799-854E-3C9F55ACA907}" id="{260732C9-88BA-46DD-8F54-8A84C7F76F1B}">
    <text>OK = include elimination which agrees to ACFR.</text>
  </threadedComment>
  <threadedComment ref="D24" dT="2024-04-08T00:21:25.98" personId="{26F94831-2B19-4799-854E-3C9F55ACA907}" id="{3B5816D1-F8B9-4FB3-932B-D4185D0AC86F}">
    <text>OK. The difference equals $913,093,740.65-he hospital wide elimination.</text>
  </threadedComment>
  <threadedComment ref="E24" dT="2023-03-08T15:08:08.98" personId="{26F94831-2B19-4799-854E-3C9F55ACA907}" id="{EAF21DE6-4E81-4780-BAEC-2C761BB0C3F0}">
    <text>OK = include elimination which agrees to ACFR.</text>
  </threadedComment>
  <threadedComment ref="E24" dT="2024-04-08T00:22:40.87" personId="{26F94831-2B19-4799-854E-3C9F55ACA907}" id="{3776E0F0-1092-4497-B9E6-60DCEEDC8BD1}" parentId="{EAF21DE6-4E81-4780-BAEC-2C761BB0C3F0}">
    <text>OK = include elimination which agrees to ACFR.</text>
  </threadedComment>
  <threadedComment ref="E28" dT="2023-03-08T20:53:15.38" personId="{26F94831-2B19-4799-854E-3C9F55ACA907}" id="{D5DA6438-2B0E-4463-A051-3768B1FD8526}">
    <text>OK = include elimination which agrees to ACFR.</text>
  </threadedComment>
  <threadedComment ref="E28" dT="2024-04-08T00:22:36.09" personId="{26F94831-2B19-4799-854E-3C9F55ACA907}" id="{E9C0A819-4B38-4047-88BB-8384D9B8057C}" parentId="{D5DA6438-2B0E-4463-A051-3768B1FD8526}">
    <text>OK = include elimination which agrees to ACFR.</text>
  </threadedComment>
  <threadedComment ref="B31" dT="2023-03-17T19:26:14.17" personId="{26F94831-2B19-4799-854E-3C9F55ACA907}" id="{E58DD37E-AD40-4BF8-995A-7EBD6AE424B7}">
    <text>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text>
  </threadedComment>
  <threadedComment ref="B50" dT="2023-03-17T19:25:32.52" personId="{26F94831-2B19-4799-854E-3C9F55ACA907}" id="{1C9377B3-D622-475B-AE5F-BAE7CA10D5F9}">
    <text xml:space="preserve">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text>
  </threadedComment>
  <threadedComment ref="D61" dT="2024-04-08T00:36:59.53" personId="{26F94831-2B19-4799-854E-3C9F55ACA907}" id="{5C3621F6-6EA3-419A-ADA3-C756A5209D0E}">
    <text>OK. Minor difference and agree to 48Xp.  And TA = TL + NP</text>
  </threadedComment>
  <threadedComment ref="B82" dT="2023-03-06T22:15:19.86" personId="{26F94831-2B19-4799-854E-3C9F55ACA907}" id="{15DB090E-03B4-4E6E-BBE7-E54B6C9447E5}">
    <text xml:space="preserve">This account represents the value of the intangible asset for subscription-based IT arrangements for software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ext>
  </threadedComment>
  <threadedComment ref="E88" dT="2023-03-08T21:01:14.66" personId="{26F94831-2B19-4799-854E-3C9F55ACA907}" id="{3B1FCA26-9BDD-4D6E-B129-D81698FDBEF8}">
    <text>OK=include elimination</text>
  </threadedComment>
  <threadedComment ref="E88" dT="2024-04-08T00:24:21.26" personId="{26F94831-2B19-4799-854E-3C9F55ACA907}" id="{7392CA43-9843-4A00-B19C-0614BD6A8920}" parentId="{3B1FCA26-9BDD-4D6E-B129-D81698FDBEF8}">
    <text>OK in 2024. The diff equals elimination of 1,682,580,307.25.</text>
  </threadedComment>
  <threadedComment ref="D103" dT="2024-04-08T00:32:17.86" personId="{26F94831-2B19-4799-854E-3C9F55ACA907}" id="{D9043927-A167-4FB8-B49E-7BE2502064B0}">
    <text>OK. The diff equals hospital wide elimination of $578,126,469.23.</text>
  </threadedComment>
  <threadedComment ref="D114" dT="2024-04-08T00:33:40.75" personId="{26F94831-2B19-4799-854E-3C9F55ACA907}" id="{E4D68E84-B8B6-4617-81F7-D45002AD06C6}">
    <text>OK. The diff equals hospital wide elimination of $913,093,740.65.</text>
  </threadedComment>
  <threadedComment ref="D117" dT="2024-04-08T00:34:39.52" personId="{26F94831-2B19-4799-854E-3C9F55ACA907}" id="{7222BA5F-52BC-45DF-8581-2B7BE8E8B7C6}">
    <text>OK . The diff of $191,630,097.37 equals hospital wide elimination.</text>
  </threadedComment>
  <threadedComment ref="B125" dT="2023-03-06T22:16:12.64" personId="{26F94831-2B19-4799-854E-3C9F55ACA907}" id="{0FD3E7F6-FAAA-4F86-AC85-BC415972F832}">
    <text xml:space="preserve">This account represents the current portion of subscription-based IT arrangements obligations due within the current year or within one year of the reporting date.  This account is not for use by governmental funds. </text>
  </threadedComment>
  <threadedComment ref="B126" dT="2023-06-02T21:20:05.85" personId="{5584C60A-74CC-4AFE-90EB-09D626C95B62}" id="{1CD751D3-2F01-4152-A262-B99607D831C8}">
    <text xml:space="preserve">This account represents the current portion of an operator’s PPP liability under GASB Statement 94 for installment payments and is the amount due within the current year or within one year of the reporting date.  This account is not for use by governmental funds. </text>
  </threadedComment>
  <threadedComment ref="D138" dT="2024-04-08T00:35:50.63" personId="{26F94831-2B19-4799-854E-3C9F55ACA907}" id="{57180A12-3B88-4250-A33D-49937F73F535}">
    <text>OK. The difference of $1,682,580,307.25 equals hospital wide elimination.</text>
  </threadedComment>
  <threadedComment ref="B151" dT="2023-04-26T16:43:40.56" personId="{26F94831-2B19-4799-854E-3C9F55ACA907}" id="{D2C60135-9E96-4A98-B0D6-D6C4EC0AF4F7}">
    <text>Caption changed from lease payable to lease liability</text>
  </threadedComment>
  <threadedComment ref="B152" dT="2023-03-06T22:31:13.98" personId="{26F94831-2B19-4799-854E-3C9F55ACA907}" id="{AC6ADA98-FCDA-49FE-B18B-4FB0272BCCE8}">
    <text xml:space="preserve">This account represents the portion of subscription-based IT arrangements obligations that will be payable in more than one year subsequent to the balance sheet date.  This is for use by both governmental and proprietary funds. </text>
  </threadedComment>
  <threadedComment ref="B153" dT="2023-06-02T21:17:40.48" personId="{5584C60A-74CC-4AFE-90EB-09D626C95B62}" id="{F8A5713C-05CB-42CF-AA25-168A6F0894C7}">
    <text xml:space="preserve">This account represents the portion of an operator’s liability in a public-private or public-public partnership (PPP/SCA) arrangement under GASB 94 for future installment payments that will be due to the transferor in more than one year subsequent to the balance sheet date.  This is for use by both governmental and proprietary funds. </text>
  </threadedComment>
  <threadedComment ref="D167" dT="2024-04-08T00:39:36.45" personId="{26F94831-2B19-4799-854E-3C9F55ACA907}" id="{542FD0EA-1201-4149-8D1B-F867CCA6B91B}">
    <text>OK. The difference of $1,682,580,307.25 equals hospital wide elimination</text>
  </threadedComment>
  <threadedComment ref="AD171" dT="2024-03-01T21:26:38.95" personId="{26F94831-2B19-4799-854E-3C9F55ACA907}" id="{BA7E37CA-EC08-42CC-9145-B39B60F82930}">
    <text>Reclass $92,471,547.68 from deferred inflows for lease agreements to deferred inflows for PPP Arrangements.</text>
  </threadedComment>
  <threadedComment ref="AA172" dT="2024-03-01T21:19:02.92" personId="{26F94831-2B19-4799-854E-3C9F55ACA907}" id="{E6624134-A990-4F2B-9F22-3E42EDB1D644}">
    <text>Reclass $2,021,847.10 from other deferred inflows to deferred gain on refunding.</text>
  </threadedComment>
  <threadedComment ref="E178" dT="2024-04-08T01:09:41.70" personId="{26F94831-2B19-4799-854E-3C9F55ACA907}" id="{2A162CCD-867D-42AC-AF73-63F91B897A25}">
    <text>Original amount = $12,348,493.29.
Reclassification from Other Deferred inflows.</text>
  </threadedComment>
  <threadedComment ref="F178" dT="2024-03-01T21:16:25.71" personId="{26F94831-2B19-4799-854E-3C9F55ACA907}" id="{D10FE361-2A64-4375-AFB9-E474BF08CC9C}">
    <text>Reclass $2,158,072 from other deferred inflows to deferred inflows for lease agreements.</text>
  </threadedComment>
  <threadedComment ref="G178" dT="2024-03-01T21:16:44.99" personId="{26F94831-2B19-4799-854E-3C9F55ACA907}" id="{4314008F-CC8B-4A7C-8B5F-E9C217FBD012}">
    <text>Reclass $55,679,080.81 from other deferred inflows to deferred inflows for lease agreements.</text>
  </threadedComment>
  <threadedComment ref="E179" dT="2024-04-08T01:11:24.07" personId="{26F94831-2B19-4799-854E-3C9F55ACA907}" id="{433D6E17-E187-4ED9-B965-E8F5D2D5C652}">
    <text>Original amount = $58,033,931.96.
Reclassification to Deferred inflows for lease agreements.</text>
  </threadedComment>
  <threadedComment ref="AA179" dT="2024-03-01T21:19:25.05" personId="{26F94831-2B19-4799-854E-3C9F55ACA907}" id="{14B6A6BD-661B-4025-91D3-73CE844323BC}">
    <text>Reclass $2,021,847.10 from other deferred inflows to deferred gain on refunding.</text>
  </threadedComment>
  <threadedComment ref="F194" dT="2023-04-06T21:35:31.03" personId="{26F94831-2B19-4799-854E-3C9F55ACA907}" id="{3CC8925D-A6B8-415A-9676-0CD364EB4271}">
    <text>Total net position doesn't agree to the audit report ($1,248,556,212). The difference is $3,320,807.83.</text>
  </threadedComment>
  <threadedComment ref="D200" dT="2024-04-08T01:19:12.77" personId="{26F94831-2B19-4799-854E-3C9F55ACA907}" id="{168CF8AF-6E36-4822-B40D-C5F6FBCAB7C3}">
    <text>OK. The difference of $68,616,408 equals hospital wide elimination.</text>
  </threadedComment>
  <threadedComment ref="D208" dT="2024-04-08T01:19:57.87" personId="{26F94831-2B19-4799-854E-3C9F55ACA907}" id="{30B7030D-328E-44D9-8BDC-652FC512085A}">
    <text>OK. The diff of $11,737,142.15 equal hospital wide elimination.</text>
  </threadedComment>
  <threadedComment ref="D209" dT="2024-04-08T01:22:00.32" personId="{26F94831-2B19-4799-854E-3C9F55ACA907}" id="{61882B63-426E-4339-871E-5403B8CD664A}">
    <text>OK. The diff of $119,006,544 equals hospital wide elimination.</text>
  </threadedComment>
  <threadedComment ref="E209" dT="2023-04-26T15:50:04.04" personId="{26F94831-2B19-4799-854E-3C9F55ACA907}" id="{1132E5CC-1F60-4F94-B289-BD1F8D96E971}">
    <text>Include elimination</text>
  </threadedComment>
  <threadedComment ref="D210" dT="2024-04-08T01:24:22.04" personId="{26F94831-2B19-4799-854E-3C9F55ACA907}" id="{4C5BF608-E182-4000-96CE-D11D95CB9E54}">
    <text>OK. The diff of $16,616,610.8 equals hospital wide elimination.</text>
  </threadedComment>
  <threadedComment ref="E210" dT="2023-04-26T15:50:11.90" personId="{26F94831-2B19-4799-854E-3C9F55ACA907}" id="{0B4E3B33-2040-4B9F-8676-D74AFABE8890}">
    <text>Include elimination</text>
  </threadedComment>
  <threadedComment ref="D211" dT="2024-04-08T01:25:28.81" personId="{26F94831-2B19-4799-854E-3C9F55ACA907}" id="{2F38DDBE-0F23-4E36-B4A4-39F8753A985D}">
    <text>OK. The diff of $215,976,704.95 equals hospital wide elimination.</text>
  </threadedComment>
  <threadedComment ref="D215" dT="2024-04-08T01:27:29.43" personId="{26F94831-2B19-4799-854E-3C9F55ACA907}" id="{904500F4-C325-4898-A3D7-7B8A7371EEE5}">
    <text>OK. The diff of $68,616,408 equals hospital wide elimination.</text>
  </threadedComment>
  <threadedComment ref="E215" dT="2023-04-26T15:50:42.25" personId="{26F94831-2B19-4799-854E-3C9F55ACA907}" id="{F7AB8CC1-5ED3-4AD9-A34C-2546695B548C}">
    <text>Include elimination</text>
  </threadedComment>
  <threadedComment ref="D216" dT="2024-04-08T01:31:14.83" personId="{26F94831-2B19-4799-854E-3C9F55ACA907}" id="{4D390F71-0A05-497A-8900-402FB0DB95A9}">
    <text>OK. The diff of $73,204,758.80 equals hospital wide elimination</text>
  </threadedComment>
  <threadedComment ref="E216" dT="2023-04-26T15:50:45.86" personId="{26F94831-2B19-4799-854E-3C9F55ACA907}" id="{661EBCBB-3A63-4155-B97A-73EF7CC8F7BC}">
    <text>Include elimination</text>
  </threadedComment>
  <threadedComment ref="D218" dT="2024-04-08T01:31:57.33" personId="{26F94831-2B19-4799-854E-3C9F55ACA907}" id="{0BAE10F3-33AC-4BFD-BE5C-558713F49431}">
    <text xml:space="preserve">OK. The diff of $(1,625,145.48) equals hospital wide elimination
</text>
  </threadedComment>
  <threadedComment ref="E218" dT="2023-03-08T22:23:22.71" personId="{26F94831-2B19-4799-854E-3C9F55ACA907}" id="{4F9F59D4-6B70-45B3-A5C1-D13870A0989A}">
    <text>Include elimination</text>
  </threadedComment>
  <threadedComment ref="D219" dT="2024-04-08T01:33:01.01" personId="{26F94831-2B19-4799-854E-3C9F55ACA907}" id="{0170BDD4-CC20-4C47-9534-5103A300AEB3}">
    <text>74,155,538.15 diff = hospital wide elimination</text>
  </threadedComment>
  <threadedComment ref="D220" dT="2024-04-08T01:33:43.19" personId="{26F94831-2B19-4799-854E-3C9F55ACA907}" id="{2F67573F-4FF3-46A4-88FD-01C8017949FC}">
    <text>1,625,145.48 diff = hospital wide elimination</text>
  </threadedComment>
  <threadedComment ref="D226" dT="2024-04-08T01:34:25.71" personId="{26F94831-2B19-4799-854E-3C9F55ACA907}" id="{DB7EA1AD-200A-43F3-9FE7-6ACF39CEDBCC}">
    <text>215,976,704.95 diff = hospital wide elimination</text>
  </threadedComment>
  <threadedComment ref="S232" dT="2023-03-08T16:21:56.02" personId="{26F94831-2B19-4799-854E-3C9F55ACA907}" id="{540F39D2-9F2B-4DE9-A623-BB5A88D09FC2}">
    <text>Reclass to 2710 noncapital gift</text>
  </threadedComment>
  <threadedComment ref="Q233" dT="2023-03-08T15:41:23.32" personId="{26F94831-2B19-4799-854E-3C9F55ACA907}" id="{394496DC-4359-42C0-BB0E-91D3A18B7416}">
    <text>COVID-19 aid</text>
  </threadedComment>
  <threadedComment ref="S233" dT="2023-03-08T16:22:10.02" personId="{26F94831-2B19-4799-854E-3C9F55ACA907}" id="{C862E26E-7668-48E7-BDB4-6657CB3A4366}">
    <text>4,926,923.88+13000</text>
  </threadedComment>
  <threadedComment ref="AA233" dT="2023-03-08T15:58:54.02" personId="{26F94831-2B19-4799-854E-3C9F55ACA907}" id="{81CBAEBF-7EFE-4C92-9D66-61C745D37E63}">
    <text>COVID 19 aid from 2692 State aid-program</text>
  </threadedComment>
  <threadedComment ref="AC233" dT="2023-03-08T16:00:11.37" personId="{26F94831-2B19-4799-854E-3C9F55ACA907}" id="{10B298EE-0956-4A10-B26F-B52AC3E69CB5}">
    <text>Reclass from 2700 Noncapital grant revenue</text>
  </threadedComment>
  <threadedComment ref="AC234" dT="2023-03-08T16:01:57.60" personId="{26F94831-2B19-4799-854E-3C9F55ACA907}" id="{DCA708AC-67DE-4D18-AD51-4EFCFD9F5A90}">
    <text>33,139,614.39-1,107,928 (COVID) = 32,031,686.39</text>
  </threadedComment>
  <threadedComment ref="D238" dT="2024-04-08T01:36:15.71" personId="{26F94831-2B19-4799-854E-3C9F55ACA907}" id="{A4A76DF4-A649-495F-BDED-066939C904C5}">
    <text>(2,783,013.55) diff = hospital wide elimination</text>
  </threadedComment>
  <threadedComment ref="D242" dT="2024-04-08T01:38:05.38" personId="{26F94831-2B19-4799-854E-3C9F55ACA907}" id="{A0225FDD-DC50-4E7A-A8D6-C9290BF0A3BC}">
    <text>(2,783,013.55) diff = hospital wide elimination</text>
  </threadedComment>
  <threadedComment ref="E242" dT="2023-04-26T16:05:17.40" personId="{26F94831-2B19-4799-854E-3C9F55ACA907}" id="{0B5CFE4C-9D31-4445-9E7B-BBAFCBBF870F}">
    <text>Ok = sum agrees.</text>
  </threadedComment>
  <threadedComment ref="D247" dT="2024-04-08T01:38:54.64" personId="{26F94831-2B19-4799-854E-3C9F55ACA907}" id="{B0AE9508-D090-42E9-A47F-544CADBE32BF}">
    <text>527,950,641.00 diff = hospital wide elimination</text>
  </threadedComment>
  <threadedComment ref="E247" dT="2023-04-26T15:50:59.46" personId="{26F94831-2B19-4799-854E-3C9F55ACA907}" id="{3BA472B1-F593-441B-AAA8-075ADEF52C64}">
    <text>Include elimination</text>
  </threadedComment>
  <threadedComment ref="D248" dT="2024-04-08T01:39:19.98" personId="{26F94831-2B19-4799-854E-3C9F55ACA907}" id="{704535B5-3C1D-422E-88B8-9A795AC50AA2}">
    <text xml:space="preserve">(527,950,641.00) diff = hospital wide elimination
</text>
  </threadedComment>
  <threadedComment ref="E248" dT="2023-04-26T15:51:05.30" personId="{26F94831-2B19-4799-854E-3C9F55ACA907}" id="{30A69176-57D6-4503-82B0-54A4BD09FB8B}">
    <text>Include elimination</text>
  </threadedComment>
  <threadedComment ref="Q251" dT="2023-03-08T15:43:08.65" personId="{26F94831-2B19-4799-854E-3C9F55ACA907}" id="{2CEDED57-B795-4269-AC76-7AC7A4C92787}">
    <text>41,539,626.80-12,337,585 = 29,202,041.80</text>
  </threadedComment>
  <threadedComment ref="D274" dT="2024-04-08T02:18:54.19" personId="{26F94831-2B19-4799-854E-3C9F55ACA907}" id="{69E6DDD5-E2B4-456C-8C86-31797AAED594}">
    <text>$2 diff</text>
  </threadedComment>
  <threadedComment ref="D283" dT="2024-04-08T02:18:32.16" personId="{26F94831-2B19-4799-854E-3C9F55ACA907}" id="{DE4808A4-84D2-447A-A792-128B6B018E6F}">
    <text>$1 diff</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300.bin"/></Relationships>
</file>

<file path=xl/worksheets/_rels/sheet101.xml.rels><?xml version="1.0" encoding="UTF-8" standalone="yes"?>
<Relationships xmlns="http://schemas.openxmlformats.org/package/2006/relationships"><Relationship Id="rId3" Type="http://schemas.openxmlformats.org/officeDocument/2006/relationships/printerSettings" Target="../printerSettings/printerSettings303.bin"/><Relationship Id="rId2" Type="http://schemas.openxmlformats.org/officeDocument/2006/relationships/printerSettings" Target="../printerSettings/printerSettings302.bin"/><Relationship Id="rId1" Type="http://schemas.openxmlformats.org/officeDocument/2006/relationships/printerSettings" Target="../printerSettings/printerSettings301.bin"/></Relationships>
</file>

<file path=xl/worksheets/_rels/sheet102.xml.rels><?xml version="1.0" encoding="UTF-8" standalone="yes"?>
<Relationships xmlns="http://schemas.openxmlformats.org/package/2006/relationships"><Relationship Id="rId3" Type="http://schemas.openxmlformats.org/officeDocument/2006/relationships/printerSettings" Target="../printerSettings/printerSettings306.bin"/><Relationship Id="rId2" Type="http://schemas.openxmlformats.org/officeDocument/2006/relationships/printerSettings" Target="../printerSettings/printerSettings305.bin"/><Relationship Id="rId1" Type="http://schemas.openxmlformats.org/officeDocument/2006/relationships/printerSettings" Target="../printerSettings/printerSettings304.bin"/></Relationships>
</file>

<file path=xl/worksheets/_rels/sheet10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customProperty" Target="../customProperty1.bin"/><Relationship Id="rId1" Type="http://schemas.openxmlformats.org/officeDocument/2006/relationships/printerSettings" Target="../printerSettings/printerSettings307.bin"/><Relationship Id="rId5" Type="http://schemas.microsoft.com/office/2017/10/relationships/threadedComment" Target="../threadedComments/threadedComment7.xml"/><Relationship Id="rId4" Type="http://schemas.openxmlformats.org/officeDocument/2006/relationships/comments" Target="../comments13.xml"/></Relationships>
</file>

<file path=xl/worksheets/_rels/sheet10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5.vml"/><Relationship Id="rId1" Type="http://schemas.openxmlformats.org/officeDocument/2006/relationships/printerSettings" Target="../printerSettings/printerSettings308.bin"/></Relationships>
</file>

<file path=xl/worksheets/_rels/sheet105.xml.rels><?xml version="1.0" encoding="UTF-8" standalone="yes"?>
<Relationships xmlns="http://schemas.openxmlformats.org/package/2006/relationships"><Relationship Id="rId26" Type="http://schemas.openxmlformats.org/officeDocument/2006/relationships/hyperlink" Target="mailto:Mrobe138@uncc.edu" TargetMode="External"/><Relationship Id="rId117" Type="http://schemas.openxmlformats.org/officeDocument/2006/relationships/hyperlink" Target="mailto:g_bibi@uncg.edu" TargetMode="External"/><Relationship Id="rId21" Type="http://schemas.openxmlformats.org/officeDocument/2006/relationships/hyperlink" Target="mailto:swmiller@ecsu.edu" TargetMode="External"/><Relationship Id="rId42" Type="http://schemas.openxmlformats.org/officeDocument/2006/relationships/hyperlink" Target="mailto:tdwarren1@ncdot.gov" TargetMode="External"/><Relationship Id="rId47" Type="http://schemas.openxmlformats.org/officeDocument/2006/relationships/hyperlink" Target="mailto:allis.talley-burton@ncdps.gov" TargetMode="External"/><Relationship Id="rId63" Type="http://schemas.openxmlformats.org/officeDocument/2006/relationships/hyperlink" Target="mailto:kimberly.stafford@uncp.edu" TargetMode="External"/><Relationship Id="rId68" Type="http://schemas.openxmlformats.org/officeDocument/2006/relationships/hyperlink" Target="mailto:carolyna@blueridge.edu" TargetMode="External"/><Relationship Id="rId84" Type="http://schemas.openxmlformats.org/officeDocument/2006/relationships/hyperlink" Target="mailto:apenson@isothermal.edu" TargetMode="External"/><Relationship Id="rId89" Type="http://schemas.openxmlformats.org/officeDocument/2006/relationships/hyperlink" Target="mailto:ftgarrison55@go.mcdowelltech.edu" TargetMode="External"/><Relationship Id="rId112" Type="http://schemas.openxmlformats.org/officeDocument/2006/relationships/hyperlink" Target="mailto:kristabellcertain@abtech.edu" TargetMode="External"/><Relationship Id="rId16" Type="http://schemas.openxmlformats.org/officeDocument/2006/relationships/hyperlink" Target="mailto:Lori.Oldham@ncdcr.gov" TargetMode="External"/><Relationship Id="rId107" Type="http://schemas.openxmlformats.org/officeDocument/2006/relationships/hyperlink" Target="mailto:cahuffman078@wilkescc.edu" TargetMode="External"/><Relationship Id="rId11" Type="http://schemas.openxmlformats.org/officeDocument/2006/relationships/hyperlink" Target="mailto:esmith@goldenleaf.org" TargetMode="External"/><Relationship Id="rId32" Type="http://schemas.openxmlformats.org/officeDocument/2006/relationships/hyperlink" Target="mailto:baileyj@uncsa.edu" TargetMode="External"/><Relationship Id="rId37" Type="http://schemas.openxmlformats.org/officeDocument/2006/relationships/hyperlink" Target="mailto:Antonio.McDaniel@nccu.edu" TargetMode="External"/><Relationship Id="rId53" Type="http://schemas.openxmlformats.org/officeDocument/2006/relationships/hyperlink" Target="mailto:Lisa.Cox2@unchealth.unc.edu" TargetMode="External"/><Relationship Id="rId58" Type="http://schemas.openxmlformats.org/officeDocument/2006/relationships/hyperlink" Target="mailto:Ashley.Price@osc.nc.gov" TargetMode="External"/><Relationship Id="rId74" Type="http://schemas.openxmlformats.org/officeDocument/2006/relationships/hyperlink" Target="mailto:lauren.gates@cpcc.edu" TargetMode="External"/><Relationship Id="rId79" Type="http://schemas.openxmlformats.org/officeDocument/2006/relationships/hyperlink" Target="mailto:deaverr@faytechcc.edu" TargetMode="External"/><Relationship Id="rId102" Type="http://schemas.openxmlformats.org/officeDocument/2006/relationships/hyperlink" Target="mailto:kbradshaw9661@stanly.edu" TargetMode="External"/><Relationship Id="rId5" Type="http://schemas.openxmlformats.org/officeDocument/2006/relationships/hyperlink" Target="mailto:anita.bunch@ncdor.gov" TargetMode="External"/><Relationship Id="rId90" Type="http://schemas.openxmlformats.org/officeDocument/2006/relationships/hyperlink" Target="mailto:jharris@mitchellcc.edu" TargetMode="External"/><Relationship Id="rId95" Type="http://schemas.openxmlformats.org/officeDocument/2006/relationships/hyperlink" Target="mailto:dccashwell@richmondcc.edu" TargetMode="External"/><Relationship Id="rId22" Type="http://schemas.openxmlformats.org/officeDocument/2006/relationships/hyperlink" Target="mailto:lgriffin@ncseaa.edu" TargetMode="External"/><Relationship Id="rId27" Type="http://schemas.openxmlformats.org/officeDocument/2006/relationships/hyperlink" Target="mailto:MJeng@ncrr.com" TargetMode="External"/><Relationship Id="rId43" Type="http://schemas.openxmlformats.org/officeDocument/2006/relationships/hyperlink" Target="mailto:Terry.Dail@ncports.com" TargetMode="External"/><Relationship Id="rId48" Type="http://schemas.openxmlformats.org/officeDocument/2006/relationships/hyperlink" Target="mailto:lily.mariano@nccourts.org" TargetMode="External"/><Relationship Id="rId64" Type="http://schemas.openxmlformats.org/officeDocument/2006/relationships/hyperlink" Target="mailto:sam.fuller@nctreasurer.com" TargetMode="External"/><Relationship Id="rId69" Type="http://schemas.openxmlformats.org/officeDocument/2006/relationships/hyperlink" Target="mailto:culpeppers@brunswickcc.edu" TargetMode="External"/><Relationship Id="rId113" Type="http://schemas.openxmlformats.org/officeDocument/2006/relationships/hyperlink" Target="mailto:edie.barbour@beaufortccc.edu" TargetMode="External"/><Relationship Id="rId118" Type="http://schemas.openxmlformats.org/officeDocument/2006/relationships/printerSettings" Target="../printerSettings/printerSettings311.bin"/><Relationship Id="rId80" Type="http://schemas.openxmlformats.org/officeDocument/2006/relationships/hyperlink" Target="mailto:ehellard@forsythtech.edu" TargetMode="External"/><Relationship Id="rId85" Type="http://schemas.openxmlformats.org/officeDocument/2006/relationships/hyperlink" Target="mailto:dgwebb@johnstoncc.edu" TargetMode="External"/><Relationship Id="rId12" Type="http://schemas.openxmlformats.org/officeDocument/2006/relationships/hyperlink" Target="mailto:malinda.peters@ncleg.gov" TargetMode="External"/><Relationship Id="rId17" Type="http://schemas.openxmlformats.org/officeDocument/2006/relationships/hyperlink" Target="mailto:burckley@ncat.edu" TargetMode="External"/><Relationship Id="rId33" Type="http://schemas.openxmlformats.org/officeDocument/2006/relationships/hyperlink" Target="mailto:larry.price@edpnc.com" TargetMode="External"/><Relationship Id="rId38" Type="http://schemas.openxmlformats.org/officeDocument/2006/relationships/hyperlink" Target="mailto:jklenke@gbmcpas.com" TargetMode="External"/><Relationship Id="rId59" Type="http://schemas.openxmlformats.org/officeDocument/2006/relationships/hyperlink" Target="mailto:Beth.lane@nc.gov" TargetMode="External"/><Relationship Id="rId103" Type="http://schemas.openxmlformats.org/officeDocument/2006/relationships/hyperlink" Target="mailto:martint@surry.edu" TargetMode="External"/><Relationship Id="rId108" Type="http://schemas.openxmlformats.org/officeDocument/2006/relationships/hyperlink" Target="mailto:jsjones@wilsoncc.edu" TargetMode="External"/><Relationship Id="rId54" Type="http://schemas.openxmlformats.org/officeDocument/2006/relationships/hyperlink" Target="mailto:Lisa.Cox2@unchealth.unc.edu" TargetMode="External"/><Relationship Id="rId70" Type="http://schemas.openxmlformats.org/officeDocument/2006/relationships/hyperlink" Target="mailto:cgreene@cfcc.edu" TargetMode="External"/><Relationship Id="rId75" Type="http://schemas.openxmlformats.org/officeDocument/2006/relationships/hyperlink" Target="mailto:susan_gentry@albemarle.edu" TargetMode="External"/><Relationship Id="rId91" Type="http://schemas.openxmlformats.org/officeDocument/2006/relationships/hyperlink" Target="mailto:cjdornseif810@nashcc.edu" TargetMode="External"/><Relationship Id="rId96" Type="http://schemas.openxmlformats.org/officeDocument/2006/relationships/hyperlink" Target="mailto:carriedouglas8479@roanokechowan.edu" TargetMode="External"/><Relationship Id="rId1" Type="http://schemas.openxmlformats.org/officeDocument/2006/relationships/printerSettings" Target="../printerSettings/printerSettings309.bin"/><Relationship Id="rId6" Type="http://schemas.openxmlformats.org/officeDocument/2006/relationships/hyperlink" Target="mailto:katie.potts@ncosc.gov" TargetMode="External"/><Relationship Id="rId23" Type="http://schemas.openxmlformats.org/officeDocument/2006/relationships/hyperlink" Target="mailto:mccaink@wssu.edu" TargetMode="External"/><Relationship Id="rId28" Type="http://schemas.openxmlformats.org/officeDocument/2006/relationships/hyperlink" Target="mailto:nicholas.bunner@ncauditor.gov" TargetMode="External"/><Relationship Id="rId49" Type="http://schemas.openxmlformats.org/officeDocument/2006/relationships/hyperlink" Target="mailto:Ryan.Hertel@unchealth.unc.edu" TargetMode="External"/><Relationship Id="rId114" Type="http://schemas.openxmlformats.org/officeDocument/2006/relationships/hyperlink" Target="mailto:rpenley@cccti.edu" TargetMode="External"/><Relationship Id="rId10" Type="http://schemas.openxmlformats.org/officeDocument/2006/relationships/hyperlink" Target="mailto:james_bullock@ncbiotech.org" TargetMode="External"/><Relationship Id="rId31" Type="http://schemas.openxmlformats.org/officeDocument/2006/relationships/hyperlink" Target="mailto:englebright@ncssm.edu" TargetMode="External"/><Relationship Id="rId44" Type="http://schemas.openxmlformats.org/officeDocument/2006/relationships/hyperlink" Target="mailto:jaddison1@uncfsu.edu" TargetMode="External"/><Relationship Id="rId52" Type="http://schemas.openxmlformats.org/officeDocument/2006/relationships/hyperlink" Target="mailto:David.Sims@unchealth.unc.edu" TargetMode="External"/><Relationship Id="rId60" Type="http://schemas.openxmlformats.org/officeDocument/2006/relationships/hyperlink" Target="mailto:jason.cottle@wildlife.org" TargetMode="External"/><Relationship Id="rId65" Type="http://schemas.openxmlformats.org/officeDocument/2006/relationships/hyperlink" Target="mailto:Paul.Palermo@nctreasurer.com" TargetMode="External"/><Relationship Id="rId73" Type="http://schemas.openxmlformats.org/officeDocument/2006/relationships/hyperlink" Target="mailto:bbrid219@cccc.edu" TargetMode="External"/><Relationship Id="rId78" Type="http://schemas.openxmlformats.org/officeDocument/2006/relationships/hyperlink" Target="mailto:twittyp@edgecombe.edu" TargetMode="External"/><Relationship Id="rId81" Type="http://schemas.openxmlformats.org/officeDocument/2006/relationships/hyperlink" Target="mailto:alman.shelly@gaston.edu" TargetMode="External"/><Relationship Id="rId86" Type="http://schemas.openxmlformats.org/officeDocument/2006/relationships/hyperlink" Target="mailto:jdgibbs27@lenoircc.edu" TargetMode="External"/><Relationship Id="rId94" Type="http://schemas.openxmlformats.org/officeDocument/2006/relationships/hyperlink" Target="mailto:cebiby@randolph.edu" TargetMode="External"/><Relationship Id="rId99" Type="http://schemas.openxmlformats.org/officeDocument/2006/relationships/hyperlink" Target="mailto:thomase@sandhills.edu" TargetMode="External"/><Relationship Id="rId101" Type="http://schemas.openxmlformats.org/officeDocument/2006/relationships/hyperlink" Target="mailto:donna.turbeville@sccnc.edu" TargetMode="External"/><Relationship Id="rId4" Type="http://schemas.openxmlformats.org/officeDocument/2006/relationships/hyperlink" Target="mailto:lisa.culbreth@labor.nc.gov" TargetMode="External"/><Relationship Id="rId9" Type="http://schemas.openxmlformats.org/officeDocument/2006/relationships/hyperlink" Target="mailto:jamisondt@appstate.edu" TargetMode="External"/><Relationship Id="rId13" Type="http://schemas.openxmlformats.org/officeDocument/2006/relationships/hyperlink" Target="mailto:Melinda.Green@ncagr.gov" TargetMode="External"/><Relationship Id="rId18" Type="http://schemas.openxmlformats.org/officeDocument/2006/relationships/hyperlink" Target="mailto:cmburnett@email.wcu.edu" TargetMode="External"/><Relationship Id="rId39" Type="http://schemas.openxmlformats.org/officeDocument/2006/relationships/hyperlink" Target="mailto:bmcandre@email.unc.edu" TargetMode="External"/><Relationship Id="rId109" Type="http://schemas.openxmlformats.org/officeDocument/2006/relationships/hyperlink" Target="mailto:sachsc@cravencc.edu" TargetMode="External"/><Relationship Id="rId34" Type="http://schemas.openxmlformats.org/officeDocument/2006/relationships/hyperlink" Target="mailto:Mlongobardi@ncdoj.gov" TargetMode="External"/><Relationship Id="rId50" Type="http://schemas.openxmlformats.org/officeDocument/2006/relationships/hyperlink" Target="mailto:Jeffrey.Stevens@unchealth.unc.edu" TargetMode="External"/><Relationship Id="rId55" Type="http://schemas.openxmlformats.org/officeDocument/2006/relationships/hyperlink" Target="mailto:Carolyn.Perkins@unchealth.unc.edu" TargetMode="External"/><Relationship Id="rId76" Type="http://schemas.openxmlformats.org/officeDocument/2006/relationships/hyperlink" Target="mailto:jennifer_starsick@davidsondavie.edu" TargetMode="External"/><Relationship Id="rId97" Type="http://schemas.openxmlformats.org/officeDocument/2006/relationships/hyperlink" Target="mailto:mooreg6174@rockinghamcc.edu" TargetMode="External"/><Relationship Id="rId104" Type="http://schemas.openxmlformats.org/officeDocument/2006/relationships/hyperlink" Target="mailto:bvespasian@tricountycc.edu" TargetMode="External"/><Relationship Id="rId7" Type="http://schemas.openxmlformats.org/officeDocument/2006/relationships/hyperlink" Target="mailto:jacqueline.mckoy@ncdor.gov" TargetMode="External"/><Relationship Id="rId71" Type="http://schemas.openxmlformats.org/officeDocument/2006/relationships/hyperlink" Target="mailto:cumbied@carteret.edu" TargetMode="External"/><Relationship Id="rId92" Type="http://schemas.openxmlformats.org/officeDocument/2006/relationships/hyperlink" Target="mailto:Beverly.murphy@piedmontcc.edu" TargetMode="External"/><Relationship Id="rId2" Type="http://schemas.openxmlformats.org/officeDocument/2006/relationships/printerSettings" Target="../printerSettings/printerSettings310.bin"/><Relationship Id="rId29" Type="http://schemas.openxmlformats.org/officeDocument/2006/relationships/hyperlink" Target="mailto:cheryl.davis@commerce.nc.gov" TargetMode="External"/><Relationship Id="rId24" Type="http://schemas.openxmlformats.org/officeDocument/2006/relationships/hyperlink" Target="mailto:wpendergraph@sosnc.gov" TargetMode="External"/><Relationship Id="rId40" Type="http://schemas.openxmlformats.org/officeDocument/2006/relationships/hyperlink" Target="mailto:andersona@communitycolleges.edu" TargetMode="External"/><Relationship Id="rId45" Type="http://schemas.openxmlformats.org/officeDocument/2006/relationships/hyperlink" Target="mailto:stricklands@ecu.edu" TargetMode="External"/><Relationship Id="rId66" Type="http://schemas.openxmlformats.org/officeDocument/2006/relationships/hyperlink" Target="mailto:sam.fuller@nctreasurer.com" TargetMode="External"/><Relationship Id="rId87" Type="http://schemas.openxmlformats.org/officeDocument/2006/relationships/hyperlink" Target="mailto:tammy.bailey@martincc.edu" TargetMode="External"/><Relationship Id="rId110" Type="http://schemas.openxmlformats.org/officeDocument/2006/relationships/hyperlink" Target="mailto:c_martin@southwesterncc.edu" TargetMode="External"/><Relationship Id="rId115" Type="http://schemas.openxmlformats.org/officeDocument/2006/relationships/hyperlink" Target="mailto:dmmcnally@waketech.edu" TargetMode="External"/><Relationship Id="rId61" Type="http://schemas.openxmlformats.org/officeDocument/2006/relationships/hyperlink" Target="mailto:rmwilliams@projectkittyhawk.com" TargetMode="External"/><Relationship Id="rId82" Type="http://schemas.openxmlformats.org/officeDocument/2006/relationships/hyperlink" Target="mailto:klriffe@gtcc.edu" TargetMode="External"/><Relationship Id="rId19" Type="http://schemas.openxmlformats.org/officeDocument/2006/relationships/hyperlink" Target="mailto:providence.hakizimana@osbm.nc.gov" TargetMode="External"/><Relationship Id="rId14" Type="http://schemas.openxmlformats.org/officeDocument/2006/relationships/hyperlink" Target="mailto:peta.shaw@ncdoi.gov" TargetMode="External"/><Relationship Id="rId30" Type="http://schemas.openxmlformats.org/officeDocument/2006/relationships/hyperlink" Target="mailto:elizabeth.haynes@ncdr.gov" TargetMode="External"/><Relationship Id="rId35" Type="http://schemas.openxmlformats.org/officeDocument/2006/relationships/hyperlink" Target="mailto:tonia.brown@oah.nc.gov" TargetMode="External"/><Relationship Id="rId56" Type="http://schemas.openxmlformats.org/officeDocument/2006/relationships/hyperlink" Target="mailto:William.Hostermanjr@unchealth.unc.edu" TargetMode="External"/><Relationship Id="rId77" Type="http://schemas.openxmlformats.org/officeDocument/2006/relationships/hyperlink" Target="mailto:kleitsch@durhamtech.edu" TargetMode="External"/><Relationship Id="rId100" Type="http://schemas.openxmlformats.org/officeDocument/2006/relationships/hyperlink" Target="mailto:jricketts2@spcc.edu" TargetMode="External"/><Relationship Id="rId105" Type="http://schemas.openxmlformats.org/officeDocument/2006/relationships/hyperlink" Target="mailto:lagunasj@vgcc.edu" TargetMode="External"/><Relationship Id="rId8" Type="http://schemas.openxmlformats.org/officeDocument/2006/relationships/hyperlink" Target="mailto:natasha.farrington@ncosc.gov" TargetMode="External"/><Relationship Id="rId51" Type="http://schemas.openxmlformats.org/officeDocument/2006/relationships/hyperlink" Target="mailto:Michael.Griffin@unchealth.unc.edu" TargetMode="External"/><Relationship Id="rId72" Type="http://schemas.openxmlformats.org/officeDocument/2006/relationships/hyperlink" Target="mailto:sswanson109@cvcc.edu" TargetMode="External"/><Relationship Id="rId93" Type="http://schemas.openxmlformats.org/officeDocument/2006/relationships/hyperlink" Target="mailto:apeaden@email.pittcc.edu" TargetMode="External"/><Relationship Id="rId98" Type="http://schemas.openxmlformats.org/officeDocument/2006/relationships/hyperlink" Target="mailto:kristin.boatright@rccc.edu" TargetMode="External"/><Relationship Id="rId3" Type="http://schemas.openxmlformats.org/officeDocument/2006/relationships/hyperlink" Target="mailto:iannuccih@uncw.edu" TargetMode="External"/><Relationship Id="rId25" Type="http://schemas.openxmlformats.org/officeDocument/2006/relationships/hyperlink" Target="mailto:jessica.mapes@dpi.nc.gov" TargetMode="External"/><Relationship Id="rId46" Type="http://schemas.openxmlformats.org/officeDocument/2006/relationships/hyperlink" Target="mailto:prabhavathi.Vijayaraghavan@dac.nc.gov" TargetMode="External"/><Relationship Id="rId67" Type="http://schemas.openxmlformats.org/officeDocument/2006/relationships/hyperlink" Target="mailto:hgarner@bladencc.edu" TargetMode="External"/><Relationship Id="rId116" Type="http://schemas.openxmlformats.org/officeDocument/2006/relationships/hyperlink" Target="mailto:JThomas@ncsbi.gov" TargetMode="External"/><Relationship Id="rId20" Type="http://schemas.openxmlformats.org/officeDocument/2006/relationships/hyperlink" Target="mailto:dkdryer@northcarolina.edu" TargetMode="External"/><Relationship Id="rId41" Type="http://schemas.openxmlformats.org/officeDocument/2006/relationships/hyperlink" Target="mailto:tdwarren1@ncdot.gov" TargetMode="External"/><Relationship Id="rId62" Type="http://schemas.openxmlformats.org/officeDocument/2006/relationships/hyperlink" Target="mailto:mlcooper1@ncdot.gov" TargetMode="External"/><Relationship Id="rId83" Type="http://schemas.openxmlformats.org/officeDocument/2006/relationships/hyperlink" Target="mailto:ssmith640@halifaxcc.edu" TargetMode="External"/><Relationship Id="rId88" Type="http://schemas.openxmlformats.org/officeDocument/2006/relationships/hyperlink" Target="mailto:crenfro@mayland.edu" TargetMode="External"/><Relationship Id="rId111" Type="http://schemas.openxmlformats.org/officeDocument/2006/relationships/hyperlink" Target="mailto:barbara.thornton@alamancecc.edu" TargetMode="External"/><Relationship Id="rId15" Type="http://schemas.openxmlformats.org/officeDocument/2006/relationships/hyperlink" Target="mailto:akhira.mcdonald@deq.nc.gov" TargetMode="External"/><Relationship Id="rId36" Type="http://schemas.openxmlformats.org/officeDocument/2006/relationships/hyperlink" Target="mailto:jbrady@ncsu.edu" TargetMode="External"/><Relationship Id="rId57" Type="http://schemas.openxmlformats.org/officeDocument/2006/relationships/hyperlink" Target="mailto:Jeffrey.Stevens@unchealth.unc.edu" TargetMode="External"/><Relationship Id="rId106" Type="http://schemas.openxmlformats.org/officeDocument/2006/relationships/hyperlink" Target="mailto:marney@wpcc.edu" TargetMode="External"/></Relationships>
</file>

<file path=xl/worksheets/_rels/sheet106.xml.rels><?xml version="1.0" encoding="UTF-8" standalone="yes"?>
<Relationships xmlns="http://schemas.openxmlformats.org/package/2006/relationships"><Relationship Id="rId8" Type="http://schemas.openxmlformats.org/officeDocument/2006/relationships/hyperlink" Target="mailto:Ellen.Burns@ncosc.gov" TargetMode="External"/><Relationship Id="rId3" Type="http://schemas.openxmlformats.org/officeDocument/2006/relationships/hyperlink" Target="mailto:Joannie.Burtoft@ncosc.gov" TargetMode="External"/><Relationship Id="rId7" Type="http://schemas.openxmlformats.org/officeDocument/2006/relationships/hyperlink" Target="mailto:Patcha.Kidking@ncosc.gov" TargetMode="External"/><Relationship Id="rId2" Type="http://schemas.openxmlformats.org/officeDocument/2006/relationships/hyperlink" Target="mailto:Kim.Battle@ncosc.gov" TargetMode="External"/><Relationship Id="rId1" Type="http://schemas.openxmlformats.org/officeDocument/2006/relationships/hyperlink" Target="mailto:ellen.rockefeller@ncosc.gov" TargetMode="External"/><Relationship Id="rId6" Type="http://schemas.openxmlformats.org/officeDocument/2006/relationships/hyperlink" Target="mailto:John.Krellner@ncosc.gov" TargetMode="External"/><Relationship Id="rId11" Type="http://schemas.openxmlformats.org/officeDocument/2006/relationships/printerSettings" Target="../printerSettings/printerSettings312.bin"/><Relationship Id="rId5" Type="http://schemas.openxmlformats.org/officeDocument/2006/relationships/hyperlink" Target="mailto:Yelena.Zaytseva@ncosc.gov" TargetMode="External"/><Relationship Id="rId10" Type="http://schemas.openxmlformats.org/officeDocument/2006/relationships/hyperlink" Target="mailto:Kerrie.Russo@ncosc.gov" TargetMode="External"/><Relationship Id="rId4" Type="http://schemas.openxmlformats.org/officeDocument/2006/relationships/hyperlink" Target="mailto:Joan.Saucier@ncosc.gov" TargetMode="External"/><Relationship Id="rId9" Type="http://schemas.openxmlformats.org/officeDocument/2006/relationships/hyperlink" Target="mailto:Sravani.Bhimavarapu@ncosc.gov" TargetMode="External"/></Relationships>
</file>

<file path=xl/worksheets/_rels/sheet107.xml.rels><?xml version="1.0" encoding="UTF-8" standalone="yes"?>
<Relationships xmlns="http://schemas.openxmlformats.org/package/2006/relationships"><Relationship Id="rId3" Type="http://schemas.openxmlformats.org/officeDocument/2006/relationships/printerSettings" Target="../printerSettings/printerSettings315.bin"/><Relationship Id="rId2" Type="http://schemas.openxmlformats.org/officeDocument/2006/relationships/printerSettings" Target="../printerSettings/printerSettings314.bin"/><Relationship Id="rId1" Type="http://schemas.openxmlformats.org/officeDocument/2006/relationships/printerSettings" Target="../printerSettings/printerSettings313.bin"/></Relationships>
</file>

<file path=xl/worksheets/_rels/sheet108.xml.rels><?xml version="1.0" encoding="UTF-8" standalone="yes"?>
<Relationships xmlns="http://schemas.openxmlformats.org/package/2006/relationships"><Relationship Id="rId3" Type="http://schemas.openxmlformats.org/officeDocument/2006/relationships/printerSettings" Target="../printerSettings/printerSettings318.bin"/><Relationship Id="rId2" Type="http://schemas.openxmlformats.org/officeDocument/2006/relationships/printerSettings" Target="../printerSettings/printerSettings317.bin"/><Relationship Id="rId1" Type="http://schemas.openxmlformats.org/officeDocument/2006/relationships/printerSettings" Target="../printerSettings/printerSettings316.bin"/><Relationship Id="rId5" Type="http://schemas.openxmlformats.org/officeDocument/2006/relationships/comments" Target="../comments15.xml"/><Relationship Id="rId4" Type="http://schemas.openxmlformats.org/officeDocument/2006/relationships/vmlDrawing" Target="../drawings/vmlDrawing16.vml"/></Relationships>
</file>

<file path=xl/worksheets/_rels/sheet109.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3" Type="http://schemas.openxmlformats.org/officeDocument/2006/relationships/hyperlink" Target="https://files.nc.gov/ncosc/documents/Policies/102.13_Impairment_of_Capital_Assets_Policy.pdf" TargetMode="Externa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drawing" Target="../drawings/drawing1.xml"/><Relationship Id="rId4" Type="http://schemas.openxmlformats.org/officeDocument/2006/relationships/printerSettings" Target="../printerSettings/printerSettings31.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5" Type="http://schemas.openxmlformats.org/officeDocument/2006/relationships/printerSettings" Target="../printerSettings/printerSettings39.bin"/><Relationship Id="rId4" Type="http://schemas.openxmlformats.org/officeDocument/2006/relationships/printerSettings" Target="../printerSettings/printerSettings3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23.xml.rels><?xml version="1.0" encoding="UTF-8" standalone="yes"?>
<Relationships xmlns="http://schemas.openxmlformats.org/package/2006/relationships"><Relationship Id="rId3" Type="http://schemas.openxmlformats.org/officeDocument/2006/relationships/hyperlink" Target="http://www.osc.nc.gov/policy/AFR/103.2%20Pollution%20Remediation%20Obligations.pdf" TargetMode="External"/><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5" Type="http://schemas.openxmlformats.org/officeDocument/2006/relationships/printerSettings" Target="../printerSettings/printerSettings57.bin"/><Relationship Id="rId4" Type="http://schemas.openxmlformats.org/officeDocument/2006/relationships/hyperlink" Target="https://www.osc.nc.gov/1032-statewide-accounting-policy-pollution-remediation-obligations"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s://www.osc.nc.gov/state-agency-resources/north-carolina-accounting-system-ncas/statewide-financial-reporting/gasb-resources/gasb-effective-fy-2019" TargetMode="Externa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5" Type="http://schemas.openxmlformats.org/officeDocument/2006/relationships/printerSettings" Target="../printerSettings/printerSettings63.bin"/><Relationship Id="rId4" Type="http://schemas.openxmlformats.org/officeDocument/2006/relationships/printerSettings" Target="../printerSettings/printerSettings62.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5" Type="http://schemas.openxmlformats.org/officeDocument/2006/relationships/printerSettings" Target="../printerSettings/printerSettings68.bin"/><Relationship Id="rId4" Type="http://schemas.openxmlformats.org/officeDocument/2006/relationships/printerSettings" Target="../printerSettings/printerSettings67.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osc.nc.gov/state-agency-resources/north-carolina-accounting-system-ncas/statewide-financial-reporting/gasb-resources/gasb-effective-fy-2022" TargetMode="External"/><Relationship Id="rId2" Type="http://schemas.openxmlformats.org/officeDocument/2006/relationships/hyperlink" Target="https://www.osc.nc.gov/state-agency-resources/north-carolina-accounting-system-ncas/statewide-financial-reporting/gasb-resources/effective-fy-2014" TargetMode="External"/><Relationship Id="rId1" Type="http://schemas.openxmlformats.org/officeDocument/2006/relationships/hyperlink" Target="http://ncosc.s3.amazonaws.com/s3fs-public/documents/GASB_Resources/Financial_Reporting_Updates/gasb_standard_70.pdf" TargetMode="External"/><Relationship Id="rId4" Type="http://schemas.openxmlformats.org/officeDocument/2006/relationships/printerSettings" Target="../printerSettings/printerSettings69.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4"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printerSettings" Target="../printerSettings/printerSettings9.bin"/><Relationship Id="rId4" Type="http://schemas.openxmlformats.org/officeDocument/2006/relationships/printerSettings" Target="../printerSettings/printerSettings8.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34.xml.rels><?xml version="1.0" encoding="UTF-8" standalone="yes"?>
<Relationships xmlns="http://schemas.openxmlformats.org/package/2006/relationships"><Relationship Id="rId3" Type="http://schemas.openxmlformats.org/officeDocument/2006/relationships/hyperlink" Target="https://www.osc.nc.gov/1014-statewide-accounting-policy-restricted-assets" TargetMode="External"/><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4" Type="http://schemas.openxmlformats.org/officeDocument/2006/relationships/printerSettings" Target="../printerSettings/printerSettings96.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38.xml.rels><?xml version="1.0" encoding="UTF-8" standalone="yes"?>
<Relationships xmlns="http://schemas.openxmlformats.org/package/2006/relationships"><Relationship Id="rId3" Type="http://schemas.openxmlformats.org/officeDocument/2006/relationships/hyperlink" Target="https://www.osc.nc.gov/1015-statewide-accounting-policy-fund-balance-reporting" TargetMode="External"/><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4" Type="http://schemas.openxmlformats.org/officeDocument/2006/relationships/printerSettings" Target="../printerSettings/printerSettings104.bin"/></Relationships>
</file>

<file path=xl/worksheets/_rels/sheet39.xml.rels><?xml version="1.0" encoding="UTF-8" standalone="yes"?>
<Relationships xmlns="http://schemas.openxmlformats.org/package/2006/relationships"><Relationship Id="rId3" Type="http://schemas.openxmlformats.org/officeDocument/2006/relationships/hyperlink" Target="https://www.osc.nc.gov/1015-statewide-accounting-policy-fund-balance-reporting" TargetMode="External"/><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4" Type="http://schemas.openxmlformats.org/officeDocument/2006/relationships/printerSettings" Target="../printerSettings/printerSettings10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0.xml.rels><?xml version="1.0" encoding="UTF-8" standalone="yes"?>
<Relationships xmlns="http://schemas.openxmlformats.org/package/2006/relationships"><Relationship Id="rId3" Type="http://schemas.openxmlformats.org/officeDocument/2006/relationships/hyperlink" Target="https://www.osc.nc.gov/1015-statewide-accounting-policy-fund-balance-reporting" TargetMode="External"/><Relationship Id="rId2" Type="http://schemas.openxmlformats.org/officeDocument/2006/relationships/printerSettings" Target="../printerSettings/printerSettings109.bin"/><Relationship Id="rId1" Type="http://schemas.openxmlformats.org/officeDocument/2006/relationships/printerSettings" Target="../printerSettings/printerSettings108.bin"/><Relationship Id="rId4" Type="http://schemas.openxmlformats.org/officeDocument/2006/relationships/printerSettings" Target="../printerSettings/printerSettings110.bin"/></Relationships>
</file>

<file path=xl/worksheets/_rels/sheet41.xml.rels><?xml version="1.0" encoding="UTF-8" standalone="yes"?>
<Relationships xmlns="http://schemas.openxmlformats.org/package/2006/relationships"><Relationship Id="rId3" Type="http://schemas.openxmlformats.org/officeDocument/2006/relationships/hyperlink" Target="https://www.osc.nc.gov/1015-statewide-accounting-policy-fund-balance-reporting" TargetMode="External"/><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4" Type="http://schemas.openxmlformats.org/officeDocument/2006/relationships/printerSettings" Target="../printerSettings/printerSettings113.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6" Type="http://schemas.openxmlformats.org/officeDocument/2006/relationships/printerSettings" Target="../printerSettings/printerSettings118.bin"/><Relationship Id="rId5" Type="http://schemas.openxmlformats.org/officeDocument/2006/relationships/hyperlink" Target="https://www.osc.nc.gov/1016-statewide-accounting-policy-net-position" TargetMode="External"/><Relationship Id="rId4" Type="http://schemas.openxmlformats.org/officeDocument/2006/relationships/printerSettings" Target="../printerSettings/printerSettings117.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21.bin"/><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 Id="rId5" Type="http://schemas.openxmlformats.org/officeDocument/2006/relationships/printerSettings" Target="../printerSettings/printerSettings123.bin"/><Relationship Id="rId4" Type="http://schemas.openxmlformats.org/officeDocument/2006/relationships/printerSettings" Target="../printerSettings/printerSettings122.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26.bin"/><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140.bin"/><Relationship Id="rId2" Type="http://schemas.openxmlformats.org/officeDocument/2006/relationships/printerSettings" Target="../printerSettings/printerSettings139.bin"/><Relationship Id="rId1" Type="http://schemas.openxmlformats.org/officeDocument/2006/relationships/printerSettings" Target="../printerSettings/printerSettings138.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143.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5" Type="http://schemas.openxmlformats.org/officeDocument/2006/relationships/printerSettings" Target="../printerSettings/printerSettings145.bin"/><Relationship Id="rId4" Type="http://schemas.openxmlformats.org/officeDocument/2006/relationships/printerSettings" Target="../printerSettings/printerSettings144.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148.bin"/><Relationship Id="rId2" Type="http://schemas.openxmlformats.org/officeDocument/2006/relationships/printerSettings" Target="../printerSettings/printerSettings147.bin"/><Relationship Id="rId1" Type="http://schemas.openxmlformats.org/officeDocument/2006/relationships/printerSettings" Target="../printerSettings/printerSettings146.bin"/><Relationship Id="rId5" Type="http://schemas.openxmlformats.org/officeDocument/2006/relationships/printerSettings" Target="../printerSettings/printerSettings150.bin"/><Relationship Id="rId4" Type="http://schemas.openxmlformats.org/officeDocument/2006/relationships/printerSettings" Target="../printerSettings/printerSettings149.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153.bin"/><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 Id="rId5" Type="http://schemas.openxmlformats.org/officeDocument/2006/relationships/printerSettings" Target="../printerSettings/printerSettings155.bin"/><Relationship Id="rId4" Type="http://schemas.openxmlformats.org/officeDocument/2006/relationships/printerSettings" Target="../printerSettings/printerSettings154.bin"/></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158.bin"/><Relationship Id="rId2" Type="http://schemas.openxmlformats.org/officeDocument/2006/relationships/printerSettings" Target="../printerSettings/printerSettings157.bin"/><Relationship Id="rId1" Type="http://schemas.openxmlformats.org/officeDocument/2006/relationships/printerSettings" Target="../printerSettings/printerSettings156.bin"/><Relationship Id="rId5" Type="http://schemas.openxmlformats.org/officeDocument/2006/relationships/printerSettings" Target="../printerSettings/printerSettings160.bin"/><Relationship Id="rId4" Type="http://schemas.openxmlformats.org/officeDocument/2006/relationships/printerSettings" Target="../printerSettings/printerSettings159.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163.bin"/><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 Id="rId5" Type="http://schemas.openxmlformats.org/officeDocument/2006/relationships/printerSettings" Target="../printerSettings/printerSettings165.bin"/><Relationship Id="rId4" Type="http://schemas.openxmlformats.org/officeDocument/2006/relationships/printerSettings" Target="../printerSettings/printerSettings164.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168.bin"/><Relationship Id="rId2" Type="http://schemas.openxmlformats.org/officeDocument/2006/relationships/printerSettings" Target="../printerSettings/printerSettings167.bin"/><Relationship Id="rId1" Type="http://schemas.openxmlformats.org/officeDocument/2006/relationships/printerSettings" Target="../printerSettings/printerSettings166.bin"/><Relationship Id="rId5" Type="http://schemas.openxmlformats.org/officeDocument/2006/relationships/printerSettings" Target="../printerSettings/printerSettings170.bin"/><Relationship Id="rId4" Type="http://schemas.openxmlformats.org/officeDocument/2006/relationships/printerSettings" Target="../printerSettings/printerSettings169.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1.bin"/><Relationship Id="rId4"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3" Type="http://schemas.openxmlformats.org/officeDocument/2006/relationships/hyperlink" Target="https://epm5-a607730.epm.us9.oraclecloud.com/HyperionPlanning/faces/StructureHomeTF/EfsNonFuseNavigator?_adf.ctrl-state=69bzy5h8r_8&amp;_afrLoop=13844347197868236" TargetMode="Externa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printerSettings" Target="../printerSettings/printerSettings18.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175.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5" Type="http://schemas.openxmlformats.org/officeDocument/2006/relationships/printerSettings" Target="../printerSettings/printerSettings177.bin"/><Relationship Id="rId4" Type="http://schemas.openxmlformats.org/officeDocument/2006/relationships/printerSettings" Target="../printerSettings/printerSettings176.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180.bin"/><Relationship Id="rId2" Type="http://schemas.openxmlformats.org/officeDocument/2006/relationships/printerSettings" Target="../printerSettings/printerSettings179.bin"/><Relationship Id="rId1" Type="http://schemas.openxmlformats.org/officeDocument/2006/relationships/printerSettings" Target="../printerSettings/printerSettings178.bin"/><Relationship Id="rId5" Type="http://schemas.openxmlformats.org/officeDocument/2006/relationships/printerSettings" Target="../printerSettings/printerSettings182.bin"/><Relationship Id="rId4" Type="http://schemas.openxmlformats.org/officeDocument/2006/relationships/printerSettings" Target="../printerSettings/printerSettings18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3.bin"/></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186.bin"/><Relationship Id="rId2" Type="http://schemas.openxmlformats.org/officeDocument/2006/relationships/printerSettings" Target="../printerSettings/printerSettings185.bin"/><Relationship Id="rId1" Type="http://schemas.openxmlformats.org/officeDocument/2006/relationships/printerSettings" Target="../printerSettings/printerSettings184.bin"/><Relationship Id="rId5" Type="http://schemas.openxmlformats.org/officeDocument/2006/relationships/printerSettings" Target="../printerSettings/printerSettings188.bin"/><Relationship Id="rId4" Type="http://schemas.openxmlformats.org/officeDocument/2006/relationships/printerSettings" Target="../printerSettings/printerSettings187.bin"/></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191.bin"/><Relationship Id="rId2" Type="http://schemas.openxmlformats.org/officeDocument/2006/relationships/printerSettings" Target="../printerSettings/printerSettings190.bin"/><Relationship Id="rId1" Type="http://schemas.openxmlformats.org/officeDocument/2006/relationships/printerSettings" Target="../printerSettings/printerSettings189.bin"/><Relationship Id="rId5" Type="http://schemas.openxmlformats.org/officeDocument/2006/relationships/printerSettings" Target="../printerSettings/printerSettings193.bin"/><Relationship Id="rId4" Type="http://schemas.openxmlformats.org/officeDocument/2006/relationships/printerSettings" Target="../printerSettings/printerSettings192.bin"/></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196.bin"/><Relationship Id="rId2" Type="http://schemas.openxmlformats.org/officeDocument/2006/relationships/printerSettings" Target="../printerSettings/printerSettings195.bin"/><Relationship Id="rId1" Type="http://schemas.openxmlformats.org/officeDocument/2006/relationships/printerSettings" Target="../printerSettings/printerSettings194.bin"/><Relationship Id="rId5" Type="http://schemas.openxmlformats.org/officeDocument/2006/relationships/printerSettings" Target="../printerSettings/printerSettings198.bin"/><Relationship Id="rId4" Type="http://schemas.openxmlformats.org/officeDocument/2006/relationships/printerSettings" Target="../printerSettings/printerSettings197.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202.bin"/><Relationship Id="rId2" Type="http://schemas.openxmlformats.org/officeDocument/2006/relationships/printerSettings" Target="../printerSettings/printerSettings201.bin"/><Relationship Id="rId1" Type="http://schemas.openxmlformats.org/officeDocument/2006/relationships/printerSettings" Target="../printerSettings/printerSettings200.bin"/><Relationship Id="rId5" Type="http://schemas.openxmlformats.org/officeDocument/2006/relationships/printerSettings" Target="../printerSettings/printerSettings204.bin"/><Relationship Id="rId4" Type="http://schemas.openxmlformats.org/officeDocument/2006/relationships/printerSettings" Target="../printerSettings/printerSettings203.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207.bin"/><Relationship Id="rId2" Type="http://schemas.openxmlformats.org/officeDocument/2006/relationships/printerSettings" Target="../printerSettings/printerSettings206.bin"/><Relationship Id="rId1" Type="http://schemas.openxmlformats.org/officeDocument/2006/relationships/printerSettings" Target="../printerSettings/printerSettings205.bin"/><Relationship Id="rId6" Type="http://schemas.openxmlformats.org/officeDocument/2006/relationships/drawing" Target="../drawings/drawing4.xml"/><Relationship Id="rId5" Type="http://schemas.openxmlformats.org/officeDocument/2006/relationships/printerSettings" Target="../printerSettings/printerSettings209.bin"/><Relationship Id="rId4" Type="http://schemas.openxmlformats.org/officeDocument/2006/relationships/printerSettings" Target="../printerSettings/printerSettings20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osc.nc.gov/media/7165/open" TargetMode="External"/></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212.bin"/><Relationship Id="rId7" Type="http://schemas.openxmlformats.org/officeDocument/2006/relationships/comments" Target="../comments5.xml"/><Relationship Id="rId2" Type="http://schemas.openxmlformats.org/officeDocument/2006/relationships/printerSettings" Target="../printerSettings/printerSettings211.bin"/><Relationship Id="rId1" Type="http://schemas.openxmlformats.org/officeDocument/2006/relationships/printerSettings" Target="../printerSettings/printerSettings210.bin"/><Relationship Id="rId6" Type="http://schemas.openxmlformats.org/officeDocument/2006/relationships/vmlDrawing" Target="../drawings/vmlDrawing5.vml"/><Relationship Id="rId5" Type="http://schemas.openxmlformats.org/officeDocument/2006/relationships/printerSettings" Target="../printerSettings/printerSettings214.bin"/><Relationship Id="rId4" Type="http://schemas.openxmlformats.org/officeDocument/2006/relationships/printerSettings" Target="../printerSettings/printerSettings213.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215.bin"/><Relationship Id="rId2" Type="http://schemas.openxmlformats.org/officeDocument/2006/relationships/hyperlink" Target="https://files.nc.gov/ncosc/documents/GASB_Resources/Financial_Reporting_Updates/GASB_Standard_77.pdf?6Pi9rsrwXSYYkbz3o8QgMsVxNb7046lV=" TargetMode="External"/><Relationship Id="rId1" Type="http://schemas.openxmlformats.org/officeDocument/2006/relationships/hyperlink" Target="http://ncosc.s3.amazonaws.com/s3fs-public/documents/GASB_Resources/Financial_Reporting_Updates/gasb_standard_77.pdf" TargetMode="External"/><Relationship Id="rId4" Type="http://schemas.openxmlformats.org/officeDocument/2006/relationships/drawing" Target="../drawings/drawing5.xml"/></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218.bin"/><Relationship Id="rId2" Type="http://schemas.openxmlformats.org/officeDocument/2006/relationships/printerSettings" Target="../printerSettings/printerSettings217.bin"/><Relationship Id="rId1" Type="http://schemas.openxmlformats.org/officeDocument/2006/relationships/printerSettings" Target="../printerSettings/printerSettings216.bin"/><Relationship Id="rId5" Type="http://schemas.openxmlformats.org/officeDocument/2006/relationships/printerSettings" Target="../printerSettings/printerSettings220.bin"/><Relationship Id="rId4" Type="http://schemas.openxmlformats.org/officeDocument/2006/relationships/printerSettings" Target="../printerSettings/printerSettings219.bin"/></Relationships>
</file>

<file path=xl/worksheets/_rels/sheet73.xml.rels><?xml version="1.0" encoding="UTF-8" standalone="yes"?>
<Relationships xmlns="http://schemas.openxmlformats.org/package/2006/relationships"><Relationship Id="rId3" Type="http://schemas.openxmlformats.org/officeDocument/2006/relationships/printerSettings" Target="../printerSettings/printerSettings223.bin"/><Relationship Id="rId2" Type="http://schemas.openxmlformats.org/officeDocument/2006/relationships/printerSettings" Target="../printerSettings/printerSettings222.bin"/><Relationship Id="rId1" Type="http://schemas.openxmlformats.org/officeDocument/2006/relationships/printerSettings" Target="../printerSettings/printerSettings221.bin"/><Relationship Id="rId6" Type="http://schemas.openxmlformats.org/officeDocument/2006/relationships/drawing" Target="../drawings/drawing6.xml"/><Relationship Id="rId5" Type="http://schemas.openxmlformats.org/officeDocument/2006/relationships/printerSettings" Target="../printerSettings/printerSettings225.bin"/><Relationship Id="rId4" Type="http://schemas.openxmlformats.org/officeDocument/2006/relationships/printerSettings" Target="../printerSettings/printerSettings224.bin"/></Relationships>
</file>

<file path=xl/worksheets/_rels/sheet74.xml.rels><?xml version="1.0" encoding="UTF-8" standalone="yes"?>
<Relationships xmlns="http://schemas.openxmlformats.org/package/2006/relationships"><Relationship Id="rId3" Type="http://schemas.openxmlformats.org/officeDocument/2006/relationships/printerSettings" Target="../printerSettings/printerSettings228.bin"/><Relationship Id="rId2" Type="http://schemas.openxmlformats.org/officeDocument/2006/relationships/printerSettings" Target="../printerSettings/printerSettings227.bin"/><Relationship Id="rId1" Type="http://schemas.openxmlformats.org/officeDocument/2006/relationships/printerSettings" Target="../printerSettings/printerSettings226.bin"/><Relationship Id="rId5" Type="http://schemas.openxmlformats.org/officeDocument/2006/relationships/printerSettings" Target="../printerSettings/printerSettings230.bin"/><Relationship Id="rId4" Type="http://schemas.openxmlformats.org/officeDocument/2006/relationships/printerSettings" Target="../printerSettings/printerSettings229.bin"/></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233.bin"/><Relationship Id="rId2" Type="http://schemas.openxmlformats.org/officeDocument/2006/relationships/printerSettings" Target="../printerSettings/printerSettings232.bin"/><Relationship Id="rId1" Type="http://schemas.openxmlformats.org/officeDocument/2006/relationships/printerSettings" Target="../printerSettings/printerSettings231.bin"/><Relationship Id="rId6" Type="http://schemas.openxmlformats.org/officeDocument/2006/relationships/drawing" Target="../drawings/drawing7.xml"/><Relationship Id="rId5" Type="http://schemas.openxmlformats.org/officeDocument/2006/relationships/printerSettings" Target="../printerSettings/printerSettings235.bin"/><Relationship Id="rId4" Type="http://schemas.openxmlformats.org/officeDocument/2006/relationships/printerSettings" Target="../printerSettings/printerSettings234.bin"/></Relationships>
</file>

<file path=xl/worksheets/_rels/sheet76.xml.rels><?xml version="1.0" encoding="UTF-8" standalone="yes"?>
<Relationships xmlns="http://schemas.openxmlformats.org/package/2006/relationships"><Relationship Id="rId3" Type="http://schemas.openxmlformats.org/officeDocument/2006/relationships/printerSettings" Target="../printerSettings/printerSettings238.bin"/><Relationship Id="rId2" Type="http://schemas.openxmlformats.org/officeDocument/2006/relationships/printerSettings" Target="../printerSettings/printerSettings237.bin"/><Relationship Id="rId1" Type="http://schemas.openxmlformats.org/officeDocument/2006/relationships/printerSettings" Target="../printerSettings/printerSettings236.bin"/></Relationships>
</file>

<file path=xl/worksheets/_rels/sheet77.xml.rels><?xml version="1.0" encoding="UTF-8" standalone="yes"?>
<Relationships xmlns="http://schemas.openxmlformats.org/package/2006/relationships"><Relationship Id="rId3" Type="http://schemas.openxmlformats.org/officeDocument/2006/relationships/printerSettings" Target="../printerSettings/printerSettings241.bin"/><Relationship Id="rId2" Type="http://schemas.openxmlformats.org/officeDocument/2006/relationships/printerSettings" Target="../printerSettings/printerSettings240.bin"/><Relationship Id="rId1" Type="http://schemas.openxmlformats.org/officeDocument/2006/relationships/printerSettings" Target="../printerSettings/printerSettings239.bin"/><Relationship Id="rId5" Type="http://schemas.openxmlformats.org/officeDocument/2006/relationships/printerSettings" Target="../printerSettings/printerSettings243.bin"/><Relationship Id="rId4" Type="http://schemas.openxmlformats.org/officeDocument/2006/relationships/printerSettings" Target="../printerSettings/printerSettings242.bin"/></Relationships>
</file>

<file path=xl/worksheets/_rels/sheet78.xml.rels><?xml version="1.0" encoding="UTF-8" standalone="yes"?>
<Relationships xmlns="http://schemas.openxmlformats.org/package/2006/relationships"><Relationship Id="rId3" Type="http://schemas.openxmlformats.org/officeDocument/2006/relationships/printerSettings" Target="../printerSettings/printerSettings246.bin"/><Relationship Id="rId2" Type="http://schemas.openxmlformats.org/officeDocument/2006/relationships/printerSettings" Target="../printerSettings/printerSettings245.bin"/><Relationship Id="rId1" Type="http://schemas.openxmlformats.org/officeDocument/2006/relationships/printerSettings" Target="../printerSettings/printerSettings244.bin"/><Relationship Id="rId5" Type="http://schemas.openxmlformats.org/officeDocument/2006/relationships/printerSettings" Target="../printerSettings/printerSettings248.bin"/><Relationship Id="rId4" Type="http://schemas.openxmlformats.org/officeDocument/2006/relationships/printerSettings" Target="../printerSettings/printerSettings247.bin"/></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251.bin"/><Relationship Id="rId2" Type="http://schemas.openxmlformats.org/officeDocument/2006/relationships/printerSettings" Target="../printerSettings/printerSettings250.bin"/><Relationship Id="rId1" Type="http://schemas.openxmlformats.org/officeDocument/2006/relationships/printerSettings" Target="../printerSettings/printerSettings249.bin"/><Relationship Id="rId5" Type="http://schemas.openxmlformats.org/officeDocument/2006/relationships/printerSettings" Target="../printerSettings/printerSettings253.bin"/><Relationship Id="rId4" Type="http://schemas.openxmlformats.org/officeDocument/2006/relationships/printerSettings" Target="../printerSettings/printerSettings252.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files.nc.gov/ncosc/documents/GASB_Resources/Financial_Reporting_Updates/gasb_standard_69_revised.pdf" TargetMode="External"/><Relationship Id="rId1" Type="http://schemas.openxmlformats.org/officeDocument/2006/relationships/hyperlink" Target="http://ncosc.s3.amazonaws.com/s3fs-public/documents/GASB_Resources/Financial_Reporting_Updates/gasb_standard_69_revised.pdf" TargetMode="External"/></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256.bin"/><Relationship Id="rId2" Type="http://schemas.openxmlformats.org/officeDocument/2006/relationships/printerSettings" Target="../printerSettings/printerSettings255.bin"/><Relationship Id="rId1" Type="http://schemas.openxmlformats.org/officeDocument/2006/relationships/printerSettings" Target="../printerSettings/printerSettings254.bin"/><Relationship Id="rId5" Type="http://schemas.openxmlformats.org/officeDocument/2006/relationships/printerSettings" Target="../printerSettings/printerSettings258.bin"/><Relationship Id="rId4" Type="http://schemas.openxmlformats.org/officeDocument/2006/relationships/printerSettings" Target="../printerSettings/printerSettings257.bin"/></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259.bin"/></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262.bin"/><Relationship Id="rId2" Type="http://schemas.openxmlformats.org/officeDocument/2006/relationships/printerSettings" Target="../printerSettings/printerSettings261.bin"/><Relationship Id="rId1" Type="http://schemas.openxmlformats.org/officeDocument/2006/relationships/printerSettings" Target="../printerSettings/printerSettings26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264.bin"/><Relationship Id="rId1" Type="http://schemas.openxmlformats.org/officeDocument/2006/relationships/hyperlink" Target="https://www.osc.nc.gov/state-agency-resources/north-carolina-accounting-system-ncas/statewide-financial-reporting/gasb-resources/effective-fy-2016" TargetMode="External"/></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267.bin"/><Relationship Id="rId2" Type="http://schemas.openxmlformats.org/officeDocument/2006/relationships/printerSettings" Target="../printerSettings/printerSettings266.bin"/><Relationship Id="rId1" Type="http://schemas.openxmlformats.org/officeDocument/2006/relationships/printerSettings" Target="../printerSettings/printerSettings265.bin"/><Relationship Id="rId6" Type="http://schemas.microsoft.com/office/2017/10/relationships/threadedComment" Target="../threadedComments/threadedComment2.xml"/><Relationship Id="rId5" Type="http://schemas.openxmlformats.org/officeDocument/2006/relationships/comments" Target="../comments6.xml"/><Relationship Id="rId4" Type="http://schemas.openxmlformats.org/officeDocument/2006/relationships/vmlDrawing" Target="../drawings/vmlDrawing7.vml"/></Relationships>
</file>

<file path=xl/worksheets/_rels/sheet86.xml.rels><?xml version="1.0" encoding="UTF-8" standalone="yes"?>
<Relationships xmlns="http://schemas.openxmlformats.org/package/2006/relationships"><Relationship Id="rId8" Type="http://schemas.openxmlformats.org/officeDocument/2006/relationships/vmlDrawing" Target="../drawings/vmlDrawing8.vml"/><Relationship Id="rId3" Type="http://schemas.openxmlformats.org/officeDocument/2006/relationships/hyperlink" Target="http://www.osc.nc.gov/sigdocs/sig_docs/sigNCAS_Data_Elements.html" TargetMode="External"/><Relationship Id="rId7" Type="http://schemas.openxmlformats.org/officeDocument/2006/relationships/drawing" Target="../drawings/drawing9.xml"/><Relationship Id="rId2" Type="http://schemas.openxmlformats.org/officeDocument/2006/relationships/printerSettings" Target="../printerSettings/printerSettings269.bin"/><Relationship Id="rId1" Type="http://schemas.openxmlformats.org/officeDocument/2006/relationships/printerSettings" Target="../printerSettings/printerSettings268.bin"/><Relationship Id="rId6" Type="http://schemas.openxmlformats.org/officeDocument/2006/relationships/printerSettings" Target="../printerSettings/printerSettings270.bin"/><Relationship Id="rId5" Type="http://schemas.openxmlformats.org/officeDocument/2006/relationships/hyperlink" Target="https://www.osc.nc.gov/state-agency-resources/chart-accounts/ncas-chart-accounts" TargetMode="External"/><Relationship Id="rId10" Type="http://schemas.microsoft.com/office/2017/10/relationships/threadedComment" Target="../threadedComments/threadedComment3.xml"/><Relationship Id="rId4" Type="http://schemas.openxmlformats.org/officeDocument/2006/relationships/hyperlink" Target="https://www.osc.nc.gov/state-agency-resources/chart-accounts/ncas-chart-accounts" TargetMode="External"/><Relationship Id="rId9" Type="http://schemas.openxmlformats.org/officeDocument/2006/relationships/comments" Target="../comments7.xml"/></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273.bin"/><Relationship Id="rId2" Type="http://schemas.openxmlformats.org/officeDocument/2006/relationships/printerSettings" Target="../printerSettings/printerSettings272.bin"/><Relationship Id="rId1" Type="http://schemas.openxmlformats.org/officeDocument/2006/relationships/printerSettings" Target="../printerSettings/printerSettings271.bin"/><Relationship Id="rId6" Type="http://schemas.microsoft.com/office/2017/10/relationships/threadedComment" Target="../threadedComments/threadedComment4.xml"/><Relationship Id="rId5" Type="http://schemas.openxmlformats.org/officeDocument/2006/relationships/comments" Target="../comments8.xml"/><Relationship Id="rId4" Type="http://schemas.openxmlformats.org/officeDocument/2006/relationships/vmlDrawing" Target="../drawings/vmlDrawing9.vml"/></Relationships>
</file>

<file path=xl/worksheets/_rels/sheet88.xml.rels><?xml version="1.0" encoding="UTF-8" standalone="yes"?>
<Relationships xmlns="http://schemas.openxmlformats.org/package/2006/relationships"><Relationship Id="rId3" Type="http://schemas.openxmlformats.org/officeDocument/2006/relationships/printerSettings" Target="../printerSettings/printerSettings276.bin"/><Relationship Id="rId2" Type="http://schemas.openxmlformats.org/officeDocument/2006/relationships/printerSettings" Target="../printerSettings/printerSettings275.bin"/><Relationship Id="rId1" Type="http://schemas.openxmlformats.org/officeDocument/2006/relationships/printerSettings" Target="../printerSettings/printerSettings274.bin"/><Relationship Id="rId5" Type="http://schemas.openxmlformats.org/officeDocument/2006/relationships/comments" Target="../comments9.xml"/><Relationship Id="rId4" Type="http://schemas.openxmlformats.org/officeDocument/2006/relationships/vmlDrawing" Target="../drawings/vmlDrawing10.vml"/></Relationships>
</file>

<file path=xl/worksheets/_rels/sheet8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printerSettings" Target="../printerSettings/printerSettings27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91.xml.rels><?xml version="1.0" encoding="UTF-8" standalone="yes"?>
<Relationships xmlns="http://schemas.openxmlformats.org/package/2006/relationships"><Relationship Id="rId3" Type="http://schemas.openxmlformats.org/officeDocument/2006/relationships/printerSettings" Target="../printerSettings/printerSettings281.bin"/><Relationship Id="rId2" Type="http://schemas.openxmlformats.org/officeDocument/2006/relationships/printerSettings" Target="../printerSettings/printerSettings280.bin"/><Relationship Id="rId1" Type="http://schemas.openxmlformats.org/officeDocument/2006/relationships/printerSettings" Target="../printerSettings/printerSettings279.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282.bin"/></Relationships>
</file>

<file path=xl/worksheets/_rels/sheet93.xml.rels><?xml version="1.0" encoding="UTF-8" standalone="yes"?>
<Relationships xmlns="http://schemas.openxmlformats.org/package/2006/relationships"><Relationship Id="rId3" Type="http://schemas.openxmlformats.org/officeDocument/2006/relationships/printerSettings" Target="../printerSettings/printerSettings285.bin"/><Relationship Id="rId2" Type="http://schemas.openxmlformats.org/officeDocument/2006/relationships/printerSettings" Target="../printerSettings/printerSettings284.bin"/><Relationship Id="rId1" Type="http://schemas.openxmlformats.org/officeDocument/2006/relationships/printerSettings" Target="../printerSettings/printerSettings283.bin"/><Relationship Id="rId6" Type="http://schemas.microsoft.com/office/2017/10/relationships/threadedComment" Target="../threadedComments/threadedComment5.xml"/><Relationship Id="rId5" Type="http://schemas.openxmlformats.org/officeDocument/2006/relationships/comments" Target="../comments11.xml"/><Relationship Id="rId4" Type="http://schemas.openxmlformats.org/officeDocument/2006/relationships/vmlDrawing" Target="../drawings/vmlDrawing12.vml"/></Relationships>
</file>

<file path=xl/worksheets/_rels/sheet9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printerSettings" Target="../printerSettings/printerSettings286.bin"/><Relationship Id="rId4" Type="http://schemas.microsoft.com/office/2017/10/relationships/threadedComment" Target="../threadedComments/threadedComment6.xml"/></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287.bin"/></Relationships>
</file>

<file path=xl/worksheets/_rels/sheet96.xml.rels><?xml version="1.0" encoding="UTF-8" standalone="yes"?>
<Relationships xmlns="http://schemas.openxmlformats.org/package/2006/relationships"><Relationship Id="rId3" Type="http://schemas.openxmlformats.org/officeDocument/2006/relationships/printerSettings" Target="../printerSettings/printerSettings290.bin"/><Relationship Id="rId2" Type="http://schemas.openxmlformats.org/officeDocument/2006/relationships/printerSettings" Target="../printerSettings/printerSettings289.bin"/><Relationship Id="rId1" Type="http://schemas.openxmlformats.org/officeDocument/2006/relationships/printerSettings" Target="../printerSettings/printerSettings288.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98.xml.rels><?xml version="1.0" encoding="UTF-8" standalone="yes"?>
<Relationships xmlns="http://schemas.openxmlformats.org/package/2006/relationships"><Relationship Id="rId3" Type="http://schemas.openxmlformats.org/officeDocument/2006/relationships/printerSettings" Target="../printerSettings/printerSettings294.bin"/><Relationship Id="rId2" Type="http://schemas.openxmlformats.org/officeDocument/2006/relationships/printerSettings" Target="../printerSettings/printerSettings293.bin"/><Relationship Id="rId1" Type="http://schemas.openxmlformats.org/officeDocument/2006/relationships/printerSettings" Target="../printerSettings/printerSettings292.bin"/></Relationships>
</file>

<file path=xl/worksheets/_rels/sheet99.xml.rels><?xml version="1.0" encoding="UTF-8" standalone="yes"?>
<Relationships xmlns="http://schemas.openxmlformats.org/package/2006/relationships"><Relationship Id="rId3" Type="http://schemas.openxmlformats.org/officeDocument/2006/relationships/printerSettings" Target="../printerSettings/printerSettings297.bin"/><Relationship Id="rId2" Type="http://schemas.openxmlformats.org/officeDocument/2006/relationships/printerSettings" Target="../printerSettings/printerSettings296.bin"/><Relationship Id="rId1" Type="http://schemas.openxmlformats.org/officeDocument/2006/relationships/printerSettings" Target="../printerSettings/printerSettings295.bin"/><Relationship Id="rId5" Type="http://schemas.openxmlformats.org/officeDocument/2006/relationships/printerSettings" Target="../printerSettings/printerSettings299.bin"/><Relationship Id="rId4" Type="http://schemas.openxmlformats.org/officeDocument/2006/relationships/printerSettings" Target="../printerSettings/printerSettings2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N53"/>
  <sheetViews>
    <sheetView showGridLines="0" tabSelected="1" zoomScaleNormal="100" workbookViewId="0">
      <selection activeCell="G13" sqref="G13"/>
    </sheetView>
  </sheetViews>
  <sheetFormatPr defaultRowHeight="12.75" x14ac:dyDescent="0.2"/>
  <cols>
    <col min="1" max="1" width="3" customWidth="1"/>
    <col min="2" max="2" width="91.5703125" customWidth="1"/>
    <col min="3" max="3" width="9.5703125" customWidth="1"/>
    <col min="4" max="7" width="8.42578125" customWidth="1"/>
    <col min="8" max="8" width="9.5703125" customWidth="1"/>
    <col min="9" max="9" width="7.5703125" customWidth="1"/>
    <col min="10" max="11" width="10.5703125" customWidth="1"/>
    <col min="12" max="12" width="10" customWidth="1"/>
    <col min="13" max="13" width="3.5703125" customWidth="1"/>
  </cols>
  <sheetData>
    <row r="1" spans="1:14" ht="15.75" x14ac:dyDescent="0.25">
      <c r="A1" s="2473" t="s">
        <v>0</v>
      </c>
      <c r="B1" s="2473"/>
      <c r="C1" s="2255"/>
      <c r="D1" s="2255"/>
      <c r="E1" s="2255"/>
      <c r="F1" s="2255"/>
      <c r="G1" s="2255"/>
      <c r="H1" s="2255"/>
      <c r="I1" s="2255"/>
      <c r="J1" s="2255"/>
      <c r="K1" s="2255"/>
      <c r="L1" s="2255"/>
      <c r="M1" s="2255"/>
      <c r="N1" s="80"/>
    </row>
    <row r="2" spans="1:14" ht="15.75" x14ac:dyDescent="0.25">
      <c r="A2" s="2473" t="str">
        <f>CONCATENATE(YEAR(Data!A2)," ACFR Worksheets")</f>
        <v>2024 ACFR Worksheets</v>
      </c>
      <c r="B2" s="2473"/>
      <c r="C2" s="2255"/>
      <c r="D2" s="2255"/>
      <c r="E2" s="2255"/>
      <c r="F2" s="2255"/>
      <c r="G2" s="2255"/>
      <c r="H2" s="2255"/>
      <c r="I2" s="2255"/>
      <c r="J2" s="2255"/>
      <c r="K2" s="2255"/>
      <c r="L2" s="2255"/>
      <c r="M2" s="2255"/>
      <c r="N2" s="80"/>
    </row>
    <row r="3" spans="1:14" ht="15.75" x14ac:dyDescent="0.25">
      <c r="A3" s="2473" t="s">
        <v>1</v>
      </c>
      <c r="B3" s="2473"/>
      <c r="C3" s="2255"/>
      <c r="D3" s="2255"/>
      <c r="E3" s="2255"/>
      <c r="F3" s="2255"/>
      <c r="G3" s="2255"/>
      <c r="H3" s="2255"/>
      <c r="I3" s="2255"/>
      <c r="J3" s="2255"/>
      <c r="K3" s="2255"/>
      <c r="L3" s="2255"/>
      <c r="M3" s="2255"/>
      <c r="N3" s="80"/>
    </row>
    <row r="4" spans="1:14" ht="15.75" x14ac:dyDescent="0.25">
      <c r="A4" s="145"/>
      <c r="B4" s="754" t="str">
        <f>Index!L4</f>
        <v>File revision date: 7/01/2024</v>
      </c>
      <c r="C4" s="672"/>
      <c r="D4" s="672"/>
      <c r="E4" s="672"/>
      <c r="F4" s="672"/>
      <c r="G4" s="672"/>
      <c r="H4" s="672"/>
      <c r="I4" s="672"/>
      <c r="J4" s="672"/>
      <c r="K4" s="672"/>
      <c r="L4" s="672"/>
      <c r="M4" s="672"/>
    </row>
    <row r="6" spans="1:14" ht="14.25" x14ac:dyDescent="0.25">
      <c r="A6" s="879" t="s">
        <v>2</v>
      </c>
      <c r="B6" s="673"/>
    </row>
    <row r="7" spans="1:14" ht="13.5" x14ac:dyDescent="0.2">
      <c r="A7" s="674" t="s">
        <v>3</v>
      </c>
      <c r="B7" s="675" t="s">
        <v>4</v>
      </c>
    </row>
    <row r="8" spans="1:14" ht="13.5" x14ac:dyDescent="0.2">
      <c r="A8" s="674"/>
      <c r="B8" s="675" t="s">
        <v>5</v>
      </c>
    </row>
    <row r="9" spans="1:14" ht="13.5" x14ac:dyDescent="0.2">
      <c r="A9" s="674" t="s">
        <v>3</v>
      </c>
      <c r="B9" s="675" t="s">
        <v>6</v>
      </c>
    </row>
    <row r="10" spans="1:14" ht="13.5" x14ac:dyDescent="0.2">
      <c r="A10" s="676"/>
      <c r="B10" s="675" t="s">
        <v>7</v>
      </c>
    </row>
    <row r="11" spans="1:14" ht="13.5" x14ac:dyDescent="0.2">
      <c r="A11" s="674" t="s">
        <v>3</v>
      </c>
      <c r="B11" s="675" t="s">
        <v>8</v>
      </c>
    </row>
    <row r="12" spans="1:14" ht="13.5" x14ac:dyDescent="0.2">
      <c r="A12" s="674" t="s">
        <v>3</v>
      </c>
      <c r="B12" s="675" t="s">
        <v>9</v>
      </c>
    </row>
    <row r="13" spans="1:14" ht="13.5" x14ac:dyDescent="0.2">
      <c r="A13" s="674"/>
      <c r="B13" s="675" t="s">
        <v>10</v>
      </c>
    </row>
    <row r="14" spans="1:14" ht="13.5" x14ac:dyDescent="0.2">
      <c r="A14" s="674"/>
      <c r="B14" s="675" t="s">
        <v>11</v>
      </c>
    </row>
    <row r="15" spans="1:14" ht="13.5" x14ac:dyDescent="0.2">
      <c r="A15" s="674"/>
      <c r="B15" s="675" t="s">
        <v>12</v>
      </c>
    </row>
    <row r="16" spans="1:14" ht="13.5" x14ac:dyDescent="0.2">
      <c r="A16" s="674" t="s">
        <v>3</v>
      </c>
      <c r="B16" s="1463" t="s">
        <v>13</v>
      </c>
    </row>
    <row r="17" spans="1:3" ht="13.5" x14ac:dyDescent="0.2">
      <c r="A17" s="674"/>
      <c r="B17" s="1463" t="s">
        <v>14</v>
      </c>
    </row>
    <row r="18" spans="1:3" ht="13.5" x14ac:dyDescent="0.2">
      <c r="A18" s="674" t="s">
        <v>3</v>
      </c>
      <c r="B18" s="1463" t="s">
        <v>15</v>
      </c>
    </row>
    <row r="19" spans="1:3" ht="13.5" x14ac:dyDescent="0.2">
      <c r="A19" s="674" t="s">
        <v>3</v>
      </c>
      <c r="B19" s="675" t="s">
        <v>16</v>
      </c>
    </row>
    <row r="20" spans="1:3" ht="14.25" thickBot="1" x14ac:dyDescent="0.25">
      <c r="A20" s="674"/>
      <c r="B20" s="675" t="s">
        <v>17</v>
      </c>
    </row>
    <row r="21" spans="1:3" ht="15.75" x14ac:dyDescent="0.25">
      <c r="A21" s="674" t="s">
        <v>3</v>
      </c>
      <c r="B21" s="755" t="s">
        <v>18</v>
      </c>
    </row>
    <row r="22" spans="1:3" ht="15.75" x14ac:dyDescent="0.25">
      <c r="A22" s="674"/>
      <c r="B22" s="756" t="s">
        <v>19</v>
      </c>
    </row>
    <row r="23" spans="1:3" ht="15.75" x14ac:dyDescent="0.25">
      <c r="A23" s="674"/>
      <c r="B23" s="756" t="s">
        <v>20</v>
      </c>
    </row>
    <row r="24" spans="1:3" ht="15.75" x14ac:dyDescent="0.25">
      <c r="A24" s="674"/>
      <c r="B24" s="756" t="s">
        <v>21</v>
      </c>
    </row>
    <row r="25" spans="1:3" ht="16.5" thickBot="1" x14ac:dyDescent="0.3">
      <c r="A25" s="676"/>
      <c r="B25" s="757" t="s">
        <v>22</v>
      </c>
    </row>
    <row r="26" spans="1:3" ht="13.5" x14ac:dyDescent="0.2">
      <c r="A26" s="674" t="s">
        <v>3</v>
      </c>
      <c r="B26" s="832" t="s">
        <v>23</v>
      </c>
    </row>
    <row r="27" spans="1:3" ht="13.5" x14ac:dyDescent="0.2">
      <c r="A27" s="674"/>
      <c r="B27" s="832" t="s">
        <v>24</v>
      </c>
    </row>
    <row r="28" spans="1:3" ht="13.5" x14ac:dyDescent="0.2">
      <c r="A28" s="674"/>
      <c r="B28" s="832" t="s">
        <v>25</v>
      </c>
    </row>
    <row r="29" spans="1:3" ht="13.5" x14ac:dyDescent="0.2">
      <c r="A29" s="741" t="s">
        <v>26</v>
      </c>
      <c r="B29" s="676"/>
    </row>
    <row r="30" spans="1:3" ht="15" x14ac:dyDescent="0.25">
      <c r="A30" s="674" t="s">
        <v>3</v>
      </c>
      <c r="B30" s="676" t="s">
        <v>27</v>
      </c>
      <c r="C30" s="1498"/>
    </row>
    <row r="31" spans="1:3" ht="15" x14ac:dyDescent="0.25">
      <c r="A31" s="676"/>
      <c r="B31" s="677" t="s">
        <v>28</v>
      </c>
      <c r="C31" s="631"/>
    </row>
    <row r="32" spans="1:3" ht="15" x14ac:dyDescent="0.25">
      <c r="A32" s="676"/>
      <c r="B32" s="676" t="s">
        <v>29</v>
      </c>
      <c r="C32" s="1498"/>
    </row>
    <row r="33" spans="1:3" ht="15" x14ac:dyDescent="0.25">
      <c r="B33" s="676" t="s">
        <v>30</v>
      </c>
      <c r="C33" s="1498"/>
    </row>
    <row r="34" spans="1:3" ht="15" x14ac:dyDescent="0.25">
      <c r="A34" s="674" t="s">
        <v>3</v>
      </c>
      <c r="B34" s="676" t="s">
        <v>31</v>
      </c>
      <c r="C34" s="1498"/>
    </row>
    <row r="35" spans="1:3" ht="13.5" x14ac:dyDescent="0.2">
      <c r="A35" s="678"/>
      <c r="B35" s="676" t="s">
        <v>32</v>
      </c>
    </row>
    <row r="36" spans="1:3" ht="13.5" x14ac:dyDescent="0.2">
      <c r="A36" s="741" t="s">
        <v>33</v>
      </c>
      <c r="B36" s="678"/>
    </row>
    <row r="37" spans="1:3" ht="13.5" x14ac:dyDescent="0.2">
      <c r="A37" s="674" t="s">
        <v>3</v>
      </c>
      <c r="B37" s="676" t="s">
        <v>34</v>
      </c>
    </row>
    <row r="38" spans="1:3" ht="13.5" x14ac:dyDescent="0.2">
      <c r="B38" s="676" t="s">
        <v>35</v>
      </c>
    </row>
    <row r="39" spans="1:3" ht="13.5" x14ac:dyDescent="0.2">
      <c r="A39" s="674" t="s">
        <v>3</v>
      </c>
      <c r="B39" s="680" t="s">
        <v>36</v>
      </c>
    </row>
    <row r="40" spans="1:3" ht="13.5" x14ac:dyDescent="0.2">
      <c r="A40" s="674" t="s">
        <v>3</v>
      </c>
      <c r="B40" s="680" t="s">
        <v>37</v>
      </c>
    </row>
    <row r="41" spans="1:3" ht="13.5" x14ac:dyDescent="0.2">
      <c r="A41" s="674" t="s">
        <v>3</v>
      </c>
      <c r="B41" s="680" t="s">
        <v>38</v>
      </c>
    </row>
    <row r="42" spans="1:3" ht="13.5" x14ac:dyDescent="0.2">
      <c r="A42" s="674" t="s">
        <v>3</v>
      </c>
      <c r="B42" s="763" t="s">
        <v>39</v>
      </c>
    </row>
    <row r="43" spans="1:3" ht="13.5" x14ac:dyDescent="0.2">
      <c r="A43" s="674"/>
      <c r="B43" s="763" t="s">
        <v>40</v>
      </c>
    </row>
    <row r="44" spans="1:3" ht="13.5" x14ac:dyDescent="0.2">
      <c r="A44" s="741" t="s">
        <v>41</v>
      </c>
    </row>
    <row r="45" spans="1:3" ht="13.5" x14ac:dyDescent="0.2">
      <c r="A45" s="674" t="s">
        <v>3</v>
      </c>
      <c r="B45" s="680" t="s">
        <v>42</v>
      </c>
    </row>
    <row r="46" spans="1:3" ht="13.5" x14ac:dyDescent="0.2">
      <c r="A46" s="741" t="s">
        <v>43</v>
      </c>
    </row>
    <row r="47" spans="1:3" ht="13.5" x14ac:dyDescent="0.2">
      <c r="A47" s="674" t="s">
        <v>3</v>
      </c>
      <c r="B47" s="680" t="s">
        <v>44</v>
      </c>
    </row>
    <row r="48" spans="1:3" ht="13.5" x14ac:dyDescent="0.2">
      <c r="A48" s="674" t="s">
        <v>3</v>
      </c>
      <c r="B48" s="676" t="s">
        <v>45</v>
      </c>
    </row>
    <row r="49" spans="1:2" ht="13.5" x14ac:dyDescent="0.2">
      <c r="B49" s="680" t="s">
        <v>46</v>
      </c>
    </row>
    <row r="50" spans="1:2" ht="13.5" x14ac:dyDescent="0.2">
      <c r="A50" s="674" t="s">
        <v>3</v>
      </c>
      <c r="B50" s="1013" t="s">
        <v>47</v>
      </c>
    </row>
    <row r="51" spans="1:2" ht="13.5" x14ac:dyDescent="0.2">
      <c r="B51" s="1013" t="s">
        <v>48</v>
      </c>
    </row>
    <row r="52" spans="1:2" ht="13.5" x14ac:dyDescent="0.2">
      <c r="B52" s="1013" t="s">
        <v>49</v>
      </c>
    </row>
    <row r="53" spans="1:2" x14ac:dyDescent="0.2">
      <c r="B53" s="138" t="s">
        <v>50</v>
      </c>
    </row>
  </sheetData>
  <sheetProtection algorithmName="SHA-512" hashValue="4RVBCYHmg4Vk6l0dABAwLr9eubtwn9MbY/ML/gPRVZhpLJusNeTvZ3q4QTK7Shzv9A6WDPVC2Tl/EA4lxXyKEg==" saltValue="mjBV2m9bOA/fn+DIYddd0w==" spinCount="100000" sheet="1" autoFilter="0"/>
  <customSheetViews>
    <customSheetView guid="{9FCFC836-1CA5-48BF-958D-24D2EA94B219}" showGridLines="0" hiddenColumns="1">
      <selection activeCell="A5" sqref="A5"/>
      <pageMargins left="0" right="0" top="0" bottom="0" header="0" footer="0"/>
      <pageSetup orientation="portrait" r:id="rId1"/>
    </customSheetView>
    <customSheetView guid="{B08879A4-635B-4C39-9937-AC7883D562FC}" showGridLines="0" hiddenColumns="1">
      <selection activeCell="A5" sqref="A5"/>
      <pageMargins left="0" right="0" top="0" bottom="0" header="0" footer="0"/>
      <pageSetup orientation="portrait" r:id="rId2"/>
    </customSheetView>
  </customSheetViews>
  <mergeCells count="3">
    <mergeCell ref="A1:B1"/>
    <mergeCell ref="A2:B2"/>
    <mergeCell ref="A3:B3"/>
  </mergeCells>
  <pageMargins left="0.6" right="0.6" top="0.5" bottom="0.5" header="0.3" footer="0.3"/>
  <pageSetup scale="82"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14387-FB9A-4E3A-BA72-D902B4AA95AF}">
  <sheetPr codeName="Sheet20">
    <pageSetUpPr fitToPage="1"/>
  </sheetPr>
  <dimension ref="A1:U104"/>
  <sheetViews>
    <sheetView showGridLines="0" topLeftCell="B1" zoomScaleNormal="100" zoomScaleSheetLayoutView="100" workbookViewId="0">
      <selection activeCell="X17" sqref="X17"/>
    </sheetView>
  </sheetViews>
  <sheetFormatPr defaultColWidth="9.42578125" defaultRowHeight="12.75" x14ac:dyDescent="0.2"/>
  <cols>
    <col min="1" max="1" width="9.42578125" style="41" hidden="1" customWidth="1"/>
    <col min="2" max="2" width="3.42578125" style="41" customWidth="1"/>
    <col min="3" max="3" width="12.42578125" style="41" customWidth="1"/>
    <col min="4" max="4" width="3.42578125" style="41" customWidth="1"/>
    <col min="5" max="5" width="13.5703125" style="41" bestFit="1" customWidth="1"/>
    <col min="6" max="6" width="2.42578125" style="41" customWidth="1"/>
    <col min="7" max="7" width="11.5703125" style="41" customWidth="1"/>
    <col min="8" max="8" width="2.42578125" style="41" customWidth="1"/>
    <col min="9" max="9" width="13" style="41" customWidth="1"/>
    <col min="10" max="10" width="2.42578125" style="41" customWidth="1"/>
    <col min="11" max="11" width="9.42578125" style="41"/>
    <col min="12" max="12" width="2.42578125" style="41" customWidth="1"/>
    <col min="13" max="13" width="13" style="41" customWidth="1"/>
    <col min="14" max="14" width="2.42578125" style="41" customWidth="1"/>
    <col min="15" max="15" width="13.42578125" style="41" customWidth="1"/>
    <col min="16" max="16" width="2.42578125" style="41" customWidth="1"/>
    <col min="17" max="17" width="13" style="41" customWidth="1"/>
    <col min="18" max="18" width="2.5703125" style="41" customWidth="1"/>
    <col min="19" max="19" width="5.42578125" style="41" customWidth="1"/>
    <col min="20" max="20" width="16.5703125" style="41" bestFit="1" customWidth="1"/>
    <col min="21" max="16384" width="9.42578125" style="41"/>
  </cols>
  <sheetData>
    <row r="1" spans="2:21" ht="25.15" customHeight="1" x14ac:dyDescent="0.2">
      <c r="B1" s="1162" t="str">
        <f>+Index!$A$1</f>
        <v xml:space="preserve">                                                               Office of the State Controller                                                                </v>
      </c>
      <c r="C1" s="1162"/>
      <c r="D1" s="1162"/>
      <c r="E1" s="1162"/>
      <c r="F1" s="1162"/>
      <c r="G1" s="1162"/>
      <c r="H1" s="1162"/>
      <c r="I1" s="1162"/>
      <c r="J1" s="1162"/>
      <c r="K1" s="1162"/>
      <c r="L1" s="1162"/>
      <c r="M1" s="1163"/>
      <c r="N1" s="1163"/>
      <c r="O1" s="1163"/>
      <c r="P1" s="1163"/>
      <c r="Q1" s="1163"/>
      <c r="S1" s="2577"/>
      <c r="T1" s="2269" t="str">
        <f>IF(Index!$B$22="na","NA","")</f>
        <v/>
      </c>
    </row>
    <row r="2" spans="2:21" ht="13.15" customHeight="1" x14ac:dyDescent="0.2">
      <c r="B2" s="1164" t="str">
        <f>+Index!$A$2</f>
        <v>2024 ACFR Worksheets</v>
      </c>
      <c r="C2" s="1164"/>
      <c r="D2" s="1164"/>
      <c r="E2" s="1164"/>
      <c r="F2" s="1164"/>
      <c r="G2" s="1164"/>
      <c r="H2" s="1164"/>
      <c r="I2" s="1164"/>
      <c r="J2" s="1164"/>
      <c r="K2" s="1164"/>
      <c r="L2" s="1164"/>
      <c r="M2" s="1163"/>
      <c r="N2" s="1163"/>
      <c r="O2" s="1163"/>
      <c r="P2" s="1163"/>
      <c r="Q2" s="1163"/>
      <c r="S2" s="2577"/>
      <c r="T2" s="849"/>
    </row>
    <row r="3" spans="2:21" ht="13.15" customHeight="1" x14ac:dyDescent="0.2">
      <c r="B3" s="247" t="s">
        <v>614</v>
      </c>
      <c r="C3" s="247"/>
      <c r="D3" s="247"/>
      <c r="E3" s="247"/>
      <c r="F3" s="247"/>
      <c r="G3" s="247"/>
      <c r="H3" s="247"/>
      <c r="I3" s="247"/>
      <c r="J3" s="247"/>
      <c r="K3" s="247"/>
      <c r="L3" s="247"/>
      <c r="M3" s="1163"/>
      <c r="N3" s="1163"/>
      <c r="O3" s="1163"/>
      <c r="P3" s="1163"/>
      <c r="Q3" s="1163"/>
      <c r="S3" s="2577"/>
      <c r="T3" s="849"/>
    </row>
    <row r="4" spans="2:21" x14ac:dyDescent="0.2">
      <c r="B4" s="247" t="s">
        <v>615</v>
      </c>
      <c r="C4" s="247"/>
      <c r="D4" s="247"/>
      <c r="E4" s="247"/>
      <c r="F4" s="247"/>
      <c r="G4" s="247"/>
      <c r="H4" s="247"/>
      <c r="I4" s="1163"/>
      <c r="J4" s="1163"/>
      <c r="K4" s="247"/>
      <c r="L4" s="247"/>
      <c r="M4" s="1163"/>
      <c r="N4" s="1163"/>
      <c r="O4" s="1163"/>
      <c r="P4" s="1163"/>
      <c r="Q4" s="1163"/>
    </row>
    <row r="5" spans="2:21" x14ac:dyDescent="0.2">
      <c r="B5" s="247" t="s">
        <v>616</v>
      </c>
      <c r="C5" s="247"/>
      <c r="D5" s="247"/>
      <c r="E5" s="247"/>
      <c r="F5" s="247"/>
      <c r="G5" s="247"/>
      <c r="H5" s="247"/>
      <c r="I5" s="1163"/>
      <c r="J5" s="1163"/>
      <c r="K5" s="247"/>
      <c r="L5" s="247"/>
      <c r="M5" s="1163"/>
      <c r="N5" s="1163"/>
      <c r="O5" s="1163"/>
      <c r="P5" s="1163"/>
      <c r="Q5" s="1163"/>
    </row>
    <row r="6" spans="2:21" ht="12.75" customHeight="1" x14ac:dyDescent="0.2">
      <c r="B6" s="247"/>
      <c r="C6" s="247"/>
      <c r="D6" s="247"/>
      <c r="E6" s="247"/>
      <c r="F6" s="247"/>
      <c r="G6" s="247"/>
      <c r="H6" s="247"/>
      <c r="I6" s="247"/>
      <c r="J6" s="247"/>
      <c r="K6" s="1165"/>
      <c r="L6" s="1165"/>
      <c r="M6" s="1163"/>
      <c r="N6" s="1163"/>
      <c r="O6" s="1163"/>
      <c r="P6" s="1163"/>
      <c r="Q6" s="1163"/>
    </row>
    <row r="7" spans="2:21" x14ac:dyDescent="0.2">
      <c r="B7" s="1128" t="s">
        <v>617</v>
      </c>
      <c r="C7" s="1128"/>
      <c r="D7" s="247"/>
      <c r="E7" s="247"/>
      <c r="F7" s="247"/>
      <c r="M7" s="2322" t="s">
        <v>318</v>
      </c>
      <c r="N7" s="2322"/>
      <c r="O7" s="2539" t="str">
        <f>AgyIdx</f>
        <v>01</v>
      </c>
      <c r="P7" s="2539"/>
      <c r="Q7" s="2539"/>
    </row>
    <row r="8" spans="2:21" x14ac:dyDescent="0.2">
      <c r="B8" s="1163"/>
      <c r="C8" s="1163"/>
      <c r="D8" s="1163"/>
      <c r="E8" s="1128"/>
      <c r="F8" s="247"/>
      <c r="M8" s="2322" t="s">
        <v>319</v>
      </c>
      <c r="N8" s="2322"/>
      <c r="O8" s="2535" t="str">
        <f>AgyName</f>
        <v>North Carolina General Assembly</v>
      </c>
      <c r="P8" s="2535"/>
      <c r="Q8" s="2535"/>
    </row>
    <row r="9" spans="2:21" x14ac:dyDescent="0.2">
      <c r="B9" s="1128"/>
      <c r="C9" s="247"/>
      <c r="D9" s="247"/>
      <c r="E9" s="247"/>
      <c r="F9" s="247"/>
      <c r="M9" s="2322" t="s">
        <v>320</v>
      </c>
      <c r="N9" s="2322"/>
      <c r="O9" s="2578" t="str">
        <f>CONCATENATE(Index!$E$12," ",Index!$E$14)</f>
        <v xml:space="preserve"> </v>
      </c>
      <c r="P9" s="2578"/>
      <c r="Q9" s="2578"/>
      <c r="R9" s="1129"/>
      <c r="S9" s="1129"/>
      <c r="T9" s="1129"/>
      <c r="U9" s="1129"/>
    </row>
    <row r="10" spans="2:21" x14ac:dyDescent="0.2">
      <c r="B10" s="1128"/>
      <c r="C10" s="247"/>
      <c r="D10" s="247"/>
      <c r="E10" s="247"/>
      <c r="F10" s="247"/>
      <c r="M10" s="2322" t="s">
        <v>168</v>
      </c>
      <c r="N10" s="2322"/>
      <c r="O10" s="2578">
        <f>+Index!$E$13</f>
        <v>0</v>
      </c>
      <c r="P10" s="2578"/>
      <c r="Q10" s="2578"/>
    </row>
    <row r="11" spans="2:21" ht="6" customHeight="1" thickBot="1" x14ac:dyDescent="0.25">
      <c r="B11" s="1166"/>
      <c r="C11" s="1166"/>
      <c r="D11" s="1166"/>
      <c r="E11" s="1166"/>
      <c r="F11" s="1166"/>
      <c r="G11" s="1166"/>
      <c r="H11" s="1166"/>
      <c r="I11" s="1166"/>
      <c r="J11" s="1166"/>
      <c r="K11" s="1166"/>
      <c r="L11" s="1166"/>
      <c r="M11" s="1163"/>
      <c r="N11" s="1163"/>
      <c r="O11" s="1163"/>
      <c r="P11" s="1163"/>
      <c r="Q11" s="1163"/>
    </row>
    <row r="12" spans="2:21" ht="12" customHeight="1" x14ac:dyDescent="0.2">
      <c r="B12" s="247"/>
      <c r="C12" s="247"/>
      <c r="D12" s="247"/>
      <c r="E12" s="247"/>
      <c r="F12" s="247"/>
      <c r="G12" s="247"/>
      <c r="H12" s="247"/>
      <c r="I12" s="247"/>
      <c r="J12" s="247"/>
      <c r="K12" s="247"/>
      <c r="L12" s="247"/>
      <c r="M12" s="1130"/>
      <c r="N12" s="1130"/>
      <c r="O12" s="1130"/>
      <c r="P12" s="1130"/>
      <c r="Q12" s="1130"/>
      <c r="R12" s="612"/>
      <c r="S12" s="1131"/>
    </row>
    <row r="13" spans="2:21" ht="12" customHeight="1" x14ac:dyDescent="0.2">
      <c r="B13" s="611" t="s">
        <v>321</v>
      </c>
      <c r="C13" s="612" t="s">
        <v>618</v>
      </c>
      <c r="D13" s="612"/>
      <c r="E13" s="612"/>
      <c r="F13" s="612"/>
      <c r="G13" s="612"/>
      <c r="H13" s="612"/>
      <c r="I13" s="612"/>
      <c r="J13" s="612"/>
      <c r="K13" s="612"/>
      <c r="L13" s="612"/>
      <c r="M13" s="612"/>
      <c r="N13" s="612"/>
      <c r="O13" s="612"/>
      <c r="P13" s="612"/>
      <c r="Q13" s="612"/>
      <c r="R13" s="612"/>
      <c r="S13" s="1131"/>
    </row>
    <row r="14" spans="2:21" ht="12" customHeight="1" x14ac:dyDescent="0.2">
      <c r="B14" s="611"/>
      <c r="C14" s="1132" t="s">
        <v>619</v>
      </c>
      <c r="D14" s="612"/>
      <c r="E14" s="1133"/>
      <c r="F14" s="612"/>
      <c r="G14" s="1132" t="s">
        <v>620</v>
      </c>
      <c r="H14" s="612"/>
      <c r="I14" s="1133"/>
      <c r="J14" s="612"/>
      <c r="K14" s="612"/>
      <c r="L14" s="612"/>
      <c r="M14" s="612"/>
      <c r="N14" s="612"/>
      <c r="O14" s="612"/>
      <c r="P14" s="612"/>
      <c r="Q14" s="612"/>
      <c r="R14" s="612"/>
      <c r="S14" s="1131"/>
      <c r="T14" s="860" t="str">
        <f>IF(AND(ISBLANK($E$14),ISBLANK($I$14))=TRUE,"Answer Missing"," ")</f>
        <v>Answer Missing</v>
      </c>
    </row>
    <row r="15" spans="2:21" ht="6" customHeight="1" x14ac:dyDescent="0.2">
      <c r="B15" s="611"/>
      <c r="C15" s="1132"/>
      <c r="D15" s="612"/>
      <c r="E15" s="1134"/>
      <c r="F15" s="612"/>
      <c r="G15" s="1132"/>
      <c r="H15" s="612"/>
      <c r="I15" s="1134"/>
      <c r="J15" s="612"/>
      <c r="K15" s="612"/>
      <c r="L15" s="612"/>
      <c r="M15" s="612"/>
      <c r="N15" s="612"/>
      <c r="O15" s="612"/>
      <c r="P15" s="612"/>
      <c r="Q15" s="612"/>
      <c r="R15" s="612"/>
      <c r="S15" s="1131"/>
    </row>
    <row r="16" spans="2:21" ht="12" customHeight="1" x14ac:dyDescent="0.2">
      <c r="B16" s="611"/>
      <c r="C16" s="1135" t="s">
        <v>621</v>
      </c>
      <c r="D16" s="612"/>
      <c r="E16" s="612"/>
      <c r="F16" s="612"/>
      <c r="G16" s="1132"/>
      <c r="H16" s="612"/>
      <c r="I16" s="612"/>
      <c r="J16" s="612"/>
      <c r="K16" s="612"/>
      <c r="L16" s="612"/>
      <c r="M16" s="612"/>
      <c r="N16" s="612"/>
      <c r="O16" s="612"/>
      <c r="P16" s="612"/>
      <c r="Q16" s="612"/>
      <c r="R16" s="612"/>
      <c r="S16" s="1131"/>
    </row>
    <row r="17" spans="2:21" ht="6" customHeight="1" x14ac:dyDescent="0.2">
      <c r="B17" s="611"/>
      <c r="C17" s="1135"/>
      <c r="D17" s="612"/>
      <c r="E17" s="612"/>
      <c r="F17" s="612"/>
      <c r="G17" s="1132"/>
      <c r="H17" s="612"/>
      <c r="I17" s="612"/>
      <c r="J17" s="612"/>
      <c r="K17" s="612"/>
      <c r="L17" s="612"/>
      <c r="M17" s="612"/>
      <c r="N17" s="612"/>
      <c r="O17" s="612"/>
      <c r="P17" s="612"/>
      <c r="Q17" s="612"/>
      <c r="R17" s="612"/>
      <c r="S17" s="1131"/>
    </row>
    <row r="18" spans="2:21" ht="12" customHeight="1" x14ac:dyDescent="0.2">
      <c r="B18" s="612"/>
      <c r="C18" s="612" t="s">
        <v>622</v>
      </c>
      <c r="D18" s="612"/>
      <c r="E18" s="2576"/>
      <c r="F18" s="2576"/>
      <c r="G18" s="2576"/>
      <c r="H18" s="2576"/>
      <c r="I18" s="2576"/>
      <c r="J18" s="2576"/>
      <c r="K18" s="2576"/>
      <c r="L18" s="2576"/>
      <c r="M18" s="2576"/>
      <c r="N18" s="612"/>
      <c r="O18" s="612" t="s">
        <v>623</v>
      </c>
      <c r="P18" s="612"/>
      <c r="Q18" s="612"/>
      <c r="R18" s="612"/>
      <c r="S18" s="1131"/>
      <c r="T18" s="861" t="str">
        <f>IF(ISTEXT(E14),"Response for Yes needed"," ")</f>
        <v xml:space="preserve"> </v>
      </c>
      <c r="U18" s="861"/>
    </row>
    <row r="19" spans="2:21" ht="6" customHeight="1" x14ac:dyDescent="0.2">
      <c r="B19" s="612"/>
      <c r="C19" s="612"/>
      <c r="D19" s="612"/>
      <c r="E19" s="1132"/>
      <c r="F19" s="612"/>
      <c r="G19" s="612"/>
      <c r="H19" s="1136"/>
      <c r="I19" s="242"/>
      <c r="J19" s="1136"/>
      <c r="K19" s="242"/>
      <c r="L19" s="242"/>
      <c r="M19" s="612"/>
      <c r="N19" s="612"/>
      <c r="O19" s="612"/>
      <c r="P19" s="612"/>
      <c r="Q19" s="612"/>
      <c r="R19" s="612"/>
      <c r="S19" s="1131"/>
    </row>
    <row r="20" spans="2:21" ht="12" customHeight="1" x14ac:dyDescent="0.2">
      <c r="B20" s="612"/>
      <c r="C20" s="612" t="s">
        <v>624</v>
      </c>
      <c r="D20" s="612"/>
      <c r="E20" s="1132"/>
      <c r="F20" s="612"/>
      <c r="G20" s="2575"/>
      <c r="H20" s="2575"/>
      <c r="I20" s="2575"/>
      <c r="J20" s="1136"/>
      <c r="K20" s="242"/>
      <c r="L20" s="242"/>
      <c r="M20" s="612"/>
      <c r="N20" s="612"/>
      <c r="O20" s="612"/>
      <c r="P20" s="612"/>
      <c r="Q20" s="612"/>
      <c r="R20" s="612"/>
      <c r="S20" s="1131"/>
    </row>
    <row r="21" spans="2:21" ht="6" customHeight="1" x14ac:dyDescent="0.2">
      <c r="B21" s="612"/>
      <c r="C21" s="612"/>
      <c r="D21" s="612"/>
      <c r="E21" s="1132"/>
      <c r="F21" s="612"/>
      <c r="G21" s="612"/>
      <c r="H21" s="1136"/>
      <c r="I21" s="242"/>
      <c r="J21" s="1136"/>
      <c r="K21" s="242"/>
      <c r="L21" s="242"/>
      <c r="M21" s="612"/>
      <c r="N21" s="612"/>
      <c r="O21" s="612"/>
      <c r="P21" s="612"/>
      <c r="Q21" s="612"/>
      <c r="R21" s="612"/>
      <c r="S21" s="1131"/>
    </row>
    <row r="22" spans="2:21" ht="12" customHeight="1" x14ac:dyDescent="0.2">
      <c r="B22" s="612"/>
      <c r="C22" s="612" t="s">
        <v>625</v>
      </c>
      <c r="D22" s="612"/>
      <c r="E22" s="612"/>
      <c r="F22" s="612"/>
      <c r="G22" s="612"/>
      <c r="H22" s="1136"/>
      <c r="I22" s="242"/>
      <c r="J22" s="1136"/>
      <c r="K22" s="1137"/>
      <c r="L22" s="242"/>
      <c r="M22" s="1132"/>
      <c r="N22" s="612"/>
      <c r="O22" s="612"/>
      <c r="P22" s="612"/>
      <c r="Q22" s="612"/>
      <c r="R22" s="612"/>
      <c r="S22" s="1131"/>
    </row>
    <row r="23" spans="2:21" ht="12" customHeight="1" x14ac:dyDescent="0.2">
      <c r="B23" s="612"/>
      <c r="C23" s="1132" t="s">
        <v>619</v>
      </c>
      <c r="D23" s="612"/>
      <c r="E23" s="1133" t="s">
        <v>1137</v>
      </c>
      <c r="F23" s="612"/>
      <c r="G23" s="1132" t="s">
        <v>620</v>
      </c>
      <c r="H23" s="612"/>
      <c r="I23" s="1133"/>
      <c r="J23" s="612"/>
      <c r="K23" s="1137" t="s">
        <v>175</v>
      </c>
      <c r="L23" s="242"/>
      <c r="M23" s="1157"/>
      <c r="N23" s="612"/>
      <c r="O23" s="612"/>
      <c r="P23" s="612"/>
      <c r="Q23" s="612"/>
      <c r="R23" s="612"/>
      <c r="S23" s="1131"/>
      <c r="T23" s="860" t="str">
        <f>IF(AND(ISBLANK($E$23),ISBLANK($I$23),ISBLANK($M$23))=TRUE,"Answer Missing"," ")</f>
        <v xml:space="preserve"> </v>
      </c>
    </row>
    <row r="24" spans="2:21" ht="6" customHeight="1" x14ac:dyDescent="0.2">
      <c r="B24" s="612"/>
      <c r="C24" s="1132"/>
      <c r="D24" s="612"/>
      <c r="E24" s="612"/>
      <c r="F24" s="612"/>
      <c r="G24" s="1132"/>
      <c r="H24" s="612"/>
      <c r="I24" s="612"/>
      <c r="J24" s="612"/>
      <c r="K24" s="612"/>
      <c r="L24" s="1138"/>
      <c r="M24" s="612"/>
      <c r="N24" s="612"/>
      <c r="O24" s="612"/>
      <c r="P24" s="612"/>
      <c r="Q24" s="612"/>
      <c r="R24" s="612"/>
      <c r="S24" s="1131"/>
    </row>
    <row r="25" spans="2:21" ht="12" customHeight="1" x14ac:dyDescent="0.2">
      <c r="B25" s="612"/>
      <c r="C25" s="1135" t="s">
        <v>626</v>
      </c>
      <c r="D25" s="612"/>
      <c r="E25" s="612"/>
      <c r="F25" s="612"/>
      <c r="G25" s="1137"/>
      <c r="H25" s="1139"/>
      <c r="I25" s="242"/>
      <c r="J25" s="1139"/>
      <c r="K25" s="242"/>
      <c r="L25" s="242"/>
      <c r="M25" s="612"/>
      <c r="N25" s="612"/>
      <c r="O25" s="612"/>
      <c r="P25" s="612"/>
      <c r="Q25" s="612"/>
      <c r="R25" s="612"/>
      <c r="S25" s="1131"/>
    </row>
    <row r="26" spans="2:21" ht="12" customHeight="1" x14ac:dyDescent="0.2">
      <c r="B26" s="612"/>
      <c r="C26" s="2276"/>
      <c r="D26" s="1133"/>
      <c r="E26" s="1133"/>
      <c r="F26" s="1133"/>
      <c r="G26" s="1140"/>
      <c r="H26" s="1141"/>
      <c r="I26" s="1142"/>
      <c r="J26" s="1141"/>
      <c r="K26" s="1142"/>
      <c r="L26" s="1142"/>
      <c r="M26" s="1133"/>
      <c r="N26" s="1133"/>
      <c r="O26" s="1133"/>
      <c r="P26" s="1133"/>
      <c r="Q26" s="1133"/>
      <c r="R26" s="1133"/>
      <c r="S26" s="1131"/>
      <c r="T26" s="861" t="str">
        <f>IF(ISTEXT(I23),"Response for No needed"," ")</f>
        <v xml:space="preserve"> </v>
      </c>
    </row>
    <row r="27" spans="2:21" ht="12" customHeight="1" x14ac:dyDescent="0.2">
      <c r="B27" s="612"/>
      <c r="C27" s="1132"/>
      <c r="D27" s="612"/>
      <c r="E27" s="612"/>
      <c r="F27" s="612"/>
      <c r="G27" s="1132"/>
      <c r="H27" s="612"/>
      <c r="I27" s="612"/>
      <c r="J27" s="612"/>
      <c r="K27" s="612"/>
      <c r="L27" s="1138"/>
      <c r="M27" s="612"/>
      <c r="N27" s="612"/>
      <c r="O27" s="612"/>
      <c r="P27" s="612"/>
      <c r="Q27" s="612"/>
      <c r="R27" s="612"/>
      <c r="S27" s="1131"/>
    </row>
    <row r="28" spans="2:21" ht="12" customHeight="1" x14ac:dyDescent="0.2">
      <c r="B28" s="611" t="s">
        <v>332</v>
      </c>
      <c r="C28" s="612" t="s">
        <v>627</v>
      </c>
      <c r="D28" s="612"/>
      <c r="E28" s="612"/>
      <c r="F28" s="612"/>
      <c r="G28" s="612"/>
      <c r="H28" s="612"/>
      <c r="I28" s="612"/>
      <c r="J28" s="612"/>
      <c r="K28" s="1132" t="s">
        <v>628</v>
      </c>
      <c r="L28" s="612"/>
      <c r="M28" s="1133"/>
      <c r="N28" s="612"/>
      <c r="O28" s="1132" t="s">
        <v>620</v>
      </c>
      <c r="P28" s="612"/>
      <c r="Q28" s="1133"/>
      <c r="R28" s="612"/>
      <c r="S28" s="1131"/>
      <c r="T28" s="860" t="str">
        <f>IF(AND(ISBLANK($M$28),ISBLANK($Q$28))=TRUE,"Answer Missing"," ")</f>
        <v>Answer Missing</v>
      </c>
    </row>
    <row r="29" spans="2:21" ht="13.9" customHeight="1" x14ac:dyDescent="0.2">
      <c r="B29" s="612"/>
      <c r="C29" s="612" t="s">
        <v>629</v>
      </c>
      <c r="D29" s="612"/>
      <c r="E29" s="612"/>
      <c r="F29" s="612"/>
      <c r="G29" s="1136"/>
      <c r="H29" s="242"/>
      <c r="I29" s="1136"/>
      <c r="J29" s="242"/>
      <c r="K29" s="612"/>
      <c r="L29" s="612"/>
      <c r="M29" s="612"/>
      <c r="N29" s="612"/>
      <c r="O29" s="612"/>
      <c r="P29" s="612"/>
      <c r="Q29" s="612"/>
      <c r="R29" s="612"/>
      <c r="S29" s="1131"/>
    </row>
    <row r="30" spans="2:21" ht="6" customHeight="1" x14ac:dyDescent="0.2">
      <c r="B30" s="612"/>
      <c r="C30" s="612"/>
      <c r="D30" s="612"/>
      <c r="E30" s="612"/>
      <c r="F30" s="612"/>
      <c r="G30" s="1136"/>
      <c r="H30" s="242"/>
      <c r="I30" s="1136"/>
      <c r="J30" s="242"/>
      <c r="K30" s="612"/>
      <c r="L30" s="612"/>
      <c r="M30" s="612"/>
      <c r="N30" s="612"/>
      <c r="O30" s="612"/>
      <c r="P30" s="612"/>
      <c r="Q30" s="612"/>
      <c r="R30" s="612"/>
      <c r="S30" s="1131"/>
    </row>
    <row r="31" spans="2:21" x14ac:dyDescent="0.2">
      <c r="B31" s="612"/>
      <c r="E31" s="613" t="s">
        <v>553</v>
      </c>
      <c r="F31" s="613"/>
      <c r="G31" s="613" t="s">
        <v>630</v>
      </c>
      <c r="H31" s="613"/>
      <c r="I31" s="1136"/>
      <c r="J31" s="1136"/>
      <c r="K31" s="1136"/>
      <c r="L31" s="1136"/>
      <c r="M31" s="613" t="s">
        <v>631</v>
      </c>
      <c r="N31" s="613"/>
      <c r="O31" s="613" t="s">
        <v>553</v>
      </c>
      <c r="P31" s="613"/>
      <c r="Q31" s="1143"/>
      <c r="R31" s="612"/>
      <c r="S31" s="1131"/>
    </row>
    <row r="32" spans="2:21" ht="12" customHeight="1" x14ac:dyDescent="0.2">
      <c r="B32" s="612"/>
      <c r="E32" s="1144">
        <v>45108</v>
      </c>
      <c r="F32" s="1138"/>
      <c r="G32" s="1138" t="s">
        <v>632</v>
      </c>
      <c r="H32" s="1138"/>
      <c r="I32" s="1145" t="s">
        <v>548</v>
      </c>
      <c r="J32" s="1145"/>
      <c r="K32" s="1145" t="s">
        <v>633</v>
      </c>
      <c r="L32" s="1145"/>
      <c r="M32" s="1138" t="s">
        <v>634</v>
      </c>
      <c r="N32" s="1138"/>
      <c r="O32" s="1144">
        <v>45473</v>
      </c>
      <c r="P32" s="1146"/>
      <c r="Q32" s="1146"/>
      <c r="R32" s="612"/>
      <c r="S32" s="1131"/>
      <c r="T32" s="861" t="str">
        <f>IF(ISNUMBER(G34),"Worksheet 430G must be completed"," ")</f>
        <v xml:space="preserve"> </v>
      </c>
    </row>
    <row r="33" spans="2:20" ht="12" customHeight="1" x14ac:dyDescent="0.2">
      <c r="B33" s="612"/>
      <c r="E33" s="1143"/>
      <c r="F33" s="613"/>
      <c r="G33" s="613"/>
      <c r="H33" s="613"/>
      <c r="I33" s="1136"/>
      <c r="J33" s="1136"/>
      <c r="K33" s="1136"/>
      <c r="L33" s="1136"/>
      <c r="M33" s="613"/>
      <c r="N33" s="613"/>
      <c r="O33" s="613"/>
      <c r="P33" s="1146"/>
      <c r="Q33" s="1146"/>
      <c r="R33" s="612"/>
      <c r="S33" s="1131"/>
      <c r="T33" s="861"/>
    </row>
    <row r="34" spans="2:20" ht="12" customHeight="1" x14ac:dyDescent="0.2">
      <c r="B34" s="612"/>
      <c r="C34" s="1138" t="s">
        <v>552</v>
      </c>
      <c r="E34" s="1147"/>
      <c r="F34" s="1146"/>
      <c r="G34" s="1147"/>
      <c r="H34" s="1146"/>
      <c r="I34" s="1148"/>
      <c r="J34" s="1149"/>
      <c r="K34" s="1148"/>
      <c r="L34" s="1149"/>
      <c r="M34" s="1147">
        <v>0</v>
      </c>
      <c r="N34" s="1146"/>
      <c r="O34" s="1147">
        <f>SUM(E34+G34+I34+K34+M34)</f>
        <v>0</v>
      </c>
      <c r="P34" s="1146"/>
      <c r="Q34" s="1146"/>
      <c r="R34" s="612"/>
      <c r="S34" s="1131"/>
      <c r="T34" s="861"/>
    </row>
    <row r="35" spans="2:20" ht="6" customHeight="1" x14ac:dyDescent="0.2">
      <c r="B35" s="612"/>
      <c r="E35" s="1150"/>
      <c r="F35" s="1146"/>
      <c r="G35" s="1150"/>
      <c r="H35" s="1146"/>
      <c r="I35" s="1151"/>
      <c r="J35" s="1149"/>
      <c r="K35" s="1151"/>
      <c r="L35" s="1149"/>
      <c r="M35" s="1150"/>
      <c r="N35" s="1146"/>
      <c r="O35" s="1150"/>
      <c r="P35" s="1146"/>
      <c r="Q35" s="1146"/>
      <c r="R35" s="612"/>
      <c r="S35" s="1131"/>
      <c r="T35" s="861"/>
    </row>
    <row r="36" spans="2:20" ht="12" customHeight="1" x14ac:dyDescent="0.2">
      <c r="B36" s="612"/>
      <c r="C36" s="612" t="s">
        <v>635</v>
      </c>
      <c r="D36" s="612"/>
      <c r="E36" s="612"/>
      <c r="F36" s="1152"/>
      <c r="G36" s="1152"/>
      <c r="H36" s="1152"/>
      <c r="I36" s="1152"/>
      <c r="J36" s="1152"/>
      <c r="K36" s="1152"/>
      <c r="L36" s="1152"/>
      <c r="M36" s="612"/>
      <c r="N36" s="612"/>
      <c r="O36" s="612"/>
      <c r="P36" s="612"/>
      <c r="Q36" s="612"/>
      <c r="R36" s="612"/>
      <c r="S36" s="1131"/>
      <c r="T36" s="861"/>
    </row>
    <row r="37" spans="2:20" ht="12" customHeight="1" x14ac:dyDescent="0.2">
      <c r="B37" s="612"/>
      <c r="C37" s="612" t="s">
        <v>636</v>
      </c>
      <c r="D37" s="612"/>
      <c r="E37" s="612"/>
      <c r="F37" s="1152"/>
      <c r="G37" s="1152"/>
      <c r="H37" s="1152"/>
      <c r="I37" s="1152"/>
      <c r="J37" s="1152"/>
      <c r="K37" s="1152"/>
      <c r="L37" s="1152"/>
      <c r="M37" s="612"/>
      <c r="N37" s="612"/>
      <c r="O37" s="612"/>
      <c r="P37" s="612"/>
      <c r="Q37" s="612"/>
      <c r="R37" s="612"/>
      <c r="S37" s="1131"/>
      <c r="T37" s="861"/>
    </row>
    <row r="38" spans="2:20" ht="6" customHeight="1" x14ac:dyDescent="0.2">
      <c r="B38" s="612"/>
      <c r="C38" s="612"/>
      <c r="D38" s="612"/>
      <c r="E38" s="612"/>
      <c r="F38" s="1152"/>
      <c r="G38" s="1152"/>
      <c r="H38" s="1152"/>
      <c r="I38" s="1152"/>
      <c r="J38" s="1152"/>
      <c r="K38" s="1152"/>
      <c r="L38" s="1152"/>
      <c r="M38" s="612"/>
      <c r="N38" s="612"/>
      <c r="O38" s="612"/>
      <c r="P38" s="612"/>
      <c r="Q38" s="612"/>
      <c r="R38" s="612"/>
      <c r="S38" s="1131"/>
      <c r="T38" s="861"/>
    </row>
    <row r="39" spans="2:20" ht="12" customHeight="1" x14ac:dyDescent="0.2">
      <c r="B39" s="612"/>
      <c r="C39" s="611" t="s">
        <v>637</v>
      </c>
      <c r="D39" s="1146"/>
      <c r="E39" s="1150"/>
      <c r="F39" s="1146"/>
      <c r="G39" s="1151"/>
      <c r="H39" s="1149"/>
      <c r="I39" s="1151"/>
      <c r="J39" s="1149"/>
      <c r="L39" s="1146"/>
      <c r="M39" s="1153"/>
      <c r="N39" s="1146"/>
      <c r="O39" s="1150"/>
      <c r="P39" s="1146"/>
      <c r="Q39" s="1146"/>
      <c r="R39" s="612"/>
      <c r="S39" s="1131"/>
      <c r="T39" s="861"/>
    </row>
    <row r="40" spans="2:20" ht="12" customHeight="1" x14ac:dyDescent="0.2">
      <c r="B40" s="612"/>
      <c r="C40" s="1153" t="s">
        <v>638</v>
      </c>
      <c r="D40" s="1146"/>
      <c r="E40" s="1147"/>
      <c r="F40" s="1154"/>
      <c r="G40" s="1148"/>
      <c r="H40" s="1155"/>
      <c r="I40" s="1148"/>
      <c r="J40" s="1155"/>
      <c r="K40" s="1167"/>
      <c r="L40" s="1146"/>
      <c r="M40" s="1147"/>
      <c r="N40" s="612"/>
      <c r="O40" s="612"/>
      <c r="P40" s="612"/>
      <c r="Q40" s="612"/>
      <c r="R40" s="612"/>
      <c r="S40" s="1131"/>
    </row>
    <row r="41" spans="2:20" ht="12" customHeight="1" x14ac:dyDescent="0.2">
      <c r="B41" s="612"/>
      <c r="C41" s="1150"/>
      <c r="D41" s="1146"/>
      <c r="E41" s="1150"/>
      <c r="F41" s="1146"/>
      <c r="G41" s="1151"/>
      <c r="H41" s="1149"/>
      <c r="I41" s="1151"/>
      <c r="J41" s="1149"/>
      <c r="L41" s="1146"/>
      <c r="M41" s="1150">
        <f>SUM(M34+M40)</f>
        <v>0</v>
      </c>
      <c r="N41" s="612"/>
      <c r="O41" s="612"/>
      <c r="P41" s="612"/>
      <c r="Q41" s="612"/>
      <c r="R41" s="612"/>
      <c r="S41" s="1131"/>
      <c r="T41" s="1156">
        <f>IF(M34+M40=0,0,"Out of Bal.")</f>
        <v>0</v>
      </c>
    </row>
    <row r="42" spans="2:20" ht="6" customHeight="1" x14ac:dyDescent="0.2">
      <c r="B42" s="611"/>
      <c r="R42" s="612"/>
      <c r="S42" s="1131"/>
    </row>
    <row r="43" spans="2:20" ht="12" customHeight="1" x14ac:dyDescent="0.2">
      <c r="B43" s="611"/>
      <c r="C43" s="612" t="s">
        <v>639</v>
      </c>
      <c r="R43" s="612"/>
      <c r="S43" s="1131"/>
    </row>
    <row r="44" spans="2:20" ht="16.350000000000001" customHeight="1" x14ac:dyDescent="0.2">
      <c r="B44" s="612"/>
      <c r="C44" s="1132" t="s">
        <v>628</v>
      </c>
      <c r="D44" s="612"/>
      <c r="E44" s="1133"/>
      <c r="F44" s="612"/>
      <c r="G44" s="1137" t="s">
        <v>620</v>
      </c>
      <c r="H44" s="1139"/>
      <c r="I44" s="1142"/>
      <c r="J44" s="1139"/>
      <c r="K44" s="1137" t="s">
        <v>175</v>
      </c>
      <c r="L44" s="242"/>
      <c r="M44" s="1157"/>
      <c r="N44" s="612"/>
      <c r="O44" s="612"/>
      <c r="P44" s="612"/>
      <c r="Q44" s="612"/>
      <c r="R44" s="612"/>
      <c r="S44" s="1131"/>
      <c r="T44" s="860" t="str">
        <f>IF(AND(ISBLANK($E$44),ISBLANK($I$44),ISBLANK($M$44))=TRUE,"Answer Missing"," ")</f>
        <v>Answer Missing</v>
      </c>
    </row>
    <row r="45" spans="2:20" ht="6" customHeight="1" x14ac:dyDescent="0.2">
      <c r="B45" s="612"/>
      <c r="C45" s="1132"/>
      <c r="D45" s="612"/>
      <c r="E45" s="612"/>
      <c r="F45" s="612"/>
      <c r="G45" s="1137"/>
      <c r="H45" s="1139"/>
      <c r="I45" s="242"/>
      <c r="J45" s="1139"/>
      <c r="K45" s="242"/>
      <c r="L45" s="242"/>
      <c r="M45" s="612"/>
      <c r="N45" s="612"/>
      <c r="O45" s="612"/>
      <c r="P45" s="612"/>
      <c r="Q45" s="612"/>
      <c r="R45" s="612"/>
      <c r="S45" s="1131"/>
    </row>
    <row r="46" spans="2:20" ht="12" customHeight="1" x14ac:dyDescent="0.2">
      <c r="B46" s="612"/>
      <c r="C46" s="1135" t="s">
        <v>640</v>
      </c>
      <c r="D46" s="612"/>
      <c r="E46" s="612"/>
      <c r="F46" s="612"/>
      <c r="G46" s="1137"/>
      <c r="H46" s="1139"/>
      <c r="I46" s="242"/>
      <c r="J46" s="1139"/>
      <c r="K46" s="242"/>
      <c r="L46" s="242"/>
      <c r="M46" s="612"/>
      <c r="N46" s="612"/>
      <c r="O46" s="612"/>
      <c r="P46" s="612"/>
      <c r="Q46" s="612"/>
      <c r="R46" s="612"/>
      <c r="S46" s="1131"/>
    </row>
    <row r="47" spans="2:20" ht="12" customHeight="1" x14ac:dyDescent="0.2">
      <c r="B47" s="612"/>
      <c r="C47" s="2576"/>
      <c r="D47" s="2576"/>
      <c r="E47" s="2576"/>
      <c r="F47" s="2576"/>
      <c r="G47" s="2576"/>
      <c r="H47" s="2576"/>
      <c r="I47" s="2576"/>
      <c r="J47" s="2576"/>
      <c r="K47" s="2576"/>
      <c r="L47" s="2576"/>
      <c r="M47" s="2576"/>
      <c r="N47" s="2576"/>
      <c r="O47" s="2576"/>
      <c r="P47" s="2576"/>
      <c r="Q47" s="2576"/>
      <c r="R47" s="2576"/>
      <c r="S47" s="1131"/>
      <c r="T47" s="861" t="str">
        <f>IF(ISTEXT(I44),"Response for No needed"," ")</f>
        <v xml:space="preserve"> </v>
      </c>
    </row>
    <row r="48" spans="2:20" ht="12" customHeight="1" x14ac:dyDescent="0.2">
      <c r="B48" s="612"/>
      <c r="C48" s="612"/>
      <c r="D48" s="612"/>
      <c r="E48" s="612"/>
      <c r="F48" s="1158"/>
      <c r="G48" s="1159"/>
      <c r="H48" s="1139"/>
      <c r="I48" s="1159"/>
      <c r="J48" s="1139"/>
      <c r="K48" s="1159"/>
      <c r="L48" s="1159"/>
      <c r="M48" s="612"/>
      <c r="N48" s="612"/>
      <c r="O48" s="612"/>
      <c r="P48" s="612"/>
      <c r="Q48" s="612"/>
      <c r="R48" s="612"/>
      <c r="S48" s="1131"/>
    </row>
    <row r="49" spans="2:20" ht="12" customHeight="1" x14ac:dyDescent="0.2">
      <c r="B49" s="611" t="s">
        <v>365</v>
      </c>
      <c r="C49" s="612" t="s">
        <v>641</v>
      </c>
      <c r="D49" s="612"/>
      <c r="E49" s="612"/>
      <c r="F49" s="612"/>
      <c r="G49" s="612"/>
      <c r="H49" s="612"/>
      <c r="I49" s="612"/>
      <c r="J49" s="612"/>
      <c r="K49" s="1132" t="s">
        <v>628</v>
      </c>
      <c r="L49" s="612"/>
      <c r="M49" s="1133"/>
      <c r="N49" s="612"/>
      <c r="O49" s="1132" t="s">
        <v>620</v>
      </c>
      <c r="P49" s="612"/>
      <c r="Q49" s="1133"/>
      <c r="R49" s="612"/>
      <c r="S49" s="1131"/>
      <c r="T49" s="860" t="str">
        <f>IF(AND(ISBLANK($M$49),ISBLANK($Q$49))=TRUE,"Answer Missing"," ")</f>
        <v>Answer Missing</v>
      </c>
    </row>
    <row r="50" spans="2:20" ht="13.9" customHeight="1" x14ac:dyDescent="0.2">
      <c r="B50" s="611"/>
      <c r="C50" s="612" t="s">
        <v>642</v>
      </c>
      <c r="D50" s="612"/>
      <c r="E50" s="612"/>
      <c r="F50" s="612"/>
      <c r="G50" s="1136"/>
      <c r="H50" s="242"/>
      <c r="I50" s="1136"/>
      <c r="J50" s="242"/>
      <c r="K50" s="612"/>
      <c r="L50" s="612"/>
      <c r="M50" s="612"/>
      <c r="N50" s="612"/>
      <c r="O50" s="612"/>
      <c r="P50" s="612"/>
      <c r="Q50" s="612"/>
      <c r="R50" s="612"/>
      <c r="S50" s="1131"/>
    </row>
    <row r="51" spans="2:20" ht="6" customHeight="1" x14ac:dyDescent="0.2">
      <c r="B51" s="611"/>
      <c r="C51" s="612"/>
      <c r="D51" s="612"/>
      <c r="E51" s="612"/>
      <c r="F51" s="612"/>
      <c r="G51" s="1136"/>
      <c r="H51" s="242"/>
      <c r="I51" s="1136"/>
      <c r="J51" s="242"/>
      <c r="K51" s="612"/>
      <c r="L51" s="612"/>
      <c r="M51" s="612"/>
      <c r="N51" s="612"/>
      <c r="O51" s="612"/>
      <c r="P51" s="612"/>
      <c r="Q51" s="612"/>
      <c r="R51" s="612"/>
      <c r="S51" s="1131"/>
    </row>
    <row r="52" spans="2:20" ht="12" customHeight="1" x14ac:dyDescent="0.2">
      <c r="B52" s="611"/>
      <c r="D52" s="613"/>
      <c r="E52" s="613" t="s">
        <v>553</v>
      </c>
      <c r="F52" s="613"/>
      <c r="G52" s="613" t="s">
        <v>630</v>
      </c>
      <c r="H52" s="1136"/>
      <c r="I52" s="1136"/>
      <c r="J52" s="1136"/>
      <c r="K52" s="613"/>
      <c r="L52" s="613"/>
      <c r="M52" s="613" t="s">
        <v>643</v>
      </c>
      <c r="N52" s="613"/>
      <c r="O52" s="613" t="s">
        <v>644</v>
      </c>
      <c r="P52" s="613"/>
      <c r="R52" s="612"/>
      <c r="S52" s="1131"/>
    </row>
    <row r="53" spans="2:20" ht="12" customHeight="1" x14ac:dyDescent="0.2">
      <c r="B53" s="611"/>
      <c r="D53" s="1138"/>
      <c r="E53" s="1144">
        <v>45108</v>
      </c>
      <c r="F53" s="1138"/>
      <c r="G53" s="1138" t="s">
        <v>632</v>
      </c>
      <c r="H53" s="1145"/>
      <c r="I53" s="1145" t="s">
        <v>548</v>
      </c>
      <c r="J53" s="1145"/>
      <c r="K53" s="1138" t="s">
        <v>633</v>
      </c>
      <c r="L53" s="1138"/>
      <c r="M53" s="1138" t="s">
        <v>645</v>
      </c>
      <c r="N53" s="1138"/>
      <c r="O53" s="1144">
        <v>45473</v>
      </c>
      <c r="P53" s="1138"/>
      <c r="R53" s="612"/>
      <c r="S53" s="1131"/>
    </row>
    <row r="54" spans="2:20" ht="6" customHeight="1" x14ac:dyDescent="0.2">
      <c r="B54" s="611"/>
      <c r="C54" s="1143"/>
      <c r="D54" s="613"/>
      <c r="E54" s="613"/>
      <c r="F54" s="613"/>
      <c r="G54" s="1136"/>
      <c r="H54" s="1136"/>
      <c r="I54" s="1136"/>
      <c r="J54" s="1136"/>
      <c r="K54" s="613"/>
      <c r="L54" s="613"/>
      <c r="M54" s="613"/>
      <c r="N54" s="613"/>
      <c r="O54" s="1143"/>
      <c r="P54" s="613"/>
      <c r="R54" s="612"/>
      <c r="S54" s="1131"/>
    </row>
    <row r="55" spans="2:20" ht="12" customHeight="1" x14ac:dyDescent="0.2">
      <c r="B55" s="612"/>
      <c r="C55" s="1153" t="s">
        <v>646</v>
      </c>
      <c r="D55" s="1146"/>
      <c r="E55" s="1147"/>
      <c r="F55" s="1146"/>
      <c r="G55" s="1148"/>
      <c r="H55" s="1149"/>
      <c r="I55" s="1148"/>
      <c r="J55" s="1149"/>
      <c r="K55" s="1147"/>
      <c r="L55" s="1146"/>
      <c r="M55" s="1147"/>
      <c r="N55" s="1146"/>
      <c r="O55" s="1154">
        <f>SUM(E55+G55+I55+K55+M55)</f>
        <v>0</v>
      </c>
      <c r="P55" s="1146"/>
      <c r="R55" s="612"/>
      <c r="S55" s="1131"/>
      <c r="T55" s="861" t="str">
        <f>IF(ISNUMBER(G55),"Worksheet 430G must be completed"," ")</f>
        <v xml:space="preserve"> </v>
      </c>
    </row>
    <row r="56" spans="2:20" ht="6" customHeight="1" x14ac:dyDescent="0.2">
      <c r="B56" s="612"/>
      <c r="C56" s="1146"/>
      <c r="D56" s="1146"/>
      <c r="E56" s="1146"/>
      <c r="F56" s="1146"/>
      <c r="G56" s="1160"/>
      <c r="H56" s="1149"/>
      <c r="I56" s="1160"/>
      <c r="J56" s="1149"/>
      <c r="K56" s="1146"/>
      <c r="L56" s="1146"/>
      <c r="M56" s="1146"/>
      <c r="N56" s="1146"/>
      <c r="O56" s="1146"/>
      <c r="P56" s="1146"/>
      <c r="Q56" s="1146"/>
      <c r="R56" s="612"/>
      <c r="S56" s="1131"/>
    </row>
    <row r="57" spans="2:20" ht="12" customHeight="1" x14ac:dyDescent="0.2">
      <c r="B57" s="611" t="s">
        <v>373</v>
      </c>
      <c r="C57" s="1146" t="s">
        <v>647</v>
      </c>
      <c r="D57" s="1146"/>
      <c r="E57" s="1146"/>
      <c r="F57" s="1146"/>
      <c r="G57" s="1160"/>
      <c r="H57" s="1149"/>
      <c r="I57" s="1160"/>
      <c r="J57" s="1149"/>
      <c r="K57" s="1132" t="s">
        <v>628</v>
      </c>
      <c r="L57" s="612"/>
      <c r="M57" s="1133"/>
      <c r="N57" s="612"/>
      <c r="O57" s="1132" t="s">
        <v>620</v>
      </c>
      <c r="P57" s="612"/>
      <c r="Q57" s="1133"/>
      <c r="R57" s="612"/>
      <c r="S57" s="1131"/>
      <c r="T57" s="860" t="str">
        <f>IF(AND(ISBLANK($M$57),ISBLANK($Q$57))=TRUE,"Answer Missing"," ")</f>
        <v>Answer Missing</v>
      </c>
    </row>
    <row r="58" spans="2:20" ht="12" customHeight="1" x14ac:dyDescent="0.2">
      <c r="B58" s="612"/>
      <c r="C58" s="1146" t="s">
        <v>648</v>
      </c>
      <c r="D58" s="1146"/>
      <c r="E58" s="1146"/>
      <c r="F58" s="1146"/>
      <c r="G58" s="1160"/>
      <c r="H58" s="1149"/>
      <c r="I58" s="1160"/>
      <c r="J58" s="1149"/>
      <c r="K58" s="1146"/>
      <c r="L58" s="1146"/>
      <c r="M58" s="1146"/>
      <c r="N58" s="1146"/>
      <c r="O58" s="1146"/>
      <c r="P58" s="1146"/>
      <c r="Q58" s="1146"/>
      <c r="R58" s="612"/>
      <c r="S58" s="1131"/>
    </row>
    <row r="59" spans="2:20" ht="12" customHeight="1" x14ac:dyDescent="0.2">
      <c r="B59" s="612"/>
      <c r="C59" s="1146"/>
      <c r="D59" s="1146"/>
      <c r="E59" s="1146"/>
      <c r="F59" s="1146"/>
      <c r="G59" s="1160"/>
      <c r="H59" s="1149"/>
      <c r="I59" s="1160"/>
      <c r="J59" s="1149"/>
      <c r="K59" s="1146"/>
      <c r="L59" s="1146"/>
      <c r="M59" s="1146"/>
      <c r="N59" s="1146"/>
      <c r="O59" s="1146"/>
      <c r="P59" s="1146"/>
      <c r="Q59" s="1146"/>
      <c r="R59" s="612"/>
      <c r="S59" s="1131"/>
    </row>
    <row r="60" spans="2:20" ht="12" customHeight="1" x14ac:dyDescent="0.2">
      <c r="B60" s="611"/>
      <c r="D60" s="613"/>
      <c r="E60" s="613" t="s">
        <v>553</v>
      </c>
      <c r="F60" s="613"/>
      <c r="G60" s="613" t="s">
        <v>630</v>
      </c>
      <c r="H60" s="1136"/>
      <c r="I60" s="1136"/>
      <c r="J60" s="1136"/>
      <c r="K60" s="613"/>
      <c r="L60" s="613"/>
      <c r="M60" s="613" t="s">
        <v>643</v>
      </c>
      <c r="N60" s="613"/>
      <c r="O60" s="613" t="s">
        <v>644</v>
      </c>
      <c r="P60" s="613"/>
      <c r="R60" s="612"/>
      <c r="S60" s="1131"/>
    </row>
    <row r="61" spans="2:20" ht="12" customHeight="1" x14ac:dyDescent="0.2">
      <c r="B61" s="611"/>
      <c r="D61" s="1138"/>
      <c r="E61" s="1144">
        <v>45108</v>
      </c>
      <c r="F61" s="1138"/>
      <c r="G61" s="1138" t="s">
        <v>632</v>
      </c>
      <c r="H61" s="1145"/>
      <c r="I61" s="1145" t="s">
        <v>548</v>
      </c>
      <c r="J61" s="1145"/>
      <c r="K61" s="1138" t="s">
        <v>633</v>
      </c>
      <c r="L61" s="1138"/>
      <c r="M61" s="1138" t="s">
        <v>649</v>
      </c>
      <c r="N61" s="1138"/>
      <c r="O61" s="1144">
        <v>45473</v>
      </c>
      <c r="P61" s="1138"/>
      <c r="R61" s="612"/>
      <c r="S61" s="1131"/>
    </row>
    <row r="62" spans="2:20" ht="6" customHeight="1" x14ac:dyDescent="0.2">
      <c r="B62" s="611"/>
      <c r="C62" s="1143"/>
      <c r="D62" s="613"/>
      <c r="E62" s="613"/>
      <c r="F62" s="613"/>
      <c r="G62" s="1136"/>
      <c r="H62" s="1136"/>
      <c r="I62" s="1136"/>
      <c r="J62" s="1136"/>
      <c r="K62" s="613"/>
      <c r="L62" s="613"/>
      <c r="M62" s="613"/>
      <c r="N62" s="613"/>
      <c r="O62" s="1143"/>
      <c r="P62" s="613"/>
      <c r="R62" s="612"/>
      <c r="S62" s="1131"/>
    </row>
    <row r="63" spans="2:20" ht="12" customHeight="1" x14ac:dyDescent="0.2">
      <c r="B63" s="612"/>
      <c r="C63" s="1153" t="s">
        <v>649</v>
      </c>
      <c r="D63" s="1146"/>
      <c r="E63" s="1147"/>
      <c r="F63" s="1146"/>
      <c r="G63" s="1148"/>
      <c r="H63" s="1149"/>
      <c r="I63" s="1148"/>
      <c r="J63" s="1149"/>
      <c r="K63" s="1147"/>
      <c r="L63" s="1146"/>
      <c r="M63" s="1147"/>
      <c r="N63" s="1146"/>
      <c r="O63" s="1154">
        <f>SUM(E63+G63+I63+K63+M63)</f>
        <v>0</v>
      </c>
      <c r="P63" s="1146"/>
      <c r="R63" s="612"/>
      <c r="S63" s="1131"/>
      <c r="T63" s="861" t="str">
        <f>IF(ISNUMBER(G63),"Worksheet 430G must be completed"," ")</f>
        <v xml:space="preserve"> </v>
      </c>
    </row>
    <row r="64" spans="2:20" ht="12" customHeight="1" x14ac:dyDescent="0.2">
      <c r="B64" s="612"/>
      <c r="C64" s="1150"/>
      <c r="D64" s="1146"/>
      <c r="E64" s="1150"/>
      <c r="F64" s="1146"/>
      <c r="G64" s="1151"/>
      <c r="H64" s="1149"/>
      <c r="I64" s="1151"/>
      <c r="J64" s="1149"/>
      <c r="K64" s="1150"/>
      <c r="L64" s="1146"/>
      <c r="M64" s="1150"/>
      <c r="N64" s="1146"/>
      <c r="O64" s="1150"/>
      <c r="P64" s="1146"/>
      <c r="Q64" s="1146"/>
      <c r="R64" s="612"/>
      <c r="S64" s="1131"/>
    </row>
    <row r="65" spans="2:20" ht="12" customHeight="1" x14ac:dyDescent="0.2">
      <c r="B65" s="611" t="s">
        <v>378</v>
      </c>
      <c r="C65" s="612" t="s">
        <v>650</v>
      </c>
      <c r="D65" s="612"/>
      <c r="E65" s="612"/>
      <c r="F65" s="1152"/>
      <c r="G65" s="1152"/>
      <c r="H65" s="1152"/>
      <c r="I65" s="1152"/>
      <c r="J65" s="1152"/>
      <c r="K65" s="1152"/>
      <c r="L65" s="1152"/>
      <c r="M65" s="612"/>
      <c r="N65" s="612"/>
      <c r="O65" s="612"/>
      <c r="P65" s="612"/>
      <c r="Q65" s="612"/>
      <c r="R65" s="612"/>
      <c r="S65" s="1131"/>
    </row>
    <row r="66" spans="2:20" ht="12" customHeight="1" x14ac:dyDescent="0.2">
      <c r="B66" s="611"/>
      <c r="C66" s="612" t="s">
        <v>651</v>
      </c>
      <c r="D66" s="612"/>
      <c r="E66" s="612"/>
      <c r="F66" s="1152"/>
      <c r="G66" s="1152"/>
      <c r="H66" s="1152"/>
      <c r="I66" s="1152"/>
      <c r="J66" s="1152"/>
      <c r="K66" s="1152"/>
      <c r="L66" s="1152"/>
      <c r="M66" s="612"/>
      <c r="N66" s="612"/>
      <c r="O66" s="612"/>
      <c r="P66" s="612"/>
      <c r="Q66" s="612"/>
      <c r="R66" s="612"/>
      <c r="S66" s="1131"/>
    </row>
    <row r="67" spans="2:20" ht="6" customHeight="1" x14ac:dyDescent="0.2">
      <c r="B67" s="611"/>
      <c r="D67" s="612"/>
      <c r="E67" s="612"/>
      <c r="F67" s="1152"/>
      <c r="G67" s="1152"/>
      <c r="H67" s="1152"/>
      <c r="I67" s="1152"/>
      <c r="J67" s="1152"/>
      <c r="K67" s="1152"/>
      <c r="L67" s="1152"/>
      <c r="M67" s="612"/>
      <c r="N67" s="612"/>
      <c r="O67" s="612"/>
      <c r="P67" s="612"/>
      <c r="Q67" s="612"/>
      <c r="R67" s="612"/>
      <c r="S67" s="1131"/>
    </row>
    <row r="68" spans="2:20" ht="12" customHeight="1" x14ac:dyDescent="0.2">
      <c r="B68" s="611"/>
      <c r="C68" s="612" t="s">
        <v>652</v>
      </c>
      <c r="D68" s="612"/>
      <c r="E68" s="612"/>
      <c r="F68" s="1152"/>
      <c r="G68" s="1152"/>
      <c r="H68" s="1152"/>
      <c r="I68" s="1152"/>
      <c r="J68" s="1152"/>
      <c r="K68" s="1152"/>
      <c r="L68" s="1152"/>
      <c r="M68" s="612"/>
      <c r="N68" s="612"/>
      <c r="O68" s="612"/>
      <c r="P68" s="612"/>
      <c r="Q68" s="612"/>
      <c r="R68" s="612"/>
      <c r="S68" s="1131"/>
    </row>
    <row r="69" spans="2:20" ht="15.75" customHeight="1" x14ac:dyDescent="0.2">
      <c r="B69" s="612"/>
      <c r="C69" s="1132" t="s">
        <v>619</v>
      </c>
      <c r="D69" s="612"/>
      <c r="E69" s="1133"/>
      <c r="F69" s="612"/>
      <c r="G69" s="1137" t="s">
        <v>620</v>
      </c>
      <c r="H69" s="1139"/>
      <c r="I69" s="1142"/>
      <c r="J69" s="1139"/>
      <c r="K69" s="1137" t="s">
        <v>175</v>
      </c>
      <c r="L69" s="242"/>
      <c r="M69" s="1157"/>
      <c r="N69" s="612"/>
      <c r="O69" s="612"/>
      <c r="P69" s="612"/>
      <c r="Q69" s="612"/>
      <c r="R69" s="612"/>
      <c r="S69" s="1131"/>
      <c r="T69" s="860" t="str">
        <f>IF(AND(ISBLANK($E$69),ISBLANK($I$69),ISBLANK($M$69))=TRUE,"Answer Missing"," ")</f>
        <v>Answer Missing</v>
      </c>
    </row>
    <row r="70" spans="2:20" ht="6" customHeight="1" x14ac:dyDescent="0.2">
      <c r="B70" s="612"/>
      <c r="C70" s="1132"/>
      <c r="D70" s="612"/>
      <c r="E70" s="612"/>
      <c r="F70" s="612"/>
      <c r="G70" s="1137"/>
      <c r="H70" s="1139"/>
      <c r="I70" s="242"/>
      <c r="J70" s="1139"/>
      <c r="K70" s="242"/>
      <c r="L70" s="242"/>
      <c r="M70" s="612"/>
      <c r="N70" s="612"/>
      <c r="O70" s="612"/>
      <c r="P70" s="612"/>
      <c r="Q70" s="612"/>
      <c r="R70" s="612"/>
      <c r="S70" s="1131"/>
    </row>
    <row r="71" spans="2:20" ht="12" customHeight="1" x14ac:dyDescent="0.2">
      <c r="B71" s="612"/>
      <c r="C71" s="1135" t="s">
        <v>653</v>
      </c>
      <c r="D71" s="612"/>
      <c r="E71" s="612"/>
      <c r="F71" s="612"/>
      <c r="G71" s="1137"/>
      <c r="H71" s="1139"/>
      <c r="I71" s="242"/>
      <c r="J71" s="1139"/>
      <c r="K71" s="242"/>
      <c r="L71" s="242"/>
      <c r="M71" s="612"/>
      <c r="N71" s="612"/>
      <c r="O71" s="612"/>
      <c r="P71" s="612"/>
      <c r="Q71" s="612"/>
      <c r="R71" s="612"/>
      <c r="S71" s="1131"/>
    </row>
    <row r="72" spans="2:20" ht="12" customHeight="1" x14ac:dyDescent="0.2">
      <c r="B72" s="612"/>
      <c r="C72" s="2576"/>
      <c r="D72" s="2576"/>
      <c r="E72" s="2576"/>
      <c r="F72" s="2576"/>
      <c r="G72" s="2576"/>
      <c r="H72" s="2576"/>
      <c r="I72" s="2576"/>
      <c r="J72" s="2576"/>
      <c r="K72" s="2576"/>
      <c r="L72" s="2576"/>
      <c r="M72" s="2576"/>
      <c r="N72" s="2576"/>
      <c r="O72" s="2576"/>
      <c r="P72" s="2576"/>
      <c r="Q72" s="2576"/>
      <c r="R72" s="612"/>
      <c r="S72" s="1131"/>
      <c r="T72" s="861" t="str">
        <f>IF(ISTEXT(I69),"Response for No needed"," ")</f>
        <v xml:space="preserve"> </v>
      </c>
    </row>
    <row r="73" spans="2:20" ht="12" customHeight="1" x14ac:dyDescent="0.2">
      <c r="B73" s="612"/>
      <c r="C73" s="1146"/>
      <c r="D73" s="1146"/>
      <c r="E73" s="1146"/>
      <c r="F73" s="1146"/>
      <c r="G73" s="1160"/>
      <c r="H73" s="1149"/>
      <c r="I73" s="1160"/>
      <c r="J73" s="1149"/>
      <c r="K73" s="1146"/>
      <c r="L73" s="1146"/>
      <c r="M73" s="1146"/>
      <c r="N73" s="1146"/>
      <c r="O73" s="1146"/>
      <c r="P73" s="1146"/>
      <c r="Q73" s="1146"/>
      <c r="R73" s="612"/>
      <c r="S73" s="1131"/>
    </row>
    <row r="74" spans="2:20" ht="12" customHeight="1" x14ac:dyDescent="0.2">
      <c r="B74" s="612"/>
      <c r="C74" s="1135"/>
      <c r="D74" s="1135"/>
      <c r="E74" s="1135"/>
      <c r="F74" s="612"/>
      <c r="G74" s="1132"/>
      <c r="H74" s="612"/>
      <c r="I74" s="612"/>
      <c r="J74" s="612"/>
      <c r="K74" s="612"/>
      <c r="L74" s="612"/>
      <c r="M74" s="612"/>
      <c r="N74" s="612"/>
      <c r="O74" s="612"/>
      <c r="P74" s="612"/>
      <c r="Q74" s="612"/>
      <c r="R74" s="612"/>
      <c r="S74" s="1131"/>
    </row>
    <row r="75" spans="2:20" ht="6" customHeight="1" x14ac:dyDescent="0.2">
      <c r="B75" s="612"/>
      <c r="C75" s="612"/>
      <c r="D75" s="612"/>
      <c r="E75" s="612"/>
      <c r="F75" s="612"/>
      <c r="G75" s="612"/>
      <c r="H75" s="612"/>
      <c r="I75" s="612"/>
      <c r="J75" s="612"/>
      <c r="K75" s="612"/>
      <c r="L75" s="612"/>
      <c r="M75" s="612"/>
      <c r="N75" s="612"/>
      <c r="O75" s="612"/>
      <c r="P75" s="612"/>
      <c r="Q75" s="612"/>
      <c r="R75" s="612"/>
    </row>
    <row r="76" spans="2:20" ht="12" customHeight="1" x14ac:dyDescent="0.2">
      <c r="B76" s="612"/>
      <c r="C76" s="612"/>
      <c r="D76" s="612"/>
      <c r="E76" s="612"/>
      <c r="F76" s="612"/>
      <c r="G76" s="612"/>
      <c r="H76" s="1139"/>
      <c r="I76" s="1159"/>
      <c r="J76" s="1139"/>
      <c r="K76" s="1159"/>
      <c r="L76" s="1159"/>
      <c r="M76" s="612"/>
      <c r="N76" s="612"/>
      <c r="O76" s="612"/>
      <c r="P76" s="612"/>
      <c r="Q76" s="612"/>
      <c r="R76" s="612"/>
    </row>
    <row r="77" spans="2:20" ht="12" customHeight="1" x14ac:dyDescent="0.2">
      <c r="B77" s="612"/>
      <c r="C77" s="612"/>
      <c r="D77" s="612"/>
      <c r="E77" s="612"/>
      <c r="F77" s="612"/>
      <c r="G77" s="612"/>
      <c r="H77" s="612"/>
      <c r="I77" s="612"/>
      <c r="J77" s="612"/>
      <c r="K77" s="612"/>
      <c r="L77" s="612"/>
      <c r="M77" s="612"/>
      <c r="N77" s="612"/>
      <c r="O77" s="612"/>
      <c r="P77" s="612"/>
      <c r="Q77" s="612"/>
      <c r="R77" s="612"/>
    </row>
    <row r="78" spans="2:20" ht="12" customHeight="1" x14ac:dyDescent="0.2">
      <c r="B78" s="612"/>
      <c r="C78" s="1152"/>
      <c r="D78" s="1152"/>
      <c r="E78" s="1152"/>
      <c r="F78" s="1152"/>
      <c r="G78" s="1152"/>
      <c r="H78" s="1152"/>
      <c r="I78" s="1152"/>
      <c r="J78" s="1152"/>
      <c r="K78" s="1152"/>
      <c r="L78" s="1152"/>
      <c r="M78" s="612"/>
      <c r="N78" s="612"/>
      <c r="O78" s="612"/>
      <c r="P78" s="612"/>
      <c r="Q78" s="612"/>
      <c r="R78" s="612"/>
    </row>
    <row r="79" spans="2:20" ht="12" customHeight="1" x14ac:dyDescent="0.2">
      <c r="B79" s="612"/>
      <c r="C79" s="1152"/>
      <c r="D79" s="1152"/>
      <c r="E79" s="1152"/>
      <c r="F79" s="1152"/>
      <c r="G79" s="1152"/>
      <c r="H79" s="1152"/>
      <c r="I79" s="1152"/>
      <c r="J79" s="1152"/>
      <c r="K79" s="1152"/>
      <c r="L79" s="1152"/>
      <c r="M79" s="612"/>
      <c r="N79" s="612"/>
      <c r="O79" s="612"/>
      <c r="P79" s="612"/>
      <c r="Q79" s="612"/>
      <c r="R79" s="612"/>
    </row>
    <row r="80" spans="2:20" ht="8.1" customHeight="1" x14ac:dyDescent="0.2">
      <c r="B80" s="612"/>
      <c r="C80" s="612"/>
      <c r="D80" s="612"/>
      <c r="E80" s="612"/>
      <c r="F80" s="612"/>
      <c r="G80" s="612"/>
      <c r="H80" s="612"/>
      <c r="I80" s="612"/>
      <c r="J80" s="612"/>
      <c r="K80" s="612"/>
      <c r="L80" s="612"/>
      <c r="M80" s="612"/>
      <c r="N80" s="612"/>
      <c r="O80" s="612"/>
      <c r="P80" s="612"/>
      <c r="Q80" s="612"/>
      <c r="R80" s="612"/>
    </row>
    <row r="81" spans="1:18" ht="12" customHeight="1" x14ac:dyDescent="0.2">
      <c r="C81" s="612"/>
      <c r="D81" s="612"/>
      <c r="E81" s="612"/>
      <c r="F81" s="612"/>
      <c r="G81" s="612"/>
      <c r="H81" s="612"/>
      <c r="I81" s="612"/>
      <c r="J81" s="612"/>
      <c r="K81" s="612"/>
      <c r="L81" s="612"/>
      <c r="M81" s="612"/>
      <c r="N81" s="612"/>
      <c r="O81" s="612"/>
      <c r="P81" s="612"/>
      <c r="Q81" s="612"/>
      <c r="R81" s="612"/>
    </row>
    <row r="82" spans="1:18" ht="12" customHeight="1" x14ac:dyDescent="0.2">
      <c r="B82" s="612"/>
      <c r="C82" s="612"/>
      <c r="D82" s="612"/>
      <c r="E82" s="612"/>
      <c r="F82" s="612"/>
      <c r="G82" s="612"/>
      <c r="H82" s="612"/>
      <c r="I82" s="612"/>
      <c r="J82" s="612"/>
      <c r="K82" s="612"/>
      <c r="L82" s="612"/>
      <c r="M82" s="612"/>
      <c r="N82" s="612"/>
      <c r="O82" s="612"/>
      <c r="P82" s="612"/>
      <c r="Q82" s="612"/>
      <c r="R82" s="612"/>
    </row>
    <row r="83" spans="1:18" ht="12" customHeight="1" x14ac:dyDescent="0.2">
      <c r="B83" s="612"/>
      <c r="C83" s="612"/>
      <c r="D83" s="612"/>
      <c r="E83" s="612"/>
      <c r="F83" s="612"/>
      <c r="G83" s="612"/>
      <c r="H83" s="612"/>
      <c r="I83" s="612"/>
      <c r="J83" s="612"/>
      <c r="K83" s="612"/>
      <c r="L83" s="612"/>
      <c r="M83" s="612"/>
      <c r="N83" s="612"/>
      <c r="O83" s="612"/>
      <c r="P83" s="612"/>
      <c r="Q83" s="612"/>
      <c r="R83" s="612"/>
    </row>
    <row r="84" spans="1:18" ht="12" customHeight="1" x14ac:dyDescent="0.2">
      <c r="B84" s="612"/>
      <c r="C84" s="612"/>
      <c r="D84" s="612"/>
      <c r="E84" s="612"/>
      <c r="F84" s="612"/>
      <c r="G84" s="612"/>
      <c r="H84" s="1139"/>
      <c r="I84" s="1159"/>
      <c r="J84" s="1139"/>
      <c r="K84" s="888"/>
      <c r="L84" s="888"/>
      <c r="M84" s="612"/>
      <c r="N84" s="612"/>
      <c r="O84" s="612"/>
      <c r="P84" s="612"/>
      <c r="Q84" s="612"/>
      <c r="R84" s="612"/>
    </row>
    <row r="85" spans="1:18" ht="12" customHeight="1" x14ac:dyDescent="0.2">
      <c r="B85" s="612"/>
      <c r="C85" s="612"/>
      <c r="D85" s="612"/>
      <c r="E85" s="612"/>
      <c r="F85" s="1158"/>
      <c r="G85" s="888"/>
      <c r="H85" s="1139"/>
      <c r="I85" s="1159"/>
      <c r="J85" s="1139"/>
      <c r="K85" s="888"/>
      <c r="L85" s="888"/>
      <c r="M85" s="612"/>
      <c r="N85" s="612"/>
      <c r="O85" s="612"/>
      <c r="P85" s="612"/>
      <c r="Q85" s="612"/>
      <c r="R85" s="612"/>
    </row>
    <row r="86" spans="1:18" ht="8.1" customHeight="1" x14ac:dyDescent="0.2">
      <c r="C86" s="612"/>
      <c r="D86" s="612"/>
      <c r="E86" s="612"/>
      <c r="F86" s="612"/>
      <c r="G86" s="612"/>
      <c r="H86" s="612"/>
      <c r="I86" s="612"/>
      <c r="J86" s="612"/>
      <c r="K86" s="612"/>
      <c r="L86" s="612"/>
      <c r="M86" s="612"/>
      <c r="N86" s="612"/>
      <c r="O86" s="612"/>
      <c r="P86" s="612"/>
      <c r="Q86" s="612"/>
      <c r="R86" s="612"/>
    </row>
    <row r="87" spans="1:18" ht="12" customHeight="1" x14ac:dyDescent="0.2">
      <c r="B87" s="611"/>
      <c r="C87" s="612"/>
      <c r="D87" s="612"/>
      <c r="E87" s="612"/>
      <c r="F87" s="612"/>
      <c r="G87" s="612"/>
      <c r="H87" s="612"/>
      <c r="I87" s="612"/>
      <c r="J87" s="612"/>
      <c r="K87" s="612"/>
      <c r="L87" s="612"/>
      <c r="M87" s="612"/>
      <c r="N87" s="612"/>
      <c r="O87" s="612"/>
      <c r="P87" s="612"/>
      <c r="Q87" s="612"/>
      <c r="R87" s="612"/>
    </row>
    <row r="88" spans="1:18" x14ac:dyDescent="0.2">
      <c r="C88" s="612"/>
      <c r="D88" s="612"/>
      <c r="E88" s="612"/>
      <c r="F88" s="612"/>
      <c r="G88" s="612"/>
      <c r="H88" s="1139"/>
      <c r="I88" s="1159"/>
      <c r="J88" s="1139"/>
      <c r="K88" s="888"/>
      <c r="L88" s="888"/>
      <c r="M88" s="612"/>
      <c r="N88" s="612"/>
      <c r="O88" s="612"/>
      <c r="P88" s="612"/>
      <c r="Q88" s="612"/>
      <c r="R88" s="612"/>
    </row>
    <row r="89" spans="1:18" x14ac:dyDescent="0.2">
      <c r="C89" s="612"/>
      <c r="D89" s="612"/>
      <c r="E89" s="612"/>
      <c r="F89" s="612"/>
      <c r="G89" s="612"/>
      <c r="H89" s="1139"/>
      <c r="I89" s="1159"/>
      <c r="J89" s="1139"/>
      <c r="K89" s="888"/>
      <c r="L89" s="888"/>
      <c r="M89" s="612"/>
      <c r="N89" s="612"/>
      <c r="O89" s="612"/>
      <c r="P89" s="612"/>
      <c r="Q89" s="612"/>
      <c r="R89" s="612"/>
    </row>
    <row r="90" spans="1:18" ht="16.5" customHeight="1" x14ac:dyDescent="0.2">
      <c r="C90" s="612"/>
      <c r="D90" s="612"/>
      <c r="E90" s="612"/>
      <c r="F90" s="1152"/>
      <c r="G90" s="1152"/>
      <c r="H90" s="1152"/>
      <c r="I90" s="1152"/>
      <c r="J90" s="1152"/>
      <c r="K90" s="1152"/>
      <c r="L90" s="1152"/>
      <c r="M90" s="612"/>
      <c r="N90" s="612"/>
      <c r="O90" s="612"/>
      <c r="P90" s="612"/>
      <c r="Q90" s="612"/>
      <c r="R90" s="612"/>
    </row>
    <row r="91" spans="1:18" x14ac:dyDescent="0.2">
      <c r="C91" s="612"/>
      <c r="D91" s="612"/>
      <c r="E91" s="612"/>
      <c r="F91" s="612"/>
      <c r="G91" s="612"/>
      <c r="H91" s="612"/>
      <c r="I91" s="612"/>
      <c r="J91" s="612"/>
      <c r="K91" s="612"/>
      <c r="L91" s="612"/>
      <c r="M91" s="612"/>
      <c r="N91" s="612"/>
      <c r="O91" s="612"/>
      <c r="P91" s="612"/>
      <c r="Q91" s="612"/>
      <c r="R91" s="612"/>
    </row>
    <row r="92" spans="1:18" x14ac:dyDescent="0.2">
      <c r="C92" s="612"/>
      <c r="D92" s="612"/>
      <c r="E92" s="612"/>
      <c r="F92" s="612"/>
      <c r="G92" s="612"/>
      <c r="H92" s="612"/>
      <c r="I92" s="612"/>
      <c r="J92" s="612"/>
      <c r="K92" s="612"/>
      <c r="L92" s="612"/>
      <c r="M92" s="612"/>
      <c r="N92" s="612"/>
      <c r="O92" s="612"/>
      <c r="P92" s="612"/>
      <c r="Q92" s="612"/>
      <c r="R92" s="612"/>
    </row>
    <row r="93" spans="1:18" x14ac:dyDescent="0.2">
      <c r="C93" s="612"/>
      <c r="D93" s="612"/>
      <c r="E93" s="612"/>
      <c r="F93" s="612"/>
      <c r="G93" s="612"/>
      <c r="H93" s="612"/>
      <c r="I93" s="612"/>
      <c r="J93" s="612"/>
      <c r="K93" s="612"/>
      <c r="L93" s="612"/>
      <c r="M93" s="612"/>
      <c r="N93" s="612"/>
      <c r="O93" s="612"/>
      <c r="P93" s="612"/>
      <c r="Q93" s="612"/>
      <c r="R93" s="612"/>
    </row>
    <row r="94" spans="1:18" x14ac:dyDescent="0.2">
      <c r="A94" s="2365" t="s">
        <v>654</v>
      </c>
      <c r="B94" s="2365"/>
      <c r="O94" s="612"/>
      <c r="P94" s="612"/>
      <c r="Q94" s="612"/>
      <c r="R94" s="612"/>
    </row>
    <row r="95" spans="1:18" x14ac:dyDescent="0.2">
      <c r="A95" s="2365" t="s">
        <v>401</v>
      </c>
      <c r="B95" s="2365" t="s">
        <v>655</v>
      </c>
    </row>
    <row r="96" spans="1:18" x14ac:dyDescent="0.2">
      <c r="A96" s="2365" t="s">
        <v>402</v>
      </c>
      <c r="B96" s="2365" t="s">
        <v>655</v>
      </c>
    </row>
    <row r="97" spans="1:2" x14ac:dyDescent="0.2">
      <c r="A97" s="2365" t="s">
        <v>403</v>
      </c>
      <c r="B97" s="2365" t="s">
        <v>655</v>
      </c>
    </row>
    <row r="98" spans="1:2" x14ac:dyDescent="0.2">
      <c r="A98" s="2365" t="s">
        <v>404</v>
      </c>
      <c r="B98" s="2365" t="s">
        <v>655</v>
      </c>
    </row>
    <row r="99" spans="1:2" x14ac:dyDescent="0.2">
      <c r="A99" s="2365" t="s">
        <v>405</v>
      </c>
      <c r="B99" s="2365" t="s">
        <v>655</v>
      </c>
    </row>
    <row r="100" spans="1:2" x14ac:dyDescent="0.2">
      <c r="A100" s="2365" t="s">
        <v>406</v>
      </c>
      <c r="B100" s="2365" t="s">
        <v>655</v>
      </c>
    </row>
    <row r="101" spans="1:2" x14ac:dyDescent="0.2">
      <c r="A101" s="2365" t="s">
        <v>407</v>
      </c>
      <c r="B101" s="2365" t="s">
        <v>655</v>
      </c>
    </row>
    <row r="102" spans="1:2" x14ac:dyDescent="0.2">
      <c r="A102" s="2365" t="s">
        <v>408</v>
      </c>
      <c r="B102" s="2365" t="s">
        <v>655</v>
      </c>
    </row>
    <row r="103" spans="1:2" x14ac:dyDescent="0.2">
      <c r="A103" s="2365" t="s">
        <v>409</v>
      </c>
      <c r="B103" s="2365" t="s">
        <v>655</v>
      </c>
    </row>
    <row r="104" spans="1:2" x14ac:dyDescent="0.2">
      <c r="A104" s="2365" t="s">
        <v>410</v>
      </c>
      <c r="B104" s="2365" t="s">
        <v>655</v>
      </c>
    </row>
  </sheetData>
  <sheetProtection algorithmName="SHA-512" hashValue="t/C18vvL1YNRzqtUjhxU9GCVCm/62ODsvwztNmmAeCIH8zTT7A1dgoI6dqvFnDQDiEuyxFa5HeRYpyILbGWoqg==" saltValue="uVAGUKLgITKHhAoYrRcJGw==" spinCount="100000" sheet="1" autoFilter="0"/>
  <mergeCells count="9">
    <mergeCell ref="G20:I20"/>
    <mergeCell ref="C47:R47"/>
    <mergeCell ref="C72:Q72"/>
    <mergeCell ref="E18:M18"/>
    <mergeCell ref="S1:S3"/>
    <mergeCell ref="O7:Q7"/>
    <mergeCell ref="O8:Q8"/>
    <mergeCell ref="O9:Q9"/>
    <mergeCell ref="O10:Q10"/>
  </mergeCells>
  <conditionalFormatting sqref="S1:T3">
    <cfRule type="cellIs" dxfId="163" priority="13" stopIfTrue="1" operator="equal">
      <formula>"na"</formula>
    </cfRule>
  </conditionalFormatting>
  <conditionalFormatting sqref="T14">
    <cfRule type="containsText" dxfId="162" priority="11" stopIfTrue="1" operator="containsText" text="Answer Missing">
      <formula>NOT(ISERROR(SEARCH("Answer Missing",T14)))</formula>
    </cfRule>
  </conditionalFormatting>
  <conditionalFormatting sqref="T23">
    <cfRule type="containsText" dxfId="161" priority="1" stopIfTrue="1" operator="containsText" text="Answer Missing">
      <formula>NOT(ISERROR(SEARCH("Answer Missing",T23)))</formula>
    </cfRule>
  </conditionalFormatting>
  <conditionalFormatting sqref="T28">
    <cfRule type="containsText" dxfId="160" priority="12" stopIfTrue="1" operator="containsText" text="Answer Missing">
      <formula>NOT(ISERROR(SEARCH("Answer Missing",T28)))</formula>
    </cfRule>
  </conditionalFormatting>
  <conditionalFormatting sqref="T44">
    <cfRule type="containsText" dxfId="159" priority="9" stopIfTrue="1" operator="containsText" text="Answer Missing">
      <formula>NOT(ISERROR(SEARCH("Answer Missing",T44)))</formula>
    </cfRule>
  </conditionalFormatting>
  <conditionalFormatting sqref="T49">
    <cfRule type="containsText" dxfId="158" priority="7" stopIfTrue="1" operator="containsText" text="Answer Missing">
      <formula>NOT(ISERROR(SEARCH("Answer Missing",T49)))</formula>
    </cfRule>
  </conditionalFormatting>
  <conditionalFormatting sqref="T57">
    <cfRule type="containsText" dxfId="157" priority="8" stopIfTrue="1" operator="containsText" text="Answer Missing">
      <formula>NOT(ISERROR(SEARCH("Answer Missing",T57)))</formula>
    </cfRule>
  </conditionalFormatting>
  <conditionalFormatting sqref="T69">
    <cfRule type="containsText" dxfId="156" priority="4" stopIfTrue="1" operator="containsText" text="Answer Missing">
      <formula>NOT(ISERROR(SEARCH("Answer Missing",T69)))</formula>
    </cfRule>
  </conditionalFormatting>
  <hyperlinks>
    <hyperlink ref="B1:K1" location="Index!A1" display="Index!A1" xr:uid="{32D944AE-01DD-4ED4-B58F-552F3BBB9C6A}"/>
  </hyperlinks>
  <pageMargins left="0.6" right="0.6" top="0.5" bottom="0.5" header="0.3" footer="0.3"/>
  <pageSetup scale="78" fitToHeight="0" orientation="portrait" r:id="rId1"/>
  <ignoredErrors>
    <ignoredError sqref="M41 O34" unlockedFormula="1"/>
  </ignoredError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2">
    <tabColor rgb="FFFFFF00"/>
  </sheetPr>
  <dimension ref="A1:D206"/>
  <sheetViews>
    <sheetView zoomScaleNormal="100" workbookViewId="0">
      <selection activeCell="C69" sqref="C69"/>
    </sheetView>
  </sheetViews>
  <sheetFormatPr defaultRowHeight="12.75" x14ac:dyDescent="0.2"/>
  <cols>
    <col min="1" max="1" width="42.5703125" bestFit="1" customWidth="1"/>
    <col min="3" max="3" width="47.42578125" bestFit="1" customWidth="1"/>
    <col min="4" max="4" width="14" bestFit="1" customWidth="1"/>
  </cols>
  <sheetData>
    <row r="1" spans="1:4" ht="15.75" x14ac:dyDescent="0.25">
      <c r="B1" s="581"/>
      <c r="C1" s="697" t="s">
        <v>0</v>
      </c>
      <c r="D1" s="580"/>
    </row>
    <row r="2" spans="1:4" ht="31.5" x14ac:dyDescent="0.25">
      <c r="B2" s="582" t="s">
        <v>4974</v>
      </c>
      <c r="C2" s="583" t="s">
        <v>4975</v>
      </c>
      <c r="D2" s="584" t="s">
        <v>4976</v>
      </c>
    </row>
    <row r="3" spans="1:4" ht="15.75" x14ac:dyDescent="0.25">
      <c r="A3" t="str">
        <f>CONCATENATE(B3," ",C3)</f>
        <v>01 North Carolina General Assembly</v>
      </c>
      <c r="B3" s="1184" t="s">
        <v>4977</v>
      </c>
      <c r="C3" s="450" t="s">
        <v>1862</v>
      </c>
      <c r="D3" s="450" t="s">
        <v>4978</v>
      </c>
    </row>
    <row r="4" spans="1:4" ht="15.75" x14ac:dyDescent="0.25">
      <c r="A4" t="str">
        <f t="shared" ref="A4:A66" si="0">CONCATENATE(B4," ",C4)</f>
        <v>02 Administrative Office of the Courts</v>
      </c>
      <c r="B4" s="1184" t="s">
        <v>4979</v>
      </c>
      <c r="C4" s="450" t="s">
        <v>468</v>
      </c>
      <c r="D4" s="450" t="s">
        <v>4978</v>
      </c>
    </row>
    <row r="5" spans="1:4" ht="15.75" x14ac:dyDescent="0.25">
      <c r="A5" t="str">
        <f t="shared" si="0"/>
        <v>03 Office of the Governor</v>
      </c>
      <c r="B5" s="1184" t="s">
        <v>4980</v>
      </c>
      <c r="C5" s="450" t="s">
        <v>4981</v>
      </c>
      <c r="D5" s="450" t="s">
        <v>4978</v>
      </c>
    </row>
    <row r="6" spans="1:4" ht="15.75" x14ac:dyDescent="0.25">
      <c r="A6" t="str">
        <f t="shared" si="0"/>
        <v>04 Office of Lieutenant Governor</v>
      </c>
      <c r="B6" s="1184" t="s">
        <v>4982</v>
      </c>
      <c r="C6" s="450" t="s">
        <v>4983</v>
      </c>
      <c r="D6" s="450" t="s">
        <v>4978</v>
      </c>
    </row>
    <row r="7" spans="1:4" ht="15.75" x14ac:dyDescent="0.25">
      <c r="A7" t="str">
        <f t="shared" si="0"/>
        <v>05 Office of the Secretary of State</v>
      </c>
      <c r="B7" s="1184" t="s">
        <v>4984</v>
      </c>
      <c r="C7" s="450" t="s">
        <v>4985</v>
      </c>
      <c r="D7" s="450" t="s">
        <v>4978</v>
      </c>
    </row>
    <row r="8" spans="1:4" ht="15.75" x14ac:dyDescent="0.25">
      <c r="A8" t="str">
        <f t="shared" si="0"/>
        <v>06 Office of the State Auditor</v>
      </c>
      <c r="B8" s="1184" t="s">
        <v>4986</v>
      </c>
      <c r="C8" s="450" t="s">
        <v>4987</v>
      </c>
      <c r="D8" s="450" t="s">
        <v>4978</v>
      </c>
    </row>
    <row r="9" spans="1:4" ht="15.75" x14ac:dyDescent="0.25">
      <c r="A9" t="str">
        <f t="shared" si="0"/>
        <v xml:space="preserve">07 Department of the State Treasurer </v>
      </c>
      <c r="B9" s="1184" t="s">
        <v>4988</v>
      </c>
      <c r="C9" s="450" t="s">
        <v>4989</v>
      </c>
      <c r="D9" s="450" t="s">
        <v>4978</v>
      </c>
    </row>
    <row r="10" spans="1:4" ht="15.75" x14ac:dyDescent="0.25">
      <c r="A10" t="str">
        <f>CONCATENATE(B10," ",C10)</f>
        <v>07 Dept. State Treasurer - State Health Plan</v>
      </c>
      <c r="B10" s="1184" t="s">
        <v>4988</v>
      </c>
      <c r="C10" s="450" t="s">
        <v>4990</v>
      </c>
      <c r="D10" s="450" t="s">
        <v>4991</v>
      </c>
    </row>
    <row r="11" spans="1:4" ht="15.75" x14ac:dyDescent="0.25">
      <c r="A11" t="str">
        <f t="shared" si="0"/>
        <v xml:space="preserve">08 Department of Public Instruction </v>
      </c>
      <c r="B11" s="1184" t="s">
        <v>4992</v>
      </c>
      <c r="C11" s="450" t="s">
        <v>4993</v>
      </c>
      <c r="D11" s="450" t="s">
        <v>4978</v>
      </c>
    </row>
    <row r="12" spans="1:4" ht="15.75" x14ac:dyDescent="0.25">
      <c r="A12" t="str">
        <f t="shared" si="0"/>
        <v xml:space="preserve">09 Department of Justice </v>
      </c>
      <c r="B12" s="1184" t="s">
        <v>4994</v>
      </c>
      <c r="C12" s="450" t="s">
        <v>4995</v>
      </c>
      <c r="D12" s="450" t="s">
        <v>4978</v>
      </c>
    </row>
    <row r="13" spans="1:4" ht="15.75" x14ac:dyDescent="0.25">
      <c r="A13" t="str">
        <f t="shared" si="0"/>
        <v>10 Department of Agriculture</v>
      </c>
      <c r="B13" s="1184" t="s">
        <v>4996</v>
      </c>
      <c r="C13" s="450" t="s">
        <v>4997</v>
      </c>
      <c r="D13" s="450" t="s">
        <v>4978</v>
      </c>
    </row>
    <row r="14" spans="1:4" ht="15.75" x14ac:dyDescent="0.25">
      <c r="A14" t="str">
        <f t="shared" si="0"/>
        <v>11 Department of Labor</v>
      </c>
      <c r="B14" s="1184" t="s">
        <v>4998</v>
      </c>
      <c r="C14" s="450" t="s">
        <v>4999</v>
      </c>
      <c r="D14" s="450" t="s">
        <v>4978</v>
      </c>
    </row>
    <row r="15" spans="1:4" ht="15.75" x14ac:dyDescent="0.25">
      <c r="A15" t="str">
        <f t="shared" si="0"/>
        <v xml:space="preserve">12 Department of Insurance </v>
      </c>
      <c r="B15" s="1184" t="s">
        <v>5000</v>
      </c>
      <c r="C15" s="450" t="s">
        <v>5001</v>
      </c>
      <c r="D15" s="450" t="s">
        <v>4978</v>
      </c>
    </row>
    <row r="16" spans="1:4" ht="15.75" x14ac:dyDescent="0.25">
      <c r="A16" t="str">
        <f t="shared" si="0"/>
        <v xml:space="preserve">13 Department of Administration </v>
      </c>
      <c r="B16" s="1184" t="s">
        <v>5002</v>
      </c>
      <c r="C16" s="450" t="s">
        <v>5003</v>
      </c>
      <c r="D16" s="450" t="s">
        <v>4978</v>
      </c>
    </row>
    <row r="17" spans="1:4" ht="15.75" x14ac:dyDescent="0.25">
      <c r="A17" t="str">
        <f t="shared" si="0"/>
        <v xml:space="preserve">14 Office of the State Controller </v>
      </c>
      <c r="B17" s="1184" t="s">
        <v>5004</v>
      </c>
      <c r="C17" s="450" t="s">
        <v>5005</v>
      </c>
      <c r="D17" s="450" t="s">
        <v>4978</v>
      </c>
    </row>
    <row r="18" spans="1:4" ht="15.75" x14ac:dyDescent="0.25">
      <c r="A18" t="str">
        <f t="shared" si="0"/>
        <v>15 Department of Transportation</v>
      </c>
      <c r="B18" s="1184" t="s">
        <v>5006</v>
      </c>
      <c r="C18" s="450" t="s">
        <v>836</v>
      </c>
      <c r="D18" s="450" t="s">
        <v>4978</v>
      </c>
    </row>
    <row r="19" spans="1:4" ht="15.75" x14ac:dyDescent="0.25">
      <c r="A19" t="str">
        <f t="shared" si="0"/>
        <v>16 Department of Environmental Quality</v>
      </c>
      <c r="B19" s="1184" t="s">
        <v>5007</v>
      </c>
      <c r="C19" s="450" t="s">
        <v>428</v>
      </c>
      <c r="D19" s="450" t="s">
        <v>4978</v>
      </c>
    </row>
    <row r="20" spans="1:4" ht="15.75" x14ac:dyDescent="0.25">
      <c r="A20" t="str">
        <f t="shared" si="0"/>
        <v>17 Wildlife Resources Commission</v>
      </c>
      <c r="B20" s="1184" t="s">
        <v>5008</v>
      </c>
      <c r="C20" s="450" t="s">
        <v>442</v>
      </c>
      <c r="D20" s="450" t="s">
        <v>4978</v>
      </c>
    </row>
    <row r="21" spans="1:4" ht="15.75" x14ac:dyDescent="0.25">
      <c r="A21" t="str">
        <f t="shared" si="0"/>
        <v>19 Dept. of Public Safety</v>
      </c>
      <c r="B21" s="1184" t="s">
        <v>5009</v>
      </c>
      <c r="C21" s="450" t="s">
        <v>5010</v>
      </c>
      <c r="D21" s="450" t="s">
        <v>4978</v>
      </c>
    </row>
    <row r="22" spans="1:4" ht="15.75" x14ac:dyDescent="0.25">
      <c r="A22" t="str">
        <f t="shared" si="0"/>
        <v>2X Dept. of Health and Human Services</v>
      </c>
      <c r="B22" s="1184" t="s">
        <v>5011</v>
      </c>
      <c r="C22" s="450" t="s">
        <v>5012</v>
      </c>
      <c r="D22" s="450" t="s">
        <v>4978</v>
      </c>
    </row>
    <row r="23" spans="1:4" ht="15.75" x14ac:dyDescent="0.25">
      <c r="A23" t="str">
        <f t="shared" si="0"/>
        <v>3X DHHS - Mental Health</v>
      </c>
      <c r="B23" s="1184" t="s">
        <v>5013</v>
      </c>
      <c r="C23" s="450" t="s">
        <v>5014</v>
      </c>
      <c r="D23" s="450" t="s">
        <v>4978</v>
      </c>
    </row>
    <row r="24" spans="1:4" ht="15.75" x14ac:dyDescent="0.25">
      <c r="A24" t="str">
        <f t="shared" si="0"/>
        <v>40 Department of Military &amp; Veterans Affairs</v>
      </c>
      <c r="B24" s="1184" t="s">
        <v>5015</v>
      </c>
      <c r="C24" s="450" t="s">
        <v>5016</v>
      </c>
      <c r="D24" s="450" t="s">
        <v>4978</v>
      </c>
    </row>
    <row r="25" spans="1:4" ht="15.75" x14ac:dyDescent="0.25">
      <c r="A25" t="str">
        <f t="shared" si="0"/>
        <v>41 Department of Information Technology</v>
      </c>
      <c r="B25" s="1184" t="s">
        <v>5017</v>
      </c>
      <c r="C25" s="450" t="s">
        <v>5018</v>
      </c>
      <c r="D25" s="450" t="s">
        <v>4978</v>
      </c>
    </row>
    <row r="26" spans="1:4" ht="15.75" x14ac:dyDescent="0.25">
      <c r="A26" t="str">
        <f t="shared" si="0"/>
        <v>43 Department of Commerce</v>
      </c>
      <c r="B26" s="1184" t="s">
        <v>5019</v>
      </c>
      <c r="C26" s="450" t="s">
        <v>5020</v>
      </c>
      <c r="D26" s="450" t="s">
        <v>4978</v>
      </c>
    </row>
    <row r="27" spans="1:4" ht="15.75" x14ac:dyDescent="0.25">
      <c r="A27" t="str">
        <f t="shared" si="0"/>
        <v>45 Department of Revenue</v>
      </c>
      <c r="B27" s="1184" t="s">
        <v>5021</v>
      </c>
      <c r="C27" s="450" t="s">
        <v>417</v>
      </c>
      <c r="D27" s="450" t="s">
        <v>4978</v>
      </c>
    </row>
    <row r="28" spans="1:4" ht="15.75" x14ac:dyDescent="0.25">
      <c r="A28" t="str">
        <f t="shared" si="0"/>
        <v>46 Department of Natural and Cultural Resources</v>
      </c>
      <c r="B28" s="1184" t="s">
        <v>5022</v>
      </c>
      <c r="C28" s="450" t="s">
        <v>432</v>
      </c>
      <c r="D28" s="450" t="s">
        <v>4978</v>
      </c>
    </row>
    <row r="29" spans="1:4" ht="15.75" x14ac:dyDescent="0.25">
      <c r="A29" t="str">
        <f t="shared" si="0"/>
        <v>48X UNC Hlth Care Rep Unit (Combined Pkg)</v>
      </c>
      <c r="B29" s="1184" t="s">
        <v>4634</v>
      </c>
      <c r="C29" s="529" t="s">
        <v>5023</v>
      </c>
      <c r="D29" s="450" t="s">
        <v>5024</v>
      </c>
    </row>
    <row r="30" spans="1:4" ht="15.75" x14ac:dyDescent="0.25">
      <c r="A30" t="str">
        <f t="shared" si="0"/>
        <v>48 UNC Hospitals</v>
      </c>
      <c r="B30" s="1184" t="s">
        <v>4636</v>
      </c>
      <c r="C30" s="450" t="s">
        <v>4660</v>
      </c>
      <c r="D30" s="450" t="s">
        <v>5024</v>
      </c>
    </row>
    <row r="31" spans="1:4" ht="15.75" x14ac:dyDescent="0.25">
      <c r="A31" t="str">
        <f t="shared" si="0"/>
        <v>48E UNC Hospitals - Enterprise Fund</v>
      </c>
      <c r="B31" s="1184" t="s">
        <v>4637</v>
      </c>
      <c r="C31" s="450" t="s">
        <v>5025</v>
      </c>
      <c r="D31" s="450" t="s">
        <v>5024</v>
      </c>
    </row>
    <row r="32" spans="1:4" ht="15.75" x14ac:dyDescent="0.25">
      <c r="A32" t="str">
        <f t="shared" si="0"/>
        <v>48L UNC Hospitals - LITF</v>
      </c>
      <c r="B32" s="1184" t="s">
        <v>4638</v>
      </c>
      <c r="C32" s="450" t="s">
        <v>5026</v>
      </c>
      <c r="D32" s="450" t="s">
        <v>5024</v>
      </c>
    </row>
    <row r="33" spans="1:4" ht="15.75" x14ac:dyDescent="0.25">
      <c r="A33" t="str">
        <f t="shared" si="0"/>
        <v>48R Rex Healthcare</v>
      </c>
      <c r="B33" s="1184" t="s">
        <v>4639</v>
      </c>
      <c r="C33" s="450" t="s">
        <v>5027</v>
      </c>
      <c r="D33" s="450" t="s">
        <v>5024</v>
      </c>
    </row>
    <row r="34" spans="1:4" ht="15.75" x14ac:dyDescent="0.25">
      <c r="A34" t="str">
        <f t="shared" si="0"/>
        <v>48C Chatham Hospital</v>
      </c>
      <c r="B34" s="1184" t="s">
        <v>4640</v>
      </c>
      <c r="C34" s="450" t="s">
        <v>5028</v>
      </c>
      <c r="D34" s="450" t="s">
        <v>5024</v>
      </c>
    </row>
    <row r="35" spans="1:4" ht="15.75" x14ac:dyDescent="0.25">
      <c r="A35" t="str">
        <f t="shared" si="0"/>
        <v>48T UNC Physicians Network</v>
      </c>
      <c r="B35" s="1184" t="s">
        <v>4641</v>
      </c>
      <c r="C35" s="450" t="s">
        <v>5029</v>
      </c>
      <c r="D35" s="450" t="s">
        <v>5024</v>
      </c>
    </row>
    <row r="36" spans="1:4" ht="15.75" x14ac:dyDescent="0.25">
      <c r="A36" t="str">
        <f t="shared" si="0"/>
        <v>48RH UNC Rockingham Health Care</v>
      </c>
      <c r="B36" s="1184" t="s">
        <v>4642</v>
      </c>
      <c r="C36" s="450" t="s">
        <v>5030</v>
      </c>
      <c r="D36" s="450" t="s">
        <v>5024</v>
      </c>
    </row>
    <row r="37" spans="1:4" ht="15.75" x14ac:dyDescent="0.25">
      <c r="A37" t="str">
        <f t="shared" si="0"/>
        <v>48CW Caldwell Memorial Hospital</v>
      </c>
      <c r="B37" s="1184" t="s">
        <v>4643</v>
      </c>
      <c r="C37" s="450" t="s">
        <v>5031</v>
      </c>
      <c r="D37" s="450" t="s">
        <v>5024</v>
      </c>
    </row>
    <row r="38" spans="1:4" ht="15.75" x14ac:dyDescent="0.25">
      <c r="A38" t="s">
        <v>5032</v>
      </c>
      <c r="B38" s="1184" t="s">
        <v>5033</v>
      </c>
      <c r="C38" s="450" t="s">
        <v>833</v>
      </c>
      <c r="D38" s="450" t="s">
        <v>4978</v>
      </c>
    </row>
    <row r="39" spans="1:4" ht="15.75" x14ac:dyDescent="0.25">
      <c r="A39" t="str">
        <f t="shared" si="0"/>
        <v>50 Community College System Office</v>
      </c>
      <c r="B39" s="1184" t="s">
        <v>5034</v>
      </c>
      <c r="C39" s="450" t="s">
        <v>457</v>
      </c>
      <c r="D39" s="450" t="s">
        <v>4978</v>
      </c>
    </row>
    <row r="40" spans="1:4" ht="15.75" x14ac:dyDescent="0.25">
      <c r="A40" t="s">
        <v>5035</v>
      </c>
      <c r="B40" s="1184" t="s">
        <v>5036</v>
      </c>
      <c r="C40" s="450" t="s">
        <v>5037</v>
      </c>
      <c r="D40" s="450" t="s">
        <v>4978</v>
      </c>
    </row>
    <row r="41" spans="1:4" ht="15.75" x14ac:dyDescent="0.25">
      <c r="A41" t="str">
        <f t="shared" si="0"/>
        <v>60 State Board of Elections</v>
      </c>
      <c r="B41" s="1184" t="s">
        <v>5038</v>
      </c>
      <c r="C41" s="450" t="s">
        <v>5039</v>
      </c>
      <c r="D41" s="450" t="s">
        <v>4978</v>
      </c>
    </row>
    <row r="42" spans="1:4" ht="15.75" x14ac:dyDescent="0.25">
      <c r="A42" t="str">
        <f t="shared" si="0"/>
        <v>61 NC Education Lottery</v>
      </c>
      <c r="B42" s="1184" t="s">
        <v>5040</v>
      </c>
      <c r="C42" s="450" t="s">
        <v>5041</v>
      </c>
      <c r="D42" s="450" t="s">
        <v>4978</v>
      </c>
    </row>
    <row r="43" spans="1:4" ht="15.75" x14ac:dyDescent="0.25">
      <c r="A43" t="str">
        <f t="shared" si="0"/>
        <v>67 Office of Administrative Hearings</v>
      </c>
      <c r="B43" s="1184" t="s">
        <v>5042</v>
      </c>
      <c r="C43" s="450" t="s">
        <v>5043</v>
      </c>
      <c r="D43" s="450" t="s">
        <v>4978</v>
      </c>
    </row>
    <row r="44" spans="1:4" ht="15.75" x14ac:dyDescent="0.25">
      <c r="A44" t="str">
        <f t="shared" si="0"/>
        <v>69 USS North Carolina Battleship Comm.</v>
      </c>
      <c r="B44" s="1184" t="s">
        <v>5044</v>
      </c>
      <c r="C44" s="450" t="s">
        <v>5045</v>
      </c>
      <c r="D44" s="450" t="s">
        <v>4978</v>
      </c>
    </row>
    <row r="45" spans="1:4" ht="15.75" x14ac:dyDescent="0.25">
      <c r="A45" t="str">
        <f t="shared" si="0"/>
        <v>6BC Deferred Comp &amp; NC 401(k)-Combined Pkg</v>
      </c>
      <c r="B45" s="1184" t="s">
        <v>4754</v>
      </c>
      <c r="C45" s="529" t="s">
        <v>5046</v>
      </c>
      <c r="D45" s="450" t="s">
        <v>4978</v>
      </c>
    </row>
    <row r="46" spans="1:4" ht="15.75" x14ac:dyDescent="0.25">
      <c r="A46" t="str">
        <f t="shared" si="0"/>
        <v>87 NC School of Science &amp; Mathematics</v>
      </c>
      <c r="B46" s="1184" t="s">
        <v>5047</v>
      </c>
      <c r="C46" s="450" t="s">
        <v>5048</v>
      </c>
      <c r="D46" s="450" t="s">
        <v>5024</v>
      </c>
    </row>
    <row r="47" spans="1:4" ht="15.75" x14ac:dyDescent="0.25">
      <c r="A47" t="str">
        <f t="shared" si="0"/>
        <v>90 General Fund - OSC</v>
      </c>
      <c r="B47" s="1184" t="s">
        <v>5049</v>
      </c>
      <c r="C47" s="450" t="s">
        <v>5050</v>
      </c>
      <c r="D47" s="450" t="s">
        <v>4978</v>
      </c>
    </row>
    <row r="48" spans="1:4" ht="15.75" x14ac:dyDescent="0.25">
      <c r="A48" t="str">
        <f t="shared" si="0"/>
        <v>99 General Fund - DOR</v>
      </c>
      <c r="B48" s="1184" t="s">
        <v>5051</v>
      </c>
      <c r="C48" s="450" t="s">
        <v>5052</v>
      </c>
      <c r="D48" s="450" t="s">
        <v>4978</v>
      </c>
    </row>
    <row r="49" spans="1:4" ht="15.75" x14ac:dyDescent="0.25">
      <c r="A49" t="str">
        <f t="shared" si="0"/>
        <v>RX OSC-Central Accounts</v>
      </c>
      <c r="B49" s="1184" t="s">
        <v>5053</v>
      </c>
      <c r="C49" s="450" t="s">
        <v>5054</v>
      </c>
      <c r="D49" s="450" t="s">
        <v>4978</v>
      </c>
    </row>
    <row r="50" spans="1:4" ht="15.75" x14ac:dyDescent="0.25">
      <c r="A50" t="str">
        <f t="shared" si="0"/>
        <v>U10 UNC-System Office</v>
      </c>
      <c r="B50" s="1184" t="s">
        <v>5055</v>
      </c>
      <c r="C50" s="450" t="s">
        <v>5056</v>
      </c>
      <c r="D50" s="450" t="s">
        <v>5024</v>
      </c>
    </row>
    <row r="51" spans="1:4" ht="15.75" x14ac:dyDescent="0.25">
      <c r="A51" t="str">
        <f t="shared" si="0"/>
        <v>U20 UNC at Chapel Hill</v>
      </c>
      <c r="B51" s="1184" t="s">
        <v>5057</v>
      </c>
      <c r="C51" s="450" t="s">
        <v>5058</v>
      </c>
      <c r="D51" s="450" t="s">
        <v>5024</v>
      </c>
    </row>
    <row r="52" spans="1:4" ht="15.75" x14ac:dyDescent="0.25">
      <c r="A52" t="str">
        <f t="shared" si="0"/>
        <v>U30 North Carolina State University</v>
      </c>
      <c r="B52" s="1184" t="s">
        <v>5059</v>
      </c>
      <c r="C52" s="450" t="s">
        <v>5060</v>
      </c>
      <c r="D52" s="450" t="s">
        <v>5024</v>
      </c>
    </row>
    <row r="53" spans="1:4" ht="15.75" x14ac:dyDescent="0.25">
      <c r="A53" t="str">
        <f t="shared" si="0"/>
        <v>U40 UNC at Greensboro</v>
      </c>
      <c r="B53" s="1184" t="s">
        <v>5061</v>
      </c>
      <c r="C53" s="450" t="s">
        <v>5062</v>
      </c>
      <c r="D53" s="450" t="s">
        <v>5024</v>
      </c>
    </row>
    <row r="54" spans="1:4" ht="15.75" x14ac:dyDescent="0.25">
      <c r="A54" t="str">
        <f t="shared" si="0"/>
        <v>U50 UNC at Charlotte</v>
      </c>
      <c r="B54" s="1184" t="s">
        <v>5063</v>
      </c>
      <c r="C54" s="450" t="s">
        <v>5064</v>
      </c>
      <c r="D54" s="450" t="s">
        <v>5024</v>
      </c>
    </row>
    <row r="55" spans="1:4" ht="15.75" x14ac:dyDescent="0.25">
      <c r="A55" t="str">
        <f t="shared" si="0"/>
        <v>U55 UNC at Asheville</v>
      </c>
      <c r="B55" s="1184" t="s">
        <v>5065</v>
      </c>
      <c r="C55" s="450" t="s">
        <v>5066</v>
      </c>
      <c r="D55" s="450" t="s">
        <v>5024</v>
      </c>
    </row>
    <row r="56" spans="1:4" ht="15.75" x14ac:dyDescent="0.25">
      <c r="A56" t="str">
        <f t="shared" si="0"/>
        <v>U60 UNC at Wilmington</v>
      </c>
      <c r="B56" s="1184" t="s">
        <v>5067</v>
      </c>
      <c r="C56" s="450" t="s">
        <v>5068</v>
      </c>
      <c r="D56" s="450" t="s">
        <v>5024</v>
      </c>
    </row>
    <row r="57" spans="1:4" ht="15.75" x14ac:dyDescent="0.25">
      <c r="A57" t="str">
        <f t="shared" si="0"/>
        <v>U65 East Carolina University</v>
      </c>
      <c r="B57" s="1184" t="s">
        <v>5069</v>
      </c>
      <c r="C57" s="450" t="s">
        <v>5070</v>
      </c>
      <c r="D57" s="450" t="s">
        <v>5024</v>
      </c>
    </row>
    <row r="58" spans="1:4" ht="15.75" x14ac:dyDescent="0.25">
      <c r="A58" t="str">
        <f t="shared" si="0"/>
        <v>U70 North Carolina A&amp;T University</v>
      </c>
      <c r="B58" s="1184" t="s">
        <v>5071</v>
      </c>
      <c r="C58" s="450" t="s">
        <v>5072</v>
      </c>
      <c r="D58" s="450" t="s">
        <v>5024</v>
      </c>
    </row>
    <row r="59" spans="1:4" ht="15.75" x14ac:dyDescent="0.25">
      <c r="A59" t="str">
        <f t="shared" si="0"/>
        <v>U75 Western Carolina University</v>
      </c>
      <c r="B59" s="1184" t="s">
        <v>5073</v>
      </c>
      <c r="C59" s="450" t="s">
        <v>5074</v>
      </c>
      <c r="D59" s="450" t="s">
        <v>5024</v>
      </c>
    </row>
    <row r="60" spans="1:4" ht="15.75" x14ac:dyDescent="0.25">
      <c r="A60" t="str">
        <f t="shared" si="0"/>
        <v>U80 Appalachian State University</v>
      </c>
      <c r="B60" s="1184" t="s">
        <v>5075</v>
      </c>
      <c r="C60" s="450" t="s">
        <v>5076</v>
      </c>
      <c r="D60" s="450" t="s">
        <v>5024</v>
      </c>
    </row>
    <row r="61" spans="1:4" ht="15.75" x14ac:dyDescent="0.25">
      <c r="A61" t="str">
        <f t="shared" si="0"/>
        <v>U82 UNC at Pembroke</v>
      </c>
      <c r="B61" s="1184" t="s">
        <v>5077</v>
      </c>
      <c r="C61" s="450" t="s">
        <v>5078</v>
      </c>
      <c r="D61" s="450" t="s">
        <v>5024</v>
      </c>
    </row>
    <row r="62" spans="1:4" ht="15.75" x14ac:dyDescent="0.25">
      <c r="A62" t="str">
        <f t="shared" si="0"/>
        <v>U84 Winston-Salem State University</v>
      </c>
      <c r="B62" s="1184" t="s">
        <v>5079</v>
      </c>
      <c r="C62" s="450" t="s">
        <v>5080</v>
      </c>
      <c r="D62" s="450" t="s">
        <v>5024</v>
      </c>
    </row>
    <row r="63" spans="1:4" ht="15.75" x14ac:dyDescent="0.25">
      <c r="A63" t="str">
        <f t="shared" si="0"/>
        <v>U86 Elizabeth City State University</v>
      </c>
      <c r="B63" s="1184" t="s">
        <v>5081</v>
      </c>
      <c r="C63" s="450" t="s">
        <v>5082</v>
      </c>
      <c r="D63" s="450" t="s">
        <v>5024</v>
      </c>
    </row>
    <row r="64" spans="1:4" ht="15.75" x14ac:dyDescent="0.25">
      <c r="A64" t="str">
        <f t="shared" si="0"/>
        <v>U88 Fayetteville State University</v>
      </c>
      <c r="B64" s="1184" t="s">
        <v>5083</v>
      </c>
      <c r="C64" s="450" t="s">
        <v>5084</v>
      </c>
      <c r="D64" s="450" t="s">
        <v>5024</v>
      </c>
    </row>
    <row r="65" spans="1:4" ht="15.75" x14ac:dyDescent="0.25">
      <c r="A65" t="str">
        <f t="shared" si="0"/>
        <v>U90 North Carolina Central University</v>
      </c>
      <c r="B65" s="1184" t="s">
        <v>5085</v>
      </c>
      <c r="C65" s="450" t="s">
        <v>5086</v>
      </c>
      <c r="D65" s="450" t="s">
        <v>5024</v>
      </c>
    </row>
    <row r="66" spans="1:4" ht="15.75" x14ac:dyDescent="0.25">
      <c r="A66" t="str">
        <f t="shared" si="0"/>
        <v>U92 UNC School of the Arts</v>
      </c>
      <c r="B66" s="1184" t="s">
        <v>5087</v>
      </c>
      <c r="C66" s="450" t="s">
        <v>5088</v>
      </c>
      <c r="D66" s="450" t="s">
        <v>5024</v>
      </c>
    </row>
    <row r="67" spans="1:4" ht="15.75" x14ac:dyDescent="0.25">
      <c r="A67" t="str">
        <f>CONCATENATE(B67," ",C67)</f>
        <v>ZL Gateway Research Park, Inc.</v>
      </c>
      <c r="B67" s="1184" t="s">
        <v>5089</v>
      </c>
      <c r="C67" s="450" t="s">
        <v>5090</v>
      </c>
      <c r="D67" s="450" t="s">
        <v>5024</v>
      </c>
    </row>
    <row r="68" spans="1:4" ht="15.75" x14ac:dyDescent="0.25">
      <c r="A68" t="str">
        <f>CONCATENATE(B68," ",C68)</f>
        <v>ZN Project Kitty Hawk</v>
      </c>
      <c r="B68" s="1184" t="s">
        <v>5091</v>
      </c>
      <c r="C68" s="450" t="s">
        <v>5092</v>
      </c>
      <c r="D68" s="450" t="s">
        <v>5024</v>
      </c>
    </row>
    <row r="69" spans="1:4" ht="15.75" x14ac:dyDescent="0.25">
      <c r="B69" s="1184"/>
      <c r="C69" s="450"/>
      <c r="D69" s="450"/>
    </row>
    <row r="71" spans="1:4" x14ac:dyDescent="0.2">
      <c r="A71" s="3134" t="s">
        <v>5093</v>
      </c>
      <c r="B71" s="3134"/>
      <c r="C71" s="3134"/>
      <c r="D71" s="3134"/>
    </row>
    <row r="73" spans="1:4" ht="15.75" x14ac:dyDescent="0.25">
      <c r="A73" s="1059" t="s">
        <v>5094</v>
      </c>
      <c r="B73" s="1045" t="s">
        <v>5095</v>
      </c>
      <c r="C73" s="1046" t="s">
        <v>1862</v>
      </c>
      <c r="D73" s="1046" t="s">
        <v>4978</v>
      </c>
    </row>
    <row r="74" spans="1:4" ht="15.75" x14ac:dyDescent="0.25">
      <c r="A74" s="1059" t="s">
        <v>5096</v>
      </c>
      <c r="B74" s="1045" t="s">
        <v>5097</v>
      </c>
      <c r="C74" s="1046" t="s">
        <v>468</v>
      </c>
      <c r="D74" s="1046" t="s">
        <v>4978</v>
      </c>
    </row>
    <row r="75" spans="1:4" ht="15.75" x14ac:dyDescent="0.25">
      <c r="A75" s="1047"/>
      <c r="B75" s="1045" t="s">
        <v>1879</v>
      </c>
      <c r="C75" s="1046" t="s">
        <v>4981</v>
      </c>
      <c r="D75" s="1046" t="s">
        <v>4978</v>
      </c>
    </row>
    <row r="76" spans="1:4" ht="15.75" x14ac:dyDescent="0.25">
      <c r="A76" s="1047"/>
      <c r="B76" s="1045" t="s">
        <v>5098</v>
      </c>
      <c r="C76" s="1046" t="s">
        <v>4983</v>
      </c>
      <c r="D76" s="1046" t="s">
        <v>4978</v>
      </c>
    </row>
    <row r="77" spans="1:4" ht="15.75" x14ac:dyDescent="0.25">
      <c r="A77" s="1047"/>
      <c r="B77" s="1045" t="s">
        <v>5099</v>
      </c>
      <c r="C77" s="1046" t="s">
        <v>4985</v>
      </c>
      <c r="D77" s="1046" t="s">
        <v>4978</v>
      </c>
    </row>
    <row r="78" spans="1:4" ht="15.75" x14ac:dyDescent="0.25">
      <c r="A78" s="1047"/>
      <c r="B78" s="1045" t="s">
        <v>5100</v>
      </c>
      <c r="C78" s="1046" t="s">
        <v>4987</v>
      </c>
      <c r="D78" s="1046" t="s">
        <v>4978</v>
      </c>
    </row>
    <row r="79" spans="1:4" ht="15.75" x14ac:dyDescent="0.25">
      <c r="A79" s="1047"/>
      <c r="B79" s="1045" t="s">
        <v>5101</v>
      </c>
      <c r="C79" s="1046" t="s">
        <v>4989</v>
      </c>
      <c r="D79" s="1046" t="s">
        <v>4978</v>
      </c>
    </row>
    <row r="80" spans="1:4" ht="15.75" x14ac:dyDescent="0.25">
      <c r="A80" s="1047"/>
      <c r="B80" s="1045" t="s">
        <v>5102</v>
      </c>
      <c r="C80" s="1046" t="s">
        <v>4993</v>
      </c>
      <c r="D80" s="1046" t="s">
        <v>4978</v>
      </c>
    </row>
    <row r="81" spans="1:4" ht="15.75" x14ac:dyDescent="0.25">
      <c r="A81" s="1047"/>
      <c r="B81" s="1045" t="s">
        <v>5103</v>
      </c>
      <c r="C81" s="1046" t="s">
        <v>4995</v>
      </c>
      <c r="D81" s="1046" t="s">
        <v>4978</v>
      </c>
    </row>
    <row r="82" spans="1:4" ht="15.75" x14ac:dyDescent="0.25">
      <c r="A82" s="1047"/>
      <c r="B82" s="1045" t="s">
        <v>5104</v>
      </c>
      <c r="C82" s="1046" t="s">
        <v>4997</v>
      </c>
      <c r="D82" s="1046" t="s">
        <v>4978</v>
      </c>
    </row>
    <row r="83" spans="1:4" ht="15.75" x14ac:dyDescent="0.25">
      <c r="A83" s="1047"/>
      <c r="B83" s="1045" t="s">
        <v>5105</v>
      </c>
      <c r="C83" s="1046" t="s">
        <v>4999</v>
      </c>
      <c r="D83" s="1046" t="s">
        <v>4978</v>
      </c>
    </row>
    <row r="84" spans="1:4" ht="15.75" x14ac:dyDescent="0.25">
      <c r="A84" s="1047"/>
      <c r="B84" s="1045" t="s">
        <v>5106</v>
      </c>
      <c r="C84" s="1046" t="s">
        <v>5001</v>
      </c>
      <c r="D84" s="1046" t="s">
        <v>4978</v>
      </c>
    </row>
    <row r="85" spans="1:4" ht="15.75" x14ac:dyDescent="0.25">
      <c r="A85" s="1047"/>
      <c r="B85" s="1045" t="s">
        <v>5107</v>
      </c>
      <c r="C85" s="1046" t="s">
        <v>5003</v>
      </c>
      <c r="D85" s="1046" t="s">
        <v>4978</v>
      </c>
    </row>
    <row r="86" spans="1:4" ht="15.75" x14ac:dyDescent="0.25">
      <c r="A86" s="1047"/>
      <c r="B86" s="1045" t="s">
        <v>5108</v>
      </c>
      <c r="C86" s="1046" t="s">
        <v>5005</v>
      </c>
      <c r="D86" s="1046" t="s">
        <v>4978</v>
      </c>
    </row>
    <row r="87" spans="1:4" ht="15.75" x14ac:dyDescent="0.25">
      <c r="A87" s="1047"/>
      <c r="B87" s="1045" t="s">
        <v>1877</v>
      </c>
      <c r="C87" s="1046" t="s">
        <v>836</v>
      </c>
      <c r="D87" s="1046" t="s">
        <v>4978</v>
      </c>
    </row>
    <row r="88" spans="1:4" ht="15.75" x14ac:dyDescent="0.25">
      <c r="A88" s="1047"/>
      <c r="B88" s="1045" t="s">
        <v>5109</v>
      </c>
      <c r="C88" s="1046" t="s">
        <v>428</v>
      </c>
      <c r="D88" s="1046" t="s">
        <v>4978</v>
      </c>
    </row>
    <row r="89" spans="1:4" ht="15.75" x14ac:dyDescent="0.25">
      <c r="A89" s="1047"/>
      <c r="B89" s="1045" t="s">
        <v>5110</v>
      </c>
      <c r="C89" s="1046" t="s">
        <v>442</v>
      </c>
      <c r="D89" s="1046" t="s">
        <v>4978</v>
      </c>
    </row>
    <row r="90" spans="1:4" ht="15.75" x14ac:dyDescent="0.25">
      <c r="A90" s="1047"/>
      <c r="B90" s="1045" t="s">
        <v>5111</v>
      </c>
      <c r="C90" s="1046" t="s">
        <v>5112</v>
      </c>
      <c r="D90" s="1046" t="s">
        <v>4978</v>
      </c>
    </row>
    <row r="91" spans="1:4" ht="15.75" x14ac:dyDescent="0.25">
      <c r="A91" s="1047"/>
      <c r="B91" s="1045" t="s">
        <v>5113</v>
      </c>
      <c r="C91" s="1046" t="s">
        <v>5012</v>
      </c>
      <c r="D91" s="1046" t="s">
        <v>4978</v>
      </c>
    </row>
    <row r="92" spans="1:4" ht="15.75" x14ac:dyDescent="0.25">
      <c r="A92" s="1047"/>
      <c r="B92" s="1045" t="s">
        <v>5114</v>
      </c>
      <c r="C92" s="1046" t="s">
        <v>5014</v>
      </c>
      <c r="D92" s="1046" t="s">
        <v>4978</v>
      </c>
    </row>
    <row r="93" spans="1:4" ht="15.75" x14ac:dyDescent="0.25">
      <c r="A93" s="1047"/>
      <c r="B93" s="1045" t="s">
        <v>5115</v>
      </c>
      <c r="C93" s="1046" t="s">
        <v>5016</v>
      </c>
      <c r="D93" s="1046" t="s">
        <v>4978</v>
      </c>
    </row>
    <row r="94" spans="1:4" ht="15.75" x14ac:dyDescent="0.25">
      <c r="A94" s="1047"/>
      <c r="B94" s="1045" t="s">
        <v>5116</v>
      </c>
      <c r="C94" s="1046" t="s">
        <v>5018</v>
      </c>
      <c r="D94" s="1046" t="s">
        <v>4978</v>
      </c>
    </row>
    <row r="95" spans="1:4" ht="15.75" x14ac:dyDescent="0.25">
      <c r="A95" s="1047"/>
      <c r="B95" s="1045" t="s">
        <v>5117</v>
      </c>
      <c r="C95" s="1046" t="s">
        <v>5020</v>
      </c>
      <c r="D95" s="1046" t="s">
        <v>4978</v>
      </c>
    </row>
    <row r="96" spans="1:4" ht="15.75" x14ac:dyDescent="0.25">
      <c r="A96" s="1047"/>
      <c r="B96" s="1045" t="s">
        <v>5118</v>
      </c>
      <c r="C96" s="1046" t="s">
        <v>417</v>
      </c>
      <c r="D96" s="1046" t="s">
        <v>4978</v>
      </c>
    </row>
    <row r="97" spans="1:4" ht="15.75" x14ac:dyDescent="0.25">
      <c r="A97" s="1047"/>
      <c r="B97" s="1045" t="s">
        <v>5119</v>
      </c>
      <c r="C97" s="1046" t="s">
        <v>432</v>
      </c>
      <c r="D97" s="1046" t="s">
        <v>4978</v>
      </c>
    </row>
    <row r="98" spans="1:4" ht="15.75" x14ac:dyDescent="0.25">
      <c r="A98" s="1047"/>
      <c r="B98" s="1045" t="s">
        <v>5120</v>
      </c>
      <c r="C98" s="1046" t="s">
        <v>833</v>
      </c>
      <c r="D98" s="1046" t="s">
        <v>4978</v>
      </c>
    </row>
    <row r="99" spans="1:4" ht="15.75" x14ac:dyDescent="0.25">
      <c r="A99" s="1047"/>
      <c r="B99" s="1045" t="s">
        <v>5121</v>
      </c>
      <c r="C99" s="1046" t="s">
        <v>457</v>
      </c>
      <c r="D99" s="1046" t="s">
        <v>4978</v>
      </c>
    </row>
    <row r="100" spans="1:4" ht="15.75" x14ac:dyDescent="0.25">
      <c r="A100" s="1047"/>
      <c r="B100" s="1045" t="s">
        <v>5122</v>
      </c>
      <c r="C100" s="1046" t="s">
        <v>5037</v>
      </c>
      <c r="D100" s="1046" t="s">
        <v>4978</v>
      </c>
    </row>
    <row r="101" spans="1:4" ht="15.75" x14ac:dyDescent="0.25">
      <c r="A101" s="1047"/>
      <c r="B101" s="1045" t="s">
        <v>5123</v>
      </c>
      <c r="C101" s="1046" t="s">
        <v>5039</v>
      </c>
      <c r="D101" s="1046" t="s">
        <v>4978</v>
      </c>
    </row>
    <row r="102" spans="1:4" ht="15.75" x14ac:dyDescent="0.25">
      <c r="A102" s="1047"/>
      <c r="B102" s="1045" t="s">
        <v>5124</v>
      </c>
      <c r="C102" s="1046" t="s">
        <v>5041</v>
      </c>
      <c r="D102" s="1046" t="s">
        <v>4978</v>
      </c>
    </row>
    <row r="103" spans="1:4" ht="15.75" x14ac:dyDescent="0.25">
      <c r="A103" s="1047"/>
      <c r="B103" s="1045" t="s">
        <v>5125</v>
      </c>
      <c r="C103" s="1046" t="s">
        <v>5043</v>
      </c>
      <c r="D103" s="1046" t="s">
        <v>4978</v>
      </c>
    </row>
    <row r="104" spans="1:4" ht="15.75" x14ac:dyDescent="0.25">
      <c r="A104" s="1047"/>
      <c r="B104" s="1045" t="s">
        <v>5126</v>
      </c>
      <c r="C104" s="1046" t="s">
        <v>5045</v>
      </c>
      <c r="D104" s="1046" t="s">
        <v>4978</v>
      </c>
    </row>
    <row r="105" spans="1:4" ht="15.75" x14ac:dyDescent="0.25">
      <c r="A105" s="1047"/>
      <c r="B105" s="1045" t="s">
        <v>4683</v>
      </c>
      <c r="C105" s="1048" t="s">
        <v>5046</v>
      </c>
      <c r="D105" s="1046" t="s">
        <v>4978</v>
      </c>
    </row>
    <row r="106" spans="1:4" ht="15.75" x14ac:dyDescent="0.25">
      <c r="A106" s="1047"/>
      <c r="B106" s="1045" t="s">
        <v>2038</v>
      </c>
      <c r="C106" s="1046" t="s">
        <v>5050</v>
      </c>
      <c r="D106" s="1046" t="s">
        <v>4978</v>
      </c>
    </row>
    <row r="107" spans="1:4" ht="15.75" x14ac:dyDescent="0.25">
      <c r="A107" s="1047"/>
      <c r="B107" s="1045" t="s">
        <v>5127</v>
      </c>
      <c r="C107" s="1046" t="s">
        <v>5052</v>
      </c>
      <c r="D107" s="1046" t="s">
        <v>4978</v>
      </c>
    </row>
    <row r="108" spans="1:4" ht="16.5" thickBot="1" x14ac:dyDescent="0.3">
      <c r="A108" s="1056"/>
      <c r="B108" s="1057" t="s">
        <v>5128</v>
      </c>
      <c r="C108" s="1058" t="s">
        <v>5054</v>
      </c>
      <c r="D108" s="1058" t="s">
        <v>4978</v>
      </c>
    </row>
    <row r="109" spans="1:4" ht="15.75" x14ac:dyDescent="0.25">
      <c r="A109" s="1055" t="s">
        <v>5129</v>
      </c>
      <c r="B109" s="1049" t="s">
        <v>4634</v>
      </c>
      <c r="C109" s="1050" t="s">
        <v>5023</v>
      </c>
      <c r="D109" s="1051" t="s">
        <v>5024</v>
      </c>
    </row>
    <row r="110" spans="1:4" ht="15.75" x14ac:dyDescent="0.25">
      <c r="A110" s="1055" t="s">
        <v>5130</v>
      </c>
      <c r="B110" s="1049" t="s">
        <v>5131</v>
      </c>
      <c r="C110" s="1051" t="s">
        <v>4660</v>
      </c>
      <c r="D110" s="1051" t="s">
        <v>5024</v>
      </c>
    </row>
    <row r="111" spans="1:4" ht="15.75" x14ac:dyDescent="0.25">
      <c r="A111" s="1052"/>
      <c r="B111" s="1049" t="s">
        <v>4637</v>
      </c>
      <c r="C111" s="1051" t="s">
        <v>5025</v>
      </c>
      <c r="D111" s="1051" t="s">
        <v>5024</v>
      </c>
    </row>
    <row r="112" spans="1:4" ht="15.75" x14ac:dyDescent="0.25">
      <c r="A112" s="1052"/>
      <c r="B112" s="1049" t="s">
        <v>4638</v>
      </c>
      <c r="C112" s="1051" t="s">
        <v>5026</v>
      </c>
      <c r="D112" s="1051" t="s">
        <v>5024</v>
      </c>
    </row>
    <row r="113" spans="1:4" ht="15.75" x14ac:dyDescent="0.25">
      <c r="A113" s="1052"/>
      <c r="B113" s="1049" t="s">
        <v>4639</v>
      </c>
      <c r="C113" s="1051" t="s">
        <v>5027</v>
      </c>
      <c r="D113" s="1051" t="s">
        <v>5024</v>
      </c>
    </row>
    <row r="114" spans="1:4" ht="15.75" x14ac:dyDescent="0.25">
      <c r="A114" s="1052"/>
      <c r="B114" s="1049" t="s">
        <v>4640</v>
      </c>
      <c r="C114" s="1051" t="s">
        <v>5028</v>
      </c>
      <c r="D114" s="1051" t="s">
        <v>5024</v>
      </c>
    </row>
    <row r="115" spans="1:4" ht="15.75" x14ac:dyDescent="0.25">
      <c r="A115" s="1052"/>
      <c r="B115" s="1049" t="s">
        <v>4641</v>
      </c>
      <c r="C115" s="1050" t="s">
        <v>5029</v>
      </c>
      <c r="D115" s="1051" t="s">
        <v>5024</v>
      </c>
    </row>
    <row r="116" spans="1:4" ht="15.75" x14ac:dyDescent="0.25">
      <c r="A116" s="1052"/>
      <c r="B116" s="1049" t="s">
        <v>4642</v>
      </c>
      <c r="C116" s="1050" t="s">
        <v>5030</v>
      </c>
      <c r="D116" s="1051" t="s">
        <v>5024</v>
      </c>
    </row>
    <row r="117" spans="1:4" ht="15.75" x14ac:dyDescent="0.25">
      <c r="A117" s="1052"/>
      <c r="B117" s="1049" t="s">
        <v>4643</v>
      </c>
      <c r="C117" s="1050" t="s">
        <v>5031</v>
      </c>
      <c r="D117" s="1051" t="s">
        <v>5024</v>
      </c>
    </row>
    <row r="118" spans="1:4" ht="15.75" x14ac:dyDescent="0.25">
      <c r="A118" s="1052"/>
      <c r="B118" s="1053" t="s">
        <v>5132</v>
      </c>
      <c r="C118" s="1054" t="s">
        <v>5048</v>
      </c>
      <c r="D118" s="1054" t="s">
        <v>5024</v>
      </c>
    </row>
    <row r="119" spans="1:4" ht="15.75" x14ac:dyDescent="0.25">
      <c r="A119" s="1052"/>
      <c r="B119" s="1053" t="s">
        <v>5133</v>
      </c>
      <c r="C119" s="1054" t="s">
        <v>5056</v>
      </c>
      <c r="D119" s="1054" t="s">
        <v>5024</v>
      </c>
    </row>
    <row r="120" spans="1:4" ht="15.75" x14ac:dyDescent="0.25">
      <c r="A120" s="1052"/>
      <c r="B120" s="1053" t="s">
        <v>5134</v>
      </c>
      <c r="C120" s="1054" t="s">
        <v>5058</v>
      </c>
      <c r="D120" s="1054" t="s">
        <v>5024</v>
      </c>
    </row>
    <row r="121" spans="1:4" ht="15.75" x14ac:dyDescent="0.25">
      <c r="A121" s="1052"/>
      <c r="B121" s="1053" t="s">
        <v>5135</v>
      </c>
      <c r="C121" s="1054" t="s">
        <v>5060</v>
      </c>
      <c r="D121" s="1054" t="s">
        <v>5024</v>
      </c>
    </row>
    <row r="122" spans="1:4" ht="15.75" x14ac:dyDescent="0.25">
      <c r="A122" s="1052"/>
      <c r="B122" s="1053" t="s">
        <v>5136</v>
      </c>
      <c r="C122" s="1054" t="s">
        <v>5062</v>
      </c>
      <c r="D122" s="1054" t="s">
        <v>5024</v>
      </c>
    </row>
    <row r="123" spans="1:4" ht="15.75" x14ac:dyDescent="0.25">
      <c r="A123" s="1052"/>
      <c r="B123" s="1053" t="s">
        <v>5137</v>
      </c>
      <c r="C123" s="1054" t="s">
        <v>5064</v>
      </c>
      <c r="D123" s="1054" t="s">
        <v>5024</v>
      </c>
    </row>
    <row r="124" spans="1:4" ht="15.75" x14ac:dyDescent="0.25">
      <c r="A124" s="1052"/>
      <c r="B124" s="1053" t="s">
        <v>5138</v>
      </c>
      <c r="C124" s="1054" t="s">
        <v>5066</v>
      </c>
      <c r="D124" s="1054" t="s">
        <v>5024</v>
      </c>
    </row>
    <row r="125" spans="1:4" ht="15.75" x14ac:dyDescent="0.25">
      <c r="A125" s="1052"/>
      <c r="B125" s="1053" t="s">
        <v>5139</v>
      </c>
      <c r="C125" s="1054" t="s">
        <v>5068</v>
      </c>
      <c r="D125" s="1054" t="s">
        <v>5024</v>
      </c>
    </row>
    <row r="126" spans="1:4" ht="15.75" x14ac:dyDescent="0.25">
      <c r="A126" s="1052"/>
      <c r="B126" s="1053" t="s">
        <v>5140</v>
      </c>
      <c r="C126" s="1054" t="s">
        <v>5070</v>
      </c>
      <c r="D126" s="1054" t="s">
        <v>5024</v>
      </c>
    </row>
    <row r="127" spans="1:4" ht="15.75" x14ac:dyDescent="0.25">
      <c r="A127" s="1052"/>
      <c r="B127" s="1053" t="s">
        <v>5141</v>
      </c>
      <c r="C127" s="1054" t="s">
        <v>5072</v>
      </c>
      <c r="D127" s="1054" t="s">
        <v>5024</v>
      </c>
    </row>
    <row r="128" spans="1:4" ht="15.75" x14ac:dyDescent="0.25">
      <c r="A128" s="1052"/>
      <c r="B128" s="1053" t="s">
        <v>5142</v>
      </c>
      <c r="C128" s="1054" t="s">
        <v>5074</v>
      </c>
      <c r="D128" s="1054" t="s">
        <v>5024</v>
      </c>
    </row>
    <row r="129" spans="1:4" ht="15.75" x14ac:dyDescent="0.25">
      <c r="A129" s="1052"/>
      <c r="B129" s="1053" t="s">
        <v>5143</v>
      </c>
      <c r="C129" s="1054" t="s">
        <v>5076</v>
      </c>
      <c r="D129" s="1054" t="s">
        <v>5024</v>
      </c>
    </row>
    <row r="130" spans="1:4" ht="15.75" x14ac:dyDescent="0.25">
      <c r="A130" s="1052"/>
      <c r="B130" s="1053" t="s">
        <v>5144</v>
      </c>
      <c r="C130" s="1054" t="s">
        <v>5078</v>
      </c>
      <c r="D130" s="1054" t="s">
        <v>5024</v>
      </c>
    </row>
    <row r="131" spans="1:4" ht="15.75" x14ac:dyDescent="0.25">
      <c r="A131" s="1052"/>
      <c r="B131" s="1053" t="s">
        <v>5145</v>
      </c>
      <c r="C131" s="1054" t="s">
        <v>5080</v>
      </c>
      <c r="D131" s="1054" t="s">
        <v>5024</v>
      </c>
    </row>
    <row r="132" spans="1:4" ht="15.75" x14ac:dyDescent="0.25">
      <c r="A132" s="1052"/>
      <c r="B132" s="1053" t="s">
        <v>5146</v>
      </c>
      <c r="C132" s="1054" t="s">
        <v>5082</v>
      </c>
      <c r="D132" s="1054" t="s">
        <v>5024</v>
      </c>
    </row>
    <row r="133" spans="1:4" ht="15.75" x14ac:dyDescent="0.25">
      <c r="A133" s="1052"/>
      <c r="B133" s="1053" t="s">
        <v>5147</v>
      </c>
      <c r="C133" s="1054" t="s">
        <v>5084</v>
      </c>
      <c r="D133" s="1054" t="s">
        <v>5024</v>
      </c>
    </row>
    <row r="134" spans="1:4" ht="15.75" x14ac:dyDescent="0.25">
      <c r="A134" s="1052"/>
      <c r="B134" s="1053" t="s">
        <v>5148</v>
      </c>
      <c r="C134" s="1054" t="s">
        <v>5086</v>
      </c>
      <c r="D134" s="1054" t="s">
        <v>5024</v>
      </c>
    </row>
    <row r="135" spans="1:4" ht="15.75" x14ac:dyDescent="0.25">
      <c r="A135" s="1052"/>
      <c r="B135" s="1053" t="s">
        <v>5149</v>
      </c>
      <c r="C135" s="1054" t="s">
        <v>5088</v>
      </c>
      <c r="D135" s="1054" t="s">
        <v>5024</v>
      </c>
    </row>
    <row r="136" spans="1:4" ht="15.75" x14ac:dyDescent="0.25">
      <c r="A136" s="1052"/>
      <c r="B136" s="1053" t="s">
        <v>5150</v>
      </c>
      <c r="C136" s="1054" t="s">
        <v>5151</v>
      </c>
      <c r="D136" s="1054" t="s">
        <v>5152</v>
      </c>
    </row>
    <row r="137" spans="1:4" ht="15.75" x14ac:dyDescent="0.25">
      <c r="A137" s="1052"/>
      <c r="B137" s="1053" t="s">
        <v>5153</v>
      </c>
      <c r="C137" s="1054" t="s">
        <v>5154</v>
      </c>
      <c r="D137" s="1054" t="s">
        <v>5152</v>
      </c>
    </row>
    <row r="138" spans="1:4" ht="15.75" x14ac:dyDescent="0.25">
      <c r="A138" s="1052"/>
      <c r="B138" s="1053" t="s">
        <v>5155</v>
      </c>
      <c r="C138" s="1054" t="s">
        <v>5156</v>
      </c>
      <c r="D138" s="1054" t="s">
        <v>5152</v>
      </c>
    </row>
    <row r="139" spans="1:4" ht="15.75" x14ac:dyDescent="0.25">
      <c r="A139" s="1052"/>
      <c r="B139" s="1053" t="s">
        <v>5157</v>
      </c>
      <c r="C139" s="1054" t="s">
        <v>5158</v>
      </c>
      <c r="D139" s="1054" t="s">
        <v>5152</v>
      </c>
    </row>
    <row r="140" spans="1:4" ht="15.75" x14ac:dyDescent="0.25">
      <c r="A140" s="1052"/>
      <c r="B140" s="1053" t="s">
        <v>5159</v>
      </c>
      <c r="C140" s="1054" t="s">
        <v>5160</v>
      </c>
      <c r="D140" s="1054" t="s">
        <v>5152</v>
      </c>
    </row>
    <row r="141" spans="1:4" ht="15.75" x14ac:dyDescent="0.25">
      <c r="A141" s="1052"/>
      <c r="B141" s="1053" t="s">
        <v>5161</v>
      </c>
      <c r="C141" s="1054" t="s">
        <v>5162</v>
      </c>
      <c r="D141" s="1054" t="s">
        <v>5152</v>
      </c>
    </row>
    <row r="142" spans="1:4" ht="15.75" x14ac:dyDescent="0.25">
      <c r="A142" s="1052"/>
      <c r="B142" s="1053" t="s">
        <v>5163</v>
      </c>
      <c r="C142" s="1054" t="s">
        <v>5164</v>
      </c>
      <c r="D142" s="1054" t="s">
        <v>5152</v>
      </c>
    </row>
    <row r="143" spans="1:4" ht="15.75" x14ac:dyDescent="0.25">
      <c r="A143" s="1052"/>
      <c r="B143" s="1053" t="s">
        <v>5165</v>
      </c>
      <c r="C143" s="1054" t="s">
        <v>5166</v>
      </c>
      <c r="D143" s="1054" t="s">
        <v>5152</v>
      </c>
    </row>
    <row r="144" spans="1:4" ht="15.75" x14ac:dyDescent="0.25">
      <c r="A144" s="1052"/>
      <c r="B144" s="1053" t="s">
        <v>5167</v>
      </c>
      <c r="C144" s="1054" t="s">
        <v>5168</v>
      </c>
      <c r="D144" s="1054" t="s">
        <v>5152</v>
      </c>
    </row>
    <row r="145" spans="1:4" ht="15.75" x14ac:dyDescent="0.25">
      <c r="A145" s="1052"/>
      <c r="B145" s="1053" t="s">
        <v>5169</v>
      </c>
      <c r="C145" s="1054" t="s">
        <v>5170</v>
      </c>
      <c r="D145" s="1054" t="s">
        <v>5152</v>
      </c>
    </row>
    <row r="146" spans="1:4" ht="15.75" x14ac:dyDescent="0.25">
      <c r="A146" s="1052"/>
      <c r="B146" s="1053" t="s">
        <v>5171</v>
      </c>
      <c r="C146" s="1054" t="s">
        <v>5172</v>
      </c>
      <c r="D146" s="1054" t="s">
        <v>5024</v>
      </c>
    </row>
    <row r="147" spans="1:4" ht="15.75" x14ac:dyDescent="0.25">
      <c r="A147" s="1052"/>
      <c r="B147" s="1053" t="s">
        <v>5173</v>
      </c>
      <c r="C147" s="1054" t="s">
        <v>5174</v>
      </c>
      <c r="D147" s="1054" t="s">
        <v>5152</v>
      </c>
    </row>
    <row r="148" spans="1:4" ht="15.75" x14ac:dyDescent="0.25">
      <c r="A148" s="1052"/>
      <c r="B148" s="1053" t="s">
        <v>5175</v>
      </c>
      <c r="C148" s="1054" t="s">
        <v>5092</v>
      </c>
      <c r="D148" s="1054" t="s">
        <v>5024</v>
      </c>
    </row>
    <row r="149" spans="1:4" ht="15.75" x14ac:dyDescent="0.25">
      <c r="A149" s="1052"/>
      <c r="B149" s="1053" t="s">
        <v>5176</v>
      </c>
      <c r="C149" s="1054" t="s">
        <v>5177</v>
      </c>
      <c r="D149" s="1054" t="s">
        <v>5178</v>
      </c>
    </row>
    <row r="150" spans="1:4" ht="15.75" x14ac:dyDescent="0.25">
      <c r="A150" s="1052"/>
      <c r="B150" s="1053" t="s">
        <v>5179</v>
      </c>
      <c r="C150" s="1054" t="s">
        <v>5180</v>
      </c>
      <c r="D150" s="1054" t="s">
        <v>5178</v>
      </c>
    </row>
    <row r="151" spans="1:4" ht="15.75" x14ac:dyDescent="0.25">
      <c r="A151" s="1052"/>
      <c r="B151" s="1053" t="s">
        <v>5181</v>
      </c>
      <c r="C151" s="1054" t="s">
        <v>5182</v>
      </c>
      <c r="D151" s="1054" t="s">
        <v>5178</v>
      </c>
    </row>
    <row r="152" spans="1:4" ht="15.75" x14ac:dyDescent="0.25">
      <c r="A152" s="1052"/>
      <c r="B152" s="1053" t="s">
        <v>5183</v>
      </c>
      <c r="C152" s="1054" t="s">
        <v>5184</v>
      </c>
      <c r="D152" s="1054" t="s">
        <v>5178</v>
      </c>
    </row>
    <row r="153" spans="1:4" ht="15.75" x14ac:dyDescent="0.25">
      <c r="A153" s="1052"/>
      <c r="B153" s="1053" t="s">
        <v>5185</v>
      </c>
      <c r="C153" s="1054" t="s">
        <v>5186</v>
      </c>
      <c r="D153" s="1054" t="s">
        <v>5178</v>
      </c>
    </row>
    <row r="154" spans="1:4" ht="15.75" x14ac:dyDescent="0.25">
      <c r="A154" s="1052"/>
      <c r="B154" s="1053" t="s">
        <v>5187</v>
      </c>
      <c r="C154" s="1054" t="s">
        <v>5188</v>
      </c>
      <c r="D154" s="1054" t="s">
        <v>5178</v>
      </c>
    </row>
    <row r="155" spans="1:4" ht="15.75" x14ac:dyDescent="0.25">
      <c r="A155" s="1052"/>
      <c r="B155" s="1053" t="s">
        <v>5189</v>
      </c>
      <c r="C155" s="1054" t="s">
        <v>5190</v>
      </c>
      <c r="D155" s="1054" t="s">
        <v>5178</v>
      </c>
    </row>
    <row r="156" spans="1:4" ht="15.75" x14ac:dyDescent="0.25">
      <c r="A156" s="1052"/>
      <c r="B156" s="1053" t="s">
        <v>5191</v>
      </c>
      <c r="C156" s="1054" t="s">
        <v>5192</v>
      </c>
      <c r="D156" s="1054" t="s">
        <v>5178</v>
      </c>
    </row>
    <row r="157" spans="1:4" ht="15.75" x14ac:dyDescent="0.25">
      <c r="A157" s="1052"/>
      <c r="B157" s="1053" t="s">
        <v>5193</v>
      </c>
      <c r="C157" s="1054" t="s">
        <v>5194</v>
      </c>
      <c r="D157" s="1054" t="s">
        <v>5178</v>
      </c>
    </row>
    <row r="158" spans="1:4" ht="15.75" x14ac:dyDescent="0.25">
      <c r="A158" s="1052"/>
      <c r="B158" s="1053" t="s">
        <v>5195</v>
      </c>
      <c r="C158" s="1054" t="s">
        <v>5196</v>
      </c>
      <c r="D158" s="1054" t="s">
        <v>5178</v>
      </c>
    </row>
    <row r="159" spans="1:4" ht="15.75" x14ac:dyDescent="0.25">
      <c r="A159" s="1052"/>
      <c r="B159" s="1053" t="s">
        <v>5197</v>
      </c>
      <c r="C159" s="1054" t="s">
        <v>5198</v>
      </c>
      <c r="D159" s="1054" t="s">
        <v>5178</v>
      </c>
    </row>
    <row r="160" spans="1:4" ht="15.75" x14ac:dyDescent="0.25">
      <c r="A160" s="1052"/>
      <c r="B160" s="1053" t="s">
        <v>5199</v>
      </c>
      <c r="C160" s="1054" t="s">
        <v>5200</v>
      </c>
      <c r="D160" s="1054" t="s">
        <v>5178</v>
      </c>
    </row>
    <row r="161" spans="1:4" ht="15.75" x14ac:dyDescent="0.25">
      <c r="A161" s="1052"/>
      <c r="B161" s="1053" t="s">
        <v>5201</v>
      </c>
      <c r="C161" s="1054" t="s">
        <v>5202</v>
      </c>
      <c r="D161" s="1054" t="s">
        <v>5178</v>
      </c>
    </row>
    <row r="162" spans="1:4" ht="15.75" x14ac:dyDescent="0.25">
      <c r="A162" s="1052"/>
      <c r="B162" s="1053" t="s">
        <v>5203</v>
      </c>
      <c r="C162" s="1054" t="s">
        <v>5204</v>
      </c>
      <c r="D162" s="1054" t="s">
        <v>5178</v>
      </c>
    </row>
    <row r="163" spans="1:4" ht="15.75" x14ac:dyDescent="0.25">
      <c r="A163" s="1052"/>
      <c r="B163" s="1053" t="s">
        <v>5205</v>
      </c>
      <c r="C163" s="1054" t="s">
        <v>5206</v>
      </c>
      <c r="D163" s="1054" t="s">
        <v>5178</v>
      </c>
    </row>
    <row r="164" spans="1:4" ht="15.75" x14ac:dyDescent="0.25">
      <c r="A164" s="1052"/>
      <c r="B164" s="1053" t="s">
        <v>5207</v>
      </c>
      <c r="C164" s="1054" t="s">
        <v>5208</v>
      </c>
      <c r="D164" s="1054" t="s">
        <v>5178</v>
      </c>
    </row>
    <row r="165" spans="1:4" ht="15.75" x14ac:dyDescent="0.25">
      <c r="A165" s="1052"/>
      <c r="B165" s="1053" t="s">
        <v>5209</v>
      </c>
      <c r="C165" s="1054" t="s">
        <v>5210</v>
      </c>
      <c r="D165" s="1054" t="s">
        <v>5178</v>
      </c>
    </row>
    <row r="166" spans="1:4" ht="15.75" x14ac:dyDescent="0.25">
      <c r="A166" s="1052"/>
      <c r="B166" s="1053" t="s">
        <v>5211</v>
      </c>
      <c r="C166" s="1054" t="s">
        <v>5212</v>
      </c>
      <c r="D166" s="1054" t="s">
        <v>5178</v>
      </c>
    </row>
    <row r="167" spans="1:4" ht="15.75" x14ac:dyDescent="0.25">
      <c r="A167" s="1052"/>
      <c r="B167" s="1053" t="s">
        <v>5213</v>
      </c>
      <c r="C167" s="1054" t="s">
        <v>5214</v>
      </c>
      <c r="D167" s="1054" t="s">
        <v>5178</v>
      </c>
    </row>
    <row r="168" spans="1:4" ht="15.75" x14ac:dyDescent="0.25">
      <c r="A168" s="1052"/>
      <c r="B168" s="1053" t="s">
        <v>5215</v>
      </c>
      <c r="C168" s="1054" t="s">
        <v>5216</v>
      </c>
      <c r="D168" s="1054" t="s">
        <v>5178</v>
      </c>
    </row>
    <row r="169" spans="1:4" ht="15.75" x14ac:dyDescent="0.25">
      <c r="A169" s="1052"/>
      <c r="B169" s="1053" t="s">
        <v>5217</v>
      </c>
      <c r="C169" s="1054" t="s">
        <v>5218</v>
      </c>
      <c r="D169" s="1054" t="s">
        <v>5178</v>
      </c>
    </row>
    <row r="170" spans="1:4" ht="15.75" x14ac:dyDescent="0.25">
      <c r="A170" s="1052"/>
      <c r="B170" s="1053" t="s">
        <v>5219</v>
      </c>
      <c r="C170" s="1054" t="s">
        <v>5220</v>
      </c>
      <c r="D170" s="1054" t="s">
        <v>5178</v>
      </c>
    </row>
    <row r="171" spans="1:4" ht="15.75" x14ac:dyDescent="0.25">
      <c r="A171" s="1052"/>
      <c r="B171" s="1053" t="s">
        <v>5221</v>
      </c>
      <c r="C171" s="1054" t="s">
        <v>5222</v>
      </c>
      <c r="D171" s="1054" t="s">
        <v>5178</v>
      </c>
    </row>
    <row r="172" spans="1:4" ht="15.75" x14ac:dyDescent="0.25">
      <c r="A172" s="1052"/>
      <c r="B172" s="1053" t="s">
        <v>5223</v>
      </c>
      <c r="C172" s="1054" t="s">
        <v>5224</v>
      </c>
      <c r="D172" s="1054" t="s">
        <v>5178</v>
      </c>
    </row>
    <row r="173" spans="1:4" ht="15.75" x14ac:dyDescent="0.25">
      <c r="A173" s="1052"/>
      <c r="B173" s="1053" t="s">
        <v>5225</v>
      </c>
      <c r="C173" s="1054" t="s">
        <v>5226</v>
      </c>
      <c r="D173" s="1054" t="s">
        <v>5178</v>
      </c>
    </row>
    <row r="174" spans="1:4" ht="15.75" x14ac:dyDescent="0.25">
      <c r="A174" s="1052"/>
      <c r="B174" s="1053" t="s">
        <v>5227</v>
      </c>
      <c r="C174" s="1054" t="s">
        <v>5228</v>
      </c>
      <c r="D174" s="1054" t="s">
        <v>5178</v>
      </c>
    </row>
    <row r="175" spans="1:4" ht="15.75" x14ac:dyDescent="0.25">
      <c r="A175" s="1052"/>
      <c r="B175" s="1053" t="s">
        <v>5229</v>
      </c>
      <c r="C175" s="1054" t="s">
        <v>5230</v>
      </c>
      <c r="D175" s="1054" t="s">
        <v>5178</v>
      </c>
    </row>
    <row r="176" spans="1:4" ht="15.75" x14ac:dyDescent="0.25">
      <c r="A176" s="1052"/>
      <c r="B176" s="1053" t="s">
        <v>5231</v>
      </c>
      <c r="C176" s="1054" t="s">
        <v>5232</v>
      </c>
      <c r="D176" s="1054" t="s">
        <v>5178</v>
      </c>
    </row>
    <row r="177" spans="1:4" ht="15.75" x14ac:dyDescent="0.25">
      <c r="A177" s="1052"/>
      <c r="B177" s="1053" t="s">
        <v>5233</v>
      </c>
      <c r="C177" s="1054" t="s">
        <v>5234</v>
      </c>
      <c r="D177" s="1054" t="s">
        <v>5178</v>
      </c>
    </row>
    <row r="178" spans="1:4" ht="15.75" x14ac:dyDescent="0.25">
      <c r="A178" s="1052"/>
      <c r="B178" s="1053" t="s">
        <v>5235</v>
      </c>
      <c r="C178" s="1054" t="s">
        <v>5236</v>
      </c>
      <c r="D178" s="1054" t="s">
        <v>5178</v>
      </c>
    </row>
    <row r="179" spans="1:4" ht="15.75" x14ac:dyDescent="0.25">
      <c r="A179" s="1052"/>
      <c r="B179" s="1053" t="s">
        <v>5237</v>
      </c>
      <c r="C179" s="1054" t="s">
        <v>5238</v>
      </c>
      <c r="D179" s="1054" t="s">
        <v>5178</v>
      </c>
    </row>
    <row r="180" spans="1:4" ht="15.75" x14ac:dyDescent="0.25">
      <c r="A180" s="1052"/>
      <c r="B180" s="1053" t="s">
        <v>5239</v>
      </c>
      <c r="C180" s="1054" t="s">
        <v>5240</v>
      </c>
      <c r="D180" s="1054" t="s">
        <v>5178</v>
      </c>
    </row>
    <row r="181" spans="1:4" ht="15.75" x14ac:dyDescent="0.25">
      <c r="A181" s="1052"/>
      <c r="B181" s="1053" t="s">
        <v>5241</v>
      </c>
      <c r="C181" s="1054" t="s">
        <v>5242</v>
      </c>
      <c r="D181" s="1054" t="s">
        <v>5178</v>
      </c>
    </row>
    <row r="182" spans="1:4" ht="15.75" x14ac:dyDescent="0.25">
      <c r="A182" s="1052"/>
      <c r="B182" s="1053" t="s">
        <v>5243</v>
      </c>
      <c r="C182" s="1054" t="s">
        <v>5244</v>
      </c>
      <c r="D182" s="1054" t="s">
        <v>5178</v>
      </c>
    </row>
    <row r="183" spans="1:4" ht="15.75" x14ac:dyDescent="0.25">
      <c r="A183" s="1052"/>
      <c r="B183" s="1053" t="s">
        <v>5245</v>
      </c>
      <c r="C183" s="1054" t="s">
        <v>5246</v>
      </c>
      <c r="D183" s="1054" t="s">
        <v>5178</v>
      </c>
    </row>
    <row r="184" spans="1:4" ht="15.75" x14ac:dyDescent="0.25">
      <c r="A184" s="1052"/>
      <c r="B184" s="1053" t="s">
        <v>5247</v>
      </c>
      <c r="C184" s="1054" t="s">
        <v>5248</v>
      </c>
      <c r="D184" s="1054" t="s">
        <v>5178</v>
      </c>
    </row>
    <row r="185" spans="1:4" ht="15.75" x14ac:dyDescent="0.25">
      <c r="A185" s="1052"/>
      <c r="B185" s="1053" t="s">
        <v>5249</v>
      </c>
      <c r="C185" s="1054" t="s">
        <v>5250</v>
      </c>
      <c r="D185" s="1054" t="s">
        <v>5178</v>
      </c>
    </row>
    <row r="186" spans="1:4" ht="15.75" x14ac:dyDescent="0.25">
      <c r="A186" s="1052"/>
      <c r="B186" s="1053" t="s">
        <v>5251</v>
      </c>
      <c r="C186" s="1054" t="s">
        <v>5252</v>
      </c>
      <c r="D186" s="1054" t="s">
        <v>5178</v>
      </c>
    </row>
    <row r="187" spans="1:4" ht="15.75" x14ac:dyDescent="0.25">
      <c r="A187" s="1052"/>
      <c r="B187" s="1053" t="s">
        <v>5253</v>
      </c>
      <c r="C187" s="1054" t="s">
        <v>5254</v>
      </c>
      <c r="D187" s="1054" t="s">
        <v>5178</v>
      </c>
    </row>
    <row r="188" spans="1:4" ht="15.75" x14ac:dyDescent="0.25">
      <c r="A188" s="1052"/>
      <c r="B188" s="1053" t="s">
        <v>5255</v>
      </c>
      <c r="C188" s="1054" t="s">
        <v>5256</v>
      </c>
      <c r="D188" s="1054" t="s">
        <v>5178</v>
      </c>
    </row>
    <row r="189" spans="1:4" ht="15.75" x14ac:dyDescent="0.25">
      <c r="A189" s="1052"/>
      <c r="B189" s="1053" t="s">
        <v>5257</v>
      </c>
      <c r="C189" s="1054" t="s">
        <v>5258</v>
      </c>
      <c r="D189" s="1054" t="s">
        <v>5178</v>
      </c>
    </row>
    <row r="190" spans="1:4" ht="15.75" x14ac:dyDescent="0.25">
      <c r="A190" s="1052"/>
      <c r="B190" s="1053" t="s">
        <v>5259</v>
      </c>
      <c r="C190" s="1054" t="s">
        <v>5260</v>
      </c>
      <c r="D190" s="1054" t="s">
        <v>5178</v>
      </c>
    </row>
    <row r="191" spans="1:4" ht="15.75" x14ac:dyDescent="0.25">
      <c r="A191" s="1052"/>
      <c r="B191" s="1053" t="s">
        <v>5261</v>
      </c>
      <c r="C191" s="1054" t="s">
        <v>5262</v>
      </c>
      <c r="D191" s="1054" t="s">
        <v>5178</v>
      </c>
    </row>
    <row r="192" spans="1:4" ht="15.75" x14ac:dyDescent="0.25">
      <c r="A192" s="1052"/>
      <c r="B192" s="1053" t="s">
        <v>5263</v>
      </c>
      <c r="C192" s="1054" t="s">
        <v>5264</v>
      </c>
      <c r="D192" s="1054" t="s">
        <v>5178</v>
      </c>
    </row>
    <row r="193" spans="1:4" ht="15.75" x14ac:dyDescent="0.25">
      <c r="A193" s="1052"/>
      <c r="B193" s="1053" t="s">
        <v>5265</v>
      </c>
      <c r="C193" s="1054" t="s">
        <v>5266</v>
      </c>
      <c r="D193" s="1054" t="s">
        <v>5178</v>
      </c>
    </row>
    <row r="194" spans="1:4" ht="15.75" x14ac:dyDescent="0.25">
      <c r="A194" s="1052"/>
      <c r="B194" s="1053" t="s">
        <v>5267</v>
      </c>
      <c r="C194" s="1054" t="s">
        <v>5268</v>
      </c>
      <c r="D194" s="1054" t="s">
        <v>5178</v>
      </c>
    </row>
    <row r="195" spans="1:4" ht="15.75" x14ac:dyDescent="0.25">
      <c r="A195" s="1052"/>
      <c r="B195" s="1053" t="s">
        <v>5269</v>
      </c>
      <c r="C195" s="1054" t="s">
        <v>5270</v>
      </c>
      <c r="D195" s="1054" t="s">
        <v>5178</v>
      </c>
    </row>
    <row r="196" spans="1:4" ht="15.75" x14ac:dyDescent="0.25">
      <c r="A196" s="1052"/>
      <c r="B196" s="1053" t="s">
        <v>5271</v>
      </c>
      <c r="C196" s="1054" t="s">
        <v>5272</v>
      </c>
      <c r="D196" s="1054" t="s">
        <v>5178</v>
      </c>
    </row>
    <row r="197" spans="1:4" ht="15.75" x14ac:dyDescent="0.25">
      <c r="A197" s="1052"/>
      <c r="B197" s="1053" t="s">
        <v>5273</v>
      </c>
      <c r="C197" s="1054" t="s">
        <v>5274</v>
      </c>
      <c r="D197" s="1054" t="s">
        <v>5178</v>
      </c>
    </row>
    <row r="198" spans="1:4" ht="15.75" x14ac:dyDescent="0.25">
      <c r="A198" s="1052"/>
      <c r="B198" s="1053" t="s">
        <v>5275</v>
      </c>
      <c r="C198" s="1054" t="s">
        <v>5276</v>
      </c>
      <c r="D198" s="1054" t="s">
        <v>5178</v>
      </c>
    </row>
    <row r="199" spans="1:4" ht="15.75" x14ac:dyDescent="0.25">
      <c r="A199" s="1052"/>
      <c r="B199" s="1053" t="s">
        <v>5277</v>
      </c>
      <c r="C199" s="1054" t="s">
        <v>5278</v>
      </c>
      <c r="D199" s="1054" t="s">
        <v>5178</v>
      </c>
    </row>
    <row r="200" spans="1:4" ht="15.75" x14ac:dyDescent="0.25">
      <c r="A200" s="1052"/>
      <c r="B200" s="1053" t="s">
        <v>5279</v>
      </c>
      <c r="C200" s="1054" t="s">
        <v>5280</v>
      </c>
      <c r="D200" s="1054" t="s">
        <v>5178</v>
      </c>
    </row>
    <row r="201" spans="1:4" ht="15.75" x14ac:dyDescent="0.25">
      <c r="A201" s="1052"/>
      <c r="B201" s="1053" t="s">
        <v>5281</v>
      </c>
      <c r="C201" s="1054" t="s">
        <v>5282</v>
      </c>
      <c r="D201" s="1054" t="s">
        <v>5178</v>
      </c>
    </row>
    <row r="202" spans="1:4" ht="15.75" x14ac:dyDescent="0.25">
      <c r="A202" s="1052"/>
      <c r="B202" s="1053" t="s">
        <v>5283</v>
      </c>
      <c r="C202" s="1054" t="s">
        <v>5284</v>
      </c>
      <c r="D202" s="1054" t="s">
        <v>5178</v>
      </c>
    </row>
    <row r="203" spans="1:4" ht="15.75" x14ac:dyDescent="0.25">
      <c r="A203" s="1052"/>
      <c r="B203" s="1053" t="s">
        <v>5285</v>
      </c>
      <c r="C203" s="1054" t="s">
        <v>5286</v>
      </c>
      <c r="D203" s="1054" t="s">
        <v>5178</v>
      </c>
    </row>
    <row r="204" spans="1:4" ht="15.75" x14ac:dyDescent="0.25">
      <c r="A204" s="1052"/>
      <c r="B204" s="1053" t="s">
        <v>5287</v>
      </c>
      <c r="C204" s="1054" t="s">
        <v>5288</v>
      </c>
      <c r="D204" s="1054" t="s">
        <v>5178</v>
      </c>
    </row>
    <row r="205" spans="1:4" ht="15.75" x14ac:dyDescent="0.25">
      <c r="A205" s="1052"/>
      <c r="B205" s="1053" t="s">
        <v>5289</v>
      </c>
      <c r="C205" s="1054" t="s">
        <v>5290</v>
      </c>
      <c r="D205" s="1054" t="s">
        <v>5178</v>
      </c>
    </row>
    <row r="206" spans="1:4" ht="15.75" x14ac:dyDescent="0.25">
      <c r="A206" s="1052"/>
      <c r="B206" s="1053" t="s">
        <v>5291</v>
      </c>
      <c r="C206" s="1054" t="s">
        <v>5292</v>
      </c>
      <c r="D206" s="1054" t="s">
        <v>5178</v>
      </c>
    </row>
  </sheetData>
  <sheetProtection algorithmName="SHA-512" hashValue="5DrT1lgHnDZA8NpQQN2iBJYzpmYmxH2O0MKGEFB1CLZYO06BJEhpVPrZIIaqMtTNfOLSIIl1TBUsjBOXXeIQ7g==" saltValue="sQ/+j6fdzQgtNJKpywzlOw==" spinCount="100000" sheet="1" autoFilter="0"/>
  <mergeCells count="1">
    <mergeCell ref="A71:D71"/>
  </mergeCells>
  <hyperlinks>
    <hyperlink ref="C1" location="Index!A1" display="Office of the State Controller" xr:uid="{00000000-0004-0000-5700-000000000000}"/>
  </hyperlinks>
  <pageMargins left="0.7" right="0.7" top="0.75" bottom="0.75" header="0.3" footer="0.3"/>
  <pageSetup scale="60" orientation="portrait" horizontalDpi="1200" verticalDpi="1200" r:id="rId1"/>
  <rowBreaks count="3" manualBreakCount="3">
    <brk id="68" max="16383" man="1"/>
    <brk id="108" max="16383" man="1"/>
    <brk id="148" max="1638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3">
    <tabColor rgb="FFFF0000"/>
    <pageSetUpPr fitToPage="1"/>
  </sheetPr>
  <dimension ref="A1:J64"/>
  <sheetViews>
    <sheetView workbookViewId="0">
      <selection activeCell="O33" sqref="O33"/>
    </sheetView>
  </sheetViews>
  <sheetFormatPr defaultColWidth="9.42578125" defaultRowHeight="12.75" x14ac:dyDescent="0.2"/>
  <cols>
    <col min="1" max="1" width="38.5703125" style="412" customWidth="1"/>
    <col min="2" max="2" width="11" style="411" customWidth="1"/>
    <col min="3" max="3" width="9.5703125" style="411" customWidth="1"/>
    <col min="4" max="5" width="12.42578125" style="411" customWidth="1"/>
    <col min="6" max="16384" width="9.42578125" style="412"/>
  </cols>
  <sheetData>
    <row r="1" spans="1:10" ht="15.75" x14ac:dyDescent="0.25">
      <c r="A1" s="3135" t="str">
        <f>+Index!$A$1</f>
        <v xml:space="preserve">                                                               Office of the State Controller                                                                </v>
      </c>
      <c r="B1" s="3135"/>
      <c r="C1" s="3135"/>
      <c r="D1" s="3135"/>
      <c r="E1" s="3135"/>
      <c r="F1" s="438"/>
      <c r="G1" s="438"/>
      <c r="H1" s="438"/>
      <c r="I1" s="438"/>
      <c r="J1" s="438"/>
    </row>
    <row r="2" spans="1:10" ht="15.75" x14ac:dyDescent="0.25">
      <c r="A2" s="3136" t="s">
        <v>5293</v>
      </c>
      <c r="B2" s="2548"/>
      <c r="C2" s="2548"/>
      <c r="D2" s="2548"/>
      <c r="E2" s="2548"/>
    </row>
    <row r="3" spans="1:10" x14ac:dyDescent="0.2">
      <c r="A3" s="412" t="s">
        <v>5294</v>
      </c>
    </row>
    <row r="4" spans="1:10" ht="25.5" x14ac:dyDescent="0.2">
      <c r="A4" s="415" t="s">
        <v>758</v>
      </c>
      <c r="B4" s="416" t="s">
        <v>5295</v>
      </c>
      <c r="C4" s="416" t="s">
        <v>5296</v>
      </c>
      <c r="D4" s="416" t="s">
        <v>5297</v>
      </c>
      <c r="E4" s="416" t="s">
        <v>5298</v>
      </c>
    </row>
    <row r="5" spans="1:10" x14ac:dyDescent="0.2">
      <c r="A5" s="413" t="s">
        <v>415</v>
      </c>
      <c r="B5" s="414" t="s">
        <v>5299</v>
      </c>
      <c r="C5" s="414" t="s">
        <v>5299</v>
      </c>
      <c r="D5" s="414" t="s">
        <v>5105</v>
      </c>
      <c r="E5" s="414" t="s">
        <v>5300</v>
      </c>
    </row>
    <row r="6" spans="1:10" x14ac:dyDescent="0.2">
      <c r="A6" s="413" t="s">
        <v>5301</v>
      </c>
      <c r="B6" s="414" t="s">
        <v>5302</v>
      </c>
      <c r="C6" s="414" t="s">
        <v>5303</v>
      </c>
      <c r="D6" s="414" t="s">
        <v>5105</v>
      </c>
      <c r="E6" s="414" t="s">
        <v>5300</v>
      </c>
    </row>
    <row r="7" spans="1:10" x14ac:dyDescent="0.2">
      <c r="A7" s="413" t="s">
        <v>5304</v>
      </c>
      <c r="B7" s="414" t="s">
        <v>5305</v>
      </c>
      <c r="C7" s="414" t="s">
        <v>5306</v>
      </c>
      <c r="D7" s="414" t="s">
        <v>5105</v>
      </c>
      <c r="E7" s="414">
        <v>1113</v>
      </c>
    </row>
    <row r="8" spans="1:10" x14ac:dyDescent="0.2">
      <c r="A8" s="413" t="s">
        <v>5304</v>
      </c>
      <c r="B8" s="414" t="s">
        <v>5305</v>
      </c>
      <c r="C8" s="414" t="s">
        <v>5306</v>
      </c>
      <c r="D8" s="414">
        <v>1114</v>
      </c>
      <c r="E8" s="414">
        <v>1114</v>
      </c>
    </row>
    <row r="9" spans="1:10" x14ac:dyDescent="0.2">
      <c r="A9" s="413" t="s">
        <v>415</v>
      </c>
      <c r="B9" s="414" t="s">
        <v>5305</v>
      </c>
      <c r="C9" s="414" t="s">
        <v>5306</v>
      </c>
      <c r="D9" s="414">
        <v>1115</v>
      </c>
      <c r="E9" s="414">
        <v>1121</v>
      </c>
    </row>
    <row r="10" spans="1:10" x14ac:dyDescent="0.2">
      <c r="A10" s="413" t="s">
        <v>5307</v>
      </c>
      <c r="B10" s="414" t="s">
        <v>5305</v>
      </c>
      <c r="C10" s="414" t="s">
        <v>5306</v>
      </c>
      <c r="D10" s="414">
        <v>1122</v>
      </c>
      <c r="E10" s="414">
        <v>1122</v>
      </c>
    </row>
    <row r="11" spans="1:10" x14ac:dyDescent="0.2">
      <c r="A11" s="413" t="s">
        <v>415</v>
      </c>
      <c r="B11" s="414" t="s">
        <v>5305</v>
      </c>
      <c r="C11" s="414" t="s">
        <v>5306</v>
      </c>
      <c r="D11" s="414">
        <v>1123</v>
      </c>
      <c r="E11" s="414" t="s">
        <v>5308</v>
      </c>
    </row>
    <row r="12" spans="1:10" x14ac:dyDescent="0.2">
      <c r="A12" s="413" t="s">
        <v>5309</v>
      </c>
      <c r="B12" s="414" t="s">
        <v>5305</v>
      </c>
      <c r="C12" s="414" t="s">
        <v>5306</v>
      </c>
      <c r="D12" s="414">
        <v>1400</v>
      </c>
      <c r="E12" s="414">
        <v>1499</v>
      </c>
    </row>
    <row r="13" spans="1:10" x14ac:dyDescent="0.2">
      <c r="A13" s="413" t="s">
        <v>415</v>
      </c>
      <c r="B13" s="414" t="s">
        <v>5305</v>
      </c>
      <c r="C13" s="414" t="s">
        <v>5306</v>
      </c>
      <c r="D13" s="414">
        <v>1500</v>
      </c>
      <c r="E13" s="414" t="s">
        <v>5310</v>
      </c>
    </row>
    <row r="14" spans="1:10" x14ac:dyDescent="0.2">
      <c r="A14" s="413" t="s">
        <v>415</v>
      </c>
      <c r="B14" s="414" t="s">
        <v>5311</v>
      </c>
      <c r="C14" s="414" t="s">
        <v>5311</v>
      </c>
      <c r="D14" s="414" t="s">
        <v>5105</v>
      </c>
      <c r="E14" s="414" t="s">
        <v>5300</v>
      </c>
    </row>
    <row r="15" spans="1:10" x14ac:dyDescent="0.2">
      <c r="A15" s="413" t="s">
        <v>415</v>
      </c>
      <c r="B15" s="414" t="s">
        <v>5312</v>
      </c>
      <c r="C15" s="414" t="s">
        <v>5313</v>
      </c>
      <c r="D15" s="414" t="s">
        <v>5105</v>
      </c>
      <c r="E15" s="414" t="s">
        <v>5300</v>
      </c>
    </row>
    <row r="16" spans="1:10" x14ac:dyDescent="0.2">
      <c r="A16" s="413" t="s">
        <v>415</v>
      </c>
      <c r="B16" s="414" t="s">
        <v>5314</v>
      </c>
      <c r="C16" s="414" t="s">
        <v>5314</v>
      </c>
      <c r="D16" s="414" t="s">
        <v>5105</v>
      </c>
      <c r="E16" s="414" t="s">
        <v>5300</v>
      </c>
    </row>
    <row r="17" spans="1:5" x14ac:dyDescent="0.2">
      <c r="A17" s="413" t="s">
        <v>415</v>
      </c>
      <c r="B17" s="414" t="s">
        <v>5315</v>
      </c>
      <c r="C17" s="414" t="s">
        <v>5316</v>
      </c>
      <c r="D17" s="414" t="s">
        <v>5105</v>
      </c>
      <c r="E17" s="414">
        <v>1111</v>
      </c>
    </row>
    <row r="18" spans="1:5" x14ac:dyDescent="0.2">
      <c r="A18" s="413" t="s">
        <v>415</v>
      </c>
      <c r="B18" s="414" t="s">
        <v>5315</v>
      </c>
      <c r="C18" s="414" t="s">
        <v>5316</v>
      </c>
      <c r="D18" s="414">
        <v>1113</v>
      </c>
      <c r="E18" s="414">
        <v>1122</v>
      </c>
    </row>
    <row r="19" spans="1:5" x14ac:dyDescent="0.2">
      <c r="A19" s="413" t="s">
        <v>5317</v>
      </c>
      <c r="B19" s="414" t="s">
        <v>5315</v>
      </c>
      <c r="C19" s="414" t="s">
        <v>5316</v>
      </c>
      <c r="D19" s="414">
        <v>1123</v>
      </c>
      <c r="E19" s="414">
        <v>1123</v>
      </c>
    </row>
    <row r="20" spans="1:5" x14ac:dyDescent="0.2">
      <c r="A20" s="413" t="s">
        <v>415</v>
      </c>
      <c r="B20" s="414" t="s">
        <v>5315</v>
      </c>
      <c r="C20" s="414" t="s">
        <v>5316</v>
      </c>
      <c r="D20" s="414">
        <v>1124</v>
      </c>
      <c r="E20" s="414">
        <v>1391</v>
      </c>
    </row>
    <row r="21" spans="1:5" x14ac:dyDescent="0.2">
      <c r="A21" s="413" t="s">
        <v>5318</v>
      </c>
      <c r="B21" s="414" t="s">
        <v>5315</v>
      </c>
      <c r="C21" s="414" t="s">
        <v>5316</v>
      </c>
      <c r="D21" s="414">
        <v>1394</v>
      </c>
      <c r="E21" s="414">
        <v>1394</v>
      </c>
    </row>
    <row r="22" spans="1:5" x14ac:dyDescent="0.2">
      <c r="A22" s="413" t="s">
        <v>415</v>
      </c>
      <c r="B22" s="414" t="s">
        <v>5315</v>
      </c>
      <c r="C22" s="414" t="s">
        <v>5316</v>
      </c>
      <c r="D22" s="414">
        <v>1395</v>
      </c>
      <c r="E22" s="414">
        <v>1398</v>
      </c>
    </row>
    <row r="23" spans="1:5" x14ac:dyDescent="0.2">
      <c r="A23" s="413" t="s">
        <v>415</v>
      </c>
      <c r="B23" s="414" t="s">
        <v>5319</v>
      </c>
      <c r="C23" s="414" t="s">
        <v>5320</v>
      </c>
      <c r="D23" s="414">
        <v>1100</v>
      </c>
      <c r="E23" s="414">
        <v>1106</v>
      </c>
    </row>
    <row r="24" spans="1:5" x14ac:dyDescent="0.2">
      <c r="A24" s="413" t="s">
        <v>415</v>
      </c>
      <c r="B24" s="414" t="s">
        <v>5320</v>
      </c>
      <c r="C24" s="414" t="s">
        <v>5320</v>
      </c>
      <c r="D24" s="414">
        <v>1300</v>
      </c>
      <c r="E24" s="414">
        <v>1361</v>
      </c>
    </row>
    <row r="25" spans="1:5" x14ac:dyDescent="0.2">
      <c r="A25" s="413" t="s">
        <v>5317</v>
      </c>
      <c r="B25" s="414" t="s">
        <v>5320</v>
      </c>
      <c r="C25" s="414" t="s">
        <v>5320</v>
      </c>
      <c r="D25" s="414">
        <v>1362</v>
      </c>
      <c r="E25" s="414">
        <v>1362</v>
      </c>
    </row>
    <row r="26" spans="1:5" ht="12" customHeight="1" x14ac:dyDescent="0.2">
      <c r="A26" s="413" t="s">
        <v>415</v>
      </c>
      <c r="B26" s="414" t="s">
        <v>5320</v>
      </c>
      <c r="C26" s="414" t="s">
        <v>5320</v>
      </c>
      <c r="D26" s="414">
        <v>1363</v>
      </c>
      <c r="E26" s="414">
        <v>1365</v>
      </c>
    </row>
    <row r="27" spans="1:5" x14ac:dyDescent="0.2">
      <c r="A27" s="413" t="s">
        <v>835</v>
      </c>
      <c r="B27" s="414" t="s">
        <v>5320</v>
      </c>
      <c r="C27" s="414" t="s">
        <v>5320</v>
      </c>
      <c r="D27" s="414">
        <v>1371</v>
      </c>
      <c r="E27" s="414">
        <v>1371</v>
      </c>
    </row>
    <row r="28" spans="1:5" x14ac:dyDescent="0.2">
      <c r="A28" s="413" t="s">
        <v>415</v>
      </c>
      <c r="B28" s="414" t="s">
        <v>5320</v>
      </c>
      <c r="C28" s="414" t="s">
        <v>5320</v>
      </c>
      <c r="D28" s="414">
        <v>1372</v>
      </c>
      <c r="E28" s="414">
        <v>1398</v>
      </c>
    </row>
    <row r="29" spans="1:5" x14ac:dyDescent="0.2">
      <c r="A29" s="413" t="s">
        <v>415</v>
      </c>
      <c r="B29" s="414" t="s">
        <v>5315</v>
      </c>
      <c r="C29" s="414" t="s">
        <v>5320</v>
      </c>
      <c r="D29" s="414">
        <v>1400</v>
      </c>
      <c r="E29" s="414">
        <v>1499</v>
      </c>
    </row>
    <row r="30" spans="1:5" x14ac:dyDescent="0.2">
      <c r="A30" s="413" t="s">
        <v>5304</v>
      </c>
      <c r="B30" s="414" t="s">
        <v>5321</v>
      </c>
      <c r="C30" s="414" t="s">
        <v>5322</v>
      </c>
      <c r="D30" s="414" t="s">
        <v>5105</v>
      </c>
      <c r="E30" s="414" t="s">
        <v>5300</v>
      </c>
    </row>
    <row r="31" spans="1:5" x14ac:dyDescent="0.2">
      <c r="A31" s="413" t="s">
        <v>5301</v>
      </c>
      <c r="B31" s="414" t="s">
        <v>5323</v>
      </c>
      <c r="C31" s="414" t="s">
        <v>5323</v>
      </c>
      <c r="D31" s="414" t="s">
        <v>5105</v>
      </c>
      <c r="E31" s="414" t="s">
        <v>5300</v>
      </c>
    </row>
    <row r="32" spans="1:5" x14ac:dyDescent="0.2">
      <c r="A32" s="413" t="s">
        <v>477</v>
      </c>
      <c r="B32" s="414" t="s">
        <v>5324</v>
      </c>
      <c r="C32" s="414" t="s">
        <v>5325</v>
      </c>
      <c r="D32" s="414" t="s">
        <v>5105</v>
      </c>
      <c r="E32" s="414" t="s">
        <v>5300</v>
      </c>
    </row>
    <row r="33" spans="1:5" x14ac:dyDescent="0.2">
      <c r="A33" s="413" t="s">
        <v>5301</v>
      </c>
      <c r="B33" s="414" t="s">
        <v>5326</v>
      </c>
      <c r="C33" s="414" t="s">
        <v>5327</v>
      </c>
      <c r="D33" s="414" t="s">
        <v>5105</v>
      </c>
      <c r="E33" s="414" t="s">
        <v>5300</v>
      </c>
    </row>
    <row r="34" spans="1:5" x14ac:dyDescent="0.2">
      <c r="A34" s="413" t="s">
        <v>5301</v>
      </c>
      <c r="B34" s="414" t="s">
        <v>5328</v>
      </c>
      <c r="C34" s="414" t="s">
        <v>5329</v>
      </c>
      <c r="D34" s="414" t="s">
        <v>5105</v>
      </c>
      <c r="E34" s="414" t="s">
        <v>5300</v>
      </c>
    </row>
    <row r="35" spans="1:5" x14ac:dyDescent="0.2">
      <c r="A35" s="413" t="s">
        <v>415</v>
      </c>
      <c r="B35" s="414" t="s">
        <v>5330</v>
      </c>
      <c r="C35" s="414" t="s">
        <v>5331</v>
      </c>
      <c r="D35" s="414" t="s">
        <v>5105</v>
      </c>
      <c r="E35" s="414">
        <v>1326</v>
      </c>
    </row>
    <row r="36" spans="1:5" x14ac:dyDescent="0.2">
      <c r="A36" s="413" t="s">
        <v>5317</v>
      </c>
      <c r="B36" s="414">
        <v>134</v>
      </c>
      <c r="C36" s="414" t="s">
        <v>5331</v>
      </c>
      <c r="D36" s="414">
        <v>1330</v>
      </c>
      <c r="E36" s="414">
        <v>1330</v>
      </c>
    </row>
    <row r="37" spans="1:5" x14ac:dyDescent="0.2">
      <c r="A37" s="413" t="s">
        <v>415</v>
      </c>
      <c r="B37" s="414" t="s">
        <v>5330</v>
      </c>
      <c r="C37" s="414" t="s">
        <v>5331</v>
      </c>
      <c r="D37" s="414">
        <v>1335</v>
      </c>
      <c r="E37" s="414">
        <v>1398</v>
      </c>
    </row>
    <row r="38" spans="1:5" x14ac:dyDescent="0.2">
      <c r="A38" s="413" t="s">
        <v>5309</v>
      </c>
      <c r="B38" s="414">
        <v>130</v>
      </c>
      <c r="C38" s="414">
        <v>134</v>
      </c>
      <c r="D38" s="414">
        <v>1400</v>
      </c>
      <c r="E38" s="414">
        <v>1499</v>
      </c>
    </row>
    <row r="39" spans="1:5" x14ac:dyDescent="0.2">
      <c r="A39" s="413" t="s">
        <v>415</v>
      </c>
      <c r="B39" s="414" t="s">
        <v>5332</v>
      </c>
      <c r="C39" s="414" t="s">
        <v>5332</v>
      </c>
      <c r="D39" s="414" t="s">
        <v>5105</v>
      </c>
      <c r="E39" s="414" t="s">
        <v>5300</v>
      </c>
    </row>
    <row r="40" spans="1:5" x14ac:dyDescent="0.2">
      <c r="A40" s="413" t="s">
        <v>5304</v>
      </c>
      <c r="B40" s="414" t="s">
        <v>5333</v>
      </c>
      <c r="C40" s="414" t="s">
        <v>5334</v>
      </c>
      <c r="D40" s="414" t="s">
        <v>5105</v>
      </c>
      <c r="E40" s="414" t="s">
        <v>5300</v>
      </c>
    </row>
    <row r="41" spans="1:5" x14ac:dyDescent="0.2">
      <c r="A41" s="413" t="s">
        <v>5317</v>
      </c>
      <c r="B41" s="414" t="s">
        <v>5335</v>
      </c>
      <c r="C41" s="414" t="s">
        <v>5336</v>
      </c>
      <c r="D41" s="414" t="s">
        <v>5105</v>
      </c>
      <c r="E41" s="414" t="s">
        <v>5300</v>
      </c>
    </row>
    <row r="42" spans="1:5" x14ac:dyDescent="0.2">
      <c r="A42" s="413" t="s">
        <v>5317</v>
      </c>
      <c r="B42" s="414" t="s">
        <v>5337</v>
      </c>
      <c r="C42" s="414" t="s">
        <v>5337</v>
      </c>
      <c r="D42" s="414" t="s">
        <v>5105</v>
      </c>
      <c r="E42" s="414" t="s">
        <v>5300</v>
      </c>
    </row>
    <row r="43" spans="1:5" x14ac:dyDescent="0.2">
      <c r="A43" s="413" t="s">
        <v>5301</v>
      </c>
      <c r="B43" s="414" t="s">
        <v>5338</v>
      </c>
      <c r="C43" s="414" t="s">
        <v>5339</v>
      </c>
      <c r="D43" s="414" t="s">
        <v>5105</v>
      </c>
      <c r="E43" s="414" t="s">
        <v>5300</v>
      </c>
    </row>
    <row r="44" spans="1:5" x14ac:dyDescent="0.2">
      <c r="A44" s="413" t="s">
        <v>5307</v>
      </c>
      <c r="B44" s="414" t="s">
        <v>5340</v>
      </c>
      <c r="C44" s="414" t="s">
        <v>5341</v>
      </c>
      <c r="D44" s="414" t="s">
        <v>5105</v>
      </c>
      <c r="E44" s="414" t="s">
        <v>5300</v>
      </c>
    </row>
    <row r="45" spans="1:5" x14ac:dyDescent="0.2">
      <c r="A45" s="413" t="s">
        <v>415</v>
      </c>
      <c r="B45" s="414">
        <v>400</v>
      </c>
      <c r="C45" s="414">
        <v>400</v>
      </c>
      <c r="D45" s="414" t="s">
        <v>5105</v>
      </c>
      <c r="E45" s="414" t="s">
        <v>5300</v>
      </c>
    </row>
    <row r="46" spans="1:5" x14ac:dyDescent="0.2">
      <c r="A46" s="413" t="s">
        <v>415</v>
      </c>
      <c r="B46" s="414" t="s">
        <v>5342</v>
      </c>
      <c r="C46" s="414" t="s">
        <v>5342</v>
      </c>
      <c r="D46" s="414" t="s">
        <v>5105</v>
      </c>
      <c r="E46" s="414" t="s">
        <v>5343</v>
      </c>
    </row>
    <row r="47" spans="1:5" x14ac:dyDescent="0.2">
      <c r="A47" s="413" t="s">
        <v>5307</v>
      </c>
      <c r="B47" s="414" t="s">
        <v>5342</v>
      </c>
      <c r="C47" s="414" t="s">
        <v>5342</v>
      </c>
      <c r="D47" s="414" t="s">
        <v>5344</v>
      </c>
      <c r="E47" s="414" t="s">
        <v>5344</v>
      </c>
    </row>
    <row r="48" spans="1:5" x14ac:dyDescent="0.2">
      <c r="A48" s="413" t="s">
        <v>415</v>
      </c>
      <c r="B48" s="414" t="s">
        <v>5342</v>
      </c>
      <c r="C48" s="414" t="s">
        <v>5342</v>
      </c>
      <c r="D48" s="414" t="s">
        <v>5345</v>
      </c>
      <c r="E48" s="414" t="s">
        <v>5346</v>
      </c>
    </row>
    <row r="49" spans="1:5" x14ac:dyDescent="0.2">
      <c r="A49" s="413" t="s">
        <v>5301</v>
      </c>
      <c r="B49" s="414" t="s">
        <v>5342</v>
      </c>
      <c r="C49" s="414" t="s">
        <v>5342</v>
      </c>
      <c r="D49" s="414" t="s">
        <v>5347</v>
      </c>
      <c r="E49" s="414" t="s">
        <v>5347</v>
      </c>
    </row>
    <row r="50" spans="1:5" x14ac:dyDescent="0.2">
      <c r="A50" s="413" t="s">
        <v>415</v>
      </c>
      <c r="B50" s="414" t="s">
        <v>5342</v>
      </c>
      <c r="C50" s="414" t="s">
        <v>5342</v>
      </c>
      <c r="D50" s="414" t="s">
        <v>5348</v>
      </c>
      <c r="E50" s="414" t="s">
        <v>5300</v>
      </c>
    </row>
    <row r="51" spans="1:5" ht="14.25" customHeight="1" x14ac:dyDescent="0.2">
      <c r="A51" s="413" t="s">
        <v>416</v>
      </c>
      <c r="B51" s="414" t="s">
        <v>5349</v>
      </c>
      <c r="C51" s="414" t="s">
        <v>5350</v>
      </c>
      <c r="D51" s="414" t="s">
        <v>5105</v>
      </c>
      <c r="E51" s="414" t="s">
        <v>5300</v>
      </c>
    </row>
    <row r="52" spans="1:5" x14ac:dyDescent="0.2">
      <c r="A52" s="413" t="s">
        <v>415</v>
      </c>
      <c r="B52" s="414" t="s">
        <v>5351</v>
      </c>
      <c r="C52" s="414" t="s">
        <v>5352</v>
      </c>
      <c r="D52" s="414" t="s">
        <v>5105</v>
      </c>
      <c r="E52" s="414" t="s">
        <v>5300</v>
      </c>
    </row>
    <row r="53" spans="1:5" x14ac:dyDescent="0.2">
      <c r="A53" s="413" t="s">
        <v>5317</v>
      </c>
      <c r="B53" s="414" t="s">
        <v>5353</v>
      </c>
      <c r="C53" s="414" t="s">
        <v>5354</v>
      </c>
      <c r="D53" s="414" t="s">
        <v>5105</v>
      </c>
      <c r="E53" s="414" t="s">
        <v>5300</v>
      </c>
    </row>
    <row r="54" spans="1:5" x14ac:dyDescent="0.2">
      <c r="A54" s="413" t="s">
        <v>455</v>
      </c>
      <c r="B54" s="414" t="s">
        <v>5355</v>
      </c>
      <c r="C54" s="414" t="s">
        <v>5355</v>
      </c>
      <c r="D54" s="414" t="s">
        <v>5105</v>
      </c>
      <c r="E54" s="414">
        <v>1398</v>
      </c>
    </row>
    <row r="55" spans="1:5" x14ac:dyDescent="0.2">
      <c r="A55" s="413" t="s">
        <v>5309</v>
      </c>
      <c r="B55" s="414" t="s">
        <v>5355</v>
      </c>
      <c r="C55" s="414" t="s">
        <v>5355</v>
      </c>
      <c r="D55" s="414">
        <v>1400</v>
      </c>
      <c r="E55" s="414">
        <v>1499</v>
      </c>
    </row>
    <row r="56" spans="1:5" x14ac:dyDescent="0.2">
      <c r="A56" s="413" t="s">
        <v>5301</v>
      </c>
      <c r="B56" s="1815">
        <v>520</v>
      </c>
      <c r="C56" s="1815">
        <v>520</v>
      </c>
      <c r="D56" s="1815">
        <v>1100</v>
      </c>
      <c r="E56" s="414" t="s">
        <v>5356</v>
      </c>
    </row>
    <row r="57" spans="1:5" x14ac:dyDescent="0.2">
      <c r="A57" s="413" t="s">
        <v>415</v>
      </c>
      <c r="B57" s="414" t="s">
        <v>5357</v>
      </c>
      <c r="C57" s="414" t="s">
        <v>5358</v>
      </c>
      <c r="D57" s="414" t="s">
        <v>5105</v>
      </c>
      <c r="E57" s="414" t="s">
        <v>5300</v>
      </c>
    </row>
    <row r="58" spans="1:5" x14ac:dyDescent="0.2">
      <c r="A58" s="413" t="s">
        <v>415</v>
      </c>
      <c r="B58" s="414" t="s">
        <v>5359</v>
      </c>
      <c r="C58" s="414" t="s">
        <v>5359</v>
      </c>
      <c r="D58" s="414" t="s">
        <v>5105</v>
      </c>
      <c r="E58" s="414" t="s">
        <v>5300</v>
      </c>
    </row>
    <row r="59" spans="1:5" x14ac:dyDescent="0.2">
      <c r="A59" s="413" t="s">
        <v>5304</v>
      </c>
      <c r="B59" s="414" t="s">
        <v>5360</v>
      </c>
      <c r="C59" s="414" t="s">
        <v>5360</v>
      </c>
      <c r="D59" s="414" t="s">
        <v>5105</v>
      </c>
      <c r="E59" s="414" t="s">
        <v>5300</v>
      </c>
    </row>
    <row r="60" spans="1:5" x14ac:dyDescent="0.2">
      <c r="A60" s="413" t="s">
        <v>415</v>
      </c>
      <c r="B60" s="414" t="s">
        <v>5361</v>
      </c>
      <c r="C60" s="414" t="s">
        <v>5361</v>
      </c>
      <c r="D60" s="414" t="s">
        <v>5105</v>
      </c>
      <c r="E60" s="414" t="s">
        <v>5362</v>
      </c>
    </row>
    <row r="61" spans="1:5" x14ac:dyDescent="0.2">
      <c r="A61" s="413" t="s">
        <v>5304</v>
      </c>
      <c r="B61" s="414" t="s">
        <v>5363</v>
      </c>
      <c r="C61" s="414" t="s">
        <v>5364</v>
      </c>
      <c r="D61" s="414" t="s">
        <v>5105</v>
      </c>
      <c r="E61" s="414" t="s">
        <v>5300</v>
      </c>
    </row>
    <row r="63" spans="1:5" x14ac:dyDescent="0.2">
      <c r="A63" s="855" t="s">
        <v>5365</v>
      </c>
    </row>
    <row r="64" spans="1:5" x14ac:dyDescent="0.2">
      <c r="A64" s="855" t="s">
        <v>5366</v>
      </c>
    </row>
  </sheetData>
  <sheetProtection algorithmName="SHA-512" hashValue="R3cS2aIcPyQgyJG9XNpi4qEeWWj3z728jF1DiMniNow87LDnagFR4E0APyvgyz5Funobs64uv4ebjRUzfY3M/g==" saltValue="7G+JTG1aAz0Ttgt9BB3z2A==" spinCount="100000" sheet="1" autoFilter="0"/>
  <customSheetViews>
    <customSheetView guid="{9FCFC836-1CA5-48BF-958D-24D2EA94B219}">
      <selection sqref="A1:E1"/>
      <pageMargins left="0" right="0" top="0" bottom="0" header="0" footer="0"/>
      <pageSetup orientation="portrait" r:id="rId1"/>
    </customSheetView>
    <customSheetView guid="{B08879A4-635B-4C39-9937-AC7883D562FC}">
      <selection sqref="A1:E1"/>
      <pageMargins left="0" right="0" top="0" bottom="0" header="0" footer="0"/>
      <pageSetup orientation="portrait" r:id="rId2"/>
    </customSheetView>
  </customSheetViews>
  <mergeCells count="2">
    <mergeCell ref="A1:E1"/>
    <mergeCell ref="A2:E2"/>
  </mergeCells>
  <phoneticPr fontId="96" type="noConversion"/>
  <hyperlinks>
    <hyperlink ref="A1:I1" location="Index!A1" display="Index!A1" xr:uid="{00000000-0004-0000-5800-000000000000}"/>
  </hyperlinks>
  <pageMargins left="0.7" right="0.7" top="0.5" bottom="0.5" header="0.3" footer="0.3"/>
  <pageSetup scale="90" orientation="portrait" r:id="rId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84">
    <tabColor rgb="FFFFFF00"/>
  </sheetPr>
  <dimension ref="A1:L49"/>
  <sheetViews>
    <sheetView zoomScaleNormal="100" workbookViewId="0">
      <selection activeCell="C37" sqref="C37"/>
    </sheetView>
  </sheetViews>
  <sheetFormatPr defaultColWidth="9.42578125" defaultRowHeight="12.75" x14ac:dyDescent="0.2"/>
  <cols>
    <col min="1" max="1" width="10" style="566" customWidth="1"/>
    <col min="2" max="2" width="43.5703125" style="566" customWidth="1"/>
    <col min="3" max="3" width="21.5703125" style="566" customWidth="1"/>
    <col min="4" max="4" width="13" style="566" customWidth="1"/>
    <col min="5" max="5" width="11" style="566" customWidth="1"/>
    <col min="6" max="6" width="10" style="566" customWidth="1"/>
    <col min="7" max="7" width="4" style="566" customWidth="1"/>
    <col min="8" max="8" width="9.42578125" style="566"/>
    <col min="9" max="9" width="22.140625" style="885" customWidth="1"/>
    <col min="10" max="10" width="12.7109375" style="566" customWidth="1"/>
    <col min="11" max="11" width="19.85546875" style="566" customWidth="1"/>
    <col min="12" max="12" width="14.42578125" style="566" customWidth="1"/>
    <col min="13" max="16384" width="9.42578125" style="566"/>
  </cols>
  <sheetData>
    <row r="1" spans="1:12" x14ac:dyDescent="0.2">
      <c r="B1" s="664" t="s">
        <v>5367</v>
      </c>
      <c r="C1" s="745"/>
      <c r="I1" s="1208"/>
    </row>
    <row r="2" spans="1:12" ht="12.75" customHeight="1" x14ac:dyDescent="0.2">
      <c r="B2" s="587" t="s">
        <v>5368</v>
      </c>
      <c r="C2" s="587"/>
      <c r="I2" s="1208"/>
    </row>
    <row r="3" spans="1:12" ht="51" customHeight="1" x14ac:dyDescent="0.2">
      <c r="A3" s="563" t="s">
        <v>5369</v>
      </c>
      <c r="B3" s="565" t="s">
        <v>5370</v>
      </c>
      <c r="C3" s="564" t="s">
        <v>5371</v>
      </c>
      <c r="D3" s="565" t="s">
        <v>5372</v>
      </c>
      <c r="E3" s="709" t="s">
        <v>5373</v>
      </c>
      <c r="F3" s="565"/>
      <c r="G3" s="565"/>
      <c r="I3" s="1208"/>
      <c r="K3" s="566" t="s">
        <v>5374</v>
      </c>
    </row>
    <row r="4" spans="1:12" ht="13.5" customHeight="1" x14ac:dyDescent="0.2">
      <c r="A4" s="563"/>
      <c r="B4" s="565"/>
      <c r="C4" s="565"/>
      <c r="D4" s="565"/>
      <c r="F4" s="565"/>
      <c r="G4" s="565"/>
      <c r="I4" s="1208"/>
    </row>
    <row r="5" spans="1:12" ht="15.75" x14ac:dyDescent="0.25">
      <c r="A5" s="577" t="s">
        <v>4634</v>
      </c>
      <c r="B5" s="568" t="s">
        <v>5375</v>
      </c>
      <c r="C5" s="1820">
        <f>PriorYr905!E261</f>
        <v>2892342045.4299998</v>
      </c>
      <c r="D5" s="570" t="s">
        <v>4646</v>
      </c>
      <c r="E5" s="587" t="s">
        <v>5376</v>
      </c>
      <c r="F5" s="569" t="str">
        <f>IF(SUM(C6:C14)=C5,"ok","Problem: sum of net position for the 48 entities should equal 48X net position")</f>
        <v>ok</v>
      </c>
      <c r="I5" s="1208"/>
      <c r="K5" s="1208">
        <v>2586929488.8099999</v>
      </c>
    </row>
    <row r="6" spans="1:12" ht="15.75" x14ac:dyDescent="0.25">
      <c r="A6" s="589" t="s">
        <v>4636</v>
      </c>
      <c r="B6" s="570" t="s">
        <v>4660</v>
      </c>
      <c r="C6" s="569">
        <f>PriorYr905!F261</f>
        <v>1536837782</v>
      </c>
      <c r="D6" s="570" t="s">
        <v>4647</v>
      </c>
      <c r="E6" s="587" t="s">
        <v>5376</v>
      </c>
      <c r="F6" s="569"/>
      <c r="I6" s="1208"/>
      <c r="K6" s="1208">
        <v>1251877019.8299999</v>
      </c>
    </row>
    <row r="7" spans="1:12" ht="15.75" x14ac:dyDescent="0.25">
      <c r="A7" s="577" t="s">
        <v>4637</v>
      </c>
      <c r="B7" s="570" t="s">
        <v>5025</v>
      </c>
      <c r="C7" s="569">
        <f>PriorYr905!G261</f>
        <v>230171095.75</v>
      </c>
      <c r="D7" s="571">
        <v>2635</v>
      </c>
      <c r="E7" s="587" t="s">
        <v>5376</v>
      </c>
      <c r="F7" s="569"/>
      <c r="I7" s="1208"/>
      <c r="K7" s="1208">
        <v>165095146.65000001</v>
      </c>
    </row>
    <row r="8" spans="1:12" ht="15.75" x14ac:dyDescent="0.25">
      <c r="A8" s="577" t="s">
        <v>4638</v>
      </c>
      <c r="B8" s="570" t="s">
        <v>5026</v>
      </c>
      <c r="C8" s="569">
        <f>PriorYr905!H261</f>
        <v>20379201</v>
      </c>
      <c r="D8" s="571">
        <v>2632</v>
      </c>
      <c r="E8" s="587" t="s">
        <v>5376</v>
      </c>
      <c r="F8" s="569"/>
      <c r="I8" s="1208"/>
      <c r="K8" s="1208">
        <v>27173156</v>
      </c>
    </row>
    <row r="9" spans="1:12" ht="15.75" x14ac:dyDescent="0.25">
      <c r="A9" s="577" t="s">
        <v>4639</v>
      </c>
      <c r="B9" s="570" t="s">
        <v>5027</v>
      </c>
      <c r="C9" s="569">
        <f>PriorYr905!I261</f>
        <v>992570401.48000002</v>
      </c>
      <c r="D9" s="571">
        <v>2637</v>
      </c>
      <c r="E9" s="587" t="s">
        <v>5376</v>
      </c>
      <c r="F9" s="569"/>
      <c r="I9" s="1208"/>
      <c r="K9" s="1208">
        <v>1004993015.99</v>
      </c>
    </row>
    <row r="10" spans="1:12" ht="15.75" x14ac:dyDescent="0.25">
      <c r="A10" s="577" t="s">
        <v>4640</v>
      </c>
      <c r="B10" s="570" t="s">
        <v>5028</v>
      </c>
      <c r="C10" s="569">
        <f>PriorYr905!J261</f>
        <v>-8756257.8200000003</v>
      </c>
      <c r="D10" s="571">
        <v>2638</v>
      </c>
      <c r="E10" s="587" t="s">
        <v>5376</v>
      </c>
      <c r="F10" s="569"/>
      <c r="I10" s="1208"/>
      <c r="K10" s="1208">
        <v>-2305104.1800000002</v>
      </c>
    </row>
    <row r="11" spans="1:12" ht="15.75" x14ac:dyDescent="0.25">
      <c r="A11" s="577" t="s">
        <v>4641</v>
      </c>
      <c r="B11" s="570" t="s">
        <v>5377</v>
      </c>
      <c r="C11" s="569">
        <f>PriorYr905!K261</f>
        <v>46680181.479999997</v>
      </c>
      <c r="D11" s="571">
        <v>2639</v>
      </c>
      <c r="E11" s="587" t="s">
        <v>5376</v>
      </c>
      <c r="F11" s="569"/>
      <c r="I11" s="1208"/>
      <c r="K11" s="1208">
        <v>51946496.740000002</v>
      </c>
    </row>
    <row r="12" spans="1:12" ht="15.75" x14ac:dyDescent="0.25">
      <c r="A12" s="577" t="s">
        <v>4644</v>
      </c>
      <c r="B12" s="570" t="s">
        <v>5378</v>
      </c>
      <c r="C12" s="569">
        <f>PriorYr905!L261</f>
        <v>0</v>
      </c>
      <c r="D12" s="570" t="s">
        <v>4646</v>
      </c>
      <c r="E12" s="587" t="s">
        <v>5376</v>
      </c>
      <c r="F12" s="569"/>
      <c r="I12" s="1208"/>
      <c r="K12" s="1208">
        <v>0</v>
      </c>
    </row>
    <row r="13" spans="1:12" ht="15.75" x14ac:dyDescent="0.25">
      <c r="A13" s="577" t="s">
        <v>4642</v>
      </c>
      <c r="B13" s="570" t="s">
        <v>5030</v>
      </c>
      <c r="C13" s="569">
        <f>PriorYr905!M261</f>
        <v>-2932183.21</v>
      </c>
      <c r="D13" s="570" t="s">
        <v>4646</v>
      </c>
      <c r="E13" s="587" t="s">
        <v>5376</v>
      </c>
      <c r="F13" s="569"/>
      <c r="I13" s="1208"/>
      <c r="K13" s="1208">
        <v>11127369.91</v>
      </c>
    </row>
    <row r="14" spans="1:12" ht="15.75" x14ac:dyDescent="0.25">
      <c r="A14" s="577" t="s">
        <v>4643</v>
      </c>
      <c r="B14" s="570" t="s">
        <v>5379</v>
      </c>
      <c r="C14" s="569">
        <f>PriorYr905!N261</f>
        <v>77391824.75</v>
      </c>
      <c r="D14" s="570" t="s">
        <v>4646</v>
      </c>
      <c r="E14" s="587" t="s">
        <v>5376</v>
      </c>
      <c r="F14" s="569"/>
      <c r="I14" s="1208"/>
      <c r="K14" s="1208">
        <v>77022387.870000005</v>
      </c>
    </row>
    <row r="15" spans="1:12" ht="15.75" x14ac:dyDescent="0.25">
      <c r="A15" s="588" t="s">
        <v>5047</v>
      </c>
      <c r="B15" s="570" t="s">
        <v>5048</v>
      </c>
      <c r="C15" s="2024">
        <v>100236887.28</v>
      </c>
      <c r="D15" s="570" t="s">
        <v>1951</v>
      </c>
      <c r="E15" s="587" t="s">
        <v>5380</v>
      </c>
      <c r="F15" s="1092" t="s">
        <v>5381</v>
      </c>
      <c r="I15" s="1208"/>
      <c r="K15" s="1208">
        <v>85961236.840000004</v>
      </c>
      <c r="L15" s="1817"/>
    </row>
    <row r="16" spans="1:12" ht="15.75" x14ac:dyDescent="0.25">
      <c r="A16" s="577" t="s">
        <v>5055</v>
      </c>
      <c r="B16" s="570" t="s">
        <v>5056</v>
      </c>
      <c r="C16" s="1820">
        <f>PriorYr905!O261</f>
        <v>190988993.12</v>
      </c>
      <c r="D16" s="570" t="s">
        <v>1951</v>
      </c>
      <c r="E16" s="587" t="s">
        <v>5376</v>
      </c>
      <c r="F16" s="569" t="s">
        <v>5382</v>
      </c>
      <c r="I16" s="1208"/>
      <c r="K16" s="1208">
        <v>182847921.52000001</v>
      </c>
    </row>
    <row r="17" spans="1:11" ht="15.75" x14ac:dyDescent="0.25">
      <c r="A17" s="577" t="s">
        <v>5057</v>
      </c>
      <c r="B17" s="570" t="s">
        <v>5058</v>
      </c>
      <c r="C17" s="1820">
        <f>PriorYr905!P261</f>
        <v>4371427091.21</v>
      </c>
      <c r="D17" s="570" t="s">
        <v>1951</v>
      </c>
      <c r="E17" s="587" t="s">
        <v>5376</v>
      </c>
      <c r="F17" s="569" t="s">
        <v>5382</v>
      </c>
      <c r="I17" s="1208"/>
      <c r="K17" s="1208">
        <v>3956990610.2600002</v>
      </c>
    </row>
    <row r="18" spans="1:11" ht="15.75" x14ac:dyDescent="0.25">
      <c r="A18" s="577" t="s">
        <v>5059</v>
      </c>
      <c r="B18" s="570" t="s">
        <v>5060</v>
      </c>
      <c r="C18" s="1820">
        <f>PriorYr905!Q261</f>
        <v>1561478070.6800001</v>
      </c>
      <c r="D18" s="570" t="s">
        <v>1951</v>
      </c>
      <c r="E18" s="587" t="s">
        <v>5376</v>
      </c>
      <c r="F18" s="569" t="s">
        <v>5382</v>
      </c>
      <c r="I18" s="1208"/>
      <c r="K18" s="1208">
        <v>1290012726.8499999</v>
      </c>
    </row>
    <row r="19" spans="1:11" ht="15.75" x14ac:dyDescent="0.25">
      <c r="A19" s="577" t="s">
        <v>5061</v>
      </c>
      <c r="B19" s="570" t="s">
        <v>5062</v>
      </c>
      <c r="C19" s="1820">
        <f>PriorYr905!R261</f>
        <v>828705817.85000002</v>
      </c>
      <c r="D19" s="570" t="s">
        <v>1951</v>
      </c>
      <c r="E19" s="587" t="s">
        <v>5376</v>
      </c>
      <c r="F19" s="569" t="s">
        <v>5382</v>
      </c>
      <c r="I19" s="1208"/>
      <c r="K19" s="1208">
        <v>712329959.47000003</v>
      </c>
    </row>
    <row r="20" spans="1:11" ht="15.75" x14ac:dyDescent="0.25">
      <c r="A20" s="577" t="s">
        <v>5063</v>
      </c>
      <c r="B20" s="570" t="s">
        <v>5064</v>
      </c>
      <c r="C20" s="1820">
        <f>PriorYr905!S261</f>
        <v>1100013700.2</v>
      </c>
      <c r="D20" s="570" t="s">
        <v>1951</v>
      </c>
      <c r="E20" s="587" t="s">
        <v>5376</v>
      </c>
      <c r="F20" s="569" t="s">
        <v>5382</v>
      </c>
      <c r="I20" s="1208"/>
      <c r="K20" s="1208">
        <v>958221315.57000005</v>
      </c>
    </row>
    <row r="21" spans="1:11" ht="15.75" x14ac:dyDescent="0.25">
      <c r="A21" s="577" t="s">
        <v>5065</v>
      </c>
      <c r="B21" s="570" t="s">
        <v>5066</v>
      </c>
      <c r="C21" s="1820">
        <f>PriorYr905!T261</f>
        <v>131883912.97</v>
      </c>
      <c r="D21" s="570" t="s">
        <v>1951</v>
      </c>
      <c r="E21" s="587" t="s">
        <v>5376</v>
      </c>
      <c r="F21" s="569" t="s">
        <v>5382</v>
      </c>
      <c r="I21" s="1208"/>
      <c r="K21" s="1208">
        <v>124565369.40000001</v>
      </c>
    </row>
    <row r="22" spans="1:11" ht="15.75" x14ac:dyDescent="0.25">
      <c r="A22" s="577" t="s">
        <v>5067</v>
      </c>
      <c r="B22" s="570" t="s">
        <v>5068</v>
      </c>
      <c r="C22" s="1820">
        <f>PriorYr905!U261</f>
        <v>581447406.82000005</v>
      </c>
      <c r="D22" s="570" t="s">
        <v>1951</v>
      </c>
      <c r="E22" s="587" t="s">
        <v>5376</v>
      </c>
      <c r="F22" s="569" t="s">
        <v>5382</v>
      </c>
      <c r="I22" s="1208"/>
      <c r="K22" s="1208">
        <v>501961243.30000001</v>
      </c>
    </row>
    <row r="23" spans="1:11" ht="15.75" x14ac:dyDescent="0.25">
      <c r="A23" s="577" t="s">
        <v>5069</v>
      </c>
      <c r="B23" s="570" t="s">
        <v>5070</v>
      </c>
      <c r="C23" s="1820">
        <f>PriorYr905!V261</f>
        <v>572832833.21000004</v>
      </c>
      <c r="D23" s="570" t="s">
        <v>1951</v>
      </c>
      <c r="E23" s="587" t="s">
        <v>5376</v>
      </c>
      <c r="F23" s="569" t="s">
        <v>5382</v>
      </c>
      <c r="I23" s="1208"/>
      <c r="K23" s="1208">
        <v>395239801.85000002</v>
      </c>
    </row>
    <row r="24" spans="1:11" ht="15.75" x14ac:dyDescent="0.25">
      <c r="A24" s="577" t="s">
        <v>5071</v>
      </c>
      <c r="B24" s="570" t="s">
        <v>5072</v>
      </c>
      <c r="C24" s="1820">
        <f>PriorYr905!W261</f>
        <v>573572401.15999997</v>
      </c>
      <c r="D24" s="570" t="s">
        <v>1951</v>
      </c>
      <c r="E24" s="587" t="s">
        <v>5376</v>
      </c>
      <c r="F24" s="569" t="s">
        <v>5382</v>
      </c>
      <c r="I24" s="1208"/>
      <c r="K24" s="1208">
        <v>504314819.99000001</v>
      </c>
    </row>
    <row r="25" spans="1:11" ht="15.75" x14ac:dyDescent="0.25">
      <c r="A25" s="577" t="s">
        <v>5073</v>
      </c>
      <c r="B25" s="570" t="s">
        <v>5074</v>
      </c>
      <c r="C25" s="1820">
        <f>PriorYr905!X261</f>
        <v>559152930.25999999</v>
      </c>
      <c r="D25" s="570" t="s">
        <v>1951</v>
      </c>
      <c r="E25" s="587" t="s">
        <v>5376</v>
      </c>
      <c r="F25" s="569" t="s">
        <v>5382</v>
      </c>
      <c r="I25" s="1208"/>
      <c r="K25" s="1208">
        <v>517138905.52999997</v>
      </c>
    </row>
    <row r="26" spans="1:11" ht="15.75" x14ac:dyDescent="0.25">
      <c r="A26" s="577" t="s">
        <v>5075</v>
      </c>
      <c r="B26" s="570" t="s">
        <v>5076</v>
      </c>
      <c r="C26" s="1820">
        <f>PriorYr905!Y261</f>
        <v>541378651.84000003</v>
      </c>
      <c r="D26" s="570" t="s">
        <v>1951</v>
      </c>
      <c r="E26" s="587" t="s">
        <v>5376</v>
      </c>
      <c r="F26" s="569" t="s">
        <v>5382</v>
      </c>
      <c r="I26" s="1208"/>
      <c r="K26" s="1208">
        <v>462565194.05000001</v>
      </c>
    </row>
    <row r="27" spans="1:11" ht="15.75" x14ac:dyDescent="0.25">
      <c r="A27" s="577" t="s">
        <v>5077</v>
      </c>
      <c r="B27" s="570" t="s">
        <v>5078</v>
      </c>
      <c r="C27" s="1820">
        <f>PriorYr905!Z261</f>
        <v>149304505.97</v>
      </c>
      <c r="D27" s="570" t="s">
        <v>1951</v>
      </c>
      <c r="E27" s="587" t="s">
        <v>5376</v>
      </c>
      <c r="F27" s="569" t="s">
        <v>5382</v>
      </c>
      <c r="I27" s="1208"/>
      <c r="K27" s="1208">
        <v>134250195.46000001</v>
      </c>
    </row>
    <row r="28" spans="1:11" ht="15.75" x14ac:dyDescent="0.25">
      <c r="A28" s="577" t="s">
        <v>5079</v>
      </c>
      <c r="B28" s="570" t="s">
        <v>5080</v>
      </c>
      <c r="C28" s="1820">
        <f>PriorYr905!AA261</f>
        <v>164521015.88</v>
      </c>
      <c r="D28" s="570" t="s">
        <v>1951</v>
      </c>
      <c r="E28" s="587" t="s">
        <v>5376</v>
      </c>
      <c r="F28" s="569" t="s">
        <v>5382</v>
      </c>
      <c r="I28" s="1208"/>
      <c r="K28" s="1208">
        <v>138313803.61000001</v>
      </c>
    </row>
    <row r="29" spans="1:11" ht="15.75" x14ac:dyDescent="0.25">
      <c r="A29" s="577" t="s">
        <v>5081</v>
      </c>
      <c r="B29" s="570" t="s">
        <v>5082</v>
      </c>
      <c r="C29" s="1820">
        <f>PriorYr905!AB261</f>
        <v>144384039.63999999</v>
      </c>
      <c r="D29" s="570" t="s">
        <v>1951</v>
      </c>
      <c r="E29" s="587" t="s">
        <v>5376</v>
      </c>
      <c r="F29" s="569" t="s">
        <v>5382</v>
      </c>
      <c r="I29" s="1208"/>
      <c r="K29" s="1208">
        <v>125222277.5</v>
      </c>
    </row>
    <row r="30" spans="1:11" ht="15.75" x14ac:dyDescent="0.25">
      <c r="A30" s="577" t="s">
        <v>5083</v>
      </c>
      <c r="B30" s="570" t="s">
        <v>5084</v>
      </c>
      <c r="C30" s="1820">
        <f>PriorYr905!AC261</f>
        <v>120588801.09999999</v>
      </c>
      <c r="D30" s="570" t="s">
        <v>1951</v>
      </c>
      <c r="E30" s="587" t="s">
        <v>5376</v>
      </c>
      <c r="F30" s="569" t="s">
        <v>5382</v>
      </c>
      <c r="I30" s="1208"/>
      <c r="K30" s="1208">
        <v>77799704.400000006</v>
      </c>
    </row>
    <row r="31" spans="1:11" ht="15.75" x14ac:dyDescent="0.25">
      <c r="A31" s="577" t="s">
        <v>5085</v>
      </c>
      <c r="B31" s="570" t="s">
        <v>5086</v>
      </c>
      <c r="C31" s="1820">
        <f>PriorYr905!AD261</f>
        <v>167823974.58000001</v>
      </c>
      <c r="D31" s="570" t="s">
        <v>1951</v>
      </c>
      <c r="E31" s="587" t="s">
        <v>5376</v>
      </c>
      <c r="F31" s="569" t="s">
        <v>5382</v>
      </c>
      <c r="I31" s="1208"/>
      <c r="K31" s="1208">
        <v>123920772.20999999</v>
      </c>
    </row>
    <row r="32" spans="1:11" ht="15.75" x14ac:dyDescent="0.25">
      <c r="A32" s="577" t="s">
        <v>5087</v>
      </c>
      <c r="B32" s="570" t="s">
        <v>5088</v>
      </c>
      <c r="C32" s="1820">
        <f>PriorYr905!AE261</f>
        <v>152260428.16</v>
      </c>
      <c r="D32" s="570" t="s">
        <v>1951</v>
      </c>
      <c r="E32" s="587" t="s">
        <v>5376</v>
      </c>
      <c r="F32" s="569" t="s">
        <v>5382</v>
      </c>
      <c r="I32" s="1208"/>
      <c r="K32" s="1208">
        <v>146367826.69</v>
      </c>
    </row>
    <row r="33" spans="1:12" ht="15.75" x14ac:dyDescent="0.25">
      <c r="A33" s="577" t="s">
        <v>5089</v>
      </c>
      <c r="B33" s="570" t="s">
        <v>5172</v>
      </c>
      <c r="C33" s="1820">
        <f>PriorYr905!AF261</f>
        <v>50850139.700000003</v>
      </c>
      <c r="D33" s="570" t="s">
        <v>1951</v>
      </c>
      <c r="E33" s="587" t="s">
        <v>5376</v>
      </c>
      <c r="F33" s="569" t="s">
        <v>5382</v>
      </c>
      <c r="I33" s="1208"/>
      <c r="K33" s="1208">
        <v>52091785.82</v>
      </c>
      <c r="L33" s="587"/>
    </row>
    <row r="34" spans="1:12" ht="15.75" x14ac:dyDescent="0.25">
      <c r="A34" s="577" t="s">
        <v>5091</v>
      </c>
      <c r="B34" s="570" t="s">
        <v>5092</v>
      </c>
      <c r="C34" s="1820">
        <f>PriorYr905!AG261</f>
        <v>27594886.989999998</v>
      </c>
      <c r="D34" s="570" t="s">
        <v>1951</v>
      </c>
      <c r="E34" s="587" t="s">
        <v>5376</v>
      </c>
      <c r="F34" s="569" t="s">
        <v>5382</v>
      </c>
      <c r="I34" s="1208"/>
      <c r="K34" s="1208"/>
      <c r="L34" s="587"/>
    </row>
    <row r="35" spans="1:12" ht="15.75" x14ac:dyDescent="0.25">
      <c r="A35" s="703" t="s">
        <v>5044</v>
      </c>
      <c r="B35" s="570" t="s">
        <v>5045</v>
      </c>
      <c r="C35" s="699">
        <f>PriorYr905!AH261</f>
        <v>10434903.779999999</v>
      </c>
      <c r="D35" s="571">
        <v>2517</v>
      </c>
      <c r="E35" s="587" t="s">
        <v>5376</v>
      </c>
      <c r="F35" s="569"/>
      <c r="I35" s="1208"/>
      <c r="K35" s="1208"/>
    </row>
    <row r="36" spans="1:12" ht="15.75" x14ac:dyDescent="0.25">
      <c r="A36" s="576" t="s">
        <v>4686</v>
      </c>
      <c r="B36" s="570" t="s">
        <v>5383</v>
      </c>
      <c r="C36" s="698">
        <v>1690999559.4200001</v>
      </c>
      <c r="D36" s="571">
        <v>3324</v>
      </c>
      <c r="E36" s="587" t="s">
        <v>5376</v>
      </c>
      <c r="F36" s="569" t="s">
        <v>5384</v>
      </c>
      <c r="I36" s="1189"/>
      <c r="K36" s="1821"/>
      <c r="L36" s="1821"/>
    </row>
    <row r="37" spans="1:12" ht="15.75" x14ac:dyDescent="0.25">
      <c r="A37" s="576" t="s">
        <v>4748</v>
      </c>
      <c r="B37" s="570" t="s">
        <v>4749</v>
      </c>
      <c r="C37" s="698">
        <v>12455912141.139999</v>
      </c>
      <c r="D37" s="571">
        <v>3318</v>
      </c>
      <c r="E37" s="587" t="s">
        <v>5376</v>
      </c>
      <c r="F37" s="569" t="s">
        <v>5384</v>
      </c>
      <c r="I37" s="1189"/>
    </row>
    <row r="38" spans="1:12" ht="15.75" x14ac:dyDescent="0.25">
      <c r="A38" s="567"/>
      <c r="B38" s="570"/>
      <c r="C38" s="569"/>
      <c r="D38" s="571"/>
      <c r="F38" s="569"/>
      <c r="I38" s="1208"/>
    </row>
    <row r="39" spans="1:12" ht="15.75" x14ac:dyDescent="0.25">
      <c r="A39" s="567"/>
      <c r="B39" s="570" t="s">
        <v>5385</v>
      </c>
      <c r="C39" s="569">
        <f>SUM(C6:C33)-C15</f>
        <v>14854956759.780001</v>
      </c>
      <c r="D39" s="571"/>
      <c r="F39" s="800" t="str">
        <f>IF((C39-PriorYr905!AI194=0),"ok","problem-check PY balances")</f>
        <v>ok</v>
      </c>
      <c r="I39" s="1208"/>
    </row>
    <row r="40" spans="1:12" ht="15.75" x14ac:dyDescent="0.25">
      <c r="A40" s="578" t="s">
        <v>5386</v>
      </c>
      <c r="B40" s="570" t="s">
        <v>5387</v>
      </c>
      <c r="C40" s="575">
        <f>SUM(C6:C34)</f>
        <v>14982788534.049999</v>
      </c>
      <c r="D40" s="571"/>
      <c r="F40" s="569" t="s">
        <v>5388</v>
      </c>
      <c r="I40" s="2038"/>
    </row>
    <row r="41" spans="1:12" ht="15.75" x14ac:dyDescent="0.25">
      <c r="F41" s="569" t="s">
        <v>5389</v>
      </c>
      <c r="I41" s="2038"/>
      <c r="K41" s="572"/>
    </row>
    <row r="42" spans="1:12" ht="29.25" customHeight="1" x14ac:dyDescent="0.2">
      <c r="B42" s="3137" t="s">
        <v>5390</v>
      </c>
      <c r="C42" s="3137"/>
      <c r="D42" s="3137"/>
      <c r="E42" s="3137"/>
      <c r="I42" s="2038"/>
      <c r="K42" s="2038"/>
    </row>
    <row r="43" spans="1:12" x14ac:dyDescent="0.2">
      <c r="C43" s="572"/>
      <c r="I43" s="2038"/>
      <c r="K43" s="2038"/>
      <c r="L43" s="1821"/>
    </row>
    <row r="44" spans="1:12" x14ac:dyDescent="0.2">
      <c r="A44" s="587" t="s">
        <v>5391</v>
      </c>
      <c r="C44" s="572"/>
      <c r="I44" s="1208"/>
      <c r="K44" s="1208"/>
      <c r="L44" s="1821"/>
    </row>
    <row r="45" spans="1:12" x14ac:dyDescent="0.2">
      <c r="A45" s="587" t="s">
        <v>5392</v>
      </c>
      <c r="B45" s="587"/>
      <c r="C45" s="572"/>
      <c r="I45" s="1208"/>
      <c r="K45" s="1208"/>
      <c r="L45" s="1821"/>
    </row>
    <row r="46" spans="1:12" x14ac:dyDescent="0.2">
      <c r="A46" s="587" t="s">
        <v>5393</v>
      </c>
      <c r="I46" s="1208"/>
      <c r="K46" s="1208"/>
      <c r="L46" s="1821"/>
    </row>
    <row r="47" spans="1:12" x14ac:dyDescent="0.2">
      <c r="A47" s="587"/>
      <c r="I47" s="1208"/>
    </row>
    <row r="48" spans="1:12" x14ac:dyDescent="0.2">
      <c r="A48" s="587"/>
      <c r="I48" s="1208"/>
    </row>
    <row r="49" spans="1:9" x14ac:dyDescent="0.2">
      <c r="A49" s="587"/>
      <c r="I49" s="1208"/>
    </row>
  </sheetData>
  <sheetProtection algorithmName="SHA-512" hashValue="lC5/XuPeZEPp+ocxn67mp3k05b+M8FzzRg5kT8O+uFUpk5fMfQN6Ko1MslwA2ritRJ5aG6e8KKm/Yq9jjVnguQ==" saltValue="vYSSK1k67jspgO2D6JVMig==" spinCount="100000" sheet="1" autoFilter="0"/>
  <customSheetViews>
    <customSheetView guid="{9FCFC836-1CA5-48BF-958D-24D2EA94B219}" topLeftCell="A25">
      <pageMargins left="0" right="0" top="0" bottom="0" header="0" footer="0"/>
      <printOptions headings="1"/>
      <pageSetup orientation="portrait" r:id="rId1"/>
    </customSheetView>
    <customSheetView guid="{B08879A4-635B-4C39-9937-AC7883D562FC}" topLeftCell="A25">
      <pageMargins left="0" right="0" top="0" bottom="0" header="0" footer="0"/>
      <printOptions headings="1"/>
      <pageSetup orientation="portrait" r:id="rId2"/>
    </customSheetView>
  </customSheetViews>
  <mergeCells count="1">
    <mergeCell ref="B42:E42"/>
  </mergeCells>
  <hyperlinks>
    <hyperlink ref="B1" location="Index!A1" display="NC Office of the State Controller " xr:uid="{00000000-0004-0000-5900-000000000000}"/>
  </hyperlinks>
  <printOptions headings="1" gridLines="1"/>
  <pageMargins left="0.2" right="0.2" top="0.5" bottom="0.5" header="0.3" footer="0.3"/>
  <pageSetup scale="95" orientation="portrait" r:id="rId3"/>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85">
    <tabColor rgb="FFFFFF00"/>
  </sheetPr>
  <dimension ref="A1:AJ355"/>
  <sheetViews>
    <sheetView zoomScaleNormal="100" workbookViewId="0">
      <pane xSplit="4" ySplit="11" topLeftCell="Q263" activePane="bottomRight" state="frozen"/>
      <selection pane="topRight" sqref="A1:E1"/>
      <selection pane="bottomLeft" sqref="A1:E1"/>
      <selection pane="bottomRight" activeCell="S266" sqref="S266"/>
    </sheetView>
  </sheetViews>
  <sheetFormatPr defaultRowHeight="12.75" x14ac:dyDescent="0.2"/>
  <cols>
    <col min="1" max="1" width="6.140625" customWidth="1"/>
    <col min="2" max="2" width="22" customWidth="1"/>
    <col min="3" max="3" width="18.5703125" customWidth="1"/>
    <col min="4" max="4" width="4" customWidth="1"/>
    <col min="5" max="5" width="17.5703125" customWidth="1"/>
    <col min="6" max="6" width="18.42578125" customWidth="1"/>
    <col min="7" max="8" width="16.5703125" customWidth="1"/>
    <col min="9" max="9" width="21" customWidth="1"/>
    <col min="10" max="10" width="17.42578125" customWidth="1"/>
    <col min="11" max="11" width="18" customWidth="1"/>
    <col min="12" max="12" width="17.7109375" hidden="1" customWidth="1"/>
    <col min="13" max="14" width="16.5703125" customWidth="1"/>
    <col min="15" max="15" width="16.5703125" style="138" customWidth="1"/>
    <col min="16" max="16" width="17.7109375" customWidth="1"/>
    <col min="17" max="17" width="17.28515625" customWidth="1"/>
    <col min="18" max="34" width="16.5703125" customWidth="1"/>
    <col min="35" max="35" width="18.42578125" customWidth="1"/>
    <col min="36" max="36" width="17.5703125" bestFit="1" customWidth="1"/>
  </cols>
  <sheetData>
    <row r="1" spans="1:35" ht="15.75" x14ac:dyDescent="0.25">
      <c r="B1" s="2553" t="str">
        <f>+Index!$A$1</f>
        <v xml:space="preserve">                                                               Office of the State Controller                                                                </v>
      </c>
      <c r="C1" s="2553"/>
      <c r="D1" s="2553"/>
      <c r="E1" s="2553"/>
      <c r="F1" s="2553"/>
      <c r="G1" s="2553"/>
      <c r="H1" s="2553"/>
      <c r="I1" s="138"/>
      <c r="J1" s="138"/>
      <c r="K1" s="138"/>
      <c r="L1" s="138"/>
      <c r="M1" s="138"/>
      <c r="N1" s="138"/>
      <c r="P1" s="138"/>
      <c r="Q1" s="812"/>
      <c r="R1" s="138"/>
      <c r="S1" s="138"/>
      <c r="T1" s="812"/>
      <c r="U1" s="138"/>
      <c r="V1" s="138"/>
      <c r="W1" s="138"/>
      <c r="X1" s="138"/>
      <c r="Y1" s="138"/>
      <c r="Z1" s="138"/>
      <c r="AA1" s="138"/>
      <c r="AB1" s="138"/>
      <c r="AC1" s="138"/>
      <c r="AD1" s="138"/>
      <c r="AE1" s="138"/>
      <c r="AF1" s="138"/>
      <c r="AG1" s="138"/>
      <c r="AH1" s="138"/>
    </row>
    <row r="2" spans="1:35" ht="15.75" x14ac:dyDescent="0.25">
      <c r="B2" s="2532" t="str">
        <f>+Index!$A$2</f>
        <v>2024 ACFR Worksheets</v>
      </c>
      <c r="C2" s="2532"/>
      <c r="D2" s="2532"/>
      <c r="E2" s="2532"/>
      <c r="F2" s="2532"/>
      <c r="G2" s="2532"/>
      <c r="H2" s="2532"/>
      <c r="I2" s="2287"/>
      <c r="J2" s="2287"/>
      <c r="K2" s="2287"/>
      <c r="L2" s="138"/>
      <c r="M2" s="138"/>
      <c r="N2" s="138"/>
      <c r="P2" s="138"/>
      <c r="Q2" s="138"/>
      <c r="R2" s="138"/>
      <c r="S2" s="138"/>
      <c r="T2" s="138"/>
      <c r="U2" s="138"/>
      <c r="X2" s="138"/>
      <c r="Y2" s="138"/>
      <c r="Z2" s="138"/>
      <c r="AA2" s="138"/>
      <c r="AB2" s="138"/>
      <c r="AC2" s="138"/>
      <c r="AE2" s="138"/>
      <c r="AH2" s="138"/>
    </row>
    <row r="3" spans="1:35" ht="15.75" x14ac:dyDescent="0.25">
      <c r="B3" s="3105" t="s">
        <v>5394</v>
      </c>
      <c r="C3" s="3105"/>
      <c r="D3" s="3105"/>
      <c r="E3" s="3105"/>
      <c r="F3" s="3105"/>
      <c r="G3" s="3105"/>
      <c r="H3" s="3105"/>
      <c r="I3" s="341"/>
      <c r="J3" s="341"/>
      <c r="K3" s="2123"/>
      <c r="L3" s="2380"/>
      <c r="M3" s="2380"/>
      <c r="N3" s="2380"/>
      <c r="P3" s="138"/>
      <c r="U3" s="138"/>
      <c r="AH3" s="138"/>
    </row>
    <row r="4" spans="1:35" x14ac:dyDescent="0.2">
      <c r="B4" s="3071" t="s">
        <v>5395</v>
      </c>
      <c r="C4" s="3071"/>
      <c r="D4" s="3071"/>
      <c r="E4" s="3071"/>
      <c r="F4" s="3071"/>
      <c r="G4" s="3071"/>
      <c r="H4" s="3071"/>
      <c r="I4" s="341"/>
      <c r="J4" s="341"/>
      <c r="K4" s="2123"/>
      <c r="L4" s="2380"/>
      <c r="M4" s="2380"/>
      <c r="N4" s="2380"/>
      <c r="P4" s="138"/>
    </row>
    <row r="5" spans="1:35" x14ac:dyDescent="0.2">
      <c r="B5" s="105" t="s">
        <v>318</v>
      </c>
      <c r="C5" s="704" t="str">
        <f>+Index!$E$10</f>
        <v>01</v>
      </c>
      <c r="E5" s="424" t="s">
        <v>320</v>
      </c>
      <c r="F5" s="3104" t="str">
        <f>+CONCATENATE(Index!$E$12," ",Index!$E$14)</f>
        <v xml:space="preserve"> </v>
      </c>
      <c r="G5" s="3104"/>
      <c r="H5" s="3104"/>
      <c r="I5" s="1801"/>
      <c r="J5" s="1801"/>
      <c r="K5" s="1801"/>
      <c r="P5" s="138"/>
    </row>
    <row r="6" spans="1:35" x14ac:dyDescent="0.2">
      <c r="B6" s="105" t="s">
        <v>319</v>
      </c>
      <c r="C6" s="3078" t="str">
        <f>+Index!$E$11</f>
        <v>North Carolina General Assembly</v>
      </c>
      <c r="D6" s="3078"/>
      <c r="E6" s="3078"/>
      <c r="F6" s="425" t="s">
        <v>168</v>
      </c>
      <c r="G6" s="3146">
        <f>+Index!$E$13</f>
        <v>0</v>
      </c>
      <c r="H6" s="3146"/>
      <c r="J6" s="1099"/>
      <c r="P6" s="971"/>
    </row>
    <row r="7" spans="1:35" ht="13.5" thickBot="1" x14ac:dyDescent="0.25">
      <c r="B7" s="705"/>
      <c r="C7" s="702"/>
      <c r="D7" s="448"/>
      <c r="E7" s="2042"/>
      <c r="F7" s="2042"/>
      <c r="G7" s="2043"/>
      <c r="H7" s="2042"/>
      <c r="I7" s="1220"/>
      <c r="J7" s="1220"/>
      <c r="K7" s="1220"/>
      <c r="L7" s="2039" t="s">
        <v>4632</v>
      </c>
      <c r="M7" s="1220"/>
      <c r="N7" s="1220"/>
      <c r="O7" s="2036"/>
      <c r="P7" s="1220"/>
      <c r="Q7" s="1220"/>
      <c r="R7" s="2036"/>
      <c r="S7" s="2036"/>
      <c r="T7" s="2036"/>
      <c r="U7" s="1220"/>
      <c r="V7" s="1220"/>
      <c r="W7" s="2039"/>
      <c r="X7" s="2036"/>
      <c r="Y7" s="2036"/>
      <c r="Z7" s="2036"/>
      <c r="AA7" s="2036"/>
      <c r="AB7" s="2036"/>
      <c r="AC7" s="2036"/>
      <c r="AD7" s="2036"/>
      <c r="AE7" s="2039"/>
      <c r="AF7" s="1220"/>
      <c r="AG7" s="1220"/>
    </row>
    <row r="8" spans="1:35" x14ac:dyDescent="0.2">
      <c r="B8" s="1787"/>
      <c r="C8" s="27" t="s">
        <v>5396</v>
      </c>
      <c r="D8" s="27"/>
      <c r="E8" s="706" t="s">
        <v>4634</v>
      </c>
      <c r="F8" s="715" t="s">
        <v>4636</v>
      </c>
      <c r="G8" s="706" t="s">
        <v>4637</v>
      </c>
      <c r="H8" s="706" t="s">
        <v>4638</v>
      </c>
      <c r="I8" s="706" t="s">
        <v>4639</v>
      </c>
      <c r="J8" s="706" t="s">
        <v>4640</v>
      </c>
      <c r="K8" s="706" t="s">
        <v>4641</v>
      </c>
      <c r="L8" s="706" t="s">
        <v>4644</v>
      </c>
      <c r="M8" s="1185" t="s">
        <v>4642</v>
      </c>
      <c r="N8" s="706" t="s">
        <v>4643</v>
      </c>
      <c r="O8" s="1185" t="s">
        <v>5055</v>
      </c>
      <c r="P8" s="706" t="s">
        <v>5057</v>
      </c>
      <c r="Q8" s="706" t="s">
        <v>5059</v>
      </c>
      <c r="R8" s="706" t="s">
        <v>5061</v>
      </c>
      <c r="S8" s="706" t="s">
        <v>5063</v>
      </c>
      <c r="T8" s="706" t="s">
        <v>5065</v>
      </c>
      <c r="U8" s="706" t="s">
        <v>5067</v>
      </c>
      <c r="V8" s="706" t="s">
        <v>5069</v>
      </c>
      <c r="W8" s="706" t="s">
        <v>5071</v>
      </c>
      <c r="X8" s="706" t="s">
        <v>5073</v>
      </c>
      <c r="Y8" s="706" t="s">
        <v>5075</v>
      </c>
      <c r="Z8" s="706" t="s">
        <v>5077</v>
      </c>
      <c r="AA8" s="706" t="s">
        <v>5079</v>
      </c>
      <c r="AB8" s="706" t="s">
        <v>5081</v>
      </c>
      <c r="AC8" s="706" t="s">
        <v>5083</v>
      </c>
      <c r="AD8" s="706" t="s">
        <v>5085</v>
      </c>
      <c r="AE8" s="706" t="s">
        <v>5087</v>
      </c>
      <c r="AF8" s="706" t="s">
        <v>5089</v>
      </c>
      <c r="AG8" s="1185" t="s">
        <v>5091</v>
      </c>
      <c r="AH8" s="716" t="s">
        <v>5044</v>
      </c>
    </row>
    <row r="9" spans="1:35" x14ac:dyDescent="0.2">
      <c r="C9" t="s">
        <v>5397</v>
      </c>
      <c r="E9" s="2300" t="s">
        <v>4649</v>
      </c>
      <c r="F9" s="2300" t="s">
        <v>4655</v>
      </c>
      <c r="G9" s="2300" t="s">
        <v>5398</v>
      </c>
      <c r="H9" s="2300" t="s">
        <v>5398</v>
      </c>
      <c r="I9" s="2300" t="s">
        <v>4653</v>
      </c>
      <c r="J9" s="2300" t="s">
        <v>5399</v>
      </c>
      <c r="K9" s="2300" t="s">
        <v>5400</v>
      </c>
      <c r="L9" s="2300" t="s">
        <v>4658</v>
      </c>
      <c r="M9" s="2300" t="s">
        <v>5401</v>
      </c>
      <c r="N9" s="2300" t="s">
        <v>4657</v>
      </c>
      <c r="O9" s="2300" t="s">
        <v>5402</v>
      </c>
      <c r="P9" s="2300" t="s">
        <v>5403</v>
      </c>
      <c r="Q9" s="2300" t="s">
        <v>5404</v>
      </c>
      <c r="R9" s="2300" t="s">
        <v>5403</v>
      </c>
      <c r="S9" s="2300" t="s">
        <v>5403</v>
      </c>
      <c r="T9" s="2300" t="s">
        <v>5403</v>
      </c>
      <c r="U9" s="2300" t="s">
        <v>5403</v>
      </c>
      <c r="V9" s="2300" t="s">
        <v>5405</v>
      </c>
      <c r="W9" s="2300" t="s">
        <v>5406</v>
      </c>
      <c r="X9" s="2300" t="s">
        <v>5407</v>
      </c>
      <c r="Y9" s="2300" t="s">
        <v>5408</v>
      </c>
      <c r="Z9" s="2300" t="s">
        <v>5403</v>
      </c>
      <c r="AA9" s="2300" t="s">
        <v>5409</v>
      </c>
      <c r="AB9" s="2300" t="s">
        <v>5410</v>
      </c>
      <c r="AC9" s="2300" t="s">
        <v>5411</v>
      </c>
      <c r="AD9" s="2300" t="s">
        <v>5412</v>
      </c>
      <c r="AE9" s="2300" t="s">
        <v>5413</v>
      </c>
      <c r="AF9" s="2300" t="s">
        <v>5414</v>
      </c>
      <c r="AG9" s="2300" t="s">
        <v>5415</v>
      </c>
      <c r="AH9" s="2300" t="s">
        <v>5416</v>
      </c>
    </row>
    <row r="10" spans="1:35" x14ac:dyDescent="0.2">
      <c r="B10" s="2442" t="s">
        <v>5417</v>
      </c>
      <c r="E10" s="2300" t="s">
        <v>5418</v>
      </c>
      <c r="F10" s="2300" t="s">
        <v>5419</v>
      </c>
      <c r="G10" s="2300" t="s">
        <v>5420</v>
      </c>
      <c r="H10" s="2300" t="s">
        <v>5421</v>
      </c>
      <c r="I10" s="2300" t="s">
        <v>4663</v>
      </c>
      <c r="J10" s="2300" t="s">
        <v>4664</v>
      </c>
      <c r="K10" s="2300" t="s">
        <v>5422</v>
      </c>
      <c r="L10" s="2300" t="s">
        <v>5423</v>
      </c>
      <c r="M10" s="2300" t="s">
        <v>4666</v>
      </c>
      <c r="N10" s="2300" t="s">
        <v>4667</v>
      </c>
      <c r="O10" s="2300" t="s">
        <v>5424</v>
      </c>
      <c r="P10" s="2300" t="s">
        <v>5425</v>
      </c>
      <c r="Q10" s="2300" t="s">
        <v>2032</v>
      </c>
      <c r="R10" s="2300" t="s">
        <v>5426</v>
      </c>
      <c r="S10" s="2300" t="s">
        <v>5427</v>
      </c>
      <c r="T10" s="2300" t="s">
        <v>5428</v>
      </c>
      <c r="U10" s="2300" t="s">
        <v>5429</v>
      </c>
      <c r="V10" s="2300" t="s">
        <v>5430</v>
      </c>
      <c r="W10" s="2300" t="s">
        <v>5431</v>
      </c>
      <c r="X10" s="2300" t="s">
        <v>5430</v>
      </c>
      <c r="Y10" s="2300" t="s">
        <v>5431</v>
      </c>
      <c r="Z10" s="2300" t="s">
        <v>5432</v>
      </c>
      <c r="AA10" s="2300" t="s">
        <v>5431</v>
      </c>
      <c r="AB10" s="2300" t="s">
        <v>5431</v>
      </c>
      <c r="AC10" s="2300" t="s">
        <v>5431</v>
      </c>
      <c r="AD10" s="2300" t="s">
        <v>2032</v>
      </c>
      <c r="AE10" s="2300" t="s">
        <v>5433</v>
      </c>
      <c r="AF10" s="2300" t="s">
        <v>5434</v>
      </c>
      <c r="AG10" s="2300" t="s">
        <v>5435</v>
      </c>
      <c r="AH10" s="2300" t="s">
        <v>5436</v>
      </c>
    </row>
    <row r="11" spans="1:35" x14ac:dyDescent="0.2">
      <c r="B11" s="2442" t="s">
        <v>2735</v>
      </c>
      <c r="E11" s="610" t="str">
        <f>TEXT(Data!$A$4,"mmmm d,yyyy")</f>
        <v>June 30,2023</v>
      </c>
      <c r="F11" s="610" t="str">
        <f>TEXT(Data!$A$4,"mmmm d,yyyy")</f>
        <v>June 30,2023</v>
      </c>
      <c r="G11" s="610" t="str">
        <f>TEXT(Data!$A$4,"mmmm d,yyyy")</f>
        <v>June 30,2023</v>
      </c>
      <c r="H11" s="610" t="str">
        <f>TEXT(Data!$A$4,"mmmm d,yyyy")</f>
        <v>June 30,2023</v>
      </c>
      <c r="I11" s="610" t="str">
        <f>TEXT(Data!$A$4,"mmmm d,yyyy")</f>
        <v>June 30,2023</v>
      </c>
      <c r="J11" s="610" t="str">
        <f>TEXT(Data!$A$4,"mmmm d,yyyy")</f>
        <v>June 30,2023</v>
      </c>
      <c r="K11" s="610" t="str">
        <f>TEXT(Data!$A$4,"mmmm d,yyyy")</f>
        <v>June 30,2023</v>
      </c>
      <c r="L11" s="610" t="str">
        <f>TEXT(Data!$A$4,"mmmm d,yyyy")</f>
        <v>June 30,2023</v>
      </c>
      <c r="M11" s="610" t="str">
        <f>TEXT(Data!$A$4,"mmmm d,yyyy")</f>
        <v>June 30,2023</v>
      </c>
      <c r="N11" s="610" t="str">
        <f>TEXT(Data!$A$4,"mmmm d,yyyy")</f>
        <v>June 30,2023</v>
      </c>
      <c r="O11" s="610" t="str">
        <f>TEXT(Data!$A$4,"mmmm d,yyyy")</f>
        <v>June 30,2023</v>
      </c>
      <c r="P11" s="610" t="str">
        <f>TEXT(Data!$A$4,"mmmm d,yyyy")</f>
        <v>June 30,2023</v>
      </c>
      <c r="Q11" s="610" t="str">
        <f>TEXT(Data!$A$4,"mmmm d,yyyy")</f>
        <v>June 30,2023</v>
      </c>
      <c r="R11" s="610" t="str">
        <f>TEXT(Data!$A$4,"mmmm d,yyyy")</f>
        <v>June 30,2023</v>
      </c>
      <c r="S11" s="610" t="str">
        <f>TEXT(Data!$A$4,"mmmm d,yyyy")</f>
        <v>June 30,2023</v>
      </c>
      <c r="T11" s="610" t="str">
        <f>TEXT(Data!$A$4,"mmmm d,yyyy")</f>
        <v>June 30,2023</v>
      </c>
      <c r="U11" s="610" t="str">
        <f>TEXT(Data!$A$4,"mmmm d,yyyy")</f>
        <v>June 30,2023</v>
      </c>
      <c r="V11" s="610" t="str">
        <f>TEXT(Data!$A$4,"mmmm d,yyyy")</f>
        <v>June 30,2023</v>
      </c>
      <c r="W11" s="610" t="str">
        <f>TEXT(Data!$A$4,"mmmm d,yyyy")</f>
        <v>June 30,2023</v>
      </c>
      <c r="X11" s="610" t="str">
        <f>TEXT(Data!$A$4,"mmmm d,yyyy")</f>
        <v>June 30,2023</v>
      </c>
      <c r="Y11" s="610" t="str">
        <f>TEXT(Data!$A$4,"mmmm d,yyyy")</f>
        <v>June 30,2023</v>
      </c>
      <c r="Z11" s="610" t="str">
        <f>TEXT(Data!$A$4,"mmmm d,yyyy")</f>
        <v>June 30,2023</v>
      </c>
      <c r="AA11" s="610" t="str">
        <f>TEXT(Data!$A$4,"mmmm d,yyyy")</f>
        <v>June 30,2023</v>
      </c>
      <c r="AB11" s="610" t="str">
        <f>TEXT(Data!$A$4,"mmmm d,yyyy")</f>
        <v>June 30,2023</v>
      </c>
      <c r="AC11" s="610" t="str">
        <f>TEXT(Data!$A$4,"mmmm d,yyyy")</f>
        <v>June 30,2023</v>
      </c>
      <c r="AD11" s="610" t="str">
        <f>TEXT(Data!$A$4,"mmmm d,yyyy")</f>
        <v>June 30,2023</v>
      </c>
      <c r="AE11" s="610" t="str">
        <f>TEXT(Data!$A$4,"mmmm d,yyyy")</f>
        <v>June 30,2023</v>
      </c>
      <c r="AF11" s="610" t="str">
        <f>TEXT(Data!$A$4,"mmmm d,yyyy")</f>
        <v>June 30,2023</v>
      </c>
      <c r="AG11" s="610" t="str">
        <f>TEXT(Data!$A$4,"mmmm d,yyyy")</f>
        <v>June 30,2023</v>
      </c>
      <c r="AH11" s="610" t="str">
        <f>TEXT(Data!$A$4,"mmmm d,yyyy")</f>
        <v>June 30,2023</v>
      </c>
    </row>
    <row r="12" spans="1:35" x14ac:dyDescent="0.2">
      <c r="B12" s="213" t="s">
        <v>2737</v>
      </c>
      <c r="C12" s="213"/>
    </row>
    <row r="13" spans="1:35" x14ac:dyDescent="0.2">
      <c r="A13" s="170">
        <v>1000</v>
      </c>
      <c r="B13" s="2890" t="s">
        <v>1935</v>
      </c>
      <c r="C13" s="2890"/>
      <c r="D13" t="str">
        <f>IF(SUM(F13:N13)=E13,"OK","prob")</f>
        <v>OK</v>
      </c>
      <c r="E13" s="342">
        <v>328627702.07999998</v>
      </c>
      <c r="F13" s="341">
        <v>3207509.91</v>
      </c>
      <c r="G13" s="341">
        <v>258605890.75999999</v>
      </c>
      <c r="H13" s="341">
        <v>0</v>
      </c>
      <c r="I13" s="341">
        <v>37217927.189999998</v>
      </c>
      <c r="J13" s="341">
        <v>5456773.4500000002</v>
      </c>
      <c r="K13" s="341">
        <v>16127763.199999999</v>
      </c>
      <c r="M13" s="341">
        <v>72998.429999999993</v>
      </c>
      <c r="N13" s="341">
        <v>7938839.1399999997</v>
      </c>
      <c r="O13" s="342">
        <v>366990.04</v>
      </c>
      <c r="P13" s="342">
        <v>57515203.579999998</v>
      </c>
      <c r="Q13" s="342">
        <v>155931.9</v>
      </c>
      <c r="R13" s="342">
        <v>10358949.779999999</v>
      </c>
      <c r="S13" s="342">
        <v>703181.27</v>
      </c>
      <c r="T13" s="342">
        <v>5103.97</v>
      </c>
      <c r="U13" s="342">
        <v>81625.67</v>
      </c>
      <c r="V13" s="342">
        <v>200203.84</v>
      </c>
      <c r="W13" s="342">
        <v>8399</v>
      </c>
      <c r="X13" s="342">
        <v>29215</v>
      </c>
      <c r="Y13" s="342">
        <v>12105631.800000001</v>
      </c>
      <c r="Z13" s="1095">
        <v>5756.43</v>
      </c>
      <c r="AA13" s="342">
        <v>0</v>
      </c>
      <c r="AB13" s="342">
        <v>0</v>
      </c>
      <c r="AC13" s="342">
        <v>3744849.99</v>
      </c>
      <c r="AD13" s="342">
        <v>2700</v>
      </c>
      <c r="AE13" s="342">
        <v>720.7</v>
      </c>
      <c r="AF13" s="342">
        <v>1891849.09</v>
      </c>
      <c r="AG13" s="342">
        <v>5131208.29</v>
      </c>
      <c r="AH13" s="342">
        <v>5591257.5700000003</v>
      </c>
    </row>
    <row r="14" spans="1:35" x14ac:dyDescent="0.2">
      <c r="A14" s="170">
        <v>1010</v>
      </c>
      <c r="B14" s="2890" t="s">
        <v>1539</v>
      </c>
      <c r="C14" s="2890"/>
      <c r="D14" t="str">
        <f>IF(SUM(F14:N14)-E14=0,"OK","prob")</f>
        <v>OK</v>
      </c>
      <c r="E14" s="341">
        <v>181724095.09</v>
      </c>
      <c r="F14" s="341">
        <v>176407825.09</v>
      </c>
      <c r="G14" s="341">
        <v>0</v>
      </c>
      <c r="H14" s="341">
        <v>5316270</v>
      </c>
      <c r="I14" s="341">
        <v>0</v>
      </c>
      <c r="J14" s="341">
        <v>0</v>
      </c>
      <c r="K14" s="341">
        <v>0</v>
      </c>
      <c r="L14" s="341"/>
      <c r="M14" s="341">
        <v>0</v>
      </c>
      <c r="N14" s="341">
        <v>0</v>
      </c>
      <c r="O14" s="1099">
        <v>14445757.01</v>
      </c>
      <c r="P14" s="1099">
        <v>706628726.29999995</v>
      </c>
      <c r="Q14" s="1099">
        <v>235975891.83000001</v>
      </c>
      <c r="R14" s="1099">
        <v>102375085.51000001</v>
      </c>
      <c r="S14" s="1099">
        <v>450927792.43000001</v>
      </c>
      <c r="T14" s="1099">
        <v>19852379.489999998</v>
      </c>
      <c r="U14" s="1099">
        <v>180693867.38999999</v>
      </c>
      <c r="V14" s="1099">
        <v>344257420.13</v>
      </c>
      <c r="W14" s="1099">
        <v>106916276.3</v>
      </c>
      <c r="X14" s="1099">
        <v>158389921.99000001</v>
      </c>
      <c r="Y14" s="1099">
        <v>144308491.27000001</v>
      </c>
      <c r="Z14" s="1208">
        <v>26063388.809999999</v>
      </c>
      <c r="AA14" s="1099">
        <v>73333400</v>
      </c>
      <c r="AB14" s="1099">
        <v>24915965.010000002</v>
      </c>
      <c r="AC14" s="1099">
        <v>1866844.22</v>
      </c>
      <c r="AD14" s="1099">
        <v>15546030.76</v>
      </c>
      <c r="AE14" s="1099">
        <v>31680768.239999998</v>
      </c>
      <c r="AF14" s="1099">
        <v>0</v>
      </c>
      <c r="AG14" s="1099">
        <v>0</v>
      </c>
      <c r="AH14" s="341">
        <v>0</v>
      </c>
    </row>
    <row r="15" spans="1:35" x14ac:dyDescent="0.2">
      <c r="A15" s="170">
        <v>1050</v>
      </c>
      <c r="B15" s="2890" t="s">
        <v>2738</v>
      </c>
      <c r="C15" s="2890"/>
      <c r="D15" t="str">
        <f>IF(ROUND(SUM(F15:N15),2)-ROUND(E15,2)=0,"OK","prob")</f>
        <v>OK</v>
      </c>
      <c r="E15" s="341">
        <v>0</v>
      </c>
      <c r="F15" s="341">
        <v>0</v>
      </c>
      <c r="G15" s="341">
        <v>0</v>
      </c>
      <c r="H15" s="341">
        <v>0</v>
      </c>
      <c r="I15" s="341">
        <v>0</v>
      </c>
      <c r="J15" s="341">
        <v>0</v>
      </c>
      <c r="K15" s="341">
        <v>0</v>
      </c>
      <c r="L15" s="341"/>
      <c r="M15" s="341">
        <v>0</v>
      </c>
      <c r="N15" s="341">
        <v>0</v>
      </c>
      <c r="O15" s="1099">
        <v>0</v>
      </c>
      <c r="P15" s="1806">
        <v>527786593.10000002</v>
      </c>
      <c r="Q15" s="1099">
        <v>0</v>
      </c>
      <c r="R15" s="1099">
        <v>79417225.359999999</v>
      </c>
      <c r="S15" s="1099">
        <v>0</v>
      </c>
      <c r="T15" s="1099">
        <v>0</v>
      </c>
      <c r="U15" s="1099">
        <v>0</v>
      </c>
      <c r="V15" s="1099">
        <v>0</v>
      </c>
      <c r="W15" s="1099">
        <v>0</v>
      </c>
      <c r="X15" s="1099">
        <v>0</v>
      </c>
      <c r="Y15" s="1099">
        <v>0</v>
      </c>
      <c r="Z15" s="1208">
        <v>0</v>
      </c>
      <c r="AA15" s="1099">
        <v>0</v>
      </c>
      <c r="AB15" s="1099">
        <v>0</v>
      </c>
      <c r="AC15" s="1099">
        <v>0</v>
      </c>
      <c r="AD15" s="1099">
        <v>0</v>
      </c>
      <c r="AE15" s="1099">
        <v>0</v>
      </c>
      <c r="AF15" s="1099">
        <v>0</v>
      </c>
      <c r="AG15" s="1099">
        <v>18163855.859999999</v>
      </c>
      <c r="AH15" s="341">
        <v>0</v>
      </c>
    </row>
    <row r="16" spans="1:35" x14ac:dyDescent="0.2">
      <c r="A16" s="170">
        <v>1060</v>
      </c>
      <c r="B16" s="2890" t="s">
        <v>2739</v>
      </c>
      <c r="C16" s="2890"/>
      <c r="D16" t="str">
        <f>IF(SUM(F16:N16)-E16=0,"OK","prob")</f>
        <v>OK</v>
      </c>
      <c r="E16" s="341">
        <v>0</v>
      </c>
      <c r="F16" s="341">
        <v>0</v>
      </c>
      <c r="G16" s="341">
        <v>0</v>
      </c>
      <c r="H16" s="341">
        <v>0</v>
      </c>
      <c r="I16" s="341">
        <v>0</v>
      </c>
      <c r="J16" s="341">
        <v>0</v>
      </c>
      <c r="K16" s="341">
        <v>0</v>
      </c>
      <c r="L16" s="341"/>
      <c r="M16" s="341">
        <v>0</v>
      </c>
      <c r="N16" s="341">
        <v>0</v>
      </c>
      <c r="O16" s="1099">
        <v>0</v>
      </c>
      <c r="P16" s="1099">
        <v>0</v>
      </c>
      <c r="Q16" s="1099">
        <v>0</v>
      </c>
      <c r="R16" s="1099">
        <v>0</v>
      </c>
      <c r="S16" s="1099">
        <v>0</v>
      </c>
      <c r="T16" s="1099">
        <v>0</v>
      </c>
      <c r="U16" s="1099">
        <v>0</v>
      </c>
      <c r="V16" s="1099">
        <v>0</v>
      </c>
      <c r="W16" s="1099">
        <v>0</v>
      </c>
      <c r="X16" s="1099">
        <v>0</v>
      </c>
      <c r="Y16" s="1099">
        <v>0</v>
      </c>
      <c r="Z16" s="1208">
        <v>0</v>
      </c>
      <c r="AA16" s="1099">
        <v>0</v>
      </c>
      <c r="AB16" s="1099">
        <v>0</v>
      </c>
      <c r="AC16" s="1099">
        <v>0</v>
      </c>
      <c r="AD16" s="1099">
        <v>0</v>
      </c>
      <c r="AE16" s="1099">
        <v>0</v>
      </c>
      <c r="AF16" s="1099">
        <v>0</v>
      </c>
      <c r="AG16" s="1099">
        <v>0</v>
      </c>
      <c r="AH16" s="212">
        <v>0</v>
      </c>
      <c r="AI16" s="215"/>
    </row>
    <row r="17" spans="1:36" x14ac:dyDescent="0.2">
      <c r="A17" s="170">
        <v>1090</v>
      </c>
      <c r="B17" s="2890" t="s">
        <v>3040</v>
      </c>
      <c r="C17" s="2890"/>
      <c r="D17" t="str">
        <f>IF(SUM(F17:N17)-E17=0,"OK","prob")</f>
        <v>OK</v>
      </c>
      <c r="E17" s="341">
        <v>0</v>
      </c>
      <c r="F17" s="341">
        <v>0</v>
      </c>
      <c r="G17" s="341">
        <v>0</v>
      </c>
      <c r="H17" s="341">
        <v>0</v>
      </c>
      <c r="I17" s="341">
        <v>0</v>
      </c>
      <c r="J17" s="341">
        <v>0</v>
      </c>
      <c r="K17" s="341">
        <v>0</v>
      </c>
      <c r="L17" s="341"/>
      <c r="M17" s="341">
        <v>0</v>
      </c>
      <c r="N17" s="341">
        <v>0</v>
      </c>
      <c r="O17" s="1099">
        <v>0</v>
      </c>
      <c r="P17" s="1099">
        <v>0</v>
      </c>
      <c r="Q17" s="1099">
        <v>0</v>
      </c>
      <c r="R17" s="1099">
        <v>0</v>
      </c>
      <c r="S17" s="1099">
        <v>0</v>
      </c>
      <c r="T17" s="1099">
        <v>0</v>
      </c>
      <c r="U17" s="1099">
        <v>0</v>
      </c>
      <c r="V17" s="1099">
        <v>0</v>
      </c>
      <c r="W17" s="1099">
        <v>0</v>
      </c>
      <c r="X17" s="1099">
        <v>0</v>
      </c>
      <c r="Y17" s="1099">
        <v>0</v>
      </c>
      <c r="Z17" s="1208">
        <v>0</v>
      </c>
      <c r="AA17" s="1099">
        <v>0</v>
      </c>
      <c r="AB17" s="1099">
        <v>0</v>
      </c>
      <c r="AC17" s="1099">
        <v>0</v>
      </c>
      <c r="AD17" s="1099">
        <v>0</v>
      </c>
      <c r="AE17" s="1099">
        <v>0</v>
      </c>
      <c r="AF17" s="1099">
        <v>0</v>
      </c>
      <c r="AG17" s="1099">
        <v>0</v>
      </c>
      <c r="AH17" s="212">
        <v>0</v>
      </c>
      <c r="AI17" s="215"/>
    </row>
    <row r="18" spans="1:36" x14ac:dyDescent="0.2">
      <c r="A18" s="170"/>
      <c r="B18" s="170" t="s">
        <v>2741</v>
      </c>
      <c r="C18" s="170"/>
      <c r="E18" s="341"/>
      <c r="F18" s="341"/>
      <c r="G18" s="341"/>
      <c r="H18" s="341"/>
      <c r="I18" s="341"/>
      <c r="J18" s="341"/>
      <c r="K18" s="341"/>
      <c r="L18" s="341"/>
      <c r="M18" s="341"/>
      <c r="N18" s="341"/>
      <c r="O18" s="1208"/>
      <c r="P18" s="1189"/>
      <c r="Q18" s="1189"/>
      <c r="R18" s="1099"/>
      <c r="S18" s="1099"/>
      <c r="T18" s="1099"/>
      <c r="U18" s="1099"/>
      <c r="V18" s="341"/>
      <c r="W18" s="341"/>
      <c r="X18" s="341"/>
      <c r="Y18" s="341"/>
      <c r="Z18" s="212"/>
      <c r="AA18" s="341"/>
      <c r="AB18" s="341"/>
      <c r="AC18" s="341"/>
      <c r="AD18" s="341"/>
      <c r="AE18" s="341"/>
      <c r="AF18" s="341"/>
      <c r="AG18" s="341"/>
      <c r="AH18" s="341"/>
    </row>
    <row r="19" spans="1:36" x14ac:dyDescent="0.2">
      <c r="A19" s="170">
        <v>1110</v>
      </c>
      <c r="B19" s="3116" t="s">
        <v>2742</v>
      </c>
      <c r="C19" s="3116"/>
      <c r="D19" t="str">
        <f>IF(ROUND(SUM(F19:N19),2)-ROUND(E19,2)=0,"OK","prob")</f>
        <v>OK</v>
      </c>
      <c r="E19" s="341">
        <v>558603819.58000004</v>
      </c>
      <c r="F19" s="341">
        <v>341519745</v>
      </c>
      <c r="G19" s="341">
        <v>32499895.379999999</v>
      </c>
      <c r="H19" s="341">
        <v>0</v>
      </c>
      <c r="I19" s="341">
        <v>144671259.94999999</v>
      </c>
      <c r="J19" s="341">
        <v>4270961.6900000004</v>
      </c>
      <c r="K19" s="341">
        <v>15935111.539999999</v>
      </c>
      <c r="L19" s="341"/>
      <c r="M19" s="341">
        <v>5270382.0199999996</v>
      </c>
      <c r="N19" s="341">
        <v>14436464</v>
      </c>
      <c r="O19" s="1099">
        <v>4393913.41</v>
      </c>
      <c r="P19" s="1099">
        <v>190097999.37</v>
      </c>
      <c r="Q19" s="1099">
        <v>62325310.369999997</v>
      </c>
      <c r="R19" s="1099">
        <v>9006630.9199999999</v>
      </c>
      <c r="S19" s="1099">
        <v>8767965.6400000006</v>
      </c>
      <c r="T19" s="1099">
        <v>1658965.62</v>
      </c>
      <c r="U19" s="1099">
        <v>7873413.6399999997</v>
      </c>
      <c r="V19" s="1099">
        <v>47753376.990000002</v>
      </c>
      <c r="W19" s="1099">
        <v>1821197.84</v>
      </c>
      <c r="X19" s="1099">
        <v>4364090.62</v>
      </c>
      <c r="Y19" s="1099">
        <v>9789894.8800000008</v>
      </c>
      <c r="Z19" s="1208">
        <v>1427657.73</v>
      </c>
      <c r="AA19" s="1099">
        <v>596681.71</v>
      </c>
      <c r="AB19" s="1099">
        <v>139753.63</v>
      </c>
      <c r="AC19" s="1099">
        <v>4255299.37</v>
      </c>
      <c r="AD19" s="1099">
        <v>15816531.42</v>
      </c>
      <c r="AE19" s="1099">
        <v>53951.47</v>
      </c>
      <c r="AF19" s="1099">
        <v>435805.71</v>
      </c>
      <c r="AG19" s="1099">
        <v>0</v>
      </c>
      <c r="AH19" s="341">
        <v>97458.07</v>
      </c>
      <c r="AJ19" s="341">
        <f t="shared" ref="AJ19:AJ30" si="0">SUM(F19:AF19)</f>
        <v>929182259.91999996</v>
      </c>
    </row>
    <row r="20" spans="1:36" x14ac:dyDescent="0.2">
      <c r="A20" s="170">
        <v>1120</v>
      </c>
      <c r="B20" s="3116" t="s">
        <v>2743</v>
      </c>
      <c r="C20" s="3116"/>
      <c r="D20" t="str">
        <f>IF(SUM(F20:N20)-E20=0,"OK","prob")</f>
        <v>OK</v>
      </c>
      <c r="E20" s="341">
        <v>0</v>
      </c>
      <c r="F20" s="341">
        <v>0</v>
      </c>
      <c r="G20" s="341">
        <v>0</v>
      </c>
      <c r="H20" s="341">
        <v>0</v>
      </c>
      <c r="I20" s="341">
        <v>0</v>
      </c>
      <c r="J20" s="341">
        <v>0</v>
      </c>
      <c r="K20" s="341">
        <v>0</v>
      </c>
      <c r="L20" s="341"/>
      <c r="M20" s="341">
        <v>0</v>
      </c>
      <c r="N20" s="341">
        <v>0</v>
      </c>
      <c r="O20" s="1099">
        <v>4382758.0599999996</v>
      </c>
      <c r="P20" s="1099">
        <v>95547856.920000002</v>
      </c>
      <c r="Q20" s="1099">
        <v>56109685.729999997</v>
      </c>
      <c r="R20" s="1099">
        <v>15620649.07</v>
      </c>
      <c r="S20" s="1099">
        <v>15320335.529999999</v>
      </c>
      <c r="T20" s="1099">
        <v>169427.55</v>
      </c>
      <c r="U20" s="1099">
        <v>2794255.4</v>
      </c>
      <c r="V20" s="1099">
        <v>4576637.4400000004</v>
      </c>
      <c r="W20" s="1099">
        <v>36307051</v>
      </c>
      <c r="X20" s="1099">
        <v>2107840.54</v>
      </c>
      <c r="Y20" s="1099">
        <v>7751030.2699999996</v>
      </c>
      <c r="Z20" s="1208">
        <v>1530144.33</v>
      </c>
      <c r="AA20" s="1099">
        <v>2659364.08</v>
      </c>
      <c r="AB20" s="1099">
        <v>1787762.79</v>
      </c>
      <c r="AC20" s="1099">
        <v>6692843.21</v>
      </c>
      <c r="AD20" s="1099">
        <v>0</v>
      </c>
      <c r="AE20" s="1099">
        <v>0</v>
      </c>
      <c r="AF20" s="1099">
        <v>0</v>
      </c>
      <c r="AG20" s="1099">
        <v>0</v>
      </c>
      <c r="AH20" s="341">
        <v>0</v>
      </c>
      <c r="AJ20" s="341">
        <f t="shared" si="0"/>
        <v>253357641.91999999</v>
      </c>
    </row>
    <row r="21" spans="1:36" x14ac:dyDescent="0.2">
      <c r="A21" s="170">
        <v>1130</v>
      </c>
      <c r="B21" s="3116" t="s">
        <v>2744</v>
      </c>
      <c r="C21" s="3116"/>
      <c r="D21" t="str">
        <f>IF(SUM(F21:N21)-E21=0,"OK","prob")</f>
        <v>OK</v>
      </c>
      <c r="E21" s="341">
        <v>0</v>
      </c>
      <c r="F21" s="341">
        <v>0</v>
      </c>
      <c r="G21" s="341">
        <v>0</v>
      </c>
      <c r="H21" s="341">
        <v>0</v>
      </c>
      <c r="I21" s="341">
        <v>0</v>
      </c>
      <c r="J21" s="341">
        <v>0</v>
      </c>
      <c r="K21" s="341">
        <v>0</v>
      </c>
      <c r="L21" s="341"/>
      <c r="M21" s="341">
        <v>0</v>
      </c>
      <c r="N21" s="341">
        <v>0</v>
      </c>
      <c r="O21" s="1099">
        <v>12998.62</v>
      </c>
      <c r="P21" s="1099">
        <v>1359320.61</v>
      </c>
      <c r="Q21" s="1099">
        <v>961744.51</v>
      </c>
      <c r="R21" s="1099">
        <v>40535.51</v>
      </c>
      <c r="S21" s="1099">
        <v>55745.82</v>
      </c>
      <c r="T21" s="1099">
        <v>6229.98</v>
      </c>
      <c r="U21" s="1099">
        <v>28955.4</v>
      </c>
      <c r="V21" s="1099">
        <v>109343.29</v>
      </c>
      <c r="W21" s="1099">
        <v>14394.04</v>
      </c>
      <c r="X21" s="1099">
        <v>34343.18</v>
      </c>
      <c r="Y21" s="1099">
        <v>16394.419999999998</v>
      </c>
      <c r="Z21" s="1208">
        <v>0</v>
      </c>
      <c r="AA21" s="1099">
        <v>0</v>
      </c>
      <c r="AB21" s="1099">
        <v>0</v>
      </c>
      <c r="AC21" s="1099">
        <v>40595.49</v>
      </c>
      <c r="AD21" s="1099">
        <v>423052.83</v>
      </c>
      <c r="AE21" s="1099">
        <v>0</v>
      </c>
      <c r="AF21" s="1099">
        <v>0</v>
      </c>
      <c r="AG21" s="1099">
        <v>0</v>
      </c>
      <c r="AH21" s="341">
        <v>0</v>
      </c>
      <c r="AJ21" s="341">
        <f t="shared" si="0"/>
        <v>3103653.7</v>
      </c>
    </row>
    <row r="22" spans="1:36" x14ac:dyDescent="0.2">
      <c r="A22" s="170">
        <v>1160</v>
      </c>
      <c r="B22" s="3116" t="s">
        <v>2745</v>
      </c>
      <c r="C22" s="3116"/>
      <c r="D22" s="1220" t="str">
        <f>IF(SUM(F22:N22)-E22=0,"OK","prob")</f>
        <v>prob</v>
      </c>
      <c r="E22" s="2116">
        <v>188845541.81</v>
      </c>
      <c r="F22" s="341">
        <v>51972162.090000004</v>
      </c>
      <c r="G22" s="341">
        <v>216752876.12</v>
      </c>
      <c r="H22" s="341">
        <v>0</v>
      </c>
      <c r="I22" s="2116">
        <v>290085713.16000003</v>
      </c>
      <c r="J22" s="341">
        <v>1260834.6299999999</v>
      </c>
      <c r="K22" s="341">
        <v>152524935.28999999</v>
      </c>
      <c r="L22" s="341"/>
      <c r="M22" s="2116">
        <v>28613356.489999998</v>
      </c>
      <c r="N22" s="341">
        <v>25762133.260000002</v>
      </c>
      <c r="O22" s="1099">
        <v>0</v>
      </c>
      <c r="P22" s="1099">
        <v>39909376.960000001</v>
      </c>
      <c r="Q22" s="1099">
        <v>32011.200000000001</v>
      </c>
      <c r="R22" s="1099">
        <v>5346572.53</v>
      </c>
      <c r="S22" s="1099">
        <v>174848.07</v>
      </c>
      <c r="T22" s="1099">
        <v>20948.63</v>
      </c>
      <c r="U22" s="1099">
        <v>1731070.77</v>
      </c>
      <c r="V22" s="1099">
        <v>14754406.85</v>
      </c>
      <c r="W22" s="1099">
        <v>6246861.04</v>
      </c>
      <c r="X22" s="1099">
        <v>1221658.06</v>
      </c>
      <c r="Y22" s="1099">
        <v>5594954.0300000003</v>
      </c>
      <c r="Z22" s="1208">
        <v>408510.25</v>
      </c>
      <c r="AA22" s="1099">
        <v>5551.83</v>
      </c>
      <c r="AB22" s="1099">
        <v>58435.51</v>
      </c>
      <c r="AC22" s="1099">
        <v>0</v>
      </c>
      <c r="AD22" s="1099">
        <v>822162.22</v>
      </c>
      <c r="AE22" s="1099">
        <v>0</v>
      </c>
      <c r="AF22" s="1099">
        <v>0</v>
      </c>
      <c r="AG22" s="1099">
        <v>0</v>
      </c>
      <c r="AH22" s="341">
        <v>0</v>
      </c>
      <c r="AJ22" s="341">
        <f t="shared" si="0"/>
        <v>843299378.99000001</v>
      </c>
    </row>
    <row r="23" spans="1:36" x14ac:dyDescent="0.2">
      <c r="A23" s="170">
        <v>1175</v>
      </c>
      <c r="B23" s="2890" t="s">
        <v>3094</v>
      </c>
      <c r="C23" s="2890"/>
      <c r="D23" t="str">
        <f>IF(SUM(F23:N23)-E23=0,"OK","prob")</f>
        <v>OK</v>
      </c>
      <c r="E23" s="341">
        <v>0</v>
      </c>
      <c r="F23" s="341">
        <v>0</v>
      </c>
      <c r="G23" s="341">
        <v>0</v>
      </c>
      <c r="H23" s="341">
        <v>0</v>
      </c>
      <c r="I23" s="341">
        <v>0</v>
      </c>
      <c r="J23" s="341">
        <v>0</v>
      </c>
      <c r="K23" s="341">
        <v>0</v>
      </c>
      <c r="L23" s="341"/>
      <c r="M23" s="341">
        <v>0</v>
      </c>
      <c r="N23" s="341">
        <v>0</v>
      </c>
      <c r="O23" s="1258">
        <v>0</v>
      </c>
      <c r="P23" s="1099">
        <v>0</v>
      </c>
      <c r="Q23" s="1099">
        <v>0</v>
      </c>
      <c r="R23" s="1099">
        <v>0</v>
      </c>
      <c r="S23" s="1099">
        <v>0</v>
      </c>
      <c r="T23" s="1099">
        <v>0</v>
      </c>
      <c r="U23" s="1099">
        <v>0</v>
      </c>
      <c r="V23" s="1099">
        <v>0</v>
      </c>
      <c r="W23" s="1099">
        <v>0</v>
      </c>
      <c r="X23" s="1099">
        <v>0</v>
      </c>
      <c r="Y23" s="1099">
        <v>0</v>
      </c>
      <c r="Z23" s="1208">
        <v>0</v>
      </c>
      <c r="AA23" s="1099">
        <v>0</v>
      </c>
      <c r="AB23" s="1099">
        <v>0</v>
      </c>
      <c r="AC23" s="1099">
        <v>0</v>
      </c>
      <c r="AD23" s="1099">
        <v>0</v>
      </c>
      <c r="AE23" s="1099">
        <v>0</v>
      </c>
      <c r="AF23" s="1099">
        <v>0</v>
      </c>
      <c r="AG23" s="1099">
        <v>0</v>
      </c>
      <c r="AH23" s="341">
        <v>0</v>
      </c>
      <c r="AJ23" s="341">
        <f t="shared" si="0"/>
        <v>0</v>
      </c>
    </row>
    <row r="24" spans="1:36" x14ac:dyDescent="0.2">
      <c r="A24" s="638">
        <v>1190</v>
      </c>
      <c r="B24" s="2890" t="s">
        <v>4836</v>
      </c>
      <c r="C24" s="2890"/>
      <c r="D24" s="1220" t="str">
        <f>IF(ROUND(SUM(F24:N24),2)-ROUND(E24,2)=0,"OK","prob")</f>
        <v>prob</v>
      </c>
      <c r="E24" s="1093">
        <v>15713572.720000001</v>
      </c>
      <c r="F24" s="1093">
        <v>317054007.38999999</v>
      </c>
      <c r="G24" s="1093">
        <v>509053644.52999997</v>
      </c>
      <c r="H24" s="1093">
        <v>0</v>
      </c>
      <c r="I24" s="1093">
        <v>69126646.849999994</v>
      </c>
      <c r="J24" s="1093">
        <v>3026632.89</v>
      </c>
      <c r="K24" s="1093">
        <v>27793438.460000001</v>
      </c>
      <c r="L24" s="1093"/>
      <c r="M24" s="1093">
        <v>0</v>
      </c>
      <c r="N24" s="1093">
        <v>2752943.25</v>
      </c>
      <c r="O24" s="1217">
        <v>0</v>
      </c>
      <c r="P24" s="1217">
        <v>95088617.640000001</v>
      </c>
      <c r="Q24" s="1217">
        <v>2264435.6800000002</v>
      </c>
      <c r="R24" s="1217">
        <v>0</v>
      </c>
      <c r="S24" s="1217">
        <v>0</v>
      </c>
      <c r="T24" s="1217">
        <v>0</v>
      </c>
      <c r="U24" s="1217">
        <v>0</v>
      </c>
      <c r="V24" s="1217">
        <v>0</v>
      </c>
      <c r="W24" s="1217">
        <v>0</v>
      </c>
      <c r="X24" s="1217">
        <v>0</v>
      </c>
      <c r="Y24" s="1217">
        <v>0</v>
      </c>
      <c r="Z24" s="2041">
        <v>0</v>
      </c>
      <c r="AA24" s="1217">
        <v>0</v>
      </c>
      <c r="AB24" s="1217">
        <v>0</v>
      </c>
      <c r="AC24" s="1217">
        <v>0</v>
      </c>
      <c r="AD24" s="1217">
        <v>0</v>
      </c>
      <c r="AE24" s="1217">
        <v>0</v>
      </c>
      <c r="AF24" s="1217">
        <v>0</v>
      </c>
      <c r="AG24" s="1217">
        <v>0</v>
      </c>
      <c r="AH24" s="562">
        <v>0</v>
      </c>
      <c r="AJ24" s="341">
        <f t="shared" si="0"/>
        <v>1026160366.6900001</v>
      </c>
    </row>
    <row r="25" spans="1:36" x14ac:dyDescent="0.2">
      <c r="A25" s="638">
        <v>1195</v>
      </c>
      <c r="B25" s="2890" t="s">
        <v>3098</v>
      </c>
      <c r="C25" s="2890"/>
      <c r="D25" t="str">
        <f t="shared" ref="D25:D37" si="1">IF(SUM(F25:N25)-E25=0,"OK","prob")</f>
        <v>OK</v>
      </c>
      <c r="E25" s="1093">
        <v>0</v>
      </c>
      <c r="F25" s="1093">
        <v>0</v>
      </c>
      <c r="G25" s="1093">
        <v>0</v>
      </c>
      <c r="H25" s="1093">
        <v>0</v>
      </c>
      <c r="I25" s="1093">
        <v>0</v>
      </c>
      <c r="J25" s="1093">
        <v>0</v>
      </c>
      <c r="K25" s="1093">
        <v>0</v>
      </c>
      <c r="L25" s="1093"/>
      <c r="M25" s="1093">
        <v>0</v>
      </c>
      <c r="N25" s="1093">
        <v>0</v>
      </c>
      <c r="O25" s="1217">
        <v>0</v>
      </c>
      <c r="P25" s="1217">
        <v>0</v>
      </c>
      <c r="Q25" s="1217">
        <v>1990261.41</v>
      </c>
      <c r="R25" s="1217">
        <v>0</v>
      </c>
      <c r="S25" s="1217">
        <v>0</v>
      </c>
      <c r="T25" s="1217">
        <v>0</v>
      </c>
      <c r="U25" s="1217">
        <v>0</v>
      </c>
      <c r="V25" s="1217">
        <v>97564.05</v>
      </c>
      <c r="W25" s="1217">
        <v>982252.45</v>
      </c>
      <c r="X25" s="1217">
        <v>0</v>
      </c>
      <c r="Y25" s="1217">
        <v>0</v>
      </c>
      <c r="Z25" s="2041">
        <v>0</v>
      </c>
      <c r="AA25" s="1217">
        <v>0</v>
      </c>
      <c r="AB25" s="1217">
        <v>0</v>
      </c>
      <c r="AC25" s="1217">
        <v>0</v>
      </c>
      <c r="AD25" s="1217">
        <v>194468.03</v>
      </c>
      <c r="AE25" s="1217">
        <v>33468.730000000003</v>
      </c>
      <c r="AF25" s="1217">
        <v>0</v>
      </c>
      <c r="AG25" s="1217">
        <v>0</v>
      </c>
      <c r="AH25" s="562">
        <v>0</v>
      </c>
      <c r="AJ25" s="341">
        <f t="shared" si="0"/>
        <v>3298014.67</v>
      </c>
    </row>
    <row r="26" spans="1:36" x14ac:dyDescent="0.2">
      <c r="A26" s="638">
        <v>1200</v>
      </c>
      <c r="B26" s="2890" t="s">
        <v>3101</v>
      </c>
      <c r="C26" s="2890"/>
      <c r="D26" t="str">
        <f t="shared" si="1"/>
        <v>OK</v>
      </c>
      <c r="E26" s="2115">
        <v>118090842</v>
      </c>
      <c r="F26" s="2115">
        <v>91256414</v>
      </c>
      <c r="G26" s="1093">
        <v>0</v>
      </c>
      <c r="H26" s="1093">
        <v>0</v>
      </c>
      <c r="I26" s="2115">
        <v>18901431</v>
      </c>
      <c r="J26" s="2115">
        <v>1116575</v>
      </c>
      <c r="K26" s="2115">
        <v>0</v>
      </c>
      <c r="L26" s="2115"/>
      <c r="M26" s="2115">
        <v>2663131</v>
      </c>
      <c r="N26" s="2115">
        <v>4153291</v>
      </c>
      <c r="O26" s="1217">
        <v>0</v>
      </c>
      <c r="P26" s="1217">
        <v>3197381.23</v>
      </c>
      <c r="Q26" s="1217">
        <v>9987315.8699999992</v>
      </c>
      <c r="R26" s="1217">
        <v>0</v>
      </c>
      <c r="S26" s="1217">
        <v>0</v>
      </c>
      <c r="T26" s="1217">
        <v>0</v>
      </c>
      <c r="U26" s="1217">
        <v>10074679</v>
      </c>
      <c r="V26" s="1217">
        <v>0</v>
      </c>
      <c r="W26" s="1217">
        <v>0</v>
      </c>
      <c r="X26" s="1217">
        <v>0</v>
      </c>
      <c r="Y26" s="1217">
        <v>0</v>
      </c>
      <c r="Z26" s="2041">
        <v>0</v>
      </c>
      <c r="AA26" s="1217">
        <v>0</v>
      </c>
      <c r="AB26" s="1217">
        <v>0</v>
      </c>
      <c r="AC26" s="1217">
        <v>0</v>
      </c>
      <c r="AD26" s="1217">
        <v>0</v>
      </c>
      <c r="AE26" s="1217">
        <v>0</v>
      </c>
      <c r="AF26" s="1217">
        <v>0</v>
      </c>
      <c r="AG26" s="1217">
        <v>0</v>
      </c>
      <c r="AH26" s="562">
        <v>0</v>
      </c>
      <c r="AJ26" s="341">
        <f t="shared" si="0"/>
        <v>141350218.09999999</v>
      </c>
    </row>
    <row r="27" spans="1:36" x14ac:dyDescent="0.2">
      <c r="A27" s="170">
        <v>1220</v>
      </c>
      <c r="B27" s="2890" t="s">
        <v>2750</v>
      </c>
      <c r="C27" s="2890"/>
      <c r="D27" t="str">
        <f t="shared" si="1"/>
        <v>OK</v>
      </c>
      <c r="E27" s="341">
        <v>115890942.86</v>
      </c>
      <c r="F27" s="341">
        <v>66105786</v>
      </c>
      <c r="G27" s="341">
        <v>15644869.890000001</v>
      </c>
      <c r="H27" s="341">
        <v>0</v>
      </c>
      <c r="I27" s="341">
        <v>28416026.48</v>
      </c>
      <c r="J27" s="341">
        <v>663635.49</v>
      </c>
      <c r="K27" s="341">
        <v>737.46</v>
      </c>
      <c r="L27" s="341"/>
      <c r="M27" s="341">
        <v>1134578.78</v>
      </c>
      <c r="N27" s="341">
        <v>3925308.76</v>
      </c>
      <c r="O27" s="1099">
        <v>888.99</v>
      </c>
      <c r="P27" s="1099">
        <v>20083418.890000001</v>
      </c>
      <c r="Q27" s="1099">
        <v>7151334.9800000004</v>
      </c>
      <c r="R27" s="1099">
        <v>635793.79</v>
      </c>
      <c r="S27" s="1099">
        <v>316935.67999999999</v>
      </c>
      <c r="T27" s="1099">
        <v>331363.64</v>
      </c>
      <c r="U27" s="1099">
        <v>572452.76</v>
      </c>
      <c r="V27" s="1099">
        <v>2489239.94</v>
      </c>
      <c r="W27" s="1099">
        <v>890555.16</v>
      </c>
      <c r="X27" s="1099">
        <v>6989120.6900000004</v>
      </c>
      <c r="Y27" s="1099">
        <v>6184439.0800000001</v>
      </c>
      <c r="Z27" s="1208">
        <v>63259.17</v>
      </c>
      <c r="AA27" s="1099">
        <v>286423.38</v>
      </c>
      <c r="AB27" s="1099">
        <v>65329.440000000002</v>
      </c>
      <c r="AC27" s="1099">
        <v>113706.59</v>
      </c>
      <c r="AD27" s="1099">
        <v>638509.72</v>
      </c>
      <c r="AE27" s="1099">
        <v>350515.31</v>
      </c>
      <c r="AF27" s="1099">
        <v>0</v>
      </c>
      <c r="AG27" s="1099">
        <v>0</v>
      </c>
      <c r="AH27" s="341">
        <v>200521.59</v>
      </c>
      <c r="AJ27" s="341">
        <f t="shared" si="0"/>
        <v>163054230.06999999</v>
      </c>
    </row>
    <row r="28" spans="1:36" x14ac:dyDescent="0.2">
      <c r="A28" s="170">
        <v>1230</v>
      </c>
      <c r="B28" s="2890" t="s">
        <v>2751</v>
      </c>
      <c r="C28" s="2890"/>
      <c r="D28" s="1220" t="str">
        <f>IF(SUM(F28:N28)=E28,"OK","prob")</f>
        <v>prob</v>
      </c>
      <c r="E28" s="341">
        <v>40521867.399999999</v>
      </c>
      <c r="F28" s="341">
        <v>176365005</v>
      </c>
      <c r="G28" s="341">
        <v>26770164.870000001</v>
      </c>
      <c r="H28" s="341">
        <v>0</v>
      </c>
      <c r="I28" s="341">
        <v>19926046.16</v>
      </c>
      <c r="J28" s="341">
        <v>675795.25</v>
      </c>
      <c r="K28" s="341">
        <v>4846320.37</v>
      </c>
      <c r="L28" s="341"/>
      <c r="M28" s="341">
        <v>1827457.09</v>
      </c>
      <c r="N28" s="341">
        <v>1471176.03</v>
      </c>
      <c r="O28" s="1099">
        <v>3245315.81</v>
      </c>
      <c r="P28" s="1099">
        <v>23699783.920000002</v>
      </c>
      <c r="Q28" s="1099">
        <v>0</v>
      </c>
      <c r="R28" s="1099">
        <v>1772509.83</v>
      </c>
      <c r="S28" s="1099">
        <v>12500408.17</v>
      </c>
      <c r="T28" s="1099">
        <v>0</v>
      </c>
      <c r="U28" s="1099">
        <v>48974.85</v>
      </c>
      <c r="V28" s="1099">
        <v>5839374.1100000003</v>
      </c>
      <c r="W28" s="1099">
        <v>0</v>
      </c>
      <c r="X28" s="1099">
        <v>185258.47</v>
      </c>
      <c r="Y28" s="1099">
        <v>6864605.1500000004</v>
      </c>
      <c r="Z28" s="1208">
        <v>44832.67</v>
      </c>
      <c r="AA28" s="1099">
        <v>82901.23</v>
      </c>
      <c r="AB28" s="1099">
        <v>853526.86</v>
      </c>
      <c r="AC28" s="1099">
        <v>0</v>
      </c>
      <c r="AD28" s="1099">
        <v>0</v>
      </c>
      <c r="AE28" s="1099">
        <v>41175.629999999997</v>
      </c>
      <c r="AF28" s="1099">
        <v>20461.7</v>
      </c>
      <c r="AG28" s="1099">
        <v>692264.62</v>
      </c>
      <c r="AH28" s="341">
        <v>1180577.42</v>
      </c>
      <c r="AJ28" s="341">
        <f t="shared" si="0"/>
        <v>287081093.17000002</v>
      </c>
    </row>
    <row r="29" spans="1:36" x14ac:dyDescent="0.2">
      <c r="A29" s="170">
        <v>1210</v>
      </c>
      <c r="B29" s="2890" t="s">
        <v>2752</v>
      </c>
      <c r="C29" s="2890"/>
      <c r="D29" t="str">
        <f t="shared" si="1"/>
        <v>OK</v>
      </c>
      <c r="E29" s="341">
        <v>3834698.2</v>
      </c>
      <c r="F29" s="341">
        <v>0</v>
      </c>
      <c r="G29" s="341">
        <v>3699088.81</v>
      </c>
      <c r="H29" s="341">
        <v>0</v>
      </c>
      <c r="I29" s="341">
        <v>135609.39000000001</v>
      </c>
      <c r="J29" s="341">
        <v>0</v>
      </c>
      <c r="K29" s="341">
        <v>0</v>
      </c>
      <c r="L29" s="341"/>
      <c r="M29" s="341">
        <v>0</v>
      </c>
      <c r="N29" s="341">
        <v>0</v>
      </c>
      <c r="O29" s="1258">
        <v>0</v>
      </c>
      <c r="P29" s="1099">
        <v>4101490.38</v>
      </c>
      <c r="Q29" s="1099">
        <v>1270174.55</v>
      </c>
      <c r="R29" s="1099">
        <v>232500.04</v>
      </c>
      <c r="S29" s="1099">
        <v>210936.8</v>
      </c>
      <c r="T29" s="1099">
        <v>204630.81</v>
      </c>
      <c r="U29" s="1099">
        <v>423649.25</v>
      </c>
      <c r="V29" s="1099">
        <v>128463.61</v>
      </c>
      <c r="W29" s="1099">
        <v>5451.04</v>
      </c>
      <c r="X29" s="1099">
        <v>841925.56</v>
      </c>
      <c r="Y29" s="1099">
        <v>629584.35</v>
      </c>
      <c r="Z29" s="1208">
        <v>47447</v>
      </c>
      <c r="AA29" s="1099">
        <v>0</v>
      </c>
      <c r="AB29" s="1099">
        <v>6226.6</v>
      </c>
      <c r="AC29" s="1099">
        <v>100226.98</v>
      </c>
      <c r="AD29" s="1099"/>
      <c r="AE29" s="1099">
        <v>0</v>
      </c>
      <c r="AF29" s="1099">
        <v>0</v>
      </c>
      <c r="AG29" s="1099">
        <v>0</v>
      </c>
      <c r="AH29" s="341">
        <v>0</v>
      </c>
      <c r="AJ29" s="341">
        <f t="shared" si="0"/>
        <v>12037405.17</v>
      </c>
    </row>
    <row r="30" spans="1:36" x14ac:dyDescent="0.2">
      <c r="A30" s="170">
        <v>1211</v>
      </c>
      <c r="B30" s="2890" t="s">
        <v>4668</v>
      </c>
      <c r="C30" s="2890"/>
      <c r="D30" t="str">
        <f t="shared" si="1"/>
        <v>OK</v>
      </c>
      <c r="E30" s="341">
        <v>14763478.85</v>
      </c>
      <c r="F30" s="341">
        <v>578838.81000000006</v>
      </c>
      <c r="G30" s="341">
        <v>10946269.960000001</v>
      </c>
      <c r="H30" s="341">
        <v>0</v>
      </c>
      <c r="I30" s="341">
        <v>2146185.34</v>
      </c>
      <c r="J30" s="341">
        <v>465399.54</v>
      </c>
      <c r="K30" s="341">
        <v>-44.48</v>
      </c>
      <c r="L30" s="341">
        <v>0</v>
      </c>
      <c r="M30" s="341">
        <v>236673.32</v>
      </c>
      <c r="N30" s="341">
        <v>390156.36</v>
      </c>
      <c r="O30" s="1258">
        <v>376429.32</v>
      </c>
      <c r="P30" s="1099">
        <v>1054815.1000000001</v>
      </c>
      <c r="Q30" s="1099">
        <v>2199384.77</v>
      </c>
      <c r="R30" s="1099">
        <v>363499</v>
      </c>
      <c r="S30" s="1099">
        <v>175900.82</v>
      </c>
      <c r="T30" s="1099">
        <v>256158.77</v>
      </c>
      <c r="U30" s="1099">
        <v>445541.39</v>
      </c>
      <c r="V30" s="1099">
        <v>437986.26</v>
      </c>
      <c r="W30" s="1099">
        <v>0</v>
      </c>
      <c r="X30" s="1099">
        <v>175345.11</v>
      </c>
      <c r="Y30" s="1099">
        <v>301453.56</v>
      </c>
      <c r="Z30" s="1208">
        <v>0</v>
      </c>
      <c r="AA30" s="1099">
        <v>151888.29</v>
      </c>
      <c r="AB30" s="1099">
        <v>0</v>
      </c>
      <c r="AC30" s="1099">
        <v>204785.3</v>
      </c>
      <c r="AD30" s="1099">
        <v>71098</v>
      </c>
      <c r="AE30" s="1099">
        <v>0</v>
      </c>
      <c r="AF30" s="1099">
        <v>571565</v>
      </c>
      <c r="AG30" s="1099">
        <v>0</v>
      </c>
      <c r="AH30" s="341">
        <v>0</v>
      </c>
      <c r="AJ30" s="341">
        <f t="shared" si="0"/>
        <v>21549329.539999999</v>
      </c>
    </row>
    <row r="31" spans="1:36" x14ac:dyDescent="0.2">
      <c r="A31" s="2009">
        <v>1214</v>
      </c>
      <c r="B31" s="3072" t="s">
        <v>4669</v>
      </c>
      <c r="C31" s="3072"/>
      <c r="D31" t="str">
        <f>IF(SUM(F31:N31)-E31=0,"OK","prob")</f>
        <v>OK</v>
      </c>
      <c r="E31" s="1868">
        <v>0</v>
      </c>
      <c r="F31" s="341">
        <v>0</v>
      </c>
      <c r="G31" s="341">
        <v>0</v>
      </c>
      <c r="H31" s="341">
        <v>0</v>
      </c>
      <c r="I31" s="341">
        <v>0</v>
      </c>
      <c r="J31" s="341">
        <v>0</v>
      </c>
      <c r="K31" s="341">
        <v>0</v>
      </c>
      <c r="L31" s="341"/>
      <c r="M31" s="341">
        <v>0</v>
      </c>
      <c r="N31" s="341">
        <v>0</v>
      </c>
      <c r="O31" s="1258">
        <v>0</v>
      </c>
      <c r="P31" s="1099">
        <v>0</v>
      </c>
      <c r="Q31" s="1099"/>
      <c r="R31" s="1099"/>
      <c r="S31" s="1099"/>
      <c r="T31" s="1099"/>
      <c r="U31" s="1099"/>
      <c r="V31" s="1099"/>
      <c r="W31" s="1099">
        <v>0</v>
      </c>
      <c r="X31" s="1099"/>
      <c r="Y31" s="1099"/>
      <c r="Z31" s="1208">
        <v>0</v>
      </c>
      <c r="AA31" s="1099">
        <v>0</v>
      </c>
      <c r="AB31" s="1099">
        <v>0</v>
      </c>
      <c r="AC31" s="1099">
        <v>0</v>
      </c>
      <c r="AD31" s="1099">
        <v>0</v>
      </c>
      <c r="AE31" s="1099">
        <v>0</v>
      </c>
      <c r="AF31" s="1099">
        <v>0</v>
      </c>
      <c r="AG31" s="1099">
        <v>0</v>
      </c>
      <c r="AH31" s="341"/>
      <c r="AJ31" s="341"/>
    </row>
    <row r="32" spans="1:36" x14ac:dyDescent="0.2">
      <c r="A32" s="170">
        <v>1020</v>
      </c>
      <c r="B32" s="2890" t="s">
        <v>1948</v>
      </c>
      <c r="C32" s="2890"/>
      <c r="D32" t="str">
        <f t="shared" si="1"/>
        <v>OK</v>
      </c>
      <c r="E32" s="341">
        <v>14970810.08</v>
      </c>
      <c r="F32" s="341">
        <v>0</v>
      </c>
      <c r="G32" s="341">
        <v>0</v>
      </c>
      <c r="H32" s="341">
        <v>0</v>
      </c>
      <c r="I32" s="341">
        <v>14970810.08</v>
      </c>
      <c r="J32" s="341">
        <v>0</v>
      </c>
      <c r="K32" s="341">
        <v>0</v>
      </c>
      <c r="L32" s="341"/>
      <c r="M32" s="341">
        <v>0</v>
      </c>
      <c r="N32" s="341">
        <v>0</v>
      </c>
      <c r="O32" s="1099">
        <v>8206423.1500000004</v>
      </c>
      <c r="P32" s="1099">
        <v>7055153.0199999996</v>
      </c>
      <c r="Q32" s="1099">
        <v>3587108.51</v>
      </c>
      <c r="R32" s="1099">
        <v>2864486.05</v>
      </c>
      <c r="S32" s="1099">
        <v>819643.81</v>
      </c>
      <c r="T32" s="1099">
        <v>3501.42</v>
      </c>
      <c r="U32" s="1099">
        <v>118192.08</v>
      </c>
      <c r="V32" s="1099">
        <v>0</v>
      </c>
      <c r="W32" s="1099">
        <v>79480.52</v>
      </c>
      <c r="X32" s="1099">
        <v>1237665.3400000001</v>
      </c>
      <c r="Y32" s="1099">
        <v>15000</v>
      </c>
      <c r="Z32" s="1208">
        <v>9248621.1899999995</v>
      </c>
      <c r="AA32" s="1099">
        <v>0</v>
      </c>
      <c r="AB32" s="1099">
        <v>0</v>
      </c>
      <c r="AC32" s="1099">
        <v>0</v>
      </c>
      <c r="AD32" s="1099">
        <v>265752.51</v>
      </c>
      <c r="AE32" s="1099">
        <v>203388.37</v>
      </c>
      <c r="AF32" s="1099">
        <v>0</v>
      </c>
      <c r="AG32" s="1099">
        <v>0</v>
      </c>
      <c r="AH32" s="341">
        <v>1132832.1000000001</v>
      </c>
      <c r="AJ32" s="341">
        <f t="shared" ref="AJ32:AJ40" si="2">SUM(F32:AF32)</f>
        <v>48675226.049999997</v>
      </c>
    </row>
    <row r="33" spans="1:36" x14ac:dyDescent="0.2">
      <c r="A33" s="170">
        <v>1030</v>
      </c>
      <c r="B33" s="2890" t="s">
        <v>4838</v>
      </c>
      <c r="C33" s="2890"/>
      <c r="D33" t="str">
        <f t="shared" si="1"/>
        <v>OK</v>
      </c>
      <c r="E33" s="341">
        <v>1402254.08</v>
      </c>
      <c r="F33" s="341">
        <v>1402254.08</v>
      </c>
      <c r="G33" s="341">
        <v>0</v>
      </c>
      <c r="H33" s="341">
        <v>0</v>
      </c>
      <c r="I33" s="341">
        <v>0</v>
      </c>
      <c r="J33" s="341">
        <v>0</v>
      </c>
      <c r="K33" s="341">
        <v>0</v>
      </c>
      <c r="L33" s="341"/>
      <c r="M33" s="341">
        <v>0</v>
      </c>
      <c r="N33" s="341">
        <v>0</v>
      </c>
      <c r="O33" s="1099">
        <v>211977513.91999999</v>
      </c>
      <c r="P33" s="1099">
        <v>438569323.29000002</v>
      </c>
      <c r="Q33" s="1099">
        <v>176766794.55000001</v>
      </c>
      <c r="R33" s="1099">
        <v>36508168.909999996</v>
      </c>
      <c r="S33" s="1099">
        <v>18977024.940000001</v>
      </c>
      <c r="T33" s="1099">
        <v>1387892.64</v>
      </c>
      <c r="U33" s="1099">
        <v>33410878.649999999</v>
      </c>
      <c r="V33" s="1099">
        <v>46398391.159999996</v>
      </c>
      <c r="W33" s="1099">
        <v>71450219.329999998</v>
      </c>
      <c r="X33" s="1099">
        <v>24648529.170000002</v>
      </c>
      <c r="Y33" s="1099">
        <v>39841416.93</v>
      </c>
      <c r="Z33" s="1208">
        <v>0</v>
      </c>
      <c r="AA33" s="1099">
        <v>0</v>
      </c>
      <c r="AB33" s="1099">
        <v>3130128.86</v>
      </c>
      <c r="AC33" s="1099">
        <v>17177532.640000001</v>
      </c>
      <c r="AD33" s="1099">
        <v>16039662.74</v>
      </c>
      <c r="AE33" s="1099">
        <v>8859380.0099999998</v>
      </c>
      <c r="AF33" s="1099">
        <v>0</v>
      </c>
      <c r="AG33" s="1099">
        <v>0</v>
      </c>
      <c r="AH33" s="341">
        <v>0</v>
      </c>
      <c r="AJ33" s="341">
        <f t="shared" si="2"/>
        <v>1146545111.8199999</v>
      </c>
    </row>
    <row r="34" spans="1:36" x14ac:dyDescent="0.2">
      <c r="A34" s="170">
        <v>1070</v>
      </c>
      <c r="B34" s="2890" t="s">
        <v>2758</v>
      </c>
      <c r="C34" s="2890"/>
      <c r="D34" t="str">
        <f t="shared" si="1"/>
        <v>OK</v>
      </c>
      <c r="E34" s="341">
        <v>0</v>
      </c>
      <c r="F34" s="341">
        <v>0</v>
      </c>
      <c r="G34" s="341">
        <v>0</v>
      </c>
      <c r="H34" s="341">
        <v>0</v>
      </c>
      <c r="I34" s="341">
        <v>0</v>
      </c>
      <c r="J34" s="341">
        <v>0</v>
      </c>
      <c r="K34" s="341">
        <v>0</v>
      </c>
      <c r="L34" s="341"/>
      <c r="M34" s="341">
        <v>0</v>
      </c>
      <c r="N34" s="341">
        <v>0</v>
      </c>
      <c r="O34" s="1099">
        <v>0</v>
      </c>
      <c r="P34" s="1099">
        <v>165675361.90000001</v>
      </c>
      <c r="Q34" s="1099">
        <v>0</v>
      </c>
      <c r="R34" s="1099">
        <v>9487389.5399999991</v>
      </c>
      <c r="S34" s="1099">
        <v>1229354.17</v>
      </c>
      <c r="T34" s="1099">
        <v>18.559999999999999</v>
      </c>
      <c r="U34" s="1099">
        <v>0</v>
      </c>
      <c r="V34" s="1099">
        <v>0</v>
      </c>
      <c r="W34" s="1099">
        <v>91595</v>
      </c>
      <c r="X34" s="1099">
        <v>0</v>
      </c>
      <c r="Y34" s="1099">
        <v>0</v>
      </c>
      <c r="Z34" s="1208">
        <v>2184558.6</v>
      </c>
      <c r="AA34" s="1099">
        <v>4663.2299999999996</v>
      </c>
      <c r="AB34" s="1099">
        <v>0</v>
      </c>
      <c r="AC34" s="1099">
        <v>0</v>
      </c>
      <c r="AD34" s="1099">
        <v>1902654.63</v>
      </c>
      <c r="AE34" s="1099">
        <v>0</v>
      </c>
      <c r="AF34" s="1099">
        <v>0</v>
      </c>
      <c r="AG34" s="1099">
        <v>0</v>
      </c>
      <c r="AH34" s="341">
        <v>0</v>
      </c>
      <c r="AJ34" s="341">
        <f t="shared" si="2"/>
        <v>180575595.63</v>
      </c>
    </row>
    <row r="35" spans="1:36" x14ac:dyDescent="0.2">
      <c r="A35" s="170">
        <v>1232</v>
      </c>
      <c r="B35" s="2890" t="s">
        <v>5437</v>
      </c>
      <c r="C35" s="2890"/>
      <c r="D35" t="str">
        <f t="shared" si="1"/>
        <v>OK</v>
      </c>
      <c r="E35" s="341">
        <v>0</v>
      </c>
      <c r="F35" s="341">
        <v>0</v>
      </c>
      <c r="G35" s="341">
        <v>0</v>
      </c>
      <c r="H35" s="341">
        <v>0</v>
      </c>
      <c r="I35" s="341">
        <v>0</v>
      </c>
      <c r="J35" s="341">
        <v>0</v>
      </c>
      <c r="K35" s="341">
        <v>0</v>
      </c>
      <c r="L35" s="341"/>
      <c r="M35" s="341">
        <v>0</v>
      </c>
      <c r="N35" s="341">
        <v>0</v>
      </c>
      <c r="O35" s="1099">
        <v>0</v>
      </c>
      <c r="P35" s="1099">
        <v>0</v>
      </c>
      <c r="Q35" s="1099">
        <v>0</v>
      </c>
      <c r="R35" s="1099">
        <v>0</v>
      </c>
      <c r="S35" s="1099">
        <v>0</v>
      </c>
      <c r="T35" s="1099">
        <v>0</v>
      </c>
      <c r="U35" s="1099">
        <v>0</v>
      </c>
      <c r="V35" s="1099">
        <v>0</v>
      </c>
      <c r="W35" s="1099">
        <v>0</v>
      </c>
      <c r="X35" s="1099">
        <v>0</v>
      </c>
      <c r="Y35" s="1099">
        <v>0</v>
      </c>
      <c r="Z35" s="1208">
        <v>0</v>
      </c>
      <c r="AA35" s="1099">
        <v>0</v>
      </c>
      <c r="AB35" s="1099">
        <v>0</v>
      </c>
      <c r="AC35" s="1099">
        <v>0</v>
      </c>
      <c r="AD35" s="1099">
        <v>0</v>
      </c>
      <c r="AE35" s="1099">
        <v>0</v>
      </c>
      <c r="AF35" s="1099">
        <v>0</v>
      </c>
      <c r="AG35" s="1099">
        <v>0</v>
      </c>
      <c r="AH35" s="341">
        <v>0</v>
      </c>
      <c r="AI35" s="341">
        <f>SUM(E35:AH35)</f>
        <v>0</v>
      </c>
      <c r="AJ35" s="341">
        <f t="shared" si="2"/>
        <v>0</v>
      </c>
    </row>
    <row r="36" spans="1:36" x14ac:dyDescent="0.2">
      <c r="A36" s="170">
        <v>1235</v>
      </c>
      <c r="B36" s="2890" t="s">
        <v>2760</v>
      </c>
      <c r="C36" s="2890"/>
      <c r="D36" t="str">
        <f t="shared" si="1"/>
        <v>OK</v>
      </c>
      <c r="E36" s="341">
        <v>0</v>
      </c>
      <c r="F36" s="341">
        <v>0</v>
      </c>
      <c r="G36" s="341">
        <v>0</v>
      </c>
      <c r="H36" s="341">
        <v>0</v>
      </c>
      <c r="I36" s="341">
        <v>0</v>
      </c>
      <c r="J36" s="341">
        <v>0</v>
      </c>
      <c r="K36" s="341">
        <v>0</v>
      </c>
      <c r="L36" s="341"/>
      <c r="M36" s="341">
        <v>0</v>
      </c>
      <c r="N36" s="341">
        <v>0</v>
      </c>
      <c r="O36" s="1099">
        <v>0</v>
      </c>
      <c r="P36" s="1099">
        <v>0</v>
      </c>
      <c r="Q36" s="1099">
        <v>0</v>
      </c>
      <c r="R36" s="1099">
        <v>0</v>
      </c>
      <c r="S36" s="1099">
        <v>0</v>
      </c>
      <c r="T36" s="1099">
        <v>0</v>
      </c>
      <c r="U36" s="1099">
        <v>0</v>
      </c>
      <c r="V36" s="1099">
        <v>0</v>
      </c>
      <c r="W36" s="1099">
        <v>0</v>
      </c>
      <c r="X36" s="1099">
        <v>37923.74</v>
      </c>
      <c r="Y36" s="1099">
        <v>0</v>
      </c>
      <c r="Z36" s="1208">
        <v>0</v>
      </c>
      <c r="AA36" s="1099">
        <v>0</v>
      </c>
      <c r="AB36" s="1099">
        <v>28763.03</v>
      </c>
      <c r="AC36" s="1099">
        <v>0</v>
      </c>
      <c r="AD36" s="1099">
        <v>0</v>
      </c>
      <c r="AE36" s="1099">
        <v>0</v>
      </c>
      <c r="AF36" s="1099">
        <v>0</v>
      </c>
      <c r="AG36" s="1099">
        <v>0</v>
      </c>
      <c r="AH36" s="341">
        <v>0</v>
      </c>
      <c r="AI36" s="341"/>
      <c r="AJ36" s="341">
        <f t="shared" si="2"/>
        <v>66686.77</v>
      </c>
    </row>
    <row r="37" spans="1:36" x14ac:dyDescent="0.2">
      <c r="A37" s="170">
        <v>1233</v>
      </c>
      <c r="B37" s="2890" t="s">
        <v>2761</v>
      </c>
      <c r="C37" s="2890"/>
      <c r="D37" t="str">
        <f t="shared" si="1"/>
        <v>OK</v>
      </c>
      <c r="E37" s="341">
        <v>0</v>
      </c>
      <c r="F37" s="341">
        <v>0</v>
      </c>
      <c r="G37" s="341">
        <v>0</v>
      </c>
      <c r="H37" s="341">
        <v>0</v>
      </c>
      <c r="I37" s="341">
        <v>0</v>
      </c>
      <c r="J37" s="341">
        <v>0</v>
      </c>
      <c r="K37" s="341">
        <v>0</v>
      </c>
      <c r="L37" s="341"/>
      <c r="M37" s="341">
        <v>0</v>
      </c>
      <c r="N37" s="341">
        <v>0</v>
      </c>
      <c r="O37" s="1099">
        <v>0</v>
      </c>
      <c r="P37" s="1099">
        <v>0</v>
      </c>
      <c r="Q37" s="1099">
        <v>0</v>
      </c>
      <c r="R37" s="1099">
        <v>0</v>
      </c>
      <c r="S37" s="1099">
        <v>0</v>
      </c>
      <c r="T37" s="1099">
        <v>0</v>
      </c>
      <c r="U37" s="1099">
        <v>0</v>
      </c>
      <c r="V37" s="1099">
        <v>0</v>
      </c>
      <c r="W37" s="1099">
        <v>0</v>
      </c>
      <c r="X37" s="1099">
        <v>0</v>
      </c>
      <c r="Y37" s="1099">
        <v>0</v>
      </c>
      <c r="Z37" s="1208">
        <v>0</v>
      </c>
      <c r="AA37" s="1099">
        <v>0</v>
      </c>
      <c r="AB37" s="1099">
        <v>0</v>
      </c>
      <c r="AC37" s="1099">
        <v>0</v>
      </c>
      <c r="AD37" s="1099">
        <v>0</v>
      </c>
      <c r="AE37" s="1099">
        <v>0</v>
      </c>
      <c r="AF37" s="1099">
        <v>0</v>
      </c>
      <c r="AG37" s="1099">
        <v>0</v>
      </c>
      <c r="AH37" s="341">
        <v>0</v>
      </c>
      <c r="AI37" s="341"/>
      <c r="AJ37" s="341">
        <f t="shared" si="2"/>
        <v>0</v>
      </c>
    </row>
    <row r="38" spans="1:36" x14ac:dyDescent="0.2">
      <c r="B38" s="2890" t="s">
        <v>3149</v>
      </c>
      <c r="C38" s="2890"/>
      <c r="D38" s="1220" t="str">
        <f>IF(SUM(F38:N38)=E38,"OK","prob")</f>
        <v>prob</v>
      </c>
      <c r="E38" s="350">
        <f t="shared" ref="E38:AH38" si="3">SUM(E12:E37)</f>
        <v>1582989624.75</v>
      </c>
      <c r="F38" s="1920">
        <f t="shared" si="3"/>
        <v>1225869547.3699999</v>
      </c>
      <c r="G38" s="350">
        <f t="shared" si="3"/>
        <v>1073972700.3199999</v>
      </c>
      <c r="H38" s="350">
        <f t="shared" si="3"/>
        <v>5316270</v>
      </c>
      <c r="I38" s="350">
        <f t="shared" si="3"/>
        <v>625597655.60000002</v>
      </c>
      <c r="J38" s="350">
        <f t="shared" si="3"/>
        <v>16936607.940000001</v>
      </c>
      <c r="K38" s="350">
        <f t="shared" si="3"/>
        <v>217228261.84</v>
      </c>
      <c r="L38" s="350">
        <f>SUM(L12:L37)</f>
        <v>0</v>
      </c>
      <c r="M38" s="350">
        <f t="shared" si="3"/>
        <v>39818577.130000003</v>
      </c>
      <c r="N38" s="350">
        <f t="shared" si="3"/>
        <v>60830311.799999997</v>
      </c>
      <c r="O38" s="379">
        <f t="shared" si="3"/>
        <v>247408988.33000001</v>
      </c>
      <c r="P38" s="350">
        <f t="shared" si="3"/>
        <v>2377370422.21</v>
      </c>
      <c r="Q38" s="350">
        <f t="shared" si="3"/>
        <v>560777385.86000001</v>
      </c>
      <c r="R38" s="350">
        <f t="shared" si="3"/>
        <v>274029995.83999997</v>
      </c>
      <c r="S38" s="350">
        <f t="shared" si="3"/>
        <v>510180073.14999998</v>
      </c>
      <c r="T38" s="350">
        <f t="shared" si="3"/>
        <v>23896621.079999998</v>
      </c>
      <c r="U38" s="350">
        <f t="shared" si="3"/>
        <v>238297556.25</v>
      </c>
      <c r="V38" s="350">
        <f t="shared" si="3"/>
        <v>467042407.67000002</v>
      </c>
      <c r="W38" s="350">
        <f t="shared" si="3"/>
        <v>224813732.72</v>
      </c>
      <c r="X38" s="350">
        <f t="shared" si="3"/>
        <v>200262837.47</v>
      </c>
      <c r="Y38" s="350">
        <f t="shared" si="3"/>
        <v>233402895.74000001</v>
      </c>
      <c r="Z38" s="350">
        <f t="shared" si="3"/>
        <v>41024176.18</v>
      </c>
      <c r="AA38" s="350">
        <f t="shared" si="3"/>
        <v>77120873.75</v>
      </c>
      <c r="AB38" s="350">
        <f t="shared" si="3"/>
        <v>30985891.73</v>
      </c>
      <c r="AC38" s="350">
        <f t="shared" si="3"/>
        <v>34196683.789999999</v>
      </c>
      <c r="AD38" s="350">
        <f t="shared" si="3"/>
        <v>51722622.859999999</v>
      </c>
      <c r="AE38" s="350">
        <f t="shared" si="3"/>
        <v>41223368.460000001</v>
      </c>
      <c r="AF38" s="350">
        <f t="shared" si="3"/>
        <v>2919681.5</v>
      </c>
      <c r="AG38" s="350">
        <f t="shared" ref="AG38" si="4">SUM(AG12:AG37)</f>
        <v>23987328.77</v>
      </c>
      <c r="AH38" s="350">
        <f t="shared" si="3"/>
        <v>8202646.75</v>
      </c>
      <c r="AJ38" s="341">
        <f t="shared" si="2"/>
        <v>8902246146.5900002</v>
      </c>
    </row>
    <row r="39" spans="1:36" x14ac:dyDescent="0.2">
      <c r="B39" s="2421"/>
      <c r="C39" s="2421"/>
      <c r="E39" s="341"/>
      <c r="F39" s="341"/>
      <c r="G39" s="341"/>
      <c r="H39" s="341"/>
      <c r="I39" s="341"/>
      <c r="J39" s="341"/>
      <c r="K39" s="341"/>
      <c r="L39" s="341"/>
      <c r="M39" s="341"/>
      <c r="N39" s="341"/>
      <c r="O39" s="212"/>
      <c r="P39" s="341"/>
      <c r="Q39" s="341"/>
      <c r="R39" s="341"/>
      <c r="S39" s="341"/>
      <c r="T39" s="341"/>
      <c r="U39" s="341"/>
      <c r="V39" s="341"/>
      <c r="W39" s="341"/>
      <c r="X39" s="341"/>
      <c r="Y39" s="341"/>
      <c r="Z39" s="341"/>
      <c r="AA39" s="341"/>
      <c r="AB39" s="341"/>
      <c r="AC39" s="341"/>
      <c r="AD39" s="341"/>
      <c r="AE39" s="341"/>
      <c r="AF39" s="341"/>
      <c r="AG39" s="341"/>
      <c r="AH39" s="341"/>
      <c r="AJ39" s="341">
        <f t="shared" si="2"/>
        <v>0</v>
      </c>
    </row>
    <row r="40" spans="1:36" x14ac:dyDescent="0.2">
      <c r="B40" s="213" t="s">
        <v>2763</v>
      </c>
      <c r="C40" s="213"/>
      <c r="E40" s="341"/>
      <c r="F40" s="341"/>
      <c r="G40" s="341"/>
      <c r="H40" s="341"/>
      <c r="I40" s="341"/>
      <c r="J40" s="341"/>
      <c r="K40" s="341"/>
      <c r="L40" s="341"/>
      <c r="M40" s="341"/>
      <c r="N40" s="341"/>
      <c r="O40" s="212"/>
      <c r="P40" s="341"/>
      <c r="Q40" s="341"/>
      <c r="R40" s="341"/>
      <c r="S40" s="341"/>
      <c r="T40" s="341"/>
      <c r="U40" s="341"/>
      <c r="V40" s="341"/>
      <c r="W40" s="341"/>
      <c r="X40" s="341"/>
      <c r="Y40" s="341"/>
      <c r="Z40" s="341"/>
      <c r="AA40" s="341"/>
      <c r="AB40" s="341"/>
      <c r="AC40" s="341"/>
      <c r="AD40" s="341"/>
      <c r="AE40" s="341"/>
      <c r="AF40" s="341"/>
      <c r="AG40" s="341"/>
      <c r="AH40" s="341"/>
      <c r="AJ40" s="341">
        <f t="shared" si="2"/>
        <v>0</v>
      </c>
    </row>
    <row r="41" spans="1:36" x14ac:dyDescent="0.2">
      <c r="A41" s="170">
        <v>1300</v>
      </c>
      <c r="B41" s="2890" t="s">
        <v>1540</v>
      </c>
      <c r="C41" s="2890"/>
      <c r="D41" t="str">
        <f>IF(SUM(F41:N41)-E41=0,"OK","prob")</f>
        <v>OK</v>
      </c>
      <c r="E41" s="341">
        <v>2006751350.1900001</v>
      </c>
      <c r="F41" s="341">
        <v>1079197480</v>
      </c>
      <c r="G41" s="341">
        <v>273873850.13</v>
      </c>
      <c r="H41" s="341">
        <v>46923092</v>
      </c>
      <c r="I41" s="341">
        <v>606265916.63999999</v>
      </c>
      <c r="J41" s="341">
        <v>491011.42</v>
      </c>
      <c r="K41" s="341">
        <v>0</v>
      </c>
      <c r="L41" s="341"/>
      <c r="M41" s="341">
        <v>0</v>
      </c>
      <c r="N41" s="341">
        <v>0</v>
      </c>
      <c r="O41" s="1209">
        <v>0</v>
      </c>
      <c r="P41" s="1209">
        <v>48635658.399999999</v>
      </c>
      <c r="Q41" s="1209">
        <v>147115409.19999999</v>
      </c>
      <c r="R41" s="1209">
        <v>1471311.45</v>
      </c>
      <c r="S41" s="1209">
        <v>0</v>
      </c>
      <c r="T41" s="1209">
        <v>0</v>
      </c>
      <c r="U41" s="1209">
        <v>5782210.9400000004</v>
      </c>
      <c r="V41" s="1209">
        <v>0</v>
      </c>
      <c r="W41" s="1209">
        <v>3927.91</v>
      </c>
      <c r="X41" s="1209">
        <v>1617845.73</v>
      </c>
      <c r="Y41" s="1209">
        <v>8530849.6099999994</v>
      </c>
      <c r="Z41" s="1209">
        <v>0</v>
      </c>
      <c r="AA41" s="1209">
        <v>0</v>
      </c>
      <c r="AB41" s="1209">
        <v>10186141.82</v>
      </c>
      <c r="AC41" s="1209">
        <v>0</v>
      </c>
      <c r="AD41" s="1209">
        <v>0</v>
      </c>
      <c r="AE41" s="1209">
        <v>0</v>
      </c>
      <c r="AF41" s="1209">
        <v>0</v>
      </c>
      <c r="AG41" s="1209">
        <v>0</v>
      </c>
      <c r="AH41" s="341">
        <v>0</v>
      </c>
      <c r="AJ41" s="341">
        <f t="shared" ref="AJ41:AJ69" si="5">SUM(F41:AF41)</f>
        <v>2230094705.25</v>
      </c>
    </row>
    <row r="42" spans="1:36" x14ac:dyDescent="0.2">
      <c r="A42" s="170">
        <v>1310</v>
      </c>
      <c r="B42" s="2890" t="s">
        <v>2391</v>
      </c>
      <c r="C42" s="2890"/>
      <c r="D42" t="str">
        <f>IF(SUM(F42:N42)-E42=0,"OK","prob")</f>
        <v>OK</v>
      </c>
      <c r="E42" s="341">
        <v>0</v>
      </c>
      <c r="F42" s="341">
        <v>0</v>
      </c>
      <c r="G42" s="341">
        <v>0</v>
      </c>
      <c r="H42" s="341">
        <v>0</v>
      </c>
      <c r="I42" s="341">
        <v>0</v>
      </c>
      <c r="J42" s="341">
        <v>0</v>
      </c>
      <c r="K42" s="341">
        <v>0</v>
      </c>
      <c r="L42" s="341"/>
      <c r="M42" s="341">
        <v>0</v>
      </c>
      <c r="N42" s="341">
        <v>0</v>
      </c>
      <c r="O42" s="1209">
        <v>0</v>
      </c>
      <c r="P42" s="1209">
        <v>0</v>
      </c>
      <c r="Q42" s="1209">
        <v>0</v>
      </c>
      <c r="R42" s="1209">
        <v>0</v>
      </c>
      <c r="S42" s="1209">
        <v>0</v>
      </c>
      <c r="T42" s="1209">
        <v>0</v>
      </c>
      <c r="U42" s="1209">
        <v>0</v>
      </c>
      <c r="V42" s="1209">
        <v>0</v>
      </c>
      <c r="W42" s="1209">
        <v>0</v>
      </c>
      <c r="X42" s="1209">
        <v>0</v>
      </c>
      <c r="Y42" s="1209">
        <v>0</v>
      </c>
      <c r="Z42" s="1209">
        <v>0</v>
      </c>
      <c r="AA42" s="1209">
        <v>0</v>
      </c>
      <c r="AB42" s="1209">
        <v>0</v>
      </c>
      <c r="AC42" s="1209">
        <v>0</v>
      </c>
      <c r="AD42" s="1209">
        <v>0</v>
      </c>
      <c r="AE42" s="1209">
        <v>0</v>
      </c>
      <c r="AF42" s="1209">
        <v>0</v>
      </c>
      <c r="AG42" s="1209">
        <v>0</v>
      </c>
      <c r="AH42" s="212">
        <v>0</v>
      </c>
      <c r="AJ42" s="341">
        <f t="shared" si="5"/>
        <v>0</v>
      </c>
    </row>
    <row r="43" spans="1:36" x14ac:dyDescent="0.2">
      <c r="A43" s="170"/>
      <c r="B43" s="170" t="s">
        <v>2741</v>
      </c>
      <c r="C43" s="170"/>
      <c r="E43" s="341"/>
      <c r="F43" s="341"/>
      <c r="G43" s="341"/>
      <c r="H43" s="341"/>
      <c r="I43" s="341"/>
      <c r="J43" s="341"/>
      <c r="K43" s="341"/>
      <c r="L43" s="341"/>
      <c r="M43" s="341"/>
      <c r="N43" s="341"/>
      <c r="O43" s="1209"/>
      <c r="P43" s="291"/>
      <c r="Q43" s="291"/>
      <c r="R43" s="291"/>
      <c r="S43" s="291"/>
      <c r="T43" s="291"/>
      <c r="U43" s="291"/>
      <c r="V43" s="291"/>
      <c r="W43" s="291"/>
      <c r="X43" s="291"/>
      <c r="Y43" s="291"/>
      <c r="Z43" s="1209"/>
      <c r="AA43" s="291"/>
      <c r="AB43" s="291"/>
      <c r="AC43" s="291"/>
      <c r="AD43" s="291"/>
      <c r="AE43" s="291"/>
      <c r="AF43" s="291"/>
      <c r="AG43" s="291"/>
      <c r="AH43" s="341"/>
      <c r="AJ43" s="341">
        <f t="shared" si="5"/>
        <v>0</v>
      </c>
    </row>
    <row r="44" spans="1:36" x14ac:dyDescent="0.2">
      <c r="A44" s="170">
        <v>1340</v>
      </c>
      <c r="B44" s="3116" t="s">
        <v>2742</v>
      </c>
      <c r="C44" s="3116"/>
      <c r="D44" t="str">
        <f t="shared" ref="D44:D60" si="6">IF(SUM(F44:N44)-E44=0,"OK","prob")</f>
        <v>OK</v>
      </c>
      <c r="E44" s="341">
        <v>13801608</v>
      </c>
      <c r="F44" s="341">
        <v>13801608</v>
      </c>
      <c r="G44" s="341">
        <v>0</v>
      </c>
      <c r="H44" s="341">
        <v>0</v>
      </c>
      <c r="I44" s="341">
        <v>0</v>
      </c>
      <c r="J44" s="341">
        <v>0</v>
      </c>
      <c r="K44" s="341">
        <v>0</v>
      </c>
      <c r="L44" s="341"/>
      <c r="M44" s="341">
        <v>0</v>
      </c>
      <c r="N44" s="341">
        <v>0</v>
      </c>
      <c r="O44" s="1209">
        <v>0</v>
      </c>
      <c r="P44" s="1209">
        <v>0</v>
      </c>
      <c r="Q44" s="1209">
        <v>0</v>
      </c>
      <c r="R44" s="1209">
        <v>0</v>
      </c>
      <c r="S44" s="1209">
        <v>0</v>
      </c>
      <c r="T44" s="1209">
        <v>0</v>
      </c>
      <c r="U44" s="1209">
        <v>0</v>
      </c>
      <c r="V44" s="1209">
        <v>0</v>
      </c>
      <c r="W44" s="1209">
        <v>7279942.4000000004</v>
      </c>
      <c r="X44" s="1209">
        <v>0</v>
      </c>
      <c r="Y44" s="1209">
        <v>0</v>
      </c>
      <c r="Z44" s="1209">
        <v>0</v>
      </c>
      <c r="AA44" s="1209">
        <v>0</v>
      </c>
      <c r="AB44" s="1209">
        <v>0</v>
      </c>
      <c r="AC44" s="1209">
        <v>190951</v>
      </c>
      <c r="AD44" s="1209">
        <v>0</v>
      </c>
      <c r="AE44" s="1209">
        <v>0</v>
      </c>
      <c r="AF44" s="1209">
        <v>0</v>
      </c>
      <c r="AG44" s="1209">
        <v>0</v>
      </c>
      <c r="AH44" s="341">
        <v>0</v>
      </c>
      <c r="AJ44" s="341">
        <f t="shared" si="5"/>
        <v>21272501.399999999</v>
      </c>
    </row>
    <row r="45" spans="1:36" x14ac:dyDescent="0.2">
      <c r="A45" s="170">
        <v>1345</v>
      </c>
      <c r="B45" s="3116" t="s">
        <v>2743</v>
      </c>
      <c r="C45" s="3116"/>
      <c r="D45" t="str">
        <f t="shared" si="6"/>
        <v>OK</v>
      </c>
      <c r="E45" s="341">
        <v>0</v>
      </c>
      <c r="F45" s="341">
        <v>0</v>
      </c>
      <c r="G45" s="341">
        <v>0</v>
      </c>
      <c r="H45" s="341">
        <v>0</v>
      </c>
      <c r="I45" s="341">
        <v>0</v>
      </c>
      <c r="J45" s="341">
        <v>0</v>
      </c>
      <c r="K45" s="341">
        <v>0</v>
      </c>
      <c r="L45" s="341"/>
      <c r="M45" s="341">
        <v>0</v>
      </c>
      <c r="N45" s="341">
        <v>0</v>
      </c>
      <c r="O45" s="1209">
        <v>0</v>
      </c>
      <c r="P45" s="1209">
        <v>0</v>
      </c>
      <c r="Q45" s="1209">
        <v>0</v>
      </c>
      <c r="R45" s="1209">
        <v>0</v>
      </c>
      <c r="S45" s="1209">
        <v>0</v>
      </c>
      <c r="T45" s="1209">
        <v>0</v>
      </c>
      <c r="U45" s="1209">
        <v>0</v>
      </c>
      <c r="V45" s="1209">
        <v>0</v>
      </c>
      <c r="W45" s="1209">
        <v>0</v>
      </c>
      <c r="X45" s="1209">
        <v>0</v>
      </c>
      <c r="Y45" s="1209">
        <v>0</v>
      </c>
      <c r="Z45" s="1209">
        <v>0</v>
      </c>
      <c r="AA45" s="1209">
        <v>0</v>
      </c>
      <c r="AB45" s="1209">
        <v>0</v>
      </c>
      <c r="AC45" s="1209">
        <v>0</v>
      </c>
      <c r="AD45" s="1209">
        <v>0</v>
      </c>
      <c r="AE45" s="1209">
        <v>0</v>
      </c>
      <c r="AF45" s="1209">
        <v>0</v>
      </c>
      <c r="AG45" s="1209">
        <v>0</v>
      </c>
      <c r="AH45" s="341">
        <v>0</v>
      </c>
      <c r="AJ45" s="341">
        <f t="shared" si="5"/>
        <v>0</v>
      </c>
    </row>
    <row r="46" spans="1:36" x14ac:dyDescent="0.2">
      <c r="A46" s="170">
        <v>1350</v>
      </c>
      <c r="B46" s="3116" t="s">
        <v>2744</v>
      </c>
      <c r="C46" s="3116"/>
      <c r="D46" t="str">
        <f t="shared" si="6"/>
        <v>OK</v>
      </c>
      <c r="E46" s="341">
        <v>0</v>
      </c>
      <c r="F46" s="341">
        <v>0</v>
      </c>
      <c r="G46" s="341">
        <v>0</v>
      </c>
      <c r="H46" s="341">
        <v>0</v>
      </c>
      <c r="I46" s="341">
        <v>0</v>
      </c>
      <c r="J46" s="341">
        <v>0</v>
      </c>
      <c r="K46" s="341">
        <v>0</v>
      </c>
      <c r="L46" s="341"/>
      <c r="M46" s="341">
        <v>0</v>
      </c>
      <c r="N46" s="341">
        <v>0</v>
      </c>
      <c r="O46" s="1209">
        <v>0</v>
      </c>
      <c r="P46" s="1209">
        <v>0</v>
      </c>
      <c r="Q46" s="1209">
        <v>0</v>
      </c>
      <c r="R46" s="1209">
        <v>0</v>
      </c>
      <c r="S46" s="1209">
        <v>0</v>
      </c>
      <c r="T46" s="1209">
        <v>0</v>
      </c>
      <c r="U46" s="1209">
        <v>0</v>
      </c>
      <c r="V46" s="1209">
        <v>0</v>
      </c>
      <c r="W46" s="1209">
        <v>0</v>
      </c>
      <c r="X46" s="1209">
        <v>0</v>
      </c>
      <c r="Y46" s="1209">
        <v>0</v>
      </c>
      <c r="Z46" s="1209">
        <v>0</v>
      </c>
      <c r="AA46" s="1209">
        <v>0</v>
      </c>
      <c r="AB46" s="1209">
        <v>0</v>
      </c>
      <c r="AC46" s="1209">
        <v>0</v>
      </c>
      <c r="AD46" s="1209">
        <v>0</v>
      </c>
      <c r="AE46" s="1209">
        <v>0</v>
      </c>
      <c r="AF46" s="1209">
        <v>0</v>
      </c>
      <c r="AG46" s="1209">
        <v>0</v>
      </c>
      <c r="AH46" s="341">
        <v>0</v>
      </c>
      <c r="AJ46" s="341">
        <f t="shared" si="5"/>
        <v>0</v>
      </c>
    </row>
    <row r="47" spans="1:36" x14ac:dyDescent="0.2">
      <c r="A47" s="170">
        <v>1370</v>
      </c>
      <c r="B47" s="3116" t="s">
        <v>2745</v>
      </c>
      <c r="C47" s="3116"/>
      <c r="D47" t="str">
        <f t="shared" si="6"/>
        <v>OK</v>
      </c>
      <c r="E47" s="341">
        <v>13866030.16</v>
      </c>
      <c r="F47" s="341">
        <v>11052551</v>
      </c>
      <c r="G47" s="341">
        <v>0</v>
      </c>
      <c r="H47" s="341">
        <v>0</v>
      </c>
      <c r="I47" s="341">
        <v>758885.16</v>
      </c>
      <c r="J47" s="341">
        <v>0</v>
      </c>
      <c r="K47" s="341">
        <v>0</v>
      </c>
      <c r="L47" s="341"/>
      <c r="M47" s="341">
        <v>0</v>
      </c>
      <c r="N47" s="341">
        <v>2054594</v>
      </c>
      <c r="O47" s="1209">
        <v>0</v>
      </c>
      <c r="P47" s="1209">
        <v>65626900.189999998</v>
      </c>
      <c r="Q47" s="1209">
        <v>0</v>
      </c>
      <c r="R47" s="1209">
        <v>1944955.09</v>
      </c>
      <c r="S47" s="1209">
        <v>0</v>
      </c>
      <c r="T47" s="1209">
        <v>0</v>
      </c>
      <c r="U47" s="1209">
        <v>1954120.5</v>
      </c>
      <c r="V47" s="1209">
        <v>12614172.74</v>
      </c>
      <c r="W47" s="1209">
        <v>0</v>
      </c>
      <c r="X47" s="1209">
        <v>2537157.42</v>
      </c>
      <c r="Y47" s="1209">
        <v>19548128.469999999</v>
      </c>
      <c r="Z47" s="1209">
        <v>171026.23</v>
      </c>
      <c r="AA47" s="1209">
        <v>0</v>
      </c>
      <c r="AB47" s="1209">
        <v>0</v>
      </c>
      <c r="AC47" s="1209">
        <v>0</v>
      </c>
      <c r="AD47" s="1209">
        <v>0</v>
      </c>
      <c r="AE47" s="1209">
        <v>0</v>
      </c>
      <c r="AF47" s="1209">
        <v>0</v>
      </c>
      <c r="AG47" s="1209">
        <v>0</v>
      </c>
      <c r="AH47" s="341">
        <v>0</v>
      </c>
      <c r="AJ47" s="341">
        <f t="shared" si="5"/>
        <v>118262490.8</v>
      </c>
    </row>
    <row r="48" spans="1:36" x14ac:dyDescent="0.2">
      <c r="A48" s="170">
        <v>1400</v>
      </c>
      <c r="B48" s="2890" t="s">
        <v>2752</v>
      </c>
      <c r="C48" s="2890"/>
      <c r="D48" t="str">
        <f t="shared" si="6"/>
        <v>OK</v>
      </c>
      <c r="E48" s="341">
        <v>54487114.289999999</v>
      </c>
      <c r="F48" s="341">
        <v>0</v>
      </c>
      <c r="G48" s="341">
        <v>52171923.600000001</v>
      </c>
      <c r="H48" s="341">
        <v>0</v>
      </c>
      <c r="I48" s="341">
        <v>2315190.69</v>
      </c>
      <c r="J48" s="341">
        <v>0</v>
      </c>
      <c r="K48" s="341">
        <v>0</v>
      </c>
      <c r="L48" s="341"/>
      <c r="M48" s="341">
        <v>0</v>
      </c>
      <c r="N48" s="341">
        <v>0</v>
      </c>
      <c r="O48" s="1209">
        <v>0</v>
      </c>
      <c r="P48" s="1209">
        <v>28452492.390000001</v>
      </c>
      <c r="Q48" s="1209">
        <v>1945855.7</v>
      </c>
      <c r="R48" s="1209">
        <v>777678.7</v>
      </c>
      <c r="S48" s="1209">
        <v>1294608.3899999999</v>
      </c>
      <c r="T48" s="1209">
        <v>33153.120000000003</v>
      </c>
      <c r="U48" s="1209">
        <v>1049672.8899999999</v>
      </c>
      <c r="V48" s="1209">
        <v>3718564.17</v>
      </c>
      <c r="W48" s="1209">
        <v>114654.39999999999</v>
      </c>
      <c r="X48" s="1209">
        <v>766178.1</v>
      </c>
      <c r="Y48" s="1209">
        <v>32206.61</v>
      </c>
      <c r="Z48" s="1209">
        <v>58473.18</v>
      </c>
      <c r="AA48" s="1209">
        <v>0</v>
      </c>
      <c r="AB48" s="1209">
        <v>0</v>
      </c>
      <c r="AC48" s="1209">
        <v>450793.02</v>
      </c>
      <c r="AD48" s="1209">
        <v>3971281.04</v>
      </c>
      <c r="AE48" s="1209">
        <v>0</v>
      </c>
      <c r="AF48" s="1209">
        <v>0</v>
      </c>
      <c r="AG48" s="1209">
        <v>0</v>
      </c>
      <c r="AH48" s="341">
        <v>0</v>
      </c>
      <c r="AJ48" s="341">
        <f t="shared" si="5"/>
        <v>97152726</v>
      </c>
    </row>
    <row r="49" spans="1:36" x14ac:dyDescent="0.2">
      <c r="A49" s="170">
        <v>1401</v>
      </c>
      <c r="B49" s="2890" t="s">
        <v>4668</v>
      </c>
      <c r="C49" s="2890"/>
      <c r="D49" t="str">
        <f>IF(SUM(F49:N49)=E49,"OK","prob")</f>
        <v>OK</v>
      </c>
      <c r="E49" s="341">
        <v>58082010.219999999</v>
      </c>
      <c r="F49" s="341">
        <v>1768184</v>
      </c>
      <c r="G49" s="341">
        <v>45837396.770000003</v>
      </c>
      <c r="H49" s="341">
        <v>0</v>
      </c>
      <c r="I49" s="341">
        <v>8994864.3900000006</v>
      </c>
      <c r="J49" s="341">
        <v>654289.81999999995</v>
      </c>
      <c r="K49" s="341">
        <v>0</v>
      </c>
      <c r="L49" s="341">
        <v>0</v>
      </c>
      <c r="M49" s="341">
        <v>576081.43000000005</v>
      </c>
      <c r="N49" s="341">
        <v>251193.81</v>
      </c>
      <c r="O49" s="291">
        <v>1611424.09</v>
      </c>
      <c r="P49" s="291">
        <v>8462912.5700000003</v>
      </c>
      <c r="Q49" s="291">
        <v>31031748.68</v>
      </c>
      <c r="R49" s="291">
        <v>1343977.17</v>
      </c>
      <c r="S49" s="291">
        <v>951337.38</v>
      </c>
      <c r="T49" s="291">
        <v>564049.82999999996</v>
      </c>
      <c r="U49" s="291">
        <v>573134.68000000005</v>
      </c>
      <c r="V49" s="1209">
        <v>3007013.94</v>
      </c>
      <c r="W49" s="1209">
        <v>0</v>
      </c>
      <c r="X49" s="1209">
        <v>4690270.67</v>
      </c>
      <c r="Y49" s="1209">
        <v>3074678.49</v>
      </c>
      <c r="Z49" s="1209">
        <v>0</v>
      </c>
      <c r="AA49" s="1209">
        <v>308453.46999999997</v>
      </c>
      <c r="AB49" s="1209">
        <v>0</v>
      </c>
      <c r="AC49" s="1209">
        <v>1880597.65</v>
      </c>
      <c r="AD49" s="1209">
        <v>173237.12</v>
      </c>
      <c r="AE49" s="1209">
        <v>0</v>
      </c>
      <c r="AF49" s="1209">
        <v>4806298.46</v>
      </c>
      <c r="AG49" s="1209">
        <v>0</v>
      </c>
      <c r="AH49" s="341">
        <v>0</v>
      </c>
      <c r="AJ49" s="341"/>
    </row>
    <row r="50" spans="1:36" x14ac:dyDescent="0.2">
      <c r="A50" s="2009">
        <v>1404</v>
      </c>
      <c r="B50" s="3072" t="s">
        <v>3199</v>
      </c>
      <c r="C50" s="3072"/>
      <c r="D50" t="str">
        <f>IF(SUM(F50:N50)-E50=0,"OK","prob")</f>
        <v>OK</v>
      </c>
      <c r="E50" s="341">
        <v>0</v>
      </c>
      <c r="F50" s="341">
        <v>0</v>
      </c>
      <c r="G50" s="341">
        <v>0</v>
      </c>
      <c r="H50" s="341">
        <v>0</v>
      </c>
      <c r="I50" s="341">
        <v>0</v>
      </c>
      <c r="J50" s="341">
        <v>0</v>
      </c>
      <c r="K50" s="341">
        <v>0</v>
      </c>
      <c r="L50" s="341"/>
      <c r="M50" s="341">
        <v>0</v>
      </c>
      <c r="N50" s="341">
        <v>0</v>
      </c>
      <c r="O50" s="291"/>
      <c r="P50" s="291">
        <v>0</v>
      </c>
      <c r="Q50" s="291"/>
      <c r="R50" s="291"/>
      <c r="S50" s="291"/>
      <c r="T50" s="291"/>
      <c r="U50" s="291">
        <v>0</v>
      </c>
      <c r="V50" s="1209"/>
      <c r="W50" s="1209"/>
      <c r="X50" s="1209"/>
      <c r="Y50" s="1209"/>
      <c r="Z50" s="1209">
        <v>0</v>
      </c>
      <c r="AA50" s="1209">
        <v>0</v>
      </c>
      <c r="AB50" s="1209">
        <v>0</v>
      </c>
      <c r="AC50" s="1209">
        <v>0</v>
      </c>
      <c r="AD50" s="1209">
        <v>0</v>
      </c>
      <c r="AE50" s="1209">
        <v>0</v>
      </c>
      <c r="AF50" s="1209">
        <v>0</v>
      </c>
      <c r="AG50" s="1209">
        <v>0</v>
      </c>
      <c r="AH50" s="341"/>
      <c r="AJ50" s="341"/>
    </row>
    <row r="51" spans="1:36" x14ac:dyDescent="0.2">
      <c r="A51" s="170">
        <v>1415</v>
      </c>
      <c r="B51" s="2890" t="s">
        <v>2765</v>
      </c>
      <c r="C51" s="2890"/>
      <c r="D51" t="str">
        <f>IF(SUM(F51:N51)=E51,"OK","prob")</f>
        <v>OK</v>
      </c>
      <c r="E51" s="341">
        <v>218380038.12</v>
      </c>
      <c r="F51" s="341">
        <v>33035890</v>
      </c>
      <c r="G51" s="341">
        <v>129386493.69</v>
      </c>
      <c r="H51" s="341">
        <v>0</v>
      </c>
      <c r="I51" s="341">
        <v>55700897.579999998</v>
      </c>
      <c r="J51" s="341">
        <v>0</v>
      </c>
      <c r="K51" s="341">
        <v>0</v>
      </c>
      <c r="L51" s="341"/>
      <c r="M51" s="341">
        <v>0</v>
      </c>
      <c r="N51" s="341">
        <v>256756.85</v>
      </c>
      <c r="O51" s="1209">
        <v>0</v>
      </c>
      <c r="P51" s="1209">
        <v>18792941.870000001</v>
      </c>
      <c r="Q51" s="1209">
        <v>0</v>
      </c>
      <c r="R51" s="1209">
        <v>0</v>
      </c>
      <c r="S51" s="1209">
        <v>0</v>
      </c>
      <c r="T51" s="1209">
        <v>0</v>
      </c>
      <c r="U51" s="1209">
        <v>0</v>
      </c>
      <c r="V51" s="1209">
        <v>304939.15000000002</v>
      </c>
      <c r="W51" s="1209">
        <v>0</v>
      </c>
      <c r="X51" s="1209">
        <v>0</v>
      </c>
      <c r="Y51" s="1209">
        <v>0</v>
      </c>
      <c r="Z51" s="1209">
        <v>0</v>
      </c>
      <c r="AA51" s="1209">
        <v>0</v>
      </c>
      <c r="AB51" s="1209">
        <v>0</v>
      </c>
      <c r="AC51" s="1209">
        <v>0</v>
      </c>
      <c r="AD51" s="1209">
        <v>0</v>
      </c>
      <c r="AE51" s="1209">
        <v>0</v>
      </c>
      <c r="AF51" s="1209">
        <v>0</v>
      </c>
      <c r="AG51" s="1209">
        <v>0</v>
      </c>
      <c r="AH51" s="341">
        <v>0</v>
      </c>
      <c r="AJ51" s="341">
        <f t="shared" si="5"/>
        <v>237477919.13999999</v>
      </c>
    </row>
    <row r="52" spans="1:36" x14ac:dyDescent="0.2">
      <c r="A52" s="170">
        <v>1420</v>
      </c>
      <c r="B52" s="2890" t="s">
        <v>2751</v>
      </c>
      <c r="C52" s="2890"/>
      <c r="D52" t="str">
        <f>IF(SUM(F52:N52)=E52,"OK","prob")</f>
        <v>OK</v>
      </c>
      <c r="E52" s="341">
        <v>43565646.020000003</v>
      </c>
      <c r="F52" s="341">
        <v>292114</v>
      </c>
      <c r="G52" s="341">
        <v>0</v>
      </c>
      <c r="H52" s="341">
        <v>0</v>
      </c>
      <c r="I52" s="341">
        <v>32148944.989999998</v>
      </c>
      <c r="J52" s="341">
        <v>888004.68</v>
      </c>
      <c r="K52" s="341">
        <v>3985658.77</v>
      </c>
      <c r="L52" s="341"/>
      <c r="M52" s="341">
        <v>580692</v>
      </c>
      <c r="N52" s="341">
        <v>5670231.5800000001</v>
      </c>
      <c r="O52" s="1209">
        <v>0</v>
      </c>
      <c r="P52" s="1209">
        <v>0</v>
      </c>
      <c r="Q52" s="1209">
        <v>0</v>
      </c>
      <c r="R52" s="1209">
        <v>0</v>
      </c>
      <c r="S52" s="1209">
        <v>0</v>
      </c>
      <c r="T52" s="1209">
        <v>0</v>
      </c>
      <c r="U52" s="1209">
        <v>0</v>
      </c>
      <c r="V52" s="1209">
        <v>0</v>
      </c>
      <c r="W52" s="1209">
        <v>0</v>
      </c>
      <c r="X52" s="1209">
        <v>75856.23</v>
      </c>
      <c r="Y52" s="1209">
        <v>0</v>
      </c>
      <c r="Z52" s="1209">
        <v>0</v>
      </c>
      <c r="AA52" s="1209">
        <v>0</v>
      </c>
      <c r="AB52" s="1209">
        <v>0</v>
      </c>
      <c r="AC52" s="1209">
        <v>253671.27</v>
      </c>
      <c r="AD52" s="1209">
        <v>0</v>
      </c>
      <c r="AE52" s="1209">
        <v>0</v>
      </c>
      <c r="AF52" s="1209">
        <v>0</v>
      </c>
      <c r="AG52" s="1209">
        <v>0</v>
      </c>
      <c r="AH52" s="341">
        <v>0</v>
      </c>
      <c r="AJ52" s="341">
        <f t="shared" si="5"/>
        <v>43895173.520000003</v>
      </c>
    </row>
    <row r="53" spans="1:36" x14ac:dyDescent="0.2">
      <c r="A53" s="170">
        <v>1270</v>
      </c>
      <c r="B53" s="2890" t="s">
        <v>1948</v>
      </c>
      <c r="C53" s="2890"/>
      <c r="D53" t="str">
        <f t="shared" si="6"/>
        <v>OK</v>
      </c>
      <c r="E53" s="341">
        <v>8962812.9499999993</v>
      </c>
      <c r="F53" s="341">
        <v>0</v>
      </c>
      <c r="G53" s="341">
        <v>0</v>
      </c>
      <c r="H53" s="341">
        <v>0</v>
      </c>
      <c r="I53" s="341">
        <v>8960942.9499999993</v>
      </c>
      <c r="J53" s="341">
        <v>1870</v>
      </c>
      <c r="K53" s="341">
        <v>0</v>
      </c>
      <c r="L53" s="341"/>
      <c r="M53" s="341">
        <v>0</v>
      </c>
      <c r="N53" s="341">
        <v>0</v>
      </c>
      <c r="O53" s="1209">
        <v>0</v>
      </c>
      <c r="P53" s="1209">
        <v>0</v>
      </c>
      <c r="Q53" s="1209">
        <v>6242.75</v>
      </c>
      <c r="R53" s="1209">
        <v>174871.34</v>
      </c>
      <c r="S53" s="1209">
        <v>15512.75</v>
      </c>
      <c r="T53" s="1209">
        <v>0</v>
      </c>
      <c r="U53" s="1209">
        <v>0</v>
      </c>
      <c r="V53" s="1209">
        <v>0</v>
      </c>
      <c r="W53" s="1209">
        <v>0</v>
      </c>
      <c r="X53" s="1209">
        <v>284125.03999999998</v>
      </c>
      <c r="Y53" s="1209">
        <v>2084219.57</v>
      </c>
      <c r="Z53" s="1209">
        <v>20378459.899999999</v>
      </c>
      <c r="AA53" s="1209">
        <v>0</v>
      </c>
      <c r="AB53" s="1209">
        <v>1133784.29</v>
      </c>
      <c r="AC53" s="1209">
        <v>0</v>
      </c>
      <c r="AD53" s="1209">
        <v>0</v>
      </c>
      <c r="AE53" s="1209">
        <v>0</v>
      </c>
      <c r="AF53" s="1209">
        <v>0</v>
      </c>
      <c r="AG53" s="1209">
        <v>0</v>
      </c>
      <c r="AH53" s="341">
        <v>0</v>
      </c>
      <c r="AJ53" s="341">
        <f t="shared" si="5"/>
        <v>33040028.59</v>
      </c>
    </row>
    <row r="54" spans="1:36" x14ac:dyDescent="0.2">
      <c r="A54" s="170">
        <v>1280</v>
      </c>
      <c r="B54" s="2890" t="s">
        <v>1970</v>
      </c>
      <c r="C54" s="2890"/>
      <c r="D54" t="str">
        <f t="shared" si="6"/>
        <v>OK</v>
      </c>
      <c r="E54" s="341">
        <v>16</v>
      </c>
      <c r="F54" s="341">
        <v>16</v>
      </c>
      <c r="G54" s="341">
        <v>0</v>
      </c>
      <c r="H54" s="341">
        <v>0</v>
      </c>
      <c r="I54" s="341">
        <v>0</v>
      </c>
      <c r="J54" s="341">
        <v>0</v>
      </c>
      <c r="K54" s="341">
        <v>0</v>
      </c>
      <c r="L54" s="341"/>
      <c r="M54" s="341">
        <v>0</v>
      </c>
      <c r="N54" s="341">
        <v>0</v>
      </c>
      <c r="O54" s="1209">
        <v>7046386.6600000001</v>
      </c>
      <c r="P54" s="1209">
        <v>153917169.31</v>
      </c>
      <c r="Q54" s="1209">
        <v>262747656.28</v>
      </c>
      <c r="R54" s="1209">
        <v>33813682.119999997</v>
      </c>
      <c r="S54" s="1209">
        <v>39134800.460000001</v>
      </c>
      <c r="T54" s="1209">
        <v>2843518.1</v>
      </c>
      <c r="U54" s="1209">
        <v>34715848.880000003</v>
      </c>
      <c r="V54" s="1209">
        <v>62271334.609999999</v>
      </c>
      <c r="W54" s="1209">
        <v>23221377.140000001</v>
      </c>
      <c r="X54" s="1209">
        <v>19011482.5</v>
      </c>
      <c r="Y54" s="1209">
        <v>51933499.189999998</v>
      </c>
      <c r="Z54" s="1209">
        <v>0</v>
      </c>
      <c r="AA54" s="1209">
        <v>0</v>
      </c>
      <c r="AB54" s="1209">
        <v>16742801.34</v>
      </c>
      <c r="AC54" s="1209">
        <v>18872545.010000002</v>
      </c>
      <c r="AD54" s="1209">
        <v>8898305.7799999993</v>
      </c>
      <c r="AE54" s="1209">
        <v>9276808.1799999997</v>
      </c>
      <c r="AF54" s="1209">
        <v>0</v>
      </c>
      <c r="AG54" s="1209">
        <v>0</v>
      </c>
      <c r="AH54" s="341">
        <v>0</v>
      </c>
      <c r="AJ54" s="341">
        <f t="shared" si="5"/>
        <v>744447231.55999994</v>
      </c>
    </row>
    <row r="55" spans="1:36" x14ac:dyDescent="0.2">
      <c r="A55" s="170">
        <v>1410</v>
      </c>
      <c r="B55" s="2890" t="s">
        <v>4791</v>
      </c>
      <c r="C55" s="2890"/>
      <c r="D55" t="str">
        <f t="shared" si="6"/>
        <v>OK</v>
      </c>
      <c r="E55" s="341">
        <v>482515377</v>
      </c>
      <c r="F55" s="341">
        <v>482515377</v>
      </c>
      <c r="G55" s="341">
        <v>0</v>
      </c>
      <c r="H55" s="341">
        <v>0</v>
      </c>
      <c r="I55" s="341">
        <v>0</v>
      </c>
      <c r="J55" s="341">
        <v>0</v>
      </c>
      <c r="K55" s="341">
        <v>0</v>
      </c>
      <c r="L55" s="341"/>
      <c r="M55" s="341">
        <v>0</v>
      </c>
      <c r="N55" s="341">
        <v>0</v>
      </c>
      <c r="O55" s="1209">
        <v>123395297.05</v>
      </c>
      <c r="P55" s="1209">
        <v>3083317960.9699998</v>
      </c>
      <c r="Q55" s="1209">
        <v>526942106.25</v>
      </c>
      <c r="R55" s="1209">
        <v>390764608.13999999</v>
      </c>
      <c r="S55" s="1209">
        <v>201166533.49000001</v>
      </c>
      <c r="T55" s="1209">
        <v>24527782.350000001</v>
      </c>
      <c r="U55" s="1209">
        <v>133610664.03</v>
      </c>
      <c r="V55" s="1209">
        <v>71841817.409999996</v>
      </c>
      <c r="W55" s="1209">
        <v>155056002.15000001</v>
      </c>
      <c r="X55" s="1209">
        <v>124223766.09999999</v>
      </c>
      <c r="Y55" s="1209">
        <v>187741840.44999999</v>
      </c>
      <c r="Z55" s="1209">
        <v>32519296.539999999</v>
      </c>
      <c r="AA55" s="1209">
        <v>48823268.829999998</v>
      </c>
      <c r="AB55" s="1209">
        <v>20291928.260000002</v>
      </c>
      <c r="AC55" s="1209">
        <v>33691992.259999998</v>
      </c>
      <c r="AD55" s="1209">
        <v>56201877.799999997</v>
      </c>
      <c r="AE55" s="1209">
        <v>42747384.920000002</v>
      </c>
      <c r="AF55" s="1209">
        <v>0</v>
      </c>
      <c r="AG55" s="1209">
        <v>0</v>
      </c>
      <c r="AH55" s="341">
        <v>0</v>
      </c>
      <c r="AJ55" s="341">
        <f t="shared" si="5"/>
        <v>5739379504</v>
      </c>
    </row>
    <row r="56" spans="1:36" x14ac:dyDescent="0.2">
      <c r="A56" s="170"/>
      <c r="B56" s="2890" t="s">
        <v>4840</v>
      </c>
      <c r="C56" s="2890"/>
      <c r="D56" t="str">
        <f t="shared" si="6"/>
        <v>OK</v>
      </c>
      <c r="E56" s="341">
        <v>0</v>
      </c>
      <c r="F56" s="212">
        <v>0</v>
      </c>
      <c r="G56" s="212">
        <v>0</v>
      </c>
      <c r="H56" s="212">
        <v>0</v>
      </c>
      <c r="I56" s="212">
        <v>0</v>
      </c>
      <c r="J56" s="212">
        <v>0</v>
      </c>
      <c r="K56" s="212">
        <v>0</v>
      </c>
      <c r="L56" s="212"/>
      <c r="M56" s="212">
        <v>0</v>
      </c>
      <c r="N56" s="212">
        <v>0</v>
      </c>
      <c r="O56" s="1209"/>
      <c r="P56" s="291"/>
      <c r="Q56" s="291"/>
      <c r="R56" s="291"/>
      <c r="S56" s="291"/>
      <c r="T56" s="291"/>
      <c r="U56" s="291"/>
      <c r="V56" s="291"/>
      <c r="W56" s="291"/>
      <c r="X56" s="291"/>
      <c r="Y56" s="291"/>
      <c r="Z56" s="1209">
        <v>0</v>
      </c>
      <c r="AA56" s="291">
        <v>0</v>
      </c>
      <c r="AB56" s="291">
        <v>0</v>
      </c>
      <c r="AC56" s="291">
        <v>0</v>
      </c>
      <c r="AD56" s="291">
        <v>0</v>
      </c>
      <c r="AE56" s="291">
        <v>0</v>
      </c>
      <c r="AF56" s="291">
        <v>0</v>
      </c>
      <c r="AG56" s="291"/>
      <c r="AH56" s="212"/>
      <c r="AJ56" s="341">
        <f t="shared" si="5"/>
        <v>0</v>
      </c>
    </row>
    <row r="57" spans="1:36" x14ac:dyDescent="0.2">
      <c r="A57" s="638">
        <v>1395</v>
      </c>
      <c r="B57" s="2890" t="s">
        <v>4841</v>
      </c>
      <c r="C57" s="2890"/>
      <c r="D57" t="str">
        <f t="shared" si="6"/>
        <v>OK</v>
      </c>
      <c r="E57" s="1093">
        <v>0</v>
      </c>
      <c r="F57" s="1093">
        <v>0</v>
      </c>
      <c r="G57" s="1093">
        <v>0</v>
      </c>
      <c r="H57" s="1093">
        <v>0</v>
      </c>
      <c r="I57" s="1093">
        <v>0</v>
      </c>
      <c r="J57" s="1093">
        <v>0</v>
      </c>
      <c r="K57" s="1093">
        <v>0</v>
      </c>
      <c r="L57" s="1093"/>
      <c r="M57" s="1093">
        <v>0</v>
      </c>
      <c r="N57" s="1093">
        <v>0</v>
      </c>
      <c r="O57" s="1211">
        <v>0</v>
      </c>
      <c r="P57" s="1211">
        <v>0</v>
      </c>
      <c r="Q57" s="1211">
        <v>0</v>
      </c>
      <c r="R57" s="1211">
        <v>0</v>
      </c>
      <c r="S57" s="1211">
        <v>0</v>
      </c>
      <c r="T57" s="1211">
        <v>0</v>
      </c>
      <c r="U57" s="1211">
        <v>0</v>
      </c>
      <c r="V57" s="1211">
        <v>0</v>
      </c>
      <c r="W57" s="1211">
        <v>0</v>
      </c>
      <c r="X57" s="1211">
        <v>0</v>
      </c>
      <c r="Y57" s="1211">
        <v>0</v>
      </c>
      <c r="Z57" s="1211">
        <v>0</v>
      </c>
      <c r="AA57" s="1211">
        <v>0</v>
      </c>
      <c r="AB57" s="1211">
        <v>0</v>
      </c>
      <c r="AC57" s="1211">
        <v>0</v>
      </c>
      <c r="AD57" s="1211">
        <v>0</v>
      </c>
      <c r="AE57" s="1211">
        <v>0</v>
      </c>
      <c r="AF57" s="1211">
        <v>0</v>
      </c>
      <c r="AG57" s="1211">
        <v>0</v>
      </c>
      <c r="AH57" s="1093">
        <v>0</v>
      </c>
      <c r="AJ57" s="341">
        <f t="shared" si="5"/>
        <v>0</v>
      </c>
    </row>
    <row r="58" spans="1:36" x14ac:dyDescent="0.2">
      <c r="A58" s="638">
        <v>1390</v>
      </c>
      <c r="B58" s="2890" t="s">
        <v>3189</v>
      </c>
      <c r="C58" s="2890"/>
      <c r="D58" t="str">
        <f t="shared" si="6"/>
        <v>OK</v>
      </c>
      <c r="E58" s="1093">
        <v>0</v>
      </c>
      <c r="F58" s="1093">
        <v>0</v>
      </c>
      <c r="G58" s="1093">
        <v>0</v>
      </c>
      <c r="H58" s="1093">
        <v>0</v>
      </c>
      <c r="I58" s="1093">
        <v>0</v>
      </c>
      <c r="J58" s="1093">
        <v>0</v>
      </c>
      <c r="K58" s="1093">
        <v>0</v>
      </c>
      <c r="L58" s="1093"/>
      <c r="M58" s="1093">
        <v>0</v>
      </c>
      <c r="N58" s="1093">
        <v>0</v>
      </c>
      <c r="O58" s="1211">
        <v>0</v>
      </c>
      <c r="P58" s="1211">
        <v>0</v>
      </c>
      <c r="Q58" s="1211">
        <v>0</v>
      </c>
      <c r="R58" s="1211">
        <v>0</v>
      </c>
      <c r="S58" s="1211">
        <v>0</v>
      </c>
      <c r="T58" s="1211">
        <v>0</v>
      </c>
      <c r="U58" s="1211">
        <v>0</v>
      </c>
      <c r="V58" s="1211">
        <v>0</v>
      </c>
      <c r="W58" s="1211">
        <v>0</v>
      </c>
      <c r="X58" s="1211">
        <v>0</v>
      </c>
      <c r="Y58" s="1211">
        <v>0</v>
      </c>
      <c r="Z58" s="1211">
        <v>0</v>
      </c>
      <c r="AA58" s="1211">
        <v>0</v>
      </c>
      <c r="AB58" s="1211">
        <v>0</v>
      </c>
      <c r="AC58" s="1211">
        <v>0</v>
      </c>
      <c r="AD58" s="1211">
        <v>0</v>
      </c>
      <c r="AE58" s="1211">
        <v>0</v>
      </c>
      <c r="AF58" s="1211">
        <v>0</v>
      </c>
      <c r="AG58" s="1211">
        <v>0</v>
      </c>
      <c r="AH58" s="1093">
        <v>0</v>
      </c>
      <c r="AJ58" s="341">
        <f t="shared" si="5"/>
        <v>0</v>
      </c>
    </row>
    <row r="59" spans="1:36" x14ac:dyDescent="0.2">
      <c r="A59" s="170">
        <v>1432</v>
      </c>
      <c r="B59" s="2890" t="s">
        <v>2759</v>
      </c>
      <c r="C59" s="2890"/>
      <c r="D59" t="str">
        <f t="shared" si="6"/>
        <v>OK</v>
      </c>
      <c r="E59" s="341">
        <v>0</v>
      </c>
      <c r="F59" s="341">
        <v>0</v>
      </c>
      <c r="G59" s="341">
        <v>0</v>
      </c>
      <c r="H59" s="341">
        <v>0</v>
      </c>
      <c r="I59" s="341">
        <v>0</v>
      </c>
      <c r="J59" s="341">
        <v>0</v>
      </c>
      <c r="K59" s="341">
        <v>0</v>
      </c>
      <c r="L59" s="341"/>
      <c r="M59" s="341">
        <v>0</v>
      </c>
      <c r="N59" s="341">
        <v>0</v>
      </c>
      <c r="O59" s="1209">
        <v>0</v>
      </c>
      <c r="P59" s="1209">
        <v>0</v>
      </c>
      <c r="Q59" s="1209">
        <v>0</v>
      </c>
      <c r="R59" s="1209">
        <v>0</v>
      </c>
      <c r="S59" s="1209">
        <v>0</v>
      </c>
      <c r="T59" s="1209">
        <v>0</v>
      </c>
      <c r="U59" s="1209">
        <v>0</v>
      </c>
      <c r="V59" s="1209">
        <v>0</v>
      </c>
      <c r="W59" s="1209">
        <v>0</v>
      </c>
      <c r="X59" s="1209">
        <v>0</v>
      </c>
      <c r="Y59" s="1209">
        <v>0</v>
      </c>
      <c r="Z59" s="1209">
        <v>0</v>
      </c>
      <c r="AA59" s="1209">
        <v>0</v>
      </c>
      <c r="AB59" s="1209">
        <v>0</v>
      </c>
      <c r="AC59" s="1209">
        <v>0</v>
      </c>
      <c r="AD59" s="1209">
        <v>0</v>
      </c>
      <c r="AE59" s="1209">
        <v>0</v>
      </c>
      <c r="AF59" s="1209">
        <v>926016.29</v>
      </c>
      <c r="AG59" s="1209">
        <v>0</v>
      </c>
      <c r="AH59" s="341">
        <v>0</v>
      </c>
      <c r="AJ59" s="341">
        <f t="shared" si="5"/>
        <v>926016.29</v>
      </c>
    </row>
    <row r="60" spans="1:36" x14ac:dyDescent="0.2">
      <c r="A60" s="170">
        <v>1434</v>
      </c>
      <c r="B60" s="2890" t="s">
        <v>2760</v>
      </c>
      <c r="C60" s="2890"/>
      <c r="D60" t="str">
        <f t="shared" si="6"/>
        <v>OK</v>
      </c>
      <c r="E60" s="341">
        <v>0</v>
      </c>
      <c r="F60" s="341">
        <v>0</v>
      </c>
      <c r="G60" s="341">
        <v>0</v>
      </c>
      <c r="H60" s="341">
        <v>0</v>
      </c>
      <c r="I60" s="341">
        <v>0</v>
      </c>
      <c r="J60" s="341">
        <v>0</v>
      </c>
      <c r="K60" s="341">
        <v>0</v>
      </c>
      <c r="L60" s="341"/>
      <c r="M60" s="341">
        <v>0</v>
      </c>
      <c r="N60" s="341">
        <v>0</v>
      </c>
      <c r="O60" s="1209">
        <v>154284.51</v>
      </c>
      <c r="P60" s="1209">
        <v>1127893.68</v>
      </c>
      <c r="Q60" s="1209">
        <v>0</v>
      </c>
      <c r="R60" s="1209">
        <v>0</v>
      </c>
      <c r="S60" s="1209">
        <v>0</v>
      </c>
      <c r="T60" s="1209">
        <v>0</v>
      </c>
      <c r="U60" s="1209">
        <v>0</v>
      </c>
      <c r="V60" s="1209">
        <v>0</v>
      </c>
      <c r="W60" s="1209">
        <v>0</v>
      </c>
      <c r="X60" s="1209">
        <v>0</v>
      </c>
      <c r="Y60" s="1209">
        <v>1730398</v>
      </c>
      <c r="Z60" s="1209">
        <v>750000</v>
      </c>
      <c r="AA60" s="1209">
        <v>0</v>
      </c>
      <c r="AB60" s="1209">
        <v>0</v>
      </c>
      <c r="AC60" s="1209">
        <v>0</v>
      </c>
      <c r="AD60" s="1209">
        <v>0</v>
      </c>
      <c r="AE60" s="1209">
        <v>0</v>
      </c>
      <c r="AF60" s="1209">
        <v>0</v>
      </c>
      <c r="AG60" s="1209">
        <v>0</v>
      </c>
      <c r="AH60" s="341">
        <v>0</v>
      </c>
      <c r="AJ60" s="341">
        <f t="shared" si="5"/>
        <v>3762576.19</v>
      </c>
    </row>
    <row r="61" spans="1:36" x14ac:dyDescent="0.2">
      <c r="A61" s="170">
        <v>1433</v>
      </c>
      <c r="B61" s="2890" t="s">
        <v>2761</v>
      </c>
      <c r="C61" s="2890"/>
      <c r="D61" s="1220" t="str">
        <f>IF(SUM(F61:N61)=E61,"OK","prob")</f>
        <v>prob</v>
      </c>
      <c r="E61" s="341">
        <v>-0.02</v>
      </c>
      <c r="F61" s="341">
        <v>35025</v>
      </c>
      <c r="G61" s="341">
        <v>-35025.019999999997</v>
      </c>
      <c r="H61" s="341">
        <v>0</v>
      </c>
      <c r="I61" s="341">
        <v>0</v>
      </c>
      <c r="J61" s="341">
        <v>0</v>
      </c>
      <c r="K61" s="341">
        <v>0</v>
      </c>
      <c r="L61" s="341"/>
      <c r="M61" s="341">
        <v>0</v>
      </c>
      <c r="N61" s="341">
        <v>0</v>
      </c>
      <c r="O61" s="1209">
        <v>0</v>
      </c>
      <c r="P61" s="1209">
        <v>0</v>
      </c>
      <c r="Q61" s="1209">
        <v>0</v>
      </c>
      <c r="R61" s="1209">
        <v>0</v>
      </c>
      <c r="S61" s="1209">
        <v>0</v>
      </c>
      <c r="T61" s="1209">
        <v>0</v>
      </c>
      <c r="U61" s="1209">
        <v>0</v>
      </c>
      <c r="V61" s="1209">
        <v>0</v>
      </c>
      <c r="W61" s="1209">
        <v>0</v>
      </c>
      <c r="X61" s="1209">
        <v>0</v>
      </c>
      <c r="Y61" s="1209">
        <v>0</v>
      </c>
      <c r="Z61" s="1209">
        <v>0</v>
      </c>
      <c r="AA61" s="1209">
        <v>0</v>
      </c>
      <c r="AB61" s="1209">
        <v>0</v>
      </c>
      <c r="AC61" s="1209">
        <v>0</v>
      </c>
      <c r="AD61" s="1209">
        <v>0</v>
      </c>
      <c r="AE61" s="1209">
        <v>0</v>
      </c>
      <c r="AF61" s="1209">
        <v>0</v>
      </c>
      <c r="AG61" s="1209">
        <v>0</v>
      </c>
      <c r="AH61" s="341">
        <v>287</v>
      </c>
      <c r="AJ61" s="341">
        <f t="shared" si="5"/>
        <v>-0.02</v>
      </c>
    </row>
    <row r="62" spans="1:36" x14ac:dyDescent="0.2">
      <c r="A62" s="170"/>
      <c r="B62" s="170" t="s">
        <v>4842</v>
      </c>
      <c r="C62" s="170"/>
      <c r="E62" s="341"/>
      <c r="F62" s="341"/>
      <c r="G62" s="341"/>
      <c r="H62" s="341"/>
      <c r="I62" s="341"/>
      <c r="J62" s="341"/>
      <c r="K62" s="341"/>
      <c r="L62" s="341"/>
      <c r="M62" s="341">
        <v>0</v>
      </c>
      <c r="N62" s="341">
        <v>0</v>
      </c>
      <c r="O62" s="1209"/>
      <c r="P62" s="341"/>
      <c r="Q62" s="291"/>
      <c r="R62" s="291"/>
      <c r="S62" s="291"/>
      <c r="T62" s="291"/>
      <c r="Z62" s="138"/>
      <c r="AC62" s="291"/>
      <c r="AH62" s="341"/>
      <c r="AJ62" s="341">
        <f t="shared" si="5"/>
        <v>0</v>
      </c>
    </row>
    <row r="63" spans="1:36" x14ac:dyDescent="0.2">
      <c r="A63" s="638">
        <v>1480</v>
      </c>
      <c r="B63" s="3116" t="s">
        <v>4843</v>
      </c>
      <c r="C63" s="3116"/>
      <c r="D63" t="str">
        <f t="shared" ref="D63:D68" si="7">IF(SUM(F63:N63)-E63=0,"OK","prob")</f>
        <v>OK</v>
      </c>
      <c r="E63" s="1093">
        <v>113226001.5</v>
      </c>
      <c r="F63" s="1093">
        <v>37867360</v>
      </c>
      <c r="G63" s="1093">
        <v>38548264</v>
      </c>
      <c r="H63" s="1093">
        <v>0</v>
      </c>
      <c r="I63" s="1093">
        <v>28920644</v>
      </c>
      <c r="J63" s="1093">
        <v>402081</v>
      </c>
      <c r="K63" s="1093">
        <v>0</v>
      </c>
      <c r="L63" s="1093"/>
      <c r="M63" s="1093">
        <v>3221580</v>
      </c>
      <c r="N63" s="1093">
        <v>4266072.5</v>
      </c>
      <c r="O63" s="1211">
        <v>802658</v>
      </c>
      <c r="P63" s="1211">
        <v>70755607.019999996</v>
      </c>
      <c r="Q63" s="1211">
        <v>78434278.730000004</v>
      </c>
      <c r="R63" s="1211">
        <v>50637031.289999999</v>
      </c>
      <c r="S63" s="1211">
        <v>14390891.550000001</v>
      </c>
      <c r="T63" s="1211">
        <v>10275310.619999999</v>
      </c>
      <c r="U63" s="1211">
        <v>14848968.369999999</v>
      </c>
      <c r="V63" s="1211">
        <v>52543969.090000004</v>
      </c>
      <c r="W63" s="1211">
        <v>18826773.199999999</v>
      </c>
      <c r="X63" s="1211">
        <v>15072041.34</v>
      </c>
      <c r="Y63" s="1211">
        <v>67639643.719999999</v>
      </c>
      <c r="Z63" s="1211">
        <v>5290176.8</v>
      </c>
      <c r="AA63" s="1211">
        <v>5231051.5599999996</v>
      </c>
      <c r="AB63" s="1211">
        <v>2588362.2000000002</v>
      </c>
      <c r="AC63" s="1211">
        <v>1766577.98</v>
      </c>
      <c r="AD63" s="1211">
        <v>11535627.17</v>
      </c>
      <c r="AE63" s="1211">
        <v>4313652.83</v>
      </c>
      <c r="AF63" s="1211">
        <v>0</v>
      </c>
      <c r="AG63" s="1211">
        <v>0</v>
      </c>
      <c r="AH63" s="1093">
        <v>97425.8</v>
      </c>
      <c r="AJ63" s="341">
        <f t="shared" si="5"/>
        <v>538178622.97000003</v>
      </c>
    </row>
    <row r="64" spans="1:36" x14ac:dyDescent="0.2">
      <c r="A64" s="638">
        <v>1490</v>
      </c>
      <c r="B64" s="3116" t="s">
        <v>4844</v>
      </c>
      <c r="C64" s="3116"/>
      <c r="D64" t="str">
        <f t="shared" si="7"/>
        <v>OK</v>
      </c>
      <c r="E64" s="1093">
        <v>0</v>
      </c>
      <c r="F64" s="1093">
        <v>0</v>
      </c>
      <c r="G64" s="1093">
        <v>0</v>
      </c>
      <c r="H64" s="1093">
        <v>0</v>
      </c>
      <c r="I64" s="1093">
        <v>0</v>
      </c>
      <c r="J64" s="1093">
        <v>0</v>
      </c>
      <c r="K64" s="1093">
        <v>0</v>
      </c>
      <c r="L64" s="1093"/>
      <c r="M64" s="1093">
        <v>0</v>
      </c>
      <c r="N64" s="1093">
        <v>0</v>
      </c>
      <c r="O64" s="1464">
        <v>0</v>
      </c>
      <c r="P64" s="1211">
        <v>177934314.43000001</v>
      </c>
      <c r="Q64" s="1211">
        <v>0</v>
      </c>
      <c r="R64" s="1211">
        <v>28106486.199999999</v>
      </c>
      <c r="S64" s="1211">
        <v>38354167</v>
      </c>
      <c r="T64" s="1211">
        <v>226100</v>
      </c>
      <c r="U64" s="1211">
        <v>2153391</v>
      </c>
      <c r="V64" s="1211">
        <v>0</v>
      </c>
      <c r="W64" s="1211">
        <v>2563797</v>
      </c>
      <c r="X64" s="1211">
        <v>1891954.66</v>
      </c>
      <c r="Y64" s="1211">
        <v>4364738.76</v>
      </c>
      <c r="Z64" s="1211">
        <v>178729.87</v>
      </c>
      <c r="AA64" s="1211">
        <v>953772</v>
      </c>
      <c r="AB64" s="1211">
        <v>0</v>
      </c>
      <c r="AC64" s="1211">
        <v>0</v>
      </c>
      <c r="AD64" s="1211">
        <v>864840</v>
      </c>
      <c r="AE64" s="1211">
        <v>1853008.62</v>
      </c>
      <c r="AF64" s="1211">
        <v>0</v>
      </c>
      <c r="AG64" s="1211">
        <v>0</v>
      </c>
      <c r="AH64" s="1093">
        <v>0</v>
      </c>
      <c r="AJ64" s="341">
        <f t="shared" si="5"/>
        <v>259445299.53999999</v>
      </c>
    </row>
    <row r="65" spans="1:36" x14ac:dyDescent="0.2">
      <c r="A65" s="638">
        <v>1500</v>
      </c>
      <c r="B65" s="3116" t="s">
        <v>4845</v>
      </c>
      <c r="C65" s="3116"/>
      <c r="D65" t="str">
        <f t="shared" si="7"/>
        <v>OK</v>
      </c>
      <c r="E65" s="1093">
        <v>519932561.92000002</v>
      </c>
      <c r="F65" s="1093">
        <v>455244101</v>
      </c>
      <c r="G65" s="1093">
        <v>27976930.670000002</v>
      </c>
      <c r="H65" s="1093">
        <v>0</v>
      </c>
      <c r="I65" s="1093">
        <v>22169957</v>
      </c>
      <c r="J65" s="1093">
        <v>588558</v>
      </c>
      <c r="K65" s="1093">
        <v>5732953</v>
      </c>
      <c r="L65" s="1093"/>
      <c r="M65" s="1093">
        <v>1510907.55</v>
      </c>
      <c r="N65" s="1093">
        <v>6709154.7000000002</v>
      </c>
      <c r="O65" s="1211">
        <v>976775.5</v>
      </c>
      <c r="P65" s="1211">
        <v>196920104.41</v>
      </c>
      <c r="Q65" s="1211">
        <v>79515721.299999997</v>
      </c>
      <c r="R65" s="1211">
        <v>3612639.49</v>
      </c>
      <c r="S65" s="1211">
        <v>77584564.540000007</v>
      </c>
      <c r="T65" s="1211">
        <v>1511890.07</v>
      </c>
      <c r="U65" s="1211">
        <v>30650668.609999999</v>
      </c>
      <c r="V65" s="1211">
        <v>12618871.189999999</v>
      </c>
      <c r="W65" s="1211">
        <v>8681551.7599999998</v>
      </c>
      <c r="X65" s="1211">
        <v>7619498.2800000003</v>
      </c>
      <c r="Y65" s="1211">
        <v>8958436.1400000006</v>
      </c>
      <c r="Z65" s="1211">
        <v>1527702.55</v>
      </c>
      <c r="AA65" s="1211">
        <v>3569410.94</v>
      </c>
      <c r="AB65" s="1211">
        <v>4483639.09</v>
      </c>
      <c r="AC65" s="1211">
        <v>12803647.5</v>
      </c>
      <c r="AD65" s="1211">
        <v>34644207.380000003</v>
      </c>
      <c r="AE65" s="1211">
        <v>1877397.78</v>
      </c>
      <c r="AF65" s="1211">
        <v>931957.2</v>
      </c>
      <c r="AG65" s="1211">
        <v>0</v>
      </c>
      <c r="AH65" s="1093">
        <v>328037.45</v>
      </c>
      <c r="AJ65" s="341">
        <f t="shared" si="5"/>
        <v>1008421245.65</v>
      </c>
    </row>
    <row r="66" spans="1:36" x14ac:dyDescent="0.2">
      <c r="A66" s="638">
        <v>1503</v>
      </c>
      <c r="B66" s="3116" t="s">
        <v>4846</v>
      </c>
      <c r="C66" s="3116"/>
      <c r="D66" t="str">
        <f t="shared" si="7"/>
        <v>OK</v>
      </c>
      <c r="E66" s="1093">
        <v>0</v>
      </c>
      <c r="F66" s="1093">
        <v>0</v>
      </c>
      <c r="G66" s="1093">
        <v>0</v>
      </c>
      <c r="H66" s="1093">
        <v>0</v>
      </c>
      <c r="I66" s="1093">
        <v>0</v>
      </c>
      <c r="J66" s="1093">
        <v>0</v>
      </c>
      <c r="K66" s="1093">
        <v>0</v>
      </c>
      <c r="L66" s="1093"/>
      <c r="M66" s="1093">
        <v>0</v>
      </c>
      <c r="N66" s="1093">
        <v>0</v>
      </c>
      <c r="O66" s="1464">
        <v>0</v>
      </c>
      <c r="P66" s="1211">
        <v>0</v>
      </c>
      <c r="Q66" s="1211">
        <v>1492702.34</v>
      </c>
      <c r="R66" s="1211">
        <v>0</v>
      </c>
      <c r="S66" s="1211">
        <v>0</v>
      </c>
      <c r="T66" s="1211">
        <v>0</v>
      </c>
      <c r="U66" s="1211">
        <v>0</v>
      </c>
      <c r="V66" s="1211">
        <v>0</v>
      </c>
      <c r="W66" s="1211">
        <v>0</v>
      </c>
      <c r="X66" s="1211">
        <v>0</v>
      </c>
      <c r="Y66" s="1211">
        <v>0</v>
      </c>
      <c r="Z66" s="1211">
        <v>0</v>
      </c>
      <c r="AA66" s="1211">
        <v>0</v>
      </c>
      <c r="AB66" s="1211">
        <v>0</v>
      </c>
      <c r="AC66" s="1211">
        <v>0</v>
      </c>
      <c r="AD66" s="1211">
        <v>0</v>
      </c>
      <c r="AE66" s="1211">
        <v>0</v>
      </c>
      <c r="AF66" s="1211">
        <v>0</v>
      </c>
      <c r="AG66" s="1211">
        <v>5572662.2599999998</v>
      </c>
      <c r="AH66" s="1093">
        <v>0</v>
      </c>
      <c r="AJ66" s="341">
        <f t="shared" si="5"/>
        <v>1492702.34</v>
      </c>
    </row>
    <row r="67" spans="1:36" x14ac:dyDescent="0.2">
      <c r="A67" s="638">
        <v>1505</v>
      </c>
      <c r="B67" s="3116" t="s">
        <v>4847</v>
      </c>
      <c r="C67" s="3116"/>
      <c r="D67" t="str">
        <f t="shared" si="7"/>
        <v>OK</v>
      </c>
      <c r="E67" s="1093">
        <v>0</v>
      </c>
      <c r="F67" s="1093">
        <v>0</v>
      </c>
      <c r="G67" s="1093">
        <v>0</v>
      </c>
      <c r="H67" s="1093">
        <v>0</v>
      </c>
      <c r="I67" s="1093">
        <v>0</v>
      </c>
      <c r="J67" s="1093">
        <v>0</v>
      </c>
      <c r="K67" s="1093">
        <v>0</v>
      </c>
      <c r="L67" s="1093"/>
      <c r="M67" s="1093">
        <v>0</v>
      </c>
      <c r="N67" s="1093">
        <v>0</v>
      </c>
      <c r="O67" s="1464">
        <v>0</v>
      </c>
      <c r="P67" s="1211">
        <v>0</v>
      </c>
      <c r="Q67" s="1211">
        <v>0</v>
      </c>
      <c r="R67" s="1211">
        <v>0</v>
      </c>
      <c r="S67" s="1211">
        <v>0</v>
      </c>
      <c r="T67" s="1211">
        <v>0</v>
      </c>
      <c r="U67" s="1211">
        <v>0</v>
      </c>
      <c r="V67" s="1211">
        <v>0</v>
      </c>
      <c r="W67" s="1211">
        <v>0</v>
      </c>
      <c r="X67" s="1211">
        <v>0</v>
      </c>
      <c r="Y67" s="1211">
        <v>0</v>
      </c>
      <c r="Z67" s="1211">
        <v>0</v>
      </c>
      <c r="AA67" s="1211">
        <v>0</v>
      </c>
      <c r="AB67" s="1211">
        <v>0</v>
      </c>
      <c r="AC67" s="1211">
        <v>0</v>
      </c>
      <c r="AD67" s="1211">
        <v>0</v>
      </c>
      <c r="AE67" s="1211">
        <v>0</v>
      </c>
      <c r="AF67" s="1211">
        <v>0</v>
      </c>
      <c r="AG67" s="1211">
        <v>0</v>
      </c>
      <c r="AH67" s="1093">
        <v>0</v>
      </c>
      <c r="AJ67" s="341">
        <f t="shared" si="5"/>
        <v>0</v>
      </c>
    </row>
    <row r="68" spans="1:36" x14ac:dyDescent="0.2">
      <c r="A68" s="638">
        <v>1506</v>
      </c>
      <c r="B68" s="3116" t="s">
        <v>4848</v>
      </c>
      <c r="C68" s="3116"/>
      <c r="D68" t="str">
        <f t="shared" si="7"/>
        <v>OK</v>
      </c>
      <c r="E68" s="1093">
        <v>7704529</v>
      </c>
      <c r="F68" s="1093">
        <v>7704529</v>
      </c>
      <c r="G68" s="1093">
        <v>0</v>
      </c>
      <c r="H68" s="1093">
        <v>0</v>
      </c>
      <c r="I68" s="1093">
        <v>0</v>
      </c>
      <c r="J68" s="1093">
        <v>0</v>
      </c>
      <c r="K68" s="1093">
        <v>0</v>
      </c>
      <c r="L68" s="1093"/>
      <c r="M68" s="1093">
        <v>0</v>
      </c>
      <c r="N68" s="1093">
        <v>0</v>
      </c>
      <c r="O68" s="1464">
        <v>0</v>
      </c>
      <c r="P68" s="1211">
        <v>2212777</v>
      </c>
      <c r="Q68" s="1211">
        <v>0</v>
      </c>
      <c r="R68" s="1211">
        <v>0</v>
      </c>
      <c r="S68" s="1211">
        <v>0</v>
      </c>
      <c r="T68" s="1211">
        <v>0</v>
      </c>
      <c r="U68" s="1211">
        <v>0</v>
      </c>
      <c r="V68" s="1211">
        <v>0</v>
      </c>
      <c r="W68" s="1211">
        <v>0</v>
      </c>
      <c r="X68" s="1211">
        <v>0</v>
      </c>
      <c r="Y68" s="1211">
        <v>0</v>
      </c>
      <c r="Z68" s="1211">
        <v>0</v>
      </c>
      <c r="AA68" s="1211">
        <v>0</v>
      </c>
      <c r="AB68" s="1211">
        <v>0</v>
      </c>
      <c r="AC68" s="1211">
        <v>0</v>
      </c>
      <c r="AD68" s="1211">
        <v>0</v>
      </c>
      <c r="AE68" s="1211">
        <v>0</v>
      </c>
      <c r="AF68" s="1211">
        <v>0</v>
      </c>
      <c r="AG68" s="1211">
        <v>0</v>
      </c>
      <c r="AH68" s="1093">
        <v>0</v>
      </c>
      <c r="AJ68" s="341">
        <f t="shared" si="5"/>
        <v>9917306</v>
      </c>
    </row>
    <row r="69" spans="1:36" x14ac:dyDescent="0.2">
      <c r="A69" s="170"/>
      <c r="B69" s="2890" t="s">
        <v>4849</v>
      </c>
      <c r="C69" s="2890"/>
      <c r="D69" t="str">
        <f>IF(SUM(F69:N69)=E69,"OK","prob")</f>
        <v>OK</v>
      </c>
      <c r="E69" s="350">
        <f t="shared" ref="E69:U69" si="8">SUM(E63:E68)</f>
        <v>640863092.41999996</v>
      </c>
      <c r="F69" s="350">
        <f t="shared" si="8"/>
        <v>500815990</v>
      </c>
      <c r="G69" s="350">
        <f t="shared" si="8"/>
        <v>66525194.670000002</v>
      </c>
      <c r="H69" s="350">
        <f t="shared" si="8"/>
        <v>0</v>
      </c>
      <c r="I69" s="350">
        <f t="shared" si="8"/>
        <v>51090601</v>
      </c>
      <c r="J69" s="350">
        <f t="shared" si="8"/>
        <v>990639</v>
      </c>
      <c r="K69" s="350">
        <f t="shared" si="8"/>
        <v>5732953</v>
      </c>
      <c r="L69" s="350">
        <f>SUM(L63:L68)</f>
        <v>0</v>
      </c>
      <c r="M69" s="350">
        <f>SUM(M63:M68)</f>
        <v>4732487.55</v>
      </c>
      <c r="N69" s="350">
        <f>SUM(N63:N68)</f>
        <v>10975227.199999999</v>
      </c>
      <c r="O69" s="379">
        <f t="shared" si="8"/>
        <v>1779433.5</v>
      </c>
      <c r="P69" s="350">
        <f t="shared" si="8"/>
        <v>447822802.86000001</v>
      </c>
      <c r="Q69" s="350">
        <f t="shared" si="8"/>
        <v>159442702.37</v>
      </c>
      <c r="R69" s="350">
        <f t="shared" si="8"/>
        <v>82356156.980000004</v>
      </c>
      <c r="S69" s="350">
        <f t="shared" si="8"/>
        <v>130329623.09</v>
      </c>
      <c r="T69" s="350">
        <f t="shared" si="8"/>
        <v>12013300.689999999</v>
      </c>
      <c r="U69" s="350">
        <f t="shared" si="8"/>
        <v>47653027.979999997</v>
      </c>
      <c r="V69" s="350">
        <f>SUM(V63:V68)</f>
        <v>65162840.280000001</v>
      </c>
      <c r="W69" s="350">
        <f t="shared" ref="W69:AH69" si="9">SUM(W63:W68)</f>
        <v>30072121.960000001</v>
      </c>
      <c r="X69" s="350">
        <f t="shared" si="9"/>
        <v>24583494.280000001</v>
      </c>
      <c r="Y69" s="350">
        <f>SUM(Y63:Y68)</f>
        <v>80962818.620000005</v>
      </c>
      <c r="Z69" s="350">
        <f t="shared" si="9"/>
        <v>6996609.2199999997</v>
      </c>
      <c r="AA69" s="350">
        <f t="shared" si="9"/>
        <v>9754234.5</v>
      </c>
      <c r="AB69" s="350">
        <f t="shared" si="9"/>
        <v>7072001.29</v>
      </c>
      <c r="AC69" s="350">
        <f t="shared" si="9"/>
        <v>14570225.48</v>
      </c>
      <c r="AD69" s="350">
        <f t="shared" si="9"/>
        <v>47044674.549999997</v>
      </c>
      <c r="AE69" s="350">
        <f t="shared" si="9"/>
        <v>8044059.2300000004</v>
      </c>
      <c r="AF69" s="350">
        <f t="shared" si="9"/>
        <v>931957.2</v>
      </c>
      <c r="AG69" s="350">
        <f t="shared" ref="AG69" si="10">SUM(AG63:AG68)</f>
        <v>5572662.2599999998</v>
      </c>
      <c r="AH69" s="350">
        <f t="shared" si="9"/>
        <v>425463.25</v>
      </c>
      <c r="AJ69" s="341">
        <f t="shared" si="5"/>
        <v>1817455176.5</v>
      </c>
    </row>
    <row r="70" spans="1:36" x14ac:dyDescent="0.2">
      <c r="A70" s="170"/>
      <c r="B70" s="170" t="s">
        <v>4850</v>
      </c>
      <c r="C70" s="170"/>
      <c r="E70" s="341"/>
      <c r="F70" s="341"/>
      <c r="G70" s="341"/>
      <c r="H70" s="341"/>
      <c r="I70" s="341"/>
      <c r="J70" s="341"/>
      <c r="K70" s="341"/>
      <c r="L70" s="341"/>
      <c r="M70" s="341"/>
      <c r="N70" s="341"/>
      <c r="O70" s="212"/>
      <c r="P70" s="341"/>
      <c r="Q70" s="341"/>
      <c r="R70" s="341"/>
      <c r="S70" s="341"/>
      <c r="T70" s="341"/>
      <c r="U70" s="341"/>
      <c r="V70" s="341"/>
      <c r="W70" s="341"/>
      <c r="X70" s="341"/>
      <c r="Y70" s="341"/>
      <c r="Z70" s="341"/>
      <c r="AA70" s="341"/>
      <c r="AB70" s="341"/>
      <c r="AC70" s="341"/>
      <c r="AD70" s="341"/>
      <c r="AE70" s="341"/>
      <c r="AF70" s="341"/>
      <c r="AG70" s="341"/>
      <c r="AH70" s="341"/>
    </row>
    <row r="71" spans="1:36" x14ac:dyDescent="0.2">
      <c r="A71" s="638">
        <v>1520</v>
      </c>
      <c r="B71" s="3116" t="s">
        <v>3235</v>
      </c>
      <c r="C71" s="3116"/>
      <c r="D71" t="str">
        <f t="shared" ref="D71:D83" si="11">IF(SUM(F71:N71)-E71=0,"OK","prob")</f>
        <v>OK</v>
      </c>
      <c r="E71" s="1093">
        <v>2122196534</v>
      </c>
      <c r="F71" s="1093">
        <v>1033597840</v>
      </c>
      <c r="G71" s="1093">
        <v>214460375.77000001</v>
      </c>
      <c r="H71" s="1093">
        <v>0</v>
      </c>
      <c r="I71" s="1093">
        <v>732585598</v>
      </c>
      <c r="J71" s="1093">
        <v>19550559</v>
      </c>
      <c r="K71" s="1093">
        <v>17106397.859999999</v>
      </c>
      <c r="L71" s="1093"/>
      <c r="M71" s="1093">
        <v>14669502.75</v>
      </c>
      <c r="N71" s="1093">
        <v>90226260.620000005</v>
      </c>
      <c r="O71" s="591">
        <v>80998733.109999999</v>
      </c>
      <c r="P71" s="591">
        <v>3546800695.8800001</v>
      </c>
      <c r="Q71" s="591">
        <v>2767366435.7199998</v>
      </c>
      <c r="R71" s="591">
        <v>917694487.77999997</v>
      </c>
      <c r="S71" s="591">
        <v>1404180784.9400001</v>
      </c>
      <c r="T71" s="591">
        <v>323040733.47000003</v>
      </c>
      <c r="U71" s="591">
        <v>892200763.82000005</v>
      </c>
      <c r="V71" s="591">
        <v>1276842794.22</v>
      </c>
      <c r="W71" s="591">
        <v>562828933.47000003</v>
      </c>
      <c r="X71" s="591">
        <v>698504143.66999996</v>
      </c>
      <c r="Y71" s="591">
        <v>1041443132.99</v>
      </c>
      <c r="Z71" s="2040">
        <v>254738381.09</v>
      </c>
      <c r="AA71" s="591">
        <v>332603726.16000003</v>
      </c>
      <c r="AB71" s="591">
        <v>185846126.34</v>
      </c>
      <c r="AC71" s="591">
        <v>221351750.34999999</v>
      </c>
      <c r="AD71" s="591">
        <v>480162233.74000001</v>
      </c>
      <c r="AE71" s="591">
        <v>209280716</v>
      </c>
      <c r="AF71" s="591">
        <v>91420193.180000007</v>
      </c>
      <c r="AG71" s="591">
        <v>0</v>
      </c>
      <c r="AH71" s="1093">
        <v>1172596.54</v>
      </c>
      <c r="AJ71" s="341">
        <f t="shared" ref="AJ71:AJ85" si="12">SUM(F71:AF71)</f>
        <v>17409501299.93</v>
      </c>
    </row>
    <row r="72" spans="1:36" x14ac:dyDescent="0.2">
      <c r="A72" s="638">
        <v>1530</v>
      </c>
      <c r="B72" s="3116" t="s">
        <v>3239</v>
      </c>
      <c r="C72" s="3116"/>
      <c r="D72" t="str">
        <f>IF(SUM(F72:N72)=E72,"OK","prob")</f>
        <v>OK</v>
      </c>
      <c r="E72" s="1093">
        <v>1313269906.6500001</v>
      </c>
      <c r="F72" s="1093">
        <v>563804363</v>
      </c>
      <c r="G72" s="1093">
        <v>263396878.44999999</v>
      </c>
      <c r="H72" s="1093">
        <v>0</v>
      </c>
      <c r="I72" s="1093">
        <v>378874167</v>
      </c>
      <c r="J72" s="1093">
        <v>17863491</v>
      </c>
      <c r="K72" s="1093">
        <v>4859356.5</v>
      </c>
      <c r="L72" s="1093"/>
      <c r="M72" s="1093">
        <v>9406726.4299999997</v>
      </c>
      <c r="N72" s="1093">
        <v>75064924.269999996</v>
      </c>
      <c r="O72" s="591">
        <v>35925564.979999997</v>
      </c>
      <c r="P72" s="591">
        <v>541520788.28999996</v>
      </c>
      <c r="Q72" s="591">
        <v>492072585.05000001</v>
      </c>
      <c r="R72" s="591">
        <v>67112265.340000004</v>
      </c>
      <c r="S72" s="591">
        <v>155664888.58000001</v>
      </c>
      <c r="T72" s="591">
        <v>13823458.470000001</v>
      </c>
      <c r="U72" s="591">
        <v>65292985.659999996</v>
      </c>
      <c r="V72" s="591">
        <v>189417053.34</v>
      </c>
      <c r="W72" s="591">
        <v>117029178.26000001</v>
      </c>
      <c r="X72" s="591">
        <v>47254664.369999997</v>
      </c>
      <c r="Y72" s="591">
        <v>69418551.159999996</v>
      </c>
      <c r="Z72" s="591">
        <v>43035086.829999998</v>
      </c>
      <c r="AA72" s="591">
        <v>24765180.16</v>
      </c>
      <c r="AB72" s="591">
        <v>20952975.739999998</v>
      </c>
      <c r="AC72" s="591">
        <v>28707755.34</v>
      </c>
      <c r="AD72" s="591">
        <v>53828748.799999997</v>
      </c>
      <c r="AE72" s="591">
        <v>19614596.989999998</v>
      </c>
      <c r="AF72" s="591">
        <v>11626292.09</v>
      </c>
      <c r="AG72" s="591">
        <v>34427.18</v>
      </c>
      <c r="AH72" s="1093">
        <v>319714.40000000002</v>
      </c>
      <c r="AJ72" s="341">
        <f t="shared" si="12"/>
        <v>3310332526.0999999</v>
      </c>
    </row>
    <row r="73" spans="1:36" x14ac:dyDescent="0.2">
      <c r="A73" s="638">
        <v>1540</v>
      </c>
      <c r="B73" s="3116" t="s">
        <v>4851</v>
      </c>
      <c r="C73" s="3116"/>
      <c r="D73" t="str">
        <f t="shared" si="11"/>
        <v>OK</v>
      </c>
      <c r="E73" s="1093">
        <v>0</v>
      </c>
      <c r="F73" s="1093">
        <v>0</v>
      </c>
      <c r="G73" s="1093">
        <v>0</v>
      </c>
      <c r="H73" s="1093">
        <v>0</v>
      </c>
      <c r="I73" s="1093">
        <v>0</v>
      </c>
      <c r="J73" s="1093">
        <v>0</v>
      </c>
      <c r="K73" s="1093">
        <v>0</v>
      </c>
      <c r="L73" s="1093"/>
      <c r="M73" s="1093">
        <v>0</v>
      </c>
      <c r="N73" s="1093">
        <v>0</v>
      </c>
      <c r="O73" s="1465">
        <v>0</v>
      </c>
      <c r="P73" s="591">
        <v>0</v>
      </c>
      <c r="Q73" s="591">
        <v>0</v>
      </c>
      <c r="R73" s="591">
        <v>0</v>
      </c>
      <c r="S73" s="591">
        <v>0</v>
      </c>
      <c r="T73" s="591">
        <v>201500</v>
      </c>
      <c r="U73" s="591">
        <v>0</v>
      </c>
      <c r="V73" s="591">
        <v>0</v>
      </c>
      <c r="W73" s="591">
        <v>0</v>
      </c>
      <c r="X73" s="591">
        <v>0</v>
      </c>
      <c r="Y73" s="591">
        <v>0</v>
      </c>
      <c r="Z73" s="591">
        <v>0</v>
      </c>
      <c r="AA73" s="591">
        <v>0</v>
      </c>
      <c r="AB73" s="591">
        <v>0</v>
      </c>
      <c r="AC73" s="591">
        <v>0</v>
      </c>
      <c r="AD73" s="591">
        <v>0</v>
      </c>
      <c r="AE73" s="591">
        <v>0</v>
      </c>
      <c r="AF73" s="591">
        <v>0</v>
      </c>
      <c r="AG73" s="591">
        <v>0</v>
      </c>
      <c r="AH73" s="1093">
        <v>0</v>
      </c>
      <c r="AJ73" s="341">
        <f t="shared" si="12"/>
        <v>201500</v>
      </c>
    </row>
    <row r="74" spans="1:36" x14ac:dyDescent="0.2">
      <c r="A74" s="638">
        <v>1550</v>
      </c>
      <c r="B74" s="3116" t="s">
        <v>4852</v>
      </c>
      <c r="C74" s="3116"/>
      <c r="D74" t="str">
        <f t="shared" si="11"/>
        <v>OK</v>
      </c>
      <c r="E74" s="1093">
        <v>55198617</v>
      </c>
      <c r="F74" s="1093">
        <v>5254227</v>
      </c>
      <c r="G74" s="1093">
        <v>0</v>
      </c>
      <c r="H74" s="1093">
        <v>0</v>
      </c>
      <c r="I74" s="1093">
        <v>47472770</v>
      </c>
      <c r="J74" s="1093">
        <v>2434298</v>
      </c>
      <c r="K74" s="1093">
        <v>0</v>
      </c>
      <c r="L74" s="1093"/>
      <c r="M74" s="1093">
        <v>37322</v>
      </c>
      <c r="N74" s="1093">
        <v>0</v>
      </c>
      <c r="O74" s="591">
        <v>24609621.18</v>
      </c>
      <c r="P74" s="591">
        <v>1010945515.6</v>
      </c>
      <c r="Q74" s="591">
        <v>311852067.01999998</v>
      </c>
      <c r="R74" s="591">
        <v>86505263.280000001</v>
      </c>
      <c r="S74" s="591">
        <v>275763864.13</v>
      </c>
      <c r="T74" s="591">
        <v>22655005.710000001</v>
      </c>
      <c r="U74" s="591">
        <v>72799503.170000002</v>
      </c>
      <c r="V74" s="591">
        <v>215520486.59999999</v>
      </c>
      <c r="W74" s="591">
        <v>20509689.949999999</v>
      </c>
      <c r="X74" s="591">
        <v>111089495.09999999</v>
      </c>
      <c r="Y74" s="591">
        <v>112742872.84</v>
      </c>
      <c r="Z74" s="591">
        <v>27059328.43</v>
      </c>
      <c r="AA74" s="591">
        <v>19385761.149999999</v>
      </c>
      <c r="AB74" s="591">
        <v>22823521.550000001</v>
      </c>
      <c r="AC74" s="591">
        <v>22576731.16</v>
      </c>
      <c r="AD74" s="591">
        <v>23918807.219999999</v>
      </c>
      <c r="AE74" s="591">
        <v>7653979.4900000002</v>
      </c>
      <c r="AF74" s="591">
        <v>153111.54999999999</v>
      </c>
      <c r="AG74" s="591">
        <v>0</v>
      </c>
      <c r="AH74" s="1093">
        <v>7104015.5</v>
      </c>
      <c r="AJ74" s="341">
        <f t="shared" si="12"/>
        <v>2443763242.1300001</v>
      </c>
    </row>
    <row r="75" spans="1:36" x14ac:dyDescent="0.2">
      <c r="A75" s="638">
        <v>1481</v>
      </c>
      <c r="B75" s="3116" t="s">
        <v>5438</v>
      </c>
      <c r="C75" s="3116"/>
      <c r="D75" t="str">
        <f t="shared" si="11"/>
        <v>OK</v>
      </c>
      <c r="E75" s="1093">
        <v>0</v>
      </c>
      <c r="F75" s="1093">
        <v>0</v>
      </c>
      <c r="G75" s="1093">
        <v>0</v>
      </c>
      <c r="H75" s="1093">
        <v>0</v>
      </c>
      <c r="I75" s="1093">
        <v>0</v>
      </c>
      <c r="J75" s="1093">
        <v>0</v>
      </c>
      <c r="K75" s="1093">
        <v>0</v>
      </c>
      <c r="L75" s="1093">
        <v>0</v>
      </c>
      <c r="M75" s="1093">
        <v>0</v>
      </c>
      <c r="N75" s="1093">
        <v>0</v>
      </c>
      <c r="O75" s="591">
        <v>267111.15000000002</v>
      </c>
      <c r="P75" s="591">
        <v>9712213.1199999992</v>
      </c>
      <c r="Q75" s="591">
        <v>0</v>
      </c>
      <c r="R75" s="591">
        <v>362826.85</v>
      </c>
      <c r="S75" s="591">
        <v>0</v>
      </c>
      <c r="T75" s="591">
        <v>0</v>
      </c>
      <c r="U75" s="591">
        <v>0</v>
      </c>
      <c r="V75" s="591">
        <v>0</v>
      </c>
      <c r="W75" s="591">
        <v>0</v>
      </c>
      <c r="X75" s="591">
        <v>0</v>
      </c>
      <c r="Y75" s="591">
        <v>0</v>
      </c>
      <c r="Z75" s="591">
        <v>57728.91</v>
      </c>
      <c r="AA75" s="591">
        <v>149619.18</v>
      </c>
      <c r="AB75" s="591">
        <v>0</v>
      </c>
      <c r="AC75" s="591">
        <v>0</v>
      </c>
      <c r="AD75" s="591">
        <v>0</v>
      </c>
      <c r="AE75" s="591">
        <v>0</v>
      </c>
      <c r="AF75" s="591">
        <v>0</v>
      </c>
      <c r="AG75" s="591">
        <v>0</v>
      </c>
      <c r="AH75" s="1093">
        <v>0</v>
      </c>
      <c r="AJ75" s="341"/>
    </row>
    <row r="76" spans="1:36" x14ac:dyDescent="0.2">
      <c r="A76" s="638">
        <v>1521</v>
      </c>
      <c r="B76" s="3116" t="s">
        <v>5439</v>
      </c>
      <c r="C76" s="3116"/>
      <c r="D76" t="str">
        <f t="shared" si="11"/>
        <v>OK</v>
      </c>
      <c r="E76" s="1093">
        <v>440222335.5</v>
      </c>
      <c r="F76" s="1093">
        <v>90179274.349999994</v>
      </c>
      <c r="G76" s="1093">
        <v>96743986.909999996</v>
      </c>
      <c r="H76" s="1093">
        <v>0</v>
      </c>
      <c r="I76" s="1093">
        <v>88812920.069999993</v>
      </c>
      <c r="J76" s="1093">
        <v>4892225.58</v>
      </c>
      <c r="K76" s="1093">
        <v>138885261.84</v>
      </c>
      <c r="L76" s="1093">
        <v>0</v>
      </c>
      <c r="M76" s="1093">
        <v>0</v>
      </c>
      <c r="N76" s="1093">
        <v>20708666.75</v>
      </c>
      <c r="O76" s="591">
        <v>11636175.91</v>
      </c>
      <c r="P76" s="591">
        <v>135795681.24000001</v>
      </c>
      <c r="Q76" s="591">
        <v>107817360.86</v>
      </c>
      <c r="R76" s="591">
        <v>6906727.4000000004</v>
      </c>
      <c r="S76" s="591">
        <v>6142878.7400000002</v>
      </c>
      <c r="T76" s="591">
        <v>1284562.96</v>
      </c>
      <c r="U76" s="591">
        <v>1051615.4099999999</v>
      </c>
      <c r="V76" s="591">
        <v>36031151.310000002</v>
      </c>
      <c r="W76" s="591">
        <v>4140483.98</v>
      </c>
      <c r="X76" s="591">
        <v>8645253.7699999996</v>
      </c>
      <c r="Y76" s="591">
        <v>7530063.6299999999</v>
      </c>
      <c r="Z76" s="591">
        <v>114858.64</v>
      </c>
      <c r="AA76" s="591">
        <v>1614436.48</v>
      </c>
      <c r="AB76" s="591">
        <v>0</v>
      </c>
      <c r="AC76" s="591">
        <v>470485</v>
      </c>
      <c r="AD76" s="591">
        <v>197378.26</v>
      </c>
      <c r="AE76" s="591">
        <v>0</v>
      </c>
      <c r="AF76" s="591">
        <v>0</v>
      </c>
      <c r="AG76" s="591">
        <v>0</v>
      </c>
      <c r="AH76" s="1093">
        <v>0</v>
      </c>
      <c r="AJ76" s="341"/>
    </row>
    <row r="77" spans="1:36" x14ac:dyDescent="0.2">
      <c r="A77" s="638">
        <v>1531</v>
      </c>
      <c r="B77" s="3116" t="s">
        <v>5440</v>
      </c>
      <c r="C77" s="3116"/>
      <c r="D77" t="str">
        <f t="shared" si="11"/>
        <v>OK</v>
      </c>
      <c r="E77" s="1093">
        <v>4982499.68</v>
      </c>
      <c r="F77" s="1093">
        <v>522342.08</v>
      </c>
      <c r="G77" s="1093">
        <v>0</v>
      </c>
      <c r="H77" s="1093">
        <v>0</v>
      </c>
      <c r="I77" s="1093">
        <v>1730469.32</v>
      </c>
      <c r="J77" s="1093">
        <v>0</v>
      </c>
      <c r="K77" s="1093">
        <v>2729688.28</v>
      </c>
      <c r="L77" s="1093">
        <v>0</v>
      </c>
      <c r="M77" s="1093">
        <v>0</v>
      </c>
      <c r="N77" s="1093">
        <v>0</v>
      </c>
      <c r="O77" s="591">
        <v>0</v>
      </c>
      <c r="P77" s="591">
        <v>0</v>
      </c>
      <c r="Q77" s="591">
        <v>18691592.420000002</v>
      </c>
      <c r="R77" s="591">
        <v>89442.04</v>
      </c>
      <c r="S77" s="591">
        <v>1784889.9</v>
      </c>
      <c r="T77" s="591">
        <v>2027710.73</v>
      </c>
      <c r="U77" s="591">
        <v>897643</v>
      </c>
      <c r="V77" s="591">
        <v>2171688.92</v>
      </c>
      <c r="W77" s="591">
        <v>133384.24</v>
      </c>
      <c r="X77" s="591">
        <v>1525833.66</v>
      </c>
      <c r="Y77" s="591">
        <v>175888</v>
      </c>
      <c r="Z77" s="591">
        <v>467028.49</v>
      </c>
      <c r="AA77" s="591">
        <v>0</v>
      </c>
      <c r="AB77" s="591">
        <v>260178.41</v>
      </c>
      <c r="AC77" s="591">
        <v>0</v>
      </c>
      <c r="AD77" s="591">
        <v>960296.86</v>
      </c>
      <c r="AE77" s="591">
        <v>0</v>
      </c>
      <c r="AF77" s="591">
        <v>0</v>
      </c>
      <c r="AG77" s="591">
        <v>0</v>
      </c>
      <c r="AH77" s="1093">
        <v>0</v>
      </c>
      <c r="AJ77" s="341"/>
    </row>
    <row r="78" spans="1:36" x14ac:dyDescent="0.2">
      <c r="A78" s="638">
        <v>1551</v>
      </c>
      <c r="B78" s="3116" t="s">
        <v>5441</v>
      </c>
      <c r="C78" s="3116"/>
      <c r="D78" t="str">
        <f t="shared" si="11"/>
        <v>OK</v>
      </c>
      <c r="E78" s="1093">
        <v>0</v>
      </c>
      <c r="F78" s="1093">
        <v>0</v>
      </c>
      <c r="G78" s="1093">
        <v>0</v>
      </c>
      <c r="H78" s="1093">
        <v>0</v>
      </c>
      <c r="I78" s="1093">
        <v>0</v>
      </c>
      <c r="J78" s="1093">
        <v>0</v>
      </c>
      <c r="K78" s="1093">
        <v>0</v>
      </c>
      <c r="L78" s="1093">
        <v>0</v>
      </c>
      <c r="M78" s="1093">
        <v>0</v>
      </c>
      <c r="N78" s="1093">
        <v>0</v>
      </c>
      <c r="O78" s="591">
        <v>980833.86</v>
      </c>
      <c r="P78" s="591">
        <v>0</v>
      </c>
      <c r="Q78" s="591">
        <v>0</v>
      </c>
      <c r="R78" s="591">
        <v>0</v>
      </c>
      <c r="S78" s="591">
        <v>0</v>
      </c>
      <c r="T78" s="591">
        <v>0</v>
      </c>
      <c r="U78" s="591">
        <v>0</v>
      </c>
      <c r="V78" s="591">
        <v>0</v>
      </c>
      <c r="W78" s="591">
        <v>0</v>
      </c>
      <c r="X78" s="591">
        <v>0</v>
      </c>
      <c r="Y78" s="591">
        <v>5591719.1399999997</v>
      </c>
      <c r="Z78" s="591">
        <v>0</v>
      </c>
      <c r="AA78" s="591">
        <v>0</v>
      </c>
      <c r="AB78" s="591">
        <v>0</v>
      </c>
      <c r="AC78" s="591">
        <v>0</v>
      </c>
      <c r="AD78" s="591">
        <v>0</v>
      </c>
      <c r="AE78" s="591">
        <v>0</v>
      </c>
      <c r="AF78" s="591">
        <v>0</v>
      </c>
      <c r="AG78" s="591">
        <v>0</v>
      </c>
      <c r="AH78" s="1093">
        <v>0</v>
      </c>
      <c r="AJ78" s="341"/>
    </row>
    <row r="79" spans="1:36" x14ac:dyDescent="0.2">
      <c r="A79" s="638">
        <v>1552</v>
      </c>
      <c r="B79" s="3116" t="s">
        <v>5442</v>
      </c>
      <c r="C79" s="3116"/>
      <c r="D79" t="str">
        <f t="shared" si="11"/>
        <v>OK</v>
      </c>
      <c r="E79" s="1093">
        <v>0</v>
      </c>
      <c r="F79" s="1093">
        <v>0</v>
      </c>
      <c r="G79" s="1093">
        <v>0</v>
      </c>
      <c r="H79" s="1093"/>
      <c r="I79" s="1093"/>
      <c r="J79" s="1093"/>
      <c r="K79" s="1093"/>
      <c r="L79" s="1093"/>
      <c r="M79" s="1093">
        <v>0</v>
      </c>
      <c r="N79" s="1093">
        <v>0</v>
      </c>
      <c r="O79" s="591"/>
      <c r="P79" s="591"/>
      <c r="Q79" s="591"/>
      <c r="R79" s="591"/>
      <c r="S79" s="591">
        <v>0</v>
      </c>
      <c r="T79" s="591">
        <v>0</v>
      </c>
      <c r="U79" s="591"/>
      <c r="V79" s="591">
        <v>0</v>
      </c>
      <c r="W79" s="591"/>
      <c r="X79" s="591"/>
      <c r="Y79" s="591"/>
      <c r="Z79" s="591">
        <v>0</v>
      </c>
      <c r="AA79" s="591">
        <v>0</v>
      </c>
      <c r="AB79" s="591">
        <v>0</v>
      </c>
      <c r="AC79" s="591">
        <v>0</v>
      </c>
      <c r="AD79" s="591"/>
      <c r="AE79" s="591">
        <v>0</v>
      </c>
      <c r="AF79" s="591">
        <v>0</v>
      </c>
      <c r="AG79" s="591">
        <v>0</v>
      </c>
      <c r="AH79" s="1093"/>
      <c r="AJ79" s="341"/>
    </row>
    <row r="80" spans="1:36" x14ac:dyDescent="0.2">
      <c r="A80" s="638">
        <v>1553</v>
      </c>
      <c r="B80" s="3116" t="s">
        <v>4858</v>
      </c>
      <c r="C80" s="3116"/>
      <c r="D80" t="str">
        <f t="shared" si="11"/>
        <v>OK</v>
      </c>
      <c r="E80" s="1093">
        <v>259840420.59999999</v>
      </c>
      <c r="F80" s="1093">
        <v>10408053</v>
      </c>
      <c r="G80" s="1093">
        <v>249362077.59999999</v>
      </c>
      <c r="H80" s="1093">
        <v>0</v>
      </c>
      <c r="I80" s="1093">
        <v>0</v>
      </c>
      <c r="J80" s="1093">
        <v>31712</v>
      </c>
      <c r="K80" s="1093">
        <v>38578</v>
      </c>
      <c r="L80" s="1093"/>
      <c r="M80" s="1093">
        <v>0</v>
      </c>
      <c r="N80" s="1093">
        <v>0</v>
      </c>
      <c r="O80" s="591"/>
      <c r="P80" s="591">
        <v>121695628.47</v>
      </c>
      <c r="Q80" s="591">
        <v>44384539.200000003</v>
      </c>
      <c r="R80" s="591">
        <v>0</v>
      </c>
      <c r="S80" s="591">
        <v>14088449</v>
      </c>
      <c r="T80" s="591">
        <v>0</v>
      </c>
      <c r="U80" s="591">
        <v>0</v>
      </c>
      <c r="V80" s="591">
        <v>13335538.09</v>
      </c>
      <c r="W80" s="591">
        <v>0</v>
      </c>
      <c r="X80" s="591">
        <v>267380.84999999998</v>
      </c>
      <c r="Y80" s="591">
        <v>918616.55</v>
      </c>
      <c r="Z80" s="591">
        <v>0</v>
      </c>
      <c r="AA80" s="591">
        <v>358251</v>
      </c>
      <c r="AB80" s="591">
        <v>0</v>
      </c>
      <c r="AC80" s="591">
        <v>0</v>
      </c>
      <c r="AD80" s="591">
        <v>0</v>
      </c>
      <c r="AE80" s="591">
        <v>0</v>
      </c>
      <c r="AF80" s="591">
        <v>0</v>
      </c>
      <c r="AG80" s="591">
        <v>0</v>
      </c>
      <c r="AH80" s="1093">
        <v>0</v>
      </c>
      <c r="AJ80" s="341">
        <f t="shared" si="12"/>
        <v>454888823.75999999</v>
      </c>
    </row>
    <row r="81" spans="1:36" x14ac:dyDescent="0.2">
      <c r="A81" s="638">
        <v>1555</v>
      </c>
      <c r="B81" s="3116" t="s">
        <v>3262</v>
      </c>
      <c r="C81" s="3116"/>
      <c r="D81" t="str">
        <f t="shared" si="11"/>
        <v>OK</v>
      </c>
      <c r="E81" s="1093">
        <v>0</v>
      </c>
      <c r="F81" s="1093">
        <v>0</v>
      </c>
      <c r="G81" s="1093">
        <v>0</v>
      </c>
      <c r="H81" s="1093">
        <v>0</v>
      </c>
      <c r="I81" s="1093">
        <v>0</v>
      </c>
      <c r="J81" s="1093">
        <v>0</v>
      </c>
      <c r="K81" s="1093">
        <v>0</v>
      </c>
      <c r="L81" s="1093"/>
      <c r="M81" s="1093">
        <v>0</v>
      </c>
      <c r="N81" s="1093">
        <v>0</v>
      </c>
      <c r="O81" s="1465">
        <v>0</v>
      </c>
      <c r="P81" s="591">
        <v>0</v>
      </c>
      <c r="Q81" s="591">
        <v>0</v>
      </c>
      <c r="R81" s="591">
        <v>0</v>
      </c>
      <c r="S81" s="591">
        <v>0</v>
      </c>
      <c r="T81" s="591">
        <v>0</v>
      </c>
      <c r="U81" s="591">
        <v>0</v>
      </c>
      <c r="V81" s="591">
        <v>0</v>
      </c>
      <c r="W81" s="591">
        <v>0</v>
      </c>
      <c r="X81" s="591">
        <v>0</v>
      </c>
      <c r="Y81" s="591">
        <v>0</v>
      </c>
      <c r="Z81" s="591">
        <v>0</v>
      </c>
      <c r="AA81" s="591">
        <v>0</v>
      </c>
      <c r="AB81" s="591">
        <v>0</v>
      </c>
      <c r="AC81" s="591">
        <v>0</v>
      </c>
      <c r="AD81" s="591">
        <v>0</v>
      </c>
      <c r="AE81" s="591">
        <v>0</v>
      </c>
      <c r="AF81" s="591">
        <v>0</v>
      </c>
      <c r="AG81" s="591">
        <v>0</v>
      </c>
      <c r="AH81" s="1093">
        <v>0</v>
      </c>
      <c r="AJ81" s="341">
        <f t="shared" si="12"/>
        <v>0</v>
      </c>
    </row>
    <row r="82" spans="1:36" x14ac:dyDescent="0.2">
      <c r="A82" s="638">
        <v>1556</v>
      </c>
      <c r="B82" s="3120" t="s">
        <v>5443</v>
      </c>
      <c r="C82" s="3120"/>
      <c r="D82" t="str">
        <f t="shared" si="11"/>
        <v>OK</v>
      </c>
      <c r="E82" s="1093">
        <v>155772634.94999999</v>
      </c>
      <c r="F82" s="1093">
        <v>0</v>
      </c>
      <c r="G82" s="1093">
        <v>155772634.94999999</v>
      </c>
      <c r="H82" s="1093">
        <v>0</v>
      </c>
      <c r="I82" s="1093">
        <v>0</v>
      </c>
      <c r="J82" s="1093">
        <v>0</v>
      </c>
      <c r="K82" s="1093">
        <v>0</v>
      </c>
      <c r="L82" s="1093"/>
      <c r="M82" s="1093">
        <v>0</v>
      </c>
      <c r="N82" s="1093">
        <v>0</v>
      </c>
      <c r="O82" s="591">
        <v>4532277.22</v>
      </c>
      <c r="P82" s="591">
        <v>22564017.710000001</v>
      </c>
      <c r="Q82" s="591">
        <v>7484409.1299999999</v>
      </c>
      <c r="R82" s="591">
        <v>12236420.369999999</v>
      </c>
      <c r="S82" s="591">
        <v>15219917.720000001</v>
      </c>
      <c r="T82" s="591">
        <v>2425234.38</v>
      </c>
      <c r="U82" s="591">
        <v>14671379.33</v>
      </c>
      <c r="V82" s="591">
        <v>32830836.420000002</v>
      </c>
      <c r="W82" s="591">
        <v>2354941.7200000002</v>
      </c>
      <c r="X82" s="591">
        <v>1976682.89</v>
      </c>
      <c r="Y82" s="591">
        <v>8718230.7799999993</v>
      </c>
      <c r="Z82" s="591">
        <v>1295630.3400000001</v>
      </c>
      <c r="AA82" s="591">
        <v>4808168.95</v>
      </c>
      <c r="AB82" s="591">
        <v>1278887.07</v>
      </c>
      <c r="AC82" s="591">
        <v>5969786</v>
      </c>
      <c r="AD82" s="591">
        <v>11621261</v>
      </c>
      <c r="AE82" s="591">
        <v>2250009.8199999998</v>
      </c>
      <c r="AF82" s="591">
        <v>0</v>
      </c>
      <c r="AG82" s="591">
        <v>297687.89</v>
      </c>
      <c r="AH82" s="591">
        <v>0</v>
      </c>
      <c r="AJ82" s="341"/>
    </row>
    <row r="83" spans="1:36" x14ac:dyDescent="0.2">
      <c r="A83" s="638">
        <v>1560</v>
      </c>
      <c r="B83" s="3116" t="s">
        <v>4859</v>
      </c>
      <c r="C83" s="3116"/>
      <c r="D83" t="str">
        <f t="shared" si="11"/>
        <v>OK</v>
      </c>
      <c r="E83" s="1093">
        <v>0</v>
      </c>
      <c r="F83" s="1093">
        <v>0</v>
      </c>
      <c r="G83" s="1093">
        <v>0</v>
      </c>
      <c r="H83" s="1093">
        <v>0</v>
      </c>
      <c r="I83" s="1093">
        <v>0</v>
      </c>
      <c r="J83" s="1093">
        <v>0</v>
      </c>
      <c r="K83" s="1093">
        <v>0</v>
      </c>
      <c r="L83" s="1093"/>
      <c r="M83" s="1093">
        <v>0</v>
      </c>
      <c r="N83" s="1093">
        <v>0</v>
      </c>
      <c r="O83" s="591">
        <v>0</v>
      </c>
      <c r="P83" s="591">
        <v>0</v>
      </c>
      <c r="Q83" s="591">
        <v>0</v>
      </c>
      <c r="R83" s="591">
        <v>0</v>
      </c>
      <c r="S83" s="591">
        <v>0</v>
      </c>
      <c r="T83" s="591">
        <v>0</v>
      </c>
      <c r="U83" s="591">
        <v>0</v>
      </c>
      <c r="V83" s="591">
        <v>0</v>
      </c>
      <c r="W83" s="591">
        <v>0</v>
      </c>
      <c r="X83" s="591">
        <v>1371565.43</v>
      </c>
      <c r="Y83" s="591">
        <v>0</v>
      </c>
      <c r="Z83" s="591">
        <v>0</v>
      </c>
      <c r="AA83" s="591">
        <v>0</v>
      </c>
      <c r="AB83" s="591">
        <v>0</v>
      </c>
      <c r="AC83" s="591">
        <v>0</v>
      </c>
      <c r="AD83" s="591">
        <v>0</v>
      </c>
      <c r="AE83" s="591">
        <v>0</v>
      </c>
      <c r="AF83" s="591">
        <v>0</v>
      </c>
      <c r="AG83" s="591">
        <v>0</v>
      </c>
      <c r="AH83" s="1093">
        <v>0</v>
      </c>
      <c r="AJ83" s="341">
        <f t="shared" si="12"/>
        <v>1371565.43</v>
      </c>
    </row>
    <row r="84" spans="1:36" x14ac:dyDescent="0.2">
      <c r="A84" s="638">
        <v>1570</v>
      </c>
      <c r="B84" s="2890" t="s">
        <v>3280</v>
      </c>
      <c r="C84" s="2890"/>
      <c r="D84" t="str">
        <f>IF(ROUND(SUM(F84:N84),2)-ROUND(E84,2)=0,"OK","prob")</f>
        <v>OK</v>
      </c>
      <c r="E84" s="1093">
        <v>-2320332473.8499999</v>
      </c>
      <c r="F84" s="1093">
        <v>-1003046934.02</v>
      </c>
      <c r="G84" s="1093">
        <v>-453730874.64999998</v>
      </c>
      <c r="H84" s="1093">
        <v>0</v>
      </c>
      <c r="I84" s="1093">
        <v>-652518566.04999995</v>
      </c>
      <c r="J84" s="1093">
        <v>-25500806.149999999</v>
      </c>
      <c r="K84" s="1093">
        <v>-57368803.090000004</v>
      </c>
      <c r="L84" s="1093"/>
      <c r="M84" s="1093">
        <v>-8363057.75</v>
      </c>
      <c r="N84" s="1093">
        <v>-119803432.14</v>
      </c>
      <c r="O84" s="591">
        <v>-92887603.469999999</v>
      </c>
      <c r="P84" s="591">
        <v>-2752687018.0700002</v>
      </c>
      <c r="Q84" s="591">
        <v>-1575380362.24</v>
      </c>
      <c r="R84" s="591">
        <v>-370501417.85000002</v>
      </c>
      <c r="S84" s="591">
        <v>-473651114.02999997</v>
      </c>
      <c r="T84" s="591">
        <v>-128122526.40000001</v>
      </c>
      <c r="U84" s="591">
        <v>-284256404.44</v>
      </c>
      <c r="V84" s="591">
        <v>-554426375.25</v>
      </c>
      <c r="W84" s="591">
        <v>-249581986.53</v>
      </c>
      <c r="X84" s="591">
        <v>-188361198.5</v>
      </c>
      <c r="Y84" s="591">
        <v>-420837174.25</v>
      </c>
      <c r="Z84" s="591">
        <v>-115848077.56999999</v>
      </c>
      <c r="AA84" s="591">
        <v>-148452381.46000001</v>
      </c>
      <c r="AB84" s="591">
        <v>-86460506.430000007</v>
      </c>
      <c r="AC84" s="591">
        <v>-91142130.319999993</v>
      </c>
      <c r="AD84" s="591">
        <v>-188964706.97999999</v>
      </c>
      <c r="AE84" s="591">
        <v>-81109946.310000002</v>
      </c>
      <c r="AF84" s="591">
        <v>-36860581.509999998</v>
      </c>
      <c r="AG84" s="591">
        <v>-29121.14</v>
      </c>
      <c r="AH84" s="1093">
        <v>-3059798.08</v>
      </c>
      <c r="AJ84" s="341">
        <f t="shared" si="12"/>
        <v>-10159863985.459999</v>
      </c>
    </row>
    <row r="85" spans="1:36" x14ac:dyDescent="0.2">
      <c r="A85" s="170"/>
      <c r="B85" s="2890" t="s">
        <v>4860</v>
      </c>
      <c r="C85" s="2890"/>
      <c r="D85" t="str">
        <f>IF(ROUND(SUM(F85:N85),2)-ROUND(E85,2)=0,"OK","prob")</f>
        <v>OK</v>
      </c>
      <c r="E85" s="343">
        <f t="shared" ref="E85:AH85" si="13">SUM(E71:E84)</f>
        <v>2031150474.53</v>
      </c>
      <c r="F85" s="343">
        <f t="shared" si="13"/>
        <v>700719165.40999997</v>
      </c>
      <c r="G85" s="343">
        <f t="shared" si="13"/>
        <v>526005079.02999997</v>
      </c>
      <c r="H85" s="343">
        <f t="shared" si="13"/>
        <v>0</v>
      </c>
      <c r="I85" s="343">
        <f t="shared" si="13"/>
        <v>596957358.34000003</v>
      </c>
      <c r="J85" s="343">
        <f t="shared" si="13"/>
        <v>19271479.43</v>
      </c>
      <c r="K85" s="343">
        <f t="shared" si="13"/>
        <v>106250479.39</v>
      </c>
      <c r="L85" s="343">
        <f t="shared" si="13"/>
        <v>0</v>
      </c>
      <c r="M85" s="343">
        <f t="shared" si="13"/>
        <v>15750493.43</v>
      </c>
      <c r="N85" s="343">
        <f t="shared" si="13"/>
        <v>66196419.5</v>
      </c>
      <c r="O85" s="452">
        <f t="shared" si="13"/>
        <v>66062713.939999998</v>
      </c>
      <c r="P85" s="343">
        <f t="shared" si="13"/>
        <v>2636347522.2399998</v>
      </c>
      <c r="Q85" s="343">
        <f t="shared" si="13"/>
        <v>2174288627.1599998</v>
      </c>
      <c r="R85" s="343">
        <f t="shared" si="13"/>
        <v>720406015.21000004</v>
      </c>
      <c r="S85" s="343">
        <f t="shared" si="13"/>
        <v>1399194558.98</v>
      </c>
      <c r="T85" s="343">
        <f t="shared" si="13"/>
        <v>237335679.31999999</v>
      </c>
      <c r="U85" s="343">
        <f t="shared" si="13"/>
        <v>762657485.95000005</v>
      </c>
      <c r="V85" s="343">
        <f t="shared" si="13"/>
        <v>1211723173.6500001</v>
      </c>
      <c r="W85" s="343">
        <f t="shared" si="13"/>
        <v>457414625.08999997</v>
      </c>
      <c r="X85" s="343">
        <f t="shared" si="13"/>
        <v>682273821.24000001</v>
      </c>
      <c r="Y85" s="343">
        <f t="shared" si="13"/>
        <v>825701900.84000003</v>
      </c>
      <c r="Z85" s="452">
        <f t="shared" si="13"/>
        <v>210919965.16</v>
      </c>
      <c r="AA85" s="343">
        <v>235232761.62</v>
      </c>
      <c r="AB85" s="343">
        <f t="shared" si="13"/>
        <v>144701182.68000001</v>
      </c>
      <c r="AC85" s="343">
        <f t="shared" si="13"/>
        <v>187934377.53</v>
      </c>
      <c r="AD85" s="343">
        <f t="shared" si="13"/>
        <v>381724018.89999998</v>
      </c>
      <c r="AE85" s="343">
        <f t="shared" si="13"/>
        <v>157689355.99000001</v>
      </c>
      <c r="AF85" s="343">
        <f t="shared" si="13"/>
        <v>66339015.310000002</v>
      </c>
      <c r="AG85" s="343">
        <f t="shared" ref="AG85" si="14">SUM(AG71:AG84)</f>
        <v>302993.93</v>
      </c>
      <c r="AH85" s="343">
        <f t="shared" si="13"/>
        <v>5536528.3600000003</v>
      </c>
      <c r="AJ85" s="341">
        <f t="shared" si="12"/>
        <v>14589097275.34</v>
      </c>
    </row>
    <row r="86" spans="1:36" x14ac:dyDescent="0.2">
      <c r="A86" s="357"/>
      <c r="B86" s="2890" t="s">
        <v>4861</v>
      </c>
      <c r="C86" s="2890"/>
      <c r="D86" t="str">
        <f>IF(SUM(F86:N86)=E86,"OK","prob")</f>
        <v>OK</v>
      </c>
      <c r="E86" s="350">
        <f t="shared" ref="E86:AH86" si="15">SUM(E41:E85)-E69-E85</f>
        <v>5572425569.8800001</v>
      </c>
      <c r="F86" s="1920">
        <f t="shared" si="15"/>
        <v>2823233400.4099998</v>
      </c>
      <c r="G86" s="350">
        <f t="shared" si="15"/>
        <v>1093764912.8699999</v>
      </c>
      <c r="H86" s="350">
        <f t="shared" si="15"/>
        <v>46923092</v>
      </c>
      <c r="I86" s="350">
        <f t="shared" si="15"/>
        <v>1363193601.74</v>
      </c>
      <c r="J86" s="350">
        <f t="shared" si="15"/>
        <v>22297294.350000001</v>
      </c>
      <c r="K86" s="350">
        <f t="shared" si="15"/>
        <v>115969091.16</v>
      </c>
      <c r="L86" s="350">
        <f t="shared" si="15"/>
        <v>0</v>
      </c>
      <c r="M86" s="350">
        <f t="shared" si="15"/>
        <v>21639754.41</v>
      </c>
      <c r="N86" s="350">
        <f t="shared" si="15"/>
        <v>85404422.939999998</v>
      </c>
      <c r="O86" s="379">
        <f t="shared" si="15"/>
        <v>200049539.75</v>
      </c>
      <c r="P86" s="350">
        <f t="shared" si="15"/>
        <v>6492504254.4799995</v>
      </c>
      <c r="Q86" s="379">
        <f t="shared" si="15"/>
        <v>3303520348.3899999</v>
      </c>
      <c r="R86" s="350">
        <f t="shared" si="15"/>
        <v>1233053256.2</v>
      </c>
      <c r="S86" s="350">
        <f t="shared" si="15"/>
        <v>1772086974.54</v>
      </c>
      <c r="T86" s="350">
        <f t="shared" si="15"/>
        <v>277317483.41000003</v>
      </c>
      <c r="U86" s="350">
        <f t="shared" si="15"/>
        <v>987996165.85000002</v>
      </c>
      <c r="V86" s="350">
        <f t="shared" si="15"/>
        <v>1430643855.95</v>
      </c>
      <c r="W86" s="350">
        <f t="shared" si="15"/>
        <v>673162651.04999995</v>
      </c>
      <c r="X86" s="350">
        <f t="shared" si="15"/>
        <v>860063997.30999994</v>
      </c>
      <c r="Y86" s="350">
        <f t="shared" si="15"/>
        <v>1181340539.8499999</v>
      </c>
      <c r="Z86" s="350">
        <f t="shared" si="15"/>
        <v>271793830.23000002</v>
      </c>
      <c r="AA86" s="350">
        <f t="shared" si="15"/>
        <v>294118718.42000002</v>
      </c>
      <c r="AB86" s="350">
        <f t="shared" si="15"/>
        <v>200127839.68000001</v>
      </c>
      <c r="AC86" s="350">
        <f t="shared" si="15"/>
        <v>257845153.22</v>
      </c>
      <c r="AD86" s="350">
        <f t="shared" si="15"/>
        <v>498013395.19</v>
      </c>
      <c r="AE86" s="350">
        <f t="shared" si="15"/>
        <v>217757608.31999999</v>
      </c>
      <c r="AF86" s="350">
        <f t="shared" si="15"/>
        <v>73003287.260000005</v>
      </c>
      <c r="AG86" s="350">
        <f t="shared" ref="AG86" si="16">SUM(AG41:AG85)-AG69-AG85</f>
        <v>5875656.1900000004</v>
      </c>
      <c r="AH86" s="350">
        <f t="shared" si="15"/>
        <v>5962278.6100000003</v>
      </c>
      <c r="AJ86" s="341"/>
    </row>
    <row r="87" spans="1:36" x14ac:dyDescent="0.2">
      <c r="B87" s="2380"/>
      <c r="C87" s="2380"/>
      <c r="E87" s="341"/>
      <c r="F87" s="341"/>
      <c r="G87" s="341"/>
      <c r="H87" s="341"/>
      <c r="I87" s="341"/>
      <c r="J87" s="341"/>
      <c r="K87" s="341"/>
      <c r="L87" s="341"/>
      <c r="M87" s="341"/>
      <c r="N87" s="341"/>
      <c r="O87" s="212"/>
      <c r="P87" s="341"/>
      <c r="Q87" s="341"/>
      <c r="R87" s="341"/>
      <c r="S87" s="341"/>
      <c r="T87" s="341"/>
      <c r="U87" s="341"/>
      <c r="V87" s="341"/>
      <c r="W87" s="341"/>
      <c r="X87" s="341"/>
      <c r="Y87" s="341"/>
      <c r="Z87" s="341"/>
      <c r="AA87" s="341"/>
      <c r="AB87" s="341"/>
      <c r="AC87" s="341"/>
      <c r="AD87" s="341"/>
      <c r="AE87" s="341"/>
      <c r="AF87" s="341"/>
      <c r="AG87" s="341"/>
      <c r="AH87" s="341"/>
    </row>
    <row r="88" spans="1:36" x14ac:dyDescent="0.2">
      <c r="B88" s="2890" t="s">
        <v>1769</v>
      </c>
      <c r="C88" s="2890"/>
      <c r="D88" s="1220" t="str">
        <f>IF(SUM(F88:N88)=E88,"OK","prob")</f>
        <v>prob</v>
      </c>
      <c r="E88" s="343">
        <f t="shared" ref="E88:AH88" si="17">E86+E38</f>
        <v>7155415194.6300001</v>
      </c>
      <c r="F88" s="1919">
        <f t="shared" si="17"/>
        <v>4049102947.7800002</v>
      </c>
      <c r="G88" s="343">
        <f t="shared" si="17"/>
        <v>2167737613.1900001</v>
      </c>
      <c r="H88" s="343">
        <f t="shared" si="17"/>
        <v>52239362</v>
      </c>
      <c r="I88" s="343">
        <f t="shared" si="17"/>
        <v>1988791257.3399999</v>
      </c>
      <c r="J88" s="343">
        <f t="shared" si="17"/>
        <v>39233902.289999999</v>
      </c>
      <c r="K88" s="343">
        <f t="shared" si="17"/>
        <v>333197353</v>
      </c>
      <c r="L88" s="343">
        <f t="shared" si="17"/>
        <v>0</v>
      </c>
      <c r="M88" s="343">
        <f t="shared" si="17"/>
        <v>61458331.539999999</v>
      </c>
      <c r="N88" s="343">
        <f t="shared" si="17"/>
        <v>146234734.74000001</v>
      </c>
      <c r="O88" s="452">
        <f t="shared" si="17"/>
        <v>447458528.07999998</v>
      </c>
      <c r="P88" s="343">
        <f t="shared" si="17"/>
        <v>8869874676.6900005</v>
      </c>
      <c r="Q88" s="452">
        <f t="shared" si="17"/>
        <v>3864297734.25</v>
      </c>
      <c r="R88" s="343">
        <f t="shared" si="17"/>
        <v>1507083252.04</v>
      </c>
      <c r="S88" s="343">
        <f t="shared" si="17"/>
        <v>2282267047.6900001</v>
      </c>
      <c r="T88" s="343">
        <f t="shared" si="17"/>
        <v>301214104.49000001</v>
      </c>
      <c r="U88" s="343">
        <f t="shared" si="17"/>
        <v>1226293722.0999999</v>
      </c>
      <c r="V88" s="343">
        <f t="shared" si="17"/>
        <v>1897686263.6199999</v>
      </c>
      <c r="W88" s="343">
        <f t="shared" si="17"/>
        <v>897976383.76999998</v>
      </c>
      <c r="X88" s="343">
        <f t="shared" si="17"/>
        <v>1060326834.78</v>
      </c>
      <c r="Y88" s="343">
        <f t="shared" si="17"/>
        <v>1414743435.5899999</v>
      </c>
      <c r="Z88" s="343">
        <f t="shared" si="17"/>
        <v>312818006.41000003</v>
      </c>
      <c r="AA88" s="343">
        <f t="shared" si="17"/>
        <v>371239592.17000002</v>
      </c>
      <c r="AB88" s="343">
        <f t="shared" si="17"/>
        <v>231113731.41</v>
      </c>
      <c r="AC88" s="343">
        <f t="shared" si="17"/>
        <v>292041837.00999999</v>
      </c>
      <c r="AD88" s="343">
        <f t="shared" si="17"/>
        <v>549736018.04999995</v>
      </c>
      <c r="AE88" s="343">
        <f t="shared" si="17"/>
        <v>258980976.78</v>
      </c>
      <c r="AF88" s="343">
        <f t="shared" si="17"/>
        <v>75922968.760000005</v>
      </c>
      <c r="AG88" s="343">
        <f t="shared" ref="AG88" si="18">AG86+AG38</f>
        <v>29862984.960000001</v>
      </c>
      <c r="AH88" s="343">
        <f t="shared" si="17"/>
        <v>14164925.359999999</v>
      </c>
      <c r="AJ88" s="341">
        <f>SUM(F88:AF88)</f>
        <v>34699070615.57</v>
      </c>
    </row>
    <row r="89" spans="1:36" x14ac:dyDescent="0.2">
      <c r="B89" s="2380"/>
      <c r="C89" s="2380"/>
      <c r="E89" s="341"/>
      <c r="F89" s="341"/>
      <c r="G89" s="341"/>
      <c r="H89" s="341"/>
      <c r="I89" s="341"/>
      <c r="J89" s="341"/>
      <c r="K89" s="341"/>
      <c r="L89" s="341"/>
      <c r="M89" s="341"/>
      <c r="N89" s="341"/>
      <c r="O89" s="212"/>
      <c r="P89" s="341"/>
      <c r="Q89" s="341"/>
      <c r="R89" s="341"/>
      <c r="S89" s="341"/>
      <c r="T89" s="341"/>
      <c r="U89" s="341"/>
      <c r="V89" s="341"/>
      <c r="W89" s="341"/>
      <c r="X89" s="341"/>
      <c r="Y89" s="341"/>
      <c r="Z89" s="341"/>
      <c r="AA89" s="341"/>
      <c r="AB89" s="341"/>
      <c r="AC89" s="341"/>
      <c r="AD89" s="341"/>
      <c r="AE89" s="341"/>
      <c r="AF89" s="341"/>
      <c r="AG89" s="341"/>
      <c r="AH89" s="341"/>
    </row>
    <row r="90" spans="1:36" x14ac:dyDescent="0.2">
      <c r="B90" s="3144" t="s">
        <v>1976</v>
      </c>
      <c r="C90" s="3144"/>
      <c r="E90" s="341"/>
      <c r="F90" s="341"/>
      <c r="G90" s="341"/>
      <c r="H90" s="341"/>
      <c r="I90" s="341"/>
      <c r="J90" s="341"/>
      <c r="K90" s="341"/>
      <c r="L90" s="341"/>
      <c r="M90" s="341"/>
      <c r="N90" s="341"/>
      <c r="O90" s="212"/>
      <c r="P90" s="341"/>
      <c r="Q90" s="341"/>
      <c r="R90" s="341"/>
      <c r="S90" s="341"/>
      <c r="T90" s="341"/>
      <c r="U90" s="341"/>
      <c r="V90" s="341"/>
      <c r="W90" s="341"/>
      <c r="X90" s="341"/>
      <c r="Y90" s="341"/>
      <c r="Z90" s="341"/>
      <c r="AA90" s="341"/>
      <c r="AB90" s="341"/>
      <c r="AC90" s="341"/>
      <c r="AD90" s="341"/>
      <c r="AE90" s="341"/>
      <c r="AF90" s="341"/>
      <c r="AG90" s="341"/>
      <c r="AH90" s="341"/>
    </row>
    <row r="91" spans="1:36" x14ac:dyDescent="0.2">
      <c r="A91" s="833">
        <v>1234</v>
      </c>
      <c r="B91" s="3069" t="s">
        <v>2794</v>
      </c>
      <c r="C91" s="3069"/>
      <c r="D91" t="str">
        <f t="shared" ref="D91:D98" si="19">IF(SUM(F91:N91)-E91=0,"OK","prob")</f>
        <v>OK</v>
      </c>
      <c r="E91" s="341">
        <v>863723</v>
      </c>
      <c r="F91" s="212">
        <v>863723</v>
      </c>
      <c r="G91" s="341">
        <v>0</v>
      </c>
      <c r="H91" s="341">
        <v>0</v>
      </c>
      <c r="I91" s="341">
        <v>0</v>
      </c>
      <c r="J91" s="341">
        <v>0</v>
      </c>
      <c r="K91" s="341">
        <v>0</v>
      </c>
      <c r="L91" s="341"/>
      <c r="M91" s="341">
        <v>0</v>
      </c>
      <c r="N91" s="341">
        <v>0</v>
      </c>
      <c r="O91" s="212">
        <v>0</v>
      </c>
      <c r="P91" s="212">
        <v>51273983.719999999</v>
      </c>
      <c r="Q91" s="212">
        <v>0</v>
      </c>
      <c r="R91" s="212">
        <v>0</v>
      </c>
      <c r="S91" s="212">
        <v>0</v>
      </c>
      <c r="T91" s="212">
        <v>0</v>
      </c>
      <c r="U91" s="212">
        <v>0</v>
      </c>
      <c r="V91" s="212">
        <v>0</v>
      </c>
      <c r="W91" s="212">
        <v>0</v>
      </c>
      <c r="X91" s="212">
        <v>0</v>
      </c>
      <c r="Y91" s="212">
        <v>0</v>
      </c>
      <c r="Z91" s="212">
        <v>0</v>
      </c>
      <c r="AA91" s="212">
        <v>0</v>
      </c>
      <c r="AB91" s="212">
        <v>0</v>
      </c>
      <c r="AC91" s="212">
        <v>0</v>
      </c>
      <c r="AD91" s="212">
        <v>0</v>
      </c>
      <c r="AE91" s="212">
        <v>0</v>
      </c>
      <c r="AF91" s="212">
        <v>0</v>
      </c>
      <c r="AG91" s="212">
        <v>0</v>
      </c>
      <c r="AH91" s="341">
        <v>0</v>
      </c>
      <c r="AI91" s="341"/>
      <c r="AJ91" s="341">
        <f t="shared" ref="AJ91:AJ98" si="20">SUM(F91:AF91)</f>
        <v>52137706.719999999</v>
      </c>
    </row>
    <row r="92" spans="1:36" x14ac:dyDescent="0.2">
      <c r="A92" s="833">
        <v>1236</v>
      </c>
      <c r="B92" s="3069" t="s">
        <v>2209</v>
      </c>
      <c r="C92" s="3069"/>
      <c r="D92" t="str">
        <f t="shared" si="19"/>
        <v>OK</v>
      </c>
      <c r="E92" s="341">
        <v>0</v>
      </c>
      <c r="F92" s="341">
        <v>0</v>
      </c>
      <c r="G92" s="341">
        <v>0</v>
      </c>
      <c r="H92" s="341">
        <v>0</v>
      </c>
      <c r="I92" s="341">
        <v>0</v>
      </c>
      <c r="J92" s="341">
        <v>0</v>
      </c>
      <c r="K92" s="341">
        <v>0</v>
      </c>
      <c r="L92" s="341"/>
      <c r="M92" s="341">
        <v>0</v>
      </c>
      <c r="N92" s="341">
        <v>0</v>
      </c>
      <c r="O92" s="212">
        <v>0</v>
      </c>
      <c r="P92" s="212">
        <v>7906961.9500000002</v>
      </c>
      <c r="Q92" s="212">
        <v>0</v>
      </c>
      <c r="R92" s="212">
        <v>3836830.02</v>
      </c>
      <c r="S92" s="212">
        <v>13463343.050000001</v>
      </c>
      <c r="T92" s="212">
        <v>34553.370000000003</v>
      </c>
      <c r="U92" s="212">
        <v>5362207.09</v>
      </c>
      <c r="V92" s="212">
        <v>4589372.3899999997</v>
      </c>
      <c r="W92" s="212">
        <v>601639.12</v>
      </c>
      <c r="X92" s="212">
        <v>3693497.47</v>
      </c>
      <c r="Y92" s="212">
        <v>7131219.9199999999</v>
      </c>
      <c r="Z92" s="212">
        <v>818968.2</v>
      </c>
      <c r="AA92" s="212">
        <v>660899.56999999995</v>
      </c>
      <c r="AB92" s="212">
        <v>801661.79</v>
      </c>
      <c r="AC92" s="212">
        <v>583870.31000000006</v>
      </c>
      <c r="AD92" s="212">
        <v>0</v>
      </c>
      <c r="AE92" s="212">
        <v>0</v>
      </c>
      <c r="AF92" s="212">
        <v>0</v>
      </c>
      <c r="AG92" s="212">
        <v>0</v>
      </c>
      <c r="AH92" s="341">
        <v>0</v>
      </c>
      <c r="AI92" s="341"/>
      <c r="AJ92" s="341">
        <f t="shared" si="20"/>
        <v>49485024.25</v>
      </c>
    </row>
    <row r="93" spans="1:36" x14ac:dyDescent="0.2">
      <c r="A93" s="833">
        <v>1237</v>
      </c>
      <c r="B93" s="3069" t="s">
        <v>2210</v>
      </c>
      <c r="C93" s="3069"/>
      <c r="D93" t="str">
        <f t="shared" si="19"/>
        <v>prob</v>
      </c>
      <c r="E93" s="341">
        <v>431929078.10000002</v>
      </c>
      <c r="F93" s="341">
        <v>295657573</v>
      </c>
      <c r="G93" s="341">
        <v>74591861.269999996</v>
      </c>
      <c r="H93" s="341">
        <v>0</v>
      </c>
      <c r="I93" s="341">
        <v>61679643.829999998</v>
      </c>
      <c r="J93" s="341">
        <v>0</v>
      </c>
      <c r="K93" s="341">
        <v>0</v>
      </c>
      <c r="L93" s="341"/>
      <c r="M93" s="341">
        <v>0</v>
      </c>
      <c r="N93" s="341">
        <v>0</v>
      </c>
      <c r="O93" s="212">
        <v>13350042</v>
      </c>
      <c r="P93" s="212">
        <v>297822313.85000002</v>
      </c>
      <c r="Q93" s="212">
        <v>195014238</v>
      </c>
      <c r="R93" s="212">
        <v>48953935.710000001</v>
      </c>
      <c r="S93" s="212">
        <v>66785760</v>
      </c>
      <c r="T93" s="212">
        <v>9853668.8800000008</v>
      </c>
      <c r="U93" s="212">
        <v>42552565</v>
      </c>
      <c r="V93" s="212">
        <v>115484422.37</v>
      </c>
      <c r="W93" s="212">
        <v>38556062.68</v>
      </c>
      <c r="X93" s="212">
        <v>32182984</v>
      </c>
      <c r="Y93" s="212">
        <v>63126550</v>
      </c>
      <c r="Z93" s="212">
        <v>18231522.210000001</v>
      </c>
      <c r="AA93" s="212">
        <v>16635518</v>
      </c>
      <c r="AB93" s="212">
        <v>10002976.59</v>
      </c>
      <c r="AC93" s="212">
        <v>18986663.25</v>
      </c>
      <c r="AD93" s="212">
        <v>31662289</v>
      </c>
      <c r="AE93" s="212">
        <v>9196627.9900000002</v>
      </c>
      <c r="AF93" s="212">
        <v>0</v>
      </c>
      <c r="AG93" s="212">
        <v>0</v>
      </c>
      <c r="AH93" s="341">
        <v>412350</v>
      </c>
      <c r="AI93" s="341"/>
      <c r="AJ93" s="341">
        <f t="shared" si="20"/>
        <v>1460327217.6300001</v>
      </c>
    </row>
    <row r="94" spans="1:36" x14ac:dyDescent="0.2">
      <c r="A94" s="833">
        <v>1241</v>
      </c>
      <c r="B94" s="3069" t="s">
        <v>2211</v>
      </c>
      <c r="C94" s="3069"/>
      <c r="D94" t="str">
        <f>IF(SUM(F94:N94)=E94,"OK","prob")</f>
        <v>OK</v>
      </c>
      <c r="E94" s="341">
        <v>309779508.14999998</v>
      </c>
      <c r="F94" s="341">
        <v>243610581</v>
      </c>
      <c r="G94" s="341">
        <v>66168927.149999999</v>
      </c>
      <c r="H94" s="341">
        <v>0</v>
      </c>
      <c r="I94" s="341">
        <v>0</v>
      </c>
      <c r="J94" s="341">
        <v>0</v>
      </c>
      <c r="K94" s="341">
        <v>0</v>
      </c>
      <c r="L94" s="341"/>
      <c r="M94" s="341">
        <v>0</v>
      </c>
      <c r="N94" s="341">
        <v>0</v>
      </c>
      <c r="O94" s="212">
        <v>14339479</v>
      </c>
      <c r="P94" s="212">
        <v>383737828</v>
      </c>
      <c r="Q94" s="212">
        <v>174304939</v>
      </c>
      <c r="R94" s="212">
        <v>56629148</v>
      </c>
      <c r="S94" s="212">
        <v>76703270</v>
      </c>
      <c r="T94" s="212">
        <v>9628693.9100000001</v>
      </c>
      <c r="U94" s="212">
        <v>55320704</v>
      </c>
      <c r="V94" s="212">
        <v>98185992</v>
      </c>
      <c r="W94" s="212">
        <v>33206970.579999998</v>
      </c>
      <c r="X94" s="212">
        <v>29112369</v>
      </c>
      <c r="Y94" s="212">
        <v>48152191</v>
      </c>
      <c r="Z94" s="212">
        <v>15481842.27</v>
      </c>
      <c r="AA94" s="212">
        <v>10866036.220000001</v>
      </c>
      <c r="AB94" s="212">
        <v>6543293</v>
      </c>
      <c r="AC94" s="212">
        <v>13219678.02</v>
      </c>
      <c r="AD94" s="212">
        <v>17484653</v>
      </c>
      <c r="AE94" s="212">
        <v>7755773.7599999998</v>
      </c>
      <c r="AF94" s="212">
        <v>0</v>
      </c>
      <c r="AG94" s="212">
        <v>0</v>
      </c>
      <c r="AH94" s="341">
        <v>677235</v>
      </c>
      <c r="AI94" s="341"/>
      <c r="AJ94" s="341">
        <f t="shared" si="20"/>
        <v>1360452368.9100001</v>
      </c>
    </row>
    <row r="95" spans="1:36" x14ac:dyDescent="0.2">
      <c r="A95" s="833">
        <v>1242</v>
      </c>
      <c r="B95" s="3069" t="s">
        <v>2795</v>
      </c>
      <c r="C95" s="3069"/>
      <c r="D95" t="str">
        <f t="shared" si="19"/>
        <v>OK</v>
      </c>
      <c r="E95" s="341">
        <v>0</v>
      </c>
      <c r="F95" s="341">
        <v>0</v>
      </c>
      <c r="G95" s="341">
        <v>0</v>
      </c>
      <c r="H95" s="341">
        <v>0</v>
      </c>
      <c r="I95" s="341">
        <v>0</v>
      </c>
      <c r="J95" s="341">
        <v>0</v>
      </c>
      <c r="K95" s="341">
        <v>0</v>
      </c>
      <c r="L95" s="341"/>
      <c r="M95" s="341">
        <v>0</v>
      </c>
      <c r="N95" s="341">
        <v>0</v>
      </c>
      <c r="O95" s="212">
        <v>0</v>
      </c>
      <c r="P95" s="212">
        <v>0</v>
      </c>
      <c r="Q95" s="212">
        <v>13981484</v>
      </c>
      <c r="R95" s="212">
        <v>0</v>
      </c>
      <c r="S95" s="212">
        <v>0</v>
      </c>
      <c r="T95" s="212">
        <v>0</v>
      </c>
      <c r="U95" s="212">
        <v>0</v>
      </c>
      <c r="V95" s="212">
        <v>0</v>
      </c>
      <c r="W95" s="212">
        <v>0</v>
      </c>
      <c r="X95" s="212">
        <v>0</v>
      </c>
      <c r="Y95" s="212">
        <v>0</v>
      </c>
      <c r="Z95" s="212">
        <v>0</v>
      </c>
      <c r="AA95" s="212">
        <v>0</v>
      </c>
      <c r="AB95" s="212">
        <v>0</v>
      </c>
      <c r="AC95" s="212">
        <v>0</v>
      </c>
      <c r="AD95" s="212">
        <v>0</v>
      </c>
      <c r="AE95" s="212">
        <v>0</v>
      </c>
      <c r="AF95" s="212">
        <v>0</v>
      </c>
      <c r="AG95" s="212">
        <v>0</v>
      </c>
      <c r="AH95" s="341">
        <v>0</v>
      </c>
      <c r="AI95" s="341"/>
      <c r="AJ95" s="341">
        <f t="shared" si="20"/>
        <v>13981484</v>
      </c>
    </row>
    <row r="96" spans="1:36" x14ac:dyDescent="0.2">
      <c r="A96" s="833">
        <v>1238</v>
      </c>
      <c r="B96" s="3069" t="s">
        <v>2212</v>
      </c>
      <c r="C96" s="3069"/>
      <c r="D96" t="str">
        <f t="shared" si="19"/>
        <v>OK</v>
      </c>
      <c r="E96" s="341">
        <v>0</v>
      </c>
      <c r="F96" s="341">
        <v>0</v>
      </c>
      <c r="G96" s="341">
        <v>0</v>
      </c>
      <c r="H96" s="341">
        <v>0</v>
      </c>
      <c r="I96" s="341">
        <v>0</v>
      </c>
      <c r="J96" s="341">
        <v>0</v>
      </c>
      <c r="K96" s="341">
        <v>0</v>
      </c>
      <c r="L96" s="341"/>
      <c r="M96" s="341">
        <v>0</v>
      </c>
      <c r="N96" s="341">
        <v>0</v>
      </c>
      <c r="O96" s="212">
        <v>0</v>
      </c>
      <c r="P96" s="212">
        <v>0</v>
      </c>
      <c r="Q96" s="212">
        <v>0</v>
      </c>
      <c r="R96" s="212">
        <v>0</v>
      </c>
      <c r="S96" s="212">
        <v>0</v>
      </c>
      <c r="T96" s="212">
        <v>0</v>
      </c>
      <c r="U96" s="212">
        <v>0</v>
      </c>
      <c r="V96" s="212">
        <v>0</v>
      </c>
      <c r="W96" s="212">
        <v>0</v>
      </c>
      <c r="X96" s="212">
        <v>0</v>
      </c>
      <c r="Y96" s="212">
        <v>0</v>
      </c>
      <c r="Z96" s="212">
        <v>0</v>
      </c>
      <c r="AA96" s="212">
        <v>0</v>
      </c>
      <c r="AB96" s="212">
        <v>0</v>
      </c>
      <c r="AC96" s="212">
        <v>0</v>
      </c>
      <c r="AD96" s="212">
        <v>0</v>
      </c>
      <c r="AE96" s="212">
        <v>0</v>
      </c>
      <c r="AF96" s="212">
        <v>0</v>
      </c>
      <c r="AG96" s="212">
        <v>0</v>
      </c>
      <c r="AH96" s="341">
        <v>0</v>
      </c>
      <c r="AI96" s="341"/>
      <c r="AJ96" s="341">
        <f t="shared" si="20"/>
        <v>0</v>
      </c>
    </row>
    <row r="97" spans="1:36" x14ac:dyDescent="0.2">
      <c r="A97" s="833">
        <v>1239</v>
      </c>
      <c r="B97" s="3069" t="s">
        <v>1979</v>
      </c>
      <c r="C97" s="3069"/>
      <c r="D97" t="str">
        <f t="shared" si="19"/>
        <v>OK</v>
      </c>
      <c r="E97" s="343">
        <v>0</v>
      </c>
      <c r="F97" s="343">
        <v>0</v>
      </c>
      <c r="G97" s="343">
        <v>0</v>
      </c>
      <c r="H97" s="343">
        <v>0</v>
      </c>
      <c r="I97" s="343">
        <v>0</v>
      </c>
      <c r="J97" s="343">
        <v>0</v>
      </c>
      <c r="K97" s="343">
        <v>0</v>
      </c>
      <c r="L97" s="343"/>
      <c r="M97" s="343">
        <v>0</v>
      </c>
      <c r="N97" s="343">
        <v>0</v>
      </c>
      <c r="O97" s="212">
        <v>0</v>
      </c>
      <c r="P97" s="212">
        <v>0</v>
      </c>
      <c r="Q97" s="212">
        <v>0</v>
      </c>
      <c r="R97" s="212">
        <v>0</v>
      </c>
      <c r="S97" s="212">
        <v>0</v>
      </c>
      <c r="T97" s="212">
        <v>0</v>
      </c>
      <c r="U97" s="212">
        <v>0</v>
      </c>
      <c r="V97" s="212">
        <v>0</v>
      </c>
      <c r="W97" s="212">
        <v>0</v>
      </c>
      <c r="X97" s="212">
        <v>0</v>
      </c>
      <c r="Y97" s="212">
        <v>0</v>
      </c>
      <c r="Z97" s="212">
        <v>0</v>
      </c>
      <c r="AA97" s="212">
        <v>0</v>
      </c>
      <c r="AB97" s="212">
        <v>0</v>
      </c>
      <c r="AC97" s="212">
        <v>0</v>
      </c>
      <c r="AD97" s="212">
        <v>0</v>
      </c>
      <c r="AE97" s="212">
        <v>0</v>
      </c>
      <c r="AF97" s="212">
        <v>0</v>
      </c>
      <c r="AG97" s="212">
        <v>0</v>
      </c>
      <c r="AH97" s="343">
        <v>0</v>
      </c>
      <c r="AI97" s="341"/>
      <c r="AJ97" s="341">
        <f t="shared" si="20"/>
        <v>0</v>
      </c>
    </row>
    <row r="98" spans="1:36" x14ac:dyDescent="0.2">
      <c r="B98" s="3069" t="s">
        <v>5444</v>
      </c>
      <c r="C98" s="3069"/>
      <c r="D98" t="str">
        <f t="shared" si="19"/>
        <v>OK</v>
      </c>
      <c r="E98" s="350">
        <f>SUM(E91:E97)</f>
        <v>742572309.25</v>
      </c>
      <c r="F98" s="1920">
        <f t="shared" ref="F98:AH98" si="21">SUM(F91:F97)</f>
        <v>540131877</v>
      </c>
      <c r="G98" s="350">
        <f t="shared" si="21"/>
        <v>140760788.41999999</v>
      </c>
      <c r="H98" s="350">
        <f t="shared" si="21"/>
        <v>0</v>
      </c>
      <c r="I98" s="350">
        <f t="shared" si="21"/>
        <v>61679643.829999998</v>
      </c>
      <c r="J98" s="350">
        <f t="shared" si="21"/>
        <v>0</v>
      </c>
      <c r="K98" s="350">
        <f t="shared" si="21"/>
        <v>0</v>
      </c>
      <c r="L98" s="350">
        <f t="shared" si="21"/>
        <v>0</v>
      </c>
      <c r="M98" s="350">
        <f>SUM(M91:M97)</f>
        <v>0</v>
      </c>
      <c r="N98" s="350">
        <f t="shared" si="21"/>
        <v>0</v>
      </c>
      <c r="O98" s="379">
        <f t="shared" si="21"/>
        <v>27689521</v>
      </c>
      <c r="P98" s="350">
        <f t="shared" si="21"/>
        <v>740741087.51999998</v>
      </c>
      <c r="Q98" s="350">
        <f t="shared" si="21"/>
        <v>383300661</v>
      </c>
      <c r="R98" s="350">
        <f t="shared" si="21"/>
        <v>109419913.73</v>
      </c>
      <c r="S98" s="350">
        <f t="shared" si="21"/>
        <v>156952373.05000001</v>
      </c>
      <c r="T98" s="350">
        <f t="shared" si="21"/>
        <v>19516916.16</v>
      </c>
      <c r="U98" s="350">
        <f t="shared" si="21"/>
        <v>103235476.09</v>
      </c>
      <c r="V98" s="350">
        <f t="shared" si="21"/>
        <v>218259786.75999999</v>
      </c>
      <c r="W98" s="350">
        <f t="shared" si="21"/>
        <v>72364672.379999995</v>
      </c>
      <c r="X98" s="350">
        <f t="shared" si="21"/>
        <v>64988850.469999999</v>
      </c>
      <c r="Y98" s="350">
        <f t="shared" si="21"/>
        <v>118409960.92</v>
      </c>
      <c r="Z98" s="350">
        <f t="shared" si="21"/>
        <v>34532332.68</v>
      </c>
      <c r="AA98" s="350">
        <f t="shared" si="21"/>
        <v>28162453.789999999</v>
      </c>
      <c r="AB98" s="350">
        <f t="shared" si="21"/>
        <v>17347931.379999999</v>
      </c>
      <c r="AC98" s="350">
        <f t="shared" si="21"/>
        <v>32790211.579999998</v>
      </c>
      <c r="AD98" s="350">
        <f t="shared" si="21"/>
        <v>49146942</v>
      </c>
      <c r="AE98" s="350">
        <f t="shared" si="21"/>
        <v>16952401.75</v>
      </c>
      <c r="AF98" s="350">
        <f t="shared" si="21"/>
        <v>0</v>
      </c>
      <c r="AG98" s="350">
        <f t="shared" ref="AG98" si="22">SUM(AG91:AG97)</f>
        <v>0</v>
      </c>
      <c r="AH98" s="350">
        <f t="shared" si="21"/>
        <v>1089585</v>
      </c>
      <c r="AI98" s="341"/>
      <c r="AJ98" s="341">
        <f t="shared" si="20"/>
        <v>2936383801.5100002</v>
      </c>
    </row>
    <row r="99" spans="1:36" x14ac:dyDescent="0.2">
      <c r="B99" s="2380"/>
      <c r="C99" s="2380"/>
      <c r="E99" s="341"/>
      <c r="F99" s="341"/>
      <c r="G99" s="341"/>
      <c r="H99" s="341"/>
      <c r="I99" s="341"/>
      <c r="J99" s="341"/>
      <c r="K99" s="341"/>
      <c r="L99" s="341"/>
      <c r="M99" s="341"/>
      <c r="N99" s="341"/>
      <c r="O99" s="212"/>
      <c r="P99" s="341"/>
      <c r="Q99" s="341"/>
      <c r="R99" s="341"/>
      <c r="S99" s="341"/>
      <c r="T99" s="341"/>
      <c r="U99" s="341"/>
      <c r="V99" s="341"/>
      <c r="W99" s="341"/>
      <c r="X99" s="341"/>
      <c r="Y99" s="341"/>
      <c r="Z99" s="341"/>
      <c r="AA99" s="341"/>
      <c r="AB99" s="341"/>
      <c r="AC99" s="341"/>
      <c r="AD99" s="341"/>
      <c r="AE99" s="341"/>
      <c r="AF99" s="341"/>
      <c r="AG99" s="341"/>
      <c r="AH99" s="341"/>
    </row>
    <row r="100" spans="1:36" x14ac:dyDescent="0.2">
      <c r="B100" s="2442" t="s">
        <v>4863</v>
      </c>
      <c r="C100" s="2442"/>
      <c r="E100" s="341"/>
      <c r="F100" s="341"/>
      <c r="G100" s="341"/>
      <c r="H100" s="341"/>
      <c r="I100" s="341"/>
      <c r="J100" s="341"/>
      <c r="K100" s="341"/>
      <c r="L100" s="341"/>
      <c r="M100" s="341"/>
      <c r="N100" s="341"/>
      <c r="O100" s="212"/>
      <c r="P100" s="341"/>
      <c r="Q100" s="341"/>
      <c r="R100" s="341"/>
      <c r="S100" s="341"/>
      <c r="T100" s="341"/>
      <c r="U100" s="341"/>
      <c r="V100" s="341"/>
      <c r="W100" s="341"/>
      <c r="X100" s="341"/>
      <c r="Y100" s="341"/>
      <c r="Z100" s="341"/>
      <c r="AA100" s="341"/>
      <c r="AB100" s="341"/>
      <c r="AC100" s="341"/>
      <c r="AD100" s="341"/>
      <c r="AE100" s="341"/>
      <c r="AF100" s="341"/>
      <c r="AG100" s="341"/>
      <c r="AH100" s="341"/>
    </row>
    <row r="101" spans="1:36" x14ac:dyDescent="0.2">
      <c r="B101" s="218" t="s">
        <v>1985</v>
      </c>
      <c r="C101" s="218"/>
      <c r="E101" s="341"/>
      <c r="F101" s="341"/>
      <c r="G101" s="341"/>
      <c r="H101" s="341"/>
      <c r="I101" s="341"/>
      <c r="J101" s="341"/>
      <c r="K101" s="341"/>
      <c r="L101" s="341"/>
      <c r="M101" s="341"/>
      <c r="N101" s="341"/>
      <c r="O101" s="212"/>
      <c r="P101" s="341"/>
      <c r="Q101" s="341"/>
      <c r="R101" s="341"/>
      <c r="S101" s="341"/>
      <c r="T101" s="341"/>
      <c r="U101" s="341"/>
      <c r="V101" s="341"/>
      <c r="W101" s="341"/>
      <c r="X101" s="341"/>
      <c r="Y101" s="341"/>
      <c r="Z101" s="341"/>
      <c r="AA101" s="341"/>
      <c r="AB101" s="341"/>
      <c r="AC101" s="341"/>
      <c r="AD101" s="341"/>
      <c r="AE101" s="341"/>
      <c r="AF101" s="341"/>
      <c r="AG101" s="341"/>
      <c r="AH101" s="341"/>
    </row>
    <row r="102" spans="1:36" x14ac:dyDescent="0.2">
      <c r="B102" s="170" t="s">
        <v>2797</v>
      </c>
      <c r="C102" s="170"/>
      <c r="E102" s="341"/>
      <c r="F102" s="341"/>
      <c r="G102" s="341"/>
      <c r="H102" s="341"/>
      <c r="I102" s="341"/>
      <c r="J102" s="341"/>
      <c r="K102" s="341"/>
      <c r="L102" s="341"/>
      <c r="M102" s="341"/>
      <c r="N102" s="341"/>
      <c r="O102" s="212"/>
      <c r="P102" s="341"/>
      <c r="Q102" s="341"/>
      <c r="R102" s="341"/>
      <c r="S102" s="341"/>
      <c r="T102" s="341"/>
      <c r="U102" s="341"/>
      <c r="V102" s="341"/>
      <c r="W102" s="341"/>
      <c r="X102" s="341"/>
      <c r="Y102" s="341"/>
      <c r="Z102" s="341"/>
      <c r="AA102" s="341"/>
      <c r="AB102" s="341"/>
      <c r="AC102" s="341"/>
      <c r="AD102" s="341"/>
      <c r="AE102" s="341"/>
      <c r="AF102" s="341"/>
      <c r="AG102" s="341"/>
      <c r="AH102" s="341"/>
    </row>
    <row r="103" spans="1:36" x14ac:dyDescent="0.2">
      <c r="A103" s="170">
        <v>1640</v>
      </c>
      <c r="B103" s="3116" t="s">
        <v>2835</v>
      </c>
      <c r="C103" s="3116"/>
      <c r="D103" s="1220" t="str">
        <f>IF(ROUND(SUM(F103:N103),2)-ROUND(E103,2)=0,"OK","prob")</f>
        <v>prob</v>
      </c>
      <c r="E103" s="2116">
        <v>323957176.70999998</v>
      </c>
      <c r="F103" s="341">
        <v>171374025.91</v>
      </c>
      <c r="G103" s="341">
        <v>627041808.39999998</v>
      </c>
      <c r="H103" s="341">
        <v>2109771</v>
      </c>
      <c r="I103" s="341">
        <v>72137627.200000003</v>
      </c>
      <c r="J103" s="341">
        <v>13037625.529999999</v>
      </c>
      <c r="K103" s="341">
        <v>8929848.25</v>
      </c>
      <c r="L103" s="341"/>
      <c r="M103" s="341">
        <v>4470370.78</v>
      </c>
      <c r="N103" s="341">
        <v>2982568.87</v>
      </c>
      <c r="O103" s="212">
        <v>3052946.37</v>
      </c>
      <c r="P103" s="212">
        <v>116710608.58</v>
      </c>
      <c r="Q103" s="212">
        <v>50703682.090000004</v>
      </c>
      <c r="R103" s="212">
        <v>9427719.6799999997</v>
      </c>
      <c r="S103" s="212">
        <v>15281566.75</v>
      </c>
      <c r="T103" s="212">
        <v>1825260.08</v>
      </c>
      <c r="U103" s="212">
        <v>3489685.25</v>
      </c>
      <c r="V103" s="212">
        <v>7771071.8799999999</v>
      </c>
      <c r="W103" s="212">
        <v>4229805.9000000004</v>
      </c>
      <c r="X103" s="212">
        <v>3201883.41</v>
      </c>
      <c r="Y103" s="212">
        <v>12027085.859999999</v>
      </c>
      <c r="Z103" s="212">
        <v>1729751.54</v>
      </c>
      <c r="AA103" s="212">
        <v>2278616.5099999998</v>
      </c>
      <c r="AB103" s="212">
        <v>2849340.26</v>
      </c>
      <c r="AC103" s="212">
        <v>6274155.6699999999</v>
      </c>
      <c r="AD103" s="212">
        <v>2295743.44</v>
      </c>
      <c r="AE103" s="212">
        <v>1806646.32</v>
      </c>
      <c r="AF103" s="212">
        <v>307385.06</v>
      </c>
      <c r="AG103" s="212">
        <v>2127831.88</v>
      </c>
      <c r="AH103" s="341">
        <v>141419.9</v>
      </c>
      <c r="AJ103" s="341">
        <f t="shared" ref="AJ103:AJ139" si="23">SUM(F103:AF103)</f>
        <v>1147346600.5899999</v>
      </c>
    </row>
    <row r="104" spans="1:36" x14ac:dyDescent="0.2">
      <c r="A104" s="170">
        <v>1650</v>
      </c>
      <c r="B104" s="3116" t="s">
        <v>2799</v>
      </c>
      <c r="C104" s="3116"/>
      <c r="D104" t="str">
        <f>IF(SUM(F104:N104)=E104,"OK","prob")</f>
        <v>OK</v>
      </c>
      <c r="E104" s="341">
        <v>207970086.90000001</v>
      </c>
      <c r="F104" s="341">
        <v>56523549</v>
      </c>
      <c r="G104" s="341">
        <v>69486969.010000005</v>
      </c>
      <c r="H104" s="341">
        <v>0</v>
      </c>
      <c r="I104" s="341">
        <v>46281257.049999997</v>
      </c>
      <c r="J104" s="341">
        <v>811299.47</v>
      </c>
      <c r="K104" s="341">
        <v>27124514.68</v>
      </c>
      <c r="L104" s="341"/>
      <c r="M104" s="341">
        <v>784283.61</v>
      </c>
      <c r="N104" s="341">
        <v>6958214.0800000001</v>
      </c>
      <c r="O104" s="212">
        <v>680977.89</v>
      </c>
      <c r="P104" s="212">
        <v>82510021.540000007</v>
      </c>
      <c r="Q104" s="212">
        <v>9524447.8100000005</v>
      </c>
      <c r="R104" s="212">
        <v>6463015.8200000003</v>
      </c>
      <c r="S104" s="212">
        <v>806726.81</v>
      </c>
      <c r="T104" s="212">
        <v>520859.76</v>
      </c>
      <c r="U104" s="212">
        <v>800136.47</v>
      </c>
      <c r="V104" s="212">
        <v>17484597.43</v>
      </c>
      <c r="W104" s="212">
        <v>1370413.77</v>
      </c>
      <c r="X104" s="212">
        <v>1173935.93</v>
      </c>
      <c r="Y104" s="212">
        <v>5109394.8</v>
      </c>
      <c r="Z104" s="212">
        <v>229498.63</v>
      </c>
      <c r="AA104" s="212">
        <v>13151.78</v>
      </c>
      <c r="AB104" s="212">
        <v>955769.4</v>
      </c>
      <c r="AC104" s="212">
        <v>1173466.8899999999</v>
      </c>
      <c r="AD104" s="212">
        <v>2710559.52</v>
      </c>
      <c r="AE104" s="212">
        <v>74961.55</v>
      </c>
      <c r="AF104" s="212">
        <v>0</v>
      </c>
      <c r="AG104" s="212">
        <v>60218.2</v>
      </c>
      <c r="AH104" s="341">
        <v>22405.21</v>
      </c>
      <c r="AJ104" s="341">
        <f t="shared" si="23"/>
        <v>339572022.69999999</v>
      </c>
    </row>
    <row r="105" spans="1:36" x14ac:dyDescent="0.2">
      <c r="A105" s="170">
        <v>1660</v>
      </c>
      <c r="B105" s="3116" t="s">
        <v>2800</v>
      </c>
      <c r="C105" s="3116"/>
      <c r="D105" t="str">
        <f>IF(SUM(F105:N105)=E105,"OK","prob")</f>
        <v>OK</v>
      </c>
      <c r="E105" s="2116">
        <v>147331112.86000001</v>
      </c>
      <c r="F105" s="2116">
        <v>143724993</v>
      </c>
      <c r="G105" s="341">
        <v>0</v>
      </c>
      <c r="H105" s="341">
        <v>0</v>
      </c>
      <c r="I105" s="341">
        <v>0</v>
      </c>
      <c r="J105" s="2116">
        <v>1162885.92</v>
      </c>
      <c r="K105" s="341">
        <v>2188235.69</v>
      </c>
      <c r="L105" s="341"/>
      <c r="M105" s="341">
        <v>0</v>
      </c>
      <c r="N105" s="341">
        <v>254998.25</v>
      </c>
      <c r="O105" s="212">
        <v>0</v>
      </c>
      <c r="P105" s="212">
        <v>24420668.039999999</v>
      </c>
      <c r="Q105" s="1807">
        <v>0</v>
      </c>
      <c r="R105" s="212">
        <v>0</v>
      </c>
      <c r="S105" s="212">
        <v>299364.63</v>
      </c>
      <c r="T105" s="212">
        <v>80661.679999999993</v>
      </c>
      <c r="U105" s="212">
        <v>0</v>
      </c>
      <c r="V105" s="212">
        <v>0</v>
      </c>
      <c r="W105" s="212">
        <v>37842.06</v>
      </c>
      <c r="X105" s="212">
        <v>44625</v>
      </c>
      <c r="Y105" s="212">
        <v>258307.57</v>
      </c>
      <c r="Z105" s="212">
        <v>0</v>
      </c>
      <c r="AA105" s="212">
        <v>0</v>
      </c>
      <c r="AB105" s="212">
        <v>0</v>
      </c>
      <c r="AC105" s="212">
        <v>0</v>
      </c>
      <c r="AD105" s="212">
        <v>446367.63</v>
      </c>
      <c r="AE105" s="212">
        <v>0</v>
      </c>
      <c r="AF105" s="212">
        <v>0</v>
      </c>
      <c r="AG105" s="212">
        <v>0</v>
      </c>
      <c r="AH105" s="341">
        <v>0</v>
      </c>
      <c r="AJ105" s="341">
        <f t="shared" si="23"/>
        <v>172918949.47</v>
      </c>
    </row>
    <row r="106" spans="1:36" x14ac:dyDescent="0.2">
      <c r="A106" s="170">
        <v>1670</v>
      </c>
      <c r="B106" s="3116" t="s">
        <v>2801</v>
      </c>
      <c r="C106" s="3116"/>
      <c r="D106" t="str">
        <f>IF(SUM(F106:N106)-E106=0,"OK","prob")</f>
        <v>OK</v>
      </c>
      <c r="E106" s="341">
        <v>2059701.15</v>
      </c>
      <c r="F106" s="341">
        <v>0</v>
      </c>
      <c r="G106" s="341">
        <v>0</v>
      </c>
      <c r="H106" s="341">
        <v>0</v>
      </c>
      <c r="I106" s="341">
        <v>0</v>
      </c>
      <c r="J106" s="341">
        <v>0</v>
      </c>
      <c r="K106" s="341">
        <v>0</v>
      </c>
      <c r="L106" s="341"/>
      <c r="M106" s="341">
        <v>1718057.97</v>
      </c>
      <c r="N106" s="341">
        <v>341643.18</v>
      </c>
      <c r="O106" s="212">
        <v>0</v>
      </c>
      <c r="P106" s="212">
        <v>0</v>
      </c>
      <c r="Q106" s="1807">
        <v>0</v>
      </c>
      <c r="R106" s="212">
        <v>0</v>
      </c>
      <c r="S106" s="212">
        <v>0</v>
      </c>
      <c r="T106" s="212">
        <v>0</v>
      </c>
      <c r="U106" s="212">
        <v>0</v>
      </c>
      <c r="V106" s="212">
        <v>0</v>
      </c>
      <c r="W106" s="212">
        <v>0</v>
      </c>
      <c r="X106" s="212">
        <v>0</v>
      </c>
      <c r="Y106" s="212">
        <v>0</v>
      </c>
      <c r="Z106" s="212">
        <v>0</v>
      </c>
      <c r="AA106" s="212">
        <v>0</v>
      </c>
      <c r="AB106" s="212">
        <v>0</v>
      </c>
      <c r="AC106" s="212">
        <v>0</v>
      </c>
      <c r="AD106" s="212">
        <v>0</v>
      </c>
      <c r="AE106" s="212">
        <v>0</v>
      </c>
      <c r="AF106" s="212">
        <v>0</v>
      </c>
      <c r="AG106" s="212">
        <v>0</v>
      </c>
      <c r="AH106" s="341">
        <v>0</v>
      </c>
      <c r="AJ106" s="341">
        <f t="shared" si="23"/>
        <v>2059701.15</v>
      </c>
    </row>
    <row r="107" spans="1:36" x14ac:dyDescent="0.2">
      <c r="A107" s="170">
        <v>1840</v>
      </c>
      <c r="B107" s="2890" t="s">
        <v>2802</v>
      </c>
      <c r="C107" s="2890"/>
      <c r="D107" t="str">
        <f>IF(SUM(F107:N107)=E107,"OK","prob")</f>
        <v>OK</v>
      </c>
      <c r="E107" s="341">
        <v>11431051.539999999</v>
      </c>
      <c r="F107" s="341">
        <v>5344579</v>
      </c>
      <c r="G107" s="341">
        <v>0</v>
      </c>
      <c r="H107" s="341">
        <v>0</v>
      </c>
      <c r="I107" s="341">
        <v>5788952.5599999996</v>
      </c>
      <c r="J107" s="341">
        <v>11095</v>
      </c>
      <c r="K107" s="341">
        <v>252145.53</v>
      </c>
      <c r="L107" s="341"/>
      <c r="M107" s="341">
        <v>0.01</v>
      </c>
      <c r="N107" s="341">
        <v>34279.440000000002</v>
      </c>
      <c r="O107" s="212">
        <v>180249.75</v>
      </c>
      <c r="P107" s="212">
        <v>3451487.83</v>
      </c>
      <c r="Q107" s="212">
        <v>4923734.5199999996</v>
      </c>
      <c r="R107" s="212">
        <v>2868424.19</v>
      </c>
      <c r="S107" s="212">
        <v>4660353.38</v>
      </c>
      <c r="T107" s="212">
        <v>658358.17000000004</v>
      </c>
      <c r="U107" s="212">
        <v>1230477.23</v>
      </c>
      <c r="V107" s="212">
        <v>3191413.79</v>
      </c>
      <c r="W107" s="212">
        <v>967395.32</v>
      </c>
      <c r="X107" s="212">
        <v>1989071.27</v>
      </c>
      <c r="Y107" s="212">
        <v>2419896.77</v>
      </c>
      <c r="Z107" s="212">
        <v>355238.07</v>
      </c>
      <c r="AA107" s="212">
        <v>910099.08</v>
      </c>
      <c r="AB107" s="212">
        <v>224487</v>
      </c>
      <c r="AC107" s="212">
        <v>504743.18</v>
      </c>
      <c r="AD107" s="212">
        <v>1023153.05</v>
      </c>
      <c r="AE107" s="212">
        <v>706486.98</v>
      </c>
      <c r="AF107" s="212">
        <v>0</v>
      </c>
      <c r="AG107" s="212">
        <v>0</v>
      </c>
      <c r="AH107" s="341">
        <v>0</v>
      </c>
      <c r="AJ107" s="341">
        <f t="shared" si="23"/>
        <v>41696121.119999997</v>
      </c>
    </row>
    <row r="108" spans="1:36" x14ac:dyDescent="0.2">
      <c r="A108" s="170"/>
      <c r="B108" s="170" t="s">
        <v>2803</v>
      </c>
      <c r="C108" s="170"/>
      <c r="E108" s="341"/>
      <c r="F108" s="341"/>
      <c r="G108" s="341"/>
      <c r="H108" s="341"/>
      <c r="I108" s="341"/>
      <c r="J108" s="341"/>
      <c r="K108" s="341"/>
      <c r="L108" s="341"/>
      <c r="M108" s="341"/>
      <c r="N108" s="341"/>
      <c r="O108" s="212"/>
      <c r="P108" s="760"/>
      <c r="Q108" s="760"/>
      <c r="R108" s="341"/>
      <c r="S108" s="341"/>
      <c r="T108" s="341"/>
      <c r="U108" s="341"/>
      <c r="V108" s="341"/>
      <c r="W108" s="341"/>
      <c r="X108" s="341"/>
      <c r="Y108" s="341"/>
      <c r="Z108" s="212"/>
      <c r="AA108" s="341"/>
      <c r="AB108" s="341"/>
      <c r="AC108" s="341"/>
      <c r="AD108" s="341"/>
      <c r="AE108" s="341"/>
      <c r="AF108" s="341"/>
      <c r="AG108" s="341"/>
      <c r="AH108" s="341"/>
      <c r="AJ108" s="341">
        <f t="shared" si="23"/>
        <v>0</v>
      </c>
    </row>
    <row r="109" spans="1:36" x14ac:dyDescent="0.2">
      <c r="A109" s="638">
        <v>1788</v>
      </c>
      <c r="B109" s="3116" t="s">
        <v>3505</v>
      </c>
      <c r="C109" s="3116"/>
      <c r="D109" t="str">
        <f>IF(SUM(F109:N109)-E109=0,"OK","prob")</f>
        <v>OK</v>
      </c>
      <c r="E109" s="1093">
        <v>0</v>
      </c>
      <c r="F109" s="1093">
        <v>0</v>
      </c>
      <c r="G109" s="1093">
        <v>0</v>
      </c>
      <c r="H109" s="1093">
        <v>0</v>
      </c>
      <c r="I109" s="1093">
        <v>0</v>
      </c>
      <c r="J109" s="1093">
        <v>0</v>
      </c>
      <c r="K109" s="1093">
        <v>0</v>
      </c>
      <c r="L109" s="1093"/>
      <c r="M109" s="1093">
        <v>0</v>
      </c>
      <c r="N109" s="1093">
        <v>0</v>
      </c>
      <c r="O109" s="1212">
        <v>0</v>
      </c>
      <c r="P109" s="1212">
        <v>0</v>
      </c>
      <c r="Q109" s="1212">
        <v>0</v>
      </c>
      <c r="R109" s="1212">
        <v>0</v>
      </c>
      <c r="S109" s="1212">
        <v>0</v>
      </c>
      <c r="T109" s="1212">
        <v>0</v>
      </c>
      <c r="U109" s="1212">
        <v>0</v>
      </c>
      <c r="V109" s="1212">
        <v>0</v>
      </c>
      <c r="W109" s="1212">
        <v>0</v>
      </c>
      <c r="X109" s="1212">
        <v>0</v>
      </c>
      <c r="Y109" s="1212">
        <v>0</v>
      </c>
      <c r="Z109" s="1212">
        <v>0</v>
      </c>
      <c r="AA109" s="1212">
        <v>0</v>
      </c>
      <c r="AB109" s="1212">
        <v>0</v>
      </c>
      <c r="AC109" s="1212">
        <v>0</v>
      </c>
      <c r="AD109" s="1212">
        <v>0</v>
      </c>
      <c r="AE109" s="1212">
        <v>0</v>
      </c>
      <c r="AF109" s="1212">
        <v>0</v>
      </c>
      <c r="AG109" s="1212">
        <v>0</v>
      </c>
      <c r="AH109" s="1093">
        <v>0</v>
      </c>
      <c r="AJ109" s="341">
        <f t="shared" si="23"/>
        <v>0</v>
      </c>
    </row>
    <row r="110" spans="1:36" x14ac:dyDescent="0.2">
      <c r="A110" s="638">
        <v>1789</v>
      </c>
      <c r="B110" s="3116" t="s">
        <v>3506</v>
      </c>
      <c r="C110" s="3116"/>
      <c r="D110" t="str">
        <f>IF(SUM(F110:N110)-E110=0,"OK","prob")</f>
        <v>OK</v>
      </c>
      <c r="E110" s="1093">
        <v>0</v>
      </c>
      <c r="F110" s="1093">
        <v>0</v>
      </c>
      <c r="G110" s="1093">
        <v>0</v>
      </c>
      <c r="H110" s="1093">
        <v>0</v>
      </c>
      <c r="I110" s="1093">
        <v>0</v>
      </c>
      <c r="J110" s="1093">
        <v>0</v>
      </c>
      <c r="K110" s="1093">
        <v>0</v>
      </c>
      <c r="L110" s="1093"/>
      <c r="M110" s="1093">
        <v>0</v>
      </c>
      <c r="N110" s="1093">
        <v>0</v>
      </c>
      <c r="O110" s="1212">
        <v>0</v>
      </c>
      <c r="P110" s="1212">
        <v>19000000</v>
      </c>
      <c r="Q110" s="1212">
        <v>0</v>
      </c>
      <c r="R110" s="1212">
        <v>0</v>
      </c>
      <c r="S110" s="1212">
        <v>0</v>
      </c>
      <c r="T110" s="1212">
        <v>0</v>
      </c>
      <c r="U110" s="1212">
        <v>0</v>
      </c>
      <c r="V110" s="1212">
        <v>0</v>
      </c>
      <c r="W110" s="1212">
        <v>0</v>
      </c>
      <c r="X110" s="1212">
        <v>0</v>
      </c>
      <c r="Y110" s="1212">
        <v>0</v>
      </c>
      <c r="Z110" s="1212">
        <v>0</v>
      </c>
      <c r="AA110" s="1212">
        <v>0</v>
      </c>
      <c r="AB110" s="1212">
        <v>0</v>
      </c>
      <c r="AC110" s="1212">
        <v>0</v>
      </c>
      <c r="AD110" s="1212">
        <v>0</v>
      </c>
      <c r="AE110" s="1212">
        <v>0</v>
      </c>
      <c r="AF110" s="1212">
        <v>0</v>
      </c>
      <c r="AG110" s="1212">
        <v>0</v>
      </c>
      <c r="AH110" s="1093">
        <v>0</v>
      </c>
      <c r="AJ110" s="341">
        <f t="shared" si="23"/>
        <v>19000000</v>
      </c>
    </row>
    <row r="111" spans="1:36" x14ac:dyDescent="0.2">
      <c r="A111" s="638">
        <v>1790</v>
      </c>
      <c r="B111" s="3116" t="s">
        <v>1044</v>
      </c>
      <c r="C111" s="3116"/>
      <c r="D111" t="str">
        <f>IF(SUM(F111:N111)-E111=0,"OK","prob")</f>
        <v>OK</v>
      </c>
      <c r="E111" s="1093">
        <v>0</v>
      </c>
      <c r="F111" s="1093">
        <v>0</v>
      </c>
      <c r="G111" s="1093">
        <v>0</v>
      </c>
      <c r="H111" s="1093">
        <v>0</v>
      </c>
      <c r="I111" s="1093">
        <v>0</v>
      </c>
      <c r="J111" s="1093">
        <v>0</v>
      </c>
      <c r="K111" s="1093">
        <v>0</v>
      </c>
      <c r="L111" s="1093"/>
      <c r="M111" s="1093">
        <v>0</v>
      </c>
      <c r="N111" s="1093">
        <v>0</v>
      </c>
      <c r="O111" s="1212">
        <v>0</v>
      </c>
      <c r="P111" s="1212">
        <v>0</v>
      </c>
      <c r="Q111" s="1212">
        <v>0</v>
      </c>
      <c r="R111" s="1212">
        <v>0</v>
      </c>
      <c r="S111" s="1212">
        <v>0</v>
      </c>
      <c r="T111" s="1212">
        <v>0</v>
      </c>
      <c r="U111" s="1212">
        <v>0</v>
      </c>
      <c r="V111" s="1212">
        <v>0</v>
      </c>
      <c r="W111" s="1212">
        <v>0</v>
      </c>
      <c r="X111" s="1212">
        <v>0</v>
      </c>
      <c r="Y111" s="1212">
        <v>0</v>
      </c>
      <c r="Z111" s="1212">
        <v>0</v>
      </c>
      <c r="AA111" s="1212">
        <v>0</v>
      </c>
      <c r="AB111" s="1212">
        <v>0</v>
      </c>
      <c r="AC111" s="1212">
        <v>0</v>
      </c>
      <c r="AD111" s="1212">
        <v>0</v>
      </c>
      <c r="AE111" s="1212">
        <v>0</v>
      </c>
      <c r="AF111" s="1212">
        <v>0</v>
      </c>
      <c r="AG111" s="1212">
        <v>0</v>
      </c>
      <c r="AH111" s="1093">
        <v>0</v>
      </c>
      <c r="AJ111" s="341">
        <f t="shared" si="23"/>
        <v>0</v>
      </c>
    </row>
    <row r="112" spans="1:36" x14ac:dyDescent="0.2">
      <c r="A112" s="638">
        <v>1791</v>
      </c>
      <c r="B112" s="3116" t="s">
        <v>1036</v>
      </c>
      <c r="C112" s="3116"/>
      <c r="D112" t="str">
        <f>IF(SUM(F112:N112)-E112=0,"OK","prob")</f>
        <v>OK</v>
      </c>
      <c r="E112" s="1093">
        <v>0</v>
      </c>
      <c r="F112" s="1093">
        <v>0</v>
      </c>
      <c r="G112" s="1093">
        <v>0</v>
      </c>
      <c r="H112" s="1093">
        <v>0</v>
      </c>
      <c r="I112" s="1093">
        <v>0</v>
      </c>
      <c r="J112" s="1093">
        <v>0</v>
      </c>
      <c r="K112" s="1093">
        <v>0</v>
      </c>
      <c r="L112" s="1093"/>
      <c r="M112" s="1093">
        <v>0</v>
      </c>
      <c r="N112" s="1093">
        <v>0</v>
      </c>
      <c r="O112" s="1212">
        <v>0</v>
      </c>
      <c r="P112" s="1212">
        <v>0</v>
      </c>
      <c r="Q112" s="1212">
        <v>0</v>
      </c>
      <c r="R112" s="1212">
        <v>0</v>
      </c>
      <c r="S112" s="1212">
        <v>0</v>
      </c>
      <c r="T112" s="1212">
        <v>0</v>
      </c>
      <c r="U112" s="1212">
        <v>0</v>
      </c>
      <c r="V112" s="1212">
        <v>0</v>
      </c>
      <c r="W112" s="1212">
        <v>0</v>
      </c>
      <c r="X112" s="1212">
        <v>0</v>
      </c>
      <c r="Y112" s="1212">
        <v>0</v>
      </c>
      <c r="Z112" s="1212">
        <v>0</v>
      </c>
      <c r="AA112" s="1212">
        <v>0</v>
      </c>
      <c r="AB112" s="1212">
        <v>0</v>
      </c>
      <c r="AC112" s="1212">
        <v>0</v>
      </c>
      <c r="AD112" s="1212">
        <v>0</v>
      </c>
      <c r="AE112" s="1212">
        <v>0</v>
      </c>
      <c r="AF112" s="1212">
        <v>0</v>
      </c>
      <c r="AG112" s="1212">
        <v>0</v>
      </c>
      <c r="AH112" s="1093">
        <v>0</v>
      </c>
      <c r="AJ112" s="341">
        <f t="shared" si="23"/>
        <v>0</v>
      </c>
    </row>
    <row r="113" spans="1:36" x14ac:dyDescent="0.2">
      <c r="A113" s="638">
        <v>1787</v>
      </c>
      <c r="B113" s="3116" t="s">
        <v>3507</v>
      </c>
      <c r="C113" s="3116"/>
      <c r="D113" t="str">
        <f>IF(SUM(F113:N113)-E113=0,"OK","prob")</f>
        <v>OK</v>
      </c>
      <c r="E113" s="1093">
        <v>0</v>
      </c>
      <c r="F113" s="1093">
        <v>0</v>
      </c>
      <c r="G113" s="1093">
        <v>0</v>
      </c>
      <c r="H113" s="1093">
        <v>0</v>
      </c>
      <c r="I113" s="1093">
        <v>0</v>
      </c>
      <c r="J113" s="1093">
        <v>0</v>
      </c>
      <c r="K113" s="1093">
        <v>0</v>
      </c>
      <c r="L113" s="1093"/>
      <c r="M113" s="1093">
        <v>0</v>
      </c>
      <c r="N113" s="1093">
        <v>0</v>
      </c>
      <c r="O113" s="1212">
        <v>0</v>
      </c>
      <c r="P113" s="1212">
        <v>0</v>
      </c>
      <c r="Q113" s="1212">
        <v>0</v>
      </c>
      <c r="R113" s="1212">
        <v>0</v>
      </c>
      <c r="S113" s="1212">
        <v>0</v>
      </c>
      <c r="T113" s="1212">
        <v>0</v>
      </c>
      <c r="U113" s="1212">
        <v>0</v>
      </c>
      <c r="V113" s="1212">
        <v>0</v>
      </c>
      <c r="W113" s="1212">
        <v>0</v>
      </c>
      <c r="X113" s="1212">
        <v>0</v>
      </c>
      <c r="Y113" s="1212">
        <v>0</v>
      </c>
      <c r="Z113" s="1212">
        <v>0</v>
      </c>
      <c r="AA113" s="1212">
        <v>0</v>
      </c>
      <c r="AB113" s="1212">
        <v>0</v>
      </c>
      <c r="AC113" s="1212">
        <v>0</v>
      </c>
      <c r="AD113" s="1212">
        <v>0</v>
      </c>
      <c r="AE113" s="1212">
        <v>0</v>
      </c>
      <c r="AF113" s="1212">
        <v>0</v>
      </c>
      <c r="AG113" s="1212">
        <v>0</v>
      </c>
      <c r="AH113" s="1093">
        <v>0</v>
      </c>
      <c r="AJ113" s="341">
        <f t="shared" si="23"/>
        <v>0</v>
      </c>
    </row>
    <row r="114" spans="1:36" x14ac:dyDescent="0.2">
      <c r="A114" s="638">
        <v>1730</v>
      </c>
      <c r="B114" s="2890" t="s">
        <v>4865</v>
      </c>
      <c r="C114" s="2890"/>
      <c r="D114" s="1220" t="str">
        <f>IF(ROUND(SUM(F114:N114),2)-ROUND(E114,2)=0,"OK","prob")</f>
        <v>prob</v>
      </c>
      <c r="E114" s="1093">
        <v>95071556.709999993</v>
      </c>
      <c r="F114" s="1093">
        <v>215117640.56</v>
      </c>
      <c r="G114" s="1093">
        <v>304413831.55000001</v>
      </c>
      <c r="H114" s="1093">
        <v>0</v>
      </c>
      <c r="I114" s="1093">
        <v>240566378.63999999</v>
      </c>
      <c r="J114" s="1093">
        <v>16787100.010000002</v>
      </c>
      <c r="K114" s="1093">
        <v>140912735.55000001</v>
      </c>
      <c r="L114" s="1093"/>
      <c r="M114" s="1093">
        <v>54492329.289999999</v>
      </c>
      <c r="N114" s="1093">
        <v>35875281.759999998</v>
      </c>
      <c r="O114" s="1212">
        <v>0</v>
      </c>
      <c r="P114" s="1212">
        <v>16712576.359999999</v>
      </c>
      <c r="Q114" s="1212">
        <v>0</v>
      </c>
      <c r="R114" s="1212">
        <v>0</v>
      </c>
      <c r="S114" s="1212">
        <v>0</v>
      </c>
      <c r="T114" s="1212">
        <v>0</v>
      </c>
      <c r="U114" s="1212">
        <v>0</v>
      </c>
      <c r="V114" s="1212">
        <v>0</v>
      </c>
      <c r="W114" s="1212">
        <v>0</v>
      </c>
      <c r="X114" s="1212">
        <v>0</v>
      </c>
      <c r="Y114" s="1212">
        <v>0</v>
      </c>
      <c r="Z114" s="1212">
        <v>0</v>
      </c>
      <c r="AA114" s="1212">
        <v>0</v>
      </c>
      <c r="AB114" s="1212">
        <v>0</v>
      </c>
      <c r="AC114" s="1212">
        <v>0</v>
      </c>
      <c r="AD114" s="1212">
        <v>0</v>
      </c>
      <c r="AE114" s="1212">
        <v>0</v>
      </c>
      <c r="AF114" s="1212">
        <v>0</v>
      </c>
      <c r="AG114" s="1212">
        <v>0</v>
      </c>
      <c r="AH114" s="1093">
        <v>0</v>
      </c>
      <c r="AJ114" s="341">
        <f t="shared" si="23"/>
        <v>1024877873.72</v>
      </c>
    </row>
    <row r="115" spans="1:36" x14ac:dyDescent="0.2">
      <c r="A115" s="638">
        <v>1735</v>
      </c>
      <c r="B115" s="2890" t="s">
        <v>3479</v>
      </c>
      <c r="C115" s="2890"/>
      <c r="D115" t="str">
        <f t="shared" ref="D115:D122" si="24">IF(SUM(F115:N115)-E115=0,"OK","prob")</f>
        <v>OK</v>
      </c>
      <c r="E115" s="1093">
        <v>0</v>
      </c>
      <c r="F115" s="1093">
        <v>0</v>
      </c>
      <c r="G115" s="1093">
        <v>0</v>
      </c>
      <c r="H115" s="1093">
        <v>0</v>
      </c>
      <c r="I115" s="1093">
        <v>0</v>
      </c>
      <c r="J115" s="1093">
        <v>0</v>
      </c>
      <c r="K115" s="1093">
        <v>0</v>
      </c>
      <c r="L115" s="1093"/>
      <c r="M115" s="1093">
        <v>0</v>
      </c>
      <c r="N115" s="1093">
        <v>0</v>
      </c>
      <c r="O115" s="1212">
        <v>0</v>
      </c>
      <c r="P115" s="1212">
        <v>12102733.52</v>
      </c>
      <c r="Q115" s="1212">
        <v>0</v>
      </c>
      <c r="R115" s="1212">
        <v>0</v>
      </c>
      <c r="S115" s="1212">
        <v>70204731</v>
      </c>
      <c r="T115" s="1212">
        <v>217407.33</v>
      </c>
      <c r="U115" s="1212">
        <v>0</v>
      </c>
      <c r="V115" s="1212">
        <v>0</v>
      </c>
      <c r="W115" s="1212">
        <v>2476502.66</v>
      </c>
      <c r="X115" s="1212">
        <v>0</v>
      </c>
      <c r="Y115" s="1212">
        <v>0</v>
      </c>
      <c r="Z115" s="1212">
        <v>0</v>
      </c>
      <c r="AA115" s="1212">
        <v>0</v>
      </c>
      <c r="AB115" s="1212">
        <v>0</v>
      </c>
      <c r="AC115" s="1212">
        <v>0</v>
      </c>
      <c r="AD115" s="1212">
        <v>0</v>
      </c>
      <c r="AE115" s="1212">
        <v>0</v>
      </c>
      <c r="AF115" s="1212">
        <v>0</v>
      </c>
      <c r="AG115" s="1212">
        <v>0</v>
      </c>
      <c r="AH115" s="1093">
        <v>0</v>
      </c>
      <c r="AJ115" s="341">
        <f t="shared" si="23"/>
        <v>85001374.510000005</v>
      </c>
    </row>
    <row r="116" spans="1:36" x14ac:dyDescent="0.2">
      <c r="A116" s="638">
        <v>1740</v>
      </c>
      <c r="B116" s="2890" t="s">
        <v>3481</v>
      </c>
      <c r="C116" s="2890"/>
      <c r="D116" t="str">
        <f t="shared" si="24"/>
        <v>OK</v>
      </c>
      <c r="E116" s="1093">
        <v>16507284.52</v>
      </c>
      <c r="F116" s="1093">
        <v>16482435.75</v>
      </c>
      <c r="G116" s="1093">
        <v>24848.77</v>
      </c>
      <c r="H116" s="1093">
        <v>0</v>
      </c>
      <c r="I116" s="1093">
        <v>0</v>
      </c>
      <c r="J116" s="1093">
        <v>0</v>
      </c>
      <c r="K116" s="1093">
        <v>0</v>
      </c>
      <c r="L116" s="1093"/>
      <c r="M116" s="1093">
        <v>0</v>
      </c>
      <c r="N116" s="1093">
        <v>0</v>
      </c>
      <c r="O116" s="1212">
        <v>0</v>
      </c>
      <c r="P116" s="1212">
        <v>9943053.4700000007</v>
      </c>
      <c r="Q116" s="1212">
        <v>13195520.300000001</v>
      </c>
      <c r="R116" s="1212">
        <v>0</v>
      </c>
      <c r="S116" s="1212">
        <v>0</v>
      </c>
      <c r="T116" s="1212">
        <v>0</v>
      </c>
      <c r="U116" s="1212">
        <v>0</v>
      </c>
      <c r="V116" s="1212">
        <v>7831401.8399999999</v>
      </c>
      <c r="W116" s="1212">
        <v>0</v>
      </c>
      <c r="X116" s="1212">
        <v>0</v>
      </c>
      <c r="Y116" s="1212">
        <v>0</v>
      </c>
      <c r="Z116" s="1212">
        <v>0</v>
      </c>
      <c r="AA116" s="1212">
        <v>0</v>
      </c>
      <c r="AB116" s="1212">
        <v>0</v>
      </c>
      <c r="AC116" s="1212">
        <v>0</v>
      </c>
      <c r="AD116" s="1212">
        <v>0</v>
      </c>
      <c r="AE116" s="1212">
        <v>0</v>
      </c>
      <c r="AF116" s="1212">
        <v>0</v>
      </c>
      <c r="AG116" s="1212">
        <v>0</v>
      </c>
      <c r="AH116" s="1093">
        <v>0</v>
      </c>
      <c r="AJ116" s="341">
        <f t="shared" si="23"/>
        <v>47477260.130000003</v>
      </c>
    </row>
    <row r="117" spans="1:36" x14ac:dyDescent="0.2">
      <c r="A117" s="170">
        <v>1890</v>
      </c>
      <c r="B117" s="2890" t="s">
        <v>2812</v>
      </c>
      <c r="C117" s="2890"/>
      <c r="D117" s="1220" t="str">
        <f t="shared" si="24"/>
        <v>prob</v>
      </c>
      <c r="E117" s="341">
        <v>203252927.41</v>
      </c>
      <c r="F117" s="341">
        <v>0</v>
      </c>
      <c r="G117" s="341">
        <v>387158340.13</v>
      </c>
      <c r="H117" s="341">
        <v>0</v>
      </c>
      <c r="I117" s="341">
        <v>221824.2</v>
      </c>
      <c r="J117" s="341">
        <v>0</v>
      </c>
      <c r="K117" s="341">
        <v>6064856.4500000002</v>
      </c>
      <c r="L117" s="341"/>
      <c r="M117" s="341">
        <v>904762.36</v>
      </c>
      <c r="N117" s="341">
        <v>263241.64</v>
      </c>
      <c r="O117" s="212">
        <v>12533400.73</v>
      </c>
      <c r="P117" s="212">
        <v>136494842.19999999</v>
      </c>
      <c r="Q117" s="212">
        <v>82171353.909999996</v>
      </c>
      <c r="R117" s="212">
        <v>22883405.66</v>
      </c>
      <c r="S117" s="212">
        <v>10481070.67</v>
      </c>
      <c r="T117" s="212">
        <v>1090128.58</v>
      </c>
      <c r="U117" s="212">
        <v>14230154.82</v>
      </c>
      <c r="V117" s="212">
        <v>25723830.489999998</v>
      </c>
      <c r="W117" s="212">
        <v>5217825.3499999996</v>
      </c>
      <c r="X117" s="212">
        <v>7603514.0800000001</v>
      </c>
      <c r="Y117" s="212">
        <v>17836865.309999999</v>
      </c>
      <c r="Z117" s="212">
        <v>2955676.05</v>
      </c>
      <c r="AA117" s="212">
        <v>4799830.3</v>
      </c>
      <c r="AB117" s="212">
        <v>427999.6</v>
      </c>
      <c r="AC117" s="212">
        <v>6162432.0199999996</v>
      </c>
      <c r="AD117" s="212">
        <v>6590750.9000000004</v>
      </c>
      <c r="AE117" s="212">
        <v>949070.5</v>
      </c>
      <c r="AF117" s="212">
        <v>1184947.08</v>
      </c>
      <c r="AG117" s="212">
        <v>0</v>
      </c>
      <c r="AH117" s="341">
        <v>49204.38</v>
      </c>
      <c r="AJ117" s="341">
        <f t="shared" si="23"/>
        <v>753950123.02999997</v>
      </c>
    </row>
    <row r="118" spans="1:36" x14ac:dyDescent="0.2">
      <c r="A118" s="170">
        <v>1750</v>
      </c>
      <c r="B118" s="2890" t="s">
        <v>2813</v>
      </c>
      <c r="C118" s="2890"/>
      <c r="D118" t="str">
        <f t="shared" si="24"/>
        <v>OK</v>
      </c>
      <c r="E118" s="341">
        <v>0</v>
      </c>
      <c r="F118" s="341">
        <v>0</v>
      </c>
      <c r="G118" s="341">
        <v>0</v>
      </c>
      <c r="H118" s="341">
        <v>0</v>
      </c>
      <c r="I118" s="341">
        <v>0</v>
      </c>
      <c r="J118" s="341">
        <v>0</v>
      </c>
      <c r="K118" s="341">
        <v>0</v>
      </c>
      <c r="L118" s="341"/>
      <c r="M118" s="341">
        <v>0</v>
      </c>
      <c r="N118" s="341">
        <v>0</v>
      </c>
      <c r="O118" s="212">
        <v>0</v>
      </c>
      <c r="P118" s="212">
        <v>0</v>
      </c>
      <c r="Q118" s="212">
        <v>0</v>
      </c>
      <c r="R118" s="212">
        <v>0</v>
      </c>
      <c r="S118" s="212">
        <v>0</v>
      </c>
      <c r="T118" s="212">
        <v>0</v>
      </c>
      <c r="U118" s="212">
        <v>0</v>
      </c>
      <c r="V118" s="212">
        <v>0</v>
      </c>
      <c r="W118" s="212">
        <v>0</v>
      </c>
      <c r="X118" s="212">
        <v>0</v>
      </c>
      <c r="Y118" s="212">
        <v>0</v>
      </c>
      <c r="Z118" s="212">
        <v>0</v>
      </c>
      <c r="AA118" s="212">
        <v>0</v>
      </c>
      <c r="AB118" s="212">
        <v>0</v>
      </c>
      <c r="AC118" s="212">
        <v>0</v>
      </c>
      <c r="AD118" s="212">
        <v>0</v>
      </c>
      <c r="AE118" s="212">
        <v>0</v>
      </c>
      <c r="AF118" s="212">
        <v>0</v>
      </c>
      <c r="AG118" s="212">
        <v>0</v>
      </c>
      <c r="AH118" s="341">
        <v>0</v>
      </c>
      <c r="AJ118" s="341">
        <f t="shared" si="23"/>
        <v>0</v>
      </c>
    </row>
    <row r="119" spans="1:36" x14ac:dyDescent="0.2">
      <c r="A119" s="170">
        <v>1760</v>
      </c>
      <c r="B119" s="2890" t="s">
        <v>2814</v>
      </c>
      <c r="C119" s="2890"/>
      <c r="D119" t="str">
        <f t="shared" si="24"/>
        <v>OK</v>
      </c>
      <c r="E119" s="341">
        <v>0</v>
      </c>
      <c r="F119" s="341">
        <v>0</v>
      </c>
      <c r="G119" s="341">
        <v>0</v>
      </c>
      <c r="H119" s="341">
        <v>0</v>
      </c>
      <c r="I119" s="341">
        <v>0</v>
      </c>
      <c r="J119" s="341">
        <v>0</v>
      </c>
      <c r="K119" s="341">
        <v>0</v>
      </c>
      <c r="L119" s="341"/>
      <c r="M119" s="341">
        <v>0</v>
      </c>
      <c r="N119" s="341">
        <v>0</v>
      </c>
      <c r="O119" s="212">
        <v>0</v>
      </c>
      <c r="P119" s="212">
        <v>0</v>
      </c>
      <c r="Q119" s="212">
        <v>0</v>
      </c>
      <c r="R119" s="212">
        <v>0</v>
      </c>
      <c r="S119" s="212">
        <v>0</v>
      </c>
      <c r="T119" s="212">
        <v>0</v>
      </c>
      <c r="U119" s="212">
        <v>0</v>
      </c>
      <c r="V119" s="212">
        <v>0</v>
      </c>
      <c r="W119" s="212">
        <v>0</v>
      </c>
      <c r="X119" s="212">
        <v>0</v>
      </c>
      <c r="Y119" s="212">
        <v>0</v>
      </c>
      <c r="Z119" s="212">
        <v>0</v>
      </c>
      <c r="AA119" s="212">
        <v>0</v>
      </c>
      <c r="AB119" s="212">
        <v>0</v>
      </c>
      <c r="AC119" s="212">
        <v>0</v>
      </c>
      <c r="AD119" s="212">
        <v>0</v>
      </c>
      <c r="AE119" s="212">
        <v>0</v>
      </c>
      <c r="AF119" s="212">
        <v>0</v>
      </c>
      <c r="AG119" s="212">
        <v>0</v>
      </c>
      <c r="AH119" s="341">
        <v>0</v>
      </c>
      <c r="AJ119" s="341">
        <f t="shared" si="23"/>
        <v>0</v>
      </c>
    </row>
    <row r="120" spans="1:36" x14ac:dyDescent="0.2">
      <c r="A120" s="170">
        <v>1870</v>
      </c>
      <c r="B120" s="2890" t="s">
        <v>2815</v>
      </c>
      <c r="C120" s="2890"/>
      <c r="D120" t="str">
        <f t="shared" si="24"/>
        <v>OK</v>
      </c>
      <c r="E120" s="341">
        <v>0</v>
      </c>
      <c r="F120" s="341">
        <v>0</v>
      </c>
      <c r="G120" s="341">
        <v>0</v>
      </c>
      <c r="H120" s="341">
        <v>0</v>
      </c>
      <c r="I120" s="341">
        <v>0</v>
      </c>
      <c r="J120" s="341">
        <v>0</v>
      </c>
      <c r="K120" s="341">
        <v>0</v>
      </c>
      <c r="L120" s="341"/>
      <c r="M120" s="341">
        <v>0</v>
      </c>
      <c r="N120" s="341">
        <v>0</v>
      </c>
      <c r="O120" s="212">
        <v>0</v>
      </c>
      <c r="P120" s="212">
        <v>18483674.27</v>
      </c>
      <c r="Q120" s="212">
        <v>0</v>
      </c>
      <c r="R120" s="212">
        <v>733710</v>
      </c>
      <c r="S120" s="212">
        <v>788649.43</v>
      </c>
      <c r="T120" s="212">
        <v>30000</v>
      </c>
      <c r="U120" s="212">
        <v>37209.129999999997</v>
      </c>
      <c r="V120" s="212">
        <v>1583582.99</v>
      </c>
      <c r="W120" s="212">
        <v>0</v>
      </c>
      <c r="X120" s="212">
        <v>0</v>
      </c>
      <c r="Y120" s="212">
        <v>221495</v>
      </c>
      <c r="Z120" s="212">
        <v>2435.5300000000002</v>
      </c>
      <c r="AA120" s="212">
        <v>0</v>
      </c>
      <c r="AB120" s="212">
        <v>0</v>
      </c>
      <c r="AC120" s="212">
        <v>0</v>
      </c>
      <c r="AD120" s="212">
        <v>0</v>
      </c>
      <c r="AE120" s="212">
        <v>0</v>
      </c>
      <c r="AF120" s="212">
        <v>35917.269999999997</v>
      </c>
      <c r="AG120" s="212">
        <v>0</v>
      </c>
      <c r="AH120" s="341">
        <v>0</v>
      </c>
      <c r="AJ120" s="341">
        <f t="shared" si="23"/>
        <v>21916673.620000001</v>
      </c>
    </row>
    <row r="121" spans="1:36" x14ac:dyDescent="0.2">
      <c r="A121" s="170">
        <v>1880</v>
      </c>
      <c r="B121" s="2890" t="s">
        <v>2816</v>
      </c>
      <c r="C121" s="2890"/>
      <c r="D121" t="str">
        <f t="shared" si="24"/>
        <v>OK</v>
      </c>
      <c r="E121" s="341">
        <v>6274292.2000000002</v>
      </c>
      <c r="F121" s="341">
        <v>877754</v>
      </c>
      <c r="G121" s="341">
        <v>0</v>
      </c>
      <c r="H121" s="341">
        <v>0</v>
      </c>
      <c r="I121" s="341">
        <v>5396538.2000000002</v>
      </c>
      <c r="J121" s="341">
        <v>0</v>
      </c>
      <c r="K121" s="341">
        <v>0</v>
      </c>
      <c r="L121" s="341"/>
      <c r="M121" s="341">
        <v>0</v>
      </c>
      <c r="N121" s="341">
        <v>0</v>
      </c>
      <c r="O121" s="212">
        <v>0</v>
      </c>
      <c r="P121" s="212">
        <v>1295248.06</v>
      </c>
      <c r="Q121" s="212">
        <v>0</v>
      </c>
      <c r="R121" s="212">
        <v>33160.33</v>
      </c>
      <c r="S121" s="212">
        <v>0</v>
      </c>
      <c r="T121" s="212">
        <v>1580</v>
      </c>
      <c r="U121" s="212">
        <v>74661.83</v>
      </c>
      <c r="V121" s="212">
        <v>0</v>
      </c>
      <c r="W121" s="212">
        <v>0</v>
      </c>
      <c r="X121" s="212">
        <v>14400</v>
      </c>
      <c r="Y121" s="212">
        <v>898171.07</v>
      </c>
      <c r="Z121" s="212">
        <v>0</v>
      </c>
      <c r="AA121" s="212">
        <v>0</v>
      </c>
      <c r="AB121" s="212">
        <v>0</v>
      </c>
      <c r="AC121" s="212">
        <v>0</v>
      </c>
      <c r="AD121" s="212">
        <v>194468.03</v>
      </c>
      <c r="AE121" s="212">
        <v>0</v>
      </c>
      <c r="AF121" s="212">
        <v>0</v>
      </c>
      <c r="AG121" s="212">
        <v>0</v>
      </c>
      <c r="AH121" s="341">
        <v>2918.96</v>
      </c>
      <c r="AJ121" s="341">
        <f t="shared" si="23"/>
        <v>8785981.5199999996</v>
      </c>
    </row>
    <row r="122" spans="1:36" x14ac:dyDescent="0.2">
      <c r="A122" s="170">
        <v>1762</v>
      </c>
      <c r="B122" s="2890" t="s">
        <v>2817</v>
      </c>
      <c r="C122" s="2890"/>
      <c r="D122" t="str">
        <f t="shared" si="24"/>
        <v>OK</v>
      </c>
      <c r="E122" s="341">
        <v>0</v>
      </c>
      <c r="F122" s="341">
        <v>0</v>
      </c>
      <c r="G122" s="341">
        <v>0</v>
      </c>
      <c r="H122" s="341">
        <v>0</v>
      </c>
      <c r="I122" s="341">
        <v>0</v>
      </c>
      <c r="J122" s="341">
        <v>0</v>
      </c>
      <c r="K122" s="341">
        <v>0</v>
      </c>
      <c r="L122" s="341"/>
      <c r="M122" s="341">
        <v>0</v>
      </c>
      <c r="N122" s="341">
        <v>0</v>
      </c>
      <c r="O122" s="212">
        <v>0</v>
      </c>
      <c r="P122" s="212">
        <v>0</v>
      </c>
      <c r="Q122" s="212">
        <v>0</v>
      </c>
      <c r="R122" s="212">
        <v>0</v>
      </c>
      <c r="S122" s="212">
        <v>0</v>
      </c>
      <c r="T122" s="212">
        <v>0</v>
      </c>
      <c r="U122" s="212">
        <v>0</v>
      </c>
      <c r="V122" s="212">
        <v>0</v>
      </c>
      <c r="W122" s="212">
        <v>0</v>
      </c>
      <c r="X122" s="212">
        <v>0</v>
      </c>
      <c r="Y122" s="212">
        <v>0</v>
      </c>
      <c r="Z122" s="212">
        <v>0</v>
      </c>
      <c r="AA122" s="212">
        <v>0</v>
      </c>
      <c r="AB122" s="212">
        <v>0</v>
      </c>
      <c r="AC122" s="212">
        <v>0</v>
      </c>
      <c r="AD122" s="212">
        <v>0</v>
      </c>
      <c r="AE122" s="212">
        <v>0</v>
      </c>
      <c r="AF122" s="212">
        <v>0</v>
      </c>
      <c r="AG122" s="212">
        <v>0</v>
      </c>
      <c r="AH122" s="341">
        <v>0</v>
      </c>
      <c r="AJ122" s="341">
        <f t="shared" si="23"/>
        <v>0</v>
      </c>
    </row>
    <row r="123" spans="1:36" x14ac:dyDescent="0.2">
      <c r="A123" s="638">
        <v>1775</v>
      </c>
      <c r="B123" s="2890" t="s">
        <v>4866</v>
      </c>
      <c r="C123" s="2890"/>
      <c r="D123" t="str">
        <f>IF(ROUND(SUM(F123:N123),2)-ROUND(E123,2)=0,"OK","prob")</f>
        <v>OK</v>
      </c>
      <c r="E123" s="1093">
        <v>19636431.550000001</v>
      </c>
      <c r="F123" s="1093">
        <v>0</v>
      </c>
      <c r="G123" s="1093">
        <v>0</v>
      </c>
      <c r="H123" s="1093">
        <v>0</v>
      </c>
      <c r="I123" s="591">
        <v>15654402.550000001</v>
      </c>
      <c r="J123" s="1093">
        <v>1309252</v>
      </c>
      <c r="K123" s="1093">
        <v>0</v>
      </c>
      <c r="L123" s="1093"/>
      <c r="M123" s="1093">
        <v>0</v>
      </c>
      <c r="N123" s="1093">
        <v>2672777</v>
      </c>
      <c r="O123" s="1212">
        <v>0</v>
      </c>
      <c r="P123" s="1212">
        <v>2598616.29</v>
      </c>
      <c r="Q123" s="1212">
        <v>6600584.71</v>
      </c>
      <c r="R123" s="1212">
        <v>249582.77</v>
      </c>
      <c r="S123" s="1212">
        <v>715767.19</v>
      </c>
      <c r="T123" s="1212">
        <v>0</v>
      </c>
      <c r="U123" s="1212">
        <v>714051.04</v>
      </c>
      <c r="V123" s="1212">
        <v>0</v>
      </c>
      <c r="W123" s="1212">
        <v>233204.23</v>
      </c>
      <c r="X123" s="1212">
        <v>0</v>
      </c>
      <c r="Y123" s="1212">
        <v>3111346</v>
      </c>
      <c r="Z123" s="1212">
        <v>735948.21</v>
      </c>
      <c r="AA123" s="1212">
        <v>584319.74</v>
      </c>
      <c r="AB123" s="1212">
        <v>777118.84</v>
      </c>
      <c r="AC123" s="1212">
        <v>931503.82</v>
      </c>
      <c r="AD123" s="1212">
        <v>534288.07999999996</v>
      </c>
      <c r="AE123" s="1212">
        <v>0</v>
      </c>
      <c r="AF123" s="1212">
        <v>689581.68</v>
      </c>
      <c r="AG123" s="1212">
        <v>0</v>
      </c>
      <c r="AH123" s="1093">
        <v>0</v>
      </c>
      <c r="AJ123" s="341">
        <f t="shared" si="23"/>
        <v>38112344.149999999</v>
      </c>
    </row>
    <row r="124" spans="1:36" x14ac:dyDescent="0.2">
      <c r="A124" s="638">
        <v>1780</v>
      </c>
      <c r="B124" s="2890" t="s">
        <v>4867</v>
      </c>
      <c r="C124" s="2890"/>
      <c r="D124" t="str">
        <f t="shared" ref="D124:D137" si="25">IF(SUM(F124:N124)-E124=0,"OK","prob")</f>
        <v>OK</v>
      </c>
      <c r="E124" s="1093">
        <v>57549884.469999999</v>
      </c>
      <c r="F124" s="1093">
        <v>10830423.380000001</v>
      </c>
      <c r="G124" s="1093">
        <v>11783132.189999999</v>
      </c>
      <c r="H124" s="1093">
        <v>0</v>
      </c>
      <c r="I124" s="591">
        <v>13267695.01</v>
      </c>
      <c r="J124" s="1093">
        <v>224509.36</v>
      </c>
      <c r="K124" s="1093">
        <v>18822011.850000001</v>
      </c>
      <c r="L124" s="1093"/>
      <c r="M124" s="1093">
        <v>0</v>
      </c>
      <c r="N124" s="1093">
        <v>2622112.6800000002</v>
      </c>
      <c r="O124" s="1212">
        <v>764085.75</v>
      </c>
      <c r="P124" s="1212">
        <v>21501313.870000001</v>
      </c>
      <c r="Q124" s="1212">
        <v>12799481.210000001</v>
      </c>
      <c r="R124" s="1212">
        <v>1209146.8899999999</v>
      </c>
      <c r="S124" s="1212">
        <v>1044189.97</v>
      </c>
      <c r="T124" s="1212">
        <v>716187.96</v>
      </c>
      <c r="U124" s="1212">
        <v>246027.55</v>
      </c>
      <c r="V124" s="1212">
        <v>4962231.3</v>
      </c>
      <c r="W124" s="1212">
        <v>797186.94</v>
      </c>
      <c r="X124" s="1212">
        <v>1381873.8</v>
      </c>
      <c r="Y124" s="1212">
        <v>1857596.78</v>
      </c>
      <c r="Z124" s="1212">
        <v>162232.41</v>
      </c>
      <c r="AA124" s="1212">
        <v>134500.26999999999</v>
      </c>
      <c r="AB124" s="1212">
        <v>54305.78</v>
      </c>
      <c r="AC124" s="1212">
        <v>90098</v>
      </c>
      <c r="AD124" s="1212">
        <v>194421.27</v>
      </c>
      <c r="AE124" s="1212">
        <v>0</v>
      </c>
      <c r="AF124" s="1212">
        <v>0</v>
      </c>
      <c r="AG124" s="1212">
        <v>0</v>
      </c>
      <c r="AH124" s="1093">
        <v>0</v>
      </c>
      <c r="AJ124" s="341">
        <f t="shared" si="23"/>
        <v>105464764.22</v>
      </c>
    </row>
    <row r="125" spans="1:36" x14ac:dyDescent="0.2">
      <c r="A125" s="638">
        <v>1785</v>
      </c>
      <c r="B125" s="3069" t="s">
        <v>5445</v>
      </c>
      <c r="C125" s="3069"/>
      <c r="D125" t="str">
        <f t="shared" si="25"/>
        <v>OK</v>
      </c>
      <c r="E125" s="1093">
        <v>31937159.75</v>
      </c>
      <c r="F125" s="1093">
        <v>0</v>
      </c>
      <c r="G125" s="1093">
        <v>31937159.75</v>
      </c>
      <c r="H125" s="1093">
        <v>0</v>
      </c>
      <c r="I125" s="591">
        <v>0</v>
      </c>
      <c r="J125" s="1093">
        <v>0</v>
      </c>
      <c r="K125" s="1093">
        <v>0</v>
      </c>
      <c r="L125" s="1093">
        <v>0</v>
      </c>
      <c r="M125" s="1093">
        <v>0</v>
      </c>
      <c r="N125" s="1093">
        <v>0</v>
      </c>
      <c r="O125" s="1093">
        <v>1614876.85</v>
      </c>
      <c r="P125" s="1093">
        <v>5224149.24</v>
      </c>
      <c r="Q125" s="1093">
        <v>1534560.3</v>
      </c>
      <c r="R125" s="1093">
        <v>1860160.61</v>
      </c>
      <c r="S125" s="1093">
        <v>1922896.66</v>
      </c>
      <c r="T125" s="1093">
        <v>646982.35</v>
      </c>
      <c r="U125" s="1093">
        <v>3863556.15</v>
      </c>
      <c r="V125" s="1093">
        <v>9434851.7799999993</v>
      </c>
      <c r="W125" s="1093">
        <v>352809.19</v>
      </c>
      <c r="X125" s="1093">
        <v>535245.23</v>
      </c>
      <c r="Y125" s="1093">
        <v>1534329.02</v>
      </c>
      <c r="Z125" s="591">
        <v>365408.23</v>
      </c>
      <c r="AA125" s="1093">
        <v>1114307.42</v>
      </c>
      <c r="AB125" s="1093">
        <v>226849.18</v>
      </c>
      <c r="AC125" s="1093">
        <v>1326475</v>
      </c>
      <c r="AD125" s="1093">
        <v>5391726</v>
      </c>
      <c r="AE125" s="1093">
        <v>671456.24</v>
      </c>
      <c r="AF125" s="1093">
        <v>0</v>
      </c>
      <c r="AG125" s="1093">
        <v>39494.720000000001</v>
      </c>
      <c r="AH125" s="1093">
        <v>0</v>
      </c>
      <c r="AJ125" s="341">
        <f t="shared" si="23"/>
        <v>69557799.200000003</v>
      </c>
    </row>
    <row r="126" spans="1:36" x14ac:dyDescent="0.2">
      <c r="A126" s="638">
        <v>1786</v>
      </c>
      <c r="B126" s="3069" t="s">
        <v>5446</v>
      </c>
      <c r="C126" s="3069"/>
      <c r="D126" t="str">
        <f t="shared" si="25"/>
        <v>OK</v>
      </c>
      <c r="E126" s="1093">
        <v>0</v>
      </c>
      <c r="F126" s="1093">
        <v>0</v>
      </c>
      <c r="G126" s="1093">
        <v>0</v>
      </c>
      <c r="H126" s="1093">
        <v>0</v>
      </c>
      <c r="I126" s="591">
        <v>0</v>
      </c>
      <c r="J126" s="1093">
        <v>0</v>
      </c>
      <c r="K126" s="1093">
        <v>0</v>
      </c>
      <c r="L126" s="1093">
        <v>0</v>
      </c>
      <c r="M126" s="1093">
        <v>0</v>
      </c>
      <c r="N126" s="1093">
        <v>0</v>
      </c>
      <c r="O126" s="1093">
        <v>0</v>
      </c>
      <c r="P126" s="1093">
        <v>0</v>
      </c>
      <c r="Q126" s="1093">
        <v>0</v>
      </c>
      <c r="R126" s="1093">
        <v>0</v>
      </c>
      <c r="S126" s="1093">
        <v>0</v>
      </c>
      <c r="T126" s="1093">
        <v>0</v>
      </c>
      <c r="U126" s="1093">
        <v>0</v>
      </c>
      <c r="V126" s="1093">
        <v>0</v>
      </c>
      <c r="W126" s="1093">
        <v>0</v>
      </c>
      <c r="X126" s="1093">
        <v>0</v>
      </c>
      <c r="Y126" s="1093">
        <v>0</v>
      </c>
      <c r="Z126" s="591">
        <v>0</v>
      </c>
      <c r="AA126" s="1093">
        <v>0</v>
      </c>
      <c r="AB126" s="1093">
        <v>0</v>
      </c>
      <c r="AC126" s="1093">
        <v>0</v>
      </c>
      <c r="AD126" s="1093">
        <v>0</v>
      </c>
      <c r="AE126" s="1093">
        <v>0</v>
      </c>
      <c r="AF126" s="1093">
        <v>0</v>
      </c>
      <c r="AG126" s="1093">
        <v>0</v>
      </c>
      <c r="AH126" s="1093">
        <v>0</v>
      </c>
      <c r="AJ126" s="341">
        <f t="shared" si="23"/>
        <v>0</v>
      </c>
    </row>
    <row r="127" spans="1:36" x14ac:dyDescent="0.2">
      <c r="A127" s="638">
        <v>1800</v>
      </c>
      <c r="B127" s="2890" t="s">
        <v>4870</v>
      </c>
      <c r="C127" s="2890"/>
      <c r="D127" t="str">
        <f t="shared" si="25"/>
        <v>OK</v>
      </c>
      <c r="E127" s="1093">
        <v>25130000</v>
      </c>
      <c r="F127" s="1093">
        <v>15955000</v>
      </c>
      <c r="G127" s="1093">
        <v>0</v>
      </c>
      <c r="H127" s="1093">
        <v>0</v>
      </c>
      <c r="I127" s="591">
        <v>9175000</v>
      </c>
      <c r="J127" s="1093">
        <v>0</v>
      </c>
      <c r="K127" s="1093">
        <v>0</v>
      </c>
      <c r="L127" s="1093"/>
      <c r="M127" s="1093">
        <v>0</v>
      </c>
      <c r="N127" s="1093">
        <v>0</v>
      </c>
      <c r="O127" s="1212">
        <v>0</v>
      </c>
      <c r="P127" s="1212">
        <v>105420000</v>
      </c>
      <c r="Q127" s="1212">
        <v>21719012</v>
      </c>
      <c r="R127" s="1212">
        <v>14220089.390000001</v>
      </c>
      <c r="S127" s="1212">
        <v>22030000</v>
      </c>
      <c r="T127" s="1212">
        <v>2852500</v>
      </c>
      <c r="U127" s="1212">
        <v>9680000</v>
      </c>
      <c r="V127" s="1212">
        <v>15330000</v>
      </c>
      <c r="W127" s="1212">
        <v>2665000</v>
      </c>
      <c r="X127" s="1212">
        <v>7885000</v>
      </c>
      <c r="Y127" s="1212">
        <v>15511000</v>
      </c>
      <c r="Z127" s="1212">
        <v>1966808.71</v>
      </c>
      <c r="AA127" s="1212">
        <v>3470000</v>
      </c>
      <c r="AB127" s="1212">
        <v>645000</v>
      </c>
      <c r="AC127" s="1212">
        <v>1151000</v>
      </c>
      <c r="AD127" s="1212">
        <v>4470000</v>
      </c>
      <c r="AE127" s="1093">
        <v>933000</v>
      </c>
      <c r="AF127" s="1212">
        <v>0</v>
      </c>
      <c r="AG127" s="1212">
        <v>0</v>
      </c>
      <c r="AH127" s="1093">
        <v>0</v>
      </c>
      <c r="AJ127" s="341">
        <f t="shared" si="23"/>
        <v>255078410.09999999</v>
      </c>
    </row>
    <row r="128" spans="1:36" x14ac:dyDescent="0.2">
      <c r="A128" s="638">
        <v>1850</v>
      </c>
      <c r="B128" s="2890" t="s">
        <v>4871</v>
      </c>
      <c r="C128" s="2890"/>
      <c r="D128" t="str">
        <f t="shared" si="25"/>
        <v>OK</v>
      </c>
      <c r="E128" s="1093">
        <v>0</v>
      </c>
      <c r="F128" s="1093">
        <v>0</v>
      </c>
      <c r="G128" s="1093">
        <v>0</v>
      </c>
      <c r="H128" s="1093">
        <v>0</v>
      </c>
      <c r="I128" s="591">
        <v>0</v>
      </c>
      <c r="J128" s="1093">
        <v>0</v>
      </c>
      <c r="K128" s="1093">
        <v>0</v>
      </c>
      <c r="L128" s="1093"/>
      <c r="M128" s="1093">
        <v>0</v>
      </c>
      <c r="N128" s="1093">
        <v>0</v>
      </c>
      <c r="O128" s="1212">
        <v>0</v>
      </c>
      <c r="P128" s="1212">
        <v>0</v>
      </c>
      <c r="Q128" s="1212">
        <v>0</v>
      </c>
      <c r="R128" s="1212">
        <v>0</v>
      </c>
      <c r="S128" s="1212">
        <v>0</v>
      </c>
      <c r="T128" s="1212">
        <v>0</v>
      </c>
      <c r="U128" s="1212">
        <v>0</v>
      </c>
      <c r="V128" s="1212">
        <v>0</v>
      </c>
      <c r="W128" s="1212">
        <v>0</v>
      </c>
      <c r="X128" s="1212">
        <v>0</v>
      </c>
      <c r="Y128" s="1212">
        <v>0</v>
      </c>
      <c r="Z128" s="1212">
        <v>0</v>
      </c>
      <c r="AA128" s="1212">
        <v>0</v>
      </c>
      <c r="AB128" s="1212">
        <v>0</v>
      </c>
      <c r="AC128" s="1212">
        <v>0</v>
      </c>
      <c r="AD128" s="1212">
        <v>0</v>
      </c>
      <c r="AE128" s="1212">
        <v>0</v>
      </c>
      <c r="AF128" s="1212">
        <v>0</v>
      </c>
      <c r="AG128" s="1212">
        <v>0</v>
      </c>
      <c r="AH128" s="1093">
        <v>0</v>
      </c>
      <c r="AJ128" s="341">
        <f t="shared" si="23"/>
        <v>0</v>
      </c>
    </row>
    <row r="129" spans="1:36" x14ac:dyDescent="0.2">
      <c r="A129" s="638">
        <v>1851</v>
      </c>
      <c r="B129" s="2890" t="s">
        <v>4872</v>
      </c>
      <c r="C129" s="2890"/>
      <c r="D129" t="str">
        <f t="shared" si="25"/>
        <v>OK</v>
      </c>
      <c r="E129" s="1093">
        <v>0</v>
      </c>
      <c r="F129" s="1093">
        <v>0</v>
      </c>
      <c r="G129" s="1093">
        <v>0</v>
      </c>
      <c r="H129" s="1093">
        <v>0</v>
      </c>
      <c r="I129" s="591">
        <v>0</v>
      </c>
      <c r="J129" s="1093">
        <v>0</v>
      </c>
      <c r="K129" s="1093">
        <v>0</v>
      </c>
      <c r="L129" s="1093"/>
      <c r="M129" s="1093">
        <v>0</v>
      </c>
      <c r="N129" s="1093">
        <v>0</v>
      </c>
      <c r="O129" s="1212">
        <v>74924.23</v>
      </c>
      <c r="P129" s="1212">
        <v>2275339.14</v>
      </c>
      <c r="Q129" s="1212">
        <v>1436617.03</v>
      </c>
      <c r="R129" s="1212">
        <v>746769</v>
      </c>
      <c r="S129" s="1212">
        <v>714398.19</v>
      </c>
      <c r="T129" s="1212">
        <v>56996.160000000003</v>
      </c>
      <c r="U129" s="1212">
        <v>236573.12</v>
      </c>
      <c r="V129" s="1212">
        <v>1098643.08</v>
      </c>
      <c r="W129" s="1212">
        <v>516810.35</v>
      </c>
      <c r="X129" s="1212">
        <v>456741.05</v>
      </c>
      <c r="Y129" s="1212">
        <v>310446.45</v>
      </c>
      <c r="Z129" s="1212">
        <v>2718166.54</v>
      </c>
      <c r="AA129" s="1212">
        <v>365673</v>
      </c>
      <c r="AB129" s="1212">
        <v>207607</v>
      </c>
      <c r="AC129" s="1212">
        <v>365753.83</v>
      </c>
      <c r="AD129" s="1212">
        <v>313711.27</v>
      </c>
      <c r="AE129" s="1212">
        <v>109484.52</v>
      </c>
      <c r="AF129" s="1212">
        <v>0</v>
      </c>
      <c r="AG129" s="1212">
        <v>0</v>
      </c>
      <c r="AH129" s="1093">
        <v>0</v>
      </c>
      <c r="AJ129" s="341">
        <f t="shared" si="23"/>
        <v>12004653.960000001</v>
      </c>
    </row>
    <row r="130" spans="1:36" x14ac:dyDescent="0.2">
      <c r="A130" s="638">
        <v>1852</v>
      </c>
      <c r="B130" s="2890" t="s">
        <v>4873</v>
      </c>
      <c r="C130" s="2890"/>
      <c r="D130" t="str">
        <f t="shared" si="25"/>
        <v>OK</v>
      </c>
      <c r="E130" s="1093">
        <v>0</v>
      </c>
      <c r="F130" s="1093">
        <v>0</v>
      </c>
      <c r="G130" s="1093">
        <v>0</v>
      </c>
      <c r="H130" s="1093">
        <v>0</v>
      </c>
      <c r="I130" s="591">
        <v>0</v>
      </c>
      <c r="J130" s="1093">
        <v>0</v>
      </c>
      <c r="K130" s="1093">
        <v>0</v>
      </c>
      <c r="L130" s="1093"/>
      <c r="M130" s="1093">
        <v>0</v>
      </c>
      <c r="N130" s="1093">
        <v>0</v>
      </c>
      <c r="O130" s="1212">
        <v>0</v>
      </c>
      <c r="P130" s="1212">
        <v>862794.99</v>
      </c>
      <c r="Q130" s="1212">
        <v>0</v>
      </c>
      <c r="R130" s="1212">
        <v>0</v>
      </c>
      <c r="S130" s="1212">
        <v>0</v>
      </c>
      <c r="T130" s="1212">
        <v>0</v>
      </c>
      <c r="U130" s="1212">
        <v>0</v>
      </c>
      <c r="V130" s="1212">
        <v>0</v>
      </c>
      <c r="W130" s="1212">
        <v>0</v>
      </c>
      <c r="X130" s="1212">
        <v>0</v>
      </c>
      <c r="Y130" s="1212">
        <v>0</v>
      </c>
      <c r="Z130" s="1212">
        <v>0</v>
      </c>
      <c r="AA130" s="1212">
        <v>0</v>
      </c>
      <c r="AB130" s="1212">
        <v>0</v>
      </c>
      <c r="AC130" s="1212">
        <v>0</v>
      </c>
      <c r="AD130" s="1212">
        <v>0</v>
      </c>
      <c r="AE130" s="1212">
        <v>0</v>
      </c>
      <c r="AF130" s="1212">
        <v>0</v>
      </c>
      <c r="AG130" s="1212">
        <v>0</v>
      </c>
      <c r="AH130" s="1093">
        <v>0</v>
      </c>
      <c r="AJ130" s="341">
        <f t="shared" si="23"/>
        <v>862794.99</v>
      </c>
    </row>
    <row r="131" spans="1:36" x14ac:dyDescent="0.2">
      <c r="A131" s="638">
        <v>1855</v>
      </c>
      <c r="B131" s="2890" t="s">
        <v>4874</v>
      </c>
      <c r="C131" s="2890"/>
      <c r="D131" t="str">
        <f t="shared" si="25"/>
        <v>OK</v>
      </c>
      <c r="E131" s="1093">
        <v>0</v>
      </c>
      <c r="F131" s="1093">
        <v>0</v>
      </c>
      <c r="G131" s="1093">
        <v>0</v>
      </c>
      <c r="H131" s="1093">
        <v>0</v>
      </c>
      <c r="I131" s="591">
        <v>0</v>
      </c>
      <c r="J131" s="1093">
        <v>0</v>
      </c>
      <c r="K131" s="1093">
        <v>0</v>
      </c>
      <c r="L131" s="1093"/>
      <c r="M131" s="1093">
        <v>0</v>
      </c>
      <c r="N131" s="1093">
        <v>0</v>
      </c>
      <c r="O131" s="1212">
        <v>0</v>
      </c>
      <c r="P131" s="1212">
        <v>0</v>
      </c>
      <c r="Q131" s="1212">
        <v>432677.21</v>
      </c>
      <c r="R131" s="1212">
        <v>0</v>
      </c>
      <c r="S131" s="1212">
        <v>0</v>
      </c>
      <c r="T131" s="1212">
        <v>0</v>
      </c>
      <c r="U131" s="1212">
        <v>0</v>
      </c>
      <c r="V131" s="1212">
        <v>0</v>
      </c>
      <c r="W131" s="1212">
        <v>0</v>
      </c>
      <c r="X131" s="1212">
        <v>0</v>
      </c>
      <c r="Y131" s="1212">
        <v>0</v>
      </c>
      <c r="Z131" s="1212">
        <v>0</v>
      </c>
      <c r="AA131" s="1212">
        <v>0</v>
      </c>
      <c r="AB131" s="1212">
        <v>0</v>
      </c>
      <c r="AC131" s="1212">
        <v>0</v>
      </c>
      <c r="AD131" s="1212">
        <v>0</v>
      </c>
      <c r="AE131" s="1212">
        <v>0</v>
      </c>
      <c r="AF131" s="1212">
        <v>0</v>
      </c>
      <c r="AG131" s="1212">
        <v>0</v>
      </c>
      <c r="AH131" s="1093">
        <v>0</v>
      </c>
      <c r="AJ131" s="341">
        <f t="shared" si="23"/>
        <v>432677.21</v>
      </c>
    </row>
    <row r="132" spans="1:36" x14ac:dyDescent="0.2">
      <c r="A132" s="638">
        <v>1857</v>
      </c>
      <c r="B132" s="2890" t="s">
        <v>5447</v>
      </c>
      <c r="C132" s="2890"/>
      <c r="D132" t="str">
        <f t="shared" si="25"/>
        <v>OK</v>
      </c>
      <c r="E132" s="1093">
        <v>0</v>
      </c>
      <c r="F132" s="1093">
        <v>0</v>
      </c>
      <c r="G132" s="1093">
        <v>0</v>
      </c>
      <c r="H132" s="1093">
        <v>0</v>
      </c>
      <c r="I132" s="591">
        <v>0</v>
      </c>
      <c r="J132" s="1093">
        <v>0</v>
      </c>
      <c r="K132" s="1093">
        <v>0</v>
      </c>
      <c r="L132" s="1093"/>
      <c r="M132" s="1093">
        <v>0</v>
      </c>
      <c r="N132" s="1093">
        <v>0</v>
      </c>
      <c r="O132" s="1212">
        <v>0</v>
      </c>
      <c r="P132" s="1212">
        <v>0</v>
      </c>
      <c r="Q132" s="1212">
        <v>0</v>
      </c>
      <c r="R132" s="1212">
        <v>0</v>
      </c>
      <c r="S132" s="1212">
        <v>0</v>
      </c>
      <c r="T132" s="1212">
        <v>0</v>
      </c>
      <c r="U132" s="1212">
        <v>0</v>
      </c>
      <c r="V132" s="1212">
        <v>0</v>
      </c>
      <c r="W132" s="1212">
        <v>0</v>
      </c>
      <c r="X132" s="1212">
        <v>0</v>
      </c>
      <c r="Y132" s="1212">
        <v>0</v>
      </c>
      <c r="Z132" s="1212">
        <v>0</v>
      </c>
      <c r="AA132" s="1212">
        <v>0</v>
      </c>
      <c r="AB132" s="1212">
        <v>0</v>
      </c>
      <c r="AC132" s="1212">
        <v>0</v>
      </c>
      <c r="AD132" s="1212">
        <v>0</v>
      </c>
      <c r="AE132" s="1212">
        <v>0</v>
      </c>
      <c r="AF132" s="1212">
        <v>0</v>
      </c>
      <c r="AG132" s="1212">
        <v>0</v>
      </c>
      <c r="AH132" s="1093">
        <v>0</v>
      </c>
      <c r="AJ132" s="341">
        <f t="shared" si="23"/>
        <v>0</v>
      </c>
    </row>
    <row r="133" spans="1:36" x14ac:dyDescent="0.2">
      <c r="A133" s="638">
        <v>1860</v>
      </c>
      <c r="B133" s="2890" t="s">
        <v>5448</v>
      </c>
      <c r="C133" s="2890"/>
      <c r="D133" t="str">
        <f>IF(SUM(F133:N133)=E133,"OK","prob")</f>
        <v>OK</v>
      </c>
      <c r="E133" s="1093">
        <v>73095633.709999993</v>
      </c>
      <c r="F133" s="1093">
        <v>16758381.689999999</v>
      </c>
      <c r="G133" s="1093">
        <v>20292772.75</v>
      </c>
      <c r="H133" s="1093">
        <v>0</v>
      </c>
      <c r="I133" s="591">
        <v>25316145.739999998</v>
      </c>
      <c r="J133" s="1093">
        <v>668393.34</v>
      </c>
      <c r="K133" s="1093">
        <v>5922265.4100000001</v>
      </c>
      <c r="L133" s="1093"/>
      <c r="M133" s="1093">
        <v>1268976.32</v>
      </c>
      <c r="N133" s="1093">
        <v>2868698.46</v>
      </c>
      <c r="O133" s="1212">
        <v>166832.29999999999</v>
      </c>
      <c r="P133" s="1212">
        <v>10450810.029999999</v>
      </c>
      <c r="Q133" s="1212">
        <v>4614855.08</v>
      </c>
      <c r="R133" s="1212">
        <v>692241.81</v>
      </c>
      <c r="S133" s="1212">
        <v>4805323</v>
      </c>
      <c r="T133" s="1212">
        <v>685101</v>
      </c>
      <c r="U133" s="1212">
        <v>495551.7</v>
      </c>
      <c r="V133" s="1212">
        <v>2835193.62</v>
      </c>
      <c r="W133" s="1212">
        <v>743107</v>
      </c>
      <c r="X133" s="1212">
        <v>1642713</v>
      </c>
      <c r="Y133" s="1212">
        <v>3708125.13</v>
      </c>
      <c r="Z133" s="1212">
        <v>1128181.01</v>
      </c>
      <c r="AA133" s="1212">
        <v>535754</v>
      </c>
      <c r="AB133" s="1212">
        <v>552120</v>
      </c>
      <c r="AC133" s="1212">
        <v>882567</v>
      </c>
      <c r="AD133" s="1212">
        <v>934359.99</v>
      </c>
      <c r="AE133" s="1212">
        <v>300145.57</v>
      </c>
      <c r="AF133" s="1212">
        <v>0</v>
      </c>
      <c r="AG133" s="1212">
        <v>0</v>
      </c>
      <c r="AH133" s="1093">
        <v>42582.63</v>
      </c>
      <c r="AJ133" s="341">
        <f t="shared" si="23"/>
        <v>108268614.95</v>
      </c>
    </row>
    <row r="134" spans="1:36" x14ac:dyDescent="0.2">
      <c r="A134" s="1221">
        <v>1868</v>
      </c>
      <c r="B134" s="2890" t="s">
        <v>5449</v>
      </c>
      <c r="C134" s="2890"/>
      <c r="D134" t="str">
        <f t="shared" si="25"/>
        <v>OK</v>
      </c>
      <c r="E134" s="1093">
        <v>0</v>
      </c>
      <c r="F134" s="1093">
        <v>0</v>
      </c>
      <c r="G134" s="1093">
        <v>0</v>
      </c>
      <c r="H134" s="1093">
        <v>0</v>
      </c>
      <c r="I134" s="591">
        <v>0</v>
      </c>
      <c r="J134" s="1093">
        <v>0</v>
      </c>
      <c r="K134" s="1093">
        <v>0</v>
      </c>
      <c r="L134" s="1093"/>
      <c r="M134" s="1093">
        <v>0</v>
      </c>
      <c r="N134" s="1093">
        <v>0</v>
      </c>
      <c r="O134" s="1212">
        <v>0</v>
      </c>
      <c r="P134" s="1213">
        <v>0</v>
      </c>
      <c r="Q134" s="1213">
        <v>0</v>
      </c>
      <c r="R134" s="1216">
        <v>0</v>
      </c>
      <c r="S134" s="1216">
        <v>0</v>
      </c>
      <c r="T134" s="1216">
        <v>0</v>
      </c>
      <c r="U134" s="1093">
        <v>0</v>
      </c>
      <c r="V134" s="1093">
        <v>0</v>
      </c>
      <c r="W134" s="1212">
        <v>0</v>
      </c>
      <c r="X134" s="1093">
        <v>0</v>
      </c>
      <c r="Y134" s="1093">
        <v>0</v>
      </c>
      <c r="Z134" s="591">
        <v>0</v>
      </c>
      <c r="AA134" s="1093">
        <v>0</v>
      </c>
      <c r="AB134" s="1093">
        <v>0</v>
      </c>
      <c r="AC134" s="1093">
        <v>0</v>
      </c>
      <c r="AD134" s="1093">
        <v>0</v>
      </c>
      <c r="AE134" s="1093">
        <v>0</v>
      </c>
      <c r="AF134" s="1093">
        <v>0</v>
      </c>
      <c r="AG134" s="1093">
        <v>0</v>
      </c>
      <c r="AH134" s="1093">
        <v>0</v>
      </c>
      <c r="AJ134" s="341">
        <f t="shared" si="23"/>
        <v>0</v>
      </c>
    </row>
    <row r="135" spans="1:36" x14ac:dyDescent="0.2">
      <c r="A135" s="1221">
        <v>1869</v>
      </c>
      <c r="B135" s="2890" t="s">
        <v>5450</v>
      </c>
      <c r="C135" s="2890"/>
      <c r="D135" t="str">
        <f t="shared" si="25"/>
        <v>OK</v>
      </c>
      <c r="E135" s="1093">
        <v>0</v>
      </c>
      <c r="F135" s="1093">
        <v>0</v>
      </c>
      <c r="G135" s="1093">
        <v>0</v>
      </c>
      <c r="H135" s="1093">
        <v>0</v>
      </c>
      <c r="I135" s="1093">
        <v>0</v>
      </c>
      <c r="J135" s="1093">
        <v>0</v>
      </c>
      <c r="K135" s="1093">
        <v>0</v>
      </c>
      <c r="L135" s="1093"/>
      <c r="M135" s="1093">
        <v>0</v>
      </c>
      <c r="N135" s="1093">
        <v>0</v>
      </c>
      <c r="O135" s="1212">
        <v>0</v>
      </c>
      <c r="P135" s="1212">
        <v>0</v>
      </c>
      <c r="Q135" s="1212">
        <v>0</v>
      </c>
      <c r="R135" s="1212">
        <v>0</v>
      </c>
      <c r="S135" s="1212">
        <v>0</v>
      </c>
      <c r="T135" s="1212">
        <v>0</v>
      </c>
      <c r="U135" s="1212">
        <v>0</v>
      </c>
      <c r="V135" s="1212">
        <v>0</v>
      </c>
      <c r="W135" s="1212">
        <v>0</v>
      </c>
      <c r="X135" s="1212">
        <v>0</v>
      </c>
      <c r="Y135" s="1212">
        <v>0</v>
      </c>
      <c r="Z135" s="1212">
        <v>0</v>
      </c>
      <c r="AA135" s="1212">
        <v>0</v>
      </c>
      <c r="AB135" s="1212">
        <v>0</v>
      </c>
      <c r="AC135" s="1212">
        <v>0</v>
      </c>
      <c r="AD135" s="1212">
        <v>0</v>
      </c>
      <c r="AE135" s="1212">
        <v>0</v>
      </c>
      <c r="AF135" s="1212">
        <v>0</v>
      </c>
      <c r="AG135" s="1212">
        <v>0</v>
      </c>
      <c r="AH135" s="1093">
        <v>0</v>
      </c>
      <c r="AJ135" s="341">
        <f t="shared" si="23"/>
        <v>0</v>
      </c>
    </row>
    <row r="136" spans="1:36" x14ac:dyDescent="0.2">
      <c r="A136" s="638">
        <v>1865</v>
      </c>
      <c r="B136" s="2890" t="s">
        <v>4879</v>
      </c>
      <c r="C136" s="2890"/>
      <c r="D136" t="str">
        <f t="shared" si="25"/>
        <v>OK</v>
      </c>
      <c r="E136" s="1093">
        <v>7713471</v>
      </c>
      <c r="F136" s="1093">
        <v>0</v>
      </c>
      <c r="G136" s="1093">
        <v>0</v>
      </c>
      <c r="H136" s="1093">
        <v>7713471</v>
      </c>
      <c r="I136" s="1093">
        <v>0</v>
      </c>
      <c r="J136" s="1093">
        <v>0</v>
      </c>
      <c r="K136" s="1093">
        <v>0</v>
      </c>
      <c r="L136" s="1093"/>
      <c r="M136" s="1093">
        <v>0</v>
      </c>
      <c r="N136" s="1093">
        <v>0</v>
      </c>
      <c r="O136" s="1212">
        <v>0</v>
      </c>
      <c r="P136" s="1212">
        <v>0</v>
      </c>
      <c r="Q136" s="1212">
        <v>0</v>
      </c>
      <c r="R136" s="1212">
        <v>0</v>
      </c>
      <c r="S136" s="1212">
        <v>0</v>
      </c>
      <c r="T136" s="1212">
        <v>0</v>
      </c>
      <c r="U136" s="1212">
        <v>0</v>
      </c>
      <c r="V136" s="1212">
        <v>0</v>
      </c>
      <c r="W136" s="1212">
        <v>0</v>
      </c>
      <c r="X136" s="1212">
        <v>0</v>
      </c>
      <c r="Y136" s="1212">
        <v>0</v>
      </c>
      <c r="Z136" s="1212">
        <v>0</v>
      </c>
      <c r="AA136" s="1212">
        <v>0</v>
      </c>
      <c r="AB136" s="1212">
        <v>0</v>
      </c>
      <c r="AC136" s="1212">
        <v>0</v>
      </c>
      <c r="AD136" s="1212">
        <v>0</v>
      </c>
      <c r="AE136" s="1212">
        <v>0</v>
      </c>
      <c r="AF136" s="1212">
        <v>0</v>
      </c>
      <c r="AG136" s="1212">
        <v>0</v>
      </c>
      <c r="AH136" s="1093">
        <v>0</v>
      </c>
      <c r="AJ136" s="341">
        <f t="shared" si="23"/>
        <v>7713471</v>
      </c>
    </row>
    <row r="137" spans="1:36" x14ac:dyDescent="0.2">
      <c r="A137" s="638">
        <v>1866</v>
      </c>
      <c r="B137" s="2890" t="s">
        <v>4880</v>
      </c>
      <c r="C137" s="2890"/>
      <c r="D137" t="str">
        <f t="shared" si="25"/>
        <v>OK</v>
      </c>
      <c r="E137" s="1093">
        <v>0</v>
      </c>
      <c r="F137" s="1093">
        <v>0</v>
      </c>
      <c r="G137" s="1093">
        <v>0</v>
      </c>
      <c r="H137" s="1093">
        <v>0</v>
      </c>
      <c r="I137" s="1093">
        <v>0</v>
      </c>
      <c r="J137" s="1093">
        <v>0</v>
      </c>
      <c r="K137" s="1093">
        <v>0</v>
      </c>
      <c r="L137" s="1093"/>
      <c r="M137" s="1093">
        <v>0</v>
      </c>
      <c r="N137" s="1093">
        <v>0</v>
      </c>
      <c r="O137" s="1212">
        <v>0</v>
      </c>
      <c r="P137" s="1212">
        <v>0</v>
      </c>
      <c r="Q137" s="1212">
        <v>0</v>
      </c>
      <c r="R137" s="1212">
        <v>0</v>
      </c>
      <c r="S137" s="1212">
        <v>0</v>
      </c>
      <c r="T137" s="1212">
        <v>0</v>
      </c>
      <c r="U137" s="1212">
        <v>0</v>
      </c>
      <c r="V137" s="1212">
        <v>0</v>
      </c>
      <c r="W137" s="1212">
        <v>0</v>
      </c>
      <c r="X137" s="1212">
        <v>0</v>
      </c>
      <c r="Y137" s="1212">
        <v>0</v>
      </c>
      <c r="Z137" s="1212">
        <v>0</v>
      </c>
      <c r="AA137" s="1212">
        <v>0</v>
      </c>
      <c r="AB137" s="1212">
        <v>0</v>
      </c>
      <c r="AC137" s="1212">
        <v>0</v>
      </c>
      <c r="AD137" s="1212">
        <v>0</v>
      </c>
      <c r="AE137" s="1212">
        <v>0</v>
      </c>
      <c r="AF137" s="1212">
        <v>0</v>
      </c>
      <c r="AG137" s="1212">
        <v>0</v>
      </c>
      <c r="AH137" s="1093">
        <v>0</v>
      </c>
      <c r="AJ137" s="341">
        <f t="shared" si="23"/>
        <v>0</v>
      </c>
    </row>
    <row r="138" spans="1:36" x14ac:dyDescent="0.2">
      <c r="B138" s="2890" t="s">
        <v>3555</v>
      </c>
      <c r="C138" s="2890"/>
      <c r="D138" s="1220" t="str">
        <f>IF(ROUND(SUM(F138:N138),2)-ROUND(E138,2)=0,"OK","prob")</f>
        <v>prob</v>
      </c>
      <c r="E138" s="350">
        <f t="shared" ref="E138:AH138" si="26">SUM(E103:E137)</f>
        <v>1228917770.48</v>
      </c>
      <c r="F138" s="2117">
        <f t="shared" si="26"/>
        <v>652988782.28999996</v>
      </c>
      <c r="G138" s="350">
        <f t="shared" si="26"/>
        <v>1452138862.55</v>
      </c>
      <c r="H138" s="350">
        <f t="shared" si="26"/>
        <v>9823242</v>
      </c>
      <c r="I138" s="350">
        <f t="shared" si="26"/>
        <v>433805821.14999998</v>
      </c>
      <c r="J138" s="350">
        <f t="shared" si="26"/>
        <v>34012160.630000003</v>
      </c>
      <c r="K138" s="350">
        <f t="shared" si="26"/>
        <v>210216613.41</v>
      </c>
      <c r="L138" s="350">
        <f t="shared" si="26"/>
        <v>0</v>
      </c>
      <c r="M138" s="350">
        <f t="shared" si="26"/>
        <v>63638780.340000004</v>
      </c>
      <c r="N138" s="350">
        <f t="shared" si="26"/>
        <v>54873815.359999999</v>
      </c>
      <c r="O138" s="379">
        <f t="shared" si="26"/>
        <v>19068293.870000001</v>
      </c>
      <c r="P138" s="350">
        <f t="shared" si="26"/>
        <v>589457937.42999995</v>
      </c>
      <c r="Q138" s="350">
        <f t="shared" si="26"/>
        <v>209656526.16999999</v>
      </c>
      <c r="R138" s="350">
        <f t="shared" si="26"/>
        <v>61387426.149999999</v>
      </c>
      <c r="S138" s="350">
        <f t="shared" si="26"/>
        <v>133755037.68000001</v>
      </c>
      <c r="T138" s="350">
        <f t="shared" si="26"/>
        <v>9382023.0700000003</v>
      </c>
      <c r="U138" s="350">
        <f t="shared" si="26"/>
        <v>35098084.289999999</v>
      </c>
      <c r="V138" s="350">
        <f t="shared" si="26"/>
        <v>97246818.200000003</v>
      </c>
      <c r="W138" s="350">
        <f t="shared" si="26"/>
        <v>19607902.77</v>
      </c>
      <c r="X138" s="350">
        <f t="shared" si="26"/>
        <v>25929002.77</v>
      </c>
      <c r="Y138" s="350">
        <f t="shared" si="26"/>
        <v>64804059.759999998</v>
      </c>
      <c r="Z138" s="350">
        <f t="shared" si="26"/>
        <v>12349344.93</v>
      </c>
      <c r="AA138" s="350">
        <f t="shared" si="26"/>
        <v>14206252.1</v>
      </c>
      <c r="AB138" s="350">
        <f t="shared" si="26"/>
        <v>6920597.0599999996</v>
      </c>
      <c r="AC138" s="350">
        <f t="shared" si="26"/>
        <v>18862195.41</v>
      </c>
      <c r="AD138" s="350">
        <f t="shared" si="26"/>
        <v>25099549.18</v>
      </c>
      <c r="AE138" s="350">
        <f t="shared" si="26"/>
        <v>5551251.6799999997</v>
      </c>
      <c r="AF138" s="350">
        <f t="shared" si="26"/>
        <v>2217831.09</v>
      </c>
      <c r="AG138" s="350">
        <f t="shared" ref="AG138" si="27">SUM(AG103:AG137)</f>
        <v>2227544.7999999998</v>
      </c>
      <c r="AH138" s="350">
        <f t="shared" si="26"/>
        <v>258531.08</v>
      </c>
      <c r="AJ138" s="341">
        <f t="shared" si="23"/>
        <v>4262098211.3400002</v>
      </c>
    </row>
    <row r="139" spans="1:36" x14ac:dyDescent="0.2">
      <c r="B139" s="2380"/>
      <c r="C139" s="2380"/>
      <c r="E139" s="341"/>
      <c r="F139" s="341"/>
      <c r="G139" s="341"/>
      <c r="H139" s="341"/>
      <c r="I139" s="341"/>
      <c r="J139" s="341"/>
      <c r="K139" s="341"/>
      <c r="L139" s="341"/>
      <c r="M139" s="341"/>
      <c r="N139" s="341"/>
      <c r="O139" s="212"/>
      <c r="P139" s="341"/>
      <c r="Q139" s="341"/>
      <c r="R139" s="341"/>
      <c r="S139" s="341"/>
      <c r="T139" s="341"/>
      <c r="U139" s="341"/>
      <c r="V139" s="341"/>
      <c r="W139" s="341"/>
      <c r="X139" s="341"/>
      <c r="Y139" s="341"/>
      <c r="Z139" s="341"/>
      <c r="AA139" s="341"/>
      <c r="AB139" s="341"/>
      <c r="AC139" s="341"/>
      <c r="AD139" s="341"/>
      <c r="AE139" s="341"/>
      <c r="AF139" s="341"/>
      <c r="AG139" s="341"/>
      <c r="AH139" s="341"/>
      <c r="AJ139" s="341">
        <f t="shared" si="23"/>
        <v>0</v>
      </c>
    </row>
    <row r="140" spans="1:36" x14ac:dyDescent="0.2">
      <c r="B140" s="218" t="s">
        <v>1991</v>
      </c>
      <c r="C140" s="218"/>
      <c r="E140" s="341"/>
      <c r="F140" s="341"/>
      <c r="G140" s="341"/>
      <c r="H140" s="341"/>
      <c r="I140" s="341"/>
      <c r="J140" s="341"/>
      <c r="K140" s="341"/>
      <c r="L140" s="341"/>
      <c r="M140" s="341"/>
      <c r="N140" s="341"/>
      <c r="O140" s="212"/>
      <c r="P140" s="341"/>
      <c r="Q140" s="341"/>
      <c r="R140" s="341"/>
      <c r="S140" s="341"/>
      <c r="T140" s="341"/>
      <c r="U140" s="341"/>
      <c r="V140" s="341"/>
      <c r="W140" s="341"/>
      <c r="X140" s="341"/>
      <c r="Y140" s="341"/>
      <c r="Z140" s="341"/>
      <c r="AA140" s="341"/>
      <c r="AB140" s="341"/>
      <c r="AC140" s="341"/>
      <c r="AD140" s="341"/>
      <c r="AE140" s="341"/>
      <c r="AF140" s="341"/>
      <c r="AG140" s="341"/>
      <c r="AH140" s="341"/>
      <c r="AJ140" s="341">
        <f t="shared" ref="AJ140:AJ174" si="28">SUM(F140:AF140)</f>
        <v>0</v>
      </c>
    </row>
    <row r="141" spans="1:36" x14ac:dyDescent="0.2">
      <c r="A141" s="170"/>
      <c r="B141" s="170" t="s">
        <v>2797</v>
      </c>
      <c r="C141" s="170"/>
      <c r="E141" s="341"/>
      <c r="F141" s="341"/>
      <c r="G141" s="341"/>
      <c r="H141" s="341"/>
      <c r="I141" s="341"/>
      <c r="J141" s="341"/>
      <c r="K141" s="341"/>
      <c r="L141" s="341"/>
      <c r="M141" s="341"/>
      <c r="N141" s="341"/>
      <c r="O141" s="212"/>
      <c r="P141" s="341"/>
      <c r="Q141" s="341"/>
      <c r="R141" s="341"/>
      <c r="S141" s="341"/>
      <c r="T141" s="341"/>
      <c r="U141" s="341"/>
      <c r="V141" s="341"/>
      <c r="W141" s="341"/>
      <c r="X141" s="341"/>
      <c r="Y141" s="341"/>
      <c r="Z141" s="212"/>
      <c r="AA141" s="341"/>
      <c r="AB141" s="341"/>
      <c r="AC141" s="341"/>
      <c r="AD141" s="341"/>
      <c r="AE141" s="341"/>
      <c r="AF141" s="341"/>
      <c r="AG141" s="341"/>
      <c r="AH141" s="341"/>
      <c r="AJ141" s="341">
        <f t="shared" si="28"/>
        <v>0</v>
      </c>
    </row>
    <row r="142" spans="1:36" x14ac:dyDescent="0.2">
      <c r="A142" s="170">
        <v>1940</v>
      </c>
      <c r="B142" s="3116" t="s">
        <v>2835</v>
      </c>
      <c r="C142" s="3116"/>
      <c r="D142" t="str">
        <f>IF(SUM(F142:N142)=E142,"OK","prob")</f>
        <v>OK</v>
      </c>
      <c r="E142" s="341">
        <v>17106495.190000001</v>
      </c>
      <c r="F142" s="341">
        <v>16402889.189999999</v>
      </c>
      <c r="G142" s="341">
        <v>0</v>
      </c>
      <c r="H142" s="341">
        <v>0</v>
      </c>
      <c r="I142" s="341">
        <v>0</v>
      </c>
      <c r="J142" s="341">
        <v>0</v>
      </c>
      <c r="K142" s="341">
        <v>0</v>
      </c>
      <c r="L142" s="341"/>
      <c r="M142" s="341">
        <v>0</v>
      </c>
      <c r="N142" s="341">
        <v>703606</v>
      </c>
      <c r="O142" s="760">
        <v>0</v>
      </c>
      <c r="P142" s="760">
        <v>19993848.629999999</v>
      </c>
      <c r="Q142" s="760">
        <v>0</v>
      </c>
      <c r="R142" s="760">
        <v>58902.51</v>
      </c>
      <c r="S142" s="760">
        <v>23421.25</v>
      </c>
      <c r="T142" s="760">
        <v>0</v>
      </c>
      <c r="U142" s="760">
        <v>0</v>
      </c>
      <c r="V142" s="760">
        <v>5373492.46</v>
      </c>
      <c r="W142" s="760">
        <v>0</v>
      </c>
      <c r="X142" s="760">
        <v>1264751.5</v>
      </c>
      <c r="Y142" s="760">
        <v>0</v>
      </c>
      <c r="Z142" s="760">
        <v>0</v>
      </c>
      <c r="AA142" s="760">
        <v>0</v>
      </c>
      <c r="AB142" s="760">
        <v>0</v>
      </c>
      <c r="AC142" s="760">
        <v>0</v>
      </c>
      <c r="AD142" s="760">
        <v>0</v>
      </c>
      <c r="AE142" s="760">
        <v>0</v>
      </c>
      <c r="AF142" s="760">
        <v>0</v>
      </c>
      <c r="AG142" s="760">
        <v>0</v>
      </c>
      <c r="AH142" s="341">
        <v>0</v>
      </c>
      <c r="AJ142" s="341">
        <f t="shared" si="28"/>
        <v>43820911.539999999</v>
      </c>
    </row>
    <row r="143" spans="1:36" x14ac:dyDescent="0.2">
      <c r="A143" s="170">
        <v>1950</v>
      </c>
      <c r="B143" s="3116" t="s">
        <v>2800</v>
      </c>
      <c r="C143" s="3116"/>
      <c r="D143" t="str">
        <f t="shared" ref="D143:D164" si="29">IF(SUM(F143:N143)-E143=0,"OK","prob")</f>
        <v>OK</v>
      </c>
      <c r="E143" s="341">
        <v>103293909</v>
      </c>
      <c r="F143" s="341">
        <v>103293909</v>
      </c>
      <c r="G143" s="341">
        <v>0</v>
      </c>
      <c r="H143" s="341">
        <v>0</v>
      </c>
      <c r="I143" s="341">
        <v>0</v>
      </c>
      <c r="J143" s="341">
        <v>0</v>
      </c>
      <c r="K143" s="341">
        <v>0</v>
      </c>
      <c r="L143" s="341"/>
      <c r="M143" s="341">
        <v>0</v>
      </c>
      <c r="N143" s="341">
        <v>0</v>
      </c>
      <c r="O143" s="760">
        <v>0</v>
      </c>
      <c r="P143" s="760">
        <v>13428028.800000001</v>
      </c>
      <c r="Q143" s="760">
        <v>1562576.19</v>
      </c>
      <c r="R143" s="760">
        <v>2043192.67</v>
      </c>
      <c r="S143" s="760">
        <v>1760325.35</v>
      </c>
      <c r="T143" s="760">
        <v>296754.68</v>
      </c>
      <c r="U143" s="760">
        <v>241459.48</v>
      </c>
      <c r="V143" s="760">
        <v>0</v>
      </c>
      <c r="W143" s="760">
        <v>0</v>
      </c>
      <c r="X143" s="760">
        <v>3432637.85</v>
      </c>
      <c r="Y143" s="760">
        <v>1253984.26</v>
      </c>
      <c r="Z143" s="760">
        <v>172404.18</v>
      </c>
      <c r="AA143" s="760">
        <v>0</v>
      </c>
      <c r="AB143" s="760">
        <v>0</v>
      </c>
      <c r="AC143" s="760">
        <v>526208.23</v>
      </c>
      <c r="AD143" s="760">
        <v>1969561.65</v>
      </c>
      <c r="AE143" s="760">
        <v>0</v>
      </c>
      <c r="AF143" s="760">
        <v>0</v>
      </c>
      <c r="AG143" s="760">
        <v>0</v>
      </c>
      <c r="AH143" s="341">
        <v>0</v>
      </c>
      <c r="AJ143" s="341">
        <f t="shared" si="28"/>
        <v>129981042.34</v>
      </c>
    </row>
    <row r="144" spans="1:36" x14ac:dyDescent="0.2">
      <c r="A144" s="170">
        <v>1960</v>
      </c>
      <c r="B144" s="3116" t="s">
        <v>2801</v>
      </c>
      <c r="C144" s="3116"/>
      <c r="D144" t="str">
        <f t="shared" si="29"/>
        <v>OK</v>
      </c>
      <c r="E144" s="341">
        <v>0</v>
      </c>
      <c r="F144" s="341">
        <v>0</v>
      </c>
      <c r="G144" s="341">
        <v>0</v>
      </c>
      <c r="H144" s="341">
        <v>0</v>
      </c>
      <c r="I144" s="341">
        <v>0</v>
      </c>
      <c r="J144" s="341">
        <v>0</v>
      </c>
      <c r="K144" s="341">
        <v>0</v>
      </c>
      <c r="L144" s="341"/>
      <c r="M144" s="341">
        <v>0</v>
      </c>
      <c r="N144" s="341">
        <v>0</v>
      </c>
      <c r="O144" s="760">
        <v>0</v>
      </c>
      <c r="P144" s="760">
        <v>0</v>
      </c>
      <c r="Q144" s="760">
        <v>0</v>
      </c>
      <c r="R144" s="760">
        <v>0</v>
      </c>
      <c r="S144" s="760">
        <v>0</v>
      </c>
      <c r="T144" s="760">
        <v>0</v>
      </c>
      <c r="U144" s="760">
        <v>0</v>
      </c>
      <c r="V144" s="760">
        <v>0</v>
      </c>
      <c r="W144" s="760">
        <v>0</v>
      </c>
      <c r="X144" s="760">
        <v>0</v>
      </c>
      <c r="Y144" s="760">
        <v>0</v>
      </c>
      <c r="Z144" s="760">
        <v>0</v>
      </c>
      <c r="AA144" s="760">
        <v>0</v>
      </c>
      <c r="AB144" s="760">
        <v>0</v>
      </c>
      <c r="AC144" s="760">
        <v>0</v>
      </c>
      <c r="AD144" s="760">
        <v>0</v>
      </c>
      <c r="AE144" s="760">
        <v>0</v>
      </c>
      <c r="AF144" s="760">
        <v>0</v>
      </c>
      <c r="AG144" s="760">
        <v>0</v>
      </c>
      <c r="AH144" s="341">
        <v>0</v>
      </c>
      <c r="AJ144" s="341">
        <f t="shared" si="28"/>
        <v>0</v>
      </c>
    </row>
    <row r="145" spans="1:36" x14ac:dyDescent="0.2">
      <c r="A145" s="638">
        <v>2020</v>
      </c>
      <c r="B145" s="2890" t="s">
        <v>4881</v>
      </c>
      <c r="C145" s="2890"/>
      <c r="D145" t="str">
        <f t="shared" si="29"/>
        <v>OK</v>
      </c>
      <c r="E145" s="1093">
        <v>0</v>
      </c>
      <c r="F145" s="1093">
        <v>0</v>
      </c>
      <c r="G145" s="1093">
        <v>0</v>
      </c>
      <c r="H145" s="1093">
        <v>0</v>
      </c>
      <c r="I145" s="1093">
        <v>0</v>
      </c>
      <c r="J145" s="1093">
        <v>0</v>
      </c>
      <c r="K145" s="1093">
        <v>0</v>
      </c>
      <c r="L145" s="1093"/>
      <c r="M145" s="1093">
        <v>0</v>
      </c>
      <c r="N145" s="1093">
        <v>0</v>
      </c>
      <c r="O145" s="1213">
        <v>0</v>
      </c>
      <c r="P145" s="1213">
        <v>0</v>
      </c>
      <c r="Q145" s="1213">
        <v>0</v>
      </c>
      <c r="R145" s="1213">
        <v>0</v>
      </c>
      <c r="S145" s="1213">
        <v>0</v>
      </c>
      <c r="T145" s="1213">
        <v>0</v>
      </c>
      <c r="U145" s="1213">
        <v>0</v>
      </c>
      <c r="V145" s="1213">
        <v>9538588.0600000005</v>
      </c>
      <c r="W145" s="1213">
        <v>0</v>
      </c>
      <c r="X145" s="1213">
        <v>0</v>
      </c>
      <c r="Y145" s="1213">
        <v>0</v>
      </c>
      <c r="Z145" s="1213">
        <v>0</v>
      </c>
      <c r="AA145" s="1213">
        <v>0</v>
      </c>
      <c r="AB145" s="1213">
        <v>0</v>
      </c>
      <c r="AC145" s="1213">
        <v>0</v>
      </c>
      <c r="AD145" s="1213">
        <v>0</v>
      </c>
      <c r="AE145" s="1213">
        <v>0</v>
      </c>
      <c r="AF145" s="1213">
        <v>0</v>
      </c>
      <c r="AG145" s="1213">
        <v>0</v>
      </c>
      <c r="AH145" s="1093">
        <v>0</v>
      </c>
      <c r="AJ145" s="341">
        <f t="shared" si="28"/>
        <v>9538588.0600000005</v>
      </c>
    </row>
    <row r="146" spans="1:36" x14ac:dyDescent="0.2">
      <c r="A146" s="170">
        <v>2097</v>
      </c>
      <c r="B146" s="2890" t="s">
        <v>2812</v>
      </c>
      <c r="C146" s="2890"/>
      <c r="D146" t="str">
        <f t="shared" si="29"/>
        <v>OK</v>
      </c>
      <c r="E146" s="341">
        <v>0</v>
      </c>
      <c r="F146" s="341">
        <v>0</v>
      </c>
      <c r="G146" s="341">
        <v>0</v>
      </c>
      <c r="H146" s="341">
        <v>0</v>
      </c>
      <c r="I146" s="341">
        <v>0</v>
      </c>
      <c r="J146" s="341">
        <v>0</v>
      </c>
      <c r="K146" s="341">
        <v>0</v>
      </c>
      <c r="L146" s="341"/>
      <c r="M146" s="341">
        <v>0</v>
      </c>
      <c r="N146" s="341">
        <v>0</v>
      </c>
      <c r="O146" s="760">
        <v>0</v>
      </c>
      <c r="P146" s="760">
        <v>0</v>
      </c>
      <c r="Q146" s="760">
        <v>64377969.369999997</v>
      </c>
      <c r="R146" s="760">
        <v>0</v>
      </c>
      <c r="S146" s="760">
        <v>9691747.4800000004</v>
      </c>
      <c r="T146" s="760">
        <v>0</v>
      </c>
      <c r="U146" s="760">
        <v>1061155.18</v>
      </c>
      <c r="V146" s="760">
        <v>0</v>
      </c>
      <c r="W146" s="760">
        <v>0</v>
      </c>
      <c r="X146" s="760">
        <v>0</v>
      </c>
      <c r="Y146" s="760">
        <v>0</v>
      </c>
      <c r="Z146" s="760">
        <v>0</v>
      </c>
      <c r="AA146" s="760">
        <v>0</v>
      </c>
      <c r="AB146" s="760">
        <v>0</v>
      </c>
      <c r="AC146" s="760">
        <v>0</v>
      </c>
      <c r="AD146" s="760">
        <v>0</v>
      </c>
      <c r="AE146" s="760">
        <v>0</v>
      </c>
      <c r="AF146" s="760">
        <v>0</v>
      </c>
      <c r="AG146" s="760">
        <v>0</v>
      </c>
      <c r="AH146" s="341">
        <v>0</v>
      </c>
      <c r="AJ146" s="341">
        <f t="shared" si="28"/>
        <v>75130872.030000001</v>
      </c>
    </row>
    <row r="147" spans="1:36" x14ac:dyDescent="0.2">
      <c r="A147" s="170">
        <v>2070</v>
      </c>
      <c r="B147" s="2890" t="s">
        <v>2815</v>
      </c>
      <c r="C147" s="2890"/>
      <c r="D147" t="str">
        <f t="shared" si="29"/>
        <v>OK</v>
      </c>
      <c r="E147" s="341">
        <v>0</v>
      </c>
      <c r="F147" s="341">
        <v>0</v>
      </c>
      <c r="G147" s="341">
        <v>0</v>
      </c>
      <c r="H147" s="341">
        <v>0</v>
      </c>
      <c r="I147" s="341">
        <v>0</v>
      </c>
      <c r="J147" s="341">
        <v>0</v>
      </c>
      <c r="K147" s="341">
        <v>0</v>
      </c>
      <c r="L147" s="341"/>
      <c r="M147" s="341">
        <v>0</v>
      </c>
      <c r="N147" s="341">
        <v>0</v>
      </c>
      <c r="O147" s="760">
        <v>0</v>
      </c>
      <c r="P147" s="760">
        <v>0</v>
      </c>
      <c r="Q147" s="760">
        <v>3917079.75</v>
      </c>
      <c r="R147" s="760">
        <v>0</v>
      </c>
      <c r="S147" s="760">
        <v>0</v>
      </c>
      <c r="T147" s="760">
        <v>63044.95</v>
      </c>
      <c r="U147" s="760">
        <v>0</v>
      </c>
      <c r="V147" s="760">
        <v>283592.39</v>
      </c>
      <c r="W147" s="760">
        <v>0</v>
      </c>
      <c r="X147" s="760">
        <v>174455.15</v>
      </c>
      <c r="Y147" s="760">
        <v>266424.40000000002</v>
      </c>
      <c r="Z147" s="760">
        <v>205476.73</v>
      </c>
      <c r="AA147" s="760">
        <v>171907.51</v>
      </c>
      <c r="AB147" s="760">
        <v>0</v>
      </c>
      <c r="AC147" s="760">
        <v>0</v>
      </c>
      <c r="AD147" s="760">
        <v>400</v>
      </c>
      <c r="AE147" s="760">
        <v>0</v>
      </c>
      <c r="AF147" s="760">
        <v>0</v>
      </c>
      <c r="AG147" s="760">
        <v>0</v>
      </c>
      <c r="AH147" s="341">
        <v>0</v>
      </c>
      <c r="AJ147" s="341">
        <f t="shared" si="28"/>
        <v>5082380.88</v>
      </c>
    </row>
    <row r="148" spans="1:36" x14ac:dyDescent="0.2">
      <c r="A148" s="170">
        <v>2080</v>
      </c>
      <c r="B148" s="2890" t="s">
        <v>2816</v>
      </c>
      <c r="C148" s="2890"/>
      <c r="D148" t="str">
        <f t="shared" si="29"/>
        <v>OK</v>
      </c>
      <c r="E148" s="341">
        <v>3107242.16</v>
      </c>
      <c r="F148" s="341">
        <v>0</v>
      </c>
      <c r="G148" s="341">
        <v>0</v>
      </c>
      <c r="H148" s="341">
        <v>0</v>
      </c>
      <c r="I148" s="341">
        <v>3107242.16</v>
      </c>
      <c r="J148" s="341">
        <v>0</v>
      </c>
      <c r="K148" s="341">
        <v>0</v>
      </c>
      <c r="L148" s="341"/>
      <c r="M148" s="341">
        <v>0</v>
      </c>
      <c r="N148" s="341">
        <v>0</v>
      </c>
      <c r="O148" s="760">
        <v>0</v>
      </c>
      <c r="P148" s="1215">
        <v>0</v>
      </c>
      <c r="Q148" s="760">
        <v>3363324.87</v>
      </c>
      <c r="R148" s="760">
        <v>5305584.43</v>
      </c>
      <c r="S148" s="760">
        <v>102312.52</v>
      </c>
      <c r="T148" s="760">
        <v>74139.97</v>
      </c>
      <c r="U148" s="760">
        <v>1506465.13</v>
      </c>
      <c r="V148" s="760">
        <v>0</v>
      </c>
      <c r="W148" s="760">
        <v>500268.94</v>
      </c>
      <c r="X148" s="760">
        <v>778099.9</v>
      </c>
      <c r="Y148" s="760">
        <v>2746087.62</v>
      </c>
      <c r="Z148" s="760">
        <v>490309.25</v>
      </c>
      <c r="AA148" s="760">
        <v>1447280.66</v>
      </c>
      <c r="AB148" s="760">
        <v>404970.81</v>
      </c>
      <c r="AC148" s="760">
        <v>1855364.53</v>
      </c>
      <c r="AD148" s="760">
        <v>1091702.43</v>
      </c>
      <c r="AE148" s="760">
        <v>26702.09</v>
      </c>
      <c r="AF148" s="760">
        <v>0</v>
      </c>
      <c r="AG148" s="760">
        <v>0</v>
      </c>
      <c r="AH148" s="341">
        <v>0</v>
      </c>
      <c r="AJ148" s="341">
        <f t="shared" si="28"/>
        <v>22799855.309999999</v>
      </c>
    </row>
    <row r="149" spans="1:36" x14ac:dyDescent="0.2">
      <c r="A149" s="170">
        <v>2024</v>
      </c>
      <c r="B149" s="2890" t="s">
        <v>2817</v>
      </c>
      <c r="C149" s="2890"/>
      <c r="D149" t="str">
        <f t="shared" si="29"/>
        <v>OK</v>
      </c>
      <c r="E149" s="341">
        <v>863723</v>
      </c>
      <c r="F149" s="341">
        <v>863723</v>
      </c>
      <c r="G149" s="341">
        <v>0</v>
      </c>
      <c r="H149" s="341">
        <v>0</v>
      </c>
      <c r="I149" s="212">
        <v>0</v>
      </c>
      <c r="J149" s="341">
        <v>0</v>
      </c>
      <c r="K149" s="341">
        <v>0</v>
      </c>
      <c r="L149" s="341"/>
      <c r="M149" s="341">
        <v>0</v>
      </c>
      <c r="N149" s="341">
        <v>0</v>
      </c>
      <c r="O149" s="760">
        <v>0</v>
      </c>
      <c r="P149" s="760">
        <v>51273983.719999999</v>
      </c>
      <c r="Q149" s="760">
        <v>0</v>
      </c>
      <c r="R149" s="760">
        <v>0</v>
      </c>
      <c r="S149" s="760">
        <v>0</v>
      </c>
      <c r="T149" s="760">
        <v>0</v>
      </c>
      <c r="U149" s="760">
        <v>0</v>
      </c>
      <c r="V149" s="760">
        <v>0</v>
      </c>
      <c r="W149" s="760">
        <v>0</v>
      </c>
      <c r="X149" s="760">
        <v>0</v>
      </c>
      <c r="Y149" s="760">
        <v>0</v>
      </c>
      <c r="Z149" s="760">
        <v>0</v>
      </c>
      <c r="AA149" s="760">
        <v>0</v>
      </c>
      <c r="AB149" s="760">
        <v>0</v>
      </c>
      <c r="AC149" s="760">
        <v>0</v>
      </c>
      <c r="AD149" s="760">
        <v>0</v>
      </c>
      <c r="AE149" s="760">
        <v>0</v>
      </c>
      <c r="AF149" s="760">
        <v>0</v>
      </c>
      <c r="AG149" s="760">
        <v>0</v>
      </c>
      <c r="AH149" s="341">
        <v>0</v>
      </c>
      <c r="AJ149" s="341">
        <f t="shared" si="28"/>
        <v>52137706.719999999</v>
      </c>
    </row>
    <row r="150" spans="1:36" x14ac:dyDescent="0.2">
      <c r="A150" s="638">
        <v>2035</v>
      </c>
      <c r="B150" s="2890" t="s">
        <v>1044</v>
      </c>
      <c r="C150" s="2890"/>
      <c r="D150" t="str">
        <f t="shared" si="29"/>
        <v>OK</v>
      </c>
      <c r="E150" s="1093">
        <v>8788334</v>
      </c>
      <c r="F150" s="1093">
        <v>0</v>
      </c>
      <c r="G150" s="1093">
        <v>0</v>
      </c>
      <c r="H150" s="1093">
        <v>0</v>
      </c>
      <c r="I150" s="591">
        <v>0</v>
      </c>
      <c r="J150" s="1093">
        <v>8788334</v>
      </c>
      <c r="K150" s="1093">
        <v>0</v>
      </c>
      <c r="L150" s="1093">
        <v>0</v>
      </c>
      <c r="M150" s="1093">
        <v>0</v>
      </c>
      <c r="N150" s="1093">
        <v>0</v>
      </c>
      <c r="O150" s="1213">
        <v>0</v>
      </c>
      <c r="P150" s="1213">
        <v>62102603.390000001</v>
      </c>
      <c r="Q150" s="1213">
        <v>33533006.640000001</v>
      </c>
      <c r="R150" s="1213">
        <v>7804239.96</v>
      </c>
      <c r="S150" s="1213">
        <v>3106197.98</v>
      </c>
      <c r="T150" s="1213">
        <v>0</v>
      </c>
      <c r="U150" s="1213">
        <v>7288343.3200000003</v>
      </c>
      <c r="V150" s="1213">
        <v>0</v>
      </c>
      <c r="W150" s="1213">
        <v>2389520.1</v>
      </c>
      <c r="X150" s="1213">
        <v>0</v>
      </c>
      <c r="Y150" s="1213">
        <v>93570545.230000004</v>
      </c>
      <c r="Z150" s="1213">
        <v>4608318.76</v>
      </c>
      <c r="AA150" s="1213">
        <v>2157830.7999999998</v>
      </c>
      <c r="AB150" s="1213">
        <v>21063936.18</v>
      </c>
      <c r="AC150" s="1213">
        <v>5689218.4500000002</v>
      </c>
      <c r="AD150" s="1213">
        <v>1787412.93</v>
      </c>
      <c r="AE150" s="1213">
        <v>0</v>
      </c>
      <c r="AF150" s="1213">
        <v>16547638.939999999</v>
      </c>
      <c r="AG150" s="1213">
        <v>0</v>
      </c>
      <c r="AH150" s="1093">
        <v>0</v>
      </c>
      <c r="AJ150" s="341">
        <f t="shared" si="28"/>
        <v>270437146.68000001</v>
      </c>
    </row>
    <row r="151" spans="1:36" x14ac:dyDescent="0.2">
      <c r="A151" s="638">
        <v>2040</v>
      </c>
      <c r="B151" s="2890" t="s">
        <v>4928</v>
      </c>
      <c r="C151" s="2890"/>
      <c r="D151" t="str">
        <f>IF(SUM(F151:N151)=E151,"OK","prob")</f>
        <v>OK</v>
      </c>
      <c r="E151" s="1093">
        <v>247979980.49000001</v>
      </c>
      <c r="F151" s="1093">
        <v>55429146.740000002</v>
      </c>
      <c r="G151" s="1093">
        <v>62204588.950000003</v>
      </c>
      <c r="H151" s="1093">
        <v>0</v>
      </c>
      <c r="I151" s="591">
        <v>38402650.369999997</v>
      </c>
      <c r="J151" s="1093">
        <v>4072229.79</v>
      </c>
      <c r="K151" s="1093">
        <v>76946048.879999995</v>
      </c>
      <c r="L151" s="1093">
        <v>0</v>
      </c>
      <c r="M151" s="1093">
        <v>0</v>
      </c>
      <c r="N151" s="1093">
        <v>10925315.76</v>
      </c>
      <c r="O151" s="1213">
        <v>12120035.17</v>
      </c>
      <c r="P151" s="1213">
        <v>71861535.599999994</v>
      </c>
      <c r="Q151" s="1213">
        <v>89303708.439999998</v>
      </c>
      <c r="R151" s="1213">
        <v>3654643.69</v>
      </c>
      <c r="S151" s="1213">
        <v>4899871.28</v>
      </c>
      <c r="T151" s="1213">
        <v>1489009.16</v>
      </c>
      <c r="U151" s="1213">
        <v>1141498.1000000001</v>
      </c>
      <c r="V151" s="1213">
        <v>23523370.09</v>
      </c>
      <c r="W151" s="1213">
        <v>1847881.31</v>
      </c>
      <c r="X151" s="1213">
        <v>5730654.5899999999</v>
      </c>
      <c r="Y151" s="1213">
        <v>7838716.1200000001</v>
      </c>
      <c r="Z151" s="1213">
        <v>91527.96</v>
      </c>
      <c r="AA151" s="1213">
        <v>1385126.7</v>
      </c>
      <c r="AB151" s="1213">
        <v>99992.77</v>
      </c>
      <c r="AC151" s="1213">
        <v>349882</v>
      </c>
      <c r="AD151" s="1213">
        <v>303049.95</v>
      </c>
      <c r="AE151" s="1213">
        <v>0</v>
      </c>
      <c r="AF151" s="1213">
        <v>0</v>
      </c>
      <c r="AG151" s="1213">
        <v>0</v>
      </c>
      <c r="AH151" s="1093">
        <v>0</v>
      </c>
      <c r="AJ151" s="341">
        <f t="shared" si="28"/>
        <v>473620483.42000002</v>
      </c>
    </row>
    <row r="152" spans="1:36" x14ac:dyDescent="0.2">
      <c r="A152" s="638">
        <v>2046</v>
      </c>
      <c r="B152" s="3069" t="s">
        <v>5451</v>
      </c>
      <c r="C152" s="3069"/>
      <c r="D152" t="str">
        <f>IF(SUM(F152:N152)-E152=0,"OK","prob")</f>
        <v>OK</v>
      </c>
      <c r="E152" s="1093">
        <v>48653019.32</v>
      </c>
      <c r="F152" s="1093">
        <v>0</v>
      </c>
      <c r="G152" s="1093">
        <v>48653019.32</v>
      </c>
      <c r="H152" s="1093">
        <v>0</v>
      </c>
      <c r="I152" s="591">
        <v>0</v>
      </c>
      <c r="J152" s="1093">
        <v>0</v>
      </c>
      <c r="K152" s="1093">
        <v>0</v>
      </c>
      <c r="L152" s="1093">
        <v>0</v>
      </c>
      <c r="M152" s="1093">
        <v>0</v>
      </c>
      <c r="N152" s="1093">
        <v>0</v>
      </c>
      <c r="O152" s="1093">
        <v>1210340.74</v>
      </c>
      <c r="P152" s="1093">
        <v>7683558.1200000001</v>
      </c>
      <c r="Q152" s="1093">
        <v>4413523.43</v>
      </c>
      <c r="R152" s="1093">
        <v>1690775.62</v>
      </c>
      <c r="S152" s="1093">
        <v>4367566.16</v>
      </c>
      <c r="T152" s="1093">
        <v>510747.8</v>
      </c>
      <c r="U152" s="1093">
        <v>5022033.2699999996</v>
      </c>
      <c r="V152" s="1093">
        <v>13555276.1</v>
      </c>
      <c r="W152" s="1093">
        <v>1616887.77</v>
      </c>
      <c r="X152" s="1093">
        <v>898650.22</v>
      </c>
      <c r="Y152" s="1093">
        <v>2221552.27</v>
      </c>
      <c r="Z152" s="591">
        <v>445213.54</v>
      </c>
      <c r="AA152" s="1093">
        <v>2256044.08</v>
      </c>
      <c r="AB152" s="1093">
        <v>551930.46</v>
      </c>
      <c r="AC152" s="1093">
        <v>2455020</v>
      </c>
      <c r="AD152" s="1093">
        <v>561119</v>
      </c>
      <c r="AE152" s="1093">
        <v>782273.5</v>
      </c>
      <c r="AF152" s="1093">
        <v>0</v>
      </c>
      <c r="AG152" s="1093">
        <v>40553.17</v>
      </c>
      <c r="AH152" s="1093">
        <v>0</v>
      </c>
      <c r="AJ152" s="341">
        <f t="shared" si="28"/>
        <v>98895531.400000006</v>
      </c>
    </row>
    <row r="153" spans="1:36" x14ac:dyDescent="0.2">
      <c r="A153" s="638">
        <v>2047</v>
      </c>
      <c r="B153" s="3069" t="s">
        <v>3498</v>
      </c>
      <c r="C153" s="3069"/>
      <c r="D153" t="str">
        <f>IF(SUM(F153:N153)-E153=0,"OK","prob")</f>
        <v>OK</v>
      </c>
      <c r="E153" s="1093">
        <v>0</v>
      </c>
      <c r="F153" s="1093">
        <v>0</v>
      </c>
      <c r="G153" s="1093">
        <v>0</v>
      </c>
      <c r="H153" s="1093">
        <v>0</v>
      </c>
      <c r="I153" s="591">
        <v>0</v>
      </c>
      <c r="J153" s="1093">
        <v>0</v>
      </c>
      <c r="K153" s="1093">
        <v>0</v>
      </c>
      <c r="L153" s="1093">
        <v>0</v>
      </c>
      <c r="M153" s="1093">
        <v>0</v>
      </c>
      <c r="N153" s="1093">
        <v>0</v>
      </c>
      <c r="O153" s="1093">
        <v>0</v>
      </c>
      <c r="P153" s="1093">
        <v>0</v>
      </c>
      <c r="Q153" s="1093">
        <v>0</v>
      </c>
      <c r="R153" s="1093">
        <v>0</v>
      </c>
      <c r="S153" s="1093">
        <v>0</v>
      </c>
      <c r="T153" s="1093">
        <v>0</v>
      </c>
      <c r="U153" s="1093">
        <v>0</v>
      </c>
      <c r="V153" s="1093">
        <v>0</v>
      </c>
      <c r="W153" s="1093">
        <v>0</v>
      </c>
      <c r="X153" s="1093">
        <v>0</v>
      </c>
      <c r="Y153" s="1093">
        <v>0</v>
      </c>
      <c r="Z153" s="591">
        <v>0</v>
      </c>
      <c r="AA153" s="1093">
        <v>0</v>
      </c>
      <c r="AB153" s="1093">
        <v>0</v>
      </c>
      <c r="AC153" s="1213">
        <v>0</v>
      </c>
      <c r="AD153" s="1093">
        <v>0</v>
      </c>
      <c r="AE153" s="1093">
        <v>0</v>
      </c>
      <c r="AF153" s="1093">
        <v>0</v>
      </c>
      <c r="AG153" s="1093">
        <v>0</v>
      </c>
      <c r="AH153" s="1093">
        <v>0</v>
      </c>
      <c r="AJ153" s="341">
        <f t="shared" si="28"/>
        <v>0</v>
      </c>
    </row>
    <row r="154" spans="1:36" x14ac:dyDescent="0.2">
      <c r="A154" s="638">
        <v>2050</v>
      </c>
      <c r="B154" s="2890" t="s">
        <v>4885</v>
      </c>
      <c r="C154" s="2890"/>
      <c r="D154" t="str">
        <f t="shared" si="29"/>
        <v>OK</v>
      </c>
      <c r="E154" s="1093">
        <v>844126880.36000001</v>
      </c>
      <c r="F154" s="1093">
        <v>426002811.41000003</v>
      </c>
      <c r="G154" s="1093">
        <v>0</v>
      </c>
      <c r="H154" s="1093">
        <v>0</v>
      </c>
      <c r="I154" s="591">
        <v>418124068.94999999</v>
      </c>
      <c r="J154" s="1093">
        <v>0</v>
      </c>
      <c r="K154" s="1093">
        <v>0</v>
      </c>
      <c r="L154" s="1093">
        <v>0</v>
      </c>
      <c r="M154" s="1093">
        <v>0</v>
      </c>
      <c r="N154" s="1093">
        <v>0</v>
      </c>
      <c r="O154" s="1213">
        <v>0</v>
      </c>
      <c r="P154" s="562">
        <v>1164197072.5</v>
      </c>
      <c r="Q154" s="1213">
        <v>464741948.67000002</v>
      </c>
      <c r="R154" s="1213">
        <v>247089200.09999999</v>
      </c>
      <c r="S154" s="1213">
        <v>517695265.77999997</v>
      </c>
      <c r="T154" s="1213">
        <v>72365192.25</v>
      </c>
      <c r="U154" s="1213">
        <v>195423103.09999999</v>
      </c>
      <c r="V154" s="1213">
        <v>333861401.79000002</v>
      </c>
      <c r="W154" s="1213">
        <v>86681683.719999999</v>
      </c>
      <c r="X154" s="1213">
        <v>239712169.94999999</v>
      </c>
      <c r="Y154" s="1213">
        <v>239896229.44</v>
      </c>
      <c r="Z154" s="1213">
        <v>37519229.299999997</v>
      </c>
      <c r="AA154" s="1213">
        <v>76388514.329999998</v>
      </c>
      <c r="AB154" s="1213">
        <v>14880947.84</v>
      </c>
      <c r="AC154" s="1213">
        <v>42355934.530000001</v>
      </c>
      <c r="AD154" s="1213">
        <v>98368867.5</v>
      </c>
      <c r="AE154" s="1213">
        <v>46550640.579999998</v>
      </c>
      <c r="AF154" s="1213">
        <v>0</v>
      </c>
      <c r="AG154" s="1213">
        <v>0</v>
      </c>
      <c r="AH154" s="1093">
        <v>0</v>
      </c>
      <c r="AJ154" s="341">
        <f t="shared" si="28"/>
        <v>4721854281.7399998</v>
      </c>
    </row>
    <row r="155" spans="1:36" x14ac:dyDescent="0.2">
      <c r="A155" s="638">
        <v>2060</v>
      </c>
      <c r="B155" s="2890" t="s">
        <v>1041</v>
      </c>
      <c r="C155" s="2890"/>
      <c r="D155" t="str">
        <f t="shared" si="29"/>
        <v>OK</v>
      </c>
      <c r="E155" s="1093">
        <v>0</v>
      </c>
      <c r="F155" s="1093">
        <v>0</v>
      </c>
      <c r="G155" s="1093">
        <v>0</v>
      </c>
      <c r="H155" s="1093">
        <v>0</v>
      </c>
      <c r="I155" s="591">
        <v>0</v>
      </c>
      <c r="J155" s="1093">
        <v>0</v>
      </c>
      <c r="K155" s="1093">
        <v>0</v>
      </c>
      <c r="L155" s="1093">
        <v>0</v>
      </c>
      <c r="M155" s="1093">
        <v>0</v>
      </c>
      <c r="N155" s="1093">
        <v>0</v>
      </c>
      <c r="O155" s="1213">
        <v>0</v>
      </c>
      <c r="P155" s="1213">
        <v>0</v>
      </c>
      <c r="Q155" s="1213">
        <v>0</v>
      </c>
      <c r="R155" s="1213">
        <v>0</v>
      </c>
      <c r="S155" s="1213">
        <v>0</v>
      </c>
      <c r="T155" s="1213">
        <v>0</v>
      </c>
      <c r="U155" s="1213">
        <v>0</v>
      </c>
      <c r="V155" s="1213">
        <v>0</v>
      </c>
      <c r="W155" s="1213">
        <v>0</v>
      </c>
      <c r="X155" s="1213">
        <v>0</v>
      </c>
      <c r="Y155" s="1213">
        <v>0</v>
      </c>
      <c r="Z155" s="1213">
        <v>0</v>
      </c>
      <c r="AA155" s="1213">
        <v>0</v>
      </c>
      <c r="AB155" s="1213">
        <v>0</v>
      </c>
      <c r="AC155" s="1213">
        <v>0</v>
      </c>
      <c r="AD155" s="1213">
        <v>0</v>
      </c>
      <c r="AE155" s="1213">
        <v>0</v>
      </c>
      <c r="AF155" s="1213">
        <v>0</v>
      </c>
      <c r="AG155" s="1213">
        <v>0</v>
      </c>
      <c r="AH155" s="1093">
        <v>0</v>
      </c>
      <c r="AJ155" s="341">
        <f t="shared" si="28"/>
        <v>0</v>
      </c>
    </row>
    <row r="156" spans="1:36" x14ac:dyDescent="0.2">
      <c r="A156" s="638">
        <v>2061</v>
      </c>
      <c r="B156" s="2890" t="s">
        <v>1043</v>
      </c>
      <c r="C156" s="2890"/>
      <c r="D156" t="str">
        <f t="shared" si="29"/>
        <v>OK</v>
      </c>
      <c r="E156" s="1093">
        <v>0</v>
      </c>
      <c r="F156" s="1093">
        <v>0</v>
      </c>
      <c r="G156" s="1093">
        <v>0</v>
      </c>
      <c r="H156" s="1093">
        <v>0</v>
      </c>
      <c r="I156" s="591">
        <v>0</v>
      </c>
      <c r="J156" s="1093">
        <v>0</v>
      </c>
      <c r="K156" s="1093">
        <v>0</v>
      </c>
      <c r="L156" s="1093">
        <v>0</v>
      </c>
      <c r="M156" s="1093">
        <v>0</v>
      </c>
      <c r="N156" s="1093">
        <v>0</v>
      </c>
      <c r="O156" s="1213">
        <v>265970.71999999997</v>
      </c>
      <c r="P156" s="1213">
        <v>9812706.1500000004</v>
      </c>
      <c r="Q156" s="1213">
        <v>7797845.7199999997</v>
      </c>
      <c r="R156" s="1213">
        <v>2738746.78</v>
      </c>
      <c r="S156" s="1213">
        <v>1903014.13</v>
      </c>
      <c r="T156" s="1213">
        <v>28469.64</v>
      </c>
      <c r="U156" s="1213">
        <v>502717.97</v>
      </c>
      <c r="V156" s="1213">
        <v>2981705.76</v>
      </c>
      <c r="W156" s="1213">
        <v>922213.38</v>
      </c>
      <c r="X156" s="1213">
        <v>497023.34</v>
      </c>
      <c r="Y156" s="1213">
        <v>350936.43</v>
      </c>
      <c r="Z156" s="1213">
        <v>338592.6</v>
      </c>
      <c r="AA156" s="1213">
        <v>3263260.92</v>
      </c>
      <c r="AB156" s="1213">
        <v>1241322</v>
      </c>
      <c r="AC156" s="1213">
        <v>819474.4</v>
      </c>
      <c r="AD156" s="1213">
        <v>1670726.64</v>
      </c>
      <c r="AE156" s="1213">
        <v>720162.61</v>
      </c>
      <c r="AF156" s="1213">
        <v>0</v>
      </c>
      <c r="AG156" s="1213">
        <v>0</v>
      </c>
      <c r="AH156" s="1093">
        <v>0</v>
      </c>
      <c r="AJ156" s="341">
        <f t="shared" si="28"/>
        <v>35854889.189999998</v>
      </c>
    </row>
    <row r="157" spans="1:36" x14ac:dyDescent="0.2">
      <c r="A157" s="638">
        <v>2045</v>
      </c>
      <c r="B157" s="2890" t="s">
        <v>1069</v>
      </c>
      <c r="C157" s="2890"/>
      <c r="D157" t="str">
        <f t="shared" si="29"/>
        <v>OK</v>
      </c>
      <c r="E157" s="1093">
        <v>1750725</v>
      </c>
      <c r="F157" s="1093">
        <v>0</v>
      </c>
      <c r="G157" s="1093">
        <v>0</v>
      </c>
      <c r="H157" s="1093">
        <v>0</v>
      </c>
      <c r="I157" s="591">
        <v>0</v>
      </c>
      <c r="J157" s="1093">
        <v>0</v>
      </c>
      <c r="K157" s="1093">
        <v>0</v>
      </c>
      <c r="L157" s="1093">
        <v>0</v>
      </c>
      <c r="M157" s="1093">
        <v>0</v>
      </c>
      <c r="N157" s="1093">
        <v>1750725</v>
      </c>
      <c r="O157" s="1213">
        <v>0</v>
      </c>
      <c r="P157" s="1213">
        <v>45441597.409999996</v>
      </c>
      <c r="Q157" s="1213">
        <v>0</v>
      </c>
      <c r="R157" s="1213">
        <v>3650807.94</v>
      </c>
      <c r="S157" s="1213">
        <v>0</v>
      </c>
      <c r="T157" s="1213">
        <v>0</v>
      </c>
      <c r="U157" s="1213">
        <v>0</v>
      </c>
      <c r="V157" s="1213">
        <v>0</v>
      </c>
      <c r="W157" s="1213">
        <v>0</v>
      </c>
      <c r="X157" s="1213">
        <v>0</v>
      </c>
      <c r="Y157" s="1213">
        <v>0</v>
      </c>
      <c r="Z157" s="1213">
        <v>0</v>
      </c>
      <c r="AA157" s="1213">
        <v>0</v>
      </c>
      <c r="AB157" s="1213">
        <v>0</v>
      </c>
      <c r="AC157" s="1213">
        <v>0</v>
      </c>
      <c r="AD157" s="1213">
        <v>0</v>
      </c>
      <c r="AE157" s="1213">
        <v>0</v>
      </c>
      <c r="AF157" s="1213">
        <v>0</v>
      </c>
      <c r="AG157" s="1213">
        <v>0</v>
      </c>
      <c r="AH157" s="1093">
        <v>0</v>
      </c>
      <c r="AJ157" s="341">
        <f t="shared" si="28"/>
        <v>50843130.350000001</v>
      </c>
    </row>
    <row r="158" spans="1:36" x14ac:dyDescent="0.2">
      <c r="A158" s="638">
        <v>2085</v>
      </c>
      <c r="B158" s="2890" t="s">
        <v>1048</v>
      </c>
      <c r="C158" s="2890"/>
      <c r="D158" t="str">
        <f t="shared" si="29"/>
        <v>OK</v>
      </c>
      <c r="E158" s="1093">
        <v>0</v>
      </c>
      <c r="F158" s="1093">
        <v>0</v>
      </c>
      <c r="G158" s="1093">
        <v>0</v>
      </c>
      <c r="H158" s="1093">
        <v>0</v>
      </c>
      <c r="I158" s="591">
        <v>0</v>
      </c>
      <c r="J158" s="1093">
        <v>0</v>
      </c>
      <c r="K158" s="1093">
        <v>0</v>
      </c>
      <c r="L158" s="1093">
        <v>0</v>
      </c>
      <c r="M158" s="1093">
        <v>0</v>
      </c>
      <c r="N158" s="1093">
        <v>0</v>
      </c>
      <c r="O158" s="1213">
        <v>0</v>
      </c>
      <c r="P158" s="1213">
        <v>0</v>
      </c>
      <c r="Q158" s="1213">
        <v>3910388.76</v>
      </c>
      <c r="R158" s="1213">
        <v>0</v>
      </c>
      <c r="S158" s="1213">
        <v>0</v>
      </c>
      <c r="T158" s="1213">
        <v>0</v>
      </c>
      <c r="U158" s="1213">
        <v>0</v>
      </c>
      <c r="V158" s="1213">
        <v>0</v>
      </c>
      <c r="W158" s="1213">
        <v>0</v>
      </c>
      <c r="X158" s="1213">
        <v>0</v>
      </c>
      <c r="Y158" s="1213">
        <v>0</v>
      </c>
      <c r="Z158" s="1213">
        <v>0</v>
      </c>
      <c r="AA158" s="1213">
        <v>0</v>
      </c>
      <c r="AB158" s="1213">
        <v>0</v>
      </c>
      <c r="AC158" s="1213">
        <v>30000</v>
      </c>
      <c r="AD158" s="1213">
        <v>0</v>
      </c>
      <c r="AE158" s="1213">
        <v>0</v>
      </c>
      <c r="AF158" s="1213">
        <v>0</v>
      </c>
      <c r="AG158" s="1213">
        <v>0</v>
      </c>
      <c r="AH158" s="1093">
        <v>0</v>
      </c>
      <c r="AJ158" s="341">
        <f t="shared" si="28"/>
        <v>3940388.76</v>
      </c>
    </row>
    <row r="159" spans="1:36" x14ac:dyDescent="0.2">
      <c r="A159" s="638">
        <v>2087</v>
      </c>
      <c r="B159" s="2890" t="s">
        <v>1049</v>
      </c>
      <c r="C159" s="2890"/>
      <c r="D159" t="str">
        <f t="shared" si="29"/>
        <v>OK</v>
      </c>
      <c r="E159" s="1093">
        <v>0</v>
      </c>
      <c r="F159" s="1093">
        <v>0</v>
      </c>
      <c r="G159" s="1093">
        <v>0</v>
      </c>
      <c r="H159" s="1093">
        <v>0</v>
      </c>
      <c r="I159" s="591">
        <v>0</v>
      </c>
      <c r="J159" s="1093">
        <v>0</v>
      </c>
      <c r="K159" s="1093">
        <v>0</v>
      </c>
      <c r="L159" s="1093">
        <v>0</v>
      </c>
      <c r="M159" s="1093">
        <v>0</v>
      </c>
      <c r="N159" s="1093">
        <v>0</v>
      </c>
      <c r="O159" s="1213">
        <v>0</v>
      </c>
      <c r="P159" s="1213">
        <v>0</v>
      </c>
      <c r="Q159" s="1213">
        <v>15600422</v>
      </c>
      <c r="R159" s="1213">
        <v>0</v>
      </c>
      <c r="S159" s="1213">
        <v>0</v>
      </c>
      <c r="T159" s="1213">
        <v>0</v>
      </c>
      <c r="U159" s="1213">
        <v>0</v>
      </c>
      <c r="V159" s="1213">
        <v>0</v>
      </c>
      <c r="W159" s="1213">
        <v>0</v>
      </c>
      <c r="X159" s="1213">
        <v>0</v>
      </c>
      <c r="Y159" s="1213">
        <v>0</v>
      </c>
      <c r="Z159" s="1213">
        <v>0</v>
      </c>
      <c r="AA159" s="1213">
        <v>0</v>
      </c>
      <c r="AB159" s="1213">
        <v>0</v>
      </c>
      <c r="AC159" s="1213">
        <v>0</v>
      </c>
      <c r="AD159" s="1213">
        <v>0</v>
      </c>
      <c r="AE159" s="1213">
        <v>0</v>
      </c>
      <c r="AF159" s="1213">
        <v>0</v>
      </c>
      <c r="AG159" s="1213">
        <v>0</v>
      </c>
      <c r="AH159" s="1093">
        <v>0</v>
      </c>
      <c r="AJ159" s="341">
        <f t="shared" si="28"/>
        <v>15600422</v>
      </c>
    </row>
    <row r="160" spans="1:36" x14ac:dyDescent="0.2">
      <c r="A160" s="638">
        <v>2090</v>
      </c>
      <c r="B160" s="2890" t="s">
        <v>1071</v>
      </c>
      <c r="C160" s="2890"/>
      <c r="D160" t="str">
        <f>IF(SUM(F160:N160)-E160=0,"Problem","OK")</f>
        <v>OK</v>
      </c>
      <c r="E160" s="1093">
        <v>57198161.170000002</v>
      </c>
      <c r="F160" s="1093">
        <v>41353770.979999997</v>
      </c>
      <c r="G160" s="1093">
        <v>15772111.119999999</v>
      </c>
      <c r="H160" s="1093">
        <v>0</v>
      </c>
      <c r="I160" s="591">
        <v>0</v>
      </c>
      <c r="J160" s="1093">
        <v>71879.070000000007</v>
      </c>
      <c r="K160" s="1093">
        <v>0</v>
      </c>
      <c r="L160" s="1093">
        <v>0</v>
      </c>
      <c r="M160" s="1093">
        <v>0</v>
      </c>
      <c r="N160" s="1093">
        <v>400</v>
      </c>
      <c r="O160" s="1213">
        <v>5144114.95</v>
      </c>
      <c r="P160" s="1213">
        <v>206765788.74000001</v>
      </c>
      <c r="Q160" s="1213">
        <v>85971913.049999997</v>
      </c>
      <c r="R160" s="1213">
        <v>14526409.32</v>
      </c>
      <c r="S160" s="1213">
        <v>16795370</v>
      </c>
      <c r="T160" s="1213">
        <v>2935249</v>
      </c>
      <c r="U160" s="1213">
        <v>12896923.359999999</v>
      </c>
      <c r="V160" s="1213">
        <v>27442150.640000001</v>
      </c>
      <c r="W160" s="1213">
        <v>11056666</v>
      </c>
      <c r="X160" s="1213">
        <v>6983779</v>
      </c>
      <c r="Y160" s="1213">
        <v>14398667.08</v>
      </c>
      <c r="Z160" s="1213">
        <v>3410678.89</v>
      </c>
      <c r="AA160" s="1213">
        <v>3568685</v>
      </c>
      <c r="AB160" s="1213">
        <v>2005943</v>
      </c>
      <c r="AC160" s="1213">
        <v>4165896</v>
      </c>
      <c r="AD160" s="1213">
        <v>6204203.5099999998</v>
      </c>
      <c r="AE160" s="1213">
        <v>2595936.91</v>
      </c>
      <c r="AF160" s="1213">
        <v>0</v>
      </c>
      <c r="AG160" s="1213">
        <v>0</v>
      </c>
      <c r="AH160" s="1093">
        <v>270459.5</v>
      </c>
      <c r="AJ160" s="341">
        <f t="shared" si="28"/>
        <v>484066535.62</v>
      </c>
    </row>
    <row r="161" spans="1:36" x14ac:dyDescent="0.2">
      <c r="A161" s="1221">
        <v>2098</v>
      </c>
      <c r="B161" s="2890" t="s">
        <v>1072</v>
      </c>
      <c r="C161" s="2890"/>
      <c r="D161" t="str">
        <f t="shared" si="29"/>
        <v>OK</v>
      </c>
      <c r="E161" s="1093">
        <v>727226774</v>
      </c>
      <c r="F161" s="1093">
        <v>479896702.98000002</v>
      </c>
      <c r="G161" s="1093">
        <v>109025490.02</v>
      </c>
      <c r="H161" s="1093">
        <v>0</v>
      </c>
      <c r="I161" s="591">
        <v>138304581</v>
      </c>
      <c r="J161" s="1093">
        <v>0</v>
      </c>
      <c r="K161" s="1093">
        <v>0</v>
      </c>
      <c r="L161" s="1093">
        <v>0</v>
      </c>
      <c r="M161" s="1093">
        <v>0</v>
      </c>
      <c r="N161" s="1093">
        <v>0</v>
      </c>
      <c r="O161" s="1213">
        <v>18824410</v>
      </c>
      <c r="P161" s="1213">
        <v>465017706</v>
      </c>
      <c r="Q161" s="1213">
        <v>310072163</v>
      </c>
      <c r="R161" s="1213">
        <v>77774811</v>
      </c>
      <c r="S161" s="1213">
        <v>104055962</v>
      </c>
      <c r="T161" s="1213">
        <v>15578413</v>
      </c>
      <c r="U161" s="1213">
        <v>65577460</v>
      </c>
      <c r="V161" s="1213">
        <v>184478629</v>
      </c>
      <c r="W161" s="1213">
        <v>60557815</v>
      </c>
      <c r="X161" s="1213">
        <v>50120754</v>
      </c>
      <c r="Y161" s="1213">
        <v>99643365</v>
      </c>
      <c r="Z161" s="1213">
        <v>28274462.66</v>
      </c>
      <c r="AA161" s="1213">
        <v>25657777</v>
      </c>
      <c r="AB161" s="1213">
        <v>15450770</v>
      </c>
      <c r="AC161" s="1213">
        <v>28106746</v>
      </c>
      <c r="AD161" s="1213">
        <v>49443947</v>
      </c>
      <c r="AE161" s="1213">
        <v>14209959</v>
      </c>
      <c r="AF161" s="1213">
        <v>0</v>
      </c>
      <c r="AG161" s="1213">
        <v>0</v>
      </c>
      <c r="AH161" s="1093">
        <v>534615</v>
      </c>
      <c r="AI161" s="887"/>
      <c r="AJ161" s="341">
        <f t="shared" si="28"/>
        <v>2340071923.6599998</v>
      </c>
    </row>
    <row r="162" spans="1:36" x14ac:dyDescent="0.2">
      <c r="A162" s="1221">
        <v>2099</v>
      </c>
      <c r="B162" s="2890" t="s">
        <v>1073</v>
      </c>
      <c r="C162" s="2890"/>
      <c r="D162" t="str">
        <f t="shared" si="29"/>
        <v>OK</v>
      </c>
      <c r="E162" s="1093">
        <v>1097918202.3099999</v>
      </c>
      <c r="F162" s="1093">
        <v>869783038.19000006</v>
      </c>
      <c r="G162" s="1093">
        <v>228135164.12</v>
      </c>
      <c r="H162" s="1093">
        <v>0</v>
      </c>
      <c r="I162" s="591">
        <v>0</v>
      </c>
      <c r="J162" s="1093">
        <v>0</v>
      </c>
      <c r="K162" s="1093">
        <v>0</v>
      </c>
      <c r="L162" s="1093">
        <v>0</v>
      </c>
      <c r="M162" s="1093">
        <v>0</v>
      </c>
      <c r="N162" s="1093">
        <v>0</v>
      </c>
      <c r="O162" s="1213">
        <v>44926623</v>
      </c>
      <c r="P162" s="1213">
        <v>1704779032</v>
      </c>
      <c r="Q162" s="1213">
        <v>885673668</v>
      </c>
      <c r="R162" s="1213">
        <v>239254886</v>
      </c>
      <c r="S162" s="1213">
        <v>357502309</v>
      </c>
      <c r="T162" s="1213">
        <v>53301701</v>
      </c>
      <c r="U162" s="1213">
        <v>201859359</v>
      </c>
      <c r="V162" s="1213">
        <v>535933962</v>
      </c>
      <c r="W162" s="1213">
        <v>139707472</v>
      </c>
      <c r="X162" s="1213">
        <v>136538277</v>
      </c>
      <c r="Y162" s="1213">
        <v>244155518</v>
      </c>
      <c r="Z162" s="1213">
        <v>71491478.780000001</v>
      </c>
      <c r="AA162" s="1213">
        <v>60629310</v>
      </c>
      <c r="AB162" s="1213">
        <v>28003209</v>
      </c>
      <c r="AC162" s="1213">
        <v>60119369</v>
      </c>
      <c r="AD162" s="1213">
        <v>100713341</v>
      </c>
      <c r="AE162" s="1213">
        <v>35261034</v>
      </c>
      <c r="AF162" s="1213">
        <v>0</v>
      </c>
      <c r="AG162" s="1213">
        <v>0</v>
      </c>
      <c r="AH162" s="1093">
        <v>2310720</v>
      </c>
      <c r="AI162" s="887"/>
      <c r="AJ162" s="341">
        <f t="shared" si="28"/>
        <v>5997768751.0900002</v>
      </c>
    </row>
    <row r="163" spans="1:36" x14ac:dyDescent="0.2">
      <c r="A163" s="638">
        <v>2095</v>
      </c>
      <c r="B163" s="2890" t="s">
        <v>1074</v>
      </c>
      <c r="C163" s="2890"/>
      <c r="D163" t="str">
        <f t="shared" si="29"/>
        <v>OK</v>
      </c>
      <c r="E163" s="1093">
        <v>22036919</v>
      </c>
      <c r="F163" s="1093">
        <v>0</v>
      </c>
      <c r="G163" s="1093">
        <v>0</v>
      </c>
      <c r="H163" s="1093">
        <v>22036919</v>
      </c>
      <c r="I163" s="591">
        <v>0</v>
      </c>
      <c r="J163" s="1093">
        <v>0</v>
      </c>
      <c r="K163" s="1093">
        <v>0</v>
      </c>
      <c r="L163" s="1093">
        <v>0</v>
      </c>
      <c r="M163" s="1093">
        <v>0</v>
      </c>
      <c r="N163" s="1093">
        <v>0</v>
      </c>
      <c r="O163" s="1213">
        <v>0</v>
      </c>
      <c r="P163" s="1213">
        <v>0</v>
      </c>
      <c r="Q163" s="1213">
        <v>0</v>
      </c>
      <c r="R163" s="1213">
        <v>0</v>
      </c>
      <c r="S163" s="1213">
        <v>0</v>
      </c>
      <c r="T163" s="1213">
        <v>0</v>
      </c>
      <c r="U163" s="1213">
        <v>0</v>
      </c>
      <c r="V163" s="1213">
        <v>0</v>
      </c>
      <c r="W163" s="1213">
        <v>0</v>
      </c>
      <c r="X163" s="1213">
        <v>0</v>
      </c>
      <c r="Y163" s="1213">
        <v>0</v>
      </c>
      <c r="Z163" s="1213">
        <v>0</v>
      </c>
      <c r="AA163" s="1213">
        <v>0</v>
      </c>
      <c r="AB163" s="1213">
        <v>0</v>
      </c>
      <c r="AC163" s="1213">
        <v>0</v>
      </c>
      <c r="AD163" s="1213">
        <v>0</v>
      </c>
      <c r="AE163" s="1213">
        <v>0</v>
      </c>
      <c r="AF163" s="1213">
        <v>0</v>
      </c>
      <c r="AG163" s="1213">
        <v>0</v>
      </c>
      <c r="AH163" s="1093">
        <v>0</v>
      </c>
      <c r="AJ163" s="341">
        <f t="shared" si="28"/>
        <v>22036919</v>
      </c>
    </row>
    <row r="164" spans="1:36" x14ac:dyDescent="0.2">
      <c r="A164" s="638">
        <v>2096</v>
      </c>
      <c r="B164" s="2890" t="s">
        <v>4888</v>
      </c>
      <c r="C164" s="2890"/>
      <c r="D164" t="str">
        <f t="shared" si="29"/>
        <v>OK</v>
      </c>
      <c r="E164" s="1093">
        <v>0</v>
      </c>
      <c r="F164" s="1093">
        <v>0</v>
      </c>
      <c r="G164" s="1093">
        <v>0</v>
      </c>
      <c r="H164" s="1093">
        <v>0</v>
      </c>
      <c r="I164" s="1093">
        <v>0</v>
      </c>
      <c r="J164" s="1093">
        <v>0</v>
      </c>
      <c r="K164" s="1093">
        <v>0</v>
      </c>
      <c r="L164" s="1093">
        <v>0</v>
      </c>
      <c r="M164" s="1093">
        <v>0</v>
      </c>
      <c r="N164" s="1093">
        <v>0</v>
      </c>
      <c r="O164" s="1213">
        <v>0</v>
      </c>
      <c r="P164" s="1213">
        <v>0</v>
      </c>
      <c r="Q164" s="1213">
        <v>0</v>
      </c>
      <c r="R164" s="1213">
        <v>0</v>
      </c>
      <c r="S164" s="1213">
        <v>0</v>
      </c>
      <c r="T164" s="1213">
        <v>0</v>
      </c>
      <c r="U164" s="1213">
        <v>0</v>
      </c>
      <c r="V164" s="1213">
        <v>0</v>
      </c>
      <c r="W164" s="1213">
        <v>0</v>
      </c>
      <c r="X164" s="1213">
        <v>0</v>
      </c>
      <c r="Y164" s="1213">
        <v>0</v>
      </c>
      <c r="Z164" s="1213">
        <v>0</v>
      </c>
      <c r="AA164" s="1213">
        <v>0</v>
      </c>
      <c r="AB164" s="1213">
        <v>0</v>
      </c>
      <c r="AC164" s="1213">
        <v>0</v>
      </c>
      <c r="AD164" s="1213">
        <v>0</v>
      </c>
      <c r="AE164" s="1213">
        <v>0</v>
      </c>
      <c r="AF164" s="1213">
        <v>0</v>
      </c>
      <c r="AG164" s="1213">
        <v>0</v>
      </c>
      <c r="AH164" s="1093">
        <v>0</v>
      </c>
      <c r="AJ164" s="341">
        <f t="shared" si="28"/>
        <v>0</v>
      </c>
    </row>
    <row r="165" spans="1:36" x14ac:dyDescent="0.2">
      <c r="B165" s="2890" t="s">
        <v>4889</v>
      </c>
      <c r="C165" s="2890"/>
      <c r="D165" t="str">
        <f>IF(SUM(F165:N165)=E165,"OK","prob")</f>
        <v>OK</v>
      </c>
      <c r="E165" s="350">
        <f t="shared" ref="E165:AH165" si="30">SUM(E142:E164)</f>
        <v>3180050365</v>
      </c>
      <c r="F165" s="2117">
        <f t="shared" si="30"/>
        <v>1993025991.49</v>
      </c>
      <c r="G165" s="350">
        <f t="shared" si="30"/>
        <v>463790373.52999997</v>
      </c>
      <c r="H165" s="350">
        <f t="shared" si="30"/>
        <v>22036919</v>
      </c>
      <c r="I165" s="350">
        <f t="shared" si="30"/>
        <v>597938542.48000002</v>
      </c>
      <c r="J165" s="350">
        <f t="shared" si="30"/>
        <v>12932442.859999999</v>
      </c>
      <c r="K165" s="350">
        <f t="shared" si="30"/>
        <v>76946048.879999995</v>
      </c>
      <c r="L165" s="350">
        <f t="shared" si="30"/>
        <v>0</v>
      </c>
      <c r="M165" s="350">
        <f t="shared" si="30"/>
        <v>0</v>
      </c>
      <c r="N165" s="350">
        <f t="shared" si="30"/>
        <v>13380046.76</v>
      </c>
      <c r="O165" s="379">
        <f t="shared" si="30"/>
        <v>82491494.579999998</v>
      </c>
      <c r="P165" s="350">
        <f t="shared" si="30"/>
        <v>3822357461.0599999</v>
      </c>
      <c r="Q165" s="350">
        <f t="shared" si="30"/>
        <v>1974239537.8900001</v>
      </c>
      <c r="R165" s="350">
        <f t="shared" si="30"/>
        <v>605592200.01999998</v>
      </c>
      <c r="S165" s="350">
        <f t="shared" si="30"/>
        <v>1021903362.9299999</v>
      </c>
      <c r="T165" s="350">
        <f t="shared" si="30"/>
        <v>146642721.44999999</v>
      </c>
      <c r="U165" s="350">
        <f t="shared" si="30"/>
        <v>492520517.91000003</v>
      </c>
      <c r="V165" s="350">
        <f t="shared" si="30"/>
        <v>1136972168.29</v>
      </c>
      <c r="W165" s="350">
        <f t="shared" si="30"/>
        <v>305280408.22000003</v>
      </c>
      <c r="X165" s="350">
        <f t="shared" si="30"/>
        <v>446131252.5</v>
      </c>
      <c r="Y165" s="350">
        <f t="shared" si="30"/>
        <v>706342025.85000002</v>
      </c>
      <c r="Z165" s="350">
        <f t="shared" si="30"/>
        <v>147047692.65000001</v>
      </c>
      <c r="AA165" s="350">
        <f t="shared" si="30"/>
        <v>176925737</v>
      </c>
      <c r="AB165" s="350">
        <f t="shared" si="30"/>
        <v>83703022.060000002</v>
      </c>
      <c r="AC165" s="350">
        <f t="shared" si="30"/>
        <v>146473113.13999999</v>
      </c>
      <c r="AD165" s="350">
        <f t="shared" si="30"/>
        <v>262114331.61000001</v>
      </c>
      <c r="AE165" s="350">
        <f t="shared" si="30"/>
        <v>100146708.69</v>
      </c>
      <c r="AF165" s="350">
        <f t="shared" si="30"/>
        <v>16547638.939999999</v>
      </c>
      <c r="AG165" s="350">
        <f t="shared" ref="AG165" si="31">SUM(AG142:AG164)</f>
        <v>40553.17</v>
      </c>
      <c r="AH165" s="350">
        <f t="shared" si="30"/>
        <v>3115794.5</v>
      </c>
      <c r="AJ165" s="341">
        <f t="shared" si="28"/>
        <v>14853481759.790001</v>
      </c>
    </row>
    <row r="166" spans="1:36" x14ac:dyDescent="0.2">
      <c r="B166" s="2380"/>
      <c r="C166" s="2380"/>
      <c r="E166" s="341"/>
      <c r="F166" s="2116"/>
      <c r="G166" s="341"/>
      <c r="H166" s="341"/>
      <c r="I166" s="341"/>
      <c r="J166" s="341"/>
      <c r="K166" s="341"/>
      <c r="L166" s="341"/>
      <c r="M166" s="341"/>
      <c r="N166" s="341"/>
      <c r="O166" s="212"/>
      <c r="P166" s="341"/>
      <c r="Q166" s="341"/>
      <c r="R166" s="341"/>
      <c r="S166" s="341"/>
      <c r="T166" s="341"/>
      <c r="U166" s="341"/>
      <c r="V166" s="341"/>
      <c r="W166" s="341"/>
      <c r="X166" s="341"/>
      <c r="Y166" s="341"/>
      <c r="Z166" s="341"/>
      <c r="AA166" s="341"/>
      <c r="AB166" s="341"/>
      <c r="AC166" s="341"/>
      <c r="AD166" s="341"/>
      <c r="AE166" s="341"/>
      <c r="AF166" s="341"/>
      <c r="AG166" s="341"/>
      <c r="AH166" s="341"/>
      <c r="AJ166" s="341">
        <f t="shared" si="28"/>
        <v>0</v>
      </c>
    </row>
    <row r="167" spans="1:36" x14ac:dyDescent="0.2">
      <c r="B167" s="2890" t="s">
        <v>1774</v>
      </c>
      <c r="C167" s="2890"/>
      <c r="D167" s="1220" t="str">
        <f>IF(ROUND(SUM(F167:N167),2)-ROUND(E167,2)=0,"OK","prob")</f>
        <v>prob</v>
      </c>
      <c r="E167" s="343">
        <f t="shared" ref="E167:AH167" si="32">E138+E165</f>
        <v>4408968135.4799995</v>
      </c>
      <c r="F167" s="2118">
        <f t="shared" si="32"/>
        <v>2646014773.7800002</v>
      </c>
      <c r="G167" s="343">
        <f t="shared" si="32"/>
        <v>1915929236.0799999</v>
      </c>
      <c r="H167" s="343">
        <f t="shared" si="32"/>
        <v>31860161</v>
      </c>
      <c r="I167" s="343">
        <f t="shared" si="32"/>
        <v>1031744363.63</v>
      </c>
      <c r="J167" s="343">
        <f t="shared" si="32"/>
        <v>46944603.490000002</v>
      </c>
      <c r="K167" s="343">
        <f t="shared" si="32"/>
        <v>287162662.29000002</v>
      </c>
      <c r="L167" s="343">
        <f t="shared" si="32"/>
        <v>0</v>
      </c>
      <c r="M167" s="343">
        <f t="shared" si="32"/>
        <v>63638780.340000004</v>
      </c>
      <c r="N167" s="343">
        <f t="shared" si="32"/>
        <v>68253862.120000005</v>
      </c>
      <c r="O167" s="452">
        <f t="shared" si="32"/>
        <v>101559788.45</v>
      </c>
      <c r="P167" s="343">
        <f t="shared" si="32"/>
        <v>4411815398.4899998</v>
      </c>
      <c r="Q167" s="343">
        <f t="shared" si="32"/>
        <v>2183896064.0599999</v>
      </c>
      <c r="R167" s="343">
        <f t="shared" si="32"/>
        <v>666979626.16999996</v>
      </c>
      <c r="S167" s="343">
        <f t="shared" si="32"/>
        <v>1155658400.6099999</v>
      </c>
      <c r="T167" s="343">
        <f t="shared" si="32"/>
        <v>156024744.52000001</v>
      </c>
      <c r="U167" s="343">
        <f t="shared" si="32"/>
        <v>527618602.19999999</v>
      </c>
      <c r="V167" s="343">
        <f t="shared" si="32"/>
        <v>1234218986.49</v>
      </c>
      <c r="W167" s="343">
        <f t="shared" si="32"/>
        <v>324888310.99000001</v>
      </c>
      <c r="X167" s="343">
        <f t="shared" si="32"/>
        <v>472060255.26999998</v>
      </c>
      <c r="Y167" s="343">
        <f t="shared" si="32"/>
        <v>771146085.61000001</v>
      </c>
      <c r="Z167" s="343">
        <f t="shared" si="32"/>
        <v>159397037.58000001</v>
      </c>
      <c r="AA167" s="343">
        <f t="shared" si="32"/>
        <v>191131989.09999999</v>
      </c>
      <c r="AB167" s="343">
        <f t="shared" si="32"/>
        <v>90623619.120000005</v>
      </c>
      <c r="AC167" s="343">
        <f t="shared" si="32"/>
        <v>165335308.55000001</v>
      </c>
      <c r="AD167" s="343">
        <f t="shared" si="32"/>
        <v>287213880.79000002</v>
      </c>
      <c r="AE167" s="343">
        <f t="shared" si="32"/>
        <v>105697960.37</v>
      </c>
      <c r="AF167" s="343">
        <f t="shared" si="32"/>
        <v>18765470.030000001</v>
      </c>
      <c r="AG167" s="343">
        <f t="shared" ref="AG167" si="33">AG138+AG165</f>
        <v>2268097.9700000002</v>
      </c>
      <c r="AH167" s="343">
        <f t="shared" si="32"/>
        <v>3374325.58</v>
      </c>
      <c r="AJ167" s="341">
        <f t="shared" si="28"/>
        <v>19115579971.130001</v>
      </c>
    </row>
    <row r="168" spans="1:36" x14ac:dyDescent="0.2">
      <c r="B168" s="170"/>
      <c r="C168" s="170"/>
      <c r="E168" s="341"/>
      <c r="F168" s="341"/>
      <c r="G168" s="341"/>
      <c r="H168" s="341"/>
      <c r="I168" s="341"/>
      <c r="J168" s="341"/>
      <c r="K168" s="341"/>
      <c r="L168" s="341"/>
      <c r="M168" s="341"/>
      <c r="N168" s="341"/>
      <c r="O168" s="212"/>
      <c r="P168" s="341"/>
      <c r="Q168" s="341"/>
      <c r="R168" s="341"/>
      <c r="S168" s="341"/>
      <c r="T168" s="341"/>
      <c r="U168" s="341"/>
      <c r="V168" s="341"/>
      <c r="W168" s="341"/>
      <c r="X168" s="341"/>
      <c r="Y168" s="341"/>
      <c r="Z168" s="341"/>
      <c r="AA168" s="341"/>
      <c r="AB168" s="341"/>
      <c r="AC168" s="341"/>
      <c r="AD168" s="341"/>
      <c r="AE168" s="341"/>
      <c r="AF168" s="341"/>
      <c r="AG168" s="341"/>
      <c r="AH168" s="341"/>
      <c r="AJ168" s="341">
        <f t="shared" si="28"/>
        <v>0</v>
      </c>
    </row>
    <row r="169" spans="1:36" x14ac:dyDescent="0.2">
      <c r="B169" s="2442" t="s">
        <v>1996</v>
      </c>
      <c r="C169" s="170"/>
      <c r="E169" s="341"/>
      <c r="F169" s="341"/>
      <c r="G169" s="341"/>
      <c r="H169" s="341"/>
      <c r="I169" s="341"/>
      <c r="J169" s="341"/>
      <c r="K169" s="341"/>
      <c r="L169" s="341"/>
      <c r="M169" s="341"/>
      <c r="N169" s="341"/>
      <c r="O169" s="212"/>
      <c r="P169" s="341"/>
      <c r="Q169" s="341"/>
      <c r="R169" s="341"/>
      <c r="S169" s="341"/>
      <c r="T169" s="341"/>
      <c r="U169" s="341"/>
      <c r="V169" s="341"/>
      <c r="W169" s="341"/>
      <c r="X169" s="341"/>
      <c r="Y169" s="341"/>
      <c r="Z169" s="341"/>
      <c r="AA169" s="341"/>
      <c r="AB169" s="341"/>
      <c r="AC169" s="341"/>
      <c r="AD169" s="341"/>
      <c r="AE169" s="341"/>
      <c r="AF169" s="341"/>
      <c r="AG169" s="212"/>
      <c r="AH169" s="341"/>
      <c r="AJ169" s="341">
        <f t="shared" si="28"/>
        <v>0</v>
      </c>
    </row>
    <row r="170" spans="1:36" x14ac:dyDescent="0.2">
      <c r="A170" s="170">
        <v>1764</v>
      </c>
      <c r="B170" s="3066" t="s">
        <v>2853</v>
      </c>
      <c r="C170" s="3066"/>
      <c r="D170" t="str">
        <f t="shared" ref="D170:D179" si="34">IF(SUM(F170:N170)-E170=0,"OK","prob")</f>
        <v>OK</v>
      </c>
      <c r="E170" s="341">
        <v>0</v>
      </c>
      <c r="F170" s="341">
        <v>0</v>
      </c>
      <c r="G170" s="341">
        <v>0</v>
      </c>
      <c r="H170" s="341">
        <v>0</v>
      </c>
      <c r="I170" s="341">
        <v>0</v>
      </c>
      <c r="J170" s="341">
        <v>0</v>
      </c>
      <c r="K170" s="341">
        <v>0</v>
      </c>
      <c r="L170" s="341"/>
      <c r="M170" s="341">
        <v>0</v>
      </c>
      <c r="N170" s="341">
        <v>0</v>
      </c>
      <c r="O170" s="212">
        <v>0</v>
      </c>
      <c r="P170" s="212">
        <v>0</v>
      </c>
      <c r="Q170" s="212">
        <v>0</v>
      </c>
      <c r="R170" s="212">
        <v>0</v>
      </c>
      <c r="S170" s="212">
        <v>0</v>
      </c>
      <c r="T170" s="212">
        <v>0</v>
      </c>
      <c r="U170" s="212">
        <v>0</v>
      </c>
      <c r="V170" s="212">
        <v>0</v>
      </c>
      <c r="W170" s="212">
        <v>0</v>
      </c>
      <c r="X170" s="212">
        <v>0</v>
      </c>
      <c r="Y170" s="212">
        <v>0</v>
      </c>
      <c r="Z170" s="212">
        <v>0</v>
      </c>
      <c r="AA170" s="212">
        <v>0</v>
      </c>
      <c r="AB170" s="212">
        <v>0</v>
      </c>
      <c r="AC170" s="212">
        <v>0</v>
      </c>
      <c r="AD170" s="212">
        <v>0</v>
      </c>
      <c r="AE170" s="212">
        <v>0</v>
      </c>
      <c r="AF170" s="212">
        <v>926016.29</v>
      </c>
      <c r="AG170" s="212">
        <v>0</v>
      </c>
      <c r="AH170" s="341">
        <v>0</v>
      </c>
      <c r="AJ170" s="341">
        <f t="shared" si="28"/>
        <v>926016.29</v>
      </c>
    </row>
    <row r="171" spans="1:36" x14ac:dyDescent="0.2">
      <c r="A171" s="170">
        <v>2026</v>
      </c>
      <c r="B171" s="3066" t="s">
        <v>2854</v>
      </c>
      <c r="C171" s="3066"/>
      <c r="D171" t="str">
        <f t="shared" si="34"/>
        <v>OK</v>
      </c>
      <c r="E171" s="341">
        <v>0</v>
      </c>
      <c r="F171" s="341">
        <v>0</v>
      </c>
      <c r="G171" s="341">
        <v>0</v>
      </c>
      <c r="H171" s="341">
        <v>0</v>
      </c>
      <c r="I171" s="341">
        <v>0</v>
      </c>
      <c r="J171" s="341">
        <v>0</v>
      </c>
      <c r="K171" s="341">
        <v>0</v>
      </c>
      <c r="L171" s="341"/>
      <c r="M171" s="341">
        <v>0</v>
      </c>
      <c r="N171" s="341">
        <v>0</v>
      </c>
      <c r="O171" s="212">
        <v>0</v>
      </c>
      <c r="P171" s="212">
        <v>0</v>
      </c>
      <c r="Q171" s="212">
        <v>0</v>
      </c>
      <c r="R171" s="212">
        <v>0</v>
      </c>
      <c r="S171" s="212">
        <v>0</v>
      </c>
      <c r="T171" s="212">
        <v>0</v>
      </c>
      <c r="U171" s="212">
        <v>123696686.81999999</v>
      </c>
      <c r="V171" s="212">
        <v>0</v>
      </c>
      <c r="W171" s="212">
        <v>0</v>
      </c>
      <c r="X171" s="212">
        <v>21202438.34</v>
      </c>
      <c r="Y171" s="212">
        <v>96880732.310000002</v>
      </c>
      <c r="Z171" s="212">
        <v>0</v>
      </c>
      <c r="AA171" s="212">
        <v>0</v>
      </c>
      <c r="AB171" s="212">
        <v>0</v>
      </c>
      <c r="AC171" s="212">
        <v>0</v>
      </c>
      <c r="AD171" s="2044">
        <f>0+92471547.68</f>
        <v>92471547.680000007</v>
      </c>
      <c r="AE171" s="212">
        <v>0</v>
      </c>
      <c r="AF171" s="212">
        <v>0</v>
      </c>
      <c r="AG171" s="212">
        <v>0</v>
      </c>
      <c r="AH171" s="341">
        <v>0</v>
      </c>
      <c r="AJ171" s="341">
        <f t="shared" si="28"/>
        <v>334251405.14999998</v>
      </c>
    </row>
    <row r="172" spans="1:36" x14ac:dyDescent="0.2">
      <c r="A172" s="170">
        <v>1766</v>
      </c>
      <c r="B172" s="3066" t="s">
        <v>2222</v>
      </c>
      <c r="C172" s="3066"/>
      <c r="D172" t="str">
        <f t="shared" si="34"/>
        <v>OK</v>
      </c>
      <c r="E172" s="341">
        <v>0</v>
      </c>
      <c r="F172" s="341">
        <v>0</v>
      </c>
      <c r="G172" s="341">
        <v>0</v>
      </c>
      <c r="H172" s="341">
        <v>0</v>
      </c>
      <c r="I172" s="341">
        <v>0</v>
      </c>
      <c r="J172" s="341">
        <v>0</v>
      </c>
      <c r="K172" s="341">
        <v>0</v>
      </c>
      <c r="L172" s="341"/>
      <c r="M172" s="341">
        <v>0</v>
      </c>
      <c r="N172" s="341">
        <v>0</v>
      </c>
      <c r="O172" s="212">
        <v>0</v>
      </c>
      <c r="P172" s="212">
        <v>0</v>
      </c>
      <c r="Q172" s="212">
        <v>0</v>
      </c>
      <c r="R172" s="212">
        <v>0</v>
      </c>
      <c r="S172" s="212">
        <v>22488.240000000002</v>
      </c>
      <c r="T172" s="212">
        <v>49324.08</v>
      </c>
      <c r="U172" s="212">
        <v>842483.98</v>
      </c>
      <c r="V172" s="212">
        <v>0</v>
      </c>
      <c r="W172" s="212">
        <v>0</v>
      </c>
      <c r="X172" s="212">
        <v>675316.81</v>
      </c>
      <c r="Y172" s="212">
        <v>0</v>
      </c>
      <c r="Z172" s="212">
        <v>0</v>
      </c>
      <c r="AA172" s="2044">
        <f>0+2021847.1</f>
        <v>2021847.1</v>
      </c>
      <c r="AB172" s="212">
        <v>0</v>
      </c>
      <c r="AC172" s="212">
        <v>0</v>
      </c>
      <c r="AD172" s="212">
        <v>0</v>
      </c>
      <c r="AE172" s="212">
        <v>0</v>
      </c>
      <c r="AF172" s="212">
        <v>0</v>
      </c>
      <c r="AG172" s="212">
        <v>0</v>
      </c>
      <c r="AH172" s="341">
        <v>0</v>
      </c>
      <c r="AJ172" s="341">
        <f t="shared" si="28"/>
        <v>3611460.21</v>
      </c>
    </row>
    <row r="173" spans="1:36" x14ac:dyDescent="0.2">
      <c r="A173" s="170">
        <v>1768</v>
      </c>
      <c r="B173" s="3066" t="s">
        <v>2223</v>
      </c>
      <c r="C173" s="3066"/>
      <c r="D173" t="str">
        <f t="shared" si="34"/>
        <v>OK</v>
      </c>
      <c r="E173" s="341">
        <v>0</v>
      </c>
      <c r="F173" s="341">
        <v>0</v>
      </c>
      <c r="G173" s="341">
        <v>0</v>
      </c>
      <c r="H173" s="341">
        <v>0</v>
      </c>
      <c r="I173" s="341">
        <v>0</v>
      </c>
      <c r="J173" s="341">
        <v>0</v>
      </c>
      <c r="K173" s="341">
        <v>0</v>
      </c>
      <c r="L173" s="341"/>
      <c r="M173" s="341">
        <v>0</v>
      </c>
      <c r="N173" s="341">
        <v>0</v>
      </c>
      <c r="O173" s="212">
        <v>0</v>
      </c>
      <c r="P173" s="212">
        <v>0</v>
      </c>
      <c r="Q173" s="212">
        <v>0</v>
      </c>
      <c r="R173" s="212">
        <v>0</v>
      </c>
      <c r="S173" s="212">
        <v>0</v>
      </c>
      <c r="T173" s="212">
        <v>0</v>
      </c>
      <c r="U173" s="212">
        <v>0</v>
      </c>
      <c r="V173" s="212">
        <v>0</v>
      </c>
      <c r="W173" s="212">
        <v>30000</v>
      </c>
      <c r="X173" s="212">
        <v>0</v>
      </c>
      <c r="Y173" s="212">
        <v>0</v>
      </c>
      <c r="Z173" s="212">
        <v>0</v>
      </c>
      <c r="AA173" s="212">
        <v>0</v>
      </c>
      <c r="AB173" s="212">
        <v>0</v>
      </c>
      <c r="AC173" s="212">
        <v>0</v>
      </c>
      <c r="AD173" s="212">
        <v>0</v>
      </c>
      <c r="AE173" s="212">
        <v>0</v>
      </c>
      <c r="AF173" s="212">
        <v>0</v>
      </c>
      <c r="AG173" s="212">
        <v>0</v>
      </c>
      <c r="AH173" s="341">
        <v>0</v>
      </c>
      <c r="AJ173" s="341">
        <f t="shared" si="28"/>
        <v>30000</v>
      </c>
    </row>
    <row r="174" spans="1:36" x14ac:dyDescent="0.2">
      <c r="A174" s="170">
        <v>1765</v>
      </c>
      <c r="B174" s="3066" t="s">
        <v>2224</v>
      </c>
      <c r="C174" s="3066"/>
      <c r="D174" t="str">
        <f t="shared" si="34"/>
        <v>OK</v>
      </c>
      <c r="E174" s="341">
        <v>0</v>
      </c>
      <c r="F174" s="341">
        <v>0</v>
      </c>
      <c r="G174" s="341">
        <v>0</v>
      </c>
      <c r="H174" s="341">
        <v>0</v>
      </c>
      <c r="I174" s="341">
        <v>0</v>
      </c>
      <c r="J174" s="341">
        <v>0</v>
      </c>
      <c r="K174" s="341">
        <v>0</v>
      </c>
      <c r="L174" s="341"/>
      <c r="M174" s="341">
        <v>0</v>
      </c>
      <c r="N174" s="341">
        <v>0</v>
      </c>
      <c r="O174" s="212">
        <v>150840000</v>
      </c>
      <c r="P174" s="212">
        <v>0</v>
      </c>
      <c r="Q174" s="212">
        <v>0</v>
      </c>
      <c r="R174" s="212">
        <v>0</v>
      </c>
      <c r="S174" s="212">
        <v>0</v>
      </c>
      <c r="T174" s="212">
        <v>0</v>
      </c>
      <c r="U174" s="212">
        <v>0</v>
      </c>
      <c r="V174" s="212">
        <v>0</v>
      </c>
      <c r="W174" s="212">
        <v>0</v>
      </c>
      <c r="X174" s="212">
        <v>0</v>
      </c>
      <c r="Y174" s="212">
        <v>0</v>
      </c>
      <c r="Z174" s="212">
        <v>0</v>
      </c>
      <c r="AA174" s="212">
        <v>0</v>
      </c>
      <c r="AB174" s="212">
        <v>0</v>
      </c>
      <c r="AC174" s="212">
        <v>0</v>
      </c>
      <c r="AD174" s="212">
        <v>0</v>
      </c>
      <c r="AE174" s="212">
        <v>0</v>
      </c>
      <c r="AF174" s="212">
        <v>0</v>
      </c>
      <c r="AG174" s="212">
        <v>0</v>
      </c>
      <c r="AH174" s="341">
        <v>0</v>
      </c>
      <c r="AJ174" s="341">
        <f t="shared" si="28"/>
        <v>150840000</v>
      </c>
    </row>
    <row r="175" spans="1:36" x14ac:dyDescent="0.2">
      <c r="A175" s="170">
        <v>1772</v>
      </c>
      <c r="B175" s="3066" t="s">
        <v>2856</v>
      </c>
      <c r="C175" s="3066"/>
      <c r="D175" t="str">
        <f t="shared" si="34"/>
        <v>OK</v>
      </c>
      <c r="E175" s="341">
        <v>0</v>
      </c>
      <c r="F175" s="341">
        <v>0</v>
      </c>
      <c r="G175" s="341">
        <v>0</v>
      </c>
      <c r="H175" s="341">
        <v>0</v>
      </c>
      <c r="I175" s="341">
        <v>0</v>
      </c>
      <c r="J175" s="341">
        <v>0</v>
      </c>
      <c r="K175" s="341">
        <v>0</v>
      </c>
      <c r="L175" s="341"/>
      <c r="M175" s="341">
        <v>0</v>
      </c>
      <c r="N175" s="341">
        <v>0</v>
      </c>
      <c r="O175" s="212">
        <v>154284.51</v>
      </c>
      <c r="P175" s="212">
        <v>21442292.510000002</v>
      </c>
      <c r="Q175" s="212">
        <v>0</v>
      </c>
      <c r="R175" s="212">
        <v>89954.67</v>
      </c>
      <c r="S175" s="212">
        <v>0</v>
      </c>
      <c r="T175" s="212">
        <v>0</v>
      </c>
      <c r="U175" s="212">
        <v>0</v>
      </c>
      <c r="V175" s="212">
        <v>0</v>
      </c>
      <c r="W175" s="212">
        <v>0</v>
      </c>
      <c r="X175" s="212">
        <v>37923.74</v>
      </c>
      <c r="Y175" s="212">
        <v>725133</v>
      </c>
      <c r="Z175" s="212">
        <v>750000</v>
      </c>
      <c r="AA175" s="212">
        <v>0</v>
      </c>
      <c r="AB175" s="212">
        <v>28763.03</v>
      </c>
      <c r="AC175" s="212">
        <v>0</v>
      </c>
      <c r="AD175" s="212">
        <v>0</v>
      </c>
      <c r="AE175" s="212">
        <v>0</v>
      </c>
      <c r="AF175" s="212">
        <v>0</v>
      </c>
      <c r="AG175" s="212">
        <v>0</v>
      </c>
      <c r="AH175" s="341">
        <v>0</v>
      </c>
      <c r="AJ175" s="341">
        <f t="shared" ref="AJ175:AJ193" si="35">SUM(F175:AF175)</f>
        <v>23228351.460000001</v>
      </c>
    </row>
    <row r="176" spans="1:36" x14ac:dyDescent="0.2">
      <c r="A176" s="170">
        <v>1767</v>
      </c>
      <c r="B176" s="3066" t="s">
        <v>2225</v>
      </c>
      <c r="C176" s="3066"/>
      <c r="D176" t="str">
        <f t="shared" si="34"/>
        <v>OK</v>
      </c>
      <c r="E176" s="341">
        <v>23428191.75</v>
      </c>
      <c r="F176" s="341">
        <v>866280</v>
      </c>
      <c r="G176" s="341">
        <v>7160821</v>
      </c>
      <c r="H176" s="341">
        <v>0</v>
      </c>
      <c r="I176" s="341">
        <v>15401090.75</v>
      </c>
      <c r="J176" s="341">
        <v>0</v>
      </c>
      <c r="K176" s="341">
        <v>0</v>
      </c>
      <c r="L176" s="341">
        <v>0</v>
      </c>
      <c r="M176" s="341">
        <v>0</v>
      </c>
      <c r="N176" s="341">
        <v>0</v>
      </c>
      <c r="O176" s="212">
        <v>256580</v>
      </c>
      <c r="P176" s="212">
        <v>16285380</v>
      </c>
      <c r="Q176" s="212">
        <v>13626433</v>
      </c>
      <c r="R176" s="212">
        <v>1926209</v>
      </c>
      <c r="S176" s="212">
        <v>4088926</v>
      </c>
      <c r="T176" s="212">
        <v>677126</v>
      </c>
      <c r="U176" s="212">
        <v>893831</v>
      </c>
      <c r="V176" s="212">
        <v>10160479</v>
      </c>
      <c r="W176" s="212">
        <v>1831782</v>
      </c>
      <c r="X176" s="212">
        <v>857759</v>
      </c>
      <c r="Y176" s="212">
        <v>2190380</v>
      </c>
      <c r="Z176" s="212">
        <v>973267.01</v>
      </c>
      <c r="AA176" s="212">
        <v>1114185</v>
      </c>
      <c r="AB176" s="212">
        <v>210596</v>
      </c>
      <c r="AC176" s="212">
        <v>773923.98</v>
      </c>
      <c r="AD176" s="212">
        <v>673929</v>
      </c>
      <c r="AE176" s="212">
        <v>193684</v>
      </c>
      <c r="AF176" s="212">
        <v>0</v>
      </c>
      <c r="AG176" s="212">
        <v>0</v>
      </c>
      <c r="AH176" s="341">
        <v>630898</v>
      </c>
      <c r="AJ176" s="341">
        <f t="shared" si="35"/>
        <v>80162661.739999995</v>
      </c>
    </row>
    <row r="177" spans="1:36" x14ac:dyDescent="0.2">
      <c r="A177" s="170">
        <v>1771</v>
      </c>
      <c r="B177" s="3066" t="s">
        <v>2226</v>
      </c>
      <c r="C177" s="3066"/>
      <c r="D177" t="str">
        <f t="shared" si="34"/>
        <v>OK</v>
      </c>
      <c r="E177" s="341">
        <v>502866705.97000003</v>
      </c>
      <c r="F177" s="341">
        <v>403308538</v>
      </c>
      <c r="G177" s="341">
        <v>99558167.969999999</v>
      </c>
      <c r="H177" s="341">
        <v>0</v>
      </c>
      <c r="I177" s="341">
        <v>0</v>
      </c>
      <c r="J177" s="341">
        <v>0</v>
      </c>
      <c r="K177" s="341">
        <v>0</v>
      </c>
      <c r="L177" s="341">
        <v>0</v>
      </c>
      <c r="M177" s="341">
        <v>0</v>
      </c>
      <c r="N177" s="341">
        <v>0</v>
      </c>
      <c r="O177" s="212">
        <v>21251098</v>
      </c>
      <c r="P177" s="212">
        <v>780324979</v>
      </c>
      <c r="Q177" s="212">
        <v>455968918</v>
      </c>
      <c r="R177" s="212">
        <v>117127255</v>
      </c>
      <c r="S177" s="212">
        <v>178357151</v>
      </c>
      <c r="T177" s="212">
        <v>31300599</v>
      </c>
      <c r="U177" s="212">
        <v>93959032</v>
      </c>
      <c r="V177" s="212">
        <v>295357727</v>
      </c>
      <c r="W177" s="212">
        <v>70018562</v>
      </c>
      <c r="X177" s="212">
        <v>66580553</v>
      </c>
      <c r="Y177" s="212">
        <v>114391770</v>
      </c>
      <c r="Z177" s="212">
        <v>36925528.530000001</v>
      </c>
      <c r="AA177" s="212">
        <v>40196698</v>
      </c>
      <c r="AB177" s="212">
        <v>13214645</v>
      </c>
      <c r="AC177" s="212">
        <v>36048632.009999998</v>
      </c>
      <c r="AD177" s="212">
        <v>50699628</v>
      </c>
      <c r="AE177" s="212">
        <v>17781306</v>
      </c>
      <c r="AF177" s="212">
        <v>0</v>
      </c>
      <c r="AG177" s="212">
        <v>0</v>
      </c>
      <c r="AH177" s="341">
        <v>814383</v>
      </c>
      <c r="AJ177" s="341">
        <f t="shared" si="35"/>
        <v>2922370787.5100002</v>
      </c>
    </row>
    <row r="178" spans="1:36" x14ac:dyDescent="0.2">
      <c r="A178" s="170">
        <v>1773</v>
      </c>
      <c r="B178" s="3066" t="s">
        <v>2857</v>
      </c>
      <c r="C178" s="3066"/>
      <c r="D178" s="1220" t="str">
        <f>IF(SUM(F178:N178)=E178,"OK","prob")</f>
        <v>OK</v>
      </c>
      <c r="E178" s="341">
        <f>12348493.29+(70185646.1-12348493.29)</f>
        <v>70185646.099999994</v>
      </c>
      <c r="F178" s="2044">
        <f>-147400+2158072</f>
        <v>2010672</v>
      </c>
      <c r="G178" s="2044">
        <f>0+55679080.81</f>
        <v>55679080.810000002</v>
      </c>
      <c r="H178" s="341">
        <v>0</v>
      </c>
      <c r="I178" s="341">
        <v>10755045.310000001</v>
      </c>
      <c r="J178" s="341">
        <v>1045556.62</v>
      </c>
      <c r="K178" s="341">
        <v>-645490.92000000004</v>
      </c>
      <c r="L178" s="341">
        <v>0</v>
      </c>
      <c r="M178" s="341">
        <v>751734.41</v>
      </c>
      <c r="N178" s="341">
        <v>589047.87</v>
      </c>
      <c r="O178" s="212">
        <v>10097305</v>
      </c>
      <c r="P178" s="212">
        <v>9320623</v>
      </c>
      <c r="Q178" s="212">
        <v>32628909.510000002</v>
      </c>
      <c r="R178" s="212">
        <v>1674303.08</v>
      </c>
      <c r="S178" s="212">
        <v>1078754.69</v>
      </c>
      <c r="T178" s="212">
        <v>795314.08</v>
      </c>
      <c r="U178" s="212">
        <v>1071155.3700000001</v>
      </c>
      <c r="V178" s="212">
        <v>3376024.68</v>
      </c>
      <c r="W178" s="212">
        <v>0</v>
      </c>
      <c r="X178" s="212">
        <v>4748508.83</v>
      </c>
      <c r="Y178" s="212">
        <v>3284645.75</v>
      </c>
      <c r="Z178" s="212">
        <v>0</v>
      </c>
      <c r="AA178" s="212">
        <v>416310.88</v>
      </c>
      <c r="AB178" s="212">
        <v>0</v>
      </c>
      <c r="AC178" s="212">
        <v>2085382.95</v>
      </c>
      <c r="AD178" s="2044">
        <f>92471547.68-92471547.68</f>
        <v>0</v>
      </c>
      <c r="AE178" s="212">
        <v>0</v>
      </c>
      <c r="AF178" s="212">
        <v>5381342.7400000002</v>
      </c>
      <c r="AG178" s="212">
        <v>0</v>
      </c>
      <c r="AH178" s="341">
        <v>0</v>
      </c>
      <c r="AJ178" s="341"/>
    </row>
    <row r="179" spans="1:36" x14ac:dyDescent="0.2">
      <c r="A179" s="170">
        <v>1769</v>
      </c>
      <c r="B179" s="3066" t="s">
        <v>1998</v>
      </c>
      <c r="C179" s="3066"/>
      <c r="D179" s="1220" t="str">
        <f t="shared" si="34"/>
        <v>OK</v>
      </c>
      <c r="E179" s="341">
        <f>58033931.96+(196779.15-58033931.96)</f>
        <v>196779.15</v>
      </c>
      <c r="F179" s="2044">
        <f>2354851-2158072</f>
        <v>196779</v>
      </c>
      <c r="G179" s="2044">
        <f>55679080.81-55679080.81</f>
        <v>0</v>
      </c>
      <c r="H179" s="341">
        <v>0</v>
      </c>
      <c r="I179" s="341">
        <v>0</v>
      </c>
      <c r="J179" s="341">
        <v>0</v>
      </c>
      <c r="K179" s="341">
        <v>0.15</v>
      </c>
      <c r="L179" s="341">
        <v>0</v>
      </c>
      <c r="M179" s="341">
        <v>0</v>
      </c>
      <c r="N179" s="341">
        <v>0</v>
      </c>
      <c r="O179" s="212">
        <v>0</v>
      </c>
      <c r="P179" s="212">
        <v>0</v>
      </c>
      <c r="Q179" s="212">
        <v>0</v>
      </c>
      <c r="R179" s="212">
        <v>0</v>
      </c>
      <c r="S179" s="212">
        <v>0</v>
      </c>
      <c r="T179" s="212">
        <v>0</v>
      </c>
      <c r="U179" s="212">
        <v>0</v>
      </c>
      <c r="V179" s="212">
        <v>0</v>
      </c>
      <c r="W179" s="212">
        <v>0</v>
      </c>
      <c r="X179" s="212">
        <v>0</v>
      </c>
      <c r="Y179" s="212">
        <v>3155998</v>
      </c>
      <c r="Z179" s="212">
        <v>0</v>
      </c>
      <c r="AA179" s="2044">
        <f>2021847.1-2021847.1</f>
        <v>0</v>
      </c>
      <c r="AB179" s="212">
        <v>0</v>
      </c>
      <c r="AC179" s="212">
        <v>0</v>
      </c>
      <c r="AD179" s="212">
        <v>0</v>
      </c>
      <c r="AE179" s="212">
        <v>0</v>
      </c>
      <c r="AF179" s="212">
        <v>0</v>
      </c>
      <c r="AG179" s="212">
        <v>0</v>
      </c>
      <c r="AH179" s="341">
        <v>0</v>
      </c>
      <c r="AJ179" s="341">
        <f t="shared" si="35"/>
        <v>3352777.15</v>
      </c>
    </row>
    <row r="180" spans="1:36" x14ac:dyDescent="0.2">
      <c r="B180" s="3145" t="s">
        <v>2858</v>
      </c>
      <c r="C180" s="3145"/>
      <c r="D180" t="str">
        <f>IF(SUM(F180:N180)=E180,"OK","prob")</f>
        <v>OK</v>
      </c>
      <c r="E180" s="350">
        <f>SUM(E169:E179)</f>
        <v>596677322.97000003</v>
      </c>
      <c r="F180" s="379">
        <f t="shared" ref="F180:AH180" si="36">SUM(F169:F179)</f>
        <v>406382269</v>
      </c>
      <c r="G180" s="379">
        <f t="shared" si="36"/>
        <v>162398069.78</v>
      </c>
      <c r="H180" s="350">
        <f t="shared" si="36"/>
        <v>0</v>
      </c>
      <c r="I180" s="350">
        <f t="shared" si="36"/>
        <v>26156136.059999999</v>
      </c>
      <c r="J180" s="350">
        <f t="shared" si="36"/>
        <v>1045556.62</v>
      </c>
      <c r="K180" s="350">
        <f t="shared" si="36"/>
        <v>-645490.77</v>
      </c>
      <c r="L180" s="350">
        <f t="shared" si="36"/>
        <v>0</v>
      </c>
      <c r="M180" s="350">
        <f>SUM(M169:M179)</f>
        <v>751734.41</v>
      </c>
      <c r="N180" s="350">
        <f t="shared" si="36"/>
        <v>589047.87</v>
      </c>
      <c r="O180" s="379">
        <f t="shared" si="36"/>
        <v>182599267.50999999</v>
      </c>
      <c r="P180" s="350">
        <f>SUM(P169:P179)</f>
        <v>827373274.50999999</v>
      </c>
      <c r="Q180" s="350">
        <f t="shared" si="36"/>
        <v>502224260.50999999</v>
      </c>
      <c r="R180" s="350">
        <f t="shared" si="36"/>
        <v>120817721.75</v>
      </c>
      <c r="S180" s="350">
        <f t="shared" si="36"/>
        <v>183547319.93000001</v>
      </c>
      <c r="T180" s="350">
        <f t="shared" si="36"/>
        <v>32822363.16</v>
      </c>
      <c r="U180" s="350">
        <f t="shared" si="36"/>
        <v>220463189.16999999</v>
      </c>
      <c r="V180" s="350">
        <f t="shared" si="36"/>
        <v>308894230.68000001</v>
      </c>
      <c r="W180" s="350">
        <f t="shared" si="36"/>
        <v>71880344</v>
      </c>
      <c r="X180" s="350">
        <f t="shared" si="36"/>
        <v>94102499.719999999</v>
      </c>
      <c r="Y180" s="350">
        <f t="shared" si="36"/>
        <v>220628659.06</v>
      </c>
      <c r="Z180" s="350">
        <f t="shared" si="36"/>
        <v>38648795.539999999</v>
      </c>
      <c r="AA180" s="350">
        <f t="shared" si="36"/>
        <v>43749040.979999997</v>
      </c>
      <c r="AB180" s="350">
        <f t="shared" si="36"/>
        <v>13454004.029999999</v>
      </c>
      <c r="AC180" s="350">
        <f t="shared" si="36"/>
        <v>38907938.939999998</v>
      </c>
      <c r="AD180" s="350">
        <f t="shared" si="36"/>
        <v>143845104.68000001</v>
      </c>
      <c r="AE180" s="350">
        <f t="shared" si="36"/>
        <v>17974990</v>
      </c>
      <c r="AF180" s="350">
        <f t="shared" si="36"/>
        <v>6307359.0300000003</v>
      </c>
      <c r="AG180" s="350">
        <f t="shared" ref="AG180" si="37">SUM(AG169:AG179)</f>
        <v>0</v>
      </c>
      <c r="AH180" s="350">
        <f t="shared" si="36"/>
        <v>1445281</v>
      </c>
      <c r="AJ180" s="341">
        <f t="shared" si="35"/>
        <v>3664917686.1700001</v>
      </c>
    </row>
    <row r="181" spans="1:36" x14ac:dyDescent="0.2">
      <c r="B181" s="170"/>
      <c r="C181" s="170"/>
      <c r="E181" s="341"/>
      <c r="F181" s="341"/>
      <c r="G181" s="341"/>
      <c r="H181" s="341"/>
      <c r="I181" s="341"/>
      <c r="J181" s="341"/>
      <c r="K181" s="341"/>
      <c r="L181" s="341"/>
      <c r="M181" s="341"/>
      <c r="N181" s="341"/>
      <c r="O181" s="212"/>
      <c r="P181" s="341"/>
      <c r="Q181" s="341"/>
      <c r="R181" s="341"/>
      <c r="S181" s="341"/>
      <c r="T181" s="341"/>
      <c r="U181" s="341"/>
      <c r="V181" s="341"/>
      <c r="W181" s="341"/>
      <c r="X181" s="341"/>
      <c r="Y181" s="341"/>
      <c r="Z181" s="341"/>
      <c r="AA181" s="341"/>
      <c r="AB181" s="341"/>
      <c r="AC181" s="341"/>
      <c r="AD181" s="341"/>
      <c r="AE181" s="341"/>
      <c r="AF181" s="341"/>
      <c r="AG181" s="341"/>
      <c r="AH181" s="341"/>
      <c r="AJ181" s="341">
        <f t="shared" si="35"/>
        <v>0</v>
      </c>
    </row>
    <row r="182" spans="1:36" x14ac:dyDescent="0.2">
      <c r="B182" s="213" t="s">
        <v>1673</v>
      </c>
      <c r="E182" s="341"/>
      <c r="F182" s="341"/>
      <c r="G182" s="341"/>
      <c r="H182" s="341"/>
      <c r="I182" s="341"/>
      <c r="J182" s="341"/>
      <c r="K182" s="341"/>
      <c r="L182" s="341"/>
      <c r="M182" s="341"/>
      <c r="N182" s="341"/>
      <c r="O182" s="708" t="s">
        <v>5452</v>
      </c>
      <c r="P182" s="707" t="s">
        <v>5453</v>
      </c>
      <c r="Q182" s="707" t="s">
        <v>5059</v>
      </c>
      <c r="R182" s="708" t="s">
        <v>5061</v>
      </c>
      <c r="S182" s="708" t="s">
        <v>5063</v>
      </c>
      <c r="T182" s="708" t="s">
        <v>5065</v>
      </c>
      <c r="U182" s="708" t="s">
        <v>5067</v>
      </c>
      <c r="V182" s="708" t="s">
        <v>5069</v>
      </c>
      <c r="W182" s="708" t="s">
        <v>5071</v>
      </c>
      <c r="X182" s="708" t="s">
        <v>5073</v>
      </c>
      <c r="Y182" s="708" t="s">
        <v>5075</v>
      </c>
      <c r="Z182" s="708" t="s">
        <v>5077</v>
      </c>
      <c r="AA182" s="708" t="s">
        <v>5079</v>
      </c>
      <c r="AB182" s="708" t="s">
        <v>5081</v>
      </c>
      <c r="AC182" s="708" t="s">
        <v>5083</v>
      </c>
      <c r="AD182" s="708" t="s">
        <v>5085</v>
      </c>
      <c r="AE182" s="708" t="s">
        <v>5087</v>
      </c>
      <c r="AF182" s="708" t="s">
        <v>5089</v>
      </c>
      <c r="AG182" s="708" t="s">
        <v>5089</v>
      </c>
      <c r="AH182" s="716">
        <v>69</v>
      </c>
      <c r="AJ182" s="341">
        <f t="shared" si="35"/>
        <v>0</v>
      </c>
    </row>
    <row r="183" spans="1:36" x14ac:dyDescent="0.2">
      <c r="A183" s="170">
        <v>2130</v>
      </c>
      <c r="B183" s="2890" t="s">
        <v>2230</v>
      </c>
      <c r="C183" s="2890"/>
      <c r="D183" t="str">
        <f>IF(SUM(F183:N183)-E183=0,"OK","prob")</f>
        <v>OK</v>
      </c>
      <c r="E183" s="341">
        <v>1097172230.77</v>
      </c>
      <c r="F183" s="2116">
        <v>719509658</v>
      </c>
      <c r="G183" s="341">
        <v>0</v>
      </c>
      <c r="H183" s="341">
        <v>0</v>
      </c>
      <c r="I183" s="341">
        <v>238859499.99000001</v>
      </c>
      <c r="J183" s="341">
        <v>5867792.9800000004</v>
      </c>
      <c r="K183" s="341">
        <v>100508966.8</v>
      </c>
      <c r="L183" s="341"/>
      <c r="M183" s="341">
        <v>0</v>
      </c>
      <c r="N183" s="341">
        <v>32426313</v>
      </c>
      <c r="O183" s="212">
        <v>51952559.18</v>
      </c>
      <c r="P183" s="212">
        <v>1620667897.5699999</v>
      </c>
      <c r="Q183" s="212">
        <v>1704341577.2</v>
      </c>
      <c r="R183" s="212">
        <v>520247462.30000001</v>
      </c>
      <c r="S183" s="212">
        <v>979479669.82000005</v>
      </c>
      <c r="T183" s="212">
        <v>170274658.22999999</v>
      </c>
      <c r="U183" s="212">
        <v>483608231.26999998</v>
      </c>
      <c r="V183" s="212">
        <v>882956100.63</v>
      </c>
      <c r="W183" s="212">
        <v>389012498.43000001</v>
      </c>
      <c r="X183" s="212">
        <v>430647035.16000003</v>
      </c>
      <c r="Y183" s="212">
        <v>470713507.75999999</v>
      </c>
      <c r="Z183" s="212">
        <v>173546429.86000001</v>
      </c>
      <c r="AA183" s="212">
        <v>162235898.96000001</v>
      </c>
      <c r="AB183" s="212">
        <v>114422609.61</v>
      </c>
      <c r="AC183" s="212">
        <v>146286899.44999999</v>
      </c>
      <c r="AD183" s="212">
        <v>238455526.21000001</v>
      </c>
      <c r="AE183" s="212">
        <v>117066203.59</v>
      </c>
      <c r="AF183" s="212">
        <v>50033754.689999998</v>
      </c>
      <c r="AG183" s="212">
        <v>5875656.1900000004</v>
      </c>
      <c r="AH183" s="341">
        <v>5921182.0099999998</v>
      </c>
      <c r="AJ183" s="341">
        <f t="shared" si="35"/>
        <v>9803120750.6900005</v>
      </c>
    </row>
    <row r="184" spans="1:36" x14ac:dyDescent="0.2">
      <c r="A184" s="166"/>
      <c r="B184" s="170" t="s">
        <v>4893</v>
      </c>
      <c r="C184" s="170"/>
      <c r="E184" s="341"/>
      <c r="F184" s="341"/>
      <c r="G184" s="341"/>
      <c r="H184" s="341"/>
      <c r="I184" s="341"/>
      <c r="J184" s="341"/>
      <c r="K184" s="341"/>
      <c r="L184" s="341"/>
      <c r="M184" s="341"/>
      <c r="N184" s="341"/>
      <c r="O184" s="212"/>
      <c r="P184" s="760"/>
      <c r="Q184" s="341"/>
      <c r="R184" s="341"/>
      <c r="S184" s="341"/>
      <c r="T184" s="341"/>
      <c r="U184" s="341"/>
      <c r="V184" s="341"/>
      <c r="W184" s="341"/>
      <c r="X184" s="341"/>
      <c r="Y184" s="341"/>
      <c r="Z184" s="212"/>
      <c r="AA184" s="341"/>
      <c r="AB184" s="341"/>
      <c r="AC184" s="341"/>
      <c r="AD184" s="341"/>
      <c r="AE184" s="341"/>
      <c r="AF184" s="341"/>
      <c r="AG184" s="341"/>
      <c r="AH184" s="341"/>
      <c r="AJ184" s="341">
        <f t="shared" si="35"/>
        <v>0</v>
      </c>
    </row>
    <row r="185" spans="1:36" x14ac:dyDescent="0.2">
      <c r="A185" s="170">
        <v>2140</v>
      </c>
      <c r="B185" s="2890" t="s">
        <v>4894</v>
      </c>
      <c r="C185" s="2890"/>
      <c r="D185" t="str">
        <f>IF(SUM(F185:N185)-E185=0,"OK","prob")</f>
        <v>OK</v>
      </c>
      <c r="E185" s="341">
        <v>0</v>
      </c>
      <c r="F185" s="341">
        <v>0</v>
      </c>
      <c r="G185" s="341">
        <v>0</v>
      </c>
      <c r="H185" s="341">
        <v>0</v>
      </c>
      <c r="I185" s="341">
        <v>0</v>
      </c>
      <c r="J185" s="341">
        <v>0</v>
      </c>
      <c r="K185" s="341">
        <v>0</v>
      </c>
      <c r="L185" s="341"/>
      <c r="M185" s="341">
        <v>0</v>
      </c>
      <c r="N185" s="341">
        <v>0</v>
      </c>
      <c r="O185" s="212">
        <v>14638603.890000001</v>
      </c>
      <c r="P185" s="212">
        <v>1009517408.42</v>
      </c>
      <c r="Q185" s="212">
        <v>188508808.49000001</v>
      </c>
      <c r="R185" s="212">
        <v>188883683.13</v>
      </c>
      <c r="S185" s="212">
        <v>52812844.030000001</v>
      </c>
      <c r="T185" s="212">
        <v>9447944.9900000002</v>
      </c>
      <c r="U185" s="212">
        <v>84360730.579999998</v>
      </c>
      <c r="V185" s="212">
        <v>49731948.719999999</v>
      </c>
      <c r="W185" s="212">
        <v>77344619.159999996</v>
      </c>
      <c r="X185" s="212">
        <v>59948902.659999996</v>
      </c>
      <c r="Y185" s="212">
        <v>113807356.22</v>
      </c>
      <c r="Z185" s="212">
        <v>20962000.66</v>
      </c>
      <c r="AA185" s="212">
        <v>30531528.59</v>
      </c>
      <c r="AB185" s="212">
        <v>12933467.09</v>
      </c>
      <c r="AC185" s="212">
        <v>15203688.060000001</v>
      </c>
      <c r="AD185" s="212">
        <v>59816856.609999999</v>
      </c>
      <c r="AE185" s="212">
        <v>27657914.57</v>
      </c>
      <c r="AF185" s="212">
        <v>0</v>
      </c>
      <c r="AG185" s="212">
        <v>0</v>
      </c>
      <c r="AH185" s="341">
        <v>0</v>
      </c>
      <c r="AJ185" s="341">
        <f t="shared" si="35"/>
        <v>2016108305.8699999</v>
      </c>
    </row>
    <row r="186" spans="1:36" x14ac:dyDescent="0.2">
      <c r="A186" s="170">
        <v>2141</v>
      </c>
      <c r="B186" s="2890" t="s">
        <v>4895</v>
      </c>
      <c r="C186" s="2890"/>
      <c r="D186" t="str">
        <f>IF(SUM(F186:N186)-E186=0,"OK","prob")</f>
        <v>OK</v>
      </c>
      <c r="E186" s="341">
        <v>0</v>
      </c>
      <c r="F186" s="341">
        <v>0</v>
      </c>
      <c r="G186" s="341">
        <v>0</v>
      </c>
      <c r="H186" s="341">
        <v>0</v>
      </c>
      <c r="I186" s="341">
        <v>0</v>
      </c>
      <c r="J186" s="341">
        <v>0</v>
      </c>
      <c r="K186" s="341">
        <v>0</v>
      </c>
      <c r="L186" s="341"/>
      <c r="M186" s="341">
        <v>0</v>
      </c>
      <c r="N186" s="341">
        <v>0</v>
      </c>
      <c r="O186" s="212">
        <v>0</v>
      </c>
      <c r="P186" s="212">
        <v>0</v>
      </c>
      <c r="Q186" s="212">
        <v>0</v>
      </c>
      <c r="R186" s="212">
        <v>0</v>
      </c>
      <c r="S186" s="212">
        <v>0</v>
      </c>
      <c r="T186" s="212">
        <v>0</v>
      </c>
      <c r="U186" s="212">
        <v>0</v>
      </c>
      <c r="V186" s="212">
        <v>0</v>
      </c>
      <c r="W186" s="212">
        <v>0</v>
      </c>
      <c r="X186" s="212">
        <v>0</v>
      </c>
      <c r="Y186" s="212">
        <v>0</v>
      </c>
      <c r="Z186" s="212">
        <v>0</v>
      </c>
      <c r="AA186" s="212">
        <v>0</v>
      </c>
      <c r="AB186" s="212">
        <v>0</v>
      </c>
      <c r="AC186" s="212">
        <v>0</v>
      </c>
      <c r="AD186" s="212">
        <v>0</v>
      </c>
      <c r="AE186" s="212">
        <v>0</v>
      </c>
      <c r="AF186" s="212">
        <v>0</v>
      </c>
      <c r="AG186" s="212">
        <v>0</v>
      </c>
      <c r="AH186" s="341">
        <v>0</v>
      </c>
      <c r="AJ186" s="341">
        <f t="shared" si="35"/>
        <v>0</v>
      </c>
    </row>
    <row r="187" spans="1:36" x14ac:dyDescent="0.2">
      <c r="A187" s="170">
        <v>2142</v>
      </c>
      <c r="B187" s="2890" t="s">
        <v>4896</v>
      </c>
      <c r="C187" s="2890"/>
      <c r="D187" t="str">
        <f>IF(SUM(F187:N187)-E187=0,"OK","prob")</f>
        <v>OK</v>
      </c>
      <c r="E187" s="341">
        <v>0</v>
      </c>
      <c r="F187" s="341">
        <v>0</v>
      </c>
      <c r="G187" s="341">
        <v>0</v>
      </c>
      <c r="H187" s="341">
        <v>0</v>
      </c>
      <c r="I187" s="341">
        <v>0</v>
      </c>
      <c r="J187" s="341">
        <v>0</v>
      </c>
      <c r="K187" s="341">
        <v>0</v>
      </c>
      <c r="L187" s="341"/>
      <c r="M187" s="341">
        <v>0</v>
      </c>
      <c r="N187" s="341">
        <v>0</v>
      </c>
      <c r="O187" s="212">
        <v>0</v>
      </c>
      <c r="P187" s="212">
        <v>0</v>
      </c>
      <c r="Q187" s="212">
        <v>0</v>
      </c>
      <c r="R187" s="212">
        <v>0</v>
      </c>
      <c r="S187" s="212">
        <v>0</v>
      </c>
      <c r="T187" s="212">
        <v>0</v>
      </c>
      <c r="U187" s="212">
        <v>0</v>
      </c>
      <c r="V187" s="212">
        <v>0</v>
      </c>
      <c r="W187" s="212">
        <v>0</v>
      </c>
      <c r="X187" s="212">
        <v>0</v>
      </c>
      <c r="Y187" s="212">
        <v>0</v>
      </c>
      <c r="Z187" s="212">
        <v>0</v>
      </c>
      <c r="AA187" s="212">
        <v>0</v>
      </c>
      <c r="AB187" s="212">
        <v>0</v>
      </c>
      <c r="AC187" s="212">
        <v>0</v>
      </c>
      <c r="AD187" s="212">
        <v>0</v>
      </c>
      <c r="AE187" s="212">
        <v>0</v>
      </c>
      <c r="AF187" s="212">
        <v>0</v>
      </c>
      <c r="AG187" s="212">
        <v>0</v>
      </c>
      <c r="AH187" s="341">
        <v>0</v>
      </c>
      <c r="AJ187" s="341">
        <f t="shared" si="35"/>
        <v>0</v>
      </c>
    </row>
    <row r="188" spans="1:36" x14ac:dyDescent="0.2">
      <c r="A188" s="166"/>
      <c r="B188" s="170" t="s">
        <v>2865</v>
      </c>
      <c r="C188" s="170"/>
      <c r="E188" s="341"/>
      <c r="F188" s="341"/>
      <c r="G188" s="341"/>
      <c r="H188" s="341"/>
      <c r="I188" s="341"/>
      <c r="J188" s="341"/>
      <c r="K188" s="341"/>
      <c r="L188" s="341"/>
      <c r="M188" s="341"/>
      <c r="N188" s="341"/>
      <c r="O188" s="212"/>
      <c r="P188" s="760"/>
      <c r="Q188" s="341"/>
      <c r="R188" s="341"/>
      <c r="S188" s="341"/>
      <c r="T188" s="341"/>
      <c r="U188" s="341"/>
      <c r="V188" s="341"/>
      <c r="W188" s="341"/>
      <c r="X188" s="341"/>
      <c r="Y188" s="341"/>
      <c r="Z188" s="212"/>
      <c r="AA188" s="341"/>
      <c r="AB188" s="341"/>
      <c r="AC188" s="341"/>
      <c r="AD188" s="341"/>
      <c r="AE188" s="341"/>
      <c r="AF188" s="341"/>
      <c r="AG188" s="341"/>
      <c r="AH188" s="341"/>
      <c r="AJ188" s="341">
        <f t="shared" si="35"/>
        <v>0</v>
      </c>
    </row>
    <row r="189" spans="1:36" x14ac:dyDescent="0.2">
      <c r="A189" s="170">
        <v>2150</v>
      </c>
      <c r="B189" s="2890" t="s">
        <v>4894</v>
      </c>
      <c r="C189" s="2890"/>
      <c r="D189" t="str">
        <f>IF(SUM(F189:N189)-E189=0,"OK","prob")</f>
        <v>OK</v>
      </c>
      <c r="E189" s="341">
        <v>0</v>
      </c>
      <c r="F189" s="341">
        <v>0</v>
      </c>
      <c r="G189" s="341">
        <v>0</v>
      </c>
      <c r="H189" s="341">
        <v>0</v>
      </c>
      <c r="I189" s="341">
        <v>0</v>
      </c>
      <c r="J189" s="341">
        <v>0</v>
      </c>
      <c r="K189" s="341">
        <v>0</v>
      </c>
      <c r="L189" s="341"/>
      <c r="M189" s="341">
        <v>0</v>
      </c>
      <c r="N189" s="341">
        <v>0</v>
      </c>
      <c r="O189" s="212">
        <v>125119579.66</v>
      </c>
      <c r="P189" s="212">
        <v>2363151262</v>
      </c>
      <c r="Q189" s="212">
        <v>506613547.70999998</v>
      </c>
      <c r="R189" s="212">
        <v>243104318</v>
      </c>
      <c r="S189" s="212">
        <v>92181387.510000005</v>
      </c>
      <c r="T189" s="212">
        <v>19821563.609999999</v>
      </c>
      <c r="U189" s="212">
        <v>108767299.89</v>
      </c>
      <c r="V189" s="212">
        <v>101937068.34999999</v>
      </c>
      <c r="W189" s="212">
        <v>99961126.549999997</v>
      </c>
      <c r="X189" s="212">
        <v>91103519.069999993</v>
      </c>
      <c r="Y189" s="212">
        <v>156111626.94999999</v>
      </c>
      <c r="Z189" s="212">
        <v>39132567.090000004</v>
      </c>
      <c r="AA189" s="212">
        <v>33380041.489999998</v>
      </c>
      <c r="AB189" s="212">
        <v>24172103.02</v>
      </c>
      <c r="AC189" s="212">
        <v>45082213.009999998</v>
      </c>
      <c r="AD189" s="212"/>
      <c r="AE189" s="212">
        <v>33695396.369999997</v>
      </c>
      <c r="AF189" s="212">
        <v>0</v>
      </c>
      <c r="AG189" s="212">
        <v>0</v>
      </c>
      <c r="AH189" s="341">
        <v>0</v>
      </c>
      <c r="AJ189" s="341">
        <f t="shared" si="35"/>
        <v>4083334620.2800002</v>
      </c>
    </row>
    <row r="190" spans="1:36" x14ac:dyDescent="0.2">
      <c r="A190" s="170">
        <v>2151</v>
      </c>
      <c r="B190" s="2890" t="s">
        <v>4895</v>
      </c>
      <c r="C190" s="2890"/>
      <c r="D190" t="str">
        <f>IF(SUM(F190:N190)-E190=0,"OK","prob")</f>
        <v>OK</v>
      </c>
      <c r="E190" s="341">
        <v>495136064.60000002</v>
      </c>
      <c r="F190" s="2116">
        <v>494328746</v>
      </c>
      <c r="G190" s="341">
        <v>0</v>
      </c>
      <c r="H190" s="341">
        <v>0</v>
      </c>
      <c r="I190" s="341">
        <v>807318.6</v>
      </c>
      <c r="J190" s="341">
        <v>0</v>
      </c>
      <c r="K190" s="341">
        <v>0</v>
      </c>
      <c r="L190" s="341"/>
      <c r="M190" s="341">
        <v>0</v>
      </c>
      <c r="N190" s="341">
        <v>0</v>
      </c>
      <c r="O190" s="212">
        <v>0</v>
      </c>
      <c r="P190" s="212">
        <v>0</v>
      </c>
      <c r="Q190" s="212">
        <v>0</v>
      </c>
      <c r="R190" s="212">
        <v>0</v>
      </c>
      <c r="S190" s="212">
        <v>0</v>
      </c>
      <c r="T190" s="212">
        <v>0</v>
      </c>
      <c r="U190" s="212">
        <v>0</v>
      </c>
      <c r="V190" s="212">
        <v>0</v>
      </c>
      <c r="W190" s="212">
        <v>0</v>
      </c>
      <c r="X190" s="212">
        <v>0</v>
      </c>
      <c r="Y190" s="212">
        <v>0</v>
      </c>
      <c r="Z190" s="212">
        <v>0</v>
      </c>
      <c r="AA190" s="212">
        <v>0</v>
      </c>
      <c r="AB190" s="212">
        <v>0</v>
      </c>
      <c r="AC190" s="212">
        <v>0</v>
      </c>
      <c r="AD190" s="212">
        <v>0</v>
      </c>
      <c r="AE190" s="212">
        <v>0</v>
      </c>
      <c r="AF190" s="212">
        <v>0</v>
      </c>
      <c r="AG190" s="212">
        <v>0</v>
      </c>
      <c r="AH190" s="341">
        <v>0</v>
      </c>
      <c r="AJ190" s="341">
        <f t="shared" si="35"/>
        <v>495136064.60000002</v>
      </c>
    </row>
    <row r="191" spans="1:36" x14ac:dyDescent="0.2">
      <c r="A191" s="170">
        <v>2152</v>
      </c>
      <c r="B191" s="2890" t="s">
        <v>4896</v>
      </c>
      <c r="C191" s="2890"/>
      <c r="D191" t="str">
        <f>IF(SUM(F191:N191)-E191=0,"OK","prob")</f>
        <v>OK</v>
      </c>
      <c r="E191" s="341">
        <v>0</v>
      </c>
      <c r="F191" s="341">
        <v>0</v>
      </c>
      <c r="G191" s="341">
        <v>0</v>
      </c>
      <c r="H191" s="341">
        <v>0</v>
      </c>
      <c r="I191" s="341">
        <v>0</v>
      </c>
      <c r="J191" s="341">
        <v>0</v>
      </c>
      <c r="K191" s="341">
        <v>0</v>
      </c>
      <c r="L191" s="341"/>
      <c r="M191" s="341">
        <v>0</v>
      </c>
      <c r="N191" s="341">
        <v>0</v>
      </c>
      <c r="O191" s="212">
        <v>0</v>
      </c>
      <c r="P191" s="212">
        <v>0</v>
      </c>
      <c r="Q191" s="212">
        <v>0</v>
      </c>
      <c r="R191" s="212">
        <v>0</v>
      </c>
      <c r="S191" s="212">
        <v>0</v>
      </c>
      <c r="T191" s="212">
        <v>0</v>
      </c>
      <c r="U191" s="212">
        <v>0</v>
      </c>
      <c r="V191" s="212">
        <v>0</v>
      </c>
      <c r="W191" s="212">
        <v>0</v>
      </c>
      <c r="X191" s="212">
        <v>0</v>
      </c>
      <c r="Y191" s="212">
        <v>0</v>
      </c>
      <c r="Z191" s="212">
        <v>0</v>
      </c>
      <c r="AA191" s="212">
        <v>0</v>
      </c>
      <c r="AB191" s="212">
        <v>0</v>
      </c>
      <c r="AC191" s="212">
        <v>0</v>
      </c>
      <c r="AD191" s="212">
        <v>0</v>
      </c>
      <c r="AE191" s="212">
        <v>0</v>
      </c>
      <c r="AF191" s="212">
        <v>0</v>
      </c>
      <c r="AG191" s="212">
        <v>0</v>
      </c>
      <c r="AH191" s="341">
        <v>1129057.1399999999</v>
      </c>
      <c r="AJ191" s="341">
        <f t="shared" si="35"/>
        <v>0</v>
      </c>
    </row>
    <row r="192" spans="1:36" x14ac:dyDescent="0.2">
      <c r="A192" s="170">
        <v>0</v>
      </c>
      <c r="B192" s="3119" t="s">
        <v>4897</v>
      </c>
      <c r="C192" s="3119"/>
      <c r="D192" t="str">
        <f>IF(SUM(F192:N192)-E192=0,"OK","prob")</f>
        <v>OK</v>
      </c>
      <c r="E192" s="341">
        <v>0</v>
      </c>
      <c r="F192" s="341">
        <v>0</v>
      </c>
      <c r="G192" s="341">
        <v>0</v>
      </c>
      <c r="H192" s="341">
        <v>0</v>
      </c>
      <c r="I192" s="341">
        <v>0</v>
      </c>
      <c r="J192" s="341">
        <v>0</v>
      </c>
      <c r="K192" s="341">
        <v>0</v>
      </c>
      <c r="L192" s="341">
        <v>0</v>
      </c>
      <c r="M192" s="341">
        <v>0</v>
      </c>
      <c r="N192" s="341">
        <v>0</v>
      </c>
      <c r="O192" s="341">
        <v>0</v>
      </c>
      <c r="P192" s="341">
        <v>0</v>
      </c>
      <c r="Q192" s="341">
        <v>0</v>
      </c>
      <c r="R192" s="341">
        <v>0</v>
      </c>
      <c r="S192" s="341">
        <v>0</v>
      </c>
      <c r="T192" s="341">
        <v>0</v>
      </c>
      <c r="U192" s="341">
        <v>0</v>
      </c>
      <c r="V192" s="341">
        <v>0</v>
      </c>
      <c r="W192" s="341">
        <v>0</v>
      </c>
      <c r="X192" s="341">
        <v>0</v>
      </c>
      <c r="Y192" s="341">
        <v>0</v>
      </c>
      <c r="Z192" s="212">
        <v>0</v>
      </c>
      <c r="AA192" s="341">
        <v>0</v>
      </c>
      <c r="AB192" s="341">
        <v>0</v>
      </c>
      <c r="AC192" s="341">
        <v>0</v>
      </c>
      <c r="AD192" s="341">
        <v>0</v>
      </c>
      <c r="AE192" s="341">
        <v>0</v>
      </c>
      <c r="AF192" s="341">
        <v>0</v>
      </c>
      <c r="AG192" s="341">
        <v>0</v>
      </c>
      <c r="AH192" s="341">
        <v>0</v>
      </c>
      <c r="AJ192" s="341"/>
    </row>
    <row r="193" spans="1:36" x14ac:dyDescent="0.2">
      <c r="A193" s="170">
        <v>2180</v>
      </c>
      <c r="B193" s="2890" t="s">
        <v>1640</v>
      </c>
      <c r="C193" s="2890"/>
      <c r="D193" t="str">
        <f>IF(SUM(F193:N193)=E193,"OK","prob")</f>
        <v>OK</v>
      </c>
      <c r="E193" s="2118">
        <v>1300033750.0599999</v>
      </c>
      <c r="F193" s="2118">
        <v>322999378</v>
      </c>
      <c r="G193" s="343">
        <v>230171095.75</v>
      </c>
      <c r="H193" s="343">
        <v>20379201</v>
      </c>
      <c r="I193" s="2118">
        <v>752903582.88999999</v>
      </c>
      <c r="J193" s="2118">
        <v>-14624050.800000001</v>
      </c>
      <c r="K193" s="343">
        <v>-53828785.32</v>
      </c>
      <c r="L193" s="343"/>
      <c r="M193" s="2118">
        <v>-2932183.21</v>
      </c>
      <c r="N193" s="2118">
        <v>44965511.75</v>
      </c>
      <c r="O193" s="212">
        <v>-721749.61</v>
      </c>
      <c r="P193" s="212">
        <v>-621909476.77999997</v>
      </c>
      <c r="Q193" s="212">
        <v>-837985862.72000003</v>
      </c>
      <c r="R193" s="212">
        <v>-123529645.58</v>
      </c>
      <c r="S193" s="2044">
        <v>-24460201.16</v>
      </c>
      <c r="T193" s="212">
        <v>-67660253.859999999</v>
      </c>
      <c r="U193" s="212">
        <v>-95288854.920000002</v>
      </c>
      <c r="V193" s="212">
        <v>-461792284.49000001</v>
      </c>
      <c r="W193" s="212">
        <v>7254157.0199999996</v>
      </c>
      <c r="X193" s="212">
        <v>-22546526.629999999</v>
      </c>
      <c r="Y193" s="212">
        <v>-199253839.09</v>
      </c>
      <c r="Z193" s="212">
        <v>-84336491.640000001</v>
      </c>
      <c r="AA193" s="212">
        <v>-61626453.159999996</v>
      </c>
      <c r="AB193" s="212">
        <v>-7144140.0800000001</v>
      </c>
      <c r="AC193" s="212">
        <v>-85983999.420000002</v>
      </c>
      <c r="AD193" s="212">
        <v>-130448408.23999999</v>
      </c>
      <c r="AE193" s="212">
        <v>-26159086.370000001</v>
      </c>
      <c r="AF193" s="212">
        <v>816385.01</v>
      </c>
      <c r="AG193" s="212">
        <v>21719230.800000001</v>
      </c>
      <c r="AH193" s="343">
        <v>3384664.63</v>
      </c>
      <c r="AI193" s="170"/>
      <c r="AJ193" s="341">
        <f t="shared" si="35"/>
        <v>-1542742981.6600001</v>
      </c>
    </row>
    <row r="194" spans="1:36" ht="13.5" thickBot="1" x14ac:dyDescent="0.25">
      <c r="B194" s="2890" t="s">
        <v>1641</v>
      </c>
      <c r="C194" s="2890"/>
      <c r="D194" t="str">
        <f>IF(SUM(F194:N194)-E194=0,"OK","prob")</f>
        <v>OK</v>
      </c>
      <c r="E194" s="429">
        <f t="shared" ref="E194:AH194" si="38">SUM(E183:E193)</f>
        <v>2892342045.4299998</v>
      </c>
      <c r="F194" s="1865">
        <f t="shared" si="38"/>
        <v>1536837782</v>
      </c>
      <c r="G194" s="1865">
        <f t="shared" si="38"/>
        <v>230171095.75</v>
      </c>
      <c r="H194" s="1865">
        <f t="shared" si="38"/>
        <v>20379201</v>
      </c>
      <c r="I194" s="1865">
        <f t="shared" si="38"/>
        <v>992570401.48000002</v>
      </c>
      <c r="J194" s="1865">
        <f t="shared" si="38"/>
        <v>-8756257.8200000003</v>
      </c>
      <c r="K194" s="1865">
        <f t="shared" si="38"/>
        <v>46680181.479999997</v>
      </c>
      <c r="L194" s="1865">
        <f t="shared" si="38"/>
        <v>0</v>
      </c>
      <c r="M194" s="1865">
        <f>SUM(M183:M193)</f>
        <v>-2932183.21</v>
      </c>
      <c r="N194" s="1865">
        <f t="shared" si="38"/>
        <v>77391824.75</v>
      </c>
      <c r="O194" s="1818">
        <f t="shared" si="38"/>
        <v>190988993.12</v>
      </c>
      <c r="P194" s="1819">
        <f t="shared" si="38"/>
        <v>4371427091.21</v>
      </c>
      <c r="Q194" s="1819">
        <f t="shared" si="38"/>
        <v>1561478070.6800001</v>
      </c>
      <c r="R194" s="1819">
        <f t="shared" si="38"/>
        <v>828705817.85000002</v>
      </c>
      <c r="S194" s="1819">
        <f t="shared" si="38"/>
        <v>1100013700.2</v>
      </c>
      <c r="T194" s="1819">
        <f t="shared" si="38"/>
        <v>131883912.97</v>
      </c>
      <c r="U194" s="1819">
        <f t="shared" si="38"/>
        <v>581447406.82000005</v>
      </c>
      <c r="V194" s="1819">
        <f t="shared" si="38"/>
        <v>572832833.21000004</v>
      </c>
      <c r="W194" s="1819">
        <f t="shared" si="38"/>
        <v>573572401.15999997</v>
      </c>
      <c r="X194" s="1819">
        <f t="shared" si="38"/>
        <v>559152930.25999999</v>
      </c>
      <c r="Y194" s="1819">
        <f t="shared" si="38"/>
        <v>541378651.84000003</v>
      </c>
      <c r="Z194" s="1819">
        <f t="shared" si="38"/>
        <v>149304505.97</v>
      </c>
      <c r="AA194" s="1819">
        <f t="shared" si="38"/>
        <v>164521015.88</v>
      </c>
      <c r="AB194" s="1819">
        <f t="shared" si="38"/>
        <v>144384039.63999999</v>
      </c>
      <c r="AC194" s="1819">
        <f t="shared" si="38"/>
        <v>120588801.09999999</v>
      </c>
      <c r="AD194" s="1819">
        <f t="shared" si="38"/>
        <v>167823974.58000001</v>
      </c>
      <c r="AE194" s="1819">
        <f t="shared" si="38"/>
        <v>152260428.16</v>
      </c>
      <c r="AF194" s="1819">
        <f t="shared" si="38"/>
        <v>50850139.700000003</v>
      </c>
      <c r="AG194" s="1819">
        <f t="shared" ref="AG194" si="39">SUM(AG183:AG193)</f>
        <v>27594886.989999998</v>
      </c>
      <c r="AH194" s="429">
        <f t="shared" si="38"/>
        <v>10434903.779999999</v>
      </c>
      <c r="AI194" s="1864">
        <f>SUM(F194:AF194)</f>
        <v>14854956759.780001</v>
      </c>
    </row>
    <row r="195" spans="1:36" ht="13.5" thickTop="1" x14ac:dyDescent="0.2">
      <c r="B195" s="2380"/>
      <c r="C195" s="2380"/>
      <c r="E195" s="341"/>
      <c r="F195" s="341"/>
      <c r="G195" s="341"/>
      <c r="H195" s="341"/>
      <c r="I195" s="341"/>
      <c r="J195" s="341"/>
      <c r="K195" s="341"/>
      <c r="L195" s="341"/>
      <c r="M195" s="341"/>
      <c r="N195" s="341"/>
      <c r="O195" s="212"/>
      <c r="P195" s="341"/>
      <c r="Q195" s="341"/>
      <c r="R195" s="341"/>
      <c r="S195" s="341"/>
      <c r="T195" s="341"/>
      <c r="U195" s="341"/>
      <c r="V195" s="341"/>
      <c r="W195" s="341"/>
      <c r="X195" s="341"/>
      <c r="Y195" s="341"/>
      <c r="Z195" s="341"/>
      <c r="AA195" s="341"/>
      <c r="AB195" s="341"/>
      <c r="AC195" s="341"/>
      <c r="AD195" s="341"/>
      <c r="AE195" s="341"/>
      <c r="AF195" s="341"/>
      <c r="AG195" s="341"/>
      <c r="AH195" s="341"/>
      <c r="AI195" s="170" t="s">
        <v>5454</v>
      </c>
    </row>
    <row r="196" spans="1:36" x14ac:dyDescent="0.2">
      <c r="B196" s="170" t="s">
        <v>5455</v>
      </c>
      <c r="C196" s="170"/>
      <c r="E196" s="430" t="str">
        <f t="shared" ref="E196:AH196" si="40">IF(ROUND(E88+E98-E167-E180,2)=E194, "In Bal.","Out of Bal.")</f>
        <v>In Bal.</v>
      </c>
      <c r="F196" s="430" t="str">
        <f t="shared" si="40"/>
        <v>In Bal.</v>
      </c>
      <c r="G196" s="430" t="str">
        <f t="shared" si="40"/>
        <v>In Bal.</v>
      </c>
      <c r="H196" s="430" t="str">
        <f t="shared" si="40"/>
        <v>In Bal.</v>
      </c>
      <c r="I196" s="430" t="str">
        <f t="shared" si="40"/>
        <v>In Bal.</v>
      </c>
      <c r="J196" s="430" t="str">
        <f t="shared" si="40"/>
        <v>In Bal.</v>
      </c>
      <c r="K196" s="430" t="str">
        <f t="shared" si="40"/>
        <v>In Bal.</v>
      </c>
      <c r="L196" s="430" t="str">
        <f t="shared" si="40"/>
        <v>In Bal.</v>
      </c>
      <c r="M196" s="430" t="str">
        <f t="shared" si="40"/>
        <v>In Bal.</v>
      </c>
      <c r="N196" s="430" t="str">
        <f t="shared" si="40"/>
        <v>In Bal.</v>
      </c>
      <c r="O196" s="1214" t="str">
        <f t="shared" si="40"/>
        <v>In Bal.</v>
      </c>
      <c r="P196" s="430" t="str">
        <f t="shared" si="40"/>
        <v>In Bal.</v>
      </c>
      <c r="Q196" s="430" t="str">
        <f t="shared" si="40"/>
        <v>In Bal.</v>
      </c>
      <c r="R196" s="430" t="str">
        <f t="shared" si="40"/>
        <v>In Bal.</v>
      </c>
      <c r="S196" s="430" t="str">
        <f t="shared" si="40"/>
        <v>In Bal.</v>
      </c>
      <c r="T196" s="430" t="str">
        <f t="shared" si="40"/>
        <v>In Bal.</v>
      </c>
      <c r="U196" s="430" t="str">
        <f t="shared" si="40"/>
        <v>In Bal.</v>
      </c>
      <c r="V196" s="430" t="str">
        <f t="shared" si="40"/>
        <v>In Bal.</v>
      </c>
      <c r="W196" s="430" t="str">
        <f t="shared" si="40"/>
        <v>In Bal.</v>
      </c>
      <c r="X196" s="430" t="str">
        <f t="shared" si="40"/>
        <v>In Bal.</v>
      </c>
      <c r="Y196" s="430" t="str">
        <f t="shared" si="40"/>
        <v>In Bal.</v>
      </c>
      <c r="Z196" s="430" t="str">
        <f t="shared" si="40"/>
        <v>In Bal.</v>
      </c>
      <c r="AA196" s="430" t="str">
        <f t="shared" si="40"/>
        <v>In Bal.</v>
      </c>
      <c r="AB196" s="430" t="str">
        <f t="shared" si="40"/>
        <v>In Bal.</v>
      </c>
      <c r="AC196" s="430" t="str">
        <f t="shared" si="40"/>
        <v>In Bal.</v>
      </c>
      <c r="AD196" s="430" t="str">
        <f t="shared" si="40"/>
        <v>In Bal.</v>
      </c>
      <c r="AE196" s="430" t="str">
        <f t="shared" si="40"/>
        <v>In Bal.</v>
      </c>
      <c r="AF196" s="430" t="str">
        <f t="shared" si="40"/>
        <v>In Bal.</v>
      </c>
      <c r="AG196" s="430" t="str">
        <f t="shared" ref="AG196" si="41">IF(ROUND(AG88+AG98-AG167-AG180,2)=AG194, "In Bal.","Out of Bal.")</f>
        <v>In Bal.</v>
      </c>
      <c r="AH196" s="430" t="str">
        <f t="shared" si="40"/>
        <v>In Bal.</v>
      </c>
      <c r="AI196" s="708"/>
    </row>
    <row r="197" spans="1:36" x14ac:dyDescent="0.2">
      <c r="B197" s="170"/>
      <c r="C197" s="170"/>
      <c r="E197" s="341"/>
      <c r="F197" s="341"/>
      <c r="G197" s="341"/>
      <c r="H197" s="341"/>
      <c r="I197" s="341"/>
      <c r="J197" s="341"/>
      <c r="K197" s="341"/>
      <c r="L197" s="341"/>
      <c r="M197" s="341"/>
      <c r="N197" s="341"/>
      <c r="O197" s="708" t="s">
        <v>5055</v>
      </c>
      <c r="P197" s="707" t="s">
        <v>5057</v>
      </c>
      <c r="Q197" s="707" t="s">
        <v>5059</v>
      </c>
      <c r="R197" s="708" t="s">
        <v>5061</v>
      </c>
      <c r="S197" s="708" t="s">
        <v>5063</v>
      </c>
      <c r="T197" s="708" t="s">
        <v>5065</v>
      </c>
      <c r="U197" s="708" t="s">
        <v>5067</v>
      </c>
      <c r="V197" s="708" t="s">
        <v>5069</v>
      </c>
      <c r="W197" s="708" t="s">
        <v>5071</v>
      </c>
      <c r="X197" s="708" t="s">
        <v>5073</v>
      </c>
      <c r="Y197" s="708" t="s">
        <v>5075</v>
      </c>
      <c r="Z197" s="708" t="s">
        <v>5077</v>
      </c>
      <c r="AA197" s="708" t="s">
        <v>5079</v>
      </c>
      <c r="AB197" s="708" t="s">
        <v>5081</v>
      </c>
      <c r="AC197" s="708" t="s">
        <v>5083</v>
      </c>
      <c r="AD197" s="708" t="s">
        <v>5085</v>
      </c>
      <c r="AE197" s="708" t="s">
        <v>5087</v>
      </c>
      <c r="AF197" s="708" t="s">
        <v>5089</v>
      </c>
      <c r="AG197" s="708" t="s">
        <v>5091</v>
      </c>
      <c r="AH197" s="716" t="s">
        <v>5044</v>
      </c>
    </row>
    <row r="198" spans="1:36" x14ac:dyDescent="0.2">
      <c r="B198" s="222" t="s">
        <v>4899</v>
      </c>
      <c r="C198" s="344"/>
      <c r="E198" s="2419" t="str">
        <f>CONCATENATE("FYE ",+TEXT(Data!$A$4,"mmmm d,yyyy"))</f>
        <v>FYE June 30,2023</v>
      </c>
      <c r="F198" s="2419" t="str">
        <f>CONCATENATE("FYE ",+TEXT(Data!$A$4,"mmmm d,yyyy"))</f>
        <v>FYE June 30,2023</v>
      </c>
      <c r="G198" s="2419" t="str">
        <f>CONCATENATE("FYE ",+TEXT(Data!$A$4,"mmmm d,yyyy"))</f>
        <v>FYE June 30,2023</v>
      </c>
      <c r="H198" s="2419" t="str">
        <f>CONCATENATE("FYE ",+TEXT(Data!$A$4,"mmmm d,yyyy"))</f>
        <v>FYE June 30,2023</v>
      </c>
      <c r="I198" s="2419" t="str">
        <f>CONCATENATE("FYE ",+TEXT(Data!$A$4,"mmmm d,yyyy"))</f>
        <v>FYE June 30,2023</v>
      </c>
      <c r="J198" s="2419" t="str">
        <f>CONCATENATE("FYE ",+TEXT(Data!$A$4,"mmmm d,yyyy"))</f>
        <v>FYE June 30,2023</v>
      </c>
      <c r="K198" s="2419" t="str">
        <f>CONCATENATE("FYE ",+TEXT(Data!$A$4,"mmmm d,yyyy"))</f>
        <v>FYE June 30,2023</v>
      </c>
      <c r="L198" s="2419" t="str">
        <f>CONCATENATE("FYE ",+TEXT(Data!$A$4,"mmmm d,yyyy"))</f>
        <v>FYE June 30,2023</v>
      </c>
      <c r="M198" s="2419" t="str">
        <f>CONCATENATE("FYE ",+TEXT(Data!$A$4,"mmmm d,yyyy"))</f>
        <v>FYE June 30,2023</v>
      </c>
      <c r="N198" s="2419" t="str">
        <f>CONCATENATE("FYE ",+TEXT(Data!$A$4,"mmmm d,yyyy"))</f>
        <v>FYE June 30,2023</v>
      </c>
      <c r="O198" s="2419" t="str">
        <f>CONCATENATE("FYE ",+TEXT(Data!$A$4,"mmmm d,yyyy"))</f>
        <v>FYE June 30,2023</v>
      </c>
      <c r="P198" s="2419" t="str">
        <f>CONCATENATE("FYE ",+TEXT(Data!$A$4,"mmmm d,yyyy"))</f>
        <v>FYE June 30,2023</v>
      </c>
      <c r="Q198" s="2419" t="str">
        <f>CONCATENATE("FYE ",+TEXT(Data!$A$4,"mmmm d,yyyy"))</f>
        <v>FYE June 30,2023</v>
      </c>
      <c r="R198" s="2419" t="str">
        <f>CONCATENATE("FYE ",+TEXT(Data!$A$4,"mmmm d,yyyy"))</f>
        <v>FYE June 30,2023</v>
      </c>
      <c r="S198" s="2419" t="str">
        <f>CONCATENATE("FYE ",+TEXT(Data!$A$4,"mmmm d,yyyy"))</f>
        <v>FYE June 30,2023</v>
      </c>
      <c r="T198" s="2419" t="str">
        <f>CONCATENATE("FYE ",+TEXT(Data!$A$4,"mmmm d,yyyy"))</f>
        <v>FYE June 30,2023</v>
      </c>
      <c r="U198" s="2419" t="str">
        <f>CONCATENATE("FYE ",+TEXT(Data!$A$4,"mmmm d,yyyy"))</f>
        <v>FYE June 30,2023</v>
      </c>
      <c r="V198" s="2419" t="str">
        <f>CONCATENATE("FYE ",+TEXT(Data!$A$4,"mmmm d,yyyy"))</f>
        <v>FYE June 30,2023</v>
      </c>
      <c r="W198" s="2419" t="str">
        <f>CONCATENATE("FYE ",+TEXT(Data!$A$4,"mmmm d,yyyy"))</f>
        <v>FYE June 30,2023</v>
      </c>
      <c r="X198" s="2419" t="str">
        <f>CONCATENATE("FYE ",+TEXT(Data!$A$4,"mmmm d,yyyy"))</f>
        <v>FYE June 30,2023</v>
      </c>
      <c r="Y198" s="2419" t="str">
        <f>CONCATENATE("FYE ",+TEXT(Data!$A$4,"mmmm d,yyyy"))</f>
        <v>FYE June 30,2023</v>
      </c>
      <c r="Z198" s="2419" t="str">
        <f>CONCATENATE("FYE ",+TEXT(Data!$A$4,"mmmm d,yyyy"))</f>
        <v>FYE June 30,2023</v>
      </c>
      <c r="AA198" s="2419" t="str">
        <f>CONCATENATE("FYE ",+TEXT(Data!$A$4,"mmmm d,yyyy"))</f>
        <v>FYE June 30,2023</v>
      </c>
      <c r="AB198" s="2419" t="str">
        <f>CONCATENATE("FYE ",+TEXT(Data!$A$4,"mmmm d,yyyy"))</f>
        <v>FYE June 30,2023</v>
      </c>
      <c r="AC198" s="2419" t="str">
        <f>CONCATENATE("FYE ",+TEXT(Data!$A$4,"mmmm d,yyyy"))</f>
        <v>FYE June 30,2023</v>
      </c>
      <c r="AD198" s="2419" t="str">
        <f>CONCATENATE("FYE ",+TEXT(Data!$A$4,"mmmm d,yyyy"))</f>
        <v>FYE June 30,2023</v>
      </c>
      <c r="AE198" s="2419" t="str">
        <f>CONCATENATE("FYE ",+TEXT(Data!$A$4,"mmmm d,yyyy"))</f>
        <v>FYE June 30,2023</v>
      </c>
      <c r="AF198" s="2419" t="str">
        <f>CONCATENATE("FYE ",+TEXT(Data!$A$4,"mmmm d,yyyy"))</f>
        <v>FYE June 30,2023</v>
      </c>
      <c r="AG198" s="2419" t="str">
        <f>CONCATENATE("FYE ",+TEXT(Data!$A$4,"mmmm d,yyyy"))</f>
        <v>FYE June 30,2023</v>
      </c>
      <c r="AH198" s="2419" t="str">
        <f>CONCATENATE("FYE ",+TEXT(Data!$A$4,"mmmm d,yyyy"))</f>
        <v>FYE June 30,2023</v>
      </c>
    </row>
    <row r="199" spans="1:36" x14ac:dyDescent="0.2">
      <c r="B199" s="222" t="s">
        <v>4900</v>
      </c>
      <c r="C199" s="222"/>
      <c r="E199" s="341"/>
      <c r="F199" s="341"/>
      <c r="G199" s="341"/>
      <c r="H199" s="341"/>
      <c r="I199" s="341"/>
      <c r="J199" s="341"/>
      <c r="K199" s="341"/>
      <c r="L199" s="341"/>
      <c r="M199" s="341"/>
      <c r="N199" s="341"/>
      <c r="O199" s="212"/>
      <c r="P199" s="341"/>
      <c r="Q199" s="341"/>
      <c r="R199" s="341"/>
      <c r="S199" s="341"/>
      <c r="T199" s="341"/>
      <c r="U199" s="341"/>
      <c r="V199" s="341"/>
      <c r="W199" s="341"/>
      <c r="X199" s="341"/>
      <c r="Y199" s="341"/>
      <c r="Z199" s="341"/>
      <c r="AA199" s="341"/>
      <c r="AB199" s="341"/>
      <c r="AC199" s="341"/>
      <c r="AD199" s="341"/>
      <c r="AE199" s="341"/>
      <c r="AF199" s="341"/>
      <c r="AG199" s="341"/>
      <c r="AH199" s="341"/>
      <c r="AJ199" s="341">
        <f t="shared" ref="AJ199:AJ230" si="42">SUM(F199:AF199)</f>
        <v>0</v>
      </c>
    </row>
    <row r="200" spans="1:36" x14ac:dyDescent="0.2">
      <c r="A200" s="170">
        <v>2310</v>
      </c>
      <c r="B200" s="2890" t="s">
        <v>2872</v>
      </c>
      <c r="C200" s="2890"/>
      <c r="D200" s="1220" t="str">
        <f>IF(SUM(F200:N200)-E200=0,"OK","prob")</f>
        <v>prob</v>
      </c>
      <c r="E200" s="342">
        <v>71403605.099999994</v>
      </c>
      <c r="F200" s="342">
        <v>0</v>
      </c>
      <c r="G200" s="342">
        <v>68614752.840000004</v>
      </c>
      <c r="H200" s="342">
        <v>4300000</v>
      </c>
      <c r="I200" s="342">
        <v>67105260.259999998</v>
      </c>
      <c r="J200" s="342">
        <v>0</v>
      </c>
      <c r="K200" s="342">
        <v>0</v>
      </c>
      <c r="L200" s="342"/>
      <c r="M200" s="342">
        <v>0</v>
      </c>
      <c r="N200" s="342">
        <v>0</v>
      </c>
      <c r="O200" s="1095">
        <v>12214710.24</v>
      </c>
      <c r="P200" s="2037">
        <v>555369741.88999999</v>
      </c>
      <c r="Q200" s="342">
        <v>316482728.32999998</v>
      </c>
      <c r="R200" s="342">
        <v>55286673.600000001</v>
      </c>
      <c r="S200" s="342">
        <v>99341496.299999997</v>
      </c>
      <c r="T200" s="1095">
        <v>12743183.560000001</v>
      </c>
      <c r="U200" s="342">
        <v>60324720.039999999</v>
      </c>
      <c r="V200" s="342">
        <v>100615677.25</v>
      </c>
      <c r="W200" s="342">
        <v>31972853.68</v>
      </c>
      <c r="X200" s="342">
        <v>49776165.57</v>
      </c>
      <c r="Y200" s="342">
        <v>122089345.23999999</v>
      </c>
      <c r="Z200" s="1095">
        <v>13177416.369999999</v>
      </c>
      <c r="AA200" s="342">
        <v>21937892.829999998</v>
      </c>
      <c r="AB200" s="342">
        <v>7958574.21</v>
      </c>
      <c r="AC200" s="342">
        <v>14269454.800000001</v>
      </c>
      <c r="AD200" s="342">
        <v>31523278.77</v>
      </c>
      <c r="AE200" s="342">
        <v>9269213.8599999994</v>
      </c>
      <c r="AF200" s="1096">
        <v>2648621.46</v>
      </c>
      <c r="AG200" s="1096">
        <v>0</v>
      </c>
      <c r="AH200" s="342">
        <v>954287.38</v>
      </c>
      <c r="AJ200" s="341">
        <f t="shared" si="42"/>
        <v>1657021761.0999999</v>
      </c>
    </row>
    <row r="201" spans="1:36" ht="15" x14ac:dyDescent="0.25">
      <c r="A201" s="170">
        <v>2320</v>
      </c>
      <c r="B201" s="2890" t="s">
        <v>2873</v>
      </c>
      <c r="C201" s="2890"/>
      <c r="D201" t="str">
        <f t="shared" ref="D201:D211" si="43">IF(SUM(F201:N201)-E201=0,"OK","prob")</f>
        <v>OK</v>
      </c>
      <c r="E201" s="341">
        <v>0</v>
      </c>
      <c r="F201" s="341">
        <v>0</v>
      </c>
      <c r="G201" s="341">
        <v>0</v>
      </c>
      <c r="H201" s="341">
        <v>0</v>
      </c>
      <c r="I201" s="341">
        <v>0</v>
      </c>
      <c r="J201" s="341">
        <v>0</v>
      </c>
      <c r="K201" s="341">
        <v>0</v>
      </c>
      <c r="L201" s="341"/>
      <c r="M201" s="341">
        <v>0</v>
      </c>
      <c r="N201" s="341">
        <v>0</v>
      </c>
      <c r="O201" s="1208">
        <v>0</v>
      </c>
      <c r="P201" s="2038">
        <v>479785893.66000003</v>
      </c>
      <c r="Q201" s="1099">
        <v>366610051.16000003</v>
      </c>
      <c r="R201" s="1099">
        <v>92336023.25</v>
      </c>
      <c r="S201" s="1099">
        <v>234440935.96000001</v>
      </c>
      <c r="T201" s="1208">
        <v>16700800.279999999</v>
      </c>
      <c r="U201" s="341">
        <v>129274662.5</v>
      </c>
      <c r="V201" s="341">
        <v>187671361.06</v>
      </c>
      <c r="W201" s="341">
        <v>91294816.540000007</v>
      </c>
      <c r="X201" s="341">
        <v>42694549.869999997</v>
      </c>
      <c r="Y201" s="341">
        <v>140837896.59999999</v>
      </c>
      <c r="Z201" s="212">
        <v>20807289.5</v>
      </c>
      <c r="AA201" s="1097">
        <v>29783082</v>
      </c>
      <c r="AB201" s="341">
        <v>5818425.9299999997</v>
      </c>
      <c r="AC201" s="341">
        <v>14386207.789999999</v>
      </c>
      <c r="AD201" s="341">
        <v>56840184.25</v>
      </c>
      <c r="AE201" s="341">
        <v>16776006.32</v>
      </c>
      <c r="AF201" s="761">
        <v>0</v>
      </c>
      <c r="AG201" s="761">
        <v>0</v>
      </c>
      <c r="AH201" s="341">
        <v>0</v>
      </c>
      <c r="AJ201" s="341">
        <f t="shared" si="42"/>
        <v>1926058186.6700001</v>
      </c>
    </row>
    <row r="202" spans="1:36" x14ac:dyDescent="0.2">
      <c r="A202" s="170">
        <v>2330</v>
      </c>
      <c r="B202" s="2890" t="s">
        <v>2874</v>
      </c>
      <c r="C202" s="2890"/>
      <c r="D202" t="str">
        <f t="shared" si="43"/>
        <v>OK</v>
      </c>
      <c r="E202" s="2116">
        <v>4924596035.5900002</v>
      </c>
      <c r="F202" s="2116">
        <v>2881592784</v>
      </c>
      <c r="G202" s="341">
        <v>5650899.3600000003</v>
      </c>
      <c r="H202" s="341">
        <v>0</v>
      </c>
      <c r="I202" s="2116">
        <v>1510309685.4200001</v>
      </c>
      <c r="J202" s="2116">
        <v>42866973.219999999</v>
      </c>
      <c r="K202" s="341">
        <v>263237377.31999999</v>
      </c>
      <c r="L202" s="341"/>
      <c r="M202" s="2116">
        <v>54693898.950000003</v>
      </c>
      <c r="N202" s="2116">
        <v>166244417.31999999</v>
      </c>
      <c r="O202" s="1208">
        <v>0</v>
      </c>
      <c r="P202" s="2038">
        <v>606182562.75</v>
      </c>
      <c r="Q202" s="1099">
        <v>0</v>
      </c>
      <c r="R202" s="1099">
        <v>0</v>
      </c>
      <c r="S202" s="1099">
        <v>0</v>
      </c>
      <c r="T202" s="1208">
        <v>0</v>
      </c>
      <c r="U202" s="341">
        <v>0</v>
      </c>
      <c r="V202" s="341">
        <v>244760059.43000001</v>
      </c>
      <c r="W202" s="341">
        <v>0</v>
      </c>
      <c r="X202" s="341">
        <v>0</v>
      </c>
      <c r="Y202" s="341">
        <v>0</v>
      </c>
      <c r="Z202" s="212">
        <v>0</v>
      </c>
      <c r="AA202" s="341">
        <v>0</v>
      </c>
      <c r="AB202" s="341">
        <v>0</v>
      </c>
      <c r="AC202" s="341">
        <v>0</v>
      </c>
      <c r="AD202" s="341">
        <v>0</v>
      </c>
      <c r="AE202" s="341">
        <v>0</v>
      </c>
      <c r="AF202" s="761">
        <v>0</v>
      </c>
      <c r="AG202" s="761">
        <v>0</v>
      </c>
      <c r="AH202" s="341">
        <v>0</v>
      </c>
      <c r="AJ202" s="341">
        <f t="shared" si="42"/>
        <v>5775538657.7700005</v>
      </c>
    </row>
    <row r="203" spans="1:36" x14ac:dyDescent="0.2">
      <c r="A203" s="170">
        <v>2350</v>
      </c>
      <c r="B203" s="2890" t="s">
        <v>2875</v>
      </c>
      <c r="C203" s="2890"/>
      <c r="D203" t="str">
        <f t="shared" si="43"/>
        <v>OK</v>
      </c>
      <c r="E203" s="341">
        <v>0</v>
      </c>
      <c r="F203" s="341">
        <v>0</v>
      </c>
      <c r="G203" s="341">
        <v>0</v>
      </c>
      <c r="H203" s="341">
        <v>0</v>
      </c>
      <c r="I203" s="341">
        <v>0</v>
      </c>
      <c r="J203" s="341">
        <v>0</v>
      </c>
      <c r="K203" s="341">
        <v>0</v>
      </c>
      <c r="L203" s="341"/>
      <c r="M203" s="341">
        <v>0</v>
      </c>
      <c r="N203" s="341">
        <v>0</v>
      </c>
      <c r="O203" s="1208">
        <v>0</v>
      </c>
      <c r="P203" s="2038">
        <v>0</v>
      </c>
      <c r="Q203" s="1099">
        <v>24639771</v>
      </c>
      <c r="R203" s="1099">
        <v>0</v>
      </c>
      <c r="S203" s="1099">
        <v>0</v>
      </c>
      <c r="T203" s="1208">
        <v>0</v>
      </c>
      <c r="U203" s="341">
        <v>0</v>
      </c>
      <c r="V203" s="341">
        <v>0</v>
      </c>
      <c r="W203" s="341">
        <v>9045108.6999999993</v>
      </c>
      <c r="X203" s="341">
        <v>0</v>
      </c>
      <c r="Y203" s="341">
        <v>0</v>
      </c>
      <c r="Z203" s="212">
        <v>0</v>
      </c>
      <c r="AA203" s="341">
        <v>0</v>
      </c>
      <c r="AB203" s="341">
        <v>0</v>
      </c>
      <c r="AC203" s="341">
        <v>0</v>
      </c>
      <c r="AD203" s="341">
        <v>0</v>
      </c>
      <c r="AE203" s="341">
        <v>0</v>
      </c>
      <c r="AF203" s="761">
        <v>0</v>
      </c>
      <c r="AG203" s="761">
        <v>0</v>
      </c>
      <c r="AH203" s="341">
        <v>0</v>
      </c>
      <c r="AJ203" s="341">
        <f t="shared" si="42"/>
        <v>33684879.700000003</v>
      </c>
    </row>
    <row r="204" spans="1:36" x14ac:dyDescent="0.2">
      <c r="A204" s="170">
        <v>2370</v>
      </c>
      <c r="B204" s="2890" t="s">
        <v>2876</v>
      </c>
      <c r="C204" s="2890"/>
      <c r="D204" t="str">
        <f t="shared" si="43"/>
        <v>OK</v>
      </c>
      <c r="E204" s="341">
        <v>0</v>
      </c>
      <c r="F204" s="341">
        <v>0</v>
      </c>
      <c r="G204" s="341">
        <v>0</v>
      </c>
      <c r="H204" s="341">
        <v>0</v>
      </c>
      <c r="I204" s="341">
        <v>0</v>
      </c>
      <c r="J204" s="341">
        <v>0</v>
      </c>
      <c r="K204" s="341">
        <v>0</v>
      </c>
      <c r="L204" s="341"/>
      <c r="M204" s="341">
        <v>0</v>
      </c>
      <c r="N204" s="341">
        <v>0</v>
      </c>
      <c r="O204" s="1208">
        <v>0</v>
      </c>
      <c r="P204" s="2038">
        <v>908048044.45000005</v>
      </c>
      <c r="Q204" s="1099">
        <v>207886990.72999999</v>
      </c>
      <c r="R204" s="1099">
        <v>42058707.020000003</v>
      </c>
      <c r="S204" s="1099">
        <v>46064646.630000003</v>
      </c>
      <c r="T204" s="1208">
        <v>2746529.05</v>
      </c>
      <c r="U204" s="341">
        <v>10201841.76</v>
      </c>
      <c r="V204" s="341">
        <v>45327650.039999999</v>
      </c>
      <c r="W204" s="341">
        <v>35994557.109999999</v>
      </c>
      <c r="X204" s="341">
        <v>6282129.9500000002</v>
      </c>
      <c r="Y204" s="341">
        <v>9089308.6400000006</v>
      </c>
      <c r="Z204" s="212">
        <v>0</v>
      </c>
      <c r="AA204" s="341">
        <v>0</v>
      </c>
      <c r="AB204" s="341">
        <v>0</v>
      </c>
      <c r="AC204" s="341">
        <v>332179.07</v>
      </c>
      <c r="AD204" s="341">
        <v>14479033.810000001</v>
      </c>
      <c r="AE204" s="341">
        <v>5420</v>
      </c>
      <c r="AF204" s="761">
        <v>0</v>
      </c>
      <c r="AG204" s="761">
        <v>0</v>
      </c>
      <c r="AH204" s="341">
        <v>0</v>
      </c>
      <c r="AJ204" s="341">
        <f t="shared" si="42"/>
        <v>1328517038.26</v>
      </c>
    </row>
    <row r="205" spans="1:36" x14ac:dyDescent="0.2">
      <c r="A205" s="170">
        <v>2390</v>
      </c>
      <c r="B205" s="2890" t="s">
        <v>2002</v>
      </c>
      <c r="C205" s="2890"/>
      <c r="D205" t="str">
        <f t="shared" si="43"/>
        <v>OK</v>
      </c>
      <c r="E205" s="341">
        <v>0</v>
      </c>
      <c r="F205" s="341">
        <v>0</v>
      </c>
      <c r="G205" s="341">
        <v>0</v>
      </c>
      <c r="H205" s="341">
        <v>0</v>
      </c>
      <c r="I205" s="341">
        <v>0</v>
      </c>
      <c r="J205" s="341">
        <v>0</v>
      </c>
      <c r="K205" s="341">
        <v>0</v>
      </c>
      <c r="L205" s="341"/>
      <c r="M205" s="341">
        <v>0</v>
      </c>
      <c r="N205" s="341">
        <v>0</v>
      </c>
      <c r="O205" s="1208">
        <v>0</v>
      </c>
      <c r="P205" s="2038">
        <v>18323191.52</v>
      </c>
      <c r="Q205" s="1099">
        <v>46828427.380000003</v>
      </c>
      <c r="R205" s="1099">
        <v>10617990.630000001</v>
      </c>
      <c r="S205" s="1099">
        <v>5164484.92</v>
      </c>
      <c r="T205" s="1208">
        <v>1116338.18</v>
      </c>
      <c r="U205" s="341">
        <v>4194530.59</v>
      </c>
      <c r="V205" s="341">
        <v>8234554.1799999997</v>
      </c>
      <c r="W205" s="341">
        <v>3031111.84</v>
      </c>
      <c r="X205" s="341">
        <v>1314421.19</v>
      </c>
      <c r="Y205" s="341">
        <v>3942626.47</v>
      </c>
      <c r="Z205" s="212">
        <v>0</v>
      </c>
      <c r="AA205" s="341">
        <v>0</v>
      </c>
      <c r="AB205" s="341">
        <v>0</v>
      </c>
      <c r="AC205" s="341">
        <v>0</v>
      </c>
      <c r="AD205" s="341"/>
      <c r="AE205" s="341">
        <v>0</v>
      </c>
      <c r="AF205" s="761">
        <v>0</v>
      </c>
      <c r="AG205" s="761">
        <v>0</v>
      </c>
      <c r="AH205" s="341">
        <v>0</v>
      </c>
      <c r="AJ205" s="341">
        <f t="shared" si="42"/>
        <v>102767676.90000001</v>
      </c>
    </row>
    <row r="206" spans="1:36" x14ac:dyDescent="0.2">
      <c r="A206" s="170">
        <v>2400</v>
      </c>
      <c r="B206" s="2890" t="s">
        <v>2004</v>
      </c>
      <c r="C206" s="2890"/>
      <c r="D206" t="str">
        <f t="shared" si="43"/>
        <v>OK</v>
      </c>
      <c r="E206" s="341">
        <v>26311343.07</v>
      </c>
      <c r="F206" s="341">
        <v>0</v>
      </c>
      <c r="G206" s="341">
        <v>26311343.07</v>
      </c>
      <c r="H206" s="341">
        <v>0</v>
      </c>
      <c r="I206" s="341">
        <v>0</v>
      </c>
      <c r="J206" s="341">
        <v>0</v>
      </c>
      <c r="K206" s="341">
        <v>0</v>
      </c>
      <c r="L206" s="341"/>
      <c r="M206" s="341">
        <v>0</v>
      </c>
      <c r="N206" s="341">
        <v>0</v>
      </c>
      <c r="O206" s="1208">
        <v>0</v>
      </c>
      <c r="P206" s="2038">
        <v>176182024.68000001</v>
      </c>
      <c r="Q206" s="1099">
        <v>116659082.06</v>
      </c>
      <c r="R206" s="1099">
        <v>3969620.2</v>
      </c>
      <c r="S206" s="1099">
        <v>6094237.4100000001</v>
      </c>
      <c r="T206" s="1208">
        <v>2018294.53</v>
      </c>
      <c r="U206" s="341">
        <v>3497903.12</v>
      </c>
      <c r="V206" s="341">
        <v>15315298.17</v>
      </c>
      <c r="W206" s="341">
        <v>1941783.29</v>
      </c>
      <c r="X206" s="341">
        <v>1035160.66</v>
      </c>
      <c r="Y206" s="341">
        <v>2150303.0099999998</v>
      </c>
      <c r="Z206" s="212">
        <v>0</v>
      </c>
      <c r="AA206" s="341">
        <v>0</v>
      </c>
      <c r="AB206" s="341">
        <v>0</v>
      </c>
      <c r="AC206" s="341">
        <v>0</v>
      </c>
      <c r="AD206" s="341">
        <v>2274221.23</v>
      </c>
      <c r="AE206" s="341">
        <v>0</v>
      </c>
      <c r="AF206" s="761">
        <v>1663577.83</v>
      </c>
      <c r="AG206" s="761">
        <v>0</v>
      </c>
      <c r="AH206" s="341">
        <v>0</v>
      </c>
      <c r="AJ206" s="341">
        <f t="shared" si="42"/>
        <v>359112849.25999999</v>
      </c>
    </row>
    <row r="207" spans="1:36" ht="15" x14ac:dyDescent="0.25">
      <c r="A207" s="170">
        <v>2410</v>
      </c>
      <c r="B207" s="2890" t="s">
        <v>1256</v>
      </c>
      <c r="C207" s="2890"/>
      <c r="D207" t="str">
        <f t="shared" si="43"/>
        <v>OK</v>
      </c>
      <c r="E207" s="341">
        <v>0</v>
      </c>
      <c r="F207" s="341">
        <v>0</v>
      </c>
      <c r="G207" s="341">
        <v>0</v>
      </c>
      <c r="H207" s="341">
        <v>0</v>
      </c>
      <c r="I207" s="341">
        <v>0</v>
      </c>
      <c r="J207" s="341">
        <v>0</v>
      </c>
      <c r="K207" s="341">
        <v>0</v>
      </c>
      <c r="L207" s="341"/>
      <c r="M207" s="341">
        <v>0</v>
      </c>
      <c r="N207" s="341">
        <v>0</v>
      </c>
      <c r="O207" s="1208">
        <v>0</v>
      </c>
      <c r="P207" s="2038">
        <v>2446786.7000000002</v>
      </c>
      <c r="Q207" s="1099">
        <v>132874.42000000001</v>
      </c>
      <c r="R207" s="1099">
        <v>53040.06</v>
      </c>
      <c r="S207" s="1099">
        <v>159278.89000000001</v>
      </c>
      <c r="T207" s="1208">
        <v>10965.48</v>
      </c>
      <c r="U207" s="341">
        <v>-3806.12</v>
      </c>
      <c r="V207" s="341">
        <v>26994.959999999999</v>
      </c>
      <c r="W207" s="341">
        <v>2893.13</v>
      </c>
      <c r="X207" s="341">
        <v>4875.6099999999997</v>
      </c>
      <c r="Y207" s="341">
        <v>38287.410000000003</v>
      </c>
      <c r="Z207" s="212">
        <v>5943.42</v>
      </c>
      <c r="AA207" s="1097">
        <v>1055.3</v>
      </c>
      <c r="AB207" s="341">
        <v>0</v>
      </c>
      <c r="AC207" s="341">
        <v>2843.7</v>
      </c>
      <c r="AD207" s="341">
        <v>-66116.38</v>
      </c>
      <c r="AE207" s="341">
        <v>0</v>
      </c>
      <c r="AF207" s="761">
        <v>239510.16</v>
      </c>
      <c r="AG207" s="761">
        <v>0</v>
      </c>
      <c r="AH207" s="341">
        <v>0</v>
      </c>
      <c r="AJ207" s="341">
        <f t="shared" si="42"/>
        <v>3055426.74</v>
      </c>
    </row>
    <row r="208" spans="1:36" x14ac:dyDescent="0.2">
      <c r="A208" s="170">
        <v>2420</v>
      </c>
      <c r="B208" s="2890" t="s">
        <v>2880</v>
      </c>
      <c r="C208" s="2890"/>
      <c r="D208" s="1220" t="str">
        <f>IF(SUM(F208:N208)=E208,"OK","prob")</f>
        <v>prob</v>
      </c>
      <c r="E208" s="341">
        <v>5763738.5199999996</v>
      </c>
      <c r="F208" s="341">
        <v>0</v>
      </c>
      <c r="G208" s="341">
        <v>17500880.670000002</v>
      </c>
      <c r="H208" s="341">
        <v>0</v>
      </c>
      <c r="I208" s="341">
        <v>0</v>
      </c>
      <c r="J208" s="341">
        <v>0</v>
      </c>
      <c r="K208" s="341">
        <v>0</v>
      </c>
      <c r="L208" s="341"/>
      <c r="M208" s="341">
        <v>0</v>
      </c>
      <c r="N208" s="341">
        <v>0</v>
      </c>
      <c r="O208" s="1208">
        <v>362072.76</v>
      </c>
      <c r="P208" s="2038">
        <v>2008040.97</v>
      </c>
      <c r="Q208" s="1099">
        <v>5039107.0999999996</v>
      </c>
      <c r="R208" s="1099">
        <v>0</v>
      </c>
      <c r="S208" s="1099">
        <v>2132270.79</v>
      </c>
      <c r="T208" s="1208">
        <v>594874.25</v>
      </c>
      <c r="U208" s="341">
        <v>1044135.74</v>
      </c>
      <c r="V208" s="341">
        <v>1036735.94</v>
      </c>
      <c r="W208" s="341">
        <v>0</v>
      </c>
      <c r="X208" s="341">
        <v>935082.28</v>
      </c>
      <c r="Y208" s="341">
        <v>559193.67000000004</v>
      </c>
      <c r="Z208" s="212">
        <v>0</v>
      </c>
      <c r="AA208" s="341">
        <v>301786.52</v>
      </c>
      <c r="AB208" s="341">
        <v>229822.86</v>
      </c>
      <c r="AC208" s="341">
        <v>83947.23</v>
      </c>
      <c r="AD208" s="341">
        <v>0</v>
      </c>
      <c r="AE208" s="341">
        <v>849441.96</v>
      </c>
      <c r="AF208" s="761">
        <v>1273480.58</v>
      </c>
      <c r="AG208" s="761">
        <v>0</v>
      </c>
      <c r="AH208" s="341">
        <v>81811.25</v>
      </c>
      <c r="AJ208" s="341">
        <f t="shared" si="42"/>
        <v>33950873.32</v>
      </c>
    </row>
    <row r="209" spans="1:36" x14ac:dyDescent="0.2">
      <c r="A209" s="170">
        <v>2430</v>
      </c>
      <c r="B209" s="2890" t="s">
        <v>1248</v>
      </c>
      <c r="C209" s="2890"/>
      <c r="D209" s="1220" t="str">
        <f t="shared" si="43"/>
        <v>prob</v>
      </c>
      <c r="E209" s="341">
        <v>149490847.78999999</v>
      </c>
      <c r="F209" s="341">
        <v>0</v>
      </c>
      <c r="G209" s="341">
        <v>268497391.79000002</v>
      </c>
      <c r="H209" s="341">
        <v>0</v>
      </c>
      <c r="I209" s="341">
        <v>0</v>
      </c>
      <c r="J209" s="341">
        <v>0</v>
      </c>
      <c r="K209" s="341">
        <v>0</v>
      </c>
      <c r="L209" s="341"/>
      <c r="M209" s="341">
        <v>0</v>
      </c>
      <c r="N209" s="341">
        <v>0</v>
      </c>
      <c r="O209" s="1208">
        <v>0</v>
      </c>
      <c r="P209" s="2038">
        <v>1298223.8400000001</v>
      </c>
      <c r="Q209" s="1099">
        <v>10752.48</v>
      </c>
      <c r="R209" s="1099">
        <v>0</v>
      </c>
      <c r="S209" s="1099">
        <v>1848144.27</v>
      </c>
      <c r="T209" s="1208">
        <v>852818.16</v>
      </c>
      <c r="U209" s="341">
        <v>1776431.02</v>
      </c>
      <c r="V209" s="341">
        <v>44300.74</v>
      </c>
      <c r="W209" s="341">
        <v>0</v>
      </c>
      <c r="X209" s="341">
        <v>1416899.85</v>
      </c>
      <c r="Y209" s="341">
        <v>0</v>
      </c>
      <c r="Z209" s="212">
        <v>0</v>
      </c>
      <c r="AA209" s="341">
        <v>0</v>
      </c>
      <c r="AB209" s="341">
        <v>0</v>
      </c>
      <c r="AC209" s="341">
        <v>0</v>
      </c>
      <c r="AD209" s="341">
        <v>0</v>
      </c>
      <c r="AE209" s="341">
        <v>0</v>
      </c>
      <c r="AF209" s="761">
        <v>0</v>
      </c>
      <c r="AG209" s="761">
        <v>0</v>
      </c>
      <c r="AH209" s="341">
        <v>2023326.34</v>
      </c>
      <c r="AJ209" s="341">
        <f t="shared" si="42"/>
        <v>275744962.14999998</v>
      </c>
    </row>
    <row r="210" spans="1:36" x14ac:dyDescent="0.2">
      <c r="A210" s="170">
        <v>2450</v>
      </c>
      <c r="B210" s="2890" t="s">
        <v>2006</v>
      </c>
      <c r="C210" s="2890"/>
      <c r="D210" s="1220" t="str">
        <f>IF(SUM(F210:N210)-E210=0,"OK","prob")</f>
        <v>prob</v>
      </c>
      <c r="E210" s="343">
        <v>155780902.18000001</v>
      </c>
      <c r="F210" s="343">
        <v>33871303</v>
      </c>
      <c r="G210" s="343">
        <v>4736371.99</v>
      </c>
      <c r="H210" s="343">
        <v>0</v>
      </c>
      <c r="I210" s="343">
        <v>0</v>
      </c>
      <c r="J210" s="343">
        <v>902920.27</v>
      </c>
      <c r="K210" s="343">
        <v>126257527.5</v>
      </c>
      <c r="L210" s="343"/>
      <c r="M210" s="343">
        <v>1923780.33</v>
      </c>
      <c r="N210" s="343">
        <v>4705609.8899999997</v>
      </c>
      <c r="O210" s="1208">
        <v>1829924.35</v>
      </c>
      <c r="P210" s="2038">
        <v>7645796.5800000001</v>
      </c>
      <c r="Q210" s="1099">
        <v>13637291.24</v>
      </c>
      <c r="R210" s="1099">
        <v>1768593.18</v>
      </c>
      <c r="S210" s="1099">
        <v>1765598.45</v>
      </c>
      <c r="T210" s="1208">
        <v>453297.32</v>
      </c>
      <c r="U210" s="343">
        <v>5260959.66</v>
      </c>
      <c r="V210" s="343">
        <v>1936008.99</v>
      </c>
      <c r="W210" s="343">
        <v>3246313.83</v>
      </c>
      <c r="X210" s="343">
        <v>2165929.87</v>
      </c>
      <c r="Y210" s="343">
        <v>2872325.21</v>
      </c>
      <c r="Z210" s="452">
        <v>221814.59</v>
      </c>
      <c r="AA210" s="343">
        <v>1057172.02</v>
      </c>
      <c r="AB210" s="343">
        <v>388081.88</v>
      </c>
      <c r="AC210" s="343">
        <v>759335.58</v>
      </c>
      <c r="AD210" s="343">
        <v>7120143.54</v>
      </c>
      <c r="AE210" s="343">
        <v>0</v>
      </c>
      <c r="AF210" s="1098">
        <v>455887.35999999999</v>
      </c>
      <c r="AG210" s="1098">
        <v>1088.3699999999999</v>
      </c>
      <c r="AH210" s="343">
        <v>172898.83</v>
      </c>
      <c r="AJ210" s="341">
        <f t="shared" si="42"/>
        <v>224981986.63</v>
      </c>
    </row>
    <row r="211" spans="1:36" x14ac:dyDescent="0.2">
      <c r="A211" s="170"/>
      <c r="B211" s="2890" t="s">
        <v>4901</v>
      </c>
      <c r="C211" s="2890"/>
      <c r="D211" t="str">
        <f t="shared" si="43"/>
        <v>prob</v>
      </c>
      <c r="E211" s="2117">
        <f t="shared" ref="E211:AH211" si="44">SUM(E200:E210)</f>
        <v>5333346472.25</v>
      </c>
      <c r="F211" s="2117">
        <f t="shared" si="44"/>
        <v>2915464087</v>
      </c>
      <c r="G211" s="350">
        <f t="shared" si="44"/>
        <v>391311639.72000003</v>
      </c>
      <c r="H211" s="350">
        <f t="shared" si="44"/>
        <v>4300000</v>
      </c>
      <c r="I211" s="2117">
        <f t="shared" si="44"/>
        <v>1577414945.6800001</v>
      </c>
      <c r="J211" s="2117">
        <f t="shared" si="44"/>
        <v>43769893.490000002</v>
      </c>
      <c r="K211" s="350">
        <f t="shared" si="44"/>
        <v>389494904.81999999</v>
      </c>
      <c r="L211" s="350">
        <f t="shared" si="44"/>
        <v>0</v>
      </c>
      <c r="M211" s="2117">
        <f t="shared" si="44"/>
        <v>56617679.280000001</v>
      </c>
      <c r="N211" s="2117">
        <f t="shared" si="44"/>
        <v>170950027.21000001</v>
      </c>
      <c r="O211" s="379">
        <f t="shared" si="44"/>
        <v>14406707.35</v>
      </c>
      <c r="P211" s="379">
        <f t="shared" si="44"/>
        <v>2757290307.04</v>
      </c>
      <c r="Q211" s="350">
        <f t="shared" si="44"/>
        <v>1097927075.9000001</v>
      </c>
      <c r="R211" s="350">
        <f t="shared" si="44"/>
        <v>206090647.94</v>
      </c>
      <c r="S211" s="350">
        <f t="shared" si="44"/>
        <v>397011093.62</v>
      </c>
      <c r="T211" s="350">
        <f t="shared" si="44"/>
        <v>37237100.810000002</v>
      </c>
      <c r="U211" s="350">
        <f t="shared" si="44"/>
        <v>215571378.31</v>
      </c>
      <c r="V211" s="350">
        <f t="shared" si="44"/>
        <v>604968640.75999999</v>
      </c>
      <c r="W211" s="350">
        <f t="shared" si="44"/>
        <v>176529438.12</v>
      </c>
      <c r="X211" s="350">
        <f t="shared" si="44"/>
        <v>105625214.84999999</v>
      </c>
      <c r="Y211" s="350">
        <f t="shared" si="44"/>
        <v>281579286.25</v>
      </c>
      <c r="Z211" s="350">
        <f t="shared" si="44"/>
        <v>34212463.880000003</v>
      </c>
      <c r="AA211" s="350">
        <f t="shared" si="44"/>
        <v>53080988.670000002</v>
      </c>
      <c r="AB211" s="350">
        <f t="shared" si="44"/>
        <v>14394904.880000001</v>
      </c>
      <c r="AC211" s="350">
        <f t="shared" si="44"/>
        <v>29833968.170000002</v>
      </c>
      <c r="AD211" s="350">
        <f t="shared" si="44"/>
        <v>112170745.22</v>
      </c>
      <c r="AE211" s="350">
        <f t="shared" si="44"/>
        <v>26900082.140000001</v>
      </c>
      <c r="AF211" s="350">
        <f t="shared" si="44"/>
        <v>6281077.3899999997</v>
      </c>
      <c r="AG211" s="350">
        <f t="shared" ref="AG211" si="45">SUM(AG200:AG210)</f>
        <v>1088.3699999999999</v>
      </c>
      <c r="AH211" s="350">
        <f t="shared" si="44"/>
        <v>3232323.8</v>
      </c>
      <c r="AJ211" s="341">
        <f t="shared" si="42"/>
        <v>11720434298.5</v>
      </c>
    </row>
    <row r="212" spans="1:36" x14ac:dyDescent="0.2">
      <c r="B212" s="2380"/>
      <c r="C212" s="2380"/>
      <c r="E212" s="341"/>
      <c r="F212" s="341"/>
      <c r="G212" s="341"/>
      <c r="H212" s="341"/>
      <c r="I212" s="341"/>
      <c r="J212" s="341"/>
      <c r="K212" s="341"/>
      <c r="L212" s="341"/>
      <c r="M212" s="341"/>
      <c r="N212" s="341"/>
      <c r="O212" s="212"/>
      <c r="P212" s="341"/>
      <c r="Q212" s="341"/>
      <c r="R212" s="341"/>
      <c r="S212" s="341"/>
      <c r="T212" s="341"/>
      <c r="U212" s="341"/>
      <c r="V212" s="341"/>
      <c r="W212" s="341"/>
      <c r="X212" s="341"/>
      <c r="Y212" s="341"/>
      <c r="Z212" s="341"/>
      <c r="AA212" s="341"/>
      <c r="AB212" s="341"/>
      <c r="AC212" s="341"/>
      <c r="AD212" s="341"/>
      <c r="AE212" s="341"/>
      <c r="AF212" s="341"/>
      <c r="AG212" s="341"/>
      <c r="AH212" s="341"/>
      <c r="AJ212" s="341">
        <f t="shared" si="42"/>
        <v>0</v>
      </c>
    </row>
    <row r="213" spans="1:36" x14ac:dyDescent="0.2">
      <c r="B213" s="222" t="s">
        <v>4902</v>
      </c>
      <c r="C213" s="222"/>
      <c r="E213" s="341"/>
      <c r="F213" s="341"/>
      <c r="G213" s="341"/>
      <c r="H213" s="341"/>
      <c r="I213" s="341"/>
      <c r="J213" s="341"/>
      <c r="K213" s="341"/>
      <c r="L213" s="341"/>
      <c r="M213" s="341"/>
      <c r="N213" s="341"/>
      <c r="O213" s="212"/>
      <c r="P213" s="341"/>
      <c r="Q213" s="341"/>
      <c r="R213" s="341"/>
      <c r="S213" s="341"/>
      <c r="T213" s="341"/>
      <c r="U213" s="341"/>
      <c r="V213" s="341"/>
      <c r="W213" s="341"/>
      <c r="X213" s="341"/>
      <c r="Y213" s="341"/>
      <c r="Z213" s="341"/>
      <c r="AA213" s="341"/>
      <c r="AB213" s="341"/>
      <c r="AC213" s="341"/>
      <c r="AD213" s="341"/>
      <c r="AE213" s="341"/>
      <c r="AF213" s="341"/>
      <c r="AG213" s="341"/>
      <c r="AH213" s="341"/>
      <c r="AJ213" s="341">
        <f t="shared" si="42"/>
        <v>0</v>
      </c>
    </row>
    <row r="214" spans="1:36" x14ac:dyDescent="0.2">
      <c r="A214" s="170">
        <v>2490</v>
      </c>
      <c r="B214" s="2890" t="s">
        <v>2882</v>
      </c>
      <c r="C214" s="2890"/>
      <c r="D214" t="str">
        <f>IF(SUM(F214:N214)-E214=0,"OK","prob")</f>
        <v>OK</v>
      </c>
      <c r="E214" s="341">
        <v>2152401552.1100001</v>
      </c>
      <c r="F214" s="341">
        <v>947476371</v>
      </c>
      <c r="G214" s="341">
        <v>0</v>
      </c>
      <c r="H214" s="341">
        <v>0</v>
      </c>
      <c r="I214" s="341">
        <v>763109261.16999996</v>
      </c>
      <c r="J214" s="341">
        <v>16536527.6</v>
      </c>
      <c r="K214" s="341">
        <v>303378686</v>
      </c>
      <c r="L214" s="341"/>
      <c r="M214" s="341">
        <v>33930927.200000003</v>
      </c>
      <c r="N214" s="341">
        <v>87969779.140000001</v>
      </c>
      <c r="O214" s="212">
        <v>42305365.920000002</v>
      </c>
      <c r="P214" s="760">
        <v>1922875946.29</v>
      </c>
      <c r="Q214" s="341">
        <v>984595985.86000001</v>
      </c>
      <c r="R214" s="341">
        <v>261218995.21000001</v>
      </c>
      <c r="S214" s="341">
        <v>402168363.13999999</v>
      </c>
      <c r="T214" s="341">
        <v>57211763.329999998</v>
      </c>
      <c r="U214" s="341">
        <v>228176016.97999999</v>
      </c>
      <c r="V214" s="341">
        <v>546932890.55999994</v>
      </c>
      <c r="W214" s="341">
        <v>182297754.63999999</v>
      </c>
      <c r="X214" s="341">
        <v>147024129.86000001</v>
      </c>
      <c r="Y214" s="341">
        <v>285229902.79000002</v>
      </c>
      <c r="Z214" s="212">
        <v>77756847.409999996</v>
      </c>
      <c r="AA214" s="341">
        <v>65220839.43</v>
      </c>
      <c r="AB214" s="341">
        <v>36313726.479999997</v>
      </c>
      <c r="AC214" s="341">
        <v>76454082.530000001</v>
      </c>
      <c r="AD214" s="341">
        <v>113587030.95</v>
      </c>
      <c r="AE214" s="341">
        <v>45704874.369999997</v>
      </c>
      <c r="AF214" s="761">
        <v>0</v>
      </c>
      <c r="AG214" s="761">
        <v>5022511.45</v>
      </c>
      <c r="AH214" s="341">
        <v>2197523.02</v>
      </c>
      <c r="AJ214" s="341">
        <f t="shared" si="42"/>
        <v>7627476067.8599997</v>
      </c>
    </row>
    <row r="215" spans="1:36" x14ac:dyDescent="0.2">
      <c r="A215" s="170">
        <v>2510</v>
      </c>
      <c r="B215" s="2890" t="s">
        <v>2883</v>
      </c>
      <c r="C215" s="2890"/>
      <c r="D215" s="1220" t="str">
        <f>IF(ROUND(SUM(F215:N215),2)-ROUND(E215,2)=0,"OK","prob")</f>
        <v>prob</v>
      </c>
      <c r="E215" s="341">
        <v>1496455690.46</v>
      </c>
      <c r="F215" s="341">
        <v>969001733</v>
      </c>
      <c r="G215" s="341">
        <v>95648437.420000002</v>
      </c>
      <c r="H215" s="341">
        <v>0</v>
      </c>
      <c r="I215" s="341">
        <v>428840083.80000001</v>
      </c>
      <c r="J215" s="341">
        <v>2757418.02</v>
      </c>
      <c r="K215" s="341">
        <v>28503466</v>
      </c>
      <c r="L215" s="341"/>
      <c r="M215" s="341">
        <v>8357704.1699999999</v>
      </c>
      <c r="N215" s="341">
        <v>31963256.050000001</v>
      </c>
      <c r="O215" s="212">
        <v>1550493.54</v>
      </c>
      <c r="P215" s="760">
        <v>191640733.59</v>
      </c>
      <c r="Q215" s="341">
        <v>107643022.11</v>
      </c>
      <c r="R215" s="341">
        <v>25297256.600000001</v>
      </c>
      <c r="S215" s="341">
        <v>39289207.859999999</v>
      </c>
      <c r="T215" s="341">
        <v>7306756.3899999997</v>
      </c>
      <c r="U215" s="341">
        <v>21192365.140000001</v>
      </c>
      <c r="V215" s="341">
        <v>59824017.18</v>
      </c>
      <c r="W215" s="341">
        <v>45391262.549999997</v>
      </c>
      <c r="X215" s="341">
        <v>23871524.140000001</v>
      </c>
      <c r="Y215" s="341">
        <v>24841120.739999998</v>
      </c>
      <c r="Z215" s="212">
        <v>12971973.1</v>
      </c>
      <c r="AA215" s="341">
        <v>11189928.380000001</v>
      </c>
      <c r="AB215" s="341">
        <v>12401962.789999999</v>
      </c>
      <c r="AC215" s="341">
        <v>8826248.8499999996</v>
      </c>
      <c r="AD215" s="341">
        <v>19141122.420000002</v>
      </c>
      <c r="AE215" s="341">
        <v>6075489.29</v>
      </c>
      <c r="AF215" s="761">
        <v>387878.42</v>
      </c>
      <c r="AG215" s="761">
        <v>577794.9</v>
      </c>
      <c r="AH215" s="341">
        <v>83949.39</v>
      </c>
      <c r="AJ215" s="341">
        <f t="shared" si="42"/>
        <v>2183914461.5500002</v>
      </c>
    </row>
    <row r="216" spans="1:36" x14ac:dyDescent="0.2">
      <c r="A216" s="170">
        <v>2520</v>
      </c>
      <c r="B216" s="2890" t="s">
        <v>2010</v>
      </c>
      <c r="C216" s="2890"/>
      <c r="D216" s="1220" t="str">
        <f t="shared" ref="D216:D221" si="46">IF(SUM(F216:N216)-E216=0,"OK","prob")</f>
        <v>prob</v>
      </c>
      <c r="E216" s="341">
        <v>819164053.35000002</v>
      </c>
      <c r="F216" s="341">
        <v>481004872.81</v>
      </c>
      <c r="G216" s="341">
        <v>0</v>
      </c>
      <c r="H216" s="341">
        <v>0</v>
      </c>
      <c r="I216" s="341">
        <v>241770931.72</v>
      </c>
      <c r="J216" s="341">
        <v>22724892.66</v>
      </c>
      <c r="K216" s="341">
        <v>88119107</v>
      </c>
      <c r="L216" s="341"/>
      <c r="M216" s="341">
        <v>20242205.390000001</v>
      </c>
      <c r="N216" s="341">
        <v>38506802.57</v>
      </c>
      <c r="O216" s="212">
        <v>36632714.409999996</v>
      </c>
      <c r="P216" s="760">
        <v>1050296978.95</v>
      </c>
      <c r="Q216" s="341">
        <v>299635636.74000001</v>
      </c>
      <c r="R216" s="341">
        <v>65317978.149999999</v>
      </c>
      <c r="S216" s="341">
        <v>122005735.56</v>
      </c>
      <c r="T216" s="341">
        <v>17364496.449999999</v>
      </c>
      <c r="U216" s="341">
        <v>76733936.989999995</v>
      </c>
      <c r="V216" s="341">
        <v>127824368.45999999</v>
      </c>
      <c r="W216" s="341">
        <v>86535704.329999998</v>
      </c>
      <c r="X216" s="341">
        <v>49130190.399999999</v>
      </c>
      <c r="Y216" s="341">
        <v>86548078.349999994</v>
      </c>
      <c r="Z216" s="212">
        <v>37260739.520000003</v>
      </c>
      <c r="AA216" s="341">
        <v>36619040.75</v>
      </c>
      <c r="AB216" s="341">
        <v>17397521.989999998</v>
      </c>
      <c r="AC216" s="341">
        <v>35210992.93</v>
      </c>
      <c r="AD216" s="341">
        <v>53058109.659999996</v>
      </c>
      <c r="AE216" s="341">
        <v>13228103.57</v>
      </c>
      <c r="AF216" s="761">
        <v>1935253.63</v>
      </c>
      <c r="AG216" s="761">
        <v>10750747.84</v>
      </c>
      <c r="AH216" s="341">
        <v>828807.15</v>
      </c>
      <c r="AJ216" s="341">
        <f t="shared" si="42"/>
        <v>3105104392.9899998</v>
      </c>
    </row>
    <row r="217" spans="1:36" x14ac:dyDescent="0.2">
      <c r="A217" s="170">
        <v>2550</v>
      </c>
      <c r="B217" s="2890" t="s">
        <v>2884</v>
      </c>
      <c r="C217" s="2890"/>
      <c r="D217" t="str">
        <f t="shared" si="46"/>
        <v>OK</v>
      </c>
      <c r="E217" s="341">
        <v>0</v>
      </c>
      <c r="F217" s="341">
        <v>0</v>
      </c>
      <c r="G217" s="341">
        <v>0</v>
      </c>
      <c r="H217" s="341">
        <v>0</v>
      </c>
      <c r="I217" s="341">
        <v>0</v>
      </c>
      <c r="J217" s="341">
        <v>0</v>
      </c>
      <c r="K217" s="341">
        <v>0</v>
      </c>
      <c r="L217" s="341"/>
      <c r="M217" s="341">
        <v>0</v>
      </c>
      <c r="N217" s="341">
        <v>0</v>
      </c>
      <c r="O217" s="212">
        <v>0</v>
      </c>
      <c r="P217" s="760">
        <v>30323464.879999999</v>
      </c>
      <c r="Q217" s="341">
        <v>36180497.689999998</v>
      </c>
      <c r="R217" s="341">
        <v>314822.81</v>
      </c>
      <c r="S217" s="341">
        <v>4811990.08</v>
      </c>
      <c r="T217" s="341">
        <v>364.5</v>
      </c>
      <c r="U217" s="341">
        <v>2178327.2200000002</v>
      </c>
      <c r="V217" s="341">
        <v>38353739.350000001</v>
      </c>
      <c r="W217" s="341">
        <v>0</v>
      </c>
      <c r="X217" s="341">
        <v>7391406.5199999996</v>
      </c>
      <c r="Y217" s="341">
        <v>32107492.809999999</v>
      </c>
      <c r="Z217" s="212">
        <v>0</v>
      </c>
      <c r="AA217" s="341">
        <v>0</v>
      </c>
      <c r="AB217" s="341">
        <v>74999.990000000005</v>
      </c>
      <c r="AC217" s="341">
        <v>0</v>
      </c>
      <c r="AD217" s="341">
        <v>0</v>
      </c>
      <c r="AE217" s="212">
        <v>0</v>
      </c>
      <c r="AF217" s="761">
        <v>0</v>
      </c>
      <c r="AG217" s="761">
        <v>0</v>
      </c>
      <c r="AH217" s="341">
        <v>308006.84000000003</v>
      </c>
      <c r="AJ217" s="341">
        <f t="shared" si="42"/>
        <v>151737105.84999999</v>
      </c>
    </row>
    <row r="218" spans="1:36" x14ac:dyDescent="0.2">
      <c r="A218" s="170">
        <v>2540</v>
      </c>
      <c r="B218" s="2890" t="s">
        <v>2885</v>
      </c>
      <c r="C218" s="2890"/>
      <c r="D218" s="1220" t="str">
        <f t="shared" si="46"/>
        <v>prob</v>
      </c>
      <c r="E218" s="341">
        <v>13023165.48</v>
      </c>
      <c r="F218" s="341">
        <v>0</v>
      </c>
      <c r="G218" s="341">
        <v>0</v>
      </c>
      <c r="H218" s="341">
        <v>11398020</v>
      </c>
      <c r="I218" s="341">
        <v>0</v>
      </c>
      <c r="J218" s="341">
        <v>0</v>
      </c>
      <c r="K218" s="341">
        <v>0</v>
      </c>
      <c r="L218" s="341"/>
      <c r="M218" s="341">
        <v>0</v>
      </c>
      <c r="N218" s="341">
        <v>0</v>
      </c>
      <c r="O218" s="212">
        <v>0</v>
      </c>
      <c r="P218" s="760">
        <v>121094.75</v>
      </c>
      <c r="Q218" s="341">
        <v>111022.78</v>
      </c>
      <c r="R218" s="341">
        <v>167428.07999999999</v>
      </c>
      <c r="S218" s="341">
        <v>16734.240000000002</v>
      </c>
      <c r="T218" s="341">
        <v>11483.64</v>
      </c>
      <c r="U218" s="341">
        <v>100966.04</v>
      </c>
      <c r="V218" s="341">
        <v>61016.959999999999</v>
      </c>
      <c r="W218" s="341">
        <v>54063.360000000001</v>
      </c>
      <c r="X218" s="341">
        <v>55163.4</v>
      </c>
      <c r="Y218" s="341">
        <v>61667.4</v>
      </c>
      <c r="Z218" s="212">
        <v>0</v>
      </c>
      <c r="AA218" s="341">
        <v>62634.64</v>
      </c>
      <c r="AB218" s="341">
        <v>29505.96</v>
      </c>
      <c r="AC218" s="341">
        <v>0</v>
      </c>
      <c r="AD218" s="341">
        <v>0</v>
      </c>
      <c r="AE218" s="341">
        <v>30731.279999999999</v>
      </c>
      <c r="AF218" s="761">
        <v>0</v>
      </c>
      <c r="AG218" s="761">
        <v>0</v>
      </c>
      <c r="AH218" s="341">
        <v>0</v>
      </c>
      <c r="AJ218" s="341">
        <f t="shared" si="42"/>
        <v>12281532.529999999</v>
      </c>
    </row>
    <row r="219" spans="1:36" x14ac:dyDescent="0.2">
      <c r="A219" s="170">
        <v>2560</v>
      </c>
      <c r="B219" s="2890" t="s">
        <v>683</v>
      </c>
      <c r="C219" s="2890"/>
      <c r="D219" s="1220" t="str">
        <f t="shared" si="46"/>
        <v>prob</v>
      </c>
      <c r="E219" s="341">
        <v>254032436.74000001</v>
      </c>
      <c r="F219" s="341">
        <v>102099453</v>
      </c>
      <c r="G219" s="341">
        <v>109851768.34</v>
      </c>
      <c r="H219" s="341">
        <v>0</v>
      </c>
      <c r="I219" s="341">
        <v>78356815.189999998</v>
      </c>
      <c r="J219" s="341">
        <v>2462393.54</v>
      </c>
      <c r="K219" s="341">
        <v>22731003.75</v>
      </c>
      <c r="L219" s="341"/>
      <c r="M219" s="341">
        <v>2870871.82</v>
      </c>
      <c r="N219" s="341">
        <v>9815669.25</v>
      </c>
      <c r="O219" s="212">
        <v>8059674.4400000004</v>
      </c>
      <c r="P219" s="760">
        <v>197414701.87</v>
      </c>
      <c r="Q219" s="341">
        <v>140792578.08000001</v>
      </c>
      <c r="R219" s="341">
        <v>30817132.41</v>
      </c>
      <c r="S219" s="341">
        <v>42011536.899999999</v>
      </c>
      <c r="T219" s="341">
        <v>8774857.6300000008</v>
      </c>
      <c r="U219" s="341">
        <v>19209056.190000001</v>
      </c>
      <c r="V219" s="341">
        <v>50889683.619999997</v>
      </c>
      <c r="W219" s="341">
        <v>18749127.440000001</v>
      </c>
      <c r="X219" s="341">
        <v>14726062.279999999</v>
      </c>
      <c r="Y219" s="341">
        <v>33871848.990000002</v>
      </c>
      <c r="Z219" s="212">
        <v>9416615.4800000004</v>
      </c>
      <c r="AA219" s="341">
        <v>10934126.75</v>
      </c>
      <c r="AB219" s="341">
        <v>5002844.01</v>
      </c>
      <c r="AC219" s="341">
        <v>7422149.3399999999</v>
      </c>
      <c r="AD219" s="341">
        <v>16342553.32</v>
      </c>
      <c r="AE219" s="341">
        <v>5669430.6900000004</v>
      </c>
      <c r="AF219" s="761">
        <v>2478795.09</v>
      </c>
      <c r="AG219" s="761">
        <v>28483.96</v>
      </c>
      <c r="AH219" s="341">
        <v>179363.13</v>
      </c>
      <c r="AJ219" s="341">
        <f t="shared" si="42"/>
        <v>950770749.41999996</v>
      </c>
    </row>
    <row r="220" spans="1:36" x14ac:dyDescent="0.2">
      <c r="A220" s="170">
        <v>2570</v>
      </c>
      <c r="B220" s="2890" t="s">
        <v>2886</v>
      </c>
      <c r="C220" s="2890"/>
      <c r="D220" s="1220" t="str">
        <f t="shared" si="46"/>
        <v>prob</v>
      </c>
      <c r="E220" s="341">
        <v>11428564.23</v>
      </c>
      <c r="F220" s="341">
        <v>0</v>
      </c>
      <c r="G220" s="341">
        <v>0</v>
      </c>
      <c r="H220" s="341">
        <v>0</v>
      </c>
      <c r="I220" s="341">
        <v>9616712.9900000002</v>
      </c>
      <c r="J220" s="341">
        <v>0</v>
      </c>
      <c r="K220" s="341">
        <v>2109690</v>
      </c>
      <c r="L220" s="341"/>
      <c r="M220" s="341">
        <v>571367.56999999995</v>
      </c>
      <c r="N220" s="341">
        <v>755939.15</v>
      </c>
      <c r="O220" s="212">
        <v>564698.18000000005</v>
      </c>
      <c r="P220" s="760">
        <v>14719873.859999999</v>
      </c>
      <c r="Q220" s="341">
        <v>6313654.4299999997</v>
      </c>
      <c r="R220" s="341">
        <v>2010166.71</v>
      </c>
      <c r="S220" s="341">
        <v>11938779.34</v>
      </c>
      <c r="T220" s="341">
        <v>634688.17000000004</v>
      </c>
      <c r="U220" s="341">
        <v>5553286.2599999998</v>
      </c>
      <c r="V220" s="341">
        <v>7131412.9500000002</v>
      </c>
      <c r="W220" s="341">
        <v>1499299.48</v>
      </c>
      <c r="X220" s="341">
        <v>1558826.38</v>
      </c>
      <c r="Y220" s="341">
        <v>2337059.59</v>
      </c>
      <c r="Z220" s="212">
        <v>2417406.2000000002</v>
      </c>
      <c r="AA220" s="341">
        <v>1934415.17</v>
      </c>
      <c r="AB220" s="341">
        <v>1786101.17</v>
      </c>
      <c r="AC220" s="341">
        <v>0</v>
      </c>
      <c r="AD220" s="341">
        <v>1105902.74</v>
      </c>
      <c r="AE220" s="341">
        <v>507856.56</v>
      </c>
      <c r="AF220" s="761">
        <v>159973.84</v>
      </c>
      <c r="AG220" s="761">
        <v>9495.64</v>
      </c>
      <c r="AH220" s="341">
        <v>24450.52</v>
      </c>
      <c r="AJ220" s="341">
        <f t="shared" si="42"/>
        <v>75227110.739999995</v>
      </c>
    </row>
    <row r="221" spans="1:36" x14ac:dyDescent="0.2">
      <c r="A221" s="170">
        <v>2590</v>
      </c>
      <c r="B221" s="2890" t="s">
        <v>2887</v>
      </c>
      <c r="C221" s="2890"/>
      <c r="D221" t="str">
        <f t="shared" si="46"/>
        <v>OK</v>
      </c>
      <c r="E221" s="341">
        <v>0</v>
      </c>
      <c r="F221" s="341">
        <v>0</v>
      </c>
      <c r="G221" s="341">
        <v>0</v>
      </c>
      <c r="H221" s="341">
        <v>0</v>
      </c>
      <c r="I221" s="341">
        <v>0</v>
      </c>
      <c r="J221" s="341">
        <v>0</v>
      </c>
      <c r="K221" s="341">
        <v>0</v>
      </c>
      <c r="L221" s="341"/>
      <c r="M221" s="341">
        <v>0</v>
      </c>
      <c r="N221" s="341">
        <v>0</v>
      </c>
      <c r="O221" s="212">
        <v>0</v>
      </c>
      <c r="P221" s="760">
        <v>109903091.48</v>
      </c>
      <c r="Q221" s="341">
        <v>56703060.350000001</v>
      </c>
      <c r="R221" s="341">
        <v>37601620.950000003</v>
      </c>
      <c r="S221" s="341">
        <v>43912583.259999998</v>
      </c>
      <c r="T221" s="341">
        <v>6511771.5800000001</v>
      </c>
      <c r="U221" s="341">
        <v>23299897.370000001</v>
      </c>
      <c r="V221" s="341">
        <v>46850240.939999998</v>
      </c>
      <c r="W221" s="341">
        <v>46317587.079999998</v>
      </c>
      <c r="X221" s="341">
        <v>19657419.949999999</v>
      </c>
      <c r="Y221" s="341">
        <v>26871336.75</v>
      </c>
      <c r="Z221" s="212">
        <v>13177559.98</v>
      </c>
      <c r="AA221" s="341">
        <v>21473669.16</v>
      </c>
      <c r="AB221" s="341">
        <v>6351328.1500000004</v>
      </c>
      <c r="AC221" s="341">
        <v>13690341.119999999</v>
      </c>
      <c r="AD221" s="341">
        <v>23092190.780000001</v>
      </c>
      <c r="AE221" s="341">
        <v>1973307.39</v>
      </c>
      <c r="AF221" s="761">
        <v>0</v>
      </c>
      <c r="AG221" s="761">
        <v>0</v>
      </c>
      <c r="AH221" s="341">
        <v>0</v>
      </c>
      <c r="AJ221" s="341">
        <f t="shared" si="42"/>
        <v>497387006.29000002</v>
      </c>
    </row>
    <row r="222" spans="1:36" x14ac:dyDescent="0.2">
      <c r="A222" s="170"/>
      <c r="B222" s="170" t="s">
        <v>1373</v>
      </c>
      <c r="C222" s="170"/>
      <c r="E222" s="341"/>
      <c r="F222" s="341"/>
      <c r="G222" s="341"/>
      <c r="H222" s="341"/>
      <c r="I222" s="341"/>
      <c r="J222" s="341"/>
      <c r="K222" s="341"/>
      <c r="L222" s="341"/>
      <c r="M222" s="341"/>
      <c r="N222" s="341"/>
      <c r="O222" s="212"/>
      <c r="P222" s="760"/>
      <c r="Q222" s="341"/>
      <c r="R222" s="341"/>
      <c r="S222" s="341"/>
      <c r="T222" s="341"/>
      <c r="U222" s="341"/>
      <c r="V222" s="341"/>
      <c r="W222" s="341"/>
      <c r="X222" s="341"/>
      <c r="Y222" s="341"/>
      <c r="Z222" s="212"/>
      <c r="AA222" s="341"/>
      <c r="AB222" s="341"/>
      <c r="AC222" s="341"/>
      <c r="AD222" s="341"/>
      <c r="AE222" s="341"/>
      <c r="AF222" s="761"/>
      <c r="AG222" s="761"/>
      <c r="AH222" s="341"/>
      <c r="AJ222" s="341">
        <f t="shared" si="42"/>
        <v>0</v>
      </c>
    </row>
    <row r="223" spans="1:36" x14ac:dyDescent="0.2">
      <c r="A223" s="170">
        <v>2610</v>
      </c>
      <c r="B223" s="3116" t="s">
        <v>2888</v>
      </c>
      <c r="C223" s="3116"/>
      <c r="D223" t="str">
        <f>IF(SUM(F223:N223)-E223=0,"OK","prob")</f>
        <v>OK</v>
      </c>
      <c r="E223" s="341">
        <v>-1050675</v>
      </c>
      <c r="F223" s="341">
        <v>-1050675</v>
      </c>
      <c r="G223" s="341">
        <v>0</v>
      </c>
      <c r="H223" s="341">
        <v>0</v>
      </c>
      <c r="I223" s="341">
        <v>0</v>
      </c>
      <c r="J223" s="341">
        <v>0</v>
      </c>
      <c r="K223" s="341">
        <v>0</v>
      </c>
      <c r="L223" s="341"/>
      <c r="M223" s="341">
        <v>0</v>
      </c>
      <c r="N223" s="341">
        <v>0</v>
      </c>
      <c r="O223" s="212">
        <v>1038146.67</v>
      </c>
      <c r="P223" s="760">
        <v>25700933.210000001</v>
      </c>
      <c r="Q223" s="341">
        <v>29318952.239999998</v>
      </c>
      <c r="R223" s="341">
        <v>4206770.3499999996</v>
      </c>
      <c r="S223" s="341">
        <v>8063866.1500000004</v>
      </c>
      <c r="T223" s="341">
        <v>1080429.21</v>
      </c>
      <c r="U223" s="341">
        <v>4056752.15</v>
      </c>
      <c r="V223" s="341">
        <v>11720169.25</v>
      </c>
      <c r="W223" s="341">
        <v>5717556.96</v>
      </c>
      <c r="X223" s="341">
        <v>2202988.23</v>
      </c>
      <c r="Y223" s="341">
        <v>3532394.09</v>
      </c>
      <c r="Z223" s="212">
        <v>3765682.42</v>
      </c>
      <c r="AA223" s="341">
        <v>6167353.3600000003</v>
      </c>
      <c r="AB223" s="341">
        <v>4304295.21</v>
      </c>
      <c r="AC223" s="341">
        <v>3214968</v>
      </c>
      <c r="AD223" s="341">
        <v>3865390.85</v>
      </c>
      <c r="AE223" s="341">
        <v>1419764.24</v>
      </c>
      <c r="AF223" s="761">
        <v>236250</v>
      </c>
      <c r="AG223" s="761">
        <v>0</v>
      </c>
      <c r="AH223" s="341">
        <v>0</v>
      </c>
      <c r="AJ223" s="341">
        <f t="shared" si="42"/>
        <v>118561987.59</v>
      </c>
    </row>
    <row r="224" spans="1:36" x14ac:dyDescent="0.2">
      <c r="A224" s="170">
        <v>2625</v>
      </c>
      <c r="B224" s="3116" t="s">
        <v>2012</v>
      </c>
      <c r="C224" s="3116"/>
      <c r="D224" t="str">
        <f>IF(SUM(F224:N224)-E224=0,"OK","prob")</f>
        <v>OK</v>
      </c>
      <c r="E224" s="341">
        <v>0</v>
      </c>
      <c r="F224" s="341">
        <v>0</v>
      </c>
      <c r="G224" s="341">
        <v>0</v>
      </c>
      <c r="H224" s="341">
        <v>0</v>
      </c>
      <c r="I224" s="341">
        <v>0</v>
      </c>
      <c r="J224" s="341">
        <v>0</v>
      </c>
      <c r="K224" s="341">
        <v>0</v>
      </c>
      <c r="L224" s="341"/>
      <c r="M224" s="341">
        <v>0</v>
      </c>
      <c r="N224" s="341">
        <v>0</v>
      </c>
      <c r="O224" s="212">
        <v>0</v>
      </c>
      <c r="P224" s="760">
        <v>205950</v>
      </c>
      <c r="Q224" s="341">
        <v>0</v>
      </c>
      <c r="R224" s="341">
        <v>5034498.66</v>
      </c>
      <c r="S224" s="341">
        <v>5280461.95</v>
      </c>
      <c r="T224" s="341">
        <v>107911.11</v>
      </c>
      <c r="U224" s="341">
        <v>310733.87</v>
      </c>
      <c r="V224" s="341">
        <v>0</v>
      </c>
      <c r="W224" s="341">
        <v>362923.41</v>
      </c>
      <c r="X224" s="341">
        <v>27452.85</v>
      </c>
      <c r="Y224" s="341">
        <v>0</v>
      </c>
      <c r="Z224" s="212">
        <v>0</v>
      </c>
      <c r="AA224" s="341">
        <v>357490.18</v>
      </c>
      <c r="AB224" s="341">
        <v>0</v>
      </c>
      <c r="AC224" s="341">
        <v>0</v>
      </c>
      <c r="AD224" s="341">
        <v>87315.7</v>
      </c>
      <c r="AE224" s="341">
        <v>0</v>
      </c>
      <c r="AF224" s="761">
        <v>0</v>
      </c>
      <c r="AG224" s="761">
        <v>0</v>
      </c>
      <c r="AH224" s="341">
        <v>0</v>
      </c>
      <c r="AJ224" s="341">
        <f t="shared" si="42"/>
        <v>11774737.73</v>
      </c>
    </row>
    <row r="225" spans="1:36" x14ac:dyDescent="0.2">
      <c r="A225" s="170">
        <v>2630</v>
      </c>
      <c r="B225" s="3116" t="s">
        <v>2014</v>
      </c>
      <c r="C225" s="3116"/>
      <c r="D225" t="str">
        <f>IF(SUM(F225:N225)-E225=0,"OK","prob")</f>
        <v>OK</v>
      </c>
      <c r="E225" s="343">
        <v>43976986.060000002</v>
      </c>
      <c r="F225" s="343">
        <v>0</v>
      </c>
      <c r="G225" s="343">
        <v>37883142.140000001</v>
      </c>
      <c r="H225" s="343">
        <v>0</v>
      </c>
      <c r="I225" s="343">
        <v>0</v>
      </c>
      <c r="J225" s="343">
        <v>2302256.92</v>
      </c>
      <c r="K225" s="343">
        <v>3791587</v>
      </c>
      <c r="L225" s="343"/>
      <c r="M225" s="343">
        <v>0</v>
      </c>
      <c r="N225" s="343">
        <v>0</v>
      </c>
      <c r="O225" s="212">
        <v>677030.78</v>
      </c>
      <c r="P225" s="760">
        <v>14757362.98</v>
      </c>
      <c r="Q225" s="341">
        <v>47821598.630000003</v>
      </c>
      <c r="R225" s="341">
        <v>763824.1</v>
      </c>
      <c r="S225" s="341">
        <v>4612700.55</v>
      </c>
      <c r="T225" s="341">
        <v>872253.06</v>
      </c>
      <c r="U225" s="343">
        <v>1789084.79</v>
      </c>
      <c r="V225" s="343">
        <v>3332293.84</v>
      </c>
      <c r="W225" s="343">
        <v>4281732.95</v>
      </c>
      <c r="X225" s="343">
        <v>2840822.78</v>
      </c>
      <c r="Y225" s="343">
        <v>2322555.13</v>
      </c>
      <c r="Z225" s="452">
        <v>0</v>
      </c>
      <c r="AA225" s="343">
        <v>1833382.77</v>
      </c>
      <c r="AB225" s="343">
        <v>89275.61</v>
      </c>
      <c r="AC225" s="343">
        <v>5081282.5599999996</v>
      </c>
      <c r="AD225" s="343">
        <v>5794260.5800000001</v>
      </c>
      <c r="AE225" s="343">
        <v>649102.84</v>
      </c>
      <c r="AF225" s="1098">
        <v>1565180.71</v>
      </c>
      <c r="AG225" s="1098">
        <v>127087.32</v>
      </c>
      <c r="AH225" s="343">
        <v>86072.78</v>
      </c>
      <c r="AJ225" s="341">
        <f t="shared" si="42"/>
        <v>143060730.72</v>
      </c>
    </row>
    <row r="226" spans="1:36" x14ac:dyDescent="0.2">
      <c r="B226" s="2890" t="s">
        <v>4903</v>
      </c>
      <c r="C226" s="2890"/>
      <c r="D226" s="1220" t="str">
        <f>IF(SUM(F226:N226)-E226=0,"OK","prob")</f>
        <v>prob</v>
      </c>
      <c r="E226" s="379">
        <f t="shared" ref="E226:AH226" si="47">SUM(E214:E225)</f>
        <v>4789431773.4300003</v>
      </c>
      <c r="F226" s="379">
        <f t="shared" si="47"/>
        <v>2498531754.8099999</v>
      </c>
      <c r="G226" s="379">
        <f t="shared" si="47"/>
        <v>243383347.90000001</v>
      </c>
      <c r="H226" s="379">
        <f t="shared" si="47"/>
        <v>11398020</v>
      </c>
      <c r="I226" s="379">
        <f t="shared" si="47"/>
        <v>1521693804.8699999</v>
      </c>
      <c r="J226" s="379">
        <f t="shared" si="47"/>
        <v>46783488.740000002</v>
      </c>
      <c r="K226" s="379">
        <f t="shared" si="47"/>
        <v>448633539.75</v>
      </c>
      <c r="L226" s="379">
        <f>SUM(L214:L225)</f>
        <v>0</v>
      </c>
      <c r="M226" s="379">
        <f>SUM(M214:M225)</f>
        <v>65973076.149999999</v>
      </c>
      <c r="N226" s="379">
        <f>SUM(N214:N225)</f>
        <v>169011446.16</v>
      </c>
      <c r="O226" s="379">
        <f t="shared" si="47"/>
        <v>90828123.939999998</v>
      </c>
      <c r="P226" s="379">
        <f t="shared" si="47"/>
        <v>3557960131.8600001</v>
      </c>
      <c r="Q226" s="379">
        <f t="shared" si="47"/>
        <v>1709116008.9100001</v>
      </c>
      <c r="R226" s="379">
        <f t="shared" si="47"/>
        <v>432750494.02999997</v>
      </c>
      <c r="S226" s="379">
        <f t="shared" si="47"/>
        <v>684111959.02999997</v>
      </c>
      <c r="T226" s="379">
        <f t="shared" si="47"/>
        <v>99876775.069999993</v>
      </c>
      <c r="U226" s="379">
        <f t="shared" si="47"/>
        <v>382600423</v>
      </c>
      <c r="V226" s="379">
        <f t="shared" si="47"/>
        <v>892919833.11000001</v>
      </c>
      <c r="W226" s="379">
        <f t="shared" si="47"/>
        <v>391207012.19999999</v>
      </c>
      <c r="X226" s="379">
        <f t="shared" si="47"/>
        <v>268485986.79000002</v>
      </c>
      <c r="Y226" s="379">
        <f t="shared" si="47"/>
        <v>497723456.63999999</v>
      </c>
      <c r="Z226" s="379">
        <f t="shared" si="47"/>
        <v>156766824.11000001</v>
      </c>
      <c r="AA226" s="379">
        <f t="shared" si="47"/>
        <v>155792880.59</v>
      </c>
      <c r="AB226" s="379">
        <f t="shared" si="47"/>
        <v>83751561.359999999</v>
      </c>
      <c r="AC226" s="379">
        <f t="shared" si="47"/>
        <v>149900065.33000001</v>
      </c>
      <c r="AD226" s="379">
        <f t="shared" si="47"/>
        <v>236073877</v>
      </c>
      <c r="AE226" s="379">
        <f t="shared" si="47"/>
        <v>75258660.230000004</v>
      </c>
      <c r="AF226" s="379">
        <f t="shared" si="47"/>
        <v>6763331.6900000004</v>
      </c>
      <c r="AG226" s="379">
        <f t="shared" ref="AG226" si="48">SUM(AG214:AG225)</f>
        <v>16516121.109999999</v>
      </c>
      <c r="AH226" s="379">
        <f t="shared" si="47"/>
        <v>3708172.83</v>
      </c>
      <c r="AJ226" s="341">
        <f t="shared" si="42"/>
        <v>14877295883.27</v>
      </c>
    </row>
    <row r="227" spans="1:36" x14ac:dyDescent="0.2">
      <c r="B227" s="2890" t="s">
        <v>4904</v>
      </c>
      <c r="C227" s="2890"/>
      <c r="D227" t="str">
        <f>IF(SUM(F227:N227)=E227,"OK","prob")</f>
        <v>OK</v>
      </c>
      <c r="E227" s="2117">
        <f t="shared" ref="E227:AH227" si="49">E211-E226</f>
        <v>543914698.82000005</v>
      </c>
      <c r="F227" s="2117">
        <f t="shared" si="49"/>
        <v>416932332.19</v>
      </c>
      <c r="G227" s="379">
        <f t="shared" si="49"/>
        <v>147928291.81999999</v>
      </c>
      <c r="H227" s="379">
        <f t="shared" si="49"/>
        <v>-7098020</v>
      </c>
      <c r="I227" s="2117">
        <f t="shared" si="49"/>
        <v>55721140.810000002</v>
      </c>
      <c r="J227" s="2117">
        <f t="shared" si="49"/>
        <v>-3013595.25</v>
      </c>
      <c r="K227" s="379">
        <f t="shared" si="49"/>
        <v>-59138634.93</v>
      </c>
      <c r="L227" s="379">
        <f>L211-L226</f>
        <v>0</v>
      </c>
      <c r="M227" s="2117">
        <f>M211-M226</f>
        <v>-9355396.8699999992</v>
      </c>
      <c r="N227" s="2117">
        <f>N211-N226</f>
        <v>1938581.05</v>
      </c>
      <c r="O227" s="379">
        <f t="shared" si="49"/>
        <v>-76421416.590000004</v>
      </c>
      <c r="P227" s="379">
        <f t="shared" si="49"/>
        <v>-800669824.82000005</v>
      </c>
      <c r="Q227" s="379">
        <f t="shared" si="49"/>
        <v>-611188933.00999999</v>
      </c>
      <c r="R227" s="379">
        <f t="shared" si="49"/>
        <v>-226659846.09</v>
      </c>
      <c r="S227" s="379">
        <f t="shared" si="49"/>
        <v>-287100865.41000003</v>
      </c>
      <c r="T227" s="379">
        <f t="shared" si="49"/>
        <v>-62639674.259999998</v>
      </c>
      <c r="U227" s="379">
        <f t="shared" si="49"/>
        <v>-167029044.69</v>
      </c>
      <c r="V227" s="379">
        <f t="shared" si="49"/>
        <v>-287951192.35000002</v>
      </c>
      <c r="W227" s="379">
        <f t="shared" si="49"/>
        <v>-214677574.08000001</v>
      </c>
      <c r="X227" s="379">
        <f t="shared" si="49"/>
        <v>-162860771.94</v>
      </c>
      <c r="Y227" s="379">
        <f t="shared" si="49"/>
        <v>-216144170.38999999</v>
      </c>
      <c r="Z227" s="379">
        <f t="shared" si="49"/>
        <v>-122554360.23</v>
      </c>
      <c r="AA227" s="379">
        <f t="shared" si="49"/>
        <v>-102711891.92</v>
      </c>
      <c r="AB227" s="379">
        <f t="shared" si="49"/>
        <v>-69356656.480000004</v>
      </c>
      <c r="AC227" s="379">
        <f t="shared" si="49"/>
        <v>-120066097.16</v>
      </c>
      <c r="AD227" s="379">
        <f t="shared" si="49"/>
        <v>-123903131.78</v>
      </c>
      <c r="AE227" s="379">
        <f t="shared" si="49"/>
        <v>-48358578.090000004</v>
      </c>
      <c r="AF227" s="379">
        <f t="shared" si="49"/>
        <v>-482254.3</v>
      </c>
      <c r="AG227" s="379">
        <f t="shared" ref="AG227" si="50">AG211-AG226</f>
        <v>-16515032.74</v>
      </c>
      <c r="AH227" s="379">
        <f t="shared" si="49"/>
        <v>-475849.03</v>
      </c>
      <c r="AJ227" s="341">
        <f t="shared" si="42"/>
        <v>-3156861584.77</v>
      </c>
    </row>
    <row r="228" spans="1:36" x14ac:dyDescent="0.2">
      <c r="B228" s="2380"/>
      <c r="C228" s="2380"/>
      <c r="E228" s="341"/>
      <c r="F228" s="341"/>
      <c r="G228" s="341"/>
      <c r="H228" s="341"/>
      <c r="I228" s="341"/>
      <c r="J228" s="341"/>
      <c r="K228" s="341"/>
      <c r="L228" s="341"/>
      <c r="M228" s="341"/>
      <c r="N228" s="341"/>
      <c r="O228" s="212"/>
      <c r="P228" s="341"/>
      <c r="Q228" s="341"/>
      <c r="R228" s="341"/>
      <c r="S228" s="341"/>
      <c r="T228" s="341"/>
      <c r="U228" s="341"/>
      <c r="V228" s="341"/>
      <c r="W228" s="341"/>
      <c r="X228" s="341"/>
      <c r="Y228" s="341"/>
      <c r="Z228" s="341"/>
      <c r="AA228" s="341"/>
      <c r="AB228" s="341"/>
      <c r="AC228" s="341"/>
      <c r="AD228" s="341"/>
      <c r="AE228" s="341"/>
      <c r="AF228" s="341"/>
      <c r="AG228" s="341"/>
      <c r="AH228" s="341"/>
      <c r="AJ228" s="341">
        <f t="shared" si="42"/>
        <v>0</v>
      </c>
    </row>
    <row r="229" spans="1:36" x14ac:dyDescent="0.2">
      <c r="B229" s="213" t="s">
        <v>2016</v>
      </c>
      <c r="E229" s="341"/>
      <c r="F229" s="341"/>
      <c r="G229" s="341"/>
      <c r="H229" s="341"/>
      <c r="I229" s="341"/>
      <c r="J229" s="341"/>
      <c r="K229" s="341"/>
      <c r="L229" s="341"/>
      <c r="M229" s="341"/>
      <c r="N229" s="341"/>
      <c r="O229" s="212"/>
      <c r="P229" s="341"/>
      <c r="Q229" s="341"/>
      <c r="R229" s="341"/>
      <c r="S229" s="1816"/>
      <c r="T229" s="341"/>
      <c r="U229" s="341"/>
      <c r="V229" s="341"/>
      <c r="W229" s="341"/>
      <c r="X229" s="341"/>
      <c r="Y229" s="341"/>
      <c r="Z229" s="341"/>
      <c r="AA229" s="341"/>
      <c r="AB229" s="341"/>
      <c r="AC229" s="1816"/>
      <c r="AD229" s="341"/>
      <c r="AE229" s="341"/>
      <c r="AF229" s="341"/>
      <c r="AG229" s="341"/>
      <c r="AH229" s="341"/>
      <c r="AJ229" s="341">
        <f t="shared" si="42"/>
        <v>0</v>
      </c>
    </row>
    <row r="230" spans="1:36" x14ac:dyDescent="0.2">
      <c r="A230" s="170">
        <v>2690</v>
      </c>
      <c r="B230" s="2890" t="s">
        <v>2891</v>
      </c>
      <c r="C230" s="2890"/>
      <c r="D230" t="str">
        <f t="shared" ref="D230:D248" si="51">IF(SUM(F230:N230)-E230=0,"OK","prob")</f>
        <v>OK</v>
      </c>
      <c r="E230" s="341">
        <v>0</v>
      </c>
      <c r="F230" s="341">
        <v>0</v>
      </c>
      <c r="G230" s="341">
        <v>0</v>
      </c>
      <c r="H230" s="341">
        <v>0</v>
      </c>
      <c r="I230" s="341">
        <v>0</v>
      </c>
      <c r="J230" s="341">
        <v>0</v>
      </c>
      <c r="K230" s="341">
        <v>0</v>
      </c>
      <c r="L230" s="341"/>
      <c r="M230" s="341">
        <v>0</v>
      </c>
      <c r="N230" s="341">
        <v>0</v>
      </c>
      <c r="O230" s="212">
        <v>475709696.38999999</v>
      </c>
      <c r="P230" s="760">
        <v>622039923.62</v>
      </c>
      <c r="Q230" s="341">
        <v>616310706</v>
      </c>
      <c r="R230" s="341">
        <v>198793472</v>
      </c>
      <c r="S230" s="341">
        <v>310557428</v>
      </c>
      <c r="T230" s="341">
        <v>50986322</v>
      </c>
      <c r="U230" s="341">
        <v>192468360.08000001</v>
      </c>
      <c r="V230" s="341">
        <v>355729327.29000002</v>
      </c>
      <c r="W230" s="341">
        <v>126463127.23999999</v>
      </c>
      <c r="X230" s="341">
        <v>157330434</v>
      </c>
      <c r="Y230" s="341">
        <v>187163788</v>
      </c>
      <c r="Z230" s="212">
        <v>101766390.64</v>
      </c>
      <c r="AA230" s="341">
        <v>71695469</v>
      </c>
      <c r="AB230" s="1099">
        <v>48019353</v>
      </c>
      <c r="AC230" s="341">
        <v>82685092.920000002</v>
      </c>
      <c r="AD230" s="341">
        <v>94047571</v>
      </c>
      <c r="AE230" s="341">
        <v>39616322</v>
      </c>
      <c r="AF230" s="761">
        <v>0</v>
      </c>
      <c r="AG230" s="761">
        <v>0</v>
      </c>
      <c r="AH230" s="341">
        <v>0</v>
      </c>
      <c r="AJ230" s="341">
        <f t="shared" si="42"/>
        <v>3731382783.1799998</v>
      </c>
    </row>
    <row r="231" spans="1:36" x14ac:dyDescent="0.2">
      <c r="A231" s="170">
        <v>2691</v>
      </c>
      <c r="B231" s="2890" t="s">
        <v>4905</v>
      </c>
      <c r="C231" s="2890"/>
      <c r="D231" t="str">
        <f t="shared" si="51"/>
        <v>OK</v>
      </c>
      <c r="E231" s="341">
        <v>0</v>
      </c>
      <c r="F231" s="341">
        <v>0</v>
      </c>
      <c r="G231" s="341">
        <v>0</v>
      </c>
      <c r="H231" s="341">
        <v>0</v>
      </c>
      <c r="I231" s="341">
        <v>0</v>
      </c>
      <c r="J231" s="341">
        <v>0</v>
      </c>
      <c r="K231" s="341">
        <v>0</v>
      </c>
      <c r="L231" s="341"/>
      <c r="M231" s="341">
        <v>0</v>
      </c>
      <c r="N231" s="341">
        <v>0</v>
      </c>
      <c r="O231" s="212">
        <v>0</v>
      </c>
      <c r="P231" s="760">
        <v>0</v>
      </c>
      <c r="Q231" s="341">
        <v>0</v>
      </c>
      <c r="R231" s="341">
        <v>0</v>
      </c>
      <c r="S231" s="341">
        <v>306392</v>
      </c>
      <c r="T231" s="341">
        <v>60133</v>
      </c>
      <c r="U231" s="341">
        <v>217886</v>
      </c>
      <c r="V231" s="341">
        <v>408570</v>
      </c>
      <c r="W231" s="341">
        <v>0</v>
      </c>
      <c r="X231" s="341">
        <v>0</v>
      </c>
      <c r="Y231" s="341">
        <v>320402</v>
      </c>
      <c r="Z231" s="212">
        <v>0</v>
      </c>
      <c r="AA231" s="341">
        <v>5230965.28</v>
      </c>
      <c r="AB231" s="341">
        <v>65984</v>
      </c>
      <c r="AC231" s="341">
        <v>0</v>
      </c>
      <c r="AD231" s="341">
        <v>0</v>
      </c>
      <c r="AE231" s="341">
        <v>0</v>
      </c>
      <c r="AF231" s="761">
        <v>0</v>
      </c>
      <c r="AG231" s="761">
        <v>0</v>
      </c>
      <c r="AH231" s="341">
        <v>0</v>
      </c>
      <c r="AJ231" s="341">
        <f t="shared" ref="AJ231:AJ261" si="52">SUM(F231:AF231)</f>
        <v>6610332.2800000003</v>
      </c>
    </row>
    <row r="232" spans="1:36" x14ac:dyDescent="0.2">
      <c r="A232" s="170">
        <v>2692</v>
      </c>
      <c r="B232" s="2890" t="s">
        <v>2894</v>
      </c>
      <c r="C232" s="2890"/>
      <c r="D232" t="str">
        <f t="shared" si="51"/>
        <v>OK</v>
      </c>
      <c r="E232" s="341">
        <v>0</v>
      </c>
      <c r="F232" s="341">
        <v>0</v>
      </c>
      <c r="G232" s="341">
        <v>0</v>
      </c>
      <c r="H232" s="341">
        <v>0</v>
      </c>
      <c r="I232" s="341">
        <v>0</v>
      </c>
      <c r="J232" s="341">
        <v>0</v>
      </c>
      <c r="K232" s="341">
        <v>0</v>
      </c>
      <c r="L232" s="341"/>
      <c r="M232" s="341">
        <v>0</v>
      </c>
      <c r="N232" s="341">
        <v>0</v>
      </c>
      <c r="O232" s="212">
        <v>0</v>
      </c>
      <c r="P232" s="760">
        <v>0</v>
      </c>
      <c r="Q232" s="341">
        <v>750290</v>
      </c>
      <c r="R232" s="341">
        <v>0</v>
      </c>
      <c r="S232" s="341">
        <v>0</v>
      </c>
      <c r="T232" s="341">
        <v>0</v>
      </c>
      <c r="U232" s="341">
        <v>0</v>
      </c>
      <c r="V232" s="341">
        <v>0</v>
      </c>
      <c r="W232" s="341">
        <v>0</v>
      </c>
      <c r="X232" s="341">
        <v>0</v>
      </c>
      <c r="Y232" s="341">
        <v>0</v>
      </c>
      <c r="Z232" s="212">
        <v>0</v>
      </c>
      <c r="AA232" s="341">
        <v>0</v>
      </c>
      <c r="AB232" s="341">
        <v>0</v>
      </c>
      <c r="AC232" s="341">
        <v>0</v>
      </c>
      <c r="AD232" s="341">
        <v>0</v>
      </c>
      <c r="AE232" s="341">
        <v>0</v>
      </c>
      <c r="AF232" s="761">
        <v>0</v>
      </c>
      <c r="AG232" s="761">
        <v>0</v>
      </c>
      <c r="AH232" s="341">
        <v>0</v>
      </c>
      <c r="AJ232" s="341">
        <f t="shared" si="52"/>
        <v>750290</v>
      </c>
    </row>
    <row r="233" spans="1:36" x14ac:dyDescent="0.2">
      <c r="A233" s="170">
        <v>2693</v>
      </c>
      <c r="B233" s="2890" t="s">
        <v>5456</v>
      </c>
      <c r="C233" s="2890"/>
      <c r="D233" t="str">
        <f t="shared" si="51"/>
        <v>OK</v>
      </c>
      <c r="E233" s="341">
        <v>0</v>
      </c>
      <c r="F233" s="341">
        <v>0</v>
      </c>
      <c r="G233" s="341">
        <v>0</v>
      </c>
      <c r="H233" s="341">
        <v>0</v>
      </c>
      <c r="I233" s="341">
        <v>0</v>
      </c>
      <c r="J233" s="341">
        <v>0</v>
      </c>
      <c r="K233" s="341">
        <v>0</v>
      </c>
      <c r="L233" s="341"/>
      <c r="M233" s="341">
        <v>0</v>
      </c>
      <c r="N233" s="341">
        <v>0</v>
      </c>
      <c r="O233" s="212">
        <v>59082261</v>
      </c>
      <c r="P233" s="760">
        <v>13250415.529999999</v>
      </c>
      <c r="Q233" s="341">
        <v>398410</v>
      </c>
      <c r="R233" s="341">
        <v>0</v>
      </c>
      <c r="S233" s="341">
        <v>0</v>
      </c>
      <c r="T233" s="341">
        <v>40629.19</v>
      </c>
      <c r="U233" s="341">
        <v>0</v>
      </c>
      <c r="V233" s="341">
        <v>0</v>
      </c>
      <c r="W233" s="341">
        <v>0</v>
      </c>
      <c r="X233" s="341">
        <v>0</v>
      </c>
      <c r="Y233" s="341">
        <v>0</v>
      </c>
      <c r="Z233" s="212">
        <v>681889.99</v>
      </c>
      <c r="AA233" s="341">
        <v>0</v>
      </c>
      <c r="AB233" s="341">
        <v>653021.77</v>
      </c>
      <c r="AC233" s="341">
        <v>596675.62</v>
      </c>
      <c r="AD233" s="341">
        <v>0</v>
      </c>
      <c r="AE233" s="341">
        <v>364253</v>
      </c>
      <c r="AF233" s="761">
        <v>0</v>
      </c>
      <c r="AG233" s="761">
        <v>0</v>
      </c>
      <c r="AH233" s="341">
        <v>1400000</v>
      </c>
      <c r="AJ233" s="341">
        <f t="shared" si="52"/>
        <v>75067556.099999994</v>
      </c>
    </row>
    <row r="234" spans="1:36" x14ac:dyDescent="0.2">
      <c r="A234" s="170">
        <v>2700</v>
      </c>
      <c r="B234" s="2890" t="s">
        <v>2019</v>
      </c>
      <c r="C234" s="2890"/>
      <c r="D234" t="str">
        <f t="shared" si="51"/>
        <v>OK</v>
      </c>
      <c r="E234" s="341">
        <v>0</v>
      </c>
      <c r="F234" s="341">
        <v>0</v>
      </c>
      <c r="G234" s="341">
        <v>0</v>
      </c>
      <c r="H234" s="341">
        <v>0</v>
      </c>
      <c r="I234" s="341">
        <v>0</v>
      </c>
      <c r="J234" s="341">
        <v>0</v>
      </c>
      <c r="K234" s="341">
        <v>0</v>
      </c>
      <c r="L234" s="341"/>
      <c r="M234" s="341">
        <v>0</v>
      </c>
      <c r="N234" s="341">
        <v>0</v>
      </c>
      <c r="O234" s="212">
        <v>55913796.060000002</v>
      </c>
      <c r="P234" s="760">
        <v>48090259.590000004</v>
      </c>
      <c r="Q234" s="341">
        <v>56682114.020000003</v>
      </c>
      <c r="R234" s="341">
        <v>56327626</v>
      </c>
      <c r="S234" s="341">
        <v>68419537.200000003</v>
      </c>
      <c r="T234" s="341">
        <v>7865892.8600000003</v>
      </c>
      <c r="U234" s="341">
        <v>31612043.600000001</v>
      </c>
      <c r="V234" s="341">
        <v>54421594.649999999</v>
      </c>
      <c r="W234" s="341">
        <v>74212960.510000005</v>
      </c>
      <c r="X234" s="341">
        <v>24907004.73</v>
      </c>
      <c r="Y234" s="341">
        <v>55510228.560000002</v>
      </c>
      <c r="Z234" s="212">
        <v>17153894.989999998</v>
      </c>
      <c r="AA234" s="341">
        <v>30070078.219999999</v>
      </c>
      <c r="AB234" s="341">
        <v>17440864.940000001</v>
      </c>
      <c r="AC234" s="341">
        <v>39871384.740000002</v>
      </c>
      <c r="AD234" s="341">
        <v>19206578.870000001</v>
      </c>
      <c r="AE234" s="341">
        <v>2096660.3</v>
      </c>
      <c r="AF234" s="761">
        <v>0</v>
      </c>
      <c r="AG234" s="761">
        <v>0</v>
      </c>
      <c r="AH234" s="341">
        <v>0</v>
      </c>
      <c r="AJ234" s="341">
        <f t="shared" si="52"/>
        <v>659802519.84000003</v>
      </c>
    </row>
    <row r="235" spans="1:36" x14ac:dyDescent="0.2">
      <c r="A235" s="170">
        <v>2701</v>
      </c>
      <c r="B235" s="2890" t="s">
        <v>2898</v>
      </c>
      <c r="C235" s="2890"/>
      <c r="D235" t="str">
        <f t="shared" si="51"/>
        <v>OK</v>
      </c>
      <c r="E235" s="341">
        <v>6929120.7599999998</v>
      </c>
      <c r="F235" s="341">
        <v>3375627</v>
      </c>
      <c r="G235" s="341">
        <v>0</v>
      </c>
      <c r="H235" s="341">
        <v>0</v>
      </c>
      <c r="I235" s="341">
        <v>1197674.2</v>
      </c>
      <c r="J235" s="341">
        <v>12316.92</v>
      </c>
      <c r="K235" s="341">
        <v>1644955</v>
      </c>
      <c r="L235" s="341"/>
      <c r="M235" s="341">
        <v>0</v>
      </c>
      <c r="N235" s="341">
        <v>698547.64</v>
      </c>
      <c r="O235" s="212">
        <v>0</v>
      </c>
      <c r="P235" s="760">
        <v>13006279.449999999</v>
      </c>
      <c r="Q235" s="341">
        <v>23783215.329999998</v>
      </c>
      <c r="R235" s="341">
        <v>32341529.93</v>
      </c>
      <c r="S235" s="341">
        <v>7506098</v>
      </c>
      <c r="T235" s="341">
        <v>4582265.6500000004</v>
      </c>
      <c r="U235" s="341">
        <v>392278.27</v>
      </c>
      <c r="V235" s="341">
        <v>13376912.789999999</v>
      </c>
      <c r="W235" s="341">
        <v>47624284.950000003</v>
      </c>
      <c r="X235" s="341">
        <v>9366764.2100000009</v>
      </c>
      <c r="Y235" s="341">
        <v>1013345.51</v>
      </c>
      <c r="Z235" s="212">
        <v>819348.54</v>
      </c>
      <c r="AA235" s="341">
        <v>19158716.289999999</v>
      </c>
      <c r="AB235" s="341">
        <v>3906363.41</v>
      </c>
      <c r="AC235" s="341">
        <v>11506611.52</v>
      </c>
      <c r="AD235" s="341">
        <v>31736565.460000001</v>
      </c>
      <c r="AE235" s="341">
        <v>432211</v>
      </c>
      <c r="AF235" s="761">
        <v>0</v>
      </c>
      <c r="AG235" s="761">
        <v>0</v>
      </c>
      <c r="AH235" s="341">
        <v>0</v>
      </c>
      <c r="AJ235" s="341">
        <f t="shared" si="52"/>
        <v>227481911.06999999</v>
      </c>
    </row>
    <row r="236" spans="1:36" x14ac:dyDescent="0.2">
      <c r="A236" s="170">
        <v>2710</v>
      </c>
      <c r="B236" s="2890" t="s">
        <v>2901</v>
      </c>
      <c r="C236" s="2890"/>
      <c r="D236" t="str">
        <f>IF(SUM(F236:N236)=E236,"OK","prob")</f>
        <v>OK</v>
      </c>
      <c r="E236" s="341">
        <v>850161.43</v>
      </c>
      <c r="F236" s="341">
        <v>297581</v>
      </c>
      <c r="G236" s="341">
        <v>0</v>
      </c>
      <c r="H236" s="341">
        <v>0</v>
      </c>
      <c r="I236" s="341">
        <v>302330.43</v>
      </c>
      <c r="J236" s="341">
        <v>0</v>
      </c>
      <c r="K236" s="341">
        <v>0</v>
      </c>
      <c r="L236" s="341"/>
      <c r="M236" s="341">
        <v>0</v>
      </c>
      <c r="N236" s="341">
        <v>250250</v>
      </c>
      <c r="O236" s="212">
        <v>16655333.92</v>
      </c>
      <c r="P236" s="760">
        <v>188720118.25999999</v>
      </c>
      <c r="Q236" s="341">
        <v>96650960.810000002</v>
      </c>
      <c r="R236" s="341">
        <v>9559848.0299999993</v>
      </c>
      <c r="S236" s="341">
        <v>19071838.91</v>
      </c>
      <c r="T236" s="341">
        <v>3966507.9</v>
      </c>
      <c r="U236" s="341">
        <v>4819559.34</v>
      </c>
      <c r="V236" s="341">
        <v>15434301.789999999</v>
      </c>
      <c r="W236" s="341">
        <v>18800281.170000002</v>
      </c>
      <c r="X236" s="341">
        <v>8751620.8800000008</v>
      </c>
      <c r="Y236" s="341">
        <v>22718608.09</v>
      </c>
      <c r="Z236" s="212">
        <v>11466601.26</v>
      </c>
      <c r="AA236" s="341">
        <v>2605843</v>
      </c>
      <c r="AB236" s="341">
        <v>1619249.43</v>
      </c>
      <c r="AC236" s="341">
        <v>5599831.5800000001</v>
      </c>
      <c r="AD236" s="341">
        <v>44538.61</v>
      </c>
      <c r="AE236" s="341">
        <v>6005210.8700000001</v>
      </c>
      <c r="AF236" s="761">
        <v>0</v>
      </c>
      <c r="AG236" s="761">
        <v>0</v>
      </c>
      <c r="AH236" s="341">
        <v>0</v>
      </c>
      <c r="AJ236" s="341">
        <f t="shared" si="52"/>
        <v>433340415.27999997</v>
      </c>
    </row>
    <row r="237" spans="1:36" x14ac:dyDescent="0.2">
      <c r="A237" s="170">
        <v>2711</v>
      </c>
      <c r="B237" s="2890" t="s">
        <v>5457</v>
      </c>
      <c r="C237" s="2890"/>
      <c r="D237" t="str">
        <f>IF(SUM(F237:N237)=E237,"OK","prob")</f>
        <v>OK</v>
      </c>
      <c r="E237" s="341">
        <v>8334936.6500000004</v>
      </c>
      <c r="F237" s="341">
        <v>6635443</v>
      </c>
      <c r="G237" s="341">
        <v>1699493.65</v>
      </c>
      <c r="H237" s="341">
        <v>0</v>
      </c>
      <c r="I237" s="341">
        <v>0</v>
      </c>
      <c r="J237" s="341">
        <v>0</v>
      </c>
      <c r="K237" s="341">
        <v>0</v>
      </c>
      <c r="L237" s="341"/>
      <c r="M237" s="341">
        <v>0</v>
      </c>
      <c r="N237" s="341">
        <v>0</v>
      </c>
      <c r="O237" s="212">
        <v>341066</v>
      </c>
      <c r="P237" s="760">
        <v>12942027</v>
      </c>
      <c r="Q237" s="341">
        <v>6723903</v>
      </c>
      <c r="R237" s="341">
        <v>0</v>
      </c>
      <c r="S237" s="341">
        <v>2714106</v>
      </c>
      <c r="T237" s="341">
        <v>404658</v>
      </c>
      <c r="U237" s="341">
        <v>1532370</v>
      </c>
      <c r="V237" s="341">
        <v>4068695</v>
      </c>
      <c r="W237" s="341">
        <v>1060617</v>
      </c>
      <c r="X237" s="341">
        <v>1036538</v>
      </c>
      <c r="Y237" s="341">
        <v>1853490</v>
      </c>
      <c r="Z237" s="212">
        <v>542745</v>
      </c>
      <c r="AA237" s="341">
        <v>465308</v>
      </c>
      <c r="AB237" s="341">
        <v>0</v>
      </c>
      <c r="AC237" s="341">
        <v>456409</v>
      </c>
      <c r="AD237" s="341">
        <v>13033780.17</v>
      </c>
      <c r="AE237" s="341">
        <v>267690</v>
      </c>
      <c r="AF237" s="761">
        <v>0</v>
      </c>
      <c r="AG237" s="761">
        <v>0</v>
      </c>
      <c r="AH237" s="341">
        <v>206467.7</v>
      </c>
      <c r="AJ237" s="341"/>
    </row>
    <row r="238" spans="1:36" x14ac:dyDescent="0.2">
      <c r="A238" s="170">
        <v>2720</v>
      </c>
      <c r="B238" s="2890" t="s">
        <v>2902</v>
      </c>
      <c r="C238" s="2890"/>
      <c r="D238" s="1220" t="str">
        <f>IF(SUM(F238:N238)=E238,"OK","prob")</f>
        <v>prob</v>
      </c>
      <c r="E238" s="212">
        <v>-36046270.329999998</v>
      </c>
      <c r="F238" s="212">
        <v>-16874014</v>
      </c>
      <c r="G238" s="212">
        <v>-6185668.3300000001</v>
      </c>
      <c r="H238" s="212">
        <v>0</v>
      </c>
      <c r="I238" s="341">
        <v>-14999829.199999999</v>
      </c>
      <c r="J238" s="341">
        <v>-436020.62</v>
      </c>
      <c r="K238" s="212">
        <v>0</v>
      </c>
      <c r="L238" s="212"/>
      <c r="M238" s="212">
        <v>0</v>
      </c>
      <c r="N238" s="212">
        <v>-333751.73</v>
      </c>
      <c r="O238" s="212">
        <v>-1687170.7</v>
      </c>
      <c r="P238" s="760">
        <v>-51313947.93</v>
      </c>
      <c r="Q238" s="212">
        <v>-18654774.399999999</v>
      </c>
      <c r="R238" s="341">
        <v>-9773735.1600000001</v>
      </c>
      <c r="S238" s="341">
        <v>-17975897.460000001</v>
      </c>
      <c r="T238" s="341">
        <v>-3201357.81</v>
      </c>
      <c r="U238" s="1127">
        <v>-7372229.9800000004</v>
      </c>
      <c r="V238" s="1127">
        <v>-12219188.449999999</v>
      </c>
      <c r="W238" s="1127">
        <v>-3552884.25</v>
      </c>
      <c r="X238" s="1127">
        <v>-8907451.7200000007</v>
      </c>
      <c r="Y238" s="1127">
        <v>-11031090.99</v>
      </c>
      <c r="Z238" s="212">
        <v>-1785506.99</v>
      </c>
      <c r="AA238" s="1127">
        <v>-3495488.11</v>
      </c>
      <c r="AB238" s="1127">
        <v>-1088538.78</v>
      </c>
      <c r="AC238" s="1127">
        <v>-2021003.59</v>
      </c>
      <c r="AD238" s="1127">
        <v>-6618029.4800000004</v>
      </c>
      <c r="AE238" s="1127">
        <v>-1664385.29</v>
      </c>
      <c r="AF238" s="1788">
        <v>-992909.37</v>
      </c>
      <c r="AG238" s="1788">
        <v>-351.69</v>
      </c>
      <c r="AH238" s="212">
        <v>0</v>
      </c>
      <c r="AJ238" s="341">
        <f t="shared" si="52"/>
        <v>-202184874.34</v>
      </c>
    </row>
    <row r="239" spans="1:36" x14ac:dyDescent="0.2">
      <c r="A239" s="170">
        <v>2740</v>
      </c>
      <c r="B239" s="2890" t="s">
        <v>4906</v>
      </c>
      <c r="C239" s="2890"/>
      <c r="D239" t="str">
        <f t="shared" si="51"/>
        <v>OK</v>
      </c>
      <c r="E239" s="212">
        <v>0</v>
      </c>
      <c r="F239" s="212">
        <v>0</v>
      </c>
      <c r="G239" s="212">
        <v>0</v>
      </c>
      <c r="H239" s="212">
        <v>0</v>
      </c>
      <c r="I239" s="212">
        <v>0</v>
      </c>
      <c r="J239" s="212">
        <v>0</v>
      </c>
      <c r="K239" s="212">
        <v>0</v>
      </c>
      <c r="L239" s="212"/>
      <c r="M239" s="212">
        <v>0</v>
      </c>
      <c r="N239" s="212">
        <v>0</v>
      </c>
      <c r="O239" s="212">
        <v>0</v>
      </c>
      <c r="P239" s="760">
        <v>0</v>
      </c>
      <c r="Q239" s="341">
        <v>1961066.38</v>
      </c>
      <c r="R239" s="341">
        <v>0</v>
      </c>
      <c r="S239" s="341">
        <v>0</v>
      </c>
      <c r="T239" s="341">
        <v>0</v>
      </c>
      <c r="U239" s="1127">
        <v>0</v>
      </c>
      <c r="V239" s="1127">
        <v>7651.71</v>
      </c>
      <c r="W239" s="1127">
        <v>0</v>
      </c>
      <c r="X239" s="1127">
        <v>0</v>
      </c>
      <c r="Y239" s="1127">
        <v>0</v>
      </c>
      <c r="Z239" s="212">
        <v>0</v>
      </c>
      <c r="AA239" s="1127">
        <v>0</v>
      </c>
      <c r="AB239" s="1127">
        <v>0</v>
      </c>
      <c r="AC239" s="1127">
        <v>0</v>
      </c>
      <c r="AD239" s="1127">
        <v>0</v>
      </c>
      <c r="AE239" s="1127">
        <v>0</v>
      </c>
      <c r="AF239" s="1788">
        <v>0</v>
      </c>
      <c r="AG239" s="1788">
        <v>0</v>
      </c>
      <c r="AH239" s="212">
        <v>0</v>
      </c>
      <c r="AJ239" s="341">
        <f t="shared" si="52"/>
        <v>1968718.09</v>
      </c>
    </row>
    <row r="240" spans="1:36" x14ac:dyDescent="0.2">
      <c r="A240" s="170">
        <v>2750</v>
      </c>
      <c r="B240" s="2890" t="s">
        <v>4907</v>
      </c>
      <c r="C240" s="2890"/>
      <c r="D240" t="str">
        <f t="shared" si="51"/>
        <v>OK</v>
      </c>
      <c r="E240" s="212">
        <v>-444790.77</v>
      </c>
      <c r="F240" s="212">
        <v>-189366</v>
      </c>
      <c r="G240" s="212">
        <v>0</v>
      </c>
      <c r="H240" s="212">
        <v>0</v>
      </c>
      <c r="I240" s="212">
        <v>-218110.77</v>
      </c>
      <c r="J240" s="212">
        <v>0</v>
      </c>
      <c r="K240" s="212">
        <v>-37314</v>
      </c>
      <c r="L240" s="212"/>
      <c r="M240" s="212">
        <v>0</v>
      </c>
      <c r="N240" s="212">
        <v>0</v>
      </c>
      <c r="O240" s="212">
        <v>-72401.929999999993</v>
      </c>
      <c r="P240" s="760">
        <v>-4185546.03</v>
      </c>
      <c r="Q240" s="341">
        <v>-2826077.81</v>
      </c>
      <c r="R240" s="341">
        <v>-710329.16</v>
      </c>
      <c r="S240" s="341">
        <v>-1497077.1</v>
      </c>
      <c r="T240" s="341">
        <v>0</v>
      </c>
      <c r="U240" s="1127">
        <v>-284987.15999999997</v>
      </c>
      <c r="V240" s="1127">
        <v>-1412083.72</v>
      </c>
      <c r="W240" s="1127">
        <v>-905990.44</v>
      </c>
      <c r="X240" s="1127">
        <v>-802185.65</v>
      </c>
      <c r="Y240" s="1127">
        <v>-295192.21000000002</v>
      </c>
      <c r="Z240" s="212">
        <v>-189804.39</v>
      </c>
      <c r="AA240" s="1127">
        <v>0</v>
      </c>
      <c r="AB240" s="1127">
        <v>-2059057.21</v>
      </c>
      <c r="AC240" s="1127">
        <v>0</v>
      </c>
      <c r="AD240" s="1127">
        <v>0</v>
      </c>
      <c r="AE240" s="1127">
        <v>-74340.570000000007</v>
      </c>
      <c r="AF240" s="1788">
        <v>0</v>
      </c>
      <c r="AG240" s="1788">
        <v>0</v>
      </c>
      <c r="AH240" s="212">
        <v>0</v>
      </c>
      <c r="AJ240" s="341">
        <f t="shared" si="52"/>
        <v>-15759864.15</v>
      </c>
    </row>
    <row r="241" spans="1:36" x14ac:dyDescent="0.2">
      <c r="A241" s="170">
        <v>2755</v>
      </c>
      <c r="B241" s="2890" t="s">
        <v>5458</v>
      </c>
      <c r="C241" s="2890"/>
      <c r="D241" t="str">
        <f t="shared" si="51"/>
        <v>OK</v>
      </c>
      <c r="E241" s="212">
        <v>0</v>
      </c>
      <c r="F241" s="212">
        <v>0</v>
      </c>
      <c r="G241" s="212">
        <v>0</v>
      </c>
      <c r="H241" s="212">
        <v>0</v>
      </c>
      <c r="I241" s="212">
        <v>0</v>
      </c>
      <c r="J241" s="212">
        <v>0</v>
      </c>
      <c r="K241" s="212">
        <v>0</v>
      </c>
      <c r="L241" s="212"/>
      <c r="M241" s="212">
        <v>0</v>
      </c>
      <c r="N241" s="212">
        <v>0</v>
      </c>
      <c r="O241" s="212">
        <v>0</v>
      </c>
      <c r="P241" s="760">
        <v>0</v>
      </c>
      <c r="Q241" s="341">
        <v>0</v>
      </c>
      <c r="R241" s="341">
        <v>0</v>
      </c>
      <c r="S241" s="341">
        <v>0</v>
      </c>
      <c r="T241" s="341">
        <v>0</v>
      </c>
      <c r="U241" s="1127">
        <v>0</v>
      </c>
      <c r="V241" s="1127">
        <v>0</v>
      </c>
      <c r="W241" s="1127">
        <v>0</v>
      </c>
      <c r="X241" s="1127">
        <v>0</v>
      </c>
      <c r="Y241" s="1127">
        <v>0</v>
      </c>
      <c r="Z241" s="212">
        <v>0</v>
      </c>
      <c r="AA241" s="1127">
        <v>0</v>
      </c>
      <c r="AB241" s="1127">
        <v>0</v>
      </c>
      <c r="AC241" s="1127">
        <v>0</v>
      </c>
      <c r="AD241" s="1127">
        <v>0</v>
      </c>
      <c r="AE241" s="1127">
        <v>0</v>
      </c>
      <c r="AF241" s="1788">
        <v>0</v>
      </c>
      <c r="AG241" s="1788">
        <v>0</v>
      </c>
      <c r="AH241" s="212">
        <v>0</v>
      </c>
      <c r="AJ241" s="341">
        <f t="shared" si="52"/>
        <v>0</v>
      </c>
    </row>
    <row r="242" spans="1:36" x14ac:dyDescent="0.2">
      <c r="A242" s="170">
        <v>2760</v>
      </c>
      <c r="B242" s="2890" t="s">
        <v>1250</v>
      </c>
      <c r="C242" s="2890"/>
      <c r="D242" s="1220" t="str">
        <f>IF(SUM(F242:N242)=E242,"OK","prob")</f>
        <v>prob</v>
      </c>
      <c r="E242" s="341">
        <v>1211966.6200000001</v>
      </c>
      <c r="F242" s="341">
        <v>884283</v>
      </c>
      <c r="G242" s="341">
        <v>3222330.17</v>
      </c>
      <c r="H242" s="341">
        <v>304065</v>
      </c>
      <c r="I242" s="341">
        <v>-781425.09</v>
      </c>
      <c r="J242" s="341">
        <v>92257.15</v>
      </c>
      <c r="K242" s="341">
        <v>124938</v>
      </c>
      <c r="L242" s="341"/>
      <c r="M242" s="341">
        <v>113912.78</v>
      </c>
      <c r="N242" s="341">
        <v>34619.160000000003</v>
      </c>
      <c r="O242" s="212">
        <v>3808108.55</v>
      </c>
      <c r="P242" s="1215">
        <v>144152820.28</v>
      </c>
      <c r="Q242" s="341">
        <v>18141150.739999998</v>
      </c>
      <c r="R242" s="341">
        <v>39148212.479999997</v>
      </c>
      <c r="S242" s="341">
        <v>16684849.869999999</v>
      </c>
      <c r="T242" s="341">
        <v>542313.59</v>
      </c>
      <c r="U242" s="341">
        <v>4857271.38</v>
      </c>
      <c r="V242" s="341">
        <v>15414459.119999999</v>
      </c>
      <c r="W242" s="341">
        <v>2766821.18</v>
      </c>
      <c r="X242" s="341">
        <v>3377732.17</v>
      </c>
      <c r="Y242" s="341">
        <v>4465018.37</v>
      </c>
      <c r="Z242" s="212">
        <v>1317834.07</v>
      </c>
      <c r="AA242" s="341">
        <v>1038307.12</v>
      </c>
      <c r="AB242" s="341">
        <v>1122669.21</v>
      </c>
      <c r="AC242" s="341">
        <v>309609.67</v>
      </c>
      <c r="AD242" s="341">
        <v>1668088.25</v>
      </c>
      <c r="AE242" s="341">
        <v>783208.06</v>
      </c>
      <c r="AF242" s="761">
        <v>0</v>
      </c>
      <c r="AG242" s="761">
        <v>227747.99</v>
      </c>
      <c r="AH242" s="341">
        <v>11934.61</v>
      </c>
      <c r="AJ242" s="341">
        <f t="shared" si="52"/>
        <v>263593454.28</v>
      </c>
    </row>
    <row r="243" spans="1:36" x14ac:dyDescent="0.2">
      <c r="A243" s="170">
        <v>2770</v>
      </c>
      <c r="B243" s="2890" t="s">
        <v>2906</v>
      </c>
      <c r="C243" s="2890"/>
      <c r="D243" t="str">
        <f t="shared" si="51"/>
        <v>OK</v>
      </c>
      <c r="E243" s="341">
        <v>0</v>
      </c>
      <c r="F243" s="341">
        <v>0</v>
      </c>
      <c r="G243" s="341">
        <v>0</v>
      </c>
      <c r="H243" s="341">
        <v>0</v>
      </c>
      <c r="I243" s="341">
        <v>0</v>
      </c>
      <c r="J243" s="341">
        <v>0</v>
      </c>
      <c r="K243" s="341">
        <v>0</v>
      </c>
      <c r="L243" s="341"/>
      <c r="M243" s="341">
        <v>0</v>
      </c>
      <c r="N243" s="341">
        <v>0</v>
      </c>
      <c r="O243" s="212">
        <v>0</v>
      </c>
      <c r="P243" s="760">
        <v>0</v>
      </c>
      <c r="Q243" s="341">
        <v>126842.79</v>
      </c>
      <c r="R243" s="341">
        <v>0</v>
      </c>
      <c r="S243" s="341">
        <v>-9807.32</v>
      </c>
      <c r="T243" s="341">
        <v>0</v>
      </c>
      <c r="U243" s="341">
        <v>0</v>
      </c>
      <c r="V243" s="341">
        <v>0</v>
      </c>
      <c r="W243" s="341">
        <v>0</v>
      </c>
      <c r="X243" s="341">
        <v>0</v>
      </c>
      <c r="Y243" s="341">
        <v>1168.8</v>
      </c>
      <c r="Z243" s="212">
        <v>0</v>
      </c>
      <c r="AA243" s="341">
        <v>0</v>
      </c>
      <c r="AB243" s="341">
        <v>73544.27</v>
      </c>
      <c r="AC243" s="341">
        <v>0</v>
      </c>
      <c r="AD243" s="341">
        <v>0</v>
      </c>
      <c r="AE243" s="341">
        <v>0</v>
      </c>
      <c r="AF243" s="761">
        <v>0</v>
      </c>
      <c r="AG243" s="761">
        <v>0</v>
      </c>
      <c r="AH243" s="341">
        <v>0</v>
      </c>
      <c r="AJ243" s="341">
        <f t="shared" si="52"/>
        <v>191748.54</v>
      </c>
    </row>
    <row r="244" spans="1:36" x14ac:dyDescent="0.2">
      <c r="A244" s="170">
        <v>2780</v>
      </c>
      <c r="B244" s="2890" t="s">
        <v>2026</v>
      </c>
      <c r="C244" s="2890"/>
      <c r="D244" t="str">
        <f t="shared" si="51"/>
        <v>OK</v>
      </c>
      <c r="E244" s="212">
        <v>0</v>
      </c>
      <c r="F244" s="212">
        <v>0</v>
      </c>
      <c r="G244" s="212">
        <v>0</v>
      </c>
      <c r="H244" s="212">
        <v>0</v>
      </c>
      <c r="I244" s="212">
        <v>0</v>
      </c>
      <c r="J244" s="212">
        <v>0</v>
      </c>
      <c r="K244" s="212">
        <v>0</v>
      </c>
      <c r="L244" s="212"/>
      <c r="M244" s="212">
        <v>0</v>
      </c>
      <c r="N244" s="212">
        <v>0</v>
      </c>
      <c r="O244" s="212">
        <v>-403820655.60000002</v>
      </c>
      <c r="P244" s="760">
        <v>0</v>
      </c>
      <c r="Q244" s="341">
        <v>0</v>
      </c>
      <c r="R244" s="341">
        <v>0</v>
      </c>
      <c r="S244" s="341">
        <v>0</v>
      </c>
      <c r="T244" s="341">
        <v>-497090.84</v>
      </c>
      <c r="U244" s="1127">
        <v>0</v>
      </c>
      <c r="V244" s="1127">
        <v>0</v>
      </c>
      <c r="W244" s="1127">
        <v>0</v>
      </c>
      <c r="X244" s="1127">
        <v>0</v>
      </c>
      <c r="Y244">
        <v>0</v>
      </c>
      <c r="Z244" s="138">
        <v>0</v>
      </c>
      <c r="AA244" s="1127">
        <v>0</v>
      </c>
      <c r="AB244" s="1127">
        <v>0</v>
      </c>
      <c r="AC244" s="1127">
        <v>0</v>
      </c>
      <c r="AD244" s="1127">
        <v>0</v>
      </c>
      <c r="AE244" s="1127">
        <v>0</v>
      </c>
      <c r="AF244" s="1788">
        <v>0</v>
      </c>
      <c r="AG244" s="1788">
        <v>0</v>
      </c>
      <c r="AH244" s="212">
        <v>0</v>
      </c>
      <c r="AJ244" s="341">
        <f t="shared" si="52"/>
        <v>-404317746.44</v>
      </c>
    </row>
    <row r="245" spans="1:36" x14ac:dyDescent="0.2">
      <c r="A245" s="170">
        <v>2785</v>
      </c>
      <c r="B245" s="2890" t="s">
        <v>4908</v>
      </c>
      <c r="C245" s="2890"/>
      <c r="D245" t="str">
        <f t="shared" si="51"/>
        <v>OK</v>
      </c>
      <c r="E245" s="341">
        <v>0</v>
      </c>
      <c r="F245" s="341">
        <v>0</v>
      </c>
      <c r="G245" s="341">
        <v>0</v>
      </c>
      <c r="H245" s="341">
        <v>0</v>
      </c>
      <c r="I245" s="341">
        <v>0</v>
      </c>
      <c r="J245" s="341">
        <v>0</v>
      </c>
      <c r="K245" s="341">
        <v>0</v>
      </c>
      <c r="L245" s="341"/>
      <c r="M245" s="341">
        <v>0</v>
      </c>
      <c r="N245" s="341">
        <v>0</v>
      </c>
      <c r="O245" s="212">
        <v>0</v>
      </c>
      <c r="P245" s="760">
        <v>-0.01</v>
      </c>
      <c r="Q245" s="341">
        <v>0</v>
      </c>
      <c r="R245" s="341">
        <v>0</v>
      </c>
      <c r="S245" s="341">
        <v>729590.09</v>
      </c>
      <c r="T245" s="341">
        <v>0</v>
      </c>
      <c r="U245" s="341">
        <v>0</v>
      </c>
      <c r="V245" s="341">
        <v>0</v>
      </c>
      <c r="W245" s="341">
        <v>0</v>
      </c>
      <c r="X245" s="341">
        <v>0</v>
      </c>
      <c r="Y245" s="341">
        <v>0</v>
      </c>
      <c r="Z245" s="212">
        <v>0</v>
      </c>
      <c r="AA245" s="341">
        <v>0</v>
      </c>
      <c r="AB245" s="341">
        <v>0</v>
      </c>
      <c r="AC245" s="341">
        <v>0</v>
      </c>
      <c r="AD245" s="341">
        <v>0</v>
      </c>
      <c r="AE245" s="341">
        <v>0</v>
      </c>
      <c r="AF245" s="761">
        <v>0</v>
      </c>
      <c r="AG245" s="761">
        <v>0</v>
      </c>
      <c r="AH245" s="341">
        <v>0</v>
      </c>
      <c r="AJ245" s="341">
        <f t="shared" si="52"/>
        <v>729590.08</v>
      </c>
    </row>
    <row r="246" spans="1:36" x14ac:dyDescent="0.2">
      <c r="A246" s="170">
        <v>2786</v>
      </c>
      <c r="B246" s="2890" t="s">
        <v>2908</v>
      </c>
      <c r="C246" s="2890"/>
      <c r="D246" t="str">
        <f>IF(SUM(F246:N246)=E246,"OK","prob")</f>
        <v>OK</v>
      </c>
      <c r="E246" s="341">
        <v>1514489.51</v>
      </c>
      <c r="F246" s="341">
        <v>558586</v>
      </c>
      <c r="G246" s="341">
        <v>562558.16</v>
      </c>
      <c r="H246" s="341">
        <v>0</v>
      </c>
      <c r="I246" s="341">
        <v>0</v>
      </c>
      <c r="J246" s="341">
        <v>0</v>
      </c>
      <c r="K246" s="341">
        <v>0</v>
      </c>
      <c r="L246" s="341"/>
      <c r="M246" s="341">
        <v>0</v>
      </c>
      <c r="N246" s="341">
        <v>393345.35</v>
      </c>
      <c r="O246" s="212">
        <v>0</v>
      </c>
      <c r="P246" s="760">
        <v>783875.98</v>
      </c>
      <c r="Q246" s="341">
        <v>2340258.4900000002</v>
      </c>
      <c r="R246" s="341">
        <v>398010.96</v>
      </c>
      <c r="S246" s="341">
        <v>34244.28</v>
      </c>
      <c r="T246" s="341">
        <v>21043.06</v>
      </c>
      <c r="U246" s="341">
        <v>10575.35</v>
      </c>
      <c r="V246" s="341">
        <v>40453.33</v>
      </c>
      <c r="W246" s="341">
        <v>0</v>
      </c>
      <c r="X246" s="341">
        <v>80257.64</v>
      </c>
      <c r="Y246" s="341">
        <v>101878.31</v>
      </c>
      <c r="Z246" s="212">
        <v>0</v>
      </c>
      <c r="AA246" s="341">
        <v>5453.21</v>
      </c>
      <c r="AB246" s="341">
        <v>0</v>
      </c>
      <c r="AC246" s="341">
        <v>0</v>
      </c>
      <c r="AD246" s="341">
        <v>0</v>
      </c>
      <c r="AE246" s="341">
        <v>0</v>
      </c>
      <c r="AF246" s="761">
        <v>242130.05</v>
      </c>
      <c r="AG246" s="761">
        <v>0</v>
      </c>
      <c r="AH246" s="341">
        <v>0</v>
      </c>
      <c r="AJ246" s="341"/>
    </row>
    <row r="247" spans="1:36" x14ac:dyDescent="0.2">
      <c r="A247" s="170">
        <v>2800</v>
      </c>
      <c r="B247" s="2890" t="s">
        <v>2028</v>
      </c>
      <c r="C247" s="2890"/>
      <c r="D247" s="1220" t="str">
        <f t="shared" si="51"/>
        <v>prob</v>
      </c>
      <c r="E247" s="212">
        <v>277198417.61000001</v>
      </c>
      <c r="F247" s="212">
        <v>369899</v>
      </c>
      <c r="G247" s="212">
        <v>803198253.48000002</v>
      </c>
      <c r="H247" s="212">
        <v>0</v>
      </c>
      <c r="I247" s="212">
        <v>399062.51</v>
      </c>
      <c r="J247" s="212">
        <v>312317.38</v>
      </c>
      <c r="K247" s="212">
        <v>0</v>
      </c>
      <c r="L247" s="212"/>
      <c r="M247" s="212">
        <v>869526.24</v>
      </c>
      <c r="N247" s="212">
        <v>0</v>
      </c>
      <c r="O247" s="212">
        <v>33209.57</v>
      </c>
      <c r="P247" s="760">
        <v>2864445.79</v>
      </c>
      <c r="Q247" s="341">
        <v>6101330.8200000003</v>
      </c>
      <c r="R247" s="341">
        <v>2088234.39</v>
      </c>
      <c r="S247" s="341">
        <v>106177.53</v>
      </c>
      <c r="T247" s="341">
        <v>69130.05</v>
      </c>
      <c r="U247" s="1127">
        <v>156355.51999999999</v>
      </c>
      <c r="V247" s="1127">
        <v>339632.98</v>
      </c>
      <c r="W247" s="1127">
        <v>0</v>
      </c>
      <c r="X247" s="1127">
        <v>158155.01</v>
      </c>
      <c r="Y247" s="291">
        <v>283162.57</v>
      </c>
      <c r="Z247" s="1209">
        <v>159558.88</v>
      </c>
      <c r="AA247" s="1127">
        <v>0</v>
      </c>
      <c r="AB247" s="291">
        <v>128904.73</v>
      </c>
      <c r="AC247" s="1127">
        <v>158279.6</v>
      </c>
      <c r="AD247" s="1127">
        <v>258599.3</v>
      </c>
      <c r="AE247" s="1127">
        <v>517799.65</v>
      </c>
      <c r="AF247" s="1788">
        <v>0</v>
      </c>
      <c r="AG247" s="1788">
        <v>0</v>
      </c>
      <c r="AH247" s="212">
        <v>37139.25</v>
      </c>
      <c r="AJ247" s="341">
        <f t="shared" si="52"/>
        <v>818572035</v>
      </c>
    </row>
    <row r="248" spans="1:36" x14ac:dyDescent="0.2">
      <c r="A248" s="170">
        <v>2810</v>
      </c>
      <c r="B248" s="2890" t="s">
        <v>2031</v>
      </c>
      <c r="C248" s="2890"/>
      <c r="D248" s="1220" t="str">
        <f t="shared" si="51"/>
        <v>prob</v>
      </c>
      <c r="E248" s="212">
        <v>-402969564.99000001</v>
      </c>
      <c r="F248" s="212">
        <v>0</v>
      </c>
      <c r="G248" s="212">
        <v>-930920178.74000001</v>
      </c>
      <c r="H248" s="212">
        <v>0</v>
      </c>
      <c r="I248" s="212">
        <v>0</v>
      </c>
      <c r="J248" s="212">
        <v>0</v>
      </c>
      <c r="K248" s="212">
        <v>0</v>
      </c>
      <c r="L248" s="212"/>
      <c r="M248" s="212">
        <v>-27.25</v>
      </c>
      <c r="N248" s="212">
        <v>0</v>
      </c>
      <c r="O248" s="212">
        <v>-566938.9</v>
      </c>
      <c r="P248" s="760">
        <v>0</v>
      </c>
      <c r="Q248" s="341">
        <v>-601389.82999999996</v>
      </c>
      <c r="R248" s="341">
        <v>0</v>
      </c>
      <c r="S248" s="341">
        <v>-1160011.72</v>
      </c>
      <c r="T248" s="341">
        <v>0</v>
      </c>
      <c r="U248" s="1127">
        <v>-651.65</v>
      </c>
      <c r="V248" s="1127">
        <v>-178262.66</v>
      </c>
      <c r="W248" s="1127">
        <v>0</v>
      </c>
      <c r="X248" s="1127">
        <v>-223720.61</v>
      </c>
      <c r="Y248" s="291">
        <v>-259558.63</v>
      </c>
      <c r="Z248" s="1209">
        <v>-90431.679999999993</v>
      </c>
      <c r="AA248" s="1127">
        <v>-17144.57</v>
      </c>
      <c r="AB248" s="1099">
        <v>0</v>
      </c>
      <c r="AC248" s="1127">
        <v>0</v>
      </c>
      <c r="AD248" s="1127">
        <v>0</v>
      </c>
      <c r="AE248" s="1127">
        <v>-238752.74</v>
      </c>
      <c r="AF248" s="1788">
        <v>0</v>
      </c>
      <c r="AG248" s="1788">
        <v>0</v>
      </c>
      <c r="AH248" s="212">
        <v>0</v>
      </c>
      <c r="AJ248" s="341">
        <f t="shared" si="52"/>
        <v>-934257068.98000002</v>
      </c>
    </row>
    <row r="249" spans="1:36" x14ac:dyDescent="0.2">
      <c r="B249" s="2890" t="s">
        <v>4909</v>
      </c>
      <c r="C249" s="2890"/>
      <c r="D249" t="str">
        <f>IF(ROUND(SUM(F249:N249),2)-ROUND(E249,2)=0,"OK","prob")</f>
        <v>OK</v>
      </c>
      <c r="E249" s="350">
        <f t="shared" ref="E249:AH249" si="53">SUM(E230:E248)</f>
        <v>-143421533.50999999</v>
      </c>
      <c r="F249" s="350">
        <f t="shared" si="53"/>
        <v>-4941961</v>
      </c>
      <c r="G249" s="350">
        <f t="shared" si="53"/>
        <v>-128423211.61</v>
      </c>
      <c r="H249" s="350">
        <f t="shared" si="53"/>
        <v>304065</v>
      </c>
      <c r="I249" s="350">
        <f t="shared" si="53"/>
        <v>-14100297.92</v>
      </c>
      <c r="J249" s="350">
        <f t="shared" si="53"/>
        <v>-19129.169999999998</v>
      </c>
      <c r="K249" s="350">
        <f t="shared" si="53"/>
        <v>1732579</v>
      </c>
      <c r="L249" s="350">
        <f t="shared" si="53"/>
        <v>0</v>
      </c>
      <c r="M249" s="350">
        <f t="shared" si="53"/>
        <v>983411.77</v>
      </c>
      <c r="N249" s="350">
        <f t="shared" si="53"/>
        <v>1043010.42</v>
      </c>
      <c r="O249" s="379">
        <f t="shared" si="53"/>
        <v>205396304.36000001</v>
      </c>
      <c r="P249" s="350">
        <f t="shared" si="53"/>
        <v>990350671.52999997</v>
      </c>
      <c r="Q249" s="350">
        <f t="shared" si="53"/>
        <v>807888006.34000003</v>
      </c>
      <c r="R249" s="350">
        <f t="shared" si="53"/>
        <v>328172869.47000003</v>
      </c>
      <c r="S249" s="350">
        <f t="shared" si="53"/>
        <v>405487468.27999997</v>
      </c>
      <c r="T249" s="350">
        <f t="shared" si="53"/>
        <v>64840446.649999999</v>
      </c>
      <c r="U249" s="350">
        <f t="shared" si="53"/>
        <v>228408830.75</v>
      </c>
      <c r="V249" s="350">
        <f t="shared" si="53"/>
        <v>445432063.82999998</v>
      </c>
      <c r="W249" s="350">
        <f t="shared" si="53"/>
        <v>266469217.36000001</v>
      </c>
      <c r="X249" s="350">
        <f t="shared" si="53"/>
        <v>195075148.66</v>
      </c>
      <c r="Y249" s="350">
        <f t="shared" si="53"/>
        <v>261845248.38</v>
      </c>
      <c r="Z249" s="350">
        <f t="shared" si="53"/>
        <v>131842520.31</v>
      </c>
      <c r="AA249" s="350">
        <f t="shared" si="53"/>
        <v>126757507.44</v>
      </c>
      <c r="AB249" s="350">
        <f t="shared" si="53"/>
        <v>69882358.769999996</v>
      </c>
      <c r="AC249" s="350">
        <f t="shared" si="53"/>
        <v>139162891.06</v>
      </c>
      <c r="AD249" s="350">
        <f t="shared" si="53"/>
        <v>153377692.18000001</v>
      </c>
      <c r="AE249" s="350">
        <f t="shared" si="53"/>
        <v>48105876.280000001</v>
      </c>
      <c r="AF249" s="350">
        <f t="shared" si="53"/>
        <v>-750779.32</v>
      </c>
      <c r="AG249" s="350">
        <f t="shared" ref="AG249" si="54">SUM(AG230:AG248)</f>
        <v>227396.3</v>
      </c>
      <c r="AH249" s="350">
        <f t="shared" si="53"/>
        <v>1655541.56</v>
      </c>
      <c r="AJ249" s="341">
        <f t="shared" si="52"/>
        <v>4724322808.8199997</v>
      </c>
    </row>
    <row r="250" spans="1:36" x14ac:dyDescent="0.2">
      <c r="B250" s="2890" t="s">
        <v>4910</v>
      </c>
      <c r="C250" s="2890"/>
      <c r="D250" t="str">
        <f>IF(ROUND(SUM(F250:N250),2)-ROUND(E250,2)=0,"OK","prob")</f>
        <v>OK</v>
      </c>
      <c r="E250" s="2117">
        <f t="shared" ref="E250:AH250" si="55">E227+E249</f>
        <v>400493165.31</v>
      </c>
      <c r="F250" s="2117">
        <f t="shared" si="55"/>
        <v>411990371.19</v>
      </c>
      <c r="G250" s="350">
        <f t="shared" si="55"/>
        <v>19505080.210000001</v>
      </c>
      <c r="H250" s="350">
        <f t="shared" si="55"/>
        <v>-6793955</v>
      </c>
      <c r="I250" s="2117">
        <f t="shared" si="55"/>
        <v>41620842.890000001</v>
      </c>
      <c r="J250" s="2117">
        <f t="shared" si="55"/>
        <v>-3032724.42</v>
      </c>
      <c r="K250" s="350">
        <f t="shared" si="55"/>
        <v>-57406055.93</v>
      </c>
      <c r="L250" s="350">
        <f t="shared" si="55"/>
        <v>0</v>
      </c>
      <c r="M250" s="2117">
        <f t="shared" si="55"/>
        <v>-8371985.0999999996</v>
      </c>
      <c r="N250" s="2117">
        <f t="shared" si="55"/>
        <v>2981591.47</v>
      </c>
      <c r="O250" s="379">
        <f t="shared" si="55"/>
        <v>128974887.77</v>
      </c>
      <c r="P250" s="350">
        <f t="shared" si="55"/>
        <v>189680846.71000001</v>
      </c>
      <c r="Q250" s="350">
        <f t="shared" si="55"/>
        <v>196699073.33000001</v>
      </c>
      <c r="R250" s="350">
        <f t="shared" si="55"/>
        <v>101513023.38</v>
      </c>
      <c r="S250" s="350">
        <f t="shared" si="55"/>
        <v>118386602.87</v>
      </c>
      <c r="T250" s="350">
        <f t="shared" si="55"/>
        <v>2200772.39</v>
      </c>
      <c r="U250" s="350">
        <f t="shared" si="55"/>
        <v>61379786.060000002</v>
      </c>
      <c r="V250" s="350">
        <f t="shared" si="55"/>
        <v>157480871.47999999</v>
      </c>
      <c r="W250" s="350">
        <f t="shared" si="55"/>
        <v>51791643.280000001</v>
      </c>
      <c r="X250" s="350">
        <f t="shared" si="55"/>
        <v>32214376.719999999</v>
      </c>
      <c r="Y250" s="350">
        <f t="shared" si="55"/>
        <v>45701077.990000002</v>
      </c>
      <c r="Z250" s="350">
        <f t="shared" si="55"/>
        <v>9288160.0800000001</v>
      </c>
      <c r="AA250" s="350">
        <f t="shared" si="55"/>
        <v>24045615.52</v>
      </c>
      <c r="AB250" s="350">
        <f t="shared" si="55"/>
        <v>525702.29</v>
      </c>
      <c r="AC250" s="350">
        <f t="shared" si="55"/>
        <v>19096793.899999999</v>
      </c>
      <c r="AD250" s="350">
        <f t="shared" si="55"/>
        <v>29474560.399999999</v>
      </c>
      <c r="AE250" s="350">
        <f t="shared" si="55"/>
        <v>-252701.81</v>
      </c>
      <c r="AF250" s="350">
        <f t="shared" si="55"/>
        <v>-1233033.6200000001</v>
      </c>
      <c r="AG250" s="350">
        <f t="shared" ref="AG250" si="56">AG227+AG249</f>
        <v>-16287636.439999999</v>
      </c>
      <c r="AH250" s="350">
        <f t="shared" si="55"/>
        <v>1179692.53</v>
      </c>
      <c r="AJ250" s="341">
        <f t="shared" si="52"/>
        <v>1567461224.05</v>
      </c>
    </row>
    <row r="251" spans="1:36" x14ac:dyDescent="0.2">
      <c r="A251" s="502">
        <v>2870</v>
      </c>
      <c r="B251" s="2890" t="s">
        <v>4911</v>
      </c>
      <c r="C251" s="2890"/>
      <c r="D251" t="str">
        <f t="shared" ref="D251:D261" si="57">IF(SUM(F251:N251)-E251=0,"OK","prob")</f>
        <v>OK</v>
      </c>
      <c r="E251" s="341">
        <v>0</v>
      </c>
      <c r="F251" s="341">
        <v>0</v>
      </c>
      <c r="G251" s="341">
        <v>0</v>
      </c>
      <c r="H251" s="341">
        <v>0</v>
      </c>
      <c r="I251" s="341">
        <v>0</v>
      </c>
      <c r="J251" s="341">
        <v>0</v>
      </c>
      <c r="K251" s="341">
        <v>0</v>
      </c>
      <c r="L251" s="341"/>
      <c r="M251" s="341">
        <v>0</v>
      </c>
      <c r="N251" s="341">
        <v>0</v>
      </c>
      <c r="O251" s="760">
        <v>0</v>
      </c>
      <c r="P251" s="760">
        <v>0</v>
      </c>
      <c r="Q251" s="341">
        <v>41469134.329999998</v>
      </c>
      <c r="R251" s="341">
        <v>2249129.5</v>
      </c>
      <c r="S251" s="341">
        <v>3000</v>
      </c>
      <c r="T251" s="341">
        <v>31636.38</v>
      </c>
      <c r="U251" s="341">
        <v>1224.3800000000001</v>
      </c>
      <c r="V251" s="341">
        <v>1883843.28</v>
      </c>
      <c r="W251" s="341">
        <v>0</v>
      </c>
      <c r="X251" s="341">
        <v>7391060.9400000004</v>
      </c>
      <c r="Y251" s="341">
        <v>0</v>
      </c>
      <c r="Z251" s="212">
        <v>4698024.26</v>
      </c>
      <c r="AA251" s="341">
        <v>99039.98</v>
      </c>
      <c r="AB251" s="341">
        <v>16714589.85</v>
      </c>
      <c r="AC251" s="341">
        <v>0</v>
      </c>
      <c r="AD251" s="341">
        <v>2969727.27</v>
      </c>
      <c r="AE251" s="341">
        <v>4708905.5</v>
      </c>
      <c r="AF251" s="341">
        <v>0</v>
      </c>
      <c r="AG251" s="341">
        <v>0</v>
      </c>
      <c r="AH251" s="341">
        <v>0</v>
      </c>
      <c r="AJ251" s="341">
        <f t="shared" si="52"/>
        <v>82219315.670000002</v>
      </c>
    </row>
    <row r="252" spans="1:36" x14ac:dyDescent="0.2">
      <c r="A252" s="170">
        <v>2880</v>
      </c>
      <c r="B252" s="2890" t="s">
        <v>2912</v>
      </c>
      <c r="C252" s="2890"/>
      <c r="D252" t="str">
        <f t="shared" si="57"/>
        <v>OK</v>
      </c>
      <c r="E252" s="341">
        <v>0</v>
      </c>
      <c r="F252" s="341">
        <v>0</v>
      </c>
      <c r="G252" s="341">
        <v>0</v>
      </c>
      <c r="H252" s="341">
        <v>0</v>
      </c>
      <c r="I252" s="341">
        <v>0</v>
      </c>
      <c r="J252" s="341">
        <v>0</v>
      </c>
      <c r="K252" s="341">
        <v>0</v>
      </c>
      <c r="L252" s="341"/>
      <c r="M252" s="341">
        <v>0</v>
      </c>
      <c r="N252" s="341">
        <v>0</v>
      </c>
      <c r="O252" s="760">
        <v>7679665.3300000001</v>
      </c>
      <c r="P252" s="760">
        <v>19032503.73</v>
      </c>
      <c r="Q252" s="341">
        <v>3447966.51</v>
      </c>
      <c r="R252" s="341">
        <v>0</v>
      </c>
      <c r="S252" s="341">
        <v>3592336</v>
      </c>
      <c r="T252" s="341">
        <v>1691500</v>
      </c>
      <c r="U252" s="341">
        <v>10669768</v>
      </c>
      <c r="V252" s="341">
        <v>13089372</v>
      </c>
      <c r="W252" s="341">
        <v>7710900.6500000004</v>
      </c>
      <c r="X252" s="341">
        <v>0</v>
      </c>
      <c r="Y252" s="341">
        <v>19780000</v>
      </c>
      <c r="Z252" s="212">
        <v>667518.28</v>
      </c>
      <c r="AA252" s="341">
        <v>1098493.75</v>
      </c>
      <c r="AB252" s="341">
        <v>0</v>
      </c>
      <c r="AC252" s="341">
        <v>15971778.380000001</v>
      </c>
      <c r="AD252" s="341">
        <v>22607919.219999999</v>
      </c>
      <c r="AE252" s="341">
        <v>0</v>
      </c>
      <c r="AF252" s="341">
        <v>0</v>
      </c>
      <c r="AG252" s="341">
        <v>0</v>
      </c>
      <c r="AH252" s="341">
        <v>0</v>
      </c>
      <c r="AJ252" s="341">
        <f t="shared" si="52"/>
        <v>127039721.84999999</v>
      </c>
    </row>
    <row r="253" spans="1:36" x14ac:dyDescent="0.2">
      <c r="A253" s="170">
        <v>2890</v>
      </c>
      <c r="B253" s="2890" t="s">
        <v>2914</v>
      </c>
      <c r="C253" s="2890"/>
      <c r="D253" t="str">
        <f t="shared" si="57"/>
        <v>OK</v>
      </c>
      <c r="E253" s="341">
        <v>1628347.99</v>
      </c>
      <c r="F253" s="341">
        <v>0</v>
      </c>
      <c r="G253" s="341">
        <v>0</v>
      </c>
      <c r="H253" s="341">
        <v>0</v>
      </c>
      <c r="I253" s="341">
        <v>0</v>
      </c>
      <c r="J253" s="341">
        <v>0</v>
      </c>
      <c r="K253" s="341">
        <v>0</v>
      </c>
      <c r="L253" s="341"/>
      <c r="M253" s="341">
        <v>0</v>
      </c>
      <c r="N253" s="341">
        <v>1628347.99</v>
      </c>
      <c r="O253" s="760">
        <v>0</v>
      </c>
      <c r="P253" s="760">
        <v>5862699.5899999999</v>
      </c>
      <c r="Q253" s="341">
        <v>22210085.690000001</v>
      </c>
      <c r="R253" s="341">
        <v>3443135</v>
      </c>
      <c r="S253" s="341">
        <v>2507177.17</v>
      </c>
      <c r="T253" s="341">
        <v>403096.8</v>
      </c>
      <c r="U253" s="341">
        <v>53283.73</v>
      </c>
      <c r="V253" s="341">
        <v>3255159.37</v>
      </c>
      <c r="W253" s="341">
        <v>296000</v>
      </c>
      <c r="X253" s="341">
        <v>786496</v>
      </c>
      <c r="Y253" s="341">
        <v>705647</v>
      </c>
      <c r="Z253" s="212">
        <v>473353</v>
      </c>
      <c r="AA253" s="341">
        <v>0</v>
      </c>
      <c r="AB253" s="341">
        <v>1000000</v>
      </c>
      <c r="AC253" s="341">
        <v>0</v>
      </c>
      <c r="AD253" s="341">
        <v>0</v>
      </c>
      <c r="AE253" s="341">
        <v>173007.29</v>
      </c>
      <c r="AF253" s="341">
        <v>0</v>
      </c>
      <c r="AG253" s="341">
        <v>0</v>
      </c>
      <c r="AH253" s="341">
        <v>110473.95</v>
      </c>
      <c r="AJ253" s="341">
        <f t="shared" si="52"/>
        <v>42797488.630000003</v>
      </c>
    </row>
    <row r="254" spans="1:36" x14ac:dyDescent="0.2">
      <c r="A254" s="170">
        <v>2900</v>
      </c>
      <c r="B254" s="2890" t="s">
        <v>2915</v>
      </c>
      <c r="C254" s="2890"/>
      <c r="D254" t="str">
        <f t="shared" si="57"/>
        <v>OK</v>
      </c>
      <c r="E254" s="341">
        <v>0</v>
      </c>
      <c r="F254" s="341">
        <v>0</v>
      </c>
      <c r="G254" s="341">
        <v>0</v>
      </c>
      <c r="H254" s="341">
        <v>0</v>
      </c>
      <c r="I254" s="341">
        <v>0</v>
      </c>
      <c r="J254" s="341">
        <v>0</v>
      </c>
      <c r="K254" s="341">
        <v>0</v>
      </c>
      <c r="L254" s="341"/>
      <c r="M254" s="341">
        <v>0</v>
      </c>
      <c r="N254" s="341">
        <v>0</v>
      </c>
      <c r="O254" s="760">
        <v>15413</v>
      </c>
      <c r="P254" s="760">
        <v>49908269.030000001</v>
      </c>
      <c r="Q254" s="341">
        <v>4434709.25</v>
      </c>
      <c r="R254" s="341">
        <v>5040004.7</v>
      </c>
      <c r="S254" s="341">
        <v>23995</v>
      </c>
      <c r="T254" s="341">
        <v>2088792.22</v>
      </c>
      <c r="U254" s="341">
        <v>4051047.55</v>
      </c>
      <c r="V254" s="341">
        <v>1463034.82</v>
      </c>
      <c r="W254" s="341">
        <v>7108897.1500000004</v>
      </c>
      <c r="X254" s="341">
        <v>3239618.17</v>
      </c>
      <c r="Y254" s="341">
        <v>6690721</v>
      </c>
      <c r="Z254" s="212">
        <v>1268394.1000000001</v>
      </c>
      <c r="AA254" s="341">
        <v>45321</v>
      </c>
      <c r="AB254" s="1099">
        <v>583438.88</v>
      </c>
      <c r="AC254" s="341">
        <v>1399545.91</v>
      </c>
      <c r="AD254" s="341">
        <v>0</v>
      </c>
      <c r="AE254" s="341">
        <v>0</v>
      </c>
      <c r="AF254" s="341">
        <v>0</v>
      </c>
      <c r="AG254" s="341">
        <v>0</v>
      </c>
      <c r="AH254" s="341">
        <v>0</v>
      </c>
      <c r="AJ254" s="341">
        <f t="shared" si="52"/>
        <v>87361201.780000001</v>
      </c>
    </row>
    <row r="255" spans="1:36" x14ac:dyDescent="0.2">
      <c r="A255" s="638">
        <v>2940</v>
      </c>
      <c r="B255" s="2890" t="s">
        <v>4612</v>
      </c>
      <c r="C255" s="2890"/>
      <c r="D255" t="str">
        <f>IF(SUM(F255:N255)=E255,"OK","prob")</f>
        <v>OK</v>
      </c>
      <c r="E255" s="562">
        <v>-88800559.319999993</v>
      </c>
      <c r="F255" s="562">
        <v>-122669651.19</v>
      </c>
      <c r="G255" s="562">
        <v>14504079.66</v>
      </c>
      <c r="H255" s="562">
        <v>0</v>
      </c>
      <c r="I255" s="562">
        <v>-43016050.640000001</v>
      </c>
      <c r="J255" s="562">
        <v>-3170677.16</v>
      </c>
      <c r="K255" s="562">
        <v>71095267.590000004</v>
      </c>
      <c r="L255" s="562"/>
      <c r="M255" s="562">
        <v>-3842714.79</v>
      </c>
      <c r="N255" s="562">
        <v>-1700812.79</v>
      </c>
      <c r="O255" s="1213">
        <v>-128597844.15000001</v>
      </c>
      <c r="P255" s="1213">
        <v>149952161.88999999</v>
      </c>
      <c r="Q255" s="1216">
        <v>3957292.99</v>
      </c>
      <c r="R255" s="1216">
        <v>4118379.8</v>
      </c>
      <c r="S255" s="1216">
        <v>3307651.16</v>
      </c>
      <c r="T255" s="1216">
        <v>902745.78</v>
      </c>
      <c r="U255" s="562">
        <v>2438313.09</v>
      </c>
      <c r="V255" s="562">
        <v>420750.41</v>
      </c>
      <c r="W255" s="562">
        <v>2260488.8199999998</v>
      </c>
      <c r="X255" s="1099">
        <v>1078732.57</v>
      </c>
      <c r="Y255" s="1099">
        <v>1825519.22</v>
      </c>
      <c r="Z255" s="1208">
        <v>625317.93999999994</v>
      </c>
      <c r="AA255" s="562">
        <v>924156.42</v>
      </c>
      <c r="AB255" s="562">
        <v>338031.12</v>
      </c>
      <c r="AC255" s="562">
        <v>630653.30000000005</v>
      </c>
      <c r="AD255" s="562">
        <v>1247756.1299999999</v>
      </c>
      <c r="AE255" s="562">
        <v>1263390.49</v>
      </c>
      <c r="AF255" s="562">
        <v>0</v>
      </c>
      <c r="AG255" s="562">
        <v>41000000</v>
      </c>
      <c r="AH255" s="562">
        <v>0</v>
      </c>
      <c r="AJ255" s="341">
        <f t="shared" si="52"/>
        <v>-42107062.340000004</v>
      </c>
    </row>
    <row r="256" spans="1:36" x14ac:dyDescent="0.2">
      <c r="A256" s="170">
        <v>2950</v>
      </c>
      <c r="B256" s="2890" t="s">
        <v>2917</v>
      </c>
      <c r="C256" s="2890"/>
      <c r="D256" t="str">
        <f t="shared" si="57"/>
        <v>OK</v>
      </c>
      <c r="E256" s="212">
        <v>0</v>
      </c>
      <c r="F256" s="212">
        <v>0</v>
      </c>
      <c r="G256" s="212">
        <v>0</v>
      </c>
      <c r="H256" s="212">
        <v>0</v>
      </c>
      <c r="I256" s="212">
        <v>0</v>
      </c>
      <c r="J256" s="212">
        <v>0</v>
      </c>
      <c r="K256" s="212">
        <v>0</v>
      </c>
      <c r="L256" s="212"/>
      <c r="M256" s="212">
        <v>0</v>
      </c>
      <c r="N256" s="212">
        <v>0</v>
      </c>
      <c r="O256" s="760">
        <v>0</v>
      </c>
      <c r="P256" s="760">
        <v>0</v>
      </c>
      <c r="Q256" s="341">
        <v>0</v>
      </c>
      <c r="R256" s="341">
        <v>0</v>
      </c>
      <c r="S256" s="341">
        <v>0</v>
      </c>
      <c r="T256" s="341">
        <v>0</v>
      </c>
      <c r="U256" s="1127">
        <v>0</v>
      </c>
      <c r="V256" s="212">
        <v>0</v>
      </c>
      <c r="W256" s="1127">
        <v>0</v>
      </c>
      <c r="X256" s="212">
        <v>0</v>
      </c>
      <c r="Y256" s="212">
        <v>0</v>
      </c>
      <c r="Z256" s="212">
        <v>0</v>
      </c>
      <c r="AA256" s="212">
        <v>0</v>
      </c>
      <c r="AB256" s="212">
        <v>0</v>
      </c>
      <c r="AC256" s="212">
        <v>0</v>
      </c>
      <c r="AD256" s="212">
        <v>0</v>
      </c>
      <c r="AE256" s="212">
        <v>0</v>
      </c>
      <c r="AF256" s="212">
        <v>0</v>
      </c>
      <c r="AG256" s="212">
        <v>0</v>
      </c>
      <c r="AH256" s="212">
        <v>0</v>
      </c>
      <c r="AJ256" s="341">
        <f t="shared" si="52"/>
        <v>0</v>
      </c>
    </row>
    <row r="257" spans="1:36" x14ac:dyDescent="0.2">
      <c r="A257" s="170">
        <v>2960</v>
      </c>
      <c r="B257" s="2890" t="s">
        <v>2918</v>
      </c>
      <c r="C257" s="2890"/>
      <c r="D257" t="str">
        <f t="shared" si="57"/>
        <v>OK</v>
      </c>
      <c r="E257" s="452">
        <v>0</v>
      </c>
      <c r="F257" s="452">
        <v>0</v>
      </c>
      <c r="G257" s="452">
        <v>0</v>
      </c>
      <c r="H257" s="452">
        <v>0</v>
      </c>
      <c r="I257" s="452">
        <v>0</v>
      </c>
      <c r="J257" s="452">
        <v>0</v>
      </c>
      <c r="K257" s="452">
        <v>0</v>
      </c>
      <c r="L257" s="452"/>
      <c r="M257" s="452">
        <v>0</v>
      </c>
      <c r="N257" s="452">
        <v>0</v>
      </c>
      <c r="O257" s="1094">
        <v>0</v>
      </c>
      <c r="P257" s="1094">
        <v>0</v>
      </c>
      <c r="Q257" s="343">
        <v>0</v>
      </c>
      <c r="R257" s="343">
        <v>0</v>
      </c>
      <c r="S257" s="343">
        <v>0</v>
      </c>
      <c r="T257" s="343">
        <v>0</v>
      </c>
      <c r="U257" s="1789">
        <v>0</v>
      </c>
      <c r="V257" s="452">
        <v>0</v>
      </c>
      <c r="W257" s="1789">
        <v>0</v>
      </c>
      <c r="X257" s="452">
        <v>0</v>
      </c>
      <c r="Y257" s="452">
        <v>0</v>
      </c>
      <c r="Z257" s="452">
        <v>0</v>
      </c>
      <c r="AA257" s="452">
        <v>0</v>
      </c>
      <c r="AB257" s="452">
        <v>0</v>
      </c>
      <c r="AC257" s="452">
        <v>0</v>
      </c>
      <c r="AD257" s="452">
        <v>0</v>
      </c>
      <c r="AE257" s="452">
        <v>0</v>
      </c>
      <c r="AF257" s="452">
        <v>0</v>
      </c>
      <c r="AG257" s="452">
        <v>0</v>
      </c>
      <c r="AH257" s="452">
        <v>0</v>
      </c>
      <c r="AJ257" s="341">
        <f t="shared" si="52"/>
        <v>0</v>
      </c>
    </row>
    <row r="258" spans="1:36" x14ac:dyDescent="0.2">
      <c r="B258" s="2890" t="s">
        <v>4912</v>
      </c>
      <c r="C258" s="2890"/>
      <c r="D258" t="str">
        <f>IF(SUM(F258:N258)=E258,"OK","prob")</f>
        <v>OK</v>
      </c>
      <c r="E258" s="2119">
        <f t="shared" ref="E258:U258" si="58">SUM(E250:E257)</f>
        <v>313320953.98000002</v>
      </c>
      <c r="F258" s="341">
        <f t="shared" si="58"/>
        <v>289320720</v>
      </c>
      <c r="G258" s="341">
        <f t="shared" si="58"/>
        <v>34009159.869999997</v>
      </c>
      <c r="H258" s="341">
        <f t="shared" si="58"/>
        <v>-6793955</v>
      </c>
      <c r="I258" s="341">
        <f t="shared" si="58"/>
        <v>-1395207.75</v>
      </c>
      <c r="J258" s="341">
        <f t="shared" si="58"/>
        <v>-6203401.5800000001</v>
      </c>
      <c r="K258" s="341">
        <f>SUM(K250:K257)</f>
        <v>13689211.66</v>
      </c>
      <c r="L258" s="341">
        <f>SUM(L250:L257)</f>
        <v>0</v>
      </c>
      <c r="M258" s="341">
        <f>SUM(M250:M257)</f>
        <v>-12214699.890000001</v>
      </c>
      <c r="N258" s="341">
        <f>SUM(N250:N257)</f>
        <v>2909126.67</v>
      </c>
      <c r="O258" s="1822">
        <f t="shared" si="58"/>
        <v>8072121.9500000002</v>
      </c>
      <c r="P258" s="1823">
        <f t="shared" si="58"/>
        <v>414436480.94999999</v>
      </c>
      <c r="Q258" s="1823">
        <f t="shared" si="58"/>
        <v>272218262.10000002</v>
      </c>
      <c r="R258" s="1823">
        <f t="shared" si="58"/>
        <v>116363672.38</v>
      </c>
      <c r="S258" s="1823">
        <f t="shared" si="58"/>
        <v>127820762.2</v>
      </c>
      <c r="T258" s="1822">
        <f t="shared" si="58"/>
        <v>7318543.5700000003</v>
      </c>
      <c r="U258" s="1823">
        <f t="shared" si="58"/>
        <v>78593422.810000002</v>
      </c>
      <c r="V258" s="1823">
        <f>SUM(V250:V257)</f>
        <v>177593031.36000001</v>
      </c>
      <c r="W258" s="1823">
        <f t="shared" ref="W258:AH258" si="59">SUM(W250:W257)</f>
        <v>69167929.900000006</v>
      </c>
      <c r="X258" s="1823">
        <f t="shared" si="59"/>
        <v>44710284.399999999</v>
      </c>
      <c r="Y258" s="1823">
        <f t="shared" si="59"/>
        <v>74702965.209999993</v>
      </c>
      <c r="Z258" s="1823">
        <f t="shared" si="59"/>
        <v>17020767.66</v>
      </c>
      <c r="AA258" s="1823">
        <f t="shared" si="59"/>
        <v>26212626.670000002</v>
      </c>
      <c r="AB258" s="1823">
        <f t="shared" si="59"/>
        <v>19161762.140000001</v>
      </c>
      <c r="AC258" s="1823">
        <f t="shared" si="59"/>
        <v>37098771.490000002</v>
      </c>
      <c r="AD258" s="1823">
        <f t="shared" si="59"/>
        <v>56299963.020000003</v>
      </c>
      <c r="AE258" s="1823">
        <f>SUM(AE250:AE257)</f>
        <v>5892601.4699999997</v>
      </c>
      <c r="AF258" s="1823">
        <f t="shared" si="59"/>
        <v>-1233033.6200000001</v>
      </c>
      <c r="AG258" s="1823">
        <f t="shared" ref="AG258" si="60">SUM(AG250:AG257)</f>
        <v>24712363.559999999</v>
      </c>
      <c r="AH258" s="341">
        <f t="shared" si="59"/>
        <v>1290166.48</v>
      </c>
      <c r="AJ258" s="341">
        <f t="shared" si="52"/>
        <v>1864771889.6400001</v>
      </c>
    </row>
    <row r="259" spans="1:36" x14ac:dyDescent="0.2">
      <c r="A259" s="170">
        <v>2980</v>
      </c>
      <c r="B259" s="2890" t="s">
        <v>4914</v>
      </c>
      <c r="C259" s="2890"/>
      <c r="D259" t="str">
        <f t="shared" si="57"/>
        <v>OK</v>
      </c>
      <c r="E259" s="562">
        <v>2586929488.8099999</v>
      </c>
      <c r="F259" s="562">
        <v>1251877019.8299999</v>
      </c>
      <c r="G259" s="562">
        <v>165095146.65000001</v>
      </c>
      <c r="H259" s="562">
        <v>27173156</v>
      </c>
      <c r="I259" s="562">
        <v>1004993015.99</v>
      </c>
      <c r="J259" s="562">
        <v>-2305104.1800000002</v>
      </c>
      <c r="K259" s="562">
        <v>51946496.740000002</v>
      </c>
      <c r="L259" s="562"/>
      <c r="M259" s="562">
        <v>11127369.91</v>
      </c>
      <c r="N259" s="562">
        <v>77022387.870000005</v>
      </c>
      <c r="O259" s="759">
        <v>182847921.52000001</v>
      </c>
      <c r="P259" s="759">
        <v>3956990610.2600002</v>
      </c>
      <c r="Q259" s="562">
        <v>1290012726.8499999</v>
      </c>
      <c r="R259" s="562">
        <v>712329959.47000003</v>
      </c>
      <c r="S259" s="562">
        <v>958221315.57000005</v>
      </c>
      <c r="T259" s="562">
        <v>124565369.40000001</v>
      </c>
      <c r="U259" s="562">
        <v>501961243.30000001</v>
      </c>
      <c r="V259" s="562">
        <v>395239801.85000002</v>
      </c>
      <c r="W259" s="562">
        <v>504314819.99000001</v>
      </c>
      <c r="X259" s="562">
        <v>517138905.52999997</v>
      </c>
      <c r="Y259" s="562">
        <v>462565194.05000001</v>
      </c>
      <c r="Z259" s="562">
        <v>134250195.46000001</v>
      </c>
      <c r="AA259" s="562">
        <v>138313803.61000001</v>
      </c>
      <c r="AB259" s="562">
        <v>125222277.5</v>
      </c>
      <c r="AC259" s="562">
        <v>77799704.400000006</v>
      </c>
      <c r="AD259" s="562">
        <v>123920772.20999999</v>
      </c>
      <c r="AE259" s="562">
        <v>146367826.69</v>
      </c>
      <c r="AF259" s="562">
        <v>52091785.82</v>
      </c>
      <c r="AG259" s="562">
        <v>0</v>
      </c>
      <c r="AH259" s="562">
        <v>9144737.3000000007</v>
      </c>
      <c r="AJ259" s="341">
        <f t="shared" si="52"/>
        <v>12991083722.290001</v>
      </c>
    </row>
    <row r="260" spans="1:36" x14ac:dyDescent="0.2">
      <c r="A260" s="170">
        <v>2990</v>
      </c>
      <c r="B260" s="2890" t="s">
        <v>1760</v>
      </c>
      <c r="C260" s="2890"/>
      <c r="D260" t="str">
        <f>IF(SUM(F260:N260)=E260,"OK","prob")</f>
        <v>OK</v>
      </c>
      <c r="E260" s="343">
        <v>-7908397.3600000003</v>
      </c>
      <c r="F260" s="343">
        <v>-4359957.83</v>
      </c>
      <c r="G260" s="343">
        <v>31066789.23</v>
      </c>
      <c r="H260" s="343">
        <v>0</v>
      </c>
      <c r="I260" s="343">
        <v>-11027406.76</v>
      </c>
      <c r="J260" s="343">
        <v>-247752.06</v>
      </c>
      <c r="K260" s="343">
        <v>-18955526.920000002</v>
      </c>
      <c r="L260" s="343">
        <v>0</v>
      </c>
      <c r="M260" s="343">
        <v>-1844853.23</v>
      </c>
      <c r="N260" s="343">
        <v>-2539689.79</v>
      </c>
      <c r="O260" s="760">
        <v>68949.649999999994</v>
      </c>
      <c r="P260" s="1094">
        <v>0</v>
      </c>
      <c r="Q260" s="343">
        <v>-752918.27</v>
      </c>
      <c r="R260" s="343">
        <v>12186</v>
      </c>
      <c r="S260" s="343">
        <v>13971622.43</v>
      </c>
      <c r="T260" s="343">
        <v>0</v>
      </c>
      <c r="U260" s="343">
        <v>892740.71</v>
      </c>
      <c r="V260" s="343">
        <v>0</v>
      </c>
      <c r="W260" s="343">
        <v>89651.27</v>
      </c>
      <c r="X260" s="343">
        <v>-2696259.67</v>
      </c>
      <c r="Y260" s="343">
        <v>4110492.58</v>
      </c>
      <c r="Z260" s="343">
        <v>-1966457.15</v>
      </c>
      <c r="AA260" s="343">
        <v>-5414.4</v>
      </c>
      <c r="AB260" s="343">
        <v>0</v>
      </c>
      <c r="AC260" s="343">
        <v>5690325.21</v>
      </c>
      <c r="AD260" s="343">
        <v>-12396760.65</v>
      </c>
      <c r="AE260" s="343">
        <v>0</v>
      </c>
      <c r="AF260" s="343">
        <v>-8612.5</v>
      </c>
      <c r="AG260" s="343">
        <v>2882523.43</v>
      </c>
      <c r="AH260" s="343">
        <v>0</v>
      </c>
      <c r="AJ260" s="341">
        <f t="shared" si="52"/>
        <v>-898852.15</v>
      </c>
    </row>
    <row r="261" spans="1:36" ht="13.5" thickBot="1" x14ac:dyDescent="0.25">
      <c r="B261" s="2890" t="s">
        <v>4917</v>
      </c>
      <c r="C261" s="2890"/>
      <c r="D261" t="str">
        <f t="shared" si="57"/>
        <v>OK</v>
      </c>
      <c r="E261" s="2120">
        <f t="shared" ref="E261:U261" si="61">SUM(E258:E260)</f>
        <v>2892342045.4299998</v>
      </c>
      <c r="F261" s="2120">
        <f t="shared" si="61"/>
        <v>1536837782</v>
      </c>
      <c r="G261" s="429">
        <f t="shared" si="61"/>
        <v>230171095.75</v>
      </c>
      <c r="H261" s="429">
        <f t="shared" si="61"/>
        <v>20379201</v>
      </c>
      <c r="I261" s="2120">
        <f t="shared" si="61"/>
        <v>992570401.48000002</v>
      </c>
      <c r="J261" s="2120">
        <f t="shared" si="61"/>
        <v>-8756257.8200000003</v>
      </c>
      <c r="K261" s="429">
        <f t="shared" si="61"/>
        <v>46680181.479999997</v>
      </c>
      <c r="L261" s="429">
        <f>SUM(L258:L260)</f>
        <v>0</v>
      </c>
      <c r="M261" s="2120">
        <f>SUM(M258:M260)</f>
        <v>-2932183.21</v>
      </c>
      <c r="N261" s="2120">
        <f>SUM(N258:N260)</f>
        <v>77391824.75</v>
      </c>
      <c r="O261" s="380">
        <f t="shared" si="61"/>
        <v>190988993.12</v>
      </c>
      <c r="P261" s="429">
        <f>SUM(P258:P260)</f>
        <v>4371427091.21</v>
      </c>
      <c r="Q261" s="429">
        <f t="shared" si="61"/>
        <v>1561478070.6800001</v>
      </c>
      <c r="R261" s="429">
        <f t="shared" si="61"/>
        <v>828705817.85000002</v>
      </c>
      <c r="S261" s="429">
        <f t="shared" si="61"/>
        <v>1100013700.2</v>
      </c>
      <c r="T261" s="429">
        <f t="shared" si="61"/>
        <v>131883912.97</v>
      </c>
      <c r="U261" s="429">
        <f t="shared" si="61"/>
        <v>581447406.82000005</v>
      </c>
      <c r="V261" s="429">
        <f>SUM(V258:V260)</f>
        <v>572832833.21000004</v>
      </c>
      <c r="W261" s="429">
        <f t="shared" ref="W261:AH261" si="62">SUM(W258:W260)</f>
        <v>573572401.15999997</v>
      </c>
      <c r="X261" s="429">
        <f t="shared" si="62"/>
        <v>559152930.25999999</v>
      </c>
      <c r="Y261" s="429">
        <f t="shared" si="62"/>
        <v>541378651.84000003</v>
      </c>
      <c r="Z261" s="429">
        <f t="shared" si="62"/>
        <v>149304505.97</v>
      </c>
      <c r="AA261" s="429">
        <f t="shared" si="62"/>
        <v>164521015.88</v>
      </c>
      <c r="AB261" s="429">
        <f t="shared" si="62"/>
        <v>144384039.63999999</v>
      </c>
      <c r="AC261" s="429">
        <f t="shared" si="62"/>
        <v>120588801.09999999</v>
      </c>
      <c r="AD261" s="429">
        <f t="shared" si="62"/>
        <v>167823974.58000001</v>
      </c>
      <c r="AE261" s="429">
        <f t="shared" si="62"/>
        <v>152260428.16</v>
      </c>
      <c r="AF261" s="429">
        <f t="shared" si="62"/>
        <v>50850139.700000003</v>
      </c>
      <c r="AG261" s="429">
        <f t="shared" ref="AG261" si="63">SUM(AG258:AG260)</f>
        <v>27594886.989999998</v>
      </c>
      <c r="AH261" s="429">
        <f t="shared" si="62"/>
        <v>10434903.779999999</v>
      </c>
      <c r="AJ261" s="341">
        <f t="shared" si="52"/>
        <v>14854956759.780001</v>
      </c>
    </row>
    <row r="262" spans="1:36" ht="13.5" thickTop="1" x14ac:dyDescent="0.2"/>
    <row r="263" spans="1:36" x14ac:dyDescent="0.2">
      <c r="B263" s="170" t="s">
        <v>5459</v>
      </c>
      <c r="C263" s="182"/>
      <c r="E263" s="430" t="str">
        <f t="shared" ref="E263:AH263" si="64">IF(ROUND(E194-E261,2)=0,"OK", "Error")</f>
        <v>OK</v>
      </c>
      <c r="F263" s="430" t="str">
        <f t="shared" si="64"/>
        <v>OK</v>
      </c>
      <c r="G263" s="430" t="str">
        <f t="shared" si="64"/>
        <v>OK</v>
      </c>
      <c r="H263" s="430" t="str">
        <f t="shared" si="64"/>
        <v>OK</v>
      </c>
      <c r="I263" s="430" t="str">
        <f t="shared" si="64"/>
        <v>OK</v>
      </c>
      <c r="J263" s="430" t="str">
        <f t="shared" si="64"/>
        <v>OK</v>
      </c>
      <c r="K263" s="430" t="str">
        <f t="shared" si="64"/>
        <v>OK</v>
      </c>
      <c r="L263" s="430" t="str">
        <f t="shared" si="64"/>
        <v>OK</v>
      </c>
      <c r="M263" s="430" t="str">
        <f t="shared" si="64"/>
        <v>OK</v>
      </c>
      <c r="N263" s="430" t="str">
        <f t="shared" si="64"/>
        <v>OK</v>
      </c>
      <c r="O263" s="1214" t="str">
        <f t="shared" si="64"/>
        <v>OK</v>
      </c>
      <c r="P263" s="430" t="str">
        <f t="shared" si="64"/>
        <v>OK</v>
      </c>
      <c r="Q263" s="430" t="str">
        <f t="shared" si="64"/>
        <v>OK</v>
      </c>
      <c r="R263" s="430" t="str">
        <f t="shared" si="64"/>
        <v>OK</v>
      </c>
      <c r="S263" s="430" t="str">
        <f t="shared" si="64"/>
        <v>OK</v>
      </c>
      <c r="T263" s="430" t="str">
        <f t="shared" si="64"/>
        <v>OK</v>
      </c>
      <c r="U263" s="430" t="str">
        <f t="shared" si="64"/>
        <v>OK</v>
      </c>
      <c r="V263" s="430" t="str">
        <f t="shared" si="64"/>
        <v>OK</v>
      </c>
      <c r="W263" s="430" t="str">
        <f t="shared" si="64"/>
        <v>OK</v>
      </c>
      <c r="X263" s="430" t="str">
        <f t="shared" si="64"/>
        <v>OK</v>
      </c>
      <c r="Y263" s="430" t="str">
        <f t="shared" si="64"/>
        <v>OK</v>
      </c>
      <c r="Z263" s="430" t="str">
        <f t="shared" si="64"/>
        <v>OK</v>
      </c>
      <c r="AA263" s="430" t="str">
        <f t="shared" si="64"/>
        <v>OK</v>
      </c>
      <c r="AB263" s="430" t="str">
        <f t="shared" si="64"/>
        <v>OK</v>
      </c>
      <c r="AC263" s="430" t="str">
        <f t="shared" si="64"/>
        <v>OK</v>
      </c>
      <c r="AD263" s="430" t="str">
        <f t="shared" si="64"/>
        <v>OK</v>
      </c>
      <c r="AE263" s="430" t="str">
        <f t="shared" si="64"/>
        <v>OK</v>
      </c>
      <c r="AF263" s="430" t="str">
        <f t="shared" si="64"/>
        <v>OK</v>
      </c>
      <c r="AG263" s="430" t="str">
        <f t="shared" ref="AG263" si="65">IF(ROUND(AG194-AG261,2)=0,"OK", "Error")</f>
        <v>OK</v>
      </c>
      <c r="AH263" s="430" t="str">
        <f t="shared" si="64"/>
        <v>OK</v>
      </c>
    </row>
    <row r="264" spans="1:36" x14ac:dyDescent="0.2">
      <c r="B264" s="2380"/>
      <c r="C264" s="2380"/>
    </row>
    <row r="265" spans="1:36" x14ac:dyDescent="0.2">
      <c r="B265" s="717" t="s">
        <v>5460</v>
      </c>
      <c r="C265" s="718"/>
    </row>
    <row r="266" spans="1:36" x14ac:dyDescent="0.2">
      <c r="B266" s="719" t="s">
        <v>5461</v>
      </c>
      <c r="C266" s="717"/>
    </row>
    <row r="267" spans="1:36" x14ac:dyDescent="0.2">
      <c r="C267" s="27" t="s">
        <v>5396</v>
      </c>
      <c r="E267" s="706" t="s">
        <v>4634</v>
      </c>
      <c r="F267" s="715" t="s">
        <v>4636</v>
      </c>
      <c r="G267" s="706" t="s">
        <v>4637</v>
      </c>
      <c r="H267" s="706" t="s">
        <v>4638</v>
      </c>
      <c r="I267" s="706" t="s">
        <v>4639</v>
      </c>
      <c r="J267" s="706" t="s">
        <v>4640</v>
      </c>
      <c r="K267" s="706" t="s">
        <v>4641</v>
      </c>
      <c r="L267" s="706" t="s">
        <v>4644</v>
      </c>
      <c r="M267" s="1185" t="s">
        <v>4642</v>
      </c>
      <c r="N267" s="706" t="s">
        <v>4643</v>
      </c>
      <c r="O267" s="1185" t="s">
        <v>5055</v>
      </c>
      <c r="P267" s="706" t="s">
        <v>5057</v>
      </c>
      <c r="Q267" s="706" t="s">
        <v>5059</v>
      </c>
      <c r="R267" s="706" t="s">
        <v>5061</v>
      </c>
      <c r="S267" s="706" t="s">
        <v>5063</v>
      </c>
      <c r="T267" s="706" t="s">
        <v>5065</v>
      </c>
      <c r="U267" s="706" t="s">
        <v>5067</v>
      </c>
      <c r="V267" s="706" t="s">
        <v>5069</v>
      </c>
      <c r="W267" s="706" t="s">
        <v>5071</v>
      </c>
      <c r="X267" s="706" t="s">
        <v>5073</v>
      </c>
      <c r="Y267" s="706" t="s">
        <v>5075</v>
      </c>
      <c r="Z267" s="706" t="s">
        <v>5077</v>
      </c>
      <c r="AA267" s="706" t="s">
        <v>5079</v>
      </c>
      <c r="AB267" s="706" t="s">
        <v>5081</v>
      </c>
      <c r="AC267" s="706" t="s">
        <v>5083</v>
      </c>
      <c r="AD267" s="706" t="s">
        <v>5085</v>
      </c>
      <c r="AE267" s="706" t="s">
        <v>5087</v>
      </c>
      <c r="AF267" s="706" t="s">
        <v>5089</v>
      </c>
      <c r="AG267" s="1185" t="s">
        <v>5091</v>
      </c>
      <c r="AH267" s="716" t="s">
        <v>5044</v>
      </c>
    </row>
    <row r="268" spans="1:36" x14ac:dyDescent="0.2">
      <c r="C268" t="s">
        <v>5397</v>
      </c>
      <c r="E268" s="2300" t="s">
        <v>4649</v>
      </c>
      <c r="F268" s="2300" t="s">
        <v>4655</v>
      </c>
      <c r="G268" s="2300" t="s">
        <v>5398</v>
      </c>
      <c r="H268" s="2300" t="s">
        <v>5398</v>
      </c>
      <c r="I268" s="2300" t="s">
        <v>4653</v>
      </c>
      <c r="J268" s="2300" t="s">
        <v>5399</v>
      </c>
      <c r="K268" s="2300" t="s">
        <v>5400</v>
      </c>
      <c r="L268" s="2300" t="s">
        <v>4658</v>
      </c>
      <c r="M268" s="2300" t="s">
        <v>5401</v>
      </c>
      <c r="N268" s="2300" t="s">
        <v>4657</v>
      </c>
      <c r="O268" s="2300" t="s">
        <v>5402</v>
      </c>
      <c r="P268" s="2300" t="s">
        <v>5403</v>
      </c>
      <c r="Q268" s="2300" t="s">
        <v>5404</v>
      </c>
      <c r="R268" s="2300" t="s">
        <v>5403</v>
      </c>
      <c r="S268" s="2300" t="s">
        <v>5403</v>
      </c>
      <c r="T268" s="2300" t="s">
        <v>5403</v>
      </c>
      <c r="U268" s="2300" t="s">
        <v>5403</v>
      </c>
      <c r="V268" s="2300" t="s">
        <v>5405</v>
      </c>
      <c r="W268" s="2300" t="s">
        <v>5406</v>
      </c>
      <c r="X268" s="2300" t="s">
        <v>5407</v>
      </c>
      <c r="Y268" s="2300" t="s">
        <v>5408</v>
      </c>
      <c r="Z268" s="2300" t="s">
        <v>5403</v>
      </c>
      <c r="AA268" s="2300" t="s">
        <v>5409</v>
      </c>
      <c r="AB268" s="2300" t="s">
        <v>5410</v>
      </c>
      <c r="AC268" s="2300" t="s">
        <v>5411</v>
      </c>
      <c r="AD268" s="2300" t="s">
        <v>5412</v>
      </c>
      <c r="AE268" s="2300" t="s">
        <v>5413</v>
      </c>
      <c r="AF268" s="2300" t="s">
        <v>5414</v>
      </c>
      <c r="AG268" s="2300" t="s">
        <v>5415</v>
      </c>
      <c r="AH268" s="2300" t="s">
        <v>5416</v>
      </c>
    </row>
    <row r="269" spans="1:36" x14ac:dyDescent="0.2">
      <c r="B269" s="138"/>
      <c r="E269" s="2300" t="s">
        <v>5418</v>
      </c>
      <c r="F269" s="2300" t="s">
        <v>5419</v>
      </c>
      <c r="G269" s="2300" t="s">
        <v>5420</v>
      </c>
      <c r="H269" s="2300" t="s">
        <v>5421</v>
      </c>
      <c r="I269" s="2300" t="s">
        <v>4663</v>
      </c>
      <c r="J269" s="2300" t="s">
        <v>4664</v>
      </c>
      <c r="K269" s="2300" t="s">
        <v>5422</v>
      </c>
      <c r="L269" s="2300" t="s">
        <v>5423</v>
      </c>
      <c r="M269" s="2300" t="s">
        <v>4666</v>
      </c>
      <c r="N269" s="2300" t="s">
        <v>4667</v>
      </c>
      <c r="O269" s="2300" t="s">
        <v>5424</v>
      </c>
      <c r="P269" s="2300" t="s">
        <v>5425</v>
      </c>
      <c r="Q269" s="2300" t="s">
        <v>2032</v>
      </c>
      <c r="R269" s="2300" t="s">
        <v>5426</v>
      </c>
      <c r="S269" s="2300" t="s">
        <v>5427</v>
      </c>
      <c r="T269" s="2300" t="s">
        <v>5428</v>
      </c>
      <c r="U269" s="2300" t="s">
        <v>5429</v>
      </c>
      <c r="V269" s="2300" t="s">
        <v>5430</v>
      </c>
      <c r="W269" s="2300" t="s">
        <v>5431</v>
      </c>
      <c r="X269" s="2300" t="s">
        <v>5430</v>
      </c>
      <c r="Y269" s="2300" t="s">
        <v>5431</v>
      </c>
      <c r="Z269" s="2300" t="s">
        <v>5432</v>
      </c>
      <c r="AA269" s="2300" t="s">
        <v>5431</v>
      </c>
      <c r="AB269" s="2300" t="s">
        <v>5431</v>
      </c>
      <c r="AC269" s="2300" t="s">
        <v>5431</v>
      </c>
      <c r="AD269" s="2300" t="s">
        <v>2032</v>
      </c>
      <c r="AE269" s="2300" t="s">
        <v>5433</v>
      </c>
      <c r="AF269" s="2300" t="s">
        <v>5434</v>
      </c>
      <c r="AG269" s="2300" t="s">
        <v>5435</v>
      </c>
      <c r="AH269" s="2300" t="s">
        <v>5436</v>
      </c>
    </row>
    <row r="270" spans="1:36" x14ac:dyDescent="0.2">
      <c r="B270" s="138" t="s">
        <v>5462</v>
      </c>
      <c r="E270" s="610" t="str">
        <f>TEXT(Data!$A$4,"mmmm d,yyyy")</f>
        <v>June 30,2023</v>
      </c>
      <c r="F270" s="610" t="str">
        <f>TEXT(Data!$A$4,"mmmm d,yyyy")</f>
        <v>June 30,2023</v>
      </c>
      <c r="G270" s="610" t="str">
        <f>TEXT(Data!$A$4,"mmmm d,yyyy")</f>
        <v>June 30,2023</v>
      </c>
      <c r="H270" s="610" t="str">
        <f>TEXT(Data!$A$4,"mmmm d,yyyy")</f>
        <v>June 30,2023</v>
      </c>
      <c r="I270" s="610" t="str">
        <f>TEXT(Data!$A$4,"mmmm d,yyyy")</f>
        <v>June 30,2023</v>
      </c>
      <c r="J270" s="610" t="str">
        <f>TEXT(Data!$A$4,"mmmm d,yyyy")</f>
        <v>June 30,2023</v>
      </c>
      <c r="K270" s="610" t="str">
        <f>TEXT(Data!$A$4,"mmmm d,yyyy")</f>
        <v>June 30,2023</v>
      </c>
      <c r="L270" s="610" t="str">
        <f>TEXT(Data!$A$4,"mmmm d,yyyy")</f>
        <v>June 30,2023</v>
      </c>
      <c r="M270" s="610" t="str">
        <f>TEXT(Data!$A$4,"mmmm d,yyyy")</f>
        <v>June 30,2023</v>
      </c>
      <c r="N270" s="610" t="str">
        <f>TEXT(Data!$A$4,"mmmm d,yyyy")</f>
        <v>June 30,2023</v>
      </c>
      <c r="O270" s="610" t="str">
        <f>TEXT(Data!$A$4,"mmmm d,yyyy")</f>
        <v>June 30,2023</v>
      </c>
      <c r="P270" s="610" t="str">
        <f>TEXT(Data!$A$4,"mmmm d,yyyy")</f>
        <v>June 30,2023</v>
      </c>
      <c r="Q270" s="610" t="str">
        <f>TEXT(Data!$A$4,"mmmm d,yyyy")</f>
        <v>June 30,2023</v>
      </c>
      <c r="R270" s="610" t="str">
        <f>TEXT(Data!$A$4,"mmmm d,yyyy")</f>
        <v>June 30,2023</v>
      </c>
      <c r="S270" s="610" t="str">
        <f>TEXT(Data!$A$4,"mmmm d,yyyy")</f>
        <v>June 30,2023</v>
      </c>
      <c r="T270" s="610" t="str">
        <f>TEXT(Data!$A$4,"mmmm d,yyyy")</f>
        <v>June 30,2023</v>
      </c>
      <c r="U270" s="610" t="str">
        <f>TEXT(Data!$A$4,"mmmm d,yyyy")</f>
        <v>June 30,2023</v>
      </c>
      <c r="V270" s="610" t="str">
        <f>TEXT(Data!$A$4,"mmmm d,yyyy")</f>
        <v>June 30,2023</v>
      </c>
      <c r="W270" s="610" t="str">
        <f>TEXT(Data!$A$4,"mmmm d,yyyy")</f>
        <v>June 30,2023</v>
      </c>
      <c r="X270" s="610" t="str">
        <f>TEXT(Data!$A$4,"mmmm d,yyyy")</f>
        <v>June 30,2023</v>
      </c>
      <c r="Y270" s="610" t="str">
        <f>TEXT(Data!$A$4,"mmmm d,yyyy")</f>
        <v>June 30,2023</v>
      </c>
      <c r="Z270" s="610" t="str">
        <f>TEXT(Data!$A$4,"mmmm d,yyyy")</f>
        <v>June 30,2023</v>
      </c>
      <c r="AA270" s="610" t="str">
        <f>TEXT(Data!$A$4,"mmmm d,yyyy")</f>
        <v>June 30,2023</v>
      </c>
      <c r="AB270" s="610" t="str">
        <f>TEXT(Data!$A$4,"mmmm d,yyyy")</f>
        <v>June 30,2023</v>
      </c>
      <c r="AC270" s="610" t="str">
        <f>TEXT(Data!$A$4,"mmmm d,yyyy")</f>
        <v>June 30,2023</v>
      </c>
      <c r="AD270" s="610" t="str">
        <f>TEXT(Data!$A$4,"mmmm d,yyyy")</f>
        <v>June 30,2023</v>
      </c>
      <c r="AE270" s="610" t="str">
        <f>TEXT(Data!$A$4,"mmmm d,yyyy")</f>
        <v>June 30,2023</v>
      </c>
      <c r="AF270" s="610" t="str">
        <f>TEXT(Data!$A$4,"mmmm d,yyyy")</f>
        <v>June 30,2023</v>
      </c>
      <c r="AG270" s="610" t="str">
        <f>TEXT(Data!$A$4,"mmmm d,yyyy")</f>
        <v>June 30,2023</v>
      </c>
      <c r="AH270" s="610" t="str">
        <f>TEXT(Data!$A$4,"mmmm d,yyyy")</f>
        <v>June 30,2023</v>
      </c>
    </row>
    <row r="271" spans="1:36" x14ac:dyDescent="0.2">
      <c r="B271" s="3116" t="s">
        <v>3235</v>
      </c>
      <c r="C271" s="3116"/>
      <c r="D271" s="1220" t="str">
        <f>IF(ROUND(SUM(F271:N271),2)-ROUND(E271,2)=0,"OK","prob")</f>
        <v>prob</v>
      </c>
      <c r="E271" s="341">
        <v>921199238.88</v>
      </c>
      <c r="F271" s="2121">
        <v>524836583</v>
      </c>
      <c r="G271" s="2121">
        <v>42448101.170000002</v>
      </c>
      <c r="H271" s="2121">
        <v>0</v>
      </c>
      <c r="I271" s="2121">
        <v>289843448.00999999</v>
      </c>
      <c r="J271" s="2121">
        <v>9211061</v>
      </c>
      <c r="K271" s="2121">
        <v>3250248.24</v>
      </c>
      <c r="L271" s="2121"/>
      <c r="M271" s="2121">
        <v>3932392.83</v>
      </c>
      <c r="N271" s="2121">
        <v>48980701.630000003</v>
      </c>
      <c r="O271" s="212">
        <v>60413513.740000002</v>
      </c>
      <c r="P271" s="341">
        <v>1650243187.8800001</v>
      </c>
      <c r="Q271" s="341">
        <v>1108064273.1400001</v>
      </c>
      <c r="R271" s="341">
        <v>267154730.43000001</v>
      </c>
      <c r="S271" s="341">
        <v>307719896.29000002</v>
      </c>
      <c r="T271" s="341">
        <v>105445792.17</v>
      </c>
      <c r="U271" s="341">
        <v>216008943.96000001</v>
      </c>
      <c r="V271" s="341">
        <v>355967896.12</v>
      </c>
      <c r="W271" s="341">
        <v>182060835.22999999</v>
      </c>
      <c r="X271" s="341">
        <v>137909665.66</v>
      </c>
      <c r="Y271" s="341">
        <v>331324751.75</v>
      </c>
      <c r="Z271" s="341">
        <v>78626036.549999997</v>
      </c>
      <c r="AA271" s="341">
        <v>119939823.7</v>
      </c>
      <c r="AB271" s="341">
        <v>61791229.32</v>
      </c>
      <c r="AC271" s="341">
        <v>66859598.390000001</v>
      </c>
      <c r="AD271" s="341">
        <v>138033394.84</v>
      </c>
      <c r="AE271" s="341">
        <v>66355706.600000001</v>
      </c>
      <c r="AF271" s="341">
        <v>25515638.379999999</v>
      </c>
      <c r="AG271" s="341">
        <v>0</v>
      </c>
      <c r="AH271" s="341">
        <v>931070.51</v>
      </c>
    </row>
    <row r="272" spans="1:36" x14ac:dyDescent="0.2">
      <c r="B272" s="3116" t="s">
        <v>3239</v>
      </c>
      <c r="C272" s="3116"/>
      <c r="D272" t="str">
        <f>IF(ROUND(SUM(F272:N272),2)-ROUND(E272,2)=0,"OK","prob")</f>
        <v>OK</v>
      </c>
      <c r="E272" s="341">
        <v>947250192.61000001</v>
      </c>
      <c r="F272" s="341">
        <v>433724113</v>
      </c>
      <c r="G272" s="341">
        <v>132398008.81999999</v>
      </c>
      <c r="H272" s="341">
        <v>0</v>
      </c>
      <c r="I272" s="341">
        <v>297837933</v>
      </c>
      <c r="J272" s="341">
        <v>13474235</v>
      </c>
      <c r="K272" s="341">
        <v>2388285.21</v>
      </c>
      <c r="L272" s="341"/>
      <c r="M272" s="341">
        <v>4400701.83</v>
      </c>
      <c r="N272" s="341">
        <v>63026915.75</v>
      </c>
      <c r="O272" s="212">
        <v>17529044.530000001</v>
      </c>
      <c r="P272" s="341">
        <v>337565324.01999998</v>
      </c>
      <c r="Q272" s="341">
        <v>296990750.92000002</v>
      </c>
      <c r="R272" s="341">
        <v>37687254.32</v>
      </c>
      <c r="S272" s="341">
        <v>79710827.980000004</v>
      </c>
      <c r="T272" s="341">
        <v>6642136</v>
      </c>
      <c r="U272" s="341">
        <v>43078943</v>
      </c>
      <c r="V272" s="341">
        <v>115632932.11</v>
      </c>
      <c r="W272" s="341">
        <v>53005568.329999998</v>
      </c>
      <c r="X272" s="341">
        <v>15632096.869999999</v>
      </c>
      <c r="Y272" s="341">
        <v>38265906.079999998</v>
      </c>
      <c r="Z272" s="341">
        <v>25016964.539999999</v>
      </c>
      <c r="AA272" s="341">
        <v>16184977.07</v>
      </c>
      <c r="AB272" s="341">
        <v>11544494.01</v>
      </c>
      <c r="AC272" s="341">
        <v>13745055.42</v>
      </c>
      <c r="AD272" s="341">
        <v>26458603.690000001</v>
      </c>
      <c r="AE272" s="341">
        <v>11556104.82</v>
      </c>
      <c r="AF272" s="341">
        <v>11258838.369999999</v>
      </c>
      <c r="AG272" s="341">
        <v>12582.92</v>
      </c>
      <c r="AH272" s="341">
        <v>274148.82</v>
      </c>
    </row>
    <row r="273" spans="2:34" x14ac:dyDescent="0.2">
      <c r="B273" s="3116" t="s">
        <v>4851</v>
      </c>
      <c r="C273" s="3116"/>
      <c r="D273" t="str">
        <f>IF(SUM(F273:N273)-E273=0,"OK","prob")</f>
        <v>OK</v>
      </c>
      <c r="E273" s="341">
        <v>0</v>
      </c>
      <c r="F273" s="341">
        <v>0</v>
      </c>
      <c r="G273" s="341">
        <v>0</v>
      </c>
      <c r="H273" s="341">
        <v>0</v>
      </c>
      <c r="I273" s="341">
        <v>0</v>
      </c>
      <c r="J273" s="341">
        <v>0</v>
      </c>
      <c r="K273" s="341">
        <v>0</v>
      </c>
      <c r="L273" s="341"/>
      <c r="M273" s="341">
        <v>0</v>
      </c>
      <c r="N273" s="341">
        <v>0</v>
      </c>
      <c r="O273" s="1466">
        <v>0</v>
      </c>
      <c r="P273" s="341">
        <v>0</v>
      </c>
      <c r="Q273" s="341">
        <v>0</v>
      </c>
      <c r="R273" s="341">
        <v>0</v>
      </c>
      <c r="S273" s="341">
        <v>0</v>
      </c>
      <c r="T273" s="341">
        <v>197132.64</v>
      </c>
      <c r="U273" s="341">
        <v>0</v>
      </c>
      <c r="V273" s="341">
        <v>0</v>
      </c>
      <c r="W273" s="341">
        <v>0</v>
      </c>
      <c r="X273" s="341">
        <v>0</v>
      </c>
      <c r="Y273" s="341">
        <v>0</v>
      </c>
      <c r="Z273" s="341">
        <v>0</v>
      </c>
      <c r="AA273" s="341">
        <v>0</v>
      </c>
      <c r="AB273" s="341">
        <v>0</v>
      </c>
      <c r="AC273" s="341">
        <v>0</v>
      </c>
      <c r="AD273" s="341">
        <v>0</v>
      </c>
      <c r="AE273" s="341">
        <v>0</v>
      </c>
      <c r="AF273" s="341">
        <v>0</v>
      </c>
      <c r="AG273" s="341">
        <v>0</v>
      </c>
      <c r="AH273" s="341">
        <v>0</v>
      </c>
    </row>
    <row r="274" spans="2:34" x14ac:dyDescent="0.2">
      <c r="B274" s="3116" t="s">
        <v>4852</v>
      </c>
      <c r="C274" s="3116"/>
      <c r="D274" s="1220" t="str">
        <f>IF(ROUND(SUM(F274:N274),2)-ROUND(E274,2)=0,"OK","prob")</f>
        <v>prob</v>
      </c>
      <c r="E274" s="341">
        <v>29494984.09</v>
      </c>
      <c r="F274" s="2121">
        <v>5228088</v>
      </c>
      <c r="G274" s="2121">
        <v>0</v>
      </c>
      <c r="H274" s="2121">
        <v>0</v>
      </c>
      <c r="I274" s="2121">
        <v>22389942</v>
      </c>
      <c r="J274" s="2121">
        <v>1846989</v>
      </c>
      <c r="K274" s="2121">
        <v>0</v>
      </c>
      <c r="L274" s="2121"/>
      <c r="M274" s="2121">
        <v>29963.09</v>
      </c>
      <c r="N274" s="2121">
        <v>0</v>
      </c>
      <c r="O274" s="212">
        <v>11578990.27</v>
      </c>
      <c r="P274" s="341">
        <v>597558750.44000006</v>
      </c>
      <c r="Q274" s="341">
        <v>104610430.64</v>
      </c>
      <c r="R274" s="341">
        <v>59792524.509999998</v>
      </c>
      <c r="S274" s="341">
        <v>73668810.780000001</v>
      </c>
      <c r="T274" s="341">
        <v>13803121.48</v>
      </c>
      <c r="U274" s="341">
        <v>22315332.379999999</v>
      </c>
      <c r="V274" s="341">
        <v>52862791.789999999</v>
      </c>
      <c r="W274" s="341">
        <v>12522224.560000001</v>
      </c>
      <c r="X274" s="341">
        <v>29605383.600000001</v>
      </c>
      <c r="Y274" s="341">
        <v>44261136.390000001</v>
      </c>
      <c r="Z274" s="341">
        <v>11444988.390000001</v>
      </c>
      <c r="AA274" s="341">
        <v>10502260.619999999</v>
      </c>
      <c r="AB274" s="341">
        <v>12741399.890000001</v>
      </c>
      <c r="AC274" s="341">
        <v>8689357.7100000009</v>
      </c>
      <c r="AD274" s="341">
        <v>18296895.390000001</v>
      </c>
      <c r="AE274" s="341">
        <v>2524763.83</v>
      </c>
      <c r="AF274" s="341">
        <v>86104.76</v>
      </c>
      <c r="AG274" s="341">
        <v>0</v>
      </c>
      <c r="AH274" s="341">
        <v>1854578.75</v>
      </c>
    </row>
    <row r="275" spans="2:34" x14ac:dyDescent="0.2">
      <c r="B275" s="3116" t="s">
        <v>5438</v>
      </c>
      <c r="C275" s="3116"/>
      <c r="D275" t="str">
        <f t="shared" ref="D275:D280" si="66">IF(ROUND(SUM(F275:N275),2)-ROUND(E275,2)=0,"OK","prob")</f>
        <v>OK</v>
      </c>
      <c r="E275" s="341"/>
      <c r="F275" s="341"/>
      <c r="G275" s="341"/>
      <c r="H275" s="341"/>
      <c r="I275" s="341"/>
      <c r="J275" s="341"/>
      <c r="K275" s="341"/>
      <c r="L275" s="341"/>
      <c r="M275" s="341"/>
      <c r="N275" s="341"/>
      <c r="O275" s="212">
        <v>18421.46</v>
      </c>
      <c r="P275" s="341">
        <v>51614.5</v>
      </c>
      <c r="Q275" s="341"/>
      <c r="R275" s="341">
        <v>145130.74</v>
      </c>
      <c r="S275" s="341"/>
      <c r="T275" s="341"/>
      <c r="U275" s="341"/>
      <c r="V275" s="341"/>
      <c r="W275" s="341"/>
      <c r="X275" s="341"/>
      <c r="Y275" s="341"/>
      <c r="Z275" s="341">
        <v>25464.48</v>
      </c>
      <c r="AA275" s="341">
        <v>15959.38</v>
      </c>
      <c r="AB275" s="341">
        <v>0</v>
      </c>
      <c r="AC275" s="341"/>
      <c r="AD275" s="341"/>
      <c r="AE275" s="341"/>
      <c r="AF275" s="341"/>
      <c r="AG275" s="341">
        <v>0</v>
      </c>
      <c r="AH275" s="341"/>
    </row>
    <row r="276" spans="2:34" x14ac:dyDescent="0.2">
      <c r="B276" s="3116" t="s">
        <v>5439</v>
      </c>
      <c r="C276" s="3116"/>
      <c r="D276" t="str">
        <f t="shared" si="66"/>
        <v>OK</v>
      </c>
      <c r="E276" s="341">
        <v>163366952.41999999</v>
      </c>
      <c r="F276" s="341">
        <v>28757301.940000001</v>
      </c>
      <c r="G276" s="341">
        <v>34130163.560000002</v>
      </c>
      <c r="H276" s="341"/>
      <c r="I276" s="341">
        <v>41621450.18</v>
      </c>
      <c r="J276" s="341">
        <v>936809.15</v>
      </c>
      <c r="K276" s="341">
        <v>50125412.829999998</v>
      </c>
      <c r="L276" s="341"/>
      <c r="M276" s="341">
        <v>0</v>
      </c>
      <c r="N276" s="341">
        <v>7795814.7599999998</v>
      </c>
      <c r="O276" s="212">
        <v>1382515.95</v>
      </c>
      <c r="P276" s="341">
        <v>48542593.670000002</v>
      </c>
      <c r="Q276" s="341">
        <v>22876524.82</v>
      </c>
      <c r="R276" s="341">
        <v>2343380.54</v>
      </c>
      <c r="S276" s="341">
        <v>1249915.96</v>
      </c>
      <c r="T276" s="341">
        <v>370846.56</v>
      </c>
      <c r="U276" s="341">
        <v>210559.7</v>
      </c>
      <c r="V276" s="341">
        <v>9629191.6300000008</v>
      </c>
      <c r="W276" s="341">
        <v>1592330.06</v>
      </c>
      <c r="X276" s="341">
        <v>2331809.96</v>
      </c>
      <c r="Y276" s="341">
        <v>2443293.13</v>
      </c>
      <c r="Z276" s="341">
        <v>79978.94</v>
      </c>
      <c r="AA276" s="341">
        <v>202861.12</v>
      </c>
      <c r="AB276" s="341">
        <v>103768.74</v>
      </c>
      <c r="AC276" s="341">
        <v>47048.5</v>
      </c>
      <c r="AD276" s="341">
        <v>55052.7</v>
      </c>
      <c r="AE276" s="341"/>
      <c r="AF276" s="341"/>
      <c r="AG276" s="341">
        <v>0</v>
      </c>
      <c r="AH276" s="341"/>
    </row>
    <row r="277" spans="2:34" x14ac:dyDescent="0.2">
      <c r="B277" s="3116" t="s">
        <v>5440</v>
      </c>
      <c r="C277" s="3116"/>
      <c r="D277" t="str">
        <f t="shared" si="66"/>
        <v>OK</v>
      </c>
      <c r="E277" s="341">
        <v>2914413.75</v>
      </c>
      <c r="F277" s="341">
        <v>522342.08</v>
      </c>
      <c r="G277" s="341"/>
      <c r="H277" s="341"/>
      <c r="I277" s="341">
        <v>825792.86</v>
      </c>
      <c r="J277" s="341"/>
      <c r="K277" s="341">
        <v>1566278.81</v>
      </c>
      <c r="L277" s="341"/>
      <c r="M277" s="341">
        <v>0</v>
      </c>
      <c r="N277" s="341"/>
      <c r="O277" s="212"/>
      <c r="P277" s="341"/>
      <c r="Q277" s="341">
        <v>4950599.28</v>
      </c>
      <c r="R277" s="341">
        <v>32795.42</v>
      </c>
      <c r="S277" s="341">
        <v>874231.78</v>
      </c>
      <c r="T277" s="341">
        <v>830381.23</v>
      </c>
      <c r="U277" s="341">
        <v>321245.38</v>
      </c>
      <c r="V277" s="341">
        <v>908658.33</v>
      </c>
      <c r="W277" s="341">
        <v>16765.759999999998</v>
      </c>
      <c r="X277" s="341">
        <v>968693.66</v>
      </c>
      <c r="Y277" s="341">
        <v>135963</v>
      </c>
      <c r="Z277" s="341">
        <v>285980.51</v>
      </c>
      <c r="AA277" s="341">
        <v>0</v>
      </c>
      <c r="AB277" s="341">
        <v>0</v>
      </c>
      <c r="AC277" s="341"/>
      <c r="AD277" s="341">
        <v>602328.36</v>
      </c>
      <c r="AE277" s="341"/>
      <c r="AF277" s="341"/>
      <c r="AG277" s="341">
        <v>0</v>
      </c>
      <c r="AH277" s="341"/>
    </row>
    <row r="278" spans="2:34" x14ac:dyDescent="0.2">
      <c r="B278" s="3116" t="s">
        <v>5441</v>
      </c>
      <c r="C278" s="3116"/>
      <c r="D278" t="str">
        <f t="shared" si="66"/>
        <v>OK</v>
      </c>
      <c r="E278" s="341"/>
      <c r="F278" s="341">
        <v>0</v>
      </c>
      <c r="G278" s="341"/>
      <c r="H278" s="341"/>
      <c r="I278" s="341"/>
      <c r="J278" s="341"/>
      <c r="K278" s="341"/>
      <c r="L278" s="341"/>
      <c r="M278" s="341">
        <v>0</v>
      </c>
      <c r="N278" s="341"/>
      <c r="O278" s="212">
        <v>64575.16</v>
      </c>
      <c r="P278" s="341"/>
      <c r="Q278" s="341"/>
      <c r="R278" s="341"/>
      <c r="S278" s="341"/>
      <c r="T278" s="341"/>
      <c r="U278" s="341"/>
      <c r="V278" s="341">
        <v>0</v>
      </c>
      <c r="W278" s="341"/>
      <c r="X278" s="341"/>
      <c r="Y278" s="341">
        <v>1467749.82</v>
      </c>
      <c r="Z278" s="341">
        <v>0</v>
      </c>
      <c r="AA278" s="341">
        <v>0</v>
      </c>
      <c r="AB278" s="341">
        <v>0</v>
      </c>
      <c r="AC278" s="341"/>
      <c r="AD278" s="341">
        <v>0</v>
      </c>
      <c r="AE278" s="341"/>
      <c r="AF278" s="341"/>
      <c r="AG278" s="341">
        <v>0</v>
      </c>
      <c r="AH278" s="341"/>
    </row>
    <row r="279" spans="2:34" x14ac:dyDescent="0.2">
      <c r="B279" s="3116" t="s">
        <v>6629</v>
      </c>
      <c r="C279" s="3116"/>
      <c r="D279" t="str">
        <f t="shared" si="66"/>
        <v>OK</v>
      </c>
      <c r="E279" s="341">
        <v>0</v>
      </c>
      <c r="F279" s="341">
        <v>0</v>
      </c>
      <c r="G279" s="341">
        <v>0</v>
      </c>
      <c r="H279" s="341">
        <v>0</v>
      </c>
      <c r="I279" s="341">
        <v>0</v>
      </c>
      <c r="J279" s="341">
        <v>0</v>
      </c>
      <c r="K279" s="341">
        <v>0</v>
      </c>
      <c r="L279" s="341">
        <v>0</v>
      </c>
      <c r="M279" s="341">
        <v>0</v>
      </c>
      <c r="N279" s="341">
        <v>0</v>
      </c>
      <c r="O279" s="341">
        <v>0</v>
      </c>
      <c r="P279" s="341">
        <v>0</v>
      </c>
      <c r="Q279" s="341">
        <v>0</v>
      </c>
      <c r="R279" s="341">
        <v>0</v>
      </c>
      <c r="S279" s="341">
        <v>0</v>
      </c>
      <c r="T279" s="341">
        <v>0</v>
      </c>
      <c r="U279" s="341">
        <v>0</v>
      </c>
      <c r="V279" s="341">
        <v>0</v>
      </c>
      <c r="W279" s="341">
        <v>0</v>
      </c>
      <c r="X279" s="341">
        <v>0</v>
      </c>
      <c r="Y279" s="341">
        <v>0</v>
      </c>
      <c r="Z279" s="341">
        <v>0</v>
      </c>
      <c r="AA279" s="341">
        <v>0</v>
      </c>
      <c r="AB279" s="341">
        <v>0</v>
      </c>
      <c r="AC279" s="341">
        <v>0</v>
      </c>
      <c r="AD279" s="341">
        <v>0</v>
      </c>
      <c r="AE279" s="341">
        <v>0</v>
      </c>
      <c r="AF279" s="341">
        <v>0</v>
      </c>
      <c r="AG279" s="341">
        <v>0</v>
      </c>
      <c r="AH279" s="341"/>
    </row>
    <row r="280" spans="2:34" x14ac:dyDescent="0.2">
      <c r="B280" s="3120" t="s">
        <v>5463</v>
      </c>
      <c r="C280" s="3120"/>
      <c r="D280" t="str">
        <f t="shared" si="66"/>
        <v>OK</v>
      </c>
      <c r="E280" s="341">
        <v>44098764.240000002</v>
      </c>
      <c r="F280" s="341">
        <v>0</v>
      </c>
      <c r="G280" s="341">
        <v>44098764.240000002</v>
      </c>
      <c r="H280" s="341">
        <v>0</v>
      </c>
      <c r="I280" s="341">
        <v>0</v>
      </c>
      <c r="J280" s="341">
        <v>0</v>
      </c>
      <c r="K280" s="341">
        <v>0</v>
      </c>
      <c r="L280" s="341"/>
      <c r="M280" s="341">
        <v>0</v>
      </c>
      <c r="N280" s="341">
        <v>0</v>
      </c>
      <c r="O280" s="212">
        <v>1900542.36</v>
      </c>
      <c r="P280" s="341">
        <v>7466789.6500000004</v>
      </c>
      <c r="Q280" s="341">
        <v>1439156.43</v>
      </c>
      <c r="R280" s="341">
        <v>3345601.89</v>
      </c>
      <c r="S280" s="341">
        <v>4175661.26</v>
      </c>
      <c r="T280" s="341">
        <v>833116.32</v>
      </c>
      <c r="U280" s="341">
        <v>2321380.02</v>
      </c>
      <c r="V280" s="341">
        <v>8818715.1500000004</v>
      </c>
      <c r="W280" s="341">
        <v>384262.59</v>
      </c>
      <c r="X280" s="341">
        <v>518561.45</v>
      </c>
      <c r="Y280" s="341">
        <v>2396036.83</v>
      </c>
      <c r="Z280" s="341">
        <v>368664.16</v>
      </c>
      <c r="AA280" s="341">
        <v>1290331.8999999999</v>
      </c>
      <c r="AB280" s="341">
        <v>279614.46999999997</v>
      </c>
      <c r="AC280" s="341">
        <v>1801070.3</v>
      </c>
      <c r="AD280" s="341">
        <v>5518432</v>
      </c>
      <c r="AE280" s="341">
        <v>673371.06</v>
      </c>
      <c r="AF280" s="341">
        <v>0</v>
      </c>
      <c r="AG280" s="341">
        <v>16538.22</v>
      </c>
      <c r="AH280" s="341">
        <v>0</v>
      </c>
    </row>
    <row r="281" spans="2:34" x14ac:dyDescent="0.2">
      <c r="B281" s="3116" t="s">
        <v>3258</v>
      </c>
      <c r="C281" s="3116"/>
      <c r="D281" t="str">
        <f>IF(SUM(F281:N281)-E281=0,"OK","prob")</f>
        <v>OK</v>
      </c>
      <c r="E281" s="341">
        <v>0</v>
      </c>
      <c r="F281" s="341">
        <v>0</v>
      </c>
      <c r="G281" s="341">
        <v>0</v>
      </c>
      <c r="H281" s="341">
        <v>0</v>
      </c>
      <c r="I281" s="341">
        <v>0</v>
      </c>
      <c r="J281" s="341">
        <v>0</v>
      </c>
      <c r="K281" s="341">
        <v>0</v>
      </c>
      <c r="L281" s="341"/>
      <c r="M281" s="341">
        <v>0</v>
      </c>
      <c r="N281" s="341">
        <v>0</v>
      </c>
      <c r="O281" s="212">
        <v>0</v>
      </c>
      <c r="P281" s="341">
        <v>0</v>
      </c>
      <c r="Q281" s="341">
        <v>0</v>
      </c>
      <c r="R281" s="341">
        <v>0</v>
      </c>
      <c r="S281" s="341">
        <v>0</v>
      </c>
      <c r="T281" s="341">
        <v>0</v>
      </c>
      <c r="U281" s="341">
        <v>0</v>
      </c>
      <c r="V281" s="341">
        <v>0</v>
      </c>
      <c r="W281" s="341">
        <v>0</v>
      </c>
      <c r="X281" s="341">
        <v>0</v>
      </c>
      <c r="Y281" s="341">
        <v>0</v>
      </c>
      <c r="Z281" s="341">
        <v>0</v>
      </c>
      <c r="AA281" s="341">
        <v>0</v>
      </c>
      <c r="AB281" s="341">
        <v>0</v>
      </c>
      <c r="AC281" s="341">
        <v>0</v>
      </c>
      <c r="AD281" s="341">
        <v>0</v>
      </c>
      <c r="AE281" s="341">
        <v>0</v>
      </c>
      <c r="AF281" s="341">
        <v>0</v>
      </c>
      <c r="AG281" s="341">
        <v>0</v>
      </c>
      <c r="AH281" s="341">
        <v>0</v>
      </c>
    </row>
    <row r="282" spans="2:34" x14ac:dyDescent="0.2">
      <c r="B282" s="3116" t="s">
        <v>5464</v>
      </c>
      <c r="C282" s="3116"/>
      <c r="D282" t="str">
        <f>IF(SUM(F282:N282)-E282=0,"OK","prob")</f>
        <v>OK</v>
      </c>
      <c r="E282" s="341">
        <v>0</v>
      </c>
      <c r="F282" s="341">
        <v>0</v>
      </c>
      <c r="G282" s="341">
        <v>0</v>
      </c>
      <c r="H282" s="341">
        <v>0</v>
      </c>
      <c r="I282" s="341">
        <v>0</v>
      </c>
      <c r="J282" s="341">
        <v>0</v>
      </c>
      <c r="K282" s="341">
        <v>0</v>
      </c>
      <c r="L282" s="341"/>
      <c r="M282" s="341">
        <v>0</v>
      </c>
      <c r="N282" s="341">
        <v>0</v>
      </c>
      <c r="O282" s="212">
        <v>0</v>
      </c>
      <c r="P282" s="341">
        <v>0</v>
      </c>
      <c r="Q282" s="341">
        <v>0</v>
      </c>
      <c r="R282" s="341">
        <v>0</v>
      </c>
      <c r="S282" s="341">
        <v>0</v>
      </c>
      <c r="T282" s="341">
        <v>0</v>
      </c>
      <c r="U282" s="341">
        <v>0</v>
      </c>
      <c r="V282" s="341">
        <v>0</v>
      </c>
      <c r="W282" s="341">
        <v>0</v>
      </c>
      <c r="X282" s="341">
        <v>0</v>
      </c>
      <c r="Y282" s="341">
        <v>0</v>
      </c>
      <c r="Z282" s="341">
        <v>0</v>
      </c>
      <c r="AA282" s="341">
        <v>0</v>
      </c>
      <c r="AB282" s="341">
        <v>0</v>
      </c>
      <c r="AC282" s="341">
        <v>0</v>
      </c>
      <c r="AD282" s="341">
        <v>0</v>
      </c>
      <c r="AE282" s="341">
        <v>0</v>
      </c>
      <c r="AF282" s="341">
        <v>0</v>
      </c>
      <c r="AG282" s="341">
        <v>0</v>
      </c>
      <c r="AH282" s="341">
        <v>0</v>
      </c>
    </row>
    <row r="283" spans="2:34" x14ac:dyDescent="0.2">
      <c r="B283" s="3116" t="s">
        <v>4858</v>
      </c>
      <c r="C283" s="3116"/>
      <c r="D283" s="1220" t="str">
        <f>IF(ROUND(SUM(F283:N283),2)=ROUND(E283,2),"OK","prob")</f>
        <v>prob</v>
      </c>
      <c r="E283" s="341">
        <v>210704631.86000001</v>
      </c>
      <c r="F283" s="2121">
        <v>9978506</v>
      </c>
      <c r="G283" s="2121">
        <v>200655836.86000001</v>
      </c>
      <c r="H283" s="2121">
        <v>0</v>
      </c>
      <c r="I283" s="2121">
        <v>0</v>
      </c>
      <c r="J283" s="2121">
        <v>31712</v>
      </c>
      <c r="K283" s="2121">
        <v>38578</v>
      </c>
      <c r="L283" s="2121"/>
      <c r="M283" s="2121">
        <v>0</v>
      </c>
      <c r="N283" s="2121">
        <v>0</v>
      </c>
      <c r="O283" s="212">
        <v>0</v>
      </c>
      <c r="P283" s="341">
        <v>111258757.91</v>
      </c>
      <c r="Q283" s="341">
        <v>36448627.009999998</v>
      </c>
      <c r="R283" s="341">
        <v>0</v>
      </c>
      <c r="S283" s="341">
        <v>6251769.9800000004</v>
      </c>
      <c r="T283" s="341">
        <v>0</v>
      </c>
      <c r="U283" s="341">
        <v>0</v>
      </c>
      <c r="V283" s="341">
        <v>10606190.119999999</v>
      </c>
      <c r="W283" s="341">
        <v>0</v>
      </c>
      <c r="X283" s="341">
        <v>140200.17000000001</v>
      </c>
      <c r="Y283" s="341">
        <v>542337.25</v>
      </c>
      <c r="Z283" s="341">
        <v>0</v>
      </c>
      <c r="AA283" s="341">
        <v>316167.67</v>
      </c>
      <c r="AB283" s="341">
        <v>0</v>
      </c>
      <c r="AC283" s="341">
        <v>0</v>
      </c>
      <c r="AD283" s="341">
        <v>0</v>
      </c>
      <c r="AE283" s="341">
        <v>0</v>
      </c>
      <c r="AF283" s="341">
        <v>0</v>
      </c>
      <c r="AG283" s="341">
        <v>0</v>
      </c>
      <c r="AH283" s="341">
        <v>0</v>
      </c>
    </row>
    <row r="284" spans="2:34" x14ac:dyDescent="0.2">
      <c r="B284" s="3116" t="s">
        <v>3262</v>
      </c>
      <c r="C284" s="3116"/>
      <c r="D284" t="str">
        <f>IF(SUM(F284:N284)-E284=0,"OK","prob")</f>
        <v>OK</v>
      </c>
      <c r="E284" s="341">
        <v>0</v>
      </c>
      <c r="F284" s="341">
        <v>0</v>
      </c>
      <c r="G284" s="341">
        <v>0</v>
      </c>
      <c r="H284" s="341">
        <v>0</v>
      </c>
      <c r="I284" s="341">
        <v>0</v>
      </c>
      <c r="J284" s="341">
        <v>0</v>
      </c>
      <c r="K284" s="341">
        <v>0</v>
      </c>
      <c r="L284" s="341"/>
      <c r="M284" s="341">
        <v>0</v>
      </c>
      <c r="N284" s="341">
        <v>0</v>
      </c>
      <c r="O284" s="212">
        <v>0</v>
      </c>
      <c r="P284" s="341">
        <v>0</v>
      </c>
      <c r="Q284" s="341">
        <v>0</v>
      </c>
      <c r="R284" s="341">
        <v>0</v>
      </c>
      <c r="S284" s="341">
        <v>0</v>
      </c>
      <c r="T284" s="341">
        <v>0</v>
      </c>
      <c r="U284" s="341">
        <v>0</v>
      </c>
      <c r="V284" s="341">
        <v>0</v>
      </c>
      <c r="W284" s="341">
        <v>0</v>
      </c>
      <c r="X284" s="341">
        <v>0</v>
      </c>
      <c r="Y284" s="341">
        <v>0</v>
      </c>
      <c r="Z284" s="341">
        <v>0</v>
      </c>
      <c r="AA284" s="341">
        <v>0</v>
      </c>
      <c r="AB284" s="341">
        <v>0</v>
      </c>
      <c r="AC284" s="341">
        <v>0</v>
      </c>
      <c r="AD284" s="341">
        <v>0</v>
      </c>
      <c r="AE284" s="341">
        <v>0</v>
      </c>
      <c r="AF284" s="341">
        <v>0</v>
      </c>
      <c r="AG284" s="341">
        <v>0</v>
      </c>
      <c r="AH284" s="341">
        <v>0</v>
      </c>
    </row>
    <row r="285" spans="2:34" x14ac:dyDescent="0.2">
      <c r="B285" s="3116" t="s">
        <v>4859</v>
      </c>
      <c r="C285" s="3116"/>
      <c r="D285" s="1220" t="str">
        <f>IF(ROUND(SUM(F285:N285),2)-ROUND(E285,2)=0,"OK","prob")</f>
        <v>prob</v>
      </c>
      <c r="E285" s="343">
        <v>1303296</v>
      </c>
      <c r="F285" s="2121">
        <v>0</v>
      </c>
      <c r="G285" s="2122">
        <v>0</v>
      </c>
      <c r="H285" s="2122">
        <v>0</v>
      </c>
      <c r="I285" s="2121">
        <v>0</v>
      </c>
      <c r="J285" s="2121">
        <v>0</v>
      </c>
      <c r="K285" s="2121">
        <v>0</v>
      </c>
      <c r="L285" s="2121"/>
      <c r="M285" s="2121">
        <v>0</v>
      </c>
      <c r="N285" s="2121">
        <v>0</v>
      </c>
      <c r="O285" s="452">
        <v>0</v>
      </c>
      <c r="P285" s="343">
        <v>0</v>
      </c>
      <c r="Q285" s="343">
        <v>0</v>
      </c>
      <c r="R285" s="343">
        <v>0</v>
      </c>
      <c r="S285" s="343">
        <v>0</v>
      </c>
      <c r="T285" s="343">
        <v>0</v>
      </c>
      <c r="U285" s="343">
        <v>0</v>
      </c>
      <c r="V285" s="343">
        <v>0</v>
      </c>
      <c r="W285" s="343">
        <v>0</v>
      </c>
      <c r="X285" s="343">
        <v>1254787.1299999999</v>
      </c>
      <c r="Y285" s="343">
        <v>0</v>
      </c>
      <c r="Z285" s="343">
        <v>0</v>
      </c>
      <c r="AA285" s="343">
        <v>0</v>
      </c>
      <c r="AB285" s="343">
        <v>0</v>
      </c>
      <c r="AC285" s="343">
        <v>0</v>
      </c>
      <c r="AD285" s="343">
        <v>0</v>
      </c>
      <c r="AE285" s="343">
        <v>0</v>
      </c>
      <c r="AF285" s="343">
        <v>0</v>
      </c>
      <c r="AG285" s="343">
        <v>0</v>
      </c>
      <c r="AH285" s="343">
        <v>0</v>
      </c>
    </row>
    <row r="286" spans="2:34" ht="13.5" thickBot="1" x14ac:dyDescent="0.25">
      <c r="B286" s="138" t="s">
        <v>5465</v>
      </c>
      <c r="D286" t="str">
        <f>IF(ROUND(SUM(F286:N286),2)-ROUND(E286,2)=0,"OK","prob")</f>
        <v>OK</v>
      </c>
      <c r="E286" s="969">
        <f t="shared" ref="E286:AH286" si="67">SUM(E271:E285)</f>
        <v>2320332473.8499999</v>
      </c>
      <c r="F286" s="969">
        <f t="shared" si="67"/>
        <v>1003046934.02</v>
      </c>
      <c r="G286" s="969">
        <f t="shared" si="67"/>
        <v>453730874.64999998</v>
      </c>
      <c r="H286" s="969">
        <f t="shared" si="67"/>
        <v>0</v>
      </c>
      <c r="I286" s="969">
        <f t="shared" si="67"/>
        <v>652518566.04999995</v>
      </c>
      <c r="J286" s="969">
        <f t="shared" si="67"/>
        <v>25500806.149999999</v>
      </c>
      <c r="K286" s="969">
        <f t="shared" si="67"/>
        <v>57368803.090000004</v>
      </c>
      <c r="L286" s="969">
        <f t="shared" si="67"/>
        <v>0</v>
      </c>
      <c r="M286" s="969">
        <f t="shared" si="67"/>
        <v>8363057.75</v>
      </c>
      <c r="N286" s="969">
        <f t="shared" si="67"/>
        <v>119803432.14</v>
      </c>
      <c r="O286" s="381">
        <f t="shared" si="67"/>
        <v>92887603.469999999</v>
      </c>
      <c r="P286" s="969">
        <f t="shared" si="67"/>
        <v>2752687018.0700002</v>
      </c>
      <c r="Q286" s="969">
        <f t="shared" si="67"/>
        <v>1575380362.24</v>
      </c>
      <c r="R286" s="969">
        <f t="shared" si="67"/>
        <v>370501417.85000002</v>
      </c>
      <c r="S286" s="969">
        <f t="shared" si="67"/>
        <v>473651114.02999997</v>
      </c>
      <c r="T286" s="969">
        <f t="shared" si="67"/>
        <v>128122526.40000001</v>
      </c>
      <c r="U286" s="969">
        <f t="shared" si="67"/>
        <v>284256404.44</v>
      </c>
      <c r="V286" s="969">
        <f t="shared" si="67"/>
        <v>554426375.25</v>
      </c>
      <c r="W286" s="969">
        <f t="shared" si="67"/>
        <v>249581986.53</v>
      </c>
      <c r="X286" s="969">
        <f t="shared" si="67"/>
        <v>188361198.5</v>
      </c>
      <c r="Y286" s="969">
        <f t="shared" si="67"/>
        <v>420837174.25</v>
      </c>
      <c r="Z286" s="969">
        <f t="shared" si="67"/>
        <v>115848077.56999999</v>
      </c>
      <c r="AA286" s="969">
        <f t="shared" si="67"/>
        <v>148452381.46000001</v>
      </c>
      <c r="AB286" s="969">
        <f t="shared" si="67"/>
        <v>86460506.430000007</v>
      </c>
      <c r="AC286" s="969">
        <f t="shared" si="67"/>
        <v>91142130.319999993</v>
      </c>
      <c r="AD286" s="969">
        <f t="shared" si="67"/>
        <v>188964706.97999999</v>
      </c>
      <c r="AE286" s="969">
        <f t="shared" si="67"/>
        <v>81109946.310000002</v>
      </c>
      <c r="AF286" s="969">
        <f t="shared" si="67"/>
        <v>36860581.509999998</v>
      </c>
      <c r="AG286" s="969">
        <f t="shared" ref="AG286" si="68">SUM(AG271:AG285)</f>
        <v>29121.14</v>
      </c>
      <c r="AH286" s="969">
        <f t="shared" si="67"/>
        <v>3059798.08</v>
      </c>
    </row>
    <row r="287" spans="2:34" ht="13.5" thickTop="1" x14ac:dyDescent="0.2">
      <c r="C287" s="1113" t="s">
        <v>5466</v>
      </c>
      <c r="E287" s="2124">
        <v>2320332473.8499999</v>
      </c>
      <c r="F287" s="2124">
        <v>1003046934.02</v>
      </c>
      <c r="G287" s="2124">
        <v>453730874.64999998</v>
      </c>
      <c r="H287" s="2124"/>
      <c r="I287" s="2124">
        <v>652518566.04999995</v>
      </c>
      <c r="J287" s="2124">
        <v>25500806.149999999</v>
      </c>
      <c r="K287" s="2124">
        <v>57368803.090000004</v>
      </c>
      <c r="L287" s="2124"/>
      <c r="M287" s="2124">
        <v>8363057.75</v>
      </c>
      <c r="N287" s="2124">
        <v>119803432.14</v>
      </c>
    </row>
    <row r="288" spans="2:34" x14ac:dyDescent="0.2">
      <c r="B288" s="720" t="s">
        <v>5467</v>
      </c>
      <c r="E288" s="430" t="str">
        <f t="shared" ref="E288:AH288" si="69">IF(ROUND(E84+E286,2)=0,"OK", "Error")</f>
        <v>OK</v>
      </c>
      <c r="F288" s="430" t="str">
        <f t="shared" si="69"/>
        <v>OK</v>
      </c>
      <c r="G288" s="430" t="str">
        <f t="shared" si="69"/>
        <v>OK</v>
      </c>
      <c r="H288" s="430" t="str">
        <f t="shared" si="69"/>
        <v>OK</v>
      </c>
      <c r="I288" s="430" t="str">
        <f t="shared" si="69"/>
        <v>OK</v>
      </c>
      <c r="J288" s="430" t="str">
        <f t="shared" si="69"/>
        <v>OK</v>
      </c>
      <c r="K288" s="430" t="str">
        <f t="shared" si="69"/>
        <v>OK</v>
      </c>
      <c r="L288" s="430" t="str">
        <f t="shared" si="69"/>
        <v>OK</v>
      </c>
      <c r="M288" s="430" t="str">
        <f t="shared" si="69"/>
        <v>OK</v>
      </c>
      <c r="N288" s="430" t="str">
        <f t="shared" si="69"/>
        <v>OK</v>
      </c>
      <c r="O288" s="1214" t="str">
        <f t="shared" si="69"/>
        <v>OK</v>
      </c>
      <c r="P288" s="430" t="str">
        <f t="shared" si="69"/>
        <v>OK</v>
      </c>
      <c r="Q288" s="430" t="str">
        <f t="shared" si="69"/>
        <v>OK</v>
      </c>
      <c r="R288" s="430" t="str">
        <f t="shared" si="69"/>
        <v>OK</v>
      </c>
      <c r="S288" s="430" t="str">
        <f t="shared" si="69"/>
        <v>OK</v>
      </c>
      <c r="T288" s="430" t="str">
        <f t="shared" si="69"/>
        <v>OK</v>
      </c>
      <c r="U288" s="430" t="str">
        <f t="shared" si="69"/>
        <v>OK</v>
      </c>
      <c r="V288" s="430" t="str">
        <f t="shared" si="69"/>
        <v>OK</v>
      </c>
      <c r="W288" s="430" t="str">
        <f t="shared" si="69"/>
        <v>OK</v>
      </c>
      <c r="X288" s="430" t="str">
        <f t="shared" si="69"/>
        <v>OK</v>
      </c>
      <c r="Y288" s="430" t="str">
        <f t="shared" si="69"/>
        <v>OK</v>
      </c>
      <c r="Z288" s="430" t="str">
        <f t="shared" si="69"/>
        <v>OK</v>
      </c>
      <c r="AA288" s="430" t="str">
        <f t="shared" si="69"/>
        <v>OK</v>
      </c>
      <c r="AB288" s="430" t="str">
        <f t="shared" si="69"/>
        <v>OK</v>
      </c>
      <c r="AC288" s="430" t="str">
        <f t="shared" si="69"/>
        <v>OK</v>
      </c>
      <c r="AD288" s="430" t="str">
        <f t="shared" si="69"/>
        <v>OK</v>
      </c>
      <c r="AE288" s="430" t="str">
        <f t="shared" si="69"/>
        <v>OK</v>
      </c>
      <c r="AF288" s="430" t="str">
        <f t="shared" si="69"/>
        <v>OK</v>
      </c>
      <c r="AG288" s="430" t="str">
        <f t="shared" ref="AG288" si="70">IF(ROUND(AG84+AG286,2)=0,"OK", "Error")</f>
        <v>OK</v>
      </c>
      <c r="AH288" s="430" t="str">
        <f t="shared" si="69"/>
        <v>OK</v>
      </c>
    </row>
    <row r="289" spans="1:34" ht="5.25" customHeight="1" x14ac:dyDescent="0.2">
      <c r="B289" s="721"/>
      <c r="C289" s="721"/>
      <c r="E289" s="721"/>
      <c r="F289" s="721"/>
      <c r="G289" s="721"/>
      <c r="H289" s="721"/>
      <c r="I289" s="721"/>
      <c r="J289" s="721"/>
      <c r="K289" s="721"/>
      <c r="L289" s="721"/>
      <c r="M289" s="721"/>
      <c r="N289" s="721"/>
      <c r="O289" s="1210"/>
      <c r="P289" s="721"/>
      <c r="Q289" s="721"/>
      <c r="R289" s="721"/>
      <c r="S289" s="721"/>
      <c r="T289" s="721"/>
      <c r="U289" s="721"/>
      <c r="V289" s="721"/>
      <c r="W289" s="721"/>
      <c r="X289" s="721"/>
      <c r="Y289" s="721"/>
      <c r="Z289" s="721"/>
      <c r="AA289" s="721"/>
      <c r="AB289" s="721"/>
      <c r="AC289" s="721"/>
      <c r="AD289" s="721"/>
      <c r="AE289" s="721"/>
      <c r="AF289" s="721"/>
      <c r="AG289" s="721"/>
      <c r="AH289" s="721"/>
    </row>
    <row r="290" spans="1:34" x14ac:dyDescent="0.2">
      <c r="C290" s="1113" t="s">
        <v>2025</v>
      </c>
      <c r="E290" s="2121">
        <f t="shared" ref="E290:N290" si="71">+E286-E287</f>
        <v>0</v>
      </c>
      <c r="F290" s="2121">
        <f t="shared" si="71"/>
        <v>0</v>
      </c>
      <c r="G290" s="2121">
        <f t="shared" si="71"/>
        <v>0</v>
      </c>
      <c r="H290" s="2121">
        <f t="shared" si="71"/>
        <v>0</v>
      </c>
      <c r="I290" s="2121">
        <f t="shared" si="71"/>
        <v>0</v>
      </c>
      <c r="J290" s="2121">
        <f t="shared" si="71"/>
        <v>0</v>
      </c>
      <c r="K290" s="2121">
        <f t="shared" si="71"/>
        <v>0</v>
      </c>
      <c r="L290" s="2121">
        <f t="shared" si="71"/>
        <v>0</v>
      </c>
      <c r="M290" s="2121">
        <f t="shared" si="71"/>
        <v>0</v>
      </c>
      <c r="N290" s="2121">
        <f t="shared" si="71"/>
        <v>0</v>
      </c>
    </row>
    <row r="291" spans="1:34" x14ac:dyDescent="0.2">
      <c r="B291" s="717" t="s">
        <v>5468</v>
      </c>
      <c r="C291" s="718"/>
    </row>
    <row r="292" spans="1:34" x14ac:dyDescent="0.2">
      <c r="B292" s="719" t="s">
        <v>5461</v>
      </c>
      <c r="C292" s="717"/>
    </row>
    <row r="293" spans="1:34" x14ac:dyDescent="0.2">
      <c r="C293" s="27" t="s">
        <v>5396</v>
      </c>
      <c r="E293" s="706" t="s">
        <v>4634</v>
      </c>
      <c r="F293" s="715" t="s">
        <v>4636</v>
      </c>
      <c r="G293" s="706" t="s">
        <v>4637</v>
      </c>
      <c r="H293" s="706" t="s">
        <v>4638</v>
      </c>
      <c r="I293" s="706" t="s">
        <v>4639</v>
      </c>
      <c r="J293" s="706" t="s">
        <v>4640</v>
      </c>
      <c r="K293" s="706" t="s">
        <v>4641</v>
      </c>
      <c r="L293" s="706" t="s">
        <v>4644</v>
      </c>
      <c r="M293" s="1185" t="s">
        <v>4642</v>
      </c>
      <c r="N293" s="706" t="s">
        <v>4643</v>
      </c>
      <c r="O293" s="1185" t="s">
        <v>5055</v>
      </c>
      <c r="P293" s="706" t="s">
        <v>5057</v>
      </c>
      <c r="Q293" s="706" t="s">
        <v>5059</v>
      </c>
      <c r="R293" s="706" t="s">
        <v>5061</v>
      </c>
      <c r="S293" s="706" t="s">
        <v>5063</v>
      </c>
      <c r="T293" s="706" t="s">
        <v>5065</v>
      </c>
      <c r="U293" s="706" t="s">
        <v>5067</v>
      </c>
      <c r="V293" s="706" t="s">
        <v>5069</v>
      </c>
      <c r="W293" s="706" t="s">
        <v>5071</v>
      </c>
      <c r="X293" s="706" t="s">
        <v>5073</v>
      </c>
      <c r="Y293" s="706" t="s">
        <v>5075</v>
      </c>
      <c r="Z293" s="706" t="s">
        <v>5077</v>
      </c>
      <c r="AA293" s="706" t="s">
        <v>5079</v>
      </c>
      <c r="AB293" s="706" t="s">
        <v>5081</v>
      </c>
      <c r="AC293" s="706" t="s">
        <v>5083</v>
      </c>
      <c r="AD293" s="706" t="s">
        <v>5085</v>
      </c>
      <c r="AE293" s="706" t="s">
        <v>5087</v>
      </c>
      <c r="AF293" s="706" t="s">
        <v>5089</v>
      </c>
      <c r="AG293" s="1185" t="s">
        <v>5091</v>
      </c>
      <c r="AH293" s="716" t="s">
        <v>5044</v>
      </c>
    </row>
    <row r="294" spans="1:34" x14ac:dyDescent="0.2">
      <c r="C294" t="s">
        <v>5397</v>
      </c>
      <c r="E294" s="2300" t="s">
        <v>4649</v>
      </c>
      <c r="F294" s="2300" t="s">
        <v>4655</v>
      </c>
      <c r="G294" s="2300" t="s">
        <v>5398</v>
      </c>
      <c r="H294" s="2300" t="s">
        <v>5398</v>
      </c>
      <c r="I294" s="2300" t="s">
        <v>4653</v>
      </c>
      <c r="J294" s="2300" t="s">
        <v>5399</v>
      </c>
      <c r="K294" s="2300" t="s">
        <v>5400</v>
      </c>
      <c r="L294" s="2300" t="s">
        <v>4658</v>
      </c>
      <c r="M294" s="2300" t="s">
        <v>5401</v>
      </c>
      <c r="N294" s="2300" t="s">
        <v>4657</v>
      </c>
      <c r="O294" s="2300" t="s">
        <v>5402</v>
      </c>
      <c r="P294" s="2300" t="s">
        <v>5403</v>
      </c>
      <c r="Q294" s="2300" t="s">
        <v>5404</v>
      </c>
      <c r="R294" s="2300" t="s">
        <v>5403</v>
      </c>
      <c r="S294" s="2300" t="s">
        <v>5403</v>
      </c>
      <c r="T294" s="2300" t="s">
        <v>5403</v>
      </c>
      <c r="U294" s="2300" t="s">
        <v>5403</v>
      </c>
      <c r="V294" s="2300" t="s">
        <v>5405</v>
      </c>
      <c r="W294" s="2300" t="s">
        <v>5406</v>
      </c>
      <c r="X294" s="2300" t="s">
        <v>5407</v>
      </c>
      <c r="Y294" s="2300" t="s">
        <v>5408</v>
      </c>
      <c r="Z294" s="2300" t="s">
        <v>5403</v>
      </c>
      <c r="AA294" s="2300" t="s">
        <v>5409</v>
      </c>
      <c r="AB294" s="2300" t="s">
        <v>5410</v>
      </c>
      <c r="AC294" s="2300" t="s">
        <v>5411</v>
      </c>
      <c r="AD294" s="2300" t="s">
        <v>5412</v>
      </c>
      <c r="AE294" s="2300" t="s">
        <v>5413</v>
      </c>
      <c r="AF294" s="2300" t="s">
        <v>5414</v>
      </c>
      <c r="AG294" s="2300" t="s">
        <v>5415</v>
      </c>
      <c r="AH294" s="2300" t="s">
        <v>5416</v>
      </c>
    </row>
    <row r="295" spans="1:34" x14ac:dyDescent="0.2">
      <c r="B295" s="138"/>
      <c r="E295" s="2300" t="s">
        <v>5418</v>
      </c>
      <c r="F295" s="2300" t="s">
        <v>5419</v>
      </c>
      <c r="G295" s="2300" t="s">
        <v>5420</v>
      </c>
      <c r="H295" s="2300" t="s">
        <v>5421</v>
      </c>
      <c r="I295" s="2300" t="s">
        <v>4663</v>
      </c>
      <c r="J295" s="2300" t="s">
        <v>4664</v>
      </c>
      <c r="K295" s="2300" t="s">
        <v>5422</v>
      </c>
      <c r="L295" s="2300" t="s">
        <v>5423</v>
      </c>
      <c r="M295" s="2300" t="s">
        <v>4666</v>
      </c>
      <c r="N295" s="2300" t="s">
        <v>4667</v>
      </c>
      <c r="O295" s="2300" t="s">
        <v>5424</v>
      </c>
      <c r="P295" s="2300" t="s">
        <v>5425</v>
      </c>
      <c r="Q295" s="2300" t="s">
        <v>2032</v>
      </c>
      <c r="R295" s="2300" t="s">
        <v>5426</v>
      </c>
      <c r="S295" s="2300" t="s">
        <v>5427</v>
      </c>
      <c r="T295" s="2300" t="s">
        <v>5428</v>
      </c>
      <c r="U295" s="2300" t="s">
        <v>5429</v>
      </c>
      <c r="V295" s="2300" t="s">
        <v>5430</v>
      </c>
      <c r="W295" s="2300" t="s">
        <v>5431</v>
      </c>
      <c r="X295" s="2300" t="s">
        <v>5430</v>
      </c>
      <c r="Y295" s="2300" t="s">
        <v>5431</v>
      </c>
      <c r="Z295" s="2300" t="s">
        <v>5432</v>
      </c>
      <c r="AA295" s="2300" t="s">
        <v>5431</v>
      </c>
      <c r="AB295" s="2300" t="s">
        <v>5431</v>
      </c>
      <c r="AC295" s="2300" t="s">
        <v>5431</v>
      </c>
      <c r="AD295" s="2300" t="s">
        <v>2032</v>
      </c>
      <c r="AE295" s="2300" t="s">
        <v>5433</v>
      </c>
      <c r="AF295" s="2300" t="s">
        <v>5434</v>
      </c>
      <c r="AG295" s="2300" t="s">
        <v>5435</v>
      </c>
      <c r="AH295" s="2300" t="s">
        <v>5436</v>
      </c>
    </row>
    <row r="296" spans="1:34" x14ac:dyDescent="0.2">
      <c r="B296" s="722" t="s">
        <v>5469</v>
      </c>
      <c r="E296" s="610" t="str">
        <f>TEXT(Data!$A$4,"mmmm d,yyyy")</f>
        <v>June 30,2023</v>
      </c>
      <c r="F296" s="610" t="str">
        <f>TEXT(Data!$A$4,"mmmm d,yyyy")</f>
        <v>June 30,2023</v>
      </c>
      <c r="G296" s="610" t="str">
        <f>TEXT(Data!$A$4,"mmmm d,yyyy")</f>
        <v>June 30,2023</v>
      </c>
      <c r="H296" s="610" t="str">
        <f>TEXT(Data!$A$4,"mmmm d,yyyy")</f>
        <v>June 30,2023</v>
      </c>
      <c r="I296" s="610" t="str">
        <f>TEXT(Data!$A$4,"mmmm d,yyyy")</f>
        <v>June 30,2023</v>
      </c>
      <c r="J296" s="610" t="str">
        <f>TEXT(Data!$A$4,"mmmm d,yyyy")</f>
        <v>June 30,2023</v>
      </c>
      <c r="K296" s="610" t="str">
        <f>TEXT(Data!$A$4,"mmmm d,yyyy")</f>
        <v>June 30,2023</v>
      </c>
      <c r="L296" s="610" t="str">
        <f>TEXT(Data!$A$4,"mmmm d,yyyy")</f>
        <v>June 30,2023</v>
      </c>
      <c r="M296" s="610" t="str">
        <f>TEXT(Data!$A$4,"mmmm d,yyyy")</f>
        <v>June 30,2023</v>
      </c>
      <c r="N296" s="610" t="str">
        <f>TEXT(Data!$A$4,"mmmm d,yyyy")</f>
        <v>June 30,2023</v>
      </c>
      <c r="O296" s="610" t="str">
        <f>TEXT(Data!$A$4,"mmmm d,yyyy")</f>
        <v>June 30,2023</v>
      </c>
      <c r="P296" s="610" t="str">
        <f>TEXT(Data!$A$4,"mmmm d,yyyy")</f>
        <v>June 30,2023</v>
      </c>
      <c r="Q296" s="610" t="str">
        <f>TEXT(Data!$A$4,"mmmm d,yyyy")</f>
        <v>June 30,2023</v>
      </c>
      <c r="R296" s="610" t="str">
        <f>TEXT(Data!$A$4,"mmmm d,yyyy")</f>
        <v>June 30,2023</v>
      </c>
      <c r="S296" s="610" t="str">
        <f>TEXT(Data!$A$4,"mmmm d,yyyy")</f>
        <v>June 30,2023</v>
      </c>
      <c r="T296" s="610" t="str">
        <f>TEXT(Data!$A$4,"mmmm d,yyyy")</f>
        <v>June 30,2023</v>
      </c>
      <c r="U296" s="610" t="str">
        <f>TEXT(Data!$A$4,"mmmm d,yyyy")</f>
        <v>June 30,2023</v>
      </c>
      <c r="V296" s="610" t="str">
        <f>TEXT(Data!$A$4,"mmmm d,yyyy")</f>
        <v>June 30,2023</v>
      </c>
      <c r="W296" s="610" t="str">
        <f>TEXT(Data!$A$4,"mmmm d,yyyy")</f>
        <v>June 30,2023</v>
      </c>
      <c r="X296" s="610" t="str">
        <f>TEXT(Data!$A$4,"mmmm d,yyyy")</f>
        <v>June 30,2023</v>
      </c>
      <c r="Y296" s="610" t="str">
        <f>TEXT(Data!$A$4,"mmmm d,yyyy")</f>
        <v>June 30,2023</v>
      </c>
      <c r="Z296" s="610" t="str">
        <f>TEXT(Data!$A$4,"mmmm d,yyyy")</f>
        <v>June 30,2023</v>
      </c>
      <c r="AA296" s="610" t="str">
        <f>TEXT(Data!$A$4,"mmmm d,yyyy")</f>
        <v>June 30,2023</v>
      </c>
      <c r="AB296" s="610" t="str">
        <f>TEXT(Data!$A$4,"mmmm d,yyyy")</f>
        <v>June 30,2023</v>
      </c>
      <c r="AC296" s="610" t="str">
        <f>TEXT(Data!$A$4,"mmmm d,yyyy")</f>
        <v>June 30,2023</v>
      </c>
      <c r="AD296" s="610" t="str">
        <f>TEXT(Data!$A$4,"mmmm d,yyyy")</f>
        <v>June 30,2023</v>
      </c>
      <c r="AE296" s="610" t="str">
        <f>TEXT(Data!$A$4,"mmmm d,yyyy")</f>
        <v>June 30,2023</v>
      </c>
      <c r="AF296" s="610" t="str">
        <f>TEXT(Data!$A$4,"mmmm d,yyyy")</f>
        <v>June 30,2023</v>
      </c>
      <c r="AG296" s="610" t="str">
        <f>TEXT(Data!$A$4,"mmmm d,yyyy")</f>
        <v>June 30,2023</v>
      </c>
      <c r="AH296" s="610" t="str">
        <f>TEXT(Data!$A$4,"mmmm d,yyyy")</f>
        <v>June 30,2023</v>
      </c>
    </row>
    <row r="297" spans="1:34" x14ac:dyDescent="0.2">
      <c r="A297">
        <v>1</v>
      </c>
      <c r="B297" s="2295" t="s">
        <v>1067</v>
      </c>
      <c r="D297" t="str">
        <f t="shared" ref="D297:D317" si="72">IF(SUM(F297:N297)-E297=0,"OK","prob")</f>
        <v>OK</v>
      </c>
      <c r="E297" s="341">
        <v>799960000</v>
      </c>
      <c r="F297" s="341">
        <v>397465000</v>
      </c>
      <c r="G297" s="341">
        <v>0</v>
      </c>
      <c r="H297" s="341">
        <v>0</v>
      </c>
      <c r="I297" s="341">
        <v>402495000</v>
      </c>
      <c r="J297" s="341">
        <v>0</v>
      </c>
      <c r="K297" s="341">
        <v>0</v>
      </c>
      <c r="L297" s="341"/>
      <c r="M297" s="341">
        <v>0</v>
      </c>
      <c r="N297" s="341">
        <v>0</v>
      </c>
      <c r="O297" s="212">
        <v>0</v>
      </c>
      <c r="P297" s="758">
        <v>1174650000</v>
      </c>
      <c r="Q297" s="341">
        <v>438395000</v>
      </c>
      <c r="R297" s="341">
        <v>223600000</v>
      </c>
      <c r="S297" s="341">
        <v>509745000</v>
      </c>
      <c r="T297" s="341">
        <v>69717700</v>
      </c>
      <c r="U297" s="212">
        <v>73770000</v>
      </c>
      <c r="V297" s="341">
        <v>321690000</v>
      </c>
      <c r="W297" s="341">
        <v>85085000</v>
      </c>
      <c r="X297" s="341">
        <v>183140000</v>
      </c>
      <c r="Y297" s="341">
        <v>216720000</v>
      </c>
      <c r="Z297" s="341">
        <v>1195000</v>
      </c>
      <c r="AA297" s="341">
        <v>44245000</v>
      </c>
      <c r="AB297" s="341">
        <v>14130000</v>
      </c>
      <c r="AC297" s="341">
        <v>23174000</v>
      </c>
      <c r="AD297" s="341">
        <v>94348200</v>
      </c>
      <c r="AE297" s="341">
        <v>41950000</v>
      </c>
      <c r="AF297" s="341">
        <v>0</v>
      </c>
      <c r="AG297" s="341">
        <v>0</v>
      </c>
      <c r="AH297" s="341">
        <v>0</v>
      </c>
    </row>
    <row r="298" spans="1:34" x14ac:dyDescent="0.2">
      <c r="A298">
        <v>3</v>
      </c>
      <c r="B298" s="2295" t="s">
        <v>1037</v>
      </c>
      <c r="D298" t="str">
        <f t="shared" si="72"/>
        <v>OK</v>
      </c>
      <c r="E298" s="341">
        <v>0</v>
      </c>
      <c r="F298" s="341">
        <v>0</v>
      </c>
      <c r="G298" s="341">
        <v>0</v>
      </c>
      <c r="H298" s="341">
        <v>0</v>
      </c>
      <c r="I298" s="341">
        <v>0</v>
      </c>
      <c r="J298" s="341">
        <v>0</v>
      </c>
      <c r="K298" s="341">
        <v>0</v>
      </c>
      <c r="L298" s="341"/>
      <c r="M298" s="341">
        <v>0</v>
      </c>
      <c r="N298" s="341">
        <v>0</v>
      </c>
      <c r="O298" s="212">
        <v>0</v>
      </c>
      <c r="P298" s="341">
        <v>0</v>
      </c>
      <c r="Q298" s="341">
        <v>0</v>
      </c>
      <c r="R298" s="341">
        <v>0</v>
      </c>
      <c r="S298" s="341">
        <v>0</v>
      </c>
      <c r="T298" s="341">
        <v>0</v>
      </c>
      <c r="U298" s="341">
        <v>0</v>
      </c>
      <c r="V298" s="341">
        <v>0</v>
      </c>
      <c r="W298" s="341">
        <v>0</v>
      </c>
      <c r="X298" s="341">
        <v>0</v>
      </c>
      <c r="Y298" s="341">
        <v>0</v>
      </c>
      <c r="Z298" s="341">
        <v>0</v>
      </c>
      <c r="AA298" s="341">
        <v>0</v>
      </c>
      <c r="AB298" s="341">
        <v>0</v>
      </c>
      <c r="AC298" s="341">
        <v>0</v>
      </c>
      <c r="AD298" s="341">
        <v>0</v>
      </c>
      <c r="AE298" s="341">
        <v>2815000</v>
      </c>
      <c r="AF298" s="341">
        <v>0</v>
      </c>
      <c r="AG298" s="341">
        <v>0</v>
      </c>
      <c r="AH298" s="341">
        <v>0</v>
      </c>
    </row>
    <row r="299" spans="1:34" x14ac:dyDescent="0.2">
      <c r="A299">
        <v>4</v>
      </c>
      <c r="B299" s="2295" t="s">
        <v>5470</v>
      </c>
      <c r="D299" t="str">
        <f t="shared" si="72"/>
        <v>OK</v>
      </c>
      <c r="E299" s="341">
        <v>0</v>
      </c>
      <c r="F299" s="341">
        <v>0</v>
      </c>
      <c r="G299" s="341">
        <v>0</v>
      </c>
      <c r="H299" s="341">
        <v>0</v>
      </c>
      <c r="I299" s="341">
        <v>0</v>
      </c>
      <c r="J299" s="341">
        <v>0</v>
      </c>
      <c r="K299" s="341">
        <v>0</v>
      </c>
      <c r="L299" s="341"/>
      <c r="M299" s="341">
        <v>0</v>
      </c>
      <c r="N299" s="341">
        <v>0</v>
      </c>
      <c r="O299" s="212">
        <v>0</v>
      </c>
      <c r="P299" s="341">
        <v>0</v>
      </c>
      <c r="Q299" s="341">
        <v>0</v>
      </c>
      <c r="R299" s="341">
        <v>0</v>
      </c>
      <c r="S299" s="341">
        <v>0</v>
      </c>
      <c r="T299" s="341">
        <v>0</v>
      </c>
      <c r="U299" s="341">
        <v>97050000</v>
      </c>
      <c r="V299" s="341">
        <v>0</v>
      </c>
      <c r="W299" s="341">
        <v>0</v>
      </c>
      <c r="X299" s="341">
        <v>42465000</v>
      </c>
      <c r="Y299" s="341">
        <v>0</v>
      </c>
      <c r="Z299" s="341">
        <v>20890000</v>
      </c>
      <c r="AA299" s="341">
        <v>28845000</v>
      </c>
      <c r="AB299" s="341">
        <v>0</v>
      </c>
      <c r="AC299" s="341">
        <v>14045000</v>
      </c>
      <c r="AD299" s="341">
        <v>0</v>
      </c>
      <c r="AE299" s="341">
        <v>0</v>
      </c>
      <c r="AF299" s="341">
        <v>0</v>
      </c>
      <c r="AG299" s="341">
        <v>0</v>
      </c>
      <c r="AH299" s="341">
        <v>0</v>
      </c>
    </row>
    <row r="300" spans="1:34" x14ac:dyDescent="0.2">
      <c r="A300">
        <v>5</v>
      </c>
      <c r="B300" s="2295" t="s">
        <v>5471</v>
      </c>
      <c r="D300" t="str">
        <f t="shared" si="72"/>
        <v>OK</v>
      </c>
      <c r="E300" s="341">
        <v>0</v>
      </c>
      <c r="F300" s="341">
        <v>0</v>
      </c>
      <c r="G300" s="341">
        <v>0</v>
      </c>
      <c r="H300" s="341">
        <v>0</v>
      </c>
      <c r="I300" s="341">
        <v>0</v>
      </c>
      <c r="J300" s="341">
        <v>0</v>
      </c>
      <c r="K300" s="341">
        <v>0</v>
      </c>
      <c r="L300" s="341"/>
      <c r="M300" s="341">
        <v>0</v>
      </c>
      <c r="N300" s="341">
        <v>0</v>
      </c>
      <c r="O300" s="212">
        <v>0</v>
      </c>
      <c r="P300" s="758">
        <v>0</v>
      </c>
      <c r="Q300" s="341">
        <v>0</v>
      </c>
      <c r="R300" s="341">
        <v>0</v>
      </c>
      <c r="S300" s="341">
        <v>-8706.08</v>
      </c>
      <c r="T300" s="341">
        <v>-1334.78</v>
      </c>
      <c r="U300" s="341">
        <v>0</v>
      </c>
      <c r="V300" s="341">
        <v>-2655805.96</v>
      </c>
      <c r="W300" s="341">
        <v>0</v>
      </c>
      <c r="X300" s="341">
        <v>0</v>
      </c>
      <c r="Y300" s="341">
        <v>-30173.22</v>
      </c>
      <c r="Z300" s="341">
        <v>0</v>
      </c>
      <c r="AA300" s="341">
        <v>0</v>
      </c>
      <c r="AB300" s="341">
        <v>-14163.78</v>
      </c>
      <c r="AC300" s="341">
        <v>0</v>
      </c>
      <c r="AD300" s="341">
        <v>0</v>
      </c>
      <c r="AE300" s="341">
        <v>0</v>
      </c>
      <c r="AF300" s="341">
        <v>0</v>
      </c>
      <c r="AG300" s="341">
        <v>0</v>
      </c>
      <c r="AH300" s="341">
        <v>0</v>
      </c>
    </row>
    <row r="301" spans="1:34" x14ac:dyDescent="0.2">
      <c r="A301">
        <v>6</v>
      </c>
      <c r="B301" s="2295" t="s">
        <v>5472</v>
      </c>
      <c r="D301" t="str">
        <f t="shared" si="72"/>
        <v>OK</v>
      </c>
      <c r="E301" s="341">
        <v>69296880.359999999</v>
      </c>
      <c r="F301" s="341">
        <v>44492811.409999996</v>
      </c>
      <c r="G301" s="341">
        <v>0</v>
      </c>
      <c r="H301" s="341">
        <v>0</v>
      </c>
      <c r="I301" s="341">
        <v>24804068.949999999</v>
      </c>
      <c r="J301" s="341">
        <v>0</v>
      </c>
      <c r="K301" s="341">
        <v>0</v>
      </c>
      <c r="L301" s="341"/>
      <c r="M301" s="341">
        <v>0</v>
      </c>
      <c r="N301" s="341">
        <v>0</v>
      </c>
      <c r="O301" s="212">
        <v>0</v>
      </c>
      <c r="P301" s="758">
        <v>34967072.5</v>
      </c>
      <c r="Q301" s="341">
        <v>23580902.670000002</v>
      </c>
      <c r="R301" s="341">
        <v>17478669.800000001</v>
      </c>
      <c r="S301" s="341">
        <v>29988971.859999999</v>
      </c>
      <c r="T301" s="341">
        <v>5501327.0300000003</v>
      </c>
      <c r="U301" s="341">
        <v>16798103.100000001</v>
      </c>
      <c r="V301" s="341">
        <v>15642207.75</v>
      </c>
      <c r="W301" s="341">
        <v>4261683.72</v>
      </c>
      <c r="X301" s="341">
        <v>21992169.949999999</v>
      </c>
      <c r="Y301" s="341">
        <v>12616402.66</v>
      </c>
      <c r="Z301" s="341">
        <v>955906.78</v>
      </c>
      <c r="AA301" s="341">
        <v>6768514.3300000001</v>
      </c>
      <c r="AB301" s="341">
        <v>1410111.62</v>
      </c>
      <c r="AC301" s="341">
        <v>6287934.5300000003</v>
      </c>
      <c r="AD301" s="341">
        <v>8490667.5</v>
      </c>
      <c r="AE301" s="341">
        <v>2718640.58</v>
      </c>
      <c r="AF301" s="341">
        <v>0</v>
      </c>
      <c r="AG301" s="341">
        <v>0</v>
      </c>
      <c r="AH301" s="341">
        <v>0</v>
      </c>
    </row>
    <row r="302" spans="1:34" x14ac:dyDescent="0.2">
      <c r="A302">
        <v>7</v>
      </c>
      <c r="B302" s="2295" t="s">
        <v>1041</v>
      </c>
      <c r="D302" t="str">
        <f t="shared" si="72"/>
        <v>OK</v>
      </c>
      <c r="E302" s="341">
        <v>0</v>
      </c>
      <c r="F302" s="341">
        <v>0</v>
      </c>
      <c r="G302" s="341">
        <v>0</v>
      </c>
      <c r="H302" s="341">
        <v>0</v>
      </c>
      <c r="I302" s="341">
        <v>0</v>
      </c>
      <c r="J302" s="341">
        <v>0</v>
      </c>
      <c r="K302" s="341">
        <v>0</v>
      </c>
      <c r="L302" s="341"/>
      <c r="M302" s="341">
        <v>0</v>
      </c>
      <c r="N302" s="341">
        <v>0</v>
      </c>
      <c r="O302" s="212">
        <v>0</v>
      </c>
      <c r="P302" s="341">
        <v>0</v>
      </c>
      <c r="Q302" s="341">
        <v>0</v>
      </c>
      <c r="R302" s="341">
        <v>0</v>
      </c>
      <c r="S302" s="341">
        <v>0</v>
      </c>
      <c r="T302" s="341">
        <v>0</v>
      </c>
      <c r="U302" s="341">
        <v>0</v>
      </c>
      <c r="V302" s="341">
        <v>0</v>
      </c>
      <c r="W302" s="341">
        <v>0</v>
      </c>
      <c r="X302" s="341">
        <v>0</v>
      </c>
      <c r="Y302" s="341">
        <v>0</v>
      </c>
      <c r="Z302" s="341">
        <v>0</v>
      </c>
      <c r="AA302" s="341">
        <v>0</v>
      </c>
      <c r="AB302" s="341">
        <v>0</v>
      </c>
      <c r="AC302" s="341">
        <v>0</v>
      </c>
      <c r="AD302" s="341">
        <v>0</v>
      </c>
      <c r="AE302" s="341">
        <v>0</v>
      </c>
      <c r="AF302" s="341">
        <v>0</v>
      </c>
      <c r="AG302" s="341">
        <v>0</v>
      </c>
      <c r="AH302" s="341">
        <v>0</v>
      </c>
    </row>
    <row r="303" spans="1:34" x14ac:dyDescent="0.2">
      <c r="A303">
        <v>8</v>
      </c>
      <c r="B303" s="2295" t="s">
        <v>1043</v>
      </c>
      <c r="D303" t="str">
        <f t="shared" si="72"/>
        <v>OK</v>
      </c>
      <c r="E303" s="341">
        <v>0</v>
      </c>
      <c r="F303" s="341">
        <v>0</v>
      </c>
      <c r="G303" s="341">
        <v>0</v>
      </c>
      <c r="H303" s="341">
        <v>0</v>
      </c>
      <c r="I303" s="341">
        <v>0</v>
      </c>
      <c r="J303" s="341">
        <v>0</v>
      </c>
      <c r="K303" s="341">
        <v>0</v>
      </c>
      <c r="L303" s="341"/>
      <c r="M303" s="341">
        <v>0</v>
      </c>
      <c r="N303" s="341">
        <v>0</v>
      </c>
      <c r="O303" s="212">
        <v>340894.95</v>
      </c>
      <c r="P303" s="341">
        <v>12088045.289999999</v>
      </c>
      <c r="Q303" s="341">
        <v>9234462.75</v>
      </c>
      <c r="R303" s="341">
        <v>3485515.78</v>
      </c>
      <c r="S303" s="341">
        <v>2617412.3199999998</v>
      </c>
      <c r="T303" s="341">
        <v>85465.8</v>
      </c>
      <c r="U303" s="341">
        <v>739291.09</v>
      </c>
      <c r="V303" s="341">
        <v>4080348.84</v>
      </c>
      <c r="W303" s="341">
        <v>1439023.73</v>
      </c>
      <c r="X303" s="341">
        <v>953764.39</v>
      </c>
      <c r="Y303" s="341">
        <v>661382.88</v>
      </c>
      <c r="Z303" s="341">
        <v>3056759.14</v>
      </c>
      <c r="AA303" s="341">
        <v>3628933.92</v>
      </c>
      <c r="AB303" s="341">
        <v>1448929</v>
      </c>
      <c r="AC303" s="341">
        <v>1185228.23</v>
      </c>
      <c r="AD303" s="341">
        <v>1984437.91</v>
      </c>
      <c r="AE303" s="341">
        <v>829647.13</v>
      </c>
      <c r="AF303" s="341">
        <v>0</v>
      </c>
      <c r="AG303" s="341">
        <v>0</v>
      </c>
      <c r="AH303" s="341">
        <v>0</v>
      </c>
    </row>
    <row r="304" spans="1:34" x14ac:dyDescent="0.2">
      <c r="A304">
        <v>22</v>
      </c>
      <c r="B304" s="2295" t="s">
        <v>1044</v>
      </c>
      <c r="D304" t="str">
        <f t="shared" si="72"/>
        <v>OK</v>
      </c>
      <c r="E304" s="341">
        <v>28424765.550000001</v>
      </c>
      <c r="F304" s="341">
        <v>0</v>
      </c>
      <c r="G304" s="341">
        <v>0</v>
      </c>
      <c r="H304" s="341">
        <v>0</v>
      </c>
      <c r="I304" s="341">
        <v>15654402.550000001</v>
      </c>
      <c r="J304" s="341">
        <v>10097586</v>
      </c>
      <c r="K304" s="341">
        <v>0</v>
      </c>
      <c r="L304" s="341"/>
      <c r="M304" s="341">
        <v>0</v>
      </c>
      <c r="N304" s="341">
        <v>2672777</v>
      </c>
      <c r="O304" s="212">
        <v>0</v>
      </c>
      <c r="P304" s="758">
        <v>64701219.68</v>
      </c>
      <c r="Q304" s="341">
        <v>40133591.350000001</v>
      </c>
      <c r="R304" s="341">
        <v>8053822.7300000004</v>
      </c>
      <c r="S304" s="341">
        <v>3821965.17</v>
      </c>
      <c r="T304" s="341">
        <v>0</v>
      </c>
      <c r="U304" s="341">
        <v>8002394.3600000003</v>
      </c>
      <c r="V304" s="341">
        <v>0</v>
      </c>
      <c r="W304" s="341">
        <v>2622724.33</v>
      </c>
      <c r="X304" s="341">
        <v>0</v>
      </c>
      <c r="Y304" s="341">
        <v>96681891.230000004</v>
      </c>
      <c r="Z304" s="341">
        <v>5344266.97</v>
      </c>
      <c r="AA304" s="341">
        <v>2742150.54</v>
      </c>
      <c r="AB304" s="341">
        <v>21841055.02</v>
      </c>
      <c r="AC304" s="341">
        <v>6620722.2699999996</v>
      </c>
      <c r="AD304" s="341">
        <v>2321701.0099999998</v>
      </c>
      <c r="AE304" s="341">
        <v>0</v>
      </c>
      <c r="AF304" s="341">
        <v>17237220.620000001</v>
      </c>
      <c r="AG304" s="341">
        <v>0</v>
      </c>
      <c r="AH304" s="341">
        <v>0</v>
      </c>
    </row>
    <row r="305" spans="1:34" x14ac:dyDescent="0.2">
      <c r="A305">
        <v>23</v>
      </c>
      <c r="B305" s="2295" t="s">
        <v>1036</v>
      </c>
      <c r="D305" t="str">
        <f t="shared" si="72"/>
        <v>OK</v>
      </c>
      <c r="E305" s="341">
        <v>0</v>
      </c>
      <c r="F305" s="341">
        <v>0</v>
      </c>
      <c r="G305" s="341"/>
      <c r="H305" s="341">
        <v>0</v>
      </c>
      <c r="I305" s="341">
        <v>0</v>
      </c>
      <c r="J305" s="341">
        <v>0</v>
      </c>
      <c r="K305" s="341">
        <v>0</v>
      </c>
      <c r="L305" s="341"/>
      <c r="M305" s="341">
        <v>0</v>
      </c>
      <c r="N305" s="212">
        <v>0</v>
      </c>
      <c r="O305" s="212">
        <v>0</v>
      </c>
      <c r="P305" s="758">
        <v>60000000</v>
      </c>
      <c r="Q305" s="341">
        <v>24485058</v>
      </c>
      <c r="R305" s="341">
        <v>20230619.690000001</v>
      </c>
      <c r="S305" s="341">
        <v>0</v>
      </c>
      <c r="T305" s="341">
        <v>0</v>
      </c>
      <c r="U305" s="341">
        <v>17485000</v>
      </c>
      <c r="V305" s="341">
        <v>14515000</v>
      </c>
      <c r="W305" s="341">
        <v>0</v>
      </c>
      <c r="X305" s="341">
        <v>0</v>
      </c>
      <c r="Y305" s="341">
        <v>26101000</v>
      </c>
      <c r="Z305" s="341">
        <v>16445131.23</v>
      </c>
      <c r="AA305" s="341">
        <v>0</v>
      </c>
      <c r="AB305" s="341">
        <v>0</v>
      </c>
      <c r="AC305" s="341">
        <v>0</v>
      </c>
      <c r="AD305" s="341">
        <v>0</v>
      </c>
      <c r="AE305" s="341">
        <v>0</v>
      </c>
      <c r="AF305" s="341">
        <v>0</v>
      </c>
      <c r="AG305" s="341">
        <v>0</v>
      </c>
      <c r="AH305" s="341">
        <v>0</v>
      </c>
    </row>
    <row r="306" spans="1:34" x14ac:dyDescent="0.2">
      <c r="A306">
        <v>10</v>
      </c>
      <c r="B306" s="2295" t="s">
        <v>4928</v>
      </c>
      <c r="D306" t="str">
        <f>IF(SUM(F306:N306)-E306=0,"OK","prob")</f>
        <v>OK</v>
      </c>
      <c r="E306" s="341">
        <v>305529864.95999998</v>
      </c>
      <c r="F306" s="341">
        <v>66259570.119999997</v>
      </c>
      <c r="G306" s="341">
        <v>73987721.140000001</v>
      </c>
      <c r="H306" s="341">
        <v>0</v>
      </c>
      <c r="I306" s="341">
        <v>51670345.380000003</v>
      </c>
      <c r="J306" s="341">
        <v>4296739.1500000004</v>
      </c>
      <c r="K306" s="341">
        <v>95768060.730000004</v>
      </c>
      <c r="L306" s="341"/>
      <c r="M306" s="341">
        <v>0</v>
      </c>
      <c r="N306" s="341">
        <v>13547428.439999999</v>
      </c>
      <c r="O306" s="758">
        <v>12884120.92</v>
      </c>
      <c r="P306" s="758">
        <v>93362849.469999999</v>
      </c>
      <c r="Q306" s="341">
        <v>102103189.65000001</v>
      </c>
      <c r="R306" s="341">
        <v>4863790.58</v>
      </c>
      <c r="S306" s="341">
        <v>5944061.25</v>
      </c>
      <c r="T306" s="341">
        <v>2205197.12</v>
      </c>
      <c r="U306" s="341">
        <v>1387525.65</v>
      </c>
      <c r="V306" s="341">
        <v>28485601.390000001</v>
      </c>
      <c r="W306" s="341">
        <v>2645068.25</v>
      </c>
      <c r="X306" s="341">
        <v>7112528.3899999997</v>
      </c>
      <c r="Y306" s="341">
        <v>9696312.9000000004</v>
      </c>
      <c r="Z306" s="341">
        <v>253760.37</v>
      </c>
      <c r="AA306" s="341">
        <v>1519626.97</v>
      </c>
      <c r="AB306" s="341">
        <v>154298.54999999999</v>
      </c>
      <c r="AC306" s="341">
        <v>439980</v>
      </c>
      <c r="AD306" s="341">
        <v>497471.22</v>
      </c>
      <c r="AE306" s="341">
        <v>0</v>
      </c>
      <c r="AF306" s="341">
        <v>0</v>
      </c>
      <c r="AG306" s="341">
        <v>0</v>
      </c>
      <c r="AH306" s="341">
        <v>0</v>
      </c>
    </row>
    <row r="307" spans="1:34" x14ac:dyDescent="0.2">
      <c r="A307">
        <v>28</v>
      </c>
      <c r="B307" s="138" t="s">
        <v>1046</v>
      </c>
      <c r="D307" t="str">
        <f t="shared" si="72"/>
        <v>OK</v>
      </c>
      <c r="E307" s="341">
        <v>80590179.069999993</v>
      </c>
      <c r="F307" s="341">
        <v>0</v>
      </c>
      <c r="G307" s="341">
        <v>80590179.069999993</v>
      </c>
      <c r="H307" s="341">
        <v>0</v>
      </c>
      <c r="I307" s="341">
        <v>0</v>
      </c>
      <c r="J307" s="341">
        <v>0</v>
      </c>
      <c r="K307" s="341">
        <v>0</v>
      </c>
      <c r="L307" s="341"/>
      <c r="M307" s="341">
        <v>0</v>
      </c>
      <c r="N307" s="341">
        <v>0</v>
      </c>
      <c r="O307" s="758">
        <v>2825217.59</v>
      </c>
      <c r="P307" s="758">
        <v>12907707.359999999</v>
      </c>
      <c r="Q307" s="341">
        <v>5948083.7300000004</v>
      </c>
      <c r="R307" s="341">
        <v>3550936.23</v>
      </c>
      <c r="S307" s="341">
        <v>6290462.8200000003</v>
      </c>
      <c r="T307" s="341">
        <v>1157730.1499999999</v>
      </c>
      <c r="U307" s="341">
        <v>8885589.4199999999</v>
      </c>
      <c r="V307" s="341">
        <v>22990127.879999999</v>
      </c>
      <c r="W307" s="341">
        <v>1969696.96</v>
      </c>
      <c r="X307" s="341">
        <v>1433895.45</v>
      </c>
      <c r="Y307" s="341">
        <v>3755881.29</v>
      </c>
      <c r="Z307" s="341">
        <v>810621.77</v>
      </c>
      <c r="AA307" s="341">
        <v>3370351.5</v>
      </c>
      <c r="AB307" s="341">
        <v>778779.64</v>
      </c>
      <c r="AC307" s="341">
        <v>3781495</v>
      </c>
      <c r="AD307" s="341">
        <v>5952845</v>
      </c>
      <c r="AE307" s="341">
        <v>1453729.74</v>
      </c>
      <c r="AF307" s="341">
        <v>0</v>
      </c>
      <c r="AG307" s="341">
        <v>80047.89</v>
      </c>
      <c r="AH307" s="341">
        <v>0</v>
      </c>
    </row>
    <row r="308" spans="1:34" x14ac:dyDescent="0.2">
      <c r="A308">
        <v>29</v>
      </c>
      <c r="B308" s="138" t="s">
        <v>979</v>
      </c>
      <c r="D308" t="str">
        <f t="shared" si="72"/>
        <v>OK</v>
      </c>
      <c r="E308" s="341">
        <v>0</v>
      </c>
      <c r="F308" s="341">
        <v>0</v>
      </c>
      <c r="G308" s="341">
        <v>0</v>
      </c>
      <c r="H308" s="341">
        <v>0</v>
      </c>
      <c r="I308" s="341">
        <v>0</v>
      </c>
      <c r="J308" s="341">
        <v>0</v>
      </c>
      <c r="K308" s="341">
        <v>0</v>
      </c>
      <c r="L308" s="341">
        <v>0</v>
      </c>
      <c r="M308" s="341">
        <v>0</v>
      </c>
      <c r="N308" s="341">
        <v>0</v>
      </c>
      <c r="O308" s="341">
        <v>0</v>
      </c>
      <c r="P308" s="341">
        <v>0</v>
      </c>
      <c r="Q308" s="341">
        <v>0</v>
      </c>
      <c r="R308" s="341">
        <v>0</v>
      </c>
      <c r="S308" s="341">
        <v>0</v>
      </c>
      <c r="T308" s="341">
        <v>0</v>
      </c>
      <c r="U308" s="341">
        <v>0</v>
      </c>
      <c r="V308" s="341">
        <v>0</v>
      </c>
      <c r="W308" s="341">
        <v>0</v>
      </c>
      <c r="X308" s="341">
        <v>0</v>
      </c>
      <c r="Y308" s="341">
        <v>0</v>
      </c>
      <c r="Z308" s="341">
        <v>0</v>
      </c>
      <c r="AA308" s="341">
        <v>0</v>
      </c>
      <c r="AB308" s="341">
        <v>0</v>
      </c>
      <c r="AC308" s="341">
        <v>0</v>
      </c>
      <c r="AD308" s="341">
        <v>0</v>
      </c>
      <c r="AE308" s="341">
        <v>0</v>
      </c>
      <c r="AF308" s="341">
        <v>0</v>
      </c>
      <c r="AG308" s="341">
        <v>0</v>
      </c>
      <c r="AH308" s="341">
        <v>0</v>
      </c>
    </row>
    <row r="309" spans="1:34" x14ac:dyDescent="0.2">
      <c r="A309">
        <v>11</v>
      </c>
      <c r="B309" s="2295" t="s">
        <v>1069</v>
      </c>
      <c r="D309" t="str">
        <f t="shared" si="72"/>
        <v>OK</v>
      </c>
      <c r="E309" s="341">
        <v>1750725</v>
      </c>
      <c r="F309" s="341">
        <v>0</v>
      </c>
      <c r="G309" s="341">
        <v>0</v>
      </c>
      <c r="H309" s="341">
        <v>0</v>
      </c>
      <c r="I309" s="341">
        <v>0</v>
      </c>
      <c r="J309" s="341">
        <v>0</v>
      </c>
      <c r="K309" s="341">
        <v>0</v>
      </c>
      <c r="L309" s="341"/>
      <c r="M309" s="341">
        <v>0</v>
      </c>
      <c r="N309" s="341">
        <v>1750725</v>
      </c>
      <c r="O309" s="212">
        <v>0</v>
      </c>
      <c r="P309" s="758">
        <v>46304392.399999999</v>
      </c>
      <c r="Q309" s="341">
        <v>0</v>
      </c>
      <c r="R309" s="341">
        <v>3650807.94</v>
      </c>
      <c r="S309" s="341">
        <v>0</v>
      </c>
      <c r="T309" s="341">
        <v>0</v>
      </c>
      <c r="U309" s="341">
        <v>0</v>
      </c>
      <c r="V309" s="341">
        <v>0</v>
      </c>
      <c r="W309" s="341">
        <v>0</v>
      </c>
      <c r="X309" s="341">
        <v>0</v>
      </c>
      <c r="Y309" s="341">
        <v>0</v>
      </c>
      <c r="Z309" s="341">
        <v>0</v>
      </c>
      <c r="AA309" s="341">
        <v>0</v>
      </c>
      <c r="AB309" s="341">
        <v>0</v>
      </c>
      <c r="AC309" s="341">
        <v>0</v>
      </c>
      <c r="AD309" s="341">
        <v>0</v>
      </c>
      <c r="AE309" s="341">
        <v>0</v>
      </c>
      <c r="AF309" s="341">
        <v>0</v>
      </c>
      <c r="AG309" s="341">
        <v>0</v>
      </c>
      <c r="AH309" s="341">
        <v>0</v>
      </c>
    </row>
    <row r="310" spans="1:34" x14ac:dyDescent="0.2">
      <c r="A310">
        <v>12</v>
      </c>
      <c r="B310" s="2295" t="s">
        <v>1070</v>
      </c>
      <c r="D310" t="str">
        <f t="shared" si="72"/>
        <v>OK</v>
      </c>
      <c r="E310" s="341">
        <v>0</v>
      </c>
      <c r="F310" s="341">
        <v>0</v>
      </c>
      <c r="G310" s="341">
        <v>0</v>
      </c>
      <c r="H310" s="341">
        <v>0</v>
      </c>
      <c r="I310" s="341">
        <v>0</v>
      </c>
      <c r="J310" s="341">
        <v>0</v>
      </c>
      <c r="K310" s="341">
        <v>0</v>
      </c>
      <c r="L310" s="341"/>
      <c r="M310" s="341">
        <v>0</v>
      </c>
      <c r="N310" s="341">
        <v>0</v>
      </c>
      <c r="O310" s="212">
        <v>0</v>
      </c>
      <c r="P310" s="341">
        <v>0</v>
      </c>
      <c r="Q310" s="341">
        <v>0</v>
      </c>
      <c r="R310" s="341">
        <v>0</v>
      </c>
      <c r="S310" s="341">
        <v>0</v>
      </c>
      <c r="T310" s="341">
        <v>0</v>
      </c>
      <c r="U310" s="341">
        <v>0</v>
      </c>
      <c r="V310" s="341">
        <v>0</v>
      </c>
      <c r="W310" s="341">
        <v>0</v>
      </c>
      <c r="X310" s="341">
        <v>0</v>
      </c>
      <c r="Y310" s="341">
        <v>0</v>
      </c>
      <c r="Z310" s="341">
        <v>0</v>
      </c>
      <c r="AA310" s="341">
        <v>0</v>
      </c>
      <c r="AB310" s="341">
        <v>0</v>
      </c>
      <c r="AC310" s="341">
        <v>0</v>
      </c>
      <c r="AD310" s="341">
        <v>0</v>
      </c>
      <c r="AE310" s="341">
        <v>0</v>
      </c>
      <c r="AF310" s="341">
        <v>0</v>
      </c>
      <c r="AG310" s="341">
        <v>0</v>
      </c>
      <c r="AH310" s="341">
        <v>0</v>
      </c>
    </row>
    <row r="311" spans="1:34" x14ac:dyDescent="0.2">
      <c r="A311">
        <v>13</v>
      </c>
      <c r="B311" s="2295" t="s">
        <v>1048</v>
      </c>
      <c r="D311" t="str">
        <f t="shared" si="72"/>
        <v>OK</v>
      </c>
      <c r="E311" s="341">
        <v>0</v>
      </c>
      <c r="F311" s="341">
        <v>0</v>
      </c>
      <c r="G311" s="341">
        <v>0</v>
      </c>
      <c r="H311" s="341">
        <v>0</v>
      </c>
      <c r="I311" s="341">
        <v>0</v>
      </c>
      <c r="J311" s="341">
        <v>0</v>
      </c>
      <c r="K311" s="341">
        <v>0</v>
      </c>
      <c r="L311" s="341"/>
      <c r="M311" s="341">
        <v>0</v>
      </c>
      <c r="N311" s="341">
        <v>0</v>
      </c>
      <c r="O311" s="212">
        <v>0</v>
      </c>
      <c r="P311" s="341">
        <v>0</v>
      </c>
      <c r="Q311" s="341">
        <v>4343065.97</v>
      </c>
      <c r="R311" s="341">
        <v>0</v>
      </c>
      <c r="S311" s="341">
        <v>0</v>
      </c>
      <c r="T311" s="341">
        <v>0</v>
      </c>
      <c r="U311" s="341">
        <v>0</v>
      </c>
      <c r="V311" s="341">
        <v>0</v>
      </c>
      <c r="W311" s="341">
        <v>0</v>
      </c>
      <c r="X311" s="341">
        <v>0</v>
      </c>
      <c r="Y311" s="341">
        <v>0</v>
      </c>
      <c r="Z311" s="341">
        <v>0</v>
      </c>
      <c r="AA311" s="341">
        <v>0</v>
      </c>
      <c r="AB311" s="341">
        <v>0</v>
      </c>
      <c r="AC311" s="341">
        <v>30000</v>
      </c>
      <c r="AD311" s="341">
        <v>0</v>
      </c>
      <c r="AE311" s="341">
        <v>0</v>
      </c>
      <c r="AF311" s="341">
        <v>0</v>
      </c>
      <c r="AG311" s="341">
        <v>0</v>
      </c>
      <c r="AH311" s="341">
        <v>0</v>
      </c>
    </row>
    <row r="312" spans="1:34" x14ac:dyDescent="0.2">
      <c r="A312">
        <v>25</v>
      </c>
      <c r="B312" s="2295" t="s">
        <v>1049</v>
      </c>
      <c r="D312" t="str">
        <f t="shared" si="72"/>
        <v>OK</v>
      </c>
      <c r="E312" s="341">
        <v>0</v>
      </c>
      <c r="F312" s="341">
        <v>0</v>
      </c>
      <c r="G312" s="341">
        <v>0</v>
      </c>
      <c r="H312" s="341">
        <v>0</v>
      </c>
      <c r="I312" s="341">
        <v>0</v>
      </c>
      <c r="J312" s="341">
        <v>0</v>
      </c>
      <c r="K312" s="341">
        <v>0</v>
      </c>
      <c r="L312" s="341"/>
      <c r="M312" s="341">
        <v>0</v>
      </c>
      <c r="N312" s="341">
        <v>0</v>
      </c>
      <c r="O312" s="212">
        <v>0</v>
      </c>
      <c r="P312" s="341">
        <v>0</v>
      </c>
      <c r="Q312" s="341">
        <v>15600422</v>
      </c>
      <c r="R312" s="341">
        <v>0</v>
      </c>
      <c r="S312" s="341">
        <v>0</v>
      </c>
      <c r="T312" s="341">
        <v>0</v>
      </c>
      <c r="U312" s="341">
        <v>0</v>
      </c>
      <c r="V312" s="341">
        <v>0</v>
      </c>
      <c r="W312" s="341">
        <v>0</v>
      </c>
      <c r="X312" s="341">
        <v>0</v>
      </c>
      <c r="Y312" s="341">
        <v>0</v>
      </c>
      <c r="Z312" s="341">
        <v>0</v>
      </c>
      <c r="AA312" s="341">
        <v>0</v>
      </c>
      <c r="AB312" s="341">
        <v>0</v>
      </c>
      <c r="AC312" s="341">
        <v>0</v>
      </c>
      <c r="AD312" s="341">
        <v>0</v>
      </c>
      <c r="AE312" s="341">
        <v>0</v>
      </c>
      <c r="AF312" s="341">
        <v>0</v>
      </c>
      <c r="AG312" s="341">
        <v>0</v>
      </c>
      <c r="AH312" s="341">
        <v>0</v>
      </c>
    </row>
    <row r="313" spans="1:34" x14ac:dyDescent="0.2">
      <c r="A313">
        <v>14</v>
      </c>
      <c r="B313" s="2295" t="s">
        <v>1071</v>
      </c>
      <c r="D313" t="str">
        <f>IF(SUM(F313:N313)=E313,"OK","prob")</f>
        <v>OK</v>
      </c>
      <c r="E313" s="341">
        <v>130293794.88</v>
      </c>
      <c r="F313" s="341">
        <v>58112152.670000002</v>
      </c>
      <c r="G313" s="341">
        <v>36064883.869999997</v>
      </c>
      <c r="H313" s="341">
        <v>0</v>
      </c>
      <c r="I313" s="341">
        <v>25316145.739999998</v>
      </c>
      <c r="J313" s="341">
        <v>740272.41</v>
      </c>
      <c r="K313" s="341">
        <v>5922265.4100000001</v>
      </c>
      <c r="L313" s="341"/>
      <c r="M313" s="341">
        <v>1268976.32</v>
      </c>
      <c r="N313" s="341">
        <v>2869098.46</v>
      </c>
      <c r="O313" s="212">
        <v>5310947.25</v>
      </c>
      <c r="P313" s="758">
        <v>217216598.77000001</v>
      </c>
      <c r="Q313" s="341">
        <v>90586768.129999995</v>
      </c>
      <c r="R313" s="341">
        <v>15218651.130000001</v>
      </c>
      <c r="S313" s="341">
        <v>21600693</v>
      </c>
      <c r="T313" s="341">
        <v>3620350</v>
      </c>
      <c r="U313" s="341">
        <v>13392475.060000001</v>
      </c>
      <c r="V313" s="341">
        <v>30277344.260000002</v>
      </c>
      <c r="W313" s="341">
        <v>11799773</v>
      </c>
      <c r="X313" s="341">
        <v>8626492</v>
      </c>
      <c r="Y313" s="341">
        <v>18106792.210000001</v>
      </c>
      <c r="Z313" s="341">
        <v>4538859.9000000004</v>
      </c>
      <c r="AA313" s="341">
        <v>4104439</v>
      </c>
      <c r="AB313" s="341">
        <v>2558063</v>
      </c>
      <c r="AC313" s="341">
        <v>5048463</v>
      </c>
      <c r="AD313" s="341">
        <v>7138563.5</v>
      </c>
      <c r="AE313" s="341">
        <v>2896082.48</v>
      </c>
      <c r="AF313" s="341">
        <v>0</v>
      </c>
      <c r="AG313" s="341">
        <v>0</v>
      </c>
      <c r="AH313" s="341">
        <v>313042.13</v>
      </c>
    </row>
    <row r="314" spans="1:34" x14ac:dyDescent="0.2">
      <c r="A314">
        <v>15</v>
      </c>
      <c r="B314" s="2295" t="s">
        <v>1072</v>
      </c>
      <c r="D314" t="str">
        <f t="shared" si="72"/>
        <v>OK</v>
      </c>
      <c r="E314" s="341">
        <v>727226774</v>
      </c>
      <c r="F314" s="341">
        <v>479896702.98000002</v>
      </c>
      <c r="G314" s="341">
        <v>109025490.02</v>
      </c>
      <c r="H314" s="341">
        <v>0</v>
      </c>
      <c r="I314" s="341">
        <v>138304581</v>
      </c>
      <c r="J314" s="341">
        <v>0</v>
      </c>
      <c r="K314" s="341">
        <v>0</v>
      </c>
      <c r="L314" s="341"/>
      <c r="M314" s="341">
        <v>0</v>
      </c>
      <c r="N314" s="341">
        <v>0</v>
      </c>
      <c r="O314" s="212">
        <v>18824410</v>
      </c>
      <c r="P314" s="341">
        <v>465017706</v>
      </c>
      <c r="Q314" s="341">
        <v>310072163</v>
      </c>
      <c r="R314" s="341">
        <v>77774811</v>
      </c>
      <c r="S314" s="341">
        <v>104055962</v>
      </c>
      <c r="T314" s="341">
        <v>15578413</v>
      </c>
      <c r="U314" s="341">
        <v>65577460</v>
      </c>
      <c r="V314" s="341">
        <v>184478629</v>
      </c>
      <c r="W314" s="341">
        <v>60557815</v>
      </c>
      <c r="X314" s="341">
        <v>50120754</v>
      </c>
      <c r="Y314" s="341">
        <v>99643365</v>
      </c>
      <c r="Z314" s="341">
        <v>28274462.66</v>
      </c>
      <c r="AA314" s="341">
        <v>25657777</v>
      </c>
      <c r="AB314" s="341">
        <v>15450770</v>
      </c>
      <c r="AC314" s="341">
        <v>28106746</v>
      </c>
      <c r="AD314" s="341">
        <v>49443947</v>
      </c>
      <c r="AE314" s="341">
        <v>14209959</v>
      </c>
      <c r="AF314" s="341">
        <v>0</v>
      </c>
      <c r="AG314" s="341">
        <v>0</v>
      </c>
      <c r="AH314" s="341">
        <v>534615</v>
      </c>
    </row>
    <row r="315" spans="1:34" x14ac:dyDescent="0.2">
      <c r="A315">
        <v>21</v>
      </c>
      <c r="B315" s="2295" t="s">
        <v>1073</v>
      </c>
      <c r="D315" t="str">
        <f t="shared" si="72"/>
        <v>OK</v>
      </c>
      <c r="E315" s="341">
        <v>1097918202.3099999</v>
      </c>
      <c r="F315" s="341">
        <v>869783038.19000006</v>
      </c>
      <c r="G315" s="341">
        <v>228135164.12</v>
      </c>
      <c r="H315" s="341">
        <v>0</v>
      </c>
      <c r="I315" s="341">
        <v>0</v>
      </c>
      <c r="J315" s="341">
        <v>0</v>
      </c>
      <c r="K315" s="341">
        <v>0</v>
      </c>
      <c r="L315" s="341"/>
      <c r="M315" s="341">
        <v>0</v>
      </c>
      <c r="N315" s="341">
        <v>0</v>
      </c>
      <c r="O315" s="212">
        <v>44926623</v>
      </c>
      <c r="P315" s="341">
        <v>1704779032</v>
      </c>
      <c r="Q315" s="341">
        <v>885673668</v>
      </c>
      <c r="R315" s="341">
        <v>239254886</v>
      </c>
      <c r="S315" s="341">
        <v>357502309</v>
      </c>
      <c r="T315" s="341">
        <v>53301701</v>
      </c>
      <c r="U315" s="341">
        <v>201859359</v>
      </c>
      <c r="V315" s="341">
        <v>535933962</v>
      </c>
      <c r="W315" s="341">
        <v>139707472</v>
      </c>
      <c r="X315" s="341">
        <v>136538277</v>
      </c>
      <c r="Y315" s="341">
        <v>244155518</v>
      </c>
      <c r="Z315" s="341">
        <v>71491478.780000001</v>
      </c>
      <c r="AA315" s="341">
        <v>60629310</v>
      </c>
      <c r="AB315" s="341">
        <v>28003209</v>
      </c>
      <c r="AC315" s="341">
        <v>60119369</v>
      </c>
      <c r="AD315" s="341">
        <v>100713341</v>
      </c>
      <c r="AE315" s="341">
        <v>35261034</v>
      </c>
      <c r="AF315" s="341">
        <v>0</v>
      </c>
      <c r="AG315" s="341">
        <v>0</v>
      </c>
      <c r="AH315" s="341">
        <v>2310720</v>
      </c>
    </row>
    <row r="316" spans="1:34" x14ac:dyDescent="0.2">
      <c r="A316">
        <v>16</v>
      </c>
      <c r="B316" s="2295" t="s">
        <v>1074</v>
      </c>
      <c r="D316" t="str">
        <f t="shared" si="72"/>
        <v>OK</v>
      </c>
      <c r="E316" s="341">
        <v>29750390</v>
      </c>
      <c r="F316" s="341">
        <v>0</v>
      </c>
      <c r="G316" s="341">
        <v>0</v>
      </c>
      <c r="H316" s="341">
        <v>29750390</v>
      </c>
      <c r="I316" s="341">
        <v>0</v>
      </c>
      <c r="J316" s="341">
        <v>0</v>
      </c>
      <c r="K316" s="341">
        <v>0</v>
      </c>
      <c r="L316" s="341"/>
      <c r="M316" s="341">
        <v>0</v>
      </c>
      <c r="N316" s="341">
        <v>0</v>
      </c>
      <c r="O316" s="212">
        <v>0</v>
      </c>
      <c r="P316" s="341">
        <v>0</v>
      </c>
      <c r="Q316" s="341">
        <v>0</v>
      </c>
      <c r="R316" s="341">
        <v>0</v>
      </c>
      <c r="S316" s="341">
        <v>0</v>
      </c>
      <c r="T316" s="341">
        <v>0</v>
      </c>
      <c r="U316" s="341">
        <v>0</v>
      </c>
      <c r="V316" s="341">
        <v>0</v>
      </c>
      <c r="W316" s="341">
        <v>0</v>
      </c>
      <c r="X316" s="341">
        <v>0</v>
      </c>
      <c r="Y316" s="341">
        <v>0</v>
      </c>
      <c r="Z316" s="341">
        <v>0</v>
      </c>
      <c r="AA316" s="341">
        <v>0</v>
      </c>
      <c r="AB316" s="341">
        <v>0</v>
      </c>
      <c r="AC316" s="341">
        <v>0</v>
      </c>
      <c r="AD316" s="341">
        <v>0</v>
      </c>
      <c r="AE316" s="341">
        <v>0</v>
      </c>
      <c r="AF316" s="341">
        <v>0</v>
      </c>
      <c r="AG316" s="341">
        <v>0</v>
      </c>
      <c r="AH316" s="341">
        <v>0</v>
      </c>
    </row>
    <row r="317" spans="1:34" x14ac:dyDescent="0.2">
      <c r="A317">
        <v>17</v>
      </c>
      <c r="B317" s="2295" t="s">
        <v>5473</v>
      </c>
      <c r="D317" t="str">
        <f t="shared" si="72"/>
        <v>OK</v>
      </c>
      <c r="E317" s="343">
        <v>0</v>
      </c>
      <c r="F317" s="343">
        <v>0</v>
      </c>
      <c r="G317" s="343">
        <v>0</v>
      </c>
      <c r="H317" s="343">
        <v>0</v>
      </c>
      <c r="I317" s="343">
        <v>0</v>
      </c>
      <c r="J317" s="343">
        <v>0</v>
      </c>
      <c r="K317" s="343">
        <v>0</v>
      </c>
      <c r="L317" s="343"/>
      <c r="M317" s="343">
        <v>0</v>
      </c>
      <c r="N317" s="343">
        <v>0</v>
      </c>
      <c r="O317" s="452">
        <v>0</v>
      </c>
      <c r="P317" s="343">
        <v>0</v>
      </c>
      <c r="Q317" s="343">
        <v>0</v>
      </c>
      <c r="R317" s="343">
        <v>0</v>
      </c>
      <c r="S317" s="343">
        <v>0</v>
      </c>
      <c r="T317" s="343">
        <v>0</v>
      </c>
      <c r="U317" s="343">
        <v>0</v>
      </c>
      <c r="V317" s="343">
        <v>0</v>
      </c>
      <c r="W317" s="343">
        <v>0</v>
      </c>
      <c r="X317" s="343">
        <v>0</v>
      </c>
      <c r="Y317" s="343">
        <v>0</v>
      </c>
      <c r="Z317" s="343">
        <v>0</v>
      </c>
      <c r="AA317" s="343">
        <v>0</v>
      </c>
      <c r="AB317" s="343">
        <v>0</v>
      </c>
      <c r="AC317" s="343">
        <v>0</v>
      </c>
      <c r="AD317" s="343">
        <v>0</v>
      </c>
      <c r="AE317" s="343">
        <v>0</v>
      </c>
      <c r="AF317" s="343">
        <v>0</v>
      </c>
      <c r="AG317" s="343">
        <v>0</v>
      </c>
      <c r="AH317" s="343">
        <v>0</v>
      </c>
    </row>
    <row r="318" spans="1:34" x14ac:dyDescent="0.2">
      <c r="B318" s="2295" t="s">
        <v>5474</v>
      </c>
      <c r="D318" t="str">
        <f>IF(SUM(F318:N318)=E318,"OK","prob")</f>
        <v>OK</v>
      </c>
      <c r="E318" s="343">
        <f t="shared" ref="E318:AH318" si="73">SUM(E297:E317)</f>
        <v>3270741576.1300001</v>
      </c>
      <c r="F318" s="343">
        <f t="shared" si="73"/>
        <v>1916009275.3699999</v>
      </c>
      <c r="G318" s="343">
        <f t="shared" si="73"/>
        <v>527803438.22000003</v>
      </c>
      <c r="H318" s="343">
        <f t="shared" si="73"/>
        <v>29750390</v>
      </c>
      <c r="I318" s="343">
        <f t="shared" si="73"/>
        <v>658244543.62</v>
      </c>
      <c r="J318" s="343">
        <f t="shared" si="73"/>
        <v>15134597.560000001</v>
      </c>
      <c r="K318" s="343">
        <f t="shared" si="73"/>
        <v>101690326.14</v>
      </c>
      <c r="L318" s="343">
        <f t="shared" si="73"/>
        <v>0</v>
      </c>
      <c r="M318" s="343">
        <f t="shared" si="73"/>
        <v>1268976.32</v>
      </c>
      <c r="N318" s="343">
        <f t="shared" si="73"/>
        <v>20840028.899999999</v>
      </c>
      <c r="O318" s="452">
        <f t="shared" si="73"/>
        <v>85112213.709999993</v>
      </c>
      <c r="P318" s="343">
        <f t="shared" si="73"/>
        <v>3885994623.4699998</v>
      </c>
      <c r="Q318" s="343">
        <f t="shared" si="73"/>
        <v>1950156375.25</v>
      </c>
      <c r="R318" s="343">
        <f t="shared" si="73"/>
        <v>617162510.88</v>
      </c>
      <c r="S318" s="343">
        <f t="shared" si="73"/>
        <v>1041558131.34</v>
      </c>
      <c r="T318" s="343">
        <f t="shared" si="73"/>
        <v>151166549.31999999</v>
      </c>
      <c r="U318" s="343">
        <f t="shared" si="73"/>
        <v>504947197.68000001</v>
      </c>
      <c r="V318" s="343">
        <f t="shared" si="73"/>
        <v>1155437415.1600001</v>
      </c>
      <c r="W318" s="343">
        <f t="shared" si="73"/>
        <v>310088256.99000001</v>
      </c>
      <c r="X318" s="343">
        <f t="shared" si="73"/>
        <v>452382881.18000001</v>
      </c>
      <c r="Y318" s="343">
        <f t="shared" si="73"/>
        <v>728108372.95000005</v>
      </c>
      <c r="Z318" s="343">
        <f t="shared" si="73"/>
        <v>153256247.59999999</v>
      </c>
      <c r="AA318" s="343">
        <f t="shared" si="73"/>
        <v>181511103.25999999</v>
      </c>
      <c r="AB318" s="343">
        <f t="shared" si="73"/>
        <v>85761052.049999997</v>
      </c>
      <c r="AC318" s="343">
        <f t="shared" si="73"/>
        <v>148838938.03</v>
      </c>
      <c r="AD318" s="343">
        <f t="shared" si="73"/>
        <v>270891174.13999999</v>
      </c>
      <c r="AE318" s="343">
        <f t="shared" si="73"/>
        <v>102134092.93000001</v>
      </c>
      <c r="AF318" s="343">
        <f t="shared" si="73"/>
        <v>17237220.620000001</v>
      </c>
      <c r="AG318" s="343">
        <f t="shared" ref="AG318" si="74">SUM(AG297:AG317)</f>
        <v>80047.89</v>
      </c>
      <c r="AH318" s="343">
        <f t="shared" si="73"/>
        <v>3158377.13</v>
      </c>
    </row>
    <row r="319" spans="1:34" x14ac:dyDescent="0.2">
      <c r="E319" s="341"/>
      <c r="F319" s="341"/>
      <c r="O319" s="212"/>
      <c r="P319" s="341"/>
    </row>
    <row r="320" spans="1:34" x14ac:dyDescent="0.2">
      <c r="E320" s="341"/>
      <c r="F320" s="341"/>
      <c r="O320" s="212"/>
      <c r="P320" s="341"/>
    </row>
    <row r="321" spans="1:34" x14ac:dyDescent="0.2">
      <c r="B321" s="138" t="s">
        <v>5475</v>
      </c>
      <c r="E321" s="430" t="str">
        <f t="shared" ref="E321:AH321" si="75">IF(ROUND(SUM(E297:E301,E305)-SUM(E127+E154),2)=0,"OK","Out of bal")</f>
        <v>OK</v>
      </c>
      <c r="F321" s="430" t="str">
        <f t="shared" si="75"/>
        <v>OK</v>
      </c>
      <c r="G321" s="430" t="str">
        <f t="shared" si="75"/>
        <v>OK</v>
      </c>
      <c r="H321" s="430" t="str">
        <f t="shared" si="75"/>
        <v>OK</v>
      </c>
      <c r="I321" s="430" t="str">
        <f t="shared" si="75"/>
        <v>OK</v>
      </c>
      <c r="J321" s="430" t="str">
        <f t="shared" si="75"/>
        <v>OK</v>
      </c>
      <c r="K321" s="430" t="str">
        <f t="shared" si="75"/>
        <v>OK</v>
      </c>
      <c r="L321" s="430" t="str">
        <f t="shared" si="75"/>
        <v>OK</v>
      </c>
      <c r="M321" s="430" t="str">
        <f t="shared" si="75"/>
        <v>OK</v>
      </c>
      <c r="N321" s="430" t="str">
        <f t="shared" si="75"/>
        <v>OK</v>
      </c>
      <c r="O321" s="430" t="str">
        <f t="shared" si="75"/>
        <v>OK</v>
      </c>
      <c r="P321" s="430" t="str">
        <f t="shared" si="75"/>
        <v>OK</v>
      </c>
      <c r="Q321" s="430" t="str">
        <f t="shared" si="75"/>
        <v>OK</v>
      </c>
      <c r="R321" s="430" t="str">
        <f t="shared" si="75"/>
        <v>OK</v>
      </c>
      <c r="S321" s="430" t="str">
        <f t="shared" si="75"/>
        <v>OK</v>
      </c>
      <c r="T321" s="430" t="str">
        <f t="shared" si="75"/>
        <v>OK</v>
      </c>
      <c r="U321" s="430" t="str">
        <f t="shared" si="75"/>
        <v>OK</v>
      </c>
      <c r="V321" s="430" t="str">
        <f t="shared" si="75"/>
        <v>OK</v>
      </c>
      <c r="W321" s="430" t="str">
        <f t="shared" si="75"/>
        <v>OK</v>
      </c>
      <c r="X321" s="430" t="str">
        <f t="shared" si="75"/>
        <v>OK</v>
      </c>
      <c r="Y321" s="430" t="str">
        <f t="shared" si="75"/>
        <v>OK</v>
      </c>
      <c r="Z321" s="430" t="str">
        <f t="shared" si="75"/>
        <v>OK</v>
      </c>
      <c r="AA321" s="430" t="str">
        <f t="shared" si="75"/>
        <v>OK</v>
      </c>
      <c r="AB321" s="430" t="str">
        <f t="shared" si="75"/>
        <v>OK</v>
      </c>
      <c r="AC321" s="430" t="str">
        <f t="shared" si="75"/>
        <v>OK</v>
      </c>
      <c r="AD321" s="430" t="str">
        <f t="shared" si="75"/>
        <v>OK</v>
      </c>
      <c r="AE321" s="430" t="str">
        <f t="shared" si="75"/>
        <v>OK</v>
      </c>
      <c r="AF321" s="430" t="str">
        <f t="shared" si="75"/>
        <v>OK</v>
      </c>
      <c r="AG321" s="430" t="str">
        <f t="shared" ref="AG321" si="76">IF(ROUND(SUM(AG297:AG301,AG305)-SUM(AG127+AG154),2)=0,"OK","Out of bal")</f>
        <v>OK</v>
      </c>
      <c r="AH321" s="430" t="str">
        <f t="shared" si="75"/>
        <v>OK</v>
      </c>
    </row>
    <row r="322" spans="1:34" x14ac:dyDescent="0.2">
      <c r="B322" s="138" t="s">
        <v>5476</v>
      </c>
      <c r="E322" s="430" t="str">
        <f t="shared" ref="E322:N322" si="77">IF(ROUND(SUM(E302:E304,E306:E317)-SUM(E123:E126)-SUM(E128:E137)-SUM(E150:E153)-SUM(E155:E164),2)=0,"OK","Out of bal")</f>
        <v>OK</v>
      </c>
      <c r="F322" s="430" t="str">
        <f t="shared" si="77"/>
        <v>OK</v>
      </c>
      <c r="G322" s="430" t="str">
        <f t="shared" si="77"/>
        <v>OK</v>
      </c>
      <c r="H322" s="430" t="str">
        <f t="shared" si="77"/>
        <v>OK</v>
      </c>
      <c r="I322" s="430" t="str">
        <f t="shared" si="77"/>
        <v>OK</v>
      </c>
      <c r="J322" s="430" t="str">
        <f t="shared" si="77"/>
        <v>OK</v>
      </c>
      <c r="K322" s="430" t="str">
        <f t="shared" si="77"/>
        <v>OK</v>
      </c>
      <c r="L322" s="430" t="str">
        <f t="shared" si="77"/>
        <v>OK</v>
      </c>
      <c r="M322" s="430" t="str">
        <f t="shared" si="77"/>
        <v>OK</v>
      </c>
      <c r="N322" s="430" t="str">
        <f t="shared" si="77"/>
        <v>OK</v>
      </c>
      <c r="O322" s="430" t="str">
        <f>IF(ROUND(SUM(O302:O304,O306:O317)-SUM(O123:O126)-SUM(O128:O137)-SUM(O150:O153)-SUM(O155:O164),2)=0,"OK","Out of bal")</f>
        <v>OK</v>
      </c>
      <c r="P322" s="430" t="str">
        <f t="shared" ref="P322:AF322" si="78">IF(ROUND(SUM(P302:P304,P306:P317)-SUM(P123:P126)-SUM(P128:P137)-SUM(P150:P153)-SUM(P155:P164),2)=0,"OK","Out of bal")</f>
        <v>OK</v>
      </c>
      <c r="Q322" s="430" t="str">
        <f t="shared" si="78"/>
        <v>OK</v>
      </c>
      <c r="R322" s="430" t="str">
        <f t="shared" si="78"/>
        <v>OK</v>
      </c>
      <c r="S322" s="430" t="str">
        <f t="shared" si="78"/>
        <v>OK</v>
      </c>
      <c r="T322" s="430" t="str">
        <f t="shared" si="78"/>
        <v>OK</v>
      </c>
      <c r="U322" s="430" t="str">
        <f t="shared" si="78"/>
        <v>OK</v>
      </c>
      <c r="V322" s="430" t="str">
        <f t="shared" si="78"/>
        <v>OK</v>
      </c>
      <c r="W322" s="430" t="str">
        <f t="shared" si="78"/>
        <v>OK</v>
      </c>
      <c r="X322" s="430" t="str">
        <f t="shared" si="78"/>
        <v>OK</v>
      </c>
      <c r="Y322" s="430" t="str">
        <f t="shared" si="78"/>
        <v>OK</v>
      </c>
      <c r="Z322" s="430" t="str">
        <f t="shared" si="78"/>
        <v>OK</v>
      </c>
      <c r="AA322" s="430" t="str">
        <f t="shared" si="78"/>
        <v>OK</v>
      </c>
      <c r="AB322" s="430" t="str">
        <f t="shared" si="78"/>
        <v>OK</v>
      </c>
      <c r="AC322" s="430" t="str">
        <f t="shared" si="78"/>
        <v>OK</v>
      </c>
      <c r="AD322" s="430" t="str">
        <f t="shared" si="78"/>
        <v>OK</v>
      </c>
      <c r="AE322" s="430" t="str">
        <f t="shared" si="78"/>
        <v>OK</v>
      </c>
      <c r="AF322" s="430" t="str">
        <f t="shared" si="78"/>
        <v>OK</v>
      </c>
      <c r="AG322" s="430" t="str">
        <f t="shared" ref="AG322" si="79">IF(ROUND(SUM(AG302:AG304,AG306:AG317)-SUM(AG123:AG126)-SUM(AG128:AG137)-SUM(AG150:AG153)-SUM(AG155:AG164),2)=0,"OK","Out of bal")</f>
        <v>OK</v>
      </c>
      <c r="AH322" s="430" t="str">
        <f t="shared" ref="AH322" si="80">IF(ROUND(SUM(AH302:AH304,AH306:AH317)-SUM(AH123:AH124)-SUM(AH128:AH137)-SUM(AH150:AH151)-SUM(AH155:AH164),2)=0,"OK","Out of bal")</f>
        <v>OK</v>
      </c>
    </row>
    <row r="323" spans="1:34" x14ac:dyDescent="0.2">
      <c r="E323" s="430"/>
      <c r="F323" s="341"/>
      <c r="O323" s="737"/>
      <c r="P323" s="430"/>
      <c r="Q323" s="430"/>
      <c r="R323" s="430"/>
      <c r="S323" s="430"/>
      <c r="T323" s="430"/>
      <c r="U323" s="430"/>
      <c r="V323" s="430"/>
      <c r="W323" s="430"/>
      <c r="X323" s="430"/>
      <c r="Y323" s="430"/>
      <c r="Z323" s="430"/>
      <c r="AA323" s="430"/>
      <c r="AB323" s="430"/>
      <c r="AC323" s="430"/>
      <c r="AD323" s="430"/>
      <c r="AE323" s="430"/>
      <c r="AF323" s="430"/>
      <c r="AG323" s="430"/>
      <c r="AH323" s="430"/>
    </row>
    <row r="324" spans="1:34" x14ac:dyDescent="0.2">
      <c r="B324" t="s">
        <v>2803</v>
      </c>
      <c r="E324" s="430"/>
      <c r="F324" s="341"/>
      <c r="O324" s="737"/>
      <c r="P324" s="430"/>
      <c r="Q324" s="430"/>
      <c r="R324" s="430"/>
      <c r="S324" s="430"/>
      <c r="T324" s="430"/>
      <c r="U324" s="430"/>
      <c r="V324" s="430"/>
      <c r="W324" s="430"/>
      <c r="X324" s="430"/>
      <c r="Y324" s="430"/>
      <c r="Z324" s="430"/>
      <c r="AA324" s="430"/>
      <c r="AB324" s="430"/>
      <c r="AC324" s="430"/>
      <c r="AD324" s="430"/>
      <c r="AE324" s="430"/>
      <c r="AF324" s="430"/>
      <c r="AG324" s="430"/>
      <c r="AH324" s="430"/>
    </row>
    <row r="325" spans="1:34" x14ac:dyDescent="0.2">
      <c r="A325">
        <v>18</v>
      </c>
      <c r="B325" t="s">
        <v>5477</v>
      </c>
      <c r="D325" t="str">
        <f t="shared" ref="D325:D330" si="81">IF(SUM(F325:N325)-E325=0,"OK","prob")</f>
        <v>OK</v>
      </c>
      <c r="E325" s="341">
        <v>0</v>
      </c>
      <c r="F325" s="341">
        <v>0</v>
      </c>
      <c r="G325" s="341">
        <v>0</v>
      </c>
      <c r="H325" s="341">
        <v>0</v>
      </c>
      <c r="I325" s="341">
        <v>0</v>
      </c>
      <c r="J325" s="341">
        <v>0</v>
      </c>
      <c r="K325" s="341">
        <v>0</v>
      </c>
      <c r="L325" s="341"/>
      <c r="M325" s="341">
        <v>0</v>
      </c>
      <c r="N325" s="341">
        <v>0</v>
      </c>
      <c r="O325" s="212">
        <v>0</v>
      </c>
      <c r="P325" s="341">
        <v>0</v>
      </c>
      <c r="Q325" s="341">
        <v>0</v>
      </c>
      <c r="R325" s="341">
        <v>0</v>
      </c>
      <c r="S325" s="341">
        <v>0</v>
      </c>
      <c r="T325" s="341">
        <v>0</v>
      </c>
      <c r="U325" s="341">
        <v>0</v>
      </c>
      <c r="V325" s="341">
        <v>0</v>
      </c>
      <c r="W325" s="341">
        <v>0</v>
      </c>
      <c r="X325" s="341">
        <v>0</v>
      </c>
      <c r="Y325" s="341">
        <v>0</v>
      </c>
      <c r="Z325" s="341">
        <v>0</v>
      </c>
      <c r="AA325" s="341">
        <v>0</v>
      </c>
      <c r="AB325" s="341">
        <v>0</v>
      </c>
      <c r="AC325" s="341">
        <v>0</v>
      </c>
      <c r="AD325" s="341">
        <v>0</v>
      </c>
      <c r="AE325" s="341">
        <v>0</v>
      </c>
      <c r="AF325" s="341">
        <v>0</v>
      </c>
      <c r="AG325" s="341">
        <v>0</v>
      </c>
      <c r="AH325" s="341">
        <v>0</v>
      </c>
    </row>
    <row r="326" spans="1:34" x14ac:dyDescent="0.2">
      <c r="A326">
        <v>19</v>
      </c>
      <c r="B326" t="s">
        <v>5478</v>
      </c>
      <c r="D326" t="str">
        <f t="shared" si="81"/>
        <v>OK</v>
      </c>
      <c r="E326" s="341">
        <v>0</v>
      </c>
      <c r="F326" s="341">
        <v>0</v>
      </c>
      <c r="G326" s="341">
        <v>0</v>
      </c>
      <c r="H326" s="341">
        <v>0</v>
      </c>
      <c r="I326" s="341">
        <v>0</v>
      </c>
      <c r="J326" s="341">
        <v>0</v>
      </c>
      <c r="K326" s="341">
        <v>0</v>
      </c>
      <c r="L326" s="341"/>
      <c r="M326" s="341">
        <v>0</v>
      </c>
      <c r="N326" s="341">
        <v>0</v>
      </c>
      <c r="O326" s="212">
        <v>0</v>
      </c>
      <c r="P326" s="341">
        <v>19000000</v>
      </c>
      <c r="Q326" s="341">
        <v>0</v>
      </c>
      <c r="R326" s="341">
        <v>0</v>
      </c>
      <c r="S326" s="341">
        <v>0</v>
      </c>
      <c r="T326" s="341">
        <v>0</v>
      </c>
      <c r="U326" s="341">
        <v>0</v>
      </c>
      <c r="V326" s="341">
        <v>0</v>
      </c>
      <c r="W326" s="341">
        <v>0</v>
      </c>
      <c r="X326" s="341">
        <v>0</v>
      </c>
      <c r="Y326" s="341">
        <v>0</v>
      </c>
      <c r="Z326" s="341">
        <v>0</v>
      </c>
      <c r="AA326" s="341">
        <v>0</v>
      </c>
      <c r="AB326" s="341">
        <v>0</v>
      </c>
      <c r="AC326" s="341">
        <v>0</v>
      </c>
      <c r="AD326" s="341">
        <v>0</v>
      </c>
      <c r="AE326" s="341">
        <v>0</v>
      </c>
      <c r="AF326" s="341">
        <v>0</v>
      </c>
      <c r="AG326" s="341">
        <v>0</v>
      </c>
      <c r="AH326" s="341">
        <v>0</v>
      </c>
    </row>
    <row r="327" spans="1:34" x14ac:dyDescent="0.2">
      <c r="A327">
        <v>26</v>
      </c>
      <c r="B327" t="s">
        <v>1044</v>
      </c>
      <c r="D327" t="str">
        <f t="shared" si="81"/>
        <v>OK</v>
      </c>
      <c r="E327" s="341">
        <v>0</v>
      </c>
      <c r="F327" s="341">
        <v>0</v>
      </c>
      <c r="G327" s="341">
        <v>0</v>
      </c>
      <c r="H327" s="341">
        <v>0</v>
      </c>
      <c r="I327" s="341">
        <v>0</v>
      </c>
      <c r="J327" s="341">
        <v>0</v>
      </c>
      <c r="K327" s="341">
        <v>0</v>
      </c>
      <c r="L327" s="341"/>
      <c r="M327" s="341">
        <v>0</v>
      </c>
      <c r="N327" s="341">
        <v>0</v>
      </c>
      <c r="O327" s="212">
        <v>0</v>
      </c>
      <c r="P327" s="341">
        <v>0</v>
      </c>
      <c r="Q327" s="341">
        <v>0</v>
      </c>
      <c r="R327" s="341">
        <v>0</v>
      </c>
      <c r="S327" s="341">
        <v>0</v>
      </c>
      <c r="T327" s="341">
        <v>0</v>
      </c>
      <c r="U327" s="341">
        <v>0</v>
      </c>
      <c r="V327" s="341">
        <v>0</v>
      </c>
      <c r="W327" s="341">
        <v>0</v>
      </c>
      <c r="X327" s="341">
        <v>0</v>
      </c>
      <c r="Y327" s="341">
        <v>0</v>
      </c>
      <c r="Z327" s="341">
        <v>0</v>
      </c>
      <c r="AA327" s="341">
        <v>0</v>
      </c>
      <c r="AB327" s="341">
        <v>0</v>
      </c>
      <c r="AC327" s="341">
        <v>0</v>
      </c>
      <c r="AD327" s="341">
        <v>0</v>
      </c>
      <c r="AE327" s="341">
        <v>0</v>
      </c>
      <c r="AF327" s="341">
        <v>0</v>
      </c>
      <c r="AG327" s="341">
        <v>0</v>
      </c>
      <c r="AH327" s="341">
        <v>0</v>
      </c>
    </row>
    <row r="328" spans="1:34" x14ac:dyDescent="0.2">
      <c r="A328">
        <v>27</v>
      </c>
      <c r="B328" t="s">
        <v>1036</v>
      </c>
      <c r="D328" t="str">
        <f t="shared" si="81"/>
        <v>OK</v>
      </c>
      <c r="E328" s="341">
        <v>0</v>
      </c>
      <c r="F328" s="341">
        <v>0</v>
      </c>
      <c r="G328" s="341">
        <v>0</v>
      </c>
      <c r="H328" s="341">
        <v>0</v>
      </c>
      <c r="I328" s="341">
        <v>0</v>
      </c>
      <c r="J328" s="341">
        <v>0</v>
      </c>
      <c r="K328" s="341">
        <v>0</v>
      </c>
      <c r="L328" s="341"/>
      <c r="M328" s="341">
        <v>0</v>
      </c>
      <c r="N328" s="341">
        <v>0</v>
      </c>
      <c r="O328" s="212">
        <v>0</v>
      </c>
      <c r="P328" s="341">
        <v>0</v>
      </c>
      <c r="Q328" s="341">
        <v>0</v>
      </c>
      <c r="R328" s="341">
        <v>0</v>
      </c>
      <c r="S328" s="341">
        <v>0</v>
      </c>
      <c r="T328" s="341">
        <v>0</v>
      </c>
      <c r="U328" s="341">
        <v>0</v>
      </c>
      <c r="V328" s="341">
        <v>0</v>
      </c>
      <c r="W328" s="341">
        <v>0</v>
      </c>
      <c r="X328" s="341">
        <v>0</v>
      </c>
      <c r="Y328" s="341">
        <v>0</v>
      </c>
      <c r="Z328" s="341">
        <v>0</v>
      </c>
      <c r="AA328" s="341">
        <v>0</v>
      </c>
      <c r="AB328" s="341">
        <v>0</v>
      </c>
      <c r="AC328" s="341">
        <v>0</v>
      </c>
      <c r="AD328" s="341">
        <v>0</v>
      </c>
      <c r="AE328" s="341">
        <v>0</v>
      </c>
      <c r="AF328" s="341">
        <v>0</v>
      </c>
      <c r="AG328" s="341">
        <v>0</v>
      </c>
      <c r="AH328" s="341">
        <v>0</v>
      </c>
    </row>
    <row r="329" spans="1:34" x14ac:dyDescent="0.2">
      <c r="A329">
        <v>20</v>
      </c>
      <c r="B329" t="s">
        <v>5479</v>
      </c>
      <c r="D329" t="str">
        <f t="shared" si="81"/>
        <v>OK</v>
      </c>
      <c r="E329" s="341">
        <v>0</v>
      </c>
      <c r="F329" s="341">
        <v>0</v>
      </c>
      <c r="G329" s="341">
        <v>0</v>
      </c>
      <c r="H329" s="341">
        <v>0</v>
      </c>
      <c r="I329" s="341">
        <v>0</v>
      </c>
      <c r="J329" s="341">
        <v>0</v>
      </c>
      <c r="K329" s="341">
        <v>0</v>
      </c>
      <c r="L329" s="341"/>
      <c r="M329" s="341">
        <v>0</v>
      </c>
      <c r="N329" s="341">
        <v>0</v>
      </c>
      <c r="O329" s="212">
        <v>0</v>
      </c>
      <c r="P329" s="341">
        <v>0</v>
      </c>
      <c r="Q329" s="341">
        <v>0</v>
      </c>
      <c r="R329" s="341">
        <v>0</v>
      </c>
      <c r="S329" s="341">
        <v>0</v>
      </c>
      <c r="T329" s="341">
        <v>0</v>
      </c>
      <c r="U329" s="341">
        <v>0</v>
      </c>
      <c r="V329" s="341">
        <v>0</v>
      </c>
      <c r="W329" s="341">
        <v>0</v>
      </c>
      <c r="X329" s="341">
        <v>0</v>
      </c>
      <c r="Y329" s="341">
        <v>0</v>
      </c>
      <c r="Z329" s="341">
        <v>0</v>
      </c>
      <c r="AA329" s="341">
        <v>0</v>
      </c>
      <c r="AB329" s="341">
        <v>0</v>
      </c>
      <c r="AC329" s="341">
        <v>0</v>
      </c>
      <c r="AD329" s="341">
        <v>0</v>
      </c>
      <c r="AE329" s="341">
        <v>0</v>
      </c>
      <c r="AF329" s="341">
        <v>0</v>
      </c>
      <c r="AG329" s="341">
        <v>0</v>
      </c>
      <c r="AH329" s="341">
        <v>0</v>
      </c>
    </row>
    <row r="330" spans="1:34" ht="13.5" thickBot="1" x14ac:dyDescent="0.25">
      <c r="B330" t="s">
        <v>5480</v>
      </c>
      <c r="D330" t="str">
        <f t="shared" si="81"/>
        <v>OK</v>
      </c>
      <c r="E330" s="969">
        <f>SUM(E325:E329)</f>
        <v>0</v>
      </c>
      <c r="F330" s="969">
        <f t="shared" ref="F330:AH330" si="82">SUM(F325:F329)</f>
        <v>0</v>
      </c>
      <c r="G330" s="969">
        <f t="shared" si="82"/>
        <v>0</v>
      </c>
      <c r="H330" s="969">
        <f t="shared" si="82"/>
        <v>0</v>
      </c>
      <c r="I330" s="969">
        <f t="shared" si="82"/>
        <v>0</v>
      </c>
      <c r="J330" s="969">
        <f t="shared" si="82"/>
        <v>0</v>
      </c>
      <c r="K330" s="969">
        <f t="shared" si="82"/>
        <v>0</v>
      </c>
      <c r="L330" s="969">
        <f t="shared" si="82"/>
        <v>0</v>
      </c>
      <c r="M330" s="969">
        <f>SUM(M325:M329)</f>
        <v>0</v>
      </c>
      <c r="N330" s="969">
        <f t="shared" si="82"/>
        <v>0</v>
      </c>
      <c r="O330" s="381">
        <f t="shared" si="82"/>
        <v>0</v>
      </c>
      <c r="P330" s="969">
        <f t="shared" si="82"/>
        <v>19000000</v>
      </c>
      <c r="Q330" s="969">
        <f t="shared" si="82"/>
        <v>0</v>
      </c>
      <c r="R330" s="969">
        <f t="shared" si="82"/>
        <v>0</v>
      </c>
      <c r="S330" s="969">
        <f t="shared" si="82"/>
        <v>0</v>
      </c>
      <c r="T330" s="969">
        <f t="shared" si="82"/>
        <v>0</v>
      </c>
      <c r="U330" s="969">
        <f t="shared" si="82"/>
        <v>0</v>
      </c>
      <c r="V330" s="969">
        <f t="shared" si="82"/>
        <v>0</v>
      </c>
      <c r="W330" s="969">
        <f t="shared" si="82"/>
        <v>0</v>
      </c>
      <c r="X330" s="969">
        <f t="shared" si="82"/>
        <v>0</v>
      </c>
      <c r="Y330" s="969">
        <f t="shared" si="82"/>
        <v>0</v>
      </c>
      <c r="Z330" s="969">
        <f t="shared" si="82"/>
        <v>0</v>
      </c>
      <c r="AA330" s="969">
        <f t="shared" si="82"/>
        <v>0</v>
      </c>
      <c r="AB330" s="969">
        <f t="shared" si="82"/>
        <v>0</v>
      </c>
      <c r="AC330" s="969">
        <f t="shared" si="82"/>
        <v>0</v>
      </c>
      <c r="AD330" s="969">
        <f t="shared" si="82"/>
        <v>0</v>
      </c>
      <c r="AE330" s="969">
        <f t="shared" si="82"/>
        <v>0</v>
      </c>
      <c r="AF330" s="969">
        <f t="shared" si="82"/>
        <v>0</v>
      </c>
      <c r="AG330" s="969">
        <f t="shared" ref="AG330" si="83">SUM(AG325:AG329)</f>
        <v>0</v>
      </c>
      <c r="AH330" s="969">
        <f t="shared" si="82"/>
        <v>0</v>
      </c>
    </row>
    <row r="331" spans="1:34" ht="13.5" thickTop="1" x14ac:dyDescent="0.2">
      <c r="E331" s="430" t="str">
        <f t="shared" ref="E331:AH331" si="84">IF(ROUND(E330-SUM(E109:E113),2)=0,"OK","Out of bal")</f>
        <v>OK</v>
      </c>
      <c r="F331" s="430" t="str">
        <f t="shared" si="84"/>
        <v>OK</v>
      </c>
      <c r="G331" s="430" t="str">
        <f t="shared" si="84"/>
        <v>OK</v>
      </c>
      <c r="H331" s="430" t="str">
        <f t="shared" si="84"/>
        <v>OK</v>
      </c>
      <c r="I331" s="430" t="str">
        <f t="shared" si="84"/>
        <v>OK</v>
      </c>
      <c r="J331" s="430" t="str">
        <f t="shared" si="84"/>
        <v>OK</v>
      </c>
      <c r="K331" s="430" t="str">
        <f t="shared" si="84"/>
        <v>OK</v>
      </c>
      <c r="L331" s="430" t="str">
        <f t="shared" si="84"/>
        <v>OK</v>
      </c>
      <c r="M331" s="430" t="str">
        <f t="shared" si="84"/>
        <v>OK</v>
      </c>
      <c r="N331" s="430" t="str">
        <f t="shared" si="84"/>
        <v>OK</v>
      </c>
      <c r="O331" s="1214" t="str">
        <f t="shared" si="84"/>
        <v>OK</v>
      </c>
      <c r="P331" s="430" t="str">
        <f t="shared" si="84"/>
        <v>OK</v>
      </c>
      <c r="Q331" s="430" t="str">
        <f t="shared" si="84"/>
        <v>OK</v>
      </c>
      <c r="R331" s="430" t="str">
        <f t="shared" si="84"/>
        <v>OK</v>
      </c>
      <c r="S331" s="430" t="str">
        <f t="shared" si="84"/>
        <v>OK</v>
      </c>
      <c r="T331" s="430" t="str">
        <f t="shared" si="84"/>
        <v>OK</v>
      </c>
      <c r="U331" s="430" t="str">
        <f t="shared" si="84"/>
        <v>OK</v>
      </c>
      <c r="V331" s="430" t="str">
        <f t="shared" si="84"/>
        <v>OK</v>
      </c>
      <c r="W331" s="430" t="str">
        <f t="shared" si="84"/>
        <v>OK</v>
      </c>
      <c r="X331" s="430" t="str">
        <f t="shared" si="84"/>
        <v>OK</v>
      </c>
      <c r="Y331" s="430" t="str">
        <f t="shared" si="84"/>
        <v>OK</v>
      </c>
      <c r="Z331" s="430" t="str">
        <f t="shared" si="84"/>
        <v>OK</v>
      </c>
      <c r="AA331" s="430" t="str">
        <f t="shared" si="84"/>
        <v>OK</v>
      </c>
      <c r="AB331" s="430" t="str">
        <f t="shared" si="84"/>
        <v>OK</v>
      </c>
      <c r="AC331" s="430" t="str">
        <f t="shared" si="84"/>
        <v>OK</v>
      </c>
      <c r="AD331" s="430" t="str">
        <f t="shared" si="84"/>
        <v>OK</v>
      </c>
      <c r="AE331" s="430" t="str">
        <f t="shared" si="84"/>
        <v>OK</v>
      </c>
      <c r="AF331" s="430" t="str">
        <f t="shared" si="84"/>
        <v>OK</v>
      </c>
      <c r="AG331" s="430" t="str">
        <f t="shared" ref="AG331" si="85">IF(ROUND(AG330-SUM(AG109:AG113),2)=0,"OK","Out of bal")</f>
        <v>OK</v>
      </c>
      <c r="AH331" s="430" t="str">
        <f t="shared" si="84"/>
        <v>OK</v>
      </c>
    </row>
    <row r="336" spans="1:34" x14ac:dyDescent="0.2">
      <c r="B336" s="2890" t="s">
        <v>4928</v>
      </c>
      <c r="C336" s="2890" t="s">
        <v>4928</v>
      </c>
      <c r="E336" s="341">
        <f t="shared" ref="E336:AH336" si="86">SUM(E124,E151)-E306</f>
        <v>0</v>
      </c>
      <c r="F336" s="341">
        <f t="shared" si="86"/>
        <v>0</v>
      </c>
      <c r="G336" s="341">
        <f t="shared" si="86"/>
        <v>0</v>
      </c>
      <c r="H336" s="341">
        <f t="shared" si="86"/>
        <v>0</v>
      </c>
      <c r="I336" s="341">
        <f t="shared" si="86"/>
        <v>0</v>
      </c>
      <c r="J336" s="341">
        <f t="shared" si="86"/>
        <v>0</v>
      </c>
      <c r="K336" s="341">
        <f t="shared" si="86"/>
        <v>0</v>
      </c>
      <c r="L336" s="341">
        <f t="shared" si="86"/>
        <v>0</v>
      </c>
      <c r="M336" s="341">
        <f t="shared" si="86"/>
        <v>0</v>
      </c>
      <c r="N336" s="341">
        <f t="shared" si="86"/>
        <v>0</v>
      </c>
      <c r="O336" s="212">
        <f t="shared" si="86"/>
        <v>0</v>
      </c>
      <c r="P336" s="341">
        <f t="shared" si="86"/>
        <v>0</v>
      </c>
      <c r="Q336" s="341">
        <f t="shared" si="86"/>
        <v>0</v>
      </c>
      <c r="R336" s="341">
        <f t="shared" si="86"/>
        <v>0</v>
      </c>
      <c r="S336" s="341">
        <f t="shared" si="86"/>
        <v>0</v>
      </c>
      <c r="T336" s="341">
        <f t="shared" si="86"/>
        <v>0</v>
      </c>
      <c r="U336" s="341">
        <f t="shared" si="86"/>
        <v>0</v>
      </c>
      <c r="V336" s="341">
        <f t="shared" si="86"/>
        <v>0</v>
      </c>
      <c r="W336" s="341">
        <f t="shared" si="86"/>
        <v>0</v>
      </c>
      <c r="X336" s="341">
        <f t="shared" si="86"/>
        <v>0</v>
      </c>
      <c r="Y336" s="341">
        <f t="shared" si="86"/>
        <v>0</v>
      </c>
      <c r="Z336" s="341">
        <f t="shared" si="86"/>
        <v>0</v>
      </c>
      <c r="AA336" s="341">
        <f t="shared" si="86"/>
        <v>0</v>
      </c>
      <c r="AB336" s="341">
        <f t="shared" si="86"/>
        <v>0</v>
      </c>
      <c r="AC336" s="341">
        <f t="shared" si="86"/>
        <v>0</v>
      </c>
      <c r="AD336" s="341">
        <f t="shared" si="86"/>
        <v>0</v>
      </c>
      <c r="AE336" s="341">
        <f t="shared" si="86"/>
        <v>0</v>
      </c>
      <c r="AF336" s="341">
        <f t="shared" si="86"/>
        <v>0</v>
      </c>
      <c r="AG336" s="341">
        <f t="shared" si="86"/>
        <v>0</v>
      </c>
      <c r="AH336" s="341">
        <f t="shared" si="86"/>
        <v>0</v>
      </c>
    </row>
    <row r="337" spans="2:34" x14ac:dyDescent="0.2">
      <c r="B337" s="3069" t="s">
        <v>1046</v>
      </c>
      <c r="C337" s="3069"/>
      <c r="E337" s="341"/>
      <c r="F337" s="341"/>
      <c r="G337" s="341"/>
      <c r="H337" s="341"/>
      <c r="I337" s="341"/>
      <c r="J337" s="341"/>
      <c r="K337" s="341"/>
      <c r="L337" s="341"/>
      <c r="M337" s="341"/>
      <c r="N337" s="341"/>
      <c r="O337" s="212"/>
      <c r="P337" s="212"/>
      <c r="Q337" s="212"/>
      <c r="R337" s="341"/>
      <c r="S337" s="341"/>
      <c r="T337" s="341"/>
      <c r="U337" s="341"/>
      <c r="V337" s="341"/>
      <c r="W337" s="341"/>
      <c r="X337" s="341"/>
      <c r="Y337" s="341"/>
      <c r="Z337" s="341"/>
      <c r="AA337" s="341"/>
      <c r="AB337" s="341"/>
      <c r="AC337" s="341"/>
      <c r="AD337" s="341"/>
      <c r="AE337" s="341"/>
      <c r="AF337" s="341"/>
      <c r="AG337" s="341"/>
      <c r="AH337" s="341"/>
    </row>
    <row r="338" spans="2:34" x14ac:dyDescent="0.2">
      <c r="B338" s="3069" t="s">
        <v>3498</v>
      </c>
      <c r="C338" s="3069"/>
      <c r="E338" s="341"/>
      <c r="F338" s="341"/>
      <c r="G338" s="341"/>
      <c r="H338" s="341"/>
      <c r="I338" s="341"/>
      <c r="J338" s="341"/>
      <c r="K338" s="341"/>
      <c r="L338" s="341"/>
      <c r="M338" s="341"/>
      <c r="N338" s="341"/>
      <c r="O338" s="212"/>
      <c r="P338" s="212"/>
      <c r="Q338" s="212"/>
      <c r="R338" s="341"/>
      <c r="S338" s="341"/>
      <c r="T338" s="341"/>
      <c r="U338" s="341"/>
      <c r="V338" s="341"/>
      <c r="W338" s="341"/>
      <c r="X338" s="341"/>
      <c r="Y338" s="341"/>
      <c r="Z338" s="341"/>
      <c r="AA338" s="341"/>
      <c r="AB338" s="341"/>
      <c r="AC338" s="341"/>
      <c r="AD338" s="341"/>
      <c r="AE338" s="341"/>
      <c r="AF338" s="341"/>
      <c r="AG338" s="341"/>
      <c r="AH338" s="341"/>
    </row>
    <row r="339" spans="2:34" x14ac:dyDescent="0.2">
      <c r="B339" s="2890" t="s">
        <v>4885</v>
      </c>
      <c r="C339" s="2890"/>
      <c r="E339" s="341">
        <f t="shared" ref="E339:O339" si="87">SUM(E127,E154)-SUM(E297:E301)</f>
        <v>0</v>
      </c>
      <c r="F339" s="341">
        <f t="shared" si="87"/>
        <v>0</v>
      </c>
      <c r="G339" s="341">
        <f t="shared" si="87"/>
        <v>0</v>
      </c>
      <c r="H339" s="341">
        <f t="shared" si="87"/>
        <v>0</v>
      </c>
      <c r="I339" s="341">
        <f t="shared" si="87"/>
        <v>0</v>
      </c>
      <c r="J339" s="341">
        <f t="shared" si="87"/>
        <v>0</v>
      </c>
      <c r="K339" s="341">
        <f t="shared" si="87"/>
        <v>0</v>
      </c>
      <c r="L339" s="341">
        <f t="shared" si="87"/>
        <v>0</v>
      </c>
      <c r="M339" s="341">
        <f t="shared" si="87"/>
        <v>0</v>
      </c>
      <c r="N339" s="341">
        <f t="shared" si="87"/>
        <v>0</v>
      </c>
      <c r="O339" s="212">
        <f t="shared" si="87"/>
        <v>0</v>
      </c>
      <c r="P339" s="341">
        <f>SUM(P127,P154)-SUM(P297:P301)-P305</f>
        <v>0</v>
      </c>
      <c r="Q339" s="341">
        <f>SUM(Q127,Q154)-SUM(Q297:Q301)-Q305</f>
        <v>0</v>
      </c>
      <c r="R339" s="341">
        <f>SUM(R127,R154)-SUM(R297:R301)-R305</f>
        <v>0</v>
      </c>
      <c r="S339" s="341">
        <f>SUM(S127,S154)-SUM(S297:S301)</f>
        <v>0</v>
      </c>
      <c r="T339" s="341">
        <f>SUM(T127,T154)-SUM(T297:T301)</f>
        <v>0</v>
      </c>
      <c r="U339" s="341">
        <f>SUM(U127,U154)-SUM(U297:U301)-U305</f>
        <v>0</v>
      </c>
      <c r="V339" s="341">
        <f>SUM(V127,V154)-SUM(V297:V301)-V305</f>
        <v>0</v>
      </c>
      <c r="W339" s="341">
        <f>SUM(W127,W154)-SUM(W297:W301)</f>
        <v>0</v>
      </c>
      <c r="X339" s="341">
        <f>SUM(X127,X154)-SUM(X297:X301)</f>
        <v>0</v>
      </c>
      <c r="Y339" s="341">
        <f>SUM(Y127,Y154)-SUM(Y297:Y301)-Y305</f>
        <v>0</v>
      </c>
      <c r="Z339" s="341">
        <f>SUM(Z127,Z154)-SUM(Z297:Z301)-Z305</f>
        <v>0</v>
      </c>
      <c r="AA339" s="341">
        <f t="shared" ref="AA339:AH339" si="88">SUM(AA127,AA154)-SUM(AA297:AA301)</f>
        <v>0</v>
      </c>
      <c r="AB339" s="341">
        <f t="shared" si="88"/>
        <v>0</v>
      </c>
      <c r="AC339" s="341">
        <f t="shared" si="88"/>
        <v>0</v>
      </c>
      <c r="AD339" s="341">
        <f t="shared" si="88"/>
        <v>0</v>
      </c>
      <c r="AE339" s="341">
        <f t="shared" si="88"/>
        <v>0</v>
      </c>
      <c r="AF339" s="341">
        <f t="shared" si="88"/>
        <v>0</v>
      </c>
      <c r="AG339" s="341">
        <f t="shared" ref="AG339" si="89">SUM(AG127,AG154)-SUM(AG297:AG301)</f>
        <v>0</v>
      </c>
      <c r="AH339" s="341">
        <f t="shared" si="88"/>
        <v>0</v>
      </c>
    </row>
    <row r="340" spans="2:34" x14ac:dyDescent="0.2">
      <c r="B340" s="2890" t="s">
        <v>1041</v>
      </c>
      <c r="C340" s="2890"/>
      <c r="E340" s="341">
        <f t="shared" ref="E340:AH340" si="90">SUM(E128,E155)-E302</f>
        <v>0</v>
      </c>
      <c r="F340" s="341">
        <f t="shared" si="90"/>
        <v>0</v>
      </c>
      <c r="G340" s="341">
        <f t="shared" si="90"/>
        <v>0</v>
      </c>
      <c r="H340" s="341">
        <f t="shared" si="90"/>
        <v>0</v>
      </c>
      <c r="I340" s="341">
        <f t="shared" si="90"/>
        <v>0</v>
      </c>
      <c r="J340" s="341">
        <f t="shared" si="90"/>
        <v>0</v>
      </c>
      <c r="K340" s="341">
        <f t="shared" si="90"/>
        <v>0</v>
      </c>
      <c r="L340" s="341">
        <f t="shared" si="90"/>
        <v>0</v>
      </c>
      <c r="M340" s="341">
        <f t="shared" si="90"/>
        <v>0</v>
      </c>
      <c r="N340" s="341">
        <f t="shared" si="90"/>
        <v>0</v>
      </c>
      <c r="O340" s="212">
        <f t="shared" si="90"/>
        <v>0</v>
      </c>
      <c r="P340" s="341">
        <f t="shared" si="90"/>
        <v>0</v>
      </c>
      <c r="Q340" s="341">
        <f t="shared" si="90"/>
        <v>0</v>
      </c>
      <c r="R340" s="341">
        <f t="shared" si="90"/>
        <v>0</v>
      </c>
      <c r="S340" s="341">
        <f t="shared" si="90"/>
        <v>0</v>
      </c>
      <c r="T340" s="341">
        <f t="shared" si="90"/>
        <v>0</v>
      </c>
      <c r="U340" s="341">
        <f t="shared" si="90"/>
        <v>0</v>
      </c>
      <c r="V340" s="341">
        <f t="shared" si="90"/>
        <v>0</v>
      </c>
      <c r="W340" s="341">
        <f t="shared" si="90"/>
        <v>0</v>
      </c>
      <c r="X340" s="341">
        <f t="shared" si="90"/>
        <v>0</v>
      </c>
      <c r="Y340" s="341">
        <f t="shared" si="90"/>
        <v>0</v>
      </c>
      <c r="Z340" s="341">
        <f t="shared" si="90"/>
        <v>0</v>
      </c>
      <c r="AA340" s="341">
        <f t="shared" si="90"/>
        <v>0</v>
      </c>
      <c r="AB340" s="341">
        <f t="shared" si="90"/>
        <v>0</v>
      </c>
      <c r="AC340" s="341">
        <f t="shared" si="90"/>
        <v>0</v>
      </c>
      <c r="AD340" s="341">
        <f t="shared" si="90"/>
        <v>0</v>
      </c>
      <c r="AE340" s="341">
        <f t="shared" si="90"/>
        <v>0</v>
      </c>
      <c r="AF340" s="341">
        <f t="shared" si="90"/>
        <v>0</v>
      </c>
      <c r="AG340" s="341">
        <f t="shared" ref="AG340" si="91">SUM(AG128,AG155)-AG302</f>
        <v>0</v>
      </c>
      <c r="AH340" s="341">
        <f t="shared" si="90"/>
        <v>0</v>
      </c>
    </row>
    <row r="341" spans="2:34" x14ac:dyDescent="0.2">
      <c r="B341" s="2890" t="s">
        <v>1043</v>
      </c>
      <c r="C341" s="2890"/>
      <c r="E341" s="341">
        <f t="shared" ref="E341:AH341" si="92">SUM(E129,E156)-E303</f>
        <v>0</v>
      </c>
      <c r="F341" s="341">
        <f t="shared" si="92"/>
        <v>0</v>
      </c>
      <c r="G341" s="341">
        <f t="shared" si="92"/>
        <v>0</v>
      </c>
      <c r="H341" s="341">
        <f t="shared" si="92"/>
        <v>0</v>
      </c>
      <c r="I341" s="341">
        <f t="shared" si="92"/>
        <v>0</v>
      </c>
      <c r="J341" s="341">
        <f t="shared" si="92"/>
        <v>0</v>
      </c>
      <c r="K341" s="341">
        <f t="shared" si="92"/>
        <v>0</v>
      </c>
      <c r="L341" s="341">
        <f t="shared" si="92"/>
        <v>0</v>
      </c>
      <c r="M341" s="341">
        <f t="shared" si="92"/>
        <v>0</v>
      </c>
      <c r="N341" s="341">
        <f t="shared" si="92"/>
        <v>0</v>
      </c>
      <c r="O341" s="212">
        <f t="shared" si="92"/>
        <v>0</v>
      </c>
      <c r="P341" s="341">
        <f t="shared" si="92"/>
        <v>0</v>
      </c>
      <c r="Q341" s="341">
        <f t="shared" si="92"/>
        <v>0</v>
      </c>
      <c r="R341" s="341">
        <f t="shared" si="92"/>
        <v>0</v>
      </c>
      <c r="S341" s="341">
        <f t="shared" si="92"/>
        <v>0</v>
      </c>
      <c r="T341" s="341">
        <f t="shared" si="92"/>
        <v>0</v>
      </c>
      <c r="U341" s="341">
        <f t="shared" si="92"/>
        <v>0</v>
      </c>
      <c r="V341" s="341">
        <f t="shared" si="92"/>
        <v>0</v>
      </c>
      <c r="W341" s="341">
        <f t="shared" si="92"/>
        <v>0</v>
      </c>
      <c r="X341" s="341">
        <f t="shared" si="92"/>
        <v>0</v>
      </c>
      <c r="Y341" s="341">
        <f t="shared" si="92"/>
        <v>0</v>
      </c>
      <c r="Z341" s="341">
        <f t="shared" si="92"/>
        <v>0</v>
      </c>
      <c r="AA341" s="341">
        <f t="shared" si="92"/>
        <v>0</v>
      </c>
      <c r="AB341" s="341">
        <f t="shared" si="92"/>
        <v>0</v>
      </c>
      <c r="AC341" s="341">
        <f t="shared" si="92"/>
        <v>0</v>
      </c>
      <c r="AD341" s="341">
        <f t="shared" si="92"/>
        <v>0</v>
      </c>
      <c r="AE341" s="341">
        <f t="shared" si="92"/>
        <v>0</v>
      </c>
      <c r="AF341" s="341">
        <f t="shared" si="92"/>
        <v>0</v>
      </c>
      <c r="AG341" s="341">
        <f t="shared" ref="AG341" si="93">SUM(AG129,AG156)-AG303</f>
        <v>0</v>
      </c>
      <c r="AH341" s="341">
        <f t="shared" si="92"/>
        <v>0</v>
      </c>
    </row>
    <row r="342" spans="2:34" x14ac:dyDescent="0.2">
      <c r="B342" s="2890" t="s">
        <v>5481</v>
      </c>
      <c r="C342" s="2890"/>
      <c r="E342" s="341">
        <f t="shared" ref="E342:AH342" si="94">SUM(E123,E150)-E304</f>
        <v>0</v>
      </c>
      <c r="F342" s="341">
        <f t="shared" si="94"/>
        <v>0</v>
      </c>
      <c r="G342" s="341">
        <f t="shared" si="94"/>
        <v>0</v>
      </c>
      <c r="H342" s="341">
        <f t="shared" si="94"/>
        <v>0</v>
      </c>
      <c r="I342" s="341">
        <f t="shared" si="94"/>
        <v>0</v>
      </c>
      <c r="J342" s="341">
        <f t="shared" si="94"/>
        <v>0</v>
      </c>
      <c r="K342" s="341">
        <f t="shared" si="94"/>
        <v>0</v>
      </c>
      <c r="L342" s="341">
        <f t="shared" si="94"/>
        <v>0</v>
      </c>
      <c r="M342" s="341">
        <f t="shared" si="94"/>
        <v>0</v>
      </c>
      <c r="N342" s="341">
        <f t="shared" si="94"/>
        <v>0</v>
      </c>
      <c r="O342" s="341">
        <f t="shared" si="94"/>
        <v>0</v>
      </c>
      <c r="P342" s="341">
        <f t="shared" si="94"/>
        <v>0</v>
      </c>
      <c r="Q342" s="341">
        <f t="shared" si="94"/>
        <v>0</v>
      </c>
      <c r="R342" s="341">
        <f t="shared" si="94"/>
        <v>0</v>
      </c>
      <c r="S342" s="341">
        <f t="shared" si="94"/>
        <v>0</v>
      </c>
      <c r="T342" s="341">
        <f t="shared" si="94"/>
        <v>0</v>
      </c>
      <c r="U342" s="341">
        <f t="shared" si="94"/>
        <v>0</v>
      </c>
      <c r="V342" s="341">
        <f t="shared" si="94"/>
        <v>0</v>
      </c>
      <c r="W342" s="341">
        <f t="shared" si="94"/>
        <v>0</v>
      </c>
      <c r="X342" s="341">
        <f t="shared" si="94"/>
        <v>0</v>
      </c>
      <c r="Y342" s="341">
        <f t="shared" si="94"/>
        <v>0</v>
      </c>
      <c r="Z342" s="341">
        <f t="shared" si="94"/>
        <v>0</v>
      </c>
      <c r="AA342" s="341">
        <f t="shared" si="94"/>
        <v>0</v>
      </c>
      <c r="AB342" s="341">
        <f t="shared" si="94"/>
        <v>0</v>
      </c>
      <c r="AC342" s="341">
        <f t="shared" si="94"/>
        <v>0</v>
      </c>
      <c r="AD342" s="341">
        <f t="shared" si="94"/>
        <v>0</v>
      </c>
      <c r="AE342" s="341">
        <f t="shared" si="94"/>
        <v>0</v>
      </c>
      <c r="AF342" s="341">
        <f t="shared" si="94"/>
        <v>0</v>
      </c>
      <c r="AG342" s="341">
        <f t="shared" ref="AG342" si="95">SUM(AG123,AG150)-AG304</f>
        <v>0</v>
      </c>
      <c r="AH342" s="341">
        <f t="shared" si="94"/>
        <v>0</v>
      </c>
    </row>
    <row r="343" spans="2:34" x14ac:dyDescent="0.2">
      <c r="B343" s="2890" t="s">
        <v>5482</v>
      </c>
      <c r="C343" s="2890"/>
      <c r="E343" s="341">
        <f t="shared" ref="E343:AH343" si="96">E112</f>
        <v>0</v>
      </c>
      <c r="F343" s="341">
        <f t="shared" si="96"/>
        <v>0</v>
      </c>
      <c r="G343" s="341">
        <f t="shared" si="96"/>
        <v>0</v>
      </c>
      <c r="H343" s="341">
        <f t="shared" si="96"/>
        <v>0</v>
      </c>
      <c r="I343" s="341">
        <f t="shared" si="96"/>
        <v>0</v>
      </c>
      <c r="J343" s="341">
        <f t="shared" si="96"/>
        <v>0</v>
      </c>
      <c r="K343" s="341">
        <f t="shared" si="96"/>
        <v>0</v>
      </c>
      <c r="L343" s="341">
        <f t="shared" si="96"/>
        <v>0</v>
      </c>
      <c r="M343" s="341">
        <f t="shared" si="96"/>
        <v>0</v>
      </c>
      <c r="N343" s="341">
        <f t="shared" si="96"/>
        <v>0</v>
      </c>
      <c r="O343" s="341">
        <f t="shared" si="96"/>
        <v>0</v>
      </c>
      <c r="P343" s="341">
        <f t="shared" si="96"/>
        <v>0</v>
      </c>
      <c r="Q343" s="341">
        <f t="shared" si="96"/>
        <v>0</v>
      </c>
      <c r="R343" s="341">
        <f t="shared" si="96"/>
        <v>0</v>
      </c>
      <c r="S343" s="341">
        <f t="shared" si="96"/>
        <v>0</v>
      </c>
      <c r="T343" s="341">
        <f t="shared" si="96"/>
        <v>0</v>
      </c>
      <c r="U343" s="341">
        <f t="shared" si="96"/>
        <v>0</v>
      </c>
      <c r="V343" s="341">
        <f t="shared" si="96"/>
        <v>0</v>
      </c>
      <c r="W343" s="341">
        <f t="shared" si="96"/>
        <v>0</v>
      </c>
      <c r="X343" s="341">
        <f t="shared" si="96"/>
        <v>0</v>
      </c>
      <c r="Y343" s="341">
        <f t="shared" si="96"/>
        <v>0</v>
      </c>
      <c r="Z343" s="341">
        <f t="shared" si="96"/>
        <v>0</v>
      </c>
      <c r="AA343" s="341">
        <f t="shared" si="96"/>
        <v>0</v>
      </c>
      <c r="AB343" s="341">
        <f t="shared" si="96"/>
        <v>0</v>
      </c>
      <c r="AC343" s="341">
        <f t="shared" si="96"/>
        <v>0</v>
      </c>
      <c r="AD343" s="341">
        <f t="shared" si="96"/>
        <v>0</v>
      </c>
      <c r="AE343" s="341">
        <f t="shared" si="96"/>
        <v>0</v>
      </c>
      <c r="AF343" s="341">
        <f t="shared" si="96"/>
        <v>0</v>
      </c>
      <c r="AG343" s="341">
        <f t="shared" ref="AG343" si="97">AG112</f>
        <v>0</v>
      </c>
      <c r="AH343" s="341">
        <f t="shared" si="96"/>
        <v>0</v>
      </c>
    </row>
    <row r="344" spans="2:34" x14ac:dyDescent="0.2">
      <c r="B344" s="2890" t="s">
        <v>1069</v>
      </c>
      <c r="C344" s="2890"/>
      <c r="E344" s="341">
        <f t="shared" ref="E344:AH344" si="98">SUM(E130,E157)-E309</f>
        <v>0</v>
      </c>
      <c r="F344" s="341">
        <f t="shared" si="98"/>
        <v>0</v>
      </c>
      <c r="G344" s="341">
        <f t="shared" si="98"/>
        <v>0</v>
      </c>
      <c r="H344" s="341">
        <f t="shared" si="98"/>
        <v>0</v>
      </c>
      <c r="I344" s="341">
        <f t="shared" si="98"/>
        <v>0</v>
      </c>
      <c r="J344" s="341">
        <f t="shared" si="98"/>
        <v>0</v>
      </c>
      <c r="K344" s="341">
        <f t="shared" si="98"/>
        <v>0</v>
      </c>
      <c r="L344" s="341">
        <f t="shared" si="98"/>
        <v>0</v>
      </c>
      <c r="M344" s="341">
        <f t="shared" si="98"/>
        <v>0</v>
      </c>
      <c r="N344" s="341">
        <f t="shared" si="98"/>
        <v>0</v>
      </c>
      <c r="O344" s="212">
        <f t="shared" si="98"/>
        <v>0</v>
      </c>
      <c r="P344" s="341">
        <f t="shared" si="98"/>
        <v>0</v>
      </c>
      <c r="Q344" s="341">
        <f t="shared" si="98"/>
        <v>0</v>
      </c>
      <c r="R344" s="341">
        <f t="shared" si="98"/>
        <v>0</v>
      </c>
      <c r="S344" s="341">
        <f t="shared" si="98"/>
        <v>0</v>
      </c>
      <c r="T344" s="341">
        <f t="shared" si="98"/>
        <v>0</v>
      </c>
      <c r="U344" s="341">
        <f t="shared" si="98"/>
        <v>0</v>
      </c>
      <c r="V344" s="341">
        <f t="shared" si="98"/>
        <v>0</v>
      </c>
      <c r="W344" s="341">
        <f t="shared" si="98"/>
        <v>0</v>
      </c>
      <c r="X344" s="341">
        <f t="shared" si="98"/>
        <v>0</v>
      </c>
      <c r="Y344" s="341">
        <f t="shared" si="98"/>
        <v>0</v>
      </c>
      <c r="Z344" s="341">
        <f t="shared" si="98"/>
        <v>0</v>
      </c>
      <c r="AA344" s="341">
        <f t="shared" si="98"/>
        <v>0</v>
      </c>
      <c r="AB344" s="341">
        <f t="shared" si="98"/>
        <v>0</v>
      </c>
      <c r="AC344" s="341">
        <f t="shared" si="98"/>
        <v>0</v>
      </c>
      <c r="AD344" s="341">
        <f t="shared" si="98"/>
        <v>0</v>
      </c>
      <c r="AE344" s="341">
        <f t="shared" si="98"/>
        <v>0</v>
      </c>
      <c r="AF344" s="341">
        <f t="shared" si="98"/>
        <v>0</v>
      </c>
      <c r="AG344" s="341">
        <f t="shared" ref="AG344" si="99">SUM(AG130,AG157)-AG309</f>
        <v>0</v>
      </c>
      <c r="AH344" s="341">
        <f t="shared" si="98"/>
        <v>0</v>
      </c>
    </row>
    <row r="345" spans="2:34" x14ac:dyDescent="0.2">
      <c r="B345" s="2890" t="s">
        <v>1048</v>
      </c>
      <c r="C345" s="2890"/>
      <c r="E345" s="341">
        <f t="shared" ref="E345:AH345" si="100">SUM(E131,E158)-E311</f>
        <v>0</v>
      </c>
      <c r="F345" s="341">
        <f t="shared" si="100"/>
        <v>0</v>
      </c>
      <c r="G345" s="341">
        <f t="shared" si="100"/>
        <v>0</v>
      </c>
      <c r="H345" s="341">
        <f t="shared" si="100"/>
        <v>0</v>
      </c>
      <c r="I345" s="341">
        <f t="shared" si="100"/>
        <v>0</v>
      </c>
      <c r="J345" s="341">
        <f t="shared" si="100"/>
        <v>0</v>
      </c>
      <c r="K345" s="341">
        <f t="shared" si="100"/>
        <v>0</v>
      </c>
      <c r="L345" s="341">
        <f t="shared" si="100"/>
        <v>0</v>
      </c>
      <c r="M345" s="341">
        <f t="shared" si="100"/>
        <v>0</v>
      </c>
      <c r="N345" s="341">
        <f t="shared" si="100"/>
        <v>0</v>
      </c>
      <c r="O345" s="212">
        <f t="shared" si="100"/>
        <v>0</v>
      </c>
      <c r="P345" s="341">
        <f t="shared" si="100"/>
        <v>0</v>
      </c>
      <c r="Q345" s="341">
        <f t="shared" si="100"/>
        <v>0</v>
      </c>
      <c r="R345" s="341">
        <f t="shared" si="100"/>
        <v>0</v>
      </c>
      <c r="S345" s="341">
        <f t="shared" si="100"/>
        <v>0</v>
      </c>
      <c r="T345" s="341">
        <f t="shared" si="100"/>
        <v>0</v>
      </c>
      <c r="U345" s="341">
        <f t="shared" si="100"/>
        <v>0</v>
      </c>
      <c r="V345" s="341">
        <f t="shared" si="100"/>
        <v>0</v>
      </c>
      <c r="W345" s="341">
        <f t="shared" si="100"/>
        <v>0</v>
      </c>
      <c r="X345" s="341">
        <f t="shared" si="100"/>
        <v>0</v>
      </c>
      <c r="Y345" s="341">
        <f t="shared" si="100"/>
        <v>0</v>
      </c>
      <c r="Z345" s="341">
        <f t="shared" si="100"/>
        <v>0</v>
      </c>
      <c r="AA345" s="341">
        <f t="shared" si="100"/>
        <v>0</v>
      </c>
      <c r="AB345" s="341">
        <f t="shared" si="100"/>
        <v>0</v>
      </c>
      <c r="AC345" s="341">
        <f t="shared" si="100"/>
        <v>0</v>
      </c>
      <c r="AD345" s="341">
        <f t="shared" si="100"/>
        <v>0</v>
      </c>
      <c r="AE345" s="341">
        <f t="shared" si="100"/>
        <v>0</v>
      </c>
      <c r="AF345" s="341">
        <f t="shared" si="100"/>
        <v>0</v>
      </c>
      <c r="AG345" s="341">
        <f t="shared" ref="AG345" si="101">SUM(AG131,AG158)-AG311</f>
        <v>0</v>
      </c>
      <c r="AH345" s="341">
        <f t="shared" si="100"/>
        <v>0</v>
      </c>
    </row>
    <row r="346" spans="2:34" x14ac:dyDescent="0.2">
      <c r="B346" s="2890" t="s">
        <v>5483</v>
      </c>
      <c r="C346" s="2890"/>
      <c r="E346" s="341">
        <f t="shared" ref="E346:AH346" si="102">SUM(E132,E159)-E312</f>
        <v>0</v>
      </c>
      <c r="F346" s="341">
        <f t="shared" si="102"/>
        <v>0</v>
      </c>
      <c r="G346" s="341">
        <f t="shared" si="102"/>
        <v>0</v>
      </c>
      <c r="H346" s="341">
        <f t="shared" si="102"/>
        <v>0</v>
      </c>
      <c r="I346" s="341">
        <f t="shared" si="102"/>
        <v>0</v>
      </c>
      <c r="J346" s="341">
        <f t="shared" si="102"/>
        <v>0</v>
      </c>
      <c r="K346" s="341">
        <f t="shared" si="102"/>
        <v>0</v>
      </c>
      <c r="L346" s="341">
        <f t="shared" si="102"/>
        <v>0</v>
      </c>
      <c r="M346" s="341">
        <f t="shared" si="102"/>
        <v>0</v>
      </c>
      <c r="N346" s="341">
        <f t="shared" si="102"/>
        <v>0</v>
      </c>
      <c r="O346" s="341">
        <f t="shared" si="102"/>
        <v>0</v>
      </c>
      <c r="P346" s="341">
        <f t="shared" si="102"/>
        <v>0</v>
      </c>
      <c r="Q346" s="341">
        <f t="shared" si="102"/>
        <v>0</v>
      </c>
      <c r="R346" s="341">
        <f t="shared" si="102"/>
        <v>0</v>
      </c>
      <c r="S346" s="341">
        <f t="shared" si="102"/>
        <v>0</v>
      </c>
      <c r="T346" s="341">
        <f t="shared" si="102"/>
        <v>0</v>
      </c>
      <c r="U346" s="341">
        <f t="shared" si="102"/>
        <v>0</v>
      </c>
      <c r="V346" s="341">
        <f t="shared" si="102"/>
        <v>0</v>
      </c>
      <c r="W346" s="341">
        <f t="shared" si="102"/>
        <v>0</v>
      </c>
      <c r="X346" s="341">
        <f t="shared" si="102"/>
        <v>0</v>
      </c>
      <c r="Y346" s="341">
        <f t="shared" si="102"/>
        <v>0</v>
      </c>
      <c r="Z346" s="341">
        <f t="shared" si="102"/>
        <v>0</v>
      </c>
      <c r="AA346" s="341">
        <f t="shared" si="102"/>
        <v>0</v>
      </c>
      <c r="AB346" s="341">
        <f t="shared" si="102"/>
        <v>0</v>
      </c>
      <c r="AC346" s="341">
        <f t="shared" si="102"/>
        <v>0</v>
      </c>
      <c r="AD346" s="341">
        <f t="shared" si="102"/>
        <v>0</v>
      </c>
      <c r="AE346" s="341">
        <f t="shared" si="102"/>
        <v>0</v>
      </c>
      <c r="AF346" s="341">
        <f t="shared" si="102"/>
        <v>0</v>
      </c>
      <c r="AG346" s="341">
        <f t="shared" ref="AG346" si="103">SUM(AG132,AG159)-AG312</f>
        <v>0</v>
      </c>
      <c r="AH346" s="341">
        <f t="shared" si="102"/>
        <v>0</v>
      </c>
    </row>
    <row r="347" spans="2:34" x14ac:dyDescent="0.2">
      <c r="B347" s="2890" t="s">
        <v>5484</v>
      </c>
      <c r="C347" s="2890"/>
      <c r="E347" s="341">
        <f t="shared" ref="E347:AH347" si="104">SUM(E133,E160)-E313</f>
        <v>0</v>
      </c>
      <c r="F347" s="341">
        <f t="shared" si="104"/>
        <v>0</v>
      </c>
      <c r="G347" s="341">
        <f t="shared" si="104"/>
        <v>0</v>
      </c>
      <c r="H347" s="341">
        <f t="shared" si="104"/>
        <v>0</v>
      </c>
      <c r="I347" s="341">
        <f t="shared" si="104"/>
        <v>0</v>
      </c>
      <c r="J347" s="341">
        <f t="shared" si="104"/>
        <v>0</v>
      </c>
      <c r="K347" s="341">
        <f t="shared" si="104"/>
        <v>0</v>
      </c>
      <c r="L347" s="341">
        <f t="shared" si="104"/>
        <v>0</v>
      </c>
      <c r="M347" s="341">
        <f t="shared" si="104"/>
        <v>0</v>
      </c>
      <c r="N347" s="341">
        <f t="shared" si="104"/>
        <v>0</v>
      </c>
      <c r="O347" s="212">
        <f t="shared" si="104"/>
        <v>0</v>
      </c>
      <c r="P347" s="341">
        <f t="shared" si="104"/>
        <v>0</v>
      </c>
      <c r="Q347" s="341">
        <f t="shared" si="104"/>
        <v>0</v>
      </c>
      <c r="R347" s="341">
        <f t="shared" si="104"/>
        <v>0</v>
      </c>
      <c r="S347" s="341">
        <f t="shared" si="104"/>
        <v>0</v>
      </c>
      <c r="T347" s="341">
        <f t="shared" si="104"/>
        <v>0</v>
      </c>
      <c r="U347" s="341">
        <f t="shared" si="104"/>
        <v>0</v>
      </c>
      <c r="V347" s="341">
        <f t="shared" si="104"/>
        <v>0</v>
      </c>
      <c r="W347" s="341">
        <f t="shared" si="104"/>
        <v>0</v>
      </c>
      <c r="X347" s="341">
        <f t="shared" si="104"/>
        <v>0</v>
      </c>
      <c r="Y347" s="341">
        <f t="shared" si="104"/>
        <v>0</v>
      </c>
      <c r="Z347" s="341">
        <f t="shared" si="104"/>
        <v>0</v>
      </c>
      <c r="AA347" s="341">
        <f t="shared" si="104"/>
        <v>0</v>
      </c>
      <c r="AB347" s="341">
        <f t="shared" si="104"/>
        <v>0</v>
      </c>
      <c r="AC347" s="341">
        <f t="shared" si="104"/>
        <v>0</v>
      </c>
      <c r="AD347" s="341">
        <f t="shared" si="104"/>
        <v>0</v>
      </c>
      <c r="AE347" s="341">
        <f t="shared" si="104"/>
        <v>0</v>
      </c>
      <c r="AF347" s="341">
        <f t="shared" si="104"/>
        <v>0</v>
      </c>
      <c r="AG347" s="341">
        <f t="shared" ref="AG347" si="105">SUM(AG133,AG160)-AG313</f>
        <v>0</v>
      </c>
      <c r="AH347" s="341">
        <f t="shared" si="104"/>
        <v>0</v>
      </c>
    </row>
    <row r="348" spans="2:34" x14ac:dyDescent="0.2">
      <c r="B348" s="2890" t="s">
        <v>5485</v>
      </c>
      <c r="C348" s="2890"/>
      <c r="E348" s="341">
        <f t="shared" ref="E348:AH348" si="106">SUM(E134,E161)-E314</f>
        <v>0</v>
      </c>
      <c r="F348" s="341">
        <f t="shared" si="106"/>
        <v>0</v>
      </c>
      <c r="G348" s="341">
        <f t="shared" si="106"/>
        <v>0</v>
      </c>
      <c r="H348" s="341">
        <f t="shared" si="106"/>
        <v>0</v>
      </c>
      <c r="I348" s="341">
        <f t="shared" si="106"/>
        <v>0</v>
      </c>
      <c r="J348" s="341">
        <f t="shared" si="106"/>
        <v>0</v>
      </c>
      <c r="K348" s="341">
        <f t="shared" si="106"/>
        <v>0</v>
      </c>
      <c r="L348" s="341">
        <f t="shared" si="106"/>
        <v>0</v>
      </c>
      <c r="M348" s="341">
        <f t="shared" si="106"/>
        <v>0</v>
      </c>
      <c r="N348" s="341">
        <f t="shared" si="106"/>
        <v>0</v>
      </c>
      <c r="O348" s="341">
        <f t="shared" si="106"/>
        <v>0</v>
      </c>
      <c r="P348" s="341">
        <f t="shared" si="106"/>
        <v>0</v>
      </c>
      <c r="Q348" s="341">
        <f t="shared" si="106"/>
        <v>0</v>
      </c>
      <c r="R348" s="341">
        <f t="shared" si="106"/>
        <v>0</v>
      </c>
      <c r="S348" s="341">
        <f t="shared" si="106"/>
        <v>0</v>
      </c>
      <c r="T348" s="341">
        <f t="shared" si="106"/>
        <v>0</v>
      </c>
      <c r="U348" s="341">
        <f t="shared" si="106"/>
        <v>0</v>
      </c>
      <c r="V348" s="341">
        <f t="shared" si="106"/>
        <v>0</v>
      </c>
      <c r="W348" s="341">
        <f t="shared" si="106"/>
        <v>0</v>
      </c>
      <c r="X348" s="341">
        <f t="shared" si="106"/>
        <v>0</v>
      </c>
      <c r="Y348" s="341">
        <f t="shared" si="106"/>
        <v>0</v>
      </c>
      <c r="Z348" s="341">
        <f t="shared" si="106"/>
        <v>0</v>
      </c>
      <c r="AA348" s="341">
        <f t="shared" si="106"/>
        <v>0</v>
      </c>
      <c r="AB348" s="341">
        <f t="shared" si="106"/>
        <v>0</v>
      </c>
      <c r="AC348" s="341">
        <f t="shared" si="106"/>
        <v>0</v>
      </c>
      <c r="AD348" s="341">
        <f t="shared" si="106"/>
        <v>0</v>
      </c>
      <c r="AE348" s="341">
        <f t="shared" si="106"/>
        <v>0</v>
      </c>
      <c r="AF348" s="341">
        <f t="shared" si="106"/>
        <v>0</v>
      </c>
      <c r="AG348" s="341">
        <f t="shared" ref="AG348" si="107">SUM(AG134,AG161)-AG314</f>
        <v>0</v>
      </c>
      <c r="AH348" s="341">
        <f t="shared" si="106"/>
        <v>0</v>
      </c>
    </row>
    <row r="349" spans="2:34" x14ac:dyDescent="0.2">
      <c r="B349" s="2890" t="s">
        <v>5486</v>
      </c>
      <c r="C349" s="2890"/>
      <c r="E349" s="341">
        <f t="shared" ref="E349:AH349" si="108">SUM(E135,E162)-E315</f>
        <v>0</v>
      </c>
      <c r="F349" s="341">
        <f t="shared" si="108"/>
        <v>0</v>
      </c>
      <c r="G349" s="341">
        <f t="shared" si="108"/>
        <v>0</v>
      </c>
      <c r="H349" s="341">
        <f t="shared" si="108"/>
        <v>0</v>
      </c>
      <c r="I349" s="341">
        <f t="shared" si="108"/>
        <v>0</v>
      </c>
      <c r="J349" s="341">
        <f t="shared" si="108"/>
        <v>0</v>
      </c>
      <c r="K349" s="341">
        <f t="shared" si="108"/>
        <v>0</v>
      </c>
      <c r="L349" s="341">
        <f t="shared" si="108"/>
        <v>0</v>
      </c>
      <c r="M349" s="341">
        <f t="shared" si="108"/>
        <v>0</v>
      </c>
      <c r="N349" s="341">
        <f t="shared" si="108"/>
        <v>0</v>
      </c>
      <c r="O349" s="341">
        <f t="shared" si="108"/>
        <v>0</v>
      </c>
      <c r="P349" s="341">
        <f t="shared" si="108"/>
        <v>0</v>
      </c>
      <c r="Q349" s="341">
        <f t="shared" si="108"/>
        <v>0</v>
      </c>
      <c r="R349" s="341">
        <f t="shared" si="108"/>
        <v>0</v>
      </c>
      <c r="S349" s="341">
        <f t="shared" si="108"/>
        <v>0</v>
      </c>
      <c r="T349" s="341">
        <f t="shared" si="108"/>
        <v>0</v>
      </c>
      <c r="U349" s="341">
        <f t="shared" si="108"/>
        <v>0</v>
      </c>
      <c r="V349" s="341">
        <f t="shared" si="108"/>
        <v>0</v>
      </c>
      <c r="W349" s="341">
        <f t="shared" si="108"/>
        <v>0</v>
      </c>
      <c r="X349" s="341">
        <f t="shared" si="108"/>
        <v>0</v>
      </c>
      <c r="Y349" s="341">
        <f t="shared" si="108"/>
        <v>0</v>
      </c>
      <c r="Z349" s="341">
        <f t="shared" si="108"/>
        <v>0</v>
      </c>
      <c r="AA349" s="341">
        <f t="shared" si="108"/>
        <v>0</v>
      </c>
      <c r="AB349" s="341">
        <f t="shared" si="108"/>
        <v>0</v>
      </c>
      <c r="AC349" s="341">
        <f t="shared" si="108"/>
        <v>0</v>
      </c>
      <c r="AD349" s="341">
        <f t="shared" si="108"/>
        <v>0</v>
      </c>
      <c r="AE349" s="341">
        <f t="shared" si="108"/>
        <v>0</v>
      </c>
      <c r="AF349" s="341">
        <f t="shared" si="108"/>
        <v>0</v>
      </c>
      <c r="AG349" s="341">
        <f t="shared" ref="AG349" si="109">SUM(AG135,AG162)-AG315</f>
        <v>0</v>
      </c>
      <c r="AH349" s="341">
        <f t="shared" si="108"/>
        <v>0</v>
      </c>
    </row>
    <row r="350" spans="2:34" x14ac:dyDescent="0.2">
      <c r="B350" s="2890" t="s">
        <v>1074</v>
      </c>
      <c r="C350" s="2890"/>
      <c r="E350" s="341">
        <f t="shared" ref="E350:AH350" si="110">SUM(E136,E163)-E316</f>
        <v>0</v>
      </c>
      <c r="F350" s="341">
        <f t="shared" si="110"/>
        <v>0</v>
      </c>
      <c r="G350" s="341">
        <f t="shared" si="110"/>
        <v>0</v>
      </c>
      <c r="H350" s="341">
        <f t="shared" si="110"/>
        <v>0</v>
      </c>
      <c r="I350" s="341">
        <f t="shared" si="110"/>
        <v>0</v>
      </c>
      <c r="J350" s="341">
        <f t="shared" si="110"/>
        <v>0</v>
      </c>
      <c r="K350" s="341">
        <f t="shared" si="110"/>
        <v>0</v>
      </c>
      <c r="L350" s="341">
        <f t="shared" si="110"/>
        <v>0</v>
      </c>
      <c r="M350" s="341">
        <f t="shared" si="110"/>
        <v>0</v>
      </c>
      <c r="N350" s="341">
        <f t="shared" si="110"/>
        <v>0</v>
      </c>
      <c r="O350" s="212">
        <f t="shared" si="110"/>
        <v>0</v>
      </c>
      <c r="P350" s="341">
        <f t="shared" si="110"/>
        <v>0</v>
      </c>
      <c r="Q350" s="341">
        <f t="shared" si="110"/>
        <v>0</v>
      </c>
      <c r="R350" s="341">
        <f t="shared" si="110"/>
        <v>0</v>
      </c>
      <c r="S350" s="341">
        <f t="shared" si="110"/>
        <v>0</v>
      </c>
      <c r="T350" s="341">
        <f t="shared" si="110"/>
        <v>0</v>
      </c>
      <c r="U350" s="341">
        <f t="shared" si="110"/>
        <v>0</v>
      </c>
      <c r="V350" s="341">
        <f t="shared" si="110"/>
        <v>0</v>
      </c>
      <c r="W350" s="341">
        <f t="shared" si="110"/>
        <v>0</v>
      </c>
      <c r="X350" s="341">
        <f t="shared" si="110"/>
        <v>0</v>
      </c>
      <c r="Y350" s="341">
        <f t="shared" si="110"/>
        <v>0</v>
      </c>
      <c r="Z350" s="341">
        <f t="shared" si="110"/>
        <v>0</v>
      </c>
      <c r="AA350" s="341">
        <f t="shared" si="110"/>
        <v>0</v>
      </c>
      <c r="AB350" s="341">
        <f t="shared" si="110"/>
        <v>0</v>
      </c>
      <c r="AC350" s="341">
        <f t="shared" si="110"/>
        <v>0</v>
      </c>
      <c r="AD350" s="341">
        <f t="shared" si="110"/>
        <v>0</v>
      </c>
      <c r="AE350" s="341">
        <f t="shared" si="110"/>
        <v>0</v>
      </c>
      <c r="AF350" s="341">
        <f t="shared" si="110"/>
        <v>0</v>
      </c>
      <c r="AG350" s="341">
        <f t="shared" ref="AG350" si="111">SUM(AG136,AG163)-AG316</f>
        <v>0</v>
      </c>
      <c r="AH350" s="341">
        <f t="shared" si="110"/>
        <v>0</v>
      </c>
    </row>
    <row r="351" spans="2:34" x14ac:dyDescent="0.2">
      <c r="B351" s="2890" t="s">
        <v>4888</v>
      </c>
      <c r="C351" s="2890"/>
      <c r="E351" s="341">
        <f t="shared" ref="E351:AH351" si="112">SUM(E137,E164)-E317</f>
        <v>0</v>
      </c>
      <c r="F351" s="341">
        <f t="shared" si="112"/>
        <v>0</v>
      </c>
      <c r="G351" s="341">
        <f t="shared" si="112"/>
        <v>0</v>
      </c>
      <c r="H351" s="341">
        <f t="shared" si="112"/>
        <v>0</v>
      </c>
      <c r="I351" s="341">
        <f t="shared" si="112"/>
        <v>0</v>
      </c>
      <c r="J351" s="341">
        <f t="shared" si="112"/>
        <v>0</v>
      </c>
      <c r="K351" s="341">
        <f t="shared" si="112"/>
        <v>0</v>
      </c>
      <c r="L351" s="341">
        <f t="shared" si="112"/>
        <v>0</v>
      </c>
      <c r="M351" s="341">
        <f t="shared" si="112"/>
        <v>0</v>
      </c>
      <c r="N351" s="341">
        <f t="shared" si="112"/>
        <v>0</v>
      </c>
      <c r="O351" s="212">
        <f t="shared" si="112"/>
        <v>0</v>
      </c>
      <c r="P351" s="341">
        <f t="shared" si="112"/>
        <v>0</v>
      </c>
      <c r="Q351" s="341">
        <f t="shared" si="112"/>
        <v>0</v>
      </c>
      <c r="R351" s="341">
        <f t="shared" si="112"/>
        <v>0</v>
      </c>
      <c r="S351" s="341">
        <f t="shared" si="112"/>
        <v>0</v>
      </c>
      <c r="T351" s="341">
        <f t="shared" si="112"/>
        <v>0</v>
      </c>
      <c r="U351" s="341">
        <f t="shared" si="112"/>
        <v>0</v>
      </c>
      <c r="V351" s="341">
        <f t="shared" si="112"/>
        <v>0</v>
      </c>
      <c r="W351" s="341">
        <f t="shared" si="112"/>
        <v>0</v>
      </c>
      <c r="X351" s="341">
        <f t="shared" si="112"/>
        <v>0</v>
      </c>
      <c r="Y351" s="341">
        <f t="shared" si="112"/>
        <v>0</v>
      </c>
      <c r="Z351" s="341">
        <f t="shared" si="112"/>
        <v>0</v>
      </c>
      <c r="AA351" s="341">
        <f t="shared" si="112"/>
        <v>0</v>
      </c>
      <c r="AB351" s="341">
        <f t="shared" si="112"/>
        <v>0</v>
      </c>
      <c r="AC351" s="341">
        <f t="shared" si="112"/>
        <v>0</v>
      </c>
      <c r="AD351" s="341">
        <f t="shared" si="112"/>
        <v>0</v>
      </c>
      <c r="AE351" s="341">
        <f t="shared" si="112"/>
        <v>0</v>
      </c>
      <c r="AF351" s="341">
        <f t="shared" si="112"/>
        <v>0</v>
      </c>
      <c r="AG351" s="341">
        <f t="shared" ref="AG351" si="113">SUM(AG137,AG164)-AG317</f>
        <v>0</v>
      </c>
      <c r="AH351" s="341">
        <f t="shared" si="112"/>
        <v>0</v>
      </c>
    </row>
    <row r="352" spans="2:34" x14ac:dyDescent="0.2">
      <c r="E352" s="341"/>
    </row>
    <row r="353" spans="1:5" ht="13.5" thickBot="1" x14ac:dyDescent="0.25">
      <c r="E353" s="341"/>
    </row>
    <row r="354" spans="1:5" ht="46.5" customHeight="1" x14ac:dyDescent="0.2">
      <c r="A354" s="3138" t="s">
        <v>6634</v>
      </c>
      <c r="B354" s="3139"/>
      <c r="C354" s="3140"/>
      <c r="E354" s="341"/>
    </row>
    <row r="355" spans="1:5" ht="38.25" customHeight="1" thickBot="1" x14ac:dyDescent="0.25">
      <c r="A355" s="3141"/>
      <c r="B355" s="3142"/>
      <c r="C355" s="3143"/>
    </row>
  </sheetData>
  <sheetProtection algorithmName="SHA-512" hashValue="kAyRScg2R5jaLSWJ1AsCYpe2tpDP5ohnHit64sNQM/5h6LxIrMd3Dh/IcL/JxVG4UXEUlyhhijcH5OKAduwMAQ==" saltValue="NoMmvqdRTvn7QOSp8hsVUw==" spinCount="100000" sheet="1" autoFilter="0"/>
  <customSheetViews>
    <customSheetView guid="{9FCFC836-1CA5-48BF-958D-24D2EA94B219}" topLeftCell="A223">
      <pageMargins left="0" right="0" top="0" bottom="0" header="0" footer="0"/>
    </customSheetView>
    <customSheetView guid="{B08879A4-635B-4C39-9937-AC7883D562FC}" topLeftCell="A223">
      <pageMargins left="0" right="0" top="0" bottom="0" header="0" footer="0"/>
    </customSheetView>
  </customSheetViews>
  <mergeCells count="255">
    <mergeCell ref="B125:C125"/>
    <mergeCell ref="B82:C82"/>
    <mergeCell ref="B280:C280"/>
    <mergeCell ref="B248:C248"/>
    <mergeCell ref="B249:C249"/>
    <mergeCell ref="B250:C250"/>
    <mergeCell ref="B251:C251"/>
    <mergeCell ref="B243:C243"/>
    <mergeCell ref="B244:C244"/>
    <mergeCell ref="B245:C245"/>
    <mergeCell ref="B247:C247"/>
    <mergeCell ref="B246:C246"/>
    <mergeCell ref="B225:C225"/>
    <mergeCell ref="B215:C215"/>
    <mergeCell ref="B216:C216"/>
    <mergeCell ref="B217:C217"/>
    <mergeCell ref="B218:C218"/>
    <mergeCell ref="B219:C219"/>
    <mergeCell ref="B239:C239"/>
    <mergeCell ref="B240:C240"/>
    <mergeCell ref="B242:C242"/>
    <mergeCell ref="B226:C226"/>
    <mergeCell ref="B227:C227"/>
    <mergeCell ref="B230:C230"/>
    <mergeCell ref="B282:C282"/>
    <mergeCell ref="B258:C258"/>
    <mergeCell ref="B259:C259"/>
    <mergeCell ref="B260:C260"/>
    <mergeCell ref="B261:C261"/>
    <mergeCell ref="B252:C252"/>
    <mergeCell ref="B253:C253"/>
    <mergeCell ref="B254:C254"/>
    <mergeCell ref="B255:C255"/>
    <mergeCell ref="B256:C256"/>
    <mergeCell ref="B257:C257"/>
    <mergeCell ref="B275:C275"/>
    <mergeCell ref="B276:C276"/>
    <mergeCell ref="B277:C277"/>
    <mergeCell ref="B278:C278"/>
    <mergeCell ref="B279:C279"/>
    <mergeCell ref="B345:C345"/>
    <mergeCell ref="B347:C347"/>
    <mergeCell ref="B350:C350"/>
    <mergeCell ref="B351:C351"/>
    <mergeCell ref="B336:C336"/>
    <mergeCell ref="B339:C339"/>
    <mergeCell ref="B340:C340"/>
    <mergeCell ref="B341:C341"/>
    <mergeCell ref="B344:C344"/>
    <mergeCell ref="B342:C342"/>
    <mergeCell ref="B343:C343"/>
    <mergeCell ref="B348:C348"/>
    <mergeCell ref="B349:C349"/>
    <mergeCell ref="B346:C346"/>
    <mergeCell ref="B337:C337"/>
    <mergeCell ref="B338:C338"/>
    <mergeCell ref="B1:H1"/>
    <mergeCell ref="B2:H2"/>
    <mergeCell ref="B3:H3"/>
    <mergeCell ref="B4:H4"/>
    <mergeCell ref="G6:H6"/>
    <mergeCell ref="C6:E6"/>
    <mergeCell ref="F5:H5"/>
    <mergeCell ref="B236:C236"/>
    <mergeCell ref="B238:C238"/>
    <mergeCell ref="B220:C220"/>
    <mergeCell ref="B221:C221"/>
    <mergeCell ref="B223:C223"/>
    <mergeCell ref="B224:C224"/>
    <mergeCell ref="B207:C207"/>
    <mergeCell ref="B208:C208"/>
    <mergeCell ref="B209:C209"/>
    <mergeCell ref="B210:C210"/>
    <mergeCell ref="B211:C211"/>
    <mergeCell ref="B214:C214"/>
    <mergeCell ref="B201:C201"/>
    <mergeCell ref="B202:C202"/>
    <mergeCell ref="B203:C203"/>
    <mergeCell ref="B204:C204"/>
    <mergeCell ref="B205:C205"/>
    <mergeCell ref="B231:C231"/>
    <mergeCell ref="B232:C232"/>
    <mergeCell ref="B234:C234"/>
    <mergeCell ref="B241:C241"/>
    <mergeCell ref="B233:C233"/>
    <mergeCell ref="B235:C235"/>
    <mergeCell ref="B237:C237"/>
    <mergeCell ref="B206:C206"/>
    <mergeCell ref="B189:C189"/>
    <mergeCell ref="B190:C190"/>
    <mergeCell ref="B191:C191"/>
    <mergeCell ref="B193:C193"/>
    <mergeCell ref="B194:C194"/>
    <mergeCell ref="B200:C200"/>
    <mergeCell ref="B183:C183"/>
    <mergeCell ref="B185:C185"/>
    <mergeCell ref="B186:C186"/>
    <mergeCell ref="B187:C187"/>
    <mergeCell ref="B192:C192"/>
    <mergeCell ref="B157:C157"/>
    <mergeCell ref="B158:C158"/>
    <mergeCell ref="B162:C162"/>
    <mergeCell ref="B170:C170"/>
    <mergeCell ref="B159:C159"/>
    <mergeCell ref="B171:C171"/>
    <mergeCell ref="B180:C180"/>
    <mergeCell ref="B172:C172"/>
    <mergeCell ref="B173:C173"/>
    <mergeCell ref="B179:C179"/>
    <mergeCell ref="B175:C175"/>
    <mergeCell ref="B177:C177"/>
    <mergeCell ref="B160:C160"/>
    <mergeCell ref="B163:C163"/>
    <mergeCell ref="B164:C164"/>
    <mergeCell ref="B165:C165"/>
    <mergeCell ref="B167:C167"/>
    <mergeCell ref="B178:C178"/>
    <mergeCell ref="B144:C144"/>
    <mergeCell ref="B145:C145"/>
    <mergeCell ref="B146:C146"/>
    <mergeCell ref="B147:C147"/>
    <mergeCell ref="B148:C148"/>
    <mergeCell ref="B149:C149"/>
    <mergeCell ref="B156:C156"/>
    <mergeCell ref="B136:C136"/>
    <mergeCell ref="B137:C137"/>
    <mergeCell ref="B151:C151"/>
    <mergeCell ref="B154:C154"/>
    <mergeCell ref="B155:C155"/>
    <mergeCell ref="B143:C143"/>
    <mergeCell ref="B138:C138"/>
    <mergeCell ref="B142:C142"/>
    <mergeCell ref="B153:C153"/>
    <mergeCell ref="B150:C150"/>
    <mergeCell ref="B152:C152"/>
    <mergeCell ref="B135:C135"/>
    <mergeCell ref="B132:C132"/>
    <mergeCell ref="B124:C124"/>
    <mergeCell ref="B127:C127"/>
    <mergeCell ref="B128:C128"/>
    <mergeCell ref="B130:C130"/>
    <mergeCell ref="B131:C131"/>
    <mergeCell ref="B133:C133"/>
    <mergeCell ref="B90:C90"/>
    <mergeCell ref="B92:C92"/>
    <mergeCell ref="B97:C97"/>
    <mergeCell ref="B98:C98"/>
    <mergeCell ref="B94:C94"/>
    <mergeCell ref="B95:C95"/>
    <mergeCell ref="B129:C129"/>
    <mergeCell ref="B118:C118"/>
    <mergeCell ref="B119:C119"/>
    <mergeCell ref="B120:C120"/>
    <mergeCell ref="B121:C121"/>
    <mergeCell ref="B122:C122"/>
    <mergeCell ref="B123:C123"/>
    <mergeCell ref="B110:C110"/>
    <mergeCell ref="B113:C113"/>
    <mergeCell ref="B114:C114"/>
    <mergeCell ref="B115:C115"/>
    <mergeCell ref="B116:C116"/>
    <mergeCell ref="B117:C117"/>
    <mergeCell ref="B111:C111"/>
    <mergeCell ref="B112:C112"/>
    <mergeCell ref="B54:C54"/>
    <mergeCell ref="B55:C55"/>
    <mergeCell ref="B56:C56"/>
    <mergeCell ref="B60:C60"/>
    <mergeCell ref="B61:C61"/>
    <mergeCell ref="B109:C109"/>
    <mergeCell ref="B66:C66"/>
    <mergeCell ref="B68:C68"/>
    <mergeCell ref="B69:C69"/>
    <mergeCell ref="B71:C71"/>
    <mergeCell ref="B67:C67"/>
    <mergeCell ref="B72:C72"/>
    <mergeCell ref="B85:C85"/>
    <mergeCell ref="B86:C86"/>
    <mergeCell ref="B88:C88"/>
    <mergeCell ref="B73:C73"/>
    <mergeCell ref="B74:C74"/>
    <mergeCell ref="B80:C80"/>
    <mergeCell ref="B81:C81"/>
    <mergeCell ref="B65:C65"/>
    <mergeCell ref="B83:C83"/>
    <mergeCell ref="B84:C84"/>
    <mergeCell ref="B103:C103"/>
    <mergeCell ref="B104:C104"/>
    <mergeCell ref="B91:C91"/>
    <mergeCell ref="B24:C24"/>
    <mergeCell ref="B25:C25"/>
    <mergeCell ref="B26:C26"/>
    <mergeCell ref="B27:C27"/>
    <mergeCell ref="B28:C28"/>
    <mergeCell ref="B29:C29"/>
    <mergeCell ref="B51:C51"/>
    <mergeCell ref="B52:C52"/>
    <mergeCell ref="B53:C53"/>
    <mergeCell ref="B30:C30"/>
    <mergeCell ref="B49:C49"/>
    <mergeCell ref="B75:C75"/>
    <mergeCell ref="B76:C76"/>
    <mergeCell ref="B77:C77"/>
    <mergeCell ref="B78:C78"/>
    <mergeCell ref="B50:C50"/>
    <mergeCell ref="B31:C31"/>
    <mergeCell ref="B79:C79"/>
    <mergeCell ref="B106:C106"/>
    <mergeCell ref="B20:C20"/>
    <mergeCell ref="B21:C21"/>
    <mergeCell ref="B22:C22"/>
    <mergeCell ref="B107:C107"/>
    <mergeCell ref="B42:C42"/>
    <mergeCell ref="B44:C44"/>
    <mergeCell ref="B45:C45"/>
    <mergeCell ref="B46:C46"/>
    <mergeCell ref="B47:C47"/>
    <mergeCell ref="B48:C48"/>
    <mergeCell ref="B32:C32"/>
    <mergeCell ref="B33:C33"/>
    <mergeCell ref="B34:C34"/>
    <mergeCell ref="B35:C35"/>
    <mergeCell ref="B38:C38"/>
    <mergeCell ref="B41:C41"/>
    <mergeCell ref="B36:C36"/>
    <mergeCell ref="B37:C37"/>
    <mergeCell ref="B57:C57"/>
    <mergeCell ref="B58:C58"/>
    <mergeCell ref="B59:C59"/>
    <mergeCell ref="B63:C63"/>
    <mergeCell ref="B64:C64"/>
    <mergeCell ref="B126:C126"/>
    <mergeCell ref="B23:C23"/>
    <mergeCell ref="A354:C355"/>
    <mergeCell ref="B13:C13"/>
    <mergeCell ref="B14:C14"/>
    <mergeCell ref="B15:C15"/>
    <mergeCell ref="B16:C16"/>
    <mergeCell ref="B17:C17"/>
    <mergeCell ref="B19:C19"/>
    <mergeCell ref="B285:C285"/>
    <mergeCell ref="B281:C281"/>
    <mergeCell ref="B271:C271"/>
    <mergeCell ref="B272:C272"/>
    <mergeCell ref="B273:C273"/>
    <mergeCell ref="B274:C274"/>
    <mergeCell ref="B283:C283"/>
    <mergeCell ref="B284:C284"/>
    <mergeCell ref="B93:C93"/>
    <mergeCell ref="B96:C96"/>
    <mergeCell ref="B134:C134"/>
    <mergeCell ref="B161:C161"/>
    <mergeCell ref="B174:C174"/>
    <mergeCell ref="B176:C176"/>
    <mergeCell ref="B105:C105"/>
  </mergeCells>
  <hyperlinks>
    <hyperlink ref="B1:H1" location="Index!A1" display="Index!A1" xr:uid="{00000000-0004-0000-5A00-000000000000}"/>
  </hyperlinks>
  <printOptions gridLines="1"/>
  <pageMargins left="0.25" right="0.25" top="0.25" bottom="0.25" header="0.3" footer="0.3"/>
  <pageSetup fitToHeight="0" orientation="landscape" r:id="rId1"/>
  <rowBreaks count="5" manualBreakCount="5">
    <brk id="69" max="16383" man="1"/>
    <brk id="139" max="16383" man="1"/>
    <brk id="212" max="16383" man="1"/>
    <brk id="264" max="16383" man="1"/>
    <brk id="331" max="16383" man="1"/>
  </rowBreaks>
  <colBreaks count="2" manualBreakCount="2">
    <brk id="14" max="1048575" man="1"/>
    <brk id="24" max="1048575" man="1"/>
  </colBreaks>
  <customProperties>
    <customPr name="SheetOptions" r:id="rId2"/>
  </customProperties>
  <legacyDrawing r:id="rId3"/>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86">
    <tabColor rgb="FFFFFF00"/>
  </sheetPr>
  <dimension ref="B1:W169"/>
  <sheetViews>
    <sheetView zoomScaleNormal="100" workbookViewId="0">
      <selection sqref="A1:J1"/>
    </sheetView>
  </sheetViews>
  <sheetFormatPr defaultColWidth="9.42578125" defaultRowHeight="12.75" x14ac:dyDescent="0.2"/>
  <cols>
    <col min="1" max="1" width="3.5703125" style="357" customWidth="1"/>
    <col min="2" max="2" width="9.42578125" style="357"/>
    <col min="3" max="3" width="5.5703125" style="357" customWidth="1"/>
    <col min="4" max="4" width="8" style="357" customWidth="1"/>
    <col min="5" max="6" width="9.42578125" style="357"/>
    <col min="7" max="7" width="5.5703125" style="357" customWidth="1"/>
    <col min="8" max="8" width="1.5703125" style="357" customWidth="1"/>
    <col min="9" max="9" width="7.5703125" style="357" customWidth="1"/>
    <col min="10" max="10" width="22.5703125" style="215" customWidth="1"/>
    <col min="11" max="11" width="21.5703125" style="357" customWidth="1"/>
    <col min="12" max="16384" width="9.42578125" style="357"/>
  </cols>
  <sheetData>
    <row r="1" spans="2:23" ht="15.75" x14ac:dyDescent="0.25">
      <c r="B1" s="2553" t="str">
        <f>+Index!$A$1</f>
        <v xml:space="preserve">                                                               Office of the State Controller                                                                </v>
      </c>
      <c r="C1" s="2553"/>
      <c r="D1" s="2553"/>
      <c r="E1" s="2553"/>
      <c r="F1" s="2553"/>
      <c r="G1" s="2553"/>
      <c r="H1" s="2553"/>
      <c r="I1" s="2553"/>
      <c r="J1" s="2553"/>
      <c r="K1" s="3147" t="str">
        <f>IF(Index!$B$106="na","NA","")</f>
        <v/>
      </c>
      <c r="L1" s="356"/>
      <c r="M1" s="356"/>
      <c r="N1" s="356"/>
      <c r="O1" s="356"/>
      <c r="P1" s="356"/>
      <c r="Q1" s="356"/>
      <c r="R1" s="356"/>
      <c r="S1" s="356"/>
      <c r="T1" s="356"/>
      <c r="U1" s="356"/>
      <c r="V1" s="356"/>
    </row>
    <row r="2" spans="2:23" ht="16.5" x14ac:dyDescent="0.3">
      <c r="B2" s="2532" t="str">
        <f>+Index!$A$2</f>
        <v>2024 ACFR Worksheets</v>
      </c>
      <c r="C2" s="2532"/>
      <c r="D2" s="2532"/>
      <c r="E2" s="2532"/>
      <c r="F2" s="2532"/>
      <c r="G2" s="2532"/>
      <c r="H2" s="2532"/>
      <c r="I2" s="2532"/>
      <c r="J2" s="2532"/>
      <c r="K2" s="3147"/>
      <c r="L2" s="358"/>
      <c r="M2" s="358"/>
      <c r="N2" s="358"/>
      <c r="O2" s="359"/>
      <c r="P2" s="359"/>
      <c r="Q2" s="359"/>
      <c r="R2" s="359"/>
      <c r="S2" s="359"/>
      <c r="T2" s="359"/>
      <c r="U2" s="359"/>
      <c r="V2" s="359"/>
    </row>
    <row r="3" spans="2:23" ht="42.75" customHeight="1" x14ac:dyDescent="0.3">
      <c r="B3" s="2608" t="s">
        <v>5487</v>
      </c>
      <c r="C3" s="2608"/>
      <c r="D3" s="2608"/>
      <c r="E3" s="2608"/>
      <c r="F3" s="2608"/>
      <c r="G3" s="2608"/>
      <c r="H3" s="2608"/>
      <c r="I3" s="2608"/>
      <c r="J3" s="2608"/>
      <c r="K3" s="3147"/>
      <c r="L3" s="358"/>
      <c r="M3" s="358"/>
      <c r="N3" s="358"/>
      <c r="O3" s="359"/>
      <c r="P3" s="359"/>
      <c r="Q3" s="359"/>
      <c r="R3" s="359"/>
      <c r="S3" s="359"/>
      <c r="T3" s="359"/>
      <c r="U3" s="359"/>
      <c r="V3" s="359"/>
    </row>
    <row r="4" spans="2:23" x14ac:dyDescent="0.2">
      <c r="B4"/>
      <c r="C4"/>
      <c r="D4"/>
      <c r="E4"/>
      <c r="F4"/>
      <c r="G4"/>
      <c r="H4"/>
      <c r="I4"/>
      <c r="J4" s="212"/>
    </row>
    <row r="5" spans="2:23" s="360" customFormat="1" ht="15" customHeight="1" x14ac:dyDescent="0.2">
      <c r="B5" s="105" t="s">
        <v>318</v>
      </c>
      <c r="C5" s="105"/>
      <c r="D5" s="333" t="str">
        <f>+Index!$E$10</f>
        <v>01</v>
      </c>
      <c r="E5" s="332"/>
      <c r="F5" s="105" t="s">
        <v>320</v>
      </c>
      <c r="G5" s="105"/>
      <c r="H5" s="3073" t="str">
        <f>+CONCATENATE(Index!$E$12," ",Index!$E$14)</f>
        <v xml:space="preserve"> </v>
      </c>
      <c r="I5" s="3073"/>
      <c r="J5" s="3073"/>
      <c r="O5" s="361"/>
      <c r="W5" s="362"/>
    </row>
    <row r="6" spans="2:23" s="360" customFormat="1" ht="15" customHeight="1" x14ac:dyDescent="0.2">
      <c r="B6" s="105" t="s">
        <v>319</v>
      </c>
      <c r="C6" s="105"/>
      <c r="D6" s="3104" t="str">
        <f>+Index!$E$11</f>
        <v>North Carolina General Assembly</v>
      </c>
      <c r="E6" s="3104"/>
      <c r="F6" s="3104"/>
      <c r="G6" s="3104"/>
      <c r="H6" s="105"/>
      <c r="I6" s="105"/>
      <c r="J6" s="105"/>
      <c r="O6" s="363"/>
      <c r="P6" s="363"/>
      <c r="Q6" s="363"/>
      <c r="R6" s="363"/>
      <c r="S6" s="363"/>
      <c r="T6" s="363"/>
      <c r="U6" s="363"/>
      <c r="V6" s="364"/>
      <c r="W6" s="362"/>
    </row>
    <row r="7" spans="2:23" s="360" customFormat="1" ht="15" customHeight="1" x14ac:dyDescent="0.2">
      <c r="B7" s="360" t="s">
        <v>545</v>
      </c>
      <c r="D7" s="592" t="e">
        <f>INDEX(NetAssetsData,MATCH(PriorYr906!$D$5,NetAssetsDataRow,0),4)</f>
        <v>#N/A</v>
      </c>
      <c r="F7" s="435" t="s">
        <v>168</v>
      </c>
      <c r="G7" s="3099">
        <f>+Index!$E$13</f>
        <v>0</v>
      </c>
      <c r="H7" s="3099"/>
      <c r="I7" s="3099"/>
      <c r="J7" s="3099"/>
      <c r="W7" s="362"/>
    </row>
    <row r="8" spans="2:23" s="365" customFormat="1" ht="12" customHeight="1" thickBot="1" x14ac:dyDescent="0.25">
      <c r="B8" s="1790"/>
      <c r="C8" s="1790"/>
      <c r="D8" s="1790"/>
      <c r="E8" s="1790"/>
      <c r="F8" s="1790"/>
      <c r="G8" s="1790"/>
      <c r="H8" s="1790"/>
      <c r="I8" s="1790"/>
      <c r="J8" s="730" t="str">
        <f>TEXT(Data!$A$4,"mmmm d,yyyy")</f>
        <v>June 30,2023</v>
      </c>
      <c r="K8" s="730" t="str">
        <f>TEXT(Data!$A$4,"mmmm d,yyyy")</f>
        <v>June 30,2023</v>
      </c>
    </row>
    <row r="9" spans="2:23" ht="15.75" x14ac:dyDescent="0.25">
      <c r="B9" s="766" t="s">
        <v>5488</v>
      </c>
      <c r="C9" s="746"/>
      <c r="D9" s="746"/>
      <c r="J9" s="728" t="s">
        <v>4686</v>
      </c>
      <c r="K9" s="728" t="s">
        <v>4748</v>
      </c>
    </row>
    <row r="10" spans="2:23" ht="15.75" x14ac:dyDescent="0.25">
      <c r="B10" s="366" t="s">
        <v>555</v>
      </c>
      <c r="C10" s="372"/>
      <c r="D10" s="372"/>
      <c r="J10" s="729" t="s">
        <v>5383</v>
      </c>
      <c r="K10" s="729" t="s">
        <v>4749</v>
      </c>
      <c r="L10" s="367"/>
      <c r="M10" s="367"/>
      <c r="N10" s="367"/>
    </row>
    <row r="11" spans="2:23" ht="21" customHeight="1" x14ac:dyDescent="0.2">
      <c r="B11" s="3100" t="s">
        <v>1935</v>
      </c>
      <c r="C11" s="3100"/>
      <c r="D11" s="3100"/>
      <c r="E11" s="3100"/>
      <c r="F11" s="3100"/>
      <c r="G11" s="3100"/>
      <c r="H11" s="3100"/>
      <c r="I11" s="3100"/>
      <c r="J11" s="451">
        <v>0</v>
      </c>
      <c r="K11" s="451">
        <v>0</v>
      </c>
      <c r="L11" s="368"/>
      <c r="M11" s="368"/>
      <c r="N11" s="368"/>
    </row>
    <row r="12" spans="2:23" x14ac:dyDescent="0.2">
      <c r="B12" s="1782" t="s">
        <v>4690</v>
      </c>
      <c r="C12" s="773"/>
      <c r="D12"/>
      <c r="E12"/>
      <c r="F12"/>
      <c r="G12"/>
      <c r="H12"/>
      <c r="I12"/>
      <c r="J12" s="738"/>
      <c r="K12" s="738"/>
      <c r="L12" s="2430"/>
      <c r="M12" s="2430"/>
      <c r="N12" s="2430"/>
    </row>
    <row r="13" spans="2:23" x14ac:dyDescent="0.2">
      <c r="B13" s="3100" t="s">
        <v>4691</v>
      </c>
      <c r="C13" s="3100"/>
      <c r="D13" s="3100"/>
      <c r="E13" s="3100"/>
      <c r="F13" s="3100"/>
      <c r="G13" s="3100"/>
      <c r="H13" s="3100"/>
      <c r="I13" s="3100"/>
      <c r="J13" s="212">
        <v>0</v>
      </c>
      <c r="K13" s="212">
        <v>0</v>
      </c>
      <c r="L13" s="2430"/>
      <c r="M13" s="2430"/>
      <c r="N13" s="2430"/>
    </row>
    <row r="14" spans="2:23" x14ac:dyDescent="0.2">
      <c r="B14" s="3100" t="s">
        <v>4692</v>
      </c>
      <c r="C14" s="3100"/>
      <c r="D14" s="3100"/>
      <c r="E14" s="3100"/>
      <c r="F14" s="3100"/>
      <c r="G14" s="3100"/>
      <c r="H14" s="3100"/>
      <c r="I14" s="3100"/>
      <c r="J14" s="212">
        <v>0</v>
      </c>
      <c r="K14" s="212">
        <v>0</v>
      </c>
      <c r="L14" s="2430"/>
      <c r="M14" s="2430"/>
      <c r="N14" s="2430"/>
    </row>
    <row r="15" spans="2:23" x14ac:dyDescent="0.2">
      <c r="B15" s="3100" t="s">
        <v>4694</v>
      </c>
      <c r="C15" s="3100"/>
      <c r="D15" s="3100"/>
      <c r="E15" s="3100"/>
      <c r="F15" s="3100"/>
      <c r="G15" s="3100"/>
      <c r="H15" s="3100"/>
      <c r="I15" s="3100"/>
      <c r="J15" s="212">
        <v>0</v>
      </c>
      <c r="K15" s="212">
        <v>0</v>
      </c>
      <c r="L15" s="2430"/>
      <c r="M15" s="2430"/>
      <c r="N15" s="2430"/>
    </row>
    <row r="16" spans="2:23" x14ac:dyDescent="0.2">
      <c r="B16" s="3100" t="s">
        <v>4695</v>
      </c>
      <c r="C16" s="3100"/>
      <c r="D16" s="3100"/>
      <c r="E16" s="3100"/>
      <c r="F16" s="3100"/>
      <c r="G16" s="3100"/>
      <c r="H16" s="3100"/>
      <c r="I16" s="3100"/>
      <c r="J16" s="212">
        <v>0</v>
      </c>
      <c r="K16" s="212">
        <v>0</v>
      </c>
      <c r="L16" s="2430"/>
      <c r="M16" s="2430"/>
      <c r="N16" s="2430"/>
    </row>
    <row r="17" spans="2:14" x14ac:dyDescent="0.2">
      <c r="B17" s="3100" t="s">
        <v>4696</v>
      </c>
      <c r="C17" s="3100"/>
      <c r="D17" s="3100"/>
      <c r="E17" s="3100"/>
      <c r="F17" s="3100"/>
      <c r="G17" s="3100"/>
      <c r="H17" s="3100"/>
      <c r="I17" s="3100"/>
      <c r="J17" s="212">
        <v>0</v>
      </c>
      <c r="K17" s="212">
        <v>0</v>
      </c>
      <c r="L17" s="2430"/>
      <c r="M17" s="2430"/>
      <c r="N17" s="2430"/>
    </row>
    <row r="18" spans="2:14" x14ac:dyDescent="0.2">
      <c r="B18" s="3100" t="s">
        <v>4697</v>
      </c>
      <c r="C18" s="3100"/>
      <c r="D18" s="3100"/>
      <c r="E18" s="3100"/>
      <c r="F18" s="3100"/>
      <c r="G18" s="3100"/>
      <c r="H18" s="3100"/>
      <c r="I18" s="3100"/>
      <c r="J18" s="212">
        <v>0</v>
      </c>
      <c r="K18" s="212">
        <v>0</v>
      </c>
      <c r="L18" s="2430"/>
      <c r="M18" s="2430"/>
      <c r="N18" s="2430"/>
    </row>
    <row r="19" spans="2:14" x14ac:dyDescent="0.2">
      <c r="B19" s="3100" t="s">
        <v>4698</v>
      </c>
      <c r="C19" s="3100"/>
      <c r="D19" s="3100"/>
      <c r="E19" s="3100"/>
      <c r="F19" s="3100"/>
      <c r="G19" s="3100"/>
      <c r="H19" s="3100"/>
      <c r="I19" s="3100"/>
      <c r="J19" s="212">
        <v>0</v>
      </c>
      <c r="K19" s="212">
        <v>0</v>
      </c>
      <c r="L19" s="2430"/>
      <c r="M19" s="2430"/>
      <c r="N19" s="2430"/>
    </row>
    <row r="20" spans="2:14" x14ac:dyDescent="0.2">
      <c r="B20" s="3100" t="s">
        <v>4699</v>
      </c>
      <c r="C20" s="3100"/>
      <c r="D20" s="3100"/>
      <c r="E20" s="3100"/>
      <c r="F20" s="3100"/>
      <c r="G20" s="3100"/>
      <c r="H20" s="3100"/>
      <c r="I20" s="3100"/>
      <c r="J20" s="212">
        <v>0</v>
      </c>
      <c r="K20" s="212">
        <v>0</v>
      </c>
      <c r="L20" s="2430"/>
      <c r="M20" s="2430"/>
      <c r="N20" s="2430"/>
    </row>
    <row r="21" spans="2:14" x14ac:dyDescent="0.2">
      <c r="B21" s="3100" t="s">
        <v>4700</v>
      </c>
      <c r="C21" s="3100"/>
      <c r="D21" s="3100"/>
      <c r="E21" s="3100"/>
      <c r="F21" s="3100"/>
      <c r="G21" s="3100"/>
      <c r="H21" s="3100"/>
      <c r="I21" s="3100"/>
      <c r="J21" s="212">
        <v>0</v>
      </c>
      <c r="K21" s="212">
        <v>0</v>
      </c>
      <c r="L21" s="2430"/>
      <c r="M21" s="2430"/>
      <c r="N21" s="2430"/>
    </row>
    <row r="22" spans="2:14" x14ac:dyDescent="0.2">
      <c r="B22" s="3100" t="s">
        <v>4701</v>
      </c>
      <c r="C22" s="3100"/>
      <c r="D22" s="3100"/>
      <c r="E22" s="3100"/>
      <c r="F22" s="3100"/>
      <c r="G22" s="3100"/>
      <c r="H22" s="3100"/>
      <c r="I22" s="3100"/>
      <c r="J22" s="212">
        <v>0</v>
      </c>
      <c r="K22" s="212">
        <v>0</v>
      </c>
      <c r="L22" s="2430"/>
      <c r="M22" s="2430"/>
      <c r="N22" s="2430"/>
    </row>
    <row r="23" spans="2:14" x14ac:dyDescent="0.2">
      <c r="B23" s="3100" t="s">
        <v>4702</v>
      </c>
      <c r="C23" s="3100"/>
      <c r="D23" s="3100"/>
      <c r="E23" s="3100"/>
      <c r="F23" s="3100"/>
      <c r="G23" s="3100"/>
      <c r="H23" s="3100"/>
      <c r="I23" s="3100"/>
      <c r="J23" s="212">
        <v>0</v>
      </c>
      <c r="K23" s="212">
        <v>0</v>
      </c>
      <c r="L23" s="369"/>
      <c r="M23" s="369"/>
      <c r="N23" s="369"/>
    </row>
    <row r="24" spans="2:14" x14ac:dyDescent="0.2">
      <c r="B24" s="3100" t="s">
        <v>4703</v>
      </c>
      <c r="C24" s="3100"/>
      <c r="D24" s="3100"/>
      <c r="E24" s="3100"/>
      <c r="F24" s="3100"/>
      <c r="G24" s="3100"/>
      <c r="H24" s="3100"/>
      <c r="I24" s="3100"/>
      <c r="J24" s="212">
        <v>8634762.5299999993</v>
      </c>
      <c r="K24" s="761">
        <v>45671920.060000002</v>
      </c>
      <c r="L24" s="370"/>
      <c r="M24" s="370"/>
      <c r="N24" s="370"/>
    </row>
    <row r="25" spans="2:14" x14ac:dyDescent="0.2">
      <c r="B25" s="3100" t="s">
        <v>4705</v>
      </c>
      <c r="C25" s="3100"/>
      <c r="D25" s="3100"/>
      <c r="E25" s="3100"/>
      <c r="F25" s="3100"/>
      <c r="G25" s="3100"/>
      <c r="H25" s="3100"/>
      <c r="I25" s="3100"/>
      <c r="J25" s="212">
        <v>0</v>
      </c>
      <c r="K25" s="761">
        <v>0</v>
      </c>
      <c r="L25" s="370"/>
      <c r="M25" s="370"/>
      <c r="N25" s="370"/>
    </row>
    <row r="26" spans="2:14" x14ac:dyDescent="0.2">
      <c r="B26" s="3100" t="s">
        <v>4706</v>
      </c>
      <c r="C26" s="3100"/>
      <c r="D26" s="3100"/>
      <c r="E26" s="3100"/>
      <c r="F26" s="3100"/>
      <c r="G26" s="3100"/>
      <c r="H26" s="3100"/>
      <c r="I26" s="3100"/>
      <c r="J26" s="212">
        <v>40759547.810000002</v>
      </c>
      <c r="K26" s="761">
        <v>215589809.46000001</v>
      </c>
      <c r="L26" s="370"/>
      <c r="M26" s="370"/>
      <c r="N26" s="370"/>
    </row>
    <row r="27" spans="2:14" x14ac:dyDescent="0.2">
      <c r="B27" s="3100" t="s">
        <v>4708</v>
      </c>
      <c r="C27" s="3100"/>
      <c r="D27" s="3100"/>
      <c r="E27" s="3100"/>
      <c r="F27" s="3100"/>
      <c r="G27" s="3100"/>
      <c r="H27" s="3100"/>
      <c r="I27" s="3100"/>
      <c r="J27" s="212">
        <v>344500379.39999998</v>
      </c>
      <c r="K27" s="761">
        <v>1822168204.24</v>
      </c>
      <c r="L27" s="370"/>
      <c r="M27" s="370"/>
      <c r="N27" s="370"/>
    </row>
    <row r="28" spans="2:14" x14ac:dyDescent="0.2">
      <c r="B28" s="3100" t="s">
        <v>4710</v>
      </c>
      <c r="C28" s="3100"/>
      <c r="D28" s="3100"/>
      <c r="E28" s="3100"/>
      <c r="F28" s="3100"/>
      <c r="G28" s="3100"/>
      <c r="H28" s="3100"/>
      <c r="I28" s="3100"/>
      <c r="J28" s="212">
        <v>1276643484.96</v>
      </c>
      <c r="K28" s="761">
        <v>10115062576.940001</v>
      </c>
      <c r="L28" s="370"/>
      <c r="M28" s="370"/>
      <c r="N28" s="370"/>
    </row>
    <row r="29" spans="2:14" x14ac:dyDescent="0.2">
      <c r="B29" s="3100" t="s">
        <v>3040</v>
      </c>
      <c r="C29" s="3100"/>
      <c r="D29" s="3100"/>
      <c r="E29" s="3100"/>
      <c r="F29" s="3100"/>
      <c r="G29" s="3100"/>
      <c r="H29" s="3100"/>
      <c r="I29" s="3100"/>
      <c r="J29" s="212">
        <v>0</v>
      </c>
      <c r="K29" s="761">
        <v>0</v>
      </c>
      <c r="L29" s="370"/>
      <c r="M29" s="370"/>
      <c r="N29" s="370"/>
    </row>
    <row r="30" spans="2:14" x14ac:dyDescent="0.2">
      <c r="B30" s="773" t="s">
        <v>2741</v>
      </c>
      <c r="C30" s="773"/>
      <c r="D30"/>
      <c r="E30"/>
      <c r="F30"/>
      <c r="G30"/>
      <c r="H30"/>
      <c r="I30"/>
      <c r="J30"/>
      <c r="K30" s="1123"/>
      <c r="L30" s="370"/>
      <c r="M30" s="370"/>
      <c r="N30" s="370"/>
    </row>
    <row r="31" spans="2:14" x14ac:dyDescent="0.2">
      <c r="B31" s="3100" t="s">
        <v>4711</v>
      </c>
      <c r="C31" s="3100"/>
      <c r="D31" s="3100"/>
      <c r="E31" s="3100"/>
      <c r="F31" s="3100"/>
      <c r="G31" s="3100"/>
      <c r="H31" s="3100"/>
      <c r="I31" s="3100"/>
      <c r="J31" s="212">
        <v>201.55</v>
      </c>
      <c r="K31" s="761">
        <v>1186.8900000000001</v>
      </c>
      <c r="L31" s="370"/>
      <c r="M31" s="370"/>
      <c r="N31" s="370"/>
    </row>
    <row r="32" spans="2:14" x14ac:dyDescent="0.2">
      <c r="B32" s="3100" t="s">
        <v>4712</v>
      </c>
      <c r="C32" s="3100"/>
      <c r="D32" s="3100"/>
      <c r="E32" s="3100"/>
      <c r="F32" s="3100"/>
      <c r="G32" s="3100"/>
      <c r="H32" s="3100"/>
      <c r="I32" s="3100"/>
      <c r="J32" s="212">
        <v>0</v>
      </c>
      <c r="K32" s="761">
        <v>0</v>
      </c>
      <c r="L32" s="2430"/>
      <c r="M32" s="2430"/>
      <c r="N32" s="2430"/>
    </row>
    <row r="33" spans="2:14" x14ac:dyDescent="0.2">
      <c r="B33" s="3100" t="s">
        <v>4713</v>
      </c>
      <c r="C33" s="3100"/>
      <c r="D33" s="3100"/>
      <c r="E33" s="3100"/>
      <c r="F33" s="3100"/>
      <c r="G33" s="3100"/>
      <c r="H33" s="3100"/>
      <c r="I33" s="3100"/>
      <c r="J33" s="212">
        <v>812681.25</v>
      </c>
      <c r="K33" s="761">
        <v>9477585.5500000007</v>
      </c>
      <c r="L33" s="2430"/>
      <c r="M33" s="2430"/>
      <c r="N33" s="2430"/>
    </row>
    <row r="34" spans="2:14" x14ac:dyDescent="0.2">
      <c r="B34" s="3100" t="s">
        <v>2752</v>
      </c>
      <c r="C34" s="3100"/>
      <c r="D34" s="3100"/>
      <c r="E34" s="3100"/>
      <c r="F34" s="3100"/>
      <c r="G34" s="3100"/>
      <c r="H34" s="3100"/>
      <c r="I34" s="3100"/>
      <c r="J34" s="212">
        <v>19818405.73</v>
      </c>
      <c r="K34" s="761">
        <v>248839531.59</v>
      </c>
      <c r="L34" s="2430"/>
      <c r="M34" s="2430"/>
      <c r="N34" s="2430"/>
    </row>
    <row r="35" spans="2:14" x14ac:dyDescent="0.2">
      <c r="B35" s="3100" t="s">
        <v>2750</v>
      </c>
      <c r="C35" s="3100"/>
      <c r="D35" s="3100"/>
      <c r="E35" s="3100"/>
      <c r="F35" s="3100"/>
      <c r="G35" s="3100"/>
      <c r="H35" s="3100"/>
      <c r="I35" s="3100"/>
      <c r="J35" s="212">
        <v>0</v>
      </c>
      <c r="K35" s="212">
        <v>0</v>
      </c>
      <c r="L35" s="2430"/>
      <c r="M35" s="2430"/>
      <c r="N35" s="2430"/>
    </row>
    <row r="36" spans="2:14" x14ac:dyDescent="0.2">
      <c r="B36" s="3100" t="s">
        <v>4714</v>
      </c>
      <c r="C36" s="3100"/>
      <c r="D36" s="3100"/>
      <c r="E36" s="3100"/>
      <c r="F36" s="3100"/>
      <c r="G36" s="3100"/>
      <c r="H36" s="3100"/>
      <c r="I36" s="3100"/>
      <c r="J36" s="212">
        <v>0</v>
      </c>
      <c r="K36" s="212">
        <v>0</v>
      </c>
      <c r="L36" s="2430"/>
      <c r="M36" s="2430"/>
      <c r="N36" s="2430"/>
    </row>
    <row r="37" spans="2:14" x14ac:dyDescent="0.2">
      <c r="B37" s="3100" t="s">
        <v>4715</v>
      </c>
      <c r="C37" s="3100"/>
      <c r="D37" s="3100"/>
      <c r="E37" s="3100"/>
      <c r="F37" s="3100"/>
      <c r="G37" s="3100"/>
      <c r="H37" s="3100"/>
      <c r="I37" s="3100"/>
      <c r="J37" s="212">
        <v>0</v>
      </c>
      <c r="K37" s="212">
        <v>0</v>
      </c>
      <c r="L37" s="2430"/>
      <c r="M37" s="2430"/>
      <c r="N37" s="2430"/>
    </row>
    <row r="38" spans="2:14" x14ac:dyDescent="0.2">
      <c r="B38" s="3100" t="s">
        <v>4716</v>
      </c>
      <c r="C38" s="3100"/>
      <c r="D38" s="3100"/>
      <c r="E38" s="3100"/>
      <c r="F38" s="3100"/>
      <c r="G38" s="3100"/>
      <c r="H38" s="3100"/>
      <c r="I38" s="3100"/>
      <c r="J38" s="452">
        <v>0</v>
      </c>
      <c r="K38" s="452">
        <v>0</v>
      </c>
      <c r="L38" s="369"/>
      <c r="M38" s="369"/>
      <c r="N38" s="369"/>
    </row>
    <row r="39" spans="2:14" x14ac:dyDescent="0.2">
      <c r="B39" s="3149" t="s">
        <v>1769</v>
      </c>
      <c r="C39" s="3149"/>
      <c r="D39" s="3149"/>
      <c r="E39" s="3149"/>
      <c r="F39" s="3149"/>
      <c r="G39" s="3149"/>
      <c r="H39" s="3149"/>
      <c r="I39" s="3149"/>
      <c r="J39" s="379">
        <f>SUM(J10:J38)</f>
        <v>1691169463.23</v>
      </c>
      <c r="K39" s="379">
        <f>SUM(K10:K38)</f>
        <v>12456810814.73</v>
      </c>
      <c r="L39" s="368"/>
      <c r="M39" s="368"/>
      <c r="N39" s="368"/>
    </row>
    <row r="40" spans="2:14" x14ac:dyDescent="0.2">
      <c r="B40" s="371"/>
      <c r="C40" s="372"/>
      <c r="J40" s="739"/>
      <c r="K40" s="739"/>
      <c r="L40" s="2430"/>
      <c r="M40" s="2430"/>
      <c r="N40" s="2430"/>
    </row>
    <row r="41" spans="2:14" x14ac:dyDescent="0.2">
      <c r="B41" s="366" t="s">
        <v>1837</v>
      </c>
      <c r="C41" s="372"/>
      <c r="J41" s="739"/>
      <c r="K41" s="739"/>
      <c r="L41" s="2430"/>
      <c r="M41" s="2430"/>
      <c r="N41" s="2430"/>
    </row>
    <row r="42" spans="2:14" x14ac:dyDescent="0.2">
      <c r="B42" s="1791" t="s">
        <v>2797</v>
      </c>
      <c r="C42" s="372"/>
      <c r="J42" s="739"/>
      <c r="K42" s="739"/>
      <c r="L42" s="2430"/>
      <c r="M42" s="2430"/>
      <c r="N42" s="2430"/>
    </row>
    <row r="43" spans="2:14" x14ac:dyDescent="0.2">
      <c r="B43" s="3150" t="s">
        <v>2835</v>
      </c>
      <c r="C43" s="3150"/>
      <c r="D43" s="3150"/>
      <c r="E43" s="3150"/>
      <c r="F43" s="3150"/>
      <c r="G43" s="3150"/>
      <c r="H43" s="3150"/>
      <c r="I43" s="3150"/>
      <c r="J43" s="212">
        <v>169903.81</v>
      </c>
      <c r="K43" s="212">
        <v>898673.59</v>
      </c>
      <c r="L43" s="2430"/>
      <c r="M43" s="2430"/>
      <c r="N43" s="2430"/>
    </row>
    <row r="44" spans="2:14" x14ac:dyDescent="0.2">
      <c r="B44" s="3150" t="s">
        <v>2800</v>
      </c>
      <c r="C44" s="3150"/>
      <c r="D44" s="3150"/>
      <c r="E44" s="3150"/>
      <c r="F44" s="3150"/>
      <c r="G44" s="3150"/>
      <c r="H44" s="3150"/>
      <c r="I44" s="3150"/>
      <c r="J44" s="212">
        <v>0</v>
      </c>
      <c r="K44" s="212">
        <v>0</v>
      </c>
    </row>
    <row r="45" spans="2:14" x14ac:dyDescent="0.2">
      <c r="B45" s="3150" t="s">
        <v>4717</v>
      </c>
      <c r="C45" s="3150"/>
      <c r="D45" s="3150"/>
      <c r="E45" s="3150"/>
      <c r="F45" s="3150"/>
      <c r="G45" s="3150"/>
      <c r="H45" s="3150"/>
      <c r="I45" s="3150"/>
      <c r="J45" s="212">
        <v>0</v>
      </c>
      <c r="K45" s="212">
        <v>0</v>
      </c>
      <c r="L45" s="2430"/>
      <c r="M45" s="2430"/>
      <c r="N45" s="2430"/>
    </row>
    <row r="46" spans="2:14" x14ac:dyDescent="0.2">
      <c r="B46" s="3148" t="s">
        <v>2814</v>
      </c>
      <c r="C46" s="3148"/>
      <c r="D46" s="3148"/>
      <c r="E46" s="3148"/>
      <c r="F46" s="3148"/>
      <c r="G46" s="3148"/>
      <c r="H46" s="3148"/>
      <c r="I46" s="3148"/>
      <c r="J46" s="212">
        <v>0</v>
      </c>
      <c r="K46" s="212">
        <v>0</v>
      </c>
      <c r="L46" s="2430"/>
      <c r="M46" s="2430"/>
      <c r="N46" s="2430"/>
    </row>
    <row r="47" spans="2:14" x14ac:dyDescent="0.2">
      <c r="B47" s="3148" t="s">
        <v>2812</v>
      </c>
      <c r="C47" s="3148"/>
      <c r="D47" s="3148"/>
      <c r="E47" s="3148"/>
      <c r="F47" s="3148"/>
      <c r="G47" s="3148"/>
      <c r="H47" s="3148"/>
      <c r="I47" s="3148"/>
      <c r="J47" s="212">
        <v>0</v>
      </c>
      <c r="K47" s="212">
        <v>0</v>
      </c>
      <c r="L47" s="2430"/>
      <c r="M47" s="2430"/>
      <c r="N47" s="2430"/>
    </row>
    <row r="48" spans="2:14" x14ac:dyDescent="0.2">
      <c r="B48" s="3148" t="s">
        <v>2815</v>
      </c>
      <c r="C48" s="3148"/>
      <c r="D48" s="3148"/>
      <c r="E48" s="3148"/>
      <c r="F48" s="3148"/>
      <c r="G48" s="3148"/>
      <c r="H48" s="3148"/>
      <c r="I48" s="3148"/>
      <c r="J48" s="212">
        <v>0</v>
      </c>
      <c r="K48" s="212">
        <v>0</v>
      </c>
      <c r="L48" s="2430"/>
      <c r="M48" s="2430"/>
      <c r="N48" s="2430"/>
    </row>
    <row r="49" spans="2:14" x14ac:dyDescent="0.2">
      <c r="B49" s="3149" t="s">
        <v>2816</v>
      </c>
      <c r="C49" s="3149"/>
      <c r="D49" s="3149"/>
      <c r="E49" s="3149"/>
      <c r="F49" s="3149"/>
      <c r="G49" s="3149"/>
      <c r="H49" s="3149"/>
      <c r="I49" s="3149"/>
      <c r="J49" s="212">
        <v>0</v>
      </c>
      <c r="K49" s="212">
        <v>0</v>
      </c>
      <c r="L49" s="2430"/>
      <c r="M49" s="2430"/>
      <c r="N49" s="2430"/>
    </row>
    <row r="50" spans="2:14" x14ac:dyDescent="0.2">
      <c r="B50" s="3148" t="s">
        <v>1071</v>
      </c>
      <c r="C50" s="3148"/>
      <c r="D50" s="3148"/>
      <c r="E50" s="3148"/>
      <c r="F50" s="3148"/>
      <c r="G50" s="3148"/>
      <c r="H50" s="3148"/>
      <c r="I50" s="3148"/>
      <c r="J50" s="452">
        <v>0</v>
      </c>
      <c r="K50" s="452">
        <v>0</v>
      </c>
      <c r="L50" s="2430"/>
      <c r="M50" s="2430"/>
      <c r="N50" s="2430"/>
    </row>
    <row r="51" spans="2:14" x14ac:dyDescent="0.2">
      <c r="B51" s="3149" t="s">
        <v>1774</v>
      </c>
      <c r="C51" s="3149"/>
      <c r="D51" s="3149"/>
      <c r="E51" s="3149"/>
      <c r="F51" s="3149"/>
      <c r="G51" s="3149"/>
      <c r="H51" s="3149"/>
      <c r="I51" s="3149"/>
      <c r="J51" s="379">
        <f>SUM(J42:J50)</f>
        <v>169903.81</v>
      </c>
      <c r="K51" s="379">
        <f>SUM(K42:K50)</f>
        <v>898673.59</v>
      </c>
      <c r="L51" s="2430"/>
      <c r="M51" s="2430"/>
      <c r="N51" s="2430"/>
    </row>
    <row r="52" spans="2:14" x14ac:dyDescent="0.2">
      <c r="B52" s="372"/>
      <c r="C52" s="372"/>
      <c r="J52" s="739"/>
      <c r="K52" s="739"/>
      <c r="L52" s="370"/>
      <c r="M52" s="370"/>
      <c r="N52" s="370"/>
    </row>
    <row r="53" spans="2:14" x14ac:dyDescent="0.2">
      <c r="B53" s="2444" t="s">
        <v>1776</v>
      </c>
      <c r="J53" s="212"/>
      <c r="K53" s="212"/>
      <c r="L53" s="370"/>
      <c r="M53" s="370"/>
      <c r="N53" s="370"/>
    </row>
    <row r="54" spans="2:14" x14ac:dyDescent="0.2">
      <c r="B54" s="3152" t="s">
        <v>4941</v>
      </c>
      <c r="C54" s="3152"/>
      <c r="D54" s="3152"/>
      <c r="E54" s="3152"/>
      <c r="F54" s="3152"/>
      <c r="G54" s="3152"/>
      <c r="H54" s="3152"/>
      <c r="I54" s="3152"/>
      <c r="J54" s="212"/>
      <c r="K54" s="212"/>
      <c r="L54" s="370"/>
      <c r="M54" s="370"/>
      <c r="N54" s="370"/>
    </row>
    <row r="55" spans="2:14" x14ac:dyDescent="0.2">
      <c r="B55" s="3148" t="s">
        <v>5489</v>
      </c>
      <c r="C55" s="3148"/>
      <c r="D55" s="3148"/>
      <c r="E55" s="3148"/>
      <c r="F55" s="3148"/>
      <c r="G55" s="3148"/>
      <c r="H55" s="3148"/>
      <c r="I55" s="3148"/>
      <c r="J55" s="212">
        <v>1690999559.4200001</v>
      </c>
      <c r="K55" s="212">
        <v>12455912141.139999</v>
      </c>
      <c r="L55" s="370"/>
      <c r="M55" s="370"/>
      <c r="N55" s="370"/>
    </row>
    <row r="56" spans="2:14" ht="13.5" thickBot="1" x14ac:dyDescent="0.25">
      <c r="B56" s="3153" t="s">
        <v>1641</v>
      </c>
      <c r="C56" s="3153"/>
      <c r="D56" s="3153"/>
      <c r="E56" s="3153"/>
      <c r="F56" s="3153"/>
      <c r="G56" s="3153"/>
      <c r="H56" s="3153"/>
      <c r="I56" s="3153"/>
      <c r="J56" s="380">
        <f>SUM(J54:J55)</f>
        <v>1690999559.4200001</v>
      </c>
      <c r="K56" s="380">
        <f>SUM(K54:K55)</f>
        <v>12455912141.139999</v>
      </c>
      <c r="L56" s="2430"/>
      <c r="M56" s="2430"/>
      <c r="N56" s="2430"/>
    </row>
    <row r="57" spans="2:14" ht="13.5" thickTop="1" x14ac:dyDescent="0.2">
      <c r="B57" s="2443"/>
      <c r="C57" s="2443"/>
      <c r="D57" s="2443"/>
      <c r="E57" s="2443"/>
      <c r="F57" s="2443"/>
      <c r="G57" s="2443"/>
      <c r="H57" s="2443"/>
      <c r="I57" s="2443"/>
      <c r="J57" s="212"/>
      <c r="K57" s="212"/>
      <c r="L57" s="2430"/>
      <c r="M57" s="2430"/>
      <c r="N57" s="2430"/>
    </row>
    <row r="58" spans="2:14" x14ac:dyDescent="0.2">
      <c r="B58" s="3153" t="s">
        <v>4720</v>
      </c>
      <c r="C58" s="3153"/>
      <c r="D58" s="3153"/>
      <c r="E58" s="3153"/>
      <c r="F58" s="3153"/>
      <c r="G58" s="3153"/>
      <c r="H58" s="3153"/>
      <c r="I58" s="3153"/>
      <c r="J58" s="737" t="str">
        <f>IF(J39-J51=J56,"In Balance","NOT BALANCED")</f>
        <v>In Balance</v>
      </c>
      <c r="K58" s="737" t="str">
        <f>IF(K39-K51=K56,"In Balance","NOT BALANCED")</f>
        <v>In Balance</v>
      </c>
      <c r="L58" s="2430"/>
      <c r="M58" s="2430"/>
      <c r="N58" s="2430"/>
    </row>
    <row r="59" spans="2:14" x14ac:dyDescent="0.2">
      <c r="J59" s="212"/>
      <c r="K59" s="212"/>
      <c r="L59" s="2430"/>
      <c r="M59" s="2430"/>
      <c r="N59" s="2430"/>
    </row>
    <row r="60" spans="2:14" x14ac:dyDescent="0.2">
      <c r="B60" s="375" t="s">
        <v>4721</v>
      </c>
      <c r="J60" s="2419" t="str">
        <f>CONCATENATE("FYE ",+TEXT(Data!$A$4,"mmmm d,yyyy"))</f>
        <v>FYE June 30,2023</v>
      </c>
      <c r="K60" s="2419" t="str">
        <f>CONCATENATE("FYE ",+TEXT(Data!$A$4,"mmmm d,yyyy"))</f>
        <v>FYE June 30,2023</v>
      </c>
      <c r="L60" s="2430"/>
      <c r="M60" s="2430"/>
      <c r="N60" s="2430"/>
    </row>
    <row r="61" spans="2:14" x14ac:dyDescent="0.2">
      <c r="B61" s="3151" t="s">
        <v>1850</v>
      </c>
      <c r="C61" s="3151"/>
      <c r="D61" s="3151"/>
      <c r="E61" s="3151"/>
      <c r="F61" s="3151"/>
      <c r="G61" s="3151"/>
      <c r="H61" s="3151"/>
      <c r="I61" s="3151"/>
      <c r="J61" s="212"/>
      <c r="K61" s="212"/>
      <c r="L61" s="2430"/>
      <c r="M61" s="2430"/>
      <c r="N61" s="2430"/>
    </row>
    <row r="62" spans="2:14" x14ac:dyDescent="0.2">
      <c r="B62" s="3154" t="s">
        <v>4722</v>
      </c>
      <c r="C62" s="3154"/>
      <c r="D62" s="3154"/>
      <c r="E62" s="3154"/>
      <c r="F62" s="3154"/>
      <c r="G62" s="3154"/>
      <c r="H62" s="3154"/>
      <c r="I62" s="3154"/>
      <c r="J62" s="451">
        <v>5177192.26</v>
      </c>
      <c r="K62" s="451">
        <v>272983082.57999998</v>
      </c>
      <c r="L62" s="2430"/>
      <c r="M62" s="2430"/>
      <c r="N62" s="2430"/>
    </row>
    <row r="63" spans="2:14" x14ac:dyDescent="0.2">
      <c r="B63" s="3154" t="s">
        <v>4723</v>
      </c>
      <c r="C63" s="3154"/>
      <c r="D63" s="3154"/>
      <c r="E63" s="3154"/>
      <c r="F63" s="3154"/>
      <c r="G63" s="3154"/>
      <c r="H63" s="3154"/>
      <c r="I63" s="3154"/>
      <c r="J63" s="212">
        <v>91859222.760000005</v>
      </c>
      <c r="K63" s="212">
        <v>467360428.25999999</v>
      </c>
      <c r="L63" s="2430"/>
      <c r="M63" s="2430"/>
      <c r="N63" s="2430"/>
    </row>
    <row r="64" spans="2:14" x14ac:dyDescent="0.2">
      <c r="B64" s="3145" t="s">
        <v>4724</v>
      </c>
      <c r="C64" s="3145"/>
      <c r="D64" s="3145"/>
      <c r="E64" s="3145"/>
      <c r="F64" s="3145"/>
      <c r="G64" s="3145"/>
      <c r="H64" s="3145"/>
      <c r="I64" s="3145"/>
      <c r="J64" s="212">
        <v>0</v>
      </c>
      <c r="K64" s="212">
        <v>0</v>
      </c>
      <c r="L64" s="2430"/>
      <c r="M64" s="2430"/>
      <c r="N64" s="2430"/>
    </row>
    <row r="65" spans="2:14" x14ac:dyDescent="0.2">
      <c r="B65" s="3154" t="s">
        <v>4725</v>
      </c>
      <c r="C65" s="3154"/>
      <c r="D65" s="3154"/>
      <c r="E65" s="3154"/>
      <c r="F65" s="3154"/>
      <c r="G65" s="3154"/>
      <c r="H65" s="3154"/>
      <c r="I65" s="3154"/>
      <c r="J65" s="452">
        <v>0</v>
      </c>
      <c r="K65" s="452">
        <v>0</v>
      </c>
      <c r="L65" s="2430"/>
      <c r="M65" s="2430"/>
      <c r="N65" s="2430"/>
    </row>
    <row r="66" spans="2:14" x14ac:dyDescent="0.2">
      <c r="B66" s="3154" t="s">
        <v>4726</v>
      </c>
      <c r="C66" s="3154"/>
      <c r="D66" s="3154"/>
      <c r="E66" s="3154"/>
      <c r="F66" s="3154"/>
      <c r="G66" s="3154"/>
      <c r="H66" s="3154"/>
      <c r="I66" s="3154"/>
      <c r="J66" s="379">
        <f>SUM(J62:J65)</f>
        <v>97036415.019999996</v>
      </c>
      <c r="K66" s="379">
        <f>SUM(K62:K65)</f>
        <v>740343510.84000003</v>
      </c>
      <c r="L66" s="2430"/>
      <c r="M66" s="2430"/>
      <c r="N66" s="2430"/>
    </row>
    <row r="67" spans="2:14" x14ac:dyDescent="0.2">
      <c r="B67" s="3151" t="s">
        <v>4727</v>
      </c>
      <c r="C67" s="3151"/>
      <c r="D67" s="3151"/>
      <c r="E67" s="3151"/>
      <c r="F67" s="3151"/>
      <c r="G67" s="3151"/>
      <c r="H67" s="3151"/>
      <c r="I67" s="3151"/>
      <c r="J67" s="212"/>
      <c r="K67" s="212"/>
      <c r="L67" s="2430"/>
      <c r="M67" s="2430"/>
      <c r="N67" s="2430"/>
    </row>
    <row r="68" spans="2:14" x14ac:dyDescent="0.2">
      <c r="B68" s="3154" t="s">
        <v>4728</v>
      </c>
      <c r="C68" s="3154"/>
      <c r="D68" s="3154"/>
      <c r="E68" s="3154"/>
      <c r="F68" s="3154"/>
      <c r="G68" s="3154"/>
      <c r="H68" s="3154"/>
      <c r="I68" s="3154"/>
      <c r="J68" s="212">
        <v>-272780843.26999998</v>
      </c>
      <c r="K68" s="212">
        <v>-2142423593.6700001</v>
      </c>
    </row>
    <row r="69" spans="2:14" x14ac:dyDescent="0.2">
      <c r="B69" s="3154" t="s">
        <v>4729</v>
      </c>
      <c r="C69" s="3154"/>
      <c r="D69" s="3154"/>
      <c r="E69" s="3154"/>
      <c r="F69" s="3154"/>
      <c r="G69" s="3154"/>
      <c r="H69" s="3154"/>
      <c r="I69" s="3154"/>
      <c r="J69" s="452">
        <v>-2434737.38</v>
      </c>
      <c r="K69" s="452">
        <v>-18039119.550000001</v>
      </c>
      <c r="L69" s="376"/>
      <c r="M69" s="376"/>
      <c r="N69" s="376"/>
    </row>
    <row r="70" spans="2:14" x14ac:dyDescent="0.2">
      <c r="B70" s="3154" t="s">
        <v>4730</v>
      </c>
      <c r="C70" s="3154"/>
      <c r="D70" s="3154"/>
      <c r="E70" s="3154"/>
      <c r="F70" s="3154"/>
      <c r="G70" s="3154"/>
      <c r="H70" s="3154"/>
      <c r="I70" s="3154"/>
      <c r="J70" s="379">
        <f>SUM(J68:J69)</f>
        <v>-275215580.64999998</v>
      </c>
      <c r="K70" s="379">
        <f>SUM(K68:K69)</f>
        <v>-2160462713.2199998</v>
      </c>
      <c r="L70" s="376"/>
      <c r="M70" s="376"/>
      <c r="N70" s="376"/>
    </row>
    <row r="71" spans="2:14" x14ac:dyDescent="0.2">
      <c r="B71" s="3151" t="s">
        <v>1853</v>
      </c>
      <c r="C71" s="3151"/>
      <c r="D71" s="3151"/>
      <c r="E71" s="3151"/>
      <c r="F71" s="3151"/>
      <c r="G71" s="3151"/>
      <c r="H71" s="3151"/>
      <c r="I71" s="3151"/>
      <c r="J71" s="212"/>
      <c r="K71" s="212"/>
      <c r="L71" s="370"/>
      <c r="M71" s="370"/>
      <c r="N71" s="370"/>
    </row>
    <row r="72" spans="2:14" x14ac:dyDescent="0.2">
      <c r="B72" s="3154" t="s">
        <v>4731</v>
      </c>
      <c r="C72" s="3154"/>
      <c r="D72" s="3154"/>
      <c r="E72" s="3154"/>
      <c r="F72" s="3154"/>
      <c r="G72" s="3154"/>
      <c r="H72" s="3154"/>
      <c r="I72" s="3154"/>
      <c r="J72" s="212">
        <v>0</v>
      </c>
      <c r="K72" s="212">
        <v>0</v>
      </c>
      <c r="L72" s="370"/>
      <c r="M72" s="370"/>
      <c r="N72" s="370"/>
    </row>
    <row r="73" spans="2:14" x14ac:dyDescent="0.2">
      <c r="B73" s="3154" t="s">
        <v>4732</v>
      </c>
      <c r="C73" s="3154"/>
      <c r="D73" s="3154"/>
      <c r="E73" s="3154"/>
      <c r="F73" s="3154"/>
      <c r="G73" s="3154"/>
      <c r="H73" s="3154"/>
      <c r="I73" s="3154"/>
      <c r="J73" s="212">
        <v>964685.91</v>
      </c>
      <c r="K73" s="212">
        <v>12172512.24</v>
      </c>
      <c r="L73" s="370"/>
      <c r="M73" s="370"/>
      <c r="N73" s="370"/>
    </row>
    <row r="74" spans="2:14" x14ac:dyDescent="0.2">
      <c r="B74" s="3154" t="s">
        <v>4733</v>
      </c>
      <c r="C74" s="3154"/>
      <c r="D74" s="3154"/>
      <c r="E74" s="3154"/>
      <c r="F74" s="3154"/>
      <c r="G74" s="3154"/>
      <c r="H74" s="3154"/>
      <c r="I74" s="3154"/>
      <c r="J74" s="212">
        <v>320115.25</v>
      </c>
      <c r="K74" s="212">
        <v>2357541.35</v>
      </c>
      <c r="L74" s="370"/>
      <c r="M74" s="370"/>
      <c r="N74" s="370"/>
    </row>
    <row r="75" spans="2:14" x14ac:dyDescent="0.2">
      <c r="B75" s="3154" t="s">
        <v>4734</v>
      </c>
      <c r="C75" s="3154"/>
      <c r="D75" s="3154"/>
      <c r="E75" s="3154"/>
      <c r="F75" s="3154"/>
      <c r="G75" s="3154"/>
      <c r="H75" s="3154"/>
      <c r="I75" s="3154"/>
      <c r="J75" s="379">
        <f>SUM(J72:J74)</f>
        <v>1284801.1599999999</v>
      </c>
      <c r="K75" s="379">
        <f>SUM(K72:K74)</f>
        <v>14530053.59</v>
      </c>
      <c r="L75" s="2430"/>
      <c r="M75" s="2430"/>
      <c r="N75" s="2430"/>
    </row>
    <row r="76" spans="2:14" x14ac:dyDescent="0.2">
      <c r="B76" s="3154" t="s">
        <v>1854</v>
      </c>
      <c r="C76" s="3154"/>
      <c r="D76" s="3154"/>
      <c r="E76" s="3154"/>
      <c r="F76" s="3154"/>
      <c r="G76" s="3154"/>
      <c r="H76" s="3154"/>
      <c r="I76" s="3154"/>
      <c r="J76" s="379">
        <f>J66+J70+J75</f>
        <v>-176894364.47</v>
      </c>
      <c r="K76" s="379">
        <f>K66+K70+K75</f>
        <v>-1405589148.79</v>
      </c>
      <c r="L76" s="2430"/>
      <c r="M76" s="2430"/>
      <c r="N76" s="2430"/>
    </row>
    <row r="77" spans="2:14" x14ac:dyDescent="0.2">
      <c r="B77" s="2430"/>
      <c r="J77" s="212"/>
      <c r="K77" s="212"/>
      <c r="L77" s="2430"/>
      <c r="M77" s="2430"/>
      <c r="N77" s="2430"/>
    </row>
    <row r="78" spans="2:14" x14ac:dyDescent="0.2">
      <c r="B78" s="3155" t="s">
        <v>4735</v>
      </c>
      <c r="C78" s="3155"/>
      <c r="D78" s="3155"/>
      <c r="E78" s="3155"/>
      <c r="F78" s="3155"/>
      <c r="G78" s="3155"/>
      <c r="H78" s="3155"/>
      <c r="I78" s="3155"/>
      <c r="J78" s="212"/>
      <c r="K78" s="212"/>
      <c r="L78" s="2430"/>
      <c r="M78" s="2430"/>
      <c r="N78" s="2430"/>
    </row>
    <row r="79" spans="2:14" x14ac:dyDescent="0.2">
      <c r="B79" s="3154" t="s">
        <v>2885</v>
      </c>
      <c r="C79" s="3154"/>
      <c r="D79" s="3154"/>
      <c r="E79" s="3154"/>
      <c r="F79" s="3154"/>
      <c r="G79" s="3154"/>
      <c r="H79" s="3154"/>
      <c r="I79" s="3154"/>
      <c r="J79" s="212">
        <v>118308110.52</v>
      </c>
      <c r="K79" s="212">
        <v>793315810.44000006</v>
      </c>
      <c r="L79" s="2430"/>
      <c r="M79" s="2430"/>
      <c r="N79" s="2430"/>
    </row>
    <row r="80" spans="2:14" x14ac:dyDescent="0.2">
      <c r="B80" s="3154" t="s">
        <v>4328</v>
      </c>
      <c r="C80" s="3154"/>
      <c r="D80" s="3154"/>
      <c r="E80" s="3154"/>
      <c r="F80" s="3154"/>
      <c r="G80" s="3154"/>
      <c r="H80" s="3154"/>
      <c r="I80" s="3154"/>
      <c r="J80" s="212">
        <v>0</v>
      </c>
      <c r="K80" s="212">
        <v>0</v>
      </c>
      <c r="L80" s="2430"/>
      <c r="M80" s="2430"/>
      <c r="N80" s="2430"/>
    </row>
    <row r="81" spans="2:14" x14ac:dyDescent="0.2">
      <c r="B81" s="3154" t="s">
        <v>4736</v>
      </c>
      <c r="C81" s="3154"/>
      <c r="D81" s="3154"/>
      <c r="E81" s="3154"/>
      <c r="F81" s="3154"/>
      <c r="G81" s="3154"/>
      <c r="H81" s="3154"/>
      <c r="I81" s="3154"/>
      <c r="J81" s="212">
        <v>1753292.78</v>
      </c>
      <c r="K81" s="212">
        <v>9196169.4399999995</v>
      </c>
      <c r="L81" s="2430"/>
      <c r="M81" s="2430"/>
      <c r="N81" s="2430"/>
    </row>
    <row r="82" spans="2:14" x14ac:dyDescent="0.2">
      <c r="B82" s="3154" t="s">
        <v>4738</v>
      </c>
      <c r="C82" s="3154"/>
      <c r="D82" s="3154"/>
      <c r="E82" s="3154"/>
      <c r="F82" s="3154"/>
      <c r="G82" s="3154"/>
      <c r="H82" s="3154"/>
      <c r="I82" s="3154"/>
      <c r="J82" s="452">
        <v>0</v>
      </c>
      <c r="K82" s="452">
        <v>0</v>
      </c>
      <c r="L82" s="2430"/>
      <c r="M82" s="2430"/>
      <c r="N82" s="2430"/>
    </row>
    <row r="83" spans="2:14" x14ac:dyDescent="0.2">
      <c r="B83" s="3154" t="s">
        <v>4739</v>
      </c>
      <c r="C83" s="3154"/>
      <c r="D83" s="3154"/>
      <c r="E83" s="3154"/>
      <c r="F83" s="3154"/>
      <c r="G83" s="3154"/>
      <c r="H83" s="3154"/>
      <c r="I83" s="3154"/>
      <c r="J83" s="379">
        <f>SUM(J79:J82)</f>
        <v>120061403.3</v>
      </c>
      <c r="K83" s="379">
        <f>SUM(K79:K82)</f>
        <v>802511979.88</v>
      </c>
      <c r="L83" s="2430"/>
      <c r="M83" s="2430"/>
      <c r="N83" s="2430"/>
    </row>
    <row r="84" spans="2:14" x14ac:dyDescent="0.2">
      <c r="B84" s="3154" t="s">
        <v>4740</v>
      </c>
      <c r="C84" s="3154"/>
      <c r="D84" s="3154"/>
      <c r="E84" s="3154"/>
      <c r="F84" s="3154"/>
      <c r="G84" s="3154"/>
      <c r="H84" s="3154"/>
      <c r="I84" s="3154"/>
      <c r="J84" s="590">
        <f>J76-J83</f>
        <v>-296955767.76999998</v>
      </c>
      <c r="K84" s="590">
        <f>K76-K83</f>
        <v>-2208101128.6700001</v>
      </c>
      <c r="L84" s="2430"/>
      <c r="M84" s="2430"/>
      <c r="N84" s="2430"/>
    </row>
    <row r="85" spans="2:14" x14ac:dyDescent="0.2">
      <c r="B85" s="3148" t="s">
        <v>5490</v>
      </c>
      <c r="C85" s="3148"/>
      <c r="D85" s="3148"/>
      <c r="E85" s="3148"/>
      <c r="F85" s="3148"/>
      <c r="G85" s="3148"/>
      <c r="H85" s="3148"/>
      <c r="I85" s="3148"/>
      <c r="J85" s="591">
        <v>1987955327.1900001</v>
      </c>
      <c r="K85" s="591">
        <v>14664013269.809999</v>
      </c>
      <c r="L85" s="2430"/>
      <c r="M85" s="2430"/>
      <c r="N85" s="2430"/>
    </row>
    <row r="86" spans="2:14" x14ac:dyDescent="0.2">
      <c r="B86" s="3148" t="s">
        <v>4742</v>
      </c>
      <c r="C86" s="3148"/>
      <c r="D86" s="3148"/>
      <c r="E86" s="3148"/>
      <c r="F86" s="3148"/>
      <c r="G86" s="3148"/>
      <c r="H86" s="3148"/>
      <c r="I86" s="3148"/>
      <c r="J86" s="452">
        <v>0</v>
      </c>
      <c r="K86" s="452">
        <v>0</v>
      </c>
      <c r="L86" s="2430"/>
      <c r="M86" s="2430"/>
      <c r="N86" s="2430"/>
    </row>
    <row r="87" spans="2:14" ht="13.5" thickBot="1" x14ac:dyDescent="0.25">
      <c r="B87" s="3148" t="s">
        <v>5491</v>
      </c>
      <c r="C87" s="3148"/>
      <c r="D87" s="3148"/>
      <c r="E87" s="3148"/>
      <c r="F87" s="3148"/>
      <c r="G87" s="3148"/>
      <c r="H87" s="3148"/>
      <c r="I87" s="3148"/>
      <c r="J87" s="381">
        <f>SUM(J84:J86)</f>
        <v>1690999559.4200001</v>
      </c>
      <c r="K87" s="381">
        <f>SUM(K84:K86)</f>
        <v>12455912141.139999</v>
      </c>
      <c r="L87" s="369"/>
      <c r="M87" s="369"/>
      <c r="N87" s="369"/>
    </row>
    <row r="88" spans="2:14" ht="13.5" thickTop="1" x14ac:dyDescent="0.2">
      <c r="J88" s="212"/>
      <c r="K88" s="212"/>
      <c r="L88" s="377"/>
      <c r="M88" s="377"/>
      <c r="N88" s="377"/>
    </row>
    <row r="89" spans="2:14" x14ac:dyDescent="0.2">
      <c r="J89" s="212"/>
      <c r="K89" s="212"/>
      <c r="L89" s="369"/>
      <c r="M89" s="369"/>
      <c r="N89" s="369"/>
    </row>
    <row r="90" spans="2:14" x14ac:dyDescent="0.2">
      <c r="B90" s="3153" t="s">
        <v>5492</v>
      </c>
      <c r="C90" s="3153"/>
      <c r="D90" s="3153"/>
      <c r="E90" s="3153"/>
      <c r="F90" s="3153"/>
      <c r="G90" s="3153"/>
      <c r="H90" s="3153"/>
      <c r="I90" s="3153"/>
      <c r="J90" s="737" t="str">
        <f>IF(J56=J87,"In Balance","NOT BALANCED")</f>
        <v>In Balance</v>
      </c>
      <c r="K90" s="737" t="str">
        <f>IF(K56=K87,"In Balance","NOT BALANCED")</f>
        <v>In Balance</v>
      </c>
      <c r="L90" s="370"/>
      <c r="M90" s="370"/>
      <c r="N90" s="370"/>
    </row>
    <row r="91" spans="2:14" x14ac:dyDescent="0.2">
      <c r="K91" s="370"/>
      <c r="L91" s="370"/>
      <c r="M91" s="370"/>
      <c r="N91" s="370"/>
    </row>
    <row r="92" spans="2:14" x14ac:dyDescent="0.2">
      <c r="K92" s="2430"/>
      <c r="L92" s="2430"/>
      <c r="M92" s="2430"/>
      <c r="N92" s="2430"/>
    </row>
    <row r="93" spans="2:14" x14ac:dyDescent="0.2">
      <c r="K93" s="2430"/>
      <c r="L93" s="2430"/>
      <c r="M93" s="2430"/>
      <c r="N93" s="2430"/>
    </row>
    <row r="94" spans="2:14" x14ac:dyDescent="0.2">
      <c r="K94" s="2430"/>
      <c r="L94" s="2430"/>
      <c r="M94" s="2430"/>
      <c r="N94" s="2430"/>
    </row>
    <row r="95" spans="2:14" x14ac:dyDescent="0.2">
      <c r="K95" s="2430"/>
      <c r="L95" s="2430"/>
      <c r="M95" s="2430"/>
      <c r="N95" s="2430"/>
    </row>
    <row r="96" spans="2:14" x14ac:dyDescent="0.2">
      <c r="K96" s="2430"/>
      <c r="L96" s="2430"/>
      <c r="M96" s="2430"/>
      <c r="N96" s="2430"/>
    </row>
    <row r="97" spans="11:14" x14ac:dyDescent="0.2">
      <c r="K97" s="2430"/>
      <c r="L97" s="2430"/>
      <c r="M97" s="2430"/>
      <c r="N97" s="2430"/>
    </row>
    <row r="98" spans="11:14" x14ac:dyDescent="0.2">
      <c r="K98" s="2430"/>
      <c r="L98" s="2430"/>
      <c r="M98" s="2430"/>
      <c r="N98" s="2430"/>
    </row>
    <row r="99" spans="11:14" x14ac:dyDescent="0.2">
      <c r="K99" s="2430"/>
      <c r="L99" s="2430"/>
      <c r="M99" s="2430"/>
      <c r="N99" s="2430"/>
    </row>
    <row r="100" spans="11:14" x14ac:dyDescent="0.2">
      <c r="K100" s="2430"/>
      <c r="L100" s="2430"/>
      <c r="M100" s="2430"/>
      <c r="N100" s="2430"/>
    </row>
    <row r="101" spans="11:14" x14ac:dyDescent="0.2">
      <c r="K101" s="2430"/>
      <c r="L101" s="2430"/>
      <c r="M101" s="2430"/>
      <c r="N101" s="2430"/>
    </row>
    <row r="102" spans="11:14" x14ac:dyDescent="0.2">
      <c r="K102" s="369"/>
      <c r="L102" s="369"/>
      <c r="M102" s="369"/>
      <c r="N102" s="369"/>
    </row>
    <row r="103" spans="11:14" x14ac:dyDescent="0.2">
      <c r="K103" s="368"/>
      <c r="L103" s="368"/>
      <c r="M103" s="368"/>
      <c r="N103" s="368"/>
    </row>
    <row r="104" spans="11:14" x14ac:dyDescent="0.2">
      <c r="K104" s="2430"/>
      <c r="L104" s="2430"/>
      <c r="M104" s="2430"/>
      <c r="N104" s="2430"/>
    </row>
    <row r="105" spans="11:14" x14ac:dyDescent="0.2">
      <c r="K105" s="369"/>
      <c r="L105" s="369"/>
      <c r="M105" s="369"/>
      <c r="N105" s="369"/>
    </row>
    <row r="106" spans="11:14" x14ac:dyDescent="0.2">
      <c r="K106" s="369"/>
      <c r="L106" s="369"/>
      <c r="M106" s="369"/>
      <c r="N106" s="369"/>
    </row>
    <row r="107" spans="11:14" x14ac:dyDescent="0.2">
      <c r="K107" s="2430"/>
      <c r="L107" s="2430"/>
      <c r="M107" s="2430"/>
      <c r="N107" s="2430"/>
    </row>
    <row r="108" spans="11:14" x14ac:dyDescent="0.2">
      <c r="K108" s="369"/>
      <c r="L108" s="369"/>
      <c r="M108" s="369"/>
      <c r="N108" s="369"/>
    </row>
    <row r="109" spans="11:14" x14ac:dyDescent="0.2">
      <c r="K109" s="2430"/>
      <c r="L109" s="2430"/>
      <c r="M109" s="2430"/>
      <c r="N109" s="2430"/>
    </row>
    <row r="110" spans="11:14" x14ac:dyDescent="0.2">
      <c r="K110" s="2430"/>
      <c r="L110" s="2430"/>
      <c r="M110" s="2430"/>
      <c r="N110" s="2430"/>
    </row>
    <row r="111" spans="11:14" x14ac:dyDescent="0.2">
      <c r="K111" s="2430"/>
      <c r="L111" s="2430"/>
      <c r="M111" s="2430"/>
      <c r="N111" s="2430"/>
    </row>
    <row r="112" spans="11:14" x14ac:dyDescent="0.2">
      <c r="K112" s="2430"/>
      <c r="L112" s="2430"/>
      <c r="M112" s="2430"/>
      <c r="N112" s="2430"/>
    </row>
    <row r="113" spans="11:14" x14ac:dyDescent="0.2">
      <c r="K113" s="2430"/>
      <c r="L113" s="2430"/>
      <c r="M113" s="2430"/>
      <c r="N113" s="2430"/>
    </row>
    <row r="114" spans="11:14" x14ac:dyDescent="0.2">
      <c r="K114" s="2430"/>
      <c r="L114" s="2430"/>
      <c r="M114" s="2430"/>
      <c r="N114" s="2430"/>
    </row>
    <row r="115" spans="11:14" x14ac:dyDescent="0.2">
      <c r="K115" s="2430"/>
      <c r="L115" s="2430"/>
      <c r="M115" s="2430"/>
      <c r="N115" s="2430"/>
    </row>
    <row r="116" spans="11:14" x14ac:dyDescent="0.2">
      <c r="K116" s="2430"/>
      <c r="L116" s="2430"/>
      <c r="M116" s="2430"/>
      <c r="N116" s="2430"/>
    </row>
    <row r="117" spans="11:14" x14ac:dyDescent="0.2">
      <c r="K117" s="369"/>
      <c r="L117" s="369"/>
      <c r="M117" s="369"/>
      <c r="N117" s="369"/>
    </row>
    <row r="118" spans="11:14" x14ac:dyDescent="0.2">
      <c r="K118" s="369"/>
      <c r="L118" s="369"/>
      <c r="M118" s="369"/>
      <c r="N118" s="369"/>
    </row>
    <row r="120" spans="11:14" x14ac:dyDescent="0.2">
      <c r="K120" s="376"/>
      <c r="L120" s="376"/>
      <c r="M120" s="376"/>
      <c r="N120" s="376"/>
    </row>
    <row r="121" spans="11:14" x14ac:dyDescent="0.2">
      <c r="K121" s="376"/>
      <c r="L121" s="376"/>
      <c r="M121" s="376"/>
      <c r="N121" s="376"/>
    </row>
    <row r="122" spans="11:14" x14ac:dyDescent="0.2">
      <c r="K122" s="376"/>
      <c r="L122" s="376"/>
      <c r="M122" s="376"/>
      <c r="N122" s="376"/>
    </row>
    <row r="123" spans="11:14" x14ac:dyDescent="0.2">
      <c r="K123" s="376"/>
      <c r="L123" s="376"/>
      <c r="M123" s="376"/>
      <c r="N123" s="376"/>
    </row>
    <row r="124" spans="11:14" x14ac:dyDescent="0.2">
      <c r="K124" s="2430"/>
      <c r="L124" s="2430"/>
      <c r="M124" s="2430"/>
      <c r="N124" s="2430"/>
    </row>
    <row r="125" spans="11:14" x14ac:dyDescent="0.2">
      <c r="K125" s="378"/>
      <c r="L125" s="378"/>
      <c r="M125" s="378"/>
      <c r="N125" s="378"/>
    </row>
    <row r="126" spans="11:14" x14ac:dyDescent="0.2">
      <c r="K126" s="2430"/>
      <c r="L126" s="2430"/>
      <c r="M126" s="2430"/>
      <c r="N126" s="2430"/>
    </row>
    <row r="127" spans="11:14" x14ac:dyDescent="0.2">
      <c r="K127" s="2430"/>
      <c r="L127" s="2430"/>
      <c r="M127" s="2430"/>
      <c r="N127" s="2430"/>
    </row>
    <row r="128" spans="11:14" x14ac:dyDescent="0.2">
      <c r="K128" s="2430"/>
      <c r="L128" s="2430"/>
      <c r="M128" s="2430"/>
      <c r="N128" s="2430"/>
    </row>
    <row r="129" spans="11:14" x14ac:dyDescent="0.2">
      <c r="K129" s="2430"/>
      <c r="L129" s="2430"/>
      <c r="M129" s="2430"/>
      <c r="N129" s="2430"/>
    </row>
    <row r="130" spans="11:14" x14ac:dyDescent="0.2">
      <c r="K130" s="2430"/>
      <c r="L130" s="2430"/>
      <c r="M130" s="2430"/>
      <c r="N130" s="2430"/>
    </row>
    <row r="131" spans="11:14" x14ac:dyDescent="0.2">
      <c r="K131" s="2430"/>
      <c r="L131" s="2430"/>
      <c r="M131" s="2430"/>
      <c r="N131" s="2430"/>
    </row>
    <row r="132" spans="11:14" x14ac:dyDescent="0.2">
      <c r="K132" s="2430"/>
      <c r="L132" s="2430"/>
      <c r="M132" s="2430"/>
      <c r="N132" s="2430"/>
    </row>
    <row r="133" spans="11:14" x14ac:dyDescent="0.2">
      <c r="K133" s="2430"/>
      <c r="L133" s="2430"/>
      <c r="M133" s="2430"/>
      <c r="N133" s="2430"/>
    </row>
    <row r="134" spans="11:14" x14ac:dyDescent="0.2">
      <c r="K134" s="2430"/>
      <c r="L134" s="2430"/>
      <c r="M134" s="2430"/>
      <c r="N134" s="2430"/>
    </row>
    <row r="135" spans="11:14" x14ac:dyDescent="0.2">
      <c r="K135" s="378"/>
      <c r="L135" s="378"/>
      <c r="M135" s="378"/>
      <c r="N135" s="378"/>
    </row>
    <row r="136" spans="11:14" x14ac:dyDescent="0.2">
      <c r="K136" s="2430"/>
      <c r="L136" s="2430"/>
      <c r="M136" s="2430"/>
      <c r="N136" s="2430"/>
    </row>
    <row r="137" spans="11:14" x14ac:dyDescent="0.2">
      <c r="K137" s="2430"/>
      <c r="L137" s="2430"/>
      <c r="M137" s="2430"/>
      <c r="N137" s="2430"/>
    </row>
    <row r="138" spans="11:14" x14ac:dyDescent="0.2">
      <c r="K138" s="2430"/>
      <c r="L138" s="2430"/>
      <c r="M138" s="2430"/>
      <c r="N138" s="2430"/>
    </row>
    <row r="139" spans="11:14" x14ac:dyDescent="0.2">
      <c r="K139" s="2430"/>
      <c r="L139" s="2430"/>
      <c r="M139" s="2430"/>
      <c r="N139" s="2430"/>
    </row>
    <row r="140" spans="11:14" x14ac:dyDescent="0.2">
      <c r="K140" s="2430"/>
      <c r="L140" s="2430"/>
      <c r="M140" s="2430"/>
      <c r="N140" s="2430"/>
    </row>
    <row r="141" spans="11:14" x14ac:dyDescent="0.2">
      <c r="K141" s="2430"/>
      <c r="L141" s="2430"/>
      <c r="M141" s="2430"/>
      <c r="N141" s="2430"/>
    </row>
    <row r="142" spans="11:14" x14ac:dyDescent="0.2">
      <c r="K142" s="2430"/>
      <c r="L142" s="2430"/>
      <c r="M142" s="2430"/>
      <c r="N142" s="2430"/>
    </row>
    <row r="143" spans="11:14" x14ac:dyDescent="0.2">
      <c r="K143" s="2430"/>
      <c r="L143" s="2430"/>
      <c r="M143" s="2430"/>
      <c r="N143" s="2430"/>
    </row>
    <row r="144" spans="11:14" x14ac:dyDescent="0.2">
      <c r="K144" s="2430"/>
      <c r="L144" s="2430"/>
      <c r="M144" s="2430"/>
      <c r="N144" s="2430"/>
    </row>
    <row r="145" spans="11:14" x14ac:dyDescent="0.2">
      <c r="K145" s="2430"/>
      <c r="L145" s="2430"/>
      <c r="M145" s="2430"/>
      <c r="N145" s="2430"/>
    </row>
    <row r="146" spans="11:14" x14ac:dyDescent="0.2">
      <c r="K146" s="2430"/>
      <c r="L146" s="2430"/>
      <c r="M146" s="2430"/>
      <c r="N146" s="2430"/>
    </row>
    <row r="147" spans="11:14" x14ac:dyDescent="0.2">
      <c r="K147" s="368"/>
      <c r="L147" s="368"/>
      <c r="M147" s="368"/>
      <c r="N147" s="368"/>
    </row>
    <row r="148" spans="11:14" x14ac:dyDescent="0.2">
      <c r="K148" s="2430"/>
      <c r="L148" s="2430"/>
      <c r="M148" s="2430"/>
      <c r="N148" s="2430"/>
    </row>
    <row r="149" spans="11:14" x14ac:dyDescent="0.2">
      <c r="K149" s="2430"/>
      <c r="L149" s="2430"/>
      <c r="M149" s="2430"/>
      <c r="N149" s="2430"/>
    </row>
    <row r="150" spans="11:14" x14ac:dyDescent="0.2">
      <c r="K150" s="2430"/>
      <c r="L150" s="2430"/>
      <c r="M150" s="2430"/>
      <c r="N150" s="2430"/>
    </row>
    <row r="151" spans="11:14" x14ac:dyDescent="0.2">
      <c r="K151" s="2430"/>
      <c r="L151" s="2430"/>
      <c r="M151" s="2430"/>
      <c r="N151" s="2430"/>
    </row>
    <row r="152" spans="11:14" x14ac:dyDescent="0.2">
      <c r="K152" s="2430"/>
      <c r="L152" s="2430"/>
      <c r="M152" s="2430"/>
      <c r="N152" s="2430"/>
    </row>
    <row r="153" spans="11:14" x14ac:dyDescent="0.2">
      <c r="K153" s="2430"/>
      <c r="L153" s="2430"/>
      <c r="M153" s="2430"/>
      <c r="N153" s="2430"/>
    </row>
    <row r="154" spans="11:14" x14ac:dyDescent="0.2">
      <c r="K154" s="2430"/>
      <c r="L154" s="2430"/>
      <c r="M154" s="2430"/>
      <c r="N154" s="2430"/>
    </row>
    <row r="155" spans="11:14" x14ac:dyDescent="0.2">
      <c r="K155" s="2430"/>
      <c r="L155" s="2430"/>
      <c r="M155" s="2430"/>
      <c r="N155" s="2430"/>
    </row>
    <row r="156" spans="11:14" x14ac:dyDescent="0.2">
      <c r="K156" s="2430"/>
      <c r="L156" s="2430"/>
      <c r="M156" s="2430"/>
      <c r="N156" s="2430"/>
    </row>
    <row r="157" spans="11:14" x14ac:dyDescent="0.2">
      <c r="K157" s="2430"/>
      <c r="L157" s="2430"/>
      <c r="M157" s="2430"/>
      <c r="N157" s="2430"/>
    </row>
    <row r="158" spans="11:14" x14ac:dyDescent="0.2">
      <c r="K158" s="2430"/>
      <c r="L158" s="2430"/>
      <c r="M158" s="2430"/>
      <c r="N158" s="2430"/>
    </row>
    <row r="159" spans="11:14" x14ac:dyDescent="0.2">
      <c r="K159" s="2430"/>
      <c r="L159" s="2430"/>
      <c r="M159" s="2430"/>
      <c r="N159" s="2430"/>
    </row>
    <row r="160" spans="11:14" x14ac:dyDescent="0.2">
      <c r="K160" s="2430"/>
      <c r="L160" s="2430"/>
      <c r="M160" s="2430"/>
      <c r="N160" s="2430"/>
    </row>
    <row r="161" spans="11:14" x14ac:dyDescent="0.2">
      <c r="K161" s="2430"/>
      <c r="L161" s="2430"/>
      <c r="M161" s="2430"/>
      <c r="N161" s="2430"/>
    </row>
    <row r="162" spans="11:14" x14ac:dyDescent="0.2">
      <c r="K162" s="2430"/>
      <c r="L162" s="2430"/>
      <c r="M162" s="2430"/>
      <c r="N162" s="2430"/>
    </row>
    <row r="163" spans="11:14" x14ac:dyDescent="0.2">
      <c r="K163" s="2430"/>
      <c r="L163" s="2430"/>
      <c r="M163" s="2430"/>
      <c r="N163" s="2430"/>
    </row>
    <row r="164" spans="11:14" x14ac:dyDescent="0.2">
      <c r="K164" s="2430"/>
      <c r="L164" s="2430"/>
      <c r="M164" s="2430"/>
      <c r="N164" s="2430"/>
    </row>
    <row r="165" spans="11:14" x14ac:dyDescent="0.2">
      <c r="K165" s="2430"/>
      <c r="L165" s="2430"/>
      <c r="M165" s="2430"/>
      <c r="N165" s="2430"/>
    </row>
    <row r="166" spans="11:14" x14ac:dyDescent="0.2">
      <c r="K166" s="2430"/>
      <c r="L166" s="2430"/>
      <c r="M166" s="2430"/>
      <c r="N166" s="2430"/>
    </row>
    <row r="167" spans="11:14" x14ac:dyDescent="0.2">
      <c r="K167" s="2430"/>
      <c r="L167" s="2430"/>
      <c r="M167" s="2430"/>
      <c r="N167" s="2430"/>
    </row>
    <row r="168" spans="11:14" x14ac:dyDescent="0.2">
      <c r="K168" s="2430"/>
      <c r="L168" s="2430"/>
      <c r="M168" s="2430"/>
      <c r="N168" s="2430"/>
    </row>
    <row r="169" spans="11:14" x14ac:dyDescent="0.2">
      <c r="K169" s="2430"/>
      <c r="L169" s="2430"/>
      <c r="M169" s="2430"/>
      <c r="N169" s="2430"/>
    </row>
  </sheetData>
  <sheetProtection algorithmName="SHA-512" hashValue="4GvzWXId6I34Jwyihkjh26kWcyxQyxDfduKS1x9rXDCChl4t2qQ42EORsKOAH91F4oi1r+x1SSvcS3nRxS5D2A==" saltValue="nn5U3tDOmWm4kZtXo9T8sg==" spinCount="100000" sheet="1" autoFilter="0"/>
  <mergeCells count="74">
    <mergeCell ref="B87:I87"/>
    <mergeCell ref="B90:I90"/>
    <mergeCell ref="B81:I81"/>
    <mergeCell ref="B82:I82"/>
    <mergeCell ref="B83:I83"/>
    <mergeCell ref="B84:I84"/>
    <mergeCell ref="B85:I85"/>
    <mergeCell ref="B86:I86"/>
    <mergeCell ref="B80:I80"/>
    <mergeCell ref="B68:I68"/>
    <mergeCell ref="B69:I69"/>
    <mergeCell ref="B70:I70"/>
    <mergeCell ref="B71:I71"/>
    <mergeCell ref="B72:I72"/>
    <mergeCell ref="B73:I73"/>
    <mergeCell ref="B74:I74"/>
    <mergeCell ref="B75:I75"/>
    <mergeCell ref="B76:I76"/>
    <mergeCell ref="B78:I78"/>
    <mergeCell ref="B79:I79"/>
    <mergeCell ref="B67:I67"/>
    <mergeCell ref="B51:I51"/>
    <mergeCell ref="B54:I54"/>
    <mergeCell ref="B55:I55"/>
    <mergeCell ref="B56:I56"/>
    <mergeCell ref="B58:I58"/>
    <mergeCell ref="B61:I61"/>
    <mergeCell ref="B62:I62"/>
    <mergeCell ref="B63:I63"/>
    <mergeCell ref="B64:I64"/>
    <mergeCell ref="B65:I65"/>
    <mergeCell ref="B66:I66"/>
    <mergeCell ref="B50:I50"/>
    <mergeCell ref="B36:I36"/>
    <mergeCell ref="B37:I37"/>
    <mergeCell ref="B38:I38"/>
    <mergeCell ref="B39:I39"/>
    <mergeCell ref="B43:I43"/>
    <mergeCell ref="B44:I44"/>
    <mergeCell ref="B45:I45"/>
    <mergeCell ref="B46:I46"/>
    <mergeCell ref="B47:I47"/>
    <mergeCell ref="B48:I48"/>
    <mergeCell ref="B49:I49"/>
    <mergeCell ref="B35:I35"/>
    <mergeCell ref="B23:I23"/>
    <mergeCell ref="B24:I24"/>
    <mergeCell ref="B25:I25"/>
    <mergeCell ref="B26:I26"/>
    <mergeCell ref="B27:I27"/>
    <mergeCell ref="B28:I28"/>
    <mergeCell ref="B29:I29"/>
    <mergeCell ref="B31:I31"/>
    <mergeCell ref="B32:I32"/>
    <mergeCell ref="B33:I33"/>
    <mergeCell ref="B34:I34"/>
    <mergeCell ref="B22:I22"/>
    <mergeCell ref="G7:J7"/>
    <mergeCell ref="B11:I11"/>
    <mergeCell ref="B13:I13"/>
    <mergeCell ref="B14:I14"/>
    <mergeCell ref="B15:I15"/>
    <mergeCell ref="B16:I16"/>
    <mergeCell ref="B17:I17"/>
    <mergeCell ref="B18:I18"/>
    <mergeCell ref="B19:I19"/>
    <mergeCell ref="B20:I20"/>
    <mergeCell ref="B21:I21"/>
    <mergeCell ref="D6:G6"/>
    <mergeCell ref="B1:J1"/>
    <mergeCell ref="K1:K3"/>
    <mergeCell ref="B2:J2"/>
    <mergeCell ref="B3:J3"/>
    <mergeCell ref="H5:J5"/>
  </mergeCells>
  <conditionalFormatting sqref="K1:K3">
    <cfRule type="cellIs" dxfId="0" priority="1" stopIfTrue="1" operator="equal">
      <formula>"na"</formula>
    </cfRule>
  </conditionalFormatting>
  <hyperlinks>
    <hyperlink ref="B1:J1" location="Index!A1" display="Index!A1" xr:uid="{00000000-0004-0000-5B00-000000000000}"/>
  </hyperlinks>
  <printOptions headings="1" gridLines="1"/>
  <pageMargins left="0.75" right="0.5" top="0.5" bottom="0.5" header="0.5" footer="0.25"/>
  <pageSetup scale="87" fitToHeight="2" orientation="portrait" r:id="rId1"/>
  <headerFooter alignWithMargins="0">
    <oddFooter>&amp;R&amp;A (&amp;P of &amp;N)</oddFooter>
  </headerFooter>
  <rowBreaks count="1" manualBreakCount="1">
    <brk id="59" min="1" max="10" man="1"/>
  </rowBreaks>
  <legacy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77">
    <tabColor rgb="FFFFFF00"/>
  </sheetPr>
  <dimension ref="A1:T152"/>
  <sheetViews>
    <sheetView topLeftCell="C1" zoomScaleNormal="100" workbookViewId="0">
      <pane ySplit="2" topLeftCell="A3" activePane="bottomLeft" state="frozen"/>
      <selection sqref="A1:E1"/>
      <selection pane="bottomLeft" activeCell="G129" sqref="G129"/>
    </sheetView>
  </sheetViews>
  <sheetFormatPr defaultColWidth="9.42578125" defaultRowHeight="15.75" x14ac:dyDescent="0.25"/>
  <cols>
    <col min="1" max="1" width="6.5703125" style="210" customWidth="1"/>
    <col min="2" max="2" width="8.5703125" style="210" customWidth="1"/>
    <col min="3" max="3" width="15.5703125" style="210" customWidth="1"/>
    <col min="4" max="4" width="42.42578125" style="210" customWidth="1"/>
    <col min="5" max="5" width="10.5703125" style="210" customWidth="1"/>
    <col min="6" max="6" width="16.140625" style="210" customWidth="1"/>
    <col min="7" max="7" width="21.5703125" style="450" bestFit="1" customWidth="1"/>
    <col min="8" max="8" width="21.5703125" style="450" customWidth="1"/>
    <col min="9" max="9" width="37.28515625" style="450" customWidth="1"/>
    <col min="10" max="10" width="15.5703125" style="210" customWidth="1"/>
    <col min="11" max="11" width="69.42578125" style="210" customWidth="1"/>
    <col min="12" max="13" width="9.42578125" style="210"/>
    <col min="14" max="20" width="9.42578125" style="450"/>
    <col min="21" max="16384" width="9.42578125" style="210"/>
  </cols>
  <sheetData>
    <row r="1" spans="1:20" ht="31.5" x14ac:dyDescent="0.25">
      <c r="A1" s="450"/>
      <c r="B1" s="1184"/>
      <c r="C1" s="581"/>
      <c r="D1" s="697" t="s">
        <v>0</v>
      </c>
      <c r="E1" s="580"/>
      <c r="F1" s="585"/>
      <c r="G1" s="586"/>
      <c r="J1" s="586" t="s">
        <v>5493</v>
      </c>
      <c r="K1" s="450"/>
      <c r="L1" s="450"/>
      <c r="M1" s="450"/>
    </row>
    <row r="2" spans="1:20" ht="33" customHeight="1" x14ac:dyDescent="0.25">
      <c r="A2" s="450" t="s">
        <v>5494</v>
      </c>
      <c r="B2" s="1184" t="s">
        <v>5495</v>
      </c>
      <c r="C2" s="582" t="s">
        <v>4974</v>
      </c>
      <c r="D2" s="583" t="s">
        <v>4975</v>
      </c>
      <c r="E2" s="584" t="s">
        <v>4976</v>
      </c>
      <c r="F2" s="586" t="s">
        <v>5496</v>
      </c>
      <c r="G2" s="586" t="s">
        <v>5497</v>
      </c>
      <c r="H2" s="586" t="s">
        <v>5498</v>
      </c>
      <c r="I2" s="586"/>
      <c r="J2" s="586" t="s">
        <v>5499</v>
      </c>
      <c r="K2" s="2056" t="s">
        <v>5500</v>
      </c>
      <c r="L2" s="450"/>
      <c r="M2" s="450"/>
      <c r="N2" s="450" t="s">
        <v>5396</v>
      </c>
      <c r="O2" s="450" t="s">
        <v>5501</v>
      </c>
      <c r="S2" s="450" t="s">
        <v>2032</v>
      </c>
      <c r="T2" s="450" t="s">
        <v>5502</v>
      </c>
    </row>
    <row r="3" spans="1:20" x14ac:dyDescent="0.25">
      <c r="A3" s="450" t="str">
        <f t="shared" ref="A3:A34" si="0">C3&amp;" "&amp;D3</f>
        <v>01 North Carolina General Assembly</v>
      </c>
      <c r="B3" s="1184">
        <v>1</v>
      </c>
      <c r="C3" s="1184" t="str">
        <f t="shared" ref="C3:C48" si="1">TEXT(B3,"00")</f>
        <v>01</v>
      </c>
      <c r="D3" s="450" t="s">
        <v>1862</v>
      </c>
      <c r="E3" s="450" t="s">
        <v>4978</v>
      </c>
      <c r="F3" s="450" t="s">
        <v>5496</v>
      </c>
      <c r="G3" s="665" t="s">
        <v>5503</v>
      </c>
      <c r="H3" s="450" t="s">
        <v>5504</v>
      </c>
      <c r="I3" s="1487" t="s">
        <v>5505</v>
      </c>
      <c r="J3" s="665"/>
      <c r="K3" s="450"/>
      <c r="L3" s="450"/>
      <c r="M3" s="450"/>
      <c r="N3" s="1370" t="str">
        <f>C3</f>
        <v>01</v>
      </c>
      <c r="O3" s="1371" t="s">
        <v>5095</v>
      </c>
      <c r="S3" s="450" t="s">
        <v>5055</v>
      </c>
      <c r="T3" s="450" t="s">
        <v>5055</v>
      </c>
    </row>
    <row r="4" spans="1:20" x14ac:dyDescent="0.25">
      <c r="A4" s="450" t="str">
        <f t="shared" si="0"/>
        <v>02 Administrative Office of the Courts</v>
      </c>
      <c r="B4" s="1184">
        <v>2</v>
      </c>
      <c r="C4" s="1184" t="str">
        <f t="shared" si="1"/>
        <v>02</v>
      </c>
      <c r="D4" s="450" t="s">
        <v>468</v>
      </c>
      <c r="E4" s="450" t="s">
        <v>4978</v>
      </c>
      <c r="F4" s="450" t="s">
        <v>1865</v>
      </c>
      <c r="G4" s="665" t="s">
        <v>5506</v>
      </c>
      <c r="H4" s="450" t="s">
        <v>5507</v>
      </c>
      <c r="I4" s="1487" t="s">
        <v>5508</v>
      </c>
      <c r="J4" s="665"/>
      <c r="K4" s="450"/>
      <c r="L4" s="450"/>
      <c r="M4" s="450"/>
      <c r="N4" s="1370" t="str">
        <f t="shared" ref="N4:N10" si="2">C4</f>
        <v>02</v>
      </c>
      <c r="O4" s="1371" t="s">
        <v>5097</v>
      </c>
      <c r="S4" s="450" t="s">
        <v>5057</v>
      </c>
      <c r="T4" s="450" t="s">
        <v>5057</v>
      </c>
    </row>
    <row r="5" spans="1:20" x14ac:dyDescent="0.25">
      <c r="A5" s="450" t="str">
        <f t="shared" si="0"/>
        <v>03 Office of the Governor</v>
      </c>
      <c r="B5" s="1184">
        <v>3</v>
      </c>
      <c r="C5" s="1184" t="str">
        <f t="shared" si="1"/>
        <v>03</v>
      </c>
      <c r="D5" s="450" t="s">
        <v>4981</v>
      </c>
      <c r="E5" s="450" t="s">
        <v>4978</v>
      </c>
      <c r="F5" s="450" t="s">
        <v>1865</v>
      </c>
      <c r="G5" s="665" t="s">
        <v>5509</v>
      </c>
      <c r="H5" s="450" t="s">
        <v>5510</v>
      </c>
      <c r="I5" s="1487" t="s">
        <v>5511</v>
      </c>
      <c r="J5" s="665"/>
      <c r="K5" s="450"/>
      <c r="L5" s="450"/>
      <c r="M5" s="450"/>
      <c r="N5" s="1370" t="str">
        <f t="shared" si="2"/>
        <v>03</v>
      </c>
      <c r="O5" s="1371" t="s">
        <v>1879</v>
      </c>
      <c r="S5" s="450" t="s">
        <v>5059</v>
      </c>
      <c r="T5" s="450" t="s">
        <v>5059</v>
      </c>
    </row>
    <row r="6" spans="1:20" x14ac:dyDescent="0.25">
      <c r="A6" s="450" t="str">
        <f t="shared" si="0"/>
        <v>04 Office of Lieutenant Governor</v>
      </c>
      <c r="B6" s="1184">
        <v>4</v>
      </c>
      <c r="C6" s="1184" t="str">
        <f t="shared" si="1"/>
        <v>04</v>
      </c>
      <c r="D6" s="450" t="s">
        <v>4983</v>
      </c>
      <c r="E6" s="450" t="s">
        <v>4978</v>
      </c>
      <c r="F6" s="450" t="s">
        <v>1865</v>
      </c>
      <c r="G6" s="665" t="s">
        <v>5512</v>
      </c>
      <c r="H6" s="450" t="s">
        <v>5513</v>
      </c>
      <c r="I6" s="450" t="s">
        <v>5514</v>
      </c>
      <c r="J6" s="665"/>
      <c r="K6" s="450"/>
      <c r="L6" s="450"/>
      <c r="M6" s="450"/>
      <c r="N6" s="1370" t="str">
        <f t="shared" si="2"/>
        <v>04</v>
      </c>
      <c r="O6" s="1371" t="s">
        <v>5098</v>
      </c>
      <c r="S6" s="450" t="s">
        <v>5061</v>
      </c>
      <c r="T6" s="450" t="s">
        <v>5061</v>
      </c>
    </row>
    <row r="7" spans="1:20" x14ac:dyDescent="0.25">
      <c r="A7" s="450" t="str">
        <f t="shared" si="0"/>
        <v>05 Office of the Secretary of State</v>
      </c>
      <c r="B7" s="1184">
        <v>5</v>
      </c>
      <c r="C7" s="1184" t="str">
        <f t="shared" si="1"/>
        <v>05</v>
      </c>
      <c r="D7" s="450" t="s">
        <v>4985</v>
      </c>
      <c r="E7" s="450" t="s">
        <v>4978</v>
      </c>
      <c r="F7" s="450" t="s">
        <v>1865</v>
      </c>
      <c r="G7" s="665" t="s">
        <v>5515</v>
      </c>
      <c r="H7" s="450" t="s">
        <v>5516</v>
      </c>
      <c r="I7" s="1949" t="s">
        <v>5517</v>
      </c>
      <c r="J7" s="665"/>
      <c r="K7" s="450"/>
      <c r="L7" s="450"/>
      <c r="M7" s="450"/>
      <c r="N7" s="1370" t="str">
        <f t="shared" si="2"/>
        <v>05</v>
      </c>
      <c r="O7" s="1371" t="s">
        <v>5099</v>
      </c>
      <c r="S7" s="450" t="s">
        <v>5063</v>
      </c>
      <c r="T7" s="450" t="s">
        <v>5063</v>
      </c>
    </row>
    <row r="8" spans="1:20" x14ac:dyDescent="0.25">
      <c r="A8" s="450" t="str">
        <f t="shared" si="0"/>
        <v>06 Office of the State Auditor</v>
      </c>
      <c r="B8" s="1184">
        <v>6</v>
      </c>
      <c r="C8" s="1184" t="str">
        <f t="shared" si="1"/>
        <v>06</v>
      </c>
      <c r="D8" s="450" t="s">
        <v>4987</v>
      </c>
      <c r="E8" s="450" t="s">
        <v>4978</v>
      </c>
      <c r="F8" s="450" t="s">
        <v>1865</v>
      </c>
      <c r="G8" s="665" t="s">
        <v>5518</v>
      </c>
      <c r="H8" s="450" t="s">
        <v>5519</v>
      </c>
      <c r="I8" s="1487" t="s">
        <v>5520</v>
      </c>
      <c r="J8" s="665"/>
      <c r="K8" s="450"/>
      <c r="L8" s="450" t="b">
        <f t="shared" ref="L8:L32" si="3">ISTEXT(B8)</f>
        <v>0</v>
      </c>
      <c r="M8" s="450" t="b">
        <f t="shared" ref="M8:M32" si="4">ISTEXT(C8)</f>
        <v>1</v>
      </c>
      <c r="N8" s="1370" t="str">
        <f t="shared" si="2"/>
        <v>06</v>
      </c>
      <c r="O8" s="1371" t="s">
        <v>5100</v>
      </c>
      <c r="S8" s="450" t="s">
        <v>5065</v>
      </c>
      <c r="T8" s="450" t="s">
        <v>5065</v>
      </c>
    </row>
    <row r="9" spans="1:20" ht="16.5" customHeight="1" x14ac:dyDescent="0.25">
      <c r="A9" s="450" t="str">
        <f t="shared" si="0"/>
        <v xml:space="preserve">07 Department of the State Treasurer </v>
      </c>
      <c r="B9" s="1184">
        <v>7</v>
      </c>
      <c r="C9" s="1184" t="str">
        <f t="shared" si="1"/>
        <v>07</v>
      </c>
      <c r="D9" s="450" t="s">
        <v>4989</v>
      </c>
      <c r="E9" s="450" t="s">
        <v>4978</v>
      </c>
      <c r="F9" s="450" t="s">
        <v>1865</v>
      </c>
      <c r="G9" s="665" t="s">
        <v>5521</v>
      </c>
      <c r="H9" s="450" t="s">
        <v>5522</v>
      </c>
      <c r="I9" s="1487" t="s">
        <v>5523</v>
      </c>
      <c r="J9" s="407"/>
      <c r="K9" s="666"/>
      <c r="L9" s="450" t="b">
        <f t="shared" si="3"/>
        <v>0</v>
      </c>
      <c r="M9" s="450" t="b">
        <f t="shared" si="4"/>
        <v>1</v>
      </c>
      <c r="N9" s="1370" t="str">
        <f t="shared" si="2"/>
        <v>07</v>
      </c>
      <c r="O9" s="1371" t="s">
        <v>5101</v>
      </c>
      <c r="S9" s="450" t="s">
        <v>5067</v>
      </c>
      <c r="T9" s="450" t="s">
        <v>5067</v>
      </c>
    </row>
    <row r="10" spans="1:20" ht="16.5" customHeight="1" x14ac:dyDescent="0.25">
      <c r="A10" s="450" t="str">
        <f t="shared" si="0"/>
        <v>07 State Health Plan</v>
      </c>
      <c r="B10" s="1184">
        <v>7</v>
      </c>
      <c r="C10" s="1184" t="str">
        <f t="shared" si="1"/>
        <v>07</v>
      </c>
      <c r="D10" s="450" t="s">
        <v>5524</v>
      </c>
      <c r="E10" s="450" t="s">
        <v>4991</v>
      </c>
      <c r="F10" s="450" t="s">
        <v>1865</v>
      </c>
      <c r="G10" s="665" t="s">
        <v>5521</v>
      </c>
      <c r="H10" s="450" t="s">
        <v>5522</v>
      </c>
      <c r="I10" s="1487" t="s">
        <v>5523</v>
      </c>
      <c r="J10" s="665">
        <v>2629</v>
      </c>
      <c r="K10" s="666"/>
      <c r="L10" s="450" t="b">
        <f t="shared" si="3"/>
        <v>0</v>
      </c>
      <c r="M10" s="450" t="b">
        <f t="shared" si="4"/>
        <v>1</v>
      </c>
      <c r="N10" s="1370" t="str">
        <f t="shared" si="2"/>
        <v>07</v>
      </c>
      <c r="O10" s="1371" t="s">
        <v>5101</v>
      </c>
      <c r="S10" s="450" t="s">
        <v>5069</v>
      </c>
      <c r="T10" s="450" t="s">
        <v>5069</v>
      </c>
    </row>
    <row r="11" spans="1:20" ht="17.25" customHeight="1" x14ac:dyDescent="0.25">
      <c r="A11" s="450" t="str">
        <f t="shared" si="0"/>
        <v xml:space="preserve">08 Department of Public Instruction </v>
      </c>
      <c r="B11" s="1184">
        <v>8</v>
      </c>
      <c r="C11" s="1184" t="str">
        <f t="shared" si="1"/>
        <v>08</v>
      </c>
      <c r="D11" s="450" t="s">
        <v>4993</v>
      </c>
      <c r="E11" s="450" t="s">
        <v>4978</v>
      </c>
      <c r="F11" s="450" t="s">
        <v>1865</v>
      </c>
      <c r="G11" s="665" t="s">
        <v>5525</v>
      </c>
      <c r="H11" s="450" t="s">
        <v>5526</v>
      </c>
      <c r="I11" s="1949" t="s">
        <v>5527</v>
      </c>
      <c r="J11" s="407"/>
      <c r="K11" s="450"/>
      <c r="L11" s="450" t="b">
        <f t="shared" si="3"/>
        <v>0</v>
      </c>
      <c r="M11" s="450" t="b">
        <f t="shared" si="4"/>
        <v>1</v>
      </c>
      <c r="N11" s="1370" t="str">
        <f t="shared" ref="N11:N44" si="5">C11</f>
        <v>08</v>
      </c>
      <c r="O11" s="1371" t="s">
        <v>5102</v>
      </c>
      <c r="S11" s="450" t="s">
        <v>5071</v>
      </c>
      <c r="T11" s="450" t="s">
        <v>5071</v>
      </c>
    </row>
    <row r="12" spans="1:20" x14ac:dyDescent="0.25">
      <c r="A12" s="450" t="str">
        <f t="shared" si="0"/>
        <v xml:space="preserve">09 Department of Justice </v>
      </c>
      <c r="B12" s="1184">
        <v>9</v>
      </c>
      <c r="C12" s="1184" t="str">
        <f t="shared" si="1"/>
        <v>09</v>
      </c>
      <c r="D12" s="450" t="s">
        <v>4995</v>
      </c>
      <c r="E12" s="450" t="s">
        <v>4978</v>
      </c>
      <c r="F12" s="450" t="s">
        <v>1865</v>
      </c>
      <c r="G12" s="665" t="s">
        <v>5528</v>
      </c>
      <c r="H12" s="1006" t="s">
        <v>5529</v>
      </c>
      <c r="I12" s="1491" t="s">
        <v>5530</v>
      </c>
      <c r="J12" s="665"/>
      <c r="K12" s="450"/>
      <c r="L12" s="450" t="b">
        <f t="shared" si="3"/>
        <v>0</v>
      </c>
      <c r="M12" s="450" t="b">
        <f t="shared" si="4"/>
        <v>1</v>
      </c>
      <c r="N12" s="1370" t="str">
        <f t="shared" si="5"/>
        <v>09</v>
      </c>
      <c r="O12" s="1371" t="s">
        <v>5103</v>
      </c>
      <c r="S12" s="450" t="s">
        <v>5073</v>
      </c>
      <c r="T12" s="450" t="s">
        <v>5073</v>
      </c>
    </row>
    <row r="13" spans="1:20" x14ac:dyDescent="0.25">
      <c r="A13" s="450" t="str">
        <f t="shared" si="0"/>
        <v>10 Department of Agriculture</v>
      </c>
      <c r="B13" s="1184">
        <v>10</v>
      </c>
      <c r="C13" s="1184" t="str">
        <f t="shared" si="1"/>
        <v>10</v>
      </c>
      <c r="D13" s="450" t="s">
        <v>4997</v>
      </c>
      <c r="E13" s="450" t="s">
        <v>4978</v>
      </c>
      <c r="F13" s="450" t="s">
        <v>1865</v>
      </c>
      <c r="G13" s="665" t="s">
        <v>5531</v>
      </c>
      <c r="H13" s="450" t="s">
        <v>5532</v>
      </c>
      <c r="I13" s="1487" t="s">
        <v>5533</v>
      </c>
      <c r="J13" s="665"/>
      <c r="K13" s="450"/>
      <c r="L13" s="450" t="b">
        <f t="shared" si="3"/>
        <v>0</v>
      </c>
      <c r="M13" s="450" t="b">
        <f t="shared" si="4"/>
        <v>1</v>
      </c>
      <c r="N13" s="1370" t="str">
        <f t="shared" si="5"/>
        <v>10</v>
      </c>
      <c r="O13" s="1371" t="s">
        <v>5104</v>
      </c>
      <c r="S13" s="450" t="s">
        <v>5075</v>
      </c>
      <c r="T13" s="450" t="s">
        <v>5075</v>
      </c>
    </row>
    <row r="14" spans="1:20" x14ac:dyDescent="0.25">
      <c r="A14" s="450" t="str">
        <f t="shared" si="0"/>
        <v>11 Department of Labor</v>
      </c>
      <c r="B14" s="1184">
        <v>11</v>
      </c>
      <c r="C14" s="1184" t="str">
        <f t="shared" si="1"/>
        <v>11</v>
      </c>
      <c r="D14" s="450" t="s">
        <v>4999</v>
      </c>
      <c r="E14" s="450" t="s">
        <v>4978</v>
      </c>
      <c r="F14" s="450" t="s">
        <v>1865</v>
      </c>
      <c r="G14" s="665" t="s">
        <v>5534</v>
      </c>
      <c r="H14" s="450" t="s">
        <v>5535</v>
      </c>
      <c r="I14" s="1487" t="s">
        <v>5536</v>
      </c>
      <c r="J14" s="665"/>
      <c r="K14" s="450"/>
      <c r="L14" s="450" t="b">
        <f t="shared" si="3"/>
        <v>0</v>
      </c>
      <c r="M14" s="450" t="b">
        <f t="shared" si="4"/>
        <v>1</v>
      </c>
      <c r="N14" s="1370" t="str">
        <f t="shared" si="5"/>
        <v>11</v>
      </c>
      <c r="O14" s="1371" t="s">
        <v>5105</v>
      </c>
      <c r="S14" s="450" t="s">
        <v>5077</v>
      </c>
      <c r="T14" s="450" t="s">
        <v>5077</v>
      </c>
    </row>
    <row r="15" spans="1:20" x14ac:dyDescent="0.25">
      <c r="A15" s="450" t="str">
        <f t="shared" si="0"/>
        <v xml:space="preserve">12 Department of Insurance </v>
      </c>
      <c r="B15" s="1184">
        <v>12</v>
      </c>
      <c r="C15" s="1184" t="str">
        <f t="shared" si="1"/>
        <v>12</v>
      </c>
      <c r="D15" s="450" t="s">
        <v>5001</v>
      </c>
      <c r="E15" s="450" t="s">
        <v>4978</v>
      </c>
      <c r="F15" s="450" t="s">
        <v>1865</v>
      </c>
      <c r="G15" s="665" t="s">
        <v>5537</v>
      </c>
      <c r="H15" s="450" t="s">
        <v>5538</v>
      </c>
      <c r="I15" s="1487" t="s">
        <v>5539</v>
      </c>
      <c r="J15" s="665"/>
      <c r="K15" s="450"/>
      <c r="L15" s="450" t="b">
        <f t="shared" si="3"/>
        <v>0</v>
      </c>
      <c r="M15" s="450" t="b">
        <f t="shared" si="4"/>
        <v>1</v>
      </c>
      <c r="N15" s="1370" t="str">
        <f t="shared" si="5"/>
        <v>12</v>
      </c>
      <c r="O15" s="1371" t="s">
        <v>5106</v>
      </c>
      <c r="S15" s="450" t="s">
        <v>5079</v>
      </c>
      <c r="T15" s="450" t="s">
        <v>5079</v>
      </c>
    </row>
    <row r="16" spans="1:20" x14ac:dyDescent="0.25">
      <c r="A16" s="450" t="str">
        <f t="shared" si="0"/>
        <v xml:space="preserve">13 Department of Administration </v>
      </c>
      <c r="B16" s="1184">
        <v>13</v>
      </c>
      <c r="C16" s="1184" t="str">
        <f t="shared" si="1"/>
        <v>13</v>
      </c>
      <c r="D16" s="450" t="s">
        <v>5003</v>
      </c>
      <c r="E16" s="450" t="s">
        <v>4978</v>
      </c>
      <c r="F16" s="450" t="s">
        <v>1865</v>
      </c>
      <c r="G16" s="665" t="s">
        <v>5512</v>
      </c>
      <c r="H16" s="450" t="s">
        <v>5513</v>
      </c>
      <c r="I16" s="450" t="s">
        <v>5514</v>
      </c>
      <c r="J16" s="665"/>
      <c r="K16" s="450"/>
      <c r="L16" s="450" t="b">
        <f t="shared" si="3"/>
        <v>0</v>
      </c>
      <c r="M16" s="450" t="b">
        <f t="shared" si="4"/>
        <v>1</v>
      </c>
      <c r="N16" s="1370" t="str">
        <f t="shared" si="5"/>
        <v>13</v>
      </c>
      <c r="O16" s="1371" t="s">
        <v>5107</v>
      </c>
      <c r="S16" s="450" t="s">
        <v>5081</v>
      </c>
      <c r="T16" s="450" t="s">
        <v>5081</v>
      </c>
    </row>
    <row r="17" spans="1:20" x14ac:dyDescent="0.25">
      <c r="A17" s="450" t="str">
        <f t="shared" si="0"/>
        <v xml:space="preserve">14 Office of the State Controller </v>
      </c>
      <c r="B17" s="1184">
        <v>14</v>
      </c>
      <c r="C17" s="1184" t="str">
        <f t="shared" si="1"/>
        <v>14</v>
      </c>
      <c r="D17" s="450" t="s">
        <v>5005</v>
      </c>
      <c r="E17" s="450" t="s">
        <v>4978</v>
      </c>
      <c r="F17" s="450" t="s">
        <v>1865</v>
      </c>
      <c r="G17" s="665" t="s">
        <v>5540</v>
      </c>
      <c r="H17" s="450" t="s">
        <v>5541</v>
      </c>
      <c r="I17" s="1949" t="s">
        <v>5542</v>
      </c>
      <c r="J17" s="665"/>
      <c r="K17" s="450"/>
      <c r="L17" s="450" t="b">
        <f t="shared" si="3"/>
        <v>0</v>
      </c>
      <c r="M17" s="450" t="b">
        <f t="shared" si="4"/>
        <v>1</v>
      </c>
      <c r="N17" s="1370" t="str">
        <f t="shared" si="5"/>
        <v>14</v>
      </c>
      <c r="O17" s="1371" t="s">
        <v>5108</v>
      </c>
      <c r="S17" s="450" t="s">
        <v>5083</v>
      </c>
      <c r="T17" s="450" t="s">
        <v>5083</v>
      </c>
    </row>
    <row r="18" spans="1:20" x14ac:dyDescent="0.25">
      <c r="A18" s="450" t="str">
        <f t="shared" si="0"/>
        <v>15 Department of Transportation</v>
      </c>
      <c r="B18" s="1184">
        <v>15</v>
      </c>
      <c r="C18" s="1184" t="str">
        <f t="shared" si="1"/>
        <v>15</v>
      </c>
      <c r="D18" s="450" t="s">
        <v>836</v>
      </c>
      <c r="E18" s="450" t="s">
        <v>4978</v>
      </c>
      <c r="F18" s="450" t="s">
        <v>1865</v>
      </c>
      <c r="G18" s="665" t="s">
        <v>5543</v>
      </c>
      <c r="H18" s="665" t="s">
        <v>5544</v>
      </c>
      <c r="I18" s="1949" t="s">
        <v>5545</v>
      </c>
      <c r="J18" s="665"/>
      <c r="K18" s="450"/>
      <c r="L18" s="450" t="b">
        <f t="shared" si="3"/>
        <v>0</v>
      </c>
      <c r="M18" s="450" t="b">
        <f t="shared" si="4"/>
        <v>1</v>
      </c>
      <c r="N18" s="1370" t="str">
        <f t="shared" si="5"/>
        <v>15</v>
      </c>
      <c r="O18" s="1371" t="s">
        <v>1877</v>
      </c>
      <c r="S18" s="450" t="s">
        <v>5085</v>
      </c>
      <c r="T18" s="450" t="s">
        <v>5085</v>
      </c>
    </row>
    <row r="19" spans="1:20" x14ac:dyDescent="0.25">
      <c r="A19" s="450" t="str">
        <f t="shared" si="0"/>
        <v>16 Department of Environmental Quality</v>
      </c>
      <c r="B19" s="1184">
        <v>16</v>
      </c>
      <c r="C19" s="1184" t="str">
        <f t="shared" si="1"/>
        <v>16</v>
      </c>
      <c r="D19" s="450" t="s">
        <v>428</v>
      </c>
      <c r="E19" s="450" t="s">
        <v>4978</v>
      </c>
      <c r="F19" s="450" t="s">
        <v>1865</v>
      </c>
      <c r="G19" s="665" t="s">
        <v>5546</v>
      </c>
      <c r="H19" s="450" t="s">
        <v>5547</v>
      </c>
      <c r="I19" s="1492" t="s">
        <v>5548</v>
      </c>
      <c r="J19" s="408"/>
      <c r="K19" s="450"/>
      <c r="L19" s="450" t="b">
        <f t="shared" si="3"/>
        <v>0</v>
      </c>
      <c r="M19" s="450" t="b">
        <f t="shared" si="4"/>
        <v>1</v>
      </c>
      <c r="N19" s="1370" t="str">
        <f t="shared" si="5"/>
        <v>16</v>
      </c>
      <c r="O19" s="1371" t="s">
        <v>5109</v>
      </c>
      <c r="S19" s="450" t="s">
        <v>5087</v>
      </c>
      <c r="T19" s="450" t="s">
        <v>5087</v>
      </c>
    </row>
    <row r="20" spans="1:20" x14ac:dyDescent="0.25">
      <c r="A20" s="450" t="str">
        <f t="shared" si="0"/>
        <v>17 Wildlife Resources Commission</v>
      </c>
      <c r="B20" s="1184">
        <v>17</v>
      </c>
      <c r="C20" s="1184" t="str">
        <f t="shared" si="1"/>
        <v>17</v>
      </c>
      <c r="D20" s="450" t="s">
        <v>442</v>
      </c>
      <c r="E20" s="450" t="s">
        <v>4978</v>
      </c>
      <c r="F20" s="450" t="s">
        <v>1865</v>
      </c>
      <c r="G20" s="1233" t="s">
        <v>5549</v>
      </c>
      <c r="H20" s="450" t="s">
        <v>5550</v>
      </c>
      <c r="I20" s="1487" t="s">
        <v>5551</v>
      </c>
      <c r="J20" s="450"/>
      <c r="K20" s="450"/>
      <c r="L20" s="450" t="b">
        <f t="shared" si="3"/>
        <v>0</v>
      </c>
      <c r="M20" s="450" t="b">
        <f t="shared" si="4"/>
        <v>1</v>
      </c>
      <c r="N20" s="1370" t="str">
        <f t="shared" si="5"/>
        <v>17</v>
      </c>
      <c r="O20" s="1371" t="s">
        <v>5110</v>
      </c>
      <c r="S20" s="1371" t="s">
        <v>5044</v>
      </c>
      <c r="T20" s="450" t="s">
        <v>5552</v>
      </c>
    </row>
    <row r="21" spans="1:20" x14ac:dyDescent="0.25">
      <c r="A21" s="450" t="str">
        <f t="shared" si="0"/>
        <v>19 Dept. of Public Safety</v>
      </c>
      <c r="B21" s="1184">
        <v>19</v>
      </c>
      <c r="C21" s="1184" t="str">
        <f t="shared" si="1"/>
        <v>19</v>
      </c>
      <c r="D21" s="450" t="s">
        <v>5010</v>
      </c>
      <c r="E21" s="450" t="s">
        <v>4978</v>
      </c>
      <c r="F21" s="450" t="s">
        <v>1865</v>
      </c>
      <c r="G21" s="665" t="s">
        <v>5553</v>
      </c>
      <c r="H21" s="450" t="s">
        <v>5554</v>
      </c>
      <c r="I21" s="1487" t="s">
        <v>5555</v>
      </c>
      <c r="J21" s="450"/>
      <c r="K21" s="666"/>
      <c r="L21" s="450" t="b">
        <f t="shared" si="3"/>
        <v>0</v>
      </c>
      <c r="M21" s="450" t="b">
        <f t="shared" si="4"/>
        <v>1</v>
      </c>
      <c r="N21" s="1370" t="str">
        <f t="shared" si="5"/>
        <v>19</v>
      </c>
      <c r="O21" s="1371" t="s">
        <v>5111</v>
      </c>
      <c r="S21" s="450" t="s">
        <v>5089</v>
      </c>
      <c r="T21" s="450" t="s">
        <v>5089</v>
      </c>
    </row>
    <row r="22" spans="1:20" x14ac:dyDescent="0.25">
      <c r="A22" s="450" t="str">
        <f t="shared" si="0"/>
        <v>2X Dept. of Health and Human Services</v>
      </c>
      <c r="B22" s="1184" t="s">
        <v>5011</v>
      </c>
      <c r="C22" s="1184" t="str">
        <f t="shared" si="1"/>
        <v>2X</v>
      </c>
      <c r="D22" s="450" t="s">
        <v>5012</v>
      </c>
      <c r="E22" s="450" t="s">
        <v>4978</v>
      </c>
      <c r="F22" s="450" t="s">
        <v>1865</v>
      </c>
      <c r="G22" s="665" t="s">
        <v>5556</v>
      </c>
      <c r="H22" s="450" t="s">
        <v>5557</v>
      </c>
      <c r="J22" s="450"/>
      <c r="K22" s="666"/>
      <c r="L22" s="450" t="b">
        <f t="shared" si="3"/>
        <v>1</v>
      </c>
      <c r="M22" s="450" t="b">
        <f t="shared" si="4"/>
        <v>1</v>
      </c>
      <c r="N22" s="1370" t="str">
        <f t="shared" si="5"/>
        <v>2X</v>
      </c>
      <c r="O22" s="1371" t="s">
        <v>5558</v>
      </c>
    </row>
    <row r="23" spans="1:20" x14ac:dyDescent="0.25">
      <c r="A23" s="450" t="str">
        <f t="shared" si="0"/>
        <v>3X DHHS - Mental Health</v>
      </c>
      <c r="B23" s="1184" t="s">
        <v>5013</v>
      </c>
      <c r="C23" s="1184" t="str">
        <f t="shared" si="1"/>
        <v>3X</v>
      </c>
      <c r="D23" s="450" t="s">
        <v>5014</v>
      </c>
      <c r="E23" s="450" t="s">
        <v>4978</v>
      </c>
      <c r="F23" s="450" t="s">
        <v>1865</v>
      </c>
      <c r="G23" s="665" t="s">
        <v>5559</v>
      </c>
      <c r="H23" s="450" t="s">
        <v>5560</v>
      </c>
      <c r="J23" s="450"/>
      <c r="K23" s="666"/>
      <c r="L23" s="450" t="b">
        <f t="shared" si="3"/>
        <v>1</v>
      </c>
      <c r="M23" s="450" t="b">
        <f t="shared" si="4"/>
        <v>1</v>
      </c>
      <c r="N23" s="1370" t="str">
        <f t="shared" si="5"/>
        <v>3X</v>
      </c>
      <c r="O23" s="1371" t="s">
        <v>5561</v>
      </c>
    </row>
    <row r="24" spans="1:20" x14ac:dyDescent="0.25">
      <c r="A24" s="450" t="str">
        <f t="shared" si="0"/>
        <v>40 Department of Military &amp; Veterans Affairs</v>
      </c>
      <c r="B24" s="1020">
        <v>40</v>
      </c>
      <c r="C24" s="1184" t="str">
        <f t="shared" si="1"/>
        <v>40</v>
      </c>
      <c r="D24" s="450" t="s">
        <v>5016</v>
      </c>
      <c r="E24" s="450" t="s">
        <v>4978</v>
      </c>
      <c r="F24" s="450" t="s">
        <v>1865</v>
      </c>
      <c r="G24" s="665" t="s">
        <v>5512</v>
      </c>
      <c r="H24" s="450" t="s">
        <v>5513</v>
      </c>
      <c r="I24" s="450" t="s">
        <v>5514</v>
      </c>
      <c r="J24" s="450"/>
      <c r="K24" s="450"/>
      <c r="L24" s="450" t="b">
        <f t="shared" si="3"/>
        <v>0</v>
      </c>
      <c r="M24" s="450" t="b">
        <f t="shared" si="4"/>
        <v>1</v>
      </c>
      <c r="N24" s="1370" t="str">
        <f t="shared" si="5"/>
        <v>40</v>
      </c>
      <c r="O24" s="1371" t="s">
        <v>5115</v>
      </c>
    </row>
    <row r="25" spans="1:20" x14ac:dyDescent="0.25">
      <c r="A25" s="450" t="str">
        <f t="shared" si="0"/>
        <v>41 Department of Information Technology</v>
      </c>
      <c r="B25" s="1184">
        <v>41</v>
      </c>
      <c r="C25" s="1184" t="str">
        <f t="shared" si="1"/>
        <v>41</v>
      </c>
      <c r="D25" s="450" t="s">
        <v>5018</v>
      </c>
      <c r="E25" s="450" t="s">
        <v>4978</v>
      </c>
      <c r="F25" s="450" t="s">
        <v>1865</v>
      </c>
      <c r="G25" s="665" t="s">
        <v>5562</v>
      </c>
      <c r="H25" s="450" t="s">
        <v>5563</v>
      </c>
      <c r="I25" s="1487" t="s">
        <v>5564</v>
      </c>
      <c r="J25" s="450"/>
      <c r="K25" s="450"/>
      <c r="L25" s="450" t="b">
        <f t="shared" si="3"/>
        <v>0</v>
      </c>
      <c r="M25" s="450" t="b">
        <f t="shared" si="4"/>
        <v>1</v>
      </c>
      <c r="N25" s="1370" t="str">
        <f t="shared" si="5"/>
        <v>41</v>
      </c>
      <c r="O25" s="1371" t="s">
        <v>5116</v>
      </c>
    </row>
    <row r="26" spans="1:20" x14ac:dyDescent="0.25">
      <c r="A26" s="450" t="str">
        <f t="shared" si="0"/>
        <v>43 Department of Commerce</v>
      </c>
      <c r="B26" s="1184">
        <v>43</v>
      </c>
      <c r="C26" s="1184" t="str">
        <f t="shared" si="1"/>
        <v>43</v>
      </c>
      <c r="D26" s="450" t="s">
        <v>5020</v>
      </c>
      <c r="E26" s="450" t="s">
        <v>4978</v>
      </c>
      <c r="F26" s="450" t="s">
        <v>1865</v>
      </c>
      <c r="G26" s="665" t="s">
        <v>5565</v>
      </c>
      <c r="H26" s="450" t="s">
        <v>5566</v>
      </c>
      <c r="I26" s="1487" t="s">
        <v>5567</v>
      </c>
      <c r="J26" s="450"/>
      <c r="K26" s="666"/>
      <c r="L26" s="450" t="b">
        <f t="shared" si="3"/>
        <v>0</v>
      </c>
      <c r="M26" s="450" t="b">
        <f t="shared" si="4"/>
        <v>1</v>
      </c>
      <c r="N26" s="1370" t="str">
        <f t="shared" si="5"/>
        <v>43</v>
      </c>
      <c r="O26" s="1371" t="s">
        <v>5117</v>
      </c>
    </row>
    <row r="27" spans="1:20" x14ac:dyDescent="0.25">
      <c r="A27" s="450" t="str">
        <f t="shared" si="0"/>
        <v>45 Department of Revenue</v>
      </c>
      <c r="B27" s="1184">
        <v>45</v>
      </c>
      <c r="C27" s="1184" t="str">
        <f t="shared" si="1"/>
        <v>45</v>
      </c>
      <c r="D27" s="450" t="s">
        <v>417</v>
      </c>
      <c r="E27" s="450" t="s">
        <v>4978</v>
      </c>
      <c r="F27" s="450" t="s">
        <v>1865</v>
      </c>
      <c r="G27" s="665" t="s">
        <v>5568</v>
      </c>
      <c r="H27" s="450" t="s">
        <v>5569</v>
      </c>
      <c r="I27" s="1487" t="s">
        <v>5570</v>
      </c>
      <c r="J27" s="450"/>
      <c r="K27" s="666"/>
      <c r="L27" s="450" t="b">
        <f t="shared" si="3"/>
        <v>0</v>
      </c>
      <c r="M27" s="450" t="b">
        <f t="shared" si="4"/>
        <v>1</v>
      </c>
      <c r="N27" s="1370" t="str">
        <f t="shared" si="5"/>
        <v>45</v>
      </c>
      <c r="O27" s="1371" t="s">
        <v>5118</v>
      </c>
    </row>
    <row r="28" spans="1:20" x14ac:dyDescent="0.25">
      <c r="A28" s="450" t="str">
        <f t="shared" si="0"/>
        <v>46 Department of Natural and Cultural Resources</v>
      </c>
      <c r="B28" s="1184">
        <v>46</v>
      </c>
      <c r="C28" s="1184" t="str">
        <f t="shared" si="1"/>
        <v>46</v>
      </c>
      <c r="D28" s="450" t="s">
        <v>432</v>
      </c>
      <c r="E28" s="450" t="s">
        <v>4978</v>
      </c>
      <c r="F28" s="450" t="s">
        <v>1865</v>
      </c>
      <c r="G28" s="665" t="s">
        <v>5571</v>
      </c>
      <c r="H28" s="450" t="s">
        <v>5572</v>
      </c>
      <c r="I28" s="1487" t="s">
        <v>5573</v>
      </c>
      <c r="J28" s="450"/>
      <c r="K28" s="450"/>
      <c r="L28" s="450" t="b">
        <f t="shared" si="3"/>
        <v>0</v>
      </c>
      <c r="M28" s="450" t="b">
        <f t="shared" si="4"/>
        <v>1</v>
      </c>
      <c r="N28" s="1370" t="str">
        <f t="shared" si="5"/>
        <v>46</v>
      </c>
      <c r="O28" s="1371" t="s">
        <v>5119</v>
      </c>
    </row>
    <row r="29" spans="1:20" x14ac:dyDescent="0.25">
      <c r="A29" s="579" t="str">
        <f t="shared" si="0"/>
        <v>48X UNC Hlth Care Rep Unit (Combined Pkg)</v>
      </c>
      <c r="B29" s="1184" t="s">
        <v>4634</v>
      </c>
      <c r="C29" s="1184" t="str">
        <f t="shared" si="1"/>
        <v>48X</v>
      </c>
      <c r="D29" s="450" t="s">
        <v>5023</v>
      </c>
      <c r="E29" s="450" t="s">
        <v>5024</v>
      </c>
      <c r="F29" s="450" t="s">
        <v>5574</v>
      </c>
      <c r="G29" s="665" t="s">
        <v>5575</v>
      </c>
      <c r="H29" s="776" t="s">
        <v>5576</v>
      </c>
      <c r="I29" s="665" t="s">
        <v>5577</v>
      </c>
      <c r="J29" s="450" t="s">
        <v>4646</v>
      </c>
      <c r="K29" s="450"/>
      <c r="L29" s="450" t="b">
        <f t="shared" si="3"/>
        <v>1</v>
      </c>
      <c r="M29" s="450" t="b">
        <f t="shared" si="4"/>
        <v>1</v>
      </c>
      <c r="N29" s="1370" t="str">
        <f t="shared" si="5"/>
        <v>48X</v>
      </c>
      <c r="O29" s="1371"/>
    </row>
    <row r="30" spans="1:20" x14ac:dyDescent="0.25">
      <c r="A30" s="450" t="str">
        <f t="shared" si="0"/>
        <v>48 UNC Hospitals</v>
      </c>
      <c r="B30" s="1184">
        <v>48</v>
      </c>
      <c r="C30" s="1184" t="str">
        <f t="shared" si="1"/>
        <v>48</v>
      </c>
      <c r="D30" s="450" t="s">
        <v>4660</v>
      </c>
      <c r="E30" s="450" t="s">
        <v>5024</v>
      </c>
      <c r="F30" s="450" t="s">
        <v>5574</v>
      </c>
      <c r="G30" s="665" t="s">
        <v>5578</v>
      </c>
      <c r="H30" s="450" t="s">
        <v>5579</v>
      </c>
      <c r="I30" s="665" t="s">
        <v>5580</v>
      </c>
      <c r="J30" s="450" t="s">
        <v>5581</v>
      </c>
      <c r="K30" s="450"/>
      <c r="L30" s="450" t="b">
        <f t="shared" si="3"/>
        <v>0</v>
      </c>
      <c r="M30" s="450" t="b">
        <f t="shared" si="4"/>
        <v>1</v>
      </c>
      <c r="N30" s="1370" t="str">
        <f t="shared" si="5"/>
        <v>48</v>
      </c>
      <c r="O30" s="1371"/>
    </row>
    <row r="31" spans="1:20" x14ac:dyDescent="0.25">
      <c r="A31" s="450" t="str">
        <f t="shared" si="0"/>
        <v>48E UNC Hospitals - Enterprise Fund</v>
      </c>
      <c r="B31" s="1184" t="s">
        <v>4637</v>
      </c>
      <c r="C31" s="1184" t="str">
        <f t="shared" si="1"/>
        <v>48E</v>
      </c>
      <c r="D31" s="450" t="s">
        <v>5025</v>
      </c>
      <c r="E31" s="450" t="s">
        <v>5024</v>
      </c>
      <c r="F31" s="450" t="s">
        <v>5574</v>
      </c>
      <c r="G31" s="665" t="s">
        <v>5582</v>
      </c>
      <c r="H31" s="450" t="s">
        <v>5583</v>
      </c>
      <c r="I31" s="665" t="s">
        <v>5584</v>
      </c>
      <c r="J31" s="665">
        <v>2635</v>
      </c>
      <c r="K31" s="450"/>
      <c r="L31" s="450" t="b">
        <f t="shared" si="3"/>
        <v>1</v>
      </c>
      <c r="M31" s="450" t="b">
        <f t="shared" si="4"/>
        <v>1</v>
      </c>
      <c r="N31" s="1370" t="str">
        <f t="shared" si="5"/>
        <v>48E</v>
      </c>
      <c r="O31" s="1371"/>
    </row>
    <row r="32" spans="1:20" x14ac:dyDescent="0.25">
      <c r="A32" s="450" t="str">
        <f t="shared" si="0"/>
        <v>48L UNC Hospitals - LITF</v>
      </c>
      <c r="B32" s="1184" t="s">
        <v>4638</v>
      </c>
      <c r="C32" s="1184" t="str">
        <f t="shared" si="1"/>
        <v>48L</v>
      </c>
      <c r="D32" s="450" t="s">
        <v>5026</v>
      </c>
      <c r="E32" s="450" t="s">
        <v>5024</v>
      </c>
      <c r="F32" s="450" t="s">
        <v>5574</v>
      </c>
      <c r="G32" s="665" t="s">
        <v>5585</v>
      </c>
      <c r="H32" s="450" t="s">
        <v>5586</v>
      </c>
      <c r="I32" s="665" t="s">
        <v>5587</v>
      </c>
      <c r="J32" s="665">
        <v>2632</v>
      </c>
      <c r="K32" s="450"/>
      <c r="L32" s="450" t="b">
        <f t="shared" si="3"/>
        <v>1</v>
      </c>
      <c r="M32" s="450" t="b">
        <f t="shared" si="4"/>
        <v>1</v>
      </c>
      <c r="N32" s="1370" t="str">
        <f t="shared" si="5"/>
        <v>48L</v>
      </c>
      <c r="O32" s="1371"/>
    </row>
    <row r="33" spans="1:15" x14ac:dyDescent="0.25">
      <c r="A33" s="450" t="str">
        <f t="shared" si="0"/>
        <v>48R Rex Healthcare</v>
      </c>
      <c r="B33" s="1184" t="s">
        <v>4639</v>
      </c>
      <c r="C33" s="1184" t="str">
        <f t="shared" si="1"/>
        <v>48R</v>
      </c>
      <c r="D33" s="450" t="s">
        <v>5027</v>
      </c>
      <c r="E33" s="450" t="s">
        <v>5024</v>
      </c>
      <c r="F33" s="450" t="s">
        <v>5574</v>
      </c>
      <c r="G33" s="665" t="s">
        <v>5588</v>
      </c>
      <c r="H33" s="450" t="s">
        <v>5589</v>
      </c>
      <c r="I33" s="665" t="s">
        <v>5590</v>
      </c>
      <c r="J33" s="665">
        <v>2637</v>
      </c>
      <c r="K33" s="450"/>
      <c r="L33" s="450" t="b">
        <f>ISTEXT(B33)</f>
        <v>1</v>
      </c>
      <c r="M33" s="450"/>
      <c r="N33" s="1370" t="str">
        <f t="shared" si="5"/>
        <v>48R</v>
      </c>
      <c r="O33" s="1371"/>
    </row>
    <row r="34" spans="1:15" x14ac:dyDescent="0.25">
      <c r="A34" s="450" t="str">
        <f t="shared" si="0"/>
        <v>48C Chatham Hospital</v>
      </c>
      <c r="B34" s="1184" t="s">
        <v>4640</v>
      </c>
      <c r="C34" s="1184" t="str">
        <f t="shared" si="1"/>
        <v>48C</v>
      </c>
      <c r="D34" s="450" t="s">
        <v>5028</v>
      </c>
      <c r="E34" s="450" t="s">
        <v>5024</v>
      </c>
      <c r="F34" s="450" t="s">
        <v>5574</v>
      </c>
      <c r="G34" s="665" t="s">
        <v>5588</v>
      </c>
      <c r="H34" s="450" t="s">
        <v>5589</v>
      </c>
      <c r="I34" s="665" t="s">
        <v>5590</v>
      </c>
      <c r="J34" s="665">
        <v>2638</v>
      </c>
      <c r="K34" s="450"/>
      <c r="L34" s="450"/>
      <c r="M34" s="450"/>
      <c r="N34" s="1370" t="str">
        <f t="shared" si="5"/>
        <v>48C</v>
      </c>
      <c r="O34" s="1371"/>
    </row>
    <row r="35" spans="1:15" x14ac:dyDescent="0.25">
      <c r="A35" s="529" t="str">
        <f t="shared" ref="A35:A68" si="6">C35&amp;" "&amp;D35</f>
        <v>48T UNC Physicians Network</v>
      </c>
      <c r="B35" s="1184" t="s">
        <v>4641</v>
      </c>
      <c r="C35" s="1184" t="str">
        <f t="shared" si="1"/>
        <v>48T</v>
      </c>
      <c r="D35" s="450" t="s">
        <v>5029</v>
      </c>
      <c r="E35" s="450" t="s">
        <v>5024</v>
      </c>
      <c r="F35" s="450" t="s">
        <v>5574</v>
      </c>
      <c r="G35" s="665" t="s">
        <v>5591</v>
      </c>
      <c r="H35" s="450" t="s">
        <v>5592</v>
      </c>
      <c r="I35" s="665" t="s">
        <v>5593</v>
      </c>
      <c r="J35" s="665">
        <v>2639</v>
      </c>
      <c r="K35" s="450"/>
      <c r="L35" s="450"/>
      <c r="M35" s="450"/>
      <c r="N35" s="1370" t="str">
        <f t="shared" si="5"/>
        <v>48T</v>
      </c>
      <c r="O35" s="1371"/>
    </row>
    <row r="36" spans="1:15" x14ac:dyDescent="0.25">
      <c r="A36" s="529" t="str">
        <f t="shared" si="6"/>
        <v>48RH UNC Rockingham Health Care</v>
      </c>
      <c r="B36" s="1184" t="s">
        <v>4642</v>
      </c>
      <c r="C36" s="1184" t="str">
        <f t="shared" si="1"/>
        <v>48RH</v>
      </c>
      <c r="D36" s="450" t="s">
        <v>5030</v>
      </c>
      <c r="E36" s="450" t="s">
        <v>5024</v>
      </c>
      <c r="F36" s="450" t="s">
        <v>5574</v>
      </c>
      <c r="G36" s="665" t="s">
        <v>5594</v>
      </c>
      <c r="H36" s="450" t="s">
        <v>5595</v>
      </c>
      <c r="I36" s="665" t="s">
        <v>5596</v>
      </c>
      <c r="J36" s="665" t="s">
        <v>4646</v>
      </c>
      <c r="K36" s="450"/>
      <c r="L36" s="450"/>
      <c r="M36" s="450"/>
      <c r="N36" s="1370" t="str">
        <f t="shared" si="5"/>
        <v>48RH</v>
      </c>
      <c r="O36" s="1371"/>
    </row>
    <row r="37" spans="1:15" x14ac:dyDescent="0.25">
      <c r="A37" s="529" t="str">
        <f t="shared" si="6"/>
        <v>48CW Caldwell Memorial Hospital</v>
      </c>
      <c r="B37" s="1184" t="s">
        <v>4643</v>
      </c>
      <c r="C37" s="1184" t="str">
        <f t="shared" si="1"/>
        <v>48CW</v>
      </c>
      <c r="D37" s="450" t="s">
        <v>5031</v>
      </c>
      <c r="E37" s="450" t="s">
        <v>5024</v>
      </c>
      <c r="F37" s="450" t="s">
        <v>5574</v>
      </c>
      <c r="G37" s="665" t="s">
        <v>5578</v>
      </c>
      <c r="H37" s="450" t="s">
        <v>5579</v>
      </c>
      <c r="I37" s="665" t="s">
        <v>5580</v>
      </c>
      <c r="J37" s="665" t="s">
        <v>4646</v>
      </c>
      <c r="K37" s="529"/>
      <c r="L37" s="450"/>
      <c r="M37" s="450"/>
      <c r="N37" s="1370" t="str">
        <f t="shared" si="5"/>
        <v>48CW</v>
      </c>
      <c r="O37" s="1371"/>
    </row>
    <row r="38" spans="1:15" x14ac:dyDescent="0.25">
      <c r="A38" s="529" t="str">
        <f t="shared" si="6"/>
        <v>49 State Bureau of Investigation</v>
      </c>
      <c r="B38" s="1184" t="s">
        <v>5033</v>
      </c>
      <c r="C38" s="1184" t="str">
        <f t="shared" si="1"/>
        <v>49</v>
      </c>
      <c r="D38" s="450" t="s">
        <v>833</v>
      </c>
      <c r="E38" s="450" t="s">
        <v>4978</v>
      </c>
      <c r="F38" s="450" t="s">
        <v>1865</v>
      </c>
      <c r="G38" s="665" t="s">
        <v>5597</v>
      </c>
      <c r="H38" s="450" t="s">
        <v>5598</v>
      </c>
      <c r="I38" s="1490" t="s">
        <v>5599</v>
      </c>
      <c r="J38" s="665"/>
      <c r="K38" s="529"/>
      <c r="L38" s="450"/>
      <c r="M38" s="450"/>
      <c r="N38" s="1370" t="str">
        <f t="shared" si="5"/>
        <v>49</v>
      </c>
      <c r="O38" s="1371" t="s">
        <v>5600</v>
      </c>
    </row>
    <row r="39" spans="1:15" x14ac:dyDescent="0.25">
      <c r="A39" s="450" t="str">
        <f t="shared" si="6"/>
        <v>50 Community College System Office</v>
      </c>
      <c r="B39" s="1184">
        <v>50</v>
      </c>
      <c r="C39" s="1184" t="str">
        <f t="shared" si="1"/>
        <v>50</v>
      </c>
      <c r="D39" s="450" t="s">
        <v>457</v>
      </c>
      <c r="E39" s="450" t="s">
        <v>4978</v>
      </c>
      <c r="F39" s="450" t="s">
        <v>1865</v>
      </c>
      <c r="G39" s="665" t="s">
        <v>5601</v>
      </c>
      <c r="H39" s="450" t="s">
        <v>5602</v>
      </c>
      <c r="I39" s="1493" t="s">
        <v>5603</v>
      </c>
      <c r="J39" s="450"/>
      <c r="K39" s="450"/>
      <c r="L39" s="450"/>
      <c r="M39" s="450"/>
      <c r="N39" s="1370" t="str">
        <f t="shared" si="5"/>
        <v>50</v>
      </c>
      <c r="O39" s="1371" t="s">
        <v>5121</v>
      </c>
    </row>
    <row r="40" spans="1:15" x14ac:dyDescent="0.25">
      <c r="A40" s="450"/>
      <c r="B40" s="1184" t="s">
        <v>5036</v>
      </c>
      <c r="C40" s="1184" t="s">
        <v>5036</v>
      </c>
      <c r="D40" s="450" t="s">
        <v>5037</v>
      </c>
      <c r="E40" s="450" t="s">
        <v>4978</v>
      </c>
      <c r="F40" s="450" t="s">
        <v>1865</v>
      </c>
      <c r="G40" s="665" t="s">
        <v>5604</v>
      </c>
      <c r="H40" s="450" t="s">
        <v>5605</v>
      </c>
      <c r="I40" s="1493" t="s">
        <v>5606</v>
      </c>
      <c r="J40" s="450"/>
      <c r="K40" s="450"/>
      <c r="L40" s="450"/>
      <c r="M40" s="450"/>
      <c r="N40" s="1370" t="s">
        <v>5036</v>
      </c>
      <c r="O40" s="1371" t="s">
        <v>5122</v>
      </c>
    </row>
    <row r="41" spans="1:15" x14ac:dyDescent="0.25">
      <c r="A41" s="450" t="str">
        <f t="shared" si="6"/>
        <v>60 State Board of Elections</v>
      </c>
      <c r="B41" s="1184">
        <v>60</v>
      </c>
      <c r="C41" s="1184" t="str">
        <f t="shared" si="1"/>
        <v>60</v>
      </c>
      <c r="D41" s="450" t="s">
        <v>5039</v>
      </c>
      <c r="E41" s="450" t="s">
        <v>4978</v>
      </c>
      <c r="F41" s="450" t="s">
        <v>1865</v>
      </c>
      <c r="G41" s="665" t="s">
        <v>5512</v>
      </c>
      <c r="H41" s="450" t="s">
        <v>5513</v>
      </c>
      <c r="I41" s="450" t="s">
        <v>5514</v>
      </c>
      <c r="J41" s="450"/>
      <c r="K41" s="450"/>
      <c r="L41" s="450"/>
      <c r="M41" s="450"/>
      <c r="N41" s="1370" t="str">
        <f t="shared" si="5"/>
        <v>60</v>
      </c>
      <c r="O41" s="1371" t="s">
        <v>5123</v>
      </c>
    </row>
    <row r="42" spans="1:15" x14ac:dyDescent="0.25">
      <c r="A42" s="450" t="str">
        <f t="shared" si="6"/>
        <v>61 NC Education Lottery</v>
      </c>
      <c r="B42" s="1184" t="s">
        <v>5040</v>
      </c>
      <c r="C42" s="1184" t="str">
        <f t="shared" si="1"/>
        <v>61</v>
      </c>
      <c r="D42" s="450" t="s">
        <v>5041</v>
      </c>
      <c r="E42" s="450" t="s">
        <v>4978</v>
      </c>
      <c r="F42" s="450" t="s">
        <v>1865</v>
      </c>
      <c r="G42" s="665" t="s">
        <v>5607</v>
      </c>
      <c r="H42" s="450" t="s">
        <v>5608</v>
      </c>
      <c r="I42" s="450" t="s">
        <v>5609</v>
      </c>
      <c r="J42" s="450"/>
      <c r="K42" s="450"/>
      <c r="L42" s="450"/>
      <c r="M42" s="450"/>
      <c r="N42" s="1370" t="str">
        <f t="shared" si="5"/>
        <v>61</v>
      </c>
      <c r="O42" s="1371" t="s">
        <v>5124</v>
      </c>
    </row>
    <row r="43" spans="1:15" x14ac:dyDescent="0.25">
      <c r="A43" s="450" t="str">
        <f t="shared" si="6"/>
        <v>67 Office of Administrative Hearings</v>
      </c>
      <c r="B43" s="1184">
        <v>67</v>
      </c>
      <c r="C43" s="1184" t="str">
        <f t="shared" si="1"/>
        <v>67</v>
      </c>
      <c r="D43" s="450" t="s">
        <v>5043</v>
      </c>
      <c r="E43" s="450" t="s">
        <v>4978</v>
      </c>
      <c r="F43" s="450" t="s">
        <v>1865</v>
      </c>
      <c r="G43" s="665" t="s">
        <v>5610</v>
      </c>
      <c r="H43" s="450" t="s">
        <v>5611</v>
      </c>
      <c r="I43" s="1487" t="s">
        <v>5612</v>
      </c>
      <c r="J43" s="450"/>
      <c r="K43" s="450"/>
      <c r="L43" s="450"/>
      <c r="M43" s="450"/>
      <c r="N43" s="1370" t="str">
        <f t="shared" si="5"/>
        <v>67</v>
      </c>
      <c r="O43" s="1371" t="s">
        <v>5125</v>
      </c>
    </row>
    <row r="44" spans="1:15" x14ac:dyDescent="0.25">
      <c r="A44" s="450" t="str">
        <f t="shared" si="6"/>
        <v>69 USS North Carolina Battleship Comm.</v>
      </c>
      <c r="B44" s="1184" t="s">
        <v>5044</v>
      </c>
      <c r="C44" s="1184" t="str">
        <f t="shared" si="1"/>
        <v>69</v>
      </c>
      <c r="D44" s="450" t="s">
        <v>5045</v>
      </c>
      <c r="E44" s="450" t="s">
        <v>4978</v>
      </c>
      <c r="F44" s="450" t="s">
        <v>5574</v>
      </c>
      <c r="G44" s="665" t="s">
        <v>5613</v>
      </c>
      <c r="H44" s="450" t="s">
        <v>5614</v>
      </c>
      <c r="I44" s="1487" t="s">
        <v>5615</v>
      </c>
      <c r="J44" s="450"/>
      <c r="K44" s="450"/>
      <c r="L44" s="450"/>
      <c r="M44" s="450"/>
      <c r="N44" s="1370" t="str">
        <f t="shared" si="5"/>
        <v>69</v>
      </c>
      <c r="O44" s="1371" t="s">
        <v>5126</v>
      </c>
    </row>
    <row r="45" spans="1:15" x14ac:dyDescent="0.25">
      <c r="A45" s="450" t="str">
        <f t="shared" si="6"/>
        <v>6BC Deferred Comp &amp; NC 401(k)-Combined Pkg</v>
      </c>
      <c r="B45" s="1184" t="s">
        <v>4754</v>
      </c>
      <c r="C45" s="1184" t="str">
        <f t="shared" si="1"/>
        <v>6BC</v>
      </c>
      <c r="D45" s="529" t="s">
        <v>5046</v>
      </c>
      <c r="E45" s="450" t="s">
        <v>4978</v>
      </c>
      <c r="F45" s="450" t="s">
        <v>5574</v>
      </c>
      <c r="G45" s="665" t="s">
        <v>5616</v>
      </c>
      <c r="H45" s="450" t="s">
        <v>5617</v>
      </c>
      <c r="I45" s="1487" t="s">
        <v>5618</v>
      </c>
      <c r="J45" s="450"/>
      <c r="K45" s="579"/>
      <c r="L45" s="450"/>
      <c r="M45" s="450"/>
      <c r="N45" s="1370" t="str">
        <f t="shared" ref="N45:N67" si="7">C45</f>
        <v>6BC</v>
      </c>
      <c r="O45" s="1371"/>
    </row>
    <row r="46" spans="1:15" x14ac:dyDescent="0.25">
      <c r="A46" s="450" t="str">
        <f t="shared" si="6"/>
        <v>87 NC School of Science &amp; Mathematics</v>
      </c>
      <c r="B46" s="1184">
        <v>87</v>
      </c>
      <c r="C46" s="1184" t="str">
        <f t="shared" si="1"/>
        <v>87</v>
      </c>
      <c r="D46" s="450" t="s">
        <v>5048</v>
      </c>
      <c r="E46" s="450" t="s">
        <v>5024</v>
      </c>
      <c r="F46" s="450" t="s">
        <v>1865</v>
      </c>
      <c r="G46" s="665" t="s">
        <v>5619</v>
      </c>
      <c r="H46" s="450" t="s">
        <v>5620</v>
      </c>
      <c r="I46" s="1487" t="s">
        <v>5621</v>
      </c>
      <c r="J46" s="450" t="s">
        <v>1951</v>
      </c>
      <c r="K46" s="666" t="s">
        <v>5622</v>
      </c>
      <c r="L46" s="450"/>
      <c r="M46" s="450"/>
      <c r="N46" s="1370" t="str">
        <f t="shared" si="7"/>
        <v>87</v>
      </c>
      <c r="O46" s="1371" t="s">
        <v>5132</v>
      </c>
    </row>
    <row r="47" spans="1:15" x14ac:dyDescent="0.25">
      <c r="A47" s="450" t="str">
        <f t="shared" si="6"/>
        <v>90 General Fund - OSC</v>
      </c>
      <c r="B47" s="1184" t="s">
        <v>5049</v>
      </c>
      <c r="C47" s="1184" t="str">
        <f t="shared" si="1"/>
        <v>90</v>
      </c>
      <c r="D47" s="450" t="s">
        <v>5050</v>
      </c>
      <c r="E47" s="450" t="s">
        <v>4978</v>
      </c>
      <c r="F47" s="450" t="s">
        <v>1865</v>
      </c>
      <c r="G47" s="665" t="s">
        <v>5623</v>
      </c>
      <c r="H47" s="450" t="s">
        <v>5624</v>
      </c>
      <c r="I47" s="1487" t="s">
        <v>5625</v>
      </c>
      <c r="J47" s="450"/>
      <c r="K47" s="450"/>
      <c r="L47" s="450"/>
      <c r="M47" s="450"/>
      <c r="N47" s="1370" t="str">
        <f t="shared" si="7"/>
        <v>90</v>
      </c>
      <c r="O47" s="1371" t="s">
        <v>2038</v>
      </c>
    </row>
    <row r="48" spans="1:15" x14ac:dyDescent="0.25">
      <c r="A48" s="450" t="str">
        <f t="shared" si="6"/>
        <v>99 General Fund - DOR</v>
      </c>
      <c r="B48" s="1184" t="s">
        <v>5051</v>
      </c>
      <c r="C48" s="1184" t="str">
        <f t="shared" si="1"/>
        <v>99</v>
      </c>
      <c r="D48" s="450" t="s">
        <v>5052</v>
      </c>
      <c r="E48" s="450" t="s">
        <v>4978</v>
      </c>
      <c r="F48" s="450" t="s">
        <v>1865</v>
      </c>
      <c r="G48" s="665" t="s">
        <v>5626</v>
      </c>
      <c r="H48" s="450" t="s">
        <v>5627</v>
      </c>
      <c r="I48" s="1487" t="s">
        <v>5628</v>
      </c>
      <c r="J48" s="450"/>
      <c r="K48" s="450"/>
      <c r="L48" s="450"/>
      <c r="M48" s="450"/>
      <c r="N48" s="1370" t="str">
        <f t="shared" si="7"/>
        <v>99</v>
      </c>
      <c r="O48" s="1371" t="s">
        <v>5127</v>
      </c>
    </row>
    <row r="49" spans="1:16" x14ac:dyDescent="0.25">
      <c r="A49" s="450" t="str">
        <f t="shared" si="6"/>
        <v>RX OSC-Central Accounts</v>
      </c>
      <c r="B49" s="1184" t="s">
        <v>5053</v>
      </c>
      <c r="C49" s="1184" t="str">
        <f t="shared" ref="C49:C66" si="8">B49</f>
        <v>RX</v>
      </c>
      <c r="D49" s="450" t="s">
        <v>5054</v>
      </c>
      <c r="E49" s="450" t="s">
        <v>4978</v>
      </c>
      <c r="F49" s="450" t="s">
        <v>1865</v>
      </c>
      <c r="G49" s="665" t="s">
        <v>5629</v>
      </c>
      <c r="H49" s="450" t="s">
        <v>5630</v>
      </c>
      <c r="I49" s="1487" t="s">
        <v>5631</v>
      </c>
      <c r="J49" s="450"/>
      <c r="K49" s="450"/>
      <c r="L49" s="450"/>
      <c r="M49" s="450"/>
      <c r="N49" s="1370" t="str">
        <f t="shared" si="7"/>
        <v>RX</v>
      </c>
      <c r="O49" s="1371" t="s">
        <v>5632</v>
      </c>
    </row>
    <row r="50" spans="1:16" ht="18.75" x14ac:dyDescent="0.3">
      <c r="A50" s="450" t="str">
        <f t="shared" si="6"/>
        <v>U10 UNC-System Office</v>
      </c>
      <c r="B50" s="1184" t="s">
        <v>5055</v>
      </c>
      <c r="C50" s="1184" t="str">
        <f t="shared" si="8"/>
        <v>U10</v>
      </c>
      <c r="D50" s="450" t="s">
        <v>5056</v>
      </c>
      <c r="E50" s="450" t="s">
        <v>5024</v>
      </c>
      <c r="F50" s="450" t="s">
        <v>5633</v>
      </c>
      <c r="G50" s="665" t="s">
        <v>5634</v>
      </c>
      <c r="H50" s="450" t="s">
        <v>5635</v>
      </c>
      <c r="I50" s="1487" t="s">
        <v>5636</v>
      </c>
      <c r="J50" s="450" t="s">
        <v>1951</v>
      </c>
      <c r="K50" s="1272" t="s">
        <v>5637</v>
      </c>
      <c r="L50" s="450"/>
      <c r="M50" s="450"/>
      <c r="N50" s="1370" t="str">
        <f t="shared" si="7"/>
        <v>U10</v>
      </c>
      <c r="O50" s="1371" t="s">
        <v>5133</v>
      </c>
      <c r="P50" s="450" t="s">
        <v>5055</v>
      </c>
    </row>
    <row r="51" spans="1:16" ht="18.75" x14ac:dyDescent="0.3">
      <c r="A51" s="450" t="str">
        <f t="shared" si="6"/>
        <v>U20 UNC at Chapel Hill</v>
      </c>
      <c r="B51" s="1184" t="s">
        <v>5057</v>
      </c>
      <c r="C51" s="1184" t="str">
        <f t="shared" si="8"/>
        <v>U20</v>
      </c>
      <c r="D51" s="450" t="s">
        <v>5058</v>
      </c>
      <c r="E51" s="450" t="s">
        <v>5024</v>
      </c>
      <c r="F51" s="450" t="s">
        <v>5633</v>
      </c>
      <c r="G51" s="665" t="s">
        <v>5638</v>
      </c>
      <c r="H51" s="450" t="s">
        <v>5639</v>
      </c>
      <c r="I51" s="1487" t="s">
        <v>5640</v>
      </c>
      <c r="J51" s="450" t="s">
        <v>1951</v>
      </c>
      <c r="K51" s="529"/>
      <c r="L51" s="450"/>
      <c r="M51" s="450"/>
      <c r="N51" s="1370" t="str">
        <f t="shared" si="7"/>
        <v>U20</v>
      </c>
      <c r="O51" s="1371" t="s">
        <v>5134</v>
      </c>
      <c r="P51" s="450" t="s">
        <v>5057</v>
      </c>
    </row>
    <row r="52" spans="1:16" ht="18.75" x14ac:dyDescent="0.3">
      <c r="A52" s="450" t="str">
        <f t="shared" si="6"/>
        <v>U30 North Carolina State University</v>
      </c>
      <c r="B52" s="1184" t="s">
        <v>5059</v>
      </c>
      <c r="C52" s="1184" t="str">
        <f t="shared" si="8"/>
        <v>U30</v>
      </c>
      <c r="D52" s="450" t="s">
        <v>5060</v>
      </c>
      <c r="E52" s="450" t="s">
        <v>5024</v>
      </c>
      <c r="F52" s="450" t="s">
        <v>5633</v>
      </c>
      <c r="G52" s="665" t="s">
        <v>5641</v>
      </c>
      <c r="H52" s="450" t="s">
        <v>5642</v>
      </c>
      <c r="I52" s="1487" t="s">
        <v>5643</v>
      </c>
      <c r="J52" s="450" t="s">
        <v>1951</v>
      </c>
      <c r="K52" s="529"/>
      <c r="L52" s="450"/>
      <c r="M52" s="450"/>
      <c r="N52" s="1370" t="str">
        <f t="shared" si="7"/>
        <v>U30</v>
      </c>
      <c r="O52" s="1371" t="s">
        <v>5135</v>
      </c>
      <c r="P52" s="450" t="s">
        <v>5059</v>
      </c>
    </row>
    <row r="53" spans="1:16" ht="18.75" x14ac:dyDescent="0.3">
      <c r="A53" s="450" t="str">
        <f t="shared" si="6"/>
        <v>U40 UNC at Greensboro</v>
      </c>
      <c r="B53" s="1184" t="s">
        <v>5061</v>
      </c>
      <c r="C53" s="1184" t="str">
        <f t="shared" si="8"/>
        <v>U40</v>
      </c>
      <c r="D53" s="450" t="s">
        <v>5062</v>
      </c>
      <c r="E53" s="450" t="s">
        <v>5024</v>
      </c>
      <c r="F53" s="450" t="s">
        <v>5633</v>
      </c>
      <c r="G53" s="665" t="s">
        <v>6662</v>
      </c>
      <c r="H53" s="450" t="s">
        <v>6663</v>
      </c>
      <c r="I53" s="1487" t="s">
        <v>6664</v>
      </c>
      <c r="J53" s="450" t="s">
        <v>1951</v>
      </c>
      <c r="K53" s="450"/>
      <c r="L53" s="450"/>
      <c r="M53" s="450"/>
      <c r="N53" s="1370" t="str">
        <f t="shared" si="7"/>
        <v>U40</v>
      </c>
      <c r="O53" s="1371" t="s">
        <v>5136</v>
      </c>
      <c r="P53" s="450" t="s">
        <v>5061</v>
      </c>
    </row>
    <row r="54" spans="1:16" ht="18.75" x14ac:dyDescent="0.3">
      <c r="A54" s="450" t="str">
        <f t="shared" si="6"/>
        <v>U50 UNC at Charlotte</v>
      </c>
      <c r="B54" s="1184" t="s">
        <v>5063</v>
      </c>
      <c r="C54" s="1184" t="str">
        <f t="shared" si="8"/>
        <v>U50</v>
      </c>
      <c r="D54" s="450" t="s">
        <v>5064</v>
      </c>
      <c r="E54" s="450" t="s">
        <v>5024</v>
      </c>
      <c r="F54" s="450" t="s">
        <v>5633</v>
      </c>
      <c r="G54" s="665" t="s">
        <v>5644</v>
      </c>
      <c r="H54" s="450" t="s">
        <v>5645</v>
      </c>
      <c r="I54" s="665" t="s">
        <v>5646</v>
      </c>
      <c r="J54" s="450" t="s">
        <v>1951</v>
      </c>
      <c r="K54" s="450"/>
      <c r="L54" s="450"/>
      <c r="M54" s="450"/>
      <c r="N54" s="1370" t="str">
        <f t="shared" si="7"/>
        <v>U50</v>
      </c>
      <c r="O54" s="1371" t="s">
        <v>5137</v>
      </c>
      <c r="P54" s="450" t="s">
        <v>5063</v>
      </c>
    </row>
    <row r="55" spans="1:16" ht="18.75" x14ac:dyDescent="0.3">
      <c r="A55" s="450" t="str">
        <f t="shared" si="6"/>
        <v>U55 UNC at Asheville</v>
      </c>
      <c r="B55" s="1184" t="s">
        <v>5065</v>
      </c>
      <c r="C55" s="1184" t="str">
        <f t="shared" si="8"/>
        <v>U55</v>
      </c>
      <c r="D55" s="450" t="s">
        <v>5066</v>
      </c>
      <c r="E55" s="450" t="s">
        <v>5024</v>
      </c>
      <c r="F55" s="450" t="s">
        <v>5633</v>
      </c>
      <c r="G55" s="665" t="s">
        <v>5647</v>
      </c>
      <c r="H55" s="450" t="s">
        <v>5648</v>
      </c>
      <c r="I55" s="450" t="s">
        <v>5649</v>
      </c>
      <c r="J55" s="450" t="s">
        <v>1951</v>
      </c>
      <c r="K55" s="450"/>
      <c r="L55" s="450"/>
      <c r="M55" s="450"/>
      <c r="N55" s="1370" t="str">
        <f t="shared" si="7"/>
        <v>U55</v>
      </c>
      <c r="O55" s="1371" t="s">
        <v>5138</v>
      </c>
      <c r="P55" s="450" t="s">
        <v>5065</v>
      </c>
    </row>
    <row r="56" spans="1:16" ht="18.75" x14ac:dyDescent="0.3">
      <c r="A56" s="450" t="str">
        <f t="shared" si="6"/>
        <v>U60 UNC at Wilmington</v>
      </c>
      <c r="B56" s="1184" t="s">
        <v>5067</v>
      </c>
      <c r="C56" s="1184" t="str">
        <f t="shared" si="8"/>
        <v>U60</v>
      </c>
      <c r="D56" s="450" t="s">
        <v>5068</v>
      </c>
      <c r="E56" s="450" t="s">
        <v>5024</v>
      </c>
      <c r="F56" s="450" t="s">
        <v>5633</v>
      </c>
      <c r="G56" s="665" t="s">
        <v>5650</v>
      </c>
      <c r="H56" s="450" t="s">
        <v>5651</v>
      </c>
      <c r="I56" s="1487" t="s">
        <v>5652</v>
      </c>
      <c r="J56" s="450" t="s">
        <v>1951</v>
      </c>
      <c r="K56" s="529"/>
      <c r="L56" s="450"/>
      <c r="M56" s="450"/>
      <c r="N56" s="1370" t="str">
        <f t="shared" si="7"/>
        <v>U60</v>
      </c>
      <c r="O56" s="1371" t="s">
        <v>5139</v>
      </c>
      <c r="P56" s="450" t="s">
        <v>5067</v>
      </c>
    </row>
    <row r="57" spans="1:16" ht="18.75" x14ac:dyDescent="0.3">
      <c r="A57" s="450" t="str">
        <f t="shared" si="6"/>
        <v>U65 East Carolina University</v>
      </c>
      <c r="B57" s="1184" t="s">
        <v>5069</v>
      </c>
      <c r="C57" s="1184" t="str">
        <f t="shared" si="8"/>
        <v>U65</v>
      </c>
      <c r="D57" s="450" t="s">
        <v>5070</v>
      </c>
      <c r="E57" s="450" t="s">
        <v>5024</v>
      </c>
      <c r="F57" s="450" t="s">
        <v>5633</v>
      </c>
      <c r="G57" s="665" t="s">
        <v>5653</v>
      </c>
      <c r="H57" s="450" t="s">
        <v>5654</v>
      </c>
      <c r="I57" s="1487" t="s">
        <v>5655</v>
      </c>
      <c r="J57" s="450" t="s">
        <v>1951</v>
      </c>
      <c r="K57" s="529"/>
      <c r="L57" s="450"/>
      <c r="M57" s="450"/>
      <c r="N57" s="1370" t="str">
        <f t="shared" si="7"/>
        <v>U65</v>
      </c>
      <c r="O57" s="1371" t="s">
        <v>5140</v>
      </c>
      <c r="P57" s="450" t="s">
        <v>5069</v>
      </c>
    </row>
    <row r="58" spans="1:16" ht="18.75" x14ac:dyDescent="0.3">
      <c r="A58" s="450" t="str">
        <f t="shared" si="6"/>
        <v>U70 North Carolina A&amp;T University</v>
      </c>
      <c r="B58" s="1184" t="s">
        <v>5071</v>
      </c>
      <c r="C58" s="1184" t="str">
        <f t="shared" si="8"/>
        <v>U70</v>
      </c>
      <c r="D58" s="450" t="s">
        <v>5072</v>
      </c>
      <c r="E58" s="450" t="s">
        <v>5024</v>
      </c>
      <c r="F58" s="450" t="s">
        <v>5633</v>
      </c>
      <c r="G58" s="665" t="s">
        <v>5656</v>
      </c>
      <c r="H58" s="450" t="s">
        <v>5657</v>
      </c>
      <c r="I58" s="1487" t="s">
        <v>5658</v>
      </c>
      <c r="J58" s="450" t="s">
        <v>1951</v>
      </c>
      <c r="K58" s="529"/>
      <c r="L58" s="450"/>
      <c r="M58" s="450"/>
      <c r="N58" s="1370" t="str">
        <f t="shared" si="7"/>
        <v>U70</v>
      </c>
      <c r="O58" s="1371" t="s">
        <v>5141</v>
      </c>
      <c r="P58" s="450" t="s">
        <v>5071</v>
      </c>
    </row>
    <row r="59" spans="1:16" ht="18.75" x14ac:dyDescent="0.3">
      <c r="A59" s="450" t="str">
        <f t="shared" si="6"/>
        <v>U75 Western Carolina University</v>
      </c>
      <c r="B59" s="1184" t="s">
        <v>5073</v>
      </c>
      <c r="C59" s="1184" t="str">
        <f t="shared" si="8"/>
        <v>U75</v>
      </c>
      <c r="D59" s="450" t="s">
        <v>5074</v>
      </c>
      <c r="E59" s="450" t="s">
        <v>5024</v>
      </c>
      <c r="F59" s="450" t="s">
        <v>5633</v>
      </c>
      <c r="G59" s="665" t="s">
        <v>5659</v>
      </c>
      <c r="H59" s="450" t="s">
        <v>5660</v>
      </c>
      <c r="I59" s="1487" t="s">
        <v>5661</v>
      </c>
      <c r="J59" s="450" t="s">
        <v>1951</v>
      </c>
      <c r="K59" s="450"/>
      <c r="L59" s="450"/>
      <c r="M59" s="450"/>
      <c r="N59" s="1370" t="str">
        <f t="shared" si="7"/>
        <v>U75</v>
      </c>
      <c r="O59" s="1371" t="s">
        <v>5142</v>
      </c>
      <c r="P59" s="450" t="s">
        <v>5073</v>
      </c>
    </row>
    <row r="60" spans="1:16" ht="18.75" x14ac:dyDescent="0.3">
      <c r="A60" s="450" t="str">
        <f t="shared" si="6"/>
        <v>U80 Appalachian State University</v>
      </c>
      <c r="B60" s="1184" t="s">
        <v>5075</v>
      </c>
      <c r="C60" s="1184" t="str">
        <f t="shared" si="8"/>
        <v>U80</v>
      </c>
      <c r="D60" s="450" t="s">
        <v>5076</v>
      </c>
      <c r="E60" s="450" t="s">
        <v>5024</v>
      </c>
      <c r="F60" s="450" t="s">
        <v>5633</v>
      </c>
      <c r="G60" s="665" t="s">
        <v>5662</v>
      </c>
      <c r="H60" s="450" t="s">
        <v>5663</v>
      </c>
      <c r="I60" s="1487" t="s">
        <v>5664</v>
      </c>
      <c r="J60" s="450" t="s">
        <v>1951</v>
      </c>
      <c r="K60" s="450"/>
      <c r="L60" s="450"/>
      <c r="M60" s="450"/>
      <c r="N60" s="1370" t="str">
        <f t="shared" si="7"/>
        <v>U80</v>
      </c>
      <c r="O60" s="1371" t="s">
        <v>5143</v>
      </c>
      <c r="P60" s="450" t="s">
        <v>5075</v>
      </c>
    </row>
    <row r="61" spans="1:16" ht="18.75" x14ac:dyDescent="0.3">
      <c r="A61" s="450" t="str">
        <f t="shared" si="6"/>
        <v>U82 UNC at Pembroke</v>
      </c>
      <c r="B61" s="1184" t="s">
        <v>5077</v>
      </c>
      <c r="C61" s="1184" t="str">
        <f t="shared" si="8"/>
        <v>U82</v>
      </c>
      <c r="D61" s="450" t="s">
        <v>5078</v>
      </c>
      <c r="E61" s="450" t="s">
        <v>5024</v>
      </c>
      <c r="F61" s="450" t="s">
        <v>5633</v>
      </c>
      <c r="G61" s="665" t="s">
        <v>5665</v>
      </c>
      <c r="H61" s="450" t="s">
        <v>5666</v>
      </c>
      <c r="I61" s="1949" t="s">
        <v>5667</v>
      </c>
      <c r="J61" s="450" t="s">
        <v>1951</v>
      </c>
      <c r="K61" s="450"/>
      <c r="L61" s="450"/>
      <c r="M61" s="450"/>
      <c r="N61" s="1370" t="str">
        <f t="shared" si="7"/>
        <v>U82</v>
      </c>
      <c r="O61" s="1371" t="s">
        <v>5144</v>
      </c>
      <c r="P61" s="450" t="s">
        <v>5077</v>
      </c>
    </row>
    <row r="62" spans="1:16" ht="18.75" x14ac:dyDescent="0.3">
      <c r="A62" s="450" t="str">
        <f t="shared" si="6"/>
        <v>U84 Winston-Salem State University</v>
      </c>
      <c r="B62" s="1184" t="s">
        <v>5079</v>
      </c>
      <c r="C62" s="1184" t="str">
        <f t="shared" si="8"/>
        <v>U84</v>
      </c>
      <c r="D62" s="450" t="s">
        <v>5080</v>
      </c>
      <c r="E62" s="450" t="s">
        <v>5024</v>
      </c>
      <c r="F62" s="450" t="s">
        <v>5633</v>
      </c>
      <c r="G62" s="665" t="s">
        <v>5668</v>
      </c>
      <c r="H62" s="450" t="s">
        <v>5669</v>
      </c>
      <c r="I62" s="1488" t="s">
        <v>5670</v>
      </c>
      <c r="J62" s="450" t="s">
        <v>1951</v>
      </c>
      <c r="K62" s="450"/>
      <c r="L62" s="450"/>
      <c r="M62" s="450"/>
      <c r="N62" s="1370" t="str">
        <f t="shared" si="7"/>
        <v>U84</v>
      </c>
      <c r="O62" s="1371" t="s">
        <v>5145</v>
      </c>
      <c r="P62" s="450" t="s">
        <v>5079</v>
      </c>
    </row>
    <row r="63" spans="1:16" ht="18.75" x14ac:dyDescent="0.3">
      <c r="A63" s="450" t="str">
        <f t="shared" si="6"/>
        <v>U86 Elizabeth City State University</v>
      </c>
      <c r="B63" s="1184" t="s">
        <v>5081</v>
      </c>
      <c r="C63" s="1184" t="str">
        <f t="shared" si="8"/>
        <v>U86</v>
      </c>
      <c r="D63" s="450" t="s">
        <v>5082</v>
      </c>
      <c r="E63" s="450" t="s">
        <v>5024</v>
      </c>
      <c r="F63" s="450" t="s">
        <v>5633</v>
      </c>
      <c r="G63" s="665" t="s">
        <v>5671</v>
      </c>
      <c r="H63" s="450" t="s">
        <v>5672</v>
      </c>
      <c r="I63" s="1487" t="s">
        <v>5673</v>
      </c>
      <c r="J63" s="450" t="s">
        <v>1951</v>
      </c>
      <c r="K63" s="450"/>
      <c r="L63" s="450"/>
      <c r="M63" s="450"/>
      <c r="N63" s="1370" t="str">
        <f t="shared" si="7"/>
        <v>U86</v>
      </c>
      <c r="O63" s="1371" t="s">
        <v>5146</v>
      </c>
      <c r="P63" s="450" t="s">
        <v>5081</v>
      </c>
    </row>
    <row r="64" spans="1:16" ht="18.75" x14ac:dyDescent="0.3">
      <c r="A64" s="450" t="str">
        <f t="shared" si="6"/>
        <v>U88 Fayetteville State University</v>
      </c>
      <c r="B64" s="1184" t="s">
        <v>5083</v>
      </c>
      <c r="C64" s="1184" t="str">
        <f t="shared" si="8"/>
        <v>U88</v>
      </c>
      <c r="D64" s="450" t="s">
        <v>5084</v>
      </c>
      <c r="E64" s="450" t="s">
        <v>5024</v>
      </c>
      <c r="F64" s="450" t="s">
        <v>5633</v>
      </c>
      <c r="G64" s="665" t="s">
        <v>5674</v>
      </c>
      <c r="H64" s="450" t="s">
        <v>5675</v>
      </c>
      <c r="I64" s="1487" t="s">
        <v>5676</v>
      </c>
      <c r="J64" s="450" t="s">
        <v>1951</v>
      </c>
      <c r="K64" s="450"/>
      <c r="L64" s="450"/>
      <c r="M64" s="450"/>
      <c r="N64" s="1370" t="str">
        <f t="shared" si="7"/>
        <v>U88</v>
      </c>
      <c r="O64" s="1371" t="s">
        <v>5147</v>
      </c>
      <c r="P64" s="450" t="s">
        <v>5083</v>
      </c>
    </row>
    <row r="65" spans="1:16" ht="18.75" x14ac:dyDescent="0.3">
      <c r="A65" s="450" t="str">
        <f t="shared" si="6"/>
        <v>U90 North Carolina Central University</v>
      </c>
      <c r="B65" s="1184" t="s">
        <v>5085</v>
      </c>
      <c r="C65" s="1184" t="str">
        <f t="shared" si="8"/>
        <v>U90</v>
      </c>
      <c r="D65" s="450" t="s">
        <v>5086</v>
      </c>
      <c r="E65" s="450" t="s">
        <v>5024</v>
      </c>
      <c r="F65" s="450" t="s">
        <v>5633</v>
      </c>
      <c r="G65" s="665" t="s">
        <v>5677</v>
      </c>
      <c r="H65" s="450" t="s">
        <v>5678</v>
      </c>
      <c r="I65" s="1487" t="s">
        <v>5679</v>
      </c>
      <c r="J65" s="450" t="s">
        <v>1951</v>
      </c>
      <c r="K65" s="450"/>
      <c r="L65" s="450"/>
      <c r="M65" s="450"/>
      <c r="N65" s="1370" t="str">
        <f t="shared" si="7"/>
        <v>U90</v>
      </c>
      <c r="O65" s="1371" t="s">
        <v>5148</v>
      </c>
      <c r="P65" s="450" t="s">
        <v>5085</v>
      </c>
    </row>
    <row r="66" spans="1:16" ht="18.75" x14ac:dyDescent="0.3">
      <c r="A66" s="450" t="str">
        <f t="shared" si="6"/>
        <v>U92 UNC School of the Arts</v>
      </c>
      <c r="B66" s="1184" t="s">
        <v>5087</v>
      </c>
      <c r="C66" s="1184" t="str">
        <f t="shared" si="8"/>
        <v>U92</v>
      </c>
      <c r="D66" s="450" t="s">
        <v>5088</v>
      </c>
      <c r="E66" s="450" t="s">
        <v>5024</v>
      </c>
      <c r="F66" s="450" t="s">
        <v>5633</v>
      </c>
      <c r="G66" s="665" t="s">
        <v>5680</v>
      </c>
      <c r="H66" s="450" t="s">
        <v>5681</v>
      </c>
      <c r="I66" s="1487" t="s">
        <v>5682</v>
      </c>
      <c r="J66" s="450" t="s">
        <v>1951</v>
      </c>
      <c r="K66" s="450"/>
      <c r="L66" s="450"/>
      <c r="M66" s="450"/>
      <c r="N66" s="1370" t="str">
        <f t="shared" si="7"/>
        <v>U92</v>
      </c>
      <c r="O66" s="1371" t="s">
        <v>5149</v>
      </c>
      <c r="P66" s="450" t="s">
        <v>5087</v>
      </c>
    </row>
    <row r="67" spans="1:16" x14ac:dyDescent="0.25">
      <c r="A67" s="450" t="str">
        <f t="shared" si="6"/>
        <v>0A North Carolina Housing Finance Ag.</v>
      </c>
      <c r="B67" s="1184" t="s">
        <v>5683</v>
      </c>
      <c r="C67" s="1184" t="str">
        <f>TEXT(B67,"00")</f>
        <v>0A</v>
      </c>
      <c r="D67" s="450" t="s">
        <v>5151</v>
      </c>
      <c r="E67" s="450" t="s">
        <v>5152</v>
      </c>
      <c r="F67" s="450" t="s">
        <v>5574</v>
      </c>
      <c r="G67" s="665" t="s">
        <v>5684</v>
      </c>
      <c r="H67" s="450" t="s">
        <v>5685</v>
      </c>
      <c r="J67" s="665">
        <v>2611</v>
      </c>
      <c r="K67" s="529" t="s">
        <v>5686</v>
      </c>
      <c r="L67" s="450"/>
      <c r="M67" s="450"/>
      <c r="N67" s="1370" t="str">
        <f t="shared" si="7"/>
        <v>0A</v>
      </c>
      <c r="O67" s="1371" t="s">
        <v>5150</v>
      </c>
    </row>
    <row r="68" spans="1:16" x14ac:dyDescent="0.25">
      <c r="A68" s="450" t="str">
        <f t="shared" si="6"/>
        <v>Z2 NC Biotechnology Center</v>
      </c>
      <c r="B68" s="1184" t="s">
        <v>5687</v>
      </c>
      <c r="C68" s="1184" t="str">
        <f t="shared" ref="C68:C78" si="9">B68</f>
        <v>Z2</v>
      </c>
      <c r="D68" s="450" t="s">
        <v>5154</v>
      </c>
      <c r="E68" s="450" t="s">
        <v>5152</v>
      </c>
      <c r="F68" s="450" t="s">
        <v>5574</v>
      </c>
      <c r="G68" s="665" t="s">
        <v>5688</v>
      </c>
      <c r="H68" s="450" t="s">
        <v>5689</v>
      </c>
      <c r="I68" s="1487" t="s">
        <v>5690</v>
      </c>
      <c r="J68" s="665">
        <v>2618</v>
      </c>
      <c r="K68" s="450"/>
      <c r="L68" s="450"/>
      <c r="M68" s="450"/>
      <c r="N68" s="1370" t="str">
        <f t="shared" ref="N68:N79" si="10">C68</f>
        <v>Z2</v>
      </c>
      <c r="O68" s="1371" t="s">
        <v>5153</v>
      </c>
    </row>
    <row r="69" spans="1:16" x14ac:dyDescent="0.25">
      <c r="A69" s="450" t="str">
        <f t="shared" ref="A69:A78" si="11">C69&amp;" "&amp;D69</f>
        <v>Z3 NC Global TransPark Authority</v>
      </c>
      <c r="B69" s="1184" t="s">
        <v>5691</v>
      </c>
      <c r="C69" s="1184" t="str">
        <f t="shared" si="9"/>
        <v>Z3</v>
      </c>
      <c r="D69" s="450" t="s">
        <v>5156</v>
      </c>
      <c r="E69" s="450" t="s">
        <v>5152</v>
      </c>
      <c r="F69" s="450" t="s">
        <v>1865</v>
      </c>
      <c r="G69" s="665" t="s">
        <v>5692</v>
      </c>
      <c r="H69" s="450" t="s">
        <v>5693</v>
      </c>
      <c r="I69" s="1487" t="s">
        <v>5694</v>
      </c>
      <c r="J69" s="665">
        <v>2615</v>
      </c>
      <c r="K69" s="666"/>
      <c r="L69" s="450"/>
      <c r="M69" s="450"/>
      <c r="N69" s="1370" t="str">
        <f t="shared" si="10"/>
        <v>Z3</v>
      </c>
      <c r="O69" s="1371" t="s">
        <v>5155</v>
      </c>
    </row>
    <row r="70" spans="1:16" x14ac:dyDescent="0.25">
      <c r="A70" s="450" t="str">
        <f t="shared" si="11"/>
        <v>Z3F NC Global TransPark Authority Foundation</v>
      </c>
      <c r="B70" s="1184" t="s">
        <v>5695</v>
      </c>
      <c r="C70" s="1184" t="str">
        <f t="shared" si="9"/>
        <v>Z3F</v>
      </c>
      <c r="D70" s="450" t="s">
        <v>5158</v>
      </c>
      <c r="E70" s="450" t="s">
        <v>5152</v>
      </c>
      <c r="F70" s="450" t="s">
        <v>5574</v>
      </c>
      <c r="G70" s="665" t="s">
        <v>5692</v>
      </c>
      <c r="H70" s="450" t="s">
        <v>5693</v>
      </c>
      <c r="I70" s="1487" t="s">
        <v>5694</v>
      </c>
      <c r="J70" s="665">
        <v>2615</v>
      </c>
      <c r="K70" s="666" t="s">
        <v>5696</v>
      </c>
      <c r="L70" s="450"/>
      <c r="M70" s="450"/>
      <c r="N70" s="1370" t="str">
        <f t="shared" si="10"/>
        <v>Z3F</v>
      </c>
      <c r="O70" s="1371" t="s">
        <v>5155</v>
      </c>
    </row>
    <row r="71" spans="1:16" x14ac:dyDescent="0.25">
      <c r="A71" s="450" t="str">
        <f t="shared" si="11"/>
        <v>Z7 NC Partnership for Children</v>
      </c>
      <c r="B71" s="1184" t="s">
        <v>5697</v>
      </c>
      <c r="C71" s="1184" t="str">
        <f t="shared" si="9"/>
        <v>Z7</v>
      </c>
      <c r="D71" s="450" t="s">
        <v>5160</v>
      </c>
      <c r="E71" s="450" t="s">
        <v>5152</v>
      </c>
      <c r="F71" s="450" t="s">
        <v>5574</v>
      </c>
      <c r="G71" s="665" t="s">
        <v>5698</v>
      </c>
      <c r="H71" s="450" t="s">
        <v>5699</v>
      </c>
      <c r="J71" s="665">
        <v>2621</v>
      </c>
      <c r="K71" s="450"/>
      <c r="L71" s="450"/>
      <c r="M71" s="450"/>
      <c r="N71" s="1370" t="str">
        <f t="shared" si="10"/>
        <v>Z7</v>
      </c>
      <c r="O71" s="1371" t="s">
        <v>5159</v>
      </c>
    </row>
    <row r="72" spans="1:16" x14ac:dyDescent="0.25">
      <c r="A72" s="450" t="str">
        <f t="shared" si="11"/>
        <v>ZA NC State Ports Authority</v>
      </c>
      <c r="B72" s="1184" t="s">
        <v>5700</v>
      </c>
      <c r="C72" s="1184" t="str">
        <f t="shared" si="9"/>
        <v>ZA</v>
      </c>
      <c r="D72" s="450" t="s">
        <v>5162</v>
      </c>
      <c r="E72" s="450" t="s">
        <v>5152</v>
      </c>
      <c r="F72" s="450" t="s">
        <v>1865</v>
      </c>
      <c r="G72" s="665" t="s">
        <v>5701</v>
      </c>
      <c r="H72" s="450" t="s">
        <v>5702</v>
      </c>
      <c r="I72" s="1487" t="s">
        <v>5703</v>
      </c>
      <c r="J72" s="665">
        <v>2612</v>
      </c>
      <c r="K72" s="450"/>
      <c r="L72" s="450"/>
      <c r="M72" s="450"/>
      <c r="N72" s="1370" t="str">
        <f t="shared" si="10"/>
        <v>ZA</v>
      </c>
      <c r="O72" s="1371" t="s">
        <v>5161</v>
      </c>
    </row>
    <row r="73" spans="1:16" x14ac:dyDescent="0.25">
      <c r="A73" s="450" t="str">
        <f t="shared" si="11"/>
        <v>ZB State Education Assistance Authority</v>
      </c>
      <c r="B73" s="1184" t="s">
        <v>5704</v>
      </c>
      <c r="C73" s="1184" t="str">
        <f t="shared" si="9"/>
        <v>ZB</v>
      </c>
      <c r="D73" s="450" t="s">
        <v>5164</v>
      </c>
      <c r="E73" s="450" t="s">
        <v>5152</v>
      </c>
      <c r="F73" s="450" t="s">
        <v>5574</v>
      </c>
      <c r="G73" s="665" t="s">
        <v>5705</v>
      </c>
      <c r="H73" s="450" t="s">
        <v>5706</v>
      </c>
      <c r="I73" s="1487" t="s">
        <v>5707</v>
      </c>
      <c r="J73" s="665">
        <v>2620</v>
      </c>
      <c r="K73" s="666" t="s">
        <v>5708</v>
      </c>
      <c r="L73" s="450"/>
      <c r="M73" s="450"/>
      <c r="N73" s="1370" t="str">
        <f t="shared" si="10"/>
        <v>ZB</v>
      </c>
      <c r="O73" s="1371" t="s">
        <v>5163</v>
      </c>
    </row>
    <row r="74" spans="1:16" x14ac:dyDescent="0.25">
      <c r="A74" s="450" t="str">
        <f t="shared" si="11"/>
        <v>ZG Centennial Authority</v>
      </c>
      <c r="B74" s="1184" t="s">
        <v>5709</v>
      </c>
      <c r="C74" s="1184" t="str">
        <f t="shared" si="9"/>
        <v>ZG</v>
      </c>
      <c r="D74" s="450" t="s">
        <v>5166</v>
      </c>
      <c r="E74" s="450" t="s">
        <v>5152</v>
      </c>
      <c r="F74" s="450" t="s">
        <v>5574</v>
      </c>
      <c r="G74" s="665" t="s">
        <v>6665</v>
      </c>
      <c r="H74" s="450" t="s">
        <v>6666</v>
      </c>
      <c r="I74" s="1487" t="s">
        <v>6667</v>
      </c>
      <c r="J74" s="665">
        <v>2626</v>
      </c>
      <c r="K74" s="666" t="s">
        <v>5710</v>
      </c>
      <c r="L74" s="450"/>
      <c r="M74" s="450"/>
      <c r="N74" s="1370" t="str">
        <f t="shared" si="10"/>
        <v>ZG</v>
      </c>
      <c r="O74" s="1371" t="s">
        <v>5165</v>
      </c>
    </row>
    <row r="75" spans="1:16" x14ac:dyDescent="0.25">
      <c r="A75" s="450" t="str">
        <f t="shared" si="11"/>
        <v>ZH NC Railroad Company</v>
      </c>
      <c r="B75" s="1184" t="s">
        <v>5711</v>
      </c>
      <c r="C75" s="1184" t="str">
        <f t="shared" si="9"/>
        <v>ZH</v>
      </c>
      <c r="D75" s="450" t="s">
        <v>5168</v>
      </c>
      <c r="E75" s="450" t="s">
        <v>5152</v>
      </c>
      <c r="F75" s="450" t="s">
        <v>5574</v>
      </c>
      <c r="G75" s="665" t="s">
        <v>5712</v>
      </c>
      <c r="H75" s="450" t="s">
        <v>5713</v>
      </c>
      <c r="I75" s="1490" t="s">
        <v>5714</v>
      </c>
      <c r="J75" s="665">
        <v>2627</v>
      </c>
      <c r="K75" s="450"/>
      <c r="L75" s="450"/>
      <c r="M75" s="450"/>
      <c r="N75" s="1370" t="str">
        <f t="shared" si="10"/>
        <v>ZH</v>
      </c>
      <c r="O75" s="1371" t="s">
        <v>5167</v>
      </c>
    </row>
    <row r="76" spans="1:16" x14ac:dyDescent="0.25">
      <c r="A76" s="450" t="str">
        <f t="shared" si="11"/>
        <v>ZI The Golden LEAF, Inc.</v>
      </c>
      <c r="B76" s="1184" t="s">
        <v>5715</v>
      </c>
      <c r="C76" s="1184" t="str">
        <f t="shared" si="9"/>
        <v>ZI</v>
      </c>
      <c r="D76" s="450" t="s">
        <v>5170</v>
      </c>
      <c r="E76" s="450" t="s">
        <v>5152</v>
      </c>
      <c r="F76" s="450" t="s">
        <v>5574</v>
      </c>
      <c r="G76" s="665" t="s">
        <v>5716</v>
      </c>
      <c r="H76" s="450" t="s">
        <v>5717</v>
      </c>
      <c r="I76" s="1487" t="s">
        <v>5718</v>
      </c>
      <c r="J76" s="665">
        <v>2640</v>
      </c>
      <c r="K76" s="666" t="s">
        <v>5708</v>
      </c>
      <c r="L76" s="450"/>
      <c r="M76" s="450"/>
      <c r="N76" s="1370" t="str">
        <f t="shared" si="10"/>
        <v>ZI</v>
      </c>
      <c r="O76" s="1371" t="s">
        <v>5169</v>
      </c>
    </row>
    <row r="77" spans="1:16" x14ac:dyDescent="0.25">
      <c r="A77" s="450" t="str">
        <f t="shared" si="11"/>
        <v>ZL Gateway Research Park, Inc.</v>
      </c>
      <c r="B77" s="1184" t="s">
        <v>5089</v>
      </c>
      <c r="C77" s="1184" t="str">
        <f t="shared" si="9"/>
        <v>ZL</v>
      </c>
      <c r="D77" s="450" t="s">
        <v>5090</v>
      </c>
      <c r="E77" s="450" t="s">
        <v>5024</v>
      </c>
      <c r="F77" s="450" t="s">
        <v>5574</v>
      </c>
      <c r="G77" s="665" t="s">
        <v>5719</v>
      </c>
      <c r="H77" s="450" t="s">
        <v>5720</v>
      </c>
      <c r="I77" s="1487" t="s">
        <v>5721</v>
      </c>
      <c r="J77" s="665" t="s">
        <v>1951</v>
      </c>
      <c r="K77" s="666" t="s">
        <v>5722</v>
      </c>
      <c r="L77" s="450"/>
      <c r="M77" s="450"/>
      <c r="N77" s="1370" t="str">
        <f t="shared" si="10"/>
        <v>ZL</v>
      </c>
      <c r="O77" s="1371" t="s">
        <v>5171</v>
      </c>
    </row>
    <row r="78" spans="1:16" x14ac:dyDescent="0.25">
      <c r="A78" s="450" t="str">
        <f t="shared" si="11"/>
        <v>ZM Economic Development Partnership of NC</v>
      </c>
      <c r="B78" s="1184" t="s">
        <v>5723</v>
      </c>
      <c r="C78" s="1184" t="str">
        <f t="shared" si="9"/>
        <v>ZM</v>
      </c>
      <c r="D78" s="450" t="s">
        <v>5174</v>
      </c>
      <c r="E78" s="450" t="s">
        <v>5152</v>
      </c>
      <c r="F78" s="450" t="s">
        <v>5574</v>
      </c>
      <c r="G78" s="665" t="s">
        <v>5724</v>
      </c>
      <c r="H78" s="450" t="s">
        <v>5725</v>
      </c>
      <c r="I78" s="1487" t="s">
        <v>5726</v>
      </c>
      <c r="J78" s="665">
        <v>2644</v>
      </c>
      <c r="K78" s="666" t="s">
        <v>5727</v>
      </c>
      <c r="L78" s="450"/>
      <c r="M78" s="450"/>
      <c r="N78" s="1370" t="str">
        <f t="shared" si="10"/>
        <v>ZM</v>
      </c>
      <c r="O78" s="1371" t="s">
        <v>5173</v>
      </c>
    </row>
    <row r="79" spans="1:16" x14ac:dyDescent="0.25">
      <c r="A79" s="450"/>
      <c r="B79" s="1184" t="s">
        <v>5091</v>
      </c>
      <c r="C79" s="1184" t="s">
        <v>5091</v>
      </c>
      <c r="D79" s="450" t="s">
        <v>5092</v>
      </c>
      <c r="E79" s="450" t="s">
        <v>5152</v>
      </c>
      <c r="F79" s="450" t="s">
        <v>5574</v>
      </c>
      <c r="G79" s="665" t="s">
        <v>5728</v>
      </c>
      <c r="H79" s="450" t="s">
        <v>5729</v>
      </c>
      <c r="I79" s="1487" t="s">
        <v>5730</v>
      </c>
      <c r="J79" s="665" t="s">
        <v>1951</v>
      </c>
      <c r="K79" s="666" t="s">
        <v>5731</v>
      </c>
      <c r="L79" s="450"/>
      <c r="M79" s="450"/>
      <c r="N79" s="1370" t="str">
        <f t="shared" si="10"/>
        <v>ZN</v>
      </c>
      <c r="O79" s="1371" t="s">
        <v>5175</v>
      </c>
    </row>
    <row r="80" spans="1:16" x14ac:dyDescent="0.25">
      <c r="A80" s="450" t="str">
        <f t="shared" ref="A80:A137" si="12">C80&amp;" "&amp;D80</f>
        <v>C0 Alamance Community College</v>
      </c>
      <c r="B80" s="1184" t="s">
        <v>5176</v>
      </c>
      <c r="C80" s="1184" t="s">
        <v>5176</v>
      </c>
      <c r="D80" s="450" t="s">
        <v>5177</v>
      </c>
      <c r="E80" s="450" t="s">
        <v>5178</v>
      </c>
      <c r="F80" s="450" t="s">
        <v>5574</v>
      </c>
      <c r="G80" s="665" t="s">
        <v>5732</v>
      </c>
      <c r="H80" s="450" t="s">
        <v>5733</v>
      </c>
      <c r="I80" s="2180" t="s">
        <v>5734</v>
      </c>
      <c r="J80" s="450" t="s">
        <v>1951</v>
      </c>
      <c r="K80" s="450"/>
      <c r="L80" s="450"/>
      <c r="M80" s="450"/>
      <c r="N80" s="1370"/>
      <c r="O80" s="1371"/>
    </row>
    <row r="81" spans="1:15" x14ac:dyDescent="0.25">
      <c r="A81" s="450" t="str">
        <f t="shared" si="12"/>
        <v>C2 Asheville-Buncombe Technical Community College</v>
      </c>
      <c r="B81" s="1184" t="s">
        <v>5179</v>
      </c>
      <c r="C81" s="1184" t="s">
        <v>5179</v>
      </c>
      <c r="D81" s="450" t="s">
        <v>5180</v>
      </c>
      <c r="E81" s="450" t="s">
        <v>5178</v>
      </c>
      <c r="F81" s="450" t="s">
        <v>5574</v>
      </c>
      <c r="G81" s="665" t="s">
        <v>5735</v>
      </c>
      <c r="H81" s="450" t="s">
        <v>5736</v>
      </c>
      <c r="I81" s="2181" t="s">
        <v>5737</v>
      </c>
      <c r="J81" s="450" t="s">
        <v>1951</v>
      </c>
      <c r="K81" s="450"/>
      <c r="L81" s="450"/>
      <c r="M81" s="450"/>
      <c r="N81" s="1370"/>
      <c r="O81" s="1371"/>
    </row>
    <row r="82" spans="1:15" x14ac:dyDescent="0.25">
      <c r="A82" s="450" t="str">
        <f t="shared" si="12"/>
        <v>C3 Beaufort County Community College</v>
      </c>
      <c r="B82" s="1184" t="s">
        <v>5181</v>
      </c>
      <c r="C82" s="1184" t="s">
        <v>5181</v>
      </c>
      <c r="D82" s="450" t="s">
        <v>5182</v>
      </c>
      <c r="E82" s="450" t="s">
        <v>5178</v>
      </c>
      <c r="F82" s="450" t="s">
        <v>5574</v>
      </c>
      <c r="G82" s="665" t="s">
        <v>5738</v>
      </c>
      <c r="H82" s="450" t="s">
        <v>5739</v>
      </c>
      <c r="I82" s="2182" t="s">
        <v>5740</v>
      </c>
      <c r="J82" s="450" t="s">
        <v>1951</v>
      </c>
      <c r="K82" s="450"/>
      <c r="L82" s="450"/>
      <c r="M82" s="450"/>
      <c r="N82" s="1370"/>
      <c r="O82" s="1371"/>
    </row>
    <row r="83" spans="1:15" x14ac:dyDescent="0.25">
      <c r="A83" s="450" t="str">
        <f t="shared" si="12"/>
        <v>C4 Bladen Community College</v>
      </c>
      <c r="B83" s="1184" t="s">
        <v>5183</v>
      </c>
      <c r="C83" s="1184" t="s">
        <v>5183</v>
      </c>
      <c r="D83" s="450" t="s">
        <v>5184</v>
      </c>
      <c r="E83" s="450" t="s">
        <v>5178</v>
      </c>
      <c r="F83" s="450" t="s">
        <v>5574</v>
      </c>
      <c r="G83" s="665" t="s">
        <v>5741</v>
      </c>
      <c r="H83" s="450" t="s">
        <v>5742</v>
      </c>
      <c r="I83" s="2182" t="s">
        <v>5743</v>
      </c>
      <c r="J83" s="450" t="s">
        <v>1951</v>
      </c>
      <c r="K83" s="450"/>
      <c r="L83" s="450"/>
      <c r="M83" s="450"/>
      <c r="N83" s="1370"/>
      <c r="O83" s="1371"/>
    </row>
    <row r="84" spans="1:15" x14ac:dyDescent="0.25">
      <c r="A84" s="450" t="str">
        <f t="shared" si="12"/>
        <v>C5 Blue Ridge Community College</v>
      </c>
      <c r="B84" s="1184" t="s">
        <v>5185</v>
      </c>
      <c r="C84" s="1184" t="s">
        <v>5185</v>
      </c>
      <c r="D84" s="450" t="s">
        <v>5186</v>
      </c>
      <c r="E84" s="450" t="s">
        <v>5178</v>
      </c>
      <c r="F84" s="450" t="s">
        <v>5574</v>
      </c>
      <c r="G84" s="665" t="s">
        <v>5744</v>
      </c>
      <c r="H84" s="450" t="s">
        <v>5745</v>
      </c>
      <c r="I84" s="2181" t="s">
        <v>5746</v>
      </c>
      <c r="J84" s="450" t="s">
        <v>1951</v>
      </c>
      <c r="K84" s="450"/>
      <c r="L84" s="450"/>
      <c r="M84" s="450"/>
      <c r="N84" s="1370"/>
      <c r="O84" s="1371"/>
    </row>
    <row r="85" spans="1:15" x14ac:dyDescent="0.25">
      <c r="A85" s="450" t="str">
        <f t="shared" si="12"/>
        <v>C6 Brunswick Community College</v>
      </c>
      <c r="B85" s="1184" t="s">
        <v>5187</v>
      </c>
      <c r="C85" s="1184" t="s">
        <v>5187</v>
      </c>
      <c r="D85" s="450" t="s">
        <v>5188</v>
      </c>
      <c r="E85" s="450" t="s">
        <v>5178</v>
      </c>
      <c r="F85" s="450" t="s">
        <v>5574</v>
      </c>
      <c r="G85" s="665" t="s">
        <v>5747</v>
      </c>
      <c r="H85" s="450" t="s">
        <v>5748</v>
      </c>
      <c r="I85" s="2181" t="s">
        <v>5749</v>
      </c>
      <c r="J85" s="450" t="s">
        <v>1951</v>
      </c>
      <c r="K85" s="450"/>
      <c r="L85" s="450"/>
      <c r="M85" s="450"/>
      <c r="N85" s="1370"/>
      <c r="O85" s="1371"/>
    </row>
    <row r="86" spans="1:15" x14ac:dyDescent="0.25">
      <c r="A86" s="450" t="str">
        <f t="shared" si="12"/>
        <v>C7 Caldwell Community College and Technical Institute</v>
      </c>
      <c r="B86" s="1184" t="s">
        <v>5189</v>
      </c>
      <c r="C86" s="1184" t="s">
        <v>5189</v>
      </c>
      <c r="D86" s="450" t="s">
        <v>5190</v>
      </c>
      <c r="E86" s="450" t="s">
        <v>5178</v>
      </c>
      <c r="F86" s="450" t="s">
        <v>5574</v>
      </c>
      <c r="G86" s="665" t="s">
        <v>5750</v>
      </c>
      <c r="H86" s="450" t="s">
        <v>5751</v>
      </c>
      <c r="I86" s="2182" t="s">
        <v>5752</v>
      </c>
      <c r="J86" s="450" t="s">
        <v>1951</v>
      </c>
      <c r="K86" s="450"/>
      <c r="L86" s="450"/>
      <c r="M86" s="450"/>
      <c r="N86" s="1370"/>
      <c r="O86" s="1371"/>
    </row>
    <row r="87" spans="1:15" x14ac:dyDescent="0.25">
      <c r="A87" s="450" t="str">
        <f t="shared" si="12"/>
        <v>C8 Cape Fear Community College</v>
      </c>
      <c r="B87" s="1184" t="s">
        <v>5191</v>
      </c>
      <c r="C87" s="1184" t="s">
        <v>5191</v>
      </c>
      <c r="D87" s="450" t="s">
        <v>5192</v>
      </c>
      <c r="E87" s="450" t="s">
        <v>5178</v>
      </c>
      <c r="F87" s="450" t="s">
        <v>5574</v>
      </c>
      <c r="G87" s="665" t="s">
        <v>5753</v>
      </c>
      <c r="H87" s="450" t="s">
        <v>5754</v>
      </c>
      <c r="I87" s="2182" t="s">
        <v>5755</v>
      </c>
      <c r="J87" s="450" t="s">
        <v>1951</v>
      </c>
      <c r="K87" s="450"/>
      <c r="L87" s="450"/>
      <c r="M87" s="450"/>
      <c r="N87" s="1370"/>
      <c r="O87" s="1371"/>
    </row>
    <row r="88" spans="1:15" x14ac:dyDescent="0.25">
      <c r="A88" s="450" t="str">
        <f t="shared" si="12"/>
        <v>C9 Carteret Community College</v>
      </c>
      <c r="B88" s="1184" t="s">
        <v>5193</v>
      </c>
      <c r="C88" s="1184" t="s">
        <v>5193</v>
      </c>
      <c r="D88" s="450" t="s">
        <v>5194</v>
      </c>
      <c r="E88" s="450" t="s">
        <v>5178</v>
      </c>
      <c r="F88" s="450" t="s">
        <v>5574</v>
      </c>
      <c r="G88" s="665" t="s">
        <v>5756</v>
      </c>
      <c r="H88" s="450" t="s">
        <v>5757</v>
      </c>
      <c r="I88" s="2181" t="s">
        <v>5758</v>
      </c>
      <c r="J88" s="450" t="s">
        <v>1951</v>
      </c>
      <c r="K88" s="450"/>
      <c r="L88" s="450"/>
      <c r="M88" s="450"/>
      <c r="N88" s="1370"/>
      <c r="O88" s="1371"/>
    </row>
    <row r="89" spans="1:15" x14ac:dyDescent="0.25">
      <c r="A89" s="450" t="str">
        <f t="shared" si="12"/>
        <v>CA Catawba Valley Community College</v>
      </c>
      <c r="B89" s="1184" t="s">
        <v>5195</v>
      </c>
      <c r="C89" s="1184" t="s">
        <v>5195</v>
      </c>
      <c r="D89" s="450" t="s">
        <v>5196</v>
      </c>
      <c r="E89" s="450" t="s">
        <v>5178</v>
      </c>
      <c r="F89" s="450" t="s">
        <v>5574</v>
      </c>
      <c r="G89" s="665" t="s">
        <v>5759</v>
      </c>
      <c r="H89" s="450" t="s">
        <v>5760</v>
      </c>
      <c r="I89" s="2181" t="s">
        <v>5761</v>
      </c>
      <c r="J89" s="450" t="s">
        <v>1951</v>
      </c>
      <c r="K89" s="450"/>
      <c r="L89" s="450"/>
      <c r="M89" s="450"/>
      <c r="N89" s="1370"/>
      <c r="O89" s="1371"/>
    </row>
    <row r="90" spans="1:15" x14ac:dyDescent="0.25">
      <c r="A90" s="450" t="str">
        <f t="shared" si="12"/>
        <v>CB Central Carolina Community College</v>
      </c>
      <c r="B90" s="1184" t="s">
        <v>5197</v>
      </c>
      <c r="C90" s="1184" t="s">
        <v>5197</v>
      </c>
      <c r="D90" s="450" t="s">
        <v>5198</v>
      </c>
      <c r="E90" s="450" t="s">
        <v>5178</v>
      </c>
      <c r="F90" s="450" t="s">
        <v>5574</v>
      </c>
      <c r="G90" s="665" t="s">
        <v>5762</v>
      </c>
      <c r="H90" s="450" t="s">
        <v>5763</v>
      </c>
      <c r="I90" s="2181" t="s">
        <v>5764</v>
      </c>
      <c r="J90" s="450" t="s">
        <v>1951</v>
      </c>
      <c r="K90" s="450"/>
      <c r="L90" s="450"/>
      <c r="M90" s="450"/>
      <c r="N90" s="1370"/>
      <c r="O90" s="1371"/>
    </row>
    <row r="91" spans="1:15" x14ac:dyDescent="0.25">
      <c r="A91" s="450" t="str">
        <f t="shared" si="12"/>
        <v>CC Central Piedmont Community College</v>
      </c>
      <c r="B91" s="1184" t="s">
        <v>5199</v>
      </c>
      <c r="C91" s="1184" t="s">
        <v>5199</v>
      </c>
      <c r="D91" s="450" t="s">
        <v>5200</v>
      </c>
      <c r="E91" s="450" t="s">
        <v>5178</v>
      </c>
      <c r="F91" s="450" t="s">
        <v>5574</v>
      </c>
      <c r="G91" s="665" t="s">
        <v>5765</v>
      </c>
      <c r="H91" s="450" t="s">
        <v>5766</v>
      </c>
      <c r="I91" s="2181" t="s">
        <v>5767</v>
      </c>
      <c r="J91" s="450" t="s">
        <v>1951</v>
      </c>
      <c r="K91" s="450"/>
      <c r="L91" s="450"/>
      <c r="M91" s="450"/>
      <c r="N91" s="1370"/>
      <c r="O91" s="1371"/>
    </row>
    <row r="92" spans="1:15" x14ac:dyDescent="0.25">
      <c r="A92" s="450" t="str">
        <f t="shared" si="12"/>
        <v>CD Cleveland Community College</v>
      </c>
      <c r="B92" s="1184" t="s">
        <v>5201</v>
      </c>
      <c r="C92" s="1184" t="s">
        <v>5201</v>
      </c>
      <c r="D92" s="450" t="s">
        <v>5202</v>
      </c>
      <c r="E92" s="450" t="s">
        <v>5178</v>
      </c>
      <c r="F92" s="450" t="s">
        <v>5574</v>
      </c>
      <c r="G92" s="665" t="s">
        <v>5768</v>
      </c>
      <c r="H92" s="450" t="s">
        <v>5769</v>
      </c>
      <c r="I92" s="1489" t="s">
        <v>5770</v>
      </c>
      <c r="J92" s="450" t="s">
        <v>1951</v>
      </c>
      <c r="K92" s="450"/>
      <c r="L92" s="450"/>
      <c r="M92" s="450"/>
      <c r="N92" s="1370"/>
      <c r="O92" s="1371"/>
    </row>
    <row r="93" spans="1:15" x14ac:dyDescent="0.25">
      <c r="A93" s="450" t="str">
        <f t="shared" si="12"/>
        <v>CE Coastal Carolina Community College</v>
      </c>
      <c r="B93" s="1184" t="s">
        <v>5203</v>
      </c>
      <c r="C93" s="1184" t="s">
        <v>5203</v>
      </c>
      <c r="D93" s="450" t="s">
        <v>5204</v>
      </c>
      <c r="E93" s="450" t="s">
        <v>5178</v>
      </c>
      <c r="F93" s="450" t="s">
        <v>5574</v>
      </c>
      <c r="G93" s="665" t="s">
        <v>5771</v>
      </c>
      <c r="H93" s="450" t="s">
        <v>5772</v>
      </c>
      <c r="I93" s="1489" t="s">
        <v>5773</v>
      </c>
      <c r="J93" s="450" t="s">
        <v>1951</v>
      </c>
      <c r="K93" s="450"/>
      <c r="L93" s="450"/>
      <c r="M93" s="450"/>
      <c r="N93" s="1370"/>
      <c r="O93" s="1371"/>
    </row>
    <row r="94" spans="1:15" x14ac:dyDescent="0.25">
      <c r="A94" s="450" t="str">
        <f t="shared" si="12"/>
        <v>CF College of the Albemarle</v>
      </c>
      <c r="B94" s="1184" t="s">
        <v>5205</v>
      </c>
      <c r="C94" s="1184" t="s">
        <v>5205</v>
      </c>
      <c r="D94" s="450" t="s">
        <v>5206</v>
      </c>
      <c r="E94" s="450" t="s">
        <v>5178</v>
      </c>
      <c r="F94" s="450" t="s">
        <v>5574</v>
      </c>
      <c r="G94" s="665" t="s">
        <v>5774</v>
      </c>
      <c r="H94" s="450" t="s">
        <v>5775</v>
      </c>
      <c r="I94" s="2181" t="s">
        <v>5776</v>
      </c>
      <c r="J94" s="450" t="s">
        <v>1951</v>
      </c>
      <c r="K94" s="450"/>
      <c r="L94" s="450"/>
      <c r="M94" s="450"/>
      <c r="N94" s="1370"/>
      <c r="O94" s="1371"/>
    </row>
    <row r="95" spans="1:15" x14ac:dyDescent="0.25">
      <c r="A95" s="450" t="str">
        <f t="shared" si="12"/>
        <v>CG Craven Community College</v>
      </c>
      <c r="B95" s="1184" t="s">
        <v>5207</v>
      </c>
      <c r="C95" s="1184" t="s">
        <v>5207</v>
      </c>
      <c r="D95" s="450" t="s">
        <v>5208</v>
      </c>
      <c r="E95" s="450" t="s">
        <v>5178</v>
      </c>
      <c r="F95" s="450" t="s">
        <v>5574</v>
      </c>
      <c r="G95" s="665" t="s">
        <v>5777</v>
      </c>
      <c r="H95" s="450" t="s">
        <v>5778</v>
      </c>
      <c r="I95" s="2183" t="s">
        <v>5779</v>
      </c>
      <c r="J95" s="450" t="s">
        <v>1951</v>
      </c>
      <c r="K95" s="450"/>
      <c r="L95" s="450"/>
      <c r="M95" s="450"/>
      <c r="N95" s="1370"/>
      <c r="O95" s="1371"/>
    </row>
    <row r="96" spans="1:15" x14ac:dyDescent="0.25">
      <c r="A96" s="450" t="str">
        <f t="shared" si="12"/>
        <v>CH Davidson-Davie Community College</v>
      </c>
      <c r="B96" s="1184" t="s">
        <v>5209</v>
      </c>
      <c r="C96" s="1184" t="s">
        <v>5209</v>
      </c>
      <c r="D96" s="450" t="s">
        <v>5780</v>
      </c>
      <c r="E96" s="450" t="s">
        <v>5178</v>
      </c>
      <c r="F96" s="450" t="s">
        <v>5574</v>
      </c>
      <c r="G96" s="665" t="s">
        <v>5781</v>
      </c>
      <c r="H96" s="450" t="s">
        <v>5782</v>
      </c>
      <c r="I96" s="2181" t="s">
        <v>5783</v>
      </c>
      <c r="J96" s="450" t="s">
        <v>1951</v>
      </c>
      <c r="K96" s="450"/>
      <c r="L96" s="450"/>
      <c r="M96" s="450"/>
      <c r="N96" s="1370"/>
      <c r="O96" s="1371"/>
    </row>
    <row r="97" spans="1:15" x14ac:dyDescent="0.25">
      <c r="A97" s="450" t="str">
        <f t="shared" si="12"/>
        <v>CJ Durham Technical Community College</v>
      </c>
      <c r="B97" s="1184" t="s">
        <v>5211</v>
      </c>
      <c r="C97" s="1184" t="s">
        <v>5211</v>
      </c>
      <c r="D97" s="450" t="s">
        <v>5212</v>
      </c>
      <c r="E97" s="450" t="s">
        <v>5178</v>
      </c>
      <c r="F97" s="450" t="s">
        <v>5574</v>
      </c>
      <c r="G97" s="665" t="s">
        <v>5784</v>
      </c>
      <c r="H97" s="450" t="s">
        <v>5785</v>
      </c>
      <c r="I97" s="2181" t="s">
        <v>5786</v>
      </c>
      <c r="J97" s="450" t="s">
        <v>1951</v>
      </c>
      <c r="K97" s="450"/>
      <c r="L97" s="450"/>
      <c r="M97" s="450"/>
      <c r="N97" s="1370"/>
      <c r="O97" s="1371"/>
    </row>
    <row r="98" spans="1:15" x14ac:dyDescent="0.25">
      <c r="A98" s="450" t="str">
        <f t="shared" si="12"/>
        <v>CK Edgecombe Community College</v>
      </c>
      <c r="B98" s="1184" t="s">
        <v>5213</v>
      </c>
      <c r="C98" s="1184" t="s">
        <v>5213</v>
      </c>
      <c r="D98" s="450" t="s">
        <v>5214</v>
      </c>
      <c r="E98" s="450" t="s">
        <v>5178</v>
      </c>
      <c r="F98" s="450" t="s">
        <v>5574</v>
      </c>
      <c r="G98" s="665" t="s">
        <v>5787</v>
      </c>
      <c r="H98" s="450" t="s">
        <v>5788</v>
      </c>
      <c r="I98" s="2181" t="s">
        <v>5789</v>
      </c>
      <c r="J98" s="450" t="s">
        <v>1951</v>
      </c>
      <c r="K98" s="450"/>
      <c r="L98" s="450"/>
      <c r="M98" s="450"/>
      <c r="N98" s="1370"/>
      <c r="O98" s="1371"/>
    </row>
    <row r="99" spans="1:15" x14ac:dyDescent="0.25">
      <c r="A99" s="450" t="str">
        <f t="shared" si="12"/>
        <v>CL Fayetteville Technical Community College</v>
      </c>
      <c r="B99" s="1184" t="s">
        <v>5215</v>
      </c>
      <c r="C99" s="1184" t="s">
        <v>5215</v>
      </c>
      <c r="D99" s="450" t="s">
        <v>5216</v>
      </c>
      <c r="E99" s="450" t="s">
        <v>5178</v>
      </c>
      <c r="F99" s="450" t="s">
        <v>5574</v>
      </c>
      <c r="G99" s="665" t="s">
        <v>5790</v>
      </c>
      <c r="H99" s="450" t="s">
        <v>5791</v>
      </c>
      <c r="I99" s="2181" t="s">
        <v>5792</v>
      </c>
      <c r="J99" s="450" t="s">
        <v>1951</v>
      </c>
      <c r="K99" s="450"/>
      <c r="L99" s="450"/>
      <c r="M99" s="450"/>
      <c r="N99" s="1370"/>
      <c r="O99" s="1371"/>
    </row>
    <row r="100" spans="1:15" x14ac:dyDescent="0.25">
      <c r="A100" s="450" t="str">
        <f t="shared" si="12"/>
        <v>CM Forsyth Technical Community College</v>
      </c>
      <c r="B100" s="1184" t="s">
        <v>5217</v>
      </c>
      <c r="C100" s="1184" t="s">
        <v>5217</v>
      </c>
      <c r="D100" s="450" t="s">
        <v>5218</v>
      </c>
      <c r="E100" s="450" t="s">
        <v>5178</v>
      </c>
      <c r="F100" s="450" t="s">
        <v>5574</v>
      </c>
      <c r="G100" s="665" t="s">
        <v>5793</v>
      </c>
      <c r="H100" s="450" t="s">
        <v>5794</v>
      </c>
      <c r="I100" s="2182" t="s">
        <v>5795</v>
      </c>
      <c r="J100" s="450" t="s">
        <v>1951</v>
      </c>
      <c r="K100" s="450"/>
      <c r="L100" s="450"/>
      <c r="M100" s="450"/>
      <c r="N100" s="1370"/>
      <c r="O100" s="1371"/>
    </row>
    <row r="101" spans="1:15" x14ac:dyDescent="0.25">
      <c r="A101" s="450" t="str">
        <f t="shared" si="12"/>
        <v>CN Gaston College</v>
      </c>
      <c r="B101" s="1184" t="s">
        <v>5219</v>
      </c>
      <c r="C101" s="1184" t="s">
        <v>5219</v>
      </c>
      <c r="D101" s="450" t="s">
        <v>5220</v>
      </c>
      <c r="E101" s="450" t="s">
        <v>5178</v>
      </c>
      <c r="F101" s="450" t="s">
        <v>5574</v>
      </c>
      <c r="G101" s="665" t="s">
        <v>5796</v>
      </c>
      <c r="H101" s="450" t="s">
        <v>5797</v>
      </c>
      <c r="I101" s="2181" t="s">
        <v>5798</v>
      </c>
      <c r="J101" s="450" t="s">
        <v>1951</v>
      </c>
      <c r="K101" s="450"/>
      <c r="L101" s="450"/>
      <c r="M101" s="450"/>
      <c r="N101" s="1370"/>
      <c r="O101" s="1371"/>
    </row>
    <row r="102" spans="1:15" x14ac:dyDescent="0.25">
      <c r="A102" s="450" t="str">
        <f t="shared" si="12"/>
        <v>CP Guilford Technical Community College</v>
      </c>
      <c r="B102" s="1184" t="s">
        <v>5221</v>
      </c>
      <c r="C102" s="1184" t="s">
        <v>5221</v>
      </c>
      <c r="D102" s="450" t="s">
        <v>5222</v>
      </c>
      <c r="E102" s="450" t="s">
        <v>5178</v>
      </c>
      <c r="F102" s="450" t="s">
        <v>5574</v>
      </c>
      <c r="G102" s="665" t="s">
        <v>5799</v>
      </c>
      <c r="H102" s="450" t="s">
        <v>5800</v>
      </c>
      <c r="I102" s="2184" t="s">
        <v>5801</v>
      </c>
      <c r="J102" s="450" t="s">
        <v>1951</v>
      </c>
      <c r="K102" s="450"/>
      <c r="L102" s="450"/>
      <c r="M102" s="450"/>
      <c r="N102" s="1370"/>
      <c r="O102" s="1371"/>
    </row>
    <row r="103" spans="1:15" x14ac:dyDescent="0.25">
      <c r="A103" s="450" t="str">
        <f t="shared" si="12"/>
        <v>CQ Halifax Community College</v>
      </c>
      <c r="B103" s="1184" t="s">
        <v>5223</v>
      </c>
      <c r="C103" s="1184" t="s">
        <v>5223</v>
      </c>
      <c r="D103" s="450" t="s">
        <v>5224</v>
      </c>
      <c r="E103" s="450" t="s">
        <v>5178</v>
      </c>
      <c r="F103" s="450" t="s">
        <v>5574</v>
      </c>
      <c r="G103" s="665" t="s">
        <v>5802</v>
      </c>
      <c r="H103" s="450" t="s">
        <v>5803</v>
      </c>
      <c r="I103" s="2181" t="s">
        <v>5804</v>
      </c>
      <c r="J103" s="450" t="s">
        <v>1951</v>
      </c>
      <c r="K103" s="450"/>
      <c r="L103" s="450"/>
      <c r="M103" s="450"/>
      <c r="N103" s="1370"/>
      <c r="O103" s="1371"/>
    </row>
    <row r="104" spans="1:15" x14ac:dyDescent="0.25">
      <c r="A104" s="450" t="str">
        <f t="shared" si="12"/>
        <v>CR Haywood Community College</v>
      </c>
      <c r="B104" s="1184" t="s">
        <v>5225</v>
      </c>
      <c r="C104" s="1184" t="s">
        <v>5225</v>
      </c>
      <c r="D104" s="450" t="s">
        <v>5226</v>
      </c>
      <c r="E104" s="450" t="s">
        <v>5178</v>
      </c>
      <c r="F104" s="450" t="s">
        <v>5574</v>
      </c>
      <c r="G104" s="665" t="s">
        <v>5805</v>
      </c>
      <c r="H104" s="450" t="s">
        <v>5806</v>
      </c>
      <c r="I104" s="1489" t="s">
        <v>5807</v>
      </c>
      <c r="J104" s="450" t="s">
        <v>1951</v>
      </c>
      <c r="K104" s="450"/>
      <c r="L104" s="450"/>
      <c r="M104" s="450"/>
      <c r="N104" s="1370"/>
      <c r="O104" s="1371"/>
    </row>
    <row r="105" spans="1:15" x14ac:dyDescent="0.25">
      <c r="A105" s="450" t="str">
        <f t="shared" si="12"/>
        <v>CS Isothermal Community College</v>
      </c>
      <c r="B105" s="1184" t="s">
        <v>5227</v>
      </c>
      <c r="C105" s="1184" t="s">
        <v>5227</v>
      </c>
      <c r="D105" s="450" t="s">
        <v>5228</v>
      </c>
      <c r="E105" s="450" t="s">
        <v>5178</v>
      </c>
      <c r="F105" s="450" t="s">
        <v>5574</v>
      </c>
      <c r="G105" s="665" t="s">
        <v>5808</v>
      </c>
      <c r="H105" s="450" t="s">
        <v>5809</v>
      </c>
      <c r="I105" s="2184" t="s">
        <v>5810</v>
      </c>
      <c r="J105" s="450" t="s">
        <v>1951</v>
      </c>
      <c r="K105" s="450"/>
      <c r="L105" s="450"/>
      <c r="M105" s="450"/>
      <c r="N105" s="1370"/>
      <c r="O105" s="1371"/>
    </row>
    <row r="106" spans="1:15" x14ac:dyDescent="0.25">
      <c r="A106" s="450" t="str">
        <f t="shared" si="12"/>
        <v>CT James Sprunt Community College</v>
      </c>
      <c r="B106" s="1184" t="s">
        <v>5229</v>
      </c>
      <c r="C106" s="1184" t="s">
        <v>5229</v>
      </c>
      <c r="D106" s="450" t="s">
        <v>5230</v>
      </c>
      <c r="E106" s="450" t="s">
        <v>5178</v>
      </c>
      <c r="F106" s="450" t="s">
        <v>5574</v>
      </c>
      <c r="G106" s="665" t="s">
        <v>5811</v>
      </c>
      <c r="H106" s="450" t="s">
        <v>5812</v>
      </c>
      <c r="I106" s="1489" t="s">
        <v>5813</v>
      </c>
      <c r="J106" s="450" t="s">
        <v>1951</v>
      </c>
      <c r="K106" s="450"/>
      <c r="L106" s="450"/>
      <c r="M106" s="450"/>
      <c r="N106" s="1370"/>
      <c r="O106" s="1371"/>
    </row>
    <row r="107" spans="1:15" x14ac:dyDescent="0.25">
      <c r="A107" s="450" t="str">
        <f t="shared" si="12"/>
        <v>CU Johnston Community College</v>
      </c>
      <c r="B107" s="1184" t="s">
        <v>5231</v>
      </c>
      <c r="C107" s="1184" t="s">
        <v>5231</v>
      </c>
      <c r="D107" s="450" t="s">
        <v>5232</v>
      </c>
      <c r="E107" s="450" t="s">
        <v>5178</v>
      </c>
      <c r="F107" s="450" t="s">
        <v>5574</v>
      </c>
      <c r="G107" s="665" t="s">
        <v>5814</v>
      </c>
      <c r="H107" s="450" t="s">
        <v>5815</v>
      </c>
      <c r="I107" s="2181" t="s">
        <v>5816</v>
      </c>
      <c r="J107" s="450" t="s">
        <v>1951</v>
      </c>
      <c r="K107" s="450"/>
      <c r="L107" s="450"/>
      <c r="M107" s="450"/>
      <c r="N107" s="1370"/>
      <c r="O107" s="1371"/>
    </row>
    <row r="108" spans="1:15" x14ac:dyDescent="0.25">
      <c r="A108" s="450" t="str">
        <f t="shared" si="12"/>
        <v>CV Lenoir Community College</v>
      </c>
      <c r="B108" s="1184" t="s">
        <v>5233</v>
      </c>
      <c r="C108" s="1184" t="s">
        <v>5233</v>
      </c>
      <c r="D108" s="450" t="s">
        <v>5234</v>
      </c>
      <c r="E108" s="450" t="s">
        <v>5178</v>
      </c>
      <c r="F108" s="450" t="s">
        <v>5574</v>
      </c>
      <c r="G108" s="665" t="s">
        <v>5817</v>
      </c>
      <c r="H108" s="450" t="s">
        <v>5818</v>
      </c>
      <c r="I108" s="2181" t="s">
        <v>5819</v>
      </c>
      <c r="J108" s="450" t="s">
        <v>1951</v>
      </c>
      <c r="K108" s="450"/>
      <c r="L108" s="450"/>
      <c r="M108" s="450"/>
      <c r="N108" s="1370"/>
      <c r="O108" s="1371"/>
    </row>
    <row r="109" spans="1:15" x14ac:dyDescent="0.25">
      <c r="A109" s="450" t="str">
        <f t="shared" si="12"/>
        <v>CW Martin Community College</v>
      </c>
      <c r="B109" s="1184" t="s">
        <v>5235</v>
      </c>
      <c r="C109" s="1184" t="s">
        <v>5235</v>
      </c>
      <c r="D109" s="450" t="s">
        <v>5236</v>
      </c>
      <c r="E109" s="450" t="s">
        <v>5178</v>
      </c>
      <c r="F109" s="450" t="s">
        <v>5574</v>
      </c>
      <c r="G109" s="665" t="s">
        <v>5820</v>
      </c>
      <c r="H109" s="450" t="s">
        <v>5821</v>
      </c>
      <c r="I109" s="2181" t="s">
        <v>5822</v>
      </c>
      <c r="J109" s="450" t="s">
        <v>1951</v>
      </c>
      <c r="K109" s="450"/>
      <c r="L109" s="450"/>
      <c r="M109" s="450"/>
      <c r="N109" s="1370"/>
      <c r="O109" s="1371"/>
    </row>
    <row r="110" spans="1:15" x14ac:dyDescent="0.25">
      <c r="A110" s="450" t="str">
        <f t="shared" si="12"/>
        <v>CX Mayland Community College</v>
      </c>
      <c r="B110" s="1184" t="s">
        <v>5237</v>
      </c>
      <c r="C110" s="1184" t="s">
        <v>5237</v>
      </c>
      <c r="D110" s="450" t="s">
        <v>5238</v>
      </c>
      <c r="E110" s="450" t="s">
        <v>5178</v>
      </c>
      <c r="F110" s="450" t="s">
        <v>5574</v>
      </c>
      <c r="G110" s="665" t="s">
        <v>5823</v>
      </c>
      <c r="H110" s="450" t="s">
        <v>5824</v>
      </c>
      <c r="I110" s="2181" t="s">
        <v>5825</v>
      </c>
      <c r="J110" s="450" t="s">
        <v>1951</v>
      </c>
      <c r="K110" s="450"/>
      <c r="L110" s="450"/>
      <c r="M110" s="450"/>
      <c r="N110" s="1370"/>
      <c r="O110" s="1371"/>
    </row>
    <row r="111" spans="1:15" x14ac:dyDescent="0.25">
      <c r="A111" s="450" t="str">
        <f t="shared" si="12"/>
        <v>CY McDowell Technical Community College</v>
      </c>
      <c r="B111" s="1184" t="s">
        <v>5239</v>
      </c>
      <c r="C111" s="1184" t="s">
        <v>5239</v>
      </c>
      <c r="D111" s="450" t="s">
        <v>5240</v>
      </c>
      <c r="E111" s="450" t="s">
        <v>5178</v>
      </c>
      <c r="F111" s="450" t="s">
        <v>5574</v>
      </c>
      <c r="G111" s="665" t="s">
        <v>5826</v>
      </c>
      <c r="H111" s="450" t="s">
        <v>5827</v>
      </c>
      <c r="I111" s="2182" t="s">
        <v>5828</v>
      </c>
      <c r="J111" s="450" t="s">
        <v>1951</v>
      </c>
      <c r="K111" s="450"/>
      <c r="L111" s="450"/>
      <c r="M111" s="450"/>
      <c r="N111" s="1370"/>
      <c r="O111" s="1371"/>
    </row>
    <row r="112" spans="1:15" x14ac:dyDescent="0.25">
      <c r="A112" s="450" t="str">
        <f t="shared" si="12"/>
        <v>CZ Mitchell Community College</v>
      </c>
      <c r="B112" s="1184" t="s">
        <v>5241</v>
      </c>
      <c r="C112" s="1184" t="s">
        <v>5241</v>
      </c>
      <c r="D112" s="450" t="s">
        <v>5242</v>
      </c>
      <c r="E112" s="450" t="s">
        <v>5178</v>
      </c>
      <c r="F112" s="450" t="s">
        <v>5574</v>
      </c>
      <c r="G112" s="665" t="s">
        <v>5829</v>
      </c>
      <c r="H112" s="450" t="s">
        <v>5830</v>
      </c>
      <c r="I112" s="2181" t="s">
        <v>5831</v>
      </c>
      <c r="J112" s="450" t="s">
        <v>1951</v>
      </c>
      <c r="K112" s="450"/>
      <c r="L112" s="450"/>
      <c r="M112" s="450"/>
      <c r="N112" s="1370"/>
      <c r="O112" s="1371"/>
    </row>
    <row r="113" spans="1:15" x14ac:dyDescent="0.25">
      <c r="A113" s="450" t="str">
        <f t="shared" si="12"/>
        <v>D0 Montgomery Community College</v>
      </c>
      <c r="B113" s="1184" t="s">
        <v>5243</v>
      </c>
      <c r="C113" s="1184" t="s">
        <v>5243</v>
      </c>
      <c r="D113" s="450" t="s">
        <v>5244</v>
      </c>
      <c r="E113" s="450" t="s">
        <v>5178</v>
      </c>
      <c r="F113" s="450" t="s">
        <v>5574</v>
      </c>
      <c r="G113" s="665" t="s">
        <v>5832</v>
      </c>
      <c r="H113" s="450" t="s">
        <v>5833</v>
      </c>
      <c r="I113" s="1489" t="s">
        <v>5834</v>
      </c>
      <c r="J113" s="450" t="s">
        <v>1951</v>
      </c>
      <c r="K113" s="450"/>
      <c r="L113" s="450"/>
      <c r="M113" s="450"/>
      <c r="N113" s="1370"/>
      <c r="O113" s="1371"/>
    </row>
    <row r="114" spans="1:15" x14ac:dyDescent="0.25">
      <c r="A114" s="450" t="str">
        <f t="shared" si="12"/>
        <v>D1 Nash Community College</v>
      </c>
      <c r="B114" s="1184" t="s">
        <v>5245</v>
      </c>
      <c r="C114" s="1184" t="s">
        <v>5245</v>
      </c>
      <c r="D114" s="450" t="s">
        <v>5246</v>
      </c>
      <c r="E114" s="450" t="s">
        <v>5178</v>
      </c>
      <c r="F114" s="450" t="s">
        <v>5574</v>
      </c>
      <c r="G114" s="665" t="s">
        <v>5835</v>
      </c>
      <c r="H114" s="450" t="s">
        <v>5836</v>
      </c>
      <c r="I114" s="2181" t="s">
        <v>5837</v>
      </c>
      <c r="J114" s="450" t="s">
        <v>1951</v>
      </c>
      <c r="K114" s="450"/>
      <c r="L114" s="450"/>
      <c r="M114" s="450"/>
      <c r="N114" s="1370"/>
      <c r="O114" s="1371"/>
    </row>
    <row r="115" spans="1:15" x14ac:dyDescent="0.25">
      <c r="A115" s="450" t="str">
        <f t="shared" si="12"/>
        <v>D2 Pamlico Community College</v>
      </c>
      <c r="B115" s="1184" t="s">
        <v>5247</v>
      </c>
      <c r="C115" s="1184" t="s">
        <v>5247</v>
      </c>
      <c r="D115" s="450" t="s">
        <v>5248</v>
      </c>
      <c r="E115" s="450" t="s">
        <v>5178</v>
      </c>
      <c r="F115" s="450" t="s">
        <v>5574</v>
      </c>
      <c r="G115" s="665" t="s">
        <v>5838</v>
      </c>
      <c r="H115" s="450" t="s">
        <v>5839</v>
      </c>
      <c r="I115" s="1489" t="s">
        <v>5840</v>
      </c>
      <c r="J115" s="450" t="s">
        <v>1951</v>
      </c>
      <c r="K115" s="450"/>
      <c r="L115" s="450"/>
      <c r="M115" s="450"/>
      <c r="N115" s="1370"/>
      <c r="O115" s="1371"/>
    </row>
    <row r="116" spans="1:15" x14ac:dyDescent="0.25">
      <c r="A116" s="450" t="str">
        <f t="shared" si="12"/>
        <v>D3 Piedmont Community College</v>
      </c>
      <c r="B116" s="1184" t="s">
        <v>5249</v>
      </c>
      <c r="C116" s="1184" t="s">
        <v>5249</v>
      </c>
      <c r="D116" s="450" t="s">
        <v>5250</v>
      </c>
      <c r="E116" s="450" t="s">
        <v>5178</v>
      </c>
      <c r="F116" s="450" t="s">
        <v>5574</v>
      </c>
      <c r="G116" s="665" t="s">
        <v>5841</v>
      </c>
      <c r="H116" s="450" t="s">
        <v>5842</v>
      </c>
      <c r="I116" s="2181" t="s">
        <v>5843</v>
      </c>
      <c r="J116" s="450" t="s">
        <v>1951</v>
      </c>
      <c r="K116" s="450"/>
      <c r="L116" s="450"/>
      <c r="M116" s="450"/>
      <c r="N116" s="1370"/>
      <c r="O116" s="1371"/>
    </row>
    <row r="117" spans="1:15" x14ac:dyDescent="0.25">
      <c r="A117" s="450" t="str">
        <f t="shared" si="12"/>
        <v>D4 Pitt Community College</v>
      </c>
      <c r="B117" s="1184" t="s">
        <v>5251</v>
      </c>
      <c r="C117" s="1184" t="s">
        <v>5251</v>
      </c>
      <c r="D117" s="450" t="s">
        <v>5252</v>
      </c>
      <c r="E117" s="450" t="s">
        <v>5178</v>
      </c>
      <c r="F117" s="450" t="s">
        <v>5574</v>
      </c>
      <c r="G117" s="665" t="s">
        <v>5844</v>
      </c>
      <c r="H117" s="450" t="s">
        <v>5845</v>
      </c>
      <c r="I117" s="2181" t="s">
        <v>5846</v>
      </c>
      <c r="J117" s="450" t="s">
        <v>1951</v>
      </c>
      <c r="K117" s="450"/>
      <c r="L117" s="450"/>
      <c r="M117" s="450"/>
      <c r="N117" s="1370"/>
      <c r="O117" s="1371"/>
    </row>
    <row r="118" spans="1:15" x14ac:dyDescent="0.25">
      <c r="A118" s="450" t="str">
        <f t="shared" si="12"/>
        <v>D5 Randolph Community College</v>
      </c>
      <c r="B118" s="1184" t="s">
        <v>5253</v>
      </c>
      <c r="C118" s="1184" t="s">
        <v>5253</v>
      </c>
      <c r="D118" s="450" t="s">
        <v>5254</v>
      </c>
      <c r="E118" s="450" t="s">
        <v>5178</v>
      </c>
      <c r="F118" s="450" t="s">
        <v>5574</v>
      </c>
      <c r="G118" s="665" t="s">
        <v>5847</v>
      </c>
      <c r="H118" s="450" t="s">
        <v>5848</v>
      </c>
      <c r="I118" s="2181" t="s">
        <v>5849</v>
      </c>
      <c r="J118" s="450" t="s">
        <v>1951</v>
      </c>
      <c r="K118" s="450"/>
      <c r="L118" s="450"/>
      <c r="M118" s="450"/>
      <c r="N118" s="1370"/>
      <c r="O118" s="1371"/>
    </row>
    <row r="119" spans="1:15" x14ac:dyDescent="0.25">
      <c r="A119" s="450" t="str">
        <f t="shared" si="12"/>
        <v>D6 Richmond Community College</v>
      </c>
      <c r="B119" s="1184" t="s">
        <v>5255</v>
      </c>
      <c r="C119" s="1184" t="s">
        <v>5255</v>
      </c>
      <c r="D119" s="450" t="s">
        <v>5256</v>
      </c>
      <c r="E119" s="450" t="s">
        <v>5178</v>
      </c>
      <c r="F119" s="450" t="s">
        <v>5574</v>
      </c>
      <c r="G119" s="665" t="s">
        <v>5850</v>
      </c>
      <c r="H119" s="450" t="s">
        <v>5851</v>
      </c>
      <c r="I119" s="2181" t="s">
        <v>5852</v>
      </c>
      <c r="J119" s="450" t="s">
        <v>1951</v>
      </c>
      <c r="K119" s="450"/>
      <c r="L119" s="450"/>
      <c r="M119" s="450"/>
      <c r="N119" s="1370"/>
      <c r="O119" s="1371"/>
    </row>
    <row r="120" spans="1:15" x14ac:dyDescent="0.25">
      <c r="A120" s="450" t="str">
        <f t="shared" si="12"/>
        <v>D7 Roanoke-Chowan Community College</v>
      </c>
      <c r="B120" s="1184" t="s">
        <v>5257</v>
      </c>
      <c r="C120" s="1184" t="s">
        <v>5257</v>
      </c>
      <c r="D120" s="450" t="s">
        <v>5258</v>
      </c>
      <c r="E120" s="450" t="s">
        <v>5178</v>
      </c>
      <c r="F120" s="450" t="s">
        <v>5574</v>
      </c>
      <c r="G120" s="665" t="s">
        <v>5853</v>
      </c>
      <c r="H120" s="450" t="s">
        <v>5854</v>
      </c>
      <c r="I120" s="2181" t="s">
        <v>5855</v>
      </c>
      <c r="J120" s="450" t="s">
        <v>1951</v>
      </c>
      <c r="K120" s="450"/>
      <c r="L120" s="450"/>
      <c r="M120" s="450"/>
      <c r="N120" s="1370"/>
      <c r="O120" s="1371"/>
    </row>
    <row r="121" spans="1:15" x14ac:dyDescent="0.25">
      <c r="A121" s="450" t="str">
        <f t="shared" si="12"/>
        <v>D8 Robeson Community College</v>
      </c>
      <c r="B121" s="1184" t="s">
        <v>5259</v>
      </c>
      <c r="C121" s="1184" t="s">
        <v>5259</v>
      </c>
      <c r="D121" s="450" t="s">
        <v>5260</v>
      </c>
      <c r="E121" s="450" t="s">
        <v>5178</v>
      </c>
      <c r="F121" s="450" t="s">
        <v>5574</v>
      </c>
      <c r="G121" s="665" t="s">
        <v>5856</v>
      </c>
      <c r="H121" s="450" t="s">
        <v>5857</v>
      </c>
      <c r="I121" s="1489" t="s">
        <v>5858</v>
      </c>
      <c r="J121" s="450" t="s">
        <v>1951</v>
      </c>
      <c r="K121" s="450"/>
      <c r="L121" s="450"/>
      <c r="M121" s="450"/>
      <c r="N121" s="1370"/>
      <c r="O121" s="1371"/>
    </row>
    <row r="122" spans="1:15" x14ac:dyDescent="0.25">
      <c r="A122" s="450" t="str">
        <f t="shared" si="12"/>
        <v>D9 Rockingham Community College</v>
      </c>
      <c r="B122" s="1184" t="s">
        <v>5261</v>
      </c>
      <c r="C122" s="1184" t="s">
        <v>5261</v>
      </c>
      <c r="D122" s="450" t="s">
        <v>5262</v>
      </c>
      <c r="E122" s="450" t="s">
        <v>5178</v>
      </c>
      <c r="F122" s="450" t="s">
        <v>5574</v>
      </c>
      <c r="G122" s="665" t="s">
        <v>5859</v>
      </c>
      <c r="H122" s="450" t="s">
        <v>5860</v>
      </c>
      <c r="I122" s="2181" t="s">
        <v>5861</v>
      </c>
      <c r="J122" s="450" t="s">
        <v>1951</v>
      </c>
      <c r="K122" s="450"/>
      <c r="L122" s="450"/>
      <c r="M122" s="450"/>
      <c r="N122" s="1370"/>
      <c r="O122" s="1371"/>
    </row>
    <row r="123" spans="1:15" x14ac:dyDescent="0.25">
      <c r="A123" s="450" t="str">
        <f t="shared" si="12"/>
        <v>DA Rowan-Cabarrus Community College</v>
      </c>
      <c r="B123" s="1184" t="s">
        <v>5263</v>
      </c>
      <c r="C123" s="1184" t="s">
        <v>5263</v>
      </c>
      <c r="D123" s="450" t="s">
        <v>5264</v>
      </c>
      <c r="E123" s="450" t="s">
        <v>5178</v>
      </c>
      <c r="F123" s="450" t="s">
        <v>5574</v>
      </c>
      <c r="G123" s="665" t="s">
        <v>5862</v>
      </c>
      <c r="H123" s="450" t="s">
        <v>5863</v>
      </c>
      <c r="I123" s="2182" t="s">
        <v>5864</v>
      </c>
      <c r="J123" s="450" t="s">
        <v>1951</v>
      </c>
      <c r="K123" s="450"/>
      <c r="L123" s="450"/>
      <c r="M123" s="450"/>
      <c r="N123" s="1370"/>
      <c r="O123" s="1371"/>
    </row>
    <row r="124" spans="1:15" x14ac:dyDescent="0.25">
      <c r="A124" s="450" t="str">
        <f t="shared" si="12"/>
        <v>DB Sampson Community College</v>
      </c>
      <c r="B124" s="1184" t="s">
        <v>5265</v>
      </c>
      <c r="C124" s="1184" t="s">
        <v>5265</v>
      </c>
      <c r="D124" s="450" t="s">
        <v>5266</v>
      </c>
      <c r="E124" s="450" t="s">
        <v>5178</v>
      </c>
      <c r="F124" s="450" t="s">
        <v>5574</v>
      </c>
      <c r="G124" s="665" t="s">
        <v>5865</v>
      </c>
      <c r="H124" s="450" t="s">
        <v>5866</v>
      </c>
      <c r="I124" s="1489" t="s">
        <v>5867</v>
      </c>
      <c r="J124" s="450" t="s">
        <v>1951</v>
      </c>
      <c r="K124" s="450"/>
      <c r="L124" s="450"/>
      <c r="M124" s="450"/>
      <c r="N124" s="1370"/>
      <c r="O124" s="1371"/>
    </row>
    <row r="125" spans="1:15" x14ac:dyDescent="0.25">
      <c r="A125" s="450" t="str">
        <f t="shared" si="12"/>
        <v>DC Sandhills Community College</v>
      </c>
      <c r="B125" s="1184" t="s">
        <v>5267</v>
      </c>
      <c r="C125" s="1184" t="s">
        <v>5267</v>
      </c>
      <c r="D125" s="450" t="s">
        <v>5268</v>
      </c>
      <c r="E125" s="450" t="s">
        <v>5178</v>
      </c>
      <c r="F125" s="450" t="s">
        <v>5574</v>
      </c>
      <c r="G125" s="665" t="s">
        <v>5868</v>
      </c>
      <c r="H125" s="450" t="s">
        <v>5869</v>
      </c>
      <c r="I125" s="2182" t="s">
        <v>5870</v>
      </c>
      <c r="J125" s="450" t="s">
        <v>1951</v>
      </c>
      <c r="K125" s="450"/>
      <c r="L125" s="450"/>
      <c r="M125" s="450"/>
      <c r="N125" s="1370"/>
      <c r="O125" s="1371"/>
    </row>
    <row r="126" spans="1:15" x14ac:dyDescent="0.25">
      <c r="A126" s="450" t="str">
        <f t="shared" si="12"/>
        <v>C1 South Piedmont Community College</v>
      </c>
      <c r="B126" s="1184" t="s">
        <v>5269</v>
      </c>
      <c r="C126" s="1184" t="s">
        <v>5269</v>
      </c>
      <c r="D126" s="450" t="s">
        <v>5270</v>
      </c>
      <c r="E126" s="450" t="s">
        <v>5178</v>
      </c>
      <c r="F126" s="450" t="s">
        <v>5574</v>
      </c>
      <c r="G126" s="665" t="s">
        <v>5871</v>
      </c>
      <c r="H126" s="450" t="s">
        <v>5872</v>
      </c>
      <c r="I126" s="2181" t="s">
        <v>5873</v>
      </c>
      <c r="J126" s="450" t="s">
        <v>1951</v>
      </c>
      <c r="K126" s="450"/>
      <c r="L126" s="450"/>
      <c r="M126" s="450"/>
      <c r="N126" s="1370"/>
      <c r="O126" s="1371"/>
    </row>
    <row r="127" spans="1:15" x14ac:dyDescent="0.25">
      <c r="A127" s="450" t="str">
        <f t="shared" si="12"/>
        <v>DD Southeastern Community College</v>
      </c>
      <c r="B127" s="1184" t="s">
        <v>5271</v>
      </c>
      <c r="C127" s="1184" t="s">
        <v>5271</v>
      </c>
      <c r="D127" s="450" t="s">
        <v>5272</v>
      </c>
      <c r="E127" s="450" t="s">
        <v>5178</v>
      </c>
      <c r="F127" s="450" t="s">
        <v>5574</v>
      </c>
      <c r="G127" s="665" t="s">
        <v>5874</v>
      </c>
      <c r="H127" s="450" t="s">
        <v>5875</v>
      </c>
      <c r="I127" s="2181" t="s">
        <v>5876</v>
      </c>
      <c r="J127" s="450" t="s">
        <v>1951</v>
      </c>
      <c r="K127" s="450"/>
      <c r="L127" s="450"/>
      <c r="M127" s="450"/>
      <c r="N127" s="1370"/>
      <c r="O127" s="1371"/>
    </row>
    <row r="128" spans="1:15" x14ac:dyDescent="0.25">
      <c r="A128" s="450" t="str">
        <f t="shared" si="12"/>
        <v>DE Southwestern Community College</v>
      </c>
      <c r="B128" s="1184" t="s">
        <v>5273</v>
      </c>
      <c r="C128" s="1184" t="s">
        <v>5273</v>
      </c>
      <c r="D128" s="450" t="s">
        <v>5274</v>
      </c>
      <c r="E128" s="450" t="s">
        <v>5178</v>
      </c>
      <c r="F128" s="450" t="s">
        <v>5574</v>
      </c>
      <c r="G128" s="665" t="s">
        <v>5877</v>
      </c>
      <c r="H128" s="450" t="s">
        <v>5878</v>
      </c>
      <c r="I128" s="2184" t="s">
        <v>5879</v>
      </c>
      <c r="J128" s="450" t="s">
        <v>1951</v>
      </c>
      <c r="K128" s="450"/>
      <c r="L128" s="450"/>
      <c r="M128" s="450"/>
      <c r="N128" s="1370"/>
      <c r="O128" s="1371"/>
    </row>
    <row r="129" spans="1:15" x14ac:dyDescent="0.25">
      <c r="A129" s="450" t="str">
        <f t="shared" si="12"/>
        <v>DF Stanly Community College</v>
      </c>
      <c r="B129" s="1184" t="s">
        <v>5275</v>
      </c>
      <c r="C129" s="1184" t="s">
        <v>5275</v>
      </c>
      <c r="D129" s="450" t="s">
        <v>5276</v>
      </c>
      <c r="E129" s="450" t="s">
        <v>5178</v>
      </c>
      <c r="F129" s="450" t="s">
        <v>5574</v>
      </c>
      <c r="G129" s="665" t="s">
        <v>5880</v>
      </c>
      <c r="H129" s="450" t="s">
        <v>5881</v>
      </c>
      <c r="I129" s="2181" t="s">
        <v>5882</v>
      </c>
      <c r="J129" s="450" t="s">
        <v>1951</v>
      </c>
      <c r="K129" s="450"/>
      <c r="L129" s="450"/>
      <c r="M129" s="450"/>
      <c r="N129" s="1370"/>
      <c r="O129" s="1371"/>
    </row>
    <row r="130" spans="1:15" x14ac:dyDescent="0.25">
      <c r="A130" s="450" t="str">
        <f t="shared" si="12"/>
        <v>DG Surry Community College</v>
      </c>
      <c r="B130" s="1184" t="s">
        <v>5277</v>
      </c>
      <c r="C130" s="1184" t="s">
        <v>5277</v>
      </c>
      <c r="D130" s="450" t="s">
        <v>5278</v>
      </c>
      <c r="E130" s="450" t="s">
        <v>5178</v>
      </c>
      <c r="F130" s="450" t="s">
        <v>5574</v>
      </c>
      <c r="G130" s="665" t="s">
        <v>5883</v>
      </c>
      <c r="H130" s="450" t="s">
        <v>5884</v>
      </c>
      <c r="I130" s="2181" t="s">
        <v>5885</v>
      </c>
      <c r="J130" s="450" t="s">
        <v>1951</v>
      </c>
      <c r="K130" s="450"/>
      <c r="L130" s="450"/>
      <c r="M130" s="450"/>
      <c r="N130" s="1370"/>
      <c r="O130" s="1371"/>
    </row>
    <row r="131" spans="1:15" x14ac:dyDescent="0.25">
      <c r="A131" s="450" t="str">
        <f t="shared" si="12"/>
        <v>DH Tri-County Community College</v>
      </c>
      <c r="B131" s="1184" t="s">
        <v>5279</v>
      </c>
      <c r="C131" s="1184" t="s">
        <v>5279</v>
      </c>
      <c r="D131" s="450" t="s">
        <v>5280</v>
      </c>
      <c r="E131" s="450" t="s">
        <v>5178</v>
      </c>
      <c r="F131" s="450" t="s">
        <v>5574</v>
      </c>
      <c r="G131" s="2055" t="s">
        <v>5886</v>
      </c>
      <c r="H131" s="450" t="s">
        <v>5887</v>
      </c>
      <c r="I131" s="2181" t="s">
        <v>5888</v>
      </c>
      <c r="J131" s="450" t="s">
        <v>1951</v>
      </c>
      <c r="K131" s="450"/>
      <c r="L131" s="450"/>
      <c r="M131" s="450"/>
      <c r="N131" s="1370"/>
      <c r="O131" s="1371"/>
    </row>
    <row r="132" spans="1:15" x14ac:dyDescent="0.25">
      <c r="A132" s="450" t="str">
        <f t="shared" si="12"/>
        <v>DJ Vance-Granville Community College</v>
      </c>
      <c r="B132" s="1184" t="s">
        <v>5281</v>
      </c>
      <c r="C132" s="1184" t="s">
        <v>5281</v>
      </c>
      <c r="D132" s="450" t="s">
        <v>5282</v>
      </c>
      <c r="E132" s="450" t="s">
        <v>5178</v>
      </c>
      <c r="F132" s="450" t="s">
        <v>5574</v>
      </c>
      <c r="G132" s="665" t="s">
        <v>5889</v>
      </c>
      <c r="H132" s="450" t="s">
        <v>5890</v>
      </c>
      <c r="I132" s="2182" t="s">
        <v>5891</v>
      </c>
      <c r="J132" s="450" t="s">
        <v>1951</v>
      </c>
      <c r="K132" s="450"/>
      <c r="L132" s="450"/>
      <c r="M132" s="450"/>
      <c r="N132" s="1370"/>
      <c r="O132" s="1371"/>
    </row>
    <row r="133" spans="1:15" x14ac:dyDescent="0.25">
      <c r="A133" s="450" t="str">
        <f t="shared" si="12"/>
        <v>DK Wake Technical Community College</v>
      </c>
      <c r="B133" s="1184" t="s">
        <v>5283</v>
      </c>
      <c r="C133" s="1184" t="s">
        <v>5283</v>
      </c>
      <c r="D133" s="450" t="s">
        <v>5284</v>
      </c>
      <c r="E133" s="450" t="s">
        <v>5178</v>
      </c>
      <c r="F133" s="450" t="s">
        <v>5574</v>
      </c>
      <c r="G133" s="665" t="s">
        <v>5892</v>
      </c>
      <c r="H133" s="450" t="s">
        <v>5893</v>
      </c>
      <c r="I133" s="2182" t="s">
        <v>5894</v>
      </c>
      <c r="J133" s="450" t="s">
        <v>1951</v>
      </c>
      <c r="K133" s="450"/>
      <c r="L133" s="450"/>
      <c r="M133" s="450"/>
      <c r="N133" s="1370"/>
      <c r="O133" s="1371"/>
    </row>
    <row r="134" spans="1:15" x14ac:dyDescent="0.25">
      <c r="A134" s="450" t="str">
        <f t="shared" si="12"/>
        <v>DL Wayne Community College</v>
      </c>
      <c r="B134" s="1184" t="s">
        <v>5285</v>
      </c>
      <c r="C134" s="1184" t="s">
        <v>5285</v>
      </c>
      <c r="D134" s="450" t="s">
        <v>5286</v>
      </c>
      <c r="E134" s="450" t="s">
        <v>5178</v>
      </c>
      <c r="F134" s="450" t="s">
        <v>5574</v>
      </c>
      <c r="G134" s="665" t="s">
        <v>5895</v>
      </c>
      <c r="H134" s="450" t="s">
        <v>5896</v>
      </c>
      <c r="I134" s="1489" t="s">
        <v>5897</v>
      </c>
      <c r="J134" s="450" t="s">
        <v>1951</v>
      </c>
      <c r="K134" s="450"/>
      <c r="L134" s="450"/>
      <c r="M134" s="450"/>
      <c r="N134" s="1370"/>
      <c r="O134" s="1371"/>
    </row>
    <row r="135" spans="1:15" x14ac:dyDescent="0.25">
      <c r="A135" s="450" t="str">
        <f t="shared" si="12"/>
        <v>DM Western Piedmont Community College</v>
      </c>
      <c r="B135" s="1184" t="s">
        <v>5287</v>
      </c>
      <c r="C135" s="1184" t="s">
        <v>5287</v>
      </c>
      <c r="D135" s="450" t="s">
        <v>5288</v>
      </c>
      <c r="E135" s="450" t="s">
        <v>5178</v>
      </c>
      <c r="F135" s="450" t="s">
        <v>5574</v>
      </c>
      <c r="G135" s="665" t="s">
        <v>5898</v>
      </c>
      <c r="H135" s="450" t="s">
        <v>5899</v>
      </c>
      <c r="I135" s="2181" t="s">
        <v>5900</v>
      </c>
      <c r="J135" s="450" t="s">
        <v>1951</v>
      </c>
      <c r="K135" s="450"/>
      <c r="L135" s="450"/>
      <c r="M135" s="450"/>
      <c r="N135" s="1370"/>
      <c r="O135" s="1371"/>
    </row>
    <row r="136" spans="1:15" x14ac:dyDescent="0.25">
      <c r="A136" s="450" t="str">
        <f t="shared" si="12"/>
        <v>DN Wilkes Community College</v>
      </c>
      <c r="B136" s="1184" t="s">
        <v>5289</v>
      </c>
      <c r="C136" s="1184" t="s">
        <v>5289</v>
      </c>
      <c r="D136" s="450" t="s">
        <v>5290</v>
      </c>
      <c r="E136" s="450" t="s">
        <v>5178</v>
      </c>
      <c r="F136" s="450" t="s">
        <v>5574</v>
      </c>
      <c r="G136" s="665" t="s">
        <v>5901</v>
      </c>
      <c r="H136" s="450" t="s">
        <v>5902</v>
      </c>
      <c r="I136" s="2181" t="s">
        <v>5903</v>
      </c>
      <c r="J136" s="450" t="s">
        <v>1951</v>
      </c>
      <c r="K136" s="450"/>
      <c r="L136" s="450"/>
      <c r="M136" s="450"/>
      <c r="N136" s="1370"/>
      <c r="O136" s="1371"/>
    </row>
    <row r="137" spans="1:15" x14ac:dyDescent="0.25">
      <c r="A137" s="450" t="str">
        <f t="shared" si="12"/>
        <v>DP Wilson Community College</v>
      </c>
      <c r="B137" s="1184" t="s">
        <v>5291</v>
      </c>
      <c r="C137" s="1184" t="s">
        <v>5291</v>
      </c>
      <c r="D137" s="450" t="s">
        <v>5292</v>
      </c>
      <c r="E137" s="450" t="s">
        <v>5178</v>
      </c>
      <c r="F137" s="450" t="s">
        <v>5574</v>
      </c>
      <c r="G137" s="665" t="s">
        <v>5904</v>
      </c>
      <c r="H137" s="450" t="s">
        <v>5905</v>
      </c>
      <c r="I137" s="2183" t="s">
        <v>5906</v>
      </c>
      <c r="J137" s="450" t="s">
        <v>1951</v>
      </c>
      <c r="K137" s="450"/>
      <c r="L137" s="450"/>
      <c r="M137" s="450"/>
      <c r="N137" s="1370"/>
      <c r="O137" s="1371"/>
    </row>
    <row r="138" spans="1:15" x14ac:dyDescent="0.25">
      <c r="A138" s="450"/>
      <c r="B138" s="1184" t="s">
        <v>5907</v>
      </c>
      <c r="C138" s="1184"/>
      <c r="D138" s="450"/>
      <c r="E138" s="450"/>
      <c r="F138" s="450"/>
      <c r="J138" s="450"/>
      <c r="K138" s="450"/>
      <c r="L138" s="450"/>
      <c r="M138" s="450"/>
      <c r="N138" s="1370"/>
    </row>
    <row r="140" spans="1:15" x14ac:dyDescent="0.25">
      <c r="A140" s="450"/>
      <c r="B140" s="450"/>
      <c r="C140" s="450" t="s">
        <v>5908</v>
      </c>
      <c r="D140" s="450"/>
      <c r="E140" s="450"/>
      <c r="F140" s="450"/>
      <c r="J140" s="450"/>
      <c r="K140" s="450"/>
      <c r="L140" s="450"/>
      <c r="M140" s="450"/>
    </row>
    <row r="141" spans="1:15" x14ac:dyDescent="0.25">
      <c r="A141" s="450"/>
      <c r="B141" s="450"/>
      <c r="C141" s="450" t="s">
        <v>5231</v>
      </c>
      <c r="D141" s="450" t="s">
        <v>5909</v>
      </c>
      <c r="E141" s="450"/>
      <c r="F141" s="450"/>
      <c r="J141" s="450"/>
      <c r="K141" s="450"/>
      <c r="L141" s="450"/>
      <c r="M141" s="450"/>
    </row>
    <row r="142" spans="1:15" x14ac:dyDescent="0.25">
      <c r="A142" s="450"/>
      <c r="B142" s="450"/>
      <c r="C142" s="450" t="s">
        <v>4655</v>
      </c>
      <c r="D142" s="450" t="s">
        <v>5910</v>
      </c>
      <c r="E142" s="450"/>
      <c r="F142" s="450"/>
      <c r="J142" s="450"/>
      <c r="K142" s="450"/>
      <c r="L142" s="450"/>
      <c r="M142" s="450"/>
    </row>
    <row r="143" spans="1:15" x14ac:dyDescent="0.25">
      <c r="A143" s="450"/>
      <c r="B143" s="450"/>
      <c r="C143" s="450" t="s">
        <v>5199</v>
      </c>
      <c r="D143" s="450" t="s">
        <v>5911</v>
      </c>
      <c r="E143" s="450"/>
      <c r="F143" s="450"/>
      <c r="J143" s="450"/>
      <c r="K143" s="450"/>
      <c r="L143" s="450"/>
      <c r="M143" s="450"/>
    </row>
    <row r="144" spans="1:15" x14ac:dyDescent="0.25">
      <c r="A144" s="450"/>
      <c r="B144" s="450"/>
      <c r="C144" s="529" t="s">
        <v>5912</v>
      </c>
      <c r="D144" s="450" t="s">
        <v>5913</v>
      </c>
      <c r="E144" s="450"/>
      <c r="F144" s="450"/>
      <c r="J144" s="450"/>
      <c r="K144" s="450"/>
      <c r="L144" s="450"/>
      <c r="M144" s="450"/>
    </row>
    <row r="145" spans="1:13" x14ac:dyDescent="0.25">
      <c r="A145" s="450"/>
      <c r="B145" s="450"/>
      <c r="C145" s="450" t="s">
        <v>1865</v>
      </c>
      <c r="D145" s="436" t="s">
        <v>5914</v>
      </c>
      <c r="E145" s="450"/>
      <c r="F145" s="450"/>
      <c r="J145" s="450"/>
      <c r="K145" s="450"/>
      <c r="L145" s="450"/>
      <c r="M145" s="450"/>
    </row>
    <row r="146" spans="1:13" x14ac:dyDescent="0.25">
      <c r="A146" s="450"/>
      <c r="B146" s="450"/>
      <c r="C146" s="450" t="s">
        <v>5574</v>
      </c>
      <c r="D146" s="436" t="s">
        <v>5915</v>
      </c>
      <c r="E146" s="450"/>
      <c r="F146" s="450"/>
      <c r="J146" s="450"/>
      <c r="K146" s="450"/>
      <c r="L146" s="450"/>
      <c r="M146" s="450"/>
    </row>
    <row r="148" spans="1:13" x14ac:dyDescent="0.25">
      <c r="A148" s="450"/>
      <c r="B148" s="450"/>
      <c r="C148" s="450" t="s">
        <v>5916</v>
      </c>
      <c r="D148" s="450"/>
      <c r="E148" s="450"/>
      <c r="F148" s="450"/>
      <c r="J148" s="450"/>
      <c r="K148" s="450"/>
      <c r="L148" s="450"/>
      <c r="M148" s="450"/>
    </row>
    <row r="149" spans="1:13" x14ac:dyDescent="0.25">
      <c r="A149" s="450"/>
      <c r="B149" s="450"/>
      <c r="C149" s="450" t="s">
        <v>5917</v>
      </c>
      <c r="D149" s="450"/>
      <c r="E149" s="450"/>
      <c r="F149" s="450"/>
      <c r="J149" s="450"/>
      <c r="K149" s="450"/>
      <c r="L149" s="450"/>
      <c r="M149" s="450"/>
    </row>
    <row r="150" spans="1:13" x14ac:dyDescent="0.25">
      <c r="A150" s="450"/>
      <c r="B150" s="450"/>
      <c r="C150" s="450"/>
      <c r="D150" s="450"/>
      <c r="E150" s="450"/>
      <c r="F150" s="450"/>
      <c r="J150" s="450"/>
      <c r="K150" s="450"/>
      <c r="L150" s="450"/>
      <c r="M150" s="450"/>
    </row>
    <row r="152" spans="1:13" x14ac:dyDescent="0.25">
      <c r="A152" s="450" t="str">
        <f>C152&amp;" "&amp;D152</f>
        <v xml:space="preserve"> </v>
      </c>
      <c r="B152" s="450">
        <v>40</v>
      </c>
      <c r="C152" s="1184"/>
      <c r="D152" s="450"/>
      <c r="E152" s="450"/>
      <c r="F152" s="450"/>
      <c r="G152" s="665"/>
      <c r="J152" s="450"/>
      <c r="K152" s="450"/>
      <c r="L152" s="450" t="b">
        <f>ISTEXT(B152)</f>
        <v>0</v>
      </c>
      <c r="M152" s="450"/>
    </row>
  </sheetData>
  <sheetProtection algorithmName="SHA-512" hashValue="LfDT9lTSc5UrFUHq2gxlAxj5h9zrQLCHzxl7ye8qepNLCm29qIJRKv/AJo16YGWVAR/9qfj7gZk7onLjXVUoxQ==" saltValue="XEhxc/vwBLkkI1G4YxPyCg==" spinCount="100000" sheet="1" autoFilter="0"/>
  <autoFilter ref="A1:M138" xr:uid="{D5EACDEB-6328-405E-9C04-2B41E6186EF1}"/>
  <customSheetViews>
    <customSheetView guid="{9FCFC836-1CA5-48BF-958D-24D2EA94B219}" hiddenColumns="1" topLeftCell="C1">
      <pane ySplit="2" topLeftCell="A3" activePane="bottomLeft" state="frozen"/>
      <selection pane="bottomLeft" activeCell="H3" sqref="H3"/>
      <pageMargins left="0" right="0" top="0" bottom="0" header="0" footer="0"/>
      <printOptions gridLines="1"/>
      <pageSetup scale="97" orientation="portrait" r:id="rId1"/>
      <headerFooter alignWithMargins="0"/>
    </customSheetView>
    <customSheetView guid="{B08879A4-635B-4C39-9937-AC7883D562FC}" hiddenColumns="1" topLeftCell="C1">
      <pane ySplit="2" topLeftCell="A3" activePane="bottomLeft" state="frozen"/>
      <selection pane="bottomLeft" activeCell="H3" sqref="H3"/>
      <pageMargins left="0" right="0" top="0" bottom="0" header="0" footer="0"/>
      <printOptions gridLines="1"/>
      <pageSetup scale="97" orientation="portrait" r:id="rId2"/>
      <headerFooter alignWithMargins="0"/>
    </customSheetView>
  </customSheetViews>
  <phoneticPr fontId="18" type="noConversion"/>
  <hyperlinks>
    <hyperlink ref="D1" location="Index!A1" display="Office of the State Controller" xr:uid="{00000000-0004-0000-5D00-000000000000}"/>
    <hyperlink ref="I56" r:id="rId3" xr:uid="{782A4252-3FC5-4A27-914E-3C26E45935A1}"/>
    <hyperlink ref="I14" r:id="rId4" xr:uid="{2E987D4B-9097-49C1-980F-A355C238E235}"/>
    <hyperlink ref="I27" r:id="rId5" xr:uid="{EBD7C83A-14CF-4893-A101-A11DA2221889}"/>
    <hyperlink ref="I47" r:id="rId6" xr:uid="{AD19E83C-5ADE-4C82-B92F-6E3DB9EEAB15}"/>
    <hyperlink ref="I48" r:id="rId7" xr:uid="{C6193E76-F88E-468A-9FCB-5925AAC20FDD}"/>
    <hyperlink ref="I49" r:id="rId8" xr:uid="{B4140F17-FEA5-4820-8E1B-9798CB500A88}"/>
    <hyperlink ref="I60" r:id="rId9" xr:uid="{A109FE85-BC3F-4776-8E2C-2AC642F2583D}"/>
    <hyperlink ref="I68" r:id="rId10" xr:uid="{EEE4E0A6-4560-4C44-88FC-D6965029B349}"/>
    <hyperlink ref="I76" r:id="rId11" xr:uid="{AE24EE8F-AFC1-481A-8512-BA2F0353B476}"/>
    <hyperlink ref="I3" r:id="rId12" xr:uid="{81A28B72-6B1A-41E5-96B3-D3349693B935}"/>
    <hyperlink ref="I13" r:id="rId13" xr:uid="{DB4C5B8A-EA0F-4C1F-A5BC-9A50B3E5BE12}"/>
    <hyperlink ref="I15" r:id="rId14" xr:uid="{F873EB5E-D062-4200-A180-0BDA78E4C34F}"/>
    <hyperlink ref="I19" r:id="rId15" xr:uid="{454F4495-916D-4898-B5A5-1EF124A46E15}"/>
    <hyperlink ref="I28" r:id="rId16" xr:uid="{DD3A714C-F059-455A-B403-4FDFD42BFA4B}"/>
    <hyperlink ref="I58" r:id="rId17" xr:uid="{DFFFD3E0-F4DB-41C9-8225-F60E0DE9A3B1}"/>
    <hyperlink ref="I59" r:id="rId18" xr:uid="{C718CC1C-A787-4331-9BB1-F79D7A586AD3}"/>
    <hyperlink ref="I5" r:id="rId19" xr:uid="{E6D902A9-9F3F-41ED-83C4-111A442E8309}"/>
    <hyperlink ref="I50" r:id="rId20" xr:uid="{F4D5F5F9-1C37-491A-B33F-F5B1ABDFC551}"/>
    <hyperlink ref="I63" r:id="rId21" xr:uid="{15EA3FD6-7108-4CC1-AC15-935A69B18833}"/>
    <hyperlink ref="I73" r:id="rId22" xr:uid="{DDF6B4DE-4600-490B-B80B-9283107D8520}"/>
    <hyperlink ref="I62" r:id="rId23" xr:uid="{3D3FFA43-5BAF-464C-A5B6-E9894FD263E8}"/>
    <hyperlink ref="I7" r:id="rId24" xr:uid="{35AF2C85-8F6C-4F37-98FA-46D9B50DB6EE}"/>
    <hyperlink ref="I11" r:id="rId25" xr:uid="{F9B8B162-DF32-4C07-9FDA-4D97EE6DE666}"/>
    <hyperlink ref="I54" r:id="rId26" display="mailto:Mrobe138@uncc.edu" xr:uid="{207F75B3-F256-4B80-AFD2-20B2F859E8D0}"/>
    <hyperlink ref="I75" r:id="rId27" xr:uid="{F3E17E32-9F96-495A-9364-0CA45D321BDB}"/>
    <hyperlink ref="I8" r:id="rId28" xr:uid="{A1A05E12-A319-4AB9-BA59-49B0FE18CEA7}"/>
    <hyperlink ref="I26" r:id="rId29" xr:uid="{FA41F03E-0A25-4151-808F-926F4CC64955}"/>
    <hyperlink ref="I44" r:id="rId30" xr:uid="{AACD4A27-1541-485C-A6F1-F41AB7ED4FDC}"/>
    <hyperlink ref="I46" r:id="rId31" xr:uid="{283D82F6-2D87-4A52-983F-809D452290CC}"/>
    <hyperlink ref="I66" r:id="rId32" xr:uid="{2D319E3B-B4FC-4927-8309-723A3F19AB53}"/>
    <hyperlink ref="I78" r:id="rId33" xr:uid="{C4736EF7-C4C3-44E8-9012-4C067D433111}"/>
    <hyperlink ref="I12" r:id="rId34" xr:uid="{0B818A20-91D6-4199-87BD-AD8C7105B2A7}"/>
    <hyperlink ref="I43" r:id="rId35" xr:uid="{BE1328EF-FD09-42AF-A151-AB0F15D68532}"/>
    <hyperlink ref="I52" r:id="rId36" xr:uid="{ACE5B963-05E0-4539-ACC4-6B2602F7D046}"/>
    <hyperlink ref="I65" r:id="rId37" xr:uid="{DC67EEBB-C3B6-4B35-8A11-D87925792B9A}"/>
    <hyperlink ref="I77" r:id="rId38" xr:uid="{05711D63-C518-483E-87B7-A179AFBBAD51}"/>
    <hyperlink ref="I51" r:id="rId39" xr:uid="{DAED03EB-811A-40F9-950E-3F89B57AE43F}"/>
    <hyperlink ref="I39" r:id="rId40" xr:uid="{5E5EAA7A-066C-4ED2-B82D-764250881A0A}"/>
    <hyperlink ref="I69" r:id="rId41" xr:uid="{E39AC599-B56A-4918-BB33-5F2516593519}"/>
    <hyperlink ref="I70" r:id="rId42" xr:uid="{4782AD40-F512-4CC1-B788-D81AF6E681EA}"/>
    <hyperlink ref="I72" r:id="rId43" xr:uid="{61ADF6E5-9627-4549-BD8A-F919A9024761}"/>
    <hyperlink ref="I64" r:id="rId44" xr:uid="{0152B088-37D6-4F93-93D0-4A38FD6F2C1C}"/>
    <hyperlink ref="I57" r:id="rId45" xr:uid="{996625C9-DFFC-474D-9953-36F837ACF48F}"/>
    <hyperlink ref="I40" r:id="rId46" xr:uid="{79184649-D44D-4036-AD48-FA337D44536A}"/>
    <hyperlink ref="I21" r:id="rId47" xr:uid="{9AFA6246-E9E4-47A2-9810-D75F7021CCD7}"/>
    <hyperlink ref="I4" r:id="rId48" xr:uid="{F7A44DDB-679D-4476-AA92-5CAA105FE94E}"/>
    <hyperlink ref="I29" r:id="rId49" display="mailto:Ryan.Hertel@unchealth.unc.edu" xr:uid="{61988207-91C3-45DA-8564-8395A689C589}"/>
    <hyperlink ref="I30" r:id="rId50" display="mailto:Jeffrey.Stevens@unchealth.unc.edu" xr:uid="{AD4D3711-3EB6-4A88-B306-C47FBA223DCD}"/>
    <hyperlink ref="I31" r:id="rId51" display="mailto:Michael.Griffin@unchealth.unc.edu" xr:uid="{C28681AC-E60D-4250-B11A-2127DB8FC547}"/>
    <hyperlink ref="I32" r:id="rId52" display="mailto:David.Sims@unchealth.unc.edu" xr:uid="{BE679855-D921-4B3A-9ECE-F598C58F5445}"/>
    <hyperlink ref="I33" r:id="rId53" display="mailto:Lisa.Cox2@unchealth.unc.edu" xr:uid="{CB0191CB-C6D4-4B3B-85C0-471FF04367E1}"/>
    <hyperlink ref="I34" r:id="rId54" display="mailto:Lisa.Cox2@unchealth.unc.edu" xr:uid="{2599416F-2F09-4B8C-8EB4-55F96D6F8C69}"/>
    <hyperlink ref="I35" r:id="rId55" display="mailto:Carolyn.Perkins@unchealth.unc.edu" xr:uid="{2A62780F-CC02-4804-87BA-941AA269710B}"/>
    <hyperlink ref="I36" r:id="rId56" display="mailto:William.Hostermanjr@unchealth.unc.edu" xr:uid="{CD871B45-7029-4680-9D55-F5C0078AB3C2}"/>
    <hyperlink ref="I37" r:id="rId57" display="mailto:Jeffrey.Stevens@unchealth.unc.edu" xr:uid="{7F63DB72-EDD0-4572-9E07-50339BF64400}"/>
    <hyperlink ref="I17" r:id="rId58" xr:uid="{C7921D87-067D-49D2-B8DB-FBED81EF38FD}"/>
    <hyperlink ref="I25" r:id="rId59" xr:uid="{330E0DB8-C64C-432F-9D5B-E1256A34B094}"/>
    <hyperlink ref="I20" r:id="rId60" xr:uid="{E63821FA-4FF2-4BB0-B18D-0B0041A06B43}"/>
    <hyperlink ref="I79" r:id="rId61" xr:uid="{AD182FE7-79C3-4D24-BD16-C135955D30CC}"/>
    <hyperlink ref="I18" r:id="rId62" xr:uid="{CFC1E2E1-9A51-466C-A432-C2BD1EF298B1}"/>
    <hyperlink ref="I61" r:id="rId63" xr:uid="{1B53F1FD-496D-4BC7-8875-F362EAE372AB}"/>
    <hyperlink ref="I10" r:id="rId64" xr:uid="{228A22B2-DD27-4F3B-B645-9AC70E26EDF8}"/>
    <hyperlink ref="I45" r:id="rId65" xr:uid="{0B3C92D3-1F00-4CBC-9626-544F744F3440}"/>
    <hyperlink ref="I9" r:id="rId66" xr:uid="{B39A6AE9-186A-4800-B9F5-3EC65456BAE2}"/>
    <hyperlink ref="I83" r:id="rId67" xr:uid="{2A85284F-286D-4EEF-8CED-CF8345BF0D85}"/>
    <hyperlink ref="I84" r:id="rId68" display="mailto:carolyna@blueridge.edu" xr:uid="{5FFEB3D0-F5D4-4EE9-A506-F78B9675D4CE}"/>
    <hyperlink ref="I85" r:id="rId69" display="mailto:culpeppers@brunswickcc.edu" xr:uid="{24709959-BC87-49CD-ABAC-B6AED46B92CE}"/>
    <hyperlink ref="I87" r:id="rId70" xr:uid="{DB0242AF-C7CC-41B0-9C09-3E1EC388DC1F}"/>
    <hyperlink ref="I88" r:id="rId71" display="mailto:cumbied@carteret.edu" xr:uid="{BF41F919-EEC7-40B8-BD1E-1C08C7A971A8}"/>
    <hyperlink ref="I89" r:id="rId72" display="mailto:sswanson109@cvcc.edu" xr:uid="{927C219A-C8CD-48DA-B4B3-3331FA295A2A}"/>
    <hyperlink ref="I90" r:id="rId73" display="mailto:bbrid219@cccc.edu" xr:uid="{402CC074-FA3A-4E83-8006-641631D4FC57}"/>
    <hyperlink ref="I91" r:id="rId74" display="mailto:lauren.gates@cpcc.edu" xr:uid="{C09DDB4A-8797-4247-B5B3-DED975C34D05}"/>
    <hyperlink ref="I94" r:id="rId75" display="mailto:susan_gentry@albemarle.edu" xr:uid="{EB12E0A7-FAA2-4E92-8474-DD3DD1BDA810}"/>
    <hyperlink ref="I96" r:id="rId76" display="mailto:jennifer_starsick@davidsondavie.edu" xr:uid="{BE9D448A-AF10-4825-AEB9-A87BFACB8EFE}"/>
    <hyperlink ref="I97" r:id="rId77" display="mailto:kleitsch@durhamtech.edu" xr:uid="{D72DF775-EA53-47D6-A9C4-BD55A13DBEEB}"/>
    <hyperlink ref="I98" r:id="rId78" display="mailto:twittyp@edgecombe.edu" xr:uid="{B6EA65A8-32DB-4700-B7F7-719244EF554D}"/>
    <hyperlink ref="I99" r:id="rId79" display="mailto:deaverr@faytechcc.edu" xr:uid="{0F04FC98-432D-4D68-86D3-FC53CDA3AE58}"/>
    <hyperlink ref="I100" r:id="rId80" xr:uid="{FEDD611B-CD61-4A8D-85AD-6D78725940B3}"/>
    <hyperlink ref="I101" r:id="rId81" display="mailto:alman.shelly@gaston.edu" xr:uid="{6676D92F-6857-465E-BA36-E7558EDD05F8}"/>
    <hyperlink ref="I102" r:id="rId82" xr:uid="{60BFFB37-64C8-4868-81BC-ADE76452F3E4}"/>
    <hyperlink ref="I103" r:id="rId83" display="mailto:ssmith640@halifaxcc.edu" xr:uid="{5240DCDA-4824-4DA3-B1D1-33BB94F9DE1D}"/>
    <hyperlink ref="I105" r:id="rId84" xr:uid="{61882CBC-697A-4829-8875-2DAB9FCC59D7}"/>
    <hyperlink ref="I107" r:id="rId85" display="mailto:dgwebb@johnstoncc.edu" xr:uid="{6E78DCD1-59F4-48AC-A46F-E7E1ABCF2EA6}"/>
    <hyperlink ref="I108" r:id="rId86" xr:uid="{D6A5520B-4AD7-46B3-9FFF-613DD5AD1A96}"/>
    <hyperlink ref="I109" r:id="rId87" display="mailto:tammy.bailey@martincc.edu" xr:uid="{B3568D70-A796-42B5-B7E4-8DD3DBF4E3D0}"/>
    <hyperlink ref="I110" r:id="rId88" display="mailto:crenfro@mayland.edu" xr:uid="{4C903D85-9F77-4174-AB00-31B15FF5FC43}"/>
    <hyperlink ref="I111" r:id="rId89" xr:uid="{84239D41-149E-45CF-812E-99A1EA31E981}"/>
    <hyperlink ref="I112" r:id="rId90" display="mailto:jharris@mitchellcc.edu" xr:uid="{0834F5AD-743C-476B-93D4-2BE97DBFDCF2}"/>
    <hyperlink ref="I114" r:id="rId91" display="mailto:cjdornseif810@nashcc.edu" xr:uid="{1BD5CC55-7344-418B-BC73-3F3422012D81}"/>
    <hyperlink ref="I116" r:id="rId92" display="mailto:Beverly.murphy@piedmontcc.edu" xr:uid="{1DCB9532-1222-432D-994D-A035E8F85DC6}"/>
    <hyperlink ref="I117" r:id="rId93" display="mailto:apeaden@email.pittcc.edu" xr:uid="{2B9C6749-67C4-4C8C-8488-9E102E0828B7}"/>
    <hyperlink ref="I118" r:id="rId94" display="mailto:cebiby@randolph.edu" xr:uid="{F9F33DD0-B88F-4D5E-83B0-9F51C8A05245}"/>
    <hyperlink ref="I119" r:id="rId95" display="mailto:dccashwell@richmondcc.edu" xr:uid="{457CE190-0390-45EC-A470-E165AB1DA306}"/>
    <hyperlink ref="I120" r:id="rId96" display="mailto:carriedouglas8479@roanokechowan.edu" xr:uid="{A3925D72-4409-4CEE-B47B-90D6F6084435}"/>
    <hyperlink ref="I122" r:id="rId97" display="mailto:mooreg6174@rockinghamcc.edu" xr:uid="{8D91F079-BD6A-488D-9AD5-4D2F6F17F9EF}"/>
    <hyperlink ref="I123" r:id="rId98" xr:uid="{CCA7670F-570B-4B6F-8389-866863796D66}"/>
    <hyperlink ref="I125" r:id="rId99" xr:uid="{F8389CCE-20AD-499C-B376-01B118DFC048}"/>
    <hyperlink ref="I126" r:id="rId100" display="mailto:jricketts2@spcc.edu" xr:uid="{C8E7F509-6CE9-445B-98A4-33158E88D006}"/>
    <hyperlink ref="I127" r:id="rId101" display="mailto:donna.turbeville@sccnc.edu" xr:uid="{0B6FC0A2-A978-4983-9C15-52A153A0CF48}"/>
    <hyperlink ref="I129" r:id="rId102" display="mailto:kbradshaw9661@stanly.edu" xr:uid="{4FADD596-695D-4CD3-97D5-643BC211870D}"/>
    <hyperlink ref="I130" r:id="rId103" display="mailto:martint@surry.edu" xr:uid="{46AC9523-A640-4B23-9F47-8B3FEE1F0136}"/>
    <hyperlink ref="I131" r:id="rId104" display="mailto:bvespasian@tricountycc.edu" xr:uid="{E9A908C2-A58B-4C04-B96A-BD1102DC55FF}"/>
    <hyperlink ref="I132" r:id="rId105" xr:uid="{F4C28242-AA9D-482D-B0DA-BA9A356CA453}"/>
    <hyperlink ref="I135" r:id="rId106" display="mailto:marney@wpcc.edu" xr:uid="{2B8F436C-7F11-4AA4-B61E-FE82457D95ED}"/>
    <hyperlink ref="I136" r:id="rId107" display="mailto:cahuffman078@wilkescc.edu" xr:uid="{F35435CB-CFCC-4941-BF6F-CB4A41A430C1}"/>
    <hyperlink ref="I137" r:id="rId108" xr:uid="{37AEC705-921B-452F-A110-C58F3E7C8E94}"/>
    <hyperlink ref="I95" r:id="rId109" xr:uid="{9B0C13E0-914F-452E-9F78-A579FAD3A057}"/>
    <hyperlink ref="I128" r:id="rId110" xr:uid="{1FC1DBD9-726B-4C81-86BB-C65F6DCB00F8}"/>
    <hyperlink ref="I80" r:id="rId111" xr:uid="{524F2BFD-92BA-49C1-B85D-7BC11A538AC2}"/>
    <hyperlink ref="I81" r:id="rId112" display="mailto:kristabellcertain@abtech.edu" xr:uid="{3CD074B6-55E1-47FE-95A4-6ED7605C20A0}"/>
    <hyperlink ref="I82" r:id="rId113" xr:uid="{2CC1DA40-10F5-4838-B4D6-9992B8A2112D}"/>
    <hyperlink ref="I86" r:id="rId114" xr:uid="{1FFD5DC5-9CA2-4F84-8008-B8F6A502C23A}"/>
    <hyperlink ref="I133" r:id="rId115" xr:uid="{9FB36BFE-73A8-48D3-815B-11896998B02C}"/>
    <hyperlink ref="I38" r:id="rId116" xr:uid="{BBBBCE02-DF7A-4D00-B37F-B679C9421A98}"/>
    <hyperlink ref="I53" r:id="rId117" display="mailto:g_bibi@uncg.edu" xr:uid="{3AFD4C03-D7EF-432E-9E13-22CBB0E5FE18}"/>
  </hyperlinks>
  <printOptions headings="1"/>
  <pageMargins left="0.43" right="0.18" top="0.5" bottom="0.5" header="0.5" footer="0.5"/>
  <pageSetup scale="97" orientation="landscape" r:id="rId118"/>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3"/>
  <dimension ref="A1:C14"/>
  <sheetViews>
    <sheetView workbookViewId="0">
      <selection activeCell="A23" sqref="A23"/>
    </sheetView>
  </sheetViews>
  <sheetFormatPr defaultRowHeight="12.75" x14ac:dyDescent="0.2"/>
  <cols>
    <col min="1" max="1" width="21.7109375" customWidth="1"/>
    <col min="2" max="2" width="15.42578125" bestFit="1" customWidth="1"/>
    <col min="3" max="3" width="28.42578125" bestFit="1" customWidth="1"/>
  </cols>
  <sheetData>
    <row r="1" spans="1:3" ht="15.75" x14ac:dyDescent="0.25">
      <c r="A1" s="1100" t="s">
        <v>0</v>
      </c>
    </row>
    <row r="2" spans="1:3" ht="15.75" x14ac:dyDescent="0.25">
      <c r="A2" s="1101" t="s">
        <v>304</v>
      </c>
    </row>
    <row r="4" spans="1:3" ht="15.75" x14ac:dyDescent="0.25">
      <c r="A4" s="1103" t="s">
        <v>5918</v>
      </c>
      <c r="B4" s="1103" t="s">
        <v>5919</v>
      </c>
      <c r="C4" s="1103" t="s">
        <v>5920</v>
      </c>
    </row>
    <row r="5" spans="1:3" ht="15.75" x14ac:dyDescent="0.25">
      <c r="A5" s="665" t="s">
        <v>5921</v>
      </c>
      <c r="B5" s="665" t="s">
        <v>5922</v>
      </c>
      <c r="C5" s="1102" t="s">
        <v>5923</v>
      </c>
    </row>
    <row r="6" spans="1:3" ht="15.75" x14ac:dyDescent="0.25">
      <c r="A6" s="665" t="s">
        <v>5924</v>
      </c>
      <c r="B6" s="665" t="s">
        <v>5925</v>
      </c>
      <c r="C6" s="1102" t="s">
        <v>5926</v>
      </c>
    </row>
    <row r="7" spans="1:3" ht="15.75" x14ac:dyDescent="0.25">
      <c r="A7" s="665" t="s">
        <v>5927</v>
      </c>
      <c r="B7" s="665" t="s">
        <v>5928</v>
      </c>
      <c r="C7" s="1102" t="s">
        <v>5929</v>
      </c>
    </row>
    <row r="8" spans="1:3" ht="15.75" x14ac:dyDescent="0.25">
      <c r="A8" s="665" t="s">
        <v>5930</v>
      </c>
      <c r="B8" s="665" t="s">
        <v>5931</v>
      </c>
      <c r="C8" s="1102" t="s">
        <v>5932</v>
      </c>
    </row>
    <row r="9" spans="1:3" ht="15.75" x14ac:dyDescent="0.25">
      <c r="A9" s="665" t="s">
        <v>5933</v>
      </c>
      <c r="B9" s="665" t="s">
        <v>5934</v>
      </c>
      <c r="C9" s="1102" t="s">
        <v>5935</v>
      </c>
    </row>
    <row r="10" spans="1:3" ht="15.75" x14ac:dyDescent="0.25">
      <c r="A10" s="665" t="s">
        <v>5936</v>
      </c>
      <c r="B10" s="665" t="s">
        <v>5937</v>
      </c>
      <c r="C10" s="1102" t="s">
        <v>5938</v>
      </c>
    </row>
    <row r="11" spans="1:3" ht="15.75" x14ac:dyDescent="0.25">
      <c r="A11" s="665" t="s">
        <v>5939</v>
      </c>
      <c r="B11" s="665" t="s">
        <v>5940</v>
      </c>
      <c r="C11" s="1102" t="s">
        <v>5941</v>
      </c>
    </row>
    <row r="12" spans="1:3" ht="15.75" x14ac:dyDescent="0.25">
      <c r="A12" s="665" t="s">
        <v>5942</v>
      </c>
      <c r="B12" s="665" t="s">
        <v>5943</v>
      </c>
      <c r="C12" s="1232" t="s">
        <v>5944</v>
      </c>
    </row>
    <row r="13" spans="1:3" ht="15.75" x14ac:dyDescent="0.25">
      <c r="A13" s="665" t="s">
        <v>5945</v>
      </c>
      <c r="B13" s="665" t="s">
        <v>5946</v>
      </c>
      <c r="C13" s="1102" t="s">
        <v>5947</v>
      </c>
    </row>
    <row r="14" spans="1:3" ht="15.75" x14ac:dyDescent="0.25">
      <c r="A14" s="665" t="s">
        <v>5948</v>
      </c>
      <c r="B14" s="665" t="s">
        <v>5949</v>
      </c>
      <c r="C14" s="1102" t="s">
        <v>5950</v>
      </c>
    </row>
  </sheetData>
  <sheetProtection algorithmName="SHA-512" hashValue="0W50tKv1yhZ4GC24HT7j0IUjpfpC89ichENR/d5x7GYySQS/7ZOkeh2pDlJwtLoZipiMLIlFo+CwlgC2I+arLg==" saltValue="Ptr9VBXYwj9aUrM3QAXqiA==" spinCount="100000" sheet="1" autoFilter="0"/>
  <sortState xmlns:xlrd2="http://schemas.microsoft.com/office/spreadsheetml/2017/richdata2" ref="A7:C13">
    <sortCondition ref="A7:A13"/>
  </sortState>
  <hyperlinks>
    <hyperlink ref="A1" location="Index!A1" display="Office of the State Controller" xr:uid="{00000000-0004-0000-5E00-000000000000}"/>
    <hyperlink ref="C10" r:id="rId1" xr:uid="{00000000-0004-0000-5E00-000003000000}"/>
    <hyperlink ref="C5" r:id="rId2" xr:uid="{00000000-0004-0000-5E00-000007000000}"/>
    <hyperlink ref="C7" r:id="rId3" xr:uid="{00000000-0004-0000-5E00-000009000000}"/>
    <hyperlink ref="C11" r:id="rId4" xr:uid="{0FFBA45E-DBD1-4011-BF36-9E81C25034DE}"/>
    <hyperlink ref="C12" r:id="rId5" xr:uid="{5B0F9C9C-8AE3-4C28-80CF-A7A91BF8AAC9}"/>
    <hyperlink ref="C9" r:id="rId6" xr:uid="{0E4418F3-20E4-40DE-9759-5219A974F78F}"/>
    <hyperlink ref="C8" r:id="rId7" xr:uid="{9316D16C-2D6B-415C-96D0-2C7FC804D668}"/>
    <hyperlink ref="C6" r:id="rId8" xr:uid="{0772C546-A701-4E19-B1E8-2DE7A70EDFE6}"/>
    <hyperlink ref="C13" r:id="rId9" xr:uid="{A45CEC54-0FCF-46F7-AD70-2C659C29A35E}"/>
    <hyperlink ref="C14" r:id="rId10" xr:uid="{1B7AABB9-49B4-43F5-A091-CC70268299E9}"/>
  </hyperlinks>
  <pageMargins left="0.7" right="0.7" top="0.75" bottom="0.75" header="0.3" footer="0.3"/>
  <pageSetup orientation="portrait" r:id="rId1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78"/>
  <dimension ref="A1:AC50"/>
  <sheetViews>
    <sheetView zoomScaleNormal="100" workbookViewId="0">
      <pane ySplit="1" topLeftCell="A2" activePane="bottomLeft" state="frozen"/>
      <selection activeCell="R35" sqref="R35"/>
      <selection pane="bottomLeft" activeCell="R35" sqref="R35"/>
    </sheetView>
  </sheetViews>
  <sheetFormatPr defaultColWidth="9.42578125" defaultRowHeight="15.75" x14ac:dyDescent="0.25"/>
  <cols>
    <col min="1" max="1" width="12.5703125" style="210" bestFit="1" customWidth="1"/>
    <col min="2" max="2" width="13.5703125" style="210" bestFit="1" customWidth="1"/>
    <col min="3" max="3" width="2.42578125" style="210" bestFit="1" customWidth="1"/>
    <col min="4" max="4" width="9.5703125" style="210" bestFit="1" customWidth="1"/>
    <col min="5" max="5" width="5.5703125" style="210" bestFit="1" customWidth="1"/>
    <col min="6" max="6" width="60.42578125" style="210" customWidth="1"/>
    <col min="7" max="7" width="6" style="210" bestFit="1" customWidth="1"/>
    <col min="8" max="8" width="11.42578125" style="210" bestFit="1" customWidth="1"/>
    <col min="9" max="10" width="10.42578125" style="210" bestFit="1" customWidth="1"/>
    <col min="11" max="16" width="10.42578125" style="210" customWidth="1"/>
    <col min="17" max="17" width="0.5703125" style="210" customWidth="1"/>
    <col min="18" max="18" width="9.42578125" style="210"/>
    <col min="19" max="19" width="0.5703125" style="210" customWidth="1"/>
    <col min="20" max="28" width="9.42578125" style="210"/>
    <col min="29" max="29" width="9.42578125" style="280"/>
    <col min="30" max="16384" width="9.42578125" style="210"/>
  </cols>
  <sheetData>
    <row r="1" spans="1:22" s="382" customFormat="1" x14ac:dyDescent="0.25">
      <c r="A1" s="2250" t="s">
        <v>5960</v>
      </c>
      <c r="B1" s="2250" t="s">
        <v>5961</v>
      </c>
      <c r="C1" s="2250"/>
      <c r="D1" s="2250" t="s">
        <v>5962</v>
      </c>
      <c r="E1" s="2250" t="s">
        <v>5963</v>
      </c>
      <c r="F1" s="2250" t="s">
        <v>5964</v>
      </c>
      <c r="G1" s="2250" t="s">
        <v>175</v>
      </c>
      <c r="H1" s="1793"/>
      <c r="I1" s="1793"/>
      <c r="J1" s="1793"/>
      <c r="K1" s="1793"/>
      <c r="L1" s="1793"/>
      <c r="M1" s="1793"/>
      <c r="N1" s="1793"/>
      <c r="O1" s="1793"/>
      <c r="P1" s="1793"/>
      <c r="Q1" s="1793"/>
      <c r="R1" s="1793"/>
      <c r="S1" s="1793"/>
      <c r="T1" s="1793"/>
      <c r="U1" s="1793"/>
      <c r="V1" s="1793"/>
    </row>
    <row r="2" spans="1:22" x14ac:dyDescent="0.25">
      <c r="A2" s="854" t="str">
        <f ca="1">E2&amp;D2</f>
        <v>IndexFALSE</v>
      </c>
      <c r="B2" s="854" t="str">
        <f ca="1">E2&amp;C2&amp;D2</f>
        <v>IndexaFALSE</v>
      </c>
      <c r="C2" s="854" t="s">
        <v>401</v>
      </c>
      <c r="D2" s="854" t="b">
        <f ca="1">+R2</f>
        <v>0</v>
      </c>
      <c r="E2" s="854" t="s">
        <v>160</v>
      </c>
      <c r="F2" s="854" t="s">
        <v>5965</v>
      </c>
      <c r="G2" s="854"/>
      <c r="H2" s="854" t="str">
        <f ca="1">MID(CELL("filename"),SEARCH("[",CELL("filename"))+1, SEARCH("]",CELL("filename"))-SEARCH("[",CELL("filename"))-1)</f>
        <v>2024NCFSexcl.xlsx</v>
      </c>
      <c r="I2" s="854" t="str">
        <f>Index!E10&amp;"p.xlsx"</f>
        <v>01p.xlsx</v>
      </c>
      <c r="J2" s="854"/>
      <c r="K2" s="854"/>
      <c r="L2" s="854"/>
      <c r="M2" s="854"/>
      <c r="N2" s="854"/>
      <c r="O2" s="854"/>
      <c r="P2" s="854"/>
      <c r="Q2" s="854"/>
      <c r="R2" s="854" t="b">
        <f ca="1">+H2=I2</f>
        <v>0</v>
      </c>
      <c r="S2" s="854"/>
      <c r="T2" s="854"/>
      <c r="U2" s="854"/>
      <c r="V2" s="854"/>
    </row>
    <row r="3" spans="1:22" x14ac:dyDescent="0.25">
      <c r="A3" s="854" t="str">
        <f>E3&amp;D3</f>
        <v>201FALSE</v>
      </c>
      <c r="B3" s="854" t="str">
        <f>E3&amp;C3&amp;D3</f>
        <v>201aFALSE</v>
      </c>
      <c r="C3" s="854" t="s">
        <v>401</v>
      </c>
      <c r="D3" s="854" t="b">
        <f t="shared" ref="D3:D50" si="0">IF(G3="NA",TRUE,+R3)</f>
        <v>0</v>
      </c>
      <c r="E3" s="854">
        <v>201</v>
      </c>
      <c r="F3" s="854" t="s">
        <v>5966</v>
      </c>
      <c r="G3" s="854">
        <f t="shared" ref="G3:G25" si="1">INDEX(IdxTable,MATCH($E3,IdxSheetNum,0),2)</f>
        <v>0</v>
      </c>
      <c r="H3" s="854" t="b">
        <f>ISBLANK('201'!D8)</f>
        <v>1</v>
      </c>
      <c r="I3" s="854"/>
      <c r="J3" s="854"/>
      <c r="K3" s="854"/>
      <c r="L3" s="854"/>
      <c r="M3" s="854"/>
      <c r="N3" s="854"/>
      <c r="O3" s="854"/>
      <c r="P3" s="854"/>
      <c r="Q3" s="854"/>
      <c r="R3" s="854" t="b">
        <f>NOT(H3)</f>
        <v>0</v>
      </c>
      <c r="S3" s="854"/>
      <c r="T3" s="854"/>
      <c r="U3" s="854"/>
      <c r="V3" s="854"/>
    </row>
    <row r="4" spans="1:22" x14ac:dyDescent="0.25">
      <c r="A4" s="854" t="str">
        <f>E4&amp;D4</f>
        <v>201TRUE</v>
      </c>
      <c r="B4" s="854" t="str">
        <f>E4&amp;C4&amp;D4</f>
        <v>201bTRUE</v>
      </c>
      <c r="C4" s="854" t="s">
        <v>402</v>
      </c>
      <c r="D4" s="854" t="b">
        <f t="shared" si="0"/>
        <v>1</v>
      </c>
      <c r="E4" s="854">
        <v>201</v>
      </c>
      <c r="F4" s="854" t="s">
        <v>5967</v>
      </c>
      <c r="G4" s="854">
        <f t="shared" si="1"/>
        <v>0</v>
      </c>
      <c r="H4" s="854">
        <f>+'201'!R44</f>
        <v>0</v>
      </c>
      <c r="I4" s="854"/>
      <c r="J4" s="854"/>
      <c r="K4" s="854"/>
      <c r="L4" s="854"/>
      <c r="M4" s="854"/>
      <c r="N4" s="854"/>
      <c r="O4" s="854"/>
      <c r="P4" s="854"/>
      <c r="Q4" s="854"/>
      <c r="R4" s="854" t="b">
        <f>H4=0</f>
        <v>1</v>
      </c>
      <c r="S4" s="854"/>
      <c r="T4" s="854"/>
      <c r="U4" s="854"/>
      <c r="V4" s="854"/>
    </row>
    <row r="5" spans="1:22" x14ac:dyDescent="0.25">
      <c r="A5" s="854" t="str">
        <f>E5&amp;D5</f>
        <v>210FALSE</v>
      </c>
      <c r="B5" s="854" t="str">
        <f>E5&amp;C5&amp;D5</f>
        <v>210aFALSE</v>
      </c>
      <c r="C5" s="854" t="s">
        <v>401</v>
      </c>
      <c r="D5" s="854" t="b">
        <f t="shared" si="0"/>
        <v>0</v>
      </c>
      <c r="E5" s="854">
        <v>210</v>
      </c>
      <c r="F5" s="854" t="s">
        <v>5966</v>
      </c>
      <c r="G5" s="854">
        <f t="shared" si="1"/>
        <v>0</v>
      </c>
      <c r="H5" s="854" t="b">
        <f>ISBLANK('210'!D7)</f>
        <v>1</v>
      </c>
      <c r="I5" s="854"/>
      <c r="J5" s="854"/>
      <c r="K5" s="854"/>
      <c r="L5" s="854"/>
      <c r="M5" s="854"/>
      <c r="N5" s="854"/>
      <c r="O5" s="854"/>
      <c r="P5" s="854"/>
      <c r="Q5" s="854"/>
      <c r="R5" s="854" t="b">
        <f>NOT(H5)</f>
        <v>0</v>
      </c>
      <c r="S5" s="854"/>
      <c r="T5" s="854"/>
      <c r="U5" s="854"/>
      <c r="V5" s="854"/>
    </row>
    <row r="6" spans="1:22" x14ac:dyDescent="0.25">
      <c r="A6" s="854" t="e">
        <f t="shared" ref="A6:A14" si="2">E6&amp;D6</f>
        <v>#REF!</v>
      </c>
      <c r="B6" s="854" t="e">
        <f t="shared" ref="B6:B14" si="3">E6&amp;C6&amp;D6</f>
        <v>#REF!</v>
      </c>
      <c r="C6" s="854" t="s">
        <v>402</v>
      </c>
      <c r="D6" s="854" t="e">
        <f t="shared" si="0"/>
        <v>#REF!</v>
      </c>
      <c r="E6" s="854">
        <v>301</v>
      </c>
      <c r="F6" s="854" t="s">
        <v>5968</v>
      </c>
      <c r="G6" s="854">
        <f t="shared" si="1"/>
        <v>0</v>
      </c>
      <c r="H6" s="854" t="e">
        <f>SUM('301'!#REF!,'301'!G47,'301'!I47,'301'!K47)</f>
        <v>#REF!</v>
      </c>
      <c r="I6" s="854" t="e">
        <f>SUM('301'!#REF!,'301'!#REF!,'301'!#REF!,'301'!#REF!)</f>
        <v>#REF!</v>
      </c>
      <c r="J6" s="854"/>
      <c r="K6" s="854"/>
      <c r="L6" s="854"/>
      <c r="M6" s="854"/>
      <c r="N6" s="854"/>
      <c r="O6" s="854"/>
      <c r="P6" s="854"/>
      <c r="Q6" s="854"/>
      <c r="R6" s="854" t="e">
        <f>NOT(OR(T6,U6))</f>
        <v>#REF!</v>
      </c>
      <c r="S6" s="854"/>
      <c r="T6" s="854" t="e">
        <f>AND(H6&gt;0,I6=0)</f>
        <v>#REF!</v>
      </c>
      <c r="U6" s="854" t="e">
        <f>AND(I6&gt;0,H6=0)</f>
        <v>#REF!</v>
      </c>
      <c r="V6" s="854"/>
    </row>
    <row r="7" spans="1:22" x14ac:dyDescent="0.25">
      <c r="A7" s="854" t="str">
        <f t="shared" si="2"/>
        <v>305TRUE</v>
      </c>
      <c r="B7" s="854" t="str">
        <f t="shared" si="3"/>
        <v>305aTRUE</v>
      </c>
      <c r="C7" s="854" t="s">
        <v>401</v>
      </c>
      <c r="D7" s="854" t="b">
        <f t="shared" si="0"/>
        <v>1</v>
      </c>
      <c r="E7" s="854">
        <v>305</v>
      </c>
      <c r="F7" s="854" t="s">
        <v>5969</v>
      </c>
      <c r="G7" s="854">
        <f t="shared" si="1"/>
        <v>0</v>
      </c>
      <c r="H7" s="854">
        <f>+'305'!E33</f>
        <v>0</v>
      </c>
      <c r="I7" s="854">
        <f>+'305'!M33</f>
        <v>0</v>
      </c>
      <c r="J7" s="854">
        <f>+'305'!I33</f>
        <v>0</v>
      </c>
      <c r="K7" s="854">
        <f>+'305'!K33</f>
        <v>0</v>
      </c>
      <c r="L7" s="854"/>
      <c r="M7" s="854"/>
      <c r="N7" s="854"/>
      <c r="O7" s="854"/>
      <c r="P7" s="854"/>
      <c r="Q7" s="854"/>
      <c r="R7" s="854" t="b">
        <f>IF(T7,TRUE,U7)</f>
        <v>1</v>
      </c>
      <c r="S7" s="854"/>
      <c r="T7" s="854" t="b">
        <f>AND(H7=0,I7=0)</f>
        <v>1</v>
      </c>
      <c r="U7" s="854" t="b">
        <f>IF(OR(H7&lt;&gt;0,I7&lt;&gt;0),AND(J7&lt;&gt;0,K7&lt;&gt;0),FALSE)</f>
        <v>0</v>
      </c>
      <c r="V7" s="854"/>
    </row>
    <row r="8" spans="1:22" x14ac:dyDescent="0.25">
      <c r="A8" s="854" t="str">
        <f>E8&amp;D8</f>
        <v>305TRUE</v>
      </c>
      <c r="B8" s="854" t="str">
        <f>E8&amp;C8&amp;D8</f>
        <v>305bTRUE</v>
      </c>
      <c r="C8" s="854" t="s">
        <v>402</v>
      </c>
      <c r="D8" s="854" t="b">
        <f t="shared" si="0"/>
        <v>1</v>
      </c>
      <c r="E8" s="854">
        <v>305</v>
      </c>
      <c r="F8" s="854" t="s">
        <v>5966</v>
      </c>
      <c r="G8" s="854">
        <f t="shared" si="1"/>
        <v>0</v>
      </c>
      <c r="H8" s="854" t="b">
        <f>ISBLANK('305'!D8)</f>
        <v>0</v>
      </c>
      <c r="I8" s="854"/>
      <c r="J8" s="854"/>
      <c r="K8" s="854"/>
      <c r="L8" s="854"/>
      <c r="M8" s="854"/>
      <c r="N8" s="854"/>
      <c r="O8" s="854"/>
      <c r="P8" s="854"/>
      <c r="Q8" s="854"/>
      <c r="R8" s="854" t="b">
        <f>NOT(H8)</f>
        <v>1</v>
      </c>
      <c r="S8" s="854"/>
      <c r="T8" s="854"/>
      <c r="U8" s="854"/>
      <c r="V8" s="854"/>
    </row>
    <row r="9" spans="1:22" x14ac:dyDescent="0.25">
      <c r="A9" s="854" t="str">
        <f t="shared" si="2"/>
        <v>310FALSE</v>
      </c>
      <c r="B9" s="854" t="str">
        <f t="shared" si="3"/>
        <v>310aFALSE</v>
      </c>
      <c r="C9" s="854" t="s">
        <v>401</v>
      </c>
      <c r="D9" s="854" t="b">
        <f t="shared" si="0"/>
        <v>0</v>
      </c>
      <c r="E9" s="854">
        <v>310</v>
      </c>
      <c r="F9" s="854" t="s">
        <v>5969</v>
      </c>
      <c r="G9" s="854">
        <f t="shared" si="1"/>
        <v>0</v>
      </c>
      <c r="H9" s="854" t="str">
        <f>+'310'!E34</f>
        <v/>
      </c>
      <c r="I9" s="854">
        <f>+'310'!M34</f>
        <v>0</v>
      </c>
      <c r="J9" s="854">
        <f>+'310'!I34</f>
        <v>0</v>
      </c>
      <c r="K9" s="854">
        <f>+'310'!K34</f>
        <v>0</v>
      </c>
      <c r="L9" s="854"/>
      <c r="M9" s="854"/>
      <c r="N9" s="854"/>
      <c r="O9" s="854"/>
      <c r="P9" s="854"/>
      <c r="Q9" s="854"/>
      <c r="R9" s="854" t="b">
        <f>IF(T9,TRUE,U9)</f>
        <v>0</v>
      </c>
      <c r="S9" s="854"/>
      <c r="T9" s="854" t="b">
        <f>AND(H9=0,I9=0)</f>
        <v>0</v>
      </c>
      <c r="U9" s="854" t="b">
        <f>IF(OR(H9&lt;&gt;0,I9&lt;&gt;0),AND(J9&lt;&gt;0,K9&lt;&gt;0),FALSE)</f>
        <v>0</v>
      </c>
      <c r="V9" s="854"/>
    </row>
    <row r="10" spans="1:22" x14ac:dyDescent="0.25">
      <c r="A10" s="854" t="str">
        <f t="shared" si="2"/>
        <v>310FALSE</v>
      </c>
      <c r="B10" s="854" t="str">
        <f t="shared" si="3"/>
        <v>310bFALSE</v>
      </c>
      <c r="C10" s="854" t="s">
        <v>402</v>
      </c>
      <c r="D10" s="854" t="b">
        <f t="shared" si="0"/>
        <v>0</v>
      </c>
      <c r="E10" s="854">
        <v>310</v>
      </c>
      <c r="F10" s="854" t="s">
        <v>5966</v>
      </c>
      <c r="G10" s="854">
        <f t="shared" si="1"/>
        <v>0</v>
      </c>
      <c r="H10" s="854" t="b">
        <f>ISBLANK('310'!D8)</f>
        <v>1</v>
      </c>
      <c r="I10" s="854"/>
      <c r="J10" s="854"/>
      <c r="K10" s="854"/>
      <c r="L10" s="854"/>
      <c r="M10" s="854"/>
      <c r="N10" s="854"/>
      <c r="O10" s="854"/>
      <c r="P10" s="854"/>
      <c r="Q10" s="854"/>
      <c r="R10" s="854" t="b">
        <f>NOT(H10)</f>
        <v>0</v>
      </c>
      <c r="S10" s="854"/>
      <c r="T10" s="854"/>
      <c r="U10" s="854"/>
      <c r="V10" s="854"/>
    </row>
    <row r="11" spans="1:22" x14ac:dyDescent="0.25">
      <c r="A11" s="854" t="str">
        <f t="shared" si="2"/>
        <v>315TRUE</v>
      </c>
      <c r="B11" s="854" t="str">
        <f t="shared" si="3"/>
        <v>315bTRUE</v>
      </c>
      <c r="C11" s="854" t="s">
        <v>402</v>
      </c>
      <c r="D11" s="854" t="b">
        <f t="shared" si="0"/>
        <v>1</v>
      </c>
      <c r="E11" s="854">
        <v>315</v>
      </c>
      <c r="F11" s="854" t="s">
        <v>5970</v>
      </c>
      <c r="G11" s="854">
        <f t="shared" si="1"/>
        <v>0</v>
      </c>
      <c r="H11" s="854">
        <f>+'315'!FROM315</f>
        <v>0</v>
      </c>
      <c r="I11" s="854">
        <f>+'315'!_TO315</f>
        <v>0</v>
      </c>
      <c r="J11" s="854"/>
      <c r="K11" s="854"/>
      <c r="L11" s="854"/>
      <c r="M11" s="854"/>
      <c r="N11" s="854"/>
      <c r="O11" s="854"/>
      <c r="P11" s="854"/>
      <c r="Q11" s="854"/>
      <c r="R11" s="854" t="b">
        <f>H11&lt;=I11</f>
        <v>1</v>
      </c>
      <c r="S11" s="854"/>
      <c r="T11" s="854"/>
      <c r="U11" s="854"/>
      <c r="V11" s="854"/>
    </row>
    <row r="12" spans="1:22" x14ac:dyDescent="0.25">
      <c r="A12" s="854" t="str">
        <f t="shared" si="2"/>
        <v>315TRUE</v>
      </c>
      <c r="B12" s="854" t="str">
        <f t="shared" si="3"/>
        <v>315cTRUE</v>
      </c>
      <c r="C12" s="854" t="s">
        <v>403</v>
      </c>
      <c r="D12" s="854" t="b">
        <f t="shared" si="0"/>
        <v>1</v>
      </c>
      <c r="E12" s="854">
        <v>315</v>
      </c>
      <c r="F12" s="854" t="s">
        <v>5971</v>
      </c>
      <c r="G12" s="854">
        <f t="shared" si="1"/>
        <v>0</v>
      </c>
      <c r="H12" s="854">
        <f>+Index!B35</f>
        <v>0</v>
      </c>
      <c r="I12" s="854" t="b">
        <f>ISBLANK('315'!$D15)</f>
        <v>1</v>
      </c>
      <c r="J12" s="854" t="b">
        <f>ISBLANK('315'!$D17)</f>
        <v>1</v>
      </c>
      <c r="K12" s="854" t="b">
        <f>ISBLANK('315'!$D19)</f>
        <v>1</v>
      </c>
      <c r="L12" s="854" t="b">
        <f>ISBLANK('315'!$D21)</f>
        <v>1</v>
      </c>
      <c r="M12" s="854" t="b">
        <f>ISBLANK('315'!$D23)</f>
        <v>1</v>
      </c>
      <c r="N12" s="854" t="b">
        <f>ISBLANK('315'!$D25)</f>
        <v>1</v>
      </c>
      <c r="O12" s="854" t="b">
        <f>ISBLANK('315'!$D27)</f>
        <v>1</v>
      </c>
      <c r="P12" s="854" t="b">
        <f>AND(I12,J12,K12,L12,M12,N12,O12)</f>
        <v>1</v>
      </c>
      <c r="Q12" s="854"/>
      <c r="R12" s="854" t="b">
        <f>IF(OR(H12="NA",T12&gt;5),TRUE,FALSE)</f>
        <v>1</v>
      </c>
      <c r="S12" s="854"/>
      <c r="T12" s="854">
        <f>COUNTIF(I12:O12,TRUE)</f>
        <v>7</v>
      </c>
      <c r="U12" s="854"/>
      <c r="V12" s="854"/>
    </row>
    <row r="13" spans="1:22" x14ac:dyDescent="0.25">
      <c r="A13" s="854" t="str">
        <f t="shared" si="2"/>
        <v>315FALSE</v>
      </c>
      <c r="B13" s="854" t="str">
        <f t="shared" si="3"/>
        <v>315dFALSE</v>
      </c>
      <c r="C13" s="854" t="s">
        <v>404</v>
      </c>
      <c r="D13" s="854" t="b">
        <f t="shared" si="0"/>
        <v>0</v>
      </c>
      <c r="E13" s="854">
        <v>315</v>
      </c>
      <c r="F13" s="854" t="s">
        <v>5972</v>
      </c>
      <c r="G13" s="854">
        <f t="shared" si="1"/>
        <v>0</v>
      </c>
      <c r="H13" s="854">
        <f>+Index!$B$35</f>
        <v>0</v>
      </c>
      <c r="I13" s="854" t="b">
        <f>ISBLANK('315'!_OID315)</f>
        <v>1</v>
      </c>
      <c r="J13" s="854"/>
      <c r="K13" s="854"/>
      <c r="L13" s="854"/>
      <c r="M13" s="854"/>
      <c r="N13" s="854"/>
      <c r="O13" s="854"/>
      <c r="P13" s="854"/>
      <c r="Q13" s="854"/>
      <c r="R13" s="854" t="b">
        <f>OR(AND(H13="NA",I13),I13=FALSE)</f>
        <v>0</v>
      </c>
      <c r="S13" s="854"/>
      <c r="T13" s="854"/>
      <c r="U13" s="854"/>
      <c r="V13" s="854"/>
    </row>
    <row r="14" spans="1:22" x14ac:dyDescent="0.25">
      <c r="A14" s="854" t="str">
        <f t="shared" si="2"/>
        <v>315FALSE</v>
      </c>
      <c r="B14" s="854" t="str">
        <f t="shared" si="3"/>
        <v>315eFALSE</v>
      </c>
      <c r="C14" s="854" t="s">
        <v>405</v>
      </c>
      <c r="D14" s="854" t="b">
        <f t="shared" si="0"/>
        <v>0</v>
      </c>
      <c r="E14" s="854">
        <v>315</v>
      </c>
      <c r="F14" s="854" t="s">
        <v>5973</v>
      </c>
      <c r="G14" s="854">
        <f t="shared" si="1"/>
        <v>0</v>
      </c>
      <c r="H14" s="854">
        <f>+Index!$B$35</f>
        <v>0</v>
      </c>
      <c r="I14" s="854" t="b">
        <f>ISBLANK('315'!FROM315)</f>
        <v>1</v>
      </c>
      <c r="J14" s="854"/>
      <c r="K14" s="854"/>
      <c r="L14" s="854"/>
      <c r="M14" s="854"/>
      <c r="N14" s="854"/>
      <c r="O14" s="854"/>
      <c r="P14" s="854"/>
      <c r="Q14" s="854"/>
      <c r="R14" s="854" t="b">
        <f>OR(AND(H14="NA",I14),I14=FALSE)</f>
        <v>0</v>
      </c>
      <c r="S14" s="854"/>
      <c r="T14" s="854"/>
      <c r="U14" s="854"/>
      <c r="V14" s="854"/>
    </row>
    <row r="15" spans="1:22" x14ac:dyDescent="0.25">
      <c r="A15" s="854" t="str">
        <f t="shared" ref="A15:A25" si="4">E15&amp;D15</f>
        <v>315FALSE</v>
      </c>
      <c r="B15" s="854" t="str">
        <f t="shared" ref="B15:B25" si="5">E15&amp;C15&amp;D15</f>
        <v>315fFALSE</v>
      </c>
      <c r="C15" s="854" t="s">
        <v>406</v>
      </c>
      <c r="D15" s="854" t="b">
        <f t="shared" si="0"/>
        <v>0</v>
      </c>
      <c r="E15" s="854">
        <v>315</v>
      </c>
      <c r="F15" s="854" t="s">
        <v>5974</v>
      </c>
      <c r="G15" s="854">
        <f t="shared" si="1"/>
        <v>0</v>
      </c>
      <c r="H15" s="854">
        <f>+Index!$B$35</f>
        <v>0</v>
      </c>
      <c r="I15" s="854" t="b">
        <f>ISBLANK('315'!_TO315)</f>
        <v>1</v>
      </c>
      <c r="J15" s="854"/>
      <c r="K15" s="854"/>
      <c r="L15" s="854"/>
      <c r="M15" s="854"/>
      <c r="N15" s="854"/>
      <c r="O15" s="854"/>
      <c r="P15" s="854"/>
      <c r="Q15" s="854"/>
      <c r="R15" s="854" t="b">
        <f>OR(AND(H15="NA",I15),I15=FALSE)</f>
        <v>0</v>
      </c>
      <c r="S15" s="854"/>
      <c r="T15" s="854"/>
      <c r="U15" s="854"/>
      <c r="V15" s="854"/>
    </row>
    <row r="16" spans="1:22" x14ac:dyDescent="0.25">
      <c r="A16" s="854" t="str">
        <f t="shared" si="4"/>
        <v>315FALSE</v>
      </c>
      <c r="B16" s="854" t="str">
        <f t="shared" si="5"/>
        <v>315gFALSE</v>
      </c>
      <c r="C16" s="854" t="s">
        <v>407</v>
      </c>
      <c r="D16" s="854" t="b">
        <f t="shared" si="0"/>
        <v>0</v>
      </c>
      <c r="E16" s="854">
        <v>315</v>
      </c>
      <c r="F16" s="854" t="s">
        <v>5975</v>
      </c>
      <c r="G16" s="854">
        <f t="shared" si="1"/>
        <v>0</v>
      </c>
      <c r="H16" s="854">
        <f>+Index!$B$35</f>
        <v>0</v>
      </c>
      <c r="I16" s="854" t="b">
        <f>ISBLANK('315'!_FMD315)</f>
        <v>1</v>
      </c>
      <c r="J16" s="854"/>
      <c r="K16" s="854"/>
      <c r="L16" s="854"/>
      <c r="M16" s="854"/>
      <c r="N16" s="854"/>
      <c r="O16" s="854"/>
      <c r="P16" s="854"/>
      <c r="Q16" s="854"/>
      <c r="R16" s="854" t="b">
        <f>OR(AND(H16="NA",I16),I16=FALSE)</f>
        <v>0</v>
      </c>
      <c r="S16" s="854"/>
      <c r="T16" s="854"/>
      <c r="U16" s="854"/>
      <c r="V16" s="854"/>
    </row>
    <row r="17" spans="1:22" x14ac:dyDescent="0.25">
      <c r="A17" s="854" t="str">
        <f t="shared" si="4"/>
        <v>320TRUE</v>
      </c>
      <c r="B17" s="854" t="str">
        <f t="shared" si="5"/>
        <v>320bTRUE</v>
      </c>
      <c r="C17" s="854" t="s">
        <v>402</v>
      </c>
      <c r="D17" s="854" t="b">
        <f t="shared" si="0"/>
        <v>1</v>
      </c>
      <c r="E17" s="854">
        <v>320</v>
      </c>
      <c r="F17" s="854" t="s">
        <v>5970</v>
      </c>
      <c r="G17" s="854">
        <f t="shared" si="1"/>
        <v>0</v>
      </c>
      <c r="H17" s="854">
        <f>+[0]!FROM320</f>
        <v>0</v>
      </c>
      <c r="I17" s="854">
        <f>+[0]!__TO320</f>
        <v>0</v>
      </c>
      <c r="J17" s="854"/>
      <c r="K17" s="854"/>
      <c r="L17" s="854"/>
      <c r="M17" s="854"/>
      <c r="N17" s="854"/>
      <c r="O17" s="854"/>
      <c r="P17" s="854"/>
      <c r="Q17" s="854"/>
      <c r="R17" s="854" t="b">
        <f>H17&lt;=I17</f>
        <v>1</v>
      </c>
      <c r="S17" s="854"/>
      <c r="T17" s="854"/>
      <c r="U17" s="854"/>
      <c r="V17" s="854"/>
    </row>
    <row r="18" spans="1:22" x14ac:dyDescent="0.25">
      <c r="A18" s="854" t="str">
        <f t="shared" si="4"/>
        <v>320TRUE</v>
      </c>
      <c r="B18" s="854" t="str">
        <f t="shared" si="5"/>
        <v>320cTRUE</v>
      </c>
      <c r="C18" s="854" t="s">
        <v>403</v>
      </c>
      <c r="D18" s="854" t="b">
        <f t="shared" si="0"/>
        <v>1</v>
      </c>
      <c r="E18" s="854">
        <v>320</v>
      </c>
      <c r="F18" s="854" t="s">
        <v>5971</v>
      </c>
      <c r="G18" s="854">
        <f t="shared" si="1"/>
        <v>0</v>
      </c>
      <c r="H18" s="854">
        <f>+Index!B41</f>
        <v>0</v>
      </c>
      <c r="I18" s="854" t="b">
        <f>ISBLANK('320'!$D15)</f>
        <v>1</v>
      </c>
      <c r="J18" s="854" t="b">
        <f>ISBLANK('320'!$D17)</f>
        <v>1</v>
      </c>
      <c r="K18" s="854" t="b">
        <f>ISBLANK('320'!$D19)</f>
        <v>1</v>
      </c>
      <c r="L18" s="854" t="b">
        <f>ISBLANK('320'!$D21)</f>
        <v>1</v>
      </c>
      <c r="M18" s="854" t="b">
        <f>ISBLANK('320'!$D23)</f>
        <v>1</v>
      </c>
      <c r="N18" s="854" t="b">
        <f>ISBLANK('320'!$D25)</f>
        <v>1</v>
      </c>
      <c r="O18" s="854" t="b">
        <f>ISBLANK('320'!$D27)</f>
        <v>1</v>
      </c>
      <c r="P18" s="854" t="b">
        <f>AND(I18,J18,K18,L18,M18,N18,O18)</f>
        <v>1</v>
      </c>
      <c r="Q18" s="854" t="b">
        <f>ISBLANK('320'!#REF!)</f>
        <v>0</v>
      </c>
      <c r="R18" s="854" t="b">
        <f>IF(OR(H18="NA",T18&gt;5),TRUE,FALSE)</f>
        <v>1</v>
      </c>
      <c r="S18" s="854"/>
      <c r="T18" s="854">
        <f>COUNTIF(I18:O18,TRUE)</f>
        <v>7</v>
      </c>
      <c r="U18" s="854"/>
      <c r="V18" s="854"/>
    </row>
    <row r="19" spans="1:22" x14ac:dyDescent="0.25">
      <c r="A19" s="854" t="str">
        <f t="shared" si="4"/>
        <v>320FALSE</v>
      </c>
      <c r="B19" s="854" t="str">
        <f t="shared" si="5"/>
        <v>320dFALSE</v>
      </c>
      <c r="C19" s="854" t="s">
        <v>404</v>
      </c>
      <c r="D19" s="854" t="b">
        <f t="shared" si="0"/>
        <v>0</v>
      </c>
      <c r="E19" s="854">
        <v>320</v>
      </c>
      <c r="F19" s="854" t="s">
        <v>5972</v>
      </c>
      <c r="G19" s="854">
        <f t="shared" si="1"/>
        <v>0</v>
      </c>
      <c r="H19" s="854">
        <f>Index!$B$36</f>
        <v>0</v>
      </c>
      <c r="I19" s="854" t="b">
        <f>ISBLANK([0]!__OID320)</f>
        <v>1</v>
      </c>
      <c r="J19" s="854"/>
      <c r="K19" s="854"/>
      <c r="L19" s="854"/>
      <c r="M19" s="854"/>
      <c r="N19" s="854"/>
      <c r="O19" s="854"/>
      <c r="P19" s="854"/>
      <c r="Q19" s="854"/>
      <c r="R19" s="854" t="b">
        <f>OR(AND(H19="NA",I19),I19=FALSE)</f>
        <v>0</v>
      </c>
      <c r="S19" s="854"/>
      <c r="T19" s="854"/>
      <c r="U19" s="854"/>
      <c r="V19" s="854"/>
    </row>
    <row r="20" spans="1:22" x14ac:dyDescent="0.25">
      <c r="A20" s="854" t="str">
        <f t="shared" si="4"/>
        <v>320FALSE</v>
      </c>
      <c r="B20" s="854" t="str">
        <f t="shared" si="5"/>
        <v>320eFALSE</v>
      </c>
      <c r="C20" s="854" t="s">
        <v>405</v>
      </c>
      <c r="D20" s="854" t="b">
        <f t="shared" si="0"/>
        <v>0</v>
      </c>
      <c r="E20" s="854">
        <v>320</v>
      </c>
      <c r="F20" s="854" t="s">
        <v>5973</v>
      </c>
      <c r="G20" s="854">
        <f t="shared" si="1"/>
        <v>0</v>
      </c>
      <c r="H20" s="854">
        <f>Index!$B$36</f>
        <v>0</v>
      </c>
      <c r="I20" s="854" t="b">
        <f>ISBLANK([0]!FROM320)</f>
        <v>1</v>
      </c>
      <c r="J20" s="854"/>
      <c r="K20" s="854"/>
      <c r="L20" s="854"/>
      <c r="M20" s="854"/>
      <c r="N20" s="854"/>
      <c r="O20" s="854"/>
      <c r="P20" s="854"/>
      <c r="Q20" s="854"/>
      <c r="R20" s="854" t="b">
        <f>OR(AND(H20="NA",I20),I20=FALSE)</f>
        <v>0</v>
      </c>
      <c r="S20" s="854"/>
      <c r="T20" s="854"/>
      <c r="U20" s="854"/>
      <c r="V20" s="854"/>
    </row>
    <row r="21" spans="1:22" x14ac:dyDescent="0.25">
      <c r="A21" s="854" t="str">
        <f t="shared" si="4"/>
        <v>320FALSE</v>
      </c>
      <c r="B21" s="854" t="str">
        <f t="shared" si="5"/>
        <v>320fFALSE</v>
      </c>
      <c r="C21" s="854" t="s">
        <v>406</v>
      </c>
      <c r="D21" s="854" t="b">
        <f t="shared" si="0"/>
        <v>0</v>
      </c>
      <c r="E21" s="854">
        <v>320</v>
      </c>
      <c r="F21" s="854" t="s">
        <v>5974</v>
      </c>
      <c r="G21" s="854">
        <f t="shared" si="1"/>
        <v>0</v>
      </c>
      <c r="H21" s="854">
        <f>Index!$B$36</f>
        <v>0</v>
      </c>
      <c r="I21" s="854" t="b">
        <f>ISBLANK([0]!__TO320)</f>
        <v>1</v>
      </c>
      <c r="J21" s="854"/>
      <c r="K21" s="854"/>
      <c r="L21" s="854"/>
      <c r="M21" s="854"/>
      <c r="N21" s="854"/>
      <c r="O21" s="854"/>
      <c r="P21" s="854"/>
      <c r="Q21" s="854"/>
      <c r="R21" s="854" t="b">
        <f>OR(AND(H21="NA",I21),I21=FALSE)</f>
        <v>0</v>
      </c>
      <c r="S21" s="854"/>
      <c r="T21" s="854"/>
      <c r="U21" s="854"/>
      <c r="V21" s="854"/>
    </row>
    <row r="22" spans="1:22" x14ac:dyDescent="0.25">
      <c r="A22" s="854" t="str">
        <f t="shared" si="4"/>
        <v>320FALSE</v>
      </c>
      <c r="B22" s="854" t="str">
        <f t="shared" si="5"/>
        <v>320gFALSE</v>
      </c>
      <c r="C22" s="854" t="s">
        <v>407</v>
      </c>
      <c r="D22" s="854" t="b">
        <f t="shared" si="0"/>
        <v>0</v>
      </c>
      <c r="E22" s="854">
        <v>320</v>
      </c>
      <c r="F22" s="854" t="s">
        <v>5975</v>
      </c>
      <c r="G22" s="854">
        <f t="shared" si="1"/>
        <v>0</v>
      </c>
      <c r="H22" s="854">
        <f>Index!$B$36</f>
        <v>0</v>
      </c>
      <c r="I22" s="854" t="b">
        <f>ISBLANK([0]!__FMD320)</f>
        <v>1</v>
      </c>
      <c r="J22" s="854"/>
      <c r="K22" s="854"/>
      <c r="L22" s="854"/>
      <c r="M22" s="854"/>
      <c r="N22" s="854"/>
      <c r="O22" s="854"/>
      <c r="P22" s="854"/>
      <c r="Q22" s="854"/>
      <c r="R22" s="854" t="b">
        <f>OR(AND(H22="NA",I22),I22=FALSE)</f>
        <v>0</v>
      </c>
      <c r="S22" s="854"/>
      <c r="T22" s="854"/>
      <c r="U22" s="854"/>
      <c r="V22" s="854"/>
    </row>
    <row r="23" spans="1:22" x14ac:dyDescent="0.25">
      <c r="A23" s="854" t="str">
        <f t="shared" si="4"/>
        <v>325TRUE</v>
      </c>
      <c r="B23" s="854" t="str">
        <f t="shared" si="5"/>
        <v>325aTRUE</v>
      </c>
      <c r="C23" s="854" t="s">
        <v>401</v>
      </c>
      <c r="D23" s="854" t="b">
        <f t="shared" si="0"/>
        <v>1</v>
      </c>
      <c r="E23" s="854">
        <v>325</v>
      </c>
      <c r="F23" s="854" t="s">
        <v>5966</v>
      </c>
      <c r="G23" s="854">
        <f t="shared" si="1"/>
        <v>0</v>
      </c>
      <c r="H23" s="854" t="b">
        <f>ISBLANK('325'!G7)</f>
        <v>0</v>
      </c>
      <c r="I23" s="854"/>
      <c r="J23" s="854"/>
      <c r="K23" s="854"/>
      <c r="L23" s="854"/>
      <c r="M23" s="854"/>
      <c r="N23" s="854"/>
      <c r="O23" s="854"/>
      <c r="P23" s="854"/>
      <c r="Q23" s="854"/>
      <c r="R23" s="854" t="b">
        <f>NOT(H23)</f>
        <v>1</v>
      </c>
      <c r="S23" s="854"/>
      <c r="T23" s="854"/>
      <c r="U23" s="854"/>
      <c r="V23" s="854"/>
    </row>
    <row r="24" spans="1:22" x14ac:dyDescent="0.25">
      <c r="A24" s="854" t="str">
        <f t="shared" si="4"/>
        <v>345FALSE</v>
      </c>
      <c r="B24" s="854" t="str">
        <f t="shared" si="5"/>
        <v>345aFALSE</v>
      </c>
      <c r="C24" s="854" t="s">
        <v>401</v>
      </c>
      <c r="D24" s="854" t="b">
        <f t="shared" si="0"/>
        <v>0</v>
      </c>
      <c r="E24" s="854">
        <v>345</v>
      </c>
      <c r="F24" s="854" t="s">
        <v>5976</v>
      </c>
      <c r="G24" s="854">
        <f t="shared" si="1"/>
        <v>0</v>
      </c>
      <c r="H24" s="854" t="b">
        <f>ISBLANK('345'!F30)</f>
        <v>1</v>
      </c>
      <c r="I24" s="854" t="b">
        <f>ISBLANK('345'!I30)</f>
        <v>1</v>
      </c>
      <c r="J24" s="854" t="b">
        <f>ISBLANK('345'!F39)</f>
        <v>1</v>
      </c>
      <c r="K24" s="854" t="b">
        <f>ISBLANK('345'!I39)</f>
        <v>1</v>
      </c>
      <c r="L24" s="854" t="b">
        <f>ISBLANK('345'!K52)</f>
        <v>1</v>
      </c>
      <c r="M24" s="854" t="b">
        <f>ISBLANK('345'!K53)</f>
        <v>1</v>
      </c>
      <c r="N24" s="854"/>
      <c r="O24" s="854"/>
      <c r="P24" s="854"/>
      <c r="Q24" s="854"/>
      <c r="R24" s="854" t="b">
        <f>NOT(OR(T24,U24,V24))</f>
        <v>0</v>
      </c>
      <c r="S24" s="854"/>
      <c r="T24" s="854" t="b">
        <f>AND(H24,I24)</f>
        <v>1</v>
      </c>
      <c r="U24" s="854" t="b">
        <f>AND(J24,K24)</f>
        <v>1</v>
      </c>
      <c r="V24" s="854" t="b">
        <f>AND(L24,M24)</f>
        <v>1</v>
      </c>
    </row>
    <row r="25" spans="1:22" x14ac:dyDescent="0.25">
      <c r="A25" s="854" t="str">
        <f t="shared" si="4"/>
        <v>355FALSE</v>
      </c>
      <c r="B25" s="854" t="str">
        <f t="shared" si="5"/>
        <v>355aFALSE</v>
      </c>
      <c r="C25" s="854" t="s">
        <v>401</v>
      </c>
      <c r="D25" s="854" t="b">
        <f t="shared" si="0"/>
        <v>0</v>
      </c>
      <c r="E25" s="854">
        <v>355</v>
      </c>
      <c r="F25" s="854" t="s">
        <v>5976</v>
      </c>
      <c r="G25" s="854">
        <f t="shared" si="1"/>
        <v>0</v>
      </c>
      <c r="H25" s="854" t="b">
        <f>ISBLANK('355'!C29)</f>
        <v>1</v>
      </c>
      <c r="I25" s="854" t="b">
        <f>ISBLANK('355'!E29)</f>
        <v>1</v>
      </c>
      <c r="J25" s="854" t="b">
        <f>ISBLANK('355'!J43)</f>
        <v>1</v>
      </c>
      <c r="K25" s="854" t="b">
        <f>ISBLANK('355'!L43)</f>
        <v>1</v>
      </c>
      <c r="L25" s="854"/>
      <c r="M25" s="854"/>
      <c r="N25" s="854"/>
      <c r="O25" s="854"/>
      <c r="P25" s="854"/>
      <c r="Q25" s="854"/>
      <c r="R25" s="854" t="b">
        <f>NOT(OR(T25,U25))</f>
        <v>0</v>
      </c>
      <c r="S25" s="854"/>
      <c r="T25" s="854" t="b">
        <f>AND(H25,I25)</f>
        <v>1</v>
      </c>
      <c r="U25" s="854" t="b">
        <f>AND(J25,K25)</f>
        <v>1</v>
      </c>
      <c r="V25" s="854"/>
    </row>
    <row r="26" spans="1:22" x14ac:dyDescent="0.25">
      <c r="A26" s="854" t="str">
        <f t="shared" ref="A26:A31" si="6">E26&amp;D26</f>
        <v>420TRUE</v>
      </c>
      <c r="B26" s="854" t="str">
        <f t="shared" ref="B26:B31" si="7">E26&amp;C26&amp;D26</f>
        <v>420bTRUE</v>
      </c>
      <c r="C26" s="854" t="s">
        <v>402</v>
      </c>
      <c r="D26" s="854" t="b">
        <f t="shared" si="0"/>
        <v>1</v>
      </c>
      <c r="E26" s="854">
        <v>420</v>
      </c>
      <c r="F26" s="854" t="s">
        <v>5977</v>
      </c>
      <c r="G26" s="854">
        <f t="shared" ref="G26:G50" si="8">INDEX(IdxTable,MATCH($E26,IdxSheetNum,0),2)</f>
        <v>0</v>
      </c>
      <c r="H26" s="854">
        <f>SUM('420'!E19:E21)</f>
        <v>0</v>
      </c>
      <c r="I26" s="854">
        <f>SUM('420'!F19:F21)</f>
        <v>0</v>
      </c>
      <c r="J26" s="854">
        <f>SUM('420'!G19:G21)</f>
        <v>0</v>
      </c>
      <c r="K26" s="854">
        <f>SUM('420'!H19:H21)</f>
        <v>0</v>
      </c>
      <c r="L26" s="854">
        <f>SUM('420'!I19:I21)</f>
        <v>0</v>
      </c>
      <c r="M26" s="854"/>
      <c r="N26" s="854"/>
      <c r="O26" s="854"/>
      <c r="P26" s="854"/>
      <c r="Q26" s="854"/>
      <c r="R26" s="854" t="b">
        <f>+T26=0</f>
        <v>1</v>
      </c>
      <c r="S26" s="854"/>
      <c r="T26" s="854">
        <f>+H26-I26</f>
        <v>0</v>
      </c>
      <c r="U26" s="854"/>
      <c r="V26" s="854"/>
    </row>
    <row r="27" spans="1:22" x14ac:dyDescent="0.25">
      <c r="A27" s="854" t="e">
        <f t="shared" si="6"/>
        <v>#N/A</v>
      </c>
      <c r="B27" s="854" t="e">
        <f t="shared" si="7"/>
        <v>#N/A</v>
      </c>
      <c r="C27" s="854" t="s">
        <v>401</v>
      </c>
      <c r="D27" s="854" t="e">
        <f t="shared" si="0"/>
        <v>#N/A</v>
      </c>
      <c r="E27" s="854">
        <v>501</v>
      </c>
      <c r="F27" s="854" t="s">
        <v>5978</v>
      </c>
      <c r="G27" s="854" t="e">
        <f t="shared" si="8"/>
        <v>#N/A</v>
      </c>
      <c r="H27" s="854" t="e">
        <f>+#REF!</f>
        <v>#REF!</v>
      </c>
      <c r="I27" s="854"/>
      <c r="J27" s="854"/>
      <c r="K27" s="854"/>
      <c r="L27" s="854"/>
      <c r="M27" s="854"/>
      <c r="N27" s="854"/>
      <c r="O27" s="854"/>
      <c r="P27" s="854"/>
      <c r="Q27" s="854"/>
      <c r="R27" s="854" t="e">
        <f>H27=0</f>
        <v>#REF!</v>
      </c>
      <c r="S27" s="854"/>
      <c r="T27" s="854"/>
      <c r="U27" s="854"/>
      <c r="V27" s="854"/>
    </row>
    <row r="28" spans="1:22" x14ac:dyDescent="0.25">
      <c r="A28" s="854" t="e">
        <f t="shared" si="6"/>
        <v>#N/A</v>
      </c>
      <c r="B28" s="854" t="e">
        <f t="shared" si="7"/>
        <v>#N/A</v>
      </c>
      <c r="C28" s="854" t="s">
        <v>402</v>
      </c>
      <c r="D28" s="854" t="e">
        <f t="shared" si="0"/>
        <v>#N/A</v>
      </c>
      <c r="E28" s="854">
        <v>501</v>
      </c>
      <c r="F28" s="854" t="s">
        <v>5979</v>
      </c>
      <c r="G28" s="854" t="e">
        <f t="shared" si="8"/>
        <v>#N/A</v>
      </c>
      <c r="H28" s="854" t="e">
        <f>+#REF!</f>
        <v>#REF!</v>
      </c>
      <c r="I28" s="854"/>
      <c r="J28" s="854"/>
      <c r="K28" s="854"/>
      <c r="L28" s="854"/>
      <c r="M28" s="854"/>
      <c r="N28" s="854"/>
      <c r="O28" s="854"/>
      <c r="P28" s="854"/>
      <c r="Q28" s="854"/>
      <c r="R28" s="854" t="e">
        <f>+H28=0</f>
        <v>#REF!</v>
      </c>
      <c r="S28" s="854"/>
      <c r="T28" s="854"/>
      <c r="U28" s="854"/>
      <c r="V28" s="854"/>
    </row>
    <row r="29" spans="1:22" x14ac:dyDescent="0.25">
      <c r="A29" s="854" t="str">
        <f t="shared" si="6"/>
        <v>505FALSE</v>
      </c>
      <c r="B29" s="854" t="str">
        <f t="shared" si="7"/>
        <v>505aFALSE</v>
      </c>
      <c r="C29" s="854" t="s">
        <v>401</v>
      </c>
      <c r="D29" s="854" t="b">
        <f t="shared" si="0"/>
        <v>0</v>
      </c>
      <c r="E29" s="854">
        <v>505</v>
      </c>
      <c r="F29" s="854" t="s">
        <v>5966</v>
      </c>
      <c r="G29" s="854">
        <f t="shared" si="8"/>
        <v>0</v>
      </c>
      <c r="H29" s="854" t="b">
        <f>ISBLANK('505'!D9)</f>
        <v>1</v>
      </c>
      <c r="I29" s="854"/>
      <c r="J29" s="854"/>
      <c r="K29" s="854"/>
      <c r="L29" s="854"/>
      <c r="M29" s="854"/>
      <c r="N29" s="854"/>
      <c r="O29" s="854"/>
      <c r="P29" s="854"/>
      <c r="Q29" s="854"/>
      <c r="R29" s="854" t="b">
        <f t="shared" ref="R29:R35" si="9">NOT(H29)</f>
        <v>0</v>
      </c>
      <c r="S29" s="854"/>
      <c r="T29" s="854"/>
      <c r="U29" s="854"/>
      <c r="V29" s="854"/>
    </row>
    <row r="30" spans="1:22" x14ac:dyDescent="0.25">
      <c r="A30" s="854" t="str">
        <f t="shared" si="6"/>
        <v>510FALSE</v>
      </c>
      <c r="B30" s="854" t="str">
        <f t="shared" si="7"/>
        <v>510aFALSE</v>
      </c>
      <c r="C30" s="854" t="s">
        <v>401</v>
      </c>
      <c r="D30" s="854" t="b">
        <f t="shared" si="0"/>
        <v>0</v>
      </c>
      <c r="E30" s="854">
        <v>510</v>
      </c>
      <c r="F30" s="854" t="s">
        <v>5966</v>
      </c>
      <c r="G30" s="854">
        <f t="shared" si="8"/>
        <v>0</v>
      </c>
      <c r="H30" s="854" t="b">
        <f>ISBLANK('510'!D9)</f>
        <v>1</v>
      </c>
      <c r="I30" s="854"/>
      <c r="J30" s="854"/>
      <c r="K30" s="854"/>
      <c r="L30" s="854"/>
      <c r="M30" s="854"/>
      <c r="N30" s="854"/>
      <c r="O30" s="854"/>
      <c r="P30" s="854"/>
      <c r="Q30" s="854"/>
      <c r="R30" s="854" t="b">
        <f t="shared" si="9"/>
        <v>0</v>
      </c>
      <c r="S30" s="854"/>
      <c r="T30" s="854"/>
      <c r="U30" s="854"/>
      <c r="V30" s="854"/>
    </row>
    <row r="31" spans="1:22" x14ac:dyDescent="0.25">
      <c r="A31" s="854" t="str">
        <f t="shared" si="6"/>
        <v>515FALSE</v>
      </c>
      <c r="B31" s="854" t="str">
        <f t="shared" si="7"/>
        <v>515aFALSE</v>
      </c>
      <c r="C31" s="854" t="s">
        <v>401</v>
      </c>
      <c r="D31" s="854" t="b">
        <f t="shared" si="0"/>
        <v>0</v>
      </c>
      <c r="E31" s="854">
        <v>515</v>
      </c>
      <c r="F31" s="854" t="s">
        <v>5966</v>
      </c>
      <c r="G31" s="854">
        <f t="shared" si="8"/>
        <v>0</v>
      </c>
      <c r="H31" s="854" t="b">
        <f>ISBLANK('515'!D9)</f>
        <v>1</v>
      </c>
      <c r="I31" s="854"/>
      <c r="J31" s="854"/>
      <c r="K31" s="854"/>
      <c r="L31" s="854"/>
      <c r="M31" s="854"/>
      <c r="N31" s="854"/>
      <c r="O31" s="854"/>
      <c r="P31" s="854"/>
      <c r="Q31" s="854"/>
      <c r="R31" s="854" t="b">
        <f t="shared" si="9"/>
        <v>0</v>
      </c>
      <c r="S31" s="854"/>
      <c r="T31" s="854"/>
      <c r="U31" s="854"/>
      <c r="V31" s="854"/>
    </row>
    <row r="32" spans="1:22" x14ac:dyDescent="0.25">
      <c r="A32" s="854" t="str">
        <f>E32&amp;D32</f>
        <v>520FALSE</v>
      </c>
      <c r="B32" s="854" t="str">
        <f>E32&amp;C32&amp;D32</f>
        <v>520aFALSE</v>
      </c>
      <c r="C32" s="854" t="s">
        <v>401</v>
      </c>
      <c r="D32" s="854" t="b">
        <f t="shared" si="0"/>
        <v>0</v>
      </c>
      <c r="E32" s="854">
        <v>520</v>
      </c>
      <c r="F32" s="854" t="s">
        <v>5966</v>
      </c>
      <c r="G32" s="854">
        <f t="shared" si="8"/>
        <v>0</v>
      </c>
      <c r="H32" s="854" t="b">
        <f>ISBLANK('520'!D9)</f>
        <v>1</v>
      </c>
      <c r="I32" s="854"/>
      <c r="J32" s="854"/>
      <c r="K32" s="854"/>
      <c r="L32" s="854"/>
      <c r="M32" s="854"/>
      <c r="N32" s="854"/>
      <c r="O32" s="854"/>
      <c r="P32" s="854"/>
      <c r="Q32" s="854"/>
      <c r="R32" s="854" t="b">
        <f t="shared" si="9"/>
        <v>0</v>
      </c>
      <c r="S32" s="854"/>
      <c r="T32" s="854"/>
      <c r="U32" s="854"/>
      <c r="V32" s="854"/>
    </row>
    <row r="33" spans="1:22" x14ac:dyDescent="0.25">
      <c r="A33" s="854" t="str">
        <f>E33&amp;D33</f>
        <v>525FALSE</v>
      </c>
      <c r="B33" s="854" t="str">
        <f>E33&amp;C33&amp;D33</f>
        <v>525aFALSE</v>
      </c>
      <c r="C33" s="854" t="s">
        <v>401</v>
      </c>
      <c r="D33" s="854" t="b">
        <f t="shared" si="0"/>
        <v>0</v>
      </c>
      <c r="E33" s="854">
        <v>525</v>
      </c>
      <c r="F33" s="854" t="s">
        <v>5966</v>
      </c>
      <c r="G33" s="854">
        <f t="shared" si="8"/>
        <v>0</v>
      </c>
      <c r="H33" s="854" t="b">
        <f>ISBLANK('525'!D9)</f>
        <v>1</v>
      </c>
      <c r="I33" s="854"/>
      <c r="J33" s="854"/>
      <c r="K33" s="854"/>
      <c r="L33" s="854"/>
      <c r="M33" s="854"/>
      <c r="N33" s="854"/>
      <c r="O33" s="854"/>
      <c r="P33" s="854"/>
      <c r="Q33" s="854"/>
      <c r="R33" s="854" t="b">
        <f t="shared" si="9"/>
        <v>0</v>
      </c>
      <c r="S33" s="854"/>
      <c r="T33" s="854"/>
      <c r="U33" s="854"/>
      <c r="V33" s="854"/>
    </row>
    <row r="34" spans="1:22" x14ac:dyDescent="0.25">
      <c r="A34" s="854" t="str">
        <f>E34&amp;D34</f>
        <v>530FALSE</v>
      </c>
      <c r="B34" s="854" t="str">
        <f>E34&amp;C34&amp;D34</f>
        <v>530aFALSE</v>
      </c>
      <c r="C34" s="854" t="s">
        <v>401</v>
      </c>
      <c r="D34" s="854" t="b">
        <f t="shared" si="0"/>
        <v>0</v>
      </c>
      <c r="E34" s="854">
        <v>530</v>
      </c>
      <c r="F34" s="854" t="s">
        <v>5966</v>
      </c>
      <c r="G34" s="854">
        <f t="shared" si="8"/>
        <v>0</v>
      </c>
      <c r="H34" s="854" t="b">
        <f>ISBLANK('530'!D9)</f>
        <v>1</v>
      </c>
      <c r="I34" s="854"/>
      <c r="J34" s="854"/>
      <c r="K34" s="854"/>
      <c r="L34" s="854"/>
      <c r="M34" s="854"/>
      <c r="N34" s="854"/>
      <c r="O34" s="854"/>
      <c r="P34" s="854"/>
      <c r="Q34" s="854"/>
      <c r="R34" s="854" t="b">
        <f t="shared" si="9"/>
        <v>0</v>
      </c>
      <c r="S34" s="854"/>
      <c r="T34" s="854"/>
      <c r="U34" s="854"/>
      <c r="V34" s="854"/>
    </row>
    <row r="35" spans="1:22" x14ac:dyDescent="0.25">
      <c r="A35" s="854" t="str">
        <f>E35&amp;D35</f>
        <v>535FALSE</v>
      </c>
      <c r="B35" s="854" t="str">
        <f>E35&amp;C35&amp;D35</f>
        <v>535aFALSE</v>
      </c>
      <c r="C35" s="854" t="s">
        <v>401</v>
      </c>
      <c r="D35" s="854" t="b">
        <f t="shared" si="0"/>
        <v>0</v>
      </c>
      <c r="E35" s="854">
        <v>535</v>
      </c>
      <c r="F35" s="854" t="s">
        <v>5966</v>
      </c>
      <c r="G35" s="854">
        <f t="shared" si="8"/>
        <v>0</v>
      </c>
      <c r="H35" s="854" t="b">
        <f>ISBLANK('535'!D7)</f>
        <v>1</v>
      </c>
      <c r="I35" s="854"/>
      <c r="J35" s="854"/>
      <c r="K35" s="854"/>
      <c r="L35" s="854"/>
      <c r="M35" s="854"/>
      <c r="N35" s="854"/>
      <c r="O35" s="854"/>
      <c r="P35" s="854"/>
      <c r="Q35" s="854"/>
      <c r="R35" s="854" t="b">
        <f t="shared" si="9"/>
        <v>0</v>
      </c>
      <c r="S35" s="854"/>
      <c r="T35" s="854"/>
      <c r="U35" s="854"/>
      <c r="V35" s="854"/>
    </row>
    <row r="36" spans="1:22" x14ac:dyDescent="0.25">
      <c r="A36" s="854" t="e">
        <f>E36&amp;D36</f>
        <v>#REF!</v>
      </c>
      <c r="B36" s="854" t="e">
        <f>E36&amp;C36&amp;D36</f>
        <v>#REF!</v>
      </c>
      <c r="C36" s="854" t="s">
        <v>402</v>
      </c>
      <c r="D36" s="854" t="e">
        <f t="shared" si="0"/>
        <v>#REF!</v>
      </c>
      <c r="E36" s="854">
        <v>535</v>
      </c>
      <c r="F36" s="854" t="s">
        <v>5979</v>
      </c>
      <c r="G36" s="854">
        <f t="shared" si="8"/>
        <v>0</v>
      </c>
      <c r="H36" s="854" t="e">
        <f>+'535'!#REF!+'535'!#REF!</f>
        <v>#REF!</v>
      </c>
      <c r="I36" s="854"/>
      <c r="J36" s="854"/>
      <c r="K36" s="854"/>
      <c r="L36" s="854"/>
      <c r="M36" s="854"/>
      <c r="N36" s="854"/>
      <c r="O36" s="854"/>
      <c r="P36" s="854"/>
      <c r="Q36" s="854"/>
      <c r="R36" s="854" t="e">
        <f>+H36=0</f>
        <v>#REF!</v>
      </c>
      <c r="S36" s="854"/>
      <c r="T36" s="854"/>
      <c r="U36" s="854"/>
      <c r="V36" s="854"/>
    </row>
    <row r="37" spans="1:22" x14ac:dyDescent="0.25">
      <c r="A37" s="854" t="str">
        <f t="shared" ref="A37:A50" si="10">E37&amp;D37</f>
        <v>565TRUE</v>
      </c>
      <c r="B37" s="854" t="str">
        <f t="shared" ref="B37:B50" si="11">E37&amp;C37&amp;D37</f>
        <v>565aTRUE</v>
      </c>
      <c r="C37" s="854" t="s">
        <v>401</v>
      </c>
      <c r="D37" s="854" t="b">
        <f t="shared" si="0"/>
        <v>1</v>
      </c>
      <c r="E37" s="854">
        <v>565</v>
      </c>
      <c r="F37" s="854" t="s">
        <v>5980</v>
      </c>
      <c r="G37" s="854">
        <f t="shared" si="8"/>
        <v>0</v>
      </c>
      <c r="H37" s="854">
        <f>+'565'!W29</f>
        <v>0</v>
      </c>
      <c r="I37" s="854"/>
      <c r="J37" s="854"/>
      <c r="K37" s="854"/>
      <c r="L37" s="854"/>
      <c r="M37" s="854"/>
      <c r="N37" s="854"/>
      <c r="O37" s="854"/>
      <c r="P37" s="854"/>
      <c r="Q37" s="854"/>
      <c r="R37" s="854" t="b">
        <f>AND(H37=0,I37=0)</f>
        <v>1</v>
      </c>
      <c r="S37" s="854"/>
      <c r="T37" s="854"/>
      <c r="U37" s="854"/>
      <c r="V37" s="854"/>
    </row>
    <row r="38" spans="1:22" x14ac:dyDescent="0.25">
      <c r="A38" s="854" t="str">
        <f t="shared" si="10"/>
        <v>565TRUE</v>
      </c>
      <c r="B38" s="854" t="str">
        <f t="shared" si="11"/>
        <v>565bTRUE</v>
      </c>
      <c r="C38" s="854" t="s">
        <v>402</v>
      </c>
      <c r="D38" s="854" t="b">
        <f t="shared" si="0"/>
        <v>1</v>
      </c>
      <c r="E38" s="854">
        <v>565</v>
      </c>
      <c r="F38" s="854" t="s">
        <v>5979</v>
      </c>
      <c r="G38" s="854">
        <f t="shared" si="8"/>
        <v>0</v>
      </c>
      <c r="H38" s="854">
        <f>+'565'!P29</f>
        <v>0</v>
      </c>
      <c r="I38" s="854"/>
      <c r="J38" s="854"/>
      <c r="K38" s="854"/>
      <c r="L38" s="854"/>
      <c r="M38" s="854"/>
      <c r="N38" s="854"/>
      <c r="O38" s="854"/>
      <c r="P38" s="854"/>
      <c r="Q38" s="854"/>
      <c r="R38" s="854" t="b">
        <f>AND(H38=0,I38=0)</f>
        <v>1</v>
      </c>
      <c r="S38" s="854"/>
      <c r="T38" s="854"/>
      <c r="U38" s="854"/>
      <c r="V38" s="854"/>
    </row>
    <row r="39" spans="1:22" x14ac:dyDescent="0.25">
      <c r="A39" s="854" t="str">
        <f t="shared" si="10"/>
        <v>570FALSE</v>
      </c>
      <c r="B39" s="854" t="str">
        <f t="shared" si="11"/>
        <v>570aFALSE</v>
      </c>
      <c r="C39" s="854" t="s">
        <v>401</v>
      </c>
      <c r="D39" s="854" t="b">
        <f t="shared" si="0"/>
        <v>0</v>
      </c>
      <c r="E39" s="854">
        <v>570</v>
      </c>
      <c r="F39" s="854" t="s">
        <v>5966</v>
      </c>
      <c r="G39" s="854">
        <f t="shared" si="8"/>
        <v>0</v>
      </c>
      <c r="H39" s="854" t="b">
        <f>ISBLANK('570'!D7)</f>
        <v>1</v>
      </c>
      <c r="I39" s="854"/>
      <c r="J39" s="854"/>
      <c r="K39" s="854"/>
      <c r="L39" s="854"/>
      <c r="M39" s="854"/>
      <c r="N39" s="854"/>
      <c r="O39" s="854"/>
      <c r="P39" s="854"/>
      <c r="Q39" s="854"/>
      <c r="R39" s="854" t="b">
        <f>NOT(H39)</f>
        <v>0</v>
      </c>
      <c r="S39" s="854"/>
      <c r="T39" s="854"/>
      <c r="U39" s="854"/>
      <c r="V39" s="854"/>
    </row>
    <row r="40" spans="1:22" x14ac:dyDescent="0.25">
      <c r="A40" s="854" t="e">
        <f t="shared" si="10"/>
        <v>#N/A</v>
      </c>
      <c r="B40" s="854" t="e">
        <f t="shared" si="11"/>
        <v>#N/A</v>
      </c>
      <c r="C40" s="854" t="s">
        <v>401</v>
      </c>
      <c r="D40" s="854" t="e">
        <f t="shared" si="0"/>
        <v>#N/A</v>
      </c>
      <c r="E40" s="854">
        <v>601</v>
      </c>
      <c r="F40" s="854" t="s">
        <v>5966</v>
      </c>
      <c r="G40" s="854" t="e">
        <f t="shared" si="8"/>
        <v>#N/A</v>
      </c>
      <c r="H40" s="854" t="b">
        <f>ISBLANK(#REF!)</f>
        <v>0</v>
      </c>
      <c r="I40" s="854"/>
      <c r="J40" s="854"/>
      <c r="K40" s="854"/>
      <c r="L40" s="854"/>
      <c r="M40" s="854"/>
      <c r="N40" s="854"/>
      <c r="O40" s="854"/>
      <c r="P40" s="854"/>
      <c r="Q40" s="854"/>
      <c r="R40" s="854" t="b">
        <f>NOT(H40)</f>
        <v>1</v>
      </c>
      <c r="S40" s="854"/>
      <c r="T40" s="854"/>
      <c r="U40" s="854"/>
      <c r="V40" s="854"/>
    </row>
    <row r="41" spans="1:22" x14ac:dyDescent="0.25">
      <c r="A41" s="854" t="e">
        <f t="shared" si="10"/>
        <v>#N/A</v>
      </c>
      <c r="B41" s="854" t="e">
        <f t="shared" si="11"/>
        <v>#N/A</v>
      </c>
      <c r="C41" s="854" t="s">
        <v>402</v>
      </c>
      <c r="D41" s="854" t="e">
        <f t="shared" si="0"/>
        <v>#N/A</v>
      </c>
      <c r="E41" s="854">
        <v>601</v>
      </c>
      <c r="F41" s="854" t="s">
        <v>5981</v>
      </c>
      <c r="G41" s="854" t="e">
        <f t="shared" si="8"/>
        <v>#N/A</v>
      </c>
      <c r="H41" s="854" t="b">
        <f>ISBLANK(#REF!)</f>
        <v>0</v>
      </c>
      <c r="I41" s="854"/>
      <c r="J41" s="854"/>
      <c r="K41" s="854"/>
      <c r="L41" s="854"/>
      <c r="M41" s="854"/>
      <c r="N41" s="854"/>
      <c r="O41" s="854"/>
      <c r="P41" s="854"/>
      <c r="Q41" s="854"/>
      <c r="R41" s="854" t="b">
        <f>NOT(H41)</f>
        <v>1</v>
      </c>
      <c r="S41" s="854"/>
      <c r="T41" s="854"/>
      <c r="U41" s="854"/>
      <c r="V41" s="854"/>
    </row>
    <row r="42" spans="1:22" x14ac:dyDescent="0.25">
      <c r="A42" s="854" t="e">
        <f t="shared" si="10"/>
        <v>#N/A</v>
      </c>
      <c r="B42" s="854" t="e">
        <f t="shared" si="11"/>
        <v>#N/A</v>
      </c>
      <c r="C42" s="854" t="s">
        <v>403</v>
      </c>
      <c r="D42" s="854" t="e">
        <f t="shared" si="0"/>
        <v>#N/A</v>
      </c>
      <c r="E42" s="854">
        <v>601</v>
      </c>
      <c r="F42" s="854" t="s">
        <v>5982</v>
      </c>
      <c r="G42" s="854" t="e">
        <f t="shared" si="8"/>
        <v>#N/A</v>
      </c>
      <c r="H42" s="854" t="b">
        <f>ISBLANK(#REF!)</f>
        <v>0</v>
      </c>
      <c r="I42" s="854" t="b">
        <f>ISBLANK(#REF!)</f>
        <v>0</v>
      </c>
      <c r="J42" s="854" t="b">
        <f>ISBLANK(#REF!)</f>
        <v>0</v>
      </c>
      <c r="K42" s="854" t="b">
        <f>ISBLANK(#REF!)</f>
        <v>0</v>
      </c>
      <c r="L42" s="854" t="b">
        <f>ISBLANK(#REF!)</f>
        <v>0</v>
      </c>
      <c r="M42" s="854"/>
      <c r="N42" s="854"/>
      <c r="O42" s="854"/>
      <c r="P42" s="854"/>
      <c r="Q42" s="854"/>
      <c r="R42" s="854" t="b">
        <f>NOT(OR(H42,I42,J42,K42,L42))</f>
        <v>1</v>
      </c>
      <c r="S42" s="854"/>
      <c r="T42" s="854"/>
      <c r="U42" s="854"/>
      <c r="V42" s="854"/>
    </row>
    <row r="43" spans="1:22" x14ac:dyDescent="0.25">
      <c r="A43" s="854" t="str">
        <f t="shared" si="10"/>
        <v>605FALSE</v>
      </c>
      <c r="B43" s="854" t="str">
        <f t="shared" si="11"/>
        <v>605aFALSE</v>
      </c>
      <c r="C43" s="854" t="s">
        <v>401</v>
      </c>
      <c r="D43" s="854" t="b">
        <f t="shared" si="0"/>
        <v>0</v>
      </c>
      <c r="E43" s="854">
        <v>605</v>
      </c>
      <c r="F43" s="854" t="s">
        <v>5982</v>
      </c>
      <c r="G43" s="854">
        <f t="shared" si="8"/>
        <v>0</v>
      </c>
      <c r="H43" s="854" t="b">
        <f>ISBLANK('605'!E18)</f>
        <v>1</v>
      </c>
      <c r="I43" s="854"/>
      <c r="J43" s="854"/>
      <c r="K43" s="854"/>
      <c r="L43" s="854"/>
      <c r="M43" s="854"/>
      <c r="N43" s="854"/>
      <c r="O43" s="854"/>
      <c r="P43" s="854"/>
      <c r="Q43" s="854"/>
      <c r="R43" s="854" t="b">
        <f>NOT(H43)</f>
        <v>0</v>
      </c>
      <c r="S43" s="854"/>
      <c r="T43" s="854"/>
      <c r="U43" s="854"/>
      <c r="V43" s="854"/>
    </row>
    <row r="44" spans="1:22" x14ac:dyDescent="0.25">
      <c r="A44" s="854" t="str">
        <f t="shared" si="10"/>
        <v>625FALSE</v>
      </c>
      <c r="B44" s="854" t="str">
        <f t="shared" si="11"/>
        <v>625bFALSE</v>
      </c>
      <c r="C44" s="854" t="s">
        <v>402</v>
      </c>
      <c r="D44" s="854" t="b">
        <f t="shared" si="0"/>
        <v>0</v>
      </c>
      <c r="E44" s="854">
        <v>625</v>
      </c>
      <c r="F44" s="854" t="s">
        <v>5966</v>
      </c>
      <c r="G44" s="854">
        <f t="shared" si="8"/>
        <v>0</v>
      </c>
      <c r="H44" s="854" t="b">
        <f>ISBLANK('625'!C6)</f>
        <v>1</v>
      </c>
      <c r="I44" s="854"/>
      <c r="J44" s="854"/>
      <c r="K44" s="854"/>
      <c r="L44" s="854"/>
      <c r="M44" s="854"/>
      <c r="N44" s="854"/>
      <c r="O44" s="854"/>
      <c r="P44" s="854"/>
      <c r="Q44" s="854"/>
      <c r="R44" s="854" t="b">
        <f>NOT(H44)</f>
        <v>0</v>
      </c>
      <c r="S44" s="854"/>
      <c r="T44" s="854"/>
      <c r="U44" s="854"/>
      <c r="V44" s="854"/>
    </row>
    <row r="45" spans="1:22" x14ac:dyDescent="0.25">
      <c r="A45" s="854" t="str">
        <f t="shared" si="10"/>
        <v>625FALSE</v>
      </c>
      <c r="B45" s="854" t="str">
        <f t="shared" si="11"/>
        <v>625bFALSE</v>
      </c>
      <c r="C45" s="854" t="s">
        <v>402</v>
      </c>
      <c r="D45" s="854" t="b">
        <f t="shared" si="0"/>
        <v>0</v>
      </c>
      <c r="E45" s="854">
        <v>625</v>
      </c>
      <c r="F45" s="854" t="s">
        <v>5983</v>
      </c>
      <c r="G45" s="854">
        <f t="shared" si="8"/>
        <v>0</v>
      </c>
      <c r="H45" s="854" t="b">
        <f>ISBLANK('625'!C7)</f>
        <v>1</v>
      </c>
      <c r="I45" s="854"/>
      <c r="J45" s="854"/>
      <c r="K45" s="854"/>
      <c r="L45" s="854"/>
      <c r="M45" s="854"/>
      <c r="N45" s="854"/>
      <c r="O45" s="854"/>
      <c r="P45" s="854"/>
      <c r="Q45" s="854"/>
      <c r="R45" s="854" t="b">
        <f>NOT(H45)</f>
        <v>0</v>
      </c>
      <c r="S45" s="854"/>
      <c r="T45" s="854"/>
      <c r="U45" s="854"/>
      <c r="V45" s="854"/>
    </row>
    <row r="46" spans="1:22" x14ac:dyDescent="0.25">
      <c r="A46" s="854" t="str">
        <f t="shared" si="10"/>
        <v>635FALSE</v>
      </c>
      <c r="B46" s="854" t="str">
        <f t="shared" si="11"/>
        <v>635aFALSE</v>
      </c>
      <c r="C46" s="854" t="s">
        <v>401</v>
      </c>
      <c r="D46" s="854" t="b">
        <f t="shared" si="0"/>
        <v>0</v>
      </c>
      <c r="E46" s="854">
        <v>635</v>
      </c>
      <c r="F46" s="854" t="s">
        <v>5966</v>
      </c>
      <c r="G46" s="854">
        <f t="shared" si="8"/>
        <v>0</v>
      </c>
      <c r="H46" s="854" t="b">
        <f>ISBLANK('635'!G7)</f>
        <v>1</v>
      </c>
      <c r="I46" s="854"/>
      <c r="J46" s="854"/>
      <c r="K46" s="854"/>
      <c r="L46" s="854"/>
      <c r="M46" s="854"/>
      <c r="N46" s="854"/>
      <c r="O46" s="854"/>
      <c r="P46" s="854"/>
      <c r="Q46" s="854"/>
      <c r="R46" s="854" t="b">
        <f>NOT(H46)</f>
        <v>0</v>
      </c>
      <c r="S46" s="854"/>
      <c r="T46" s="854"/>
      <c r="U46" s="854"/>
      <c r="V46" s="854"/>
    </row>
    <row r="47" spans="1:22" x14ac:dyDescent="0.25">
      <c r="A47" s="854" t="str">
        <f t="shared" si="10"/>
        <v>705TRUE</v>
      </c>
      <c r="B47" s="854" t="str">
        <f t="shared" si="11"/>
        <v>705aTRUE</v>
      </c>
      <c r="C47" s="854" t="s">
        <v>401</v>
      </c>
      <c r="D47" s="854" t="b">
        <f t="shared" si="0"/>
        <v>1</v>
      </c>
      <c r="E47" s="854">
        <v>705</v>
      </c>
      <c r="F47" s="854" t="s">
        <v>5984</v>
      </c>
      <c r="G47" s="854">
        <f t="shared" si="8"/>
        <v>0</v>
      </c>
      <c r="H47" s="854">
        <f>+'705'!S45</f>
        <v>0</v>
      </c>
      <c r="I47" s="854"/>
      <c r="J47" s="854"/>
      <c r="K47" s="854"/>
      <c r="L47" s="854"/>
      <c r="M47" s="854"/>
      <c r="N47" s="854"/>
      <c r="O47" s="854"/>
      <c r="P47" s="854"/>
      <c r="Q47" s="854"/>
      <c r="R47" s="854" t="b">
        <f>+H47=0</f>
        <v>1</v>
      </c>
      <c r="S47" s="854"/>
      <c r="T47" s="854"/>
      <c r="U47" s="854"/>
      <c r="V47" s="854"/>
    </row>
    <row r="48" spans="1:22" x14ac:dyDescent="0.25">
      <c r="A48" s="854" t="str">
        <f t="shared" si="10"/>
        <v>710TRUE</v>
      </c>
      <c r="B48" s="854" t="str">
        <f t="shared" si="11"/>
        <v>710aTRUE</v>
      </c>
      <c r="C48" s="854" t="s">
        <v>401</v>
      </c>
      <c r="D48" s="854" t="b">
        <f t="shared" si="0"/>
        <v>1</v>
      </c>
      <c r="E48" s="854">
        <v>710</v>
      </c>
      <c r="F48" s="854" t="s">
        <v>5985</v>
      </c>
      <c r="G48" s="854">
        <f t="shared" si="8"/>
        <v>0</v>
      </c>
      <c r="H48" s="854">
        <f>+'710'!T38</f>
        <v>0</v>
      </c>
      <c r="I48" s="854"/>
      <c r="J48" s="854"/>
      <c r="K48" s="854"/>
      <c r="L48" s="854"/>
      <c r="M48" s="854"/>
      <c r="N48" s="854"/>
      <c r="O48" s="854"/>
      <c r="P48" s="854"/>
      <c r="Q48" s="854"/>
      <c r="R48" s="854" t="b">
        <f>+H48=0</f>
        <v>1</v>
      </c>
      <c r="S48" s="854"/>
      <c r="T48" s="854"/>
      <c r="U48" s="854"/>
      <c r="V48" s="854"/>
    </row>
    <row r="49" spans="1:22" x14ac:dyDescent="0.25">
      <c r="A49" s="854" t="str">
        <f t="shared" si="10"/>
        <v>710TRUE</v>
      </c>
      <c r="B49" s="854" t="str">
        <f t="shared" si="11"/>
        <v>710bTRUE</v>
      </c>
      <c r="C49" s="854" t="s">
        <v>402</v>
      </c>
      <c r="D49" s="854" t="b">
        <f t="shared" si="0"/>
        <v>1</v>
      </c>
      <c r="E49" s="854">
        <v>710</v>
      </c>
      <c r="F49" s="854" t="s">
        <v>5986</v>
      </c>
      <c r="G49" s="854">
        <f t="shared" si="8"/>
        <v>0</v>
      </c>
      <c r="H49" s="854" t="b">
        <f>+'710'!K70='710'!M70</f>
        <v>1</v>
      </c>
      <c r="I49" s="854"/>
      <c r="J49" s="854"/>
      <c r="K49" s="854"/>
      <c r="L49" s="854"/>
      <c r="M49" s="854"/>
      <c r="N49" s="854"/>
      <c r="O49" s="854"/>
      <c r="P49" s="854"/>
      <c r="Q49" s="854"/>
      <c r="R49" s="854" t="b">
        <f>+H49</f>
        <v>1</v>
      </c>
      <c r="S49" s="854"/>
      <c r="T49" s="854"/>
      <c r="U49" s="854"/>
      <c r="V49" s="854"/>
    </row>
    <row r="50" spans="1:22" x14ac:dyDescent="0.25">
      <c r="A50" s="854" t="str">
        <f t="shared" si="10"/>
        <v>715TRUE</v>
      </c>
      <c r="B50" s="854" t="str">
        <f t="shared" si="11"/>
        <v>715aTRUE</v>
      </c>
      <c r="C50" s="854" t="s">
        <v>401</v>
      </c>
      <c r="D50" s="854" t="b">
        <f t="shared" si="0"/>
        <v>1</v>
      </c>
      <c r="E50" s="854">
        <v>715</v>
      </c>
      <c r="F50" s="854" t="s">
        <v>5984</v>
      </c>
      <c r="G50" s="854">
        <f t="shared" si="8"/>
        <v>0</v>
      </c>
      <c r="H50" s="854">
        <f>+'715'!S37</f>
        <v>0</v>
      </c>
      <c r="I50" s="854"/>
      <c r="J50" s="854"/>
      <c r="K50" s="854"/>
      <c r="L50" s="854"/>
      <c r="M50" s="854"/>
      <c r="N50" s="854"/>
      <c r="O50" s="854"/>
      <c r="P50" s="854"/>
      <c r="Q50" s="854"/>
      <c r="R50" s="854" t="b">
        <f>+H50=0</f>
        <v>1</v>
      </c>
      <c r="S50" s="854"/>
      <c r="T50" s="854"/>
      <c r="U50" s="854"/>
      <c r="V50" s="854"/>
    </row>
  </sheetData>
  <sheetProtection autoFilter="0"/>
  <customSheetViews>
    <customSheetView guid="{9FCFC836-1CA5-48BF-958D-24D2EA94B219}" state="hidden">
      <pane ySplit="1" topLeftCell="A2" activePane="bottomLeft" state="frozen"/>
      <selection pane="bottomLeft" activeCell="B16" sqref="B16"/>
      <pageMargins left="0" right="0" top="0" bottom="0" header="0" footer="0"/>
      <pageSetup orientation="portrait" r:id="rId1"/>
      <headerFooter alignWithMargins="0"/>
    </customSheetView>
    <customSheetView guid="{B08879A4-635B-4C39-9937-AC7883D562FC}" state="hidden">
      <pane ySplit="1" topLeftCell="A2" activePane="bottomLeft" state="frozen"/>
      <selection pane="bottomLeft" activeCell="B16" sqref="B16"/>
      <pageMargins left="0" right="0" top="0" bottom="0" header="0" footer="0"/>
      <pageSetup orientation="portrait" r:id="rId2"/>
      <headerFooter alignWithMargins="0"/>
    </customSheetView>
  </customSheetViews>
  <phoneticPr fontId="18" type="noConversion"/>
  <pageMargins left="0.75" right="0.75" top="1" bottom="1" header="0.5" footer="0.5"/>
  <pageSetup orientation="portrait" r:id="rId3"/>
  <headerFooter alignWithMargins="0"/>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79"/>
  <dimension ref="A1:AZ309"/>
  <sheetViews>
    <sheetView topLeftCell="K1" zoomScale="85" zoomScaleNormal="85" workbookViewId="0">
      <selection activeCell="R15" sqref="R15"/>
    </sheetView>
  </sheetViews>
  <sheetFormatPr defaultColWidth="9.42578125" defaultRowHeight="15.75" x14ac:dyDescent="0.25"/>
  <cols>
    <col min="1" max="1" width="6.5703125" style="210" bestFit="1" customWidth="1"/>
    <col min="2" max="2" width="7.5703125" style="210" bestFit="1" customWidth="1"/>
    <col min="3" max="3" width="4.5703125" style="210" customWidth="1"/>
    <col min="4" max="4" width="7.5703125" style="210" bestFit="1" customWidth="1"/>
    <col min="5" max="5" width="6.5703125" style="210" bestFit="1" customWidth="1"/>
    <col min="6" max="7" width="9.42578125" style="210"/>
    <col min="8" max="8" width="36.5703125" style="210" bestFit="1" customWidth="1"/>
    <col min="9" max="9" width="9.42578125" style="210"/>
    <col min="10" max="10" width="30.42578125" style="210" bestFit="1" customWidth="1"/>
    <col min="11" max="11" width="24.42578125" style="210" customWidth="1"/>
    <col min="12" max="17" width="9.42578125" style="210"/>
    <col min="18" max="18" width="51.42578125" style="210" customWidth="1"/>
    <col min="19" max="44" width="9.42578125" style="210"/>
    <col min="45" max="45" width="56.42578125" style="210" customWidth="1"/>
    <col min="46" max="46" width="9.42578125" style="210"/>
    <col min="47" max="47" width="49.5703125" style="210" customWidth="1"/>
    <col min="48" max="48" width="9.42578125" style="210"/>
    <col min="49" max="49" width="23.28515625" style="210" customWidth="1"/>
    <col min="50" max="16384" width="9.42578125" style="210"/>
  </cols>
  <sheetData>
    <row r="1" spans="1:50" x14ac:dyDescent="0.25">
      <c r="A1" s="1794" t="s">
        <v>4968</v>
      </c>
      <c r="B1" s="3156" t="s">
        <v>5987</v>
      </c>
      <c r="C1" s="3157"/>
      <c r="D1" s="3156" t="s">
        <v>4742</v>
      </c>
      <c r="E1" s="3157"/>
      <c r="F1" s="450"/>
      <c r="G1" s="450"/>
      <c r="H1" s="450" t="s">
        <v>1625</v>
      </c>
      <c r="I1" s="450"/>
      <c r="J1" s="450" t="s">
        <v>1427</v>
      </c>
      <c r="K1" s="450" t="s">
        <v>1242</v>
      </c>
      <c r="L1" s="450"/>
      <c r="M1" s="450" t="s">
        <v>2622</v>
      </c>
      <c r="N1" s="450"/>
      <c r="O1" s="450"/>
      <c r="P1" s="450"/>
      <c r="Q1" s="160"/>
      <c r="R1" s="585" t="s">
        <v>5988</v>
      </c>
      <c r="S1" s="585" t="s">
        <v>5989</v>
      </c>
      <c r="T1" s="450"/>
      <c r="U1" s="450"/>
      <c r="V1" s="450"/>
      <c r="W1" s="450"/>
      <c r="X1" s="1" t="s">
        <v>5990</v>
      </c>
      <c r="Y1" s="450"/>
      <c r="Z1" s="450"/>
      <c r="AA1" s="450"/>
      <c r="AB1" s="138"/>
      <c r="AC1" s="1" t="s">
        <v>5991</v>
      </c>
      <c r="AD1" s="450"/>
      <c r="AE1" s="450"/>
      <c r="AF1" s="450"/>
      <c r="AG1" s="450"/>
      <c r="AH1" s="450"/>
      <c r="AI1" s="450"/>
      <c r="AJ1" s="585" t="s">
        <v>5992</v>
      </c>
      <c r="AK1" s="450"/>
      <c r="AL1" s="450"/>
      <c r="AM1" s="585"/>
      <c r="AN1" s="585" t="s">
        <v>5993</v>
      </c>
      <c r="AO1" s="450"/>
      <c r="AP1" s="450"/>
      <c r="AQ1" s="450"/>
      <c r="AR1" s="450"/>
      <c r="AS1" s="585" t="s">
        <v>5994</v>
      </c>
      <c r="AT1" s="450"/>
      <c r="AU1" s="585" t="s">
        <v>5994</v>
      </c>
      <c r="AV1" s="450"/>
      <c r="AW1" s="450" t="s">
        <v>5995</v>
      </c>
      <c r="AX1" s="450"/>
    </row>
    <row r="2" spans="1:50" x14ac:dyDescent="0.25">
      <c r="A2" s="1795">
        <v>201</v>
      </c>
      <c r="B2" s="450"/>
      <c r="C2" s="450"/>
      <c r="D2" s="450" t="s">
        <v>5996</v>
      </c>
      <c r="E2" s="450"/>
      <c r="F2" s="450"/>
      <c r="G2" s="450"/>
      <c r="H2" s="450" t="s">
        <v>415</v>
      </c>
      <c r="I2" s="450"/>
      <c r="J2" s="2323" t="s">
        <v>1361</v>
      </c>
      <c r="K2" s="2323" t="s">
        <v>1067</v>
      </c>
      <c r="L2" s="2323"/>
      <c r="M2" t="s">
        <v>5997</v>
      </c>
      <c r="N2" s="2323"/>
      <c r="O2" s="450"/>
      <c r="P2" s="450"/>
      <c r="Q2" s="160"/>
      <c r="R2" s="450"/>
      <c r="S2" s="450"/>
      <c r="T2" s="450"/>
      <c r="U2" s="450"/>
      <c r="V2" s="450"/>
      <c r="W2" s="450"/>
      <c r="X2" s="450"/>
      <c r="Y2" s="450"/>
      <c r="Z2" s="450"/>
      <c r="AA2" s="450"/>
      <c r="AB2" s="450"/>
      <c r="AC2" s="450"/>
      <c r="AD2" s="450"/>
      <c r="AE2" s="450"/>
      <c r="AF2" s="450"/>
      <c r="AG2" s="450"/>
      <c r="AH2" s="450"/>
      <c r="AI2" s="450"/>
      <c r="AJ2" s="585"/>
      <c r="AK2" s="450"/>
      <c r="AL2" s="450"/>
      <c r="AM2" s="450"/>
      <c r="AN2" s="450"/>
      <c r="AO2" s="450"/>
      <c r="AP2" s="450"/>
      <c r="AQ2" s="450"/>
      <c r="AR2" s="450"/>
      <c r="AS2" s="450"/>
      <c r="AT2" s="450"/>
      <c r="AU2" s="585" t="s">
        <v>1930</v>
      </c>
      <c r="AV2" s="450"/>
      <c r="AW2" s="450">
        <v>11450100</v>
      </c>
      <c r="AX2" s="450"/>
    </row>
    <row r="3" spans="1:50" x14ac:dyDescent="0.25">
      <c r="A3" s="1795">
        <v>215</v>
      </c>
      <c r="B3" s="450" t="b">
        <f>NOT(ISBLANK('215'!#REF!))</f>
        <v>1</v>
      </c>
      <c r="C3" s="450">
        <f>IF(B3,$A3,"")</f>
        <v>215</v>
      </c>
      <c r="D3" s="450"/>
      <c r="E3" s="450" t="str">
        <f>IF(D3,$A3,"")</f>
        <v/>
      </c>
      <c r="F3" s="450"/>
      <c r="G3" s="450"/>
      <c r="H3" s="450" t="s">
        <v>5998</v>
      </c>
      <c r="I3" s="450"/>
      <c r="J3" s="2323" t="s">
        <v>1363</v>
      </c>
      <c r="K3" s="2323" t="s">
        <v>5999</v>
      </c>
      <c r="L3" s="2323"/>
      <c r="M3" s="160" t="s">
        <v>6000</v>
      </c>
      <c r="N3" s="2323"/>
      <c r="O3" s="450"/>
      <c r="P3" s="450"/>
      <c r="Q3" s="160"/>
      <c r="R3" s="585" t="s">
        <v>1807</v>
      </c>
      <c r="S3" s="585" t="s">
        <v>6001</v>
      </c>
      <c r="T3" s="450"/>
      <c r="U3" s="450"/>
      <c r="V3" s="450"/>
      <c r="W3" s="450"/>
      <c r="X3" s="2304" t="s">
        <v>2354</v>
      </c>
      <c r="Y3" s="450"/>
      <c r="Z3" s="450"/>
      <c r="AA3" s="450"/>
      <c r="AB3" s="450"/>
      <c r="AC3" s="2304" t="s">
        <v>2354</v>
      </c>
      <c r="AD3" s="450"/>
      <c r="AE3" s="450"/>
      <c r="AF3" s="450"/>
      <c r="AG3" s="450"/>
      <c r="AH3" s="450"/>
      <c r="AI3" s="450"/>
      <c r="AJ3" s="1366" t="s">
        <v>2555</v>
      </c>
      <c r="AK3" s="450"/>
      <c r="AL3" s="450"/>
      <c r="AM3" s="450"/>
      <c r="AN3" s="1366" t="s">
        <v>2556</v>
      </c>
      <c r="AO3" s="450"/>
      <c r="AP3" s="450"/>
      <c r="AQ3" s="450"/>
      <c r="AR3" s="450"/>
      <c r="AS3" s="90" t="s">
        <v>1931</v>
      </c>
      <c r="AT3" s="450"/>
      <c r="AU3" s="450" t="s">
        <v>1932</v>
      </c>
      <c r="AV3" s="450"/>
      <c r="AW3" s="450">
        <v>12431000</v>
      </c>
      <c r="AX3" s="450"/>
    </row>
    <row r="4" spans="1:50" x14ac:dyDescent="0.25">
      <c r="A4" s="1795">
        <v>305</v>
      </c>
      <c r="B4" s="450"/>
      <c r="C4" s="450" t="str">
        <f t="shared" ref="C4:C10" si="0">IF(B4,$A4,"")</f>
        <v/>
      </c>
      <c r="D4" s="450" t="b">
        <f>(SUM('305'!G17:G41))&lt;&gt;0</f>
        <v>0</v>
      </c>
      <c r="E4" s="450" t="str">
        <f t="shared" ref="E4:E10" si="1">IF(D4,$A4,"")</f>
        <v/>
      </c>
      <c r="F4" s="450"/>
      <c r="G4" s="450"/>
      <c r="H4" s="450" t="s">
        <v>455</v>
      </c>
      <c r="I4" s="450"/>
      <c r="J4" s="2323" t="s">
        <v>1365</v>
      </c>
      <c r="K4" s="2323" t="s">
        <v>6002</v>
      </c>
      <c r="L4" s="2323"/>
      <c r="M4" s="160" t="s">
        <v>6003</v>
      </c>
      <c r="N4" s="2323"/>
      <c r="O4" s="450"/>
      <c r="P4" s="450"/>
      <c r="Q4" s="450"/>
      <c r="R4" s="450" t="s">
        <v>1765</v>
      </c>
      <c r="S4" s="450" t="s">
        <v>6004</v>
      </c>
      <c r="T4" s="450"/>
      <c r="U4" s="450"/>
      <c r="V4" s="450"/>
      <c r="W4" s="450"/>
      <c r="X4" s="186" t="s">
        <v>6005</v>
      </c>
      <c r="Y4" s="450"/>
      <c r="Z4" s="450"/>
      <c r="AA4" s="450"/>
      <c r="AB4" s="450"/>
      <c r="AC4" t="s">
        <v>6006</v>
      </c>
      <c r="AD4" s="450"/>
      <c r="AE4" s="450"/>
      <c r="AF4" s="450"/>
      <c r="AG4" s="450"/>
      <c r="AH4" s="450"/>
      <c r="AI4" s="450"/>
      <c r="AJ4" s="1366" t="s">
        <v>2345</v>
      </c>
      <c r="AK4" s="450"/>
      <c r="AL4" s="450"/>
      <c r="AM4" s="450"/>
      <c r="AN4" s="1366" t="s">
        <v>6007</v>
      </c>
      <c r="AO4" s="450"/>
      <c r="AP4" s="450"/>
      <c r="AQ4" s="450"/>
      <c r="AR4" s="450"/>
      <c r="AS4" s="90" t="s">
        <v>1933</v>
      </c>
      <c r="AT4" s="450"/>
      <c r="AU4" s="170" t="s">
        <v>1936</v>
      </c>
      <c r="AV4" s="450"/>
      <c r="AW4" s="450">
        <v>12431100</v>
      </c>
      <c r="AX4" s="450"/>
    </row>
    <row r="5" spans="1:50" x14ac:dyDescent="0.25">
      <c r="A5" s="1795">
        <v>310</v>
      </c>
      <c r="B5" s="450"/>
      <c r="C5" s="450"/>
      <c r="D5" s="450" t="b">
        <f>(SUM('310'!G17:G43))&lt;&gt;0</f>
        <v>0</v>
      </c>
      <c r="E5" s="450" t="str">
        <f t="shared" si="1"/>
        <v/>
      </c>
      <c r="F5" s="450"/>
      <c r="G5" s="450"/>
      <c r="H5" s="450" t="s">
        <v>6008</v>
      </c>
      <c r="I5" s="450"/>
      <c r="J5" s="2323" t="s">
        <v>1367</v>
      </c>
      <c r="K5" s="2323" t="s">
        <v>6009</v>
      </c>
      <c r="L5" s="2323"/>
      <c r="M5" t="s">
        <v>6010</v>
      </c>
      <c r="N5" s="2323"/>
      <c r="O5" s="450"/>
      <c r="P5" s="450"/>
      <c r="Q5" s="160"/>
      <c r="R5" s="450" t="s">
        <v>6011</v>
      </c>
      <c r="S5" s="450" t="s">
        <v>6012</v>
      </c>
      <c r="T5" s="450"/>
      <c r="U5" s="450"/>
      <c r="V5" s="450"/>
      <c r="W5" s="450"/>
      <c r="X5" t="s">
        <v>6013</v>
      </c>
      <c r="Y5" s="450"/>
      <c r="Z5" s="450"/>
      <c r="AA5" s="450"/>
      <c r="AB5" s="450"/>
      <c r="AC5" s="186" t="s">
        <v>6014</v>
      </c>
      <c r="AD5" s="450"/>
      <c r="AE5" s="450"/>
      <c r="AF5" s="450"/>
      <c r="AG5" s="450"/>
      <c r="AH5" s="450"/>
      <c r="AI5" s="450"/>
      <c r="AJ5" s="1366" t="s">
        <v>2347</v>
      </c>
      <c r="AK5" s="450"/>
      <c r="AL5" s="450"/>
      <c r="AM5" s="450"/>
      <c r="AN5" s="1366" t="s">
        <v>6015</v>
      </c>
      <c r="AO5" s="450"/>
      <c r="AP5" s="450"/>
      <c r="AQ5" s="450"/>
      <c r="AR5" s="450"/>
      <c r="AS5" s="90" t="s">
        <v>1937</v>
      </c>
      <c r="AT5" s="450"/>
      <c r="AU5" s="170" t="s">
        <v>1940</v>
      </c>
      <c r="AV5" s="450"/>
      <c r="AW5" s="450">
        <v>12431300</v>
      </c>
      <c r="AX5" s="450"/>
    </row>
    <row r="6" spans="1:50" x14ac:dyDescent="0.25">
      <c r="A6" s="1795">
        <v>330</v>
      </c>
      <c r="B6" s="450" t="b">
        <f>NOT(ISBLANK('330'!#REF!))</f>
        <v>1</v>
      </c>
      <c r="C6" s="450">
        <f t="shared" si="0"/>
        <v>330</v>
      </c>
      <c r="D6" s="450"/>
      <c r="E6" s="450" t="str">
        <f t="shared" si="1"/>
        <v/>
      </c>
      <c r="F6" s="450"/>
      <c r="G6" s="450"/>
      <c r="H6" s="450" t="s">
        <v>2862</v>
      </c>
      <c r="I6" s="450"/>
      <c r="J6" s="2323" t="s">
        <v>1369</v>
      </c>
      <c r="K6" s="2323" t="s">
        <v>5470</v>
      </c>
      <c r="L6" s="2323"/>
      <c r="M6" t="s">
        <v>6016</v>
      </c>
      <c r="N6" s="2323"/>
      <c r="O6" s="450"/>
      <c r="P6" s="450"/>
      <c r="Q6" s="160"/>
      <c r="R6" s="450" t="s">
        <v>6017</v>
      </c>
      <c r="S6" s="450" t="s">
        <v>6018</v>
      </c>
      <c r="T6" s="450"/>
      <c r="U6" s="450"/>
      <c r="V6" s="450"/>
      <c r="W6" s="450"/>
      <c r="X6" t="s">
        <v>6019</v>
      </c>
      <c r="Y6" s="450"/>
      <c r="Z6" s="450"/>
      <c r="AA6" s="450"/>
      <c r="AB6" s="450"/>
      <c r="AC6" t="s">
        <v>6013</v>
      </c>
      <c r="AD6" s="450"/>
      <c r="AE6" s="450"/>
      <c r="AF6" s="450"/>
      <c r="AG6" s="450"/>
      <c r="AH6" s="450"/>
      <c r="AI6" s="450"/>
      <c r="AJ6" s="1366" t="s">
        <v>2351</v>
      </c>
      <c r="AK6" s="450"/>
      <c r="AL6" s="450"/>
      <c r="AM6" s="450"/>
      <c r="AN6" s="1366" t="s">
        <v>6020</v>
      </c>
      <c r="AO6" s="450"/>
      <c r="AP6" s="450"/>
      <c r="AQ6" s="450"/>
      <c r="AR6" s="450"/>
      <c r="AS6" s="90" t="s">
        <v>1941</v>
      </c>
      <c r="AT6" s="450"/>
      <c r="AU6" s="2112" t="s">
        <v>1943</v>
      </c>
      <c r="AV6" s="450"/>
      <c r="AW6" s="450">
        <v>12431400</v>
      </c>
      <c r="AX6" s="450"/>
    </row>
    <row r="7" spans="1:50" x14ac:dyDescent="0.25">
      <c r="A7" s="1795">
        <v>335</v>
      </c>
      <c r="B7" s="450" t="b">
        <f>NOT(ISBLANK(#REF!))</f>
        <v>1</v>
      </c>
      <c r="C7" s="450">
        <f t="shared" si="0"/>
        <v>335</v>
      </c>
      <c r="D7" s="450"/>
      <c r="E7" s="450" t="str">
        <f t="shared" si="1"/>
        <v/>
      </c>
      <c r="F7" s="450"/>
      <c r="G7" s="450"/>
      <c r="H7" s="450" t="s">
        <v>2863</v>
      </c>
      <c r="I7" s="450"/>
      <c r="J7" s="2323" t="s">
        <v>1371</v>
      </c>
      <c r="K7" s="2323" t="s">
        <v>5482</v>
      </c>
      <c r="L7" s="186"/>
      <c r="M7" s="160" t="s">
        <v>6021</v>
      </c>
      <c r="N7" s="186"/>
      <c r="O7" s="450"/>
      <c r="P7" s="450"/>
      <c r="Q7" s="450"/>
      <c r="R7" s="450" t="s">
        <v>6022</v>
      </c>
      <c r="S7" s="450" t="s">
        <v>6023</v>
      </c>
      <c r="T7" s="450"/>
      <c r="U7" s="450"/>
      <c r="V7" s="450"/>
      <c r="W7" s="450"/>
      <c r="X7" s="450"/>
      <c r="Y7" s="450"/>
      <c r="Z7" s="450"/>
      <c r="AA7" s="450"/>
      <c r="AB7" s="450"/>
      <c r="AC7" t="s">
        <v>6019</v>
      </c>
      <c r="AD7" s="450"/>
      <c r="AE7" s="450"/>
      <c r="AF7" s="450"/>
      <c r="AG7" s="450"/>
      <c r="AH7" s="450"/>
      <c r="AI7" s="450"/>
      <c r="AJ7" s="1366" t="s">
        <v>2383</v>
      </c>
      <c r="AK7" s="450"/>
      <c r="AL7" s="450"/>
      <c r="AM7" s="450"/>
      <c r="AN7" s="1366" t="s">
        <v>6024</v>
      </c>
      <c r="AO7" s="450"/>
      <c r="AP7" s="450"/>
      <c r="AQ7" s="450"/>
      <c r="AR7" s="450"/>
      <c r="AS7" s="90" t="s">
        <v>1944</v>
      </c>
      <c r="AT7" s="450"/>
      <c r="AU7" s="2112" t="s">
        <v>1946</v>
      </c>
      <c r="AV7" s="450"/>
      <c r="AW7" s="450">
        <v>12431500</v>
      </c>
      <c r="AX7" s="450"/>
    </row>
    <row r="8" spans="1:50" x14ac:dyDescent="0.25">
      <c r="A8" s="1795">
        <v>340</v>
      </c>
      <c r="B8" s="450" t="b">
        <f>NOT(ISBLANK(#REF!))</f>
        <v>1</v>
      </c>
      <c r="C8" s="450">
        <f t="shared" si="0"/>
        <v>340</v>
      </c>
      <c r="D8" s="450"/>
      <c r="E8" s="450" t="str">
        <f t="shared" si="1"/>
        <v/>
      </c>
      <c r="F8" s="450"/>
      <c r="G8" s="450"/>
      <c r="H8" s="450" t="s">
        <v>6025</v>
      </c>
      <c r="I8" s="450"/>
      <c r="J8" s="2323" t="s">
        <v>1372</v>
      </c>
      <c r="K8" s="2323" t="s">
        <v>5481</v>
      </c>
      <c r="L8" s="450"/>
      <c r="M8" s="160" t="s">
        <v>6026</v>
      </c>
      <c r="N8" s="450"/>
      <c r="O8" s="450"/>
      <c r="P8" s="450"/>
      <c r="Q8" s="160"/>
      <c r="R8" s="450" t="s">
        <v>6027</v>
      </c>
      <c r="S8" s="450" t="s">
        <v>6028</v>
      </c>
      <c r="T8" s="450"/>
      <c r="U8" s="450"/>
      <c r="V8" s="450"/>
      <c r="W8" s="450"/>
      <c r="X8" s="1" t="s">
        <v>6029</v>
      </c>
      <c r="Y8" s="450"/>
      <c r="Z8" s="450"/>
      <c r="AA8" s="450"/>
      <c r="AB8" s="450"/>
      <c r="AC8" s="186" t="s">
        <v>6030</v>
      </c>
      <c r="AD8" s="450"/>
      <c r="AE8" s="450"/>
      <c r="AF8" s="450"/>
      <c r="AG8" s="450"/>
      <c r="AH8" s="450"/>
      <c r="AI8" s="450"/>
      <c r="AJ8" s="1366" t="s">
        <v>2371</v>
      </c>
      <c r="AK8" s="450"/>
      <c r="AL8" s="450"/>
      <c r="AM8" s="450"/>
      <c r="AN8" s="1366" t="s">
        <v>6031</v>
      </c>
      <c r="AO8" s="450"/>
      <c r="AP8" s="450"/>
      <c r="AQ8" s="450"/>
      <c r="AR8" s="450"/>
      <c r="AS8" s="90" t="s">
        <v>1947</v>
      </c>
      <c r="AT8" s="450"/>
      <c r="AU8" s="2112" t="s">
        <v>1949</v>
      </c>
      <c r="AV8" s="450"/>
      <c r="AW8" s="450">
        <v>12431800</v>
      </c>
      <c r="AX8" s="450"/>
    </row>
    <row r="9" spans="1:50" x14ac:dyDescent="0.25">
      <c r="A9" s="1795">
        <v>360</v>
      </c>
      <c r="B9" s="450" t="b">
        <f>NOT(ISBLANK(#REF!))</f>
        <v>1</v>
      </c>
      <c r="C9" s="450">
        <f t="shared" si="0"/>
        <v>360</v>
      </c>
      <c r="D9" s="450"/>
      <c r="E9" s="450" t="str">
        <f t="shared" si="1"/>
        <v/>
      </c>
      <c r="F9" s="450"/>
      <c r="G9" s="450"/>
      <c r="H9" s="450" t="s">
        <v>6032</v>
      </c>
      <c r="I9" s="450"/>
      <c r="J9" s="450"/>
      <c r="K9" s="2323" t="s">
        <v>6033</v>
      </c>
      <c r="L9" s="450"/>
      <c r="M9" t="s">
        <v>6034</v>
      </c>
      <c r="N9" s="450"/>
      <c r="O9" s="450"/>
      <c r="P9" s="450"/>
      <c r="Q9" s="160"/>
      <c r="R9" s="450" t="s">
        <v>6035</v>
      </c>
      <c r="S9" s="450"/>
      <c r="T9" s="450"/>
      <c r="U9" s="450"/>
      <c r="V9" s="450"/>
      <c r="W9" s="450"/>
      <c r="X9" s="450"/>
      <c r="Y9" s="450"/>
      <c r="Z9" s="450"/>
      <c r="AA9" s="450"/>
      <c r="AB9" s="450"/>
      <c r="AC9" s="450"/>
      <c r="AD9" s="450"/>
      <c r="AE9" s="450"/>
      <c r="AF9" s="450"/>
      <c r="AG9" s="450"/>
      <c r="AH9" s="450"/>
      <c r="AI9" s="450"/>
      <c r="AJ9" s="1366" t="s">
        <v>2389</v>
      </c>
      <c r="AK9" s="450"/>
      <c r="AL9" s="450"/>
      <c r="AM9" s="450"/>
      <c r="AN9" s="1366" t="s">
        <v>6036</v>
      </c>
      <c r="AO9" s="450"/>
      <c r="AP9" s="450"/>
      <c r="AQ9" s="450"/>
      <c r="AR9" s="450"/>
      <c r="AS9" s="90" t="s">
        <v>1950</v>
      </c>
      <c r="AT9" s="450"/>
      <c r="AU9" s="2112" t="s">
        <v>1953</v>
      </c>
      <c r="AV9" s="450"/>
      <c r="AW9" s="450">
        <v>12431900</v>
      </c>
      <c r="AX9" s="450"/>
    </row>
    <row r="10" spans="1:50" x14ac:dyDescent="0.25">
      <c r="A10" s="1795">
        <v>750</v>
      </c>
      <c r="B10" s="450" t="b">
        <f>NOT(ISBLANK(#REF!))</f>
        <v>1</v>
      </c>
      <c r="C10" s="450">
        <f t="shared" si="0"/>
        <v>750</v>
      </c>
      <c r="D10" s="450"/>
      <c r="E10" s="450" t="str">
        <f t="shared" si="1"/>
        <v/>
      </c>
      <c r="F10" s="450"/>
      <c r="G10" s="450"/>
      <c r="H10" s="450" t="s">
        <v>6037</v>
      </c>
      <c r="I10" s="450"/>
      <c r="J10" s="450"/>
      <c r="K10" s="450"/>
      <c r="L10" s="450"/>
      <c r="M10" s="450"/>
      <c r="N10" s="450"/>
      <c r="O10" s="450"/>
      <c r="P10" s="450"/>
      <c r="Q10" s="450"/>
      <c r="R10" s="450" t="s">
        <v>6038</v>
      </c>
      <c r="S10" s="450"/>
      <c r="T10" s="450"/>
      <c r="U10" s="450"/>
      <c r="V10" s="450"/>
      <c r="W10" s="450"/>
      <c r="X10" s="2304" t="s">
        <v>2354</v>
      </c>
      <c r="Y10" s="450"/>
      <c r="Z10" s="450"/>
      <c r="AA10" s="450"/>
      <c r="AB10" s="450"/>
      <c r="AC10" s="1" t="s">
        <v>6039</v>
      </c>
      <c r="AD10" s="450"/>
      <c r="AE10" s="450"/>
      <c r="AF10" s="450"/>
      <c r="AG10" s="450"/>
      <c r="AH10" s="450"/>
      <c r="AI10" s="450"/>
      <c r="AJ10" s="1366" t="s">
        <v>2385</v>
      </c>
      <c r="AK10" s="450"/>
      <c r="AL10" s="450"/>
      <c r="AM10" s="450"/>
      <c r="AN10" s="1366" t="s">
        <v>6040</v>
      </c>
      <c r="AO10" s="450"/>
      <c r="AP10" s="450"/>
      <c r="AQ10" s="450"/>
      <c r="AR10" s="450"/>
      <c r="AS10" s="90" t="s">
        <v>1954</v>
      </c>
      <c r="AT10" s="450"/>
      <c r="AU10" s="2112" t="s">
        <v>6041</v>
      </c>
      <c r="AV10" s="450"/>
      <c r="AW10" s="450">
        <v>12460000</v>
      </c>
      <c r="AX10" s="450"/>
    </row>
    <row r="11" spans="1:50" x14ac:dyDescent="0.25">
      <c r="A11" s="1795"/>
      <c r="B11" s="450"/>
      <c r="C11" s="450"/>
      <c r="D11" s="450"/>
      <c r="E11" s="450"/>
      <c r="F11" s="450"/>
      <c r="G11" s="450"/>
      <c r="H11" s="450" t="s">
        <v>835</v>
      </c>
      <c r="I11" s="450"/>
      <c r="J11" s="450"/>
      <c r="K11" s="450"/>
      <c r="L11" s="450"/>
      <c r="M11" s="450"/>
      <c r="N11" s="450"/>
      <c r="O11" s="450"/>
      <c r="P11" s="450"/>
      <c r="Q11" s="160"/>
      <c r="R11" s="450" t="s">
        <v>6042</v>
      </c>
      <c r="S11" s="450" t="s">
        <v>1625</v>
      </c>
      <c r="T11" s="450"/>
      <c r="U11" s="450"/>
      <c r="V11" s="450"/>
      <c r="W11" s="450"/>
      <c r="X11" t="s">
        <v>6006</v>
      </c>
      <c r="Y11" s="450"/>
      <c r="Z11" s="450"/>
      <c r="AA11" s="450"/>
      <c r="AB11" s="450"/>
      <c r="AC11" s="450"/>
      <c r="AD11" s="450"/>
      <c r="AE11" s="450"/>
      <c r="AF11" s="450"/>
      <c r="AG11" s="450"/>
      <c r="AH11" s="450"/>
      <c r="AI11" s="450"/>
      <c r="AJ11" s="1366" t="s">
        <v>2387</v>
      </c>
      <c r="AK11" s="450"/>
      <c r="AL11" s="450"/>
      <c r="AM11" s="450"/>
      <c r="AN11" s="1366" t="s">
        <v>6043</v>
      </c>
      <c r="AO11" s="450"/>
      <c r="AP11" s="450"/>
      <c r="AQ11" s="450"/>
      <c r="AR11" s="450"/>
      <c r="AS11" s="90" t="s">
        <v>1956</v>
      </c>
      <c r="AT11" s="170"/>
      <c r="AU11" s="2112" t="s">
        <v>1949</v>
      </c>
      <c r="AV11" s="2112"/>
      <c r="AW11" s="450" t="s">
        <v>6044</v>
      </c>
      <c r="AX11" s="2112"/>
    </row>
    <row r="12" spans="1:50" x14ac:dyDescent="0.25">
      <c r="A12" s="1795"/>
      <c r="B12" s="450"/>
      <c r="C12" s="450"/>
      <c r="D12" s="450"/>
      <c r="E12" s="450"/>
      <c r="F12" s="450"/>
      <c r="G12" s="450"/>
      <c r="H12" s="450" t="s">
        <v>6045</v>
      </c>
      <c r="I12" s="450"/>
      <c r="J12" s="585" t="s">
        <v>6046</v>
      </c>
      <c r="K12" s="585" t="s">
        <v>6047</v>
      </c>
      <c r="L12" s="450"/>
      <c r="M12" s="450"/>
      <c r="N12" s="450"/>
      <c r="O12" s="450"/>
      <c r="P12" s="450"/>
      <c r="Q12" s="160"/>
      <c r="R12" s="450" t="s">
        <v>6048</v>
      </c>
      <c r="S12" s="450" t="s">
        <v>5998</v>
      </c>
      <c r="T12" s="450"/>
      <c r="U12" s="450"/>
      <c r="V12" s="450"/>
      <c r="W12" s="450"/>
      <c r="X12" t="s">
        <v>6049</v>
      </c>
      <c r="Y12" s="450"/>
      <c r="Z12" s="450"/>
      <c r="AA12" s="450"/>
      <c r="AB12" s="450"/>
      <c r="AC12" s="2304" t="s">
        <v>2354</v>
      </c>
      <c r="AD12" s="450"/>
      <c r="AE12" s="450"/>
      <c r="AF12" s="450"/>
      <c r="AG12" s="450"/>
      <c r="AH12" s="450"/>
      <c r="AI12" s="450"/>
      <c r="AJ12" s="450"/>
      <c r="AK12" s="450"/>
      <c r="AL12" s="450"/>
      <c r="AM12" s="450"/>
      <c r="AN12" s="1366" t="s">
        <v>6050</v>
      </c>
      <c r="AO12" s="450"/>
      <c r="AP12" s="450"/>
      <c r="AQ12" s="450"/>
      <c r="AR12" s="450"/>
      <c r="AS12" s="90" t="s">
        <v>1960</v>
      </c>
      <c r="AT12" s="450"/>
      <c r="AU12" s="2112" t="s">
        <v>1953</v>
      </c>
      <c r="AV12" s="450"/>
      <c r="AW12" s="450"/>
      <c r="AX12" s="450"/>
    </row>
    <row r="13" spans="1:50" x14ac:dyDescent="0.25">
      <c r="A13" s="1795"/>
      <c r="B13" s="450"/>
      <c r="C13" s="450"/>
      <c r="D13" s="450"/>
      <c r="E13" s="450"/>
      <c r="F13" s="450"/>
      <c r="G13" s="450"/>
      <c r="H13" s="450" t="s">
        <v>6051</v>
      </c>
      <c r="I13" s="450"/>
      <c r="J13" s="450" t="s">
        <v>1714</v>
      </c>
      <c r="K13" s="450" t="s">
        <v>1751</v>
      </c>
      <c r="L13" s="450"/>
      <c r="M13" s="450"/>
      <c r="N13" s="450"/>
      <c r="O13" s="450"/>
      <c r="P13" s="450"/>
      <c r="Q13" s="450"/>
      <c r="R13" s="450" t="s">
        <v>6052</v>
      </c>
      <c r="S13" s="450" t="s">
        <v>2863</v>
      </c>
      <c r="T13" s="450"/>
      <c r="U13" s="450"/>
      <c r="V13" s="450"/>
      <c r="W13" s="450"/>
      <c r="X13" s="186" t="s">
        <v>6014</v>
      </c>
      <c r="Y13" s="450"/>
      <c r="Z13" s="450"/>
      <c r="AA13" s="450"/>
      <c r="AB13" s="450"/>
      <c r="AC13" t="s">
        <v>6049</v>
      </c>
      <c r="AD13" s="450"/>
      <c r="AE13" s="450"/>
      <c r="AF13" s="450"/>
      <c r="AG13" s="450"/>
      <c r="AH13" s="450"/>
      <c r="AI13" s="450"/>
      <c r="AJ13" s="450"/>
      <c r="AK13" s="450"/>
      <c r="AL13" s="450"/>
      <c r="AM13" s="450"/>
      <c r="AN13" s="1366" t="s">
        <v>6053</v>
      </c>
      <c r="AO13" s="450"/>
      <c r="AP13" s="450"/>
      <c r="AQ13" s="450"/>
      <c r="AR13" s="450"/>
      <c r="AS13" s="90" t="s">
        <v>1964</v>
      </c>
      <c r="AT13" s="450"/>
      <c r="AU13" s="450" t="s">
        <v>1955</v>
      </c>
      <c r="AV13" s="450"/>
      <c r="AW13" s="450">
        <v>22231000</v>
      </c>
      <c r="AX13" s="450"/>
    </row>
    <row r="14" spans="1:50" x14ac:dyDescent="0.25">
      <c r="A14" s="450"/>
      <c r="B14" s="450"/>
      <c r="C14" s="450"/>
      <c r="D14" s="450"/>
      <c r="E14" s="450"/>
      <c r="F14" s="450"/>
      <c r="G14" s="450"/>
      <c r="H14" s="450" t="s">
        <v>477</v>
      </c>
      <c r="I14" s="450"/>
      <c r="J14" s="450" t="s">
        <v>1605</v>
      </c>
      <c r="K14" s="450" t="s">
        <v>544</v>
      </c>
      <c r="L14" s="450"/>
      <c r="M14" s="450"/>
      <c r="N14" s="450"/>
      <c r="O14" s="450"/>
      <c r="P14" s="450"/>
      <c r="Q14" s="160"/>
      <c r="R14" s="450" t="s">
        <v>6054</v>
      </c>
      <c r="S14" s="450" t="s">
        <v>6025</v>
      </c>
      <c r="T14" s="450"/>
      <c r="U14" s="450"/>
      <c r="V14" s="450"/>
      <c r="W14" s="450"/>
      <c r="X14" s="186" t="s">
        <v>6055</v>
      </c>
      <c r="Y14" s="450"/>
      <c r="Z14" s="450"/>
      <c r="AA14" s="450"/>
      <c r="AB14" s="450"/>
      <c r="AC14" s="186" t="s">
        <v>6055</v>
      </c>
      <c r="AD14" s="450"/>
      <c r="AE14" s="450"/>
      <c r="AF14" s="450"/>
      <c r="AG14" s="450"/>
      <c r="AH14" s="450"/>
      <c r="AI14" s="450"/>
      <c r="AJ14" s="450"/>
      <c r="AK14" s="450"/>
      <c r="AL14" s="450"/>
      <c r="AM14" s="450"/>
      <c r="AN14" s="1366" t="s">
        <v>6056</v>
      </c>
      <c r="AO14" s="450"/>
      <c r="AP14" s="450"/>
      <c r="AQ14" s="450"/>
      <c r="AR14" s="450"/>
      <c r="AS14" s="90" t="s">
        <v>1966</v>
      </c>
      <c r="AT14" s="450"/>
      <c r="AU14" s="2112" t="s">
        <v>1959</v>
      </c>
      <c r="AV14" s="450"/>
      <c r="AW14" s="450">
        <v>22231100</v>
      </c>
      <c r="AX14" s="450"/>
    </row>
    <row r="15" spans="1:50" x14ac:dyDescent="0.25">
      <c r="A15" s="450"/>
      <c r="B15" s="450"/>
      <c r="C15" s="450"/>
      <c r="D15" s="450"/>
      <c r="E15" s="450"/>
      <c r="F15" s="450"/>
      <c r="G15" s="450"/>
      <c r="H15" s="450" t="s">
        <v>6057</v>
      </c>
      <c r="I15" s="450"/>
      <c r="J15" s="665">
        <v>1200</v>
      </c>
      <c r="K15" s="450" t="s">
        <v>5998</v>
      </c>
      <c r="L15" s="450"/>
      <c r="M15" s="450"/>
      <c r="N15" s="450"/>
      <c r="O15" s="450"/>
      <c r="P15" s="450"/>
      <c r="Q15" s="160"/>
      <c r="R15" s="450" t="s">
        <v>6058</v>
      </c>
      <c r="S15" s="450" t="s">
        <v>6032</v>
      </c>
      <c r="T15" s="450"/>
      <c r="U15" s="450"/>
      <c r="V15" s="450"/>
      <c r="W15" s="450"/>
      <c r="X15" t="s">
        <v>6059</v>
      </c>
      <c r="Y15" s="450"/>
      <c r="Z15" s="450"/>
      <c r="AA15" s="450"/>
      <c r="AB15" s="450"/>
      <c r="AC15" s="186" t="s">
        <v>6060</v>
      </c>
      <c r="AD15" s="450"/>
      <c r="AE15" s="450"/>
      <c r="AF15" s="450"/>
      <c r="AG15" s="450"/>
      <c r="AH15" s="450"/>
      <c r="AI15" s="450"/>
      <c r="AJ15" s="450"/>
      <c r="AK15" s="450"/>
      <c r="AL15" s="450"/>
      <c r="AM15" s="450"/>
      <c r="AN15" s="1366" t="s">
        <v>6061</v>
      </c>
      <c r="AO15" s="450"/>
      <c r="AP15" s="450"/>
      <c r="AQ15" s="450"/>
      <c r="AR15" s="450"/>
      <c r="AS15" s="90" t="s">
        <v>1972</v>
      </c>
      <c r="AT15" s="450"/>
      <c r="AU15" s="2112" t="s">
        <v>1963</v>
      </c>
      <c r="AV15" s="450"/>
      <c r="AW15" s="450">
        <v>22231300</v>
      </c>
      <c r="AX15" s="450"/>
    </row>
    <row r="16" spans="1:50" x14ac:dyDescent="0.25">
      <c r="A16" s="450"/>
      <c r="B16" s="450"/>
      <c r="C16" s="450"/>
      <c r="D16" s="450"/>
      <c r="E16" s="450"/>
      <c r="F16" s="450"/>
      <c r="G16" s="450"/>
      <c r="H16" s="450"/>
      <c r="I16" s="450"/>
      <c r="J16" s="665">
        <v>1221</v>
      </c>
      <c r="K16" s="450" t="s">
        <v>2860</v>
      </c>
      <c r="L16" s="450"/>
      <c r="M16" s="450"/>
      <c r="N16" s="450"/>
      <c r="O16" s="450"/>
      <c r="P16" s="450"/>
      <c r="Q16" s="450"/>
      <c r="R16" s="450" t="s">
        <v>6062</v>
      </c>
      <c r="S16" s="450" t="s">
        <v>835</v>
      </c>
      <c r="T16" s="450"/>
      <c r="U16" s="450"/>
      <c r="V16" s="450"/>
      <c r="W16" s="450"/>
      <c r="X16" t="s">
        <v>6063</v>
      </c>
      <c r="Y16" s="450"/>
      <c r="Z16" s="450"/>
      <c r="AA16" s="450"/>
      <c r="AB16" s="450"/>
      <c r="AC16" t="s">
        <v>6059</v>
      </c>
      <c r="AD16" s="450"/>
      <c r="AE16" s="450"/>
      <c r="AF16" s="450"/>
      <c r="AG16" s="450"/>
      <c r="AH16" s="450"/>
      <c r="AI16" s="450"/>
      <c r="AJ16" s="450"/>
      <c r="AK16" s="450"/>
      <c r="AL16" s="450"/>
      <c r="AM16" s="450"/>
      <c r="AN16" s="1366" t="s">
        <v>6064</v>
      </c>
      <c r="AO16" s="450"/>
      <c r="AP16" s="450"/>
      <c r="AQ16" s="450"/>
      <c r="AR16" s="450"/>
      <c r="AS16" s="90" t="s">
        <v>1978</v>
      </c>
      <c r="AT16" s="450"/>
      <c r="AU16" s="2112" t="s">
        <v>1965</v>
      </c>
      <c r="AV16" s="450"/>
      <c r="AW16" s="450">
        <v>22231400</v>
      </c>
      <c r="AX16" s="450"/>
    </row>
    <row r="17" spans="8:52" x14ac:dyDescent="0.25">
      <c r="H17" s="585" t="s">
        <v>6065</v>
      </c>
      <c r="I17" s="450"/>
      <c r="J17" s="665">
        <v>1224</v>
      </c>
      <c r="K17" s="450" t="s">
        <v>2862</v>
      </c>
      <c r="L17" s="450"/>
      <c r="M17" s="450"/>
      <c r="N17" s="450"/>
      <c r="O17" s="450"/>
      <c r="P17" s="450"/>
      <c r="Q17" s="450"/>
      <c r="R17" s="450" t="s">
        <v>6066</v>
      </c>
      <c r="S17" s="450" t="s">
        <v>477</v>
      </c>
      <c r="T17" s="450"/>
      <c r="U17" s="450"/>
      <c r="V17" s="450"/>
      <c r="W17" s="450"/>
      <c r="X17" s="186" t="s">
        <v>6067</v>
      </c>
      <c r="Y17" s="450"/>
      <c r="Z17" s="450"/>
      <c r="AA17" s="450"/>
      <c r="AB17" s="450"/>
      <c r="AC17" t="s">
        <v>6063</v>
      </c>
      <c r="AD17" s="450"/>
      <c r="AE17" s="450"/>
      <c r="AF17" s="450"/>
      <c r="AG17" s="450"/>
      <c r="AH17" s="450"/>
      <c r="AI17" s="450"/>
      <c r="AJ17" s="450"/>
      <c r="AK17" s="450"/>
      <c r="AL17" s="450"/>
      <c r="AM17" s="450"/>
      <c r="AN17" s="1366" t="s">
        <v>6068</v>
      </c>
      <c r="AO17" s="450"/>
      <c r="AP17" s="450"/>
      <c r="AQ17" s="450"/>
      <c r="AR17" s="450"/>
      <c r="AS17" s="90" t="s">
        <v>1981</v>
      </c>
      <c r="AT17" s="450"/>
      <c r="AU17" s="2112" t="s">
        <v>1971</v>
      </c>
      <c r="AV17" s="450"/>
      <c r="AW17" s="450">
        <v>22231500</v>
      </c>
      <c r="AX17" s="450"/>
      <c r="AY17" s="450"/>
      <c r="AZ17" s="450"/>
    </row>
    <row r="18" spans="8:52" x14ac:dyDescent="0.25">
      <c r="H18" s="450" t="s">
        <v>1625</v>
      </c>
      <c r="I18" s="450"/>
      <c r="J18" s="665">
        <v>1303</v>
      </c>
      <c r="K18" s="450" t="s">
        <v>2863</v>
      </c>
      <c r="L18" s="450"/>
      <c r="M18" s="450"/>
      <c r="N18" s="450"/>
      <c r="O18" s="450"/>
      <c r="P18" s="450"/>
      <c r="Q18" s="450"/>
      <c r="R18" s="2446" t="s">
        <v>6244</v>
      </c>
      <c r="S18" s="450" t="s">
        <v>6069</v>
      </c>
      <c r="T18" s="450"/>
      <c r="U18" s="450"/>
      <c r="V18" s="450"/>
      <c r="W18" s="450"/>
      <c r="X18" t="s">
        <v>6070</v>
      </c>
      <c r="Y18" s="450"/>
      <c r="Z18" s="450"/>
      <c r="AA18" s="450"/>
      <c r="AB18" s="450"/>
      <c r="AC18" s="186" t="s">
        <v>6005</v>
      </c>
      <c r="AD18" s="450"/>
      <c r="AE18" s="450"/>
      <c r="AF18" s="450"/>
      <c r="AG18" s="450"/>
      <c r="AH18" s="450"/>
      <c r="AI18" s="450"/>
      <c r="AJ18" s="450"/>
      <c r="AK18" s="450"/>
      <c r="AL18" s="450"/>
      <c r="AM18" s="450"/>
      <c r="AN18" s="1366" t="s">
        <v>6071</v>
      </c>
      <c r="AO18" s="450"/>
      <c r="AP18" s="450"/>
      <c r="AQ18" s="450"/>
      <c r="AR18" s="450"/>
      <c r="AS18" s="90" t="s">
        <v>1984</v>
      </c>
      <c r="AT18" s="450"/>
      <c r="AU18" s="2112" t="s">
        <v>6072</v>
      </c>
      <c r="AV18" s="170"/>
      <c r="AW18" s="450">
        <v>22231800</v>
      </c>
      <c r="AX18" s="2380"/>
      <c r="AY18" s="2380"/>
      <c r="AZ18" s="2380"/>
    </row>
    <row r="19" spans="8:52" x14ac:dyDescent="0.25">
      <c r="H19" s="450" t="s">
        <v>415</v>
      </c>
      <c r="I19" s="450"/>
      <c r="J19" s="665">
        <v>1310</v>
      </c>
      <c r="K19" s="450" t="s">
        <v>6025</v>
      </c>
      <c r="L19" s="450"/>
      <c r="M19" s="450"/>
      <c r="N19" s="450"/>
      <c r="O19" s="450"/>
      <c r="P19" s="450"/>
      <c r="Q19" s="450"/>
      <c r="R19" s="450" t="s">
        <v>6073</v>
      </c>
      <c r="S19" s="450" t="s">
        <v>6057</v>
      </c>
      <c r="T19" s="450"/>
      <c r="U19" s="450"/>
      <c r="V19" s="450"/>
      <c r="W19" s="450"/>
      <c r="X19" s="186" t="s">
        <v>6074</v>
      </c>
      <c r="Y19" s="450"/>
      <c r="Z19" s="450"/>
      <c r="AA19" s="450"/>
      <c r="AB19" s="450"/>
      <c r="AC19" s="186" t="s">
        <v>6067</v>
      </c>
      <c r="AD19" s="450"/>
      <c r="AE19" s="450"/>
      <c r="AF19" s="450"/>
      <c r="AG19" s="450"/>
      <c r="AH19" s="450"/>
      <c r="AI19" s="450"/>
      <c r="AJ19" s="450"/>
      <c r="AK19" s="450"/>
      <c r="AL19" s="450"/>
      <c r="AM19" s="450"/>
      <c r="AN19" s="1366" t="s">
        <v>6075</v>
      </c>
      <c r="AO19" s="450"/>
      <c r="AP19" s="450"/>
      <c r="AQ19" s="450"/>
      <c r="AR19" s="450"/>
      <c r="AS19" s="90" t="s">
        <v>1987</v>
      </c>
      <c r="AT19" s="450"/>
      <c r="AU19" s="450" t="s">
        <v>1977</v>
      </c>
      <c r="AV19" s="450"/>
      <c r="AW19" s="450"/>
      <c r="AX19" s="450"/>
      <c r="AY19" s="450"/>
      <c r="AZ19" s="450"/>
    </row>
    <row r="20" spans="8:52" x14ac:dyDescent="0.25">
      <c r="H20" s="450" t="s">
        <v>5998</v>
      </c>
      <c r="I20" s="450"/>
      <c r="J20" s="665">
        <v>1316</v>
      </c>
      <c r="K20" s="450" t="s">
        <v>6604</v>
      </c>
      <c r="L20" s="450"/>
      <c r="M20" s="450"/>
      <c r="N20" s="450"/>
      <c r="O20" s="450"/>
      <c r="P20" s="450"/>
      <c r="Q20" s="450"/>
      <c r="R20" s="450" t="s">
        <v>6076</v>
      </c>
      <c r="S20" s="450" t="s">
        <v>455</v>
      </c>
      <c r="T20" s="450"/>
      <c r="U20" s="450"/>
      <c r="V20" s="450"/>
      <c r="W20" s="450"/>
      <c r="X20" t="s">
        <v>6077</v>
      </c>
      <c r="Y20" s="450"/>
      <c r="Z20" s="450"/>
      <c r="AA20" s="450"/>
      <c r="AB20" s="450"/>
      <c r="AC20" t="s">
        <v>6070</v>
      </c>
      <c r="AD20" s="450"/>
      <c r="AE20" s="450"/>
      <c r="AF20" s="450"/>
      <c r="AG20" s="450"/>
      <c r="AH20" s="450"/>
      <c r="AI20" s="450"/>
      <c r="AJ20" s="450"/>
      <c r="AK20" s="450"/>
      <c r="AL20" s="450"/>
      <c r="AM20" s="450"/>
      <c r="AN20" s="1366" t="s">
        <v>6078</v>
      </c>
      <c r="AO20" s="450"/>
      <c r="AP20" s="450"/>
      <c r="AQ20" s="450"/>
      <c r="AR20" s="450"/>
      <c r="AS20" s="90" t="s">
        <v>1990</v>
      </c>
      <c r="AT20" s="450"/>
      <c r="AU20" s="170" t="s">
        <v>1980</v>
      </c>
      <c r="AV20" s="2380"/>
      <c r="AW20" s="2380"/>
      <c r="AX20" s="2380"/>
      <c r="AY20" s="450"/>
      <c r="AZ20" s="450"/>
    </row>
    <row r="21" spans="8:52" x14ac:dyDescent="0.25">
      <c r="H21" s="450" t="s">
        <v>6079</v>
      </c>
      <c r="I21" s="450"/>
      <c r="J21" s="665">
        <v>1326</v>
      </c>
      <c r="K21" s="450" t="s">
        <v>835</v>
      </c>
      <c r="L21" s="450"/>
      <c r="M21" s="450"/>
      <c r="N21" s="450"/>
      <c r="O21" s="450"/>
      <c r="P21" s="450"/>
      <c r="Q21" s="450"/>
      <c r="R21" s="450" t="s">
        <v>6080</v>
      </c>
      <c r="S21" s="450" t="s">
        <v>6081</v>
      </c>
      <c r="T21" s="450"/>
      <c r="U21" s="450"/>
      <c r="V21" s="450"/>
      <c r="W21" s="450"/>
      <c r="X21" s="450"/>
      <c r="Y21" s="450"/>
      <c r="Z21" s="450"/>
      <c r="AA21" s="450"/>
      <c r="AB21" s="450"/>
      <c r="AC21" s="186" t="s">
        <v>6082</v>
      </c>
      <c r="AD21" s="450"/>
      <c r="AE21" s="450"/>
      <c r="AF21" s="450"/>
      <c r="AG21" s="450"/>
      <c r="AH21" s="450"/>
      <c r="AI21" s="450"/>
      <c r="AJ21" s="450"/>
      <c r="AK21" s="450"/>
      <c r="AL21" s="450"/>
      <c r="AM21" s="450"/>
      <c r="AN21" s="1366" t="s">
        <v>6083</v>
      </c>
      <c r="AO21" s="450"/>
      <c r="AP21" s="450"/>
      <c r="AQ21" s="450"/>
      <c r="AR21" s="450"/>
      <c r="AS21" s="90" t="s">
        <v>1993</v>
      </c>
      <c r="AT21" s="450"/>
      <c r="AU21" s="450" t="s">
        <v>1983</v>
      </c>
      <c r="AV21" s="2380"/>
      <c r="AW21" s="2380"/>
      <c r="AX21" s="2380"/>
      <c r="AY21" s="450"/>
      <c r="AZ21" s="450"/>
    </row>
    <row r="22" spans="8:52" x14ac:dyDescent="0.25">
      <c r="H22" s="450" t="s">
        <v>455</v>
      </c>
      <c r="I22" s="450"/>
      <c r="J22" s="665">
        <v>1353</v>
      </c>
      <c r="K22" s="450" t="s">
        <v>477</v>
      </c>
      <c r="L22" s="450"/>
      <c r="M22" s="450"/>
      <c r="N22" s="450"/>
      <c r="O22" s="450"/>
      <c r="P22" s="450"/>
      <c r="Q22" s="450"/>
      <c r="R22" s="450" t="s">
        <v>6084</v>
      </c>
      <c r="S22" s="450"/>
      <c r="T22" s="450"/>
      <c r="U22" s="450"/>
      <c r="V22" s="450"/>
      <c r="W22" s="450"/>
      <c r="X22" s="450"/>
      <c r="Y22" s="450"/>
      <c r="Z22" s="450"/>
      <c r="AA22" s="450"/>
      <c r="AB22" s="450"/>
      <c r="AC22" s="186" t="s">
        <v>6074</v>
      </c>
      <c r="AD22" s="450"/>
      <c r="AE22" s="450"/>
      <c r="AF22" s="450"/>
      <c r="AG22" s="450"/>
      <c r="AH22" s="450"/>
      <c r="AI22" s="450"/>
      <c r="AJ22" s="450"/>
      <c r="AK22" s="450"/>
      <c r="AL22" s="450"/>
      <c r="AM22" s="450"/>
      <c r="AN22" s="1366" t="s">
        <v>6085</v>
      </c>
      <c r="AO22" s="450"/>
      <c r="AP22" s="450"/>
      <c r="AQ22" s="450"/>
      <c r="AR22" s="450"/>
      <c r="AS22" s="90" t="s">
        <v>6086</v>
      </c>
      <c r="AT22" s="450"/>
      <c r="AU22" s="170" t="s">
        <v>1986</v>
      </c>
      <c r="AV22" s="2380"/>
      <c r="AW22" s="2380"/>
      <c r="AX22" s="2380"/>
      <c r="AY22" s="450"/>
      <c r="AZ22" s="450"/>
    </row>
    <row r="23" spans="8:52" x14ac:dyDescent="0.25">
      <c r="H23" s="450" t="s">
        <v>2862</v>
      </c>
      <c r="I23" s="450"/>
      <c r="J23" s="665">
        <v>1361</v>
      </c>
      <c r="K23" s="450" t="s">
        <v>6087</v>
      </c>
      <c r="L23" s="450"/>
      <c r="M23" s="450"/>
      <c r="N23" s="450"/>
      <c r="O23" s="450"/>
      <c r="P23" s="450"/>
      <c r="Q23" s="450"/>
      <c r="R23" s="450"/>
      <c r="S23" s="450"/>
      <c r="T23" s="450"/>
      <c r="U23" s="450"/>
      <c r="V23" s="450"/>
      <c r="W23" s="450"/>
      <c r="X23" s="450"/>
      <c r="Y23" s="450"/>
      <c r="Z23" s="450"/>
      <c r="AA23" s="450"/>
      <c r="AB23" s="450"/>
      <c r="AC23" t="s">
        <v>6077</v>
      </c>
      <c r="AD23" s="450"/>
      <c r="AE23" s="450"/>
      <c r="AF23" s="450"/>
      <c r="AG23" s="450"/>
      <c r="AH23" s="450"/>
      <c r="AI23" s="450"/>
      <c r="AJ23" s="450"/>
      <c r="AK23" s="450"/>
      <c r="AL23" s="450"/>
      <c r="AM23" s="450"/>
      <c r="AN23" s="1366" t="s">
        <v>6088</v>
      </c>
      <c r="AO23" s="450"/>
      <c r="AP23" s="450"/>
      <c r="AQ23" s="450"/>
      <c r="AR23" s="450"/>
      <c r="AS23" s="90" t="s">
        <v>6089</v>
      </c>
      <c r="AT23" s="450"/>
      <c r="AU23" s="2112" t="s">
        <v>6090</v>
      </c>
      <c r="AV23" s="2380"/>
      <c r="AW23" s="2380"/>
      <c r="AX23" s="2380"/>
      <c r="AY23" s="450"/>
      <c r="AZ23" s="450"/>
    </row>
    <row r="24" spans="8:52" x14ac:dyDescent="0.25">
      <c r="H24" s="450" t="s">
        <v>2863</v>
      </c>
      <c r="I24" s="450"/>
      <c r="J24" s="665">
        <v>1387</v>
      </c>
      <c r="K24" s="450" t="s">
        <v>6091</v>
      </c>
      <c r="L24" s="450"/>
      <c r="M24" s="450"/>
      <c r="N24" s="450"/>
      <c r="O24" s="450"/>
      <c r="P24" s="450"/>
      <c r="Q24" s="450"/>
      <c r="R24" s="585" t="s">
        <v>6092</v>
      </c>
      <c r="S24" s="450" t="s">
        <v>6093</v>
      </c>
      <c r="T24" s="450"/>
      <c r="U24" s="450"/>
      <c r="V24" s="450"/>
      <c r="W24" s="450"/>
      <c r="X24" s="450"/>
      <c r="Y24" s="450"/>
      <c r="Z24" s="450"/>
      <c r="AA24" s="450"/>
      <c r="AB24" s="450"/>
      <c r="AC24" s="450"/>
      <c r="AD24" s="450"/>
      <c r="AE24" s="450"/>
      <c r="AF24" s="450"/>
      <c r="AG24" s="450"/>
      <c r="AH24" s="450"/>
      <c r="AI24" s="450"/>
      <c r="AJ24" s="450"/>
      <c r="AK24" s="450"/>
      <c r="AL24" s="450"/>
      <c r="AM24" s="450"/>
      <c r="AN24" s="1366" t="s">
        <v>6094</v>
      </c>
      <c r="AO24" s="450"/>
      <c r="AP24" s="450"/>
      <c r="AQ24" s="450"/>
      <c r="AR24" s="450"/>
      <c r="AS24" s="450"/>
      <c r="AT24" s="450"/>
      <c r="AU24" s="170" t="s">
        <v>6095</v>
      </c>
      <c r="AV24" s="2380"/>
      <c r="AW24" s="2380"/>
      <c r="AX24" s="2380"/>
      <c r="AY24" s="450"/>
      <c r="AZ24" s="450"/>
    </row>
    <row r="25" spans="8:52" x14ac:dyDescent="0.25">
      <c r="H25" s="450" t="s">
        <v>6025</v>
      </c>
      <c r="I25" s="450"/>
      <c r="J25" s="665">
        <v>1389</v>
      </c>
      <c r="K25" s="450" t="s">
        <v>6051</v>
      </c>
      <c r="L25" s="450"/>
      <c r="M25" s="450"/>
      <c r="N25" s="450"/>
      <c r="O25" s="450"/>
      <c r="P25" s="450"/>
      <c r="Q25" s="450"/>
      <c r="R25" s="450" t="s">
        <v>1765</v>
      </c>
      <c r="S25" s="1461" t="s">
        <v>2179</v>
      </c>
      <c r="T25" s="450"/>
      <c r="U25" s="450"/>
      <c r="V25" s="450"/>
      <c r="W25" s="450"/>
      <c r="X25" s="450"/>
      <c r="Y25" s="450"/>
      <c r="Z25" s="450"/>
      <c r="AA25" s="450"/>
      <c r="AB25" s="450"/>
      <c r="AC25" s="450"/>
      <c r="AD25" s="450"/>
      <c r="AE25" s="450"/>
      <c r="AF25" s="450"/>
      <c r="AG25" s="450"/>
      <c r="AH25" s="450"/>
      <c r="AI25" s="450"/>
      <c r="AJ25" s="450"/>
      <c r="AK25" s="450"/>
      <c r="AL25" s="450"/>
      <c r="AM25" s="450"/>
      <c r="AN25" s="1366" t="s">
        <v>6096</v>
      </c>
      <c r="AO25" s="450"/>
      <c r="AP25" s="450"/>
      <c r="AQ25" s="450"/>
      <c r="AR25" s="450"/>
      <c r="AS25" s="450"/>
      <c r="AT25" s="450"/>
      <c r="AU25" s="450" t="s">
        <v>1989</v>
      </c>
      <c r="AV25" s="2380"/>
      <c r="AW25" s="2380"/>
      <c r="AX25" s="2380"/>
      <c r="AY25" s="450"/>
      <c r="AZ25" s="450"/>
    </row>
    <row r="26" spans="8:52" x14ac:dyDescent="0.25">
      <c r="H26" s="450" t="s">
        <v>6032</v>
      </c>
      <c r="I26" s="450"/>
      <c r="J26" s="665">
        <v>1391</v>
      </c>
      <c r="K26" s="450" t="s">
        <v>6069</v>
      </c>
      <c r="L26" s="450"/>
      <c r="M26" s="450"/>
      <c r="N26" s="450"/>
      <c r="O26" s="450"/>
      <c r="P26" s="450"/>
      <c r="Q26" s="450"/>
      <c r="R26" s="450" t="s">
        <v>6097</v>
      </c>
      <c r="S26" s="1460" t="s">
        <v>6098</v>
      </c>
      <c r="T26" s="450"/>
      <c r="U26" s="450"/>
      <c r="V26" s="450"/>
      <c r="W26" s="450"/>
      <c r="X26" s="450"/>
      <c r="Y26" s="450"/>
      <c r="Z26" s="450"/>
      <c r="AA26" s="450"/>
      <c r="AB26" s="450"/>
      <c r="AC26" s="450"/>
      <c r="AD26" s="450"/>
      <c r="AE26" s="450"/>
      <c r="AF26" s="450"/>
      <c r="AG26" s="450"/>
      <c r="AH26" s="450"/>
      <c r="AI26" s="450"/>
      <c r="AJ26" s="450"/>
      <c r="AK26" s="450"/>
      <c r="AL26" s="450"/>
      <c r="AM26" s="450"/>
      <c r="AN26" s="1366" t="s">
        <v>6099</v>
      </c>
      <c r="AO26" s="450"/>
      <c r="AP26" s="450"/>
      <c r="AQ26" s="450"/>
      <c r="AR26" s="450"/>
      <c r="AS26" s="450"/>
      <c r="AT26" s="450"/>
      <c r="AU26" s="2112" t="s">
        <v>1992</v>
      </c>
      <c r="AV26" s="450"/>
      <c r="AW26" s="450"/>
      <c r="AX26" s="450"/>
      <c r="AY26" s="450"/>
      <c r="AZ26" s="450"/>
    </row>
    <row r="27" spans="8:52" x14ac:dyDescent="0.25">
      <c r="H27" s="450" t="s">
        <v>835</v>
      </c>
      <c r="I27" s="450"/>
      <c r="J27" s="665">
        <v>1394</v>
      </c>
      <c r="K27" s="450" t="s">
        <v>6081</v>
      </c>
      <c r="L27" s="450"/>
      <c r="M27" s="450"/>
      <c r="N27" s="450"/>
      <c r="O27" s="450"/>
      <c r="P27" s="450"/>
      <c r="Q27" s="450"/>
      <c r="R27" s="450" t="s">
        <v>6100</v>
      </c>
      <c r="S27" s="1460" t="s">
        <v>6101</v>
      </c>
      <c r="T27" s="450"/>
      <c r="U27" s="450"/>
      <c r="V27" s="450"/>
      <c r="W27" s="450"/>
      <c r="X27" s="450"/>
      <c r="Y27" s="450"/>
      <c r="Z27" s="450"/>
      <c r="AA27" s="450"/>
      <c r="AB27" s="450"/>
      <c r="AC27" s="450"/>
      <c r="AD27" s="450"/>
      <c r="AE27" s="450"/>
      <c r="AF27" s="450"/>
      <c r="AG27" s="450"/>
      <c r="AH27" s="450"/>
      <c r="AI27" s="450"/>
      <c r="AJ27" s="450"/>
      <c r="AK27" s="450"/>
      <c r="AL27" s="450"/>
      <c r="AM27" s="450"/>
      <c r="AN27" s="1366" t="s">
        <v>6102</v>
      </c>
      <c r="AO27" s="450"/>
      <c r="AP27" s="450"/>
      <c r="AQ27" s="450"/>
      <c r="AR27" s="450"/>
      <c r="AS27" s="450"/>
      <c r="AT27" s="450"/>
      <c r="AU27" s="2112" t="s">
        <v>6103</v>
      </c>
      <c r="AV27" s="450"/>
      <c r="AW27" s="450"/>
      <c r="AX27" s="450"/>
      <c r="AY27" s="450"/>
      <c r="AZ27" s="450"/>
    </row>
    <row r="28" spans="8:52" x14ac:dyDescent="0.25">
      <c r="H28" s="450" t="s">
        <v>6045</v>
      </c>
      <c r="I28" s="450"/>
      <c r="J28" s="665">
        <v>1396</v>
      </c>
      <c r="K28" s="450"/>
      <c r="L28" s="450"/>
      <c r="M28" s="450"/>
      <c r="N28" s="450"/>
      <c r="O28" s="450"/>
      <c r="P28" s="450"/>
      <c r="Q28" s="450"/>
      <c r="R28" s="450" t="s">
        <v>6104</v>
      </c>
      <c r="S28" s="1460" t="s">
        <v>6105</v>
      </c>
      <c r="T28" s="450"/>
      <c r="U28" s="450"/>
      <c r="V28" s="450"/>
      <c r="W28" s="450"/>
      <c r="X28" s="450"/>
      <c r="Y28" s="450"/>
      <c r="Z28" s="450"/>
      <c r="AA28" s="450"/>
      <c r="AB28" s="450"/>
      <c r="AC28" s="450"/>
      <c r="AD28" s="450"/>
      <c r="AE28" s="450"/>
      <c r="AF28" s="450"/>
      <c r="AG28" s="450"/>
      <c r="AH28" s="450"/>
      <c r="AI28" s="450"/>
      <c r="AJ28" s="450"/>
      <c r="AK28" s="450"/>
      <c r="AL28" s="450"/>
      <c r="AM28" s="450"/>
      <c r="AN28" s="1366" t="s">
        <v>6106</v>
      </c>
      <c r="AO28" s="450"/>
      <c r="AP28" s="450"/>
      <c r="AQ28" s="450"/>
      <c r="AR28" s="450"/>
      <c r="AS28" s="450"/>
      <c r="AT28" s="450"/>
      <c r="AU28" s="450" t="s">
        <v>1995</v>
      </c>
      <c r="AV28" s="450"/>
      <c r="AW28" s="450"/>
      <c r="AX28" s="450"/>
      <c r="AY28" s="450"/>
      <c r="AZ28" s="450"/>
    </row>
    <row r="29" spans="8:52" x14ac:dyDescent="0.25">
      <c r="H29" s="450" t="s">
        <v>6051</v>
      </c>
      <c r="I29" s="450"/>
      <c r="J29" s="665">
        <v>1400</v>
      </c>
      <c r="K29" s="585" t="s">
        <v>6107</v>
      </c>
      <c r="L29" s="450"/>
      <c r="M29" s="450"/>
      <c r="N29" s="450"/>
      <c r="O29" s="450"/>
      <c r="P29" s="450"/>
      <c r="Q29" s="450"/>
      <c r="R29" s="450" t="s">
        <v>6108</v>
      </c>
      <c r="S29" s="1460" t="s">
        <v>6109</v>
      </c>
      <c r="T29" s="450"/>
      <c r="U29" s="450"/>
      <c r="V29" s="450"/>
      <c r="W29" s="450"/>
      <c r="X29" s="450"/>
      <c r="Y29" s="450"/>
      <c r="Z29" s="450"/>
      <c r="AA29" s="450"/>
      <c r="AB29" s="450"/>
      <c r="AC29" s="450"/>
      <c r="AD29" s="450"/>
      <c r="AE29" s="450"/>
      <c r="AF29" s="450"/>
      <c r="AG29" s="450"/>
      <c r="AH29" s="450"/>
      <c r="AI29" s="450"/>
      <c r="AJ29" s="450"/>
      <c r="AK29" s="450"/>
      <c r="AL29" s="450"/>
      <c r="AM29" s="450"/>
      <c r="AN29" s="1366" t="s">
        <v>6110</v>
      </c>
      <c r="AO29" s="450"/>
      <c r="AP29" s="450"/>
      <c r="AQ29" s="450"/>
      <c r="AR29" s="450"/>
      <c r="AS29" s="450"/>
      <c r="AT29" s="450"/>
      <c r="AU29" s="2112" t="s">
        <v>1997</v>
      </c>
      <c r="AV29" s="170"/>
      <c r="AW29" s="170"/>
      <c r="AX29" s="170"/>
      <c r="AY29" s="170"/>
      <c r="AZ29" s="170"/>
    </row>
    <row r="30" spans="8:52" x14ac:dyDescent="0.25">
      <c r="H30" s="450" t="s">
        <v>477</v>
      </c>
      <c r="I30" s="450"/>
      <c r="J30" s="665">
        <v>1426</v>
      </c>
      <c r="K30" s="450" t="s">
        <v>1751</v>
      </c>
      <c r="L30" s="450"/>
      <c r="M30" s="450"/>
      <c r="N30" s="450"/>
      <c r="O30" s="450"/>
      <c r="P30" s="450"/>
      <c r="Q30" s="450"/>
      <c r="R30" s="450" t="s">
        <v>6111</v>
      </c>
      <c r="S30" s="1460" t="s">
        <v>6112</v>
      </c>
      <c r="T30" s="450"/>
      <c r="U30" s="450"/>
      <c r="V30" s="450"/>
      <c r="W30" s="450"/>
      <c r="X30" s="450"/>
      <c r="Y30" s="450"/>
      <c r="Z30" s="450"/>
      <c r="AA30" s="450"/>
      <c r="AB30" s="450"/>
      <c r="AC30" s="450"/>
      <c r="AD30" s="450"/>
      <c r="AE30" s="450"/>
      <c r="AF30" s="450"/>
      <c r="AG30" s="450"/>
      <c r="AH30" s="450"/>
      <c r="AI30" s="450"/>
      <c r="AJ30" s="450"/>
      <c r="AK30" s="450"/>
      <c r="AL30" s="450"/>
      <c r="AM30" s="450"/>
      <c r="AN30" s="1366" t="s">
        <v>6113</v>
      </c>
      <c r="AO30" s="450"/>
      <c r="AP30" s="450"/>
      <c r="AQ30" s="450"/>
      <c r="AR30" s="450"/>
      <c r="AS30" s="450"/>
      <c r="AT30" s="450"/>
      <c r="AU30" s="450" t="s">
        <v>1999</v>
      </c>
      <c r="AV30" s="170"/>
      <c r="AW30" s="2380"/>
      <c r="AX30" s="2380"/>
      <c r="AY30" s="2380"/>
      <c r="AZ30" s="2380"/>
    </row>
    <row r="31" spans="8:52" x14ac:dyDescent="0.25">
      <c r="H31" s="450" t="s">
        <v>6114</v>
      </c>
      <c r="I31" s="450"/>
      <c r="J31" s="665">
        <v>1429</v>
      </c>
      <c r="K31" s="450" t="s">
        <v>680</v>
      </c>
      <c r="L31" s="450"/>
      <c r="M31" s="450"/>
      <c r="N31" s="450"/>
      <c r="O31" s="450"/>
      <c r="P31" s="450"/>
      <c r="Q31" s="450"/>
      <c r="R31" s="450" t="s">
        <v>6115</v>
      </c>
      <c r="S31" s="1460" t="s">
        <v>6116</v>
      </c>
      <c r="T31" s="450"/>
      <c r="U31" s="450"/>
      <c r="V31" s="450"/>
      <c r="W31" s="450"/>
      <c r="X31" s="450"/>
      <c r="Y31" s="450"/>
      <c r="Z31" s="450"/>
      <c r="AA31" s="450"/>
      <c r="AB31" s="450"/>
      <c r="AC31" s="450"/>
      <c r="AD31" s="450"/>
      <c r="AE31" s="450"/>
      <c r="AF31" s="450"/>
      <c r="AG31" s="450"/>
      <c r="AH31" s="450"/>
      <c r="AI31" s="450"/>
      <c r="AJ31" s="450"/>
      <c r="AK31" s="450"/>
      <c r="AL31" s="450"/>
      <c r="AM31" s="450"/>
      <c r="AN31" s="1366" t="s">
        <v>6117</v>
      </c>
      <c r="AO31" s="450"/>
      <c r="AP31" s="450"/>
      <c r="AQ31" s="450"/>
      <c r="AR31" s="450"/>
      <c r="AS31" s="450"/>
      <c r="AT31" s="450"/>
      <c r="AU31" s="2112" t="s">
        <v>6118</v>
      </c>
      <c r="AV31" s="170"/>
      <c r="AW31" s="2380"/>
      <c r="AX31" s="2380"/>
      <c r="AY31" s="2380"/>
      <c r="AZ31" s="2380"/>
    </row>
    <row r="32" spans="8:52" x14ac:dyDescent="0.25">
      <c r="H32" s="450" t="s">
        <v>6119</v>
      </c>
      <c r="I32" s="450"/>
      <c r="J32" s="665">
        <v>1430</v>
      </c>
      <c r="K32" s="450" t="s">
        <v>544</v>
      </c>
      <c r="L32" s="450"/>
      <c r="M32" s="450"/>
      <c r="N32" s="450"/>
      <c r="O32" s="450"/>
      <c r="P32" s="450"/>
      <c r="Q32" s="450"/>
      <c r="R32" s="450" t="s">
        <v>6120</v>
      </c>
      <c r="S32" s="1460" t="s">
        <v>6121</v>
      </c>
      <c r="T32" s="450"/>
      <c r="U32" s="450"/>
      <c r="V32" s="450"/>
      <c r="W32" s="450"/>
      <c r="X32" s="450"/>
      <c r="Y32" s="450"/>
      <c r="Z32" s="450"/>
      <c r="AA32" s="450"/>
      <c r="AB32" s="450"/>
      <c r="AC32" s="450"/>
      <c r="AD32" s="450"/>
      <c r="AE32" s="450"/>
      <c r="AF32" s="450"/>
      <c r="AG32" s="450"/>
      <c r="AH32" s="450"/>
      <c r="AI32" s="450"/>
      <c r="AJ32" s="450"/>
      <c r="AK32" s="450"/>
      <c r="AL32" s="450"/>
      <c r="AM32" s="450"/>
      <c r="AN32" s="1366" t="s">
        <v>6122</v>
      </c>
      <c r="AO32" s="450"/>
      <c r="AP32" s="450"/>
      <c r="AQ32" s="450"/>
      <c r="AR32" s="450"/>
      <c r="AS32" s="450"/>
      <c r="AT32" s="450"/>
      <c r="AU32" s="170" t="s">
        <v>2001</v>
      </c>
      <c r="AV32" s="170"/>
      <c r="AW32" s="2380"/>
      <c r="AX32" s="2380"/>
      <c r="AY32" s="2380"/>
      <c r="AZ32" s="2380"/>
    </row>
    <row r="33" spans="8:52" x14ac:dyDescent="0.25">
      <c r="H33" s="450"/>
      <c r="I33" s="450"/>
      <c r="J33" s="665">
        <v>1500</v>
      </c>
      <c r="K33" s="450"/>
      <c r="L33" s="450"/>
      <c r="M33" s="450"/>
      <c r="N33" s="450"/>
      <c r="O33" s="450"/>
      <c r="P33" s="450"/>
      <c r="Q33" s="450"/>
      <c r="R33" s="450" t="s">
        <v>6123</v>
      </c>
      <c r="S33" s="1460" t="s">
        <v>6124</v>
      </c>
      <c r="T33" s="450"/>
      <c r="U33" s="450"/>
      <c r="V33" s="450"/>
      <c r="W33" s="450"/>
      <c r="X33" s="450"/>
      <c r="Y33" s="450"/>
      <c r="Z33" s="450"/>
      <c r="AA33" s="450"/>
      <c r="AB33" s="450"/>
      <c r="AC33" s="450"/>
      <c r="AD33" s="450"/>
      <c r="AE33" s="450"/>
      <c r="AF33" s="450"/>
      <c r="AG33" s="450"/>
      <c r="AH33" s="450"/>
      <c r="AI33" s="450"/>
      <c r="AJ33" s="450"/>
      <c r="AK33" s="450"/>
      <c r="AL33" s="450"/>
      <c r="AM33" s="450"/>
      <c r="AN33" s="1366" t="s">
        <v>6125</v>
      </c>
      <c r="AO33" s="450"/>
      <c r="AP33" s="450"/>
      <c r="AQ33" s="450"/>
      <c r="AR33" s="450"/>
      <c r="AS33" s="450"/>
      <c r="AT33" s="450"/>
      <c r="AU33" s="2112" t="s">
        <v>2003</v>
      </c>
      <c r="AV33" s="170"/>
      <c r="AW33" s="2380"/>
      <c r="AX33" s="2380"/>
      <c r="AY33" s="2380"/>
      <c r="AZ33" s="2380"/>
    </row>
    <row r="34" spans="8:52" x14ac:dyDescent="0.25">
      <c r="H34" s="585" t="s">
        <v>1630</v>
      </c>
      <c r="I34" s="450"/>
      <c r="J34" s="665">
        <v>1501</v>
      </c>
      <c r="K34" s="450"/>
      <c r="L34" s="450"/>
      <c r="M34" s="450"/>
      <c r="N34" s="450"/>
      <c r="O34" s="450"/>
      <c r="P34" s="450"/>
      <c r="Q34" s="450"/>
      <c r="R34" s="450" t="s">
        <v>6126</v>
      </c>
      <c r="S34" s="1460" t="s">
        <v>6127</v>
      </c>
      <c r="T34" s="450"/>
      <c r="U34" s="450"/>
      <c r="V34" s="450"/>
      <c r="W34" s="450"/>
      <c r="X34" s="450"/>
      <c r="Y34" s="450"/>
      <c r="Z34" s="450"/>
      <c r="AA34" s="450"/>
      <c r="AB34" s="450"/>
      <c r="AC34" s="450"/>
      <c r="AD34" s="450"/>
      <c r="AE34" s="450"/>
      <c r="AF34" s="450"/>
      <c r="AG34" s="450"/>
      <c r="AH34" s="450"/>
      <c r="AI34" s="450"/>
      <c r="AJ34" s="450"/>
      <c r="AK34" s="450"/>
      <c r="AL34" s="450"/>
      <c r="AM34" s="450"/>
      <c r="AN34" s="1366" t="s">
        <v>6128</v>
      </c>
      <c r="AO34" s="450"/>
      <c r="AP34" s="450"/>
      <c r="AQ34" s="450"/>
      <c r="AR34" s="450"/>
      <c r="AS34" s="450"/>
      <c r="AT34" s="450"/>
      <c r="AU34" s="2112" t="s">
        <v>2005</v>
      </c>
      <c r="AV34" s="170"/>
      <c r="AW34" s="2380"/>
      <c r="AX34" s="2380"/>
      <c r="AY34" s="2380"/>
      <c r="AZ34" s="2380"/>
    </row>
    <row r="35" spans="8:52" x14ac:dyDescent="0.25">
      <c r="H35" s="450" t="s">
        <v>1625</v>
      </c>
      <c r="I35" s="450"/>
      <c r="J35" s="665">
        <v>1502</v>
      </c>
      <c r="K35" s="450"/>
      <c r="L35" s="450"/>
      <c r="M35" s="450"/>
      <c r="N35" s="450"/>
      <c r="O35" s="450"/>
      <c r="P35" s="450"/>
      <c r="Q35" s="450"/>
      <c r="R35" s="450"/>
      <c r="S35" s="1460" t="s">
        <v>6129</v>
      </c>
      <c r="T35" s="450"/>
      <c r="U35" s="450"/>
      <c r="V35" s="450"/>
      <c r="W35" s="450"/>
      <c r="X35" s="450"/>
      <c r="Y35" s="450"/>
      <c r="Z35" s="450"/>
      <c r="AA35" s="450"/>
      <c r="AB35" s="450"/>
      <c r="AC35" s="450"/>
      <c r="AD35" s="450"/>
      <c r="AE35" s="450"/>
      <c r="AF35" s="450"/>
      <c r="AG35" s="450"/>
      <c r="AH35" s="450"/>
      <c r="AI35" s="450"/>
      <c r="AJ35" s="450"/>
      <c r="AK35" s="450"/>
      <c r="AL35" s="450"/>
      <c r="AM35" s="450"/>
      <c r="AN35" s="450"/>
      <c r="AO35" s="450"/>
      <c r="AP35" s="450"/>
      <c r="AQ35" s="450"/>
      <c r="AR35" s="450"/>
      <c r="AS35" s="450"/>
      <c r="AT35" s="450"/>
      <c r="AU35" s="450" t="s">
        <v>2007</v>
      </c>
      <c r="AV35" s="170"/>
      <c r="AW35" s="2380"/>
      <c r="AX35" s="2380"/>
      <c r="AY35" s="2380"/>
      <c r="AZ35" s="2380"/>
    </row>
    <row r="36" spans="8:52" x14ac:dyDescent="0.25">
      <c r="H36" s="450" t="s">
        <v>415</v>
      </c>
      <c r="I36" s="450"/>
      <c r="J36" s="665">
        <v>5100</v>
      </c>
      <c r="K36" s="450"/>
      <c r="L36" s="450"/>
      <c r="M36" s="450"/>
      <c r="N36" s="450"/>
      <c r="O36" s="450"/>
      <c r="P36" s="450"/>
      <c r="Q36" s="450"/>
      <c r="R36" s="585" t="s">
        <v>6130</v>
      </c>
      <c r="S36" s="1460" t="s">
        <v>6131</v>
      </c>
      <c r="T36" s="450"/>
      <c r="U36" s="450"/>
      <c r="V36" s="450"/>
      <c r="W36" s="450"/>
      <c r="X36" s="450"/>
      <c r="Y36" s="450"/>
      <c r="Z36" s="450"/>
      <c r="AA36" s="450"/>
      <c r="AB36" s="450"/>
      <c r="AC36" s="450"/>
      <c r="AD36" s="450"/>
      <c r="AE36" s="450"/>
      <c r="AF36" s="450"/>
      <c r="AG36" s="450"/>
      <c r="AH36" s="450"/>
      <c r="AI36" s="450"/>
      <c r="AJ36" s="450"/>
      <c r="AK36" s="450"/>
      <c r="AL36" s="450"/>
      <c r="AM36" s="450"/>
      <c r="AN36" s="450"/>
      <c r="AO36" s="450"/>
      <c r="AP36" s="450"/>
      <c r="AQ36" s="450"/>
      <c r="AR36" s="450"/>
      <c r="AS36" s="450"/>
      <c r="AT36" s="450"/>
      <c r="AU36" s="170" t="s">
        <v>6132</v>
      </c>
      <c r="AV36" s="170"/>
      <c r="AW36" s="170"/>
      <c r="AX36" s="170"/>
      <c r="AY36" s="170"/>
      <c r="AZ36" s="170"/>
    </row>
    <row r="37" spans="8:52" x14ac:dyDescent="0.25">
      <c r="H37" s="450" t="s">
        <v>5998</v>
      </c>
      <c r="I37" s="450"/>
      <c r="J37" s="665">
        <v>5200</v>
      </c>
      <c r="K37" s="450"/>
      <c r="L37" s="450"/>
      <c r="M37" s="450"/>
      <c r="N37" s="450"/>
      <c r="O37" s="450"/>
      <c r="P37" s="450"/>
      <c r="Q37" s="450"/>
      <c r="R37" s="450" t="s">
        <v>1765</v>
      </c>
      <c r="S37" s="1460" t="s">
        <v>6133</v>
      </c>
      <c r="T37" s="450"/>
      <c r="U37" s="450"/>
      <c r="V37" s="450"/>
      <c r="W37" s="450"/>
      <c r="X37" s="450"/>
      <c r="Y37" s="450"/>
      <c r="Z37" s="450"/>
      <c r="AA37" s="450"/>
      <c r="AB37" s="450"/>
      <c r="AC37" s="450"/>
      <c r="AD37" s="450"/>
      <c r="AE37" s="450"/>
      <c r="AF37" s="450"/>
      <c r="AG37" s="450"/>
      <c r="AH37" s="450"/>
      <c r="AI37" s="450"/>
      <c r="AJ37" s="450"/>
      <c r="AK37" s="450"/>
      <c r="AL37" s="450"/>
      <c r="AM37" s="450"/>
      <c r="AN37" s="450"/>
      <c r="AO37" s="450"/>
      <c r="AP37" s="450"/>
      <c r="AQ37" s="450"/>
      <c r="AR37" s="450"/>
      <c r="AS37" s="450"/>
      <c r="AT37" s="450"/>
      <c r="AU37" s="2112" t="s">
        <v>2009</v>
      </c>
      <c r="AV37" s="170"/>
      <c r="AW37" s="2380"/>
      <c r="AX37" s="2380"/>
      <c r="AY37" s="2380"/>
      <c r="AZ37" s="2380"/>
    </row>
    <row r="38" spans="8:52" x14ac:dyDescent="0.25">
      <c r="H38" s="450" t="s">
        <v>455</v>
      </c>
      <c r="I38" s="450"/>
      <c r="J38" s="665"/>
      <c r="K38" s="450"/>
      <c r="L38" s="450"/>
      <c r="M38" s="450"/>
      <c r="N38" s="450"/>
      <c r="O38" s="450"/>
      <c r="P38" s="450"/>
      <c r="Q38" s="450"/>
      <c r="R38" s="450" t="s">
        <v>6134</v>
      </c>
      <c r="S38" s="1460" t="s">
        <v>6135</v>
      </c>
      <c r="T38" s="450"/>
      <c r="U38" s="450"/>
      <c r="V38" s="450"/>
      <c r="W38" s="450"/>
      <c r="X38" s="450"/>
      <c r="Y38" s="450"/>
      <c r="Z38" s="450"/>
      <c r="AA38" s="450"/>
      <c r="AB38" s="450"/>
      <c r="AC38" s="450"/>
      <c r="AD38" s="450"/>
      <c r="AE38" s="450"/>
      <c r="AF38" s="450"/>
      <c r="AG38" s="450"/>
      <c r="AH38" s="450"/>
      <c r="AI38" s="450"/>
      <c r="AJ38" s="450"/>
      <c r="AK38" s="450"/>
      <c r="AL38" s="450"/>
      <c r="AM38" s="450"/>
      <c r="AN38" s="450"/>
      <c r="AO38" s="450"/>
      <c r="AP38" s="450"/>
      <c r="AQ38" s="450"/>
      <c r="AR38" s="450"/>
      <c r="AS38" s="450"/>
      <c r="AT38" s="450"/>
      <c r="AU38" s="2112" t="s">
        <v>6136</v>
      </c>
      <c r="AV38" s="170"/>
      <c r="AW38" s="2380"/>
      <c r="AX38" s="2380"/>
      <c r="AY38" s="2380"/>
      <c r="AZ38" s="2380"/>
    </row>
    <row r="39" spans="8:52" x14ac:dyDescent="0.25">
      <c r="H39" s="450" t="s">
        <v>2862</v>
      </c>
      <c r="I39" s="450"/>
      <c r="J39" s="585" t="s">
        <v>6137</v>
      </c>
      <c r="K39" s="450"/>
      <c r="L39" s="450"/>
      <c r="M39" s="450"/>
      <c r="N39" s="450"/>
      <c r="O39" s="450"/>
      <c r="P39" s="450"/>
      <c r="Q39" s="450"/>
      <c r="R39" s="450" t="s">
        <v>6138</v>
      </c>
      <c r="S39" s="1460" t="s">
        <v>6139</v>
      </c>
      <c r="T39" s="450"/>
      <c r="U39" s="450"/>
      <c r="V39" s="450"/>
      <c r="W39" s="450"/>
      <c r="X39" s="450"/>
      <c r="Y39" s="450"/>
      <c r="Z39" s="450"/>
      <c r="AA39" s="450"/>
      <c r="AB39" s="450"/>
      <c r="AC39" s="450"/>
      <c r="AD39" s="450"/>
      <c r="AE39" s="450"/>
      <c r="AF39" s="450"/>
      <c r="AG39" s="450"/>
      <c r="AH39" s="450"/>
      <c r="AI39" s="450"/>
      <c r="AJ39" s="450"/>
      <c r="AK39" s="450"/>
      <c r="AL39" s="450"/>
      <c r="AM39" s="450"/>
      <c r="AN39" s="450"/>
      <c r="AO39" s="450"/>
      <c r="AP39" s="450"/>
      <c r="AQ39" s="450"/>
      <c r="AR39" s="450"/>
      <c r="AS39" s="450"/>
      <c r="AT39" s="450"/>
      <c r="AU39" s="2112" t="s">
        <v>2011</v>
      </c>
      <c r="AV39" s="170"/>
      <c r="AW39" s="2380"/>
      <c r="AX39" s="2380"/>
      <c r="AY39" s="2380"/>
      <c r="AZ39" s="2380"/>
    </row>
    <row r="40" spans="8:52" x14ac:dyDescent="0.25">
      <c r="H40" s="450" t="s">
        <v>2863</v>
      </c>
      <c r="I40" s="450"/>
      <c r="J40" s="450" t="s">
        <v>6140</v>
      </c>
      <c r="K40" s="450"/>
      <c r="L40" s="450"/>
      <c r="M40" s="450"/>
      <c r="N40" s="450"/>
      <c r="O40" s="450"/>
      <c r="P40" s="450"/>
      <c r="Q40" s="450"/>
      <c r="R40" s="450" t="s">
        <v>6141</v>
      </c>
      <c r="S40" s="1460" t="s">
        <v>6142</v>
      </c>
      <c r="T40" s="450"/>
      <c r="U40" s="450"/>
      <c r="V40" s="450"/>
      <c r="W40" s="450"/>
      <c r="X40" s="450"/>
      <c r="Y40" s="450"/>
      <c r="Z40" s="450"/>
      <c r="AA40" s="450"/>
      <c r="AB40" s="450"/>
      <c r="AC40" s="450"/>
      <c r="AD40" s="450"/>
      <c r="AE40" s="450"/>
      <c r="AF40" s="450"/>
      <c r="AG40" s="450"/>
      <c r="AH40" s="450"/>
      <c r="AI40" s="450"/>
      <c r="AJ40" s="450"/>
      <c r="AK40" s="450"/>
      <c r="AL40" s="450"/>
      <c r="AM40" s="450"/>
      <c r="AN40" s="450"/>
      <c r="AO40" s="450"/>
      <c r="AP40" s="450"/>
      <c r="AQ40" s="450"/>
      <c r="AR40" s="450"/>
      <c r="AS40" s="450"/>
      <c r="AT40" s="450"/>
      <c r="AU40" s="2112" t="s">
        <v>2013</v>
      </c>
      <c r="AV40" s="170"/>
      <c r="AW40" s="2380"/>
      <c r="AX40" s="2380"/>
      <c r="AY40" s="2380"/>
      <c r="AZ40" s="2380"/>
    </row>
    <row r="41" spans="8:52" x14ac:dyDescent="0.25">
      <c r="H41" s="450" t="s">
        <v>6025</v>
      </c>
      <c r="I41" s="450"/>
      <c r="J41" s="450" t="s">
        <v>6143</v>
      </c>
      <c r="K41" s="450"/>
      <c r="L41" s="450"/>
      <c r="M41" s="450"/>
      <c r="N41" s="450"/>
      <c r="O41" s="450"/>
      <c r="P41" s="450"/>
      <c r="Q41" s="450"/>
      <c r="R41" s="450" t="s">
        <v>6144</v>
      </c>
      <c r="S41" s="1460" t="s">
        <v>6145</v>
      </c>
      <c r="T41" s="450"/>
      <c r="U41" s="450"/>
      <c r="V41" s="450"/>
      <c r="W41" s="450"/>
      <c r="X41" s="450"/>
      <c r="Y41" s="450"/>
      <c r="Z41" s="450"/>
      <c r="AA41" s="450"/>
      <c r="AB41" s="450"/>
      <c r="AC41" s="450"/>
      <c r="AD41" s="450"/>
      <c r="AE41" s="450"/>
      <c r="AF41" s="450"/>
      <c r="AG41" s="450"/>
      <c r="AH41" s="450"/>
      <c r="AI41" s="450"/>
      <c r="AJ41" s="450"/>
      <c r="AK41" s="450"/>
      <c r="AL41" s="450"/>
      <c r="AM41" s="450"/>
      <c r="AN41" s="450"/>
      <c r="AO41" s="450"/>
      <c r="AP41" s="450"/>
      <c r="AQ41" s="450"/>
      <c r="AR41" s="450"/>
      <c r="AS41" s="450"/>
      <c r="AT41" s="450"/>
      <c r="AU41" s="450" t="s">
        <v>2015</v>
      </c>
      <c r="AV41" s="170"/>
      <c r="AW41" s="2380"/>
      <c r="AX41" s="2380"/>
      <c r="AY41" s="2380"/>
      <c r="AZ41" s="2380"/>
    </row>
    <row r="42" spans="8:52" x14ac:dyDescent="0.25">
      <c r="H42" s="450" t="s">
        <v>6032</v>
      </c>
      <c r="I42" s="450"/>
      <c r="J42" s="450" t="s">
        <v>6146</v>
      </c>
      <c r="K42" s="450"/>
      <c r="L42" s="450"/>
      <c r="M42" s="450"/>
      <c r="N42" s="450"/>
      <c r="O42" s="450"/>
      <c r="P42" s="450"/>
      <c r="Q42" s="450"/>
      <c r="R42" s="450" t="s">
        <v>6147</v>
      </c>
      <c r="S42" s="1460" t="s">
        <v>6148</v>
      </c>
      <c r="T42" s="450"/>
      <c r="U42" s="450"/>
      <c r="V42" s="450"/>
      <c r="W42" s="450"/>
      <c r="X42" s="450"/>
      <c r="Y42" s="450"/>
      <c r="Z42" s="450"/>
      <c r="AA42" s="450"/>
      <c r="AB42" s="450"/>
      <c r="AC42" s="450"/>
      <c r="AD42" s="450"/>
      <c r="AE42" s="450"/>
      <c r="AF42" s="450"/>
      <c r="AG42" s="450"/>
      <c r="AH42" s="450"/>
      <c r="AI42" s="450"/>
      <c r="AJ42" s="450"/>
      <c r="AK42" s="450"/>
      <c r="AL42" s="450"/>
      <c r="AM42" s="450"/>
      <c r="AN42" s="450"/>
      <c r="AO42" s="450"/>
      <c r="AP42" s="450"/>
      <c r="AQ42" s="450"/>
      <c r="AR42" s="450"/>
      <c r="AS42" s="450"/>
      <c r="AT42" s="450"/>
      <c r="AU42" s="2112" t="s">
        <v>2017</v>
      </c>
      <c r="AV42" s="170"/>
      <c r="AW42" s="2380"/>
      <c r="AX42" s="2380"/>
      <c r="AY42" s="2380"/>
      <c r="AZ42" s="2380"/>
    </row>
    <row r="43" spans="8:52" x14ac:dyDescent="0.25">
      <c r="H43" s="450" t="s">
        <v>835</v>
      </c>
      <c r="I43" s="450"/>
      <c r="J43" s="450" t="s">
        <v>6149</v>
      </c>
      <c r="K43" s="450"/>
      <c r="L43" s="450"/>
      <c r="M43" s="450"/>
      <c r="N43" s="450"/>
      <c r="O43" s="450"/>
      <c r="P43" s="450"/>
      <c r="Q43" s="450"/>
      <c r="R43" s="450" t="s">
        <v>6150</v>
      </c>
      <c r="S43" s="1460" t="s">
        <v>6151</v>
      </c>
      <c r="T43" s="450"/>
      <c r="U43" s="450"/>
      <c r="V43" s="450"/>
      <c r="W43" s="450"/>
      <c r="X43" s="450"/>
      <c r="Y43" s="450"/>
      <c r="Z43" s="450"/>
      <c r="AA43" s="450"/>
      <c r="AB43" s="450"/>
      <c r="AC43" s="450"/>
      <c r="AD43" s="450"/>
      <c r="AE43" s="450"/>
      <c r="AF43" s="450"/>
      <c r="AG43" s="450"/>
      <c r="AH43" s="450"/>
      <c r="AI43" s="450"/>
      <c r="AJ43" s="450"/>
      <c r="AK43" s="450"/>
      <c r="AL43" s="450"/>
      <c r="AM43" s="450"/>
      <c r="AN43" s="450"/>
      <c r="AO43" s="450"/>
      <c r="AP43" s="450"/>
      <c r="AQ43" s="450"/>
      <c r="AR43" s="450"/>
      <c r="AS43" s="450"/>
      <c r="AT43" s="450"/>
      <c r="AU43" s="2112" t="s">
        <v>2023</v>
      </c>
      <c r="AV43" s="170"/>
      <c r="AW43" s="2380"/>
      <c r="AX43" s="2380"/>
      <c r="AY43" s="2380"/>
      <c r="AZ43" s="2380"/>
    </row>
    <row r="44" spans="8:52" x14ac:dyDescent="0.25">
      <c r="H44" s="450" t="s">
        <v>6045</v>
      </c>
      <c r="I44" s="450"/>
      <c r="J44" s="450" t="s">
        <v>6152</v>
      </c>
      <c r="K44" s="450"/>
      <c r="L44" s="450"/>
      <c r="M44" s="450"/>
      <c r="N44" s="450"/>
      <c r="O44" s="450"/>
      <c r="P44" s="450"/>
      <c r="Q44" s="450"/>
      <c r="R44" s="450" t="s">
        <v>6153</v>
      </c>
      <c r="S44" s="1460" t="s">
        <v>6154</v>
      </c>
      <c r="T44" s="450"/>
      <c r="U44" s="450"/>
      <c r="V44" s="450"/>
      <c r="W44" s="450"/>
      <c r="X44" s="450"/>
      <c r="Y44" s="450"/>
      <c r="Z44" s="450"/>
      <c r="AA44" s="450"/>
      <c r="AB44" s="450"/>
      <c r="AC44" s="450"/>
      <c r="AD44" s="450"/>
      <c r="AE44" s="450"/>
      <c r="AF44" s="450"/>
      <c r="AG44" s="450"/>
      <c r="AH44" s="450"/>
      <c r="AI44" s="450"/>
      <c r="AJ44" s="450"/>
      <c r="AK44" s="450"/>
      <c r="AL44" s="450"/>
      <c r="AM44" s="450"/>
      <c r="AN44" s="450"/>
      <c r="AO44" s="450"/>
      <c r="AP44" s="450"/>
      <c r="AQ44" s="450"/>
      <c r="AR44" s="450"/>
      <c r="AS44" s="450"/>
      <c r="AT44" s="450"/>
      <c r="AU44" s="2112" t="s">
        <v>2027</v>
      </c>
      <c r="AV44" s="170"/>
      <c r="AW44" s="2380"/>
      <c r="AX44" s="2380"/>
      <c r="AY44" s="2380"/>
      <c r="AZ44" s="2380"/>
    </row>
    <row r="45" spans="8:52" x14ac:dyDescent="0.25">
      <c r="H45" s="450" t="s">
        <v>6051</v>
      </c>
      <c r="I45" s="450"/>
      <c r="J45" s="450" t="s">
        <v>6155</v>
      </c>
      <c r="K45" s="450"/>
      <c r="L45" s="450"/>
      <c r="M45" s="450"/>
      <c r="N45" s="450"/>
      <c r="O45" s="450"/>
      <c r="P45" s="450"/>
      <c r="Q45" s="450"/>
      <c r="R45" s="450" t="s">
        <v>6156</v>
      </c>
      <c r="S45" s="1460" t="s">
        <v>6157</v>
      </c>
      <c r="T45" s="450"/>
      <c r="U45" s="450"/>
      <c r="V45" s="450"/>
      <c r="W45" s="450"/>
      <c r="X45" s="450"/>
      <c r="Y45" s="450"/>
      <c r="Z45" s="450"/>
      <c r="AA45" s="450"/>
      <c r="AB45" s="450"/>
      <c r="AC45" s="450"/>
      <c r="AD45" s="450"/>
      <c r="AE45" s="450"/>
      <c r="AF45" s="450"/>
      <c r="AG45" s="450"/>
      <c r="AH45" s="450"/>
      <c r="AI45" s="450"/>
      <c r="AJ45" s="450"/>
      <c r="AK45" s="450"/>
      <c r="AL45" s="450"/>
      <c r="AM45" s="450"/>
      <c r="AN45" s="450"/>
      <c r="AO45" s="450"/>
      <c r="AP45" s="450"/>
      <c r="AQ45" s="450"/>
      <c r="AR45" s="450"/>
      <c r="AS45" s="450"/>
      <c r="AT45" s="450"/>
      <c r="AU45" s="2112" t="s">
        <v>2029</v>
      </c>
      <c r="AV45" s="2110"/>
      <c r="AW45" s="2111"/>
      <c r="AX45" s="2111"/>
      <c r="AY45" s="2111"/>
      <c r="AZ45" s="2111"/>
    </row>
    <row r="46" spans="8:52" x14ac:dyDescent="0.25">
      <c r="H46" s="450" t="s">
        <v>477</v>
      </c>
      <c r="I46" s="450"/>
      <c r="J46" s="450" t="s">
        <v>6158</v>
      </c>
      <c r="K46" s="450"/>
      <c r="L46" s="450"/>
      <c r="M46" s="450"/>
      <c r="N46" s="450"/>
      <c r="O46" s="450"/>
      <c r="P46" s="450"/>
      <c r="Q46" s="450"/>
      <c r="R46" s="450" t="s">
        <v>6159</v>
      </c>
      <c r="S46" s="1460" t="s">
        <v>6160</v>
      </c>
      <c r="T46" s="450"/>
      <c r="U46" s="450"/>
      <c r="V46" s="450"/>
      <c r="W46" s="450"/>
      <c r="X46" s="450"/>
      <c r="Y46" s="450"/>
      <c r="Z46" s="450"/>
      <c r="AA46" s="450"/>
      <c r="AB46" s="450"/>
      <c r="AC46" s="450"/>
      <c r="AD46" s="450"/>
      <c r="AE46" s="450"/>
      <c r="AF46" s="450"/>
      <c r="AG46" s="450"/>
      <c r="AH46" s="450"/>
      <c r="AI46" s="450"/>
      <c r="AJ46" s="450"/>
      <c r="AK46" s="450"/>
      <c r="AL46" s="450"/>
      <c r="AM46" s="450"/>
      <c r="AN46" s="450"/>
      <c r="AO46" s="450"/>
      <c r="AP46" s="450"/>
      <c r="AQ46" s="450"/>
      <c r="AR46" s="450"/>
      <c r="AS46" s="450"/>
      <c r="AT46" s="450"/>
      <c r="AU46" s="2112" t="s">
        <v>6161</v>
      </c>
      <c r="AV46" s="170"/>
      <c r="AW46" s="2380"/>
      <c r="AX46" s="2380"/>
      <c r="AY46" s="2380"/>
      <c r="AZ46" s="2380"/>
    </row>
    <row r="47" spans="8:52" x14ac:dyDescent="0.25">
      <c r="H47" s="450" t="s">
        <v>6162</v>
      </c>
      <c r="I47" s="450"/>
      <c r="J47" s="450" t="s">
        <v>6163</v>
      </c>
      <c r="K47" s="450"/>
      <c r="L47" s="450"/>
      <c r="M47" s="450"/>
      <c r="N47" s="450"/>
      <c r="O47" s="450"/>
      <c r="P47" s="450"/>
      <c r="Q47" s="450"/>
      <c r="R47" s="2446" t="s">
        <v>6600</v>
      </c>
      <c r="S47" s="1460" t="s">
        <v>6164</v>
      </c>
      <c r="T47" s="450"/>
      <c r="U47" s="450"/>
      <c r="V47" s="450"/>
      <c r="W47" s="450"/>
      <c r="X47" s="450"/>
      <c r="Y47" s="450"/>
      <c r="Z47" s="450"/>
      <c r="AA47" s="450"/>
      <c r="AB47" s="450"/>
      <c r="AC47" s="450"/>
      <c r="AD47" s="450"/>
      <c r="AE47" s="450"/>
      <c r="AF47" s="450"/>
      <c r="AG47" s="450"/>
      <c r="AH47" s="450"/>
      <c r="AI47" s="450"/>
      <c r="AJ47" s="450"/>
      <c r="AK47" s="450"/>
      <c r="AL47" s="450"/>
      <c r="AM47" s="450"/>
      <c r="AN47" s="450"/>
      <c r="AO47" s="450"/>
      <c r="AP47" s="450"/>
      <c r="AQ47" s="450"/>
      <c r="AR47" s="450"/>
      <c r="AS47" s="450"/>
      <c r="AT47" s="450"/>
      <c r="AU47" s="450"/>
      <c r="AV47" s="170"/>
      <c r="AW47" s="2380"/>
      <c r="AX47" s="2380"/>
      <c r="AY47" s="2380"/>
      <c r="AZ47" s="2380"/>
    </row>
    <row r="48" spans="8:52" x14ac:dyDescent="0.25">
      <c r="H48" s="450"/>
      <c r="I48" s="450"/>
      <c r="J48" s="450" t="s">
        <v>6165</v>
      </c>
      <c r="K48" s="450"/>
      <c r="L48" s="450"/>
      <c r="M48" s="450"/>
      <c r="N48" s="450"/>
      <c r="O48" s="450"/>
      <c r="P48" s="450"/>
      <c r="Q48" s="450"/>
      <c r="R48" s="2446" t="s">
        <v>6276</v>
      </c>
      <c r="S48" s="1460" t="s">
        <v>6166</v>
      </c>
      <c r="T48" s="450"/>
      <c r="U48" s="450"/>
      <c r="V48" s="450"/>
      <c r="W48" s="450"/>
      <c r="X48" s="450"/>
      <c r="Y48" s="450"/>
      <c r="Z48" s="450"/>
      <c r="AA48" s="450"/>
      <c r="AB48" s="450"/>
      <c r="AC48" s="450"/>
      <c r="AD48" s="450"/>
      <c r="AE48" s="450"/>
      <c r="AF48" s="450"/>
      <c r="AG48" s="450"/>
      <c r="AH48" s="450"/>
      <c r="AI48" s="450"/>
      <c r="AJ48" s="450"/>
      <c r="AK48" s="450"/>
      <c r="AL48" s="450"/>
      <c r="AM48" s="450"/>
      <c r="AN48" s="450"/>
      <c r="AO48" s="450"/>
      <c r="AP48" s="450"/>
      <c r="AQ48" s="450"/>
      <c r="AR48" s="450"/>
      <c r="AS48" s="450"/>
      <c r="AT48" s="450"/>
      <c r="AU48" s="450"/>
      <c r="AV48" s="170"/>
      <c r="AW48" s="2380"/>
      <c r="AX48" s="2380"/>
      <c r="AY48" s="2380"/>
      <c r="AZ48" s="2380"/>
    </row>
    <row r="49" spans="8:52" x14ac:dyDescent="0.25">
      <c r="H49" s="2353" t="s">
        <v>1610</v>
      </c>
      <c r="I49" s="450"/>
      <c r="J49" s="450" t="s">
        <v>6167</v>
      </c>
      <c r="K49" s="450"/>
      <c r="L49" s="450"/>
      <c r="M49" s="450"/>
      <c r="N49" s="450"/>
      <c r="O49" s="450"/>
      <c r="P49" s="450"/>
      <c r="Q49" s="450"/>
      <c r="R49" s="450" t="s">
        <v>6168</v>
      </c>
      <c r="S49" s="1460" t="s">
        <v>6169</v>
      </c>
      <c r="T49" s="450"/>
      <c r="U49" s="450"/>
      <c r="V49" s="450"/>
      <c r="W49" s="450"/>
      <c r="X49" s="450"/>
      <c r="Y49" s="450"/>
      <c r="Z49" s="450"/>
      <c r="AA49" s="450"/>
      <c r="AB49" s="450"/>
      <c r="AC49" s="450"/>
      <c r="AD49" s="450"/>
      <c r="AE49" s="450"/>
      <c r="AF49" s="450"/>
      <c r="AG49" s="450"/>
      <c r="AH49" s="450"/>
      <c r="AI49" s="450"/>
      <c r="AJ49" s="450"/>
      <c r="AK49" s="450"/>
      <c r="AL49" s="450"/>
      <c r="AM49" s="450"/>
      <c r="AN49" s="450"/>
      <c r="AO49" s="450"/>
      <c r="AP49" s="450"/>
      <c r="AQ49" s="450"/>
      <c r="AR49" s="450"/>
      <c r="AS49" s="450"/>
      <c r="AT49" s="450"/>
      <c r="AU49" s="450"/>
      <c r="AV49" s="170"/>
      <c r="AW49" s="2380"/>
      <c r="AX49" s="2380"/>
      <c r="AY49" s="2380"/>
      <c r="AZ49" s="2380"/>
    </row>
    <row r="50" spans="8:52" x14ac:dyDescent="0.25">
      <c r="H50" s="450" t="s">
        <v>1661</v>
      </c>
      <c r="I50" s="450"/>
      <c r="J50" s="450" t="s">
        <v>6170</v>
      </c>
      <c r="K50" s="450"/>
      <c r="L50" s="450"/>
      <c r="M50" s="450"/>
      <c r="N50" s="450"/>
      <c r="O50" s="450"/>
      <c r="P50" s="450"/>
      <c r="Q50" s="450"/>
      <c r="R50" s="450" t="s">
        <v>6171</v>
      </c>
      <c r="S50" s="1460" t="s">
        <v>6172</v>
      </c>
      <c r="T50" s="450"/>
      <c r="U50" s="450"/>
      <c r="V50" s="450"/>
      <c r="W50" s="450"/>
      <c r="X50" s="450"/>
      <c r="Y50" s="450"/>
      <c r="Z50" s="450"/>
      <c r="AA50" s="450"/>
      <c r="AB50" s="450"/>
      <c r="AC50" s="450"/>
      <c r="AD50" s="450"/>
      <c r="AE50" s="450"/>
      <c r="AF50" s="450"/>
      <c r="AG50" s="450"/>
      <c r="AH50" s="450"/>
      <c r="AI50" s="450"/>
      <c r="AJ50" s="450"/>
      <c r="AK50" s="450"/>
      <c r="AL50" s="450"/>
      <c r="AM50" s="450"/>
      <c r="AN50" s="450"/>
      <c r="AO50" s="450"/>
      <c r="AP50" s="450"/>
      <c r="AQ50" s="450"/>
      <c r="AR50" s="450"/>
      <c r="AS50" s="450"/>
      <c r="AT50" s="450"/>
      <c r="AU50" s="450"/>
      <c r="AV50" s="170"/>
      <c r="AW50" s="2380"/>
      <c r="AX50" s="2380"/>
      <c r="AY50" s="2380"/>
      <c r="AZ50" s="2380"/>
    </row>
    <row r="51" spans="8:52" x14ac:dyDescent="0.25">
      <c r="H51" s="450" t="s">
        <v>1625</v>
      </c>
      <c r="I51" s="450"/>
      <c r="J51" s="450" t="s">
        <v>6173</v>
      </c>
      <c r="K51" s="450"/>
      <c r="L51" s="450"/>
      <c r="M51" s="450"/>
      <c r="N51" s="450"/>
      <c r="O51" s="450"/>
      <c r="P51" s="450"/>
      <c r="Q51" s="450"/>
      <c r="R51" s="450" t="s">
        <v>6174</v>
      </c>
      <c r="S51" s="450"/>
      <c r="T51" s="450"/>
      <c r="U51" s="450"/>
      <c r="V51" s="450"/>
      <c r="W51" s="450"/>
      <c r="X51" s="450"/>
      <c r="Y51" s="450"/>
      <c r="Z51" s="450"/>
      <c r="AA51" s="450"/>
      <c r="AB51" s="450"/>
      <c r="AC51" s="450"/>
      <c r="AD51" s="450"/>
      <c r="AE51" s="450"/>
      <c r="AF51" s="450"/>
      <c r="AG51" s="450"/>
      <c r="AH51" s="450"/>
      <c r="AI51" s="450"/>
      <c r="AJ51" s="450"/>
      <c r="AK51" s="450"/>
      <c r="AL51" s="450"/>
      <c r="AM51" s="450"/>
      <c r="AN51" s="450"/>
      <c r="AO51" s="450"/>
      <c r="AP51" s="450"/>
      <c r="AQ51" s="450"/>
      <c r="AR51" s="450"/>
      <c r="AS51" s="450"/>
      <c r="AT51" s="450"/>
      <c r="AU51" s="450"/>
      <c r="AV51" s="450"/>
      <c r="AW51" s="450"/>
      <c r="AX51" s="450"/>
      <c r="AY51" s="450"/>
      <c r="AZ51" s="450"/>
    </row>
    <row r="52" spans="8:52" x14ac:dyDescent="0.25">
      <c r="H52" s="450" t="s">
        <v>2862</v>
      </c>
      <c r="I52" s="450"/>
      <c r="J52" s="450" t="s">
        <v>6175</v>
      </c>
      <c r="K52" s="450"/>
      <c r="L52" s="450"/>
      <c r="M52" s="450"/>
      <c r="N52" s="450"/>
      <c r="O52" s="450"/>
      <c r="P52" s="450"/>
      <c r="Q52" s="450"/>
      <c r="R52" s="450" t="s">
        <v>6176</v>
      </c>
      <c r="S52" s="450"/>
      <c r="T52" s="450"/>
      <c r="U52" s="450"/>
      <c r="V52" s="450"/>
      <c r="W52" s="450"/>
      <c r="X52" s="450"/>
      <c r="Y52" s="450"/>
      <c r="Z52" s="450"/>
      <c r="AA52" s="450"/>
      <c r="AB52" s="450"/>
      <c r="AC52" s="450"/>
      <c r="AD52" s="450"/>
      <c r="AE52" s="450"/>
      <c r="AF52" s="450"/>
      <c r="AG52" s="450"/>
      <c r="AH52" s="450"/>
      <c r="AI52" s="450"/>
      <c r="AJ52" s="450"/>
      <c r="AK52" s="450"/>
      <c r="AL52" s="450"/>
      <c r="AM52" s="450"/>
      <c r="AN52" s="450"/>
      <c r="AO52" s="450"/>
      <c r="AP52" s="450"/>
      <c r="AQ52" s="450"/>
      <c r="AR52" s="450"/>
      <c r="AS52" s="450"/>
      <c r="AT52" s="450"/>
      <c r="AU52" s="450"/>
      <c r="AV52" s="450"/>
      <c r="AW52" s="450"/>
      <c r="AX52" s="450"/>
      <c r="AY52" s="450"/>
      <c r="AZ52" s="450"/>
    </row>
    <row r="53" spans="8:52" x14ac:dyDescent="0.25">
      <c r="H53" s="450" t="s">
        <v>6025</v>
      </c>
      <c r="I53" s="450"/>
      <c r="J53" s="450" t="s">
        <v>6177</v>
      </c>
      <c r="K53" s="450"/>
      <c r="L53" s="450"/>
      <c r="M53" s="450"/>
      <c r="N53" s="450"/>
      <c r="O53" s="450"/>
      <c r="P53" s="450"/>
      <c r="Q53" s="450"/>
      <c r="R53" s="450" t="s">
        <v>6178</v>
      </c>
      <c r="S53" s="450"/>
      <c r="T53" s="450"/>
      <c r="U53" s="450"/>
      <c r="V53" s="450"/>
      <c r="W53" s="450"/>
      <c r="X53" s="450"/>
      <c r="Y53" s="450"/>
      <c r="Z53" s="450"/>
      <c r="AA53" s="450"/>
      <c r="AB53" s="450"/>
      <c r="AC53" s="450"/>
      <c r="AD53" s="450"/>
      <c r="AE53" s="450"/>
      <c r="AF53" s="450"/>
      <c r="AG53" s="450"/>
      <c r="AH53" s="450"/>
      <c r="AI53" s="450"/>
      <c r="AJ53" s="450"/>
      <c r="AK53" s="450"/>
      <c r="AL53" s="450"/>
      <c r="AM53" s="450"/>
      <c r="AN53" s="450"/>
      <c r="AO53" s="450"/>
      <c r="AP53" s="450"/>
      <c r="AQ53" s="450"/>
      <c r="AR53" s="450"/>
      <c r="AS53" s="450"/>
      <c r="AT53" s="450"/>
      <c r="AU53" s="450"/>
      <c r="AV53" s="450"/>
      <c r="AW53" s="450"/>
      <c r="AX53" s="450"/>
      <c r="AY53" s="450"/>
      <c r="AZ53" s="450"/>
    </row>
    <row r="54" spans="8:52" x14ac:dyDescent="0.25">
      <c r="H54" s="450"/>
      <c r="I54" s="450"/>
      <c r="J54" s="450" t="s">
        <v>6179</v>
      </c>
      <c r="K54" s="450"/>
      <c r="L54" s="450"/>
      <c r="M54" s="450"/>
      <c r="N54" s="450"/>
      <c r="O54" s="450"/>
      <c r="P54" s="450"/>
      <c r="Q54" s="450"/>
      <c r="R54" s="450" t="s">
        <v>6180</v>
      </c>
      <c r="S54" s="450"/>
      <c r="T54" s="450"/>
      <c r="U54" s="450"/>
      <c r="V54" s="450"/>
      <c r="W54" s="450"/>
      <c r="X54" s="450"/>
      <c r="Y54" s="450"/>
      <c r="Z54" s="450"/>
      <c r="AA54" s="450"/>
      <c r="AB54" s="450"/>
      <c r="AC54" s="450"/>
      <c r="AD54" s="450"/>
      <c r="AE54" s="450"/>
      <c r="AF54" s="450"/>
      <c r="AG54" s="450"/>
      <c r="AH54" s="450"/>
      <c r="AI54" s="450"/>
      <c r="AJ54" s="450"/>
      <c r="AK54" s="450"/>
      <c r="AL54" s="450"/>
      <c r="AM54" s="450"/>
      <c r="AN54" s="450"/>
      <c r="AO54" s="450"/>
      <c r="AP54" s="450"/>
      <c r="AQ54" s="450"/>
      <c r="AR54" s="450"/>
      <c r="AS54" s="450"/>
      <c r="AT54" s="450"/>
      <c r="AU54" s="450"/>
      <c r="AV54" s="450"/>
      <c r="AW54" s="450"/>
      <c r="AX54" s="450"/>
      <c r="AY54" s="450"/>
      <c r="AZ54" s="450"/>
    </row>
    <row r="55" spans="8:52" x14ac:dyDescent="0.25">
      <c r="H55" s="450"/>
      <c r="I55" s="450"/>
      <c r="J55" s="450"/>
      <c r="K55" s="450"/>
      <c r="L55" s="450"/>
      <c r="M55" s="450"/>
      <c r="N55" s="450"/>
      <c r="O55" s="450"/>
      <c r="P55" s="450"/>
      <c r="Q55" s="450"/>
      <c r="R55" s="450"/>
      <c r="S55" s="450"/>
      <c r="T55" s="450"/>
      <c r="U55" s="450"/>
      <c r="V55" s="450"/>
      <c r="W55" s="450"/>
      <c r="X55" s="450"/>
      <c r="Y55" s="450"/>
      <c r="Z55" s="450"/>
      <c r="AA55" s="450"/>
      <c r="AB55" s="450"/>
      <c r="AC55" s="450"/>
      <c r="AD55" s="450"/>
      <c r="AE55" s="450"/>
      <c r="AF55" s="450"/>
      <c r="AG55" s="450"/>
      <c r="AH55" s="450"/>
      <c r="AI55" s="450"/>
      <c r="AJ55" s="450"/>
      <c r="AK55" s="450"/>
      <c r="AL55" s="450"/>
      <c r="AM55" s="450"/>
      <c r="AN55" s="450"/>
      <c r="AO55" s="450"/>
      <c r="AP55" s="450"/>
      <c r="AQ55" s="450"/>
      <c r="AR55" s="450"/>
      <c r="AS55" s="450"/>
      <c r="AT55" s="450"/>
      <c r="AU55" s="450"/>
      <c r="AV55" s="450"/>
      <c r="AW55" s="450"/>
      <c r="AX55" s="450"/>
      <c r="AY55" s="450"/>
      <c r="AZ55" s="450"/>
    </row>
    <row r="56" spans="8:52" x14ac:dyDescent="0.25">
      <c r="H56" s="450"/>
      <c r="I56" s="450"/>
      <c r="J56" s="1101" t="s">
        <v>6181</v>
      </c>
      <c r="K56" s="450"/>
      <c r="L56" s="450"/>
      <c r="M56" s="450"/>
      <c r="N56" s="450"/>
      <c r="O56" s="450"/>
      <c r="P56" s="450"/>
      <c r="Q56" s="450"/>
      <c r="R56" s="585" t="s">
        <v>6182</v>
      </c>
      <c r="S56" s="450"/>
      <c r="T56" s="450"/>
      <c r="U56" s="450"/>
      <c r="V56" s="450"/>
      <c r="W56" s="450"/>
      <c r="X56" s="450"/>
      <c r="Y56" s="450"/>
      <c r="Z56" s="450"/>
      <c r="AA56" s="450"/>
      <c r="AB56" s="450"/>
      <c r="AC56" s="450"/>
      <c r="AD56" s="450"/>
      <c r="AE56" s="450"/>
      <c r="AF56" s="450"/>
      <c r="AG56" s="450"/>
      <c r="AH56" s="450"/>
      <c r="AI56" s="450"/>
      <c r="AJ56" s="450"/>
      <c r="AK56" s="450"/>
      <c r="AL56" s="450"/>
      <c r="AM56" s="450"/>
      <c r="AN56" s="450"/>
      <c r="AO56" s="450"/>
      <c r="AP56" s="450"/>
      <c r="AQ56" s="450"/>
      <c r="AR56" s="450"/>
      <c r="AS56" s="450"/>
      <c r="AT56" s="450"/>
      <c r="AU56" s="450"/>
      <c r="AV56" s="450"/>
      <c r="AW56" s="450"/>
      <c r="AX56" s="450"/>
      <c r="AY56" s="450"/>
      <c r="AZ56" s="450"/>
    </row>
    <row r="57" spans="8:52" x14ac:dyDescent="0.25">
      <c r="H57" s="450"/>
      <c r="I57" s="450"/>
      <c r="J57" s="585" t="s">
        <v>6183</v>
      </c>
      <c r="K57" s="450"/>
      <c r="L57" s="450"/>
      <c r="M57" s="450"/>
      <c r="N57" s="450"/>
      <c r="O57" s="450"/>
      <c r="P57" s="450"/>
      <c r="Q57" s="450"/>
      <c r="R57" s="450" t="s">
        <v>1765</v>
      </c>
      <c r="S57" s="450"/>
      <c r="T57" s="450"/>
      <c r="U57" s="450"/>
      <c r="V57" s="450"/>
      <c r="W57" s="450"/>
      <c r="X57" s="450"/>
      <c r="Y57" s="450"/>
      <c r="Z57" s="450"/>
      <c r="AA57" s="450"/>
      <c r="AB57" s="450"/>
      <c r="AC57" s="450"/>
      <c r="AD57" s="450"/>
      <c r="AE57" s="450"/>
      <c r="AF57" s="450"/>
      <c r="AG57" s="450"/>
      <c r="AH57" s="450"/>
      <c r="AI57" s="450"/>
      <c r="AJ57" s="450"/>
      <c r="AK57" s="450"/>
      <c r="AL57" s="450"/>
      <c r="AM57" s="450"/>
      <c r="AN57" s="450"/>
      <c r="AO57" s="450"/>
      <c r="AP57" s="450"/>
      <c r="AQ57" s="450"/>
      <c r="AR57" s="450"/>
      <c r="AS57" s="450"/>
      <c r="AT57" s="450"/>
      <c r="AU57" s="450"/>
      <c r="AV57" s="450"/>
      <c r="AW57" s="450"/>
      <c r="AX57" s="450"/>
      <c r="AY57" s="450"/>
      <c r="AZ57" s="450"/>
    </row>
    <row r="58" spans="8:52" x14ac:dyDescent="0.25">
      <c r="H58" s="450"/>
      <c r="I58" s="450"/>
      <c r="J58" s="450" t="s">
        <v>1765</v>
      </c>
      <c r="K58" s="450"/>
      <c r="L58" s="450"/>
      <c r="M58" s="450"/>
      <c r="N58" s="450"/>
      <c r="O58" s="450"/>
      <c r="P58" s="450"/>
      <c r="Q58" s="450"/>
      <c r="R58" s="450" t="s">
        <v>6184</v>
      </c>
      <c r="S58" s="450"/>
      <c r="T58" s="450"/>
      <c r="U58" s="450"/>
      <c r="V58" s="450"/>
      <c r="W58" s="450"/>
      <c r="X58" s="450"/>
      <c r="Y58" s="450"/>
      <c r="Z58" s="450"/>
      <c r="AA58" s="450"/>
      <c r="AB58" s="450"/>
      <c r="AC58" s="450"/>
      <c r="AD58" s="450"/>
      <c r="AE58" s="450"/>
      <c r="AF58" s="450"/>
      <c r="AG58" s="450"/>
      <c r="AH58" s="450"/>
      <c r="AI58" s="450"/>
      <c r="AJ58" s="450"/>
      <c r="AK58" s="450"/>
      <c r="AL58" s="450"/>
      <c r="AM58" s="450"/>
      <c r="AN58" s="450"/>
      <c r="AO58" s="450"/>
      <c r="AP58" s="450"/>
      <c r="AQ58" s="450"/>
      <c r="AR58" s="450"/>
      <c r="AS58" s="450"/>
      <c r="AT58" s="450"/>
      <c r="AU58" s="450"/>
      <c r="AV58" s="450"/>
      <c r="AW58" s="450"/>
      <c r="AX58" s="450"/>
      <c r="AY58" s="450"/>
      <c r="AZ58" s="450"/>
    </row>
    <row r="59" spans="8:52" x14ac:dyDescent="0.25">
      <c r="H59" s="450"/>
      <c r="I59" s="450"/>
      <c r="J59" s="450" t="s">
        <v>6185</v>
      </c>
      <c r="K59" s="450"/>
      <c r="L59" s="450"/>
      <c r="M59" s="450"/>
      <c r="N59" s="450"/>
      <c r="O59" s="450"/>
      <c r="P59" s="450"/>
      <c r="Q59" s="450"/>
      <c r="R59" s="450" t="s">
        <v>6186</v>
      </c>
      <c r="S59" s="450"/>
      <c r="T59" s="450"/>
      <c r="U59" s="450"/>
      <c r="V59" s="450"/>
      <c r="W59" s="450"/>
      <c r="X59" s="450"/>
      <c r="Y59" s="450"/>
      <c r="Z59" s="450"/>
      <c r="AA59" s="450"/>
      <c r="AB59" s="450"/>
      <c r="AC59" s="450"/>
      <c r="AD59" s="450"/>
      <c r="AE59" s="450"/>
      <c r="AF59" s="450"/>
      <c r="AG59" s="450"/>
      <c r="AH59" s="450"/>
      <c r="AI59" s="450"/>
      <c r="AJ59" s="450"/>
      <c r="AK59" s="450"/>
      <c r="AL59" s="450"/>
      <c r="AM59" s="450"/>
      <c r="AN59" s="450"/>
      <c r="AO59" s="450"/>
      <c r="AP59" s="450"/>
      <c r="AQ59" s="450"/>
      <c r="AR59" s="450"/>
      <c r="AS59" s="450"/>
      <c r="AT59" s="450"/>
      <c r="AU59" s="450"/>
      <c r="AV59" s="450"/>
      <c r="AW59" s="450"/>
      <c r="AX59" s="450"/>
      <c r="AY59" s="450"/>
      <c r="AZ59" s="450"/>
    </row>
    <row r="60" spans="8:52" x14ac:dyDescent="0.25">
      <c r="H60" s="450"/>
      <c r="I60" s="450"/>
      <c r="J60" s="450" t="s">
        <v>6187</v>
      </c>
      <c r="K60" s="450"/>
      <c r="L60" s="450"/>
      <c r="M60" s="450"/>
      <c r="N60" s="450"/>
      <c r="O60" s="450"/>
      <c r="P60" s="450"/>
      <c r="Q60" s="450"/>
      <c r="R60" s="2446" t="s">
        <v>6282</v>
      </c>
      <c r="S60" s="450"/>
      <c r="T60" s="450"/>
      <c r="U60" s="450"/>
      <c r="V60" s="450"/>
      <c r="W60" s="450"/>
      <c r="X60" s="450"/>
      <c r="Y60" s="450"/>
      <c r="Z60" s="450"/>
      <c r="AA60" s="450"/>
      <c r="AB60" s="450"/>
      <c r="AC60" s="450"/>
      <c r="AD60" s="450"/>
      <c r="AE60" s="450"/>
      <c r="AF60" s="450"/>
      <c r="AG60" s="450"/>
      <c r="AH60" s="450"/>
      <c r="AI60" s="450"/>
      <c r="AJ60" s="450"/>
      <c r="AK60" s="450"/>
      <c r="AL60" s="450"/>
      <c r="AM60" s="450"/>
      <c r="AN60" s="450"/>
      <c r="AO60" s="450"/>
      <c r="AP60" s="450"/>
      <c r="AQ60" s="450"/>
      <c r="AR60" s="450"/>
      <c r="AS60" s="450"/>
      <c r="AT60" s="450"/>
      <c r="AU60" s="450"/>
      <c r="AV60" s="450"/>
      <c r="AW60" s="450"/>
      <c r="AX60" s="450"/>
      <c r="AY60" s="450"/>
      <c r="AZ60" s="450"/>
    </row>
    <row r="61" spans="8:52" x14ac:dyDescent="0.25">
      <c r="H61" s="450"/>
      <c r="I61" s="450"/>
      <c r="J61" s="450" t="s">
        <v>6188</v>
      </c>
      <c r="K61" s="450"/>
      <c r="L61" s="450"/>
      <c r="M61" s="450"/>
      <c r="N61" s="450"/>
      <c r="O61" s="450"/>
      <c r="P61" s="450"/>
      <c r="Q61" s="450"/>
      <c r="R61" s="2446" t="s">
        <v>6599</v>
      </c>
      <c r="S61" s="450"/>
      <c r="T61" s="450"/>
      <c r="U61" s="450"/>
      <c r="V61" s="450"/>
      <c r="W61" s="450"/>
      <c r="X61" s="450"/>
      <c r="Y61" s="450"/>
      <c r="Z61" s="450"/>
      <c r="AA61" s="450"/>
      <c r="AB61" s="450"/>
      <c r="AC61" s="450"/>
      <c r="AD61" s="450"/>
      <c r="AE61" s="450"/>
      <c r="AF61" s="450"/>
      <c r="AG61" s="450"/>
      <c r="AH61" s="450"/>
      <c r="AI61" s="450"/>
      <c r="AJ61" s="450"/>
      <c r="AK61" s="450"/>
      <c r="AL61" s="450"/>
      <c r="AM61" s="450"/>
      <c r="AN61" s="450"/>
      <c r="AO61" s="450"/>
      <c r="AP61" s="450"/>
      <c r="AQ61" s="450"/>
      <c r="AR61" s="450"/>
      <c r="AS61" s="450"/>
      <c r="AT61" s="450"/>
      <c r="AU61" s="450"/>
      <c r="AV61" s="450"/>
      <c r="AW61" s="450"/>
      <c r="AX61" s="450"/>
      <c r="AY61" s="450"/>
      <c r="AZ61" s="450"/>
    </row>
    <row r="62" spans="8:52" x14ac:dyDescent="0.25">
      <c r="H62" s="450"/>
      <c r="I62" s="450"/>
      <c r="J62" s="450" t="s">
        <v>6189</v>
      </c>
      <c r="K62" s="450"/>
      <c r="L62" s="450"/>
      <c r="M62" s="450"/>
      <c r="N62" s="450"/>
      <c r="O62" s="450"/>
      <c r="P62" s="450"/>
      <c r="Q62" s="450"/>
      <c r="R62" s="2446" t="s">
        <v>6597</v>
      </c>
      <c r="S62" s="450"/>
      <c r="T62" s="450"/>
      <c r="U62" s="450"/>
      <c r="V62" s="450"/>
      <c r="W62" s="450"/>
      <c r="X62" s="450"/>
      <c r="Y62" s="450"/>
      <c r="Z62" s="450"/>
      <c r="AA62" s="450"/>
      <c r="AB62" s="450"/>
      <c r="AC62" s="450"/>
      <c r="AD62" s="450"/>
      <c r="AE62" s="450"/>
      <c r="AF62" s="450"/>
      <c r="AG62" s="450"/>
      <c r="AH62" s="450"/>
      <c r="AI62" s="450"/>
      <c r="AJ62" s="450"/>
      <c r="AK62" s="450"/>
      <c r="AL62" s="450"/>
      <c r="AM62" s="450"/>
      <c r="AN62" s="450"/>
      <c r="AO62" s="450"/>
      <c r="AP62" s="450"/>
      <c r="AQ62" s="450"/>
      <c r="AR62" s="450"/>
      <c r="AS62" s="450"/>
      <c r="AT62" s="450"/>
      <c r="AU62" s="450"/>
      <c r="AV62" s="450"/>
      <c r="AW62" s="450"/>
      <c r="AX62" s="450"/>
      <c r="AY62" s="450"/>
      <c r="AZ62" s="450"/>
    </row>
    <row r="63" spans="8:52" x14ac:dyDescent="0.25">
      <c r="H63" s="450"/>
      <c r="I63" s="450"/>
      <c r="J63" s="450" t="s">
        <v>6190</v>
      </c>
      <c r="K63" s="450"/>
      <c r="L63" s="450"/>
      <c r="M63" s="450"/>
      <c r="N63" s="450"/>
      <c r="O63" s="450"/>
      <c r="P63" s="450"/>
      <c r="Q63" s="450"/>
      <c r="R63" s="2446" t="s">
        <v>6277</v>
      </c>
      <c r="S63" s="450"/>
      <c r="T63" s="450"/>
      <c r="U63" s="450"/>
      <c r="V63" s="450"/>
      <c r="W63" s="450"/>
      <c r="X63" s="450"/>
      <c r="Y63" s="450"/>
      <c r="Z63" s="450"/>
      <c r="AA63" s="450"/>
      <c r="AB63" s="450"/>
      <c r="AC63" s="450"/>
      <c r="AD63" s="450"/>
      <c r="AE63" s="450"/>
      <c r="AF63" s="450"/>
      <c r="AG63" s="450"/>
      <c r="AH63" s="450"/>
      <c r="AI63" s="450"/>
      <c r="AJ63" s="450"/>
      <c r="AK63" s="450"/>
      <c r="AL63" s="450"/>
      <c r="AM63" s="450"/>
      <c r="AN63" s="450"/>
      <c r="AO63" s="450"/>
      <c r="AP63" s="450"/>
      <c r="AQ63" s="450"/>
      <c r="AR63" s="450"/>
      <c r="AS63" s="450"/>
      <c r="AT63" s="450"/>
      <c r="AU63" s="450"/>
      <c r="AV63" s="450"/>
      <c r="AW63" s="450"/>
      <c r="AX63" s="450"/>
      <c r="AY63" s="450"/>
      <c r="AZ63" s="450"/>
    </row>
    <row r="64" spans="8:52" x14ac:dyDescent="0.25">
      <c r="H64" s="450"/>
      <c r="I64" s="450"/>
      <c r="J64" s="450" t="s">
        <v>6191</v>
      </c>
      <c r="K64" s="450"/>
      <c r="L64" s="450"/>
      <c r="M64" s="450"/>
      <c r="N64" s="450"/>
      <c r="O64" s="450"/>
      <c r="P64" s="450"/>
      <c r="Q64" s="450"/>
      <c r="R64" s="2446" t="s">
        <v>6598</v>
      </c>
      <c r="S64" s="450"/>
      <c r="T64" s="450"/>
      <c r="U64" s="450"/>
      <c r="V64" s="450"/>
      <c r="W64" s="450"/>
      <c r="X64" s="450"/>
      <c r="Y64" s="450"/>
      <c r="Z64" s="450"/>
      <c r="AA64" s="450"/>
      <c r="AB64" s="450"/>
      <c r="AC64" s="450"/>
      <c r="AD64" s="450"/>
      <c r="AE64" s="450"/>
      <c r="AF64" s="450"/>
      <c r="AG64" s="450"/>
      <c r="AH64" s="450"/>
      <c r="AI64" s="450"/>
      <c r="AJ64" s="450"/>
      <c r="AK64" s="450"/>
      <c r="AL64" s="450"/>
      <c r="AM64" s="450"/>
      <c r="AN64" s="450"/>
      <c r="AO64" s="450"/>
      <c r="AP64" s="450"/>
      <c r="AQ64" s="450"/>
      <c r="AR64" s="450"/>
      <c r="AS64" s="450"/>
      <c r="AT64" s="450"/>
      <c r="AU64" s="450"/>
      <c r="AV64" s="450"/>
      <c r="AW64" s="450"/>
      <c r="AX64" s="450"/>
      <c r="AY64" s="450"/>
      <c r="AZ64" s="450"/>
    </row>
    <row r="65" spans="10:18" x14ac:dyDescent="0.25">
      <c r="J65" s="2446" t="s">
        <v>6602</v>
      </c>
      <c r="K65" s="450"/>
      <c r="L65" s="450"/>
      <c r="M65" s="450"/>
      <c r="N65" s="450"/>
      <c r="O65" s="450"/>
      <c r="P65" s="450"/>
      <c r="Q65" s="450"/>
      <c r="R65" s="450" t="s">
        <v>6192</v>
      </c>
    </row>
    <row r="66" spans="10:18" x14ac:dyDescent="0.25">
      <c r="J66" s="450" t="s">
        <v>6193</v>
      </c>
      <c r="K66" s="450"/>
      <c r="L66" s="450"/>
      <c r="M66" s="450"/>
      <c r="N66" s="450"/>
      <c r="O66" s="450"/>
      <c r="P66" s="450"/>
      <c r="Q66" s="450"/>
      <c r="R66" s="2446" t="s">
        <v>6592</v>
      </c>
    </row>
    <row r="67" spans="10:18" x14ac:dyDescent="0.25">
      <c r="J67" s="450" t="s">
        <v>6194</v>
      </c>
      <c r="K67" s="450"/>
      <c r="L67" s="450"/>
      <c r="M67" s="450"/>
      <c r="N67" s="450"/>
      <c r="O67" s="450"/>
      <c r="P67" s="450"/>
      <c r="Q67" s="450"/>
      <c r="R67" s="450" t="s">
        <v>6195</v>
      </c>
    </row>
    <row r="68" spans="10:18" x14ac:dyDescent="0.25">
      <c r="J68" s="450" t="s">
        <v>6196</v>
      </c>
      <c r="K68" s="450"/>
      <c r="L68" s="450"/>
      <c r="M68" s="450"/>
      <c r="N68" s="450"/>
      <c r="O68" s="450"/>
      <c r="P68" s="450"/>
      <c r="Q68" s="450"/>
      <c r="R68" s="450" t="s">
        <v>6197</v>
      </c>
    </row>
    <row r="69" spans="10:18" x14ac:dyDescent="0.25">
      <c r="J69" s="450" t="s">
        <v>6198</v>
      </c>
      <c r="K69" s="450"/>
      <c r="L69" s="450"/>
      <c r="M69" s="450"/>
      <c r="N69" s="450"/>
      <c r="O69" s="450"/>
      <c r="P69" s="450"/>
      <c r="Q69" s="450"/>
      <c r="R69" s="450" t="s">
        <v>6199</v>
      </c>
    </row>
    <row r="70" spans="10:18" x14ac:dyDescent="0.25">
      <c r="J70" s="450" t="s">
        <v>6200</v>
      </c>
      <c r="K70" s="450"/>
      <c r="L70" s="450"/>
      <c r="M70" s="450"/>
      <c r="N70" s="450"/>
      <c r="O70" s="450"/>
      <c r="P70" s="450"/>
      <c r="Q70" s="450"/>
      <c r="R70" s="450"/>
    </row>
    <row r="71" spans="10:18" x14ac:dyDescent="0.25">
      <c r="J71" s="450" t="s">
        <v>6201</v>
      </c>
      <c r="K71" s="450"/>
      <c r="L71" s="450"/>
      <c r="M71" s="450"/>
      <c r="N71" s="450"/>
      <c r="O71" s="450"/>
      <c r="P71" s="450"/>
      <c r="Q71" s="450"/>
      <c r="R71" s="585" t="s">
        <v>1810</v>
      </c>
    </row>
    <row r="72" spans="10:18" x14ac:dyDescent="0.25">
      <c r="J72" s="450" t="s">
        <v>6202</v>
      </c>
      <c r="K72" s="450"/>
      <c r="L72" s="450"/>
      <c r="M72" s="450"/>
      <c r="N72" s="450"/>
      <c r="O72" s="450"/>
      <c r="P72" s="450"/>
      <c r="Q72" s="450"/>
      <c r="R72" s="450" t="s">
        <v>1765</v>
      </c>
    </row>
    <row r="73" spans="10:18" x14ac:dyDescent="0.25">
      <c r="J73" s="450" t="s">
        <v>6203</v>
      </c>
      <c r="K73" s="450"/>
      <c r="L73" s="450"/>
      <c r="M73" s="450"/>
      <c r="N73" s="450"/>
      <c r="O73" s="450"/>
      <c r="P73" s="450"/>
      <c r="Q73" s="450"/>
      <c r="R73" s="450" t="s">
        <v>6204</v>
      </c>
    </row>
    <row r="74" spans="10:18" x14ac:dyDescent="0.25">
      <c r="J74" s="450" t="s">
        <v>6205</v>
      </c>
      <c r="K74" s="450"/>
      <c r="L74" s="450"/>
      <c r="M74" s="450"/>
      <c r="N74" s="450"/>
      <c r="O74" s="450"/>
      <c r="P74" s="450"/>
      <c r="Q74" s="450"/>
      <c r="R74" s="450" t="s">
        <v>6206</v>
      </c>
    </row>
    <row r="75" spans="10:18" x14ac:dyDescent="0.25">
      <c r="J75" s="450" t="s">
        <v>6207</v>
      </c>
      <c r="K75" s="450"/>
      <c r="L75" s="450"/>
      <c r="M75" s="450"/>
      <c r="N75" s="450"/>
      <c r="O75" s="450"/>
      <c r="P75" s="450"/>
      <c r="Q75" s="450"/>
      <c r="R75" s="450" t="s">
        <v>6208</v>
      </c>
    </row>
    <row r="76" spans="10:18" x14ac:dyDescent="0.25">
      <c r="J76" s="450" t="s">
        <v>6209</v>
      </c>
      <c r="K76" s="450"/>
      <c r="L76" s="450"/>
      <c r="M76" s="450"/>
      <c r="N76" s="450"/>
      <c r="O76" s="450"/>
      <c r="P76" s="450"/>
      <c r="Q76" s="450"/>
      <c r="R76" s="450" t="s">
        <v>6210</v>
      </c>
    </row>
    <row r="77" spans="10:18" x14ac:dyDescent="0.25">
      <c r="J77" s="450"/>
      <c r="K77" s="450"/>
      <c r="L77" s="450"/>
      <c r="M77" s="450"/>
      <c r="N77" s="450"/>
      <c r="O77" s="450"/>
      <c r="P77" s="450"/>
      <c r="Q77" s="450"/>
      <c r="R77" s="450" t="s">
        <v>6211</v>
      </c>
    </row>
    <row r="78" spans="10:18" x14ac:dyDescent="0.25">
      <c r="J78" s="585" t="s">
        <v>6212</v>
      </c>
      <c r="K78" s="450"/>
      <c r="L78" s="450"/>
      <c r="M78" s="450"/>
      <c r="N78" s="450"/>
      <c r="O78" s="450"/>
      <c r="P78" s="450"/>
      <c r="Q78" s="450"/>
      <c r="R78" s="450"/>
    </row>
    <row r="79" spans="10:18" x14ac:dyDescent="0.25">
      <c r="J79" s="450" t="s">
        <v>1765</v>
      </c>
      <c r="K79" s="450"/>
      <c r="L79" s="450"/>
      <c r="M79" s="450"/>
      <c r="N79" s="450"/>
      <c r="O79" s="450"/>
      <c r="P79" s="450"/>
      <c r="Q79" s="450"/>
      <c r="R79" s="450"/>
    </row>
    <row r="80" spans="10:18" x14ac:dyDescent="0.25">
      <c r="J80" s="450" t="s">
        <v>6213</v>
      </c>
      <c r="K80" s="450"/>
      <c r="L80" s="450"/>
      <c r="M80" s="450"/>
      <c r="N80" s="450"/>
      <c r="O80" s="450"/>
      <c r="P80" s="450"/>
      <c r="Q80" s="450"/>
      <c r="R80" s="585" t="s">
        <v>1813</v>
      </c>
    </row>
    <row r="81" spans="10:18" x14ac:dyDescent="0.25">
      <c r="J81" s="450" t="s">
        <v>6214</v>
      </c>
      <c r="K81" s="450"/>
      <c r="L81" s="450"/>
      <c r="M81" s="450"/>
      <c r="N81" s="450"/>
      <c r="O81" s="450"/>
      <c r="P81" s="450"/>
      <c r="Q81" s="450"/>
      <c r="R81" s="450" t="s">
        <v>1765</v>
      </c>
    </row>
    <row r="82" spans="10:18" x14ac:dyDescent="0.25">
      <c r="J82" s="450" t="s">
        <v>6215</v>
      </c>
      <c r="K82" s="450"/>
      <c r="L82" s="450"/>
      <c r="M82" s="450"/>
      <c r="N82" s="450"/>
      <c r="O82" s="450"/>
      <c r="P82" s="450"/>
      <c r="Q82" s="450"/>
      <c r="R82" s="450" t="s">
        <v>6216</v>
      </c>
    </row>
    <row r="83" spans="10:18" x14ac:dyDescent="0.25">
      <c r="J83" s="450" t="s">
        <v>6217</v>
      </c>
      <c r="K83" s="450"/>
      <c r="L83" s="450"/>
      <c r="M83" s="450"/>
      <c r="N83" s="450"/>
      <c r="O83" s="450"/>
      <c r="P83" s="450"/>
      <c r="Q83" s="450"/>
      <c r="R83" s="450" t="s">
        <v>6218</v>
      </c>
    </row>
    <row r="84" spans="10:18" x14ac:dyDescent="0.25">
      <c r="J84" s="450" t="s">
        <v>6219</v>
      </c>
      <c r="K84" s="450"/>
      <c r="L84" s="450"/>
      <c r="M84" s="450"/>
      <c r="N84" s="450"/>
      <c r="O84" s="450"/>
      <c r="P84" s="450"/>
      <c r="Q84" s="450"/>
      <c r="R84" s="450" t="s">
        <v>6220</v>
      </c>
    </row>
    <row r="85" spans="10:18" x14ac:dyDescent="0.25">
      <c r="J85" s="450" t="s">
        <v>6221</v>
      </c>
      <c r="K85" s="450"/>
      <c r="L85" s="450"/>
      <c r="M85" s="450"/>
      <c r="N85" s="450"/>
      <c r="O85" s="450"/>
      <c r="P85" s="450"/>
      <c r="Q85" s="450"/>
      <c r="R85" s="450" t="s">
        <v>6222</v>
      </c>
    </row>
    <row r="86" spans="10:18" x14ac:dyDescent="0.25">
      <c r="J86" s="450" t="s">
        <v>6223</v>
      </c>
      <c r="K86" s="450"/>
      <c r="L86" s="450"/>
      <c r="M86" s="450"/>
      <c r="N86" s="450"/>
      <c r="O86" s="450"/>
      <c r="P86" s="450"/>
      <c r="Q86" s="450"/>
      <c r="R86" s="450" t="s">
        <v>6224</v>
      </c>
    </row>
    <row r="87" spans="10:18" x14ac:dyDescent="0.25">
      <c r="J87" s="450" t="s">
        <v>6225</v>
      </c>
      <c r="K87" s="450"/>
      <c r="L87" s="450"/>
      <c r="M87" s="450"/>
      <c r="N87" s="450"/>
      <c r="O87" s="450"/>
      <c r="P87" s="450"/>
      <c r="Q87" s="450"/>
      <c r="R87" s="450" t="s">
        <v>6226</v>
      </c>
    </row>
    <row r="88" spans="10:18" x14ac:dyDescent="0.25">
      <c r="J88" s="450" t="s">
        <v>6227</v>
      </c>
      <c r="K88" s="450"/>
      <c r="L88" s="450"/>
      <c r="M88" s="450"/>
      <c r="N88" s="450"/>
      <c r="O88" s="450"/>
      <c r="P88" s="450"/>
      <c r="Q88" s="450"/>
      <c r="R88" s="450"/>
    </row>
    <row r="89" spans="10:18" x14ac:dyDescent="0.25">
      <c r="J89" s="450" t="s">
        <v>6228</v>
      </c>
      <c r="K89" s="450"/>
      <c r="L89" s="450"/>
      <c r="M89" s="450"/>
      <c r="N89" s="450"/>
      <c r="O89" s="450"/>
      <c r="P89" s="450"/>
      <c r="Q89" s="450"/>
      <c r="R89" s="585" t="s">
        <v>6229</v>
      </c>
    </row>
    <row r="90" spans="10:18" x14ac:dyDescent="0.25">
      <c r="J90" s="450" t="s">
        <v>6230</v>
      </c>
      <c r="K90" s="450"/>
      <c r="L90" s="450"/>
      <c r="M90" s="450"/>
      <c r="N90" s="450"/>
      <c r="O90" s="450"/>
      <c r="P90" s="450"/>
      <c r="Q90" s="450"/>
      <c r="R90" s="450"/>
    </row>
    <row r="91" spans="10:18" x14ac:dyDescent="0.25">
      <c r="J91" s="450"/>
      <c r="K91" s="450"/>
      <c r="L91" s="450"/>
      <c r="M91" s="450"/>
      <c r="N91" s="450"/>
      <c r="O91" s="450"/>
      <c r="P91" s="450"/>
      <c r="Q91" s="450"/>
      <c r="R91" s="585" t="s">
        <v>555</v>
      </c>
    </row>
    <row r="92" spans="10:18" x14ac:dyDescent="0.25">
      <c r="J92" s="585" t="s">
        <v>6231</v>
      </c>
      <c r="K92" s="450"/>
      <c r="L92" s="450"/>
      <c r="M92" s="450"/>
      <c r="N92" s="450"/>
      <c r="O92" s="450"/>
      <c r="P92" s="450"/>
      <c r="Q92" s="450"/>
      <c r="R92" s="450" t="s">
        <v>1765</v>
      </c>
    </row>
    <row r="93" spans="10:18" x14ac:dyDescent="0.25">
      <c r="J93" s="450" t="s">
        <v>1766</v>
      </c>
      <c r="K93" s="450"/>
      <c r="L93" s="450"/>
      <c r="M93" s="450"/>
      <c r="N93" s="450"/>
      <c r="O93" s="450"/>
      <c r="P93" s="450"/>
      <c r="Q93" s="450"/>
      <c r="R93" s="450" t="s">
        <v>6011</v>
      </c>
    </row>
    <row r="94" spans="10:18" x14ac:dyDescent="0.25">
      <c r="J94" s="450" t="s">
        <v>6232</v>
      </c>
      <c r="K94" s="450"/>
      <c r="L94" s="450"/>
      <c r="M94" s="450"/>
      <c r="N94" s="450"/>
      <c r="O94" s="450"/>
      <c r="P94" s="450"/>
      <c r="Q94" s="450"/>
      <c r="R94" s="450" t="s">
        <v>6027</v>
      </c>
    </row>
    <row r="95" spans="10:18" x14ac:dyDescent="0.25">
      <c r="J95" s="450" t="s">
        <v>6233</v>
      </c>
      <c r="K95" s="450"/>
      <c r="L95" s="450"/>
      <c r="M95" s="450"/>
      <c r="N95" s="450"/>
      <c r="O95" s="450"/>
      <c r="P95" s="450"/>
      <c r="Q95" s="450"/>
      <c r="R95" s="450" t="s">
        <v>6038</v>
      </c>
    </row>
    <row r="96" spans="10:18" x14ac:dyDescent="0.25">
      <c r="J96" s="450" t="s">
        <v>6234</v>
      </c>
      <c r="K96" s="450"/>
      <c r="L96" s="450"/>
      <c r="M96" s="450"/>
      <c r="N96" s="450"/>
      <c r="O96" s="450"/>
      <c r="P96" s="450"/>
      <c r="Q96" s="450"/>
      <c r="R96" s="2446" t="s">
        <v>6596</v>
      </c>
    </row>
    <row r="97" spans="10:18" x14ac:dyDescent="0.25">
      <c r="J97" s="450" t="s">
        <v>6235</v>
      </c>
      <c r="K97" s="450"/>
      <c r="L97" s="450"/>
      <c r="M97" s="450"/>
      <c r="N97" s="450"/>
      <c r="O97" s="450"/>
      <c r="P97" s="450"/>
      <c r="Q97" s="450"/>
      <c r="R97" s="450" t="s">
        <v>6236</v>
      </c>
    </row>
    <row r="98" spans="10:18" x14ac:dyDescent="0.25">
      <c r="J98" s="450" t="s">
        <v>6237</v>
      </c>
      <c r="K98" s="450"/>
      <c r="L98" s="450"/>
      <c r="M98" s="450"/>
      <c r="N98" s="450"/>
      <c r="O98" s="450"/>
      <c r="P98" s="450"/>
      <c r="Q98" s="450"/>
      <c r="R98" s="450" t="s">
        <v>6238</v>
      </c>
    </row>
    <row r="99" spans="10:18" x14ac:dyDescent="0.25">
      <c r="J99" s="450" t="s">
        <v>6239</v>
      </c>
      <c r="K99" s="450"/>
      <c r="L99" s="450"/>
      <c r="M99" s="450"/>
      <c r="N99" s="450"/>
      <c r="O99" s="450"/>
      <c r="P99" s="450"/>
      <c r="Q99" s="450"/>
      <c r="R99" s="450" t="s">
        <v>6073</v>
      </c>
    </row>
    <row r="100" spans="10:18" x14ac:dyDescent="0.25">
      <c r="J100" s="450" t="s">
        <v>6240</v>
      </c>
      <c r="K100" s="450"/>
      <c r="L100" s="450"/>
      <c r="M100" s="450"/>
      <c r="N100" s="450"/>
      <c r="O100" s="450"/>
      <c r="P100" s="450"/>
      <c r="Q100" s="450"/>
      <c r="R100" s="450" t="s">
        <v>6076</v>
      </c>
    </row>
    <row r="101" spans="10:18" x14ac:dyDescent="0.25">
      <c r="J101" s="450" t="s">
        <v>6241</v>
      </c>
      <c r="K101" s="450"/>
      <c r="L101" s="450"/>
      <c r="M101" s="450"/>
      <c r="N101" s="450"/>
      <c r="O101" s="450"/>
      <c r="P101" s="450"/>
      <c r="Q101" s="450"/>
      <c r="R101" s="450" t="s">
        <v>6242</v>
      </c>
    </row>
    <row r="102" spans="10:18" x14ac:dyDescent="0.25">
      <c r="J102" s="450" t="s">
        <v>6243</v>
      </c>
      <c r="K102" s="450"/>
      <c r="L102" s="450"/>
      <c r="M102" s="450"/>
      <c r="N102" s="450"/>
      <c r="O102" s="450"/>
      <c r="P102" s="450"/>
      <c r="Q102" s="450"/>
      <c r="R102" s="450" t="s">
        <v>6244</v>
      </c>
    </row>
    <row r="103" spans="10:18" x14ac:dyDescent="0.25">
      <c r="J103" s="450" t="s">
        <v>6245</v>
      </c>
      <c r="K103" s="450"/>
      <c r="L103" s="450"/>
      <c r="M103" s="450"/>
      <c r="N103" s="450"/>
      <c r="O103" s="450"/>
      <c r="P103" s="450"/>
      <c r="Q103" s="450"/>
      <c r="R103" s="450" t="s">
        <v>6080</v>
      </c>
    </row>
    <row r="104" spans="10:18" x14ac:dyDescent="0.25">
      <c r="J104" s="450" t="s">
        <v>6246</v>
      </c>
      <c r="K104" s="450"/>
      <c r="L104" s="450"/>
      <c r="M104" s="450"/>
      <c r="N104" s="450"/>
      <c r="O104" s="450"/>
      <c r="P104" s="450"/>
      <c r="Q104" s="450"/>
      <c r="R104" s="450" t="s">
        <v>6084</v>
      </c>
    </row>
    <row r="105" spans="10:18" x14ac:dyDescent="0.25">
      <c r="J105" s="450" t="s">
        <v>6247</v>
      </c>
      <c r="K105" s="450"/>
      <c r="L105" s="450"/>
      <c r="M105" s="450"/>
      <c r="N105" s="450"/>
      <c r="O105" s="450"/>
      <c r="P105" s="450"/>
      <c r="Q105" s="450"/>
      <c r="R105" s="450" t="s">
        <v>6248</v>
      </c>
    </row>
    <row r="106" spans="10:18" x14ac:dyDescent="0.25">
      <c r="J106" s="450"/>
      <c r="K106" s="450"/>
      <c r="L106" s="450"/>
      <c r="M106" s="450"/>
      <c r="N106" s="450"/>
      <c r="O106" s="450"/>
      <c r="P106" s="450"/>
      <c r="Q106" s="450"/>
      <c r="R106" s="450" t="s">
        <v>6249</v>
      </c>
    </row>
    <row r="107" spans="10:18" x14ac:dyDescent="0.25">
      <c r="J107" s="585" t="s">
        <v>6250</v>
      </c>
      <c r="K107" s="450"/>
      <c r="L107" s="450"/>
      <c r="M107" s="450"/>
      <c r="N107" s="450"/>
      <c r="O107" s="450"/>
      <c r="P107" s="450"/>
      <c r="Q107" s="450"/>
      <c r="R107" s="450" t="s">
        <v>6251</v>
      </c>
    </row>
    <row r="108" spans="10:18" x14ac:dyDescent="0.25">
      <c r="J108" s="450" t="s">
        <v>1766</v>
      </c>
      <c r="K108" s="450"/>
      <c r="L108" s="450"/>
      <c r="M108" s="450"/>
      <c r="N108" s="450"/>
      <c r="O108" s="450"/>
      <c r="P108" s="450"/>
      <c r="Q108" s="450"/>
      <c r="R108" s="450" t="s">
        <v>6252</v>
      </c>
    </row>
    <row r="109" spans="10:18" x14ac:dyDescent="0.25">
      <c r="J109" s="2446" t="s">
        <v>6601</v>
      </c>
      <c r="K109" s="450"/>
      <c r="L109" s="450"/>
      <c r="M109" s="450"/>
      <c r="N109" s="450"/>
      <c r="O109" s="450"/>
      <c r="P109" s="450"/>
      <c r="Q109" s="450"/>
      <c r="R109" s="450" t="s">
        <v>6253</v>
      </c>
    </row>
    <row r="110" spans="10:18" x14ac:dyDescent="0.25">
      <c r="J110" s="450" t="s">
        <v>6254</v>
      </c>
      <c r="K110" s="450"/>
      <c r="L110" s="450"/>
      <c r="M110" s="450"/>
      <c r="N110" s="450"/>
      <c r="O110" s="450"/>
      <c r="P110" s="450"/>
      <c r="Q110" s="450"/>
      <c r="R110" s="450" t="s">
        <v>6255</v>
      </c>
    </row>
    <row r="111" spans="10:18" x14ac:dyDescent="0.25">
      <c r="J111" s="450" t="s">
        <v>50</v>
      </c>
      <c r="K111" s="450"/>
      <c r="L111" s="450"/>
      <c r="M111" s="450"/>
      <c r="N111" s="450"/>
      <c r="O111" s="450"/>
      <c r="P111" s="450"/>
      <c r="Q111" s="450"/>
      <c r="R111" s="450" t="s">
        <v>6256</v>
      </c>
    </row>
    <row r="112" spans="10:18" x14ac:dyDescent="0.25">
      <c r="J112" s="585" t="s">
        <v>6257</v>
      </c>
      <c r="K112" s="450"/>
      <c r="L112" s="450"/>
      <c r="M112" s="450"/>
      <c r="N112" s="450"/>
      <c r="O112" s="450"/>
      <c r="P112" s="450"/>
      <c r="Q112" s="450"/>
      <c r="R112" s="450" t="s">
        <v>6258</v>
      </c>
    </row>
    <row r="113" spans="10:18" x14ac:dyDescent="0.25">
      <c r="J113" s="450" t="s">
        <v>1714</v>
      </c>
      <c r="K113" s="450"/>
      <c r="L113" s="450"/>
      <c r="M113" s="450"/>
      <c r="N113" s="450"/>
      <c r="O113" s="450"/>
      <c r="P113" s="450"/>
      <c r="Q113" s="450"/>
      <c r="R113" s="450"/>
    </row>
    <row r="114" spans="10:18" x14ac:dyDescent="0.25">
      <c r="J114" s="665">
        <v>2500</v>
      </c>
      <c r="K114" s="450"/>
      <c r="L114" s="450"/>
      <c r="M114" s="450"/>
      <c r="N114" s="450"/>
      <c r="O114" s="450"/>
      <c r="P114" s="450"/>
      <c r="Q114" s="450"/>
      <c r="R114" s="585" t="s">
        <v>1810</v>
      </c>
    </row>
    <row r="115" spans="10:18" x14ac:dyDescent="0.25">
      <c r="J115" s="665">
        <v>2501</v>
      </c>
      <c r="K115" s="450"/>
      <c r="L115" s="450"/>
      <c r="M115" s="450"/>
      <c r="N115" s="450"/>
      <c r="O115" s="450"/>
      <c r="P115" s="450"/>
      <c r="Q115" s="450"/>
      <c r="R115" s="450" t="s">
        <v>1765</v>
      </c>
    </row>
    <row r="116" spans="10:18" x14ac:dyDescent="0.25">
      <c r="J116" s="665">
        <v>2515</v>
      </c>
      <c r="K116" s="450"/>
      <c r="L116" s="450"/>
      <c r="M116" s="450"/>
      <c r="N116" s="450"/>
      <c r="O116" s="450"/>
      <c r="P116" s="450"/>
      <c r="Q116" s="450"/>
      <c r="R116" s="450" t="s">
        <v>6259</v>
      </c>
    </row>
    <row r="117" spans="10:18" x14ac:dyDescent="0.25">
      <c r="J117" s="665">
        <v>2520</v>
      </c>
      <c r="K117" s="450"/>
      <c r="L117" s="450"/>
      <c r="M117" s="450"/>
      <c r="N117" s="450"/>
      <c r="O117" s="450"/>
      <c r="P117" s="450"/>
      <c r="Q117" s="450"/>
      <c r="R117" s="450" t="s">
        <v>6204</v>
      </c>
    </row>
    <row r="118" spans="10:18" x14ac:dyDescent="0.25">
      <c r="J118" s="665">
        <v>2531</v>
      </c>
      <c r="K118" s="450"/>
      <c r="L118" s="450"/>
      <c r="M118" s="450"/>
      <c r="N118" s="450"/>
      <c r="O118" s="450"/>
      <c r="P118" s="450"/>
      <c r="Q118" s="450"/>
      <c r="R118" s="450" t="s">
        <v>6206</v>
      </c>
    </row>
    <row r="119" spans="10:18" x14ac:dyDescent="0.25">
      <c r="J119" s="665">
        <v>2535</v>
      </c>
      <c r="K119" s="450"/>
      <c r="L119" s="450"/>
      <c r="M119" s="450"/>
      <c r="N119" s="450"/>
      <c r="O119" s="450"/>
      <c r="P119" s="450"/>
      <c r="Q119" s="450"/>
      <c r="R119" s="450" t="s">
        <v>6210</v>
      </c>
    </row>
    <row r="120" spans="10:18" x14ac:dyDescent="0.25">
      <c r="J120" s="665">
        <v>2536</v>
      </c>
      <c r="K120" s="450"/>
      <c r="L120" s="450"/>
      <c r="M120" s="450"/>
      <c r="N120" s="450"/>
      <c r="O120" s="450"/>
      <c r="P120" s="450"/>
      <c r="Q120" s="450"/>
      <c r="R120" s="450" t="s">
        <v>6208</v>
      </c>
    </row>
    <row r="121" spans="10:18" x14ac:dyDescent="0.25">
      <c r="J121" s="665">
        <v>2539</v>
      </c>
      <c r="K121" s="450"/>
      <c r="L121" s="450"/>
      <c r="M121" s="450"/>
      <c r="N121" s="450"/>
      <c r="O121" s="450"/>
      <c r="P121" s="450"/>
      <c r="Q121" s="450"/>
      <c r="R121" s="450" t="s">
        <v>6211</v>
      </c>
    </row>
    <row r="122" spans="10:18" x14ac:dyDescent="0.25">
      <c r="J122" s="665">
        <v>2540</v>
      </c>
      <c r="K122" s="450"/>
      <c r="L122" s="450"/>
      <c r="M122" s="450"/>
      <c r="N122" s="450"/>
      <c r="O122" s="450"/>
      <c r="P122" s="450"/>
      <c r="Q122" s="450"/>
      <c r="R122" s="450"/>
    </row>
    <row r="123" spans="10:18" x14ac:dyDescent="0.25">
      <c r="J123" s="665">
        <v>2541</v>
      </c>
      <c r="K123" s="450"/>
      <c r="L123" s="450"/>
      <c r="M123" s="450"/>
      <c r="N123" s="450"/>
      <c r="O123" s="450"/>
      <c r="P123" s="450"/>
      <c r="Q123" s="450"/>
      <c r="R123" s="450"/>
    </row>
    <row r="124" spans="10:18" x14ac:dyDescent="0.25">
      <c r="J124" s="665">
        <v>2542</v>
      </c>
      <c r="K124" s="450"/>
      <c r="L124" s="450"/>
      <c r="M124" s="450"/>
      <c r="N124" s="450"/>
      <c r="O124" s="450"/>
      <c r="P124" s="450"/>
      <c r="Q124" s="450"/>
      <c r="R124" s="585" t="s">
        <v>1837</v>
      </c>
    </row>
    <row r="125" spans="10:18" x14ac:dyDescent="0.25">
      <c r="J125" s="665">
        <v>2543</v>
      </c>
      <c r="K125" s="450"/>
      <c r="L125" s="450"/>
      <c r="M125" s="450"/>
      <c r="N125" s="450"/>
      <c r="O125" s="450"/>
      <c r="P125" s="450"/>
      <c r="Q125" s="450"/>
      <c r="R125" s="450" t="s">
        <v>1765</v>
      </c>
    </row>
    <row r="126" spans="10:18" x14ac:dyDescent="0.25">
      <c r="J126" s="665">
        <v>2544</v>
      </c>
      <c r="K126" s="450"/>
      <c r="L126" s="450"/>
      <c r="M126" s="450"/>
      <c r="N126" s="450"/>
      <c r="O126" s="450"/>
      <c r="P126" s="450"/>
      <c r="Q126" s="450"/>
      <c r="R126" s="450" t="s">
        <v>6260</v>
      </c>
    </row>
    <row r="127" spans="10:18" x14ac:dyDescent="0.25">
      <c r="J127" s="665" t="s">
        <v>6261</v>
      </c>
      <c r="K127" s="450"/>
      <c r="L127" s="450"/>
      <c r="M127" s="450"/>
      <c r="N127" s="450"/>
      <c r="O127" s="450"/>
      <c r="P127" s="450"/>
      <c r="Q127" s="450"/>
      <c r="R127" s="450" t="s">
        <v>6262</v>
      </c>
    </row>
    <row r="128" spans="10:18" x14ac:dyDescent="0.25">
      <c r="J128" s="665">
        <v>2702</v>
      </c>
      <c r="K128" s="450"/>
      <c r="L128" s="450"/>
      <c r="M128" s="450"/>
      <c r="N128" s="450"/>
      <c r="O128" s="450"/>
      <c r="P128" s="450"/>
      <c r="Q128" s="450"/>
      <c r="R128" s="450" t="s">
        <v>6263</v>
      </c>
    </row>
    <row r="129" spans="10:18" x14ac:dyDescent="0.25">
      <c r="J129" s="665">
        <v>2706</v>
      </c>
      <c r="K129" s="450"/>
      <c r="L129" s="450"/>
      <c r="M129" s="450"/>
      <c r="N129" s="450"/>
      <c r="O129" s="450"/>
      <c r="P129" s="450"/>
      <c r="Q129" s="450"/>
      <c r="R129" s="450" t="s">
        <v>6159</v>
      </c>
    </row>
    <row r="130" spans="10:18" x14ac:dyDescent="0.25">
      <c r="J130" s="665">
        <v>2714</v>
      </c>
      <c r="K130" s="450"/>
      <c r="L130" s="450"/>
      <c r="M130" s="450"/>
      <c r="N130" s="450"/>
      <c r="O130" s="450"/>
      <c r="P130" s="450"/>
      <c r="Q130" s="450"/>
      <c r="R130" s="450" t="s">
        <v>6264</v>
      </c>
    </row>
    <row r="131" spans="10:18" x14ac:dyDescent="0.25">
      <c r="J131" s="665">
        <v>2717</v>
      </c>
      <c r="K131" s="450"/>
      <c r="L131" s="450"/>
      <c r="M131" s="450"/>
      <c r="N131" s="450"/>
      <c r="O131" s="450"/>
      <c r="P131" s="450"/>
      <c r="Q131" s="450"/>
      <c r="R131" s="450" t="s">
        <v>6265</v>
      </c>
    </row>
    <row r="132" spans="10:18" x14ac:dyDescent="0.25">
      <c r="J132" s="665">
        <v>2723</v>
      </c>
      <c r="K132" s="450"/>
      <c r="L132" s="450"/>
      <c r="M132" s="450"/>
      <c r="N132" s="450"/>
      <c r="O132" s="450"/>
      <c r="P132" s="450"/>
      <c r="Q132" s="450"/>
      <c r="R132" s="450" t="s">
        <v>6266</v>
      </c>
    </row>
    <row r="133" spans="10:18" x14ac:dyDescent="0.25">
      <c r="J133" s="665">
        <v>2728</v>
      </c>
      <c r="K133" s="450"/>
      <c r="L133" s="450"/>
      <c r="M133" s="450"/>
      <c r="N133" s="450"/>
      <c r="O133" s="450"/>
      <c r="P133" s="450"/>
      <c r="Q133" s="450"/>
      <c r="R133" s="450" t="s">
        <v>6180</v>
      </c>
    </row>
    <row r="134" spans="10:18" x14ac:dyDescent="0.25">
      <c r="J134" s="665">
        <v>2730</v>
      </c>
      <c r="K134" s="450"/>
      <c r="L134" s="450"/>
      <c r="M134" s="450"/>
      <c r="N134" s="450"/>
      <c r="O134" s="450"/>
      <c r="P134" s="450"/>
      <c r="Q134" s="450"/>
      <c r="R134" s="450" t="s">
        <v>6267</v>
      </c>
    </row>
    <row r="135" spans="10:18" x14ac:dyDescent="0.25">
      <c r="J135" s="665">
        <v>2731</v>
      </c>
      <c r="K135" s="450"/>
      <c r="L135" s="450"/>
      <c r="M135" s="450"/>
      <c r="N135" s="450"/>
      <c r="O135" s="450"/>
      <c r="P135" s="450"/>
      <c r="Q135" s="450"/>
      <c r="R135" s="450" t="s">
        <v>6268</v>
      </c>
    </row>
    <row r="136" spans="10:18" x14ac:dyDescent="0.25">
      <c r="J136" s="450"/>
      <c r="K136" s="450"/>
      <c r="L136" s="450"/>
      <c r="M136" s="450"/>
      <c r="N136" s="450"/>
      <c r="O136" s="450"/>
      <c r="P136" s="450"/>
      <c r="Q136" s="450"/>
      <c r="R136" s="450" t="s">
        <v>6174</v>
      </c>
    </row>
    <row r="137" spans="10:18" x14ac:dyDescent="0.25">
      <c r="J137" s="585" t="s">
        <v>6269</v>
      </c>
      <c r="K137" s="450"/>
      <c r="L137" s="450"/>
      <c r="M137" s="450"/>
      <c r="N137" s="450"/>
      <c r="O137" s="450"/>
      <c r="P137" s="450"/>
      <c r="Q137" s="450"/>
      <c r="R137" s="450" t="s">
        <v>6270</v>
      </c>
    </row>
    <row r="138" spans="10:18" x14ac:dyDescent="0.25">
      <c r="J138" s="450" t="s">
        <v>1714</v>
      </c>
      <c r="K138" s="450"/>
      <c r="L138" s="450"/>
      <c r="M138" s="450"/>
      <c r="N138" s="450"/>
      <c r="O138" s="450"/>
      <c r="P138" s="450"/>
      <c r="Q138" s="450"/>
      <c r="R138" s="450" t="s">
        <v>6271</v>
      </c>
    </row>
    <row r="139" spans="10:18" x14ac:dyDescent="0.25">
      <c r="J139" s="665">
        <v>3311</v>
      </c>
      <c r="K139" s="450"/>
      <c r="L139" s="450"/>
      <c r="M139" s="450"/>
      <c r="N139" s="450"/>
      <c r="O139" s="450"/>
      <c r="P139" s="450"/>
      <c r="Q139" s="450"/>
      <c r="R139" s="450" t="s">
        <v>6272</v>
      </c>
    </row>
    <row r="140" spans="10:18" x14ac:dyDescent="0.25">
      <c r="J140" s="665">
        <v>3312</v>
      </c>
      <c r="K140" s="450"/>
      <c r="L140" s="450"/>
      <c r="M140" s="450"/>
      <c r="N140" s="450"/>
      <c r="O140" s="450"/>
      <c r="P140" s="450"/>
      <c r="Q140" s="450"/>
      <c r="R140" s="450" t="s">
        <v>6273</v>
      </c>
    </row>
    <row r="141" spans="10:18" x14ac:dyDescent="0.25">
      <c r="J141" s="665">
        <v>3314</v>
      </c>
      <c r="K141" s="450"/>
      <c r="L141" s="450"/>
      <c r="M141" s="450"/>
      <c r="N141" s="450"/>
      <c r="O141" s="450"/>
      <c r="P141" s="450"/>
      <c r="Q141" s="450"/>
      <c r="R141" s="2446" t="s">
        <v>6595</v>
      </c>
    </row>
    <row r="142" spans="10:18" x14ac:dyDescent="0.25">
      <c r="J142" s="665">
        <v>3315</v>
      </c>
      <c r="K142" s="450"/>
      <c r="L142" s="450"/>
      <c r="M142" s="450"/>
      <c r="N142" s="450"/>
      <c r="O142" s="450"/>
      <c r="P142" s="450"/>
      <c r="Q142" s="450"/>
      <c r="R142" s="450" t="s">
        <v>6274</v>
      </c>
    </row>
    <row r="143" spans="10:18" x14ac:dyDescent="0.25">
      <c r="J143" s="665">
        <v>3316</v>
      </c>
      <c r="K143" s="450"/>
      <c r="L143" s="450"/>
      <c r="M143" s="450"/>
      <c r="N143" s="450"/>
      <c r="O143" s="450"/>
      <c r="P143" s="450"/>
      <c r="Q143" s="450"/>
      <c r="R143" s="450" t="s">
        <v>6275</v>
      </c>
    </row>
    <row r="144" spans="10:18" x14ac:dyDescent="0.25">
      <c r="J144" s="665">
        <v>3317</v>
      </c>
      <c r="K144" s="450"/>
      <c r="L144" s="450"/>
      <c r="M144" s="450"/>
      <c r="N144" s="450"/>
      <c r="O144" s="450"/>
      <c r="P144" s="450"/>
      <c r="Q144" s="450"/>
      <c r="R144" s="450" t="s">
        <v>6276</v>
      </c>
    </row>
    <row r="145" spans="10:18" x14ac:dyDescent="0.25">
      <c r="J145" s="665">
        <v>3319</v>
      </c>
      <c r="K145" s="450"/>
      <c r="L145" s="450"/>
      <c r="M145" s="450"/>
      <c r="N145" s="450"/>
      <c r="O145" s="450"/>
      <c r="P145" s="450"/>
      <c r="Q145" s="450"/>
      <c r="R145" s="450" t="s">
        <v>6277</v>
      </c>
    </row>
    <row r="146" spans="10:18" x14ac:dyDescent="0.25">
      <c r="J146" s="665">
        <v>3321</v>
      </c>
      <c r="K146" s="450"/>
      <c r="L146" s="450"/>
      <c r="M146" s="450"/>
      <c r="N146" s="450"/>
      <c r="O146" s="450"/>
      <c r="P146" s="450"/>
      <c r="Q146" s="450"/>
      <c r="R146" s="2446" t="s">
        <v>6591</v>
      </c>
    </row>
    <row r="147" spans="10:18" x14ac:dyDescent="0.25">
      <c r="J147" s="665">
        <v>3322</v>
      </c>
      <c r="K147" s="450"/>
      <c r="L147" s="450"/>
      <c r="M147" s="450"/>
      <c r="N147" s="450"/>
      <c r="O147" s="450"/>
      <c r="P147" s="450"/>
      <c r="Q147" s="450"/>
      <c r="R147" s="2446" t="s">
        <v>6592</v>
      </c>
    </row>
    <row r="148" spans="10:18" x14ac:dyDescent="0.25">
      <c r="J148" s="665">
        <v>3323</v>
      </c>
      <c r="K148" s="450"/>
      <c r="L148" s="450"/>
      <c r="M148" s="450"/>
      <c r="N148" s="450"/>
      <c r="O148" s="450"/>
      <c r="P148" s="450"/>
      <c r="Q148" s="450"/>
      <c r="R148" s="450" t="s">
        <v>6278</v>
      </c>
    </row>
    <row r="149" spans="10:18" x14ac:dyDescent="0.25">
      <c r="J149" s="665">
        <v>3325</v>
      </c>
      <c r="K149" s="450"/>
      <c r="L149" s="450"/>
      <c r="M149" s="450"/>
      <c r="N149" s="450"/>
      <c r="O149" s="450"/>
      <c r="P149" s="450"/>
      <c r="Q149" s="450"/>
      <c r="R149" s="450" t="s">
        <v>6279</v>
      </c>
    </row>
    <row r="150" spans="10:18" x14ac:dyDescent="0.25">
      <c r="J150" s="665">
        <v>3501</v>
      </c>
      <c r="K150" s="450"/>
      <c r="L150" s="450"/>
      <c r="M150" s="450"/>
      <c r="N150" s="450"/>
      <c r="O150" s="450"/>
      <c r="P150" s="450"/>
      <c r="Q150" s="450"/>
      <c r="R150" s="450" t="s">
        <v>6280</v>
      </c>
    </row>
    <row r="151" spans="10:18" x14ac:dyDescent="0.25">
      <c r="J151" s="665">
        <v>3502</v>
      </c>
      <c r="K151" s="450"/>
      <c r="L151" s="450"/>
      <c r="M151" s="450"/>
      <c r="N151" s="450"/>
      <c r="O151" s="450"/>
      <c r="P151" s="450"/>
      <c r="Q151" s="450"/>
      <c r="R151" s="450" t="s">
        <v>6223</v>
      </c>
    </row>
    <row r="152" spans="10:18" x14ac:dyDescent="0.25">
      <c r="J152" s="665">
        <v>3900</v>
      </c>
      <c r="K152" s="450"/>
      <c r="L152" s="450"/>
      <c r="M152" s="450"/>
      <c r="N152" s="450"/>
      <c r="O152" s="450"/>
      <c r="P152" s="450"/>
      <c r="Q152" s="450"/>
      <c r="R152" s="450" t="s">
        <v>6281</v>
      </c>
    </row>
    <row r="153" spans="10:18" x14ac:dyDescent="0.25">
      <c r="J153" s="665">
        <v>3912</v>
      </c>
      <c r="K153" s="450"/>
      <c r="L153" s="450"/>
      <c r="M153" s="450"/>
      <c r="N153" s="450"/>
      <c r="O153" s="450"/>
      <c r="P153" s="450"/>
      <c r="Q153" s="450"/>
      <c r="R153" s="450" t="s">
        <v>6282</v>
      </c>
    </row>
    <row r="154" spans="10:18" x14ac:dyDescent="0.25">
      <c r="J154" s="665">
        <v>3914</v>
      </c>
      <c r="K154" s="450"/>
      <c r="L154" s="450"/>
      <c r="M154" s="450"/>
      <c r="N154" s="450"/>
      <c r="O154" s="450"/>
      <c r="P154" s="450"/>
      <c r="Q154" s="450"/>
      <c r="R154" s="450" t="s">
        <v>6283</v>
      </c>
    </row>
    <row r="155" spans="10:18" x14ac:dyDescent="0.25">
      <c r="J155" s="665">
        <v>3917</v>
      </c>
      <c r="K155" s="450"/>
      <c r="L155" s="450"/>
      <c r="M155" s="450"/>
      <c r="N155" s="450"/>
      <c r="O155" s="450"/>
      <c r="P155" s="450"/>
      <c r="Q155" s="450"/>
      <c r="R155" s="450" t="s">
        <v>6284</v>
      </c>
    </row>
    <row r="156" spans="10:18" x14ac:dyDescent="0.25">
      <c r="J156" s="665">
        <v>3918</v>
      </c>
      <c r="K156" s="450"/>
      <c r="L156" s="450"/>
      <c r="M156" s="450"/>
      <c r="N156" s="450"/>
      <c r="O156" s="450"/>
      <c r="P156" s="450"/>
      <c r="Q156" s="450"/>
      <c r="R156" s="450" t="s">
        <v>6285</v>
      </c>
    </row>
    <row r="157" spans="10:18" x14ac:dyDescent="0.25">
      <c r="J157" s="665">
        <v>3919</v>
      </c>
      <c r="K157" s="450"/>
      <c r="L157" s="450"/>
      <c r="M157" s="450"/>
      <c r="N157" s="450"/>
      <c r="O157" s="450"/>
      <c r="P157" s="450"/>
      <c r="Q157" s="450"/>
      <c r="R157" s="2446" t="s">
        <v>6593</v>
      </c>
    </row>
    <row r="158" spans="10:18" x14ac:dyDescent="0.25">
      <c r="J158" s="665">
        <v>3920</v>
      </c>
      <c r="K158" s="450"/>
      <c r="L158" s="450"/>
      <c r="M158" s="450"/>
      <c r="N158" s="450"/>
      <c r="O158" s="450"/>
      <c r="P158" s="450"/>
      <c r="Q158" s="450"/>
      <c r="R158" s="450" t="s">
        <v>6286</v>
      </c>
    </row>
    <row r="159" spans="10:18" x14ac:dyDescent="0.25">
      <c r="J159" s="665">
        <v>3921</v>
      </c>
      <c r="K159" s="450"/>
      <c r="L159" s="450"/>
      <c r="M159" s="450"/>
      <c r="N159" s="450"/>
      <c r="O159" s="450"/>
      <c r="P159" s="450"/>
      <c r="Q159" s="450"/>
      <c r="R159" s="450" t="s">
        <v>6287</v>
      </c>
    </row>
    <row r="160" spans="10:18" x14ac:dyDescent="0.25">
      <c r="J160" s="665">
        <v>3922</v>
      </c>
      <c r="K160" s="450"/>
      <c r="L160" s="450"/>
      <c r="M160" s="450"/>
      <c r="N160" s="450"/>
      <c r="O160" s="450"/>
      <c r="P160" s="450"/>
      <c r="Q160" s="450"/>
      <c r="R160" s="450"/>
    </row>
    <row r="161" spans="10:18" x14ac:dyDescent="0.25">
      <c r="J161" s="665">
        <v>3923</v>
      </c>
      <c r="K161" s="450"/>
      <c r="L161" s="450"/>
      <c r="M161" s="450"/>
      <c r="N161" s="450"/>
      <c r="O161" s="450"/>
      <c r="P161" s="450"/>
      <c r="Q161" s="450"/>
      <c r="R161" s="585" t="s">
        <v>1813</v>
      </c>
    </row>
    <row r="162" spans="10:18" x14ac:dyDescent="0.25">
      <c r="J162" s="450"/>
      <c r="K162" s="450"/>
      <c r="L162" s="450"/>
      <c r="M162" s="450"/>
      <c r="N162" s="450"/>
      <c r="O162" s="450"/>
      <c r="P162" s="450"/>
      <c r="Q162" s="450"/>
      <c r="R162" s="450" t="s">
        <v>1765</v>
      </c>
    </row>
    <row r="163" spans="10:18" x14ac:dyDescent="0.25">
      <c r="J163" s="450"/>
      <c r="K163" s="450"/>
      <c r="L163" s="450"/>
      <c r="M163" s="450"/>
      <c r="N163" s="450"/>
      <c r="O163" s="450"/>
      <c r="P163" s="450"/>
      <c r="Q163" s="450"/>
      <c r="R163" s="450" t="s">
        <v>6224</v>
      </c>
    </row>
    <row r="164" spans="10:18" x14ac:dyDescent="0.25">
      <c r="J164" s="450"/>
      <c r="K164" s="450"/>
      <c r="L164" s="450"/>
      <c r="M164" s="450"/>
      <c r="N164" s="450"/>
      <c r="O164" s="450"/>
      <c r="P164" s="450"/>
      <c r="Q164" s="450"/>
      <c r="R164" s="450" t="s">
        <v>6288</v>
      </c>
    </row>
    <row r="165" spans="10:18" x14ac:dyDescent="0.25">
      <c r="J165" s="450"/>
      <c r="K165" s="450"/>
      <c r="L165" s="450"/>
      <c r="M165" s="450"/>
      <c r="N165" s="450"/>
      <c r="O165" s="450"/>
      <c r="P165" s="450"/>
      <c r="Q165" s="450"/>
      <c r="R165" s="450" t="s">
        <v>6222</v>
      </c>
    </row>
    <row r="166" spans="10:18" x14ac:dyDescent="0.25">
      <c r="J166" s="450"/>
      <c r="K166" s="450"/>
      <c r="L166" s="450"/>
      <c r="M166" s="450"/>
      <c r="N166" s="450"/>
      <c r="O166" s="450"/>
      <c r="P166" s="450"/>
      <c r="Q166" s="450"/>
      <c r="R166" s="450" t="s">
        <v>6218</v>
      </c>
    </row>
    <row r="167" spans="10:18" x14ac:dyDescent="0.25">
      <c r="J167" s="450"/>
      <c r="K167" s="450"/>
      <c r="L167" s="450"/>
      <c r="M167" s="450"/>
      <c r="N167" s="450"/>
      <c r="O167" s="450"/>
      <c r="P167" s="450"/>
      <c r="Q167" s="450"/>
      <c r="R167" s="450" t="s">
        <v>6216</v>
      </c>
    </row>
    <row r="168" spans="10:18" x14ac:dyDescent="0.25">
      <c r="J168" s="450"/>
      <c r="K168" s="450"/>
      <c r="L168" s="450"/>
      <c r="M168" s="450"/>
      <c r="N168" s="450"/>
      <c r="O168" s="450"/>
      <c r="P168" s="450"/>
      <c r="Q168" s="450"/>
      <c r="R168" s="450" t="s">
        <v>6220</v>
      </c>
    </row>
    <row r="169" spans="10:18" x14ac:dyDescent="0.25">
      <c r="J169" s="450"/>
      <c r="K169" s="450"/>
      <c r="L169" s="450"/>
      <c r="M169" s="450"/>
      <c r="N169" s="450"/>
      <c r="O169" s="450"/>
      <c r="P169" s="450"/>
      <c r="Q169" s="450"/>
      <c r="R169" t="s">
        <v>6289</v>
      </c>
    </row>
    <row r="170" spans="10:18" x14ac:dyDescent="0.25">
      <c r="J170" s="450"/>
      <c r="K170" s="450"/>
      <c r="L170" s="450"/>
      <c r="M170" s="450"/>
      <c r="N170" s="450"/>
      <c r="O170" s="450"/>
      <c r="P170" s="450"/>
      <c r="Q170" s="450"/>
      <c r="R170" s="2446" t="s">
        <v>6226</v>
      </c>
    </row>
    <row r="172" spans="10:18" x14ac:dyDescent="0.25">
      <c r="J172" s="450"/>
      <c r="K172" s="450"/>
      <c r="L172" s="450"/>
      <c r="M172" s="450"/>
      <c r="N172" s="450"/>
      <c r="O172" s="450"/>
      <c r="P172" s="450"/>
      <c r="Q172" s="450"/>
      <c r="R172" s="585" t="s">
        <v>6290</v>
      </c>
    </row>
    <row r="173" spans="10:18" x14ac:dyDescent="0.25">
      <c r="J173" s="450"/>
      <c r="K173" s="450"/>
      <c r="L173" s="450"/>
      <c r="M173" s="450"/>
      <c r="N173" s="450"/>
      <c r="O173" s="450"/>
      <c r="P173" s="450"/>
      <c r="Q173" s="450"/>
      <c r="R173" s="450"/>
    </row>
    <row r="174" spans="10:18" x14ac:dyDescent="0.25">
      <c r="J174" s="450"/>
      <c r="K174" s="450"/>
      <c r="L174" s="450"/>
      <c r="M174" s="450"/>
      <c r="N174" s="450"/>
      <c r="O174" s="450"/>
      <c r="P174" s="450"/>
      <c r="Q174" s="450"/>
      <c r="R174" s="585" t="s">
        <v>555</v>
      </c>
    </row>
    <row r="175" spans="10:18" x14ac:dyDescent="0.25">
      <c r="J175" s="450"/>
      <c r="K175" s="450"/>
      <c r="L175" s="450"/>
      <c r="M175" s="450"/>
      <c r="N175" s="450"/>
      <c r="O175" s="450"/>
      <c r="P175" s="450"/>
      <c r="Q175" s="450"/>
      <c r="R175" s="450" t="s">
        <v>1765</v>
      </c>
    </row>
    <row r="176" spans="10:18" x14ac:dyDescent="0.25">
      <c r="J176" s="450"/>
      <c r="K176" s="450"/>
      <c r="L176" s="450"/>
      <c r="M176" s="450"/>
      <c r="N176" s="450"/>
      <c r="O176" s="450"/>
      <c r="P176" s="450"/>
      <c r="Q176" s="450"/>
      <c r="R176" s="450" t="s">
        <v>6011</v>
      </c>
    </row>
    <row r="177" spans="18:18" x14ac:dyDescent="0.25">
      <c r="R177" s="450" t="s">
        <v>6027</v>
      </c>
    </row>
    <row r="178" spans="18:18" x14ac:dyDescent="0.25">
      <c r="R178" s="450" t="s">
        <v>6291</v>
      </c>
    </row>
    <row r="179" spans="18:18" x14ac:dyDescent="0.25">
      <c r="R179" s="450" t="s">
        <v>6292</v>
      </c>
    </row>
    <row r="180" spans="18:18" x14ac:dyDescent="0.25">
      <c r="R180" s="450" t="s">
        <v>6293</v>
      </c>
    </row>
    <row r="181" spans="18:18" x14ac:dyDescent="0.25">
      <c r="R181" s="450" t="s">
        <v>6294</v>
      </c>
    </row>
    <row r="182" spans="18:18" x14ac:dyDescent="0.25">
      <c r="R182" s="450" t="s">
        <v>6295</v>
      </c>
    </row>
    <row r="183" spans="18:18" x14ac:dyDescent="0.25">
      <c r="R183" s="450" t="s">
        <v>6296</v>
      </c>
    </row>
    <row r="184" spans="18:18" x14ac:dyDescent="0.25">
      <c r="R184" s="450" t="s">
        <v>6297</v>
      </c>
    </row>
    <row r="185" spans="18:18" x14ac:dyDescent="0.25">
      <c r="R185" s="450" t="s">
        <v>6298</v>
      </c>
    </row>
    <row r="186" spans="18:18" x14ac:dyDescent="0.25">
      <c r="R186" s="450" t="s">
        <v>6038</v>
      </c>
    </row>
    <row r="187" spans="18:18" x14ac:dyDescent="0.25">
      <c r="R187" s="450" t="s">
        <v>6299</v>
      </c>
    </row>
    <row r="188" spans="18:18" x14ac:dyDescent="0.25">
      <c r="R188" s="450" t="s">
        <v>6300</v>
      </c>
    </row>
    <row r="189" spans="18:18" x14ac:dyDescent="0.25">
      <c r="R189" s="450" t="s">
        <v>6042</v>
      </c>
    </row>
    <row r="190" spans="18:18" x14ac:dyDescent="0.25">
      <c r="R190" s="450" t="s">
        <v>6052</v>
      </c>
    </row>
    <row r="191" spans="18:18" x14ac:dyDescent="0.25">
      <c r="R191" s="450" t="s">
        <v>6058</v>
      </c>
    </row>
    <row r="192" spans="18:18" x14ac:dyDescent="0.25">
      <c r="R192" s="450" t="s">
        <v>6066</v>
      </c>
    </row>
    <row r="193" spans="18:18" x14ac:dyDescent="0.25">
      <c r="R193" s="450" t="s">
        <v>6236</v>
      </c>
    </row>
    <row r="194" spans="18:18" x14ac:dyDescent="0.25">
      <c r="R194" s="450" t="s">
        <v>6244</v>
      </c>
    </row>
    <row r="195" spans="18:18" x14ac:dyDescent="0.25">
      <c r="R195" s="450" t="s">
        <v>6301</v>
      </c>
    </row>
    <row r="196" spans="18:18" x14ac:dyDescent="0.25">
      <c r="R196" s="450" t="s">
        <v>6302</v>
      </c>
    </row>
    <row r="197" spans="18:18" x14ac:dyDescent="0.25">
      <c r="R197" s="450" t="s">
        <v>6303</v>
      </c>
    </row>
    <row r="199" spans="18:18" x14ac:dyDescent="0.25">
      <c r="R199" s="585" t="s">
        <v>1837</v>
      </c>
    </row>
    <row r="200" spans="18:18" x14ac:dyDescent="0.25">
      <c r="R200" s="450" t="s">
        <v>1765</v>
      </c>
    </row>
    <row r="201" spans="18:18" x14ac:dyDescent="0.25">
      <c r="R201" s="450" t="s">
        <v>6134</v>
      </c>
    </row>
    <row r="202" spans="18:18" x14ac:dyDescent="0.25">
      <c r="R202" s="450" t="s">
        <v>6141</v>
      </c>
    </row>
    <row r="203" spans="18:18" x14ac:dyDescent="0.25">
      <c r="R203" s="450" t="s">
        <v>6304</v>
      </c>
    </row>
    <row r="204" spans="18:18" x14ac:dyDescent="0.25">
      <c r="R204" s="450" t="s">
        <v>6159</v>
      </c>
    </row>
    <row r="205" spans="18:18" x14ac:dyDescent="0.25">
      <c r="R205" s="450" t="s">
        <v>6268</v>
      </c>
    </row>
    <row r="206" spans="18:18" x14ac:dyDescent="0.25">
      <c r="R206" s="450" t="s">
        <v>6174</v>
      </c>
    </row>
    <row r="208" spans="18:18" x14ac:dyDescent="0.25">
      <c r="R208" s="585" t="s">
        <v>6305</v>
      </c>
    </row>
    <row r="209" spans="18:18" x14ac:dyDescent="0.25">
      <c r="R209" s="450" t="s">
        <v>1765</v>
      </c>
    </row>
    <row r="210" spans="18:18" x14ac:dyDescent="0.25">
      <c r="R210" s="450" t="s">
        <v>6306</v>
      </c>
    </row>
    <row r="211" spans="18:18" x14ac:dyDescent="0.25">
      <c r="R211" s="450" t="s">
        <v>6307</v>
      </c>
    </row>
    <row r="212" spans="18:18" x14ac:dyDescent="0.25">
      <c r="R212" s="450" t="s">
        <v>6308</v>
      </c>
    </row>
    <row r="213" spans="18:18" x14ac:dyDescent="0.25">
      <c r="R213" s="450" t="s">
        <v>6309</v>
      </c>
    </row>
    <row r="214" spans="18:18" x14ac:dyDescent="0.25">
      <c r="R214" s="2446" t="s">
        <v>6310</v>
      </c>
    </row>
    <row r="216" spans="18:18" x14ac:dyDescent="0.25">
      <c r="R216" s="585" t="s">
        <v>548</v>
      </c>
    </row>
    <row r="217" spans="18:18" x14ac:dyDescent="0.25">
      <c r="R217" s="2447" t="s">
        <v>2092</v>
      </c>
    </row>
    <row r="218" spans="18:18" x14ac:dyDescent="0.25">
      <c r="R218" s="450" t="s">
        <v>1765</v>
      </c>
    </row>
    <row r="219" spans="18:18" x14ac:dyDescent="0.25">
      <c r="R219" s="450" t="s">
        <v>6311</v>
      </c>
    </row>
    <row r="220" spans="18:18" x14ac:dyDescent="0.25">
      <c r="R220" s="450" t="s">
        <v>6312</v>
      </c>
    </row>
    <row r="221" spans="18:18" x14ac:dyDescent="0.25">
      <c r="R221" s="450" t="s">
        <v>6313</v>
      </c>
    </row>
    <row r="222" spans="18:18" x14ac:dyDescent="0.25">
      <c r="R222" s="450" t="s">
        <v>6314</v>
      </c>
    </row>
    <row r="224" spans="18:18" x14ac:dyDescent="0.25">
      <c r="R224" s="2447" t="s">
        <v>6315</v>
      </c>
    </row>
    <row r="225" spans="18:18" x14ac:dyDescent="0.25">
      <c r="R225" s="450" t="s">
        <v>1765</v>
      </c>
    </row>
    <row r="226" spans="18:18" x14ac:dyDescent="0.25">
      <c r="R226" s="450" t="s">
        <v>6316</v>
      </c>
    </row>
    <row r="227" spans="18:18" x14ac:dyDescent="0.25">
      <c r="R227" s="450" t="s">
        <v>6317</v>
      </c>
    </row>
    <row r="228" spans="18:18" x14ac:dyDescent="0.25">
      <c r="R228" s="450" t="s">
        <v>6318</v>
      </c>
    </row>
    <row r="229" spans="18:18" x14ac:dyDescent="0.25">
      <c r="R229" s="450" t="s">
        <v>6319</v>
      </c>
    </row>
    <row r="231" spans="18:18" x14ac:dyDescent="0.25">
      <c r="R231" s="2447" t="s">
        <v>6320</v>
      </c>
    </row>
    <row r="232" spans="18:18" x14ac:dyDescent="0.25">
      <c r="R232" s="450" t="s">
        <v>1765</v>
      </c>
    </row>
    <row r="233" spans="18:18" x14ac:dyDescent="0.25">
      <c r="R233" s="450" t="s">
        <v>6321</v>
      </c>
    </row>
    <row r="234" spans="18:18" x14ac:dyDescent="0.25">
      <c r="R234" s="450" t="s">
        <v>6322</v>
      </c>
    </row>
    <row r="235" spans="18:18" x14ac:dyDescent="0.25">
      <c r="R235" s="450" t="s">
        <v>6323</v>
      </c>
    </row>
    <row r="236" spans="18:18" x14ac:dyDescent="0.25">
      <c r="R236" s="450" t="s">
        <v>6324</v>
      </c>
    </row>
    <row r="237" spans="18:18" x14ac:dyDescent="0.25">
      <c r="R237" s="450" t="s">
        <v>6325</v>
      </c>
    </row>
    <row r="238" spans="18:18" x14ac:dyDescent="0.25">
      <c r="R238" s="2446" t="s">
        <v>6326</v>
      </c>
    </row>
    <row r="239" spans="18:18" x14ac:dyDescent="0.25">
      <c r="R239" s="450" t="s">
        <v>6327</v>
      </c>
    </row>
    <row r="240" spans="18:18" x14ac:dyDescent="0.25">
      <c r="R240" s="450" t="s">
        <v>6328</v>
      </c>
    </row>
    <row r="242" spans="18:18" x14ac:dyDescent="0.25">
      <c r="R242" s="585" t="s">
        <v>1855</v>
      </c>
    </row>
    <row r="243" spans="18:18" x14ac:dyDescent="0.25">
      <c r="R243" s="450" t="s">
        <v>1765</v>
      </c>
    </row>
    <row r="244" spans="18:18" x14ac:dyDescent="0.25">
      <c r="R244" s="450" t="s">
        <v>6329</v>
      </c>
    </row>
    <row r="245" spans="18:18" x14ac:dyDescent="0.25">
      <c r="R245" s="450" t="s">
        <v>6330</v>
      </c>
    </row>
    <row r="246" spans="18:18" x14ac:dyDescent="0.25">
      <c r="R246" s="450" t="s">
        <v>6331</v>
      </c>
    </row>
    <row r="247" spans="18:18" x14ac:dyDescent="0.25">
      <c r="R247" s="450" t="s">
        <v>6332</v>
      </c>
    </row>
    <row r="248" spans="18:18" x14ac:dyDescent="0.25">
      <c r="R248" s="450" t="s">
        <v>6333</v>
      </c>
    </row>
    <row r="249" spans="18:18" x14ac:dyDescent="0.25">
      <c r="R249" s="450" t="s">
        <v>6334</v>
      </c>
    </row>
    <row r="250" spans="18:18" x14ac:dyDescent="0.25">
      <c r="R250" s="450" t="s">
        <v>6335</v>
      </c>
    </row>
    <row r="251" spans="18:18" x14ac:dyDescent="0.25">
      <c r="R251" s="450" t="s">
        <v>6336</v>
      </c>
    </row>
    <row r="252" spans="18:18" x14ac:dyDescent="0.25">
      <c r="R252" s="450" t="s">
        <v>6337</v>
      </c>
    </row>
    <row r="253" spans="18:18" x14ac:dyDescent="0.25">
      <c r="R253" s="450" t="s">
        <v>6338</v>
      </c>
    </row>
    <row r="254" spans="18:18" x14ac:dyDescent="0.25">
      <c r="R254" s="450" t="s">
        <v>6339</v>
      </c>
    </row>
    <row r="255" spans="18:18" x14ac:dyDescent="0.25">
      <c r="R255" s="450" t="s">
        <v>6340</v>
      </c>
    </row>
    <row r="256" spans="18:18" x14ac:dyDescent="0.25">
      <c r="R256" s="450" t="s">
        <v>6341</v>
      </c>
    </row>
    <row r="258" spans="18:18" x14ac:dyDescent="0.25">
      <c r="R258" s="585" t="s">
        <v>6342</v>
      </c>
    </row>
    <row r="259" spans="18:18" x14ac:dyDescent="0.25">
      <c r="R259" s="585"/>
    </row>
    <row r="260" spans="18:18" x14ac:dyDescent="0.25">
      <c r="R260" s="585" t="s">
        <v>6343</v>
      </c>
    </row>
    <row r="261" spans="18:18" x14ac:dyDescent="0.25">
      <c r="R261" s="450" t="s">
        <v>1765</v>
      </c>
    </row>
    <row r="262" spans="18:18" x14ac:dyDescent="0.25">
      <c r="R262" s="450" t="s">
        <v>6011</v>
      </c>
    </row>
    <row r="263" spans="18:18" x14ac:dyDescent="0.25">
      <c r="R263" s="450" t="s">
        <v>6027</v>
      </c>
    </row>
    <row r="264" spans="18:18" x14ac:dyDescent="0.25">
      <c r="R264" s="450" t="s">
        <v>6038</v>
      </c>
    </row>
    <row r="265" spans="18:18" x14ac:dyDescent="0.25">
      <c r="R265" s="450" t="s">
        <v>6300</v>
      </c>
    </row>
    <row r="266" spans="18:18" x14ac:dyDescent="0.25">
      <c r="R266" s="450" t="s">
        <v>6042</v>
      </c>
    </row>
    <row r="267" spans="18:18" x14ac:dyDescent="0.25">
      <c r="R267" s="450" t="s">
        <v>6048</v>
      </c>
    </row>
    <row r="268" spans="18:18" x14ac:dyDescent="0.25">
      <c r="R268" s="450" t="s">
        <v>6052</v>
      </c>
    </row>
    <row r="269" spans="18:18" x14ac:dyDescent="0.25">
      <c r="R269" s="450" t="s">
        <v>6058</v>
      </c>
    </row>
    <row r="270" spans="18:18" x14ac:dyDescent="0.25">
      <c r="R270" s="450" t="s">
        <v>6062</v>
      </c>
    </row>
    <row r="271" spans="18:18" x14ac:dyDescent="0.25">
      <c r="R271" s="450" t="s">
        <v>6066</v>
      </c>
    </row>
    <row r="272" spans="18:18" x14ac:dyDescent="0.25">
      <c r="R272" s="450" t="s">
        <v>6236</v>
      </c>
    </row>
    <row r="273" spans="18:18" x14ac:dyDescent="0.25">
      <c r="R273" s="450" t="s">
        <v>6073</v>
      </c>
    </row>
    <row r="274" spans="18:18" x14ac:dyDescent="0.25">
      <c r="R274" s="450" t="s">
        <v>6344</v>
      </c>
    </row>
    <row r="275" spans="18:18" x14ac:dyDescent="0.25">
      <c r="R275" s="450" t="s">
        <v>6345</v>
      </c>
    </row>
    <row r="276" spans="18:18" x14ac:dyDescent="0.25">
      <c r="R276" s="450" t="s">
        <v>6255</v>
      </c>
    </row>
    <row r="277" spans="18:18" x14ac:dyDescent="0.25">
      <c r="R277" s="2446" t="s">
        <v>6594</v>
      </c>
    </row>
    <row r="278" spans="18:18" x14ac:dyDescent="0.25">
      <c r="R278" s="450" t="s">
        <v>6080</v>
      </c>
    </row>
    <row r="279" spans="18:18" x14ac:dyDescent="0.25">
      <c r="R279" s="450" t="s">
        <v>6346</v>
      </c>
    </row>
    <row r="280" spans="18:18" x14ac:dyDescent="0.25">
      <c r="R280" s="450" t="s">
        <v>6249</v>
      </c>
    </row>
    <row r="281" spans="18:18" x14ac:dyDescent="0.25">
      <c r="R281" s="450" t="s">
        <v>6251</v>
      </c>
    </row>
    <row r="282" spans="18:18" x14ac:dyDescent="0.25">
      <c r="R282" s="450" t="s">
        <v>6253</v>
      </c>
    </row>
    <row r="284" spans="18:18" x14ac:dyDescent="0.25">
      <c r="R284" s="585" t="s">
        <v>6347</v>
      </c>
    </row>
    <row r="285" spans="18:18" x14ac:dyDescent="0.25">
      <c r="R285" s="450" t="s">
        <v>1765</v>
      </c>
    </row>
    <row r="286" spans="18:18" x14ac:dyDescent="0.25">
      <c r="R286" s="450" t="s">
        <v>6348</v>
      </c>
    </row>
    <row r="288" spans="18:18" x14ac:dyDescent="0.25">
      <c r="R288" s="585" t="s">
        <v>6349</v>
      </c>
    </row>
    <row r="289" spans="18:18" x14ac:dyDescent="0.25">
      <c r="R289" s="450" t="s">
        <v>1765</v>
      </c>
    </row>
    <row r="290" spans="18:18" x14ac:dyDescent="0.25">
      <c r="R290" s="450" t="s">
        <v>6134</v>
      </c>
    </row>
    <row r="291" spans="18:18" x14ac:dyDescent="0.25">
      <c r="R291" s="450" t="s">
        <v>6138</v>
      </c>
    </row>
    <row r="292" spans="18:18" x14ac:dyDescent="0.25">
      <c r="R292" s="450" t="s">
        <v>6141</v>
      </c>
    </row>
    <row r="293" spans="18:18" x14ac:dyDescent="0.25">
      <c r="R293" s="450" t="s">
        <v>6144</v>
      </c>
    </row>
    <row r="294" spans="18:18" x14ac:dyDescent="0.25">
      <c r="R294" s="450" t="s">
        <v>6262</v>
      </c>
    </row>
    <row r="295" spans="18:18" x14ac:dyDescent="0.25">
      <c r="R295" s="450" t="s">
        <v>6350</v>
      </c>
    </row>
    <row r="296" spans="18:18" x14ac:dyDescent="0.25">
      <c r="R296" s="450" t="s">
        <v>6159</v>
      </c>
    </row>
    <row r="297" spans="18:18" x14ac:dyDescent="0.25">
      <c r="R297" s="450" t="s">
        <v>6153</v>
      </c>
    </row>
    <row r="298" spans="18:18" x14ac:dyDescent="0.25">
      <c r="R298" s="450" t="s">
        <v>6156</v>
      </c>
    </row>
    <row r="299" spans="18:18" x14ac:dyDescent="0.25">
      <c r="R299" s="450" t="s">
        <v>6265</v>
      </c>
    </row>
    <row r="300" spans="18:18" x14ac:dyDescent="0.25">
      <c r="R300" s="450" t="s">
        <v>6180</v>
      </c>
    </row>
    <row r="301" spans="18:18" x14ac:dyDescent="0.25">
      <c r="R301" s="450" t="s">
        <v>6351</v>
      </c>
    </row>
    <row r="302" spans="18:18" x14ac:dyDescent="0.25">
      <c r="R302" s="450" t="s">
        <v>6268</v>
      </c>
    </row>
    <row r="303" spans="18:18" x14ac:dyDescent="0.25">
      <c r="R303" s="450" t="s">
        <v>6174</v>
      </c>
    </row>
    <row r="305" spans="18:18" x14ac:dyDescent="0.25">
      <c r="R305" s="585" t="s">
        <v>6352</v>
      </c>
    </row>
    <row r="306" spans="18:18" x14ac:dyDescent="0.25">
      <c r="R306" s="450" t="s">
        <v>1765</v>
      </c>
    </row>
    <row r="307" spans="18:18" x14ac:dyDescent="0.25">
      <c r="R307" s="450" t="s">
        <v>6353</v>
      </c>
    </row>
    <row r="308" spans="18:18" x14ac:dyDescent="0.25">
      <c r="R308" s="450" t="s">
        <v>6222</v>
      </c>
    </row>
    <row r="309" spans="18:18" x14ac:dyDescent="0.25">
      <c r="R309" s="450" t="s">
        <v>6224</v>
      </c>
    </row>
  </sheetData>
  <sheetProtection algorithmName="SHA-512" hashValue="zTloPYaudVYZ5HCuf78W9xuXR7SRk4edIw+PMaWJlYKEdmnVtQf/uSvwCchdxbNwmz6UFST6bBepfg30guqqBA==" saltValue="8AMjjOAaR/P4XmBV7e3UZA==" spinCount="100000" sheet="1" autoFilter="0"/>
  <sortState xmlns:xlrd2="http://schemas.microsoft.com/office/spreadsheetml/2017/richdata2" ref="AN4:AN34">
    <sortCondition ref="AN4:AN34"/>
  </sortState>
  <customSheetViews>
    <customSheetView guid="{9FCFC836-1CA5-48BF-958D-24D2EA94B219}">
      <selection activeCell="J18" sqref="J18"/>
      <pageMargins left="0" right="0" top="0" bottom="0" header="0" footer="0"/>
      <pageSetup orientation="portrait" r:id="rId1"/>
      <headerFooter alignWithMargins="0"/>
    </customSheetView>
    <customSheetView guid="{B08879A4-635B-4C39-9937-AC7883D562FC}">
      <selection activeCell="J18" sqref="J18"/>
      <pageMargins left="0" right="0" top="0" bottom="0" header="0" footer="0"/>
      <pageSetup orientation="portrait" r:id="rId2"/>
      <headerFooter alignWithMargins="0"/>
    </customSheetView>
  </customSheetViews>
  <mergeCells count="2">
    <mergeCell ref="B1:C1"/>
    <mergeCell ref="D1:E1"/>
  </mergeCells>
  <phoneticPr fontId="18" type="noConversion"/>
  <pageMargins left="0.75" right="0.75" top="1" bottom="1" header="0.5" footer="0.5"/>
  <pageSetup orientation="portrait" r:id="rId3"/>
  <headerFooter alignWithMargins="0"/>
  <legacyDrawing r:id="rId4"/>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90383-FBBA-4A25-8786-DC237F6575CB}">
  <sheetPr codeName="Sheet104"/>
  <dimension ref="A1:AS1000"/>
  <sheetViews>
    <sheetView workbookViewId="0">
      <selection activeCell="V6" sqref="V6"/>
    </sheetView>
  </sheetViews>
  <sheetFormatPr defaultColWidth="9.140625" defaultRowHeight="11.25" x14ac:dyDescent="0.2"/>
  <cols>
    <col min="1" max="16384" width="9.140625" style="2224"/>
  </cols>
  <sheetData>
    <row r="1" spans="1:45" ht="17.25" x14ac:dyDescent="0.3">
      <c r="A1" s="2221" t="s">
        <v>6354</v>
      </c>
      <c r="B1" s="2222"/>
      <c r="C1" s="2222"/>
      <c r="D1" s="2222"/>
      <c r="E1" s="2222"/>
      <c r="F1" s="2223"/>
      <c r="G1" s="2223"/>
      <c r="H1" s="2223"/>
      <c r="I1" s="2223"/>
      <c r="J1" s="2223"/>
      <c r="K1" s="2223"/>
      <c r="L1" s="2223"/>
      <c r="M1" s="2223"/>
      <c r="N1" s="2223"/>
      <c r="O1" s="2223"/>
      <c r="P1" s="2223"/>
      <c r="Q1" s="2223"/>
      <c r="R1" s="2223"/>
      <c r="S1" s="2223"/>
      <c r="T1" s="2223"/>
      <c r="U1" s="2223"/>
      <c r="V1" s="2223"/>
      <c r="W1" s="2223"/>
      <c r="X1" s="2223"/>
      <c r="Y1" s="2223"/>
      <c r="Z1" s="2223"/>
      <c r="AA1" s="2223"/>
      <c r="AB1" s="2223"/>
      <c r="AC1" s="2223"/>
      <c r="AD1" s="2223"/>
      <c r="AE1" s="2223"/>
      <c r="AF1" s="2223"/>
      <c r="AG1" s="2223"/>
      <c r="AH1" s="2223"/>
      <c r="AI1" s="2223"/>
      <c r="AJ1" s="2223"/>
      <c r="AK1" s="2223"/>
      <c r="AL1" s="2223"/>
      <c r="AM1" s="2223"/>
      <c r="AN1" s="2223"/>
      <c r="AO1" s="2223"/>
      <c r="AP1" s="2223"/>
      <c r="AQ1" s="2223"/>
      <c r="AR1" s="2223"/>
      <c r="AS1" s="2223"/>
    </row>
    <row r="2" spans="1:45" x14ac:dyDescent="0.2">
      <c r="A2" s="2223"/>
      <c r="B2" s="2223"/>
      <c r="C2" s="2223"/>
      <c r="D2" s="2223"/>
      <c r="E2" s="2223" t="s">
        <v>570</v>
      </c>
      <c r="F2" s="2223" t="s">
        <v>572</v>
      </c>
      <c r="G2" s="2223"/>
      <c r="H2" s="2223"/>
      <c r="I2" s="2223"/>
      <c r="J2" s="2223"/>
      <c r="K2" s="2223"/>
      <c r="L2" s="2223"/>
      <c r="M2" s="2223"/>
      <c r="N2" s="2223"/>
      <c r="O2" s="2223"/>
      <c r="P2" s="2223"/>
      <c r="Q2" s="2223"/>
      <c r="R2" s="2223"/>
      <c r="S2" s="2223"/>
      <c r="T2" s="2223"/>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ht="60" x14ac:dyDescent="0.25">
      <c r="A3" s="2218" t="s">
        <v>1867</v>
      </c>
      <c r="B3" s="2218" t="s">
        <v>1573</v>
      </c>
      <c r="C3" s="2223"/>
      <c r="D3" s="2223"/>
      <c r="E3" s="2225" t="s">
        <v>6355</v>
      </c>
      <c r="F3" s="2225" t="s">
        <v>6356</v>
      </c>
      <c r="G3" s="2223"/>
      <c r="H3" s="2223"/>
      <c r="I3" s="2223"/>
      <c r="J3" s="2223"/>
      <c r="K3" s="2223"/>
      <c r="L3" s="2223"/>
      <c r="M3" s="2223"/>
      <c r="N3" s="2223"/>
      <c r="O3" s="2223"/>
      <c r="P3" s="2223"/>
      <c r="Q3" s="2223"/>
      <c r="R3" s="2223"/>
      <c r="S3" s="2223"/>
      <c r="T3" s="2223"/>
      <c r="U3" s="2223"/>
      <c r="V3" s="2223"/>
      <c r="W3" s="2223"/>
      <c r="X3" s="2223"/>
      <c r="Y3" s="2223"/>
      <c r="Z3" s="2223"/>
      <c r="AA3" s="2223"/>
      <c r="AB3" s="2223"/>
      <c r="AC3" s="2223"/>
      <c r="AD3" s="2223"/>
      <c r="AE3" s="2223"/>
      <c r="AF3" s="2223"/>
      <c r="AG3" s="2223"/>
      <c r="AH3" s="2223"/>
      <c r="AI3" s="2223"/>
      <c r="AJ3" s="2223"/>
      <c r="AK3" s="2223"/>
      <c r="AL3" s="2223"/>
      <c r="AM3" s="2223"/>
      <c r="AN3" s="2223"/>
      <c r="AO3" s="2223"/>
      <c r="AP3" s="2223"/>
      <c r="AQ3" s="2223"/>
      <c r="AR3" s="2223"/>
      <c r="AS3" s="2223"/>
    </row>
    <row r="4" spans="1:45" ht="15" x14ac:dyDescent="0.25">
      <c r="A4" s="2219" t="s">
        <v>5095</v>
      </c>
      <c r="B4" s="2219" t="s">
        <v>6357</v>
      </c>
      <c r="C4" s="2223"/>
      <c r="D4" s="2223"/>
      <c r="E4" s="2226"/>
      <c r="F4" s="2227"/>
      <c r="G4" s="2223"/>
      <c r="H4" s="2223"/>
      <c r="I4" s="2223"/>
      <c r="J4" s="2223"/>
      <c r="K4" s="2223"/>
      <c r="L4" s="2223"/>
      <c r="M4" s="2223"/>
      <c r="N4" s="2223"/>
      <c r="O4" s="2223"/>
      <c r="P4" s="2223"/>
      <c r="Q4" s="2223"/>
      <c r="R4" s="2223"/>
      <c r="S4" s="2223"/>
      <c r="T4" s="2223"/>
      <c r="U4" s="2223"/>
      <c r="V4" s="2223"/>
      <c r="W4" s="2223"/>
      <c r="X4" s="2223"/>
      <c r="Y4" s="2223"/>
      <c r="Z4" s="2223"/>
      <c r="AA4" s="2223"/>
      <c r="AB4" s="2223"/>
      <c r="AC4" s="2223"/>
      <c r="AD4" s="2223"/>
      <c r="AE4" s="2223"/>
      <c r="AF4" s="2223"/>
      <c r="AG4" s="2223"/>
      <c r="AH4" s="2223"/>
      <c r="AI4" s="2223"/>
      <c r="AJ4" s="2223"/>
      <c r="AK4" s="2223"/>
      <c r="AL4" s="2223"/>
      <c r="AM4" s="2223"/>
      <c r="AN4" s="2223"/>
      <c r="AO4" s="2223"/>
      <c r="AP4" s="2223"/>
      <c r="AQ4" s="2223"/>
      <c r="AR4" s="2223"/>
      <c r="AS4" s="2223"/>
    </row>
    <row r="5" spans="1:45" ht="15" x14ac:dyDescent="0.25">
      <c r="A5" s="2219" t="s">
        <v>5095</v>
      </c>
      <c r="B5" s="2219" t="s">
        <v>1878</v>
      </c>
      <c r="C5" s="2223"/>
      <c r="D5" s="2223"/>
      <c r="E5" s="2223"/>
      <c r="F5" s="2223"/>
      <c r="G5" s="2223"/>
      <c r="H5" s="2223"/>
      <c r="I5" s="2223"/>
      <c r="J5" s="2223"/>
      <c r="K5" s="2223"/>
      <c r="L5" s="2223"/>
      <c r="M5" s="2223"/>
      <c r="N5" s="2223"/>
      <c r="O5" s="2223"/>
      <c r="P5" s="2223"/>
      <c r="Q5" s="2223"/>
      <c r="R5" s="2223"/>
      <c r="S5" s="2223"/>
      <c r="T5" s="2223"/>
      <c r="U5" s="2223"/>
      <c r="V5" s="2223"/>
      <c r="W5" s="2223"/>
      <c r="X5" s="2223"/>
      <c r="Y5" s="2223"/>
      <c r="Z5" s="2223"/>
      <c r="AA5" s="2223"/>
      <c r="AB5" s="2223"/>
      <c r="AC5" s="2223"/>
      <c r="AD5" s="2223"/>
      <c r="AE5" s="2223"/>
      <c r="AF5" s="2223"/>
      <c r="AG5" s="2223"/>
      <c r="AH5" s="2223"/>
      <c r="AI5" s="2223"/>
      <c r="AJ5" s="2223"/>
      <c r="AK5" s="2223"/>
      <c r="AL5" s="2223"/>
      <c r="AM5" s="2223"/>
      <c r="AN5" s="2223"/>
      <c r="AO5" s="2223"/>
      <c r="AP5" s="2223"/>
      <c r="AQ5" s="2223"/>
      <c r="AR5" s="2223"/>
      <c r="AS5" s="2223"/>
    </row>
    <row r="6" spans="1:45" ht="15" x14ac:dyDescent="0.25">
      <c r="A6" s="2219" t="s">
        <v>5095</v>
      </c>
      <c r="B6" s="2219" t="s">
        <v>6358</v>
      </c>
      <c r="C6" s="2223"/>
      <c r="D6" s="2223"/>
      <c r="E6" s="2223"/>
      <c r="F6" s="2223"/>
      <c r="G6" s="2223"/>
      <c r="H6" s="2223"/>
      <c r="I6" s="2223"/>
      <c r="J6" s="2223"/>
      <c r="K6" s="2223"/>
      <c r="L6" s="2223"/>
      <c r="M6" s="2223"/>
      <c r="N6" s="2223"/>
      <c r="O6" s="2223"/>
      <c r="P6" s="2223"/>
      <c r="Q6" s="2223"/>
      <c r="R6" s="2223"/>
      <c r="S6" s="2223"/>
      <c r="T6" s="2223"/>
      <c r="U6" s="2223"/>
      <c r="V6" s="2223" t="e">
        <f>IF(COLUMNS($A$5:V$5)&lt;=#REF!,INDEX(TableDiv[[GASB]:[GASB]],_xlfn.AGGREGATE(15,3,(TableDiv[[Agency]:[Agency]]=#REF!)/(TableDiv[[Agency]:[Agency]]=#REF!)*(ROW(TableDiv[[Agency]:[Agency]])-ROW(TableDiv[[#Headers],[Agency]])),COLUMNS($A$5:V$5))),"")</f>
        <v>#REF!</v>
      </c>
      <c r="W6" s="2223"/>
      <c r="X6" s="2223" t="e">
        <f>IF(COLUMNS($A$5:X$5)&lt;=#REF!,INDEX(TableDiv[[GASB]:[GASB]],_xlfn.AGGREGATE(15,3,(TableDiv[[Agency]:[Agency]]=#REF!)/(TableDiv[[Agency]:[Agency]]=#REF!)*(ROW(TableDiv[[Agency]:[Agency]])-ROW(TableDiv[[#Headers],[Agency]])),COLUMNS($A$5:X$5))),"")</f>
        <v>#REF!</v>
      </c>
      <c r="Y6" s="2223" t="e">
        <f>IF(COLUMNS($A$5:Y$5)&lt;=#REF!,INDEX(TableDiv[[GASB]:[GASB]],_xlfn.AGGREGATE(15,3,(TableDiv[[Agency]:[Agency]]=#REF!)/(TableDiv[[Agency]:[Agency]]=#REF!)*(ROW(TableDiv[[Agency]:[Agency]])-ROW(TableDiv[[#Headers],[GASB]])),COLUMNS($A$5:Y$5))),"")</f>
        <v>#REF!</v>
      </c>
      <c r="Z6" s="2223"/>
      <c r="AA6" s="2223"/>
      <c r="AB6" s="2223"/>
      <c r="AC6" s="2223"/>
      <c r="AD6" s="2223"/>
      <c r="AE6" s="2223"/>
      <c r="AF6" s="2223"/>
      <c r="AG6" s="2223"/>
      <c r="AH6" s="2223"/>
      <c r="AI6" s="2223"/>
      <c r="AJ6" s="2223"/>
      <c r="AK6" s="2223"/>
      <c r="AL6" s="2223"/>
      <c r="AM6" s="2223"/>
      <c r="AN6" s="2223"/>
      <c r="AO6" s="2223"/>
      <c r="AP6" s="2223"/>
      <c r="AQ6" s="2223"/>
      <c r="AR6" s="2223"/>
      <c r="AS6" s="2223"/>
    </row>
    <row r="7" spans="1:45" ht="15" x14ac:dyDescent="0.25">
      <c r="A7" s="2219" t="s">
        <v>5097</v>
      </c>
      <c r="B7" s="2219" t="s">
        <v>6357</v>
      </c>
      <c r="C7" s="2223"/>
      <c r="D7" s="2228" t="s">
        <v>6359</v>
      </c>
      <c r="E7" s="2229"/>
      <c r="F7" s="2223"/>
      <c r="G7" s="2223"/>
      <c r="H7" s="2223"/>
      <c r="I7" s="2223"/>
      <c r="J7" s="2223"/>
      <c r="K7" s="2223"/>
      <c r="L7" s="2223"/>
      <c r="M7" s="2223"/>
      <c r="N7" s="2223"/>
      <c r="O7" s="2223"/>
      <c r="P7" s="2223"/>
      <c r="Q7" s="2223"/>
      <c r="R7" s="2223"/>
      <c r="S7" s="2223"/>
      <c r="T7" s="2223"/>
      <c r="U7" s="2223"/>
      <c r="V7" s="2223"/>
      <c r="W7" s="2223"/>
      <c r="X7" s="2223" t="e">
        <f>IF(COLUMNS($A$5:X$5)&lt;=#REF!,INDEX(TableDiv[[GASB]:[GASB]],_xlfn.AGGREGATE(15,3,(TableDiv[[Agency]:[Agency]]=#REF!)/(TableDiv[[Agency]:[Agency]]=#REF!)*(ROW(TableDiv[[Agency]:[Agency]])-ROW(TableDiv[[#Headers],[Agency]])),COLUMNS($A$5:X$5))),"")</f>
        <v>#REF!</v>
      </c>
      <c r="Y7" s="2223" t="e">
        <f>IF(COLUMNS($A$5:Y$5)&lt;=#REF!,INDEX(TableDiv[[GASB]:[GASB]],_xlfn.AGGREGATE(15,3,(TableDiv[[Agency]:[Agency]]=#REF!)/(TableDiv[[Agency]:[Agency]]=#REF!)*(ROW(TableDiv[[Agency]:[Agency]])-ROW(TableDiv[[#Headers],[GASB]])),COLUMNS($A$5:Y$5))),"")</f>
        <v>#REF!</v>
      </c>
      <c r="Z7" s="2223" t="e">
        <f>IF(COLUMNS($A$6:Z6)&lt;=#REF!,INDEX(TableDiv[[GASB]:[GASB]],_xlfn.AGGREGATE(15,3,(TableDiv[[Agency]:[Agency]]=#REF!)/(TableDiv[[Agency]:[Agency]]=#REF!)*(ROW(TableDiv[[Agency]:[Agency]])-ROW(TableDiv[[#Headers],[Agency]])),COLUMNS($A$6:Z6))),"")</f>
        <v>#REF!</v>
      </c>
      <c r="AA7" s="2223" t="e">
        <f>IF(COLUMNS($A$6:AA6)&lt;=#REF!,INDEX(TableDiv[[GASB]:[GASB]],_xlfn.AGGREGATE(15,3,(TableDiv[[Agency]:[Agency]]=#REF!)/(TableDiv[[Agency]:[Agency]]=#REF!)*(ROW(TableDiv[[Agency]:[Agency]])-ROW(TableDiv[[#Headers],[GASB]])),COLUMNS($A$6:AA6))),"")</f>
        <v>#REF!</v>
      </c>
      <c r="AB7" s="2223"/>
      <c r="AC7" s="2223"/>
      <c r="AD7" s="2223"/>
      <c r="AE7" s="2223"/>
      <c r="AF7" s="2223"/>
      <c r="AG7" s="2223"/>
      <c r="AH7" s="2223"/>
      <c r="AI7" s="2223"/>
      <c r="AJ7" s="2223"/>
      <c r="AK7" s="2223"/>
      <c r="AL7" s="2223"/>
      <c r="AM7" s="2223"/>
      <c r="AN7" s="2223"/>
      <c r="AO7" s="2223"/>
      <c r="AP7" s="2223"/>
      <c r="AQ7" s="2223"/>
      <c r="AR7" s="2223"/>
      <c r="AS7" s="2223"/>
    </row>
    <row r="8" spans="1:45" ht="15" x14ac:dyDescent="0.25">
      <c r="A8" s="2219" t="s">
        <v>5097</v>
      </c>
      <c r="B8" s="2219" t="s">
        <v>1878</v>
      </c>
      <c r="C8" s="2223"/>
      <c r="D8" s="2223">
        <f>COUNTIF(TableDiv[Agency],E8)</f>
        <v>3</v>
      </c>
      <c r="E8" s="2230" t="str" cm="1">
        <f t="array" ref="E8">IFERROR(INDEX(TableDiv[Agency],MATCH(0,INDEX(COUNTIF($E$7:E7,TableDiv[Agency]),),0)),"")</f>
        <v>0100</v>
      </c>
      <c r="F8" s="2223" t="str" cm="1">
        <f t="array" ref="F8">IF($D8&lt;COLUMNS($F$7:F$7),"",INDEX(TableDiv[[GASB]:[GASB]],_xlfn.AGGREGATE(15,3,(TableDiv[[Agency]:[Agency]]=$E8)/(TableDiv[[Agency]:[Agency]]=$E8)*(ROW(TableDiv[Agency])-ROW(TableDiv[[#Headers],[Agency]])),COLUMNS($F$7:F$7))))</f>
        <v>11000G</v>
      </c>
      <c r="G8" s="2223" t="str" cm="1">
        <f t="array" ref="G8">IF($D8&lt;COLUMNS($F$7:G$7),"",INDEX(TableDiv[[GASB]:[GASB]],_xlfn.AGGREGATE(15,3,(TableDiv[[Agency]:[Agency]]=$E8)/(TableDiv[[Agency]:[Agency]]=$E8)*(ROW(TableDiv[Agency])-ROW(TableDiv[[#Headers],[Agency]])),COLUMNS($F$7:G$7))))</f>
        <v>11020G</v>
      </c>
      <c r="H8" s="2223" t="str" cm="1">
        <f t="array" ref="H8">IF($D8&lt;COLUMNS($F$7:H$7),"",INDEX(TableDiv[[GASB]:[GASB]],_xlfn.AGGREGATE(15,3,(TableDiv[[Agency]:[Agency]]=$E8)/(TableDiv[[Agency]:[Agency]]=$E8)*(ROW(TableDiv[Agency])-ROW(TableDiv[[#Headers],[Agency]])),COLUMNS($F$7:H$7))))</f>
        <v>14000G</v>
      </c>
      <c r="I8" s="2223" t="str" cm="1">
        <f t="array" ref="I8">IF($D8&lt;COLUMNS($F$7:I$7),"",INDEX(TableDiv[[GASB]:[GASB]],_xlfn.AGGREGATE(15,3,(TableDiv[[Agency]:[Agency]]=$E8)/(TableDiv[[Agency]:[Agency]]=$E8)*(ROW(TableDiv[Agency])-ROW(TableDiv[[#Headers],[Agency]])),COLUMNS($F$7:I$7))))</f>
        <v/>
      </c>
      <c r="J8" s="2223" t="str" cm="1">
        <f t="array" ref="J8">IF($D8&lt;COLUMNS($F$7:J$7),"",INDEX(TableDiv[[GASB]:[GASB]],_xlfn.AGGREGATE(15,3,(TableDiv[[Agency]:[Agency]]=$E8)/(TableDiv[[Agency]:[Agency]]=$E8)*(ROW(TableDiv[Agency])-ROW(TableDiv[[#Headers],[Agency]])),COLUMNS($F$7:J$7))))</f>
        <v/>
      </c>
      <c r="K8" s="2223" t="str" cm="1">
        <f t="array" ref="K8">IF($D8&lt;COLUMNS($F$7:K$7),"",INDEX(TableDiv[[GASB]:[GASB]],_xlfn.AGGREGATE(15,3,(TableDiv[[Agency]:[Agency]]=$E8)/(TableDiv[[Agency]:[Agency]]=$E8)*(ROW(TableDiv[Agency])-ROW(TableDiv[[#Headers],[Agency]])),COLUMNS($F$7:K$7))))</f>
        <v/>
      </c>
      <c r="L8" s="2223" t="str" cm="1">
        <f t="array" ref="L8">IF($D8&lt;COLUMNS($F$7:L$7),"",INDEX(TableDiv[[GASB]:[GASB]],_xlfn.AGGREGATE(15,3,(TableDiv[[Agency]:[Agency]]=$E8)/(TableDiv[[Agency]:[Agency]]=$E8)*(ROW(TableDiv[Agency])-ROW(TableDiv[[#Headers],[Agency]])),COLUMNS($F$7:L$7))))</f>
        <v/>
      </c>
      <c r="M8" s="2223" t="str" cm="1">
        <f t="array" ref="M8">IF($D8&lt;COLUMNS($F$7:M$7),"",INDEX(TableDiv[[GASB]:[GASB]],_xlfn.AGGREGATE(15,3,(TableDiv[[Agency]:[Agency]]=$E8)/(TableDiv[[Agency]:[Agency]]=$E8)*(ROW(TableDiv[Agency])-ROW(TableDiv[[#Headers],[Agency]])),COLUMNS($F$7:M$7))))</f>
        <v/>
      </c>
      <c r="N8" s="2223" t="str" cm="1">
        <f t="array" ref="N8">IF($D8&lt;COLUMNS($F$7:N$7),"",INDEX(TableDiv[[GASB]:[GASB]],_xlfn.AGGREGATE(15,3,(TableDiv[[Agency]:[Agency]]=$E8)/(TableDiv[[Agency]:[Agency]]=$E8)*(ROW(TableDiv[Agency])-ROW(TableDiv[[#Headers],[Agency]])),COLUMNS($F$7:N$7))))</f>
        <v/>
      </c>
      <c r="O8" s="2223" t="str" cm="1">
        <f t="array" ref="O8">IF($D8&lt;COLUMNS($F$7:O$7),"",INDEX(TableDiv[[GASB]:[GASB]],_xlfn.AGGREGATE(15,3,(TableDiv[[Agency]:[Agency]]=$E8)/(TableDiv[[Agency]:[Agency]]=$E8)*(ROW(TableDiv[Agency])-ROW(TableDiv[[#Headers],[Agency]])),COLUMNS($F$7:O$7))))</f>
        <v/>
      </c>
      <c r="P8" s="2223" t="str" cm="1">
        <f t="array" ref="P8">IF($D8&lt;COLUMNS($F$7:P$7),"",INDEX(TableDiv[[GASB]:[GASB]],_xlfn.AGGREGATE(15,3,(TableDiv[[Agency]:[Agency]]=$E8)/(TableDiv[[Agency]:[Agency]]=$E8)*(ROW(TableDiv[Agency])-ROW(TableDiv[[#Headers],[Agency]])),COLUMNS($F$7:P$7))))</f>
        <v/>
      </c>
      <c r="Q8" s="2223" t="str" cm="1">
        <f t="array" ref="Q8">IF($D8&lt;COLUMNS($F$7:Q$7),"",INDEX(TableDiv[[GASB]:[GASB]],_xlfn.AGGREGATE(15,3,(TableDiv[[Agency]:[Agency]]=$E8)/(TableDiv[[Agency]:[Agency]]=$E8)*(ROW(TableDiv[Agency])-ROW(TableDiv[[#Headers],[Agency]])),COLUMNS($F$7:Q$7))))</f>
        <v/>
      </c>
      <c r="R8" s="2223" t="str" cm="1">
        <f t="array" ref="R8">IF($D8&lt;COLUMNS($F$7:R$7),"",INDEX(TableDiv[[GASB]:[GASB]],_xlfn.AGGREGATE(15,3,(TableDiv[[Agency]:[Agency]]=$E8)/(TableDiv[[Agency]:[Agency]]=$E8)*(ROW(TableDiv[Agency])-ROW(TableDiv[[#Headers],[Agency]])),COLUMNS($F$7:R$7))))</f>
        <v/>
      </c>
      <c r="S8" s="2223" t="str" cm="1">
        <f t="array" ref="S8">IF($D8&lt;COLUMNS($F$7:S$7),"",INDEX(TableDiv[[GASB]:[GASB]],_xlfn.AGGREGATE(15,3,(TableDiv[[Agency]:[Agency]]=$E8)/(TableDiv[[Agency]:[Agency]]=$E8)*(ROW(TableDiv[Agency])-ROW(TableDiv[[#Headers],[Agency]])),COLUMNS($F$7:S$7))))</f>
        <v/>
      </c>
      <c r="T8" s="2223" t="str" cm="1">
        <f t="array" ref="T8">IF($D8&lt;COLUMNS($F$7:T$7),"",INDEX(TableDiv[[GASB]:[GASB]],_xlfn.AGGREGATE(15,3,(TableDiv[[Agency]:[Agency]]=$E8)/(TableDiv[[Agency]:[Agency]]=$E8)*(ROW(TableDiv[Agency])-ROW(TableDiv[[#Headers],[Agency]])),COLUMNS($F$7:T$7))))</f>
        <v/>
      </c>
      <c r="U8" s="2223" t="str" cm="1">
        <f t="array" ref="U8">IF($D8&lt;COLUMNS($F$7:U$7),"",INDEX(TableDiv[[GASB]:[GASB]],_xlfn.AGGREGATE(15,3,(TableDiv[[Agency]:[Agency]]=$E8)/(TableDiv[[Agency]:[Agency]]=$E8)*(ROW(TableDiv[Agency])-ROW(TableDiv[[#Headers],[Agency]])),COLUMNS($F$7:U$7))))</f>
        <v/>
      </c>
      <c r="V8" s="2223" t="str" cm="1">
        <f t="array" ref="V8">IF($D8&lt;COLUMNS($F$7:V$7),"",INDEX(TableDiv[[GASB]:[GASB]],_xlfn.AGGREGATE(15,3,(TableDiv[[Agency]:[Agency]]=$E8)/(TableDiv[[Agency]:[Agency]]=$E8)*(ROW(TableDiv[Agency])-ROW(TableDiv[[#Headers],[Agency]])),COLUMNS($F$7:V$7))))</f>
        <v/>
      </c>
      <c r="W8" s="2223" t="str" cm="1">
        <f t="array" ref="W8">IF($D8&lt;COLUMNS($F$7:W$7),"",INDEX(TableDiv[[GASB]:[GASB]],_xlfn.AGGREGATE(15,3,(TableDiv[[Agency]:[Agency]]=$E8)/(TableDiv[[Agency]:[Agency]]=$E8)*(ROW(TableDiv[Agency])-ROW(TableDiv[[#Headers],[Agency]])),COLUMNS($F$7:W$7))))</f>
        <v/>
      </c>
      <c r="X8" s="2223" t="str" cm="1">
        <f t="array" ref="X8">IF($D8&lt;COLUMNS($F$7:X$7),"",INDEX(TableDiv[[GASB]:[GASB]],_xlfn.AGGREGATE(15,3,(TableDiv[[Agency]:[Agency]]=$E8)/(TableDiv[[Agency]:[Agency]]=$E8)*(ROW(TableDiv[Agency])-ROW(TableDiv[[#Headers],[Agency]])),COLUMNS($F$7:X$7))))</f>
        <v/>
      </c>
      <c r="Y8" s="2223" t="str" cm="1">
        <f t="array" ref="Y8">IF($D8&lt;COLUMNS($F$7:Y$7),"",INDEX(TableDiv[[GASB]:[GASB]],_xlfn.AGGREGATE(15,3,(TableDiv[[Agency]:[Agency]]=$E8)/(TableDiv[[Agency]:[Agency]]=$E8)*(ROW(TableDiv[Agency])-ROW(TableDiv[[#Headers],[Agency]])),COLUMNS($F$7:Y$7))))</f>
        <v/>
      </c>
      <c r="Z8" s="2223" t="str" cm="1">
        <f t="array" ref="Z8">IF($D8&lt;COLUMNS($F$7:Z$7),"",INDEX(TableDiv[[GASB]:[GASB]],_xlfn.AGGREGATE(15,3,(TableDiv[[Agency]:[Agency]]=$E8)/(TableDiv[[Agency]:[Agency]]=$E8)*(ROW(TableDiv[Agency])-ROW(TableDiv[[#Headers],[Agency]])),COLUMNS($F$7:Z$7))))</f>
        <v/>
      </c>
      <c r="AA8" s="2223" t="str" cm="1">
        <f t="array" ref="AA8">IF($D8&lt;COLUMNS($F$7:AA$7),"",INDEX(TableDiv[[GASB]:[GASB]],_xlfn.AGGREGATE(15,3,(TableDiv[[Agency]:[Agency]]=$E8)/(TableDiv[[Agency]:[Agency]]=$E8)*(ROW(TableDiv[Agency])-ROW(TableDiv[[#Headers],[Agency]])),COLUMNS($F$7:AA$7))))</f>
        <v/>
      </c>
      <c r="AB8" s="2223" t="str" cm="1">
        <f t="array" ref="AB8">IF($D8&lt;COLUMNS($F$7:AB$7),"",INDEX(TableDiv[[GASB]:[GASB]],_xlfn.AGGREGATE(15,3,(TableDiv[[Agency]:[Agency]]=$E8)/(TableDiv[[Agency]:[Agency]]=$E8)*(ROW(TableDiv[Agency])-ROW(TableDiv[[#Headers],[Agency]])),COLUMNS($F$7:AB$7))))</f>
        <v/>
      </c>
      <c r="AC8" s="2223" t="str" cm="1">
        <f t="array" ref="AC8">IF($D8&lt;COLUMNS($F$7:AC$7),"",INDEX(TableDiv[[GASB]:[GASB]],_xlfn.AGGREGATE(15,3,(TableDiv[[Agency]:[Agency]]=$E8)/(TableDiv[[Agency]:[Agency]]=$E8)*(ROW(TableDiv[Agency])-ROW(TableDiv[[#Headers],[Agency]])),COLUMNS($F$7:AC$7))))</f>
        <v/>
      </c>
      <c r="AD8" s="2223" t="str" cm="1">
        <f t="array" ref="AD8">IF($D8&lt;COLUMNS($F$7:AD$7),"",INDEX(TableDiv[[GASB]:[GASB]],_xlfn.AGGREGATE(15,3,(TableDiv[[Agency]:[Agency]]=$E8)/(TableDiv[[Agency]:[Agency]]=$E8)*(ROW(TableDiv[Agency])-ROW(TableDiv[[#Headers],[Agency]])),COLUMNS($F$7:AD$7))))</f>
        <v/>
      </c>
      <c r="AE8" s="2223" t="str" cm="1">
        <f t="array" ref="AE8">IF($D8&lt;COLUMNS($F$7:AE$7),"",INDEX(TableDiv[[GASB]:[GASB]],_xlfn.AGGREGATE(15,3,(TableDiv[[Agency]:[Agency]]=$E8)/(TableDiv[[Agency]:[Agency]]=$E8)*(ROW(TableDiv[Agency])-ROW(TableDiv[[#Headers],[Agency]])),COLUMNS($F$7:AE$7))))</f>
        <v/>
      </c>
      <c r="AF8" s="2223" t="str" cm="1">
        <f t="array" ref="AF8">IF($D8&lt;COLUMNS($F$7:AF$7),"",INDEX(TableDiv[[GASB]:[GASB]],_xlfn.AGGREGATE(15,3,(TableDiv[[Agency]:[Agency]]=$E8)/(TableDiv[[Agency]:[Agency]]=$E8)*(ROW(TableDiv[Agency])-ROW(TableDiv[[#Headers],[Agency]])),COLUMNS($F$7:AF$7))))</f>
        <v/>
      </c>
      <c r="AG8" s="2223" t="str" cm="1">
        <f t="array" ref="AG8">IF($D8&lt;COLUMNS($F$7:AG$7),"",INDEX(TableDiv[[GASB]:[GASB]],_xlfn.AGGREGATE(15,3,(TableDiv[[Agency]:[Agency]]=$E8)/(TableDiv[[Agency]:[Agency]]=$E8)*(ROW(TableDiv[Agency])-ROW(TableDiv[[#Headers],[Agency]])),COLUMNS($F$7:AG$7))))</f>
        <v/>
      </c>
      <c r="AH8" s="2223" t="str" cm="1">
        <f t="array" ref="AH8">IF($D8&lt;COLUMNS($F$7:AH$7),"",INDEX(TableDiv[[GASB]:[GASB]],_xlfn.AGGREGATE(15,3,(TableDiv[[Agency]:[Agency]]=$E8)/(TableDiv[[Agency]:[Agency]]=$E8)*(ROW(TableDiv[Agency])-ROW(TableDiv[[#Headers],[Agency]])),COLUMNS($F$7:AH$7))))</f>
        <v/>
      </c>
      <c r="AI8" s="2223" t="str" cm="1">
        <f t="array" ref="AI8">IF($D8&lt;COLUMNS($F$7:AI$7),"",INDEX(TableDiv[[GASB]:[GASB]],_xlfn.AGGREGATE(15,3,(TableDiv[[Agency]:[Agency]]=$E8)/(TableDiv[[Agency]:[Agency]]=$E8)*(ROW(TableDiv[Agency])-ROW(TableDiv[[#Headers],[Agency]])),COLUMNS($F$7:AI$7))))</f>
        <v/>
      </c>
      <c r="AJ8" s="2223" t="str" cm="1">
        <f t="array" ref="AJ8">IF($D8&lt;COLUMNS($F$7:AJ$7),"",INDEX(TableDiv[[GASB]:[GASB]],_xlfn.AGGREGATE(15,3,(TableDiv[[Agency]:[Agency]]=$E8)/(TableDiv[[Agency]:[Agency]]=$E8)*(ROW(TableDiv[Agency])-ROW(TableDiv[[#Headers],[Agency]])),COLUMNS($F$7:AJ$7))))</f>
        <v/>
      </c>
      <c r="AK8" s="2223" t="str" cm="1">
        <f t="array" ref="AK8">IF($D8&lt;COLUMNS($F$7:AK$7),"",INDEX(TableDiv[[GASB]:[GASB]],_xlfn.AGGREGATE(15,3,(TableDiv[[Agency]:[Agency]]=$E8)/(TableDiv[[Agency]:[Agency]]=$E8)*(ROW(TableDiv[Agency])-ROW(TableDiv[[#Headers],[Agency]])),COLUMNS($F$7:AK$7))))</f>
        <v/>
      </c>
      <c r="AL8" s="2223" t="str" cm="1">
        <f t="array" ref="AL8">IF($D8&lt;COLUMNS($F$7:AL$7),"",INDEX(TableDiv[[GASB]:[GASB]],_xlfn.AGGREGATE(15,3,(TableDiv[[Agency]:[Agency]]=$E8)/(TableDiv[[Agency]:[Agency]]=$E8)*(ROW(TableDiv[Agency])-ROW(TableDiv[[#Headers],[Agency]])),COLUMNS($F$7:AL$7))))</f>
        <v/>
      </c>
      <c r="AM8" s="2223" t="str" cm="1">
        <f t="array" ref="AM8">IF($D8&lt;COLUMNS($F$7:AM$7),"",INDEX(TableDiv[[GASB]:[GASB]],_xlfn.AGGREGATE(15,3,(TableDiv[[Agency]:[Agency]]=$E8)/(TableDiv[[Agency]:[Agency]]=$E8)*(ROW(TableDiv[Agency])-ROW(TableDiv[[#Headers],[Agency]])),COLUMNS($F$7:AM$7))))</f>
        <v/>
      </c>
      <c r="AN8" s="2223"/>
      <c r="AO8" s="2223"/>
      <c r="AP8" s="2223"/>
      <c r="AQ8" s="2223"/>
      <c r="AR8" s="2223"/>
      <c r="AS8" s="2223"/>
    </row>
    <row r="9" spans="1:45" ht="15" x14ac:dyDescent="0.25">
      <c r="A9" s="2219" t="s">
        <v>5097</v>
      </c>
      <c r="B9" s="2219" t="s">
        <v>6360</v>
      </c>
      <c r="C9" s="2223"/>
      <c r="D9" s="2223">
        <f>COUNTIF(TableDiv[Agency],E9)</f>
        <v>8</v>
      </c>
      <c r="E9" s="2230" t="str" cm="1">
        <f t="array" ref="E9">IFERROR(INDEX(TableDiv[Agency],MATCH(0,INDEX(COUNTIF($E$7:E8,TableDiv[Agency]),),0)),"")</f>
        <v>0200</v>
      </c>
      <c r="F9" s="2223" t="str" cm="1">
        <f t="array" ref="F9">IF($D9&lt;COLUMNS($F$7:F$7),"",INDEX(TableDiv[[GASB]:[GASB]],_xlfn.AGGREGATE(15,3,(TableDiv[[Agency]:[Agency]]=$E9)/(TableDiv[[Agency]:[Agency]]=$E9)*(ROW(TableDiv[Agency])-ROW(TableDiv[[#Headers],[Agency]])),COLUMNS($F$7:F$7))))</f>
        <v>11000G</v>
      </c>
      <c r="G9" s="2223" t="str" cm="1">
        <f t="array" ref="G9">IF($D9&lt;COLUMNS($F$7:G$7),"",INDEX(TableDiv[[GASB]:[GASB]],_xlfn.AGGREGATE(15,3,(TableDiv[[Agency]:[Agency]]=$E9)/(TableDiv[[Agency]:[Agency]]=$E9)*(ROW(TableDiv[Agency])-ROW(TableDiv[[#Headers],[Agency]])),COLUMNS($F$7:G$7))))</f>
        <v>11020G</v>
      </c>
      <c r="H9" s="2223" t="str" cm="1">
        <f t="array" ref="H9">IF($D9&lt;COLUMNS($F$7:H$7),"",INDEX(TableDiv[[GASB]:[GASB]],_xlfn.AGGREGATE(15,3,(TableDiv[[Agency]:[Agency]]=$E9)/(TableDiv[[Agency]:[Agency]]=$E9)*(ROW(TableDiv[Agency])-ROW(TableDiv[[#Headers],[Agency]])),COLUMNS($F$7:H$7))))</f>
        <v>11210G</v>
      </c>
      <c r="I9" s="2223" t="str" cm="1">
        <f t="array" ref="I9">IF($D9&lt;COLUMNS($F$7:I$7),"",INDEX(TableDiv[[GASB]:[GASB]],_xlfn.AGGREGATE(15,3,(TableDiv[[Agency]:[Agency]]=$E9)/(TableDiv[[Agency]:[Agency]]=$E9)*(ROW(TableDiv[Agency])-ROW(TableDiv[[#Headers],[Agency]])),COLUMNS($F$7:I$7))))</f>
        <v>12000G</v>
      </c>
      <c r="J9" s="2223" t="str" cm="1">
        <f t="array" ref="J9">IF($D9&lt;COLUMNS($F$7:J$7),"",INDEX(TableDiv[[GASB]:[GASB]],_xlfn.AGGREGATE(15,3,(TableDiv[[Agency]:[Agency]]=$E9)/(TableDiv[[Agency]:[Agency]]=$E9)*(ROW(TableDiv[Agency])-ROW(TableDiv[[#Headers],[Agency]])),COLUMNS($F$7:J$7))))</f>
        <v>13980G</v>
      </c>
      <c r="K9" s="2223" t="str" cm="1">
        <f t="array" ref="K9">IF($D9&lt;COLUMNS($F$7:K$7),"",INDEX(TableDiv[[GASB]:[GASB]],_xlfn.AGGREGATE(15,3,(TableDiv[[Agency]:[Agency]]=$E9)/(TableDiv[[Agency]:[Agency]]=$E9)*(ROW(TableDiv[Agency])-ROW(TableDiv[[#Headers],[Agency]])),COLUMNS($F$7:K$7))))</f>
        <v>14000G</v>
      </c>
      <c r="L9" s="2223" t="str" cm="1">
        <f t="array" ref="L9">IF($D9&lt;COLUMNS($F$7:L$7),"",INDEX(TableDiv[[GASB]:[GASB]],_xlfn.AGGREGATE(15,3,(TableDiv[[Agency]:[Agency]]=$E9)/(TableDiv[[Agency]:[Agency]]=$E9)*(ROW(TableDiv[Agency])-ROW(TableDiv[[#Headers],[Agency]])),COLUMNS($F$7:L$7))))</f>
        <v>35020G</v>
      </c>
      <c r="M9" s="2223" t="str" cm="1">
        <f t="array" ref="M9">IF($D9&lt;COLUMNS($F$7:M$7),"",INDEX(TableDiv[[GASB]:[GASB]],_xlfn.AGGREGATE(15,3,(TableDiv[[Agency]:[Agency]]=$E9)/(TableDiv[[Agency]:[Agency]]=$E9)*(ROW(TableDiv[Agency])-ROW(TableDiv[[#Headers],[Agency]])),COLUMNS($F$7:M$7))))</f>
        <v>39140G</v>
      </c>
      <c r="N9" s="2223" t="str" cm="1">
        <f t="array" ref="N9">IF($D9&lt;COLUMNS($F$7:N$7),"",INDEX(TableDiv[[GASB]:[GASB]],_xlfn.AGGREGATE(15,3,(TableDiv[[Agency]:[Agency]]=$E9)/(TableDiv[[Agency]:[Agency]]=$E9)*(ROW(TableDiv[Agency])-ROW(TableDiv[[#Headers],[Agency]])),COLUMNS($F$7:N$7))))</f>
        <v/>
      </c>
      <c r="O9" s="2223" t="str" cm="1">
        <f t="array" ref="O9">IF($D9&lt;COLUMNS($F$7:O$7),"",INDEX(TableDiv[[GASB]:[GASB]],_xlfn.AGGREGATE(15,3,(TableDiv[[Agency]:[Agency]]=$E9)/(TableDiv[[Agency]:[Agency]]=$E9)*(ROW(TableDiv[Agency])-ROW(TableDiv[[#Headers],[Agency]])),COLUMNS($F$7:O$7))))</f>
        <v/>
      </c>
      <c r="P9" s="2223" t="str" cm="1">
        <f t="array" ref="P9">IF($D9&lt;COLUMNS($F$7:P$7),"",INDEX(TableDiv[[GASB]:[GASB]],_xlfn.AGGREGATE(15,3,(TableDiv[[Agency]:[Agency]]=$E9)/(TableDiv[[Agency]:[Agency]]=$E9)*(ROW(TableDiv[Agency])-ROW(TableDiv[[#Headers],[Agency]])),COLUMNS($F$7:P$7))))</f>
        <v/>
      </c>
      <c r="Q9" s="2223" t="str" cm="1">
        <f t="array" ref="Q9">IF($D9&lt;COLUMNS($F$7:Q$7),"",INDEX(TableDiv[[GASB]:[GASB]],_xlfn.AGGREGATE(15,3,(TableDiv[[Agency]:[Agency]]=$E9)/(TableDiv[[Agency]:[Agency]]=$E9)*(ROW(TableDiv[Agency])-ROW(TableDiv[[#Headers],[Agency]])),COLUMNS($F$7:Q$7))))</f>
        <v/>
      </c>
      <c r="R9" s="2223" t="str" cm="1">
        <f t="array" ref="R9">IF($D9&lt;COLUMNS($F$7:R$7),"",INDEX(TableDiv[[GASB]:[GASB]],_xlfn.AGGREGATE(15,3,(TableDiv[[Agency]:[Agency]]=$E9)/(TableDiv[[Agency]:[Agency]]=$E9)*(ROW(TableDiv[Agency])-ROW(TableDiv[[#Headers],[Agency]])),COLUMNS($F$7:R$7))))</f>
        <v/>
      </c>
      <c r="S9" s="2223" t="str" cm="1">
        <f t="array" ref="S9">IF($D9&lt;COLUMNS($F$7:S$7),"",INDEX(TableDiv[[GASB]:[GASB]],_xlfn.AGGREGATE(15,3,(TableDiv[[Agency]:[Agency]]=$E9)/(TableDiv[[Agency]:[Agency]]=$E9)*(ROW(TableDiv[Agency])-ROW(TableDiv[[#Headers],[Agency]])),COLUMNS($F$7:S$7))))</f>
        <v/>
      </c>
      <c r="T9" s="2223" t="str" cm="1">
        <f t="array" ref="T9">IF($D9&lt;COLUMNS($F$7:T$7),"",INDEX(TableDiv[[GASB]:[GASB]],_xlfn.AGGREGATE(15,3,(TableDiv[[Agency]:[Agency]]=$E9)/(TableDiv[[Agency]:[Agency]]=$E9)*(ROW(TableDiv[Agency])-ROW(TableDiv[[#Headers],[Agency]])),COLUMNS($F$7:T$7))))</f>
        <v/>
      </c>
      <c r="U9" s="2223" t="str" cm="1">
        <f t="array" ref="U9">IF($D9&lt;COLUMNS($F$7:U$7),"",INDEX(TableDiv[[GASB]:[GASB]],_xlfn.AGGREGATE(15,3,(TableDiv[[Agency]:[Agency]]=$E9)/(TableDiv[[Agency]:[Agency]]=$E9)*(ROW(TableDiv[Agency])-ROW(TableDiv[[#Headers],[Agency]])),COLUMNS($F$7:U$7))))</f>
        <v/>
      </c>
      <c r="V9" s="2223" t="str" cm="1">
        <f t="array" ref="V9">IF($D9&lt;COLUMNS($F$7:V$7),"",INDEX(TableDiv[[GASB]:[GASB]],_xlfn.AGGREGATE(15,3,(TableDiv[[Agency]:[Agency]]=$E9)/(TableDiv[[Agency]:[Agency]]=$E9)*(ROW(TableDiv[Agency])-ROW(TableDiv[[#Headers],[Agency]])),COLUMNS($F$7:V$7))))</f>
        <v/>
      </c>
      <c r="W9" s="2223" t="str" cm="1">
        <f t="array" ref="W9">IF($D9&lt;COLUMNS($F$7:W$7),"",INDEX(TableDiv[[GASB]:[GASB]],_xlfn.AGGREGATE(15,3,(TableDiv[[Agency]:[Agency]]=$E9)/(TableDiv[[Agency]:[Agency]]=$E9)*(ROW(TableDiv[Agency])-ROW(TableDiv[[#Headers],[Agency]])),COLUMNS($F$7:W$7))))</f>
        <v/>
      </c>
      <c r="X9" s="2223" t="str" cm="1">
        <f t="array" ref="X9">IF($D9&lt;COLUMNS($F$7:X$7),"",INDEX(TableDiv[[GASB]:[GASB]],_xlfn.AGGREGATE(15,3,(TableDiv[[Agency]:[Agency]]=$E9)/(TableDiv[[Agency]:[Agency]]=$E9)*(ROW(TableDiv[Agency])-ROW(TableDiv[[#Headers],[Agency]])),COLUMNS($F$7:X$7))))</f>
        <v/>
      </c>
      <c r="Y9" s="2223" t="str" cm="1">
        <f t="array" ref="Y9">IF($D9&lt;COLUMNS($F$7:Y$7),"",INDEX(TableDiv[[GASB]:[GASB]],_xlfn.AGGREGATE(15,3,(TableDiv[[Agency]:[Agency]]=$E9)/(TableDiv[[Agency]:[Agency]]=$E9)*(ROW(TableDiv[Agency])-ROW(TableDiv[[#Headers],[Agency]])),COLUMNS($F$7:Y$7))))</f>
        <v/>
      </c>
      <c r="Z9" s="2223" t="str" cm="1">
        <f t="array" ref="Z9">IF($D9&lt;COLUMNS($F$7:Z$7),"",INDEX(TableDiv[[GASB]:[GASB]],_xlfn.AGGREGATE(15,3,(TableDiv[[Agency]:[Agency]]=$E9)/(TableDiv[[Agency]:[Agency]]=$E9)*(ROW(TableDiv[Agency])-ROW(TableDiv[[#Headers],[Agency]])),COLUMNS($F$7:Z$7))))</f>
        <v/>
      </c>
      <c r="AA9" s="2223" t="str" cm="1">
        <f t="array" ref="AA9">IF($D9&lt;COLUMNS($F$7:AA$7),"",INDEX(TableDiv[[GASB]:[GASB]],_xlfn.AGGREGATE(15,3,(TableDiv[[Agency]:[Agency]]=$E9)/(TableDiv[[Agency]:[Agency]]=$E9)*(ROW(TableDiv[Agency])-ROW(TableDiv[[#Headers],[Agency]])),COLUMNS($F$7:AA$7))))</f>
        <v/>
      </c>
      <c r="AB9" s="2223" t="str" cm="1">
        <f t="array" ref="AB9">IF($D9&lt;COLUMNS($F$7:AB$7),"",INDEX(TableDiv[[GASB]:[GASB]],_xlfn.AGGREGATE(15,3,(TableDiv[[Agency]:[Agency]]=$E9)/(TableDiv[[Agency]:[Agency]]=$E9)*(ROW(TableDiv[Agency])-ROW(TableDiv[[#Headers],[Agency]])),COLUMNS($F$7:AB$7))))</f>
        <v/>
      </c>
      <c r="AC9" s="2223" t="str" cm="1">
        <f t="array" ref="AC9">IF($D9&lt;COLUMNS($F$7:AC$7),"",INDEX(TableDiv[[GASB]:[GASB]],_xlfn.AGGREGATE(15,3,(TableDiv[[Agency]:[Agency]]=$E9)/(TableDiv[[Agency]:[Agency]]=$E9)*(ROW(TableDiv[Agency])-ROW(TableDiv[[#Headers],[Agency]])),COLUMNS($F$7:AC$7))))</f>
        <v/>
      </c>
      <c r="AD9" s="2223" t="str" cm="1">
        <f t="array" ref="AD9">IF($D9&lt;COLUMNS($F$7:AD$7),"",INDEX(TableDiv[[GASB]:[GASB]],_xlfn.AGGREGATE(15,3,(TableDiv[[Agency]:[Agency]]=$E9)/(TableDiv[[Agency]:[Agency]]=$E9)*(ROW(TableDiv[Agency])-ROW(TableDiv[[#Headers],[Agency]])),COLUMNS($F$7:AD$7))))</f>
        <v/>
      </c>
      <c r="AE9" s="2223" t="str" cm="1">
        <f t="array" ref="AE9">IF($D9&lt;COLUMNS($F$7:AE$7),"",INDEX(TableDiv[[GASB]:[GASB]],_xlfn.AGGREGATE(15,3,(TableDiv[[Agency]:[Agency]]=$E9)/(TableDiv[[Agency]:[Agency]]=$E9)*(ROW(TableDiv[Agency])-ROW(TableDiv[[#Headers],[Agency]])),COLUMNS($F$7:AE$7))))</f>
        <v/>
      </c>
      <c r="AF9" s="2223" t="str" cm="1">
        <f t="array" ref="AF9">IF($D9&lt;COLUMNS($F$7:AF$7),"",INDEX(TableDiv[[GASB]:[GASB]],_xlfn.AGGREGATE(15,3,(TableDiv[[Agency]:[Agency]]=$E9)/(TableDiv[[Agency]:[Agency]]=$E9)*(ROW(TableDiv[Agency])-ROW(TableDiv[[#Headers],[Agency]])),COLUMNS($F$7:AF$7))))</f>
        <v/>
      </c>
      <c r="AG9" s="2223" t="str" cm="1">
        <f t="array" ref="AG9">IF($D9&lt;COLUMNS($F$7:AG$7),"",INDEX(TableDiv[[GASB]:[GASB]],_xlfn.AGGREGATE(15,3,(TableDiv[[Agency]:[Agency]]=$E9)/(TableDiv[[Agency]:[Agency]]=$E9)*(ROW(TableDiv[Agency])-ROW(TableDiv[[#Headers],[Agency]])),COLUMNS($F$7:AG$7))))</f>
        <v/>
      </c>
      <c r="AH9" s="2223" t="str" cm="1">
        <f t="array" ref="AH9">IF($D9&lt;COLUMNS($F$7:AH$7),"",INDEX(TableDiv[[GASB]:[GASB]],_xlfn.AGGREGATE(15,3,(TableDiv[[Agency]:[Agency]]=$E9)/(TableDiv[[Agency]:[Agency]]=$E9)*(ROW(TableDiv[Agency])-ROW(TableDiv[[#Headers],[Agency]])),COLUMNS($F$7:AH$7))))</f>
        <v/>
      </c>
      <c r="AI9" s="2223" t="str" cm="1">
        <f t="array" ref="AI9">IF($D9&lt;COLUMNS($F$7:AI$7),"",INDEX(TableDiv[[GASB]:[GASB]],_xlfn.AGGREGATE(15,3,(TableDiv[[Agency]:[Agency]]=$E9)/(TableDiv[[Agency]:[Agency]]=$E9)*(ROW(TableDiv[Agency])-ROW(TableDiv[[#Headers],[Agency]])),COLUMNS($F$7:AI$7))))</f>
        <v/>
      </c>
      <c r="AJ9" s="2223" t="str" cm="1">
        <f t="array" ref="AJ9">IF($D9&lt;COLUMNS($F$7:AJ$7),"",INDEX(TableDiv[[GASB]:[GASB]],_xlfn.AGGREGATE(15,3,(TableDiv[[Agency]:[Agency]]=$E9)/(TableDiv[[Agency]:[Agency]]=$E9)*(ROW(TableDiv[Agency])-ROW(TableDiv[[#Headers],[Agency]])),COLUMNS($F$7:AJ$7))))</f>
        <v/>
      </c>
      <c r="AK9" s="2223" t="str" cm="1">
        <f t="array" ref="AK9">IF($D9&lt;COLUMNS($F$7:AK$7),"",INDEX(TableDiv[[GASB]:[GASB]],_xlfn.AGGREGATE(15,3,(TableDiv[[Agency]:[Agency]]=$E9)/(TableDiv[[Agency]:[Agency]]=$E9)*(ROW(TableDiv[Agency])-ROW(TableDiv[[#Headers],[Agency]])),COLUMNS($F$7:AK$7))))</f>
        <v/>
      </c>
      <c r="AL9" s="2223" t="str" cm="1">
        <f t="array" ref="AL9">IF($D9&lt;COLUMNS($F$7:AL$7),"",INDEX(TableDiv[[GASB]:[GASB]],_xlfn.AGGREGATE(15,3,(TableDiv[[Agency]:[Agency]]=$E9)/(TableDiv[[Agency]:[Agency]]=$E9)*(ROW(TableDiv[Agency])-ROW(TableDiv[[#Headers],[Agency]])),COLUMNS($F$7:AL$7))))</f>
        <v/>
      </c>
      <c r="AM9" s="2223" t="str" cm="1">
        <f t="array" ref="AM9">IF($D9&lt;COLUMNS($F$7:AM$7),"",INDEX(TableDiv[[GASB]:[GASB]],_xlfn.AGGREGATE(15,3,(TableDiv[[Agency]:[Agency]]=$E9)/(TableDiv[[Agency]:[Agency]]=$E9)*(ROW(TableDiv[Agency])-ROW(TableDiv[[#Headers],[Agency]])),COLUMNS($F$7:AM$7))))</f>
        <v/>
      </c>
      <c r="AN9" s="2223"/>
      <c r="AO9" s="2223"/>
      <c r="AP9" s="2223"/>
      <c r="AQ9" s="2223"/>
      <c r="AR9" s="2223"/>
      <c r="AS9" s="2223"/>
    </row>
    <row r="10" spans="1:45" ht="15" x14ac:dyDescent="0.25">
      <c r="A10" s="2219" t="s">
        <v>5097</v>
      </c>
      <c r="B10" s="2219" t="s">
        <v>6361</v>
      </c>
      <c r="C10" s="2223"/>
      <c r="D10" s="2223">
        <f>COUNTIF(TableDiv[Agency],E10)</f>
        <v>10</v>
      </c>
      <c r="E10" s="2230" t="str" cm="1">
        <f t="array" ref="E10">IFERROR(INDEX(TableDiv[Agency],MATCH(0,INDEX(COUNTIF($E$7:E9,TableDiv[Agency]),),0)),"")</f>
        <v>0300</v>
      </c>
      <c r="F10" s="2223" t="str" cm="1">
        <f t="array" ref="F10">IF($D10&lt;COLUMNS($F$7:F$7),"",INDEX(TableDiv[[GASB]:[GASB]],_xlfn.AGGREGATE(15,3,(TableDiv[[Agency]:[Agency]]=$E10)/(TableDiv[[Agency]:[Agency]]=$E10)*(ROW(TableDiv[Agency])-ROW(TableDiv[[#Headers],[Agency]])),COLUMNS($F$7:F$7))))</f>
        <v>11000G</v>
      </c>
      <c r="G10" s="2223" t="str" cm="1">
        <f t="array" ref="G10">IF($D10&lt;COLUMNS($F$7:G$7),"",INDEX(TableDiv[[GASB]:[GASB]],_xlfn.AGGREGATE(15,3,(TableDiv[[Agency]:[Agency]]=$E10)/(TableDiv[[Agency]:[Agency]]=$E10)*(ROW(TableDiv[Agency])-ROW(TableDiv[[#Headers],[Agency]])),COLUMNS($F$7:G$7))))</f>
        <v>11020G</v>
      </c>
      <c r="H10" s="2223" t="str" cm="1">
        <f t="array" ref="H10">IF($D10&lt;COLUMNS($F$7:H$7),"",INDEX(TableDiv[[GASB]:[GASB]],_xlfn.AGGREGATE(15,3,(TableDiv[[Agency]:[Agency]]=$E10)/(TableDiv[[Agency]:[Agency]]=$E10)*(ROW(TableDiv[Agency])-ROW(TableDiv[[#Headers],[Agency]])),COLUMNS($F$7:H$7))))</f>
        <v>11030G</v>
      </c>
      <c r="I10" s="2223" t="str" cm="1">
        <f t="array" ref="I10">IF($D10&lt;COLUMNS($F$7:I$7),"",INDEX(TableDiv[[GASB]:[GASB]],_xlfn.AGGREGATE(15,3,(TableDiv[[Agency]:[Agency]]=$E10)/(TableDiv[[Agency]:[Agency]]=$E10)*(ROW(TableDiv[Agency])-ROW(TableDiv[[#Headers],[Agency]])),COLUMNS($F$7:I$7))))</f>
        <v>11140G</v>
      </c>
      <c r="J10" s="2223" t="str" cm="1">
        <f t="array" ref="J10">IF($D10&lt;COLUMNS($F$7:J$7),"",INDEX(TableDiv[[GASB]:[GASB]],_xlfn.AGGREGATE(15,3,(TableDiv[[Agency]:[Agency]]=$E10)/(TableDiv[[Agency]:[Agency]]=$E10)*(ROW(TableDiv[Agency])-ROW(TableDiv[[#Headers],[Agency]])),COLUMNS($F$7:J$7))))</f>
        <v>11220G</v>
      </c>
      <c r="K10" s="2223" t="str" cm="1">
        <f t="array" ref="K10">IF($D10&lt;COLUMNS($F$7:K$7),"",INDEX(TableDiv[[GASB]:[GASB]],_xlfn.AGGREGATE(15,3,(TableDiv[[Agency]:[Agency]]=$E10)/(TableDiv[[Agency]:[Agency]]=$E10)*(ROW(TableDiv[Agency])-ROW(TableDiv[[#Headers],[Agency]])),COLUMNS($F$7:K$7))))</f>
        <v>12000G</v>
      </c>
      <c r="L10" s="2223" t="str" cm="1">
        <f t="array" ref="L10">IF($D10&lt;COLUMNS($F$7:L$7),"",INDEX(TableDiv[[GASB]:[GASB]],_xlfn.AGGREGATE(15,3,(TableDiv[[Agency]:[Agency]]=$E10)/(TableDiv[[Agency]:[Agency]]=$E10)*(ROW(TableDiv[Agency])-ROW(TableDiv[[#Headers],[Agency]])),COLUMNS($F$7:L$7))))</f>
        <v>14240G</v>
      </c>
      <c r="M10" s="2223" t="str" cm="1">
        <f t="array" ref="M10">IF($D10&lt;COLUMNS($F$7:M$7),"",INDEX(TableDiv[[GASB]:[GASB]],_xlfn.AGGREGATE(15,3,(TableDiv[[Agency]:[Agency]]=$E10)/(TableDiv[[Agency]:[Agency]]=$E10)*(ROW(TableDiv[Agency])-ROW(TableDiv[[#Headers],[Agency]])),COLUMNS($F$7:M$7))))</f>
        <v>14290G</v>
      </c>
      <c r="N10" s="2223" t="str" cm="1">
        <f t="array" ref="N10">IF($D10&lt;COLUMNS($F$7:N$7),"",INDEX(TableDiv[[GASB]:[GASB]],_xlfn.AGGREGATE(15,3,(TableDiv[[Agency]:[Agency]]=$E10)/(TableDiv[[Agency]:[Agency]]=$E10)*(ROW(TableDiv[Agency])-ROW(TableDiv[[#Headers],[Agency]])),COLUMNS($F$7:N$7))))</f>
        <v>14300G</v>
      </c>
      <c r="O10" s="2223" t="str" cm="1">
        <f t="array" ref="O10">IF($D10&lt;COLUMNS($F$7:O$7),"",INDEX(TableDiv[[GASB]:[GASB]],_xlfn.AGGREGATE(15,3,(TableDiv[[Agency]:[Agency]]=$E10)/(TableDiv[[Agency]:[Agency]]=$E10)*(ROW(TableDiv[Agency])-ROW(TableDiv[[#Headers],[Agency]])),COLUMNS($F$7:O$7))))</f>
        <v>39230G</v>
      </c>
      <c r="P10" s="2223" t="str" cm="1">
        <f t="array" ref="P10">IF($D10&lt;COLUMNS($F$7:P$7),"",INDEX(TableDiv[[GASB]:[GASB]],_xlfn.AGGREGATE(15,3,(TableDiv[[Agency]:[Agency]]=$E10)/(TableDiv[[Agency]:[Agency]]=$E10)*(ROW(TableDiv[Agency])-ROW(TableDiv[[#Headers],[Agency]])),COLUMNS($F$7:P$7))))</f>
        <v/>
      </c>
      <c r="Q10" s="2223" t="str" cm="1">
        <f t="array" ref="Q10">IF($D10&lt;COLUMNS($F$7:Q$7),"",INDEX(TableDiv[[GASB]:[GASB]],_xlfn.AGGREGATE(15,3,(TableDiv[[Agency]:[Agency]]=$E10)/(TableDiv[[Agency]:[Agency]]=$E10)*(ROW(TableDiv[Agency])-ROW(TableDiv[[#Headers],[Agency]])),COLUMNS($F$7:Q$7))))</f>
        <v/>
      </c>
      <c r="R10" s="2223" t="str" cm="1">
        <f t="array" ref="R10">IF($D10&lt;COLUMNS($F$7:R$7),"",INDEX(TableDiv[[GASB]:[GASB]],_xlfn.AGGREGATE(15,3,(TableDiv[[Agency]:[Agency]]=$E10)/(TableDiv[[Agency]:[Agency]]=$E10)*(ROW(TableDiv[Agency])-ROW(TableDiv[[#Headers],[Agency]])),COLUMNS($F$7:R$7))))</f>
        <v/>
      </c>
      <c r="S10" s="2223" t="str" cm="1">
        <f t="array" ref="S10">IF($D10&lt;COLUMNS($F$7:S$7),"",INDEX(TableDiv[[GASB]:[GASB]],_xlfn.AGGREGATE(15,3,(TableDiv[[Agency]:[Agency]]=$E10)/(TableDiv[[Agency]:[Agency]]=$E10)*(ROW(TableDiv[Agency])-ROW(TableDiv[[#Headers],[Agency]])),COLUMNS($F$7:S$7))))</f>
        <v/>
      </c>
      <c r="T10" s="2223" t="str" cm="1">
        <f t="array" ref="T10">IF($D10&lt;COLUMNS($F$7:T$7),"",INDEX(TableDiv[[GASB]:[GASB]],_xlfn.AGGREGATE(15,3,(TableDiv[[Agency]:[Agency]]=$E10)/(TableDiv[[Agency]:[Agency]]=$E10)*(ROW(TableDiv[Agency])-ROW(TableDiv[[#Headers],[Agency]])),COLUMNS($F$7:T$7))))</f>
        <v/>
      </c>
      <c r="U10" s="2223" t="str" cm="1">
        <f t="array" ref="U10">IF($D10&lt;COLUMNS($F$7:U$7),"",INDEX(TableDiv[[GASB]:[GASB]],_xlfn.AGGREGATE(15,3,(TableDiv[[Agency]:[Agency]]=$E10)/(TableDiv[[Agency]:[Agency]]=$E10)*(ROW(TableDiv[Agency])-ROW(TableDiv[[#Headers],[Agency]])),COLUMNS($F$7:U$7))))</f>
        <v/>
      </c>
      <c r="V10" s="2223" t="str" cm="1">
        <f t="array" ref="V10">IF($D10&lt;COLUMNS($F$7:V$7),"",INDEX(TableDiv[[GASB]:[GASB]],_xlfn.AGGREGATE(15,3,(TableDiv[[Agency]:[Agency]]=$E10)/(TableDiv[[Agency]:[Agency]]=$E10)*(ROW(TableDiv[Agency])-ROW(TableDiv[[#Headers],[Agency]])),COLUMNS($F$7:V$7))))</f>
        <v/>
      </c>
      <c r="W10" s="2223" t="str" cm="1">
        <f t="array" ref="W10">IF($D10&lt;COLUMNS($F$7:W$7),"",INDEX(TableDiv[[GASB]:[GASB]],_xlfn.AGGREGATE(15,3,(TableDiv[[Agency]:[Agency]]=$E10)/(TableDiv[[Agency]:[Agency]]=$E10)*(ROW(TableDiv[Agency])-ROW(TableDiv[[#Headers],[Agency]])),COLUMNS($F$7:W$7))))</f>
        <v/>
      </c>
      <c r="X10" s="2223" t="str" cm="1">
        <f t="array" ref="X10">IF($D10&lt;COLUMNS($F$7:X$7),"",INDEX(TableDiv[[GASB]:[GASB]],_xlfn.AGGREGATE(15,3,(TableDiv[[Agency]:[Agency]]=$E10)/(TableDiv[[Agency]:[Agency]]=$E10)*(ROW(TableDiv[Agency])-ROW(TableDiv[[#Headers],[Agency]])),COLUMNS($F$7:X$7))))</f>
        <v/>
      </c>
      <c r="Y10" s="2223" t="str" cm="1">
        <f t="array" ref="Y10">IF($D10&lt;COLUMNS($F$7:Y$7),"",INDEX(TableDiv[[GASB]:[GASB]],_xlfn.AGGREGATE(15,3,(TableDiv[[Agency]:[Agency]]=$E10)/(TableDiv[[Agency]:[Agency]]=$E10)*(ROW(TableDiv[Agency])-ROW(TableDiv[[#Headers],[Agency]])),COLUMNS($F$7:Y$7))))</f>
        <v/>
      </c>
      <c r="Z10" s="2223" t="str" cm="1">
        <f t="array" ref="Z10">IF($D10&lt;COLUMNS($F$7:Z$7),"",INDEX(TableDiv[[GASB]:[GASB]],_xlfn.AGGREGATE(15,3,(TableDiv[[Agency]:[Agency]]=$E10)/(TableDiv[[Agency]:[Agency]]=$E10)*(ROW(TableDiv[Agency])-ROW(TableDiv[[#Headers],[Agency]])),COLUMNS($F$7:Z$7))))</f>
        <v/>
      </c>
      <c r="AA10" s="2223" t="str" cm="1">
        <f t="array" ref="AA10">IF($D10&lt;COLUMNS($F$7:AA$7),"",INDEX(TableDiv[[GASB]:[GASB]],_xlfn.AGGREGATE(15,3,(TableDiv[[Agency]:[Agency]]=$E10)/(TableDiv[[Agency]:[Agency]]=$E10)*(ROW(TableDiv[Agency])-ROW(TableDiv[[#Headers],[Agency]])),COLUMNS($F$7:AA$7))))</f>
        <v/>
      </c>
      <c r="AB10" s="2223" t="str" cm="1">
        <f t="array" ref="AB10">IF($D10&lt;COLUMNS($F$7:AB$7),"",INDEX(TableDiv[[GASB]:[GASB]],_xlfn.AGGREGATE(15,3,(TableDiv[[Agency]:[Agency]]=$E10)/(TableDiv[[Agency]:[Agency]]=$E10)*(ROW(TableDiv[Agency])-ROW(TableDiv[[#Headers],[Agency]])),COLUMNS($F$7:AB$7))))</f>
        <v/>
      </c>
      <c r="AC10" s="2223" t="str" cm="1">
        <f t="array" ref="AC10">IF($D10&lt;COLUMNS($F$7:AC$7),"",INDEX(TableDiv[[GASB]:[GASB]],_xlfn.AGGREGATE(15,3,(TableDiv[[Agency]:[Agency]]=$E10)/(TableDiv[[Agency]:[Agency]]=$E10)*(ROW(TableDiv[Agency])-ROW(TableDiv[[#Headers],[Agency]])),COLUMNS($F$7:AC$7))))</f>
        <v/>
      </c>
      <c r="AD10" s="2223" t="str" cm="1">
        <f t="array" ref="AD10">IF($D10&lt;COLUMNS($F$7:AD$7),"",INDEX(TableDiv[[GASB]:[GASB]],_xlfn.AGGREGATE(15,3,(TableDiv[[Agency]:[Agency]]=$E10)/(TableDiv[[Agency]:[Agency]]=$E10)*(ROW(TableDiv[Agency])-ROW(TableDiv[[#Headers],[Agency]])),COLUMNS($F$7:AD$7))))</f>
        <v/>
      </c>
      <c r="AE10" s="2223" t="str" cm="1">
        <f t="array" ref="AE10">IF($D10&lt;COLUMNS($F$7:AE$7),"",INDEX(TableDiv[[GASB]:[GASB]],_xlfn.AGGREGATE(15,3,(TableDiv[[Agency]:[Agency]]=$E10)/(TableDiv[[Agency]:[Agency]]=$E10)*(ROW(TableDiv[Agency])-ROW(TableDiv[[#Headers],[Agency]])),COLUMNS($F$7:AE$7))))</f>
        <v/>
      </c>
      <c r="AF10" s="2223" t="str" cm="1">
        <f t="array" ref="AF10">IF($D10&lt;COLUMNS($F$7:AF$7),"",INDEX(TableDiv[[GASB]:[GASB]],_xlfn.AGGREGATE(15,3,(TableDiv[[Agency]:[Agency]]=$E10)/(TableDiv[[Agency]:[Agency]]=$E10)*(ROW(TableDiv[Agency])-ROW(TableDiv[[#Headers],[Agency]])),COLUMNS($F$7:AF$7))))</f>
        <v/>
      </c>
      <c r="AG10" s="2223" t="str" cm="1">
        <f t="array" ref="AG10">IF($D10&lt;COLUMNS($F$7:AG$7),"",INDEX(TableDiv[[GASB]:[GASB]],_xlfn.AGGREGATE(15,3,(TableDiv[[Agency]:[Agency]]=$E10)/(TableDiv[[Agency]:[Agency]]=$E10)*(ROW(TableDiv[Agency])-ROW(TableDiv[[#Headers],[Agency]])),COLUMNS($F$7:AG$7))))</f>
        <v/>
      </c>
      <c r="AH10" s="2223" t="str" cm="1">
        <f t="array" ref="AH10">IF($D10&lt;COLUMNS($F$7:AH$7),"",INDEX(TableDiv[[GASB]:[GASB]],_xlfn.AGGREGATE(15,3,(TableDiv[[Agency]:[Agency]]=$E10)/(TableDiv[[Agency]:[Agency]]=$E10)*(ROW(TableDiv[Agency])-ROW(TableDiv[[#Headers],[Agency]])),COLUMNS($F$7:AH$7))))</f>
        <v/>
      </c>
      <c r="AI10" s="2223" t="str" cm="1">
        <f t="array" ref="AI10">IF($D10&lt;COLUMNS($F$7:AI$7),"",INDEX(TableDiv[[GASB]:[GASB]],_xlfn.AGGREGATE(15,3,(TableDiv[[Agency]:[Agency]]=$E10)/(TableDiv[[Agency]:[Agency]]=$E10)*(ROW(TableDiv[Agency])-ROW(TableDiv[[#Headers],[Agency]])),COLUMNS($F$7:AI$7))))</f>
        <v/>
      </c>
      <c r="AJ10" s="2223" t="str" cm="1">
        <f t="array" ref="AJ10">IF($D10&lt;COLUMNS($F$7:AJ$7),"",INDEX(TableDiv[[GASB]:[GASB]],_xlfn.AGGREGATE(15,3,(TableDiv[[Agency]:[Agency]]=$E10)/(TableDiv[[Agency]:[Agency]]=$E10)*(ROW(TableDiv[Agency])-ROW(TableDiv[[#Headers],[Agency]])),COLUMNS($F$7:AJ$7))))</f>
        <v/>
      </c>
      <c r="AK10" s="2223" t="str" cm="1">
        <f t="array" ref="AK10">IF($D10&lt;COLUMNS($F$7:AK$7),"",INDEX(TableDiv[[GASB]:[GASB]],_xlfn.AGGREGATE(15,3,(TableDiv[[Agency]:[Agency]]=$E10)/(TableDiv[[Agency]:[Agency]]=$E10)*(ROW(TableDiv[Agency])-ROW(TableDiv[[#Headers],[Agency]])),COLUMNS($F$7:AK$7))))</f>
        <v/>
      </c>
      <c r="AL10" s="2223" t="str" cm="1">
        <f t="array" ref="AL10">IF($D10&lt;COLUMNS($F$7:AL$7),"",INDEX(TableDiv[[GASB]:[GASB]],_xlfn.AGGREGATE(15,3,(TableDiv[[Agency]:[Agency]]=$E10)/(TableDiv[[Agency]:[Agency]]=$E10)*(ROW(TableDiv[Agency])-ROW(TableDiv[[#Headers],[Agency]])),COLUMNS($F$7:AL$7))))</f>
        <v/>
      </c>
      <c r="AM10" s="2223" t="str" cm="1">
        <f t="array" ref="AM10">IF($D10&lt;COLUMNS($F$7:AM$7),"",INDEX(TableDiv[[GASB]:[GASB]],_xlfn.AGGREGATE(15,3,(TableDiv[[Agency]:[Agency]]=$E10)/(TableDiv[[Agency]:[Agency]]=$E10)*(ROW(TableDiv[Agency])-ROW(TableDiv[[#Headers],[Agency]])),COLUMNS($F$7:AM$7))))</f>
        <v/>
      </c>
      <c r="AN10" s="2223"/>
      <c r="AO10" s="2223"/>
      <c r="AP10" s="2223"/>
      <c r="AQ10" s="2223"/>
      <c r="AR10" s="2223"/>
      <c r="AS10" s="2223"/>
    </row>
    <row r="11" spans="1:45" ht="15" x14ac:dyDescent="0.25">
      <c r="A11" s="2219" t="s">
        <v>5097</v>
      </c>
      <c r="B11" s="2219" t="s">
        <v>6362</v>
      </c>
      <c r="C11" s="2223"/>
      <c r="D11" s="2223">
        <f>COUNTIF(TableDiv[Agency],E11)</f>
        <v>1</v>
      </c>
      <c r="E11" s="2230" t="str" cm="1">
        <f t="array" ref="E11">IFERROR(INDEX(TableDiv[Agency],MATCH(0,INDEX(COUNTIF($E$7:E10,TableDiv[Agency]),),0)),"")</f>
        <v>0400</v>
      </c>
      <c r="F11" s="2223" t="str" cm="1">
        <f t="array" ref="F11">IF($D11&lt;COLUMNS($F$7:F$7),"",INDEX(TableDiv[[GASB]:[GASB]],_xlfn.AGGREGATE(15,3,(TableDiv[[Agency]:[Agency]]=$E11)/(TableDiv[[Agency]:[Agency]]=$E11)*(ROW(TableDiv[Agency])-ROW(TableDiv[[#Headers],[Agency]])),COLUMNS($F$7:F$7))))</f>
        <v>11000G</v>
      </c>
      <c r="G11" s="2223" t="str" cm="1">
        <f t="array" ref="G11">IF($D11&lt;COLUMNS($F$7:G$7),"",INDEX(TableDiv[[GASB]:[GASB]],_xlfn.AGGREGATE(15,3,(TableDiv[[Agency]:[Agency]]=$E11)/(TableDiv[[Agency]:[Agency]]=$E11)*(ROW(TableDiv[Agency])-ROW(TableDiv[[#Headers],[Agency]])),COLUMNS($F$7:G$7))))</f>
        <v/>
      </c>
      <c r="H11" s="2223" t="str" cm="1">
        <f t="array" ref="H11">IF($D11&lt;COLUMNS($F$7:H$7),"",INDEX(TableDiv[[GASB]:[GASB]],_xlfn.AGGREGATE(15,3,(TableDiv[[Agency]:[Agency]]=$E11)/(TableDiv[[Agency]:[Agency]]=$E11)*(ROW(TableDiv[Agency])-ROW(TableDiv[[#Headers],[Agency]])),COLUMNS($F$7:H$7))))</f>
        <v/>
      </c>
      <c r="I11" s="2223" t="str" cm="1">
        <f t="array" ref="I11">IF($D11&lt;COLUMNS($F$7:I$7),"",INDEX(TableDiv[[GASB]:[GASB]],_xlfn.AGGREGATE(15,3,(TableDiv[[Agency]:[Agency]]=$E11)/(TableDiv[[Agency]:[Agency]]=$E11)*(ROW(TableDiv[Agency])-ROW(TableDiv[[#Headers],[Agency]])),COLUMNS($F$7:I$7))))</f>
        <v/>
      </c>
      <c r="J11" s="2223" t="str" cm="1">
        <f t="array" ref="J11">IF($D11&lt;COLUMNS($F$7:J$7),"",INDEX(TableDiv[[GASB]:[GASB]],_xlfn.AGGREGATE(15,3,(TableDiv[[Agency]:[Agency]]=$E11)/(TableDiv[[Agency]:[Agency]]=$E11)*(ROW(TableDiv[Agency])-ROW(TableDiv[[#Headers],[Agency]])),COLUMNS($F$7:J$7))))</f>
        <v/>
      </c>
      <c r="K11" s="2223" t="str" cm="1">
        <f t="array" ref="K11">IF($D11&lt;COLUMNS($F$7:K$7),"",INDEX(TableDiv[[GASB]:[GASB]],_xlfn.AGGREGATE(15,3,(TableDiv[[Agency]:[Agency]]=$E11)/(TableDiv[[Agency]:[Agency]]=$E11)*(ROW(TableDiv[Agency])-ROW(TableDiv[[#Headers],[Agency]])),COLUMNS($F$7:K$7))))</f>
        <v/>
      </c>
      <c r="L11" s="2223" t="str" cm="1">
        <f t="array" ref="L11">IF($D11&lt;COLUMNS($F$7:L$7),"",INDEX(TableDiv[[GASB]:[GASB]],_xlfn.AGGREGATE(15,3,(TableDiv[[Agency]:[Agency]]=$E11)/(TableDiv[[Agency]:[Agency]]=$E11)*(ROW(TableDiv[Agency])-ROW(TableDiv[[#Headers],[Agency]])),COLUMNS($F$7:L$7))))</f>
        <v/>
      </c>
      <c r="M11" s="2223" t="str" cm="1">
        <f t="array" ref="M11">IF($D11&lt;COLUMNS($F$7:M$7),"",INDEX(TableDiv[[GASB]:[GASB]],_xlfn.AGGREGATE(15,3,(TableDiv[[Agency]:[Agency]]=$E11)/(TableDiv[[Agency]:[Agency]]=$E11)*(ROW(TableDiv[Agency])-ROW(TableDiv[[#Headers],[Agency]])),COLUMNS($F$7:M$7))))</f>
        <v/>
      </c>
      <c r="N11" s="2223" t="str" cm="1">
        <f t="array" ref="N11">IF($D11&lt;COLUMNS($F$7:N$7),"",INDEX(TableDiv[[GASB]:[GASB]],_xlfn.AGGREGATE(15,3,(TableDiv[[Agency]:[Agency]]=$E11)/(TableDiv[[Agency]:[Agency]]=$E11)*(ROW(TableDiv[Agency])-ROW(TableDiv[[#Headers],[Agency]])),COLUMNS($F$7:N$7))))</f>
        <v/>
      </c>
      <c r="O11" s="2223" t="str" cm="1">
        <f t="array" ref="O11">IF($D11&lt;COLUMNS($F$7:O$7),"",INDEX(TableDiv[[GASB]:[GASB]],_xlfn.AGGREGATE(15,3,(TableDiv[[Agency]:[Agency]]=$E11)/(TableDiv[[Agency]:[Agency]]=$E11)*(ROW(TableDiv[Agency])-ROW(TableDiv[[#Headers],[Agency]])),COLUMNS($F$7:O$7))))</f>
        <v/>
      </c>
      <c r="P11" s="2223" t="str" cm="1">
        <f t="array" ref="P11">IF($D11&lt;COLUMNS($F$7:P$7),"",INDEX(TableDiv[[GASB]:[GASB]],_xlfn.AGGREGATE(15,3,(TableDiv[[Agency]:[Agency]]=$E11)/(TableDiv[[Agency]:[Agency]]=$E11)*(ROW(TableDiv[Agency])-ROW(TableDiv[[#Headers],[Agency]])),COLUMNS($F$7:P$7))))</f>
        <v/>
      </c>
      <c r="Q11" s="2223" t="str" cm="1">
        <f t="array" ref="Q11">IF($D11&lt;COLUMNS($F$7:Q$7),"",INDEX(TableDiv[[GASB]:[GASB]],_xlfn.AGGREGATE(15,3,(TableDiv[[Agency]:[Agency]]=$E11)/(TableDiv[[Agency]:[Agency]]=$E11)*(ROW(TableDiv[Agency])-ROW(TableDiv[[#Headers],[Agency]])),COLUMNS($F$7:Q$7))))</f>
        <v/>
      </c>
      <c r="R11" s="2223" t="str" cm="1">
        <f t="array" ref="R11">IF($D11&lt;COLUMNS($F$7:R$7),"",INDEX(TableDiv[[GASB]:[GASB]],_xlfn.AGGREGATE(15,3,(TableDiv[[Agency]:[Agency]]=$E11)/(TableDiv[[Agency]:[Agency]]=$E11)*(ROW(TableDiv[Agency])-ROW(TableDiv[[#Headers],[Agency]])),COLUMNS($F$7:R$7))))</f>
        <v/>
      </c>
      <c r="S11" s="2223" t="str" cm="1">
        <f t="array" ref="S11">IF($D11&lt;COLUMNS($F$7:S$7),"",INDEX(TableDiv[[GASB]:[GASB]],_xlfn.AGGREGATE(15,3,(TableDiv[[Agency]:[Agency]]=$E11)/(TableDiv[[Agency]:[Agency]]=$E11)*(ROW(TableDiv[Agency])-ROW(TableDiv[[#Headers],[Agency]])),COLUMNS($F$7:S$7))))</f>
        <v/>
      </c>
      <c r="T11" s="2223" t="str" cm="1">
        <f t="array" ref="T11">IF($D11&lt;COLUMNS($F$7:T$7),"",INDEX(TableDiv[[GASB]:[GASB]],_xlfn.AGGREGATE(15,3,(TableDiv[[Agency]:[Agency]]=$E11)/(TableDiv[[Agency]:[Agency]]=$E11)*(ROW(TableDiv[Agency])-ROW(TableDiv[[#Headers],[Agency]])),COLUMNS($F$7:T$7))))</f>
        <v/>
      </c>
      <c r="U11" s="2223" t="str" cm="1">
        <f t="array" ref="U11">IF($D11&lt;COLUMNS($F$7:U$7),"",INDEX(TableDiv[[GASB]:[GASB]],_xlfn.AGGREGATE(15,3,(TableDiv[[Agency]:[Agency]]=$E11)/(TableDiv[[Agency]:[Agency]]=$E11)*(ROW(TableDiv[Agency])-ROW(TableDiv[[#Headers],[Agency]])),COLUMNS($F$7:U$7))))</f>
        <v/>
      </c>
      <c r="V11" s="2223" t="str" cm="1">
        <f t="array" ref="V11">IF($D11&lt;COLUMNS($F$7:V$7),"",INDEX(TableDiv[[GASB]:[GASB]],_xlfn.AGGREGATE(15,3,(TableDiv[[Agency]:[Agency]]=$E11)/(TableDiv[[Agency]:[Agency]]=$E11)*(ROW(TableDiv[Agency])-ROW(TableDiv[[#Headers],[Agency]])),COLUMNS($F$7:V$7))))</f>
        <v/>
      </c>
      <c r="W11" s="2223" t="str" cm="1">
        <f t="array" ref="W11">IF($D11&lt;COLUMNS($F$7:W$7),"",INDEX(TableDiv[[GASB]:[GASB]],_xlfn.AGGREGATE(15,3,(TableDiv[[Agency]:[Agency]]=$E11)/(TableDiv[[Agency]:[Agency]]=$E11)*(ROW(TableDiv[Agency])-ROW(TableDiv[[#Headers],[Agency]])),COLUMNS($F$7:W$7))))</f>
        <v/>
      </c>
      <c r="X11" s="2223" t="str" cm="1">
        <f t="array" ref="X11">IF($D11&lt;COLUMNS($F$7:X$7),"",INDEX(TableDiv[[GASB]:[GASB]],_xlfn.AGGREGATE(15,3,(TableDiv[[Agency]:[Agency]]=$E11)/(TableDiv[[Agency]:[Agency]]=$E11)*(ROW(TableDiv[Agency])-ROW(TableDiv[[#Headers],[Agency]])),COLUMNS($F$7:X$7))))</f>
        <v/>
      </c>
      <c r="Y11" s="2223" t="str" cm="1">
        <f t="array" ref="Y11">IF($D11&lt;COLUMNS($F$7:Y$7),"",INDEX(TableDiv[[GASB]:[GASB]],_xlfn.AGGREGATE(15,3,(TableDiv[[Agency]:[Agency]]=$E11)/(TableDiv[[Agency]:[Agency]]=$E11)*(ROW(TableDiv[Agency])-ROW(TableDiv[[#Headers],[Agency]])),COLUMNS($F$7:Y$7))))</f>
        <v/>
      </c>
      <c r="Z11" s="2223" t="str" cm="1">
        <f t="array" ref="Z11">IF($D11&lt;COLUMNS($F$7:Z$7),"",INDEX(TableDiv[[GASB]:[GASB]],_xlfn.AGGREGATE(15,3,(TableDiv[[Agency]:[Agency]]=$E11)/(TableDiv[[Agency]:[Agency]]=$E11)*(ROW(TableDiv[Agency])-ROW(TableDiv[[#Headers],[Agency]])),COLUMNS($F$7:Z$7))))</f>
        <v/>
      </c>
      <c r="AA11" s="2223" t="str" cm="1">
        <f t="array" ref="AA11">IF($D11&lt;COLUMNS($F$7:AA$7),"",INDEX(TableDiv[[GASB]:[GASB]],_xlfn.AGGREGATE(15,3,(TableDiv[[Agency]:[Agency]]=$E11)/(TableDiv[[Agency]:[Agency]]=$E11)*(ROW(TableDiv[Agency])-ROW(TableDiv[[#Headers],[Agency]])),COLUMNS($F$7:AA$7))))</f>
        <v/>
      </c>
      <c r="AB11" s="2223" t="str" cm="1">
        <f t="array" ref="AB11">IF($D11&lt;COLUMNS($F$7:AB$7),"",INDEX(TableDiv[[GASB]:[GASB]],_xlfn.AGGREGATE(15,3,(TableDiv[[Agency]:[Agency]]=$E11)/(TableDiv[[Agency]:[Agency]]=$E11)*(ROW(TableDiv[Agency])-ROW(TableDiv[[#Headers],[Agency]])),COLUMNS($F$7:AB$7))))</f>
        <v/>
      </c>
      <c r="AC11" s="2223" t="str" cm="1">
        <f t="array" ref="AC11">IF($D11&lt;COLUMNS($F$7:AC$7),"",INDEX(TableDiv[[GASB]:[GASB]],_xlfn.AGGREGATE(15,3,(TableDiv[[Agency]:[Agency]]=$E11)/(TableDiv[[Agency]:[Agency]]=$E11)*(ROW(TableDiv[Agency])-ROW(TableDiv[[#Headers],[Agency]])),COLUMNS($F$7:AC$7))))</f>
        <v/>
      </c>
      <c r="AD11" s="2223" t="str" cm="1">
        <f t="array" ref="AD11">IF($D11&lt;COLUMNS($F$7:AD$7),"",INDEX(TableDiv[[GASB]:[GASB]],_xlfn.AGGREGATE(15,3,(TableDiv[[Agency]:[Agency]]=$E11)/(TableDiv[[Agency]:[Agency]]=$E11)*(ROW(TableDiv[Agency])-ROW(TableDiv[[#Headers],[Agency]])),COLUMNS($F$7:AD$7))))</f>
        <v/>
      </c>
      <c r="AE11" s="2223" t="str" cm="1">
        <f t="array" ref="AE11">IF($D11&lt;COLUMNS($F$7:AE$7),"",INDEX(TableDiv[[GASB]:[GASB]],_xlfn.AGGREGATE(15,3,(TableDiv[[Agency]:[Agency]]=$E11)/(TableDiv[[Agency]:[Agency]]=$E11)*(ROW(TableDiv[Agency])-ROW(TableDiv[[#Headers],[Agency]])),COLUMNS($F$7:AE$7))))</f>
        <v/>
      </c>
      <c r="AF11" s="2223" t="str" cm="1">
        <f t="array" ref="AF11">IF($D11&lt;COLUMNS($F$7:AF$7),"",INDEX(TableDiv[[GASB]:[GASB]],_xlfn.AGGREGATE(15,3,(TableDiv[[Agency]:[Agency]]=$E11)/(TableDiv[[Agency]:[Agency]]=$E11)*(ROW(TableDiv[Agency])-ROW(TableDiv[[#Headers],[Agency]])),COLUMNS($F$7:AF$7))))</f>
        <v/>
      </c>
      <c r="AG11" s="2223" t="str" cm="1">
        <f t="array" ref="AG11">IF($D11&lt;COLUMNS($F$7:AG$7),"",INDEX(TableDiv[[GASB]:[GASB]],_xlfn.AGGREGATE(15,3,(TableDiv[[Agency]:[Agency]]=$E11)/(TableDiv[[Agency]:[Agency]]=$E11)*(ROW(TableDiv[Agency])-ROW(TableDiv[[#Headers],[Agency]])),COLUMNS($F$7:AG$7))))</f>
        <v/>
      </c>
      <c r="AH11" s="2223" t="str" cm="1">
        <f t="array" ref="AH11">IF($D11&lt;COLUMNS($F$7:AH$7),"",INDEX(TableDiv[[GASB]:[GASB]],_xlfn.AGGREGATE(15,3,(TableDiv[[Agency]:[Agency]]=$E11)/(TableDiv[[Agency]:[Agency]]=$E11)*(ROW(TableDiv[Agency])-ROW(TableDiv[[#Headers],[Agency]])),COLUMNS($F$7:AH$7))))</f>
        <v/>
      </c>
      <c r="AI11" s="2223" t="str" cm="1">
        <f t="array" ref="AI11">IF($D11&lt;COLUMNS($F$7:AI$7),"",INDEX(TableDiv[[GASB]:[GASB]],_xlfn.AGGREGATE(15,3,(TableDiv[[Agency]:[Agency]]=$E11)/(TableDiv[[Agency]:[Agency]]=$E11)*(ROW(TableDiv[Agency])-ROW(TableDiv[[#Headers],[Agency]])),COLUMNS($F$7:AI$7))))</f>
        <v/>
      </c>
      <c r="AJ11" s="2223" t="str" cm="1">
        <f t="array" ref="AJ11">IF($D11&lt;COLUMNS($F$7:AJ$7),"",INDEX(TableDiv[[GASB]:[GASB]],_xlfn.AGGREGATE(15,3,(TableDiv[[Agency]:[Agency]]=$E11)/(TableDiv[[Agency]:[Agency]]=$E11)*(ROW(TableDiv[Agency])-ROW(TableDiv[[#Headers],[Agency]])),COLUMNS($F$7:AJ$7))))</f>
        <v/>
      </c>
      <c r="AK11" s="2223" t="str" cm="1">
        <f t="array" ref="AK11">IF($D11&lt;COLUMNS($F$7:AK$7),"",INDEX(TableDiv[[GASB]:[GASB]],_xlfn.AGGREGATE(15,3,(TableDiv[[Agency]:[Agency]]=$E11)/(TableDiv[[Agency]:[Agency]]=$E11)*(ROW(TableDiv[Agency])-ROW(TableDiv[[#Headers],[Agency]])),COLUMNS($F$7:AK$7))))</f>
        <v/>
      </c>
      <c r="AL11" s="2223" t="str" cm="1">
        <f t="array" ref="AL11">IF($D11&lt;COLUMNS($F$7:AL$7),"",INDEX(TableDiv[[GASB]:[GASB]],_xlfn.AGGREGATE(15,3,(TableDiv[[Agency]:[Agency]]=$E11)/(TableDiv[[Agency]:[Agency]]=$E11)*(ROW(TableDiv[Agency])-ROW(TableDiv[[#Headers],[Agency]])),COLUMNS($F$7:AL$7))))</f>
        <v/>
      </c>
      <c r="AM11" s="2223" t="str" cm="1">
        <f t="array" ref="AM11">IF($D11&lt;COLUMNS($F$7:AM$7),"",INDEX(TableDiv[[GASB]:[GASB]],_xlfn.AGGREGATE(15,3,(TableDiv[[Agency]:[Agency]]=$E11)/(TableDiv[[Agency]:[Agency]]=$E11)*(ROW(TableDiv[Agency])-ROW(TableDiv[[#Headers],[Agency]])),COLUMNS($F$7:AM$7))))</f>
        <v/>
      </c>
      <c r="AN11" s="2223"/>
      <c r="AO11" s="2223"/>
      <c r="AP11" s="2223"/>
      <c r="AQ11" s="2223"/>
      <c r="AR11" s="2223"/>
      <c r="AS11" s="2223"/>
    </row>
    <row r="12" spans="1:45" ht="15" x14ac:dyDescent="0.25">
      <c r="A12" s="2219" t="s">
        <v>5097</v>
      </c>
      <c r="B12" s="2219" t="s">
        <v>6358</v>
      </c>
      <c r="C12" s="2223"/>
      <c r="D12" s="2223">
        <f>COUNTIF(TableDiv[Agency],E12)</f>
        <v>3</v>
      </c>
      <c r="E12" s="2230" t="str" cm="1">
        <f t="array" ref="E12">IFERROR(INDEX(TableDiv[Agency],MATCH(0,INDEX(COUNTIF($E$7:E11,TableDiv[Agency]),),0)),"")</f>
        <v>0500</v>
      </c>
      <c r="F12" s="2223" t="str" cm="1">
        <f t="array" ref="F12">IF($D12&lt;COLUMNS($F$7:F$7),"",INDEX(TableDiv[[GASB]:[GASB]],_xlfn.AGGREGATE(15,3,(TableDiv[[Agency]:[Agency]]=$E12)/(TableDiv[[Agency]:[Agency]]=$E12)*(ROW(TableDiv[Agency])-ROW(TableDiv[[#Headers],[Agency]])),COLUMNS($F$7:F$7))))</f>
        <v>11000G</v>
      </c>
      <c r="G12" s="2223" t="str" cm="1">
        <f t="array" ref="G12">IF($D12&lt;COLUMNS($F$7:G$7),"",INDEX(TableDiv[[GASB]:[GASB]],_xlfn.AGGREGATE(15,3,(TableDiv[[Agency]:[Agency]]=$E12)/(TableDiv[[Agency]:[Agency]]=$E12)*(ROW(TableDiv[Agency])-ROW(TableDiv[[#Headers],[Agency]])),COLUMNS($F$7:G$7))))</f>
        <v>11030G</v>
      </c>
      <c r="H12" s="2223" t="str" cm="1">
        <f t="array" ref="H12">IF($D12&lt;COLUMNS($F$7:H$7),"",INDEX(TableDiv[[GASB]:[GASB]],_xlfn.AGGREGATE(15,3,(TableDiv[[Agency]:[Agency]]=$E12)/(TableDiv[[Agency]:[Agency]]=$E12)*(ROW(TableDiv[Agency])-ROW(TableDiv[[#Headers],[Agency]])),COLUMNS($F$7:H$7))))</f>
        <v>12000G</v>
      </c>
      <c r="I12" s="2223" t="str" cm="1">
        <f t="array" ref="I12">IF($D12&lt;COLUMNS($F$7:I$7),"",INDEX(TableDiv[[GASB]:[GASB]],_xlfn.AGGREGATE(15,3,(TableDiv[[Agency]:[Agency]]=$E12)/(TableDiv[[Agency]:[Agency]]=$E12)*(ROW(TableDiv[Agency])-ROW(TableDiv[[#Headers],[Agency]])),COLUMNS($F$7:I$7))))</f>
        <v/>
      </c>
      <c r="J12" s="2223" t="str" cm="1">
        <f t="array" ref="J12">IF($D12&lt;COLUMNS($F$7:J$7),"",INDEX(TableDiv[[GASB]:[GASB]],_xlfn.AGGREGATE(15,3,(TableDiv[[Agency]:[Agency]]=$E12)/(TableDiv[[Agency]:[Agency]]=$E12)*(ROW(TableDiv[Agency])-ROW(TableDiv[[#Headers],[Agency]])),COLUMNS($F$7:J$7))))</f>
        <v/>
      </c>
      <c r="K12" s="2223" t="str" cm="1">
        <f t="array" ref="K12">IF($D12&lt;COLUMNS($F$7:K$7),"",INDEX(TableDiv[[GASB]:[GASB]],_xlfn.AGGREGATE(15,3,(TableDiv[[Agency]:[Agency]]=$E12)/(TableDiv[[Agency]:[Agency]]=$E12)*(ROW(TableDiv[Agency])-ROW(TableDiv[[#Headers],[Agency]])),COLUMNS($F$7:K$7))))</f>
        <v/>
      </c>
      <c r="L12" s="2223" t="str" cm="1">
        <f t="array" ref="L12">IF($D12&lt;COLUMNS($F$7:L$7),"",INDEX(TableDiv[[GASB]:[GASB]],_xlfn.AGGREGATE(15,3,(TableDiv[[Agency]:[Agency]]=$E12)/(TableDiv[[Agency]:[Agency]]=$E12)*(ROW(TableDiv[Agency])-ROW(TableDiv[[#Headers],[Agency]])),COLUMNS($F$7:L$7))))</f>
        <v/>
      </c>
      <c r="M12" s="2223" t="str" cm="1">
        <f t="array" ref="M12">IF($D12&lt;COLUMNS($F$7:M$7),"",INDEX(TableDiv[[GASB]:[GASB]],_xlfn.AGGREGATE(15,3,(TableDiv[[Agency]:[Agency]]=$E12)/(TableDiv[[Agency]:[Agency]]=$E12)*(ROW(TableDiv[Agency])-ROW(TableDiv[[#Headers],[Agency]])),COLUMNS($F$7:M$7))))</f>
        <v/>
      </c>
      <c r="N12" s="2223" t="str" cm="1">
        <f t="array" ref="N12">IF($D12&lt;COLUMNS($F$7:N$7),"",INDEX(TableDiv[[GASB]:[GASB]],_xlfn.AGGREGATE(15,3,(TableDiv[[Agency]:[Agency]]=$E12)/(TableDiv[[Agency]:[Agency]]=$E12)*(ROW(TableDiv[Agency])-ROW(TableDiv[[#Headers],[Agency]])),COLUMNS($F$7:N$7))))</f>
        <v/>
      </c>
      <c r="O12" s="2223" t="str" cm="1">
        <f t="array" ref="O12">IF($D12&lt;COLUMNS($F$7:O$7),"",INDEX(TableDiv[[GASB]:[GASB]],_xlfn.AGGREGATE(15,3,(TableDiv[[Agency]:[Agency]]=$E12)/(TableDiv[[Agency]:[Agency]]=$E12)*(ROW(TableDiv[Agency])-ROW(TableDiv[[#Headers],[Agency]])),COLUMNS($F$7:O$7))))</f>
        <v/>
      </c>
      <c r="P12" s="2223" t="str" cm="1">
        <f t="array" ref="P12">IF($D12&lt;COLUMNS($F$7:P$7),"",INDEX(TableDiv[[GASB]:[GASB]],_xlfn.AGGREGATE(15,3,(TableDiv[[Agency]:[Agency]]=$E12)/(TableDiv[[Agency]:[Agency]]=$E12)*(ROW(TableDiv[Agency])-ROW(TableDiv[[#Headers],[Agency]])),COLUMNS($F$7:P$7))))</f>
        <v/>
      </c>
      <c r="Q12" s="2223" t="str" cm="1">
        <f t="array" ref="Q12">IF($D12&lt;COLUMNS($F$7:Q$7),"",INDEX(TableDiv[[GASB]:[GASB]],_xlfn.AGGREGATE(15,3,(TableDiv[[Agency]:[Agency]]=$E12)/(TableDiv[[Agency]:[Agency]]=$E12)*(ROW(TableDiv[Agency])-ROW(TableDiv[[#Headers],[Agency]])),COLUMNS($F$7:Q$7))))</f>
        <v/>
      </c>
      <c r="R12" s="2223" t="str" cm="1">
        <f t="array" ref="R12">IF($D12&lt;COLUMNS($F$7:R$7),"",INDEX(TableDiv[[GASB]:[GASB]],_xlfn.AGGREGATE(15,3,(TableDiv[[Agency]:[Agency]]=$E12)/(TableDiv[[Agency]:[Agency]]=$E12)*(ROW(TableDiv[Agency])-ROW(TableDiv[[#Headers],[Agency]])),COLUMNS($F$7:R$7))))</f>
        <v/>
      </c>
      <c r="S12" s="2223" t="str" cm="1">
        <f t="array" ref="S12">IF($D12&lt;COLUMNS($F$7:S$7),"",INDEX(TableDiv[[GASB]:[GASB]],_xlfn.AGGREGATE(15,3,(TableDiv[[Agency]:[Agency]]=$E12)/(TableDiv[[Agency]:[Agency]]=$E12)*(ROW(TableDiv[Agency])-ROW(TableDiv[[#Headers],[Agency]])),COLUMNS($F$7:S$7))))</f>
        <v/>
      </c>
      <c r="T12" s="2223" t="str" cm="1">
        <f t="array" ref="T12">IF($D12&lt;COLUMNS($F$7:T$7),"",INDEX(TableDiv[[GASB]:[GASB]],_xlfn.AGGREGATE(15,3,(TableDiv[[Agency]:[Agency]]=$E12)/(TableDiv[[Agency]:[Agency]]=$E12)*(ROW(TableDiv[Agency])-ROW(TableDiv[[#Headers],[Agency]])),COLUMNS($F$7:T$7))))</f>
        <v/>
      </c>
      <c r="U12" s="2223" t="str" cm="1">
        <f t="array" ref="U12">IF($D12&lt;COLUMNS($F$7:U$7),"",INDEX(TableDiv[[GASB]:[GASB]],_xlfn.AGGREGATE(15,3,(TableDiv[[Agency]:[Agency]]=$E12)/(TableDiv[[Agency]:[Agency]]=$E12)*(ROW(TableDiv[Agency])-ROW(TableDiv[[#Headers],[Agency]])),COLUMNS($F$7:U$7))))</f>
        <v/>
      </c>
      <c r="V12" s="2223" t="str" cm="1">
        <f t="array" ref="V12">IF($D12&lt;COLUMNS($F$7:V$7),"",INDEX(TableDiv[[GASB]:[GASB]],_xlfn.AGGREGATE(15,3,(TableDiv[[Agency]:[Agency]]=$E12)/(TableDiv[[Agency]:[Agency]]=$E12)*(ROW(TableDiv[Agency])-ROW(TableDiv[[#Headers],[Agency]])),COLUMNS($F$7:V$7))))</f>
        <v/>
      </c>
      <c r="W12" s="2223" t="str" cm="1">
        <f t="array" ref="W12">IF($D12&lt;COLUMNS($F$7:W$7),"",INDEX(TableDiv[[GASB]:[GASB]],_xlfn.AGGREGATE(15,3,(TableDiv[[Agency]:[Agency]]=$E12)/(TableDiv[[Agency]:[Agency]]=$E12)*(ROW(TableDiv[Agency])-ROW(TableDiv[[#Headers],[Agency]])),COLUMNS($F$7:W$7))))</f>
        <v/>
      </c>
      <c r="X12" s="2223" t="str" cm="1">
        <f t="array" ref="X12">IF($D12&lt;COLUMNS($F$7:X$7),"",INDEX(TableDiv[[GASB]:[GASB]],_xlfn.AGGREGATE(15,3,(TableDiv[[Agency]:[Agency]]=$E12)/(TableDiv[[Agency]:[Agency]]=$E12)*(ROW(TableDiv[Agency])-ROW(TableDiv[[#Headers],[Agency]])),COLUMNS($F$7:X$7))))</f>
        <v/>
      </c>
      <c r="Y12" s="2223" t="str" cm="1">
        <f t="array" ref="Y12">IF($D12&lt;COLUMNS($F$7:Y$7),"",INDEX(TableDiv[[GASB]:[GASB]],_xlfn.AGGREGATE(15,3,(TableDiv[[Agency]:[Agency]]=$E12)/(TableDiv[[Agency]:[Agency]]=$E12)*(ROW(TableDiv[Agency])-ROW(TableDiv[[#Headers],[Agency]])),COLUMNS($F$7:Y$7))))</f>
        <v/>
      </c>
      <c r="Z12" s="2223" t="str" cm="1">
        <f t="array" ref="Z12">IF($D12&lt;COLUMNS($F$7:Z$7),"",INDEX(TableDiv[[GASB]:[GASB]],_xlfn.AGGREGATE(15,3,(TableDiv[[Agency]:[Agency]]=$E12)/(TableDiv[[Agency]:[Agency]]=$E12)*(ROW(TableDiv[Agency])-ROW(TableDiv[[#Headers],[Agency]])),COLUMNS($F$7:Z$7))))</f>
        <v/>
      </c>
      <c r="AA12" s="2223" t="str" cm="1">
        <f t="array" ref="AA12">IF($D12&lt;COLUMNS($F$7:AA$7),"",INDEX(TableDiv[[GASB]:[GASB]],_xlfn.AGGREGATE(15,3,(TableDiv[[Agency]:[Agency]]=$E12)/(TableDiv[[Agency]:[Agency]]=$E12)*(ROW(TableDiv[Agency])-ROW(TableDiv[[#Headers],[Agency]])),COLUMNS($F$7:AA$7))))</f>
        <v/>
      </c>
      <c r="AB12" s="2223" t="str" cm="1">
        <f t="array" ref="AB12">IF($D12&lt;COLUMNS($F$7:AB$7),"",INDEX(TableDiv[[GASB]:[GASB]],_xlfn.AGGREGATE(15,3,(TableDiv[[Agency]:[Agency]]=$E12)/(TableDiv[[Agency]:[Agency]]=$E12)*(ROW(TableDiv[Agency])-ROW(TableDiv[[#Headers],[Agency]])),COLUMNS($F$7:AB$7))))</f>
        <v/>
      </c>
      <c r="AC12" s="2223" t="str" cm="1">
        <f t="array" ref="AC12">IF($D12&lt;COLUMNS($F$7:AC$7),"",INDEX(TableDiv[[GASB]:[GASB]],_xlfn.AGGREGATE(15,3,(TableDiv[[Agency]:[Agency]]=$E12)/(TableDiv[[Agency]:[Agency]]=$E12)*(ROW(TableDiv[Agency])-ROW(TableDiv[[#Headers],[Agency]])),COLUMNS($F$7:AC$7))))</f>
        <v/>
      </c>
      <c r="AD12" s="2223" t="str" cm="1">
        <f t="array" ref="AD12">IF($D12&lt;COLUMNS($F$7:AD$7),"",INDEX(TableDiv[[GASB]:[GASB]],_xlfn.AGGREGATE(15,3,(TableDiv[[Agency]:[Agency]]=$E12)/(TableDiv[[Agency]:[Agency]]=$E12)*(ROW(TableDiv[Agency])-ROW(TableDiv[[#Headers],[Agency]])),COLUMNS($F$7:AD$7))))</f>
        <v/>
      </c>
      <c r="AE12" s="2223" t="str" cm="1">
        <f t="array" ref="AE12">IF($D12&lt;COLUMNS($F$7:AE$7),"",INDEX(TableDiv[[GASB]:[GASB]],_xlfn.AGGREGATE(15,3,(TableDiv[[Agency]:[Agency]]=$E12)/(TableDiv[[Agency]:[Agency]]=$E12)*(ROW(TableDiv[Agency])-ROW(TableDiv[[#Headers],[Agency]])),COLUMNS($F$7:AE$7))))</f>
        <v/>
      </c>
      <c r="AF12" s="2223" t="str" cm="1">
        <f t="array" ref="AF12">IF($D12&lt;COLUMNS($F$7:AF$7),"",INDEX(TableDiv[[GASB]:[GASB]],_xlfn.AGGREGATE(15,3,(TableDiv[[Agency]:[Agency]]=$E12)/(TableDiv[[Agency]:[Agency]]=$E12)*(ROW(TableDiv[Agency])-ROW(TableDiv[[#Headers],[Agency]])),COLUMNS($F$7:AF$7))))</f>
        <v/>
      </c>
      <c r="AG12" s="2223" t="str" cm="1">
        <f t="array" ref="AG12">IF($D12&lt;COLUMNS($F$7:AG$7),"",INDEX(TableDiv[[GASB]:[GASB]],_xlfn.AGGREGATE(15,3,(TableDiv[[Agency]:[Agency]]=$E12)/(TableDiv[[Agency]:[Agency]]=$E12)*(ROW(TableDiv[Agency])-ROW(TableDiv[[#Headers],[Agency]])),COLUMNS($F$7:AG$7))))</f>
        <v/>
      </c>
      <c r="AH12" s="2223" t="str" cm="1">
        <f t="array" ref="AH12">IF($D12&lt;COLUMNS($F$7:AH$7),"",INDEX(TableDiv[[GASB]:[GASB]],_xlfn.AGGREGATE(15,3,(TableDiv[[Agency]:[Agency]]=$E12)/(TableDiv[[Agency]:[Agency]]=$E12)*(ROW(TableDiv[Agency])-ROW(TableDiv[[#Headers],[Agency]])),COLUMNS($F$7:AH$7))))</f>
        <v/>
      </c>
      <c r="AI12" s="2223" t="str" cm="1">
        <f t="array" ref="AI12">IF($D12&lt;COLUMNS($F$7:AI$7),"",INDEX(TableDiv[[GASB]:[GASB]],_xlfn.AGGREGATE(15,3,(TableDiv[[Agency]:[Agency]]=$E12)/(TableDiv[[Agency]:[Agency]]=$E12)*(ROW(TableDiv[Agency])-ROW(TableDiv[[#Headers],[Agency]])),COLUMNS($F$7:AI$7))))</f>
        <v/>
      </c>
      <c r="AJ12" s="2223" t="str" cm="1">
        <f t="array" ref="AJ12">IF($D12&lt;COLUMNS($F$7:AJ$7),"",INDEX(TableDiv[[GASB]:[GASB]],_xlfn.AGGREGATE(15,3,(TableDiv[[Agency]:[Agency]]=$E12)/(TableDiv[[Agency]:[Agency]]=$E12)*(ROW(TableDiv[Agency])-ROW(TableDiv[[#Headers],[Agency]])),COLUMNS($F$7:AJ$7))))</f>
        <v/>
      </c>
      <c r="AK12" s="2223" t="str" cm="1">
        <f t="array" ref="AK12">IF($D12&lt;COLUMNS($F$7:AK$7),"",INDEX(TableDiv[[GASB]:[GASB]],_xlfn.AGGREGATE(15,3,(TableDiv[[Agency]:[Agency]]=$E12)/(TableDiv[[Agency]:[Agency]]=$E12)*(ROW(TableDiv[Agency])-ROW(TableDiv[[#Headers],[Agency]])),COLUMNS($F$7:AK$7))))</f>
        <v/>
      </c>
      <c r="AL12" s="2223" t="str" cm="1">
        <f t="array" ref="AL12">IF($D12&lt;COLUMNS($F$7:AL$7),"",INDEX(TableDiv[[GASB]:[GASB]],_xlfn.AGGREGATE(15,3,(TableDiv[[Agency]:[Agency]]=$E12)/(TableDiv[[Agency]:[Agency]]=$E12)*(ROW(TableDiv[Agency])-ROW(TableDiv[[#Headers],[Agency]])),COLUMNS($F$7:AL$7))))</f>
        <v/>
      </c>
      <c r="AM12" s="2223" t="str" cm="1">
        <f t="array" ref="AM12">IF($D12&lt;COLUMNS($F$7:AM$7),"",INDEX(TableDiv[[GASB]:[GASB]],_xlfn.AGGREGATE(15,3,(TableDiv[[Agency]:[Agency]]=$E12)/(TableDiv[[Agency]:[Agency]]=$E12)*(ROW(TableDiv[Agency])-ROW(TableDiv[[#Headers],[Agency]])),COLUMNS($F$7:AM$7))))</f>
        <v/>
      </c>
      <c r="AN12" s="2223"/>
      <c r="AO12" s="2223"/>
      <c r="AP12" s="2223"/>
      <c r="AQ12" s="2223"/>
      <c r="AR12" s="2223"/>
      <c r="AS12" s="2223"/>
    </row>
    <row r="13" spans="1:45" ht="15" x14ac:dyDescent="0.25">
      <c r="A13" s="2219" t="s">
        <v>5097</v>
      </c>
      <c r="B13" s="2219" t="s">
        <v>6363</v>
      </c>
      <c r="C13" s="2223"/>
      <c r="D13" s="2223">
        <f>COUNTIF(TableDiv[Agency],E13)</f>
        <v>2</v>
      </c>
      <c r="E13" s="2230" t="str" cm="1">
        <f t="array" ref="E13">IFERROR(INDEX(TableDiv[Agency],MATCH(0,INDEX(COUNTIF($E$7:E12,TableDiv[Agency]),),0)),"")</f>
        <v>0600</v>
      </c>
      <c r="F13" s="2223" t="str" cm="1">
        <f t="array" ref="F13">IF($D13&lt;COLUMNS($F$7:F$7),"",INDEX(TableDiv[[GASB]:[GASB]],_xlfn.AGGREGATE(15,3,(TableDiv[[Agency]:[Agency]]=$E13)/(TableDiv[[Agency]:[Agency]]=$E13)*(ROW(TableDiv[Agency])-ROW(TableDiv[[#Headers],[Agency]])),COLUMNS($F$7:F$7))))</f>
        <v>11000G</v>
      </c>
      <c r="G13" s="2223" t="str" cm="1">
        <f t="array" ref="G13">IF($D13&lt;COLUMNS($F$7:G$7),"",INDEX(TableDiv[[GASB]:[GASB]],_xlfn.AGGREGATE(15,3,(TableDiv[[Agency]:[Agency]]=$E13)/(TableDiv[[Agency]:[Agency]]=$E13)*(ROW(TableDiv[Agency])-ROW(TableDiv[[#Headers],[Agency]])),COLUMNS($F$7:G$7))))</f>
        <v>11020G</v>
      </c>
      <c r="H13" s="2223" t="str" cm="1">
        <f t="array" ref="H13">IF($D13&lt;COLUMNS($F$7:H$7),"",INDEX(TableDiv[[GASB]:[GASB]],_xlfn.AGGREGATE(15,3,(TableDiv[[Agency]:[Agency]]=$E13)/(TableDiv[[Agency]:[Agency]]=$E13)*(ROW(TableDiv[Agency])-ROW(TableDiv[[#Headers],[Agency]])),COLUMNS($F$7:H$7))))</f>
        <v/>
      </c>
      <c r="I13" s="2223" t="str" cm="1">
        <f t="array" ref="I13">IF($D13&lt;COLUMNS($F$7:I$7),"",INDEX(TableDiv[[GASB]:[GASB]],_xlfn.AGGREGATE(15,3,(TableDiv[[Agency]:[Agency]]=$E13)/(TableDiv[[Agency]:[Agency]]=$E13)*(ROW(TableDiv[Agency])-ROW(TableDiv[[#Headers],[Agency]])),COLUMNS($F$7:I$7))))</f>
        <v/>
      </c>
      <c r="J13" s="2223" t="str" cm="1">
        <f t="array" ref="J13">IF($D13&lt;COLUMNS($F$7:J$7),"",INDEX(TableDiv[[GASB]:[GASB]],_xlfn.AGGREGATE(15,3,(TableDiv[[Agency]:[Agency]]=$E13)/(TableDiv[[Agency]:[Agency]]=$E13)*(ROW(TableDiv[Agency])-ROW(TableDiv[[#Headers],[Agency]])),COLUMNS($F$7:J$7))))</f>
        <v/>
      </c>
      <c r="K13" s="2223" t="str" cm="1">
        <f t="array" ref="K13">IF($D13&lt;COLUMNS($F$7:K$7),"",INDEX(TableDiv[[GASB]:[GASB]],_xlfn.AGGREGATE(15,3,(TableDiv[[Agency]:[Agency]]=$E13)/(TableDiv[[Agency]:[Agency]]=$E13)*(ROW(TableDiv[Agency])-ROW(TableDiv[[#Headers],[Agency]])),COLUMNS($F$7:K$7))))</f>
        <v/>
      </c>
      <c r="L13" s="2223" t="str" cm="1">
        <f t="array" ref="L13">IF($D13&lt;COLUMNS($F$7:L$7),"",INDEX(TableDiv[[GASB]:[GASB]],_xlfn.AGGREGATE(15,3,(TableDiv[[Agency]:[Agency]]=$E13)/(TableDiv[[Agency]:[Agency]]=$E13)*(ROW(TableDiv[Agency])-ROW(TableDiv[[#Headers],[Agency]])),COLUMNS($F$7:L$7))))</f>
        <v/>
      </c>
      <c r="M13" s="2223" t="str" cm="1">
        <f t="array" ref="M13">IF($D13&lt;COLUMNS($F$7:M$7),"",INDEX(TableDiv[[GASB]:[GASB]],_xlfn.AGGREGATE(15,3,(TableDiv[[Agency]:[Agency]]=$E13)/(TableDiv[[Agency]:[Agency]]=$E13)*(ROW(TableDiv[Agency])-ROW(TableDiv[[#Headers],[Agency]])),COLUMNS($F$7:M$7))))</f>
        <v/>
      </c>
      <c r="N13" s="2223" t="str" cm="1">
        <f t="array" ref="N13">IF($D13&lt;COLUMNS($F$7:N$7),"",INDEX(TableDiv[[GASB]:[GASB]],_xlfn.AGGREGATE(15,3,(TableDiv[[Agency]:[Agency]]=$E13)/(TableDiv[[Agency]:[Agency]]=$E13)*(ROW(TableDiv[Agency])-ROW(TableDiv[[#Headers],[Agency]])),COLUMNS($F$7:N$7))))</f>
        <v/>
      </c>
      <c r="O13" s="2223" t="str" cm="1">
        <f t="array" ref="O13">IF($D13&lt;COLUMNS($F$7:O$7),"",INDEX(TableDiv[[GASB]:[GASB]],_xlfn.AGGREGATE(15,3,(TableDiv[[Agency]:[Agency]]=$E13)/(TableDiv[[Agency]:[Agency]]=$E13)*(ROW(TableDiv[Agency])-ROW(TableDiv[[#Headers],[Agency]])),COLUMNS($F$7:O$7))))</f>
        <v/>
      </c>
      <c r="P13" s="2223" t="str" cm="1">
        <f t="array" ref="P13">IF($D13&lt;COLUMNS($F$7:P$7),"",INDEX(TableDiv[[GASB]:[GASB]],_xlfn.AGGREGATE(15,3,(TableDiv[[Agency]:[Agency]]=$E13)/(TableDiv[[Agency]:[Agency]]=$E13)*(ROW(TableDiv[Agency])-ROW(TableDiv[[#Headers],[Agency]])),COLUMNS($F$7:P$7))))</f>
        <v/>
      </c>
      <c r="Q13" s="2223" t="str" cm="1">
        <f t="array" ref="Q13">IF($D13&lt;COLUMNS($F$7:Q$7),"",INDEX(TableDiv[[GASB]:[GASB]],_xlfn.AGGREGATE(15,3,(TableDiv[[Agency]:[Agency]]=$E13)/(TableDiv[[Agency]:[Agency]]=$E13)*(ROW(TableDiv[Agency])-ROW(TableDiv[[#Headers],[Agency]])),COLUMNS($F$7:Q$7))))</f>
        <v/>
      </c>
      <c r="R13" s="2223" t="str" cm="1">
        <f t="array" ref="R13">IF($D13&lt;COLUMNS($F$7:R$7),"",INDEX(TableDiv[[GASB]:[GASB]],_xlfn.AGGREGATE(15,3,(TableDiv[[Agency]:[Agency]]=$E13)/(TableDiv[[Agency]:[Agency]]=$E13)*(ROW(TableDiv[Agency])-ROW(TableDiv[[#Headers],[Agency]])),COLUMNS($F$7:R$7))))</f>
        <v/>
      </c>
      <c r="S13" s="2223" t="str" cm="1">
        <f t="array" ref="S13">IF($D13&lt;COLUMNS($F$7:S$7),"",INDEX(TableDiv[[GASB]:[GASB]],_xlfn.AGGREGATE(15,3,(TableDiv[[Agency]:[Agency]]=$E13)/(TableDiv[[Agency]:[Agency]]=$E13)*(ROW(TableDiv[Agency])-ROW(TableDiv[[#Headers],[Agency]])),COLUMNS($F$7:S$7))))</f>
        <v/>
      </c>
      <c r="T13" s="2223" t="str" cm="1">
        <f t="array" ref="T13">IF($D13&lt;COLUMNS($F$7:T$7),"",INDEX(TableDiv[[GASB]:[GASB]],_xlfn.AGGREGATE(15,3,(TableDiv[[Agency]:[Agency]]=$E13)/(TableDiv[[Agency]:[Agency]]=$E13)*(ROW(TableDiv[Agency])-ROW(TableDiv[[#Headers],[Agency]])),COLUMNS($F$7:T$7))))</f>
        <v/>
      </c>
      <c r="U13" s="2223" t="str" cm="1">
        <f t="array" ref="U13">IF($D13&lt;COLUMNS($F$7:U$7),"",INDEX(TableDiv[[GASB]:[GASB]],_xlfn.AGGREGATE(15,3,(TableDiv[[Agency]:[Agency]]=$E13)/(TableDiv[[Agency]:[Agency]]=$E13)*(ROW(TableDiv[Agency])-ROW(TableDiv[[#Headers],[Agency]])),COLUMNS($F$7:U$7))))</f>
        <v/>
      </c>
      <c r="V13" s="2223" t="str" cm="1">
        <f t="array" ref="V13">IF($D13&lt;COLUMNS($F$7:V$7),"",INDEX(TableDiv[[GASB]:[GASB]],_xlfn.AGGREGATE(15,3,(TableDiv[[Agency]:[Agency]]=$E13)/(TableDiv[[Agency]:[Agency]]=$E13)*(ROW(TableDiv[Agency])-ROW(TableDiv[[#Headers],[Agency]])),COLUMNS($F$7:V$7))))</f>
        <v/>
      </c>
      <c r="W13" s="2223" t="str" cm="1">
        <f t="array" ref="W13">IF($D13&lt;COLUMNS($F$7:W$7),"",INDEX(TableDiv[[GASB]:[GASB]],_xlfn.AGGREGATE(15,3,(TableDiv[[Agency]:[Agency]]=$E13)/(TableDiv[[Agency]:[Agency]]=$E13)*(ROW(TableDiv[Agency])-ROW(TableDiv[[#Headers],[Agency]])),COLUMNS($F$7:W$7))))</f>
        <v/>
      </c>
      <c r="X13" s="2223" t="str" cm="1">
        <f t="array" ref="X13">IF($D13&lt;COLUMNS($F$7:X$7),"",INDEX(TableDiv[[GASB]:[GASB]],_xlfn.AGGREGATE(15,3,(TableDiv[[Agency]:[Agency]]=$E13)/(TableDiv[[Agency]:[Agency]]=$E13)*(ROW(TableDiv[Agency])-ROW(TableDiv[[#Headers],[Agency]])),COLUMNS($F$7:X$7))))</f>
        <v/>
      </c>
      <c r="Y13" s="2223" t="str" cm="1">
        <f t="array" ref="Y13">IF($D13&lt;COLUMNS($F$7:Y$7),"",INDEX(TableDiv[[GASB]:[GASB]],_xlfn.AGGREGATE(15,3,(TableDiv[[Agency]:[Agency]]=$E13)/(TableDiv[[Agency]:[Agency]]=$E13)*(ROW(TableDiv[Agency])-ROW(TableDiv[[#Headers],[Agency]])),COLUMNS($F$7:Y$7))))</f>
        <v/>
      </c>
      <c r="Z13" s="2223" t="str" cm="1">
        <f t="array" ref="Z13">IF($D13&lt;COLUMNS($F$7:Z$7),"",INDEX(TableDiv[[GASB]:[GASB]],_xlfn.AGGREGATE(15,3,(TableDiv[[Agency]:[Agency]]=$E13)/(TableDiv[[Agency]:[Agency]]=$E13)*(ROW(TableDiv[Agency])-ROW(TableDiv[[#Headers],[Agency]])),COLUMNS($F$7:Z$7))))</f>
        <v/>
      </c>
      <c r="AA13" s="2223" t="str" cm="1">
        <f t="array" ref="AA13">IF($D13&lt;COLUMNS($F$7:AA$7),"",INDEX(TableDiv[[GASB]:[GASB]],_xlfn.AGGREGATE(15,3,(TableDiv[[Agency]:[Agency]]=$E13)/(TableDiv[[Agency]:[Agency]]=$E13)*(ROW(TableDiv[Agency])-ROW(TableDiv[[#Headers],[Agency]])),COLUMNS($F$7:AA$7))))</f>
        <v/>
      </c>
      <c r="AB13" s="2223" t="str" cm="1">
        <f t="array" ref="AB13">IF($D13&lt;COLUMNS($F$7:AB$7),"",INDEX(TableDiv[[GASB]:[GASB]],_xlfn.AGGREGATE(15,3,(TableDiv[[Agency]:[Agency]]=$E13)/(TableDiv[[Agency]:[Agency]]=$E13)*(ROW(TableDiv[Agency])-ROW(TableDiv[[#Headers],[Agency]])),COLUMNS($F$7:AB$7))))</f>
        <v/>
      </c>
      <c r="AC13" s="2223" t="str" cm="1">
        <f t="array" ref="AC13">IF($D13&lt;COLUMNS($F$7:AC$7),"",INDEX(TableDiv[[GASB]:[GASB]],_xlfn.AGGREGATE(15,3,(TableDiv[[Agency]:[Agency]]=$E13)/(TableDiv[[Agency]:[Agency]]=$E13)*(ROW(TableDiv[Agency])-ROW(TableDiv[[#Headers],[Agency]])),COLUMNS($F$7:AC$7))))</f>
        <v/>
      </c>
      <c r="AD13" s="2223" t="str" cm="1">
        <f t="array" ref="AD13">IF($D13&lt;COLUMNS($F$7:AD$7),"",INDEX(TableDiv[[GASB]:[GASB]],_xlfn.AGGREGATE(15,3,(TableDiv[[Agency]:[Agency]]=$E13)/(TableDiv[[Agency]:[Agency]]=$E13)*(ROW(TableDiv[Agency])-ROW(TableDiv[[#Headers],[Agency]])),COLUMNS($F$7:AD$7))))</f>
        <v/>
      </c>
      <c r="AE13" s="2223" t="str" cm="1">
        <f t="array" ref="AE13">IF($D13&lt;COLUMNS($F$7:AE$7),"",INDEX(TableDiv[[GASB]:[GASB]],_xlfn.AGGREGATE(15,3,(TableDiv[[Agency]:[Agency]]=$E13)/(TableDiv[[Agency]:[Agency]]=$E13)*(ROW(TableDiv[Agency])-ROW(TableDiv[[#Headers],[Agency]])),COLUMNS($F$7:AE$7))))</f>
        <v/>
      </c>
      <c r="AF13" s="2223" t="str" cm="1">
        <f t="array" ref="AF13">IF($D13&lt;COLUMNS($F$7:AF$7),"",INDEX(TableDiv[[GASB]:[GASB]],_xlfn.AGGREGATE(15,3,(TableDiv[[Agency]:[Agency]]=$E13)/(TableDiv[[Agency]:[Agency]]=$E13)*(ROW(TableDiv[Agency])-ROW(TableDiv[[#Headers],[Agency]])),COLUMNS($F$7:AF$7))))</f>
        <v/>
      </c>
      <c r="AG13" s="2223" t="str" cm="1">
        <f t="array" ref="AG13">IF($D13&lt;COLUMNS($F$7:AG$7),"",INDEX(TableDiv[[GASB]:[GASB]],_xlfn.AGGREGATE(15,3,(TableDiv[[Agency]:[Agency]]=$E13)/(TableDiv[[Agency]:[Agency]]=$E13)*(ROW(TableDiv[Agency])-ROW(TableDiv[[#Headers],[Agency]])),COLUMNS($F$7:AG$7))))</f>
        <v/>
      </c>
      <c r="AH13" s="2223" t="str" cm="1">
        <f t="array" ref="AH13">IF($D13&lt;COLUMNS($F$7:AH$7),"",INDEX(TableDiv[[GASB]:[GASB]],_xlfn.AGGREGATE(15,3,(TableDiv[[Agency]:[Agency]]=$E13)/(TableDiv[[Agency]:[Agency]]=$E13)*(ROW(TableDiv[Agency])-ROW(TableDiv[[#Headers],[Agency]])),COLUMNS($F$7:AH$7))))</f>
        <v/>
      </c>
      <c r="AI13" s="2223" t="str" cm="1">
        <f t="array" ref="AI13">IF($D13&lt;COLUMNS($F$7:AI$7),"",INDEX(TableDiv[[GASB]:[GASB]],_xlfn.AGGREGATE(15,3,(TableDiv[[Agency]:[Agency]]=$E13)/(TableDiv[[Agency]:[Agency]]=$E13)*(ROW(TableDiv[Agency])-ROW(TableDiv[[#Headers],[Agency]])),COLUMNS($F$7:AI$7))))</f>
        <v/>
      </c>
      <c r="AJ13" s="2223" t="str" cm="1">
        <f t="array" ref="AJ13">IF($D13&lt;COLUMNS($F$7:AJ$7),"",INDEX(TableDiv[[GASB]:[GASB]],_xlfn.AGGREGATE(15,3,(TableDiv[[Agency]:[Agency]]=$E13)/(TableDiv[[Agency]:[Agency]]=$E13)*(ROW(TableDiv[Agency])-ROW(TableDiv[[#Headers],[Agency]])),COLUMNS($F$7:AJ$7))))</f>
        <v/>
      </c>
      <c r="AK13" s="2223" t="str" cm="1">
        <f t="array" ref="AK13">IF($D13&lt;COLUMNS($F$7:AK$7),"",INDEX(TableDiv[[GASB]:[GASB]],_xlfn.AGGREGATE(15,3,(TableDiv[[Agency]:[Agency]]=$E13)/(TableDiv[[Agency]:[Agency]]=$E13)*(ROW(TableDiv[Agency])-ROW(TableDiv[[#Headers],[Agency]])),COLUMNS($F$7:AK$7))))</f>
        <v/>
      </c>
      <c r="AL13" s="2223" t="str" cm="1">
        <f t="array" ref="AL13">IF($D13&lt;COLUMNS($F$7:AL$7),"",INDEX(TableDiv[[GASB]:[GASB]],_xlfn.AGGREGATE(15,3,(TableDiv[[Agency]:[Agency]]=$E13)/(TableDiv[[Agency]:[Agency]]=$E13)*(ROW(TableDiv[Agency])-ROW(TableDiv[[#Headers],[Agency]])),COLUMNS($F$7:AL$7))))</f>
        <v/>
      </c>
      <c r="AM13" s="2223" t="str" cm="1">
        <f t="array" ref="AM13">IF($D13&lt;COLUMNS($F$7:AM$7),"",INDEX(TableDiv[[GASB]:[GASB]],_xlfn.AGGREGATE(15,3,(TableDiv[[Agency]:[Agency]]=$E13)/(TableDiv[[Agency]:[Agency]]=$E13)*(ROW(TableDiv[Agency])-ROW(TableDiv[[#Headers],[Agency]])),COLUMNS($F$7:AM$7))))</f>
        <v/>
      </c>
      <c r="AN13" s="2223"/>
      <c r="AO13" s="2223"/>
      <c r="AP13" s="2223"/>
      <c r="AQ13" s="2223"/>
      <c r="AR13" s="2223"/>
      <c r="AS13" s="2223"/>
    </row>
    <row r="14" spans="1:45" ht="15" x14ac:dyDescent="0.25">
      <c r="A14" s="2219" t="s">
        <v>5097</v>
      </c>
      <c r="B14" s="2219" t="s">
        <v>6364</v>
      </c>
      <c r="C14" s="2223"/>
      <c r="D14" s="2223">
        <f>COUNTIF(TableDiv[Agency],E14)</f>
        <v>32</v>
      </c>
      <c r="E14" s="2230" t="str" cm="1">
        <f t="array" ref="E14">IFERROR(INDEX(TableDiv[Agency],MATCH(0,INDEX(COUNTIF($E$7:E13,TableDiv[Agency]),),0)),"")</f>
        <v>0700</v>
      </c>
      <c r="F14" s="2223" t="str" cm="1">
        <f t="array" ref="F14">IF($D14&lt;COLUMNS($F$7:F$7),"",INDEX(TableDiv[[GASB]:[GASB]],_xlfn.AGGREGATE(15,3,(TableDiv[[Agency]:[Agency]]=$E14)/(TableDiv[[Agency]:[Agency]]=$E14)*(ROW(TableDiv[Agency])-ROW(TableDiv[[#Headers],[Agency]])),COLUMNS($F$7:F$7))))</f>
        <v>11000G</v>
      </c>
      <c r="G14" s="2223" t="str" cm="1">
        <f t="array" ref="G14">IF($D14&lt;COLUMNS($F$7:G$7),"",INDEX(TableDiv[[GASB]:[GASB]],_xlfn.AGGREGATE(15,3,(TableDiv[[Agency]:[Agency]]=$E14)/(TableDiv[[Agency]:[Agency]]=$E14)*(ROW(TableDiv[Agency])-ROW(TableDiv[[#Headers],[Agency]])),COLUMNS($F$7:G$7))))</f>
        <v>11020G</v>
      </c>
      <c r="H14" s="2223" t="str" cm="1">
        <f t="array" ref="H14">IF($D14&lt;COLUMNS($F$7:H$7),"",INDEX(TableDiv[[GASB]:[GASB]],_xlfn.AGGREGATE(15,3,(TableDiv[[Agency]:[Agency]]=$E14)/(TableDiv[[Agency]:[Agency]]=$E14)*(ROW(TableDiv[Agency])-ROW(TableDiv[[#Headers],[Agency]])),COLUMNS($F$7:H$7))))</f>
        <v>11060G</v>
      </c>
      <c r="I14" s="2223" t="str" cm="1">
        <f t="array" ref="I14">IF($D14&lt;COLUMNS($F$7:I$7),"",INDEX(TableDiv[[GASB]:[GASB]],_xlfn.AGGREGATE(15,3,(TableDiv[[Agency]:[Agency]]=$E14)/(TableDiv[[Agency]:[Agency]]=$E14)*(ROW(TableDiv[Agency])-ROW(TableDiv[[#Headers],[Agency]])),COLUMNS($F$7:I$7))))</f>
        <v>11120G</v>
      </c>
      <c r="J14" s="2223" t="str" cm="1">
        <f t="array" ref="J14">IF($D14&lt;COLUMNS($F$7:J$7),"",INDEX(TableDiv[[GASB]:[GASB]],_xlfn.AGGREGATE(15,3,(TableDiv[[Agency]:[Agency]]=$E14)/(TableDiv[[Agency]:[Agency]]=$E14)*(ROW(TableDiv[Agency])-ROW(TableDiv[[#Headers],[Agency]])),COLUMNS($F$7:J$7))))</f>
        <v>11230G</v>
      </c>
      <c r="K14" s="2223" t="str" cm="1">
        <f t="array" ref="K14">IF($D14&lt;COLUMNS($F$7:K$7),"",INDEX(TableDiv[[GASB]:[GASB]],_xlfn.AGGREGATE(15,3,(TableDiv[[Agency]:[Agency]]=$E14)/(TableDiv[[Agency]:[Agency]]=$E14)*(ROW(TableDiv[Agency])-ROW(TableDiv[[#Headers],[Agency]])),COLUMNS($F$7:K$7))))</f>
        <v>12000G</v>
      </c>
      <c r="L14" s="2223" t="str" cm="1">
        <f t="array" ref="L14">IF($D14&lt;COLUMNS($F$7:L$7),"",INDEX(TableDiv[[GASB]:[GASB]],_xlfn.AGGREGATE(15,3,(TableDiv[[Agency]:[Agency]]=$E14)/(TableDiv[[Agency]:[Agency]]=$E14)*(ROW(TableDiv[Agency])-ROW(TableDiv[[#Headers],[Agency]])),COLUMNS($F$7:L$7))))</f>
        <v>13710G</v>
      </c>
      <c r="M14" s="2223" t="str" cm="1">
        <f t="array" ref="M14">IF($D14&lt;COLUMNS($F$7:M$7),"",INDEX(TableDiv[[GASB]:[GASB]],_xlfn.AGGREGATE(15,3,(TableDiv[[Agency]:[Agency]]=$E14)/(TableDiv[[Agency]:[Agency]]=$E14)*(ROW(TableDiv[Agency])-ROW(TableDiv[[#Headers],[Agency]])),COLUMNS($F$7:M$7))))</f>
        <v>13940G</v>
      </c>
      <c r="N14" s="2223" t="str" cm="1">
        <f t="array" ref="N14">IF($D14&lt;COLUMNS($F$7:N$7),"",INDEX(TableDiv[[GASB]:[GASB]],_xlfn.AGGREGATE(15,3,(TableDiv[[Agency]:[Agency]]=$E14)/(TableDiv[[Agency]:[Agency]]=$E14)*(ROW(TableDiv[Agency])-ROW(TableDiv[[#Headers],[Agency]])),COLUMNS($F$7:N$7))))</f>
        <v>14240G</v>
      </c>
      <c r="O14" s="2223" t="str" cm="1">
        <f t="array" ref="O14">IF($D14&lt;COLUMNS($F$7:O$7),"",INDEX(TableDiv[[GASB]:[GASB]],_xlfn.AGGREGATE(15,3,(TableDiv[[Agency]:[Agency]]=$E14)/(TableDiv[[Agency]:[Agency]]=$E14)*(ROW(TableDiv[Agency])-ROW(TableDiv[[#Headers],[Agency]])),COLUMNS($F$7:O$7))))</f>
        <v>14290G</v>
      </c>
      <c r="P14" s="2223" t="str" cm="1">
        <f t="array" ref="P14">IF($D14&lt;COLUMNS($F$7:P$7),"",INDEX(TableDiv[[GASB]:[GASB]],_xlfn.AGGREGATE(15,3,(TableDiv[[Agency]:[Agency]]=$E14)/(TableDiv[[Agency]:[Agency]]=$E14)*(ROW(TableDiv[Agency])-ROW(TableDiv[[#Headers],[Agency]])),COLUMNS($F$7:P$7))))</f>
        <v>14300G</v>
      </c>
      <c r="Q14" s="2223" t="str" cm="1">
        <f t="array" ref="Q14">IF($D14&lt;COLUMNS($F$7:Q$7),"",INDEX(TableDiv[[GASB]:[GASB]],_xlfn.AGGREGATE(15,3,(TableDiv[[Agency]:[Agency]]=$E14)/(TableDiv[[Agency]:[Agency]]=$E14)*(ROW(TableDiv[Agency])-ROW(TableDiv[[#Headers],[Agency]])),COLUMNS($F$7:Q$7))))</f>
        <v>25350G</v>
      </c>
      <c r="R14" s="2223" t="str" cm="1">
        <f t="array" ref="R14">IF($D14&lt;COLUMNS($F$7:R$7),"",INDEX(TableDiv[[GASB]:[GASB]],_xlfn.AGGREGATE(15,3,(TableDiv[[Agency]:[Agency]]=$E14)/(TableDiv[[Agency]:[Agency]]=$E14)*(ROW(TableDiv[Agency])-ROW(TableDiv[[#Headers],[Agency]])),COLUMNS($F$7:R$7))))</f>
        <v>25360G</v>
      </c>
      <c r="S14" s="2223" t="str" cm="1">
        <f t="array" ref="S14">IF($D14&lt;COLUMNS($F$7:S$7),"",INDEX(TableDiv[[GASB]:[GASB]],_xlfn.AGGREGATE(15,3,(TableDiv[[Agency]:[Agency]]=$E14)/(TableDiv[[Agency]:[Agency]]=$E14)*(ROW(TableDiv[Agency])-ROW(TableDiv[[#Headers],[Agency]])),COLUMNS($F$7:S$7))))</f>
        <v>25370G</v>
      </c>
      <c r="T14" s="2223" t="str" cm="1">
        <f t="array" ref="T14">IF($D14&lt;COLUMNS($F$7:T$7),"",INDEX(TableDiv[[GASB]:[GASB]],_xlfn.AGGREGATE(15,3,(TableDiv[[Agency]:[Agency]]=$E14)/(TableDiv[[Agency]:[Agency]]=$E14)*(ROW(TableDiv[Agency])-ROW(TableDiv[[#Headers],[Agency]])),COLUMNS($F$7:T$7))))</f>
        <v>26290G</v>
      </c>
      <c r="U14" s="2223" t="str" cm="1">
        <f t="array" ref="U14">IF($D14&lt;COLUMNS($F$7:U$7),"",INDEX(TableDiv[[GASB]:[GASB]],_xlfn.AGGREGATE(15,3,(TableDiv[[Agency]:[Agency]]=$E14)/(TableDiv[[Agency]:[Agency]]=$E14)*(ROW(TableDiv[Agency])-ROW(TableDiv[[#Headers],[Agency]])),COLUMNS($F$7:U$7))))</f>
        <v>33110G</v>
      </c>
      <c r="V14" s="2223" t="str" cm="1">
        <f t="array" ref="V14">IF($D14&lt;COLUMNS($F$7:V$7),"",INDEX(TableDiv[[GASB]:[GASB]],_xlfn.AGGREGATE(15,3,(TableDiv[[Agency]:[Agency]]=$E14)/(TableDiv[[Agency]:[Agency]]=$E14)*(ROW(TableDiv[Agency])-ROW(TableDiv[[#Headers],[Agency]])),COLUMNS($F$7:V$7))))</f>
        <v>33120G</v>
      </c>
      <c r="W14" s="2223" t="str" cm="1">
        <f t="array" ref="W14">IF($D14&lt;COLUMNS($F$7:W$7),"",INDEX(TableDiv[[GASB]:[GASB]],_xlfn.AGGREGATE(15,3,(TableDiv[[Agency]:[Agency]]=$E14)/(TableDiv[[Agency]:[Agency]]=$E14)*(ROW(TableDiv[Agency])-ROW(TableDiv[[#Headers],[Agency]])),COLUMNS($F$7:W$7))))</f>
        <v>33140G</v>
      </c>
      <c r="X14" s="2223" t="str" cm="1">
        <f t="array" ref="X14">IF($D14&lt;COLUMNS($F$7:X$7),"",INDEX(TableDiv[[GASB]:[GASB]],_xlfn.AGGREGATE(15,3,(TableDiv[[Agency]:[Agency]]=$E14)/(TableDiv[[Agency]:[Agency]]=$E14)*(ROW(TableDiv[Agency])-ROW(TableDiv[[#Headers],[Agency]])),COLUMNS($F$7:X$7))))</f>
        <v>33150G</v>
      </c>
      <c r="Y14" s="2223" t="str" cm="1">
        <f t="array" ref="Y14">IF($D14&lt;COLUMNS($F$7:Y$7),"",INDEX(TableDiv[[GASB]:[GASB]],_xlfn.AGGREGATE(15,3,(TableDiv[[Agency]:[Agency]]=$E14)/(TableDiv[[Agency]:[Agency]]=$E14)*(ROW(TableDiv[Agency])-ROW(TableDiv[[#Headers],[Agency]])),COLUMNS($F$7:Y$7))))</f>
        <v>33160G</v>
      </c>
      <c r="Z14" s="2223" t="str" cm="1">
        <f t="array" ref="Z14">IF($D14&lt;COLUMNS($F$7:Z$7),"",INDEX(TableDiv[[GASB]:[GASB]],_xlfn.AGGREGATE(15,3,(TableDiv[[Agency]:[Agency]]=$E14)/(TableDiv[[Agency]:[Agency]]=$E14)*(ROW(TableDiv[Agency])-ROW(TableDiv[[#Headers],[Agency]])),COLUMNS($F$7:Z$7))))</f>
        <v>33170G</v>
      </c>
      <c r="AA14" s="2223" t="str" cm="1">
        <f t="array" ref="AA14">IF($D14&lt;COLUMNS($F$7:AA$7),"",INDEX(TableDiv[[GASB]:[GASB]],_xlfn.AGGREGATE(15,3,(TableDiv[[Agency]:[Agency]]=$E14)/(TableDiv[[Agency]:[Agency]]=$E14)*(ROW(TableDiv[Agency])-ROW(TableDiv[[#Headers],[Agency]])),COLUMNS($F$7:AA$7))))</f>
        <v>33190G</v>
      </c>
      <c r="AB14" s="2223" t="str" cm="1">
        <f t="array" ref="AB14">IF($D14&lt;COLUMNS($F$7:AB$7),"",INDEX(TableDiv[[GASB]:[GASB]],_xlfn.AGGREGATE(15,3,(TableDiv[[Agency]:[Agency]]=$E14)/(TableDiv[[Agency]:[Agency]]=$E14)*(ROW(TableDiv[Agency])-ROW(TableDiv[[#Headers],[Agency]])),COLUMNS($F$7:AB$7))))</f>
        <v>33210G</v>
      </c>
      <c r="AC14" s="2223" t="str" cm="1">
        <f t="array" ref="AC14">IF($D14&lt;COLUMNS($F$7:AC$7),"",INDEX(TableDiv[[GASB]:[GASB]],_xlfn.AGGREGATE(15,3,(TableDiv[[Agency]:[Agency]]=$E14)/(TableDiv[[Agency]:[Agency]]=$E14)*(ROW(TableDiv[Agency])-ROW(TableDiv[[#Headers],[Agency]])),COLUMNS($F$7:AC$7))))</f>
        <v>33220G</v>
      </c>
      <c r="AD14" s="2223" t="str" cm="1">
        <f t="array" ref="AD14">IF($D14&lt;COLUMNS($F$7:AD$7),"",INDEX(TableDiv[[GASB]:[GASB]],_xlfn.AGGREGATE(15,3,(TableDiv[[Agency]:[Agency]]=$E14)/(TableDiv[[Agency]:[Agency]]=$E14)*(ROW(TableDiv[Agency])-ROW(TableDiv[[#Headers],[Agency]])),COLUMNS($F$7:AD$7))))</f>
        <v>33250G</v>
      </c>
      <c r="AE14" s="2223" t="str" cm="1">
        <f t="array" ref="AE14">IF($D14&lt;COLUMNS($F$7:AE$7),"",INDEX(TableDiv[[GASB]:[GASB]],_xlfn.AGGREGATE(15,3,(TableDiv[[Agency]:[Agency]]=$E14)/(TableDiv[[Agency]:[Agency]]=$E14)*(ROW(TableDiv[Agency])-ROW(TableDiv[[#Headers],[Agency]])),COLUMNS($F$7:AE$7))))</f>
        <v>34010G</v>
      </c>
      <c r="AF14" s="2223" t="str" cm="1">
        <f t="array" ref="AF14">IF($D14&lt;COLUMNS($F$7:AF$7),"",INDEX(TableDiv[[GASB]:[GASB]],_xlfn.AGGREGATE(15,3,(TableDiv[[Agency]:[Agency]]=$E14)/(TableDiv[[Agency]:[Agency]]=$E14)*(ROW(TableDiv[Agency])-ROW(TableDiv[[#Headers],[Agency]])),COLUMNS($F$7:AF$7))))</f>
        <v>35000G</v>
      </c>
      <c r="AG14" s="2223" t="str" cm="1">
        <f t="array" ref="AG14">IF($D14&lt;COLUMNS($F$7:AG$7),"",INDEX(TableDiv[[GASB]:[GASB]],_xlfn.AGGREGATE(15,3,(TableDiv[[Agency]:[Agency]]=$E14)/(TableDiv[[Agency]:[Agency]]=$E14)*(ROW(TableDiv[Agency])-ROW(TableDiv[[#Headers],[Agency]])),COLUMNS($F$7:AG$7))))</f>
        <v>39000G</v>
      </c>
      <c r="AH14" s="2223" t="str" cm="1">
        <f t="array" ref="AH14">IF($D14&lt;COLUMNS($F$7:AH$7),"",INDEX(TableDiv[[GASB]:[GASB]],_xlfn.AGGREGATE(15,3,(TableDiv[[Agency]:[Agency]]=$E14)/(TableDiv[[Agency]:[Agency]]=$E14)*(ROW(TableDiv[Agency])-ROW(TableDiv[[#Headers],[Agency]])),COLUMNS($F$7:AH$7))))</f>
        <v>39190G</v>
      </c>
      <c r="AI14" s="2223" t="str" cm="1">
        <f t="array" ref="AI14">IF($D14&lt;COLUMNS($F$7:AI$7),"",INDEX(TableDiv[[GASB]:[GASB]],_xlfn.AGGREGATE(15,3,(TableDiv[[Agency]:[Agency]]=$E14)/(TableDiv[[Agency]:[Agency]]=$E14)*(ROW(TableDiv[Agency])-ROW(TableDiv[[#Headers],[Agency]])),COLUMNS($F$7:AI$7))))</f>
        <v>39200G</v>
      </c>
      <c r="AJ14" s="2223" t="str" cm="1">
        <f t="array" ref="AJ14">IF($D14&lt;COLUMNS($F$7:AJ$7),"",INDEX(TableDiv[[GASB]:[GASB]],_xlfn.AGGREGATE(15,3,(TableDiv[[Agency]:[Agency]]=$E14)/(TableDiv[[Agency]:[Agency]]=$E14)*(ROW(TableDiv[Agency])-ROW(TableDiv[[#Headers],[Agency]])),COLUMNS($F$7:AJ$7))))</f>
        <v>39210G</v>
      </c>
      <c r="AK14" s="2223" t="str" cm="1">
        <f t="array" ref="AK14">IF($D14&lt;COLUMNS($F$7:AK$7),"",INDEX(TableDiv[[GASB]:[GASB]],_xlfn.AGGREGATE(15,3,(TableDiv[[Agency]:[Agency]]=$E14)/(TableDiv[[Agency]:[Agency]]=$E14)*(ROW(TableDiv[Agency])-ROW(TableDiv[[#Headers],[Agency]])),COLUMNS($F$7:AK$7))))</f>
        <v>39220G</v>
      </c>
      <c r="AL14" s="2223" t="str" cm="1">
        <f t="array" ref="AL14">IF($D14&lt;COLUMNS($F$7:AL$7),"",INDEX(TableDiv[[GASB]:[GASB]],_xlfn.AGGREGATE(15,3,(TableDiv[[Agency]:[Agency]]=$E14)/(TableDiv[[Agency]:[Agency]]=$E14)*(ROW(TableDiv[Agency])-ROW(TableDiv[[#Headers],[Agency]])),COLUMNS($F$7:AL$7))))</f>
        <v/>
      </c>
      <c r="AM14" s="2223" t="str" cm="1">
        <f t="array" ref="AM14">IF($D14&lt;COLUMNS($F$7:AM$7),"",INDEX(TableDiv[[GASB]:[GASB]],_xlfn.AGGREGATE(15,3,(TableDiv[[Agency]:[Agency]]=$E14)/(TableDiv[[Agency]:[Agency]]=$E14)*(ROW(TableDiv[Agency])-ROW(TableDiv[[#Headers],[Agency]])),COLUMNS($F$7:AM$7))))</f>
        <v/>
      </c>
      <c r="AN14" s="2223" t="str" cm="1">
        <f t="array" ref="AN14">IF($D14&lt;COLUMNS($F$7:AN$7),"",INDEX(TableDiv[[GASB]:[GASB]],_xlfn.AGGREGATE(15,3,(TableDiv[[Agency]:[Agency]]=$E14)/(TableDiv[[Agency]:[Agency]]=$E14)*(ROW(TableDiv[Agency])-ROW(TableDiv[[#Headers],[Agency]])),COLUMNS($F$7:AN$7))))</f>
        <v/>
      </c>
      <c r="AO14" s="2223" t="str" cm="1">
        <f t="array" ref="AO14">IF($D14&lt;COLUMNS($F$7:AO$7),"",INDEX(TableDiv[[GASB]:[GASB]],_xlfn.AGGREGATE(15,3,(TableDiv[[Agency]:[Agency]]=$E14)/(TableDiv[[Agency]:[Agency]]=$E14)*(ROW(TableDiv[Agency])-ROW(TableDiv[[#Headers],[Agency]])),COLUMNS($F$7:AO$7))))</f>
        <v/>
      </c>
      <c r="AP14" s="2223" t="str" cm="1">
        <f t="array" ref="AP14">IF($D14&lt;COLUMNS($F$7:AP$7),"",INDEX(TableDiv[[GASB]:[GASB]],_xlfn.AGGREGATE(15,3,(TableDiv[[Agency]:[Agency]]=$E14)/(TableDiv[[Agency]:[Agency]]=$E14)*(ROW(TableDiv[Agency])-ROW(TableDiv[[#Headers],[Agency]])),COLUMNS($F$7:AP$7))))</f>
        <v/>
      </c>
      <c r="AQ14" s="2223" t="str" cm="1">
        <f t="array" ref="AQ14">IF($D14&lt;COLUMNS($F$7:AQ$7),"",INDEX(TableDiv[[GASB]:[GASB]],_xlfn.AGGREGATE(15,3,(TableDiv[[Agency]:[Agency]]=$E14)/(TableDiv[[Agency]:[Agency]]=$E14)*(ROW(TableDiv[Agency])-ROW(TableDiv[[#Headers],[Agency]])),COLUMNS($F$7:AQ$7))))</f>
        <v/>
      </c>
      <c r="AR14" s="2223" t="str" cm="1">
        <f t="array" ref="AR14">IF($D14&lt;COLUMNS($F$7:AR$7),"",INDEX(TableDiv[[GASB]:[GASB]],_xlfn.AGGREGATE(15,3,(TableDiv[[Agency]:[Agency]]=$E14)/(TableDiv[[Agency]:[Agency]]=$E14)*(ROW(TableDiv[Agency])-ROW(TableDiv[[#Headers],[Agency]])),COLUMNS($F$7:AR$7))))</f>
        <v/>
      </c>
      <c r="AS14" s="2223" t="str" cm="1">
        <f t="array" ref="AS14">IF($D14&lt;COLUMNS($F$7:AS$7),"",INDEX(TableDiv[[GASB]:[GASB]],_xlfn.AGGREGATE(15,3,(TableDiv[[Agency]:[Agency]]=$E14)/(TableDiv[[Agency]:[Agency]]=$E14)*(ROW(TableDiv[Agency])-ROW(TableDiv[[#Headers],[Agency]])),COLUMNS($F$7:AS$7))))</f>
        <v/>
      </c>
    </row>
    <row r="15" spans="1:45" ht="15" x14ac:dyDescent="0.25">
      <c r="A15" s="2219" t="s">
        <v>1879</v>
      </c>
      <c r="B15" s="2219" t="s">
        <v>6357</v>
      </c>
      <c r="C15" s="2223"/>
      <c r="D15" s="2223">
        <f>COUNTIF(TableDiv[Agency],E15)</f>
        <v>12</v>
      </c>
      <c r="E15" s="2230" t="str" cm="1">
        <f t="array" ref="E15">IFERROR(INDEX(TableDiv[Agency],MATCH(0,INDEX(COUNTIF($E$7:E14,TableDiv[Agency]),),0)),"")</f>
        <v>0800</v>
      </c>
      <c r="F15" s="2223" t="str" cm="1">
        <f t="array" ref="F15">IF($D15&lt;COLUMNS($F$7:F$7),"",INDEX(TableDiv[[GASB]:[GASB]],_xlfn.AGGREGATE(15,3,(TableDiv[[Agency]:[Agency]]=$E15)/(TableDiv[[Agency]:[Agency]]=$E15)*(ROW(TableDiv[Agency])-ROW(TableDiv[[#Headers],[Agency]])),COLUMNS($F$7:F$7))))</f>
        <v>11000G</v>
      </c>
      <c r="G15" s="2223" t="str" cm="1">
        <f t="array" ref="G15">IF($D15&lt;COLUMNS($F$7:G$7),"",INDEX(TableDiv[[GASB]:[GASB]],_xlfn.AGGREGATE(15,3,(TableDiv[[Agency]:[Agency]]=$E15)/(TableDiv[[Agency]:[Agency]]=$E15)*(ROW(TableDiv[Agency])-ROW(TableDiv[[#Headers],[Agency]])),COLUMNS($F$7:G$7))))</f>
        <v>11020G</v>
      </c>
      <c r="H15" s="2223" t="str" cm="1">
        <f t="array" ref="H15">IF($D15&lt;COLUMNS($F$7:H$7),"",INDEX(TableDiv[[GASB]:[GASB]],_xlfn.AGGREGATE(15,3,(TableDiv[[Agency]:[Agency]]=$E15)/(TableDiv[[Agency]:[Agency]]=$E15)*(ROW(TableDiv[Agency])-ROW(TableDiv[[#Headers],[Agency]])),COLUMNS($F$7:H$7))))</f>
        <v>11030G</v>
      </c>
      <c r="I15" s="2223" t="str" cm="1">
        <f t="array" ref="I15">IF($D15&lt;COLUMNS($F$7:I$7),"",INDEX(TableDiv[[GASB]:[GASB]],_xlfn.AGGREGATE(15,3,(TableDiv[[Agency]:[Agency]]=$E15)/(TableDiv[[Agency]:[Agency]]=$E15)*(ROW(TableDiv[Agency])-ROW(TableDiv[[#Headers],[Agency]])),COLUMNS($F$7:I$7))))</f>
        <v>11060G</v>
      </c>
      <c r="J15" s="2223" t="str" cm="1">
        <f t="array" ref="J15">IF($D15&lt;COLUMNS($F$7:J$7),"",INDEX(TableDiv[[GASB]:[GASB]],_xlfn.AGGREGATE(15,3,(TableDiv[[Agency]:[Agency]]=$E15)/(TableDiv[[Agency]:[Agency]]=$E15)*(ROW(TableDiv[Agency])-ROW(TableDiv[[#Headers],[Agency]])),COLUMNS($F$7:J$7))))</f>
        <v>11150G</v>
      </c>
      <c r="K15" s="2223" t="str" cm="1">
        <f t="array" ref="K15">IF($D15&lt;COLUMNS($F$7:K$7),"",INDEX(TableDiv[[GASB]:[GASB]],_xlfn.AGGREGATE(15,3,(TableDiv[[Agency]:[Agency]]=$E15)/(TableDiv[[Agency]:[Agency]]=$E15)*(ROW(TableDiv[Agency])-ROW(TableDiv[[#Headers],[Agency]])),COLUMNS($F$7:K$7))))</f>
        <v>11160G</v>
      </c>
      <c r="L15" s="2223" t="str" cm="1">
        <f t="array" ref="L15">IF($D15&lt;COLUMNS($F$7:L$7),"",INDEX(TableDiv[[GASB]:[GASB]],_xlfn.AGGREGATE(15,3,(TableDiv[[Agency]:[Agency]]=$E15)/(TableDiv[[Agency]:[Agency]]=$E15)*(ROW(TableDiv[Agency])-ROW(TableDiv[[#Headers],[Agency]])),COLUMNS($F$7:L$7))))</f>
        <v>11180G</v>
      </c>
      <c r="M15" s="2223" t="str" cm="1">
        <f t="array" ref="M15">IF($D15&lt;COLUMNS($F$7:M$7),"",INDEX(TableDiv[[GASB]:[GASB]],_xlfn.AGGREGATE(15,3,(TableDiv[[Agency]:[Agency]]=$E15)/(TableDiv[[Agency]:[Agency]]=$E15)*(ROW(TableDiv[Agency])-ROW(TableDiv[[#Headers],[Agency]])),COLUMNS($F$7:M$7))))</f>
        <v>13030G</v>
      </c>
      <c r="N15" s="2223" t="str" cm="1">
        <f t="array" ref="N15">IF($D15&lt;COLUMNS($F$7:N$7),"",INDEX(TableDiv[[GASB]:[GASB]],_xlfn.AGGREGATE(15,3,(TableDiv[[Agency]:[Agency]]=$E15)/(TableDiv[[Agency]:[Agency]]=$E15)*(ROW(TableDiv[Agency])-ROW(TableDiv[[#Headers],[Agency]])),COLUMNS($F$7:N$7))))</f>
        <v>14000G</v>
      </c>
      <c r="O15" s="2223" t="str" cm="1">
        <f t="array" ref="O15">IF($D15&lt;COLUMNS($F$7:O$7),"",INDEX(TableDiv[[GASB]:[GASB]],_xlfn.AGGREGATE(15,3,(TableDiv[[Agency]:[Agency]]=$E15)/(TableDiv[[Agency]:[Agency]]=$E15)*(ROW(TableDiv[Agency])-ROW(TableDiv[[#Headers],[Agency]])),COLUMNS($F$7:O$7))))</f>
        <v>14260G</v>
      </c>
      <c r="P15" s="2223" t="str" cm="1">
        <f t="array" ref="P15">IF($D15&lt;COLUMNS($F$7:P$7),"",INDEX(TableDiv[[GASB]:[GASB]],_xlfn.AGGREGATE(15,3,(TableDiv[[Agency]:[Agency]]=$E15)/(TableDiv[[Agency]:[Agency]]=$E15)*(ROW(TableDiv[Agency])-ROW(TableDiv[[#Headers],[Agency]])),COLUMNS($F$7:P$7))))</f>
        <v>25310G</v>
      </c>
      <c r="Q15" s="2223" t="str" cm="1">
        <f t="array" ref="Q15">IF($D15&lt;COLUMNS($F$7:Q$7),"",INDEX(TableDiv[[GASB]:[GASB]],_xlfn.AGGREGATE(15,3,(TableDiv[[Agency]:[Agency]]=$E15)/(TableDiv[[Agency]:[Agency]]=$E15)*(ROW(TableDiv[Agency])-ROW(TableDiv[[#Headers],[Agency]])),COLUMNS($F$7:Q$7))))</f>
        <v>39000G</v>
      </c>
      <c r="R15" s="2223" t="str" cm="1">
        <f t="array" ref="R15">IF($D15&lt;COLUMNS($F$7:R$7),"",INDEX(TableDiv[[GASB]:[GASB]],_xlfn.AGGREGATE(15,3,(TableDiv[[Agency]:[Agency]]=$E15)/(TableDiv[[Agency]:[Agency]]=$E15)*(ROW(TableDiv[Agency])-ROW(TableDiv[[#Headers],[Agency]])),COLUMNS($F$7:R$7))))</f>
        <v/>
      </c>
      <c r="S15" s="2223" t="str" cm="1">
        <f t="array" ref="S15">IF($D15&lt;COLUMNS($F$7:S$7),"",INDEX(TableDiv[[GASB]:[GASB]],_xlfn.AGGREGATE(15,3,(TableDiv[[Agency]:[Agency]]=$E15)/(TableDiv[[Agency]:[Agency]]=$E15)*(ROW(TableDiv[Agency])-ROW(TableDiv[[#Headers],[Agency]])),COLUMNS($F$7:S$7))))</f>
        <v/>
      </c>
      <c r="T15" s="2223" t="str" cm="1">
        <f t="array" ref="T15">IF($D15&lt;COLUMNS($F$7:T$7),"",INDEX(TableDiv[[GASB]:[GASB]],_xlfn.AGGREGATE(15,3,(TableDiv[[Agency]:[Agency]]=$E15)/(TableDiv[[Agency]:[Agency]]=$E15)*(ROW(TableDiv[Agency])-ROW(TableDiv[[#Headers],[Agency]])),COLUMNS($F$7:T$7))))</f>
        <v/>
      </c>
      <c r="U15" s="2223" t="str" cm="1">
        <f t="array" ref="U15">IF($D15&lt;COLUMNS($F$7:U$7),"",INDEX(TableDiv[[GASB]:[GASB]],_xlfn.AGGREGATE(15,3,(TableDiv[[Agency]:[Agency]]=$E15)/(TableDiv[[Agency]:[Agency]]=$E15)*(ROW(TableDiv[Agency])-ROW(TableDiv[[#Headers],[Agency]])),COLUMNS($F$7:U$7))))</f>
        <v/>
      </c>
      <c r="V15" s="2223" t="str" cm="1">
        <f t="array" ref="V15">IF($D15&lt;COLUMNS($F$7:V$7),"",INDEX(TableDiv[[GASB]:[GASB]],_xlfn.AGGREGATE(15,3,(TableDiv[[Agency]:[Agency]]=$E15)/(TableDiv[[Agency]:[Agency]]=$E15)*(ROW(TableDiv[Agency])-ROW(TableDiv[[#Headers],[Agency]])),COLUMNS($F$7:V$7))))</f>
        <v/>
      </c>
      <c r="W15" s="2223" t="str" cm="1">
        <f t="array" ref="W15">IF($D15&lt;COLUMNS($F$7:W$7),"",INDEX(TableDiv[[GASB]:[GASB]],_xlfn.AGGREGATE(15,3,(TableDiv[[Agency]:[Agency]]=$E15)/(TableDiv[[Agency]:[Agency]]=$E15)*(ROW(TableDiv[Agency])-ROW(TableDiv[[#Headers],[Agency]])),COLUMNS($F$7:W$7))))</f>
        <v/>
      </c>
      <c r="X15" s="2223" t="str" cm="1">
        <f t="array" ref="X15">IF($D15&lt;COLUMNS($F$7:X$7),"",INDEX(TableDiv[[GASB]:[GASB]],_xlfn.AGGREGATE(15,3,(TableDiv[[Agency]:[Agency]]=$E15)/(TableDiv[[Agency]:[Agency]]=$E15)*(ROW(TableDiv[Agency])-ROW(TableDiv[[#Headers],[Agency]])),COLUMNS($F$7:X$7))))</f>
        <v/>
      </c>
      <c r="Y15" s="2223" t="str" cm="1">
        <f t="array" ref="Y15">IF($D15&lt;COLUMNS($F$7:Y$7),"",INDEX(TableDiv[[GASB]:[GASB]],_xlfn.AGGREGATE(15,3,(TableDiv[[Agency]:[Agency]]=$E15)/(TableDiv[[Agency]:[Agency]]=$E15)*(ROW(TableDiv[Agency])-ROW(TableDiv[[#Headers],[Agency]])),COLUMNS($F$7:Y$7))))</f>
        <v/>
      </c>
      <c r="Z15" s="2223" t="str" cm="1">
        <f t="array" ref="Z15">IF($D15&lt;COLUMNS($F$7:Z$7),"",INDEX(TableDiv[[GASB]:[GASB]],_xlfn.AGGREGATE(15,3,(TableDiv[[Agency]:[Agency]]=$E15)/(TableDiv[[Agency]:[Agency]]=$E15)*(ROW(TableDiv[Agency])-ROW(TableDiv[[#Headers],[Agency]])),COLUMNS($F$7:Z$7))))</f>
        <v/>
      </c>
      <c r="AA15" s="2223" t="str" cm="1">
        <f t="array" ref="AA15">IF($D15&lt;COLUMNS($F$7:AA$7),"",INDEX(TableDiv[[GASB]:[GASB]],_xlfn.AGGREGATE(15,3,(TableDiv[[Agency]:[Agency]]=$E15)/(TableDiv[[Agency]:[Agency]]=$E15)*(ROW(TableDiv[Agency])-ROW(TableDiv[[#Headers],[Agency]])),COLUMNS($F$7:AA$7))))</f>
        <v/>
      </c>
      <c r="AB15" s="2223" t="str" cm="1">
        <f t="array" ref="AB15">IF($D15&lt;COLUMNS($F$7:AB$7),"",INDEX(TableDiv[[GASB]:[GASB]],_xlfn.AGGREGATE(15,3,(TableDiv[[Agency]:[Agency]]=$E15)/(TableDiv[[Agency]:[Agency]]=$E15)*(ROW(TableDiv[Agency])-ROW(TableDiv[[#Headers],[Agency]])),COLUMNS($F$7:AB$7))))</f>
        <v/>
      </c>
      <c r="AC15" s="2223" t="str" cm="1">
        <f t="array" ref="AC15">IF($D15&lt;COLUMNS($F$7:AC$7),"",INDEX(TableDiv[[GASB]:[GASB]],_xlfn.AGGREGATE(15,3,(TableDiv[[Agency]:[Agency]]=$E15)/(TableDiv[[Agency]:[Agency]]=$E15)*(ROW(TableDiv[Agency])-ROW(TableDiv[[#Headers],[Agency]])),COLUMNS($F$7:AC$7))))</f>
        <v/>
      </c>
      <c r="AD15" s="2223" t="str" cm="1">
        <f t="array" ref="AD15">IF($D15&lt;COLUMNS($F$7:AD$7),"",INDEX(TableDiv[[GASB]:[GASB]],_xlfn.AGGREGATE(15,3,(TableDiv[[Agency]:[Agency]]=$E15)/(TableDiv[[Agency]:[Agency]]=$E15)*(ROW(TableDiv[Agency])-ROW(TableDiv[[#Headers],[Agency]])),COLUMNS($F$7:AD$7))))</f>
        <v/>
      </c>
      <c r="AE15" s="2223" t="str" cm="1">
        <f t="array" ref="AE15">IF($D15&lt;COLUMNS($F$7:AE$7),"",INDEX(TableDiv[[GASB]:[GASB]],_xlfn.AGGREGATE(15,3,(TableDiv[[Agency]:[Agency]]=$E15)/(TableDiv[[Agency]:[Agency]]=$E15)*(ROW(TableDiv[Agency])-ROW(TableDiv[[#Headers],[Agency]])),COLUMNS($F$7:AE$7))))</f>
        <v/>
      </c>
      <c r="AF15" s="2223" t="str" cm="1">
        <f t="array" ref="AF15">IF($D15&lt;COLUMNS($F$7:AF$7),"",INDEX(TableDiv[[GASB]:[GASB]],_xlfn.AGGREGATE(15,3,(TableDiv[[Agency]:[Agency]]=$E15)/(TableDiv[[Agency]:[Agency]]=$E15)*(ROW(TableDiv[Agency])-ROW(TableDiv[[#Headers],[Agency]])),COLUMNS($F$7:AF$7))))</f>
        <v/>
      </c>
      <c r="AG15" s="2223" t="str" cm="1">
        <f t="array" ref="AG15">IF($D15&lt;COLUMNS($F$7:AG$7),"",INDEX(TableDiv[[GASB]:[GASB]],_xlfn.AGGREGATE(15,3,(TableDiv[[Agency]:[Agency]]=$E15)/(TableDiv[[Agency]:[Agency]]=$E15)*(ROW(TableDiv[Agency])-ROW(TableDiv[[#Headers],[Agency]])),COLUMNS($F$7:AG$7))))</f>
        <v/>
      </c>
      <c r="AH15" s="2223" t="str" cm="1">
        <f t="array" ref="AH15">IF($D15&lt;COLUMNS($F$7:AH$7),"",INDEX(TableDiv[[GASB]:[GASB]],_xlfn.AGGREGATE(15,3,(TableDiv[[Agency]:[Agency]]=$E15)/(TableDiv[[Agency]:[Agency]]=$E15)*(ROW(TableDiv[Agency])-ROW(TableDiv[[#Headers],[Agency]])),COLUMNS($F$7:AH$7))))</f>
        <v/>
      </c>
      <c r="AI15" s="2223" t="str" cm="1">
        <f t="array" ref="AI15">IF($D15&lt;COLUMNS($F$7:AI$7),"",INDEX(TableDiv[[GASB]:[GASB]],_xlfn.AGGREGATE(15,3,(TableDiv[[Agency]:[Agency]]=$E15)/(TableDiv[[Agency]:[Agency]]=$E15)*(ROW(TableDiv[Agency])-ROW(TableDiv[[#Headers],[Agency]])),COLUMNS($F$7:AI$7))))</f>
        <v/>
      </c>
      <c r="AJ15" s="2223" t="str" cm="1">
        <f t="array" ref="AJ15">IF($D15&lt;COLUMNS($F$7:AJ$7),"",INDEX(TableDiv[[GASB]:[GASB]],_xlfn.AGGREGATE(15,3,(TableDiv[[Agency]:[Agency]]=$E15)/(TableDiv[[Agency]:[Agency]]=$E15)*(ROW(TableDiv[Agency])-ROW(TableDiv[[#Headers],[Agency]])),COLUMNS($F$7:AJ$7))))</f>
        <v/>
      </c>
      <c r="AK15" s="2223" t="str" cm="1">
        <f t="array" ref="AK15">IF($D15&lt;COLUMNS($F$7:AK$7),"",INDEX(TableDiv[[GASB]:[GASB]],_xlfn.AGGREGATE(15,3,(TableDiv[[Agency]:[Agency]]=$E15)/(TableDiv[[Agency]:[Agency]]=$E15)*(ROW(TableDiv[Agency])-ROW(TableDiv[[#Headers],[Agency]])),COLUMNS($F$7:AK$7))))</f>
        <v/>
      </c>
      <c r="AL15" s="2223" t="str" cm="1">
        <f t="array" ref="AL15">IF($D15&lt;COLUMNS($F$7:AL$7),"",INDEX(TableDiv[[GASB]:[GASB]],_xlfn.AGGREGATE(15,3,(TableDiv[[Agency]:[Agency]]=$E15)/(TableDiv[[Agency]:[Agency]]=$E15)*(ROW(TableDiv[Agency])-ROW(TableDiv[[#Headers],[Agency]])),COLUMNS($F$7:AL$7))))</f>
        <v/>
      </c>
      <c r="AM15" s="2223" t="str" cm="1">
        <f t="array" ref="AM15">IF($D15&lt;COLUMNS($F$7:AM$7),"",INDEX(TableDiv[[GASB]:[GASB]],_xlfn.AGGREGATE(15,3,(TableDiv[[Agency]:[Agency]]=$E15)/(TableDiv[[Agency]:[Agency]]=$E15)*(ROW(TableDiv[Agency])-ROW(TableDiv[[#Headers],[Agency]])),COLUMNS($F$7:AM$7))))</f>
        <v/>
      </c>
      <c r="AN15" s="2223"/>
      <c r="AO15" s="2223"/>
      <c r="AP15" s="2223"/>
      <c r="AQ15" s="2223"/>
      <c r="AR15" s="2223"/>
      <c r="AS15" s="2223"/>
    </row>
    <row r="16" spans="1:45" ht="15" x14ac:dyDescent="0.25">
      <c r="A16" s="2219" t="s">
        <v>1879</v>
      </c>
      <c r="B16" s="2219" t="s">
        <v>1878</v>
      </c>
      <c r="C16" s="2223"/>
      <c r="D16" s="2223">
        <f>COUNTIF(TableDiv[Agency],E16)</f>
        <v>7</v>
      </c>
      <c r="E16" s="2230" t="str" cm="1">
        <f t="array" ref="E16">IFERROR(INDEX(TableDiv[Agency],MATCH(0,INDEX(COUNTIF($E$7:E15,TableDiv[Agency]),),0)),"")</f>
        <v>0900</v>
      </c>
      <c r="F16" s="2223" t="str" cm="1">
        <f t="array" ref="F16">IF($D16&lt;COLUMNS($F$7:F$7),"",INDEX(TableDiv[[GASB]:[GASB]],_xlfn.AGGREGATE(15,3,(TableDiv[[Agency]:[Agency]]=$E16)/(TableDiv[[Agency]:[Agency]]=$E16)*(ROW(TableDiv[Agency])-ROW(TableDiv[[#Headers],[Agency]])),COLUMNS($F$7:F$7))))</f>
        <v>11000G</v>
      </c>
      <c r="G16" s="2223" t="str" cm="1">
        <f t="array" ref="G16">IF($D16&lt;COLUMNS($F$7:G$7),"",INDEX(TableDiv[[GASB]:[GASB]],_xlfn.AGGREGATE(15,3,(TableDiv[[Agency]:[Agency]]=$E16)/(TableDiv[[Agency]:[Agency]]=$E16)*(ROW(TableDiv[Agency])-ROW(TableDiv[[#Headers],[Agency]])),COLUMNS($F$7:G$7))))</f>
        <v>11030G</v>
      </c>
      <c r="H16" s="2223" t="str" cm="1">
        <f t="array" ref="H16">IF($D16&lt;COLUMNS($F$7:H$7),"",INDEX(TableDiv[[GASB]:[GASB]],_xlfn.AGGREGATE(15,3,(TableDiv[[Agency]:[Agency]]=$E16)/(TableDiv[[Agency]:[Agency]]=$E16)*(ROW(TableDiv[Agency])-ROW(TableDiv[[#Headers],[Agency]])),COLUMNS($F$7:H$7))))</f>
        <v>12000G</v>
      </c>
      <c r="I16" s="2223" t="str" cm="1">
        <f t="array" ref="I16">IF($D16&lt;COLUMNS($F$7:I$7),"",INDEX(TableDiv[[GASB]:[GASB]],_xlfn.AGGREGATE(15,3,(TableDiv[[Agency]:[Agency]]=$E16)/(TableDiv[[Agency]:[Agency]]=$E16)*(ROW(TableDiv[Agency])-ROW(TableDiv[[#Headers],[Agency]])),COLUMNS($F$7:I$7))))</f>
        <v>14000G</v>
      </c>
      <c r="J16" s="2223" t="str" cm="1">
        <f t="array" ref="J16">IF($D16&lt;COLUMNS($F$7:J$7),"",INDEX(TableDiv[[GASB]:[GASB]],_xlfn.AGGREGATE(15,3,(TableDiv[[Agency]:[Agency]]=$E16)/(TableDiv[[Agency]:[Agency]]=$E16)*(ROW(TableDiv[Agency])-ROW(TableDiv[[#Headers],[Agency]])),COLUMNS($F$7:J$7))))</f>
        <v>14260G</v>
      </c>
      <c r="K16" s="2223" t="str" cm="1">
        <f t="array" ref="K16">IF($D16&lt;COLUMNS($F$7:K$7),"",INDEX(TableDiv[[GASB]:[GASB]],_xlfn.AGGREGATE(15,3,(TableDiv[[Agency]:[Agency]]=$E16)/(TableDiv[[Agency]:[Agency]]=$E16)*(ROW(TableDiv[Agency])-ROW(TableDiv[[#Headers],[Agency]])),COLUMNS($F$7:K$7))))</f>
        <v>25440G</v>
      </c>
      <c r="L16" s="2223" t="str" cm="1">
        <f t="array" ref="L16">IF($D16&lt;COLUMNS($F$7:L$7),"",INDEX(TableDiv[[GASB]:[GASB]],_xlfn.AGGREGATE(15,3,(TableDiv[[Agency]:[Agency]]=$E16)/(TableDiv[[Agency]:[Agency]]=$E16)*(ROW(TableDiv[Agency])-ROW(TableDiv[[#Headers],[Agency]])),COLUMNS($F$7:L$7))))</f>
        <v>33230G</v>
      </c>
      <c r="M16" s="2223" t="str" cm="1">
        <f t="array" ref="M16">IF($D16&lt;COLUMNS($F$7:M$7),"",INDEX(TableDiv[[GASB]:[GASB]],_xlfn.AGGREGATE(15,3,(TableDiv[[Agency]:[Agency]]=$E16)/(TableDiv[[Agency]:[Agency]]=$E16)*(ROW(TableDiv[Agency])-ROW(TableDiv[[#Headers],[Agency]])),COLUMNS($F$7:M$7))))</f>
        <v/>
      </c>
      <c r="N16" s="2223" t="str" cm="1">
        <f t="array" ref="N16">IF($D16&lt;COLUMNS($F$7:N$7),"",INDEX(TableDiv[[GASB]:[GASB]],_xlfn.AGGREGATE(15,3,(TableDiv[[Agency]:[Agency]]=$E16)/(TableDiv[[Agency]:[Agency]]=$E16)*(ROW(TableDiv[Agency])-ROW(TableDiv[[#Headers],[Agency]])),COLUMNS($F$7:N$7))))</f>
        <v/>
      </c>
      <c r="O16" s="2223" t="str" cm="1">
        <f t="array" ref="O16">IF($D16&lt;COLUMNS($F$7:O$7),"",INDEX(TableDiv[[GASB]:[GASB]],_xlfn.AGGREGATE(15,3,(TableDiv[[Agency]:[Agency]]=$E16)/(TableDiv[[Agency]:[Agency]]=$E16)*(ROW(TableDiv[Agency])-ROW(TableDiv[[#Headers],[Agency]])),COLUMNS($F$7:O$7))))</f>
        <v/>
      </c>
      <c r="P16" s="2223" t="str" cm="1">
        <f t="array" ref="P16">IF($D16&lt;COLUMNS($F$7:P$7),"",INDEX(TableDiv[[GASB]:[GASB]],_xlfn.AGGREGATE(15,3,(TableDiv[[Agency]:[Agency]]=$E16)/(TableDiv[[Agency]:[Agency]]=$E16)*(ROW(TableDiv[Agency])-ROW(TableDiv[[#Headers],[Agency]])),COLUMNS($F$7:P$7))))</f>
        <v/>
      </c>
      <c r="Q16" s="2223" t="str" cm="1">
        <f t="array" ref="Q16">IF($D16&lt;COLUMNS($F$7:Q$7),"",INDEX(TableDiv[[GASB]:[GASB]],_xlfn.AGGREGATE(15,3,(TableDiv[[Agency]:[Agency]]=$E16)/(TableDiv[[Agency]:[Agency]]=$E16)*(ROW(TableDiv[Agency])-ROW(TableDiv[[#Headers],[Agency]])),COLUMNS($F$7:Q$7))))</f>
        <v/>
      </c>
      <c r="R16" s="2223" t="str" cm="1">
        <f t="array" ref="R16">IF($D16&lt;COLUMNS($F$7:R$7),"",INDEX(TableDiv[[GASB]:[GASB]],_xlfn.AGGREGATE(15,3,(TableDiv[[Agency]:[Agency]]=$E16)/(TableDiv[[Agency]:[Agency]]=$E16)*(ROW(TableDiv[Agency])-ROW(TableDiv[[#Headers],[Agency]])),COLUMNS($F$7:R$7))))</f>
        <v/>
      </c>
      <c r="S16" s="2223" t="str" cm="1">
        <f t="array" ref="S16">IF($D16&lt;COLUMNS($F$7:S$7),"",INDEX(TableDiv[[GASB]:[GASB]],_xlfn.AGGREGATE(15,3,(TableDiv[[Agency]:[Agency]]=$E16)/(TableDiv[[Agency]:[Agency]]=$E16)*(ROW(TableDiv[Agency])-ROW(TableDiv[[#Headers],[Agency]])),COLUMNS($F$7:S$7))))</f>
        <v/>
      </c>
      <c r="T16" s="2223" t="str" cm="1">
        <f t="array" ref="T16">IF($D16&lt;COLUMNS($F$7:T$7),"",INDEX(TableDiv[[GASB]:[GASB]],_xlfn.AGGREGATE(15,3,(TableDiv[[Agency]:[Agency]]=$E16)/(TableDiv[[Agency]:[Agency]]=$E16)*(ROW(TableDiv[Agency])-ROW(TableDiv[[#Headers],[Agency]])),COLUMNS($F$7:T$7))))</f>
        <v/>
      </c>
      <c r="U16" s="2223" t="str" cm="1">
        <f t="array" ref="U16">IF($D16&lt;COLUMNS($F$7:U$7),"",INDEX(TableDiv[[GASB]:[GASB]],_xlfn.AGGREGATE(15,3,(TableDiv[[Agency]:[Agency]]=$E16)/(TableDiv[[Agency]:[Agency]]=$E16)*(ROW(TableDiv[Agency])-ROW(TableDiv[[#Headers],[Agency]])),COLUMNS($F$7:U$7))))</f>
        <v/>
      </c>
      <c r="V16" s="2223" t="str" cm="1">
        <f t="array" ref="V16">IF($D16&lt;COLUMNS($F$7:V$7),"",INDEX(TableDiv[[GASB]:[GASB]],_xlfn.AGGREGATE(15,3,(TableDiv[[Agency]:[Agency]]=$E16)/(TableDiv[[Agency]:[Agency]]=$E16)*(ROW(TableDiv[Agency])-ROW(TableDiv[[#Headers],[Agency]])),COLUMNS($F$7:V$7))))</f>
        <v/>
      </c>
      <c r="W16" s="2223" t="str" cm="1">
        <f t="array" ref="W16">IF($D16&lt;COLUMNS($F$7:W$7),"",INDEX(TableDiv[[GASB]:[GASB]],_xlfn.AGGREGATE(15,3,(TableDiv[[Agency]:[Agency]]=$E16)/(TableDiv[[Agency]:[Agency]]=$E16)*(ROW(TableDiv[Agency])-ROW(TableDiv[[#Headers],[Agency]])),COLUMNS($F$7:W$7))))</f>
        <v/>
      </c>
      <c r="X16" s="2223" t="str" cm="1">
        <f t="array" ref="X16">IF($D16&lt;COLUMNS($F$7:X$7),"",INDEX(TableDiv[[GASB]:[GASB]],_xlfn.AGGREGATE(15,3,(TableDiv[[Agency]:[Agency]]=$E16)/(TableDiv[[Agency]:[Agency]]=$E16)*(ROW(TableDiv[Agency])-ROW(TableDiv[[#Headers],[Agency]])),COLUMNS($F$7:X$7))))</f>
        <v/>
      </c>
      <c r="Y16" s="2223" t="str" cm="1">
        <f t="array" ref="Y16">IF($D16&lt;COLUMNS($F$7:Y$7),"",INDEX(TableDiv[[GASB]:[GASB]],_xlfn.AGGREGATE(15,3,(TableDiv[[Agency]:[Agency]]=$E16)/(TableDiv[[Agency]:[Agency]]=$E16)*(ROW(TableDiv[Agency])-ROW(TableDiv[[#Headers],[Agency]])),COLUMNS($F$7:Y$7))))</f>
        <v/>
      </c>
      <c r="Z16" s="2223" t="str" cm="1">
        <f t="array" ref="Z16">IF($D16&lt;COLUMNS($F$7:Z$7),"",INDEX(TableDiv[[GASB]:[GASB]],_xlfn.AGGREGATE(15,3,(TableDiv[[Agency]:[Agency]]=$E16)/(TableDiv[[Agency]:[Agency]]=$E16)*(ROW(TableDiv[Agency])-ROW(TableDiv[[#Headers],[Agency]])),COLUMNS($F$7:Z$7))))</f>
        <v/>
      </c>
      <c r="AA16" s="2223" t="str" cm="1">
        <f t="array" ref="AA16">IF($D16&lt;COLUMNS($F$7:AA$7),"",INDEX(TableDiv[[GASB]:[GASB]],_xlfn.AGGREGATE(15,3,(TableDiv[[Agency]:[Agency]]=$E16)/(TableDiv[[Agency]:[Agency]]=$E16)*(ROW(TableDiv[Agency])-ROW(TableDiv[[#Headers],[Agency]])),COLUMNS($F$7:AA$7))))</f>
        <v/>
      </c>
      <c r="AB16" s="2223" t="str" cm="1">
        <f t="array" ref="AB16">IF($D16&lt;COLUMNS($F$7:AB$7),"",INDEX(TableDiv[[GASB]:[GASB]],_xlfn.AGGREGATE(15,3,(TableDiv[[Agency]:[Agency]]=$E16)/(TableDiv[[Agency]:[Agency]]=$E16)*(ROW(TableDiv[Agency])-ROW(TableDiv[[#Headers],[Agency]])),COLUMNS($F$7:AB$7))))</f>
        <v/>
      </c>
      <c r="AC16" s="2223" t="str" cm="1">
        <f t="array" ref="AC16">IF($D16&lt;COLUMNS($F$7:AC$7),"",INDEX(TableDiv[[GASB]:[GASB]],_xlfn.AGGREGATE(15,3,(TableDiv[[Agency]:[Agency]]=$E16)/(TableDiv[[Agency]:[Agency]]=$E16)*(ROW(TableDiv[Agency])-ROW(TableDiv[[#Headers],[Agency]])),COLUMNS($F$7:AC$7))))</f>
        <v/>
      </c>
      <c r="AD16" s="2223" t="str" cm="1">
        <f t="array" ref="AD16">IF($D16&lt;COLUMNS($F$7:AD$7),"",INDEX(TableDiv[[GASB]:[GASB]],_xlfn.AGGREGATE(15,3,(TableDiv[[Agency]:[Agency]]=$E16)/(TableDiv[[Agency]:[Agency]]=$E16)*(ROW(TableDiv[Agency])-ROW(TableDiv[[#Headers],[Agency]])),COLUMNS($F$7:AD$7))))</f>
        <v/>
      </c>
      <c r="AE16" s="2223" t="str" cm="1">
        <f t="array" ref="AE16">IF($D16&lt;COLUMNS($F$7:AE$7),"",INDEX(TableDiv[[GASB]:[GASB]],_xlfn.AGGREGATE(15,3,(TableDiv[[Agency]:[Agency]]=$E16)/(TableDiv[[Agency]:[Agency]]=$E16)*(ROW(TableDiv[Agency])-ROW(TableDiv[[#Headers],[Agency]])),COLUMNS($F$7:AE$7))))</f>
        <v/>
      </c>
      <c r="AF16" s="2223" t="str" cm="1">
        <f t="array" ref="AF16">IF($D16&lt;COLUMNS($F$7:AF$7),"",INDEX(TableDiv[[GASB]:[GASB]],_xlfn.AGGREGATE(15,3,(TableDiv[[Agency]:[Agency]]=$E16)/(TableDiv[[Agency]:[Agency]]=$E16)*(ROW(TableDiv[Agency])-ROW(TableDiv[[#Headers],[Agency]])),COLUMNS($F$7:AF$7))))</f>
        <v/>
      </c>
      <c r="AG16" s="2223" t="str" cm="1">
        <f t="array" ref="AG16">IF($D16&lt;COLUMNS($F$7:AG$7),"",INDEX(TableDiv[[GASB]:[GASB]],_xlfn.AGGREGATE(15,3,(TableDiv[[Agency]:[Agency]]=$E16)/(TableDiv[[Agency]:[Agency]]=$E16)*(ROW(TableDiv[Agency])-ROW(TableDiv[[#Headers],[Agency]])),COLUMNS($F$7:AG$7))))</f>
        <v/>
      </c>
      <c r="AH16" s="2223" t="str" cm="1">
        <f t="array" ref="AH16">IF($D16&lt;COLUMNS($F$7:AH$7),"",INDEX(TableDiv[[GASB]:[GASB]],_xlfn.AGGREGATE(15,3,(TableDiv[[Agency]:[Agency]]=$E16)/(TableDiv[[Agency]:[Agency]]=$E16)*(ROW(TableDiv[Agency])-ROW(TableDiv[[#Headers],[Agency]])),COLUMNS($F$7:AH$7))))</f>
        <v/>
      </c>
      <c r="AI16" s="2223" t="str" cm="1">
        <f t="array" ref="AI16">IF($D16&lt;COLUMNS($F$7:AI$7),"",INDEX(TableDiv[[GASB]:[GASB]],_xlfn.AGGREGATE(15,3,(TableDiv[[Agency]:[Agency]]=$E16)/(TableDiv[[Agency]:[Agency]]=$E16)*(ROW(TableDiv[Agency])-ROW(TableDiv[[#Headers],[Agency]])),COLUMNS($F$7:AI$7))))</f>
        <v/>
      </c>
      <c r="AJ16" s="2223" t="str" cm="1">
        <f t="array" ref="AJ16">IF($D16&lt;COLUMNS($F$7:AJ$7),"",INDEX(TableDiv[[GASB]:[GASB]],_xlfn.AGGREGATE(15,3,(TableDiv[[Agency]:[Agency]]=$E16)/(TableDiv[[Agency]:[Agency]]=$E16)*(ROW(TableDiv[Agency])-ROW(TableDiv[[#Headers],[Agency]])),COLUMNS($F$7:AJ$7))))</f>
        <v/>
      </c>
      <c r="AK16" s="2223" t="str" cm="1">
        <f t="array" ref="AK16">IF($D16&lt;COLUMNS($F$7:AK$7),"",INDEX(TableDiv[[GASB]:[GASB]],_xlfn.AGGREGATE(15,3,(TableDiv[[Agency]:[Agency]]=$E16)/(TableDiv[[Agency]:[Agency]]=$E16)*(ROW(TableDiv[Agency])-ROW(TableDiv[[#Headers],[Agency]])),COLUMNS($F$7:AK$7))))</f>
        <v/>
      </c>
      <c r="AL16" s="2223" t="str" cm="1">
        <f t="array" ref="AL16">IF($D16&lt;COLUMNS($F$7:AL$7),"",INDEX(TableDiv[[GASB]:[GASB]],_xlfn.AGGREGATE(15,3,(TableDiv[[Agency]:[Agency]]=$E16)/(TableDiv[[Agency]:[Agency]]=$E16)*(ROW(TableDiv[Agency])-ROW(TableDiv[[#Headers],[Agency]])),COLUMNS($F$7:AL$7))))</f>
        <v/>
      </c>
      <c r="AM16" s="2223" t="str" cm="1">
        <f t="array" ref="AM16">IF($D16&lt;COLUMNS($F$7:AM$7),"",INDEX(TableDiv[[GASB]:[GASB]],_xlfn.AGGREGATE(15,3,(TableDiv[[Agency]:[Agency]]=$E16)/(TableDiv[[Agency]:[Agency]]=$E16)*(ROW(TableDiv[Agency])-ROW(TableDiv[[#Headers],[Agency]])),COLUMNS($F$7:AM$7))))</f>
        <v/>
      </c>
      <c r="AN16" s="2223"/>
      <c r="AO16" s="2223"/>
      <c r="AP16" s="2223"/>
      <c r="AQ16" s="2223"/>
      <c r="AR16" s="2223"/>
      <c r="AS16" s="2223"/>
    </row>
    <row r="17" spans="1:45" ht="15" x14ac:dyDescent="0.25">
      <c r="A17" s="2219" t="s">
        <v>1879</v>
      </c>
      <c r="B17" s="2219" t="s">
        <v>6365</v>
      </c>
      <c r="C17" s="2223"/>
      <c r="D17" s="2223">
        <f>COUNTIF(TableDiv[Agency],E17)</f>
        <v>13</v>
      </c>
      <c r="E17" s="2230" t="str" cm="1">
        <f t="array" ref="E17">IFERROR(INDEX(TableDiv[Agency],MATCH(0,INDEX(COUNTIF($E$7:E16,TableDiv[Agency]),),0)),"")</f>
        <v>1000</v>
      </c>
      <c r="F17" s="2223" t="str" cm="1">
        <f t="array" ref="F17">IF($D17&lt;COLUMNS($F$7:F$7),"",INDEX(TableDiv[[GASB]:[GASB]],_xlfn.AGGREGATE(15,3,(TableDiv[[Agency]:[Agency]]=$E17)/(TableDiv[[Agency]:[Agency]]=$E17)*(ROW(TableDiv[Agency])-ROW(TableDiv[[#Headers],[Agency]])),COLUMNS($F$7:F$7))))</f>
        <v>11000G</v>
      </c>
      <c r="G17" s="2223" t="str" cm="1">
        <f t="array" ref="G17">IF($D17&lt;COLUMNS($F$7:G$7),"",INDEX(TableDiv[[GASB]:[GASB]],_xlfn.AGGREGATE(15,3,(TableDiv[[Agency]:[Agency]]=$E17)/(TableDiv[[Agency]:[Agency]]=$E17)*(ROW(TableDiv[Agency])-ROW(TableDiv[[#Headers],[Agency]])),COLUMNS($F$7:G$7))))</f>
        <v>11020G</v>
      </c>
      <c r="H17" s="2223" t="str" cm="1">
        <f t="array" ref="H17">IF($D17&lt;COLUMNS($F$7:H$7),"",INDEX(TableDiv[[GASB]:[GASB]],_xlfn.AGGREGATE(15,3,(TableDiv[[Agency]:[Agency]]=$E17)/(TableDiv[[Agency]:[Agency]]=$E17)*(ROW(TableDiv[Agency])-ROW(TableDiv[[#Headers],[Agency]])),COLUMNS($F$7:H$7))))</f>
        <v>11030G</v>
      </c>
      <c r="I17" s="2223" t="str" cm="1">
        <f t="array" ref="I17">IF($D17&lt;COLUMNS($F$7:I$7),"",INDEX(TableDiv[[GASB]:[GASB]],_xlfn.AGGREGATE(15,3,(TableDiv[[Agency]:[Agency]]=$E17)/(TableDiv[[Agency]:[Agency]]=$E17)*(ROW(TableDiv[Agency])-ROW(TableDiv[[#Headers],[Agency]])),COLUMNS($F$7:I$7))))</f>
        <v>11060G</v>
      </c>
      <c r="J17" s="2223" t="str" cm="1">
        <f t="array" ref="J17">IF($D17&lt;COLUMNS($F$7:J$7),"",INDEX(TableDiv[[GASB]:[GASB]],_xlfn.AGGREGATE(15,3,(TableDiv[[Agency]:[Agency]]=$E17)/(TableDiv[[Agency]:[Agency]]=$E17)*(ROW(TableDiv[Agency])-ROW(TableDiv[[#Headers],[Agency]])),COLUMNS($F$7:J$7))))</f>
        <v>11130G</v>
      </c>
      <c r="K17" s="2223" t="str" cm="1">
        <f t="array" ref="K17">IF($D17&lt;COLUMNS($F$7:K$7),"",INDEX(TableDiv[[GASB]:[GASB]],_xlfn.AGGREGATE(15,3,(TableDiv[[Agency]:[Agency]]=$E17)/(TableDiv[[Agency]:[Agency]]=$E17)*(ROW(TableDiv[Agency])-ROW(TableDiv[[#Headers],[Agency]])),COLUMNS($F$7:K$7))))</f>
        <v>12000G</v>
      </c>
      <c r="L17" s="2223" t="str" cm="1">
        <f t="array" ref="L17">IF($D17&lt;COLUMNS($F$7:L$7),"",INDEX(TableDiv[[GASB]:[GASB]],_xlfn.AGGREGATE(15,3,(TableDiv[[Agency]:[Agency]]=$E17)/(TableDiv[[Agency]:[Agency]]=$E17)*(ROW(TableDiv[Agency])-ROW(TableDiv[[#Headers],[Agency]])),COLUMNS($F$7:L$7))))</f>
        <v>14000G</v>
      </c>
      <c r="M17" s="2223" t="str" cm="1">
        <f t="array" ref="M17">IF($D17&lt;COLUMNS($F$7:M$7),"",INDEX(TableDiv[[GASB]:[GASB]],_xlfn.AGGREGATE(15,3,(TableDiv[[Agency]:[Agency]]=$E17)/(TableDiv[[Agency]:[Agency]]=$E17)*(ROW(TableDiv[Agency])-ROW(TableDiv[[#Headers],[Agency]])),COLUMNS($F$7:M$7))))</f>
        <v>14260G</v>
      </c>
      <c r="N17" s="2223" t="str" cm="1">
        <f t="array" ref="N17">IF($D17&lt;COLUMNS($F$7:N$7),"",INDEX(TableDiv[[GASB]:[GASB]],_xlfn.AGGREGATE(15,3,(TableDiv[[Agency]:[Agency]]=$E17)/(TableDiv[[Agency]:[Agency]]=$E17)*(ROW(TableDiv[Agency])-ROW(TableDiv[[#Headers],[Agency]])),COLUMNS($F$7:N$7))))</f>
        <v>25000G</v>
      </c>
      <c r="O17" s="2223" t="str" cm="1">
        <f t="array" ref="O17">IF($D17&lt;COLUMNS($F$7:O$7),"",INDEX(TableDiv[[GASB]:[GASB]],_xlfn.AGGREGATE(15,3,(TableDiv[[Agency]:[Agency]]=$E17)/(TableDiv[[Agency]:[Agency]]=$E17)*(ROW(TableDiv[Agency])-ROW(TableDiv[[#Headers],[Agency]])),COLUMNS($F$7:O$7))))</f>
        <v>25010G</v>
      </c>
      <c r="P17" s="2223" t="str" cm="1">
        <f t="array" ref="P17">IF($D17&lt;COLUMNS($F$7:P$7),"",INDEX(TableDiv[[GASB]:[GASB]],_xlfn.AGGREGATE(15,3,(TableDiv[[Agency]:[Agency]]=$E17)/(TableDiv[[Agency]:[Agency]]=$E17)*(ROW(TableDiv[Agency])-ROW(TableDiv[[#Headers],[Agency]])),COLUMNS($F$7:P$7))))</f>
        <v>25150G</v>
      </c>
      <c r="Q17" s="2223" t="str" cm="1">
        <f t="array" ref="Q17">IF($D17&lt;COLUMNS($F$7:Q$7),"",INDEX(TableDiv[[GASB]:[GASB]],_xlfn.AGGREGATE(15,3,(TableDiv[[Agency]:[Agency]]=$E17)/(TableDiv[[Agency]:[Agency]]=$E17)*(ROW(TableDiv[Agency])-ROW(TableDiv[[#Headers],[Agency]])),COLUMNS($F$7:Q$7))))</f>
        <v>26140G</v>
      </c>
      <c r="R17" s="2223" t="str" cm="1">
        <f t="array" ref="R17">IF($D17&lt;COLUMNS($F$7:R$7),"",INDEX(TableDiv[[GASB]:[GASB]],_xlfn.AGGREGATE(15,3,(TableDiv[[Agency]:[Agency]]=$E17)/(TableDiv[[Agency]:[Agency]]=$E17)*(ROW(TableDiv[Agency])-ROW(TableDiv[[#Headers],[Agency]])),COLUMNS($F$7:R$7))))</f>
        <v>39000G</v>
      </c>
      <c r="S17" s="2223" t="str" cm="1">
        <f t="array" ref="S17">IF($D17&lt;COLUMNS($F$7:S$7),"",INDEX(TableDiv[[GASB]:[GASB]],_xlfn.AGGREGATE(15,3,(TableDiv[[Agency]:[Agency]]=$E17)/(TableDiv[[Agency]:[Agency]]=$E17)*(ROW(TableDiv[Agency])-ROW(TableDiv[[#Headers],[Agency]])),COLUMNS($F$7:S$7))))</f>
        <v/>
      </c>
      <c r="T17" s="2223" t="str" cm="1">
        <f t="array" ref="T17">IF($D17&lt;COLUMNS($F$7:T$7),"",INDEX(TableDiv[[GASB]:[GASB]],_xlfn.AGGREGATE(15,3,(TableDiv[[Agency]:[Agency]]=$E17)/(TableDiv[[Agency]:[Agency]]=$E17)*(ROW(TableDiv[Agency])-ROW(TableDiv[[#Headers],[Agency]])),COLUMNS($F$7:T$7))))</f>
        <v/>
      </c>
      <c r="U17" s="2223" t="str" cm="1">
        <f t="array" ref="U17">IF($D17&lt;COLUMNS($F$7:U$7),"",INDEX(TableDiv[[GASB]:[GASB]],_xlfn.AGGREGATE(15,3,(TableDiv[[Agency]:[Agency]]=$E17)/(TableDiv[[Agency]:[Agency]]=$E17)*(ROW(TableDiv[Agency])-ROW(TableDiv[[#Headers],[Agency]])),COLUMNS($F$7:U$7))))</f>
        <v/>
      </c>
      <c r="V17" s="2223" t="str" cm="1">
        <f t="array" ref="V17">IF($D17&lt;COLUMNS($F$7:V$7),"",INDEX(TableDiv[[GASB]:[GASB]],_xlfn.AGGREGATE(15,3,(TableDiv[[Agency]:[Agency]]=$E17)/(TableDiv[[Agency]:[Agency]]=$E17)*(ROW(TableDiv[Agency])-ROW(TableDiv[[#Headers],[Agency]])),COLUMNS($F$7:V$7))))</f>
        <v/>
      </c>
      <c r="W17" s="2223" t="str" cm="1">
        <f t="array" ref="W17">IF($D17&lt;COLUMNS($F$7:W$7),"",INDEX(TableDiv[[GASB]:[GASB]],_xlfn.AGGREGATE(15,3,(TableDiv[[Agency]:[Agency]]=$E17)/(TableDiv[[Agency]:[Agency]]=$E17)*(ROW(TableDiv[Agency])-ROW(TableDiv[[#Headers],[Agency]])),COLUMNS($F$7:W$7))))</f>
        <v/>
      </c>
      <c r="X17" s="2223" t="str" cm="1">
        <f t="array" ref="X17">IF($D17&lt;COLUMNS($F$7:X$7),"",INDEX(TableDiv[[GASB]:[GASB]],_xlfn.AGGREGATE(15,3,(TableDiv[[Agency]:[Agency]]=$E17)/(TableDiv[[Agency]:[Agency]]=$E17)*(ROW(TableDiv[Agency])-ROW(TableDiv[[#Headers],[Agency]])),COLUMNS($F$7:X$7))))</f>
        <v/>
      </c>
      <c r="Y17" s="2223" t="str" cm="1">
        <f t="array" ref="Y17">IF($D17&lt;COLUMNS($F$7:Y$7),"",INDEX(TableDiv[[GASB]:[GASB]],_xlfn.AGGREGATE(15,3,(TableDiv[[Agency]:[Agency]]=$E17)/(TableDiv[[Agency]:[Agency]]=$E17)*(ROW(TableDiv[Agency])-ROW(TableDiv[[#Headers],[Agency]])),COLUMNS($F$7:Y$7))))</f>
        <v/>
      </c>
      <c r="Z17" s="2223" t="str" cm="1">
        <f t="array" ref="Z17">IF($D17&lt;COLUMNS($F$7:Z$7),"",INDEX(TableDiv[[GASB]:[GASB]],_xlfn.AGGREGATE(15,3,(TableDiv[[Agency]:[Agency]]=$E17)/(TableDiv[[Agency]:[Agency]]=$E17)*(ROW(TableDiv[Agency])-ROW(TableDiv[[#Headers],[Agency]])),COLUMNS($F$7:Z$7))))</f>
        <v/>
      </c>
      <c r="AA17" s="2223" t="str" cm="1">
        <f t="array" ref="AA17">IF($D17&lt;COLUMNS($F$7:AA$7),"",INDEX(TableDiv[[GASB]:[GASB]],_xlfn.AGGREGATE(15,3,(TableDiv[[Agency]:[Agency]]=$E17)/(TableDiv[[Agency]:[Agency]]=$E17)*(ROW(TableDiv[Agency])-ROW(TableDiv[[#Headers],[Agency]])),COLUMNS($F$7:AA$7))))</f>
        <v/>
      </c>
      <c r="AB17" s="2223" t="str" cm="1">
        <f t="array" ref="AB17">IF($D17&lt;COLUMNS($F$7:AB$7),"",INDEX(TableDiv[[GASB]:[GASB]],_xlfn.AGGREGATE(15,3,(TableDiv[[Agency]:[Agency]]=$E17)/(TableDiv[[Agency]:[Agency]]=$E17)*(ROW(TableDiv[Agency])-ROW(TableDiv[[#Headers],[Agency]])),COLUMNS($F$7:AB$7))))</f>
        <v/>
      </c>
      <c r="AC17" s="2223" t="str" cm="1">
        <f t="array" ref="AC17">IF($D17&lt;COLUMNS($F$7:AC$7),"",INDEX(TableDiv[[GASB]:[GASB]],_xlfn.AGGREGATE(15,3,(TableDiv[[Agency]:[Agency]]=$E17)/(TableDiv[[Agency]:[Agency]]=$E17)*(ROW(TableDiv[Agency])-ROW(TableDiv[[#Headers],[Agency]])),COLUMNS($F$7:AC$7))))</f>
        <v/>
      </c>
      <c r="AD17" s="2223" t="str" cm="1">
        <f t="array" ref="AD17">IF($D17&lt;COLUMNS($F$7:AD$7),"",INDEX(TableDiv[[GASB]:[GASB]],_xlfn.AGGREGATE(15,3,(TableDiv[[Agency]:[Agency]]=$E17)/(TableDiv[[Agency]:[Agency]]=$E17)*(ROW(TableDiv[Agency])-ROW(TableDiv[[#Headers],[Agency]])),COLUMNS($F$7:AD$7))))</f>
        <v/>
      </c>
      <c r="AE17" s="2223" t="str" cm="1">
        <f t="array" ref="AE17">IF($D17&lt;COLUMNS($F$7:AE$7),"",INDEX(TableDiv[[GASB]:[GASB]],_xlfn.AGGREGATE(15,3,(TableDiv[[Agency]:[Agency]]=$E17)/(TableDiv[[Agency]:[Agency]]=$E17)*(ROW(TableDiv[Agency])-ROW(TableDiv[[#Headers],[Agency]])),COLUMNS($F$7:AE$7))))</f>
        <v/>
      </c>
      <c r="AF17" s="2223" t="str" cm="1">
        <f t="array" ref="AF17">IF($D17&lt;COLUMNS($F$7:AF$7),"",INDEX(TableDiv[[GASB]:[GASB]],_xlfn.AGGREGATE(15,3,(TableDiv[[Agency]:[Agency]]=$E17)/(TableDiv[[Agency]:[Agency]]=$E17)*(ROW(TableDiv[Agency])-ROW(TableDiv[[#Headers],[Agency]])),COLUMNS($F$7:AF$7))))</f>
        <v/>
      </c>
      <c r="AG17" s="2223" t="str" cm="1">
        <f t="array" ref="AG17">IF($D17&lt;COLUMNS($F$7:AG$7),"",INDEX(TableDiv[[GASB]:[GASB]],_xlfn.AGGREGATE(15,3,(TableDiv[[Agency]:[Agency]]=$E17)/(TableDiv[[Agency]:[Agency]]=$E17)*(ROW(TableDiv[Agency])-ROW(TableDiv[[#Headers],[Agency]])),COLUMNS($F$7:AG$7))))</f>
        <v/>
      </c>
      <c r="AH17" s="2223" t="str" cm="1">
        <f t="array" ref="AH17">IF($D17&lt;COLUMNS($F$7:AH$7),"",INDEX(TableDiv[[GASB]:[GASB]],_xlfn.AGGREGATE(15,3,(TableDiv[[Agency]:[Agency]]=$E17)/(TableDiv[[Agency]:[Agency]]=$E17)*(ROW(TableDiv[Agency])-ROW(TableDiv[[#Headers],[Agency]])),COLUMNS($F$7:AH$7))))</f>
        <v/>
      </c>
      <c r="AI17" s="2223" t="str" cm="1">
        <f t="array" ref="AI17">IF($D17&lt;COLUMNS($F$7:AI$7),"",INDEX(TableDiv[[GASB]:[GASB]],_xlfn.AGGREGATE(15,3,(TableDiv[[Agency]:[Agency]]=$E17)/(TableDiv[[Agency]:[Agency]]=$E17)*(ROW(TableDiv[Agency])-ROW(TableDiv[[#Headers],[Agency]])),COLUMNS($F$7:AI$7))))</f>
        <v/>
      </c>
      <c r="AJ17" s="2223" t="str" cm="1">
        <f t="array" ref="AJ17">IF($D17&lt;COLUMNS($F$7:AJ$7),"",INDEX(TableDiv[[GASB]:[GASB]],_xlfn.AGGREGATE(15,3,(TableDiv[[Agency]:[Agency]]=$E17)/(TableDiv[[Agency]:[Agency]]=$E17)*(ROW(TableDiv[Agency])-ROW(TableDiv[[#Headers],[Agency]])),COLUMNS($F$7:AJ$7))))</f>
        <v/>
      </c>
      <c r="AK17" s="2223" t="str" cm="1">
        <f t="array" ref="AK17">IF($D17&lt;COLUMNS($F$7:AK$7),"",INDEX(TableDiv[[GASB]:[GASB]],_xlfn.AGGREGATE(15,3,(TableDiv[[Agency]:[Agency]]=$E17)/(TableDiv[[Agency]:[Agency]]=$E17)*(ROW(TableDiv[Agency])-ROW(TableDiv[[#Headers],[Agency]])),COLUMNS($F$7:AK$7))))</f>
        <v/>
      </c>
      <c r="AL17" s="2223" t="str" cm="1">
        <f t="array" ref="AL17">IF($D17&lt;COLUMNS($F$7:AL$7),"",INDEX(TableDiv[[GASB]:[GASB]],_xlfn.AGGREGATE(15,3,(TableDiv[[Agency]:[Agency]]=$E17)/(TableDiv[[Agency]:[Agency]]=$E17)*(ROW(TableDiv[Agency])-ROW(TableDiv[[#Headers],[Agency]])),COLUMNS($F$7:AL$7))))</f>
        <v/>
      </c>
      <c r="AM17" s="2223" t="str" cm="1">
        <f t="array" ref="AM17">IF($D17&lt;COLUMNS($F$7:AM$7),"",INDEX(TableDiv[[GASB]:[GASB]],_xlfn.AGGREGATE(15,3,(TableDiv[[Agency]:[Agency]]=$E17)/(TableDiv[[Agency]:[Agency]]=$E17)*(ROW(TableDiv[Agency])-ROW(TableDiv[[#Headers],[Agency]])),COLUMNS($F$7:AM$7))))</f>
        <v/>
      </c>
      <c r="AN17" s="2223"/>
      <c r="AO17" s="2223"/>
      <c r="AP17" s="2223"/>
      <c r="AQ17" s="2223"/>
      <c r="AR17" s="2223"/>
      <c r="AS17" s="2223"/>
    </row>
    <row r="18" spans="1:45" ht="15" x14ac:dyDescent="0.25">
      <c r="A18" s="2219" t="s">
        <v>1879</v>
      </c>
      <c r="B18" s="2219" t="s">
        <v>6366</v>
      </c>
      <c r="C18" s="2223"/>
      <c r="D18" s="2223">
        <f>COUNTIF(TableDiv[Agency],E18)</f>
        <v>4</v>
      </c>
      <c r="E18" s="2230" t="str" cm="1">
        <f t="array" ref="E18">IFERROR(INDEX(TableDiv[Agency],MATCH(0,INDEX(COUNTIF($E$7:E17,TableDiv[Agency]),),0)),"")</f>
        <v>1100</v>
      </c>
      <c r="F18" s="2223" t="str" cm="1">
        <f t="array" ref="F18">IF($D18&lt;COLUMNS($F$7:F$7),"",INDEX(TableDiv[[GASB]:[GASB]],_xlfn.AGGREGATE(15,3,(TableDiv[[Agency]:[Agency]]=$E18)/(TableDiv[[Agency]:[Agency]]=$E18)*(ROW(TableDiv[Agency])-ROW(TableDiv[[#Headers],[Agency]])),COLUMNS($F$7:F$7))))</f>
        <v>11000G</v>
      </c>
      <c r="G18" s="2223" t="str" cm="1">
        <f t="array" ref="G18">IF($D18&lt;COLUMNS($F$7:G$7),"",INDEX(TableDiv[[GASB]:[GASB]],_xlfn.AGGREGATE(15,3,(TableDiv[[Agency]:[Agency]]=$E18)/(TableDiv[[Agency]:[Agency]]=$E18)*(ROW(TableDiv[Agency])-ROW(TableDiv[[#Headers],[Agency]])),COLUMNS($F$7:G$7))))</f>
        <v>11020G</v>
      </c>
      <c r="H18" s="2223" t="str" cm="1">
        <f t="array" ref="H18">IF($D18&lt;COLUMNS($F$7:H$7),"",INDEX(TableDiv[[GASB]:[GASB]],_xlfn.AGGREGATE(15,3,(TableDiv[[Agency]:[Agency]]=$E18)/(TableDiv[[Agency]:[Agency]]=$E18)*(ROW(TableDiv[Agency])-ROW(TableDiv[[#Headers],[Agency]])),COLUMNS($F$7:H$7))))</f>
        <v>11030G</v>
      </c>
      <c r="I18" s="2223" t="str" cm="1">
        <f t="array" ref="I18">IF($D18&lt;COLUMNS($F$7:I$7),"",INDEX(TableDiv[[GASB]:[GASB]],_xlfn.AGGREGATE(15,3,(TableDiv[[Agency]:[Agency]]=$E18)/(TableDiv[[Agency]:[Agency]]=$E18)*(ROW(TableDiv[Agency])-ROW(TableDiv[[#Headers],[Agency]])),COLUMNS($F$7:I$7))))</f>
        <v>12000G</v>
      </c>
      <c r="J18" s="2223" t="str" cm="1">
        <f t="array" ref="J18">IF($D18&lt;COLUMNS($F$7:J$7),"",INDEX(TableDiv[[GASB]:[GASB]],_xlfn.AGGREGATE(15,3,(TableDiv[[Agency]:[Agency]]=$E18)/(TableDiv[[Agency]:[Agency]]=$E18)*(ROW(TableDiv[Agency])-ROW(TableDiv[[#Headers],[Agency]])),COLUMNS($F$7:J$7))))</f>
        <v/>
      </c>
      <c r="K18" s="2223" t="str" cm="1">
        <f t="array" ref="K18">IF($D18&lt;COLUMNS($F$7:K$7),"",INDEX(TableDiv[[GASB]:[GASB]],_xlfn.AGGREGATE(15,3,(TableDiv[[Agency]:[Agency]]=$E18)/(TableDiv[[Agency]:[Agency]]=$E18)*(ROW(TableDiv[Agency])-ROW(TableDiv[[#Headers],[Agency]])),COLUMNS($F$7:K$7))))</f>
        <v/>
      </c>
      <c r="L18" s="2223" t="str" cm="1">
        <f t="array" ref="L18">IF($D18&lt;COLUMNS($F$7:L$7),"",INDEX(TableDiv[[GASB]:[GASB]],_xlfn.AGGREGATE(15,3,(TableDiv[[Agency]:[Agency]]=$E18)/(TableDiv[[Agency]:[Agency]]=$E18)*(ROW(TableDiv[Agency])-ROW(TableDiv[[#Headers],[Agency]])),COLUMNS($F$7:L$7))))</f>
        <v/>
      </c>
      <c r="M18" s="2223" t="str" cm="1">
        <f t="array" ref="M18">IF($D18&lt;COLUMNS($F$7:M$7),"",INDEX(TableDiv[[GASB]:[GASB]],_xlfn.AGGREGATE(15,3,(TableDiv[[Agency]:[Agency]]=$E18)/(TableDiv[[Agency]:[Agency]]=$E18)*(ROW(TableDiv[Agency])-ROW(TableDiv[[#Headers],[Agency]])),COLUMNS($F$7:M$7))))</f>
        <v/>
      </c>
      <c r="N18" s="2223" t="str" cm="1">
        <f t="array" ref="N18">IF($D18&lt;COLUMNS($F$7:N$7),"",INDEX(TableDiv[[GASB]:[GASB]],_xlfn.AGGREGATE(15,3,(TableDiv[[Agency]:[Agency]]=$E18)/(TableDiv[[Agency]:[Agency]]=$E18)*(ROW(TableDiv[Agency])-ROW(TableDiv[[#Headers],[Agency]])),COLUMNS($F$7:N$7))))</f>
        <v/>
      </c>
      <c r="O18" s="2223" t="str" cm="1">
        <f t="array" ref="O18">IF($D18&lt;COLUMNS($F$7:O$7),"",INDEX(TableDiv[[GASB]:[GASB]],_xlfn.AGGREGATE(15,3,(TableDiv[[Agency]:[Agency]]=$E18)/(TableDiv[[Agency]:[Agency]]=$E18)*(ROW(TableDiv[Agency])-ROW(TableDiv[[#Headers],[Agency]])),COLUMNS($F$7:O$7))))</f>
        <v/>
      </c>
      <c r="P18" s="2223" t="str" cm="1">
        <f t="array" ref="P18">IF($D18&lt;COLUMNS($F$7:P$7),"",INDEX(TableDiv[[GASB]:[GASB]],_xlfn.AGGREGATE(15,3,(TableDiv[[Agency]:[Agency]]=$E18)/(TableDiv[[Agency]:[Agency]]=$E18)*(ROW(TableDiv[Agency])-ROW(TableDiv[[#Headers],[Agency]])),COLUMNS($F$7:P$7))))</f>
        <v/>
      </c>
      <c r="Q18" s="2223" t="str" cm="1">
        <f t="array" ref="Q18">IF($D18&lt;COLUMNS($F$7:Q$7),"",INDEX(TableDiv[[GASB]:[GASB]],_xlfn.AGGREGATE(15,3,(TableDiv[[Agency]:[Agency]]=$E18)/(TableDiv[[Agency]:[Agency]]=$E18)*(ROW(TableDiv[Agency])-ROW(TableDiv[[#Headers],[Agency]])),COLUMNS($F$7:Q$7))))</f>
        <v/>
      </c>
      <c r="R18" s="2223" t="str" cm="1">
        <f t="array" ref="R18">IF($D18&lt;COLUMNS($F$7:R$7),"",INDEX(TableDiv[[GASB]:[GASB]],_xlfn.AGGREGATE(15,3,(TableDiv[[Agency]:[Agency]]=$E18)/(TableDiv[[Agency]:[Agency]]=$E18)*(ROW(TableDiv[Agency])-ROW(TableDiv[[#Headers],[Agency]])),COLUMNS($F$7:R$7))))</f>
        <v/>
      </c>
      <c r="S18" s="2223" t="str" cm="1">
        <f t="array" ref="S18">IF($D18&lt;COLUMNS($F$7:S$7),"",INDEX(TableDiv[[GASB]:[GASB]],_xlfn.AGGREGATE(15,3,(TableDiv[[Agency]:[Agency]]=$E18)/(TableDiv[[Agency]:[Agency]]=$E18)*(ROW(TableDiv[Agency])-ROW(TableDiv[[#Headers],[Agency]])),COLUMNS($F$7:S$7))))</f>
        <v/>
      </c>
      <c r="T18" s="2223" t="str" cm="1">
        <f t="array" ref="T18">IF($D18&lt;COLUMNS($F$7:T$7),"",INDEX(TableDiv[[GASB]:[GASB]],_xlfn.AGGREGATE(15,3,(TableDiv[[Agency]:[Agency]]=$E18)/(TableDiv[[Agency]:[Agency]]=$E18)*(ROW(TableDiv[Agency])-ROW(TableDiv[[#Headers],[Agency]])),COLUMNS($F$7:T$7))))</f>
        <v/>
      </c>
      <c r="U18" s="2223" t="str" cm="1">
        <f t="array" ref="U18">IF($D18&lt;COLUMNS($F$7:U$7),"",INDEX(TableDiv[[GASB]:[GASB]],_xlfn.AGGREGATE(15,3,(TableDiv[[Agency]:[Agency]]=$E18)/(TableDiv[[Agency]:[Agency]]=$E18)*(ROW(TableDiv[Agency])-ROW(TableDiv[[#Headers],[Agency]])),COLUMNS($F$7:U$7))))</f>
        <v/>
      </c>
      <c r="V18" s="2223" t="str" cm="1">
        <f t="array" ref="V18">IF($D18&lt;COLUMNS($F$7:V$7),"",INDEX(TableDiv[[GASB]:[GASB]],_xlfn.AGGREGATE(15,3,(TableDiv[[Agency]:[Agency]]=$E18)/(TableDiv[[Agency]:[Agency]]=$E18)*(ROW(TableDiv[Agency])-ROW(TableDiv[[#Headers],[Agency]])),COLUMNS($F$7:V$7))))</f>
        <v/>
      </c>
      <c r="W18" s="2223" t="str" cm="1">
        <f t="array" ref="W18">IF($D18&lt;COLUMNS($F$7:W$7),"",INDEX(TableDiv[[GASB]:[GASB]],_xlfn.AGGREGATE(15,3,(TableDiv[[Agency]:[Agency]]=$E18)/(TableDiv[[Agency]:[Agency]]=$E18)*(ROW(TableDiv[Agency])-ROW(TableDiv[[#Headers],[Agency]])),COLUMNS($F$7:W$7))))</f>
        <v/>
      </c>
      <c r="X18" s="2223" t="str" cm="1">
        <f t="array" ref="X18">IF($D18&lt;COLUMNS($F$7:X$7),"",INDEX(TableDiv[[GASB]:[GASB]],_xlfn.AGGREGATE(15,3,(TableDiv[[Agency]:[Agency]]=$E18)/(TableDiv[[Agency]:[Agency]]=$E18)*(ROW(TableDiv[Agency])-ROW(TableDiv[[#Headers],[Agency]])),COLUMNS($F$7:X$7))))</f>
        <v/>
      </c>
      <c r="Y18" s="2223" t="str" cm="1">
        <f t="array" ref="Y18">IF($D18&lt;COLUMNS($F$7:Y$7),"",INDEX(TableDiv[[GASB]:[GASB]],_xlfn.AGGREGATE(15,3,(TableDiv[[Agency]:[Agency]]=$E18)/(TableDiv[[Agency]:[Agency]]=$E18)*(ROW(TableDiv[Agency])-ROW(TableDiv[[#Headers],[Agency]])),COLUMNS($F$7:Y$7))))</f>
        <v/>
      </c>
      <c r="Z18" s="2223" t="str" cm="1">
        <f t="array" ref="Z18">IF($D18&lt;COLUMNS($F$7:Z$7),"",INDEX(TableDiv[[GASB]:[GASB]],_xlfn.AGGREGATE(15,3,(TableDiv[[Agency]:[Agency]]=$E18)/(TableDiv[[Agency]:[Agency]]=$E18)*(ROW(TableDiv[Agency])-ROW(TableDiv[[#Headers],[Agency]])),COLUMNS($F$7:Z$7))))</f>
        <v/>
      </c>
      <c r="AA18" s="2223" t="str" cm="1">
        <f t="array" ref="AA18">IF($D18&lt;COLUMNS($F$7:AA$7),"",INDEX(TableDiv[[GASB]:[GASB]],_xlfn.AGGREGATE(15,3,(TableDiv[[Agency]:[Agency]]=$E18)/(TableDiv[[Agency]:[Agency]]=$E18)*(ROW(TableDiv[Agency])-ROW(TableDiv[[#Headers],[Agency]])),COLUMNS($F$7:AA$7))))</f>
        <v/>
      </c>
      <c r="AB18" s="2223" t="str" cm="1">
        <f t="array" ref="AB18">IF($D18&lt;COLUMNS($F$7:AB$7),"",INDEX(TableDiv[[GASB]:[GASB]],_xlfn.AGGREGATE(15,3,(TableDiv[[Agency]:[Agency]]=$E18)/(TableDiv[[Agency]:[Agency]]=$E18)*(ROW(TableDiv[Agency])-ROW(TableDiv[[#Headers],[Agency]])),COLUMNS($F$7:AB$7))))</f>
        <v/>
      </c>
      <c r="AC18" s="2223" t="str" cm="1">
        <f t="array" ref="AC18">IF($D18&lt;COLUMNS($F$7:AC$7),"",INDEX(TableDiv[[GASB]:[GASB]],_xlfn.AGGREGATE(15,3,(TableDiv[[Agency]:[Agency]]=$E18)/(TableDiv[[Agency]:[Agency]]=$E18)*(ROW(TableDiv[Agency])-ROW(TableDiv[[#Headers],[Agency]])),COLUMNS($F$7:AC$7))))</f>
        <v/>
      </c>
      <c r="AD18" s="2223" t="str" cm="1">
        <f t="array" ref="AD18">IF($D18&lt;COLUMNS($F$7:AD$7),"",INDEX(TableDiv[[GASB]:[GASB]],_xlfn.AGGREGATE(15,3,(TableDiv[[Agency]:[Agency]]=$E18)/(TableDiv[[Agency]:[Agency]]=$E18)*(ROW(TableDiv[Agency])-ROW(TableDiv[[#Headers],[Agency]])),COLUMNS($F$7:AD$7))))</f>
        <v/>
      </c>
      <c r="AE18" s="2223" t="str" cm="1">
        <f t="array" ref="AE18">IF($D18&lt;COLUMNS($F$7:AE$7),"",INDEX(TableDiv[[GASB]:[GASB]],_xlfn.AGGREGATE(15,3,(TableDiv[[Agency]:[Agency]]=$E18)/(TableDiv[[Agency]:[Agency]]=$E18)*(ROW(TableDiv[Agency])-ROW(TableDiv[[#Headers],[Agency]])),COLUMNS($F$7:AE$7))))</f>
        <v/>
      </c>
      <c r="AF18" s="2223" t="str" cm="1">
        <f t="array" ref="AF18">IF($D18&lt;COLUMNS($F$7:AF$7),"",INDEX(TableDiv[[GASB]:[GASB]],_xlfn.AGGREGATE(15,3,(TableDiv[[Agency]:[Agency]]=$E18)/(TableDiv[[Agency]:[Agency]]=$E18)*(ROW(TableDiv[Agency])-ROW(TableDiv[[#Headers],[Agency]])),COLUMNS($F$7:AF$7))))</f>
        <v/>
      </c>
      <c r="AG18" s="2223" t="str" cm="1">
        <f t="array" ref="AG18">IF($D18&lt;COLUMNS($F$7:AG$7),"",INDEX(TableDiv[[GASB]:[GASB]],_xlfn.AGGREGATE(15,3,(TableDiv[[Agency]:[Agency]]=$E18)/(TableDiv[[Agency]:[Agency]]=$E18)*(ROW(TableDiv[Agency])-ROW(TableDiv[[#Headers],[Agency]])),COLUMNS($F$7:AG$7))))</f>
        <v/>
      </c>
      <c r="AH18" s="2223" t="str" cm="1">
        <f t="array" ref="AH18">IF($D18&lt;COLUMNS($F$7:AH$7),"",INDEX(TableDiv[[GASB]:[GASB]],_xlfn.AGGREGATE(15,3,(TableDiv[[Agency]:[Agency]]=$E18)/(TableDiv[[Agency]:[Agency]]=$E18)*(ROW(TableDiv[Agency])-ROW(TableDiv[[#Headers],[Agency]])),COLUMNS($F$7:AH$7))))</f>
        <v/>
      </c>
      <c r="AI18" s="2223" t="str" cm="1">
        <f t="array" ref="AI18">IF($D18&lt;COLUMNS($F$7:AI$7),"",INDEX(TableDiv[[GASB]:[GASB]],_xlfn.AGGREGATE(15,3,(TableDiv[[Agency]:[Agency]]=$E18)/(TableDiv[[Agency]:[Agency]]=$E18)*(ROW(TableDiv[Agency])-ROW(TableDiv[[#Headers],[Agency]])),COLUMNS($F$7:AI$7))))</f>
        <v/>
      </c>
      <c r="AJ18" s="2223" t="str" cm="1">
        <f t="array" ref="AJ18">IF($D18&lt;COLUMNS($F$7:AJ$7),"",INDEX(TableDiv[[GASB]:[GASB]],_xlfn.AGGREGATE(15,3,(TableDiv[[Agency]:[Agency]]=$E18)/(TableDiv[[Agency]:[Agency]]=$E18)*(ROW(TableDiv[Agency])-ROW(TableDiv[[#Headers],[Agency]])),COLUMNS($F$7:AJ$7))))</f>
        <v/>
      </c>
      <c r="AK18" s="2223" t="str" cm="1">
        <f t="array" ref="AK18">IF($D18&lt;COLUMNS($F$7:AK$7),"",INDEX(TableDiv[[GASB]:[GASB]],_xlfn.AGGREGATE(15,3,(TableDiv[[Agency]:[Agency]]=$E18)/(TableDiv[[Agency]:[Agency]]=$E18)*(ROW(TableDiv[Agency])-ROW(TableDiv[[#Headers],[Agency]])),COLUMNS($F$7:AK$7))))</f>
        <v/>
      </c>
      <c r="AL18" s="2223" t="str" cm="1">
        <f t="array" ref="AL18">IF($D18&lt;COLUMNS($F$7:AL$7),"",INDEX(TableDiv[[GASB]:[GASB]],_xlfn.AGGREGATE(15,3,(TableDiv[[Agency]:[Agency]]=$E18)/(TableDiv[[Agency]:[Agency]]=$E18)*(ROW(TableDiv[Agency])-ROW(TableDiv[[#Headers],[Agency]])),COLUMNS($F$7:AL$7))))</f>
        <v/>
      </c>
      <c r="AM18" s="2223" t="str" cm="1">
        <f t="array" ref="AM18">IF($D18&lt;COLUMNS($F$7:AM$7),"",INDEX(TableDiv[[GASB]:[GASB]],_xlfn.AGGREGATE(15,3,(TableDiv[[Agency]:[Agency]]=$E18)/(TableDiv[[Agency]:[Agency]]=$E18)*(ROW(TableDiv[Agency])-ROW(TableDiv[[#Headers],[Agency]])),COLUMNS($F$7:AM$7))))</f>
        <v/>
      </c>
      <c r="AN18" s="2223"/>
      <c r="AO18" s="2223"/>
      <c r="AP18" s="2223"/>
      <c r="AQ18" s="2223"/>
      <c r="AR18" s="2223"/>
      <c r="AS18" s="2223"/>
    </row>
    <row r="19" spans="1:45" ht="15" x14ac:dyDescent="0.25">
      <c r="A19" s="2219" t="s">
        <v>1879</v>
      </c>
      <c r="B19" s="2219" t="s">
        <v>6367</v>
      </c>
      <c r="C19" s="2223"/>
      <c r="D19" s="2223">
        <f>COUNTIF(TableDiv[Agency],E19)</f>
        <v>11</v>
      </c>
      <c r="E19" s="2230" t="str" cm="1">
        <f t="array" ref="E19">IFERROR(INDEX(TableDiv[Agency],MATCH(0,INDEX(COUNTIF($E$7:E18,TableDiv[Agency]),),0)),"")</f>
        <v>1200</v>
      </c>
      <c r="F19" s="2223" t="str" cm="1">
        <f t="array" ref="F19">IF($D19&lt;COLUMNS($F$7:F$7),"",INDEX(TableDiv[[GASB]:[GASB]],_xlfn.AGGREGATE(15,3,(TableDiv[[Agency]:[Agency]]=$E19)/(TableDiv[[Agency]:[Agency]]=$E19)*(ROW(TableDiv[Agency])-ROW(TableDiv[[#Headers],[Agency]])),COLUMNS($F$7:F$7))))</f>
        <v>11000G</v>
      </c>
      <c r="G19" s="2223" t="str" cm="1">
        <f t="array" ref="G19">IF($D19&lt;COLUMNS($F$7:G$7),"",INDEX(TableDiv[[GASB]:[GASB]],_xlfn.AGGREGATE(15,3,(TableDiv[[Agency]:[Agency]]=$E19)/(TableDiv[[Agency]:[Agency]]=$E19)*(ROW(TableDiv[Agency])-ROW(TableDiv[[#Headers],[Agency]])),COLUMNS($F$7:G$7))))</f>
        <v>11020G</v>
      </c>
      <c r="H19" s="2223" t="str" cm="1">
        <f t="array" ref="H19">IF($D19&lt;COLUMNS($F$7:H$7),"",INDEX(TableDiv[[GASB]:[GASB]],_xlfn.AGGREGATE(15,3,(TableDiv[[Agency]:[Agency]]=$E19)/(TableDiv[[Agency]:[Agency]]=$E19)*(ROW(TableDiv[Agency])-ROW(TableDiv[[#Headers],[Agency]])),COLUMNS($F$7:H$7))))</f>
        <v>11030G</v>
      </c>
      <c r="I19" s="2223" t="str" cm="1">
        <f t="array" ref="I19">IF($D19&lt;COLUMNS($F$7:I$7),"",INDEX(TableDiv[[GASB]:[GASB]],_xlfn.AGGREGATE(15,3,(TableDiv[[Agency]:[Agency]]=$E19)/(TableDiv[[Agency]:[Agency]]=$E19)*(ROW(TableDiv[Agency])-ROW(TableDiv[[#Headers],[Agency]])),COLUMNS($F$7:I$7))))</f>
        <v>12000G</v>
      </c>
      <c r="J19" s="2223" t="str" cm="1">
        <f t="array" ref="J19">IF($D19&lt;COLUMNS($F$7:J$7),"",INDEX(TableDiv[[GASB]:[GASB]],_xlfn.AGGREGATE(15,3,(TableDiv[[Agency]:[Agency]]=$E19)/(TableDiv[[Agency]:[Agency]]=$E19)*(ROW(TableDiv[Agency])-ROW(TableDiv[[#Headers],[Agency]])),COLUMNS($F$7:J$7))))</f>
        <v>13370G</v>
      </c>
      <c r="K19" s="2223" t="str" cm="1">
        <f t="array" ref="K19">IF($D19&lt;COLUMNS($F$7:K$7),"",INDEX(TableDiv[[GASB]:[GASB]],_xlfn.AGGREGATE(15,3,(TableDiv[[Agency]:[Agency]]=$E19)/(TableDiv[[Agency]:[Agency]]=$E19)*(ROW(TableDiv[Agency])-ROW(TableDiv[[#Headers],[Agency]])),COLUMNS($F$7:K$7))))</f>
        <v>13450G</v>
      </c>
      <c r="L19" s="2223" t="str" cm="1">
        <f t="array" ref="L19">IF($D19&lt;COLUMNS($F$7:L$7),"",INDEX(TableDiv[[GASB]:[GASB]],_xlfn.AGGREGATE(15,3,(TableDiv[[Agency]:[Agency]]=$E19)/(TableDiv[[Agency]:[Agency]]=$E19)*(ROW(TableDiv[Agency])-ROW(TableDiv[[#Headers],[Agency]])),COLUMNS($F$7:L$7))))</f>
        <v>14000G</v>
      </c>
      <c r="M19" s="2223" t="str" cm="1">
        <f t="array" ref="M19">IF($D19&lt;COLUMNS($F$7:M$7),"",INDEX(TableDiv[[GASB]:[GASB]],_xlfn.AGGREGATE(15,3,(TableDiv[[Agency]:[Agency]]=$E19)/(TableDiv[[Agency]:[Agency]]=$E19)*(ROW(TableDiv[Agency])-ROW(TableDiv[[#Headers],[Agency]])),COLUMNS($F$7:M$7))))</f>
        <v>25200G</v>
      </c>
      <c r="N19" s="2223" t="str" cm="1">
        <f t="array" ref="N19">IF($D19&lt;COLUMNS($F$7:N$7),"",INDEX(TableDiv[[GASB]:[GASB]],_xlfn.AGGREGATE(15,3,(TableDiv[[Agency]:[Agency]]=$E19)/(TableDiv[[Agency]:[Agency]]=$E19)*(ROW(TableDiv[Agency])-ROW(TableDiv[[#Headers],[Agency]])),COLUMNS($F$7:N$7))))</f>
        <v>25310G</v>
      </c>
      <c r="O19" s="2223" t="str" cm="1">
        <f t="array" ref="O19">IF($D19&lt;COLUMNS($F$7:O$7),"",INDEX(TableDiv[[GASB]:[GASB]],_xlfn.AGGREGATE(15,3,(TableDiv[[Agency]:[Agency]]=$E19)/(TableDiv[[Agency]:[Agency]]=$E19)*(ROW(TableDiv[Agency])-ROW(TableDiv[[#Headers],[Agency]])),COLUMNS($F$7:O$7))))</f>
        <v>27170G</v>
      </c>
      <c r="P19" s="2223" t="str" cm="1">
        <f t="array" ref="P19">IF($D19&lt;COLUMNS($F$7:P$7),"",INDEX(TableDiv[[GASB]:[GASB]],_xlfn.AGGREGATE(15,3,(TableDiv[[Agency]:[Agency]]=$E19)/(TableDiv[[Agency]:[Agency]]=$E19)*(ROW(TableDiv[Agency])-ROW(TableDiv[[#Headers],[Agency]])),COLUMNS($F$7:P$7))))</f>
        <v>35010G</v>
      </c>
      <c r="Q19" s="2223" t="str" cm="1">
        <f t="array" ref="Q19">IF($D19&lt;COLUMNS($F$7:Q$7),"",INDEX(TableDiv[[GASB]:[GASB]],_xlfn.AGGREGATE(15,3,(TableDiv[[Agency]:[Agency]]=$E19)/(TableDiv[[Agency]:[Agency]]=$E19)*(ROW(TableDiv[Agency])-ROW(TableDiv[[#Headers],[Agency]])),COLUMNS($F$7:Q$7))))</f>
        <v/>
      </c>
      <c r="R19" s="2223" t="str" cm="1">
        <f t="array" ref="R19">IF($D19&lt;COLUMNS($F$7:R$7),"",INDEX(TableDiv[[GASB]:[GASB]],_xlfn.AGGREGATE(15,3,(TableDiv[[Agency]:[Agency]]=$E19)/(TableDiv[[Agency]:[Agency]]=$E19)*(ROW(TableDiv[Agency])-ROW(TableDiv[[#Headers],[Agency]])),COLUMNS($F$7:R$7))))</f>
        <v/>
      </c>
      <c r="S19" s="2223" t="str" cm="1">
        <f t="array" ref="S19">IF($D19&lt;COLUMNS($F$7:S$7),"",INDEX(TableDiv[[GASB]:[GASB]],_xlfn.AGGREGATE(15,3,(TableDiv[[Agency]:[Agency]]=$E19)/(TableDiv[[Agency]:[Agency]]=$E19)*(ROW(TableDiv[Agency])-ROW(TableDiv[[#Headers],[Agency]])),COLUMNS($F$7:S$7))))</f>
        <v/>
      </c>
      <c r="T19" s="2223" t="str" cm="1">
        <f t="array" ref="T19">IF($D19&lt;COLUMNS($F$7:T$7),"",INDEX(TableDiv[[GASB]:[GASB]],_xlfn.AGGREGATE(15,3,(TableDiv[[Agency]:[Agency]]=$E19)/(TableDiv[[Agency]:[Agency]]=$E19)*(ROW(TableDiv[Agency])-ROW(TableDiv[[#Headers],[Agency]])),COLUMNS($F$7:T$7))))</f>
        <v/>
      </c>
      <c r="U19" s="2223" t="str" cm="1">
        <f t="array" ref="U19">IF($D19&lt;COLUMNS($F$7:U$7),"",INDEX(TableDiv[[GASB]:[GASB]],_xlfn.AGGREGATE(15,3,(TableDiv[[Agency]:[Agency]]=$E19)/(TableDiv[[Agency]:[Agency]]=$E19)*(ROW(TableDiv[Agency])-ROW(TableDiv[[#Headers],[Agency]])),COLUMNS($F$7:U$7))))</f>
        <v/>
      </c>
      <c r="V19" s="2223" t="str" cm="1">
        <f t="array" ref="V19">IF($D19&lt;COLUMNS($F$7:V$7),"",INDEX(TableDiv[[GASB]:[GASB]],_xlfn.AGGREGATE(15,3,(TableDiv[[Agency]:[Agency]]=$E19)/(TableDiv[[Agency]:[Agency]]=$E19)*(ROW(TableDiv[Agency])-ROW(TableDiv[[#Headers],[Agency]])),COLUMNS($F$7:V$7))))</f>
        <v/>
      </c>
      <c r="W19" s="2223" t="str" cm="1">
        <f t="array" ref="W19">IF($D19&lt;COLUMNS($F$7:W$7),"",INDEX(TableDiv[[GASB]:[GASB]],_xlfn.AGGREGATE(15,3,(TableDiv[[Agency]:[Agency]]=$E19)/(TableDiv[[Agency]:[Agency]]=$E19)*(ROW(TableDiv[Agency])-ROW(TableDiv[[#Headers],[Agency]])),COLUMNS($F$7:W$7))))</f>
        <v/>
      </c>
      <c r="X19" s="2223" t="str" cm="1">
        <f t="array" ref="X19">IF($D19&lt;COLUMNS($F$7:X$7),"",INDEX(TableDiv[[GASB]:[GASB]],_xlfn.AGGREGATE(15,3,(TableDiv[[Agency]:[Agency]]=$E19)/(TableDiv[[Agency]:[Agency]]=$E19)*(ROW(TableDiv[Agency])-ROW(TableDiv[[#Headers],[Agency]])),COLUMNS($F$7:X$7))))</f>
        <v/>
      </c>
      <c r="Y19" s="2223" t="str" cm="1">
        <f t="array" ref="Y19">IF($D19&lt;COLUMNS($F$7:Y$7),"",INDEX(TableDiv[[GASB]:[GASB]],_xlfn.AGGREGATE(15,3,(TableDiv[[Agency]:[Agency]]=$E19)/(TableDiv[[Agency]:[Agency]]=$E19)*(ROW(TableDiv[Agency])-ROW(TableDiv[[#Headers],[Agency]])),COLUMNS($F$7:Y$7))))</f>
        <v/>
      </c>
      <c r="Z19" s="2223" t="str" cm="1">
        <f t="array" ref="Z19">IF($D19&lt;COLUMNS($F$7:Z$7),"",INDEX(TableDiv[[GASB]:[GASB]],_xlfn.AGGREGATE(15,3,(TableDiv[[Agency]:[Agency]]=$E19)/(TableDiv[[Agency]:[Agency]]=$E19)*(ROW(TableDiv[Agency])-ROW(TableDiv[[#Headers],[Agency]])),COLUMNS($F$7:Z$7))))</f>
        <v/>
      </c>
      <c r="AA19" s="2223" t="str" cm="1">
        <f t="array" ref="AA19">IF($D19&lt;COLUMNS($F$7:AA$7),"",INDEX(TableDiv[[GASB]:[GASB]],_xlfn.AGGREGATE(15,3,(TableDiv[[Agency]:[Agency]]=$E19)/(TableDiv[[Agency]:[Agency]]=$E19)*(ROW(TableDiv[Agency])-ROW(TableDiv[[#Headers],[Agency]])),COLUMNS($F$7:AA$7))))</f>
        <v/>
      </c>
      <c r="AB19" s="2223" t="str" cm="1">
        <f t="array" ref="AB19">IF($D19&lt;COLUMNS($F$7:AB$7),"",INDEX(TableDiv[[GASB]:[GASB]],_xlfn.AGGREGATE(15,3,(TableDiv[[Agency]:[Agency]]=$E19)/(TableDiv[[Agency]:[Agency]]=$E19)*(ROW(TableDiv[Agency])-ROW(TableDiv[[#Headers],[Agency]])),COLUMNS($F$7:AB$7))))</f>
        <v/>
      </c>
      <c r="AC19" s="2223" t="str" cm="1">
        <f t="array" ref="AC19">IF($D19&lt;COLUMNS($F$7:AC$7),"",INDEX(TableDiv[[GASB]:[GASB]],_xlfn.AGGREGATE(15,3,(TableDiv[[Agency]:[Agency]]=$E19)/(TableDiv[[Agency]:[Agency]]=$E19)*(ROW(TableDiv[Agency])-ROW(TableDiv[[#Headers],[Agency]])),COLUMNS($F$7:AC$7))))</f>
        <v/>
      </c>
      <c r="AD19" s="2223" t="str" cm="1">
        <f t="array" ref="AD19">IF($D19&lt;COLUMNS($F$7:AD$7),"",INDEX(TableDiv[[GASB]:[GASB]],_xlfn.AGGREGATE(15,3,(TableDiv[[Agency]:[Agency]]=$E19)/(TableDiv[[Agency]:[Agency]]=$E19)*(ROW(TableDiv[Agency])-ROW(TableDiv[[#Headers],[Agency]])),COLUMNS($F$7:AD$7))))</f>
        <v/>
      </c>
      <c r="AE19" s="2223" t="str" cm="1">
        <f t="array" ref="AE19">IF($D19&lt;COLUMNS($F$7:AE$7),"",INDEX(TableDiv[[GASB]:[GASB]],_xlfn.AGGREGATE(15,3,(TableDiv[[Agency]:[Agency]]=$E19)/(TableDiv[[Agency]:[Agency]]=$E19)*(ROW(TableDiv[Agency])-ROW(TableDiv[[#Headers],[Agency]])),COLUMNS($F$7:AE$7))))</f>
        <v/>
      </c>
      <c r="AF19" s="2223" t="str" cm="1">
        <f t="array" ref="AF19">IF($D19&lt;COLUMNS($F$7:AF$7),"",INDEX(TableDiv[[GASB]:[GASB]],_xlfn.AGGREGATE(15,3,(TableDiv[[Agency]:[Agency]]=$E19)/(TableDiv[[Agency]:[Agency]]=$E19)*(ROW(TableDiv[Agency])-ROW(TableDiv[[#Headers],[Agency]])),COLUMNS($F$7:AF$7))))</f>
        <v/>
      </c>
      <c r="AG19" s="2223" t="str" cm="1">
        <f t="array" ref="AG19">IF($D19&lt;COLUMNS($F$7:AG$7),"",INDEX(TableDiv[[GASB]:[GASB]],_xlfn.AGGREGATE(15,3,(TableDiv[[Agency]:[Agency]]=$E19)/(TableDiv[[Agency]:[Agency]]=$E19)*(ROW(TableDiv[Agency])-ROW(TableDiv[[#Headers],[Agency]])),COLUMNS($F$7:AG$7))))</f>
        <v/>
      </c>
      <c r="AH19" s="2223" t="str" cm="1">
        <f t="array" ref="AH19">IF($D19&lt;COLUMNS($F$7:AH$7),"",INDEX(TableDiv[[GASB]:[GASB]],_xlfn.AGGREGATE(15,3,(TableDiv[[Agency]:[Agency]]=$E19)/(TableDiv[[Agency]:[Agency]]=$E19)*(ROW(TableDiv[Agency])-ROW(TableDiv[[#Headers],[Agency]])),COLUMNS($F$7:AH$7))))</f>
        <v/>
      </c>
      <c r="AI19" s="2223" t="str" cm="1">
        <f t="array" ref="AI19">IF($D19&lt;COLUMNS($F$7:AI$7),"",INDEX(TableDiv[[GASB]:[GASB]],_xlfn.AGGREGATE(15,3,(TableDiv[[Agency]:[Agency]]=$E19)/(TableDiv[[Agency]:[Agency]]=$E19)*(ROW(TableDiv[Agency])-ROW(TableDiv[[#Headers],[Agency]])),COLUMNS($F$7:AI$7))))</f>
        <v/>
      </c>
      <c r="AJ19" s="2223" t="str" cm="1">
        <f t="array" ref="AJ19">IF($D19&lt;COLUMNS($F$7:AJ$7),"",INDEX(TableDiv[[GASB]:[GASB]],_xlfn.AGGREGATE(15,3,(TableDiv[[Agency]:[Agency]]=$E19)/(TableDiv[[Agency]:[Agency]]=$E19)*(ROW(TableDiv[Agency])-ROW(TableDiv[[#Headers],[Agency]])),COLUMNS($F$7:AJ$7))))</f>
        <v/>
      </c>
      <c r="AK19" s="2223" t="str" cm="1">
        <f t="array" ref="AK19">IF($D19&lt;COLUMNS($F$7:AK$7),"",INDEX(TableDiv[[GASB]:[GASB]],_xlfn.AGGREGATE(15,3,(TableDiv[[Agency]:[Agency]]=$E19)/(TableDiv[[Agency]:[Agency]]=$E19)*(ROW(TableDiv[Agency])-ROW(TableDiv[[#Headers],[Agency]])),COLUMNS($F$7:AK$7))))</f>
        <v/>
      </c>
      <c r="AL19" s="2223" t="str" cm="1">
        <f t="array" ref="AL19">IF($D19&lt;COLUMNS($F$7:AL$7),"",INDEX(TableDiv[[GASB]:[GASB]],_xlfn.AGGREGATE(15,3,(TableDiv[[Agency]:[Agency]]=$E19)/(TableDiv[[Agency]:[Agency]]=$E19)*(ROW(TableDiv[Agency])-ROW(TableDiv[[#Headers],[Agency]])),COLUMNS($F$7:AL$7))))</f>
        <v/>
      </c>
      <c r="AM19" s="2223" t="str" cm="1">
        <f t="array" ref="AM19">IF($D19&lt;COLUMNS($F$7:AM$7),"",INDEX(TableDiv[[GASB]:[GASB]],_xlfn.AGGREGATE(15,3,(TableDiv[[Agency]:[Agency]]=$E19)/(TableDiv[[Agency]:[Agency]]=$E19)*(ROW(TableDiv[Agency])-ROW(TableDiv[[#Headers],[Agency]])),COLUMNS($F$7:AM$7))))</f>
        <v/>
      </c>
      <c r="AN19" s="2223"/>
      <c r="AO19" s="2223"/>
      <c r="AP19" s="2223"/>
      <c r="AQ19" s="2223"/>
      <c r="AR19" s="2223"/>
      <c r="AS19" s="2223"/>
    </row>
    <row r="20" spans="1:45" ht="15" x14ac:dyDescent="0.25">
      <c r="A20" s="2219" t="s">
        <v>1879</v>
      </c>
      <c r="B20" s="2219" t="s">
        <v>6361</v>
      </c>
      <c r="C20" s="2223"/>
      <c r="D20" s="2223">
        <f>COUNTIF(TableDiv[Agency],E20)</f>
        <v>11</v>
      </c>
      <c r="E20" s="2230" t="str" cm="1">
        <f t="array" ref="E20">IFERROR(INDEX(TableDiv[Agency],MATCH(0,INDEX(COUNTIF($E$7:E19,TableDiv[Agency]),),0)),"")</f>
        <v>1300</v>
      </c>
      <c r="F20" s="2223" t="str" cm="1">
        <f t="array" ref="F20">IF($D20&lt;COLUMNS($F$7:F$7),"",INDEX(TableDiv[[GASB]:[GASB]],_xlfn.AGGREGATE(15,3,(TableDiv[[Agency]:[Agency]]=$E20)/(TableDiv[[Agency]:[Agency]]=$E20)*(ROW(TableDiv[Agency])-ROW(TableDiv[[#Headers],[Agency]])),COLUMNS($F$7:F$7))))</f>
        <v>11000G</v>
      </c>
      <c r="G20" s="2223" t="str" cm="1">
        <f t="array" ref="G20">IF($D20&lt;COLUMNS($F$7:G$7),"",INDEX(TableDiv[[GASB]:[GASB]],_xlfn.AGGREGATE(15,3,(TableDiv[[Agency]:[Agency]]=$E20)/(TableDiv[[Agency]:[Agency]]=$E20)*(ROW(TableDiv[Agency])-ROW(TableDiv[[#Headers],[Agency]])),COLUMNS($F$7:G$7))))</f>
        <v>11020G</v>
      </c>
      <c r="H20" s="2223" t="str" cm="1">
        <f t="array" ref="H20">IF($D20&lt;COLUMNS($F$7:H$7),"",INDEX(TableDiv[[GASB]:[GASB]],_xlfn.AGGREGATE(15,3,(TableDiv[[Agency]:[Agency]]=$E20)/(TableDiv[[Agency]:[Agency]]=$E20)*(ROW(TableDiv[Agency])-ROW(TableDiv[[#Headers],[Agency]])),COLUMNS($F$7:H$7))))</f>
        <v>11200G</v>
      </c>
      <c r="I20" s="2223" t="str" cm="1">
        <f t="array" ref="I20">IF($D20&lt;COLUMNS($F$7:I$7),"",INDEX(TableDiv[[GASB]:[GASB]],_xlfn.AGGREGATE(15,3,(TableDiv[[Agency]:[Agency]]=$E20)/(TableDiv[[Agency]:[Agency]]=$E20)*(ROW(TableDiv[Agency])-ROW(TableDiv[[#Headers],[Agency]])),COLUMNS($F$7:I$7))))</f>
        <v>12000G</v>
      </c>
      <c r="J20" s="2223" t="str" cm="1">
        <f t="array" ref="J20">IF($D20&lt;COLUMNS($F$7:J$7),"",INDEX(TableDiv[[GASB]:[GASB]],_xlfn.AGGREGATE(15,3,(TableDiv[[Agency]:[Agency]]=$E20)/(TableDiv[[Agency]:[Agency]]=$E20)*(ROW(TableDiv[Agency])-ROW(TableDiv[[#Headers],[Agency]])),COLUMNS($F$7:J$7))))</f>
        <v>14000G</v>
      </c>
      <c r="K20" s="2223" t="str" cm="1">
        <f t="array" ref="K20">IF($D20&lt;COLUMNS($F$7:K$7),"",INDEX(TableDiv[[GASB]:[GASB]],_xlfn.AGGREGATE(15,3,(TableDiv[[Agency]:[Agency]]=$E20)/(TableDiv[[Agency]:[Agency]]=$E20)*(ROW(TableDiv[Agency])-ROW(TableDiv[[#Headers],[Agency]])),COLUMNS($F$7:K$7))))</f>
        <v>14260G</v>
      </c>
      <c r="L20" s="2223" t="str" cm="1">
        <f t="array" ref="L20">IF($D20&lt;COLUMNS($F$7:L$7),"",INDEX(TableDiv[[GASB]:[GASB]],_xlfn.AGGREGATE(15,3,(TableDiv[[Agency]:[Agency]]=$E20)/(TableDiv[[Agency]:[Agency]]=$E20)*(ROW(TableDiv[Agency])-ROW(TableDiv[[#Headers],[Agency]])),COLUMNS($F$7:L$7))))</f>
        <v>27020G</v>
      </c>
      <c r="M20" s="2223" t="str" cm="1">
        <f t="array" ref="M20">IF($D20&lt;COLUMNS($F$7:M$7),"",INDEX(TableDiv[[GASB]:[GASB]],_xlfn.AGGREGATE(15,3,(TableDiv[[Agency]:[Agency]]=$E20)/(TableDiv[[Agency]:[Agency]]=$E20)*(ROW(TableDiv[Agency])-ROW(TableDiv[[#Headers],[Agency]])),COLUMNS($F$7:M$7))))</f>
        <v>27060G</v>
      </c>
      <c r="N20" s="2223" t="str" cm="1">
        <f t="array" ref="N20">IF($D20&lt;COLUMNS($F$7:N$7),"",INDEX(TableDiv[[GASB]:[GASB]],_xlfn.AGGREGATE(15,3,(TableDiv[[Agency]:[Agency]]=$E20)/(TableDiv[[Agency]:[Agency]]=$E20)*(ROW(TableDiv[Agency])-ROW(TableDiv[[#Headers],[Agency]])),COLUMNS($F$7:N$7))))</f>
        <v>27140G</v>
      </c>
      <c r="O20" s="2223" t="str" cm="1">
        <f t="array" ref="O20">IF($D20&lt;COLUMNS($F$7:O$7),"",INDEX(TableDiv[[GASB]:[GASB]],_xlfn.AGGREGATE(15,3,(TableDiv[[Agency]:[Agency]]=$E20)/(TableDiv[[Agency]:[Agency]]=$E20)*(ROW(TableDiv[Agency])-ROW(TableDiv[[#Headers],[Agency]])),COLUMNS($F$7:O$7))))</f>
        <v>27230G</v>
      </c>
      <c r="P20" s="2223" t="str" cm="1">
        <f t="array" ref="P20">IF($D20&lt;COLUMNS($F$7:P$7),"",INDEX(TableDiv[[GASB]:[GASB]],_xlfn.AGGREGATE(15,3,(TableDiv[[Agency]:[Agency]]=$E20)/(TableDiv[[Agency]:[Agency]]=$E20)*(ROW(TableDiv[Agency])-ROW(TableDiv[[#Headers],[Agency]])),COLUMNS($F$7:P$7))))</f>
        <v>27280G</v>
      </c>
      <c r="Q20" s="2223" t="str" cm="1">
        <f t="array" ref="Q20">IF($D20&lt;COLUMNS($F$7:Q$7),"",INDEX(TableDiv[[GASB]:[GASB]],_xlfn.AGGREGATE(15,3,(TableDiv[[Agency]:[Agency]]=$E20)/(TableDiv[[Agency]:[Agency]]=$E20)*(ROW(TableDiv[Agency])-ROW(TableDiv[[#Headers],[Agency]])),COLUMNS($F$7:Q$7))))</f>
        <v/>
      </c>
      <c r="R20" s="2223" t="str" cm="1">
        <f t="array" ref="R20">IF($D20&lt;COLUMNS($F$7:R$7),"",INDEX(TableDiv[[GASB]:[GASB]],_xlfn.AGGREGATE(15,3,(TableDiv[[Agency]:[Agency]]=$E20)/(TableDiv[[Agency]:[Agency]]=$E20)*(ROW(TableDiv[Agency])-ROW(TableDiv[[#Headers],[Agency]])),COLUMNS($F$7:R$7))))</f>
        <v/>
      </c>
      <c r="S20" s="2223" t="str" cm="1">
        <f t="array" ref="S20">IF($D20&lt;COLUMNS($F$7:S$7),"",INDEX(TableDiv[[GASB]:[GASB]],_xlfn.AGGREGATE(15,3,(TableDiv[[Agency]:[Agency]]=$E20)/(TableDiv[[Agency]:[Agency]]=$E20)*(ROW(TableDiv[Agency])-ROW(TableDiv[[#Headers],[Agency]])),COLUMNS($F$7:S$7))))</f>
        <v/>
      </c>
      <c r="T20" s="2223" t="str" cm="1">
        <f t="array" ref="T20">IF($D20&lt;COLUMNS($F$7:T$7),"",INDEX(TableDiv[[GASB]:[GASB]],_xlfn.AGGREGATE(15,3,(TableDiv[[Agency]:[Agency]]=$E20)/(TableDiv[[Agency]:[Agency]]=$E20)*(ROW(TableDiv[Agency])-ROW(TableDiv[[#Headers],[Agency]])),COLUMNS($F$7:T$7))))</f>
        <v/>
      </c>
      <c r="U20" s="2223" t="str" cm="1">
        <f t="array" ref="U20">IF($D20&lt;COLUMNS($F$7:U$7),"",INDEX(TableDiv[[GASB]:[GASB]],_xlfn.AGGREGATE(15,3,(TableDiv[[Agency]:[Agency]]=$E20)/(TableDiv[[Agency]:[Agency]]=$E20)*(ROW(TableDiv[Agency])-ROW(TableDiv[[#Headers],[Agency]])),COLUMNS($F$7:U$7))))</f>
        <v/>
      </c>
      <c r="V20" s="2223" t="str" cm="1">
        <f t="array" ref="V20">IF($D20&lt;COLUMNS($F$7:V$7),"",INDEX(TableDiv[[GASB]:[GASB]],_xlfn.AGGREGATE(15,3,(TableDiv[[Agency]:[Agency]]=$E20)/(TableDiv[[Agency]:[Agency]]=$E20)*(ROW(TableDiv[Agency])-ROW(TableDiv[[#Headers],[Agency]])),COLUMNS($F$7:V$7))))</f>
        <v/>
      </c>
      <c r="W20" s="2223" t="str" cm="1">
        <f t="array" ref="W20">IF($D20&lt;COLUMNS($F$7:W$7),"",INDEX(TableDiv[[GASB]:[GASB]],_xlfn.AGGREGATE(15,3,(TableDiv[[Agency]:[Agency]]=$E20)/(TableDiv[[Agency]:[Agency]]=$E20)*(ROW(TableDiv[Agency])-ROW(TableDiv[[#Headers],[Agency]])),COLUMNS($F$7:W$7))))</f>
        <v/>
      </c>
      <c r="X20" s="2223" t="str" cm="1">
        <f t="array" ref="X20">IF($D20&lt;COLUMNS($F$7:X$7),"",INDEX(TableDiv[[GASB]:[GASB]],_xlfn.AGGREGATE(15,3,(TableDiv[[Agency]:[Agency]]=$E20)/(TableDiv[[Agency]:[Agency]]=$E20)*(ROW(TableDiv[Agency])-ROW(TableDiv[[#Headers],[Agency]])),COLUMNS($F$7:X$7))))</f>
        <v/>
      </c>
      <c r="Y20" s="2223" t="str" cm="1">
        <f t="array" ref="Y20">IF($D20&lt;COLUMNS($F$7:Y$7),"",INDEX(TableDiv[[GASB]:[GASB]],_xlfn.AGGREGATE(15,3,(TableDiv[[Agency]:[Agency]]=$E20)/(TableDiv[[Agency]:[Agency]]=$E20)*(ROW(TableDiv[Agency])-ROW(TableDiv[[#Headers],[Agency]])),COLUMNS($F$7:Y$7))))</f>
        <v/>
      </c>
      <c r="Z20" s="2223" t="str" cm="1">
        <f t="array" ref="Z20">IF($D20&lt;COLUMNS($F$7:Z$7),"",INDEX(TableDiv[[GASB]:[GASB]],_xlfn.AGGREGATE(15,3,(TableDiv[[Agency]:[Agency]]=$E20)/(TableDiv[[Agency]:[Agency]]=$E20)*(ROW(TableDiv[Agency])-ROW(TableDiv[[#Headers],[Agency]])),COLUMNS($F$7:Z$7))))</f>
        <v/>
      </c>
      <c r="AA20" s="2223" t="str" cm="1">
        <f t="array" ref="AA20">IF($D20&lt;COLUMNS($F$7:AA$7),"",INDEX(TableDiv[[GASB]:[GASB]],_xlfn.AGGREGATE(15,3,(TableDiv[[Agency]:[Agency]]=$E20)/(TableDiv[[Agency]:[Agency]]=$E20)*(ROW(TableDiv[Agency])-ROW(TableDiv[[#Headers],[Agency]])),COLUMNS($F$7:AA$7))))</f>
        <v/>
      </c>
      <c r="AB20" s="2223" t="str" cm="1">
        <f t="array" ref="AB20">IF($D20&lt;COLUMNS($F$7:AB$7),"",INDEX(TableDiv[[GASB]:[GASB]],_xlfn.AGGREGATE(15,3,(TableDiv[[Agency]:[Agency]]=$E20)/(TableDiv[[Agency]:[Agency]]=$E20)*(ROW(TableDiv[Agency])-ROW(TableDiv[[#Headers],[Agency]])),COLUMNS($F$7:AB$7))))</f>
        <v/>
      </c>
      <c r="AC20" s="2223" t="str" cm="1">
        <f t="array" ref="AC20">IF($D20&lt;COLUMNS($F$7:AC$7),"",INDEX(TableDiv[[GASB]:[GASB]],_xlfn.AGGREGATE(15,3,(TableDiv[[Agency]:[Agency]]=$E20)/(TableDiv[[Agency]:[Agency]]=$E20)*(ROW(TableDiv[Agency])-ROW(TableDiv[[#Headers],[Agency]])),COLUMNS($F$7:AC$7))))</f>
        <v/>
      </c>
      <c r="AD20" s="2223" t="str" cm="1">
        <f t="array" ref="AD20">IF($D20&lt;COLUMNS($F$7:AD$7),"",INDEX(TableDiv[[GASB]:[GASB]],_xlfn.AGGREGATE(15,3,(TableDiv[[Agency]:[Agency]]=$E20)/(TableDiv[[Agency]:[Agency]]=$E20)*(ROW(TableDiv[Agency])-ROW(TableDiv[[#Headers],[Agency]])),COLUMNS($F$7:AD$7))))</f>
        <v/>
      </c>
      <c r="AE20" s="2223" t="str" cm="1">
        <f t="array" ref="AE20">IF($D20&lt;COLUMNS($F$7:AE$7),"",INDEX(TableDiv[[GASB]:[GASB]],_xlfn.AGGREGATE(15,3,(TableDiv[[Agency]:[Agency]]=$E20)/(TableDiv[[Agency]:[Agency]]=$E20)*(ROW(TableDiv[Agency])-ROW(TableDiv[[#Headers],[Agency]])),COLUMNS($F$7:AE$7))))</f>
        <v/>
      </c>
      <c r="AF20" s="2223" t="str" cm="1">
        <f t="array" ref="AF20">IF($D20&lt;COLUMNS($F$7:AF$7),"",INDEX(TableDiv[[GASB]:[GASB]],_xlfn.AGGREGATE(15,3,(TableDiv[[Agency]:[Agency]]=$E20)/(TableDiv[[Agency]:[Agency]]=$E20)*(ROW(TableDiv[Agency])-ROW(TableDiv[[#Headers],[Agency]])),COLUMNS($F$7:AF$7))))</f>
        <v/>
      </c>
      <c r="AG20" s="2223" t="str" cm="1">
        <f t="array" ref="AG20">IF($D20&lt;COLUMNS($F$7:AG$7),"",INDEX(TableDiv[[GASB]:[GASB]],_xlfn.AGGREGATE(15,3,(TableDiv[[Agency]:[Agency]]=$E20)/(TableDiv[[Agency]:[Agency]]=$E20)*(ROW(TableDiv[Agency])-ROW(TableDiv[[#Headers],[Agency]])),COLUMNS($F$7:AG$7))))</f>
        <v/>
      </c>
      <c r="AH20" s="2223" t="str" cm="1">
        <f t="array" ref="AH20">IF($D20&lt;COLUMNS($F$7:AH$7),"",INDEX(TableDiv[[GASB]:[GASB]],_xlfn.AGGREGATE(15,3,(TableDiv[[Agency]:[Agency]]=$E20)/(TableDiv[[Agency]:[Agency]]=$E20)*(ROW(TableDiv[Agency])-ROW(TableDiv[[#Headers],[Agency]])),COLUMNS($F$7:AH$7))))</f>
        <v/>
      </c>
      <c r="AI20" s="2223" t="str" cm="1">
        <f t="array" ref="AI20">IF($D20&lt;COLUMNS($F$7:AI$7),"",INDEX(TableDiv[[GASB]:[GASB]],_xlfn.AGGREGATE(15,3,(TableDiv[[Agency]:[Agency]]=$E20)/(TableDiv[[Agency]:[Agency]]=$E20)*(ROW(TableDiv[Agency])-ROW(TableDiv[[#Headers],[Agency]])),COLUMNS($F$7:AI$7))))</f>
        <v/>
      </c>
      <c r="AJ20" s="2223" t="str" cm="1">
        <f t="array" ref="AJ20">IF($D20&lt;COLUMNS($F$7:AJ$7),"",INDEX(TableDiv[[GASB]:[GASB]],_xlfn.AGGREGATE(15,3,(TableDiv[[Agency]:[Agency]]=$E20)/(TableDiv[[Agency]:[Agency]]=$E20)*(ROW(TableDiv[Agency])-ROW(TableDiv[[#Headers],[Agency]])),COLUMNS($F$7:AJ$7))))</f>
        <v/>
      </c>
      <c r="AK20" s="2223" t="str" cm="1">
        <f t="array" ref="AK20">IF($D20&lt;COLUMNS($F$7:AK$7),"",INDEX(TableDiv[[GASB]:[GASB]],_xlfn.AGGREGATE(15,3,(TableDiv[[Agency]:[Agency]]=$E20)/(TableDiv[[Agency]:[Agency]]=$E20)*(ROW(TableDiv[Agency])-ROW(TableDiv[[#Headers],[Agency]])),COLUMNS($F$7:AK$7))))</f>
        <v/>
      </c>
      <c r="AL20" s="2223" t="str" cm="1">
        <f t="array" ref="AL20">IF($D20&lt;COLUMNS($F$7:AL$7),"",INDEX(TableDiv[[GASB]:[GASB]],_xlfn.AGGREGATE(15,3,(TableDiv[[Agency]:[Agency]]=$E20)/(TableDiv[[Agency]:[Agency]]=$E20)*(ROW(TableDiv[Agency])-ROW(TableDiv[[#Headers],[Agency]])),COLUMNS($F$7:AL$7))))</f>
        <v/>
      </c>
      <c r="AM20" s="2223" t="str" cm="1">
        <f t="array" ref="AM20">IF($D20&lt;COLUMNS($F$7:AM$7),"",INDEX(TableDiv[[GASB]:[GASB]],_xlfn.AGGREGATE(15,3,(TableDiv[[Agency]:[Agency]]=$E20)/(TableDiv[[Agency]:[Agency]]=$E20)*(ROW(TableDiv[Agency])-ROW(TableDiv[[#Headers],[Agency]])),COLUMNS($F$7:AM$7))))</f>
        <v/>
      </c>
      <c r="AN20" s="2223"/>
      <c r="AO20" s="2223"/>
      <c r="AP20" s="2223"/>
      <c r="AQ20" s="2223"/>
      <c r="AR20" s="2223"/>
      <c r="AS20" s="2223"/>
    </row>
    <row r="21" spans="1:45" ht="15" x14ac:dyDescent="0.25">
      <c r="A21" s="2219" t="s">
        <v>1879</v>
      </c>
      <c r="B21" s="2219" t="s">
        <v>6368</v>
      </c>
      <c r="C21" s="2223"/>
      <c r="D21" s="2223">
        <f>COUNTIF(TableDiv[Agency],E21)</f>
        <v>2</v>
      </c>
      <c r="E21" s="2230" t="str" cm="1">
        <f t="array" ref="E21">IFERROR(INDEX(TableDiv[Agency],MATCH(0,INDEX(COUNTIF($E$7:E20,TableDiv[Agency]),),0)),"")</f>
        <v>1400</v>
      </c>
      <c r="F21" s="2223" t="str" cm="1">
        <f t="array" ref="F21">IF($D21&lt;COLUMNS($F$7:F$7),"",INDEX(TableDiv[[GASB]:[GASB]],_xlfn.AGGREGATE(15,3,(TableDiv[[Agency]:[Agency]]=$E21)/(TableDiv[[Agency]:[Agency]]=$E21)*(ROW(TableDiv[Agency])-ROW(TableDiv[[#Headers],[Agency]])),COLUMNS($F$7:F$7))))</f>
        <v>11000G</v>
      </c>
      <c r="G21" s="2223" t="str" cm="1">
        <f t="array" ref="G21">IF($D21&lt;COLUMNS($F$7:G$7),"",INDEX(TableDiv[[GASB]:[GASB]],_xlfn.AGGREGATE(15,3,(TableDiv[[Agency]:[Agency]]=$E21)/(TableDiv[[Agency]:[Agency]]=$E21)*(ROW(TableDiv[Agency])-ROW(TableDiv[[#Headers],[Agency]])),COLUMNS($F$7:G$7))))</f>
        <v>11020G</v>
      </c>
      <c r="H21" s="2223" t="str" cm="1">
        <f t="array" ref="H21">IF($D21&lt;COLUMNS($F$7:H$7),"",INDEX(TableDiv[[GASB]:[GASB]],_xlfn.AGGREGATE(15,3,(TableDiv[[Agency]:[Agency]]=$E21)/(TableDiv[[Agency]:[Agency]]=$E21)*(ROW(TableDiv[Agency])-ROW(TableDiv[[#Headers],[Agency]])),COLUMNS($F$7:H$7))))</f>
        <v/>
      </c>
      <c r="I21" s="2223" t="str" cm="1">
        <f t="array" ref="I21">IF($D21&lt;COLUMNS($F$7:I$7),"",INDEX(TableDiv[[GASB]:[GASB]],_xlfn.AGGREGATE(15,3,(TableDiv[[Agency]:[Agency]]=$E21)/(TableDiv[[Agency]:[Agency]]=$E21)*(ROW(TableDiv[Agency])-ROW(TableDiv[[#Headers],[Agency]])),COLUMNS($F$7:I$7))))</f>
        <v/>
      </c>
      <c r="J21" s="2223" t="str" cm="1">
        <f t="array" ref="J21">IF($D21&lt;COLUMNS($F$7:J$7),"",INDEX(TableDiv[[GASB]:[GASB]],_xlfn.AGGREGATE(15,3,(TableDiv[[Agency]:[Agency]]=$E21)/(TableDiv[[Agency]:[Agency]]=$E21)*(ROW(TableDiv[Agency])-ROW(TableDiv[[#Headers],[Agency]])),COLUMNS($F$7:J$7))))</f>
        <v/>
      </c>
      <c r="K21" s="2223" t="str" cm="1">
        <f t="array" ref="K21">IF($D21&lt;COLUMNS($F$7:K$7),"",INDEX(TableDiv[[GASB]:[GASB]],_xlfn.AGGREGATE(15,3,(TableDiv[[Agency]:[Agency]]=$E21)/(TableDiv[[Agency]:[Agency]]=$E21)*(ROW(TableDiv[Agency])-ROW(TableDiv[[#Headers],[Agency]])),COLUMNS($F$7:K$7))))</f>
        <v/>
      </c>
      <c r="L21" s="2223" t="str" cm="1">
        <f t="array" ref="L21">IF($D21&lt;COLUMNS($F$7:L$7),"",INDEX(TableDiv[[GASB]:[GASB]],_xlfn.AGGREGATE(15,3,(TableDiv[[Agency]:[Agency]]=$E21)/(TableDiv[[Agency]:[Agency]]=$E21)*(ROW(TableDiv[Agency])-ROW(TableDiv[[#Headers],[Agency]])),COLUMNS($F$7:L$7))))</f>
        <v/>
      </c>
      <c r="M21" s="2223" t="str" cm="1">
        <f t="array" ref="M21">IF($D21&lt;COLUMNS($F$7:M$7),"",INDEX(TableDiv[[GASB]:[GASB]],_xlfn.AGGREGATE(15,3,(TableDiv[[Agency]:[Agency]]=$E21)/(TableDiv[[Agency]:[Agency]]=$E21)*(ROW(TableDiv[Agency])-ROW(TableDiv[[#Headers],[Agency]])),COLUMNS($F$7:M$7))))</f>
        <v/>
      </c>
      <c r="N21" s="2223" t="str" cm="1">
        <f t="array" ref="N21">IF($D21&lt;COLUMNS($F$7:N$7),"",INDEX(TableDiv[[GASB]:[GASB]],_xlfn.AGGREGATE(15,3,(TableDiv[[Agency]:[Agency]]=$E21)/(TableDiv[[Agency]:[Agency]]=$E21)*(ROW(TableDiv[Agency])-ROW(TableDiv[[#Headers],[Agency]])),COLUMNS($F$7:N$7))))</f>
        <v/>
      </c>
      <c r="O21" s="2223" t="str" cm="1">
        <f t="array" ref="O21">IF($D21&lt;COLUMNS($F$7:O$7),"",INDEX(TableDiv[[GASB]:[GASB]],_xlfn.AGGREGATE(15,3,(TableDiv[[Agency]:[Agency]]=$E21)/(TableDiv[[Agency]:[Agency]]=$E21)*(ROW(TableDiv[Agency])-ROW(TableDiv[[#Headers],[Agency]])),COLUMNS($F$7:O$7))))</f>
        <v/>
      </c>
      <c r="P21" s="2223" t="str" cm="1">
        <f t="array" ref="P21">IF($D21&lt;COLUMNS($F$7:P$7),"",INDEX(TableDiv[[GASB]:[GASB]],_xlfn.AGGREGATE(15,3,(TableDiv[[Agency]:[Agency]]=$E21)/(TableDiv[[Agency]:[Agency]]=$E21)*(ROW(TableDiv[Agency])-ROW(TableDiv[[#Headers],[Agency]])),COLUMNS($F$7:P$7))))</f>
        <v/>
      </c>
      <c r="Q21" s="2223" t="str" cm="1">
        <f t="array" ref="Q21">IF($D21&lt;COLUMNS($F$7:Q$7),"",INDEX(TableDiv[[GASB]:[GASB]],_xlfn.AGGREGATE(15,3,(TableDiv[[Agency]:[Agency]]=$E21)/(TableDiv[[Agency]:[Agency]]=$E21)*(ROW(TableDiv[Agency])-ROW(TableDiv[[#Headers],[Agency]])),COLUMNS($F$7:Q$7))))</f>
        <v/>
      </c>
      <c r="R21" s="2223" t="str" cm="1">
        <f t="array" ref="R21">IF($D21&lt;COLUMNS($F$7:R$7),"",INDEX(TableDiv[[GASB]:[GASB]],_xlfn.AGGREGATE(15,3,(TableDiv[[Agency]:[Agency]]=$E21)/(TableDiv[[Agency]:[Agency]]=$E21)*(ROW(TableDiv[Agency])-ROW(TableDiv[[#Headers],[Agency]])),COLUMNS($F$7:R$7))))</f>
        <v/>
      </c>
      <c r="S21" s="2223" t="str" cm="1">
        <f t="array" ref="S21">IF($D21&lt;COLUMNS($F$7:S$7),"",INDEX(TableDiv[[GASB]:[GASB]],_xlfn.AGGREGATE(15,3,(TableDiv[[Agency]:[Agency]]=$E21)/(TableDiv[[Agency]:[Agency]]=$E21)*(ROW(TableDiv[Agency])-ROW(TableDiv[[#Headers],[Agency]])),COLUMNS($F$7:S$7))))</f>
        <v/>
      </c>
      <c r="T21" s="2223" t="str" cm="1">
        <f t="array" ref="T21">IF($D21&lt;COLUMNS($F$7:T$7),"",INDEX(TableDiv[[GASB]:[GASB]],_xlfn.AGGREGATE(15,3,(TableDiv[[Agency]:[Agency]]=$E21)/(TableDiv[[Agency]:[Agency]]=$E21)*(ROW(TableDiv[Agency])-ROW(TableDiv[[#Headers],[Agency]])),COLUMNS($F$7:T$7))))</f>
        <v/>
      </c>
      <c r="U21" s="2223" t="str" cm="1">
        <f t="array" ref="U21">IF($D21&lt;COLUMNS($F$7:U$7),"",INDEX(TableDiv[[GASB]:[GASB]],_xlfn.AGGREGATE(15,3,(TableDiv[[Agency]:[Agency]]=$E21)/(TableDiv[[Agency]:[Agency]]=$E21)*(ROW(TableDiv[Agency])-ROW(TableDiv[[#Headers],[Agency]])),COLUMNS($F$7:U$7))))</f>
        <v/>
      </c>
      <c r="V21" s="2223" t="str" cm="1">
        <f t="array" ref="V21">IF($D21&lt;COLUMNS($F$7:V$7),"",INDEX(TableDiv[[GASB]:[GASB]],_xlfn.AGGREGATE(15,3,(TableDiv[[Agency]:[Agency]]=$E21)/(TableDiv[[Agency]:[Agency]]=$E21)*(ROW(TableDiv[Agency])-ROW(TableDiv[[#Headers],[Agency]])),COLUMNS($F$7:V$7))))</f>
        <v/>
      </c>
      <c r="W21" s="2223" t="str" cm="1">
        <f t="array" ref="W21">IF($D21&lt;COLUMNS($F$7:W$7),"",INDEX(TableDiv[[GASB]:[GASB]],_xlfn.AGGREGATE(15,3,(TableDiv[[Agency]:[Agency]]=$E21)/(TableDiv[[Agency]:[Agency]]=$E21)*(ROW(TableDiv[Agency])-ROW(TableDiv[[#Headers],[Agency]])),COLUMNS($F$7:W$7))))</f>
        <v/>
      </c>
      <c r="X21" s="2223" t="str" cm="1">
        <f t="array" ref="X21">IF($D21&lt;COLUMNS($F$7:X$7),"",INDEX(TableDiv[[GASB]:[GASB]],_xlfn.AGGREGATE(15,3,(TableDiv[[Agency]:[Agency]]=$E21)/(TableDiv[[Agency]:[Agency]]=$E21)*(ROW(TableDiv[Agency])-ROW(TableDiv[[#Headers],[Agency]])),COLUMNS($F$7:X$7))))</f>
        <v/>
      </c>
      <c r="Y21" s="2223" t="str" cm="1">
        <f t="array" ref="Y21">IF($D21&lt;COLUMNS($F$7:Y$7),"",INDEX(TableDiv[[GASB]:[GASB]],_xlfn.AGGREGATE(15,3,(TableDiv[[Agency]:[Agency]]=$E21)/(TableDiv[[Agency]:[Agency]]=$E21)*(ROW(TableDiv[Agency])-ROW(TableDiv[[#Headers],[Agency]])),COLUMNS($F$7:Y$7))))</f>
        <v/>
      </c>
      <c r="Z21" s="2223" t="str" cm="1">
        <f t="array" ref="Z21">IF($D21&lt;COLUMNS($F$7:Z$7),"",INDEX(TableDiv[[GASB]:[GASB]],_xlfn.AGGREGATE(15,3,(TableDiv[[Agency]:[Agency]]=$E21)/(TableDiv[[Agency]:[Agency]]=$E21)*(ROW(TableDiv[Agency])-ROW(TableDiv[[#Headers],[Agency]])),COLUMNS($F$7:Z$7))))</f>
        <v/>
      </c>
      <c r="AA21" s="2223" t="str" cm="1">
        <f t="array" ref="AA21">IF($D21&lt;COLUMNS($F$7:AA$7),"",INDEX(TableDiv[[GASB]:[GASB]],_xlfn.AGGREGATE(15,3,(TableDiv[[Agency]:[Agency]]=$E21)/(TableDiv[[Agency]:[Agency]]=$E21)*(ROW(TableDiv[Agency])-ROW(TableDiv[[#Headers],[Agency]])),COLUMNS($F$7:AA$7))))</f>
        <v/>
      </c>
      <c r="AB21" s="2223" t="str" cm="1">
        <f t="array" ref="AB21">IF($D21&lt;COLUMNS($F$7:AB$7),"",INDEX(TableDiv[[GASB]:[GASB]],_xlfn.AGGREGATE(15,3,(TableDiv[[Agency]:[Agency]]=$E21)/(TableDiv[[Agency]:[Agency]]=$E21)*(ROW(TableDiv[Agency])-ROW(TableDiv[[#Headers],[Agency]])),COLUMNS($F$7:AB$7))))</f>
        <v/>
      </c>
      <c r="AC21" s="2223" t="str" cm="1">
        <f t="array" ref="AC21">IF($D21&lt;COLUMNS($F$7:AC$7),"",INDEX(TableDiv[[GASB]:[GASB]],_xlfn.AGGREGATE(15,3,(TableDiv[[Agency]:[Agency]]=$E21)/(TableDiv[[Agency]:[Agency]]=$E21)*(ROW(TableDiv[Agency])-ROW(TableDiv[[#Headers],[Agency]])),COLUMNS($F$7:AC$7))))</f>
        <v/>
      </c>
      <c r="AD21" s="2223" t="str" cm="1">
        <f t="array" ref="AD21">IF($D21&lt;COLUMNS($F$7:AD$7),"",INDEX(TableDiv[[GASB]:[GASB]],_xlfn.AGGREGATE(15,3,(TableDiv[[Agency]:[Agency]]=$E21)/(TableDiv[[Agency]:[Agency]]=$E21)*(ROW(TableDiv[Agency])-ROW(TableDiv[[#Headers],[Agency]])),COLUMNS($F$7:AD$7))))</f>
        <v/>
      </c>
      <c r="AE21" s="2223" t="str" cm="1">
        <f t="array" ref="AE21">IF($D21&lt;COLUMNS($F$7:AE$7),"",INDEX(TableDiv[[GASB]:[GASB]],_xlfn.AGGREGATE(15,3,(TableDiv[[Agency]:[Agency]]=$E21)/(TableDiv[[Agency]:[Agency]]=$E21)*(ROW(TableDiv[Agency])-ROW(TableDiv[[#Headers],[Agency]])),COLUMNS($F$7:AE$7))))</f>
        <v/>
      </c>
      <c r="AF21" s="2223" t="str" cm="1">
        <f t="array" ref="AF21">IF($D21&lt;COLUMNS($F$7:AF$7),"",INDEX(TableDiv[[GASB]:[GASB]],_xlfn.AGGREGATE(15,3,(TableDiv[[Agency]:[Agency]]=$E21)/(TableDiv[[Agency]:[Agency]]=$E21)*(ROW(TableDiv[Agency])-ROW(TableDiv[[#Headers],[Agency]])),COLUMNS($F$7:AF$7))))</f>
        <v/>
      </c>
      <c r="AG21" s="2223" t="str" cm="1">
        <f t="array" ref="AG21">IF($D21&lt;COLUMNS($F$7:AG$7),"",INDEX(TableDiv[[GASB]:[GASB]],_xlfn.AGGREGATE(15,3,(TableDiv[[Agency]:[Agency]]=$E21)/(TableDiv[[Agency]:[Agency]]=$E21)*(ROW(TableDiv[Agency])-ROW(TableDiv[[#Headers],[Agency]])),COLUMNS($F$7:AG$7))))</f>
        <v/>
      </c>
      <c r="AH21" s="2223" t="str" cm="1">
        <f t="array" ref="AH21">IF($D21&lt;COLUMNS($F$7:AH$7),"",INDEX(TableDiv[[GASB]:[GASB]],_xlfn.AGGREGATE(15,3,(TableDiv[[Agency]:[Agency]]=$E21)/(TableDiv[[Agency]:[Agency]]=$E21)*(ROW(TableDiv[Agency])-ROW(TableDiv[[#Headers],[Agency]])),COLUMNS($F$7:AH$7))))</f>
        <v/>
      </c>
      <c r="AI21" s="2223" t="str" cm="1">
        <f t="array" ref="AI21">IF($D21&lt;COLUMNS($F$7:AI$7),"",INDEX(TableDiv[[GASB]:[GASB]],_xlfn.AGGREGATE(15,3,(TableDiv[[Agency]:[Agency]]=$E21)/(TableDiv[[Agency]:[Agency]]=$E21)*(ROW(TableDiv[Agency])-ROW(TableDiv[[#Headers],[Agency]])),COLUMNS($F$7:AI$7))))</f>
        <v/>
      </c>
      <c r="AJ21" s="2223" t="str" cm="1">
        <f t="array" ref="AJ21">IF($D21&lt;COLUMNS($F$7:AJ$7),"",INDEX(TableDiv[[GASB]:[GASB]],_xlfn.AGGREGATE(15,3,(TableDiv[[Agency]:[Agency]]=$E21)/(TableDiv[[Agency]:[Agency]]=$E21)*(ROW(TableDiv[Agency])-ROW(TableDiv[[#Headers],[Agency]])),COLUMNS($F$7:AJ$7))))</f>
        <v/>
      </c>
      <c r="AK21" s="2223" t="str" cm="1">
        <f t="array" ref="AK21">IF($D21&lt;COLUMNS($F$7:AK$7),"",INDEX(TableDiv[[GASB]:[GASB]],_xlfn.AGGREGATE(15,3,(TableDiv[[Agency]:[Agency]]=$E21)/(TableDiv[[Agency]:[Agency]]=$E21)*(ROW(TableDiv[Agency])-ROW(TableDiv[[#Headers],[Agency]])),COLUMNS($F$7:AK$7))))</f>
        <v/>
      </c>
      <c r="AL21" s="2223" t="str" cm="1">
        <f t="array" ref="AL21">IF($D21&lt;COLUMNS($F$7:AL$7),"",INDEX(TableDiv[[GASB]:[GASB]],_xlfn.AGGREGATE(15,3,(TableDiv[[Agency]:[Agency]]=$E21)/(TableDiv[[Agency]:[Agency]]=$E21)*(ROW(TableDiv[Agency])-ROW(TableDiv[[#Headers],[Agency]])),COLUMNS($F$7:AL$7))))</f>
        <v/>
      </c>
      <c r="AM21" s="2223" t="str" cm="1">
        <f t="array" ref="AM21">IF($D21&lt;COLUMNS($F$7:AM$7),"",INDEX(TableDiv[[GASB]:[GASB]],_xlfn.AGGREGATE(15,3,(TableDiv[[Agency]:[Agency]]=$E21)/(TableDiv[[Agency]:[Agency]]=$E21)*(ROW(TableDiv[Agency])-ROW(TableDiv[[#Headers],[Agency]])),COLUMNS($F$7:AM$7))))</f>
        <v/>
      </c>
      <c r="AN21" s="2223"/>
      <c r="AO21" s="2223"/>
      <c r="AP21" s="2223"/>
      <c r="AQ21" s="2223"/>
      <c r="AR21" s="2223"/>
      <c r="AS21" s="2223"/>
    </row>
    <row r="22" spans="1:45" ht="15" x14ac:dyDescent="0.25">
      <c r="A22" s="2219" t="s">
        <v>1879</v>
      </c>
      <c r="B22" s="2219" t="s">
        <v>6369</v>
      </c>
      <c r="C22" s="2223"/>
      <c r="D22" s="2223">
        <f>COUNTIF(TableDiv[Agency],E22)</f>
        <v>4</v>
      </c>
      <c r="E22" s="2230" t="str" cm="1">
        <f t="array" ref="E22">IFERROR(INDEX(TableDiv[Agency],MATCH(0,INDEX(COUNTIF($E$7:E21,TableDiv[Agency]),),0)),"")</f>
        <v>1500</v>
      </c>
      <c r="F22" s="2223" t="str" cm="1">
        <f t="array" ref="F22">IF($D22&lt;COLUMNS($F$7:F$7),"",INDEX(TableDiv[[GASB]:[GASB]],_xlfn.AGGREGATE(15,3,(TableDiv[[Agency]:[Agency]]=$E22)/(TableDiv[[Agency]:[Agency]]=$E22)*(ROW(TableDiv[Agency])-ROW(TableDiv[[#Headers],[Agency]])),COLUMNS($F$7:F$7))))</f>
        <v>13870G</v>
      </c>
      <c r="G22" s="2223" t="str" cm="1">
        <f t="array" ref="G22">IF($D22&lt;COLUMNS($F$7:G$7),"",INDEX(TableDiv[[GASB]:[GASB]],_xlfn.AGGREGATE(15,3,(TableDiv[[Agency]:[Agency]]=$E22)/(TableDiv[[Agency]:[Agency]]=$E22)*(ROW(TableDiv[Agency])-ROW(TableDiv[[#Headers],[Agency]])),COLUMNS($F$7:G$7))))</f>
        <v>13890G</v>
      </c>
      <c r="H22" s="2223" t="str" cm="1">
        <f t="array" ref="H22">IF($D22&lt;COLUMNS($F$7:H$7),"",INDEX(TableDiv[[GASB]:[GASB]],_xlfn.AGGREGATE(15,3,(TableDiv[[Agency]:[Agency]]=$E22)/(TableDiv[[Agency]:[Agency]]=$E22)*(ROW(TableDiv[Agency])-ROW(TableDiv[[#Headers],[Agency]])),COLUMNS($F$7:H$7))))</f>
        <v>25430G</v>
      </c>
      <c r="I22" s="2223" t="str" cm="1">
        <f t="array" ref="I22">IF($D22&lt;COLUMNS($F$7:I$7),"",INDEX(TableDiv[[GASB]:[GASB]],_xlfn.AGGREGATE(15,3,(TableDiv[[Agency]:[Agency]]=$E22)/(TableDiv[[Agency]:[Agency]]=$E22)*(ROW(TableDiv[Agency])-ROW(TableDiv[[#Headers],[Agency]])),COLUMNS($F$7:I$7))))</f>
        <v>39180G</v>
      </c>
      <c r="J22" s="2223" t="str" cm="1">
        <f t="array" ref="J22">IF($D22&lt;COLUMNS($F$7:J$7),"",INDEX(TableDiv[[GASB]:[GASB]],_xlfn.AGGREGATE(15,3,(TableDiv[[Agency]:[Agency]]=$E22)/(TableDiv[[Agency]:[Agency]]=$E22)*(ROW(TableDiv[Agency])-ROW(TableDiv[[#Headers],[Agency]])),COLUMNS($F$7:J$7))))</f>
        <v/>
      </c>
      <c r="K22" s="2223" t="str" cm="1">
        <f t="array" ref="K22">IF($D22&lt;COLUMNS($F$7:K$7),"",INDEX(TableDiv[[GASB]:[GASB]],_xlfn.AGGREGATE(15,3,(TableDiv[[Agency]:[Agency]]=$E22)/(TableDiv[[Agency]:[Agency]]=$E22)*(ROW(TableDiv[Agency])-ROW(TableDiv[[#Headers],[Agency]])),COLUMNS($F$7:K$7))))</f>
        <v/>
      </c>
      <c r="L22" s="2223" t="str" cm="1">
        <f t="array" ref="L22">IF($D22&lt;COLUMNS($F$7:L$7),"",INDEX(TableDiv[[GASB]:[GASB]],_xlfn.AGGREGATE(15,3,(TableDiv[[Agency]:[Agency]]=$E22)/(TableDiv[[Agency]:[Agency]]=$E22)*(ROW(TableDiv[Agency])-ROW(TableDiv[[#Headers],[Agency]])),COLUMNS($F$7:L$7))))</f>
        <v/>
      </c>
      <c r="M22" s="2223" t="str" cm="1">
        <f t="array" ref="M22">IF($D22&lt;COLUMNS($F$7:M$7),"",INDEX(TableDiv[[GASB]:[GASB]],_xlfn.AGGREGATE(15,3,(TableDiv[[Agency]:[Agency]]=$E22)/(TableDiv[[Agency]:[Agency]]=$E22)*(ROW(TableDiv[Agency])-ROW(TableDiv[[#Headers],[Agency]])),COLUMNS($F$7:M$7))))</f>
        <v/>
      </c>
      <c r="N22" s="2223" t="str" cm="1">
        <f t="array" ref="N22">IF($D22&lt;COLUMNS($F$7:N$7),"",INDEX(TableDiv[[GASB]:[GASB]],_xlfn.AGGREGATE(15,3,(TableDiv[[Agency]:[Agency]]=$E22)/(TableDiv[[Agency]:[Agency]]=$E22)*(ROW(TableDiv[Agency])-ROW(TableDiv[[#Headers],[Agency]])),COLUMNS($F$7:N$7))))</f>
        <v/>
      </c>
      <c r="O22" s="2223" t="str" cm="1">
        <f t="array" ref="O22">IF($D22&lt;COLUMNS($F$7:O$7),"",INDEX(TableDiv[[GASB]:[GASB]],_xlfn.AGGREGATE(15,3,(TableDiv[[Agency]:[Agency]]=$E22)/(TableDiv[[Agency]:[Agency]]=$E22)*(ROW(TableDiv[Agency])-ROW(TableDiv[[#Headers],[Agency]])),COLUMNS($F$7:O$7))))</f>
        <v/>
      </c>
      <c r="P22" s="2223" t="str" cm="1">
        <f t="array" ref="P22">IF($D22&lt;COLUMNS($F$7:P$7),"",INDEX(TableDiv[[GASB]:[GASB]],_xlfn.AGGREGATE(15,3,(TableDiv[[Agency]:[Agency]]=$E22)/(TableDiv[[Agency]:[Agency]]=$E22)*(ROW(TableDiv[Agency])-ROW(TableDiv[[#Headers],[Agency]])),COLUMNS($F$7:P$7))))</f>
        <v/>
      </c>
      <c r="Q22" s="2223" t="str" cm="1">
        <f t="array" ref="Q22">IF($D22&lt;COLUMNS($F$7:Q$7),"",INDEX(TableDiv[[GASB]:[GASB]],_xlfn.AGGREGATE(15,3,(TableDiv[[Agency]:[Agency]]=$E22)/(TableDiv[[Agency]:[Agency]]=$E22)*(ROW(TableDiv[Agency])-ROW(TableDiv[[#Headers],[Agency]])),COLUMNS($F$7:Q$7))))</f>
        <v/>
      </c>
      <c r="R22" s="2223" t="str" cm="1">
        <f t="array" ref="R22">IF($D22&lt;COLUMNS($F$7:R$7),"",INDEX(TableDiv[[GASB]:[GASB]],_xlfn.AGGREGATE(15,3,(TableDiv[[Agency]:[Agency]]=$E22)/(TableDiv[[Agency]:[Agency]]=$E22)*(ROW(TableDiv[Agency])-ROW(TableDiv[[#Headers],[Agency]])),COLUMNS($F$7:R$7))))</f>
        <v/>
      </c>
      <c r="S22" s="2223" t="str" cm="1">
        <f t="array" ref="S22">IF($D22&lt;COLUMNS($F$7:S$7),"",INDEX(TableDiv[[GASB]:[GASB]],_xlfn.AGGREGATE(15,3,(TableDiv[[Agency]:[Agency]]=$E22)/(TableDiv[[Agency]:[Agency]]=$E22)*(ROW(TableDiv[Agency])-ROW(TableDiv[[#Headers],[Agency]])),COLUMNS($F$7:S$7))))</f>
        <v/>
      </c>
      <c r="T22" s="2223" t="str" cm="1">
        <f t="array" ref="T22">IF($D22&lt;COLUMNS($F$7:T$7),"",INDEX(TableDiv[[GASB]:[GASB]],_xlfn.AGGREGATE(15,3,(TableDiv[[Agency]:[Agency]]=$E22)/(TableDiv[[Agency]:[Agency]]=$E22)*(ROW(TableDiv[Agency])-ROW(TableDiv[[#Headers],[Agency]])),COLUMNS($F$7:T$7))))</f>
        <v/>
      </c>
      <c r="U22" s="2223" t="str" cm="1">
        <f t="array" ref="U22">IF($D22&lt;COLUMNS($F$7:U$7),"",INDEX(TableDiv[[GASB]:[GASB]],_xlfn.AGGREGATE(15,3,(TableDiv[[Agency]:[Agency]]=$E22)/(TableDiv[[Agency]:[Agency]]=$E22)*(ROW(TableDiv[Agency])-ROW(TableDiv[[#Headers],[Agency]])),COLUMNS($F$7:U$7))))</f>
        <v/>
      </c>
      <c r="V22" s="2223" t="str" cm="1">
        <f t="array" ref="V22">IF($D22&lt;COLUMNS($F$7:V$7),"",INDEX(TableDiv[[GASB]:[GASB]],_xlfn.AGGREGATE(15,3,(TableDiv[[Agency]:[Agency]]=$E22)/(TableDiv[[Agency]:[Agency]]=$E22)*(ROW(TableDiv[Agency])-ROW(TableDiv[[#Headers],[Agency]])),COLUMNS($F$7:V$7))))</f>
        <v/>
      </c>
      <c r="W22" s="2223" t="str" cm="1">
        <f t="array" ref="W22">IF($D22&lt;COLUMNS($F$7:W$7),"",INDEX(TableDiv[[GASB]:[GASB]],_xlfn.AGGREGATE(15,3,(TableDiv[[Agency]:[Agency]]=$E22)/(TableDiv[[Agency]:[Agency]]=$E22)*(ROW(TableDiv[Agency])-ROW(TableDiv[[#Headers],[Agency]])),COLUMNS($F$7:W$7))))</f>
        <v/>
      </c>
      <c r="X22" s="2223" t="str" cm="1">
        <f t="array" ref="X22">IF($D22&lt;COLUMNS($F$7:X$7),"",INDEX(TableDiv[[GASB]:[GASB]],_xlfn.AGGREGATE(15,3,(TableDiv[[Agency]:[Agency]]=$E22)/(TableDiv[[Agency]:[Agency]]=$E22)*(ROW(TableDiv[Agency])-ROW(TableDiv[[#Headers],[Agency]])),COLUMNS($F$7:X$7))))</f>
        <v/>
      </c>
      <c r="Y22" s="2223" t="str" cm="1">
        <f t="array" ref="Y22">IF($D22&lt;COLUMNS($F$7:Y$7),"",INDEX(TableDiv[[GASB]:[GASB]],_xlfn.AGGREGATE(15,3,(TableDiv[[Agency]:[Agency]]=$E22)/(TableDiv[[Agency]:[Agency]]=$E22)*(ROW(TableDiv[Agency])-ROW(TableDiv[[#Headers],[Agency]])),COLUMNS($F$7:Y$7))))</f>
        <v/>
      </c>
      <c r="Z22" s="2223" t="str" cm="1">
        <f t="array" ref="Z22">IF($D22&lt;COLUMNS($F$7:Z$7),"",INDEX(TableDiv[[GASB]:[GASB]],_xlfn.AGGREGATE(15,3,(TableDiv[[Agency]:[Agency]]=$E22)/(TableDiv[[Agency]:[Agency]]=$E22)*(ROW(TableDiv[Agency])-ROW(TableDiv[[#Headers],[Agency]])),COLUMNS($F$7:Z$7))))</f>
        <v/>
      </c>
      <c r="AA22" s="2223" t="str" cm="1">
        <f t="array" ref="AA22">IF($D22&lt;COLUMNS($F$7:AA$7),"",INDEX(TableDiv[[GASB]:[GASB]],_xlfn.AGGREGATE(15,3,(TableDiv[[Agency]:[Agency]]=$E22)/(TableDiv[[Agency]:[Agency]]=$E22)*(ROW(TableDiv[Agency])-ROW(TableDiv[[#Headers],[Agency]])),COLUMNS($F$7:AA$7))))</f>
        <v/>
      </c>
      <c r="AB22" s="2223" t="str" cm="1">
        <f t="array" ref="AB22">IF($D22&lt;COLUMNS($F$7:AB$7),"",INDEX(TableDiv[[GASB]:[GASB]],_xlfn.AGGREGATE(15,3,(TableDiv[[Agency]:[Agency]]=$E22)/(TableDiv[[Agency]:[Agency]]=$E22)*(ROW(TableDiv[Agency])-ROW(TableDiv[[#Headers],[Agency]])),COLUMNS($F$7:AB$7))))</f>
        <v/>
      </c>
      <c r="AC22" s="2223" t="str" cm="1">
        <f t="array" ref="AC22">IF($D22&lt;COLUMNS($F$7:AC$7),"",INDEX(TableDiv[[GASB]:[GASB]],_xlfn.AGGREGATE(15,3,(TableDiv[[Agency]:[Agency]]=$E22)/(TableDiv[[Agency]:[Agency]]=$E22)*(ROW(TableDiv[Agency])-ROW(TableDiv[[#Headers],[Agency]])),COLUMNS($F$7:AC$7))))</f>
        <v/>
      </c>
      <c r="AD22" s="2223" t="str" cm="1">
        <f t="array" ref="AD22">IF($D22&lt;COLUMNS($F$7:AD$7),"",INDEX(TableDiv[[GASB]:[GASB]],_xlfn.AGGREGATE(15,3,(TableDiv[[Agency]:[Agency]]=$E22)/(TableDiv[[Agency]:[Agency]]=$E22)*(ROW(TableDiv[Agency])-ROW(TableDiv[[#Headers],[Agency]])),COLUMNS($F$7:AD$7))))</f>
        <v/>
      </c>
      <c r="AE22" s="2223" t="str" cm="1">
        <f t="array" ref="AE22">IF($D22&lt;COLUMNS($F$7:AE$7),"",INDEX(TableDiv[[GASB]:[GASB]],_xlfn.AGGREGATE(15,3,(TableDiv[[Agency]:[Agency]]=$E22)/(TableDiv[[Agency]:[Agency]]=$E22)*(ROW(TableDiv[Agency])-ROW(TableDiv[[#Headers],[Agency]])),COLUMNS($F$7:AE$7))))</f>
        <v/>
      </c>
      <c r="AF22" s="2223" t="str" cm="1">
        <f t="array" ref="AF22">IF($D22&lt;COLUMNS($F$7:AF$7),"",INDEX(TableDiv[[GASB]:[GASB]],_xlfn.AGGREGATE(15,3,(TableDiv[[Agency]:[Agency]]=$E22)/(TableDiv[[Agency]:[Agency]]=$E22)*(ROW(TableDiv[Agency])-ROW(TableDiv[[#Headers],[Agency]])),COLUMNS($F$7:AF$7))))</f>
        <v/>
      </c>
      <c r="AG22" s="2223" t="str" cm="1">
        <f t="array" ref="AG22">IF($D22&lt;COLUMNS($F$7:AG$7),"",INDEX(TableDiv[[GASB]:[GASB]],_xlfn.AGGREGATE(15,3,(TableDiv[[Agency]:[Agency]]=$E22)/(TableDiv[[Agency]:[Agency]]=$E22)*(ROW(TableDiv[Agency])-ROW(TableDiv[[#Headers],[Agency]])),COLUMNS($F$7:AG$7))))</f>
        <v/>
      </c>
      <c r="AH22" s="2223" t="str" cm="1">
        <f t="array" ref="AH22">IF($D22&lt;COLUMNS($F$7:AH$7),"",INDEX(TableDiv[[GASB]:[GASB]],_xlfn.AGGREGATE(15,3,(TableDiv[[Agency]:[Agency]]=$E22)/(TableDiv[[Agency]:[Agency]]=$E22)*(ROW(TableDiv[Agency])-ROW(TableDiv[[#Headers],[Agency]])),COLUMNS($F$7:AH$7))))</f>
        <v/>
      </c>
      <c r="AI22" s="2223" t="str" cm="1">
        <f t="array" ref="AI22">IF($D22&lt;COLUMNS($F$7:AI$7),"",INDEX(TableDiv[[GASB]:[GASB]],_xlfn.AGGREGATE(15,3,(TableDiv[[Agency]:[Agency]]=$E22)/(TableDiv[[Agency]:[Agency]]=$E22)*(ROW(TableDiv[Agency])-ROW(TableDiv[[#Headers],[Agency]])),COLUMNS($F$7:AI$7))))</f>
        <v/>
      </c>
      <c r="AJ22" s="2223" t="str" cm="1">
        <f t="array" ref="AJ22">IF($D22&lt;COLUMNS($F$7:AJ$7),"",INDEX(TableDiv[[GASB]:[GASB]],_xlfn.AGGREGATE(15,3,(TableDiv[[Agency]:[Agency]]=$E22)/(TableDiv[[Agency]:[Agency]]=$E22)*(ROW(TableDiv[Agency])-ROW(TableDiv[[#Headers],[Agency]])),COLUMNS($F$7:AJ$7))))</f>
        <v/>
      </c>
      <c r="AK22" s="2223" t="str" cm="1">
        <f t="array" ref="AK22">IF($D22&lt;COLUMNS($F$7:AK$7),"",INDEX(TableDiv[[GASB]:[GASB]],_xlfn.AGGREGATE(15,3,(TableDiv[[Agency]:[Agency]]=$E22)/(TableDiv[[Agency]:[Agency]]=$E22)*(ROW(TableDiv[Agency])-ROW(TableDiv[[#Headers],[Agency]])),COLUMNS($F$7:AK$7))))</f>
        <v/>
      </c>
      <c r="AL22" s="2223" t="str" cm="1">
        <f t="array" ref="AL22">IF($D22&lt;COLUMNS($F$7:AL$7),"",INDEX(TableDiv[[GASB]:[GASB]],_xlfn.AGGREGATE(15,3,(TableDiv[[Agency]:[Agency]]=$E22)/(TableDiv[[Agency]:[Agency]]=$E22)*(ROW(TableDiv[Agency])-ROW(TableDiv[[#Headers],[Agency]])),COLUMNS($F$7:AL$7))))</f>
        <v/>
      </c>
      <c r="AM22" s="2223" t="str" cm="1">
        <f t="array" ref="AM22">IF($D22&lt;COLUMNS($F$7:AM$7),"",INDEX(TableDiv[[GASB]:[GASB]],_xlfn.AGGREGATE(15,3,(TableDiv[[Agency]:[Agency]]=$E22)/(TableDiv[[Agency]:[Agency]]=$E22)*(ROW(TableDiv[Agency])-ROW(TableDiv[[#Headers],[Agency]])),COLUMNS($F$7:AM$7))))</f>
        <v/>
      </c>
      <c r="AN22" s="2223"/>
      <c r="AO22" s="2223"/>
      <c r="AP22" s="2223"/>
      <c r="AQ22" s="2223"/>
      <c r="AR22" s="2223"/>
      <c r="AS22" s="2223"/>
    </row>
    <row r="23" spans="1:45" ht="15" x14ac:dyDescent="0.25">
      <c r="A23" s="2219" t="s">
        <v>1879</v>
      </c>
      <c r="B23" s="2219" t="s">
        <v>6370</v>
      </c>
      <c r="C23" s="2223"/>
      <c r="D23" s="2223">
        <f>COUNTIF(TableDiv[Agency],E23)</f>
        <v>18</v>
      </c>
      <c r="E23" s="2230" t="str" cm="1">
        <f t="array" ref="E23">IFERROR(INDEX(TableDiv[Agency],MATCH(0,INDEX(COUNTIF($E$7:E22,TableDiv[Agency]),),0)),"")</f>
        <v>1600</v>
      </c>
      <c r="F23" s="2223" t="str" cm="1">
        <f t="array" ref="F23">IF($D23&lt;COLUMNS($F$7:F$7),"",INDEX(TableDiv[[GASB]:[GASB]],_xlfn.AGGREGATE(15,3,(TableDiv[[Agency]:[Agency]]=$E23)/(TableDiv[[Agency]:[Agency]]=$E23)*(ROW(TableDiv[Agency])-ROW(TableDiv[[#Headers],[Agency]])),COLUMNS($F$7:F$7))))</f>
        <v>11000G</v>
      </c>
      <c r="G23" s="2223" t="str" cm="1">
        <f t="array" ref="G23">IF($D23&lt;COLUMNS($F$7:G$7),"",INDEX(TableDiv[[GASB]:[GASB]],_xlfn.AGGREGATE(15,3,(TableDiv[[Agency]:[Agency]]=$E23)/(TableDiv[[Agency]:[Agency]]=$E23)*(ROW(TableDiv[Agency])-ROW(TableDiv[[#Headers],[Agency]])),COLUMNS($F$7:G$7))))</f>
        <v>11020G</v>
      </c>
      <c r="H23" s="2223" t="str" cm="1">
        <f t="array" ref="H23">IF($D23&lt;COLUMNS($F$7:H$7),"",INDEX(TableDiv[[GASB]:[GASB]],_xlfn.AGGREGATE(15,3,(TableDiv[[Agency]:[Agency]]=$E23)/(TableDiv[[Agency]:[Agency]]=$E23)*(ROW(TableDiv[Agency])-ROW(TableDiv[[#Headers],[Agency]])),COLUMNS($F$7:H$7))))</f>
        <v>11030G</v>
      </c>
      <c r="I23" s="2223" t="str" cm="1">
        <f t="array" ref="I23">IF($D23&lt;COLUMNS($F$7:I$7),"",INDEX(TableDiv[[GASB]:[GASB]],_xlfn.AGGREGATE(15,3,(TableDiv[[Agency]:[Agency]]=$E23)/(TableDiv[[Agency]:[Agency]]=$E23)*(ROW(TableDiv[Agency])-ROW(TableDiv[[#Headers],[Agency]])),COLUMNS($F$7:I$7))))</f>
        <v>11110G</v>
      </c>
      <c r="J23" s="2223" t="str" cm="1">
        <f t="array" ref="J23">IF($D23&lt;COLUMNS($F$7:J$7),"",INDEX(TableDiv[[GASB]:[GASB]],_xlfn.AGGREGATE(15,3,(TableDiv[[Agency]:[Agency]]=$E23)/(TableDiv[[Agency]:[Agency]]=$E23)*(ROW(TableDiv[Agency])-ROW(TableDiv[[#Headers],[Agency]])),COLUMNS($F$7:J$7))))</f>
        <v>11230G</v>
      </c>
      <c r="K23" s="2223" t="str" cm="1">
        <f t="array" ref="K23">IF($D23&lt;COLUMNS($F$7:K$7),"",INDEX(TableDiv[[GASB]:[GASB]],_xlfn.AGGREGATE(15,3,(TableDiv[[Agency]:[Agency]]=$E23)/(TableDiv[[Agency]:[Agency]]=$E23)*(ROW(TableDiv[Agency])-ROW(TableDiv[[#Headers],[Agency]])),COLUMNS($F$7:K$7))))</f>
        <v>12210G</v>
      </c>
      <c r="L23" s="2223" t="str" cm="1">
        <f t="array" ref="L23">IF($D23&lt;COLUMNS($F$7:L$7),"",INDEX(TableDiv[[GASB]:[GASB]],_xlfn.AGGREGATE(15,3,(TableDiv[[Agency]:[Agency]]=$E23)/(TableDiv[[Agency]:[Agency]]=$E23)*(ROW(TableDiv[Agency])-ROW(TableDiv[[#Headers],[Agency]])),COLUMNS($F$7:L$7))))</f>
        <v>13160G</v>
      </c>
      <c r="M23" s="2223" t="str" cm="1">
        <f t="array" ref="M23">IF($D23&lt;COLUMNS($F$7:M$7),"",INDEX(TableDiv[[GASB]:[GASB]],_xlfn.AGGREGATE(15,3,(TableDiv[[Agency]:[Agency]]=$E23)/(TableDiv[[Agency]:[Agency]]=$E23)*(ROW(TableDiv[Agency])-ROW(TableDiv[[#Headers],[Agency]])),COLUMNS($F$7:M$7))))</f>
        <v>13520G</v>
      </c>
      <c r="N23" s="2223" t="str" cm="1">
        <f t="array" ref="N23">IF($D23&lt;COLUMNS($F$7:N$7),"",INDEX(TableDiv[[GASB]:[GASB]],_xlfn.AGGREGATE(15,3,(TableDiv[[Agency]:[Agency]]=$E23)/(TableDiv[[Agency]:[Agency]]=$E23)*(ROW(TableDiv[Agency])-ROW(TableDiv[[#Headers],[Agency]])),COLUMNS($F$7:N$7))))</f>
        <v>13530G</v>
      </c>
      <c r="O23" s="2223" t="str" cm="1">
        <f t="array" ref="O23">IF($D23&lt;COLUMNS($F$7:O$7),"",INDEX(TableDiv[[GASB]:[GASB]],_xlfn.AGGREGATE(15,3,(TableDiv[[Agency]:[Agency]]=$E23)/(TableDiv[[Agency]:[Agency]]=$E23)*(ROW(TableDiv[Agency])-ROW(TableDiv[[#Headers],[Agency]])),COLUMNS($F$7:O$7))))</f>
        <v>13910G</v>
      </c>
      <c r="P23" s="2223" t="str" cm="1">
        <f t="array" ref="P23">IF($D23&lt;COLUMNS($F$7:P$7),"",INDEX(TableDiv[[GASB]:[GASB]],_xlfn.AGGREGATE(15,3,(TableDiv[[Agency]:[Agency]]=$E23)/(TableDiv[[Agency]:[Agency]]=$E23)*(ROW(TableDiv[Agency])-ROW(TableDiv[[#Headers],[Agency]])),COLUMNS($F$7:P$7))))</f>
        <v>13950G</v>
      </c>
      <c r="Q23" s="2223" t="str" cm="1">
        <f t="array" ref="Q23">IF($D23&lt;COLUMNS($F$7:Q$7),"",INDEX(TableDiv[[GASB]:[GASB]],_xlfn.AGGREGATE(15,3,(TableDiv[[Agency]:[Agency]]=$E23)/(TableDiv[[Agency]:[Agency]]=$E23)*(ROW(TableDiv[Agency])-ROW(TableDiv[[#Headers],[Agency]])),COLUMNS($F$7:Q$7))))</f>
        <v>14000G</v>
      </c>
      <c r="R23" s="2223" t="str" cm="1">
        <f t="array" ref="R23">IF($D23&lt;COLUMNS($F$7:R$7),"",INDEX(TableDiv[[GASB]:[GASB]],_xlfn.AGGREGATE(15,3,(TableDiv[[Agency]:[Agency]]=$E23)/(TableDiv[[Agency]:[Agency]]=$E23)*(ROW(TableDiv[Agency])-ROW(TableDiv[[#Headers],[Agency]])),COLUMNS($F$7:R$7))))</f>
        <v>14240G</v>
      </c>
      <c r="S23" s="2223" t="str" cm="1">
        <f t="array" ref="S23">IF($D23&lt;COLUMNS($F$7:S$7),"",INDEX(TableDiv[[GASB]:[GASB]],_xlfn.AGGREGATE(15,3,(TableDiv[[Agency]:[Agency]]=$E23)/(TableDiv[[Agency]:[Agency]]=$E23)*(ROW(TableDiv[Agency])-ROW(TableDiv[[#Headers],[Agency]])),COLUMNS($F$7:S$7))))</f>
        <v>14260G</v>
      </c>
      <c r="T23" s="2223" t="str" cm="1">
        <f t="array" ref="T23">IF($D23&lt;COLUMNS($F$7:T$7),"",INDEX(TableDiv[[GASB]:[GASB]],_xlfn.AGGREGATE(15,3,(TableDiv[[Agency]:[Agency]]=$E23)/(TableDiv[[Agency]:[Agency]]=$E23)*(ROW(TableDiv[Agency])-ROW(TableDiv[[#Headers],[Agency]])),COLUMNS($F$7:T$7))))</f>
        <v>14290G</v>
      </c>
      <c r="U23" s="2223" t="str" cm="1">
        <f t="array" ref="U23">IF($D23&lt;COLUMNS($F$7:U$7),"",INDEX(TableDiv[[GASB]:[GASB]],_xlfn.AGGREGATE(15,3,(TableDiv[[Agency]:[Agency]]=$E23)/(TableDiv[[Agency]:[Agency]]=$E23)*(ROW(TableDiv[Agency])-ROW(TableDiv[[#Headers],[Agency]])),COLUMNS($F$7:U$7))))</f>
        <v>15020G</v>
      </c>
      <c r="V23" s="2223" t="str" cm="1">
        <f t="array" ref="V23">IF($D23&lt;COLUMNS($F$7:V$7),"",INDEX(TableDiv[[GASB]:[GASB]],_xlfn.AGGREGATE(15,3,(TableDiv[[Agency]:[Agency]]=$E23)/(TableDiv[[Agency]:[Agency]]=$E23)*(ROW(TableDiv[Agency])-ROW(TableDiv[[#Headers],[Agency]])),COLUMNS($F$7:V$7))))</f>
        <v>25360G</v>
      </c>
      <c r="W23" s="2223" t="str" cm="1">
        <f t="array" ref="W23">IF($D23&lt;COLUMNS($F$7:W$7),"",INDEX(TableDiv[[GASB]:[GASB]],_xlfn.AGGREGATE(15,3,(TableDiv[[Agency]:[Agency]]=$E23)/(TableDiv[[Agency]:[Agency]]=$E23)*(ROW(TableDiv[Agency])-ROW(TableDiv[[#Headers],[Agency]])),COLUMNS($F$7:W$7))))</f>
        <v>25370G</v>
      </c>
      <c r="X23" s="2223" t="str" cm="1">
        <f t="array" ref="X23">IF($D23&lt;COLUMNS($F$7:X$7),"",INDEX(TableDiv[[GASB]:[GASB]],_xlfn.AGGREGATE(15,3,(TableDiv[[Agency]:[Agency]]=$E23)/(TableDiv[[Agency]:[Agency]]=$E23)*(ROW(TableDiv[Agency])-ROW(TableDiv[[#Headers],[Agency]])),COLUMNS($F$7:X$7))))</f>
        <v/>
      </c>
      <c r="Y23" s="2223" t="str" cm="1">
        <f t="array" ref="Y23">IF($D23&lt;COLUMNS($F$7:Y$7),"",INDEX(TableDiv[[GASB]:[GASB]],_xlfn.AGGREGATE(15,3,(TableDiv[[Agency]:[Agency]]=$E23)/(TableDiv[[Agency]:[Agency]]=$E23)*(ROW(TableDiv[Agency])-ROW(TableDiv[[#Headers],[Agency]])),COLUMNS($F$7:Y$7))))</f>
        <v/>
      </c>
      <c r="Z23" s="2223" t="str" cm="1">
        <f t="array" ref="Z23">IF($D23&lt;COLUMNS($F$7:Z$7),"",INDEX(TableDiv[[GASB]:[GASB]],_xlfn.AGGREGATE(15,3,(TableDiv[[Agency]:[Agency]]=$E23)/(TableDiv[[Agency]:[Agency]]=$E23)*(ROW(TableDiv[Agency])-ROW(TableDiv[[#Headers],[Agency]])),COLUMNS($F$7:Z$7))))</f>
        <v/>
      </c>
      <c r="AA23" s="2223" t="str" cm="1">
        <f t="array" ref="AA23">IF($D23&lt;COLUMNS($F$7:AA$7),"",INDEX(TableDiv[[GASB]:[GASB]],_xlfn.AGGREGATE(15,3,(TableDiv[[Agency]:[Agency]]=$E23)/(TableDiv[[Agency]:[Agency]]=$E23)*(ROW(TableDiv[Agency])-ROW(TableDiv[[#Headers],[Agency]])),COLUMNS($F$7:AA$7))))</f>
        <v/>
      </c>
      <c r="AB23" s="2223" t="str" cm="1">
        <f t="array" ref="AB23">IF($D23&lt;COLUMNS($F$7:AB$7),"",INDEX(TableDiv[[GASB]:[GASB]],_xlfn.AGGREGATE(15,3,(TableDiv[[Agency]:[Agency]]=$E23)/(TableDiv[[Agency]:[Agency]]=$E23)*(ROW(TableDiv[Agency])-ROW(TableDiv[[#Headers],[Agency]])),COLUMNS($F$7:AB$7))))</f>
        <v/>
      </c>
      <c r="AC23" s="2223" t="str" cm="1">
        <f t="array" ref="AC23">IF($D23&lt;COLUMNS($F$7:AC$7),"",INDEX(TableDiv[[GASB]:[GASB]],_xlfn.AGGREGATE(15,3,(TableDiv[[Agency]:[Agency]]=$E23)/(TableDiv[[Agency]:[Agency]]=$E23)*(ROW(TableDiv[Agency])-ROW(TableDiv[[#Headers],[Agency]])),COLUMNS($F$7:AC$7))))</f>
        <v/>
      </c>
      <c r="AD23" s="2223" t="str" cm="1">
        <f t="array" ref="AD23">IF($D23&lt;COLUMNS($F$7:AD$7),"",INDEX(TableDiv[[GASB]:[GASB]],_xlfn.AGGREGATE(15,3,(TableDiv[[Agency]:[Agency]]=$E23)/(TableDiv[[Agency]:[Agency]]=$E23)*(ROW(TableDiv[Agency])-ROW(TableDiv[[#Headers],[Agency]])),COLUMNS($F$7:AD$7))))</f>
        <v/>
      </c>
      <c r="AE23" s="2223" t="str" cm="1">
        <f t="array" ref="AE23">IF($D23&lt;COLUMNS($F$7:AE$7),"",INDEX(TableDiv[[GASB]:[GASB]],_xlfn.AGGREGATE(15,3,(TableDiv[[Agency]:[Agency]]=$E23)/(TableDiv[[Agency]:[Agency]]=$E23)*(ROW(TableDiv[Agency])-ROW(TableDiv[[#Headers],[Agency]])),COLUMNS($F$7:AE$7))))</f>
        <v/>
      </c>
      <c r="AF23" s="2223" t="str" cm="1">
        <f t="array" ref="AF23">IF($D23&lt;COLUMNS($F$7:AF$7),"",INDEX(TableDiv[[GASB]:[GASB]],_xlfn.AGGREGATE(15,3,(TableDiv[[Agency]:[Agency]]=$E23)/(TableDiv[[Agency]:[Agency]]=$E23)*(ROW(TableDiv[Agency])-ROW(TableDiv[[#Headers],[Agency]])),COLUMNS($F$7:AF$7))))</f>
        <v/>
      </c>
      <c r="AG23" s="2223" t="str" cm="1">
        <f t="array" ref="AG23">IF($D23&lt;COLUMNS($F$7:AG$7),"",INDEX(TableDiv[[GASB]:[GASB]],_xlfn.AGGREGATE(15,3,(TableDiv[[Agency]:[Agency]]=$E23)/(TableDiv[[Agency]:[Agency]]=$E23)*(ROW(TableDiv[Agency])-ROW(TableDiv[[#Headers],[Agency]])),COLUMNS($F$7:AG$7))))</f>
        <v/>
      </c>
      <c r="AH23" s="2223" t="str" cm="1">
        <f t="array" ref="AH23">IF($D23&lt;COLUMNS($F$7:AH$7),"",INDEX(TableDiv[[GASB]:[GASB]],_xlfn.AGGREGATE(15,3,(TableDiv[[Agency]:[Agency]]=$E23)/(TableDiv[[Agency]:[Agency]]=$E23)*(ROW(TableDiv[Agency])-ROW(TableDiv[[#Headers],[Agency]])),COLUMNS($F$7:AH$7))))</f>
        <v/>
      </c>
      <c r="AI23" s="2223" t="str" cm="1">
        <f t="array" ref="AI23">IF($D23&lt;COLUMNS($F$7:AI$7),"",INDEX(TableDiv[[GASB]:[GASB]],_xlfn.AGGREGATE(15,3,(TableDiv[[Agency]:[Agency]]=$E23)/(TableDiv[[Agency]:[Agency]]=$E23)*(ROW(TableDiv[Agency])-ROW(TableDiv[[#Headers],[Agency]])),COLUMNS($F$7:AI$7))))</f>
        <v/>
      </c>
      <c r="AJ23" s="2223" t="str" cm="1">
        <f t="array" ref="AJ23">IF($D23&lt;COLUMNS($F$7:AJ$7),"",INDEX(TableDiv[[GASB]:[GASB]],_xlfn.AGGREGATE(15,3,(TableDiv[[Agency]:[Agency]]=$E23)/(TableDiv[[Agency]:[Agency]]=$E23)*(ROW(TableDiv[Agency])-ROW(TableDiv[[#Headers],[Agency]])),COLUMNS($F$7:AJ$7))))</f>
        <v/>
      </c>
      <c r="AK23" s="2223" t="str" cm="1">
        <f t="array" ref="AK23">IF($D23&lt;COLUMNS($F$7:AK$7),"",INDEX(TableDiv[[GASB]:[GASB]],_xlfn.AGGREGATE(15,3,(TableDiv[[Agency]:[Agency]]=$E23)/(TableDiv[[Agency]:[Agency]]=$E23)*(ROW(TableDiv[Agency])-ROW(TableDiv[[#Headers],[Agency]])),COLUMNS($F$7:AK$7))))</f>
        <v/>
      </c>
      <c r="AL23" s="2223" t="str" cm="1">
        <f t="array" ref="AL23">IF($D23&lt;COLUMNS($F$7:AL$7),"",INDEX(TableDiv[[GASB]:[GASB]],_xlfn.AGGREGATE(15,3,(TableDiv[[Agency]:[Agency]]=$E23)/(TableDiv[[Agency]:[Agency]]=$E23)*(ROW(TableDiv[Agency])-ROW(TableDiv[[#Headers],[Agency]])),COLUMNS($F$7:AL$7))))</f>
        <v/>
      </c>
      <c r="AM23" s="2223" t="str" cm="1">
        <f t="array" ref="AM23">IF($D23&lt;COLUMNS($F$7:AM$7),"",INDEX(TableDiv[[GASB]:[GASB]],_xlfn.AGGREGATE(15,3,(TableDiv[[Agency]:[Agency]]=$E23)/(TableDiv[[Agency]:[Agency]]=$E23)*(ROW(TableDiv[Agency])-ROW(TableDiv[[#Headers],[Agency]])),COLUMNS($F$7:AM$7))))</f>
        <v/>
      </c>
      <c r="AN23" s="2223"/>
      <c r="AO23" s="2223"/>
      <c r="AP23" s="2223"/>
      <c r="AQ23" s="2223"/>
      <c r="AR23" s="2223"/>
      <c r="AS23" s="2223"/>
    </row>
    <row r="24" spans="1:45" ht="15" x14ac:dyDescent="0.25">
      <c r="A24" s="2219" t="s">
        <v>1879</v>
      </c>
      <c r="B24" s="2219" t="s">
        <v>6371</v>
      </c>
      <c r="C24" s="2223"/>
      <c r="D24" s="2223">
        <f>COUNTIF(TableDiv[Agency],E24)</f>
        <v>4</v>
      </c>
      <c r="E24" s="2230" t="str" cm="1">
        <f t="array" ref="E24">IFERROR(INDEX(TableDiv[Agency],MATCH(0,INDEX(COUNTIF($E$7:E23,TableDiv[Agency]),),0)),"")</f>
        <v>1700</v>
      </c>
      <c r="F24" s="2223" t="str" cm="1">
        <f t="array" ref="F24">IF($D24&lt;COLUMNS($F$7:F$7),"",INDEX(TableDiv[[GASB]:[GASB]],_xlfn.AGGREGATE(15,3,(TableDiv[[Agency]:[Agency]]=$E24)/(TableDiv[[Agency]:[Agency]]=$E24)*(ROW(TableDiv[Agency])-ROW(TableDiv[[#Headers],[Agency]])),COLUMNS($F$7:F$7))))</f>
        <v>11250G</v>
      </c>
      <c r="G24" s="2223" t="str" cm="1">
        <f t="array" ref="G24">IF($D24&lt;COLUMNS($F$7:G$7),"",INDEX(TableDiv[[GASB]:[GASB]],_xlfn.AGGREGATE(15,3,(TableDiv[[Agency]:[Agency]]=$E24)/(TableDiv[[Agency]:[Agency]]=$E24)*(ROW(TableDiv[Agency])-ROW(TableDiv[[#Headers],[Agency]])),COLUMNS($F$7:G$7))))</f>
        <v>14000G</v>
      </c>
      <c r="H24" s="2223" t="str" cm="1">
        <f t="array" ref="H24">IF($D24&lt;COLUMNS($F$7:H$7),"",INDEX(TableDiv[[GASB]:[GASB]],_xlfn.AGGREGATE(15,3,(TableDiv[[Agency]:[Agency]]=$E24)/(TableDiv[[Agency]:[Agency]]=$E24)*(ROW(TableDiv[Agency])-ROW(TableDiv[[#Headers],[Agency]])),COLUMNS($F$7:H$7))))</f>
        <v>14260G</v>
      </c>
      <c r="I24" s="2223" t="str" cm="1">
        <f t="array" ref="I24">IF($D24&lt;COLUMNS($F$7:I$7),"",INDEX(TableDiv[[GASB]:[GASB]],_xlfn.AGGREGATE(15,3,(TableDiv[[Agency]:[Agency]]=$E24)/(TableDiv[[Agency]:[Agency]]=$E24)*(ROW(TableDiv[Agency])-ROW(TableDiv[[#Headers],[Agency]])),COLUMNS($F$7:I$7))))</f>
        <v>15010G</v>
      </c>
      <c r="J24" s="2223" t="str" cm="1">
        <f t="array" ref="J24">IF($D24&lt;COLUMNS($F$7:J$7),"",INDEX(TableDiv[[GASB]:[GASB]],_xlfn.AGGREGATE(15,3,(TableDiv[[Agency]:[Agency]]=$E24)/(TableDiv[[Agency]:[Agency]]=$E24)*(ROW(TableDiv[Agency])-ROW(TableDiv[[#Headers],[Agency]])),COLUMNS($F$7:J$7))))</f>
        <v/>
      </c>
      <c r="K24" s="2223" t="str" cm="1">
        <f t="array" ref="K24">IF($D24&lt;COLUMNS($F$7:K$7),"",INDEX(TableDiv[[GASB]:[GASB]],_xlfn.AGGREGATE(15,3,(TableDiv[[Agency]:[Agency]]=$E24)/(TableDiv[[Agency]:[Agency]]=$E24)*(ROW(TableDiv[Agency])-ROW(TableDiv[[#Headers],[Agency]])),COLUMNS($F$7:K$7))))</f>
        <v/>
      </c>
      <c r="L24" s="2223" t="str" cm="1">
        <f t="array" ref="L24">IF($D24&lt;COLUMNS($F$7:L$7),"",INDEX(TableDiv[[GASB]:[GASB]],_xlfn.AGGREGATE(15,3,(TableDiv[[Agency]:[Agency]]=$E24)/(TableDiv[[Agency]:[Agency]]=$E24)*(ROW(TableDiv[Agency])-ROW(TableDiv[[#Headers],[Agency]])),COLUMNS($F$7:L$7))))</f>
        <v/>
      </c>
      <c r="M24" s="2223" t="str" cm="1">
        <f t="array" ref="M24">IF($D24&lt;COLUMNS($F$7:M$7),"",INDEX(TableDiv[[GASB]:[GASB]],_xlfn.AGGREGATE(15,3,(TableDiv[[Agency]:[Agency]]=$E24)/(TableDiv[[Agency]:[Agency]]=$E24)*(ROW(TableDiv[Agency])-ROW(TableDiv[[#Headers],[Agency]])),COLUMNS($F$7:M$7))))</f>
        <v/>
      </c>
      <c r="N24" s="2223" t="str" cm="1">
        <f t="array" ref="N24">IF($D24&lt;COLUMNS($F$7:N$7),"",INDEX(TableDiv[[GASB]:[GASB]],_xlfn.AGGREGATE(15,3,(TableDiv[[Agency]:[Agency]]=$E24)/(TableDiv[[Agency]:[Agency]]=$E24)*(ROW(TableDiv[Agency])-ROW(TableDiv[[#Headers],[Agency]])),COLUMNS($F$7:N$7))))</f>
        <v/>
      </c>
      <c r="O24" s="2223" t="str" cm="1">
        <f t="array" ref="O24">IF($D24&lt;COLUMNS($F$7:O$7),"",INDEX(TableDiv[[GASB]:[GASB]],_xlfn.AGGREGATE(15,3,(TableDiv[[Agency]:[Agency]]=$E24)/(TableDiv[[Agency]:[Agency]]=$E24)*(ROW(TableDiv[Agency])-ROW(TableDiv[[#Headers],[Agency]])),COLUMNS($F$7:O$7))))</f>
        <v/>
      </c>
      <c r="P24" s="2223" t="str" cm="1">
        <f t="array" ref="P24">IF($D24&lt;COLUMNS($F$7:P$7),"",INDEX(TableDiv[[GASB]:[GASB]],_xlfn.AGGREGATE(15,3,(TableDiv[[Agency]:[Agency]]=$E24)/(TableDiv[[Agency]:[Agency]]=$E24)*(ROW(TableDiv[Agency])-ROW(TableDiv[[#Headers],[Agency]])),COLUMNS($F$7:P$7))))</f>
        <v/>
      </c>
      <c r="Q24" s="2223" t="str" cm="1">
        <f t="array" ref="Q24">IF($D24&lt;COLUMNS($F$7:Q$7),"",INDEX(TableDiv[[GASB]:[GASB]],_xlfn.AGGREGATE(15,3,(TableDiv[[Agency]:[Agency]]=$E24)/(TableDiv[[Agency]:[Agency]]=$E24)*(ROW(TableDiv[Agency])-ROW(TableDiv[[#Headers],[Agency]])),COLUMNS($F$7:Q$7))))</f>
        <v/>
      </c>
      <c r="R24" s="2223" t="str" cm="1">
        <f t="array" ref="R24">IF($D24&lt;COLUMNS($F$7:R$7),"",INDEX(TableDiv[[GASB]:[GASB]],_xlfn.AGGREGATE(15,3,(TableDiv[[Agency]:[Agency]]=$E24)/(TableDiv[[Agency]:[Agency]]=$E24)*(ROW(TableDiv[Agency])-ROW(TableDiv[[#Headers],[Agency]])),COLUMNS($F$7:R$7))))</f>
        <v/>
      </c>
      <c r="S24" s="2223" t="str" cm="1">
        <f t="array" ref="S24">IF($D24&lt;COLUMNS($F$7:S$7),"",INDEX(TableDiv[[GASB]:[GASB]],_xlfn.AGGREGATE(15,3,(TableDiv[[Agency]:[Agency]]=$E24)/(TableDiv[[Agency]:[Agency]]=$E24)*(ROW(TableDiv[Agency])-ROW(TableDiv[[#Headers],[Agency]])),COLUMNS($F$7:S$7))))</f>
        <v/>
      </c>
      <c r="T24" s="2223" t="str" cm="1">
        <f t="array" ref="T24">IF($D24&lt;COLUMNS($F$7:T$7),"",INDEX(TableDiv[[GASB]:[GASB]],_xlfn.AGGREGATE(15,3,(TableDiv[[Agency]:[Agency]]=$E24)/(TableDiv[[Agency]:[Agency]]=$E24)*(ROW(TableDiv[Agency])-ROW(TableDiv[[#Headers],[Agency]])),COLUMNS($F$7:T$7))))</f>
        <v/>
      </c>
      <c r="U24" s="2223" t="str" cm="1">
        <f t="array" ref="U24">IF($D24&lt;COLUMNS($F$7:U$7),"",INDEX(TableDiv[[GASB]:[GASB]],_xlfn.AGGREGATE(15,3,(TableDiv[[Agency]:[Agency]]=$E24)/(TableDiv[[Agency]:[Agency]]=$E24)*(ROW(TableDiv[Agency])-ROW(TableDiv[[#Headers],[Agency]])),COLUMNS($F$7:U$7))))</f>
        <v/>
      </c>
      <c r="V24" s="2223" t="str" cm="1">
        <f t="array" ref="V24">IF($D24&lt;COLUMNS($F$7:V$7),"",INDEX(TableDiv[[GASB]:[GASB]],_xlfn.AGGREGATE(15,3,(TableDiv[[Agency]:[Agency]]=$E24)/(TableDiv[[Agency]:[Agency]]=$E24)*(ROW(TableDiv[Agency])-ROW(TableDiv[[#Headers],[Agency]])),COLUMNS($F$7:V$7))))</f>
        <v/>
      </c>
      <c r="W24" s="2223" t="str" cm="1">
        <f t="array" ref="W24">IF($D24&lt;COLUMNS($F$7:W$7),"",INDEX(TableDiv[[GASB]:[GASB]],_xlfn.AGGREGATE(15,3,(TableDiv[[Agency]:[Agency]]=$E24)/(TableDiv[[Agency]:[Agency]]=$E24)*(ROW(TableDiv[Agency])-ROW(TableDiv[[#Headers],[Agency]])),COLUMNS($F$7:W$7))))</f>
        <v/>
      </c>
      <c r="X24" s="2223" t="str" cm="1">
        <f t="array" ref="X24">IF($D24&lt;COLUMNS($F$7:X$7),"",INDEX(TableDiv[[GASB]:[GASB]],_xlfn.AGGREGATE(15,3,(TableDiv[[Agency]:[Agency]]=$E24)/(TableDiv[[Agency]:[Agency]]=$E24)*(ROW(TableDiv[Agency])-ROW(TableDiv[[#Headers],[Agency]])),COLUMNS($F$7:X$7))))</f>
        <v/>
      </c>
      <c r="Y24" s="2223" t="str" cm="1">
        <f t="array" ref="Y24">IF($D24&lt;COLUMNS($F$7:Y$7),"",INDEX(TableDiv[[GASB]:[GASB]],_xlfn.AGGREGATE(15,3,(TableDiv[[Agency]:[Agency]]=$E24)/(TableDiv[[Agency]:[Agency]]=$E24)*(ROW(TableDiv[Agency])-ROW(TableDiv[[#Headers],[Agency]])),COLUMNS($F$7:Y$7))))</f>
        <v/>
      </c>
      <c r="Z24" s="2223" t="str" cm="1">
        <f t="array" ref="Z24">IF($D24&lt;COLUMNS($F$7:Z$7),"",INDEX(TableDiv[[GASB]:[GASB]],_xlfn.AGGREGATE(15,3,(TableDiv[[Agency]:[Agency]]=$E24)/(TableDiv[[Agency]:[Agency]]=$E24)*(ROW(TableDiv[Agency])-ROW(TableDiv[[#Headers],[Agency]])),COLUMNS($F$7:Z$7))))</f>
        <v/>
      </c>
      <c r="AA24" s="2223" t="str" cm="1">
        <f t="array" ref="AA24">IF($D24&lt;COLUMNS($F$7:AA$7),"",INDEX(TableDiv[[GASB]:[GASB]],_xlfn.AGGREGATE(15,3,(TableDiv[[Agency]:[Agency]]=$E24)/(TableDiv[[Agency]:[Agency]]=$E24)*(ROW(TableDiv[Agency])-ROW(TableDiv[[#Headers],[Agency]])),COLUMNS($F$7:AA$7))))</f>
        <v/>
      </c>
      <c r="AB24" s="2223" t="str" cm="1">
        <f t="array" ref="AB24">IF($D24&lt;COLUMNS($F$7:AB$7),"",INDEX(TableDiv[[GASB]:[GASB]],_xlfn.AGGREGATE(15,3,(TableDiv[[Agency]:[Agency]]=$E24)/(TableDiv[[Agency]:[Agency]]=$E24)*(ROW(TableDiv[Agency])-ROW(TableDiv[[#Headers],[Agency]])),COLUMNS($F$7:AB$7))))</f>
        <v/>
      </c>
      <c r="AC24" s="2223" t="str" cm="1">
        <f t="array" ref="AC24">IF($D24&lt;COLUMNS($F$7:AC$7),"",INDEX(TableDiv[[GASB]:[GASB]],_xlfn.AGGREGATE(15,3,(TableDiv[[Agency]:[Agency]]=$E24)/(TableDiv[[Agency]:[Agency]]=$E24)*(ROW(TableDiv[Agency])-ROW(TableDiv[[#Headers],[Agency]])),COLUMNS($F$7:AC$7))))</f>
        <v/>
      </c>
      <c r="AD24" s="2223" t="str" cm="1">
        <f t="array" ref="AD24">IF($D24&lt;COLUMNS($F$7:AD$7),"",INDEX(TableDiv[[GASB]:[GASB]],_xlfn.AGGREGATE(15,3,(TableDiv[[Agency]:[Agency]]=$E24)/(TableDiv[[Agency]:[Agency]]=$E24)*(ROW(TableDiv[Agency])-ROW(TableDiv[[#Headers],[Agency]])),COLUMNS($F$7:AD$7))))</f>
        <v/>
      </c>
      <c r="AE24" s="2223" t="str" cm="1">
        <f t="array" ref="AE24">IF($D24&lt;COLUMNS($F$7:AE$7),"",INDEX(TableDiv[[GASB]:[GASB]],_xlfn.AGGREGATE(15,3,(TableDiv[[Agency]:[Agency]]=$E24)/(TableDiv[[Agency]:[Agency]]=$E24)*(ROW(TableDiv[Agency])-ROW(TableDiv[[#Headers],[Agency]])),COLUMNS($F$7:AE$7))))</f>
        <v/>
      </c>
      <c r="AF24" s="2223" t="str" cm="1">
        <f t="array" ref="AF24">IF($D24&lt;COLUMNS($F$7:AF$7),"",INDEX(TableDiv[[GASB]:[GASB]],_xlfn.AGGREGATE(15,3,(TableDiv[[Agency]:[Agency]]=$E24)/(TableDiv[[Agency]:[Agency]]=$E24)*(ROW(TableDiv[Agency])-ROW(TableDiv[[#Headers],[Agency]])),COLUMNS($F$7:AF$7))))</f>
        <v/>
      </c>
      <c r="AG24" s="2223" t="str" cm="1">
        <f t="array" ref="AG24">IF($D24&lt;COLUMNS($F$7:AG$7),"",INDEX(TableDiv[[GASB]:[GASB]],_xlfn.AGGREGATE(15,3,(TableDiv[[Agency]:[Agency]]=$E24)/(TableDiv[[Agency]:[Agency]]=$E24)*(ROW(TableDiv[Agency])-ROW(TableDiv[[#Headers],[Agency]])),COLUMNS($F$7:AG$7))))</f>
        <v/>
      </c>
      <c r="AH24" s="2223" t="str" cm="1">
        <f t="array" ref="AH24">IF($D24&lt;COLUMNS($F$7:AH$7),"",INDEX(TableDiv[[GASB]:[GASB]],_xlfn.AGGREGATE(15,3,(TableDiv[[Agency]:[Agency]]=$E24)/(TableDiv[[Agency]:[Agency]]=$E24)*(ROW(TableDiv[Agency])-ROW(TableDiv[[#Headers],[Agency]])),COLUMNS($F$7:AH$7))))</f>
        <v/>
      </c>
      <c r="AI24" s="2223" t="str" cm="1">
        <f t="array" ref="AI24">IF($D24&lt;COLUMNS($F$7:AI$7),"",INDEX(TableDiv[[GASB]:[GASB]],_xlfn.AGGREGATE(15,3,(TableDiv[[Agency]:[Agency]]=$E24)/(TableDiv[[Agency]:[Agency]]=$E24)*(ROW(TableDiv[Agency])-ROW(TableDiv[[#Headers],[Agency]])),COLUMNS($F$7:AI$7))))</f>
        <v/>
      </c>
      <c r="AJ24" s="2223" t="str" cm="1">
        <f t="array" ref="AJ24">IF($D24&lt;COLUMNS($F$7:AJ$7),"",INDEX(TableDiv[[GASB]:[GASB]],_xlfn.AGGREGATE(15,3,(TableDiv[[Agency]:[Agency]]=$E24)/(TableDiv[[Agency]:[Agency]]=$E24)*(ROW(TableDiv[Agency])-ROW(TableDiv[[#Headers],[Agency]])),COLUMNS($F$7:AJ$7))))</f>
        <v/>
      </c>
      <c r="AK24" s="2223" t="str" cm="1">
        <f t="array" ref="AK24">IF($D24&lt;COLUMNS($F$7:AK$7),"",INDEX(TableDiv[[GASB]:[GASB]],_xlfn.AGGREGATE(15,3,(TableDiv[[Agency]:[Agency]]=$E24)/(TableDiv[[Agency]:[Agency]]=$E24)*(ROW(TableDiv[Agency])-ROW(TableDiv[[#Headers],[Agency]])),COLUMNS($F$7:AK$7))))</f>
        <v/>
      </c>
      <c r="AL24" s="2223" t="str" cm="1">
        <f t="array" ref="AL24">IF($D24&lt;COLUMNS($F$7:AL$7),"",INDEX(TableDiv[[GASB]:[GASB]],_xlfn.AGGREGATE(15,3,(TableDiv[[Agency]:[Agency]]=$E24)/(TableDiv[[Agency]:[Agency]]=$E24)*(ROW(TableDiv[Agency])-ROW(TableDiv[[#Headers],[Agency]])),COLUMNS($F$7:AL$7))))</f>
        <v/>
      </c>
      <c r="AM24" s="2223" t="str" cm="1">
        <f t="array" ref="AM24">IF($D24&lt;COLUMNS($F$7:AM$7),"",INDEX(TableDiv[[GASB]:[GASB]],_xlfn.AGGREGATE(15,3,(TableDiv[[Agency]:[Agency]]=$E24)/(TableDiv[[Agency]:[Agency]]=$E24)*(ROW(TableDiv[Agency])-ROW(TableDiv[[#Headers],[Agency]])),COLUMNS($F$7:AM$7))))</f>
        <v/>
      </c>
      <c r="AN24" s="2223"/>
      <c r="AO24" s="2223"/>
      <c r="AP24" s="2223"/>
      <c r="AQ24" s="2223"/>
      <c r="AR24" s="2223"/>
      <c r="AS24" s="2223"/>
    </row>
    <row r="25" spans="1:45" ht="15" x14ac:dyDescent="0.25">
      <c r="A25" s="2219" t="s">
        <v>5098</v>
      </c>
      <c r="B25" s="2219" t="s">
        <v>6357</v>
      </c>
      <c r="C25" s="2223"/>
      <c r="D25" s="2223">
        <f>COUNTIF(TableDiv[Agency],E25)</f>
        <v>13</v>
      </c>
      <c r="E25" s="2230" t="str" cm="1">
        <f t="array" ref="E25">IFERROR(INDEX(TableDiv[Agency],MATCH(0,INDEX(COUNTIF($E$7:E24,TableDiv[Agency]),),0)),"")</f>
        <v>1900</v>
      </c>
      <c r="F25" s="2223" t="str" cm="1">
        <f t="array" ref="F25">IF($D25&lt;COLUMNS($F$7:F$7),"",INDEX(TableDiv[[GASB]:[GASB]],_xlfn.AGGREGATE(15,3,(TableDiv[[Agency]:[Agency]]=$E25)/(TableDiv[[Agency]:[Agency]]=$E25)*(ROW(TableDiv[Agency])-ROW(TableDiv[[#Headers],[Agency]])),COLUMNS($F$7:F$7))))</f>
        <v>11000G</v>
      </c>
      <c r="G25" s="2223" t="str" cm="1">
        <f t="array" ref="G25">IF($D25&lt;COLUMNS($F$7:G$7),"",INDEX(TableDiv[[GASB]:[GASB]],_xlfn.AGGREGATE(15,3,(TableDiv[[Agency]:[Agency]]=$E25)/(TableDiv[[Agency]:[Agency]]=$E25)*(ROW(TableDiv[Agency])-ROW(TableDiv[[#Headers],[Agency]])),COLUMNS($F$7:G$7))))</f>
        <v>11020G</v>
      </c>
      <c r="H25" s="2223" t="str" cm="1">
        <f t="array" ref="H25">IF($D25&lt;COLUMNS($F$7:H$7),"",INDEX(TableDiv[[GASB]:[GASB]],_xlfn.AGGREGATE(15,3,(TableDiv[[Agency]:[Agency]]=$E25)/(TableDiv[[Agency]:[Agency]]=$E25)*(ROW(TableDiv[Agency])-ROW(TableDiv[[#Headers],[Agency]])),COLUMNS($F$7:H$7))))</f>
        <v>11030G</v>
      </c>
      <c r="I25" s="2223" t="str" cm="1">
        <f t="array" ref="I25">IF($D25&lt;COLUMNS($F$7:I$7),"",INDEX(TableDiv[[GASB]:[GASB]],_xlfn.AGGREGATE(15,3,(TableDiv[[Agency]:[Agency]]=$E25)/(TableDiv[[Agency]:[Agency]]=$E25)*(ROW(TableDiv[Agency])-ROW(TableDiv[[#Headers],[Agency]])),COLUMNS($F$7:I$7))))</f>
        <v>11060G</v>
      </c>
      <c r="J25" s="2223" t="str" cm="1">
        <f t="array" ref="J25">IF($D25&lt;COLUMNS($F$7:J$7),"",INDEX(TableDiv[[GASB]:[GASB]],_xlfn.AGGREGATE(15,3,(TableDiv[[Agency]:[Agency]]=$E25)/(TableDiv[[Agency]:[Agency]]=$E25)*(ROW(TableDiv[Agency])-ROW(TableDiv[[#Headers],[Agency]])),COLUMNS($F$7:J$7))))</f>
        <v>12000G</v>
      </c>
      <c r="K25" s="2223" t="str" cm="1">
        <f t="array" ref="K25">IF($D25&lt;COLUMNS($F$7:K$7),"",INDEX(TableDiv[[GASB]:[GASB]],_xlfn.AGGREGATE(15,3,(TableDiv[[Agency]:[Agency]]=$E25)/(TableDiv[[Agency]:[Agency]]=$E25)*(ROW(TableDiv[Agency])-ROW(TableDiv[[#Headers],[Agency]])),COLUMNS($F$7:K$7))))</f>
        <v>13960G</v>
      </c>
      <c r="L25" s="2223" t="str" cm="1">
        <f t="array" ref="L25">IF($D25&lt;COLUMNS($F$7:L$7),"",INDEX(TableDiv[[GASB]:[GASB]],_xlfn.AGGREGATE(15,3,(TableDiv[[Agency]:[Agency]]=$E25)/(TableDiv[[Agency]:[Agency]]=$E25)*(ROW(TableDiv[Agency])-ROW(TableDiv[[#Headers],[Agency]])),COLUMNS($F$7:L$7))))</f>
        <v>14000G</v>
      </c>
      <c r="M25" s="2223" t="str" cm="1">
        <f t="array" ref="M25">IF($D25&lt;COLUMNS($F$7:M$7),"",INDEX(TableDiv[[GASB]:[GASB]],_xlfn.AGGREGATE(15,3,(TableDiv[[Agency]:[Agency]]=$E25)/(TableDiv[[Agency]:[Agency]]=$E25)*(ROW(TableDiv[Agency])-ROW(TableDiv[[#Headers],[Agency]])),COLUMNS($F$7:M$7))))</f>
        <v>14240G</v>
      </c>
      <c r="N25" s="2223" t="str" cm="1">
        <f t="array" ref="N25">IF($D25&lt;COLUMNS($F$7:N$7),"",INDEX(TableDiv[[GASB]:[GASB]],_xlfn.AGGREGATE(15,3,(TableDiv[[Agency]:[Agency]]=$E25)/(TableDiv[[Agency]:[Agency]]=$E25)*(ROW(TableDiv[Agency])-ROW(TableDiv[[#Headers],[Agency]])),COLUMNS($F$7:N$7))))</f>
        <v>14260G</v>
      </c>
      <c r="O25" s="2223" t="str" cm="1">
        <f t="array" ref="O25">IF($D25&lt;COLUMNS($F$7:O$7),"",INDEX(TableDiv[[GASB]:[GASB]],_xlfn.AGGREGATE(15,3,(TableDiv[[Agency]:[Agency]]=$E25)/(TableDiv[[Agency]:[Agency]]=$E25)*(ROW(TableDiv[Agency])-ROW(TableDiv[[#Headers],[Agency]])),COLUMNS($F$7:O$7))))</f>
        <v>25400G</v>
      </c>
      <c r="P25" s="2223" t="str" cm="1">
        <f t="array" ref="P25">IF($D25&lt;COLUMNS($F$7:P$7),"",INDEX(TableDiv[[GASB]:[GASB]],_xlfn.AGGREGATE(15,3,(TableDiv[[Agency]:[Agency]]=$E25)/(TableDiv[[Agency]:[Agency]]=$E25)*(ROW(TableDiv[Agency])-ROW(TableDiv[[#Headers],[Agency]])),COLUMNS($F$7:P$7))))</f>
        <v>25440G</v>
      </c>
      <c r="Q25" s="2223" t="str" cm="1">
        <f t="array" ref="Q25">IF($D25&lt;COLUMNS($F$7:Q$7),"",INDEX(TableDiv[[GASB]:[GASB]],_xlfn.AGGREGATE(15,3,(TableDiv[[Agency]:[Agency]]=$E25)/(TableDiv[[Agency]:[Agency]]=$E25)*(ROW(TableDiv[Agency])-ROW(TableDiv[[#Headers],[Agency]])),COLUMNS($F$7:Q$7))))</f>
        <v>39000G</v>
      </c>
      <c r="R25" s="2223" t="str" cm="1">
        <f t="array" ref="R25">IF($D25&lt;COLUMNS($F$7:R$7),"",INDEX(TableDiv[[GASB]:[GASB]],_xlfn.AGGREGATE(15,3,(TableDiv[[Agency]:[Agency]]=$E25)/(TableDiv[[Agency]:[Agency]]=$E25)*(ROW(TableDiv[Agency])-ROW(TableDiv[[#Headers],[Agency]])),COLUMNS($F$7:R$7))))</f>
        <v>43100G</v>
      </c>
      <c r="S25" s="2223" t="str" cm="1">
        <f t="array" ref="S25">IF($D25&lt;COLUMNS($F$7:S$7),"",INDEX(TableDiv[[GASB]:[GASB]],_xlfn.AGGREGATE(15,3,(TableDiv[[Agency]:[Agency]]=$E25)/(TableDiv[[Agency]:[Agency]]=$E25)*(ROW(TableDiv[Agency])-ROW(TableDiv[[#Headers],[Agency]])),COLUMNS($F$7:S$7))))</f>
        <v/>
      </c>
      <c r="T25" s="2223" t="str" cm="1">
        <f t="array" ref="T25">IF($D25&lt;COLUMNS($F$7:T$7),"",INDEX(TableDiv[[GASB]:[GASB]],_xlfn.AGGREGATE(15,3,(TableDiv[[Agency]:[Agency]]=$E25)/(TableDiv[[Agency]:[Agency]]=$E25)*(ROW(TableDiv[Agency])-ROW(TableDiv[[#Headers],[Agency]])),COLUMNS($F$7:T$7))))</f>
        <v/>
      </c>
      <c r="U25" s="2223" t="str" cm="1">
        <f t="array" ref="U25">IF($D25&lt;COLUMNS($F$7:U$7),"",INDEX(TableDiv[[GASB]:[GASB]],_xlfn.AGGREGATE(15,3,(TableDiv[[Agency]:[Agency]]=$E25)/(TableDiv[[Agency]:[Agency]]=$E25)*(ROW(TableDiv[Agency])-ROW(TableDiv[[#Headers],[Agency]])),COLUMNS($F$7:U$7))))</f>
        <v/>
      </c>
      <c r="V25" s="2223" t="str" cm="1">
        <f t="array" ref="V25">IF($D25&lt;COLUMNS($F$7:V$7),"",INDEX(TableDiv[[GASB]:[GASB]],_xlfn.AGGREGATE(15,3,(TableDiv[[Agency]:[Agency]]=$E25)/(TableDiv[[Agency]:[Agency]]=$E25)*(ROW(TableDiv[Agency])-ROW(TableDiv[[#Headers],[Agency]])),COLUMNS($F$7:V$7))))</f>
        <v/>
      </c>
      <c r="W25" s="2223" t="str" cm="1">
        <f t="array" ref="W25">IF($D25&lt;COLUMNS($F$7:W$7),"",INDEX(TableDiv[[GASB]:[GASB]],_xlfn.AGGREGATE(15,3,(TableDiv[[Agency]:[Agency]]=$E25)/(TableDiv[[Agency]:[Agency]]=$E25)*(ROW(TableDiv[Agency])-ROW(TableDiv[[#Headers],[Agency]])),COLUMNS($F$7:W$7))))</f>
        <v/>
      </c>
      <c r="X25" s="2223" t="str" cm="1">
        <f t="array" ref="X25">IF($D25&lt;COLUMNS($F$7:X$7),"",INDEX(TableDiv[[GASB]:[GASB]],_xlfn.AGGREGATE(15,3,(TableDiv[[Agency]:[Agency]]=$E25)/(TableDiv[[Agency]:[Agency]]=$E25)*(ROW(TableDiv[Agency])-ROW(TableDiv[[#Headers],[Agency]])),COLUMNS($F$7:X$7))))</f>
        <v/>
      </c>
      <c r="Y25" s="2223" t="str" cm="1">
        <f t="array" ref="Y25">IF($D25&lt;COLUMNS($F$7:Y$7),"",INDEX(TableDiv[[GASB]:[GASB]],_xlfn.AGGREGATE(15,3,(TableDiv[[Agency]:[Agency]]=$E25)/(TableDiv[[Agency]:[Agency]]=$E25)*(ROW(TableDiv[Agency])-ROW(TableDiv[[#Headers],[Agency]])),COLUMNS($F$7:Y$7))))</f>
        <v/>
      </c>
      <c r="Z25" s="2223" t="str" cm="1">
        <f t="array" ref="Z25">IF($D25&lt;COLUMNS($F$7:Z$7),"",INDEX(TableDiv[[GASB]:[GASB]],_xlfn.AGGREGATE(15,3,(TableDiv[[Agency]:[Agency]]=$E25)/(TableDiv[[Agency]:[Agency]]=$E25)*(ROW(TableDiv[Agency])-ROW(TableDiv[[#Headers],[Agency]])),COLUMNS($F$7:Z$7))))</f>
        <v/>
      </c>
      <c r="AA25" s="2223" t="str" cm="1">
        <f t="array" ref="AA25">IF($D25&lt;COLUMNS($F$7:AA$7),"",INDEX(TableDiv[[GASB]:[GASB]],_xlfn.AGGREGATE(15,3,(TableDiv[[Agency]:[Agency]]=$E25)/(TableDiv[[Agency]:[Agency]]=$E25)*(ROW(TableDiv[Agency])-ROW(TableDiv[[#Headers],[Agency]])),COLUMNS($F$7:AA$7))))</f>
        <v/>
      </c>
      <c r="AB25" s="2223" t="str" cm="1">
        <f t="array" ref="AB25">IF($D25&lt;COLUMNS($F$7:AB$7),"",INDEX(TableDiv[[GASB]:[GASB]],_xlfn.AGGREGATE(15,3,(TableDiv[[Agency]:[Agency]]=$E25)/(TableDiv[[Agency]:[Agency]]=$E25)*(ROW(TableDiv[Agency])-ROW(TableDiv[[#Headers],[Agency]])),COLUMNS($F$7:AB$7))))</f>
        <v/>
      </c>
      <c r="AC25" s="2223" t="str" cm="1">
        <f t="array" ref="AC25">IF($D25&lt;COLUMNS($F$7:AC$7),"",INDEX(TableDiv[[GASB]:[GASB]],_xlfn.AGGREGATE(15,3,(TableDiv[[Agency]:[Agency]]=$E25)/(TableDiv[[Agency]:[Agency]]=$E25)*(ROW(TableDiv[Agency])-ROW(TableDiv[[#Headers],[Agency]])),COLUMNS($F$7:AC$7))))</f>
        <v/>
      </c>
      <c r="AD25" s="2223" t="str" cm="1">
        <f t="array" ref="AD25">IF($D25&lt;COLUMNS($F$7:AD$7),"",INDEX(TableDiv[[GASB]:[GASB]],_xlfn.AGGREGATE(15,3,(TableDiv[[Agency]:[Agency]]=$E25)/(TableDiv[[Agency]:[Agency]]=$E25)*(ROW(TableDiv[Agency])-ROW(TableDiv[[#Headers],[Agency]])),COLUMNS($F$7:AD$7))))</f>
        <v/>
      </c>
      <c r="AE25" s="2223" t="str" cm="1">
        <f t="array" ref="AE25">IF($D25&lt;COLUMNS($F$7:AE$7),"",INDEX(TableDiv[[GASB]:[GASB]],_xlfn.AGGREGATE(15,3,(TableDiv[[Agency]:[Agency]]=$E25)/(TableDiv[[Agency]:[Agency]]=$E25)*(ROW(TableDiv[Agency])-ROW(TableDiv[[#Headers],[Agency]])),COLUMNS($F$7:AE$7))))</f>
        <v/>
      </c>
      <c r="AF25" s="2223" t="str" cm="1">
        <f t="array" ref="AF25">IF($D25&lt;COLUMNS($F$7:AF$7),"",INDEX(TableDiv[[GASB]:[GASB]],_xlfn.AGGREGATE(15,3,(TableDiv[[Agency]:[Agency]]=$E25)/(TableDiv[[Agency]:[Agency]]=$E25)*(ROW(TableDiv[Agency])-ROW(TableDiv[[#Headers],[Agency]])),COLUMNS($F$7:AF$7))))</f>
        <v/>
      </c>
      <c r="AG25" s="2223" t="str" cm="1">
        <f t="array" ref="AG25">IF($D25&lt;COLUMNS($F$7:AG$7),"",INDEX(TableDiv[[GASB]:[GASB]],_xlfn.AGGREGATE(15,3,(TableDiv[[Agency]:[Agency]]=$E25)/(TableDiv[[Agency]:[Agency]]=$E25)*(ROW(TableDiv[Agency])-ROW(TableDiv[[#Headers],[Agency]])),COLUMNS($F$7:AG$7))))</f>
        <v/>
      </c>
      <c r="AH25" s="2223" t="str" cm="1">
        <f t="array" ref="AH25">IF($D25&lt;COLUMNS($F$7:AH$7),"",INDEX(TableDiv[[GASB]:[GASB]],_xlfn.AGGREGATE(15,3,(TableDiv[[Agency]:[Agency]]=$E25)/(TableDiv[[Agency]:[Agency]]=$E25)*(ROW(TableDiv[Agency])-ROW(TableDiv[[#Headers],[Agency]])),COLUMNS($F$7:AH$7))))</f>
        <v/>
      </c>
      <c r="AI25" s="2223" t="str" cm="1">
        <f t="array" ref="AI25">IF($D25&lt;COLUMNS($F$7:AI$7),"",INDEX(TableDiv[[GASB]:[GASB]],_xlfn.AGGREGATE(15,3,(TableDiv[[Agency]:[Agency]]=$E25)/(TableDiv[[Agency]:[Agency]]=$E25)*(ROW(TableDiv[Agency])-ROW(TableDiv[[#Headers],[Agency]])),COLUMNS($F$7:AI$7))))</f>
        <v/>
      </c>
      <c r="AJ25" s="2223" t="str" cm="1">
        <f t="array" ref="AJ25">IF($D25&lt;COLUMNS($F$7:AJ$7),"",INDEX(TableDiv[[GASB]:[GASB]],_xlfn.AGGREGATE(15,3,(TableDiv[[Agency]:[Agency]]=$E25)/(TableDiv[[Agency]:[Agency]]=$E25)*(ROW(TableDiv[Agency])-ROW(TableDiv[[#Headers],[Agency]])),COLUMNS($F$7:AJ$7))))</f>
        <v/>
      </c>
      <c r="AK25" s="2223" t="str" cm="1">
        <f t="array" ref="AK25">IF($D25&lt;COLUMNS($F$7:AK$7),"",INDEX(TableDiv[[GASB]:[GASB]],_xlfn.AGGREGATE(15,3,(TableDiv[[Agency]:[Agency]]=$E25)/(TableDiv[[Agency]:[Agency]]=$E25)*(ROW(TableDiv[Agency])-ROW(TableDiv[[#Headers],[Agency]])),COLUMNS($F$7:AK$7))))</f>
        <v/>
      </c>
      <c r="AL25" s="2223" t="str" cm="1">
        <f t="array" ref="AL25">IF($D25&lt;COLUMNS($F$7:AL$7),"",INDEX(TableDiv[[GASB]:[GASB]],_xlfn.AGGREGATE(15,3,(TableDiv[[Agency]:[Agency]]=$E25)/(TableDiv[[Agency]:[Agency]]=$E25)*(ROW(TableDiv[Agency])-ROW(TableDiv[[#Headers],[Agency]])),COLUMNS($F$7:AL$7))))</f>
        <v/>
      </c>
      <c r="AM25" s="2223" t="str" cm="1">
        <f t="array" ref="AM25">IF($D25&lt;COLUMNS($F$7:AM$7),"",INDEX(TableDiv[[GASB]:[GASB]],_xlfn.AGGREGATE(15,3,(TableDiv[[Agency]:[Agency]]=$E25)/(TableDiv[[Agency]:[Agency]]=$E25)*(ROW(TableDiv[Agency])-ROW(TableDiv[[#Headers],[Agency]])),COLUMNS($F$7:AM$7))))</f>
        <v/>
      </c>
      <c r="AN25" s="2223"/>
      <c r="AO25" s="2223"/>
      <c r="AP25" s="2223"/>
      <c r="AQ25" s="2223"/>
      <c r="AR25" s="2223"/>
      <c r="AS25" s="2223"/>
    </row>
    <row r="26" spans="1:45" ht="15" x14ac:dyDescent="0.25">
      <c r="A26" s="2219" t="s">
        <v>5099</v>
      </c>
      <c r="B26" s="2219" t="s">
        <v>6357</v>
      </c>
      <c r="C26" s="2223"/>
      <c r="D26" s="2223">
        <f>COUNTIF(TableDiv[Agency],E26)</f>
        <v>7</v>
      </c>
      <c r="E26" s="2230" t="str" cm="1">
        <f t="array" ref="E26">IFERROR(INDEX(TableDiv[Agency],MATCH(0,INDEX(COUNTIF($E$7:E25,TableDiv[Agency]),),0)),"")</f>
        <v>2000</v>
      </c>
      <c r="F26" s="2223" t="str" cm="1">
        <f t="array" ref="F26">IF($D26&lt;COLUMNS($F$7:F$7),"",INDEX(TableDiv[[GASB]:[GASB]],_xlfn.AGGREGATE(15,3,(TableDiv[[Agency]:[Agency]]=$E26)/(TableDiv[[Agency]:[Agency]]=$E26)*(ROW(TableDiv[Agency])-ROW(TableDiv[[#Headers],[Agency]])),COLUMNS($F$7:F$7))))</f>
        <v>11000G</v>
      </c>
      <c r="G26" s="2223" t="str" cm="1">
        <f t="array" ref="G26">IF($D26&lt;COLUMNS($F$7:G$7),"",INDEX(TableDiv[[GASB]:[GASB]],_xlfn.AGGREGATE(15,3,(TableDiv[[Agency]:[Agency]]=$E26)/(TableDiv[[Agency]:[Agency]]=$E26)*(ROW(TableDiv[Agency])-ROW(TableDiv[[#Headers],[Agency]])),COLUMNS($F$7:G$7))))</f>
        <v>11020G</v>
      </c>
      <c r="H26" s="2223" t="str" cm="1">
        <f t="array" ref="H26">IF($D26&lt;COLUMNS($F$7:H$7),"",INDEX(TableDiv[[GASB]:[GASB]],_xlfn.AGGREGATE(15,3,(TableDiv[[Agency]:[Agency]]=$E26)/(TableDiv[[Agency]:[Agency]]=$E26)*(ROW(TableDiv[Agency])-ROW(TableDiv[[#Headers],[Agency]])),COLUMNS($F$7:H$7))))</f>
        <v>11030G</v>
      </c>
      <c r="I26" s="2223" t="str" cm="1">
        <f t="array" ref="I26">IF($D26&lt;COLUMNS($F$7:I$7),"",INDEX(TableDiv[[GASB]:[GASB]],_xlfn.AGGREGATE(15,3,(TableDiv[[Agency]:[Agency]]=$E26)/(TableDiv[[Agency]:[Agency]]=$E26)*(ROW(TableDiv[Agency])-ROW(TableDiv[[#Headers],[Agency]])),COLUMNS($F$7:I$7))))</f>
        <v>11060G</v>
      </c>
      <c r="J26" s="2223" t="str" cm="1">
        <f t="array" ref="J26">IF($D26&lt;COLUMNS($F$7:J$7),"",INDEX(TableDiv[[GASB]:[GASB]],_xlfn.AGGREGATE(15,3,(TableDiv[[Agency]:[Agency]]=$E26)/(TableDiv[[Agency]:[Agency]]=$E26)*(ROW(TableDiv[Agency])-ROW(TableDiv[[#Headers],[Agency]])),COLUMNS($F$7:J$7))))</f>
        <v>11320G</v>
      </c>
      <c r="K26" s="2223" t="str" cm="1">
        <f t="array" ref="K26">IF($D26&lt;COLUMNS($F$7:K$7),"",INDEX(TableDiv[[GASB]:[GASB]],_xlfn.AGGREGATE(15,3,(TableDiv[[Agency]:[Agency]]=$E26)/(TableDiv[[Agency]:[Agency]]=$E26)*(ROW(TableDiv[Agency])-ROW(TableDiv[[#Headers],[Agency]])),COLUMNS($F$7:K$7))))</f>
        <v>14000G</v>
      </c>
      <c r="L26" s="2223" t="str" cm="1">
        <f t="array" ref="L26">IF($D26&lt;COLUMNS($F$7:L$7),"",INDEX(TableDiv[[GASB]:[GASB]],_xlfn.AGGREGATE(15,3,(TableDiv[[Agency]:[Agency]]=$E26)/(TableDiv[[Agency]:[Agency]]=$E26)*(ROW(TableDiv[Agency])-ROW(TableDiv[[#Headers],[Agency]])),COLUMNS($F$7:L$7))))</f>
        <v>14260G</v>
      </c>
      <c r="M26" s="2223" t="str" cm="1">
        <f t="array" ref="M26">IF($D26&lt;COLUMNS($F$7:M$7),"",INDEX(TableDiv[[GASB]:[GASB]],_xlfn.AGGREGATE(15,3,(TableDiv[[Agency]:[Agency]]=$E26)/(TableDiv[[Agency]:[Agency]]=$E26)*(ROW(TableDiv[Agency])-ROW(TableDiv[[#Headers],[Agency]])),COLUMNS($F$7:M$7))))</f>
        <v/>
      </c>
      <c r="N26" s="2223" t="str" cm="1">
        <f t="array" ref="N26">IF($D26&lt;COLUMNS($F$7:N$7),"",INDEX(TableDiv[[GASB]:[GASB]],_xlfn.AGGREGATE(15,3,(TableDiv[[Agency]:[Agency]]=$E26)/(TableDiv[[Agency]:[Agency]]=$E26)*(ROW(TableDiv[Agency])-ROW(TableDiv[[#Headers],[Agency]])),COLUMNS($F$7:N$7))))</f>
        <v/>
      </c>
      <c r="O26" s="2223" t="str" cm="1">
        <f t="array" ref="O26">IF($D26&lt;COLUMNS($F$7:O$7),"",INDEX(TableDiv[[GASB]:[GASB]],_xlfn.AGGREGATE(15,3,(TableDiv[[Agency]:[Agency]]=$E26)/(TableDiv[[Agency]:[Agency]]=$E26)*(ROW(TableDiv[Agency])-ROW(TableDiv[[#Headers],[Agency]])),COLUMNS($F$7:O$7))))</f>
        <v/>
      </c>
      <c r="P26" s="2223" t="str" cm="1">
        <f t="array" ref="P26">IF($D26&lt;COLUMNS($F$7:P$7),"",INDEX(TableDiv[[GASB]:[GASB]],_xlfn.AGGREGATE(15,3,(TableDiv[[Agency]:[Agency]]=$E26)/(TableDiv[[Agency]:[Agency]]=$E26)*(ROW(TableDiv[Agency])-ROW(TableDiv[[#Headers],[Agency]])),COLUMNS($F$7:P$7))))</f>
        <v/>
      </c>
      <c r="Q26" s="2223" t="str" cm="1">
        <f t="array" ref="Q26">IF($D26&lt;COLUMNS($F$7:Q$7),"",INDEX(TableDiv[[GASB]:[GASB]],_xlfn.AGGREGATE(15,3,(TableDiv[[Agency]:[Agency]]=$E26)/(TableDiv[[Agency]:[Agency]]=$E26)*(ROW(TableDiv[Agency])-ROW(TableDiv[[#Headers],[Agency]])),COLUMNS($F$7:Q$7))))</f>
        <v/>
      </c>
      <c r="R26" s="2223" t="str" cm="1">
        <f t="array" ref="R26">IF($D26&lt;COLUMNS($F$7:R$7),"",INDEX(TableDiv[[GASB]:[GASB]],_xlfn.AGGREGATE(15,3,(TableDiv[[Agency]:[Agency]]=$E26)/(TableDiv[[Agency]:[Agency]]=$E26)*(ROW(TableDiv[Agency])-ROW(TableDiv[[#Headers],[Agency]])),COLUMNS($F$7:R$7))))</f>
        <v/>
      </c>
      <c r="S26" s="2223" t="str" cm="1">
        <f t="array" ref="S26">IF($D26&lt;COLUMNS($F$7:S$7),"",INDEX(TableDiv[[GASB]:[GASB]],_xlfn.AGGREGATE(15,3,(TableDiv[[Agency]:[Agency]]=$E26)/(TableDiv[[Agency]:[Agency]]=$E26)*(ROW(TableDiv[Agency])-ROW(TableDiv[[#Headers],[Agency]])),COLUMNS($F$7:S$7))))</f>
        <v/>
      </c>
      <c r="T26" s="2223" t="str" cm="1">
        <f t="array" ref="T26">IF($D26&lt;COLUMNS($F$7:T$7),"",INDEX(TableDiv[[GASB]:[GASB]],_xlfn.AGGREGATE(15,3,(TableDiv[[Agency]:[Agency]]=$E26)/(TableDiv[[Agency]:[Agency]]=$E26)*(ROW(TableDiv[Agency])-ROW(TableDiv[[#Headers],[Agency]])),COLUMNS($F$7:T$7))))</f>
        <v/>
      </c>
      <c r="U26" s="2223" t="str" cm="1">
        <f t="array" ref="U26">IF($D26&lt;COLUMNS($F$7:U$7),"",INDEX(TableDiv[[GASB]:[GASB]],_xlfn.AGGREGATE(15,3,(TableDiv[[Agency]:[Agency]]=$E26)/(TableDiv[[Agency]:[Agency]]=$E26)*(ROW(TableDiv[Agency])-ROW(TableDiv[[#Headers],[Agency]])),COLUMNS($F$7:U$7))))</f>
        <v/>
      </c>
      <c r="V26" s="2223" t="str" cm="1">
        <f t="array" ref="V26">IF($D26&lt;COLUMNS($F$7:V$7),"",INDEX(TableDiv[[GASB]:[GASB]],_xlfn.AGGREGATE(15,3,(TableDiv[[Agency]:[Agency]]=$E26)/(TableDiv[[Agency]:[Agency]]=$E26)*(ROW(TableDiv[Agency])-ROW(TableDiv[[#Headers],[Agency]])),COLUMNS($F$7:V$7))))</f>
        <v/>
      </c>
      <c r="W26" s="2223" t="str" cm="1">
        <f t="array" ref="W26">IF($D26&lt;COLUMNS($F$7:W$7),"",INDEX(TableDiv[[GASB]:[GASB]],_xlfn.AGGREGATE(15,3,(TableDiv[[Agency]:[Agency]]=$E26)/(TableDiv[[Agency]:[Agency]]=$E26)*(ROW(TableDiv[Agency])-ROW(TableDiv[[#Headers],[Agency]])),COLUMNS($F$7:W$7))))</f>
        <v/>
      </c>
      <c r="X26" s="2223" t="str" cm="1">
        <f t="array" ref="X26">IF($D26&lt;COLUMNS($F$7:X$7),"",INDEX(TableDiv[[GASB]:[GASB]],_xlfn.AGGREGATE(15,3,(TableDiv[[Agency]:[Agency]]=$E26)/(TableDiv[[Agency]:[Agency]]=$E26)*(ROW(TableDiv[Agency])-ROW(TableDiv[[#Headers],[Agency]])),COLUMNS($F$7:X$7))))</f>
        <v/>
      </c>
      <c r="Y26" s="2223" t="str" cm="1">
        <f t="array" ref="Y26">IF($D26&lt;COLUMNS($F$7:Y$7),"",INDEX(TableDiv[[GASB]:[GASB]],_xlfn.AGGREGATE(15,3,(TableDiv[[Agency]:[Agency]]=$E26)/(TableDiv[[Agency]:[Agency]]=$E26)*(ROW(TableDiv[Agency])-ROW(TableDiv[[#Headers],[Agency]])),COLUMNS($F$7:Y$7))))</f>
        <v/>
      </c>
      <c r="Z26" s="2223" t="str" cm="1">
        <f t="array" ref="Z26">IF($D26&lt;COLUMNS($F$7:Z$7),"",INDEX(TableDiv[[GASB]:[GASB]],_xlfn.AGGREGATE(15,3,(TableDiv[[Agency]:[Agency]]=$E26)/(TableDiv[[Agency]:[Agency]]=$E26)*(ROW(TableDiv[Agency])-ROW(TableDiv[[#Headers],[Agency]])),COLUMNS($F$7:Z$7))))</f>
        <v/>
      </c>
      <c r="AA26" s="2223" t="str" cm="1">
        <f t="array" ref="AA26">IF($D26&lt;COLUMNS($F$7:AA$7),"",INDEX(TableDiv[[GASB]:[GASB]],_xlfn.AGGREGATE(15,3,(TableDiv[[Agency]:[Agency]]=$E26)/(TableDiv[[Agency]:[Agency]]=$E26)*(ROW(TableDiv[Agency])-ROW(TableDiv[[#Headers],[Agency]])),COLUMNS($F$7:AA$7))))</f>
        <v/>
      </c>
      <c r="AB26" s="2223" t="str" cm="1">
        <f t="array" ref="AB26">IF($D26&lt;COLUMNS($F$7:AB$7),"",INDEX(TableDiv[[GASB]:[GASB]],_xlfn.AGGREGATE(15,3,(TableDiv[[Agency]:[Agency]]=$E26)/(TableDiv[[Agency]:[Agency]]=$E26)*(ROW(TableDiv[Agency])-ROW(TableDiv[[#Headers],[Agency]])),COLUMNS($F$7:AB$7))))</f>
        <v/>
      </c>
      <c r="AC26" s="2223" t="str" cm="1">
        <f t="array" ref="AC26">IF($D26&lt;COLUMNS($F$7:AC$7),"",INDEX(TableDiv[[GASB]:[GASB]],_xlfn.AGGREGATE(15,3,(TableDiv[[Agency]:[Agency]]=$E26)/(TableDiv[[Agency]:[Agency]]=$E26)*(ROW(TableDiv[Agency])-ROW(TableDiv[[#Headers],[Agency]])),COLUMNS($F$7:AC$7))))</f>
        <v/>
      </c>
      <c r="AD26" s="2223" t="str" cm="1">
        <f t="array" ref="AD26">IF($D26&lt;COLUMNS($F$7:AD$7),"",INDEX(TableDiv[[GASB]:[GASB]],_xlfn.AGGREGATE(15,3,(TableDiv[[Agency]:[Agency]]=$E26)/(TableDiv[[Agency]:[Agency]]=$E26)*(ROW(TableDiv[Agency])-ROW(TableDiv[[#Headers],[Agency]])),COLUMNS($F$7:AD$7))))</f>
        <v/>
      </c>
      <c r="AE26" s="2223" t="str" cm="1">
        <f t="array" ref="AE26">IF($D26&lt;COLUMNS($F$7:AE$7),"",INDEX(TableDiv[[GASB]:[GASB]],_xlfn.AGGREGATE(15,3,(TableDiv[[Agency]:[Agency]]=$E26)/(TableDiv[[Agency]:[Agency]]=$E26)*(ROW(TableDiv[Agency])-ROW(TableDiv[[#Headers],[Agency]])),COLUMNS($F$7:AE$7))))</f>
        <v/>
      </c>
      <c r="AF26" s="2223" t="str" cm="1">
        <f t="array" ref="AF26">IF($D26&lt;COLUMNS($F$7:AF$7),"",INDEX(TableDiv[[GASB]:[GASB]],_xlfn.AGGREGATE(15,3,(TableDiv[[Agency]:[Agency]]=$E26)/(TableDiv[[Agency]:[Agency]]=$E26)*(ROW(TableDiv[Agency])-ROW(TableDiv[[#Headers],[Agency]])),COLUMNS($F$7:AF$7))))</f>
        <v/>
      </c>
      <c r="AG26" s="2223" t="str" cm="1">
        <f t="array" ref="AG26">IF($D26&lt;COLUMNS($F$7:AG$7),"",INDEX(TableDiv[[GASB]:[GASB]],_xlfn.AGGREGATE(15,3,(TableDiv[[Agency]:[Agency]]=$E26)/(TableDiv[[Agency]:[Agency]]=$E26)*(ROW(TableDiv[Agency])-ROW(TableDiv[[#Headers],[Agency]])),COLUMNS($F$7:AG$7))))</f>
        <v/>
      </c>
      <c r="AH26" s="2223" t="str" cm="1">
        <f t="array" ref="AH26">IF($D26&lt;COLUMNS($F$7:AH$7),"",INDEX(TableDiv[[GASB]:[GASB]],_xlfn.AGGREGATE(15,3,(TableDiv[[Agency]:[Agency]]=$E26)/(TableDiv[[Agency]:[Agency]]=$E26)*(ROW(TableDiv[Agency])-ROW(TableDiv[[#Headers],[Agency]])),COLUMNS($F$7:AH$7))))</f>
        <v/>
      </c>
      <c r="AI26" s="2223" t="str" cm="1">
        <f t="array" ref="AI26">IF($D26&lt;COLUMNS($F$7:AI$7),"",INDEX(TableDiv[[GASB]:[GASB]],_xlfn.AGGREGATE(15,3,(TableDiv[[Agency]:[Agency]]=$E26)/(TableDiv[[Agency]:[Agency]]=$E26)*(ROW(TableDiv[Agency])-ROW(TableDiv[[#Headers],[Agency]])),COLUMNS($F$7:AI$7))))</f>
        <v/>
      </c>
      <c r="AJ26" s="2223" t="str" cm="1">
        <f t="array" ref="AJ26">IF($D26&lt;COLUMNS($F$7:AJ$7),"",INDEX(TableDiv[[GASB]:[GASB]],_xlfn.AGGREGATE(15,3,(TableDiv[[Agency]:[Agency]]=$E26)/(TableDiv[[Agency]:[Agency]]=$E26)*(ROW(TableDiv[Agency])-ROW(TableDiv[[#Headers],[Agency]])),COLUMNS($F$7:AJ$7))))</f>
        <v/>
      </c>
      <c r="AK26" s="2223" t="str" cm="1">
        <f t="array" ref="AK26">IF($D26&lt;COLUMNS($F$7:AK$7),"",INDEX(TableDiv[[GASB]:[GASB]],_xlfn.AGGREGATE(15,3,(TableDiv[[Agency]:[Agency]]=$E26)/(TableDiv[[Agency]:[Agency]]=$E26)*(ROW(TableDiv[Agency])-ROW(TableDiv[[#Headers],[Agency]])),COLUMNS($F$7:AK$7))))</f>
        <v/>
      </c>
      <c r="AL26" s="2223" t="str" cm="1">
        <f t="array" ref="AL26">IF($D26&lt;COLUMNS($F$7:AL$7),"",INDEX(TableDiv[[GASB]:[GASB]],_xlfn.AGGREGATE(15,3,(TableDiv[[Agency]:[Agency]]=$E26)/(TableDiv[[Agency]:[Agency]]=$E26)*(ROW(TableDiv[Agency])-ROW(TableDiv[[#Headers],[Agency]])),COLUMNS($F$7:AL$7))))</f>
        <v/>
      </c>
      <c r="AM26" s="2223" t="str" cm="1">
        <f t="array" ref="AM26">IF($D26&lt;COLUMNS($F$7:AM$7),"",INDEX(TableDiv[[GASB]:[GASB]],_xlfn.AGGREGATE(15,3,(TableDiv[[Agency]:[Agency]]=$E26)/(TableDiv[[Agency]:[Agency]]=$E26)*(ROW(TableDiv[Agency])-ROW(TableDiv[[#Headers],[Agency]])),COLUMNS($F$7:AM$7))))</f>
        <v/>
      </c>
      <c r="AN26" s="2223"/>
      <c r="AO26" s="2223"/>
      <c r="AP26" s="2223"/>
      <c r="AQ26" s="2223"/>
      <c r="AR26" s="2223"/>
      <c r="AS26" s="2223"/>
    </row>
    <row r="27" spans="1:45" ht="15" x14ac:dyDescent="0.25">
      <c r="A27" s="2219" t="s">
        <v>5099</v>
      </c>
      <c r="B27" s="2219" t="s">
        <v>6365</v>
      </c>
      <c r="C27" s="2223"/>
      <c r="D27" s="2223">
        <f>COUNTIF(TableDiv[Agency],E27)</f>
        <v>4</v>
      </c>
      <c r="E27" s="2230" t="str" cm="1">
        <f t="array" ref="E27">IFERROR(INDEX(TableDiv[Agency],MATCH(0,INDEX(COUNTIF($E$7:E26,TableDiv[Agency]),),0)),"")</f>
        <v>2100</v>
      </c>
      <c r="F27" s="2223" t="str" cm="1">
        <f t="array" ref="F27">IF($D27&lt;COLUMNS($F$7:F$7),"",INDEX(TableDiv[[GASB]:[GASB]],_xlfn.AGGREGATE(15,3,(TableDiv[[Agency]:[Agency]]=$E27)/(TableDiv[[Agency]:[Agency]]=$E27)*(ROW(TableDiv[Agency])-ROW(TableDiv[[#Headers],[Agency]])),COLUMNS($F$7:F$7))))</f>
        <v>11000G</v>
      </c>
      <c r="G27" s="2223" t="str" cm="1">
        <f t="array" ref="G27">IF($D27&lt;COLUMNS($F$7:G$7),"",INDEX(TableDiv[[GASB]:[GASB]],_xlfn.AGGREGATE(15,3,(TableDiv[[Agency]:[Agency]]=$E27)/(TableDiv[[Agency]:[Agency]]=$E27)*(ROW(TableDiv[Agency])-ROW(TableDiv[[#Headers],[Agency]])),COLUMNS($F$7:G$7))))</f>
        <v>11020G</v>
      </c>
      <c r="H27" s="2223" t="str" cm="1">
        <f t="array" ref="H27">IF($D27&lt;COLUMNS($F$7:H$7),"",INDEX(TableDiv[[GASB]:[GASB]],_xlfn.AGGREGATE(15,3,(TableDiv[[Agency]:[Agency]]=$E27)/(TableDiv[[Agency]:[Agency]]=$E27)*(ROW(TableDiv[Agency])-ROW(TableDiv[[#Headers],[Agency]])),COLUMNS($F$7:H$7))))</f>
        <v>11030G</v>
      </c>
      <c r="I27" s="2223" t="str" cm="1">
        <f t="array" ref="I27">IF($D27&lt;COLUMNS($F$7:I$7),"",INDEX(TableDiv[[GASB]:[GASB]],_xlfn.AGGREGATE(15,3,(TableDiv[[Agency]:[Agency]]=$E27)/(TableDiv[[Agency]:[Agency]]=$E27)*(ROW(TableDiv[Agency])-ROW(TableDiv[[#Headers],[Agency]])),COLUMNS($F$7:I$7))))</f>
        <v>11060G</v>
      </c>
      <c r="J27" s="2223" t="str" cm="1">
        <f t="array" ref="J27">IF($D27&lt;COLUMNS($F$7:J$7),"",INDEX(TableDiv[[GASB]:[GASB]],_xlfn.AGGREGATE(15,3,(TableDiv[[Agency]:[Agency]]=$E27)/(TableDiv[[Agency]:[Agency]]=$E27)*(ROW(TableDiv[Agency])-ROW(TableDiv[[#Headers],[Agency]])),COLUMNS($F$7:J$7))))</f>
        <v/>
      </c>
      <c r="K27" s="2223" t="str" cm="1">
        <f t="array" ref="K27">IF($D27&lt;COLUMNS($F$7:K$7),"",INDEX(TableDiv[[GASB]:[GASB]],_xlfn.AGGREGATE(15,3,(TableDiv[[Agency]:[Agency]]=$E27)/(TableDiv[[Agency]:[Agency]]=$E27)*(ROW(TableDiv[Agency])-ROW(TableDiv[[#Headers],[Agency]])),COLUMNS($F$7:K$7))))</f>
        <v/>
      </c>
      <c r="L27" s="2223" t="str" cm="1">
        <f t="array" ref="L27">IF($D27&lt;COLUMNS($F$7:L$7),"",INDEX(TableDiv[[GASB]:[GASB]],_xlfn.AGGREGATE(15,3,(TableDiv[[Agency]:[Agency]]=$E27)/(TableDiv[[Agency]:[Agency]]=$E27)*(ROW(TableDiv[Agency])-ROW(TableDiv[[#Headers],[Agency]])),COLUMNS($F$7:L$7))))</f>
        <v/>
      </c>
      <c r="M27" s="2223" t="str" cm="1">
        <f t="array" ref="M27">IF($D27&lt;COLUMNS($F$7:M$7),"",INDEX(TableDiv[[GASB]:[GASB]],_xlfn.AGGREGATE(15,3,(TableDiv[[Agency]:[Agency]]=$E27)/(TableDiv[[Agency]:[Agency]]=$E27)*(ROW(TableDiv[Agency])-ROW(TableDiv[[#Headers],[Agency]])),COLUMNS($F$7:M$7))))</f>
        <v/>
      </c>
      <c r="N27" s="2223" t="str" cm="1">
        <f t="array" ref="N27">IF($D27&lt;COLUMNS($F$7:N$7),"",INDEX(TableDiv[[GASB]:[GASB]],_xlfn.AGGREGATE(15,3,(TableDiv[[Agency]:[Agency]]=$E27)/(TableDiv[[Agency]:[Agency]]=$E27)*(ROW(TableDiv[Agency])-ROW(TableDiv[[#Headers],[Agency]])),COLUMNS($F$7:N$7))))</f>
        <v/>
      </c>
      <c r="O27" s="2223" t="str" cm="1">
        <f t="array" ref="O27">IF($D27&lt;COLUMNS($F$7:O$7),"",INDEX(TableDiv[[GASB]:[GASB]],_xlfn.AGGREGATE(15,3,(TableDiv[[Agency]:[Agency]]=$E27)/(TableDiv[[Agency]:[Agency]]=$E27)*(ROW(TableDiv[Agency])-ROW(TableDiv[[#Headers],[Agency]])),COLUMNS($F$7:O$7))))</f>
        <v/>
      </c>
      <c r="P27" s="2223" t="str" cm="1">
        <f t="array" ref="P27">IF($D27&lt;COLUMNS($F$7:P$7),"",INDEX(TableDiv[[GASB]:[GASB]],_xlfn.AGGREGATE(15,3,(TableDiv[[Agency]:[Agency]]=$E27)/(TableDiv[[Agency]:[Agency]]=$E27)*(ROW(TableDiv[Agency])-ROW(TableDiv[[#Headers],[Agency]])),COLUMNS($F$7:P$7))))</f>
        <v/>
      </c>
      <c r="Q27" s="2223" t="str" cm="1">
        <f t="array" ref="Q27">IF($D27&lt;COLUMNS($F$7:Q$7),"",INDEX(TableDiv[[GASB]:[GASB]],_xlfn.AGGREGATE(15,3,(TableDiv[[Agency]:[Agency]]=$E27)/(TableDiv[[Agency]:[Agency]]=$E27)*(ROW(TableDiv[Agency])-ROW(TableDiv[[#Headers],[Agency]])),COLUMNS($F$7:Q$7))))</f>
        <v/>
      </c>
      <c r="R27" s="2223" t="str" cm="1">
        <f t="array" ref="R27">IF($D27&lt;COLUMNS($F$7:R$7),"",INDEX(TableDiv[[GASB]:[GASB]],_xlfn.AGGREGATE(15,3,(TableDiv[[Agency]:[Agency]]=$E27)/(TableDiv[[Agency]:[Agency]]=$E27)*(ROW(TableDiv[Agency])-ROW(TableDiv[[#Headers],[Agency]])),COLUMNS($F$7:R$7))))</f>
        <v/>
      </c>
      <c r="S27" s="2223" t="str" cm="1">
        <f t="array" ref="S27">IF($D27&lt;COLUMNS($F$7:S$7),"",INDEX(TableDiv[[GASB]:[GASB]],_xlfn.AGGREGATE(15,3,(TableDiv[[Agency]:[Agency]]=$E27)/(TableDiv[[Agency]:[Agency]]=$E27)*(ROW(TableDiv[Agency])-ROW(TableDiv[[#Headers],[Agency]])),COLUMNS($F$7:S$7))))</f>
        <v/>
      </c>
      <c r="T27" s="2223" t="str" cm="1">
        <f t="array" ref="T27">IF($D27&lt;COLUMNS($F$7:T$7),"",INDEX(TableDiv[[GASB]:[GASB]],_xlfn.AGGREGATE(15,3,(TableDiv[[Agency]:[Agency]]=$E27)/(TableDiv[[Agency]:[Agency]]=$E27)*(ROW(TableDiv[Agency])-ROW(TableDiv[[#Headers],[Agency]])),COLUMNS($F$7:T$7))))</f>
        <v/>
      </c>
      <c r="U27" s="2223" t="str" cm="1">
        <f t="array" ref="U27">IF($D27&lt;COLUMNS($F$7:U$7),"",INDEX(TableDiv[[GASB]:[GASB]],_xlfn.AGGREGATE(15,3,(TableDiv[[Agency]:[Agency]]=$E27)/(TableDiv[[Agency]:[Agency]]=$E27)*(ROW(TableDiv[Agency])-ROW(TableDiv[[#Headers],[Agency]])),COLUMNS($F$7:U$7))))</f>
        <v/>
      </c>
      <c r="V27" s="2223" t="str" cm="1">
        <f t="array" ref="V27">IF($D27&lt;COLUMNS($F$7:V$7),"",INDEX(TableDiv[[GASB]:[GASB]],_xlfn.AGGREGATE(15,3,(TableDiv[[Agency]:[Agency]]=$E27)/(TableDiv[[Agency]:[Agency]]=$E27)*(ROW(TableDiv[Agency])-ROW(TableDiv[[#Headers],[Agency]])),COLUMNS($F$7:V$7))))</f>
        <v/>
      </c>
      <c r="W27" s="2223" t="str" cm="1">
        <f t="array" ref="W27">IF($D27&lt;COLUMNS($F$7:W$7),"",INDEX(TableDiv[[GASB]:[GASB]],_xlfn.AGGREGATE(15,3,(TableDiv[[Agency]:[Agency]]=$E27)/(TableDiv[[Agency]:[Agency]]=$E27)*(ROW(TableDiv[Agency])-ROW(TableDiv[[#Headers],[Agency]])),COLUMNS($F$7:W$7))))</f>
        <v/>
      </c>
      <c r="X27" s="2223" t="str" cm="1">
        <f t="array" ref="X27">IF($D27&lt;COLUMNS($F$7:X$7),"",INDEX(TableDiv[[GASB]:[GASB]],_xlfn.AGGREGATE(15,3,(TableDiv[[Agency]:[Agency]]=$E27)/(TableDiv[[Agency]:[Agency]]=$E27)*(ROW(TableDiv[Agency])-ROW(TableDiv[[#Headers],[Agency]])),COLUMNS($F$7:X$7))))</f>
        <v/>
      </c>
      <c r="Y27" s="2223" t="str" cm="1">
        <f t="array" ref="Y27">IF($D27&lt;COLUMNS($F$7:Y$7),"",INDEX(TableDiv[[GASB]:[GASB]],_xlfn.AGGREGATE(15,3,(TableDiv[[Agency]:[Agency]]=$E27)/(TableDiv[[Agency]:[Agency]]=$E27)*(ROW(TableDiv[Agency])-ROW(TableDiv[[#Headers],[Agency]])),COLUMNS($F$7:Y$7))))</f>
        <v/>
      </c>
      <c r="Z27" s="2223" t="str" cm="1">
        <f t="array" ref="Z27">IF($D27&lt;COLUMNS($F$7:Z$7),"",INDEX(TableDiv[[GASB]:[GASB]],_xlfn.AGGREGATE(15,3,(TableDiv[[Agency]:[Agency]]=$E27)/(TableDiv[[Agency]:[Agency]]=$E27)*(ROW(TableDiv[Agency])-ROW(TableDiv[[#Headers],[Agency]])),COLUMNS($F$7:Z$7))))</f>
        <v/>
      </c>
      <c r="AA27" s="2223" t="str" cm="1">
        <f t="array" ref="AA27">IF($D27&lt;COLUMNS($F$7:AA$7),"",INDEX(TableDiv[[GASB]:[GASB]],_xlfn.AGGREGATE(15,3,(TableDiv[[Agency]:[Agency]]=$E27)/(TableDiv[[Agency]:[Agency]]=$E27)*(ROW(TableDiv[Agency])-ROW(TableDiv[[#Headers],[Agency]])),COLUMNS($F$7:AA$7))))</f>
        <v/>
      </c>
      <c r="AB27" s="2223" t="str" cm="1">
        <f t="array" ref="AB27">IF($D27&lt;COLUMNS($F$7:AB$7),"",INDEX(TableDiv[[GASB]:[GASB]],_xlfn.AGGREGATE(15,3,(TableDiv[[Agency]:[Agency]]=$E27)/(TableDiv[[Agency]:[Agency]]=$E27)*(ROW(TableDiv[Agency])-ROW(TableDiv[[#Headers],[Agency]])),COLUMNS($F$7:AB$7))))</f>
        <v/>
      </c>
      <c r="AC27" s="2223" t="str" cm="1">
        <f t="array" ref="AC27">IF($D27&lt;COLUMNS($F$7:AC$7),"",INDEX(TableDiv[[GASB]:[GASB]],_xlfn.AGGREGATE(15,3,(TableDiv[[Agency]:[Agency]]=$E27)/(TableDiv[[Agency]:[Agency]]=$E27)*(ROW(TableDiv[Agency])-ROW(TableDiv[[#Headers],[Agency]])),COLUMNS($F$7:AC$7))))</f>
        <v/>
      </c>
      <c r="AD27" s="2223" t="str" cm="1">
        <f t="array" ref="AD27">IF($D27&lt;COLUMNS($F$7:AD$7),"",INDEX(TableDiv[[GASB]:[GASB]],_xlfn.AGGREGATE(15,3,(TableDiv[[Agency]:[Agency]]=$E27)/(TableDiv[[Agency]:[Agency]]=$E27)*(ROW(TableDiv[Agency])-ROW(TableDiv[[#Headers],[Agency]])),COLUMNS($F$7:AD$7))))</f>
        <v/>
      </c>
      <c r="AE27" s="2223" t="str" cm="1">
        <f t="array" ref="AE27">IF($D27&lt;COLUMNS($F$7:AE$7),"",INDEX(TableDiv[[GASB]:[GASB]],_xlfn.AGGREGATE(15,3,(TableDiv[[Agency]:[Agency]]=$E27)/(TableDiv[[Agency]:[Agency]]=$E27)*(ROW(TableDiv[Agency])-ROW(TableDiv[[#Headers],[Agency]])),COLUMNS($F$7:AE$7))))</f>
        <v/>
      </c>
      <c r="AF27" s="2223" t="str" cm="1">
        <f t="array" ref="AF27">IF($D27&lt;COLUMNS($F$7:AF$7),"",INDEX(TableDiv[[GASB]:[GASB]],_xlfn.AGGREGATE(15,3,(TableDiv[[Agency]:[Agency]]=$E27)/(TableDiv[[Agency]:[Agency]]=$E27)*(ROW(TableDiv[Agency])-ROW(TableDiv[[#Headers],[Agency]])),COLUMNS($F$7:AF$7))))</f>
        <v/>
      </c>
      <c r="AG27" s="2223" t="str" cm="1">
        <f t="array" ref="AG27">IF($D27&lt;COLUMNS($F$7:AG$7),"",INDEX(TableDiv[[GASB]:[GASB]],_xlfn.AGGREGATE(15,3,(TableDiv[[Agency]:[Agency]]=$E27)/(TableDiv[[Agency]:[Agency]]=$E27)*(ROW(TableDiv[Agency])-ROW(TableDiv[[#Headers],[Agency]])),COLUMNS($F$7:AG$7))))</f>
        <v/>
      </c>
      <c r="AH27" s="2223" t="str" cm="1">
        <f t="array" ref="AH27">IF($D27&lt;COLUMNS($F$7:AH$7),"",INDEX(TableDiv[[GASB]:[GASB]],_xlfn.AGGREGATE(15,3,(TableDiv[[Agency]:[Agency]]=$E27)/(TableDiv[[Agency]:[Agency]]=$E27)*(ROW(TableDiv[Agency])-ROW(TableDiv[[#Headers],[Agency]])),COLUMNS($F$7:AH$7))))</f>
        <v/>
      </c>
      <c r="AI27" s="2223" t="str" cm="1">
        <f t="array" ref="AI27">IF($D27&lt;COLUMNS($F$7:AI$7),"",INDEX(TableDiv[[GASB]:[GASB]],_xlfn.AGGREGATE(15,3,(TableDiv[[Agency]:[Agency]]=$E27)/(TableDiv[[Agency]:[Agency]]=$E27)*(ROW(TableDiv[Agency])-ROW(TableDiv[[#Headers],[Agency]])),COLUMNS($F$7:AI$7))))</f>
        <v/>
      </c>
      <c r="AJ27" s="2223" t="str" cm="1">
        <f t="array" ref="AJ27">IF($D27&lt;COLUMNS($F$7:AJ$7),"",INDEX(TableDiv[[GASB]:[GASB]],_xlfn.AGGREGATE(15,3,(TableDiv[[Agency]:[Agency]]=$E27)/(TableDiv[[Agency]:[Agency]]=$E27)*(ROW(TableDiv[Agency])-ROW(TableDiv[[#Headers],[Agency]])),COLUMNS($F$7:AJ$7))))</f>
        <v/>
      </c>
      <c r="AK27" s="2223" t="str" cm="1">
        <f t="array" ref="AK27">IF($D27&lt;COLUMNS($F$7:AK$7),"",INDEX(TableDiv[[GASB]:[GASB]],_xlfn.AGGREGATE(15,3,(TableDiv[[Agency]:[Agency]]=$E27)/(TableDiv[[Agency]:[Agency]]=$E27)*(ROW(TableDiv[Agency])-ROW(TableDiv[[#Headers],[Agency]])),COLUMNS($F$7:AK$7))))</f>
        <v/>
      </c>
      <c r="AL27" s="2223" t="str" cm="1">
        <f t="array" ref="AL27">IF($D27&lt;COLUMNS($F$7:AL$7),"",INDEX(TableDiv[[GASB]:[GASB]],_xlfn.AGGREGATE(15,3,(TableDiv[[Agency]:[Agency]]=$E27)/(TableDiv[[Agency]:[Agency]]=$E27)*(ROW(TableDiv[Agency])-ROW(TableDiv[[#Headers],[Agency]])),COLUMNS($F$7:AL$7))))</f>
        <v/>
      </c>
      <c r="AM27" s="2223" t="str" cm="1">
        <f t="array" ref="AM27">IF($D27&lt;COLUMNS($F$7:AM$7),"",INDEX(TableDiv[[GASB]:[GASB]],_xlfn.AGGREGATE(15,3,(TableDiv[[Agency]:[Agency]]=$E27)/(TableDiv[[Agency]:[Agency]]=$E27)*(ROW(TableDiv[Agency])-ROW(TableDiv[[#Headers],[Agency]])),COLUMNS($F$7:AM$7))))</f>
        <v/>
      </c>
      <c r="AN27" s="2223"/>
      <c r="AO27" s="2223"/>
      <c r="AP27" s="2223"/>
      <c r="AQ27" s="2223"/>
      <c r="AR27" s="2223"/>
      <c r="AS27" s="2223"/>
    </row>
    <row r="28" spans="1:45" ht="15" x14ac:dyDescent="0.25">
      <c r="A28" s="2219" t="s">
        <v>5099</v>
      </c>
      <c r="B28" s="2219" t="s">
        <v>6361</v>
      </c>
      <c r="C28" s="2223"/>
      <c r="D28" s="2223">
        <f>COUNTIF(TableDiv[Agency],E28)</f>
        <v>3</v>
      </c>
      <c r="E28" s="2230" t="str" cm="1">
        <f t="array" ref="E28">IFERROR(INDEX(TableDiv[Agency],MATCH(0,INDEX(COUNTIF($E$7:E27,TableDiv[Agency]),),0)),"")</f>
        <v>2200</v>
      </c>
      <c r="F28" s="2223" t="str" cm="1">
        <f t="array" ref="F28">IF($D28&lt;COLUMNS($F$7:F$7),"",INDEX(TableDiv[[GASB]:[GASB]],_xlfn.AGGREGATE(15,3,(TableDiv[[Agency]:[Agency]]=$E28)/(TableDiv[[Agency]:[Agency]]=$E28)*(ROW(TableDiv[Agency])-ROW(TableDiv[[#Headers],[Agency]])),COLUMNS($F$7:F$7))))</f>
        <v>11000G</v>
      </c>
      <c r="G28" s="2223" t="str" cm="1">
        <f t="array" ref="G28">IF($D28&lt;COLUMNS($F$7:G$7),"",INDEX(TableDiv[[GASB]:[GASB]],_xlfn.AGGREGATE(15,3,(TableDiv[[Agency]:[Agency]]=$E28)/(TableDiv[[Agency]:[Agency]]=$E28)*(ROW(TableDiv[Agency])-ROW(TableDiv[[#Headers],[Agency]])),COLUMNS($F$7:G$7))))</f>
        <v>11020G</v>
      </c>
      <c r="H28" s="2223" t="str" cm="1">
        <f t="array" ref="H28">IF($D28&lt;COLUMNS($F$7:H$7),"",INDEX(TableDiv[[GASB]:[GASB]],_xlfn.AGGREGATE(15,3,(TableDiv[[Agency]:[Agency]]=$E28)/(TableDiv[[Agency]:[Agency]]=$E28)*(ROW(TableDiv[Agency])-ROW(TableDiv[[#Headers],[Agency]])),COLUMNS($F$7:H$7))))</f>
        <v>11060G</v>
      </c>
      <c r="I28" s="2223" t="str" cm="1">
        <f t="array" ref="I28">IF($D28&lt;COLUMNS($F$7:I$7),"",INDEX(TableDiv[[GASB]:[GASB]],_xlfn.AGGREGATE(15,3,(TableDiv[[Agency]:[Agency]]=$E28)/(TableDiv[[Agency]:[Agency]]=$E28)*(ROW(TableDiv[Agency])-ROW(TableDiv[[#Headers],[Agency]])),COLUMNS($F$7:I$7))))</f>
        <v/>
      </c>
      <c r="J28" s="2223" t="str" cm="1">
        <f t="array" ref="J28">IF($D28&lt;COLUMNS($F$7:J$7),"",INDEX(TableDiv[[GASB]:[GASB]],_xlfn.AGGREGATE(15,3,(TableDiv[[Agency]:[Agency]]=$E28)/(TableDiv[[Agency]:[Agency]]=$E28)*(ROW(TableDiv[Agency])-ROW(TableDiv[[#Headers],[Agency]])),COLUMNS($F$7:J$7))))</f>
        <v/>
      </c>
      <c r="K28" s="2223" t="str" cm="1">
        <f t="array" ref="K28">IF($D28&lt;COLUMNS($F$7:K$7),"",INDEX(TableDiv[[GASB]:[GASB]],_xlfn.AGGREGATE(15,3,(TableDiv[[Agency]:[Agency]]=$E28)/(TableDiv[[Agency]:[Agency]]=$E28)*(ROW(TableDiv[Agency])-ROW(TableDiv[[#Headers],[Agency]])),COLUMNS($F$7:K$7))))</f>
        <v/>
      </c>
      <c r="L28" s="2223" t="str" cm="1">
        <f t="array" ref="L28">IF($D28&lt;COLUMNS($F$7:L$7),"",INDEX(TableDiv[[GASB]:[GASB]],_xlfn.AGGREGATE(15,3,(TableDiv[[Agency]:[Agency]]=$E28)/(TableDiv[[Agency]:[Agency]]=$E28)*(ROW(TableDiv[Agency])-ROW(TableDiv[[#Headers],[Agency]])),COLUMNS($F$7:L$7))))</f>
        <v/>
      </c>
      <c r="M28" s="2223" t="str" cm="1">
        <f t="array" ref="M28">IF($D28&lt;COLUMNS($F$7:M$7),"",INDEX(TableDiv[[GASB]:[GASB]],_xlfn.AGGREGATE(15,3,(TableDiv[[Agency]:[Agency]]=$E28)/(TableDiv[[Agency]:[Agency]]=$E28)*(ROW(TableDiv[Agency])-ROW(TableDiv[[#Headers],[Agency]])),COLUMNS($F$7:M$7))))</f>
        <v/>
      </c>
      <c r="N28" s="2223" t="str" cm="1">
        <f t="array" ref="N28">IF($D28&lt;COLUMNS($F$7:N$7),"",INDEX(TableDiv[[GASB]:[GASB]],_xlfn.AGGREGATE(15,3,(TableDiv[[Agency]:[Agency]]=$E28)/(TableDiv[[Agency]:[Agency]]=$E28)*(ROW(TableDiv[Agency])-ROW(TableDiv[[#Headers],[Agency]])),COLUMNS($F$7:N$7))))</f>
        <v/>
      </c>
      <c r="O28" s="2223" t="str" cm="1">
        <f t="array" ref="O28">IF($D28&lt;COLUMNS($F$7:O$7),"",INDEX(TableDiv[[GASB]:[GASB]],_xlfn.AGGREGATE(15,3,(TableDiv[[Agency]:[Agency]]=$E28)/(TableDiv[[Agency]:[Agency]]=$E28)*(ROW(TableDiv[Agency])-ROW(TableDiv[[#Headers],[Agency]])),COLUMNS($F$7:O$7))))</f>
        <v/>
      </c>
      <c r="P28" s="2223" t="str" cm="1">
        <f t="array" ref="P28">IF($D28&lt;COLUMNS($F$7:P$7),"",INDEX(TableDiv[[GASB]:[GASB]],_xlfn.AGGREGATE(15,3,(TableDiv[[Agency]:[Agency]]=$E28)/(TableDiv[[Agency]:[Agency]]=$E28)*(ROW(TableDiv[Agency])-ROW(TableDiv[[#Headers],[Agency]])),COLUMNS($F$7:P$7))))</f>
        <v/>
      </c>
      <c r="Q28" s="2223" t="str" cm="1">
        <f t="array" ref="Q28">IF($D28&lt;COLUMNS($F$7:Q$7),"",INDEX(TableDiv[[GASB]:[GASB]],_xlfn.AGGREGATE(15,3,(TableDiv[[Agency]:[Agency]]=$E28)/(TableDiv[[Agency]:[Agency]]=$E28)*(ROW(TableDiv[Agency])-ROW(TableDiv[[#Headers],[Agency]])),COLUMNS($F$7:Q$7))))</f>
        <v/>
      </c>
      <c r="R28" s="2223" t="str" cm="1">
        <f t="array" ref="R28">IF($D28&lt;COLUMNS($F$7:R$7),"",INDEX(TableDiv[[GASB]:[GASB]],_xlfn.AGGREGATE(15,3,(TableDiv[[Agency]:[Agency]]=$E28)/(TableDiv[[Agency]:[Agency]]=$E28)*(ROW(TableDiv[Agency])-ROW(TableDiv[[#Headers],[Agency]])),COLUMNS($F$7:R$7))))</f>
        <v/>
      </c>
      <c r="S28" s="2223" t="str" cm="1">
        <f t="array" ref="S28">IF($D28&lt;COLUMNS($F$7:S$7),"",INDEX(TableDiv[[GASB]:[GASB]],_xlfn.AGGREGATE(15,3,(TableDiv[[Agency]:[Agency]]=$E28)/(TableDiv[[Agency]:[Agency]]=$E28)*(ROW(TableDiv[Agency])-ROW(TableDiv[[#Headers],[Agency]])),COLUMNS($F$7:S$7))))</f>
        <v/>
      </c>
      <c r="T28" s="2223" t="str" cm="1">
        <f t="array" ref="T28">IF($D28&lt;COLUMNS($F$7:T$7),"",INDEX(TableDiv[[GASB]:[GASB]],_xlfn.AGGREGATE(15,3,(TableDiv[[Agency]:[Agency]]=$E28)/(TableDiv[[Agency]:[Agency]]=$E28)*(ROW(TableDiv[Agency])-ROW(TableDiv[[#Headers],[Agency]])),COLUMNS($F$7:T$7))))</f>
        <v/>
      </c>
      <c r="U28" s="2223" t="str" cm="1">
        <f t="array" ref="U28">IF($D28&lt;COLUMNS($F$7:U$7),"",INDEX(TableDiv[[GASB]:[GASB]],_xlfn.AGGREGATE(15,3,(TableDiv[[Agency]:[Agency]]=$E28)/(TableDiv[[Agency]:[Agency]]=$E28)*(ROW(TableDiv[Agency])-ROW(TableDiv[[#Headers],[Agency]])),COLUMNS($F$7:U$7))))</f>
        <v/>
      </c>
      <c r="V28" s="2223" t="str" cm="1">
        <f t="array" ref="V28">IF($D28&lt;COLUMNS($F$7:V$7),"",INDEX(TableDiv[[GASB]:[GASB]],_xlfn.AGGREGATE(15,3,(TableDiv[[Agency]:[Agency]]=$E28)/(TableDiv[[Agency]:[Agency]]=$E28)*(ROW(TableDiv[Agency])-ROW(TableDiv[[#Headers],[Agency]])),COLUMNS($F$7:V$7))))</f>
        <v/>
      </c>
      <c r="W28" s="2223" t="str" cm="1">
        <f t="array" ref="W28">IF($D28&lt;COLUMNS($F$7:W$7),"",INDEX(TableDiv[[GASB]:[GASB]],_xlfn.AGGREGATE(15,3,(TableDiv[[Agency]:[Agency]]=$E28)/(TableDiv[[Agency]:[Agency]]=$E28)*(ROW(TableDiv[Agency])-ROW(TableDiv[[#Headers],[Agency]])),COLUMNS($F$7:W$7))))</f>
        <v/>
      </c>
      <c r="X28" s="2223" t="str" cm="1">
        <f t="array" ref="X28">IF($D28&lt;COLUMNS($F$7:X$7),"",INDEX(TableDiv[[GASB]:[GASB]],_xlfn.AGGREGATE(15,3,(TableDiv[[Agency]:[Agency]]=$E28)/(TableDiv[[Agency]:[Agency]]=$E28)*(ROW(TableDiv[Agency])-ROW(TableDiv[[#Headers],[Agency]])),COLUMNS($F$7:X$7))))</f>
        <v/>
      </c>
      <c r="Y28" s="2223" t="str" cm="1">
        <f t="array" ref="Y28">IF($D28&lt;COLUMNS($F$7:Y$7),"",INDEX(TableDiv[[GASB]:[GASB]],_xlfn.AGGREGATE(15,3,(TableDiv[[Agency]:[Agency]]=$E28)/(TableDiv[[Agency]:[Agency]]=$E28)*(ROW(TableDiv[Agency])-ROW(TableDiv[[#Headers],[Agency]])),COLUMNS($F$7:Y$7))))</f>
        <v/>
      </c>
      <c r="Z28" s="2223" t="str" cm="1">
        <f t="array" ref="Z28">IF($D28&lt;COLUMNS($F$7:Z$7),"",INDEX(TableDiv[[GASB]:[GASB]],_xlfn.AGGREGATE(15,3,(TableDiv[[Agency]:[Agency]]=$E28)/(TableDiv[[Agency]:[Agency]]=$E28)*(ROW(TableDiv[Agency])-ROW(TableDiv[[#Headers],[Agency]])),COLUMNS($F$7:Z$7))))</f>
        <v/>
      </c>
      <c r="AA28" s="2223" t="str" cm="1">
        <f t="array" ref="AA28">IF($D28&lt;COLUMNS($F$7:AA$7),"",INDEX(TableDiv[[GASB]:[GASB]],_xlfn.AGGREGATE(15,3,(TableDiv[[Agency]:[Agency]]=$E28)/(TableDiv[[Agency]:[Agency]]=$E28)*(ROW(TableDiv[Agency])-ROW(TableDiv[[#Headers],[Agency]])),COLUMNS($F$7:AA$7))))</f>
        <v/>
      </c>
      <c r="AB28" s="2223" t="str" cm="1">
        <f t="array" ref="AB28">IF($D28&lt;COLUMNS($F$7:AB$7),"",INDEX(TableDiv[[GASB]:[GASB]],_xlfn.AGGREGATE(15,3,(TableDiv[[Agency]:[Agency]]=$E28)/(TableDiv[[Agency]:[Agency]]=$E28)*(ROW(TableDiv[Agency])-ROW(TableDiv[[#Headers],[Agency]])),COLUMNS($F$7:AB$7))))</f>
        <v/>
      </c>
      <c r="AC28" s="2223" t="str" cm="1">
        <f t="array" ref="AC28">IF($D28&lt;COLUMNS($F$7:AC$7),"",INDEX(TableDiv[[GASB]:[GASB]],_xlfn.AGGREGATE(15,3,(TableDiv[[Agency]:[Agency]]=$E28)/(TableDiv[[Agency]:[Agency]]=$E28)*(ROW(TableDiv[Agency])-ROW(TableDiv[[#Headers],[Agency]])),COLUMNS($F$7:AC$7))))</f>
        <v/>
      </c>
      <c r="AD28" s="2223" t="str" cm="1">
        <f t="array" ref="AD28">IF($D28&lt;COLUMNS($F$7:AD$7),"",INDEX(TableDiv[[GASB]:[GASB]],_xlfn.AGGREGATE(15,3,(TableDiv[[Agency]:[Agency]]=$E28)/(TableDiv[[Agency]:[Agency]]=$E28)*(ROW(TableDiv[Agency])-ROW(TableDiv[[#Headers],[Agency]])),COLUMNS($F$7:AD$7))))</f>
        <v/>
      </c>
      <c r="AE28" s="2223" t="str" cm="1">
        <f t="array" ref="AE28">IF($D28&lt;COLUMNS($F$7:AE$7),"",INDEX(TableDiv[[GASB]:[GASB]],_xlfn.AGGREGATE(15,3,(TableDiv[[Agency]:[Agency]]=$E28)/(TableDiv[[Agency]:[Agency]]=$E28)*(ROW(TableDiv[Agency])-ROW(TableDiv[[#Headers],[Agency]])),COLUMNS($F$7:AE$7))))</f>
        <v/>
      </c>
      <c r="AF28" s="2223" t="str" cm="1">
        <f t="array" ref="AF28">IF($D28&lt;COLUMNS($F$7:AF$7),"",INDEX(TableDiv[[GASB]:[GASB]],_xlfn.AGGREGATE(15,3,(TableDiv[[Agency]:[Agency]]=$E28)/(TableDiv[[Agency]:[Agency]]=$E28)*(ROW(TableDiv[Agency])-ROW(TableDiv[[#Headers],[Agency]])),COLUMNS($F$7:AF$7))))</f>
        <v/>
      </c>
      <c r="AG28" s="2223" t="str" cm="1">
        <f t="array" ref="AG28">IF($D28&lt;COLUMNS($F$7:AG$7),"",INDEX(TableDiv[[GASB]:[GASB]],_xlfn.AGGREGATE(15,3,(TableDiv[[Agency]:[Agency]]=$E28)/(TableDiv[[Agency]:[Agency]]=$E28)*(ROW(TableDiv[Agency])-ROW(TableDiv[[#Headers],[Agency]])),COLUMNS($F$7:AG$7))))</f>
        <v/>
      </c>
      <c r="AH28" s="2223" t="str" cm="1">
        <f t="array" ref="AH28">IF($D28&lt;COLUMNS($F$7:AH$7),"",INDEX(TableDiv[[GASB]:[GASB]],_xlfn.AGGREGATE(15,3,(TableDiv[[Agency]:[Agency]]=$E28)/(TableDiv[[Agency]:[Agency]]=$E28)*(ROW(TableDiv[Agency])-ROW(TableDiv[[#Headers],[Agency]])),COLUMNS($F$7:AH$7))))</f>
        <v/>
      </c>
      <c r="AI28" s="2223" t="str" cm="1">
        <f t="array" ref="AI28">IF($D28&lt;COLUMNS($F$7:AI$7),"",INDEX(TableDiv[[GASB]:[GASB]],_xlfn.AGGREGATE(15,3,(TableDiv[[Agency]:[Agency]]=$E28)/(TableDiv[[Agency]:[Agency]]=$E28)*(ROW(TableDiv[Agency])-ROW(TableDiv[[#Headers],[Agency]])),COLUMNS($F$7:AI$7))))</f>
        <v/>
      </c>
      <c r="AJ28" s="2223" t="str" cm="1">
        <f t="array" ref="AJ28">IF($D28&lt;COLUMNS($F$7:AJ$7),"",INDEX(TableDiv[[GASB]:[GASB]],_xlfn.AGGREGATE(15,3,(TableDiv[[Agency]:[Agency]]=$E28)/(TableDiv[[Agency]:[Agency]]=$E28)*(ROW(TableDiv[Agency])-ROW(TableDiv[[#Headers],[Agency]])),COLUMNS($F$7:AJ$7))))</f>
        <v/>
      </c>
      <c r="AK28" s="2223" t="str" cm="1">
        <f t="array" ref="AK28">IF($D28&lt;COLUMNS($F$7:AK$7),"",INDEX(TableDiv[[GASB]:[GASB]],_xlfn.AGGREGATE(15,3,(TableDiv[[Agency]:[Agency]]=$E28)/(TableDiv[[Agency]:[Agency]]=$E28)*(ROW(TableDiv[Agency])-ROW(TableDiv[[#Headers],[Agency]])),COLUMNS($F$7:AK$7))))</f>
        <v/>
      </c>
      <c r="AL28" s="2223" t="str" cm="1">
        <f t="array" ref="AL28">IF($D28&lt;COLUMNS($F$7:AL$7),"",INDEX(TableDiv[[GASB]:[GASB]],_xlfn.AGGREGATE(15,3,(TableDiv[[Agency]:[Agency]]=$E28)/(TableDiv[[Agency]:[Agency]]=$E28)*(ROW(TableDiv[Agency])-ROW(TableDiv[[#Headers],[Agency]])),COLUMNS($F$7:AL$7))))</f>
        <v/>
      </c>
      <c r="AM28" s="2223" t="str" cm="1">
        <f t="array" ref="AM28">IF($D28&lt;COLUMNS($F$7:AM$7),"",INDEX(TableDiv[[GASB]:[GASB]],_xlfn.AGGREGATE(15,3,(TableDiv[[Agency]:[Agency]]=$E28)/(TableDiv[[Agency]:[Agency]]=$E28)*(ROW(TableDiv[Agency])-ROW(TableDiv[[#Headers],[Agency]])),COLUMNS($F$7:AM$7))))</f>
        <v/>
      </c>
      <c r="AN28" s="2223"/>
      <c r="AO28" s="2223"/>
      <c r="AP28" s="2223"/>
      <c r="AQ28" s="2223"/>
      <c r="AR28" s="2223"/>
      <c r="AS28" s="2223"/>
    </row>
    <row r="29" spans="1:45" ht="15" x14ac:dyDescent="0.25">
      <c r="A29" s="2219" t="s">
        <v>5100</v>
      </c>
      <c r="B29" s="2219" t="s">
        <v>6357</v>
      </c>
      <c r="C29" s="2223"/>
      <c r="D29" s="2223">
        <f>COUNTIF(TableDiv[Agency],E29)</f>
        <v>3</v>
      </c>
      <c r="E29" s="2230" t="str" cm="1">
        <f t="array" ref="E29">IFERROR(INDEX(TableDiv[Agency],MATCH(0,INDEX(COUNTIF($E$7:E28,TableDiv[Agency]),),0)),"")</f>
        <v>2300</v>
      </c>
      <c r="F29" s="2223" t="str" cm="1">
        <f t="array" ref="F29">IF($D29&lt;COLUMNS($F$7:F$7),"",INDEX(TableDiv[[GASB]:[GASB]],_xlfn.AGGREGATE(15,3,(TableDiv[[Agency]:[Agency]]=$E29)/(TableDiv[[Agency]:[Agency]]=$E29)*(ROW(TableDiv[Agency])-ROW(TableDiv[[#Headers],[Agency]])),COLUMNS($F$7:F$7))))</f>
        <v>11000G</v>
      </c>
      <c r="G29" s="2223" t="str" cm="1">
        <f t="array" ref="G29">IF($D29&lt;COLUMNS($F$7:G$7),"",INDEX(TableDiv[[GASB]:[GASB]],_xlfn.AGGREGATE(15,3,(TableDiv[[Agency]:[Agency]]=$E29)/(TableDiv[[Agency]:[Agency]]=$E29)*(ROW(TableDiv[Agency])-ROW(TableDiv[[#Headers],[Agency]])),COLUMNS($F$7:G$7))))</f>
        <v>12000G</v>
      </c>
      <c r="H29" s="2223" t="str" cm="1">
        <f t="array" ref="H29">IF($D29&lt;COLUMNS($F$7:H$7),"",INDEX(TableDiv[[GASB]:[GASB]],_xlfn.AGGREGATE(15,3,(TableDiv[[Agency]:[Agency]]=$E29)/(TableDiv[[Agency]:[Agency]]=$E29)*(ROW(TableDiv[Agency])-ROW(TableDiv[[#Headers],[Agency]])),COLUMNS($F$7:H$7))))</f>
        <v>14000G</v>
      </c>
      <c r="I29" s="2223" t="str" cm="1">
        <f t="array" ref="I29">IF($D29&lt;COLUMNS($F$7:I$7),"",INDEX(TableDiv[[GASB]:[GASB]],_xlfn.AGGREGATE(15,3,(TableDiv[[Agency]:[Agency]]=$E29)/(TableDiv[[Agency]:[Agency]]=$E29)*(ROW(TableDiv[Agency])-ROW(TableDiv[[#Headers],[Agency]])),COLUMNS($F$7:I$7))))</f>
        <v/>
      </c>
      <c r="J29" s="2223" t="str" cm="1">
        <f t="array" ref="J29">IF($D29&lt;COLUMNS($F$7:J$7),"",INDEX(TableDiv[[GASB]:[GASB]],_xlfn.AGGREGATE(15,3,(TableDiv[[Agency]:[Agency]]=$E29)/(TableDiv[[Agency]:[Agency]]=$E29)*(ROW(TableDiv[Agency])-ROW(TableDiv[[#Headers],[Agency]])),COLUMNS($F$7:J$7))))</f>
        <v/>
      </c>
      <c r="K29" s="2223" t="str" cm="1">
        <f t="array" ref="K29">IF($D29&lt;COLUMNS($F$7:K$7),"",INDEX(TableDiv[[GASB]:[GASB]],_xlfn.AGGREGATE(15,3,(TableDiv[[Agency]:[Agency]]=$E29)/(TableDiv[[Agency]:[Agency]]=$E29)*(ROW(TableDiv[Agency])-ROW(TableDiv[[#Headers],[Agency]])),COLUMNS($F$7:K$7))))</f>
        <v/>
      </c>
      <c r="L29" s="2223" t="str" cm="1">
        <f t="array" ref="L29">IF($D29&lt;COLUMNS($F$7:L$7),"",INDEX(TableDiv[[GASB]:[GASB]],_xlfn.AGGREGATE(15,3,(TableDiv[[Agency]:[Agency]]=$E29)/(TableDiv[[Agency]:[Agency]]=$E29)*(ROW(TableDiv[Agency])-ROW(TableDiv[[#Headers],[Agency]])),COLUMNS($F$7:L$7))))</f>
        <v/>
      </c>
      <c r="M29" s="2223" t="str" cm="1">
        <f t="array" ref="M29">IF($D29&lt;COLUMNS($F$7:M$7),"",INDEX(TableDiv[[GASB]:[GASB]],_xlfn.AGGREGATE(15,3,(TableDiv[[Agency]:[Agency]]=$E29)/(TableDiv[[Agency]:[Agency]]=$E29)*(ROW(TableDiv[Agency])-ROW(TableDiv[[#Headers],[Agency]])),COLUMNS($F$7:M$7))))</f>
        <v/>
      </c>
      <c r="N29" s="2223" t="str" cm="1">
        <f t="array" ref="N29">IF($D29&lt;COLUMNS($F$7:N$7),"",INDEX(TableDiv[[GASB]:[GASB]],_xlfn.AGGREGATE(15,3,(TableDiv[[Agency]:[Agency]]=$E29)/(TableDiv[[Agency]:[Agency]]=$E29)*(ROW(TableDiv[Agency])-ROW(TableDiv[[#Headers],[Agency]])),COLUMNS($F$7:N$7))))</f>
        <v/>
      </c>
      <c r="O29" s="2223" t="str" cm="1">
        <f t="array" ref="O29">IF($D29&lt;COLUMNS($F$7:O$7),"",INDEX(TableDiv[[GASB]:[GASB]],_xlfn.AGGREGATE(15,3,(TableDiv[[Agency]:[Agency]]=$E29)/(TableDiv[[Agency]:[Agency]]=$E29)*(ROW(TableDiv[Agency])-ROW(TableDiv[[#Headers],[Agency]])),COLUMNS($F$7:O$7))))</f>
        <v/>
      </c>
      <c r="P29" s="2223" t="str" cm="1">
        <f t="array" ref="P29">IF($D29&lt;COLUMNS($F$7:P$7),"",INDEX(TableDiv[[GASB]:[GASB]],_xlfn.AGGREGATE(15,3,(TableDiv[[Agency]:[Agency]]=$E29)/(TableDiv[[Agency]:[Agency]]=$E29)*(ROW(TableDiv[Agency])-ROW(TableDiv[[#Headers],[Agency]])),COLUMNS($F$7:P$7))))</f>
        <v/>
      </c>
      <c r="Q29" s="2223" t="str" cm="1">
        <f t="array" ref="Q29">IF($D29&lt;COLUMNS($F$7:Q$7),"",INDEX(TableDiv[[GASB]:[GASB]],_xlfn.AGGREGATE(15,3,(TableDiv[[Agency]:[Agency]]=$E29)/(TableDiv[[Agency]:[Agency]]=$E29)*(ROW(TableDiv[Agency])-ROW(TableDiv[[#Headers],[Agency]])),COLUMNS($F$7:Q$7))))</f>
        <v/>
      </c>
      <c r="R29" s="2223" t="str" cm="1">
        <f t="array" ref="R29">IF($D29&lt;COLUMNS($F$7:R$7),"",INDEX(TableDiv[[GASB]:[GASB]],_xlfn.AGGREGATE(15,3,(TableDiv[[Agency]:[Agency]]=$E29)/(TableDiv[[Agency]:[Agency]]=$E29)*(ROW(TableDiv[Agency])-ROW(TableDiv[[#Headers],[Agency]])),COLUMNS($F$7:R$7))))</f>
        <v/>
      </c>
      <c r="S29" s="2223" t="str" cm="1">
        <f t="array" ref="S29">IF($D29&lt;COLUMNS($F$7:S$7),"",INDEX(TableDiv[[GASB]:[GASB]],_xlfn.AGGREGATE(15,3,(TableDiv[[Agency]:[Agency]]=$E29)/(TableDiv[[Agency]:[Agency]]=$E29)*(ROW(TableDiv[Agency])-ROW(TableDiv[[#Headers],[Agency]])),COLUMNS($F$7:S$7))))</f>
        <v/>
      </c>
      <c r="T29" s="2223" t="str" cm="1">
        <f t="array" ref="T29">IF($D29&lt;COLUMNS($F$7:T$7),"",INDEX(TableDiv[[GASB]:[GASB]],_xlfn.AGGREGATE(15,3,(TableDiv[[Agency]:[Agency]]=$E29)/(TableDiv[[Agency]:[Agency]]=$E29)*(ROW(TableDiv[Agency])-ROW(TableDiv[[#Headers],[Agency]])),COLUMNS($F$7:T$7))))</f>
        <v/>
      </c>
      <c r="U29" s="2223" t="str" cm="1">
        <f t="array" ref="U29">IF($D29&lt;COLUMNS($F$7:U$7),"",INDEX(TableDiv[[GASB]:[GASB]],_xlfn.AGGREGATE(15,3,(TableDiv[[Agency]:[Agency]]=$E29)/(TableDiv[[Agency]:[Agency]]=$E29)*(ROW(TableDiv[Agency])-ROW(TableDiv[[#Headers],[Agency]])),COLUMNS($F$7:U$7))))</f>
        <v/>
      </c>
      <c r="V29" s="2223" t="str" cm="1">
        <f t="array" ref="V29">IF($D29&lt;COLUMNS($F$7:V$7),"",INDEX(TableDiv[[GASB]:[GASB]],_xlfn.AGGREGATE(15,3,(TableDiv[[Agency]:[Agency]]=$E29)/(TableDiv[[Agency]:[Agency]]=$E29)*(ROW(TableDiv[Agency])-ROW(TableDiv[[#Headers],[Agency]])),COLUMNS($F$7:V$7))))</f>
        <v/>
      </c>
      <c r="W29" s="2223" t="str" cm="1">
        <f t="array" ref="W29">IF($D29&lt;COLUMNS($F$7:W$7),"",INDEX(TableDiv[[GASB]:[GASB]],_xlfn.AGGREGATE(15,3,(TableDiv[[Agency]:[Agency]]=$E29)/(TableDiv[[Agency]:[Agency]]=$E29)*(ROW(TableDiv[Agency])-ROW(TableDiv[[#Headers],[Agency]])),COLUMNS($F$7:W$7))))</f>
        <v/>
      </c>
      <c r="X29" s="2223" t="str" cm="1">
        <f t="array" ref="X29">IF($D29&lt;COLUMNS($F$7:X$7),"",INDEX(TableDiv[[GASB]:[GASB]],_xlfn.AGGREGATE(15,3,(TableDiv[[Agency]:[Agency]]=$E29)/(TableDiv[[Agency]:[Agency]]=$E29)*(ROW(TableDiv[Agency])-ROW(TableDiv[[#Headers],[Agency]])),COLUMNS($F$7:X$7))))</f>
        <v/>
      </c>
      <c r="Y29" s="2223" t="str" cm="1">
        <f t="array" ref="Y29">IF($D29&lt;COLUMNS($F$7:Y$7),"",INDEX(TableDiv[[GASB]:[GASB]],_xlfn.AGGREGATE(15,3,(TableDiv[[Agency]:[Agency]]=$E29)/(TableDiv[[Agency]:[Agency]]=$E29)*(ROW(TableDiv[Agency])-ROW(TableDiv[[#Headers],[Agency]])),COLUMNS($F$7:Y$7))))</f>
        <v/>
      </c>
      <c r="Z29" s="2223" t="str" cm="1">
        <f t="array" ref="Z29">IF($D29&lt;COLUMNS($F$7:Z$7),"",INDEX(TableDiv[[GASB]:[GASB]],_xlfn.AGGREGATE(15,3,(TableDiv[[Agency]:[Agency]]=$E29)/(TableDiv[[Agency]:[Agency]]=$E29)*(ROW(TableDiv[Agency])-ROW(TableDiv[[#Headers],[Agency]])),COLUMNS($F$7:Z$7))))</f>
        <v/>
      </c>
      <c r="AA29" s="2223" t="str" cm="1">
        <f t="array" ref="AA29">IF($D29&lt;COLUMNS($F$7:AA$7),"",INDEX(TableDiv[[GASB]:[GASB]],_xlfn.AGGREGATE(15,3,(TableDiv[[Agency]:[Agency]]=$E29)/(TableDiv[[Agency]:[Agency]]=$E29)*(ROW(TableDiv[Agency])-ROW(TableDiv[[#Headers],[Agency]])),COLUMNS($F$7:AA$7))))</f>
        <v/>
      </c>
      <c r="AB29" s="2223" t="str" cm="1">
        <f t="array" ref="AB29">IF($D29&lt;COLUMNS($F$7:AB$7),"",INDEX(TableDiv[[GASB]:[GASB]],_xlfn.AGGREGATE(15,3,(TableDiv[[Agency]:[Agency]]=$E29)/(TableDiv[[Agency]:[Agency]]=$E29)*(ROW(TableDiv[Agency])-ROW(TableDiv[[#Headers],[Agency]])),COLUMNS($F$7:AB$7))))</f>
        <v/>
      </c>
      <c r="AC29" s="2223" t="str" cm="1">
        <f t="array" ref="AC29">IF($D29&lt;COLUMNS($F$7:AC$7),"",INDEX(TableDiv[[GASB]:[GASB]],_xlfn.AGGREGATE(15,3,(TableDiv[[Agency]:[Agency]]=$E29)/(TableDiv[[Agency]:[Agency]]=$E29)*(ROW(TableDiv[Agency])-ROW(TableDiv[[#Headers],[Agency]])),COLUMNS($F$7:AC$7))))</f>
        <v/>
      </c>
      <c r="AD29" s="2223" t="str" cm="1">
        <f t="array" ref="AD29">IF($D29&lt;COLUMNS($F$7:AD$7),"",INDEX(TableDiv[[GASB]:[GASB]],_xlfn.AGGREGATE(15,3,(TableDiv[[Agency]:[Agency]]=$E29)/(TableDiv[[Agency]:[Agency]]=$E29)*(ROW(TableDiv[Agency])-ROW(TableDiv[[#Headers],[Agency]])),COLUMNS($F$7:AD$7))))</f>
        <v/>
      </c>
      <c r="AE29" s="2223" t="str" cm="1">
        <f t="array" ref="AE29">IF($D29&lt;COLUMNS($F$7:AE$7),"",INDEX(TableDiv[[GASB]:[GASB]],_xlfn.AGGREGATE(15,3,(TableDiv[[Agency]:[Agency]]=$E29)/(TableDiv[[Agency]:[Agency]]=$E29)*(ROW(TableDiv[Agency])-ROW(TableDiv[[#Headers],[Agency]])),COLUMNS($F$7:AE$7))))</f>
        <v/>
      </c>
      <c r="AF29" s="2223" t="str" cm="1">
        <f t="array" ref="AF29">IF($D29&lt;COLUMNS($F$7:AF$7),"",INDEX(TableDiv[[GASB]:[GASB]],_xlfn.AGGREGATE(15,3,(TableDiv[[Agency]:[Agency]]=$E29)/(TableDiv[[Agency]:[Agency]]=$E29)*(ROW(TableDiv[Agency])-ROW(TableDiv[[#Headers],[Agency]])),COLUMNS($F$7:AF$7))))</f>
        <v/>
      </c>
      <c r="AG29" s="2223" t="str" cm="1">
        <f t="array" ref="AG29">IF($D29&lt;COLUMNS($F$7:AG$7),"",INDEX(TableDiv[[GASB]:[GASB]],_xlfn.AGGREGATE(15,3,(TableDiv[[Agency]:[Agency]]=$E29)/(TableDiv[[Agency]:[Agency]]=$E29)*(ROW(TableDiv[Agency])-ROW(TableDiv[[#Headers],[Agency]])),COLUMNS($F$7:AG$7))))</f>
        <v/>
      </c>
      <c r="AH29" s="2223" t="str" cm="1">
        <f t="array" ref="AH29">IF($D29&lt;COLUMNS($F$7:AH$7),"",INDEX(TableDiv[[GASB]:[GASB]],_xlfn.AGGREGATE(15,3,(TableDiv[[Agency]:[Agency]]=$E29)/(TableDiv[[Agency]:[Agency]]=$E29)*(ROW(TableDiv[Agency])-ROW(TableDiv[[#Headers],[Agency]])),COLUMNS($F$7:AH$7))))</f>
        <v/>
      </c>
      <c r="AI29" s="2223" t="str" cm="1">
        <f t="array" ref="AI29">IF($D29&lt;COLUMNS($F$7:AI$7),"",INDEX(TableDiv[[GASB]:[GASB]],_xlfn.AGGREGATE(15,3,(TableDiv[[Agency]:[Agency]]=$E29)/(TableDiv[[Agency]:[Agency]]=$E29)*(ROW(TableDiv[Agency])-ROW(TableDiv[[#Headers],[Agency]])),COLUMNS($F$7:AI$7))))</f>
        <v/>
      </c>
      <c r="AJ29" s="2223" t="str" cm="1">
        <f t="array" ref="AJ29">IF($D29&lt;COLUMNS($F$7:AJ$7),"",INDEX(TableDiv[[GASB]:[GASB]],_xlfn.AGGREGATE(15,3,(TableDiv[[Agency]:[Agency]]=$E29)/(TableDiv[[Agency]:[Agency]]=$E29)*(ROW(TableDiv[Agency])-ROW(TableDiv[[#Headers],[Agency]])),COLUMNS($F$7:AJ$7))))</f>
        <v/>
      </c>
      <c r="AK29" s="2223" t="str" cm="1">
        <f t="array" ref="AK29">IF($D29&lt;COLUMNS($F$7:AK$7),"",INDEX(TableDiv[[GASB]:[GASB]],_xlfn.AGGREGATE(15,3,(TableDiv[[Agency]:[Agency]]=$E29)/(TableDiv[[Agency]:[Agency]]=$E29)*(ROW(TableDiv[Agency])-ROW(TableDiv[[#Headers],[Agency]])),COLUMNS($F$7:AK$7))))</f>
        <v/>
      </c>
      <c r="AL29" s="2223" t="str" cm="1">
        <f t="array" ref="AL29">IF($D29&lt;COLUMNS($F$7:AL$7),"",INDEX(TableDiv[[GASB]:[GASB]],_xlfn.AGGREGATE(15,3,(TableDiv[[Agency]:[Agency]]=$E29)/(TableDiv[[Agency]:[Agency]]=$E29)*(ROW(TableDiv[Agency])-ROW(TableDiv[[#Headers],[Agency]])),COLUMNS($F$7:AL$7))))</f>
        <v/>
      </c>
      <c r="AM29" s="2223" t="str" cm="1">
        <f t="array" ref="AM29">IF($D29&lt;COLUMNS($F$7:AM$7),"",INDEX(TableDiv[[GASB]:[GASB]],_xlfn.AGGREGATE(15,3,(TableDiv[[Agency]:[Agency]]=$E29)/(TableDiv[[Agency]:[Agency]]=$E29)*(ROW(TableDiv[Agency])-ROW(TableDiv[[#Headers],[Agency]])),COLUMNS($F$7:AM$7))))</f>
        <v/>
      </c>
      <c r="AN29" s="2223"/>
      <c r="AO29" s="2223"/>
      <c r="AP29" s="2223"/>
      <c r="AQ29" s="2223"/>
      <c r="AR29" s="2223"/>
      <c r="AS29" s="2223"/>
    </row>
    <row r="30" spans="1:45" ht="15" x14ac:dyDescent="0.25">
      <c r="A30" s="2219" t="s">
        <v>5100</v>
      </c>
      <c r="B30" s="2219" t="s">
        <v>1878</v>
      </c>
      <c r="C30" s="2223"/>
      <c r="D30" s="2223">
        <f>COUNTIF(TableDiv[Agency],E30)</f>
        <v>4</v>
      </c>
      <c r="E30" s="2230" t="str" cm="1">
        <f t="array" ref="E30">IFERROR(INDEX(TableDiv[Agency],MATCH(0,INDEX(COUNTIF($E$7:E29,TableDiv[Agency]),),0)),"")</f>
        <v>2400</v>
      </c>
      <c r="F30" s="2223" t="str" cm="1">
        <f t="array" ref="F30">IF($D30&lt;COLUMNS($F$7:F$7),"",INDEX(TableDiv[[GASB]:[GASB]],_xlfn.AGGREGATE(15,3,(TableDiv[[Agency]:[Agency]]=$E30)/(TableDiv[[Agency]:[Agency]]=$E30)*(ROW(TableDiv[Agency])-ROW(TableDiv[[#Headers],[Agency]])),COLUMNS($F$7:F$7))))</f>
        <v>11000G</v>
      </c>
      <c r="G30" s="2223" t="str" cm="1">
        <f t="array" ref="G30">IF($D30&lt;COLUMNS($F$7:G$7),"",INDEX(TableDiv[[GASB]:[GASB]],_xlfn.AGGREGATE(15,3,(TableDiv[[Agency]:[Agency]]=$E30)/(TableDiv[[Agency]:[Agency]]=$E30)*(ROW(TableDiv[Agency])-ROW(TableDiv[[#Headers],[Agency]])),COLUMNS($F$7:G$7))))</f>
        <v>11020G</v>
      </c>
      <c r="H30" s="2223" t="str" cm="1">
        <f t="array" ref="H30">IF($D30&lt;COLUMNS($F$7:H$7),"",INDEX(TableDiv[[GASB]:[GASB]],_xlfn.AGGREGATE(15,3,(TableDiv[[Agency]:[Agency]]=$E30)/(TableDiv[[Agency]:[Agency]]=$E30)*(ROW(TableDiv[Agency])-ROW(TableDiv[[#Headers],[Agency]])),COLUMNS($F$7:H$7))))</f>
        <v>11060G</v>
      </c>
      <c r="I30" s="2223" t="str" cm="1">
        <f t="array" ref="I30">IF($D30&lt;COLUMNS($F$7:I$7),"",INDEX(TableDiv[[GASB]:[GASB]],_xlfn.AGGREGATE(15,3,(TableDiv[[Agency]:[Agency]]=$E30)/(TableDiv[[Agency]:[Agency]]=$E30)*(ROW(TableDiv[Agency])-ROW(TableDiv[[#Headers],[Agency]])),COLUMNS($F$7:I$7))))</f>
        <v>39000G</v>
      </c>
      <c r="J30" s="2223" t="str" cm="1">
        <f t="array" ref="J30">IF($D30&lt;COLUMNS($F$7:J$7),"",INDEX(TableDiv[[GASB]:[GASB]],_xlfn.AGGREGATE(15,3,(TableDiv[[Agency]:[Agency]]=$E30)/(TableDiv[[Agency]:[Agency]]=$E30)*(ROW(TableDiv[Agency])-ROW(TableDiv[[#Headers],[Agency]])),COLUMNS($F$7:J$7))))</f>
        <v/>
      </c>
      <c r="K30" s="2223" t="str" cm="1">
        <f t="array" ref="K30">IF($D30&lt;COLUMNS($F$7:K$7),"",INDEX(TableDiv[[GASB]:[GASB]],_xlfn.AGGREGATE(15,3,(TableDiv[[Agency]:[Agency]]=$E30)/(TableDiv[[Agency]:[Agency]]=$E30)*(ROW(TableDiv[Agency])-ROW(TableDiv[[#Headers],[Agency]])),COLUMNS($F$7:K$7))))</f>
        <v/>
      </c>
      <c r="L30" s="2223" t="str" cm="1">
        <f t="array" ref="L30">IF($D30&lt;COLUMNS($F$7:L$7),"",INDEX(TableDiv[[GASB]:[GASB]],_xlfn.AGGREGATE(15,3,(TableDiv[[Agency]:[Agency]]=$E30)/(TableDiv[[Agency]:[Agency]]=$E30)*(ROW(TableDiv[Agency])-ROW(TableDiv[[#Headers],[Agency]])),COLUMNS($F$7:L$7))))</f>
        <v/>
      </c>
      <c r="M30" s="2223" t="str" cm="1">
        <f t="array" ref="M30">IF($D30&lt;COLUMNS($F$7:M$7),"",INDEX(TableDiv[[GASB]:[GASB]],_xlfn.AGGREGATE(15,3,(TableDiv[[Agency]:[Agency]]=$E30)/(TableDiv[[Agency]:[Agency]]=$E30)*(ROW(TableDiv[Agency])-ROW(TableDiv[[#Headers],[Agency]])),COLUMNS($F$7:M$7))))</f>
        <v/>
      </c>
      <c r="N30" s="2223" t="str" cm="1">
        <f t="array" ref="N30">IF($D30&lt;COLUMNS($F$7:N$7),"",INDEX(TableDiv[[GASB]:[GASB]],_xlfn.AGGREGATE(15,3,(TableDiv[[Agency]:[Agency]]=$E30)/(TableDiv[[Agency]:[Agency]]=$E30)*(ROW(TableDiv[Agency])-ROW(TableDiv[[#Headers],[Agency]])),COLUMNS($F$7:N$7))))</f>
        <v/>
      </c>
      <c r="O30" s="2223" t="str" cm="1">
        <f t="array" ref="O30">IF($D30&lt;COLUMNS($F$7:O$7),"",INDEX(TableDiv[[GASB]:[GASB]],_xlfn.AGGREGATE(15,3,(TableDiv[[Agency]:[Agency]]=$E30)/(TableDiv[[Agency]:[Agency]]=$E30)*(ROW(TableDiv[Agency])-ROW(TableDiv[[#Headers],[Agency]])),COLUMNS($F$7:O$7))))</f>
        <v/>
      </c>
      <c r="P30" s="2223" t="str" cm="1">
        <f t="array" ref="P30">IF($D30&lt;COLUMNS($F$7:P$7),"",INDEX(TableDiv[[GASB]:[GASB]],_xlfn.AGGREGATE(15,3,(TableDiv[[Agency]:[Agency]]=$E30)/(TableDiv[[Agency]:[Agency]]=$E30)*(ROW(TableDiv[Agency])-ROW(TableDiv[[#Headers],[Agency]])),COLUMNS($F$7:P$7))))</f>
        <v/>
      </c>
      <c r="Q30" s="2223" t="str" cm="1">
        <f t="array" ref="Q30">IF($D30&lt;COLUMNS($F$7:Q$7),"",INDEX(TableDiv[[GASB]:[GASB]],_xlfn.AGGREGATE(15,3,(TableDiv[[Agency]:[Agency]]=$E30)/(TableDiv[[Agency]:[Agency]]=$E30)*(ROW(TableDiv[Agency])-ROW(TableDiv[[#Headers],[Agency]])),COLUMNS($F$7:Q$7))))</f>
        <v/>
      </c>
      <c r="R30" s="2223" t="str" cm="1">
        <f t="array" ref="R30">IF($D30&lt;COLUMNS($F$7:R$7),"",INDEX(TableDiv[[GASB]:[GASB]],_xlfn.AGGREGATE(15,3,(TableDiv[[Agency]:[Agency]]=$E30)/(TableDiv[[Agency]:[Agency]]=$E30)*(ROW(TableDiv[Agency])-ROW(TableDiv[[#Headers],[Agency]])),COLUMNS($F$7:R$7))))</f>
        <v/>
      </c>
      <c r="S30" s="2223" t="str" cm="1">
        <f t="array" ref="S30">IF($D30&lt;COLUMNS($F$7:S$7),"",INDEX(TableDiv[[GASB]:[GASB]],_xlfn.AGGREGATE(15,3,(TableDiv[[Agency]:[Agency]]=$E30)/(TableDiv[[Agency]:[Agency]]=$E30)*(ROW(TableDiv[Agency])-ROW(TableDiv[[#Headers],[Agency]])),COLUMNS($F$7:S$7))))</f>
        <v/>
      </c>
      <c r="T30" s="2223" t="str" cm="1">
        <f t="array" ref="T30">IF($D30&lt;COLUMNS($F$7:T$7),"",INDEX(TableDiv[[GASB]:[GASB]],_xlfn.AGGREGATE(15,3,(TableDiv[[Agency]:[Agency]]=$E30)/(TableDiv[[Agency]:[Agency]]=$E30)*(ROW(TableDiv[Agency])-ROW(TableDiv[[#Headers],[Agency]])),COLUMNS($F$7:T$7))))</f>
        <v/>
      </c>
      <c r="U30" s="2223" t="str" cm="1">
        <f t="array" ref="U30">IF($D30&lt;COLUMNS($F$7:U$7),"",INDEX(TableDiv[[GASB]:[GASB]],_xlfn.AGGREGATE(15,3,(TableDiv[[Agency]:[Agency]]=$E30)/(TableDiv[[Agency]:[Agency]]=$E30)*(ROW(TableDiv[Agency])-ROW(TableDiv[[#Headers],[Agency]])),COLUMNS($F$7:U$7))))</f>
        <v/>
      </c>
      <c r="V30" s="2223" t="str" cm="1">
        <f t="array" ref="V30">IF($D30&lt;COLUMNS($F$7:V$7),"",INDEX(TableDiv[[GASB]:[GASB]],_xlfn.AGGREGATE(15,3,(TableDiv[[Agency]:[Agency]]=$E30)/(TableDiv[[Agency]:[Agency]]=$E30)*(ROW(TableDiv[Agency])-ROW(TableDiv[[#Headers],[Agency]])),COLUMNS($F$7:V$7))))</f>
        <v/>
      </c>
      <c r="W30" s="2223" t="str" cm="1">
        <f t="array" ref="W30">IF($D30&lt;COLUMNS($F$7:W$7),"",INDEX(TableDiv[[GASB]:[GASB]],_xlfn.AGGREGATE(15,3,(TableDiv[[Agency]:[Agency]]=$E30)/(TableDiv[[Agency]:[Agency]]=$E30)*(ROW(TableDiv[Agency])-ROW(TableDiv[[#Headers],[Agency]])),COLUMNS($F$7:W$7))))</f>
        <v/>
      </c>
      <c r="X30" s="2223" t="str" cm="1">
        <f t="array" ref="X30">IF($D30&lt;COLUMNS($F$7:X$7),"",INDEX(TableDiv[[GASB]:[GASB]],_xlfn.AGGREGATE(15,3,(TableDiv[[Agency]:[Agency]]=$E30)/(TableDiv[[Agency]:[Agency]]=$E30)*(ROW(TableDiv[Agency])-ROW(TableDiv[[#Headers],[Agency]])),COLUMNS($F$7:X$7))))</f>
        <v/>
      </c>
      <c r="Y30" s="2223" t="str" cm="1">
        <f t="array" ref="Y30">IF($D30&lt;COLUMNS($F$7:Y$7),"",INDEX(TableDiv[[GASB]:[GASB]],_xlfn.AGGREGATE(15,3,(TableDiv[[Agency]:[Agency]]=$E30)/(TableDiv[[Agency]:[Agency]]=$E30)*(ROW(TableDiv[Agency])-ROW(TableDiv[[#Headers],[Agency]])),COLUMNS($F$7:Y$7))))</f>
        <v/>
      </c>
      <c r="Z30" s="2223" t="str" cm="1">
        <f t="array" ref="Z30">IF($D30&lt;COLUMNS($F$7:Z$7),"",INDEX(TableDiv[[GASB]:[GASB]],_xlfn.AGGREGATE(15,3,(TableDiv[[Agency]:[Agency]]=$E30)/(TableDiv[[Agency]:[Agency]]=$E30)*(ROW(TableDiv[Agency])-ROW(TableDiv[[#Headers],[Agency]])),COLUMNS($F$7:Z$7))))</f>
        <v/>
      </c>
      <c r="AA30" s="2223" t="str" cm="1">
        <f t="array" ref="AA30">IF($D30&lt;COLUMNS($F$7:AA$7),"",INDEX(TableDiv[[GASB]:[GASB]],_xlfn.AGGREGATE(15,3,(TableDiv[[Agency]:[Agency]]=$E30)/(TableDiv[[Agency]:[Agency]]=$E30)*(ROW(TableDiv[Agency])-ROW(TableDiv[[#Headers],[Agency]])),COLUMNS($F$7:AA$7))))</f>
        <v/>
      </c>
      <c r="AB30" s="2223" t="str" cm="1">
        <f t="array" ref="AB30">IF($D30&lt;COLUMNS($F$7:AB$7),"",INDEX(TableDiv[[GASB]:[GASB]],_xlfn.AGGREGATE(15,3,(TableDiv[[Agency]:[Agency]]=$E30)/(TableDiv[[Agency]:[Agency]]=$E30)*(ROW(TableDiv[Agency])-ROW(TableDiv[[#Headers],[Agency]])),COLUMNS($F$7:AB$7))))</f>
        <v/>
      </c>
      <c r="AC30" s="2223" t="str" cm="1">
        <f t="array" ref="AC30">IF($D30&lt;COLUMNS($F$7:AC$7),"",INDEX(TableDiv[[GASB]:[GASB]],_xlfn.AGGREGATE(15,3,(TableDiv[[Agency]:[Agency]]=$E30)/(TableDiv[[Agency]:[Agency]]=$E30)*(ROW(TableDiv[Agency])-ROW(TableDiv[[#Headers],[Agency]])),COLUMNS($F$7:AC$7))))</f>
        <v/>
      </c>
      <c r="AD30" s="2223" t="str" cm="1">
        <f t="array" ref="AD30">IF($D30&lt;COLUMNS($F$7:AD$7),"",INDEX(TableDiv[[GASB]:[GASB]],_xlfn.AGGREGATE(15,3,(TableDiv[[Agency]:[Agency]]=$E30)/(TableDiv[[Agency]:[Agency]]=$E30)*(ROW(TableDiv[Agency])-ROW(TableDiv[[#Headers],[Agency]])),COLUMNS($F$7:AD$7))))</f>
        <v/>
      </c>
      <c r="AE30" s="2223" t="str" cm="1">
        <f t="array" ref="AE30">IF($D30&lt;COLUMNS($F$7:AE$7),"",INDEX(TableDiv[[GASB]:[GASB]],_xlfn.AGGREGATE(15,3,(TableDiv[[Agency]:[Agency]]=$E30)/(TableDiv[[Agency]:[Agency]]=$E30)*(ROW(TableDiv[Agency])-ROW(TableDiv[[#Headers],[Agency]])),COLUMNS($F$7:AE$7))))</f>
        <v/>
      </c>
      <c r="AF30" s="2223" t="str" cm="1">
        <f t="array" ref="AF30">IF($D30&lt;COLUMNS($F$7:AF$7),"",INDEX(TableDiv[[GASB]:[GASB]],_xlfn.AGGREGATE(15,3,(TableDiv[[Agency]:[Agency]]=$E30)/(TableDiv[[Agency]:[Agency]]=$E30)*(ROW(TableDiv[Agency])-ROW(TableDiv[[#Headers],[Agency]])),COLUMNS($F$7:AF$7))))</f>
        <v/>
      </c>
      <c r="AG30" s="2223" t="str" cm="1">
        <f t="array" ref="AG30">IF($D30&lt;COLUMNS($F$7:AG$7),"",INDEX(TableDiv[[GASB]:[GASB]],_xlfn.AGGREGATE(15,3,(TableDiv[[Agency]:[Agency]]=$E30)/(TableDiv[[Agency]:[Agency]]=$E30)*(ROW(TableDiv[Agency])-ROW(TableDiv[[#Headers],[Agency]])),COLUMNS($F$7:AG$7))))</f>
        <v/>
      </c>
      <c r="AH30" s="2223" t="str" cm="1">
        <f t="array" ref="AH30">IF($D30&lt;COLUMNS($F$7:AH$7),"",INDEX(TableDiv[[GASB]:[GASB]],_xlfn.AGGREGATE(15,3,(TableDiv[[Agency]:[Agency]]=$E30)/(TableDiv[[Agency]:[Agency]]=$E30)*(ROW(TableDiv[Agency])-ROW(TableDiv[[#Headers],[Agency]])),COLUMNS($F$7:AH$7))))</f>
        <v/>
      </c>
      <c r="AI30" s="2223" t="str" cm="1">
        <f t="array" ref="AI30">IF($D30&lt;COLUMNS($F$7:AI$7),"",INDEX(TableDiv[[GASB]:[GASB]],_xlfn.AGGREGATE(15,3,(TableDiv[[Agency]:[Agency]]=$E30)/(TableDiv[[Agency]:[Agency]]=$E30)*(ROW(TableDiv[Agency])-ROW(TableDiv[[#Headers],[Agency]])),COLUMNS($F$7:AI$7))))</f>
        <v/>
      </c>
      <c r="AJ30" s="2223" t="str" cm="1">
        <f t="array" ref="AJ30">IF($D30&lt;COLUMNS($F$7:AJ$7),"",INDEX(TableDiv[[GASB]:[GASB]],_xlfn.AGGREGATE(15,3,(TableDiv[[Agency]:[Agency]]=$E30)/(TableDiv[[Agency]:[Agency]]=$E30)*(ROW(TableDiv[Agency])-ROW(TableDiv[[#Headers],[Agency]])),COLUMNS($F$7:AJ$7))))</f>
        <v/>
      </c>
      <c r="AK30" s="2223" t="str" cm="1">
        <f t="array" ref="AK30">IF($D30&lt;COLUMNS($F$7:AK$7),"",INDEX(TableDiv[[GASB]:[GASB]],_xlfn.AGGREGATE(15,3,(TableDiv[[Agency]:[Agency]]=$E30)/(TableDiv[[Agency]:[Agency]]=$E30)*(ROW(TableDiv[Agency])-ROW(TableDiv[[#Headers],[Agency]])),COLUMNS($F$7:AK$7))))</f>
        <v/>
      </c>
      <c r="AL30" s="2223" t="str" cm="1">
        <f t="array" ref="AL30">IF($D30&lt;COLUMNS($F$7:AL$7),"",INDEX(TableDiv[[GASB]:[GASB]],_xlfn.AGGREGATE(15,3,(TableDiv[[Agency]:[Agency]]=$E30)/(TableDiv[[Agency]:[Agency]]=$E30)*(ROW(TableDiv[Agency])-ROW(TableDiv[[#Headers],[Agency]])),COLUMNS($F$7:AL$7))))</f>
        <v/>
      </c>
      <c r="AM30" s="2223" t="str" cm="1">
        <f t="array" ref="AM30">IF($D30&lt;COLUMNS($F$7:AM$7),"",INDEX(TableDiv[[GASB]:[GASB]],_xlfn.AGGREGATE(15,3,(TableDiv[[Agency]:[Agency]]=$E30)/(TableDiv[[Agency]:[Agency]]=$E30)*(ROW(TableDiv[Agency])-ROW(TableDiv[[#Headers],[Agency]])),COLUMNS($F$7:AM$7))))</f>
        <v/>
      </c>
      <c r="AN30" s="2223"/>
      <c r="AO30" s="2223"/>
      <c r="AP30" s="2223"/>
      <c r="AQ30" s="2223"/>
      <c r="AR30" s="2223"/>
      <c r="AS30" s="2223"/>
    </row>
    <row r="31" spans="1:45" ht="15" x14ac:dyDescent="0.25">
      <c r="A31" s="2219" t="s">
        <v>5101</v>
      </c>
      <c r="B31" s="2219" t="s">
        <v>6357</v>
      </c>
      <c r="C31" s="2223"/>
      <c r="D31" s="2223">
        <f>COUNTIF(TableDiv[Agency],E31)</f>
        <v>4</v>
      </c>
      <c r="E31" s="2230" t="str" cm="1">
        <f t="array" ref="E31">IFERROR(INDEX(TableDiv[Agency],MATCH(0,INDEX(COUNTIF($E$7:E30,TableDiv[Agency]),),0)),"")</f>
        <v>2500</v>
      </c>
      <c r="F31" s="2223" t="str" cm="1">
        <f t="array" ref="F31">IF($D31&lt;COLUMNS($F$7:F$7),"",INDEX(TableDiv[[GASB]:[GASB]],_xlfn.AGGREGATE(15,3,(TableDiv[[Agency]:[Agency]]=$E31)/(TableDiv[[Agency]:[Agency]]=$E31)*(ROW(TableDiv[Agency])-ROW(TableDiv[[#Headers],[Agency]])),COLUMNS($F$7:F$7))))</f>
        <v>11000G</v>
      </c>
      <c r="G31" s="2223" t="str" cm="1">
        <f t="array" ref="G31">IF($D31&lt;COLUMNS($F$7:G$7),"",INDEX(TableDiv[[GASB]:[GASB]],_xlfn.AGGREGATE(15,3,(TableDiv[[Agency]:[Agency]]=$E31)/(TableDiv[[Agency]:[Agency]]=$E31)*(ROW(TableDiv[Agency])-ROW(TableDiv[[#Headers],[Agency]])),COLUMNS($F$7:G$7))))</f>
        <v>11020G</v>
      </c>
      <c r="H31" s="2223" t="str" cm="1">
        <f t="array" ref="H31">IF($D31&lt;COLUMNS($F$7:H$7),"",INDEX(TableDiv[[GASB]:[GASB]],_xlfn.AGGREGATE(15,3,(TableDiv[[Agency]:[Agency]]=$E31)/(TableDiv[[Agency]:[Agency]]=$E31)*(ROW(TableDiv[Agency])-ROW(TableDiv[[#Headers],[Agency]])),COLUMNS($F$7:H$7))))</f>
        <v>11060G</v>
      </c>
      <c r="I31" s="2223" t="str" cm="1">
        <f t="array" ref="I31">IF($D31&lt;COLUMNS($F$7:I$7),"",INDEX(TableDiv[[GASB]:[GASB]],_xlfn.AGGREGATE(15,3,(TableDiv[[Agency]:[Agency]]=$E31)/(TableDiv[[Agency]:[Agency]]=$E31)*(ROW(TableDiv[Agency])-ROW(TableDiv[[#Headers],[Agency]])),COLUMNS($F$7:I$7))))</f>
        <v>11320G</v>
      </c>
      <c r="J31" s="2223" t="str" cm="1">
        <f t="array" ref="J31">IF($D31&lt;COLUMNS($F$7:J$7),"",INDEX(TableDiv[[GASB]:[GASB]],_xlfn.AGGREGATE(15,3,(TableDiv[[Agency]:[Agency]]=$E31)/(TableDiv[[Agency]:[Agency]]=$E31)*(ROW(TableDiv[Agency])-ROW(TableDiv[[#Headers],[Agency]])),COLUMNS($F$7:J$7))))</f>
        <v/>
      </c>
      <c r="K31" s="2223" t="str" cm="1">
        <f t="array" ref="K31">IF($D31&lt;COLUMNS($F$7:K$7),"",INDEX(TableDiv[[GASB]:[GASB]],_xlfn.AGGREGATE(15,3,(TableDiv[[Agency]:[Agency]]=$E31)/(TableDiv[[Agency]:[Agency]]=$E31)*(ROW(TableDiv[Agency])-ROW(TableDiv[[#Headers],[Agency]])),COLUMNS($F$7:K$7))))</f>
        <v/>
      </c>
      <c r="L31" s="2223" t="str" cm="1">
        <f t="array" ref="L31">IF($D31&lt;COLUMNS($F$7:L$7),"",INDEX(TableDiv[[GASB]:[GASB]],_xlfn.AGGREGATE(15,3,(TableDiv[[Agency]:[Agency]]=$E31)/(TableDiv[[Agency]:[Agency]]=$E31)*(ROW(TableDiv[Agency])-ROW(TableDiv[[#Headers],[Agency]])),COLUMNS($F$7:L$7))))</f>
        <v/>
      </c>
      <c r="M31" s="2223" t="str" cm="1">
        <f t="array" ref="M31">IF($D31&lt;COLUMNS($F$7:M$7),"",INDEX(TableDiv[[GASB]:[GASB]],_xlfn.AGGREGATE(15,3,(TableDiv[[Agency]:[Agency]]=$E31)/(TableDiv[[Agency]:[Agency]]=$E31)*(ROW(TableDiv[Agency])-ROW(TableDiv[[#Headers],[Agency]])),COLUMNS($F$7:M$7))))</f>
        <v/>
      </c>
      <c r="N31" s="2223" t="str" cm="1">
        <f t="array" ref="N31">IF($D31&lt;COLUMNS($F$7:N$7),"",INDEX(TableDiv[[GASB]:[GASB]],_xlfn.AGGREGATE(15,3,(TableDiv[[Agency]:[Agency]]=$E31)/(TableDiv[[Agency]:[Agency]]=$E31)*(ROW(TableDiv[Agency])-ROW(TableDiv[[#Headers],[Agency]])),COLUMNS($F$7:N$7))))</f>
        <v/>
      </c>
      <c r="O31" s="2223" t="str" cm="1">
        <f t="array" ref="O31">IF($D31&lt;COLUMNS($F$7:O$7),"",INDEX(TableDiv[[GASB]:[GASB]],_xlfn.AGGREGATE(15,3,(TableDiv[[Agency]:[Agency]]=$E31)/(TableDiv[[Agency]:[Agency]]=$E31)*(ROW(TableDiv[Agency])-ROW(TableDiv[[#Headers],[Agency]])),COLUMNS($F$7:O$7))))</f>
        <v/>
      </c>
      <c r="P31" s="2223" t="str" cm="1">
        <f t="array" ref="P31">IF($D31&lt;COLUMNS($F$7:P$7),"",INDEX(TableDiv[[GASB]:[GASB]],_xlfn.AGGREGATE(15,3,(TableDiv[[Agency]:[Agency]]=$E31)/(TableDiv[[Agency]:[Agency]]=$E31)*(ROW(TableDiv[Agency])-ROW(TableDiv[[#Headers],[Agency]])),COLUMNS($F$7:P$7))))</f>
        <v/>
      </c>
      <c r="Q31" s="2223" t="str" cm="1">
        <f t="array" ref="Q31">IF($D31&lt;COLUMNS($F$7:Q$7),"",INDEX(TableDiv[[GASB]:[GASB]],_xlfn.AGGREGATE(15,3,(TableDiv[[Agency]:[Agency]]=$E31)/(TableDiv[[Agency]:[Agency]]=$E31)*(ROW(TableDiv[Agency])-ROW(TableDiv[[#Headers],[Agency]])),COLUMNS($F$7:Q$7))))</f>
        <v/>
      </c>
      <c r="R31" s="2223" t="str" cm="1">
        <f t="array" ref="R31">IF($D31&lt;COLUMNS($F$7:R$7),"",INDEX(TableDiv[[GASB]:[GASB]],_xlfn.AGGREGATE(15,3,(TableDiv[[Agency]:[Agency]]=$E31)/(TableDiv[[Agency]:[Agency]]=$E31)*(ROW(TableDiv[Agency])-ROW(TableDiv[[#Headers],[Agency]])),COLUMNS($F$7:R$7))))</f>
        <v/>
      </c>
      <c r="S31" s="2223" t="str" cm="1">
        <f t="array" ref="S31">IF($D31&lt;COLUMNS($F$7:S$7),"",INDEX(TableDiv[[GASB]:[GASB]],_xlfn.AGGREGATE(15,3,(TableDiv[[Agency]:[Agency]]=$E31)/(TableDiv[[Agency]:[Agency]]=$E31)*(ROW(TableDiv[Agency])-ROW(TableDiv[[#Headers],[Agency]])),COLUMNS($F$7:S$7))))</f>
        <v/>
      </c>
      <c r="T31" s="2223" t="str" cm="1">
        <f t="array" ref="T31">IF($D31&lt;COLUMNS($F$7:T$7),"",INDEX(TableDiv[[GASB]:[GASB]],_xlfn.AGGREGATE(15,3,(TableDiv[[Agency]:[Agency]]=$E31)/(TableDiv[[Agency]:[Agency]]=$E31)*(ROW(TableDiv[Agency])-ROW(TableDiv[[#Headers],[Agency]])),COLUMNS($F$7:T$7))))</f>
        <v/>
      </c>
      <c r="U31" s="2223" t="str" cm="1">
        <f t="array" ref="U31">IF($D31&lt;COLUMNS($F$7:U$7),"",INDEX(TableDiv[[GASB]:[GASB]],_xlfn.AGGREGATE(15,3,(TableDiv[[Agency]:[Agency]]=$E31)/(TableDiv[[Agency]:[Agency]]=$E31)*(ROW(TableDiv[Agency])-ROW(TableDiv[[#Headers],[Agency]])),COLUMNS($F$7:U$7))))</f>
        <v/>
      </c>
      <c r="V31" s="2223" t="str" cm="1">
        <f t="array" ref="V31">IF($D31&lt;COLUMNS($F$7:V$7),"",INDEX(TableDiv[[GASB]:[GASB]],_xlfn.AGGREGATE(15,3,(TableDiv[[Agency]:[Agency]]=$E31)/(TableDiv[[Agency]:[Agency]]=$E31)*(ROW(TableDiv[Agency])-ROW(TableDiv[[#Headers],[Agency]])),COLUMNS($F$7:V$7))))</f>
        <v/>
      </c>
      <c r="W31" s="2223" t="str" cm="1">
        <f t="array" ref="W31">IF($D31&lt;COLUMNS($F$7:W$7),"",INDEX(TableDiv[[GASB]:[GASB]],_xlfn.AGGREGATE(15,3,(TableDiv[[Agency]:[Agency]]=$E31)/(TableDiv[[Agency]:[Agency]]=$E31)*(ROW(TableDiv[Agency])-ROW(TableDiv[[#Headers],[Agency]])),COLUMNS($F$7:W$7))))</f>
        <v/>
      </c>
      <c r="X31" s="2223" t="str" cm="1">
        <f t="array" ref="X31">IF($D31&lt;COLUMNS($F$7:X$7),"",INDEX(TableDiv[[GASB]:[GASB]],_xlfn.AGGREGATE(15,3,(TableDiv[[Agency]:[Agency]]=$E31)/(TableDiv[[Agency]:[Agency]]=$E31)*(ROW(TableDiv[Agency])-ROW(TableDiv[[#Headers],[Agency]])),COLUMNS($F$7:X$7))))</f>
        <v/>
      </c>
      <c r="Y31" s="2223" t="str" cm="1">
        <f t="array" ref="Y31">IF($D31&lt;COLUMNS($F$7:Y$7),"",INDEX(TableDiv[[GASB]:[GASB]],_xlfn.AGGREGATE(15,3,(TableDiv[[Agency]:[Agency]]=$E31)/(TableDiv[[Agency]:[Agency]]=$E31)*(ROW(TableDiv[Agency])-ROW(TableDiv[[#Headers],[Agency]])),COLUMNS($F$7:Y$7))))</f>
        <v/>
      </c>
      <c r="Z31" s="2223" t="str" cm="1">
        <f t="array" ref="Z31">IF($D31&lt;COLUMNS($F$7:Z$7),"",INDEX(TableDiv[[GASB]:[GASB]],_xlfn.AGGREGATE(15,3,(TableDiv[[Agency]:[Agency]]=$E31)/(TableDiv[[Agency]:[Agency]]=$E31)*(ROW(TableDiv[Agency])-ROW(TableDiv[[#Headers],[Agency]])),COLUMNS($F$7:Z$7))))</f>
        <v/>
      </c>
      <c r="AA31" s="2223" t="str" cm="1">
        <f t="array" ref="AA31">IF($D31&lt;COLUMNS($F$7:AA$7),"",INDEX(TableDiv[[GASB]:[GASB]],_xlfn.AGGREGATE(15,3,(TableDiv[[Agency]:[Agency]]=$E31)/(TableDiv[[Agency]:[Agency]]=$E31)*(ROW(TableDiv[Agency])-ROW(TableDiv[[#Headers],[Agency]])),COLUMNS($F$7:AA$7))))</f>
        <v/>
      </c>
      <c r="AB31" s="2223" t="str" cm="1">
        <f t="array" ref="AB31">IF($D31&lt;COLUMNS($F$7:AB$7),"",INDEX(TableDiv[[GASB]:[GASB]],_xlfn.AGGREGATE(15,3,(TableDiv[[Agency]:[Agency]]=$E31)/(TableDiv[[Agency]:[Agency]]=$E31)*(ROW(TableDiv[Agency])-ROW(TableDiv[[#Headers],[Agency]])),COLUMNS($F$7:AB$7))))</f>
        <v/>
      </c>
      <c r="AC31" s="2223" t="str" cm="1">
        <f t="array" ref="AC31">IF($D31&lt;COLUMNS($F$7:AC$7),"",INDEX(TableDiv[[GASB]:[GASB]],_xlfn.AGGREGATE(15,3,(TableDiv[[Agency]:[Agency]]=$E31)/(TableDiv[[Agency]:[Agency]]=$E31)*(ROW(TableDiv[Agency])-ROW(TableDiv[[#Headers],[Agency]])),COLUMNS($F$7:AC$7))))</f>
        <v/>
      </c>
      <c r="AD31" s="2223" t="str" cm="1">
        <f t="array" ref="AD31">IF($D31&lt;COLUMNS($F$7:AD$7),"",INDEX(TableDiv[[GASB]:[GASB]],_xlfn.AGGREGATE(15,3,(TableDiv[[Agency]:[Agency]]=$E31)/(TableDiv[[Agency]:[Agency]]=$E31)*(ROW(TableDiv[Agency])-ROW(TableDiv[[#Headers],[Agency]])),COLUMNS($F$7:AD$7))))</f>
        <v/>
      </c>
      <c r="AE31" s="2223" t="str" cm="1">
        <f t="array" ref="AE31">IF($D31&lt;COLUMNS($F$7:AE$7),"",INDEX(TableDiv[[GASB]:[GASB]],_xlfn.AGGREGATE(15,3,(TableDiv[[Agency]:[Agency]]=$E31)/(TableDiv[[Agency]:[Agency]]=$E31)*(ROW(TableDiv[Agency])-ROW(TableDiv[[#Headers],[Agency]])),COLUMNS($F$7:AE$7))))</f>
        <v/>
      </c>
      <c r="AF31" s="2223" t="str" cm="1">
        <f t="array" ref="AF31">IF($D31&lt;COLUMNS($F$7:AF$7),"",INDEX(TableDiv[[GASB]:[GASB]],_xlfn.AGGREGATE(15,3,(TableDiv[[Agency]:[Agency]]=$E31)/(TableDiv[[Agency]:[Agency]]=$E31)*(ROW(TableDiv[Agency])-ROW(TableDiv[[#Headers],[Agency]])),COLUMNS($F$7:AF$7))))</f>
        <v/>
      </c>
      <c r="AG31" s="2223" t="str" cm="1">
        <f t="array" ref="AG31">IF($D31&lt;COLUMNS($F$7:AG$7),"",INDEX(TableDiv[[GASB]:[GASB]],_xlfn.AGGREGATE(15,3,(TableDiv[[Agency]:[Agency]]=$E31)/(TableDiv[[Agency]:[Agency]]=$E31)*(ROW(TableDiv[Agency])-ROW(TableDiv[[#Headers],[Agency]])),COLUMNS($F$7:AG$7))))</f>
        <v/>
      </c>
      <c r="AH31" s="2223" t="str" cm="1">
        <f t="array" ref="AH31">IF($D31&lt;COLUMNS($F$7:AH$7),"",INDEX(TableDiv[[GASB]:[GASB]],_xlfn.AGGREGATE(15,3,(TableDiv[[Agency]:[Agency]]=$E31)/(TableDiv[[Agency]:[Agency]]=$E31)*(ROW(TableDiv[Agency])-ROW(TableDiv[[#Headers],[Agency]])),COLUMNS($F$7:AH$7))))</f>
        <v/>
      </c>
      <c r="AI31" s="2223" t="str" cm="1">
        <f t="array" ref="AI31">IF($D31&lt;COLUMNS($F$7:AI$7),"",INDEX(TableDiv[[GASB]:[GASB]],_xlfn.AGGREGATE(15,3,(TableDiv[[Agency]:[Agency]]=$E31)/(TableDiv[[Agency]:[Agency]]=$E31)*(ROW(TableDiv[Agency])-ROW(TableDiv[[#Headers],[Agency]])),COLUMNS($F$7:AI$7))))</f>
        <v/>
      </c>
      <c r="AJ31" s="2223" t="str" cm="1">
        <f t="array" ref="AJ31">IF($D31&lt;COLUMNS($F$7:AJ$7),"",INDEX(TableDiv[[GASB]:[GASB]],_xlfn.AGGREGATE(15,3,(TableDiv[[Agency]:[Agency]]=$E31)/(TableDiv[[Agency]:[Agency]]=$E31)*(ROW(TableDiv[Agency])-ROW(TableDiv[[#Headers],[Agency]])),COLUMNS($F$7:AJ$7))))</f>
        <v/>
      </c>
      <c r="AK31" s="2223" t="str" cm="1">
        <f t="array" ref="AK31">IF($D31&lt;COLUMNS($F$7:AK$7),"",INDEX(TableDiv[[GASB]:[GASB]],_xlfn.AGGREGATE(15,3,(TableDiv[[Agency]:[Agency]]=$E31)/(TableDiv[[Agency]:[Agency]]=$E31)*(ROW(TableDiv[Agency])-ROW(TableDiv[[#Headers],[Agency]])),COLUMNS($F$7:AK$7))))</f>
        <v/>
      </c>
      <c r="AL31" s="2223" t="str" cm="1">
        <f t="array" ref="AL31">IF($D31&lt;COLUMNS($F$7:AL$7),"",INDEX(TableDiv[[GASB]:[GASB]],_xlfn.AGGREGATE(15,3,(TableDiv[[Agency]:[Agency]]=$E31)/(TableDiv[[Agency]:[Agency]]=$E31)*(ROW(TableDiv[Agency])-ROW(TableDiv[[#Headers],[Agency]])),COLUMNS($F$7:AL$7))))</f>
        <v/>
      </c>
      <c r="AM31" s="2223" t="str" cm="1">
        <f t="array" ref="AM31">IF($D31&lt;COLUMNS($F$7:AM$7),"",INDEX(TableDiv[[GASB]:[GASB]],_xlfn.AGGREGATE(15,3,(TableDiv[[Agency]:[Agency]]=$E31)/(TableDiv[[Agency]:[Agency]]=$E31)*(ROW(TableDiv[Agency])-ROW(TableDiv[[#Headers],[Agency]])),COLUMNS($F$7:AM$7))))</f>
        <v/>
      </c>
      <c r="AN31" s="2223"/>
      <c r="AO31" s="2223"/>
      <c r="AP31" s="2223"/>
      <c r="AQ31" s="2223"/>
      <c r="AR31" s="2223"/>
      <c r="AS31" s="2223"/>
    </row>
    <row r="32" spans="1:45" ht="15" x14ac:dyDescent="0.25">
      <c r="A32" s="2219" t="s">
        <v>5101</v>
      </c>
      <c r="B32" s="2219" t="s">
        <v>1878</v>
      </c>
      <c r="C32" s="2223"/>
      <c r="D32" s="2223">
        <f>COUNTIF(TableDiv[Agency],E32)</f>
        <v>6</v>
      </c>
      <c r="E32" s="2230" t="str" cm="1">
        <f t="array" ref="E32">IFERROR(INDEX(TableDiv[Agency],MATCH(0,INDEX(COUNTIF($E$7:E31,TableDiv[Agency]),),0)),"")</f>
        <v>2600</v>
      </c>
      <c r="F32" s="2223" t="str" cm="1">
        <f t="array" ref="F32">IF($D32&lt;COLUMNS($F$7:F$7),"",INDEX(TableDiv[[GASB]:[GASB]],_xlfn.AGGREGATE(15,3,(TableDiv[[Agency]:[Agency]]=$E32)/(TableDiv[[Agency]:[Agency]]=$E32)*(ROW(TableDiv[Agency])-ROW(TableDiv[[#Headers],[Agency]])),COLUMNS($F$7:F$7))))</f>
        <v>11000G</v>
      </c>
      <c r="G32" s="2223" t="str" cm="1">
        <f t="array" ref="G32">IF($D32&lt;COLUMNS($F$7:G$7),"",INDEX(TableDiv[[GASB]:[GASB]],_xlfn.AGGREGATE(15,3,(TableDiv[[Agency]:[Agency]]=$E32)/(TableDiv[[Agency]:[Agency]]=$E32)*(ROW(TableDiv[Agency])-ROW(TableDiv[[#Headers],[Agency]])),COLUMNS($F$7:G$7))))</f>
        <v>11060G</v>
      </c>
      <c r="H32" s="2223" t="str" cm="1">
        <f t="array" ref="H32">IF($D32&lt;COLUMNS($F$7:H$7),"",INDEX(TableDiv[[GASB]:[GASB]],_xlfn.AGGREGATE(15,3,(TableDiv[[Agency]:[Agency]]=$E32)/(TableDiv[[Agency]:[Agency]]=$E32)*(ROW(TableDiv[Agency])-ROW(TableDiv[[#Headers],[Agency]])),COLUMNS($F$7:H$7))))</f>
        <v>12000G</v>
      </c>
      <c r="I32" s="2223" t="str" cm="1">
        <f t="array" ref="I32">IF($D32&lt;COLUMNS($F$7:I$7),"",INDEX(TableDiv[[GASB]:[GASB]],_xlfn.AGGREGATE(15,3,(TableDiv[[Agency]:[Agency]]=$E32)/(TableDiv[[Agency]:[Agency]]=$E32)*(ROW(TableDiv[Agency])-ROW(TableDiv[[#Headers],[Agency]])),COLUMNS($F$7:I$7))))</f>
        <v>13260G</v>
      </c>
      <c r="J32" s="2223" t="str" cm="1">
        <f t="array" ref="J32">IF($D32&lt;COLUMNS($F$7:J$7),"",INDEX(TableDiv[[GASB]:[GASB]],_xlfn.AGGREGATE(15,3,(TableDiv[[Agency]:[Agency]]=$E32)/(TableDiv[[Agency]:[Agency]]=$E32)*(ROW(TableDiv[Agency])-ROW(TableDiv[[#Headers],[Agency]])),COLUMNS($F$7:J$7))))</f>
        <v>25000G</v>
      </c>
      <c r="K32" s="2223" t="str" cm="1">
        <f t="array" ref="K32">IF($D32&lt;COLUMNS($F$7:K$7),"",INDEX(TableDiv[[GASB]:[GASB]],_xlfn.AGGREGATE(15,3,(TableDiv[[Agency]:[Agency]]=$E32)/(TableDiv[[Agency]:[Agency]]=$E32)*(ROW(TableDiv[Agency])-ROW(TableDiv[[#Headers],[Agency]])),COLUMNS($F$7:K$7))))</f>
        <v>39000G</v>
      </c>
      <c r="L32" s="2223" t="str" cm="1">
        <f t="array" ref="L32">IF($D32&lt;COLUMNS($F$7:L$7),"",INDEX(TableDiv[[GASB]:[GASB]],_xlfn.AGGREGATE(15,3,(TableDiv[[Agency]:[Agency]]=$E32)/(TableDiv[[Agency]:[Agency]]=$E32)*(ROW(TableDiv[Agency])-ROW(TableDiv[[#Headers],[Agency]])),COLUMNS($F$7:L$7))))</f>
        <v/>
      </c>
      <c r="M32" s="2223" t="str" cm="1">
        <f t="array" ref="M32">IF($D32&lt;COLUMNS($F$7:M$7),"",INDEX(TableDiv[[GASB]:[GASB]],_xlfn.AGGREGATE(15,3,(TableDiv[[Agency]:[Agency]]=$E32)/(TableDiv[[Agency]:[Agency]]=$E32)*(ROW(TableDiv[Agency])-ROW(TableDiv[[#Headers],[Agency]])),COLUMNS($F$7:M$7))))</f>
        <v/>
      </c>
      <c r="N32" s="2223" t="str" cm="1">
        <f t="array" ref="N32">IF($D32&lt;COLUMNS($F$7:N$7),"",INDEX(TableDiv[[GASB]:[GASB]],_xlfn.AGGREGATE(15,3,(TableDiv[[Agency]:[Agency]]=$E32)/(TableDiv[[Agency]:[Agency]]=$E32)*(ROW(TableDiv[Agency])-ROW(TableDiv[[#Headers],[Agency]])),COLUMNS($F$7:N$7))))</f>
        <v/>
      </c>
      <c r="O32" s="2223" t="str" cm="1">
        <f t="array" ref="O32">IF($D32&lt;COLUMNS($F$7:O$7),"",INDEX(TableDiv[[GASB]:[GASB]],_xlfn.AGGREGATE(15,3,(TableDiv[[Agency]:[Agency]]=$E32)/(TableDiv[[Agency]:[Agency]]=$E32)*(ROW(TableDiv[Agency])-ROW(TableDiv[[#Headers],[Agency]])),COLUMNS($F$7:O$7))))</f>
        <v/>
      </c>
      <c r="P32" s="2223" t="str" cm="1">
        <f t="array" ref="P32">IF($D32&lt;COLUMNS($F$7:P$7),"",INDEX(TableDiv[[GASB]:[GASB]],_xlfn.AGGREGATE(15,3,(TableDiv[[Agency]:[Agency]]=$E32)/(TableDiv[[Agency]:[Agency]]=$E32)*(ROW(TableDiv[Agency])-ROW(TableDiv[[#Headers],[Agency]])),COLUMNS($F$7:P$7))))</f>
        <v/>
      </c>
      <c r="Q32" s="2223" t="str" cm="1">
        <f t="array" ref="Q32">IF($D32&lt;COLUMNS($F$7:Q$7),"",INDEX(TableDiv[[GASB]:[GASB]],_xlfn.AGGREGATE(15,3,(TableDiv[[Agency]:[Agency]]=$E32)/(TableDiv[[Agency]:[Agency]]=$E32)*(ROW(TableDiv[Agency])-ROW(TableDiv[[#Headers],[Agency]])),COLUMNS($F$7:Q$7))))</f>
        <v/>
      </c>
      <c r="R32" s="2223" t="str" cm="1">
        <f t="array" ref="R32">IF($D32&lt;COLUMNS($F$7:R$7),"",INDEX(TableDiv[[GASB]:[GASB]],_xlfn.AGGREGATE(15,3,(TableDiv[[Agency]:[Agency]]=$E32)/(TableDiv[[Agency]:[Agency]]=$E32)*(ROW(TableDiv[Agency])-ROW(TableDiv[[#Headers],[Agency]])),COLUMNS($F$7:R$7))))</f>
        <v/>
      </c>
      <c r="S32" s="2223" t="str" cm="1">
        <f t="array" ref="S32">IF($D32&lt;COLUMNS($F$7:S$7),"",INDEX(TableDiv[[GASB]:[GASB]],_xlfn.AGGREGATE(15,3,(TableDiv[[Agency]:[Agency]]=$E32)/(TableDiv[[Agency]:[Agency]]=$E32)*(ROW(TableDiv[Agency])-ROW(TableDiv[[#Headers],[Agency]])),COLUMNS($F$7:S$7))))</f>
        <v/>
      </c>
      <c r="T32" s="2223" t="str" cm="1">
        <f t="array" ref="T32">IF($D32&lt;COLUMNS($F$7:T$7),"",INDEX(TableDiv[[GASB]:[GASB]],_xlfn.AGGREGATE(15,3,(TableDiv[[Agency]:[Agency]]=$E32)/(TableDiv[[Agency]:[Agency]]=$E32)*(ROW(TableDiv[Agency])-ROW(TableDiv[[#Headers],[Agency]])),COLUMNS($F$7:T$7))))</f>
        <v/>
      </c>
      <c r="U32" s="2223" t="str" cm="1">
        <f t="array" ref="U32">IF($D32&lt;COLUMNS($F$7:U$7),"",INDEX(TableDiv[[GASB]:[GASB]],_xlfn.AGGREGATE(15,3,(TableDiv[[Agency]:[Agency]]=$E32)/(TableDiv[[Agency]:[Agency]]=$E32)*(ROW(TableDiv[Agency])-ROW(TableDiv[[#Headers],[Agency]])),COLUMNS($F$7:U$7))))</f>
        <v/>
      </c>
      <c r="V32" s="2223" t="str" cm="1">
        <f t="array" ref="V32">IF($D32&lt;COLUMNS($F$7:V$7),"",INDEX(TableDiv[[GASB]:[GASB]],_xlfn.AGGREGATE(15,3,(TableDiv[[Agency]:[Agency]]=$E32)/(TableDiv[[Agency]:[Agency]]=$E32)*(ROW(TableDiv[Agency])-ROW(TableDiv[[#Headers],[Agency]])),COLUMNS($F$7:V$7))))</f>
        <v/>
      </c>
      <c r="W32" s="2223" t="str" cm="1">
        <f t="array" ref="W32">IF($D32&lt;COLUMNS($F$7:W$7),"",INDEX(TableDiv[[GASB]:[GASB]],_xlfn.AGGREGATE(15,3,(TableDiv[[Agency]:[Agency]]=$E32)/(TableDiv[[Agency]:[Agency]]=$E32)*(ROW(TableDiv[Agency])-ROW(TableDiv[[#Headers],[Agency]])),COLUMNS($F$7:W$7))))</f>
        <v/>
      </c>
      <c r="X32" s="2223" t="str" cm="1">
        <f t="array" ref="X32">IF($D32&lt;COLUMNS($F$7:X$7),"",INDEX(TableDiv[[GASB]:[GASB]],_xlfn.AGGREGATE(15,3,(TableDiv[[Agency]:[Agency]]=$E32)/(TableDiv[[Agency]:[Agency]]=$E32)*(ROW(TableDiv[Agency])-ROW(TableDiv[[#Headers],[Agency]])),COLUMNS($F$7:X$7))))</f>
        <v/>
      </c>
      <c r="Y32" s="2223" t="str" cm="1">
        <f t="array" ref="Y32">IF($D32&lt;COLUMNS($F$7:Y$7),"",INDEX(TableDiv[[GASB]:[GASB]],_xlfn.AGGREGATE(15,3,(TableDiv[[Agency]:[Agency]]=$E32)/(TableDiv[[Agency]:[Agency]]=$E32)*(ROW(TableDiv[Agency])-ROW(TableDiv[[#Headers],[Agency]])),COLUMNS($F$7:Y$7))))</f>
        <v/>
      </c>
      <c r="Z32" s="2223" t="str" cm="1">
        <f t="array" ref="Z32">IF($D32&lt;COLUMNS($F$7:Z$7),"",INDEX(TableDiv[[GASB]:[GASB]],_xlfn.AGGREGATE(15,3,(TableDiv[[Agency]:[Agency]]=$E32)/(TableDiv[[Agency]:[Agency]]=$E32)*(ROW(TableDiv[Agency])-ROW(TableDiv[[#Headers],[Agency]])),COLUMNS($F$7:Z$7))))</f>
        <v/>
      </c>
      <c r="AA32" s="2223" t="str" cm="1">
        <f t="array" ref="AA32">IF($D32&lt;COLUMNS($F$7:AA$7),"",INDEX(TableDiv[[GASB]:[GASB]],_xlfn.AGGREGATE(15,3,(TableDiv[[Agency]:[Agency]]=$E32)/(TableDiv[[Agency]:[Agency]]=$E32)*(ROW(TableDiv[Agency])-ROW(TableDiv[[#Headers],[Agency]])),COLUMNS($F$7:AA$7))))</f>
        <v/>
      </c>
      <c r="AB32" s="2223" t="str" cm="1">
        <f t="array" ref="AB32">IF($D32&lt;COLUMNS($F$7:AB$7),"",INDEX(TableDiv[[GASB]:[GASB]],_xlfn.AGGREGATE(15,3,(TableDiv[[Agency]:[Agency]]=$E32)/(TableDiv[[Agency]:[Agency]]=$E32)*(ROW(TableDiv[Agency])-ROW(TableDiv[[#Headers],[Agency]])),COLUMNS($F$7:AB$7))))</f>
        <v/>
      </c>
      <c r="AC32" s="2223" t="str" cm="1">
        <f t="array" ref="AC32">IF($D32&lt;COLUMNS($F$7:AC$7),"",INDEX(TableDiv[[GASB]:[GASB]],_xlfn.AGGREGATE(15,3,(TableDiv[[Agency]:[Agency]]=$E32)/(TableDiv[[Agency]:[Agency]]=$E32)*(ROW(TableDiv[Agency])-ROW(TableDiv[[#Headers],[Agency]])),COLUMNS($F$7:AC$7))))</f>
        <v/>
      </c>
      <c r="AD32" s="2223" t="str" cm="1">
        <f t="array" ref="AD32">IF($D32&lt;COLUMNS($F$7:AD$7),"",INDEX(TableDiv[[GASB]:[GASB]],_xlfn.AGGREGATE(15,3,(TableDiv[[Agency]:[Agency]]=$E32)/(TableDiv[[Agency]:[Agency]]=$E32)*(ROW(TableDiv[Agency])-ROW(TableDiv[[#Headers],[Agency]])),COLUMNS($F$7:AD$7))))</f>
        <v/>
      </c>
      <c r="AE32" s="2223" t="str" cm="1">
        <f t="array" ref="AE32">IF($D32&lt;COLUMNS($F$7:AE$7),"",INDEX(TableDiv[[GASB]:[GASB]],_xlfn.AGGREGATE(15,3,(TableDiv[[Agency]:[Agency]]=$E32)/(TableDiv[[Agency]:[Agency]]=$E32)*(ROW(TableDiv[Agency])-ROW(TableDiv[[#Headers],[Agency]])),COLUMNS($F$7:AE$7))))</f>
        <v/>
      </c>
      <c r="AF32" s="2223" t="str" cm="1">
        <f t="array" ref="AF32">IF($D32&lt;COLUMNS($F$7:AF$7),"",INDEX(TableDiv[[GASB]:[GASB]],_xlfn.AGGREGATE(15,3,(TableDiv[[Agency]:[Agency]]=$E32)/(TableDiv[[Agency]:[Agency]]=$E32)*(ROW(TableDiv[Agency])-ROW(TableDiv[[#Headers],[Agency]])),COLUMNS($F$7:AF$7))))</f>
        <v/>
      </c>
      <c r="AG32" s="2223" t="str" cm="1">
        <f t="array" ref="AG32">IF($D32&lt;COLUMNS($F$7:AG$7),"",INDEX(TableDiv[[GASB]:[GASB]],_xlfn.AGGREGATE(15,3,(TableDiv[[Agency]:[Agency]]=$E32)/(TableDiv[[Agency]:[Agency]]=$E32)*(ROW(TableDiv[Agency])-ROW(TableDiv[[#Headers],[Agency]])),COLUMNS($F$7:AG$7))))</f>
        <v/>
      </c>
      <c r="AH32" s="2223" t="str" cm="1">
        <f t="array" ref="AH32">IF($D32&lt;COLUMNS($F$7:AH$7),"",INDEX(TableDiv[[GASB]:[GASB]],_xlfn.AGGREGATE(15,3,(TableDiv[[Agency]:[Agency]]=$E32)/(TableDiv[[Agency]:[Agency]]=$E32)*(ROW(TableDiv[Agency])-ROW(TableDiv[[#Headers],[Agency]])),COLUMNS($F$7:AH$7))))</f>
        <v/>
      </c>
      <c r="AI32" s="2223" t="str" cm="1">
        <f t="array" ref="AI32">IF($D32&lt;COLUMNS($F$7:AI$7),"",INDEX(TableDiv[[GASB]:[GASB]],_xlfn.AGGREGATE(15,3,(TableDiv[[Agency]:[Agency]]=$E32)/(TableDiv[[Agency]:[Agency]]=$E32)*(ROW(TableDiv[Agency])-ROW(TableDiv[[#Headers],[Agency]])),COLUMNS($F$7:AI$7))))</f>
        <v/>
      </c>
      <c r="AJ32" s="2223" t="str" cm="1">
        <f t="array" ref="AJ32">IF($D32&lt;COLUMNS($F$7:AJ$7),"",INDEX(TableDiv[[GASB]:[GASB]],_xlfn.AGGREGATE(15,3,(TableDiv[[Agency]:[Agency]]=$E32)/(TableDiv[[Agency]:[Agency]]=$E32)*(ROW(TableDiv[Agency])-ROW(TableDiv[[#Headers],[Agency]])),COLUMNS($F$7:AJ$7))))</f>
        <v/>
      </c>
      <c r="AK32" s="2223" t="str" cm="1">
        <f t="array" ref="AK32">IF($D32&lt;COLUMNS($F$7:AK$7),"",INDEX(TableDiv[[GASB]:[GASB]],_xlfn.AGGREGATE(15,3,(TableDiv[[Agency]:[Agency]]=$E32)/(TableDiv[[Agency]:[Agency]]=$E32)*(ROW(TableDiv[Agency])-ROW(TableDiv[[#Headers],[Agency]])),COLUMNS($F$7:AK$7))))</f>
        <v/>
      </c>
      <c r="AL32" s="2223" t="str" cm="1">
        <f t="array" ref="AL32">IF($D32&lt;COLUMNS($F$7:AL$7),"",INDEX(TableDiv[[GASB]:[GASB]],_xlfn.AGGREGATE(15,3,(TableDiv[[Agency]:[Agency]]=$E32)/(TableDiv[[Agency]:[Agency]]=$E32)*(ROW(TableDiv[Agency])-ROW(TableDiv[[#Headers],[Agency]])),COLUMNS($F$7:AL$7))))</f>
        <v/>
      </c>
      <c r="AM32" s="2223" t="str" cm="1">
        <f t="array" ref="AM32">IF($D32&lt;COLUMNS($F$7:AM$7),"",INDEX(TableDiv[[GASB]:[GASB]],_xlfn.AGGREGATE(15,3,(TableDiv[[Agency]:[Agency]]=$E32)/(TableDiv[[Agency]:[Agency]]=$E32)*(ROW(TableDiv[Agency])-ROW(TableDiv[[#Headers],[Agency]])),COLUMNS($F$7:AM$7))))</f>
        <v/>
      </c>
      <c r="AN32" s="2223"/>
      <c r="AO32" s="2223"/>
      <c r="AP32" s="2223"/>
      <c r="AQ32" s="2223"/>
      <c r="AR32" s="2223"/>
      <c r="AS32" s="2223"/>
    </row>
    <row r="33" spans="1:45" ht="15" x14ac:dyDescent="0.25">
      <c r="A33" s="2219" t="s">
        <v>5101</v>
      </c>
      <c r="B33" s="2219" t="s">
        <v>6372</v>
      </c>
      <c r="C33" s="2223"/>
      <c r="D33" s="2223">
        <f>COUNTIF(TableDiv[Agency],E33)</f>
        <v>2</v>
      </c>
      <c r="E33" s="2230" t="str" cm="1">
        <f t="array" ref="E33">IFERROR(INDEX(TableDiv[Agency],MATCH(0,INDEX(COUNTIF($E$7:E32,TableDiv[Agency]),),0)),"")</f>
        <v>2700</v>
      </c>
      <c r="F33" s="2223" t="str" cm="1">
        <f t="array" ref="F33">IF($D33&lt;COLUMNS($F$7:F$7),"",INDEX(TableDiv[[GASB]:[GASB]],_xlfn.AGGREGATE(15,3,(TableDiv[[Agency]:[Agency]]=$E33)/(TableDiv[[Agency]:[Agency]]=$E33)*(ROW(TableDiv[Agency])-ROW(TableDiv[[#Headers],[Agency]])),COLUMNS($F$7:F$7))))</f>
        <v>11000G</v>
      </c>
      <c r="G33" s="2223" t="str" cm="1">
        <f t="array" ref="G33">IF($D33&lt;COLUMNS($F$7:G$7),"",INDEX(TableDiv[[GASB]:[GASB]],_xlfn.AGGREGATE(15,3,(TableDiv[[Agency]:[Agency]]=$E33)/(TableDiv[[Agency]:[Agency]]=$E33)*(ROW(TableDiv[Agency])-ROW(TableDiv[[#Headers],[Agency]])),COLUMNS($F$7:G$7))))</f>
        <v>11020G</v>
      </c>
      <c r="H33" s="2223" t="str" cm="1">
        <f t="array" ref="H33">IF($D33&lt;COLUMNS($F$7:H$7),"",INDEX(TableDiv[[GASB]:[GASB]],_xlfn.AGGREGATE(15,3,(TableDiv[[Agency]:[Agency]]=$E33)/(TableDiv[[Agency]:[Agency]]=$E33)*(ROW(TableDiv[Agency])-ROW(TableDiv[[#Headers],[Agency]])),COLUMNS($F$7:H$7))))</f>
        <v/>
      </c>
      <c r="I33" s="2223" t="str" cm="1">
        <f t="array" ref="I33">IF($D33&lt;COLUMNS($F$7:I$7),"",INDEX(TableDiv[[GASB]:[GASB]],_xlfn.AGGREGATE(15,3,(TableDiv[[Agency]:[Agency]]=$E33)/(TableDiv[[Agency]:[Agency]]=$E33)*(ROW(TableDiv[Agency])-ROW(TableDiv[[#Headers],[Agency]])),COLUMNS($F$7:I$7))))</f>
        <v/>
      </c>
      <c r="J33" s="2223" t="str" cm="1">
        <f t="array" ref="J33">IF($D33&lt;COLUMNS($F$7:J$7),"",INDEX(TableDiv[[GASB]:[GASB]],_xlfn.AGGREGATE(15,3,(TableDiv[[Agency]:[Agency]]=$E33)/(TableDiv[[Agency]:[Agency]]=$E33)*(ROW(TableDiv[Agency])-ROW(TableDiv[[#Headers],[Agency]])),COLUMNS($F$7:J$7))))</f>
        <v/>
      </c>
      <c r="K33" s="2223" t="str" cm="1">
        <f t="array" ref="K33">IF($D33&lt;COLUMNS($F$7:K$7),"",INDEX(TableDiv[[GASB]:[GASB]],_xlfn.AGGREGATE(15,3,(TableDiv[[Agency]:[Agency]]=$E33)/(TableDiv[[Agency]:[Agency]]=$E33)*(ROW(TableDiv[Agency])-ROW(TableDiv[[#Headers],[Agency]])),COLUMNS($F$7:K$7))))</f>
        <v/>
      </c>
      <c r="L33" s="2223" t="str" cm="1">
        <f t="array" ref="L33">IF($D33&lt;COLUMNS($F$7:L$7),"",INDEX(TableDiv[[GASB]:[GASB]],_xlfn.AGGREGATE(15,3,(TableDiv[[Agency]:[Agency]]=$E33)/(TableDiv[[Agency]:[Agency]]=$E33)*(ROW(TableDiv[Agency])-ROW(TableDiv[[#Headers],[Agency]])),COLUMNS($F$7:L$7))))</f>
        <v/>
      </c>
      <c r="M33" s="2223" t="str" cm="1">
        <f t="array" ref="M33">IF($D33&lt;COLUMNS($F$7:M$7),"",INDEX(TableDiv[[GASB]:[GASB]],_xlfn.AGGREGATE(15,3,(TableDiv[[Agency]:[Agency]]=$E33)/(TableDiv[[Agency]:[Agency]]=$E33)*(ROW(TableDiv[Agency])-ROW(TableDiv[[#Headers],[Agency]])),COLUMNS($F$7:M$7))))</f>
        <v/>
      </c>
      <c r="N33" s="2223" t="str" cm="1">
        <f t="array" ref="N33">IF($D33&lt;COLUMNS($F$7:N$7),"",INDEX(TableDiv[[GASB]:[GASB]],_xlfn.AGGREGATE(15,3,(TableDiv[[Agency]:[Agency]]=$E33)/(TableDiv[[Agency]:[Agency]]=$E33)*(ROW(TableDiv[Agency])-ROW(TableDiv[[#Headers],[Agency]])),COLUMNS($F$7:N$7))))</f>
        <v/>
      </c>
      <c r="O33" s="2223" t="str" cm="1">
        <f t="array" ref="O33">IF($D33&lt;COLUMNS($F$7:O$7),"",INDEX(TableDiv[[GASB]:[GASB]],_xlfn.AGGREGATE(15,3,(TableDiv[[Agency]:[Agency]]=$E33)/(TableDiv[[Agency]:[Agency]]=$E33)*(ROW(TableDiv[Agency])-ROW(TableDiv[[#Headers],[Agency]])),COLUMNS($F$7:O$7))))</f>
        <v/>
      </c>
      <c r="P33" s="2223" t="str" cm="1">
        <f t="array" ref="P33">IF($D33&lt;COLUMNS($F$7:P$7),"",INDEX(TableDiv[[GASB]:[GASB]],_xlfn.AGGREGATE(15,3,(TableDiv[[Agency]:[Agency]]=$E33)/(TableDiv[[Agency]:[Agency]]=$E33)*(ROW(TableDiv[Agency])-ROW(TableDiv[[#Headers],[Agency]])),COLUMNS($F$7:P$7))))</f>
        <v/>
      </c>
      <c r="Q33" s="2223" t="str" cm="1">
        <f t="array" ref="Q33">IF($D33&lt;COLUMNS($F$7:Q$7),"",INDEX(TableDiv[[GASB]:[GASB]],_xlfn.AGGREGATE(15,3,(TableDiv[[Agency]:[Agency]]=$E33)/(TableDiv[[Agency]:[Agency]]=$E33)*(ROW(TableDiv[Agency])-ROW(TableDiv[[#Headers],[Agency]])),COLUMNS($F$7:Q$7))))</f>
        <v/>
      </c>
      <c r="R33" s="2223" t="str" cm="1">
        <f t="array" ref="R33">IF($D33&lt;COLUMNS($F$7:R$7),"",INDEX(TableDiv[[GASB]:[GASB]],_xlfn.AGGREGATE(15,3,(TableDiv[[Agency]:[Agency]]=$E33)/(TableDiv[[Agency]:[Agency]]=$E33)*(ROW(TableDiv[Agency])-ROW(TableDiv[[#Headers],[Agency]])),COLUMNS($F$7:R$7))))</f>
        <v/>
      </c>
      <c r="S33" s="2223" t="str" cm="1">
        <f t="array" ref="S33">IF($D33&lt;COLUMNS($F$7:S$7),"",INDEX(TableDiv[[GASB]:[GASB]],_xlfn.AGGREGATE(15,3,(TableDiv[[Agency]:[Agency]]=$E33)/(TableDiv[[Agency]:[Agency]]=$E33)*(ROW(TableDiv[Agency])-ROW(TableDiv[[#Headers],[Agency]])),COLUMNS($F$7:S$7))))</f>
        <v/>
      </c>
      <c r="T33" s="2223" t="str" cm="1">
        <f t="array" ref="T33">IF($D33&lt;COLUMNS($F$7:T$7),"",INDEX(TableDiv[[GASB]:[GASB]],_xlfn.AGGREGATE(15,3,(TableDiv[[Agency]:[Agency]]=$E33)/(TableDiv[[Agency]:[Agency]]=$E33)*(ROW(TableDiv[Agency])-ROW(TableDiv[[#Headers],[Agency]])),COLUMNS($F$7:T$7))))</f>
        <v/>
      </c>
      <c r="U33" s="2223" t="str" cm="1">
        <f t="array" ref="U33">IF($D33&lt;COLUMNS($F$7:U$7),"",INDEX(TableDiv[[GASB]:[GASB]],_xlfn.AGGREGATE(15,3,(TableDiv[[Agency]:[Agency]]=$E33)/(TableDiv[[Agency]:[Agency]]=$E33)*(ROW(TableDiv[Agency])-ROW(TableDiv[[#Headers],[Agency]])),COLUMNS($F$7:U$7))))</f>
        <v/>
      </c>
      <c r="V33" s="2223" t="str" cm="1">
        <f t="array" ref="V33">IF($D33&lt;COLUMNS($F$7:V$7),"",INDEX(TableDiv[[GASB]:[GASB]],_xlfn.AGGREGATE(15,3,(TableDiv[[Agency]:[Agency]]=$E33)/(TableDiv[[Agency]:[Agency]]=$E33)*(ROW(TableDiv[Agency])-ROW(TableDiv[[#Headers],[Agency]])),COLUMNS($F$7:V$7))))</f>
        <v/>
      </c>
      <c r="W33" s="2223" t="str" cm="1">
        <f t="array" ref="W33">IF($D33&lt;COLUMNS($F$7:W$7),"",INDEX(TableDiv[[GASB]:[GASB]],_xlfn.AGGREGATE(15,3,(TableDiv[[Agency]:[Agency]]=$E33)/(TableDiv[[Agency]:[Agency]]=$E33)*(ROW(TableDiv[Agency])-ROW(TableDiv[[#Headers],[Agency]])),COLUMNS($F$7:W$7))))</f>
        <v/>
      </c>
      <c r="X33" s="2223" t="str" cm="1">
        <f t="array" ref="X33">IF($D33&lt;COLUMNS($F$7:X$7),"",INDEX(TableDiv[[GASB]:[GASB]],_xlfn.AGGREGATE(15,3,(TableDiv[[Agency]:[Agency]]=$E33)/(TableDiv[[Agency]:[Agency]]=$E33)*(ROW(TableDiv[Agency])-ROW(TableDiv[[#Headers],[Agency]])),COLUMNS($F$7:X$7))))</f>
        <v/>
      </c>
      <c r="Y33" s="2223" t="str" cm="1">
        <f t="array" ref="Y33">IF($D33&lt;COLUMNS($F$7:Y$7),"",INDEX(TableDiv[[GASB]:[GASB]],_xlfn.AGGREGATE(15,3,(TableDiv[[Agency]:[Agency]]=$E33)/(TableDiv[[Agency]:[Agency]]=$E33)*(ROW(TableDiv[Agency])-ROW(TableDiv[[#Headers],[Agency]])),COLUMNS($F$7:Y$7))))</f>
        <v/>
      </c>
      <c r="Z33" s="2223" t="str" cm="1">
        <f t="array" ref="Z33">IF($D33&lt;COLUMNS($F$7:Z$7),"",INDEX(TableDiv[[GASB]:[GASB]],_xlfn.AGGREGATE(15,3,(TableDiv[[Agency]:[Agency]]=$E33)/(TableDiv[[Agency]:[Agency]]=$E33)*(ROW(TableDiv[Agency])-ROW(TableDiv[[#Headers],[Agency]])),COLUMNS($F$7:Z$7))))</f>
        <v/>
      </c>
      <c r="AA33" s="2223" t="str" cm="1">
        <f t="array" ref="AA33">IF($D33&lt;COLUMNS($F$7:AA$7),"",INDEX(TableDiv[[GASB]:[GASB]],_xlfn.AGGREGATE(15,3,(TableDiv[[Agency]:[Agency]]=$E33)/(TableDiv[[Agency]:[Agency]]=$E33)*(ROW(TableDiv[Agency])-ROW(TableDiv[[#Headers],[Agency]])),COLUMNS($F$7:AA$7))))</f>
        <v/>
      </c>
      <c r="AB33" s="2223" t="str" cm="1">
        <f t="array" ref="AB33">IF($D33&lt;COLUMNS($F$7:AB$7),"",INDEX(TableDiv[[GASB]:[GASB]],_xlfn.AGGREGATE(15,3,(TableDiv[[Agency]:[Agency]]=$E33)/(TableDiv[[Agency]:[Agency]]=$E33)*(ROW(TableDiv[Agency])-ROW(TableDiv[[#Headers],[Agency]])),COLUMNS($F$7:AB$7))))</f>
        <v/>
      </c>
      <c r="AC33" s="2223" t="str" cm="1">
        <f t="array" ref="AC33">IF($D33&lt;COLUMNS($F$7:AC$7),"",INDEX(TableDiv[[GASB]:[GASB]],_xlfn.AGGREGATE(15,3,(TableDiv[[Agency]:[Agency]]=$E33)/(TableDiv[[Agency]:[Agency]]=$E33)*(ROW(TableDiv[Agency])-ROW(TableDiv[[#Headers],[Agency]])),COLUMNS($F$7:AC$7))))</f>
        <v/>
      </c>
      <c r="AD33" s="2223" t="str" cm="1">
        <f t="array" ref="AD33">IF($D33&lt;COLUMNS($F$7:AD$7),"",INDEX(TableDiv[[GASB]:[GASB]],_xlfn.AGGREGATE(15,3,(TableDiv[[Agency]:[Agency]]=$E33)/(TableDiv[[Agency]:[Agency]]=$E33)*(ROW(TableDiv[Agency])-ROW(TableDiv[[#Headers],[Agency]])),COLUMNS($F$7:AD$7))))</f>
        <v/>
      </c>
      <c r="AE33" s="2223" t="str" cm="1">
        <f t="array" ref="AE33">IF($D33&lt;COLUMNS($F$7:AE$7),"",INDEX(TableDiv[[GASB]:[GASB]],_xlfn.AGGREGATE(15,3,(TableDiv[[Agency]:[Agency]]=$E33)/(TableDiv[[Agency]:[Agency]]=$E33)*(ROW(TableDiv[Agency])-ROW(TableDiv[[#Headers],[Agency]])),COLUMNS($F$7:AE$7))))</f>
        <v/>
      </c>
      <c r="AF33" s="2223" t="str" cm="1">
        <f t="array" ref="AF33">IF($D33&lt;COLUMNS($F$7:AF$7),"",INDEX(TableDiv[[GASB]:[GASB]],_xlfn.AGGREGATE(15,3,(TableDiv[[Agency]:[Agency]]=$E33)/(TableDiv[[Agency]:[Agency]]=$E33)*(ROW(TableDiv[Agency])-ROW(TableDiv[[#Headers],[Agency]])),COLUMNS($F$7:AF$7))))</f>
        <v/>
      </c>
      <c r="AG33" s="2223" t="str" cm="1">
        <f t="array" ref="AG33">IF($D33&lt;COLUMNS($F$7:AG$7),"",INDEX(TableDiv[[GASB]:[GASB]],_xlfn.AGGREGATE(15,3,(TableDiv[[Agency]:[Agency]]=$E33)/(TableDiv[[Agency]:[Agency]]=$E33)*(ROW(TableDiv[Agency])-ROW(TableDiv[[#Headers],[Agency]])),COLUMNS($F$7:AG$7))))</f>
        <v/>
      </c>
      <c r="AH33" s="2223" t="str" cm="1">
        <f t="array" ref="AH33">IF($D33&lt;COLUMNS($F$7:AH$7),"",INDEX(TableDiv[[GASB]:[GASB]],_xlfn.AGGREGATE(15,3,(TableDiv[[Agency]:[Agency]]=$E33)/(TableDiv[[Agency]:[Agency]]=$E33)*(ROW(TableDiv[Agency])-ROW(TableDiv[[#Headers],[Agency]])),COLUMNS($F$7:AH$7))))</f>
        <v/>
      </c>
      <c r="AI33" s="2223" t="str" cm="1">
        <f t="array" ref="AI33">IF($D33&lt;COLUMNS($F$7:AI$7),"",INDEX(TableDiv[[GASB]:[GASB]],_xlfn.AGGREGATE(15,3,(TableDiv[[Agency]:[Agency]]=$E33)/(TableDiv[[Agency]:[Agency]]=$E33)*(ROW(TableDiv[Agency])-ROW(TableDiv[[#Headers],[Agency]])),COLUMNS($F$7:AI$7))))</f>
        <v/>
      </c>
      <c r="AJ33" s="2223" t="str" cm="1">
        <f t="array" ref="AJ33">IF($D33&lt;COLUMNS($F$7:AJ$7),"",INDEX(TableDiv[[GASB]:[GASB]],_xlfn.AGGREGATE(15,3,(TableDiv[[Agency]:[Agency]]=$E33)/(TableDiv[[Agency]:[Agency]]=$E33)*(ROW(TableDiv[Agency])-ROW(TableDiv[[#Headers],[Agency]])),COLUMNS($F$7:AJ$7))))</f>
        <v/>
      </c>
      <c r="AK33" s="2223" t="str" cm="1">
        <f t="array" ref="AK33">IF($D33&lt;COLUMNS($F$7:AK$7),"",INDEX(TableDiv[[GASB]:[GASB]],_xlfn.AGGREGATE(15,3,(TableDiv[[Agency]:[Agency]]=$E33)/(TableDiv[[Agency]:[Agency]]=$E33)*(ROW(TableDiv[Agency])-ROW(TableDiv[[#Headers],[Agency]])),COLUMNS($F$7:AK$7))))</f>
        <v/>
      </c>
      <c r="AL33" s="2223" t="str" cm="1">
        <f t="array" ref="AL33">IF($D33&lt;COLUMNS($F$7:AL$7),"",INDEX(TableDiv[[GASB]:[GASB]],_xlfn.AGGREGATE(15,3,(TableDiv[[Agency]:[Agency]]=$E33)/(TableDiv[[Agency]:[Agency]]=$E33)*(ROW(TableDiv[Agency])-ROW(TableDiv[[#Headers],[Agency]])),COLUMNS($F$7:AL$7))))</f>
        <v/>
      </c>
      <c r="AM33" s="2223" t="str" cm="1">
        <f t="array" ref="AM33">IF($D33&lt;COLUMNS($F$7:AM$7),"",INDEX(TableDiv[[GASB]:[GASB]],_xlfn.AGGREGATE(15,3,(TableDiv[[Agency]:[Agency]]=$E33)/(TableDiv[[Agency]:[Agency]]=$E33)*(ROW(TableDiv[Agency])-ROW(TableDiv[[#Headers],[Agency]])),COLUMNS($F$7:AM$7))))</f>
        <v/>
      </c>
      <c r="AN33" s="2223"/>
      <c r="AO33" s="2223"/>
      <c r="AP33" s="2223"/>
      <c r="AQ33" s="2223"/>
      <c r="AR33" s="2223"/>
      <c r="AS33" s="2223"/>
    </row>
    <row r="34" spans="1:45" ht="15" x14ac:dyDescent="0.25">
      <c r="A34" s="2219" t="s">
        <v>5101</v>
      </c>
      <c r="B34" s="2219" t="s">
        <v>6373</v>
      </c>
      <c r="C34" s="2223"/>
      <c r="D34" s="2223">
        <f>COUNTIF(TableDiv[Agency],E34)</f>
        <v>4</v>
      </c>
      <c r="E34" s="2230" t="str" cm="1">
        <f t="array" ref="E34">IFERROR(INDEX(TableDiv[Agency],MATCH(0,INDEX(COUNTIF($E$7:E33,TableDiv[Agency]),),0)),"")</f>
        <v>2800</v>
      </c>
      <c r="F34" s="2223" t="str" cm="1">
        <f t="array" ref="F34">IF($D34&lt;COLUMNS($F$7:F$7),"",INDEX(TableDiv[[GASB]:[GASB]],_xlfn.AGGREGATE(15,3,(TableDiv[[Agency]:[Agency]]=$E34)/(TableDiv[[Agency]:[Agency]]=$E34)*(ROW(TableDiv[Agency])-ROW(TableDiv[[#Headers],[Agency]])),COLUMNS($F$7:F$7))))</f>
        <v>11000G</v>
      </c>
      <c r="G34" s="2223" t="str" cm="1">
        <f t="array" ref="G34">IF($D34&lt;COLUMNS($F$7:G$7),"",INDEX(TableDiv[[GASB]:[GASB]],_xlfn.AGGREGATE(15,3,(TableDiv[[Agency]:[Agency]]=$E34)/(TableDiv[[Agency]:[Agency]]=$E34)*(ROW(TableDiv[Agency])-ROW(TableDiv[[#Headers],[Agency]])),COLUMNS($F$7:G$7))))</f>
        <v>11020G</v>
      </c>
      <c r="H34" s="2223" t="str" cm="1">
        <f t="array" ref="H34">IF($D34&lt;COLUMNS($F$7:H$7),"",INDEX(TableDiv[[GASB]:[GASB]],_xlfn.AGGREGATE(15,3,(TableDiv[[Agency]:[Agency]]=$E34)/(TableDiv[[Agency]:[Agency]]=$E34)*(ROW(TableDiv[Agency])-ROW(TableDiv[[#Headers],[Agency]])),COLUMNS($F$7:H$7))))</f>
        <v>12000G</v>
      </c>
      <c r="I34" s="2223" t="str" cm="1">
        <f t="array" ref="I34">IF($D34&lt;COLUMNS($F$7:I$7),"",INDEX(TableDiv[[GASB]:[GASB]],_xlfn.AGGREGATE(15,3,(TableDiv[[Agency]:[Agency]]=$E34)/(TableDiv[[Agency]:[Agency]]=$E34)*(ROW(TableDiv[Agency])-ROW(TableDiv[[#Headers],[Agency]])),COLUMNS($F$7:I$7))))</f>
        <v>14000G</v>
      </c>
      <c r="J34" s="2223" t="str" cm="1">
        <f t="array" ref="J34">IF($D34&lt;COLUMNS($F$7:J$7),"",INDEX(TableDiv[[GASB]:[GASB]],_xlfn.AGGREGATE(15,3,(TableDiv[[Agency]:[Agency]]=$E34)/(TableDiv[[Agency]:[Agency]]=$E34)*(ROW(TableDiv[Agency])-ROW(TableDiv[[#Headers],[Agency]])),COLUMNS($F$7:J$7))))</f>
        <v/>
      </c>
      <c r="K34" s="2223" t="str" cm="1">
        <f t="array" ref="K34">IF($D34&lt;COLUMNS($F$7:K$7),"",INDEX(TableDiv[[GASB]:[GASB]],_xlfn.AGGREGATE(15,3,(TableDiv[[Agency]:[Agency]]=$E34)/(TableDiv[[Agency]:[Agency]]=$E34)*(ROW(TableDiv[Agency])-ROW(TableDiv[[#Headers],[Agency]])),COLUMNS($F$7:K$7))))</f>
        <v/>
      </c>
      <c r="L34" s="2223" t="str" cm="1">
        <f t="array" ref="L34">IF($D34&lt;COLUMNS($F$7:L$7),"",INDEX(TableDiv[[GASB]:[GASB]],_xlfn.AGGREGATE(15,3,(TableDiv[[Agency]:[Agency]]=$E34)/(TableDiv[[Agency]:[Agency]]=$E34)*(ROW(TableDiv[Agency])-ROW(TableDiv[[#Headers],[Agency]])),COLUMNS($F$7:L$7))))</f>
        <v/>
      </c>
      <c r="M34" s="2223" t="str" cm="1">
        <f t="array" ref="M34">IF($D34&lt;COLUMNS($F$7:M$7),"",INDEX(TableDiv[[GASB]:[GASB]],_xlfn.AGGREGATE(15,3,(TableDiv[[Agency]:[Agency]]=$E34)/(TableDiv[[Agency]:[Agency]]=$E34)*(ROW(TableDiv[Agency])-ROW(TableDiv[[#Headers],[Agency]])),COLUMNS($F$7:M$7))))</f>
        <v/>
      </c>
      <c r="N34" s="2223" t="str" cm="1">
        <f t="array" ref="N34">IF($D34&lt;COLUMNS($F$7:N$7),"",INDEX(TableDiv[[GASB]:[GASB]],_xlfn.AGGREGATE(15,3,(TableDiv[[Agency]:[Agency]]=$E34)/(TableDiv[[Agency]:[Agency]]=$E34)*(ROW(TableDiv[Agency])-ROW(TableDiv[[#Headers],[Agency]])),COLUMNS($F$7:N$7))))</f>
        <v/>
      </c>
      <c r="O34" s="2223" t="str" cm="1">
        <f t="array" ref="O34">IF($D34&lt;COLUMNS($F$7:O$7),"",INDEX(TableDiv[[GASB]:[GASB]],_xlfn.AGGREGATE(15,3,(TableDiv[[Agency]:[Agency]]=$E34)/(TableDiv[[Agency]:[Agency]]=$E34)*(ROW(TableDiv[Agency])-ROW(TableDiv[[#Headers],[Agency]])),COLUMNS($F$7:O$7))))</f>
        <v/>
      </c>
      <c r="P34" s="2223" t="str" cm="1">
        <f t="array" ref="P34">IF($D34&lt;COLUMNS($F$7:P$7),"",INDEX(TableDiv[[GASB]:[GASB]],_xlfn.AGGREGATE(15,3,(TableDiv[[Agency]:[Agency]]=$E34)/(TableDiv[[Agency]:[Agency]]=$E34)*(ROW(TableDiv[Agency])-ROW(TableDiv[[#Headers],[Agency]])),COLUMNS($F$7:P$7))))</f>
        <v/>
      </c>
      <c r="Q34" s="2223" t="str" cm="1">
        <f t="array" ref="Q34">IF($D34&lt;COLUMNS($F$7:Q$7),"",INDEX(TableDiv[[GASB]:[GASB]],_xlfn.AGGREGATE(15,3,(TableDiv[[Agency]:[Agency]]=$E34)/(TableDiv[[Agency]:[Agency]]=$E34)*(ROW(TableDiv[Agency])-ROW(TableDiv[[#Headers],[Agency]])),COLUMNS($F$7:Q$7))))</f>
        <v/>
      </c>
      <c r="R34" s="2223" t="str" cm="1">
        <f t="array" ref="R34">IF($D34&lt;COLUMNS($F$7:R$7),"",INDEX(TableDiv[[GASB]:[GASB]],_xlfn.AGGREGATE(15,3,(TableDiv[[Agency]:[Agency]]=$E34)/(TableDiv[[Agency]:[Agency]]=$E34)*(ROW(TableDiv[Agency])-ROW(TableDiv[[#Headers],[Agency]])),COLUMNS($F$7:R$7))))</f>
        <v/>
      </c>
      <c r="S34" s="2223" t="str" cm="1">
        <f t="array" ref="S34">IF($D34&lt;COLUMNS($F$7:S$7),"",INDEX(TableDiv[[GASB]:[GASB]],_xlfn.AGGREGATE(15,3,(TableDiv[[Agency]:[Agency]]=$E34)/(TableDiv[[Agency]:[Agency]]=$E34)*(ROW(TableDiv[Agency])-ROW(TableDiv[[#Headers],[Agency]])),COLUMNS($F$7:S$7))))</f>
        <v/>
      </c>
      <c r="T34" s="2223" t="str" cm="1">
        <f t="array" ref="T34">IF($D34&lt;COLUMNS($F$7:T$7),"",INDEX(TableDiv[[GASB]:[GASB]],_xlfn.AGGREGATE(15,3,(TableDiv[[Agency]:[Agency]]=$E34)/(TableDiv[[Agency]:[Agency]]=$E34)*(ROW(TableDiv[Agency])-ROW(TableDiv[[#Headers],[Agency]])),COLUMNS($F$7:T$7))))</f>
        <v/>
      </c>
      <c r="U34" s="2223" t="str" cm="1">
        <f t="array" ref="U34">IF($D34&lt;COLUMNS($F$7:U$7),"",INDEX(TableDiv[[GASB]:[GASB]],_xlfn.AGGREGATE(15,3,(TableDiv[[Agency]:[Agency]]=$E34)/(TableDiv[[Agency]:[Agency]]=$E34)*(ROW(TableDiv[Agency])-ROW(TableDiv[[#Headers],[Agency]])),COLUMNS($F$7:U$7))))</f>
        <v/>
      </c>
      <c r="V34" s="2223" t="str" cm="1">
        <f t="array" ref="V34">IF($D34&lt;COLUMNS($F$7:V$7),"",INDEX(TableDiv[[GASB]:[GASB]],_xlfn.AGGREGATE(15,3,(TableDiv[[Agency]:[Agency]]=$E34)/(TableDiv[[Agency]:[Agency]]=$E34)*(ROW(TableDiv[Agency])-ROW(TableDiv[[#Headers],[Agency]])),COLUMNS($F$7:V$7))))</f>
        <v/>
      </c>
      <c r="W34" s="2223" t="str" cm="1">
        <f t="array" ref="W34">IF($D34&lt;COLUMNS($F$7:W$7),"",INDEX(TableDiv[[GASB]:[GASB]],_xlfn.AGGREGATE(15,3,(TableDiv[[Agency]:[Agency]]=$E34)/(TableDiv[[Agency]:[Agency]]=$E34)*(ROW(TableDiv[Agency])-ROW(TableDiv[[#Headers],[Agency]])),COLUMNS($F$7:W$7))))</f>
        <v/>
      </c>
      <c r="X34" s="2223" t="str" cm="1">
        <f t="array" ref="X34">IF($D34&lt;COLUMNS($F$7:X$7),"",INDEX(TableDiv[[GASB]:[GASB]],_xlfn.AGGREGATE(15,3,(TableDiv[[Agency]:[Agency]]=$E34)/(TableDiv[[Agency]:[Agency]]=$E34)*(ROW(TableDiv[Agency])-ROW(TableDiv[[#Headers],[Agency]])),COLUMNS($F$7:X$7))))</f>
        <v/>
      </c>
      <c r="Y34" s="2223" t="str" cm="1">
        <f t="array" ref="Y34">IF($D34&lt;COLUMNS($F$7:Y$7),"",INDEX(TableDiv[[GASB]:[GASB]],_xlfn.AGGREGATE(15,3,(TableDiv[[Agency]:[Agency]]=$E34)/(TableDiv[[Agency]:[Agency]]=$E34)*(ROW(TableDiv[Agency])-ROW(TableDiv[[#Headers],[Agency]])),COLUMNS($F$7:Y$7))))</f>
        <v/>
      </c>
      <c r="Z34" s="2223" t="str" cm="1">
        <f t="array" ref="Z34">IF($D34&lt;COLUMNS($F$7:Z$7),"",INDEX(TableDiv[[GASB]:[GASB]],_xlfn.AGGREGATE(15,3,(TableDiv[[Agency]:[Agency]]=$E34)/(TableDiv[[Agency]:[Agency]]=$E34)*(ROW(TableDiv[Agency])-ROW(TableDiv[[#Headers],[Agency]])),COLUMNS($F$7:Z$7))))</f>
        <v/>
      </c>
      <c r="AA34" s="2223" t="str" cm="1">
        <f t="array" ref="AA34">IF($D34&lt;COLUMNS($F$7:AA$7),"",INDEX(TableDiv[[GASB]:[GASB]],_xlfn.AGGREGATE(15,3,(TableDiv[[Agency]:[Agency]]=$E34)/(TableDiv[[Agency]:[Agency]]=$E34)*(ROW(TableDiv[Agency])-ROW(TableDiv[[#Headers],[Agency]])),COLUMNS($F$7:AA$7))))</f>
        <v/>
      </c>
      <c r="AB34" s="2223" t="str" cm="1">
        <f t="array" ref="AB34">IF($D34&lt;COLUMNS($F$7:AB$7),"",INDEX(TableDiv[[GASB]:[GASB]],_xlfn.AGGREGATE(15,3,(TableDiv[[Agency]:[Agency]]=$E34)/(TableDiv[[Agency]:[Agency]]=$E34)*(ROW(TableDiv[Agency])-ROW(TableDiv[[#Headers],[Agency]])),COLUMNS($F$7:AB$7))))</f>
        <v/>
      </c>
      <c r="AC34" s="2223" t="str" cm="1">
        <f t="array" ref="AC34">IF($D34&lt;COLUMNS($F$7:AC$7),"",INDEX(TableDiv[[GASB]:[GASB]],_xlfn.AGGREGATE(15,3,(TableDiv[[Agency]:[Agency]]=$E34)/(TableDiv[[Agency]:[Agency]]=$E34)*(ROW(TableDiv[Agency])-ROW(TableDiv[[#Headers],[Agency]])),COLUMNS($F$7:AC$7))))</f>
        <v/>
      </c>
      <c r="AD34" s="2223" t="str" cm="1">
        <f t="array" ref="AD34">IF($D34&lt;COLUMNS($F$7:AD$7),"",INDEX(TableDiv[[GASB]:[GASB]],_xlfn.AGGREGATE(15,3,(TableDiv[[Agency]:[Agency]]=$E34)/(TableDiv[[Agency]:[Agency]]=$E34)*(ROW(TableDiv[Agency])-ROW(TableDiv[[#Headers],[Agency]])),COLUMNS($F$7:AD$7))))</f>
        <v/>
      </c>
      <c r="AE34" s="2223" t="str" cm="1">
        <f t="array" ref="AE34">IF($D34&lt;COLUMNS($F$7:AE$7),"",INDEX(TableDiv[[GASB]:[GASB]],_xlfn.AGGREGATE(15,3,(TableDiv[[Agency]:[Agency]]=$E34)/(TableDiv[[Agency]:[Agency]]=$E34)*(ROW(TableDiv[Agency])-ROW(TableDiv[[#Headers],[Agency]])),COLUMNS($F$7:AE$7))))</f>
        <v/>
      </c>
      <c r="AF34" s="2223" t="str" cm="1">
        <f t="array" ref="AF34">IF($D34&lt;COLUMNS($F$7:AF$7),"",INDEX(TableDiv[[GASB]:[GASB]],_xlfn.AGGREGATE(15,3,(TableDiv[[Agency]:[Agency]]=$E34)/(TableDiv[[Agency]:[Agency]]=$E34)*(ROW(TableDiv[Agency])-ROW(TableDiv[[#Headers],[Agency]])),COLUMNS($F$7:AF$7))))</f>
        <v/>
      </c>
      <c r="AG34" s="2223" t="str" cm="1">
        <f t="array" ref="AG34">IF($D34&lt;COLUMNS($F$7:AG$7),"",INDEX(TableDiv[[GASB]:[GASB]],_xlfn.AGGREGATE(15,3,(TableDiv[[Agency]:[Agency]]=$E34)/(TableDiv[[Agency]:[Agency]]=$E34)*(ROW(TableDiv[Agency])-ROW(TableDiv[[#Headers],[Agency]])),COLUMNS($F$7:AG$7))))</f>
        <v/>
      </c>
      <c r="AH34" s="2223" t="str" cm="1">
        <f t="array" ref="AH34">IF($D34&lt;COLUMNS($F$7:AH$7),"",INDEX(TableDiv[[GASB]:[GASB]],_xlfn.AGGREGATE(15,3,(TableDiv[[Agency]:[Agency]]=$E34)/(TableDiv[[Agency]:[Agency]]=$E34)*(ROW(TableDiv[Agency])-ROW(TableDiv[[#Headers],[Agency]])),COLUMNS($F$7:AH$7))))</f>
        <v/>
      </c>
      <c r="AI34" s="2223" t="str" cm="1">
        <f t="array" ref="AI34">IF($D34&lt;COLUMNS($F$7:AI$7),"",INDEX(TableDiv[[GASB]:[GASB]],_xlfn.AGGREGATE(15,3,(TableDiv[[Agency]:[Agency]]=$E34)/(TableDiv[[Agency]:[Agency]]=$E34)*(ROW(TableDiv[Agency])-ROW(TableDiv[[#Headers],[Agency]])),COLUMNS($F$7:AI$7))))</f>
        <v/>
      </c>
      <c r="AJ34" s="2223" t="str" cm="1">
        <f t="array" ref="AJ34">IF($D34&lt;COLUMNS($F$7:AJ$7),"",INDEX(TableDiv[[GASB]:[GASB]],_xlfn.AGGREGATE(15,3,(TableDiv[[Agency]:[Agency]]=$E34)/(TableDiv[[Agency]:[Agency]]=$E34)*(ROW(TableDiv[Agency])-ROW(TableDiv[[#Headers],[Agency]])),COLUMNS($F$7:AJ$7))))</f>
        <v/>
      </c>
      <c r="AK34" s="2223" t="str" cm="1">
        <f t="array" ref="AK34">IF($D34&lt;COLUMNS($F$7:AK$7),"",INDEX(TableDiv[[GASB]:[GASB]],_xlfn.AGGREGATE(15,3,(TableDiv[[Agency]:[Agency]]=$E34)/(TableDiv[[Agency]:[Agency]]=$E34)*(ROW(TableDiv[Agency])-ROW(TableDiv[[#Headers],[Agency]])),COLUMNS($F$7:AK$7))))</f>
        <v/>
      </c>
      <c r="AL34" s="2223" t="str" cm="1">
        <f t="array" ref="AL34">IF($D34&lt;COLUMNS($F$7:AL$7),"",INDEX(TableDiv[[GASB]:[GASB]],_xlfn.AGGREGATE(15,3,(TableDiv[[Agency]:[Agency]]=$E34)/(TableDiv[[Agency]:[Agency]]=$E34)*(ROW(TableDiv[Agency])-ROW(TableDiv[[#Headers],[Agency]])),COLUMNS($F$7:AL$7))))</f>
        <v/>
      </c>
      <c r="AM34" s="2223" t="str" cm="1">
        <f t="array" ref="AM34">IF($D34&lt;COLUMNS($F$7:AM$7),"",INDEX(TableDiv[[GASB]:[GASB]],_xlfn.AGGREGATE(15,3,(TableDiv[[Agency]:[Agency]]=$E34)/(TableDiv[[Agency]:[Agency]]=$E34)*(ROW(TableDiv[Agency])-ROW(TableDiv[[#Headers],[Agency]])),COLUMNS($F$7:AM$7))))</f>
        <v/>
      </c>
      <c r="AN34" s="2223"/>
      <c r="AO34" s="2223"/>
      <c r="AP34" s="2223"/>
      <c r="AQ34" s="2223"/>
      <c r="AR34" s="2223"/>
      <c r="AS34" s="2223"/>
    </row>
    <row r="35" spans="1:45" ht="15" x14ac:dyDescent="0.25">
      <c r="A35" s="2219" t="s">
        <v>5101</v>
      </c>
      <c r="B35" s="2219" t="s">
        <v>6374</v>
      </c>
      <c r="C35" s="2223"/>
      <c r="D35" s="2223">
        <f>COUNTIF(TableDiv[Agency],E35)</f>
        <v>1</v>
      </c>
      <c r="E35" s="2230" t="str" cm="1">
        <f t="array" ref="E35">IFERROR(INDEX(TableDiv[Agency],MATCH(0,INDEX(COUNTIF($E$7:E34,TableDiv[Agency]),),0)),"")</f>
        <v>2A00</v>
      </c>
      <c r="F35" s="2223" t="str" cm="1">
        <f t="array" ref="F35">IF($D35&lt;COLUMNS($F$7:F$7),"",INDEX(TableDiv[[GASB]:[GASB]],_xlfn.AGGREGATE(15,3,(TableDiv[[Agency]:[Agency]]=$E35)/(TableDiv[[Agency]:[Agency]]=$E35)*(ROW(TableDiv[Agency])-ROW(TableDiv[[#Headers],[Agency]])),COLUMNS($F$7:F$7))))</f>
        <v>13100G</v>
      </c>
      <c r="G35" s="2223" t="str" cm="1">
        <f t="array" ref="G35">IF($D35&lt;COLUMNS($F$7:G$7),"",INDEX(TableDiv[[GASB]:[GASB]],_xlfn.AGGREGATE(15,3,(TableDiv[[Agency]:[Agency]]=$E35)/(TableDiv[[Agency]:[Agency]]=$E35)*(ROW(TableDiv[Agency])-ROW(TableDiv[[#Headers],[Agency]])),COLUMNS($F$7:G$7))))</f>
        <v/>
      </c>
      <c r="H35" s="2223" t="str" cm="1">
        <f t="array" ref="H35">IF($D35&lt;COLUMNS($F$7:H$7),"",INDEX(TableDiv[[GASB]:[GASB]],_xlfn.AGGREGATE(15,3,(TableDiv[[Agency]:[Agency]]=$E35)/(TableDiv[[Agency]:[Agency]]=$E35)*(ROW(TableDiv[Agency])-ROW(TableDiv[[#Headers],[Agency]])),COLUMNS($F$7:H$7))))</f>
        <v/>
      </c>
      <c r="I35" s="2223" t="str" cm="1">
        <f t="array" ref="I35">IF($D35&lt;COLUMNS($F$7:I$7),"",INDEX(TableDiv[[GASB]:[GASB]],_xlfn.AGGREGATE(15,3,(TableDiv[[Agency]:[Agency]]=$E35)/(TableDiv[[Agency]:[Agency]]=$E35)*(ROW(TableDiv[Agency])-ROW(TableDiv[[#Headers],[Agency]])),COLUMNS($F$7:I$7))))</f>
        <v/>
      </c>
      <c r="J35" s="2223" t="str" cm="1">
        <f t="array" ref="J35">IF($D35&lt;COLUMNS($F$7:J$7),"",INDEX(TableDiv[[GASB]:[GASB]],_xlfn.AGGREGATE(15,3,(TableDiv[[Agency]:[Agency]]=$E35)/(TableDiv[[Agency]:[Agency]]=$E35)*(ROW(TableDiv[Agency])-ROW(TableDiv[[#Headers],[Agency]])),COLUMNS($F$7:J$7))))</f>
        <v/>
      </c>
      <c r="K35" s="2223" t="str" cm="1">
        <f t="array" ref="K35">IF($D35&lt;COLUMNS($F$7:K$7),"",INDEX(TableDiv[[GASB]:[GASB]],_xlfn.AGGREGATE(15,3,(TableDiv[[Agency]:[Agency]]=$E35)/(TableDiv[[Agency]:[Agency]]=$E35)*(ROW(TableDiv[Agency])-ROW(TableDiv[[#Headers],[Agency]])),COLUMNS($F$7:K$7))))</f>
        <v/>
      </c>
      <c r="L35" s="2223" t="str" cm="1">
        <f t="array" ref="L35">IF($D35&lt;COLUMNS($F$7:L$7),"",INDEX(TableDiv[[GASB]:[GASB]],_xlfn.AGGREGATE(15,3,(TableDiv[[Agency]:[Agency]]=$E35)/(TableDiv[[Agency]:[Agency]]=$E35)*(ROW(TableDiv[Agency])-ROW(TableDiv[[#Headers],[Agency]])),COLUMNS($F$7:L$7))))</f>
        <v/>
      </c>
      <c r="M35" s="2223" t="str" cm="1">
        <f t="array" ref="M35">IF($D35&lt;COLUMNS($F$7:M$7),"",INDEX(TableDiv[[GASB]:[GASB]],_xlfn.AGGREGATE(15,3,(TableDiv[[Agency]:[Agency]]=$E35)/(TableDiv[[Agency]:[Agency]]=$E35)*(ROW(TableDiv[Agency])-ROW(TableDiv[[#Headers],[Agency]])),COLUMNS($F$7:M$7))))</f>
        <v/>
      </c>
      <c r="N35" s="2223" t="str" cm="1">
        <f t="array" ref="N35">IF($D35&lt;COLUMNS($F$7:N$7),"",INDEX(TableDiv[[GASB]:[GASB]],_xlfn.AGGREGATE(15,3,(TableDiv[[Agency]:[Agency]]=$E35)/(TableDiv[[Agency]:[Agency]]=$E35)*(ROW(TableDiv[Agency])-ROW(TableDiv[[#Headers],[Agency]])),COLUMNS($F$7:N$7))))</f>
        <v/>
      </c>
      <c r="O35" s="2223" t="str" cm="1">
        <f t="array" ref="O35">IF($D35&lt;COLUMNS($F$7:O$7),"",INDEX(TableDiv[[GASB]:[GASB]],_xlfn.AGGREGATE(15,3,(TableDiv[[Agency]:[Agency]]=$E35)/(TableDiv[[Agency]:[Agency]]=$E35)*(ROW(TableDiv[Agency])-ROW(TableDiv[[#Headers],[Agency]])),COLUMNS($F$7:O$7))))</f>
        <v/>
      </c>
      <c r="P35" s="2223" t="str" cm="1">
        <f t="array" ref="P35">IF($D35&lt;COLUMNS($F$7:P$7),"",INDEX(TableDiv[[GASB]:[GASB]],_xlfn.AGGREGATE(15,3,(TableDiv[[Agency]:[Agency]]=$E35)/(TableDiv[[Agency]:[Agency]]=$E35)*(ROW(TableDiv[Agency])-ROW(TableDiv[[#Headers],[Agency]])),COLUMNS($F$7:P$7))))</f>
        <v/>
      </c>
      <c r="Q35" s="2223" t="str" cm="1">
        <f t="array" ref="Q35">IF($D35&lt;COLUMNS($F$7:Q$7),"",INDEX(TableDiv[[GASB]:[GASB]],_xlfn.AGGREGATE(15,3,(TableDiv[[Agency]:[Agency]]=$E35)/(TableDiv[[Agency]:[Agency]]=$E35)*(ROW(TableDiv[Agency])-ROW(TableDiv[[#Headers],[Agency]])),COLUMNS($F$7:Q$7))))</f>
        <v/>
      </c>
      <c r="R35" s="2223" t="str" cm="1">
        <f t="array" ref="R35">IF($D35&lt;COLUMNS($F$7:R$7),"",INDEX(TableDiv[[GASB]:[GASB]],_xlfn.AGGREGATE(15,3,(TableDiv[[Agency]:[Agency]]=$E35)/(TableDiv[[Agency]:[Agency]]=$E35)*(ROW(TableDiv[Agency])-ROW(TableDiv[[#Headers],[Agency]])),COLUMNS($F$7:R$7))))</f>
        <v/>
      </c>
      <c r="S35" s="2223" t="str" cm="1">
        <f t="array" ref="S35">IF($D35&lt;COLUMNS($F$7:S$7),"",INDEX(TableDiv[[GASB]:[GASB]],_xlfn.AGGREGATE(15,3,(TableDiv[[Agency]:[Agency]]=$E35)/(TableDiv[[Agency]:[Agency]]=$E35)*(ROW(TableDiv[Agency])-ROW(TableDiv[[#Headers],[Agency]])),COLUMNS($F$7:S$7))))</f>
        <v/>
      </c>
      <c r="T35" s="2223" t="str" cm="1">
        <f t="array" ref="T35">IF($D35&lt;COLUMNS($F$7:T$7),"",INDEX(TableDiv[[GASB]:[GASB]],_xlfn.AGGREGATE(15,3,(TableDiv[[Agency]:[Agency]]=$E35)/(TableDiv[[Agency]:[Agency]]=$E35)*(ROW(TableDiv[Agency])-ROW(TableDiv[[#Headers],[Agency]])),COLUMNS($F$7:T$7))))</f>
        <v/>
      </c>
      <c r="U35" s="2223" t="str" cm="1">
        <f t="array" ref="U35">IF($D35&lt;COLUMNS($F$7:U$7),"",INDEX(TableDiv[[GASB]:[GASB]],_xlfn.AGGREGATE(15,3,(TableDiv[[Agency]:[Agency]]=$E35)/(TableDiv[[Agency]:[Agency]]=$E35)*(ROW(TableDiv[Agency])-ROW(TableDiv[[#Headers],[Agency]])),COLUMNS($F$7:U$7))))</f>
        <v/>
      </c>
      <c r="V35" s="2223" t="str" cm="1">
        <f t="array" ref="V35">IF($D35&lt;COLUMNS($F$7:V$7),"",INDEX(TableDiv[[GASB]:[GASB]],_xlfn.AGGREGATE(15,3,(TableDiv[[Agency]:[Agency]]=$E35)/(TableDiv[[Agency]:[Agency]]=$E35)*(ROW(TableDiv[Agency])-ROW(TableDiv[[#Headers],[Agency]])),COLUMNS($F$7:V$7))))</f>
        <v/>
      </c>
      <c r="W35" s="2223" t="str" cm="1">
        <f t="array" ref="W35">IF($D35&lt;COLUMNS($F$7:W$7),"",INDEX(TableDiv[[GASB]:[GASB]],_xlfn.AGGREGATE(15,3,(TableDiv[[Agency]:[Agency]]=$E35)/(TableDiv[[Agency]:[Agency]]=$E35)*(ROW(TableDiv[Agency])-ROW(TableDiv[[#Headers],[Agency]])),COLUMNS($F$7:W$7))))</f>
        <v/>
      </c>
      <c r="X35" s="2223" t="str" cm="1">
        <f t="array" ref="X35">IF($D35&lt;COLUMNS($F$7:X$7),"",INDEX(TableDiv[[GASB]:[GASB]],_xlfn.AGGREGATE(15,3,(TableDiv[[Agency]:[Agency]]=$E35)/(TableDiv[[Agency]:[Agency]]=$E35)*(ROW(TableDiv[Agency])-ROW(TableDiv[[#Headers],[Agency]])),COLUMNS($F$7:X$7))))</f>
        <v/>
      </c>
      <c r="Y35" s="2223" t="str" cm="1">
        <f t="array" ref="Y35">IF($D35&lt;COLUMNS($F$7:Y$7),"",INDEX(TableDiv[[GASB]:[GASB]],_xlfn.AGGREGATE(15,3,(TableDiv[[Agency]:[Agency]]=$E35)/(TableDiv[[Agency]:[Agency]]=$E35)*(ROW(TableDiv[Agency])-ROW(TableDiv[[#Headers],[Agency]])),COLUMNS($F$7:Y$7))))</f>
        <v/>
      </c>
      <c r="Z35" s="2223" t="str" cm="1">
        <f t="array" ref="Z35">IF($D35&lt;COLUMNS($F$7:Z$7),"",INDEX(TableDiv[[GASB]:[GASB]],_xlfn.AGGREGATE(15,3,(TableDiv[[Agency]:[Agency]]=$E35)/(TableDiv[[Agency]:[Agency]]=$E35)*(ROW(TableDiv[Agency])-ROW(TableDiv[[#Headers],[Agency]])),COLUMNS($F$7:Z$7))))</f>
        <v/>
      </c>
      <c r="AA35" s="2223" t="str" cm="1">
        <f t="array" ref="AA35">IF($D35&lt;COLUMNS($F$7:AA$7),"",INDEX(TableDiv[[GASB]:[GASB]],_xlfn.AGGREGATE(15,3,(TableDiv[[Agency]:[Agency]]=$E35)/(TableDiv[[Agency]:[Agency]]=$E35)*(ROW(TableDiv[Agency])-ROW(TableDiv[[#Headers],[Agency]])),COLUMNS($F$7:AA$7))))</f>
        <v/>
      </c>
      <c r="AB35" s="2223" t="str" cm="1">
        <f t="array" ref="AB35">IF($D35&lt;COLUMNS($F$7:AB$7),"",INDEX(TableDiv[[GASB]:[GASB]],_xlfn.AGGREGATE(15,3,(TableDiv[[Agency]:[Agency]]=$E35)/(TableDiv[[Agency]:[Agency]]=$E35)*(ROW(TableDiv[Agency])-ROW(TableDiv[[#Headers],[Agency]])),COLUMNS($F$7:AB$7))))</f>
        <v/>
      </c>
      <c r="AC35" s="2223" t="str" cm="1">
        <f t="array" ref="AC35">IF($D35&lt;COLUMNS($F$7:AC$7),"",INDEX(TableDiv[[GASB]:[GASB]],_xlfn.AGGREGATE(15,3,(TableDiv[[Agency]:[Agency]]=$E35)/(TableDiv[[Agency]:[Agency]]=$E35)*(ROW(TableDiv[Agency])-ROW(TableDiv[[#Headers],[Agency]])),COLUMNS($F$7:AC$7))))</f>
        <v/>
      </c>
      <c r="AD35" s="2223" t="str" cm="1">
        <f t="array" ref="AD35">IF($D35&lt;COLUMNS($F$7:AD$7),"",INDEX(TableDiv[[GASB]:[GASB]],_xlfn.AGGREGATE(15,3,(TableDiv[[Agency]:[Agency]]=$E35)/(TableDiv[[Agency]:[Agency]]=$E35)*(ROW(TableDiv[Agency])-ROW(TableDiv[[#Headers],[Agency]])),COLUMNS($F$7:AD$7))))</f>
        <v/>
      </c>
      <c r="AE35" s="2223" t="str" cm="1">
        <f t="array" ref="AE35">IF($D35&lt;COLUMNS($F$7:AE$7),"",INDEX(TableDiv[[GASB]:[GASB]],_xlfn.AGGREGATE(15,3,(TableDiv[[Agency]:[Agency]]=$E35)/(TableDiv[[Agency]:[Agency]]=$E35)*(ROW(TableDiv[Agency])-ROW(TableDiv[[#Headers],[Agency]])),COLUMNS($F$7:AE$7))))</f>
        <v/>
      </c>
      <c r="AF35" s="2223" t="str" cm="1">
        <f t="array" ref="AF35">IF($D35&lt;COLUMNS($F$7:AF$7),"",INDEX(TableDiv[[GASB]:[GASB]],_xlfn.AGGREGATE(15,3,(TableDiv[[Agency]:[Agency]]=$E35)/(TableDiv[[Agency]:[Agency]]=$E35)*(ROW(TableDiv[Agency])-ROW(TableDiv[[#Headers],[Agency]])),COLUMNS($F$7:AF$7))))</f>
        <v/>
      </c>
      <c r="AG35" s="2223" t="str" cm="1">
        <f t="array" ref="AG35">IF($D35&lt;COLUMNS($F$7:AG$7),"",INDEX(TableDiv[[GASB]:[GASB]],_xlfn.AGGREGATE(15,3,(TableDiv[[Agency]:[Agency]]=$E35)/(TableDiv[[Agency]:[Agency]]=$E35)*(ROW(TableDiv[Agency])-ROW(TableDiv[[#Headers],[Agency]])),COLUMNS($F$7:AG$7))))</f>
        <v/>
      </c>
      <c r="AH35" s="2223" t="str" cm="1">
        <f t="array" ref="AH35">IF($D35&lt;COLUMNS($F$7:AH$7),"",INDEX(TableDiv[[GASB]:[GASB]],_xlfn.AGGREGATE(15,3,(TableDiv[[Agency]:[Agency]]=$E35)/(TableDiv[[Agency]:[Agency]]=$E35)*(ROW(TableDiv[Agency])-ROW(TableDiv[[#Headers],[Agency]])),COLUMNS($F$7:AH$7))))</f>
        <v/>
      </c>
      <c r="AI35" s="2223" t="str" cm="1">
        <f t="array" ref="AI35">IF($D35&lt;COLUMNS($F$7:AI$7),"",INDEX(TableDiv[[GASB]:[GASB]],_xlfn.AGGREGATE(15,3,(TableDiv[[Agency]:[Agency]]=$E35)/(TableDiv[[Agency]:[Agency]]=$E35)*(ROW(TableDiv[Agency])-ROW(TableDiv[[#Headers],[Agency]])),COLUMNS($F$7:AI$7))))</f>
        <v/>
      </c>
      <c r="AJ35" s="2223" t="str" cm="1">
        <f t="array" ref="AJ35">IF($D35&lt;COLUMNS($F$7:AJ$7),"",INDEX(TableDiv[[GASB]:[GASB]],_xlfn.AGGREGATE(15,3,(TableDiv[[Agency]:[Agency]]=$E35)/(TableDiv[[Agency]:[Agency]]=$E35)*(ROW(TableDiv[Agency])-ROW(TableDiv[[#Headers],[Agency]])),COLUMNS($F$7:AJ$7))))</f>
        <v/>
      </c>
      <c r="AK35" s="2223" t="str" cm="1">
        <f t="array" ref="AK35">IF($D35&lt;COLUMNS($F$7:AK$7),"",INDEX(TableDiv[[GASB]:[GASB]],_xlfn.AGGREGATE(15,3,(TableDiv[[Agency]:[Agency]]=$E35)/(TableDiv[[Agency]:[Agency]]=$E35)*(ROW(TableDiv[Agency])-ROW(TableDiv[[#Headers],[Agency]])),COLUMNS($F$7:AK$7))))</f>
        <v/>
      </c>
      <c r="AL35" s="2223" t="str" cm="1">
        <f t="array" ref="AL35">IF($D35&lt;COLUMNS($F$7:AL$7),"",INDEX(TableDiv[[GASB]:[GASB]],_xlfn.AGGREGATE(15,3,(TableDiv[[Agency]:[Agency]]=$E35)/(TableDiv[[Agency]:[Agency]]=$E35)*(ROW(TableDiv[Agency])-ROW(TableDiv[[#Headers],[Agency]])),COLUMNS($F$7:AL$7))))</f>
        <v/>
      </c>
      <c r="AM35" s="2223" t="str" cm="1">
        <f t="array" ref="AM35">IF($D35&lt;COLUMNS($F$7:AM$7),"",INDEX(TableDiv[[GASB]:[GASB]],_xlfn.AGGREGATE(15,3,(TableDiv[[Agency]:[Agency]]=$E35)/(TableDiv[[Agency]:[Agency]]=$E35)*(ROW(TableDiv[Agency])-ROW(TableDiv[[#Headers],[Agency]])),COLUMNS($F$7:AM$7))))</f>
        <v/>
      </c>
      <c r="AN35" s="2223"/>
      <c r="AO35" s="2223"/>
      <c r="AP35" s="2223"/>
      <c r="AQ35" s="2223"/>
      <c r="AR35" s="2223"/>
      <c r="AS35" s="2223"/>
    </row>
    <row r="36" spans="1:45" ht="15" x14ac:dyDescent="0.25">
      <c r="A36" s="2219" t="s">
        <v>5101</v>
      </c>
      <c r="B36" s="2219" t="s">
        <v>6361</v>
      </c>
      <c r="C36" s="2223"/>
      <c r="D36" s="2223">
        <f>COUNTIF(TableDiv[Agency],E36)</f>
        <v>5</v>
      </c>
      <c r="E36" s="2230" t="str" cm="1">
        <f t="array" ref="E36">IFERROR(INDEX(TableDiv[Agency],MATCH(0,INDEX(COUNTIF($E$7:E35,TableDiv[Agency]),),0)),"")</f>
        <v>2B00</v>
      </c>
      <c r="F36" s="2223" t="str" cm="1">
        <f t="array" ref="F36">IF($D36&lt;COLUMNS($F$7:F$7),"",INDEX(TableDiv[[GASB]:[GASB]],_xlfn.AGGREGATE(15,3,(TableDiv[[Agency]:[Agency]]=$E36)/(TableDiv[[Agency]:[Agency]]=$E36)*(ROW(TableDiv[Agency])-ROW(TableDiv[[#Headers],[Agency]])),COLUMNS($F$7:F$7))))</f>
        <v>11000G</v>
      </c>
      <c r="G36" s="2223" t="str" cm="1">
        <f t="array" ref="G36">IF($D36&lt;COLUMNS($F$7:G$7),"",INDEX(TableDiv[[GASB]:[GASB]],_xlfn.AGGREGATE(15,3,(TableDiv[[Agency]:[Agency]]=$E36)/(TableDiv[[Agency]:[Agency]]=$E36)*(ROW(TableDiv[Agency])-ROW(TableDiv[[#Headers],[Agency]])),COLUMNS($F$7:G$7))))</f>
        <v>11020G</v>
      </c>
      <c r="H36" s="2223" t="str" cm="1">
        <f t="array" ref="H36">IF($D36&lt;COLUMNS($F$7:H$7),"",INDEX(TableDiv[[GASB]:[GASB]],_xlfn.AGGREGATE(15,3,(TableDiv[[Agency]:[Agency]]=$E36)/(TableDiv[[Agency]:[Agency]]=$E36)*(ROW(TableDiv[Agency])-ROW(TableDiv[[#Headers],[Agency]])),COLUMNS($F$7:H$7))))</f>
        <v>11060G</v>
      </c>
      <c r="I36" s="2223" t="str" cm="1">
        <f t="array" ref="I36">IF($D36&lt;COLUMNS($F$7:I$7),"",INDEX(TableDiv[[GASB]:[GASB]],_xlfn.AGGREGATE(15,3,(TableDiv[[Agency]:[Agency]]=$E36)/(TableDiv[[Agency]:[Agency]]=$E36)*(ROW(TableDiv[Agency])-ROW(TableDiv[[#Headers],[Agency]])),COLUMNS($F$7:I$7))))</f>
        <v>12000G</v>
      </c>
      <c r="J36" s="2223" t="str" cm="1">
        <f t="array" ref="J36">IF($D36&lt;COLUMNS($F$7:J$7),"",INDEX(TableDiv[[GASB]:[GASB]],_xlfn.AGGREGATE(15,3,(TableDiv[[Agency]:[Agency]]=$E36)/(TableDiv[[Agency]:[Agency]]=$E36)*(ROW(TableDiv[Agency])-ROW(TableDiv[[#Headers],[Agency]])),COLUMNS($F$7:J$7))))</f>
        <v>14260G</v>
      </c>
      <c r="K36" s="2223" t="str" cm="1">
        <f t="array" ref="K36">IF($D36&lt;COLUMNS($F$7:K$7),"",INDEX(TableDiv[[GASB]:[GASB]],_xlfn.AGGREGATE(15,3,(TableDiv[[Agency]:[Agency]]=$E36)/(TableDiv[[Agency]:[Agency]]=$E36)*(ROW(TableDiv[Agency])-ROW(TableDiv[[#Headers],[Agency]])),COLUMNS($F$7:K$7))))</f>
        <v/>
      </c>
      <c r="L36" s="2223" t="str" cm="1">
        <f t="array" ref="L36">IF($D36&lt;COLUMNS($F$7:L$7),"",INDEX(TableDiv[[GASB]:[GASB]],_xlfn.AGGREGATE(15,3,(TableDiv[[Agency]:[Agency]]=$E36)/(TableDiv[[Agency]:[Agency]]=$E36)*(ROW(TableDiv[Agency])-ROW(TableDiv[[#Headers],[Agency]])),COLUMNS($F$7:L$7))))</f>
        <v/>
      </c>
      <c r="M36" s="2223" t="str" cm="1">
        <f t="array" ref="M36">IF($D36&lt;COLUMNS($F$7:M$7),"",INDEX(TableDiv[[GASB]:[GASB]],_xlfn.AGGREGATE(15,3,(TableDiv[[Agency]:[Agency]]=$E36)/(TableDiv[[Agency]:[Agency]]=$E36)*(ROW(TableDiv[Agency])-ROW(TableDiv[[#Headers],[Agency]])),COLUMNS($F$7:M$7))))</f>
        <v/>
      </c>
      <c r="N36" s="2223" t="str" cm="1">
        <f t="array" ref="N36">IF($D36&lt;COLUMNS($F$7:N$7),"",INDEX(TableDiv[[GASB]:[GASB]],_xlfn.AGGREGATE(15,3,(TableDiv[[Agency]:[Agency]]=$E36)/(TableDiv[[Agency]:[Agency]]=$E36)*(ROW(TableDiv[Agency])-ROW(TableDiv[[#Headers],[Agency]])),COLUMNS($F$7:N$7))))</f>
        <v/>
      </c>
      <c r="O36" s="2223" t="str" cm="1">
        <f t="array" ref="O36">IF($D36&lt;COLUMNS($F$7:O$7),"",INDEX(TableDiv[[GASB]:[GASB]],_xlfn.AGGREGATE(15,3,(TableDiv[[Agency]:[Agency]]=$E36)/(TableDiv[[Agency]:[Agency]]=$E36)*(ROW(TableDiv[Agency])-ROW(TableDiv[[#Headers],[Agency]])),COLUMNS($F$7:O$7))))</f>
        <v/>
      </c>
      <c r="P36" s="2223" t="str" cm="1">
        <f t="array" ref="P36">IF($D36&lt;COLUMNS($F$7:P$7),"",INDEX(TableDiv[[GASB]:[GASB]],_xlfn.AGGREGATE(15,3,(TableDiv[[Agency]:[Agency]]=$E36)/(TableDiv[[Agency]:[Agency]]=$E36)*(ROW(TableDiv[Agency])-ROW(TableDiv[[#Headers],[Agency]])),COLUMNS($F$7:P$7))))</f>
        <v/>
      </c>
      <c r="Q36" s="2223" t="str" cm="1">
        <f t="array" ref="Q36">IF($D36&lt;COLUMNS($F$7:Q$7),"",INDEX(TableDiv[[GASB]:[GASB]],_xlfn.AGGREGATE(15,3,(TableDiv[[Agency]:[Agency]]=$E36)/(TableDiv[[Agency]:[Agency]]=$E36)*(ROW(TableDiv[Agency])-ROW(TableDiv[[#Headers],[Agency]])),COLUMNS($F$7:Q$7))))</f>
        <v/>
      </c>
      <c r="R36" s="2223" t="str" cm="1">
        <f t="array" ref="R36">IF($D36&lt;COLUMNS($F$7:R$7),"",INDEX(TableDiv[[GASB]:[GASB]],_xlfn.AGGREGATE(15,3,(TableDiv[[Agency]:[Agency]]=$E36)/(TableDiv[[Agency]:[Agency]]=$E36)*(ROW(TableDiv[Agency])-ROW(TableDiv[[#Headers],[Agency]])),COLUMNS($F$7:R$7))))</f>
        <v/>
      </c>
      <c r="S36" s="2223" t="str" cm="1">
        <f t="array" ref="S36">IF($D36&lt;COLUMNS($F$7:S$7),"",INDEX(TableDiv[[GASB]:[GASB]],_xlfn.AGGREGATE(15,3,(TableDiv[[Agency]:[Agency]]=$E36)/(TableDiv[[Agency]:[Agency]]=$E36)*(ROW(TableDiv[Agency])-ROW(TableDiv[[#Headers],[Agency]])),COLUMNS($F$7:S$7))))</f>
        <v/>
      </c>
      <c r="T36" s="2223" t="str" cm="1">
        <f t="array" ref="T36">IF($D36&lt;COLUMNS($F$7:T$7),"",INDEX(TableDiv[[GASB]:[GASB]],_xlfn.AGGREGATE(15,3,(TableDiv[[Agency]:[Agency]]=$E36)/(TableDiv[[Agency]:[Agency]]=$E36)*(ROW(TableDiv[Agency])-ROW(TableDiv[[#Headers],[Agency]])),COLUMNS($F$7:T$7))))</f>
        <v/>
      </c>
      <c r="U36" s="2223" t="str" cm="1">
        <f t="array" ref="U36">IF($D36&lt;COLUMNS($F$7:U$7),"",INDEX(TableDiv[[GASB]:[GASB]],_xlfn.AGGREGATE(15,3,(TableDiv[[Agency]:[Agency]]=$E36)/(TableDiv[[Agency]:[Agency]]=$E36)*(ROW(TableDiv[Agency])-ROW(TableDiv[[#Headers],[Agency]])),COLUMNS($F$7:U$7))))</f>
        <v/>
      </c>
      <c r="V36" s="2223" t="str" cm="1">
        <f t="array" ref="V36">IF($D36&lt;COLUMNS($F$7:V$7),"",INDEX(TableDiv[[GASB]:[GASB]],_xlfn.AGGREGATE(15,3,(TableDiv[[Agency]:[Agency]]=$E36)/(TableDiv[[Agency]:[Agency]]=$E36)*(ROW(TableDiv[Agency])-ROW(TableDiv[[#Headers],[Agency]])),COLUMNS($F$7:V$7))))</f>
        <v/>
      </c>
      <c r="W36" s="2223" t="str" cm="1">
        <f t="array" ref="W36">IF($D36&lt;COLUMNS($F$7:W$7),"",INDEX(TableDiv[[GASB]:[GASB]],_xlfn.AGGREGATE(15,3,(TableDiv[[Agency]:[Agency]]=$E36)/(TableDiv[[Agency]:[Agency]]=$E36)*(ROW(TableDiv[Agency])-ROW(TableDiv[[#Headers],[Agency]])),COLUMNS($F$7:W$7))))</f>
        <v/>
      </c>
      <c r="X36" s="2223" t="str" cm="1">
        <f t="array" ref="X36">IF($D36&lt;COLUMNS($F$7:X$7),"",INDEX(TableDiv[[GASB]:[GASB]],_xlfn.AGGREGATE(15,3,(TableDiv[[Agency]:[Agency]]=$E36)/(TableDiv[[Agency]:[Agency]]=$E36)*(ROW(TableDiv[Agency])-ROW(TableDiv[[#Headers],[Agency]])),COLUMNS($F$7:X$7))))</f>
        <v/>
      </c>
      <c r="Y36" s="2223" t="str" cm="1">
        <f t="array" ref="Y36">IF($D36&lt;COLUMNS($F$7:Y$7),"",INDEX(TableDiv[[GASB]:[GASB]],_xlfn.AGGREGATE(15,3,(TableDiv[[Agency]:[Agency]]=$E36)/(TableDiv[[Agency]:[Agency]]=$E36)*(ROW(TableDiv[Agency])-ROW(TableDiv[[#Headers],[Agency]])),COLUMNS($F$7:Y$7))))</f>
        <v/>
      </c>
      <c r="Z36" s="2223" t="str" cm="1">
        <f t="array" ref="Z36">IF($D36&lt;COLUMNS($F$7:Z$7),"",INDEX(TableDiv[[GASB]:[GASB]],_xlfn.AGGREGATE(15,3,(TableDiv[[Agency]:[Agency]]=$E36)/(TableDiv[[Agency]:[Agency]]=$E36)*(ROW(TableDiv[Agency])-ROW(TableDiv[[#Headers],[Agency]])),COLUMNS($F$7:Z$7))))</f>
        <v/>
      </c>
      <c r="AA36" s="2223" t="str" cm="1">
        <f t="array" ref="AA36">IF($D36&lt;COLUMNS($F$7:AA$7),"",INDEX(TableDiv[[GASB]:[GASB]],_xlfn.AGGREGATE(15,3,(TableDiv[[Agency]:[Agency]]=$E36)/(TableDiv[[Agency]:[Agency]]=$E36)*(ROW(TableDiv[Agency])-ROW(TableDiv[[#Headers],[Agency]])),COLUMNS($F$7:AA$7))))</f>
        <v/>
      </c>
      <c r="AB36" s="2223" t="str" cm="1">
        <f t="array" ref="AB36">IF($D36&lt;COLUMNS($F$7:AB$7),"",INDEX(TableDiv[[GASB]:[GASB]],_xlfn.AGGREGATE(15,3,(TableDiv[[Agency]:[Agency]]=$E36)/(TableDiv[[Agency]:[Agency]]=$E36)*(ROW(TableDiv[Agency])-ROW(TableDiv[[#Headers],[Agency]])),COLUMNS($F$7:AB$7))))</f>
        <v/>
      </c>
      <c r="AC36" s="2223" t="str" cm="1">
        <f t="array" ref="AC36">IF($D36&lt;COLUMNS($F$7:AC$7),"",INDEX(TableDiv[[GASB]:[GASB]],_xlfn.AGGREGATE(15,3,(TableDiv[[Agency]:[Agency]]=$E36)/(TableDiv[[Agency]:[Agency]]=$E36)*(ROW(TableDiv[Agency])-ROW(TableDiv[[#Headers],[Agency]])),COLUMNS($F$7:AC$7))))</f>
        <v/>
      </c>
      <c r="AD36" s="2223" t="str" cm="1">
        <f t="array" ref="AD36">IF($D36&lt;COLUMNS($F$7:AD$7),"",INDEX(TableDiv[[GASB]:[GASB]],_xlfn.AGGREGATE(15,3,(TableDiv[[Agency]:[Agency]]=$E36)/(TableDiv[[Agency]:[Agency]]=$E36)*(ROW(TableDiv[Agency])-ROW(TableDiv[[#Headers],[Agency]])),COLUMNS($F$7:AD$7))))</f>
        <v/>
      </c>
      <c r="AE36" s="2223" t="str" cm="1">
        <f t="array" ref="AE36">IF($D36&lt;COLUMNS($F$7:AE$7),"",INDEX(TableDiv[[GASB]:[GASB]],_xlfn.AGGREGATE(15,3,(TableDiv[[Agency]:[Agency]]=$E36)/(TableDiv[[Agency]:[Agency]]=$E36)*(ROW(TableDiv[Agency])-ROW(TableDiv[[#Headers],[Agency]])),COLUMNS($F$7:AE$7))))</f>
        <v/>
      </c>
      <c r="AF36" s="2223" t="str" cm="1">
        <f t="array" ref="AF36">IF($D36&lt;COLUMNS($F$7:AF$7),"",INDEX(TableDiv[[GASB]:[GASB]],_xlfn.AGGREGATE(15,3,(TableDiv[[Agency]:[Agency]]=$E36)/(TableDiv[[Agency]:[Agency]]=$E36)*(ROW(TableDiv[Agency])-ROW(TableDiv[[#Headers],[Agency]])),COLUMNS($F$7:AF$7))))</f>
        <v/>
      </c>
      <c r="AG36" s="2223" t="str" cm="1">
        <f t="array" ref="AG36">IF($D36&lt;COLUMNS($F$7:AG$7),"",INDEX(TableDiv[[GASB]:[GASB]],_xlfn.AGGREGATE(15,3,(TableDiv[[Agency]:[Agency]]=$E36)/(TableDiv[[Agency]:[Agency]]=$E36)*(ROW(TableDiv[Agency])-ROW(TableDiv[[#Headers],[Agency]])),COLUMNS($F$7:AG$7))))</f>
        <v/>
      </c>
      <c r="AH36" s="2223" t="str" cm="1">
        <f t="array" ref="AH36">IF($D36&lt;COLUMNS($F$7:AH$7),"",INDEX(TableDiv[[GASB]:[GASB]],_xlfn.AGGREGATE(15,3,(TableDiv[[Agency]:[Agency]]=$E36)/(TableDiv[[Agency]:[Agency]]=$E36)*(ROW(TableDiv[Agency])-ROW(TableDiv[[#Headers],[Agency]])),COLUMNS($F$7:AH$7))))</f>
        <v/>
      </c>
      <c r="AI36" s="2223" t="str" cm="1">
        <f t="array" ref="AI36">IF($D36&lt;COLUMNS($F$7:AI$7),"",INDEX(TableDiv[[GASB]:[GASB]],_xlfn.AGGREGATE(15,3,(TableDiv[[Agency]:[Agency]]=$E36)/(TableDiv[[Agency]:[Agency]]=$E36)*(ROW(TableDiv[Agency])-ROW(TableDiv[[#Headers],[Agency]])),COLUMNS($F$7:AI$7))))</f>
        <v/>
      </c>
      <c r="AJ36" s="2223" t="str" cm="1">
        <f t="array" ref="AJ36">IF($D36&lt;COLUMNS($F$7:AJ$7),"",INDEX(TableDiv[[GASB]:[GASB]],_xlfn.AGGREGATE(15,3,(TableDiv[[Agency]:[Agency]]=$E36)/(TableDiv[[Agency]:[Agency]]=$E36)*(ROW(TableDiv[Agency])-ROW(TableDiv[[#Headers],[Agency]])),COLUMNS($F$7:AJ$7))))</f>
        <v/>
      </c>
      <c r="AK36" s="2223" t="str" cm="1">
        <f t="array" ref="AK36">IF($D36&lt;COLUMNS($F$7:AK$7),"",INDEX(TableDiv[[GASB]:[GASB]],_xlfn.AGGREGATE(15,3,(TableDiv[[Agency]:[Agency]]=$E36)/(TableDiv[[Agency]:[Agency]]=$E36)*(ROW(TableDiv[Agency])-ROW(TableDiv[[#Headers],[Agency]])),COLUMNS($F$7:AK$7))))</f>
        <v/>
      </c>
      <c r="AL36" s="2223" t="str" cm="1">
        <f t="array" ref="AL36">IF($D36&lt;COLUMNS($F$7:AL$7),"",INDEX(TableDiv[[GASB]:[GASB]],_xlfn.AGGREGATE(15,3,(TableDiv[[Agency]:[Agency]]=$E36)/(TableDiv[[Agency]:[Agency]]=$E36)*(ROW(TableDiv[Agency])-ROW(TableDiv[[#Headers],[Agency]])),COLUMNS($F$7:AL$7))))</f>
        <v/>
      </c>
      <c r="AM36" s="2223" t="str" cm="1">
        <f t="array" ref="AM36">IF($D36&lt;COLUMNS($F$7:AM$7),"",INDEX(TableDiv[[GASB]:[GASB]],_xlfn.AGGREGATE(15,3,(TableDiv[[Agency]:[Agency]]=$E36)/(TableDiv[[Agency]:[Agency]]=$E36)*(ROW(TableDiv[Agency])-ROW(TableDiv[[#Headers],[Agency]])),COLUMNS($F$7:AM$7))))</f>
        <v/>
      </c>
      <c r="AN36" s="2223"/>
      <c r="AO36" s="2223"/>
      <c r="AP36" s="2223"/>
      <c r="AQ36" s="2223"/>
      <c r="AR36" s="2223"/>
      <c r="AS36" s="2223"/>
    </row>
    <row r="37" spans="1:45" ht="15" x14ac:dyDescent="0.25">
      <c r="A37" s="2219" t="s">
        <v>5101</v>
      </c>
      <c r="B37" s="2219" t="s">
        <v>6375</v>
      </c>
      <c r="C37" s="2223"/>
      <c r="D37" s="2223">
        <f>COUNTIF(TableDiv[Agency],E37)</f>
        <v>2</v>
      </c>
      <c r="E37" s="2230" t="str" cm="1">
        <f t="array" ref="E37">IFERROR(INDEX(TableDiv[Agency],MATCH(0,INDEX(COUNTIF($E$7:E36,TableDiv[Agency]),),0)),"")</f>
        <v>2D00</v>
      </c>
      <c r="F37" s="2223" t="str" cm="1">
        <f t="array" ref="F37">IF($D37&lt;COLUMNS($F$7:F$7),"",INDEX(TableDiv[[GASB]:[GASB]],_xlfn.AGGREGATE(15,3,(TableDiv[[Agency]:[Agency]]=$E37)/(TableDiv[[Agency]:[Agency]]=$E37)*(ROW(TableDiv[Agency])-ROW(TableDiv[[#Headers],[Agency]])),COLUMNS($F$7:F$7))))</f>
        <v>11000G</v>
      </c>
      <c r="G37" s="2223" t="str" cm="1">
        <f t="array" ref="G37">IF($D37&lt;COLUMNS($F$7:G$7),"",INDEX(TableDiv[[GASB]:[GASB]],_xlfn.AGGREGATE(15,3,(TableDiv[[Agency]:[Agency]]=$E37)/(TableDiv[[Agency]:[Agency]]=$E37)*(ROW(TableDiv[Agency])-ROW(TableDiv[[#Headers],[Agency]])),COLUMNS($F$7:G$7))))</f>
        <v>11060G</v>
      </c>
      <c r="H37" s="2223" t="str" cm="1">
        <f t="array" ref="H37">IF($D37&lt;COLUMNS($F$7:H$7),"",INDEX(TableDiv[[GASB]:[GASB]],_xlfn.AGGREGATE(15,3,(TableDiv[[Agency]:[Agency]]=$E37)/(TableDiv[[Agency]:[Agency]]=$E37)*(ROW(TableDiv[Agency])-ROW(TableDiv[[#Headers],[Agency]])),COLUMNS($F$7:H$7))))</f>
        <v/>
      </c>
      <c r="I37" s="2223" t="str" cm="1">
        <f t="array" ref="I37">IF($D37&lt;COLUMNS($F$7:I$7),"",INDEX(TableDiv[[GASB]:[GASB]],_xlfn.AGGREGATE(15,3,(TableDiv[[Agency]:[Agency]]=$E37)/(TableDiv[[Agency]:[Agency]]=$E37)*(ROW(TableDiv[Agency])-ROW(TableDiv[[#Headers],[Agency]])),COLUMNS($F$7:I$7))))</f>
        <v/>
      </c>
      <c r="J37" s="2223" t="str" cm="1">
        <f t="array" ref="J37">IF($D37&lt;COLUMNS($F$7:J$7),"",INDEX(TableDiv[[GASB]:[GASB]],_xlfn.AGGREGATE(15,3,(TableDiv[[Agency]:[Agency]]=$E37)/(TableDiv[[Agency]:[Agency]]=$E37)*(ROW(TableDiv[Agency])-ROW(TableDiv[[#Headers],[Agency]])),COLUMNS($F$7:J$7))))</f>
        <v/>
      </c>
      <c r="K37" s="2223" t="str" cm="1">
        <f t="array" ref="K37">IF($D37&lt;COLUMNS($F$7:K$7),"",INDEX(TableDiv[[GASB]:[GASB]],_xlfn.AGGREGATE(15,3,(TableDiv[[Agency]:[Agency]]=$E37)/(TableDiv[[Agency]:[Agency]]=$E37)*(ROW(TableDiv[Agency])-ROW(TableDiv[[#Headers],[Agency]])),COLUMNS($F$7:K$7))))</f>
        <v/>
      </c>
      <c r="L37" s="2223" t="str" cm="1">
        <f t="array" ref="L37">IF($D37&lt;COLUMNS($F$7:L$7),"",INDEX(TableDiv[[GASB]:[GASB]],_xlfn.AGGREGATE(15,3,(TableDiv[[Agency]:[Agency]]=$E37)/(TableDiv[[Agency]:[Agency]]=$E37)*(ROW(TableDiv[Agency])-ROW(TableDiv[[#Headers],[Agency]])),COLUMNS($F$7:L$7))))</f>
        <v/>
      </c>
      <c r="M37" s="2223" t="str" cm="1">
        <f t="array" ref="M37">IF($D37&lt;COLUMNS($F$7:M$7),"",INDEX(TableDiv[[GASB]:[GASB]],_xlfn.AGGREGATE(15,3,(TableDiv[[Agency]:[Agency]]=$E37)/(TableDiv[[Agency]:[Agency]]=$E37)*(ROW(TableDiv[Agency])-ROW(TableDiv[[#Headers],[Agency]])),COLUMNS($F$7:M$7))))</f>
        <v/>
      </c>
      <c r="N37" s="2223" t="str" cm="1">
        <f t="array" ref="N37">IF($D37&lt;COLUMNS($F$7:N$7),"",INDEX(TableDiv[[GASB]:[GASB]],_xlfn.AGGREGATE(15,3,(TableDiv[[Agency]:[Agency]]=$E37)/(TableDiv[[Agency]:[Agency]]=$E37)*(ROW(TableDiv[Agency])-ROW(TableDiv[[#Headers],[Agency]])),COLUMNS($F$7:N$7))))</f>
        <v/>
      </c>
      <c r="O37" s="2223" t="str" cm="1">
        <f t="array" ref="O37">IF($D37&lt;COLUMNS($F$7:O$7),"",INDEX(TableDiv[[GASB]:[GASB]],_xlfn.AGGREGATE(15,3,(TableDiv[[Agency]:[Agency]]=$E37)/(TableDiv[[Agency]:[Agency]]=$E37)*(ROW(TableDiv[Agency])-ROW(TableDiv[[#Headers],[Agency]])),COLUMNS($F$7:O$7))))</f>
        <v/>
      </c>
      <c r="P37" s="2223" t="str" cm="1">
        <f t="array" ref="P37">IF($D37&lt;COLUMNS($F$7:P$7),"",INDEX(TableDiv[[GASB]:[GASB]],_xlfn.AGGREGATE(15,3,(TableDiv[[Agency]:[Agency]]=$E37)/(TableDiv[[Agency]:[Agency]]=$E37)*(ROW(TableDiv[Agency])-ROW(TableDiv[[#Headers],[Agency]])),COLUMNS($F$7:P$7))))</f>
        <v/>
      </c>
      <c r="Q37" s="2223" t="str" cm="1">
        <f t="array" ref="Q37">IF($D37&lt;COLUMNS($F$7:Q$7),"",INDEX(TableDiv[[GASB]:[GASB]],_xlfn.AGGREGATE(15,3,(TableDiv[[Agency]:[Agency]]=$E37)/(TableDiv[[Agency]:[Agency]]=$E37)*(ROW(TableDiv[Agency])-ROW(TableDiv[[#Headers],[Agency]])),COLUMNS($F$7:Q$7))))</f>
        <v/>
      </c>
      <c r="R37" s="2223" t="str" cm="1">
        <f t="array" ref="R37">IF($D37&lt;COLUMNS($F$7:R$7),"",INDEX(TableDiv[[GASB]:[GASB]],_xlfn.AGGREGATE(15,3,(TableDiv[[Agency]:[Agency]]=$E37)/(TableDiv[[Agency]:[Agency]]=$E37)*(ROW(TableDiv[Agency])-ROW(TableDiv[[#Headers],[Agency]])),COLUMNS($F$7:R$7))))</f>
        <v/>
      </c>
      <c r="S37" s="2223" t="str" cm="1">
        <f t="array" ref="S37">IF($D37&lt;COLUMNS($F$7:S$7),"",INDEX(TableDiv[[GASB]:[GASB]],_xlfn.AGGREGATE(15,3,(TableDiv[[Agency]:[Agency]]=$E37)/(TableDiv[[Agency]:[Agency]]=$E37)*(ROW(TableDiv[Agency])-ROW(TableDiv[[#Headers],[Agency]])),COLUMNS($F$7:S$7))))</f>
        <v/>
      </c>
      <c r="T37" s="2223" t="str" cm="1">
        <f t="array" ref="T37">IF($D37&lt;COLUMNS($F$7:T$7),"",INDEX(TableDiv[[GASB]:[GASB]],_xlfn.AGGREGATE(15,3,(TableDiv[[Agency]:[Agency]]=$E37)/(TableDiv[[Agency]:[Agency]]=$E37)*(ROW(TableDiv[Agency])-ROW(TableDiv[[#Headers],[Agency]])),COLUMNS($F$7:T$7))))</f>
        <v/>
      </c>
      <c r="U37" s="2223" t="str" cm="1">
        <f t="array" ref="U37">IF($D37&lt;COLUMNS($F$7:U$7),"",INDEX(TableDiv[[GASB]:[GASB]],_xlfn.AGGREGATE(15,3,(TableDiv[[Agency]:[Agency]]=$E37)/(TableDiv[[Agency]:[Agency]]=$E37)*(ROW(TableDiv[Agency])-ROW(TableDiv[[#Headers],[Agency]])),COLUMNS($F$7:U$7))))</f>
        <v/>
      </c>
      <c r="V37" s="2223" t="str" cm="1">
        <f t="array" ref="V37">IF($D37&lt;COLUMNS($F$7:V$7),"",INDEX(TableDiv[[GASB]:[GASB]],_xlfn.AGGREGATE(15,3,(TableDiv[[Agency]:[Agency]]=$E37)/(TableDiv[[Agency]:[Agency]]=$E37)*(ROW(TableDiv[Agency])-ROW(TableDiv[[#Headers],[Agency]])),COLUMNS($F$7:V$7))))</f>
        <v/>
      </c>
      <c r="W37" s="2223" t="str" cm="1">
        <f t="array" ref="W37">IF($D37&lt;COLUMNS($F$7:W$7),"",INDEX(TableDiv[[GASB]:[GASB]],_xlfn.AGGREGATE(15,3,(TableDiv[[Agency]:[Agency]]=$E37)/(TableDiv[[Agency]:[Agency]]=$E37)*(ROW(TableDiv[Agency])-ROW(TableDiv[[#Headers],[Agency]])),COLUMNS($F$7:W$7))))</f>
        <v/>
      </c>
      <c r="X37" s="2223" t="str" cm="1">
        <f t="array" ref="X37">IF($D37&lt;COLUMNS($F$7:X$7),"",INDEX(TableDiv[[GASB]:[GASB]],_xlfn.AGGREGATE(15,3,(TableDiv[[Agency]:[Agency]]=$E37)/(TableDiv[[Agency]:[Agency]]=$E37)*(ROW(TableDiv[Agency])-ROW(TableDiv[[#Headers],[Agency]])),COLUMNS($F$7:X$7))))</f>
        <v/>
      </c>
      <c r="Y37" s="2223" t="str" cm="1">
        <f t="array" ref="Y37">IF($D37&lt;COLUMNS($F$7:Y$7),"",INDEX(TableDiv[[GASB]:[GASB]],_xlfn.AGGREGATE(15,3,(TableDiv[[Agency]:[Agency]]=$E37)/(TableDiv[[Agency]:[Agency]]=$E37)*(ROW(TableDiv[Agency])-ROW(TableDiv[[#Headers],[Agency]])),COLUMNS($F$7:Y$7))))</f>
        <v/>
      </c>
      <c r="Z37" s="2223" t="str" cm="1">
        <f t="array" ref="Z37">IF($D37&lt;COLUMNS($F$7:Z$7),"",INDEX(TableDiv[[GASB]:[GASB]],_xlfn.AGGREGATE(15,3,(TableDiv[[Agency]:[Agency]]=$E37)/(TableDiv[[Agency]:[Agency]]=$E37)*(ROW(TableDiv[Agency])-ROW(TableDiv[[#Headers],[Agency]])),COLUMNS($F$7:Z$7))))</f>
        <v/>
      </c>
      <c r="AA37" s="2223" t="str" cm="1">
        <f t="array" ref="AA37">IF($D37&lt;COLUMNS($F$7:AA$7),"",INDEX(TableDiv[[GASB]:[GASB]],_xlfn.AGGREGATE(15,3,(TableDiv[[Agency]:[Agency]]=$E37)/(TableDiv[[Agency]:[Agency]]=$E37)*(ROW(TableDiv[Agency])-ROW(TableDiv[[#Headers],[Agency]])),COLUMNS($F$7:AA$7))))</f>
        <v/>
      </c>
      <c r="AB37" s="2223" t="str" cm="1">
        <f t="array" ref="AB37">IF($D37&lt;COLUMNS($F$7:AB$7),"",INDEX(TableDiv[[GASB]:[GASB]],_xlfn.AGGREGATE(15,3,(TableDiv[[Agency]:[Agency]]=$E37)/(TableDiv[[Agency]:[Agency]]=$E37)*(ROW(TableDiv[Agency])-ROW(TableDiv[[#Headers],[Agency]])),COLUMNS($F$7:AB$7))))</f>
        <v/>
      </c>
      <c r="AC37" s="2223" t="str" cm="1">
        <f t="array" ref="AC37">IF($D37&lt;COLUMNS($F$7:AC$7),"",INDEX(TableDiv[[GASB]:[GASB]],_xlfn.AGGREGATE(15,3,(TableDiv[[Agency]:[Agency]]=$E37)/(TableDiv[[Agency]:[Agency]]=$E37)*(ROW(TableDiv[Agency])-ROW(TableDiv[[#Headers],[Agency]])),COLUMNS($F$7:AC$7))))</f>
        <v/>
      </c>
      <c r="AD37" s="2223" t="str" cm="1">
        <f t="array" ref="AD37">IF($D37&lt;COLUMNS($F$7:AD$7),"",INDEX(TableDiv[[GASB]:[GASB]],_xlfn.AGGREGATE(15,3,(TableDiv[[Agency]:[Agency]]=$E37)/(TableDiv[[Agency]:[Agency]]=$E37)*(ROW(TableDiv[Agency])-ROW(TableDiv[[#Headers],[Agency]])),COLUMNS($F$7:AD$7))))</f>
        <v/>
      </c>
      <c r="AE37" s="2223" t="str" cm="1">
        <f t="array" ref="AE37">IF($D37&lt;COLUMNS($F$7:AE$7),"",INDEX(TableDiv[[GASB]:[GASB]],_xlfn.AGGREGATE(15,3,(TableDiv[[Agency]:[Agency]]=$E37)/(TableDiv[[Agency]:[Agency]]=$E37)*(ROW(TableDiv[Agency])-ROW(TableDiv[[#Headers],[Agency]])),COLUMNS($F$7:AE$7))))</f>
        <v/>
      </c>
      <c r="AF37" s="2223" t="str" cm="1">
        <f t="array" ref="AF37">IF($D37&lt;COLUMNS($F$7:AF$7),"",INDEX(TableDiv[[GASB]:[GASB]],_xlfn.AGGREGATE(15,3,(TableDiv[[Agency]:[Agency]]=$E37)/(TableDiv[[Agency]:[Agency]]=$E37)*(ROW(TableDiv[Agency])-ROW(TableDiv[[#Headers],[Agency]])),COLUMNS($F$7:AF$7))))</f>
        <v/>
      </c>
      <c r="AG37" s="2223" t="str" cm="1">
        <f t="array" ref="AG37">IF($D37&lt;COLUMNS($F$7:AG$7),"",INDEX(TableDiv[[GASB]:[GASB]],_xlfn.AGGREGATE(15,3,(TableDiv[[Agency]:[Agency]]=$E37)/(TableDiv[[Agency]:[Agency]]=$E37)*(ROW(TableDiv[Agency])-ROW(TableDiv[[#Headers],[Agency]])),COLUMNS($F$7:AG$7))))</f>
        <v/>
      </c>
      <c r="AH37" s="2223" t="str" cm="1">
        <f t="array" ref="AH37">IF($D37&lt;COLUMNS($F$7:AH$7),"",INDEX(TableDiv[[GASB]:[GASB]],_xlfn.AGGREGATE(15,3,(TableDiv[[Agency]:[Agency]]=$E37)/(TableDiv[[Agency]:[Agency]]=$E37)*(ROW(TableDiv[Agency])-ROW(TableDiv[[#Headers],[Agency]])),COLUMNS($F$7:AH$7))))</f>
        <v/>
      </c>
      <c r="AI37" s="2223" t="str" cm="1">
        <f t="array" ref="AI37">IF($D37&lt;COLUMNS($F$7:AI$7),"",INDEX(TableDiv[[GASB]:[GASB]],_xlfn.AGGREGATE(15,3,(TableDiv[[Agency]:[Agency]]=$E37)/(TableDiv[[Agency]:[Agency]]=$E37)*(ROW(TableDiv[Agency])-ROW(TableDiv[[#Headers],[Agency]])),COLUMNS($F$7:AI$7))))</f>
        <v/>
      </c>
      <c r="AJ37" s="2223" t="str" cm="1">
        <f t="array" ref="AJ37">IF($D37&lt;COLUMNS($F$7:AJ$7),"",INDEX(TableDiv[[GASB]:[GASB]],_xlfn.AGGREGATE(15,3,(TableDiv[[Agency]:[Agency]]=$E37)/(TableDiv[[Agency]:[Agency]]=$E37)*(ROW(TableDiv[Agency])-ROW(TableDiv[[#Headers],[Agency]])),COLUMNS($F$7:AJ$7))))</f>
        <v/>
      </c>
      <c r="AK37" s="2223" t="str" cm="1">
        <f t="array" ref="AK37">IF($D37&lt;COLUMNS($F$7:AK$7),"",INDEX(TableDiv[[GASB]:[GASB]],_xlfn.AGGREGATE(15,3,(TableDiv[[Agency]:[Agency]]=$E37)/(TableDiv[[Agency]:[Agency]]=$E37)*(ROW(TableDiv[Agency])-ROW(TableDiv[[#Headers],[Agency]])),COLUMNS($F$7:AK$7))))</f>
        <v/>
      </c>
      <c r="AL37" s="2223" t="str" cm="1">
        <f t="array" ref="AL37">IF($D37&lt;COLUMNS($F$7:AL$7),"",INDEX(TableDiv[[GASB]:[GASB]],_xlfn.AGGREGATE(15,3,(TableDiv[[Agency]:[Agency]]=$E37)/(TableDiv[[Agency]:[Agency]]=$E37)*(ROW(TableDiv[Agency])-ROW(TableDiv[[#Headers],[Agency]])),COLUMNS($F$7:AL$7))))</f>
        <v/>
      </c>
      <c r="AM37" s="2223" t="str" cm="1">
        <f t="array" ref="AM37">IF($D37&lt;COLUMNS($F$7:AM$7),"",INDEX(TableDiv[[GASB]:[GASB]],_xlfn.AGGREGATE(15,3,(TableDiv[[Agency]:[Agency]]=$E37)/(TableDiv[[Agency]:[Agency]]=$E37)*(ROW(TableDiv[Agency])-ROW(TableDiv[[#Headers],[Agency]])),COLUMNS($F$7:AM$7))))</f>
        <v/>
      </c>
      <c r="AN37" s="2223"/>
      <c r="AO37" s="2223"/>
      <c r="AP37" s="2223"/>
      <c r="AQ37" s="2223"/>
      <c r="AR37" s="2223"/>
      <c r="AS37" s="2223"/>
    </row>
    <row r="38" spans="1:45" ht="15" x14ac:dyDescent="0.25">
      <c r="A38" s="2219" t="s">
        <v>5101</v>
      </c>
      <c r="B38" s="2219" t="s">
        <v>6376</v>
      </c>
      <c r="C38" s="2223"/>
      <c r="D38" s="2223">
        <f>COUNTIF(TableDiv[Agency],E38)</f>
        <v>4</v>
      </c>
      <c r="E38" s="2230" t="str" cm="1">
        <f t="array" ref="E38">IFERROR(INDEX(TableDiv[Agency],MATCH(0,INDEX(COUNTIF($E$7:E37,TableDiv[Agency]),),0)),"")</f>
        <v>3000</v>
      </c>
      <c r="F38" s="2223" t="str" cm="1">
        <f t="array" ref="F38">IF($D38&lt;COLUMNS($F$7:F$7),"",INDEX(TableDiv[[GASB]:[GASB]],_xlfn.AGGREGATE(15,3,(TableDiv[[Agency]:[Agency]]=$E38)/(TableDiv[[Agency]:[Agency]]=$E38)*(ROW(TableDiv[Agency])-ROW(TableDiv[[#Headers],[Agency]])),COLUMNS($F$7:F$7))))</f>
        <v>11000G</v>
      </c>
      <c r="G38" s="2223" t="str" cm="1">
        <f t="array" ref="G38">IF($D38&lt;COLUMNS($F$7:G$7),"",INDEX(TableDiv[[GASB]:[GASB]],_xlfn.AGGREGATE(15,3,(TableDiv[[Agency]:[Agency]]=$E38)/(TableDiv[[Agency]:[Agency]]=$E38)*(ROW(TableDiv[Agency])-ROW(TableDiv[[#Headers],[Agency]])),COLUMNS($F$7:G$7))))</f>
        <v>11020G</v>
      </c>
      <c r="H38" s="2223" t="str" cm="1">
        <f t="array" ref="H38">IF($D38&lt;COLUMNS($F$7:H$7),"",INDEX(TableDiv[[GASB]:[GASB]],_xlfn.AGGREGATE(15,3,(TableDiv[[Agency]:[Agency]]=$E38)/(TableDiv[[Agency]:[Agency]]=$E38)*(ROW(TableDiv[Agency])-ROW(TableDiv[[#Headers],[Agency]])),COLUMNS($F$7:H$7))))</f>
        <v>12000G</v>
      </c>
      <c r="I38" s="2223" t="str" cm="1">
        <f t="array" ref="I38">IF($D38&lt;COLUMNS($F$7:I$7),"",INDEX(TableDiv[[GASB]:[GASB]],_xlfn.AGGREGATE(15,3,(TableDiv[[Agency]:[Agency]]=$E38)/(TableDiv[[Agency]:[Agency]]=$E38)*(ROW(TableDiv[Agency])-ROW(TableDiv[[#Headers],[Agency]])),COLUMNS($F$7:I$7))))</f>
        <v>15000G</v>
      </c>
      <c r="J38" s="2223" t="str" cm="1">
        <f t="array" ref="J38">IF($D38&lt;COLUMNS($F$7:J$7),"",INDEX(TableDiv[[GASB]:[GASB]],_xlfn.AGGREGATE(15,3,(TableDiv[[Agency]:[Agency]]=$E38)/(TableDiv[[Agency]:[Agency]]=$E38)*(ROW(TableDiv[Agency])-ROW(TableDiv[[#Headers],[Agency]])),COLUMNS($F$7:J$7))))</f>
        <v/>
      </c>
      <c r="K38" s="2223" t="str" cm="1">
        <f t="array" ref="K38">IF($D38&lt;COLUMNS($F$7:K$7),"",INDEX(TableDiv[[GASB]:[GASB]],_xlfn.AGGREGATE(15,3,(TableDiv[[Agency]:[Agency]]=$E38)/(TableDiv[[Agency]:[Agency]]=$E38)*(ROW(TableDiv[Agency])-ROW(TableDiv[[#Headers],[Agency]])),COLUMNS($F$7:K$7))))</f>
        <v/>
      </c>
      <c r="L38" s="2223" t="str" cm="1">
        <f t="array" ref="L38">IF($D38&lt;COLUMNS($F$7:L$7),"",INDEX(TableDiv[[GASB]:[GASB]],_xlfn.AGGREGATE(15,3,(TableDiv[[Agency]:[Agency]]=$E38)/(TableDiv[[Agency]:[Agency]]=$E38)*(ROW(TableDiv[Agency])-ROW(TableDiv[[#Headers],[Agency]])),COLUMNS($F$7:L$7))))</f>
        <v/>
      </c>
      <c r="M38" s="2223" t="str" cm="1">
        <f t="array" ref="M38">IF($D38&lt;COLUMNS($F$7:M$7),"",INDEX(TableDiv[[GASB]:[GASB]],_xlfn.AGGREGATE(15,3,(TableDiv[[Agency]:[Agency]]=$E38)/(TableDiv[[Agency]:[Agency]]=$E38)*(ROW(TableDiv[Agency])-ROW(TableDiv[[#Headers],[Agency]])),COLUMNS($F$7:M$7))))</f>
        <v/>
      </c>
      <c r="N38" s="2223" t="str" cm="1">
        <f t="array" ref="N38">IF($D38&lt;COLUMNS($F$7:N$7),"",INDEX(TableDiv[[GASB]:[GASB]],_xlfn.AGGREGATE(15,3,(TableDiv[[Agency]:[Agency]]=$E38)/(TableDiv[[Agency]:[Agency]]=$E38)*(ROW(TableDiv[Agency])-ROW(TableDiv[[#Headers],[Agency]])),COLUMNS($F$7:N$7))))</f>
        <v/>
      </c>
      <c r="O38" s="2223" t="str" cm="1">
        <f t="array" ref="O38">IF($D38&lt;COLUMNS($F$7:O$7),"",INDEX(TableDiv[[GASB]:[GASB]],_xlfn.AGGREGATE(15,3,(TableDiv[[Agency]:[Agency]]=$E38)/(TableDiv[[Agency]:[Agency]]=$E38)*(ROW(TableDiv[Agency])-ROW(TableDiv[[#Headers],[Agency]])),COLUMNS($F$7:O$7))))</f>
        <v/>
      </c>
      <c r="P38" s="2223" t="str" cm="1">
        <f t="array" ref="P38">IF($D38&lt;COLUMNS($F$7:P$7),"",INDEX(TableDiv[[GASB]:[GASB]],_xlfn.AGGREGATE(15,3,(TableDiv[[Agency]:[Agency]]=$E38)/(TableDiv[[Agency]:[Agency]]=$E38)*(ROW(TableDiv[Agency])-ROW(TableDiv[[#Headers],[Agency]])),COLUMNS($F$7:P$7))))</f>
        <v/>
      </c>
      <c r="Q38" s="2223" t="str" cm="1">
        <f t="array" ref="Q38">IF($D38&lt;COLUMNS($F$7:Q$7),"",INDEX(TableDiv[[GASB]:[GASB]],_xlfn.AGGREGATE(15,3,(TableDiv[[Agency]:[Agency]]=$E38)/(TableDiv[[Agency]:[Agency]]=$E38)*(ROW(TableDiv[Agency])-ROW(TableDiv[[#Headers],[Agency]])),COLUMNS($F$7:Q$7))))</f>
        <v/>
      </c>
      <c r="R38" s="2223" t="str" cm="1">
        <f t="array" ref="R38">IF($D38&lt;COLUMNS($F$7:R$7),"",INDEX(TableDiv[[GASB]:[GASB]],_xlfn.AGGREGATE(15,3,(TableDiv[[Agency]:[Agency]]=$E38)/(TableDiv[[Agency]:[Agency]]=$E38)*(ROW(TableDiv[Agency])-ROW(TableDiv[[#Headers],[Agency]])),COLUMNS($F$7:R$7))))</f>
        <v/>
      </c>
      <c r="S38" s="2223" t="str" cm="1">
        <f t="array" ref="S38">IF($D38&lt;COLUMNS($F$7:S$7),"",INDEX(TableDiv[[GASB]:[GASB]],_xlfn.AGGREGATE(15,3,(TableDiv[[Agency]:[Agency]]=$E38)/(TableDiv[[Agency]:[Agency]]=$E38)*(ROW(TableDiv[Agency])-ROW(TableDiv[[#Headers],[Agency]])),COLUMNS($F$7:S$7))))</f>
        <v/>
      </c>
      <c r="T38" s="2223" t="str" cm="1">
        <f t="array" ref="T38">IF($D38&lt;COLUMNS($F$7:T$7),"",INDEX(TableDiv[[GASB]:[GASB]],_xlfn.AGGREGATE(15,3,(TableDiv[[Agency]:[Agency]]=$E38)/(TableDiv[[Agency]:[Agency]]=$E38)*(ROW(TableDiv[Agency])-ROW(TableDiv[[#Headers],[Agency]])),COLUMNS($F$7:T$7))))</f>
        <v/>
      </c>
      <c r="U38" s="2223" t="str" cm="1">
        <f t="array" ref="U38">IF($D38&lt;COLUMNS($F$7:U$7),"",INDEX(TableDiv[[GASB]:[GASB]],_xlfn.AGGREGATE(15,3,(TableDiv[[Agency]:[Agency]]=$E38)/(TableDiv[[Agency]:[Agency]]=$E38)*(ROW(TableDiv[Agency])-ROW(TableDiv[[#Headers],[Agency]])),COLUMNS($F$7:U$7))))</f>
        <v/>
      </c>
      <c r="V38" s="2223" t="str" cm="1">
        <f t="array" ref="V38">IF($D38&lt;COLUMNS($F$7:V$7),"",INDEX(TableDiv[[GASB]:[GASB]],_xlfn.AGGREGATE(15,3,(TableDiv[[Agency]:[Agency]]=$E38)/(TableDiv[[Agency]:[Agency]]=$E38)*(ROW(TableDiv[Agency])-ROW(TableDiv[[#Headers],[Agency]])),COLUMNS($F$7:V$7))))</f>
        <v/>
      </c>
      <c r="W38" s="2223" t="str" cm="1">
        <f t="array" ref="W38">IF($D38&lt;COLUMNS($F$7:W$7),"",INDEX(TableDiv[[GASB]:[GASB]],_xlfn.AGGREGATE(15,3,(TableDiv[[Agency]:[Agency]]=$E38)/(TableDiv[[Agency]:[Agency]]=$E38)*(ROW(TableDiv[Agency])-ROW(TableDiv[[#Headers],[Agency]])),COLUMNS($F$7:W$7))))</f>
        <v/>
      </c>
      <c r="X38" s="2223" t="str" cm="1">
        <f t="array" ref="X38">IF($D38&lt;COLUMNS($F$7:X$7),"",INDEX(TableDiv[[GASB]:[GASB]],_xlfn.AGGREGATE(15,3,(TableDiv[[Agency]:[Agency]]=$E38)/(TableDiv[[Agency]:[Agency]]=$E38)*(ROW(TableDiv[Agency])-ROW(TableDiv[[#Headers],[Agency]])),COLUMNS($F$7:X$7))))</f>
        <v/>
      </c>
      <c r="Y38" s="2223" t="str" cm="1">
        <f t="array" ref="Y38">IF($D38&lt;COLUMNS($F$7:Y$7),"",INDEX(TableDiv[[GASB]:[GASB]],_xlfn.AGGREGATE(15,3,(TableDiv[[Agency]:[Agency]]=$E38)/(TableDiv[[Agency]:[Agency]]=$E38)*(ROW(TableDiv[Agency])-ROW(TableDiv[[#Headers],[Agency]])),COLUMNS($F$7:Y$7))))</f>
        <v/>
      </c>
      <c r="Z38" s="2223" t="str" cm="1">
        <f t="array" ref="Z38">IF($D38&lt;COLUMNS($F$7:Z$7),"",INDEX(TableDiv[[GASB]:[GASB]],_xlfn.AGGREGATE(15,3,(TableDiv[[Agency]:[Agency]]=$E38)/(TableDiv[[Agency]:[Agency]]=$E38)*(ROW(TableDiv[Agency])-ROW(TableDiv[[#Headers],[Agency]])),COLUMNS($F$7:Z$7))))</f>
        <v/>
      </c>
      <c r="AA38" s="2223" t="str" cm="1">
        <f t="array" ref="AA38">IF($D38&lt;COLUMNS($F$7:AA$7),"",INDEX(TableDiv[[GASB]:[GASB]],_xlfn.AGGREGATE(15,3,(TableDiv[[Agency]:[Agency]]=$E38)/(TableDiv[[Agency]:[Agency]]=$E38)*(ROW(TableDiv[Agency])-ROW(TableDiv[[#Headers],[Agency]])),COLUMNS($F$7:AA$7))))</f>
        <v/>
      </c>
      <c r="AB38" s="2223" t="str" cm="1">
        <f t="array" ref="AB38">IF($D38&lt;COLUMNS($F$7:AB$7),"",INDEX(TableDiv[[GASB]:[GASB]],_xlfn.AGGREGATE(15,3,(TableDiv[[Agency]:[Agency]]=$E38)/(TableDiv[[Agency]:[Agency]]=$E38)*(ROW(TableDiv[Agency])-ROW(TableDiv[[#Headers],[Agency]])),COLUMNS($F$7:AB$7))))</f>
        <v/>
      </c>
      <c r="AC38" s="2223" t="str" cm="1">
        <f t="array" ref="AC38">IF($D38&lt;COLUMNS($F$7:AC$7),"",INDEX(TableDiv[[GASB]:[GASB]],_xlfn.AGGREGATE(15,3,(TableDiv[[Agency]:[Agency]]=$E38)/(TableDiv[[Agency]:[Agency]]=$E38)*(ROW(TableDiv[Agency])-ROW(TableDiv[[#Headers],[Agency]])),COLUMNS($F$7:AC$7))))</f>
        <v/>
      </c>
      <c r="AD38" s="2223" t="str" cm="1">
        <f t="array" ref="AD38">IF($D38&lt;COLUMNS($F$7:AD$7),"",INDEX(TableDiv[[GASB]:[GASB]],_xlfn.AGGREGATE(15,3,(TableDiv[[Agency]:[Agency]]=$E38)/(TableDiv[[Agency]:[Agency]]=$E38)*(ROW(TableDiv[Agency])-ROW(TableDiv[[#Headers],[Agency]])),COLUMNS($F$7:AD$7))))</f>
        <v/>
      </c>
      <c r="AE38" s="2223" t="str" cm="1">
        <f t="array" ref="AE38">IF($D38&lt;COLUMNS($F$7:AE$7),"",INDEX(TableDiv[[GASB]:[GASB]],_xlfn.AGGREGATE(15,3,(TableDiv[[Agency]:[Agency]]=$E38)/(TableDiv[[Agency]:[Agency]]=$E38)*(ROW(TableDiv[Agency])-ROW(TableDiv[[#Headers],[Agency]])),COLUMNS($F$7:AE$7))))</f>
        <v/>
      </c>
      <c r="AF38" s="2223" t="str" cm="1">
        <f t="array" ref="AF38">IF($D38&lt;COLUMNS($F$7:AF$7),"",INDEX(TableDiv[[GASB]:[GASB]],_xlfn.AGGREGATE(15,3,(TableDiv[[Agency]:[Agency]]=$E38)/(TableDiv[[Agency]:[Agency]]=$E38)*(ROW(TableDiv[Agency])-ROW(TableDiv[[#Headers],[Agency]])),COLUMNS($F$7:AF$7))))</f>
        <v/>
      </c>
      <c r="AG38" s="2223" t="str" cm="1">
        <f t="array" ref="AG38">IF($D38&lt;COLUMNS($F$7:AG$7),"",INDEX(TableDiv[[GASB]:[GASB]],_xlfn.AGGREGATE(15,3,(TableDiv[[Agency]:[Agency]]=$E38)/(TableDiv[[Agency]:[Agency]]=$E38)*(ROW(TableDiv[Agency])-ROW(TableDiv[[#Headers],[Agency]])),COLUMNS($F$7:AG$7))))</f>
        <v/>
      </c>
      <c r="AH38" s="2223" t="str" cm="1">
        <f t="array" ref="AH38">IF($D38&lt;COLUMNS($F$7:AH$7),"",INDEX(TableDiv[[GASB]:[GASB]],_xlfn.AGGREGATE(15,3,(TableDiv[[Agency]:[Agency]]=$E38)/(TableDiv[[Agency]:[Agency]]=$E38)*(ROW(TableDiv[Agency])-ROW(TableDiv[[#Headers],[Agency]])),COLUMNS($F$7:AH$7))))</f>
        <v/>
      </c>
      <c r="AI38" s="2223" t="str" cm="1">
        <f t="array" ref="AI38">IF($D38&lt;COLUMNS($F$7:AI$7),"",INDEX(TableDiv[[GASB]:[GASB]],_xlfn.AGGREGATE(15,3,(TableDiv[[Agency]:[Agency]]=$E38)/(TableDiv[[Agency]:[Agency]]=$E38)*(ROW(TableDiv[Agency])-ROW(TableDiv[[#Headers],[Agency]])),COLUMNS($F$7:AI$7))))</f>
        <v/>
      </c>
      <c r="AJ38" s="2223" t="str" cm="1">
        <f t="array" ref="AJ38">IF($D38&lt;COLUMNS($F$7:AJ$7),"",INDEX(TableDiv[[GASB]:[GASB]],_xlfn.AGGREGATE(15,3,(TableDiv[[Agency]:[Agency]]=$E38)/(TableDiv[[Agency]:[Agency]]=$E38)*(ROW(TableDiv[Agency])-ROW(TableDiv[[#Headers],[Agency]])),COLUMNS($F$7:AJ$7))))</f>
        <v/>
      </c>
      <c r="AK38" s="2223" t="str" cm="1">
        <f t="array" ref="AK38">IF($D38&lt;COLUMNS($F$7:AK$7),"",INDEX(TableDiv[[GASB]:[GASB]],_xlfn.AGGREGATE(15,3,(TableDiv[[Agency]:[Agency]]=$E38)/(TableDiv[[Agency]:[Agency]]=$E38)*(ROW(TableDiv[Agency])-ROW(TableDiv[[#Headers],[Agency]])),COLUMNS($F$7:AK$7))))</f>
        <v/>
      </c>
      <c r="AL38" s="2223" t="str" cm="1">
        <f t="array" ref="AL38">IF($D38&lt;COLUMNS($F$7:AL$7),"",INDEX(TableDiv[[GASB]:[GASB]],_xlfn.AGGREGATE(15,3,(TableDiv[[Agency]:[Agency]]=$E38)/(TableDiv[[Agency]:[Agency]]=$E38)*(ROW(TableDiv[Agency])-ROW(TableDiv[[#Headers],[Agency]])),COLUMNS($F$7:AL$7))))</f>
        <v/>
      </c>
      <c r="AM38" s="2223" t="str" cm="1">
        <f t="array" ref="AM38">IF($D38&lt;COLUMNS($F$7:AM$7),"",INDEX(TableDiv[[GASB]:[GASB]],_xlfn.AGGREGATE(15,3,(TableDiv[[Agency]:[Agency]]=$E38)/(TableDiv[[Agency]:[Agency]]=$E38)*(ROW(TableDiv[Agency])-ROW(TableDiv[[#Headers],[Agency]])),COLUMNS($F$7:AM$7))))</f>
        <v/>
      </c>
      <c r="AN38" s="2223"/>
      <c r="AO38" s="2223"/>
      <c r="AP38" s="2223"/>
      <c r="AQ38" s="2223"/>
      <c r="AR38" s="2223"/>
      <c r="AS38" s="2223"/>
    </row>
    <row r="39" spans="1:45" ht="15" x14ac:dyDescent="0.25">
      <c r="A39" s="2219" t="s">
        <v>5101</v>
      </c>
      <c r="B39" s="2219" t="s">
        <v>6368</v>
      </c>
      <c r="C39" s="2223"/>
      <c r="D39" s="2223">
        <f>COUNTIF(TableDiv[Agency],E39)</f>
        <v>3</v>
      </c>
      <c r="E39" s="2230" t="str" cm="1">
        <f t="array" ref="E39">IFERROR(INDEX(TableDiv[Agency],MATCH(0,INDEX(COUNTIF($E$7:E38,TableDiv[Agency]),),0)),"")</f>
        <v>3100</v>
      </c>
      <c r="F39" s="2223" t="str" cm="1">
        <f t="array" ref="F39">IF($D39&lt;COLUMNS($F$7:F$7),"",INDEX(TableDiv[[GASB]:[GASB]],_xlfn.AGGREGATE(15,3,(TableDiv[[Agency]:[Agency]]=$E39)/(TableDiv[[Agency]:[Agency]]=$E39)*(ROW(TableDiv[Agency])-ROW(TableDiv[[#Headers],[Agency]])),COLUMNS($F$7:F$7))))</f>
        <v>12000G</v>
      </c>
      <c r="G39" s="2223" t="str" cm="1">
        <f t="array" ref="G39">IF($D39&lt;COLUMNS($F$7:G$7),"",INDEX(TableDiv[[GASB]:[GASB]],_xlfn.AGGREGATE(15,3,(TableDiv[[Agency]:[Agency]]=$E39)/(TableDiv[[Agency]:[Agency]]=$E39)*(ROW(TableDiv[Agency])-ROW(TableDiv[[#Headers],[Agency]])),COLUMNS($F$7:G$7))))</f>
        <v>14000G</v>
      </c>
      <c r="H39" s="2223" t="str" cm="1">
        <f t="array" ref="H39">IF($D39&lt;COLUMNS($F$7:H$7),"",INDEX(TableDiv[[GASB]:[GASB]],_xlfn.AGGREGATE(15,3,(TableDiv[[Agency]:[Agency]]=$E39)/(TableDiv[[Agency]:[Agency]]=$E39)*(ROW(TableDiv[Agency])-ROW(TableDiv[[#Headers],[Agency]])),COLUMNS($F$7:H$7))))</f>
        <v>39000G</v>
      </c>
      <c r="I39" s="2223" t="str" cm="1">
        <f t="array" ref="I39">IF($D39&lt;COLUMNS($F$7:I$7),"",INDEX(TableDiv[[GASB]:[GASB]],_xlfn.AGGREGATE(15,3,(TableDiv[[Agency]:[Agency]]=$E39)/(TableDiv[[Agency]:[Agency]]=$E39)*(ROW(TableDiv[Agency])-ROW(TableDiv[[#Headers],[Agency]])),COLUMNS($F$7:I$7))))</f>
        <v/>
      </c>
      <c r="J39" s="2223" t="str" cm="1">
        <f t="array" ref="J39">IF($D39&lt;COLUMNS($F$7:J$7),"",INDEX(TableDiv[[GASB]:[GASB]],_xlfn.AGGREGATE(15,3,(TableDiv[[Agency]:[Agency]]=$E39)/(TableDiv[[Agency]:[Agency]]=$E39)*(ROW(TableDiv[Agency])-ROW(TableDiv[[#Headers],[Agency]])),COLUMNS($F$7:J$7))))</f>
        <v/>
      </c>
      <c r="K39" s="2223" t="str" cm="1">
        <f t="array" ref="K39">IF($D39&lt;COLUMNS($F$7:K$7),"",INDEX(TableDiv[[GASB]:[GASB]],_xlfn.AGGREGATE(15,3,(TableDiv[[Agency]:[Agency]]=$E39)/(TableDiv[[Agency]:[Agency]]=$E39)*(ROW(TableDiv[Agency])-ROW(TableDiv[[#Headers],[Agency]])),COLUMNS($F$7:K$7))))</f>
        <v/>
      </c>
      <c r="L39" s="2223" t="str" cm="1">
        <f t="array" ref="L39">IF($D39&lt;COLUMNS($F$7:L$7),"",INDEX(TableDiv[[GASB]:[GASB]],_xlfn.AGGREGATE(15,3,(TableDiv[[Agency]:[Agency]]=$E39)/(TableDiv[[Agency]:[Agency]]=$E39)*(ROW(TableDiv[Agency])-ROW(TableDiv[[#Headers],[Agency]])),COLUMNS($F$7:L$7))))</f>
        <v/>
      </c>
      <c r="M39" s="2223" t="str" cm="1">
        <f t="array" ref="M39">IF($D39&lt;COLUMNS($F$7:M$7),"",INDEX(TableDiv[[GASB]:[GASB]],_xlfn.AGGREGATE(15,3,(TableDiv[[Agency]:[Agency]]=$E39)/(TableDiv[[Agency]:[Agency]]=$E39)*(ROW(TableDiv[Agency])-ROW(TableDiv[[#Headers],[Agency]])),COLUMNS($F$7:M$7))))</f>
        <v/>
      </c>
      <c r="N39" s="2223" t="str" cm="1">
        <f t="array" ref="N39">IF($D39&lt;COLUMNS($F$7:N$7),"",INDEX(TableDiv[[GASB]:[GASB]],_xlfn.AGGREGATE(15,3,(TableDiv[[Agency]:[Agency]]=$E39)/(TableDiv[[Agency]:[Agency]]=$E39)*(ROW(TableDiv[Agency])-ROW(TableDiv[[#Headers],[Agency]])),COLUMNS($F$7:N$7))))</f>
        <v/>
      </c>
      <c r="O39" s="2223" t="str" cm="1">
        <f t="array" ref="O39">IF($D39&lt;COLUMNS($F$7:O$7),"",INDEX(TableDiv[[GASB]:[GASB]],_xlfn.AGGREGATE(15,3,(TableDiv[[Agency]:[Agency]]=$E39)/(TableDiv[[Agency]:[Agency]]=$E39)*(ROW(TableDiv[Agency])-ROW(TableDiv[[#Headers],[Agency]])),COLUMNS($F$7:O$7))))</f>
        <v/>
      </c>
      <c r="P39" s="2223" t="str" cm="1">
        <f t="array" ref="P39">IF($D39&lt;COLUMNS($F$7:P$7),"",INDEX(TableDiv[[GASB]:[GASB]],_xlfn.AGGREGATE(15,3,(TableDiv[[Agency]:[Agency]]=$E39)/(TableDiv[[Agency]:[Agency]]=$E39)*(ROW(TableDiv[Agency])-ROW(TableDiv[[#Headers],[Agency]])),COLUMNS($F$7:P$7))))</f>
        <v/>
      </c>
      <c r="Q39" s="2223" t="str" cm="1">
        <f t="array" ref="Q39">IF($D39&lt;COLUMNS($F$7:Q$7),"",INDEX(TableDiv[[GASB]:[GASB]],_xlfn.AGGREGATE(15,3,(TableDiv[[Agency]:[Agency]]=$E39)/(TableDiv[[Agency]:[Agency]]=$E39)*(ROW(TableDiv[Agency])-ROW(TableDiv[[#Headers],[Agency]])),COLUMNS($F$7:Q$7))))</f>
        <v/>
      </c>
      <c r="R39" s="2223" t="str" cm="1">
        <f t="array" ref="R39">IF($D39&lt;COLUMNS($F$7:R$7),"",INDEX(TableDiv[[GASB]:[GASB]],_xlfn.AGGREGATE(15,3,(TableDiv[[Agency]:[Agency]]=$E39)/(TableDiv[[Agency]:[Agency]]=$E39)*(ROW(TableDiv[Agency])-ROW(TableDiv[[#Headers],[Agency]])),COLUMNS($F$7:R$7))))</f>
        <v/>
      </c>
      <c r="S39" s="2223" t="str" cm="1">
        <f t="array" ref="S39">IF($D39&lt;COLUMNS($F$7:S$7),"",INDEX(TableDiv[[GASB]:[GASB]],_xlfn.AGGREGATE(15,3,(TableDiv[[Agency]:[Agency]]=$E39)/(TableDiv[[Agency]:[Agency]]=$E39)*(ROW(TableDiv[Agency])-ROW(TableDiv[[#Headers],[Agency]])),COLUMNS($F$7:S$7))))</f>
        <v/>
      </c>
      <c r="T39" s="2223" t="str" cm="1">
        <f t="array" ref="T39">IF($D39&lt;COLUMNS($F$7:T$7),"",INDEX(TableDiv[[GASB]:[GASB]],_xlfn.AGGREGATE(15,3,(TableDiv[[Agency]:[Agency]]=$E39)/(TableDiv[[Agency]:[Agency]]=$E39)*(ROW(TableDiv[Agency])-ROW(TableDiv[[#Headers],[Agency]])),COLUMNS($F$7:T$7))))</f>
        <v/>
      </c>
      <c r="U39" s="2223" t="str" cm="1">
        <f t="array" ref="U39">IF($D39&lt;COLUMNS($F$7:U$7),"",INDEX(TableDiv[[GASB]:[GASB]],_xlfn.AGGREGATE(15,3,(TableDiv[[Agency]:[Agency]]=$E39)/(TableDiv[[Agency]:[Agency]]=$E39)*(ROW(TableDiv[Agency])-ROW(TableDiv[[#Headers],[Agency]])),COLUMNS($F$7:U$7))))</f>
        <v/>
      </c>
      <c r="V39" s="2223" t="str" cm="1">
        <f t="array" ref="V39">IF($D39&lt;COLUMNS($F$7:V$7),"",INDEX(TableDiv[[GASB]:[GASB]],_xlfn.AGGREGATE(15,3,(TableDiv[[Agency]:[Agency]]=$E39)/(TableDiv[[Agency]:[Agency]]=$E39)*(ROW(TableDiv[Agency])-ROW(TableDiv[[#Headers],[Agency]])),COLUMNS($F$7:V$7))))</f>
        <v/>
      </c>
      <c r="W39" s="2223" t="str" cm="1">
        <f t="array" ref="W39">IF($D39&lt;COLUMNS($F$7:W$7),"",INDEX(TableDiv[[GASB]:[GASB]],_xlfn.AGGREGATE(15,3,(TableDiv[[Agency]:[Agency]]=$E39)/(TableDiv[[Agency]:[Agency]]=$E39)*(ROW(TableDiv[Agency])-ROW(TableDiv[[#Headers],[Agency]])),COLUMNS($F$7:W$7))))</f>
        <v/>
      </c>
      <c r="X39" s="2223" t="str" cm="1">
        <f t="array" ref="X39">IF($D39&lt;COLUMNS($F$7:X$7),"",INDEX(TableDiv[[GASB]:[GASB]],_xlfn.AGGREGATE(15,3,(TableDiv[[Agency]:[Agency]]=$E39)/(TableDiv[[Agency]:[Agency]]=$E39)*(ROW(TableDiv[Agency])-ROW(TableDiv[[#Headers],[Agency]])),COLUMNS($F$7:X$7))))</f>
        <v/>
      </c>
      <c r="Y39" s="2223" t="str" cm="1">
        <f t="array" ref="Y39">IF($D39&lt;COLUMNS($F$7:Y$7),"",INDEX(TableDiv[[GASB]:[GASB]],_xlfn.AGGREGATE(15,3,(TableDiv[[Agency]:[Agency]]=$E39)/(TableDiv[[Agency]:[Agency]]=$E39)*(ROW(TableDiv[Agency])-ROW(TableDiv[[#Headers],[Agency]])),COLUMNS($F$7:Y$7))))</f>
        <v/>
      </c>
      <c r="Z39" s="2223" t="str" cm="1">
        <f t="array" ref="Z39">IF($D39&lt;COLUMNS($F$7:Z$7),"",INDEX(TableDiv[[GASB]:[GASB]],_xlfn.AGGREGATE(15,3,(TableDiv[[Agency]:[Agency]]=$E39)/(TableDiv[[Agency]:[Agency]]=$E39)*(ROW(TableDiv[Agency])-ROW(TableDiv[[#Headers],[Agency]])),COLUMNS($F$7:Z$7))))</f>
        <v/>
      </c>
      <c r="AA39" s="2223" t="str" cm="1">
        <f t="array" ref="AA39">IF($D39&lt;COLUMNS($F$7:AA$7),"",INDEX(TableDiv[[GASB]:[GASB]],_xlfn.AGGREGATE(15,3,(TableDiv[[Agency]:[Agency]]=$E39)/(TableDiv[[Agency]:[Agency]]=$E39)*(ROW(TableDiv[Agency])-ROW(TableDiv[[#Headers],[Agency]])),COLUMNS($F$7:AA$7))))</f>
        <v/>
      </c>
      <c r="AB39" s="2223" t="str" cm="1">
        <f t="array" ref="AB39">IF($D39&lt;COLUMNS($F$7:AB$7),"",INDEX(TableDiv[[GASB]:[GASB]],_xlfn.AGGREGATE(15,3,(TableDiv[[Agency]:[Agency]]=$E39)/(TableDiv[[Agency]:[Agency]]=$E39)*(ROW(TableDiv[Agency])-ROW(TableDiv[[#Headers],[Agency]])),COLUMNS($F$7:AB$7))))</f>
        <v/>
      </c>
      <c r="AC39" s="2223" t="str" cm="1">
        <f t="array" ref="AC39">IF($D39&lt;COLUMNS($F$7:AC$7),"",INDEX(TableDiv[[GASB]:[GASB]],_xlfn.AGGREGATE(15,3,(TableDiv[[Agency]:[Agency]]=$E39)/(TableDiv[[Agency]:[Agency]]=$E39)*(ROW(TableDiv[Agency])-ROW(TableDiv[[#Headers],[Agency]])),COLUMNS($F$7:AC$7))))</f>
        <v/>
      </c>
      <c r="AD39" s="2223" t="str" cm="1">
        <f t="array" ref="AD39">IF($D39&lt;COLUMNS($F$7:AD$7),"",INDEX(TableDiv[[GASB]:[GASB]],_xlfn.AGGREGATE(15,3,(TableDiv[[Agency]:[Agency]]=$E39)/(TableDiv[[Agency]:[Agency]]=$E39)*(ROW(TableDiv[Agency])-ROW(TableDiv[[#Headers],[Agency]])),COLUMNS($F$7:AD$7))))</f>
        <v/>
      </c>
      <c r="AE39" s="2223" t="str" cm="1">
        <f t="array" ref="AE39">IF($D39&lt;COLUMNS($F$7:AE$7),"",INDEX(TableDiv[[GASB]:[GASB]],_xlfn.AGGREGATE(15,3,(TableDiv[[Agency]:[Agency]]=$E39)/(TableDiv[[Agency]:[Agency]]=$E39)*(ROW(TableDiv[Agency])-ROW(TableDiv[[#Headers],[Agency]])),COLUMNS($F$7:AE$7))))</f>
        <v/>
      </c>
      <c r="AF39" s="2223" t="str" cm="1">
        <f t="array" ref="AF39">IF($D39&lt;COLUMNS($F$7:AF$7),"",INDEX(TableDiv[[GASB]:[GASB]],_xlfn.AGGREGATE(15,3,(TableDiv[[Agency]:[Agency]]=$E39)/(TableDiv[[Agency]:[Agency]]=$E39)*(ROW(TableDiv[Agency])-ROW(TableDiv[[#Headers],[Agency]])),COLUMNS($F$7:AF$7))))</f>
        <v/>
      </c>
      <c r="AG39" s="2223" t="str" cm="1">
        <f t="array" ref="AG39">IF($D39&lt;COLUMNS($F$7:AG$7),"",INDEX(TableDiv[[GASB]:[GASB]],_xlfn.AGGREGATE(15,3,(TableDiv[[Agency]:[Agency]]=$E39)/(TableDiv[[Agency]:[Agency]]=$E39)*(ROW(TableDiv[Agency])-ROW(TableDiv[[#Headers],[Agency]])),COLUMNS($F$7:AG$7))))</f>
        <v/>
      </c>
      <c r="AH39" s="2223" t="str" cm="1">
        <f t="array" ref="AH39">IF($D39&lt;COLUMNS($F$7:AH$7),"",INDEX(TableDiv[[GASB]:[GASB]],_xlfn.AGGREGATE(15,3,(TableDiv[[Agency]:[Agency]]=$E39)/(TableDiv[[Agency]:[Agency]]=$E39)*(ROW(TableDiv[Agency])-ROW(TableDiv[[#Headers],[Agency]])),COLUMNS($F$7:AH$7))))</f>
        <v/>
      </c>
      <c r="AI39" s="2223" t="str" cm="1">
        <f t="array" ref="AI39">IF($D39&lt;COLUMNS($F$7:AI$7),"",INDEX(TableDiv[[GASB]:[GASB]],_xlfn.AGGREGATE(15,3,(TableDiv[[Agency]:[Agency]]=$E39)/(TableDiv[[Agency]:[Agency]]=$E39)*(ROW(TableDiv[Agency])-ROW(TableDiv[[#Headers],[Agency]])),COLUMNS($F$7:AI$7))))</f>
        <v/>
      </c>
      <c r="AJ39" s="2223" t="str" cm="1">
        <f t="array" ref="AJ39">IF($D39&lt;COLUMNS($F$7:AJ$7),"",INDEX(TableDiv[[GASB]:[GASB]],_xlfn.AGGREGATE(15,3,(TableDiv[[Agency]:[Agency]]=$E39)/(TableDiv[[Agency]:[Agency]]=$E39)*(ROW(TableDiv[Agency])-ROW(TableDiv[[#Headers],[Agency]])),COLUMNS($F$7:AJ$7))))</f>
        <v/>
      </c>
      <c r="AK39" s="2223" t="str" cm="1">
        <f t="array" ref="AK39">IF($D39&lt;COLUMNS($F$7:AK$7),"",INDEX(TableDiv[[GASB]:[GASB]],_xlfn.AGGREGATE(15,3,(TableDiv[[Agency]:[Agency]]=$E39)/(TableDiv[[Agency]:[Agency]]=$E39)*(ROW(TableDiv[Agency])-ROW(TableDiv[[#Headers],[Agency]])),COLUMNS($F$7:AK$7))))</f>
        <v/>
      </c>
      <c r="AL39" s="2223" t="str" cm="1">
        <f t="array" ref="AL39">IF($D39&lt;COLUMNS($F$7:AL$7),"",INDEX(TableDiv[[GASB]:[GASB]],_xlfn.AGGREGATE(15,3,(TableDiv[[Agency]:[Agency]]=$E39)/(TableDiv[[Agency]:[Agency]]=$E39)*(ROW(TableDiv[Agency])-ROW(TableDiv[[#Headers],[Agency]])),COLUMNS($F$7:AL$7))))</f>
        <v/>
      </c>
      <c r="AM39" s="2223" t="str" cm="1">
        <f t="array" ref="AM39">IF($D39&lt;COLUMNS($F$7:AM$7),"",INDEX(TableDiv[[GASB]:[GASB]],_xlfn.AGGREGATE(15,3,(TableDiv[[Agency]:[Agency]]=$E39)/(TableDiv[[Agency]:[Agency]]=$E39)*(ROW(TableDiv[Agency])-ROW(TableDiv[[#Headers],[Agency]])),COLUMNS($F$7:AM$7))))</f>
        <v/>
      </c>
      <c r="AN39" s="2223"/>
      <c r="AO39" s="2223"/>
      <c r="AP39" s="2223"/>
      <c r="AQ39" s="2223"/>
      <c r="AR39" s="2223"/>
      <c r="AS39" s="2223"/>
    </row>
    <row r="40" spans="1:45" ht="15" x14ac:dyDescent="0.25">
      <c r="A40" s="2219" t="s">
        <v>5101</v>
      </c>
      <c r="B40" s="2219" t="s">
        <v>6369</v>
      </c>
      <c r="C40" s="2223"/>
      <c r="D40" s="2223">
        <f>COUNTIF(TableDiv[Agency],E40)</f>
        <v>3</v>
      </c>
      <c r="E40" s="2230" t="str" cm="1">
        <f t="array" ref="E40">IFERROR(INDEX(TableDiv[Agency],MATCH(0,INDEX(COUNTIF($E$7:E39,TableDiv[Agency]),),0)),"")</f>
        <v>3200</v>
      </c>
      <c r="F40" s="2223" t="str" cm="1">
        <f t="array" ref="F40">IF($D40&lt;COLUMNS($F$7:F$7),"",INDEX(TableDiv[[GASB]:[GASB]],_xlfn.AGGREGATE(15,3,(TableDiv[[Agency]:[Agency]]=$E40)/(TableDiv[[Agency]:[Agency]]=$E40)*(ROW(TableDiv[Agency])-ROW(TableDiv[[#Headers],[Agency]])),COLUMNS($F$7:F$7))))</f>
        <v>12000G</v>
      </c>
      <c r="G40" s="2223" t="str" cm="1">
        <f t="array" ref="G40">IF($D40&lt;COLUMNS($F$7:G$7),"",INDEX(TableDiv[[GASB]:[GASB]],_xlfn.AGGREGATE(15,3,(TableDiv[[Agency]:[Agency]]=$E40)/(TableDiv[[Agency]:[Agency]]=$E40)*(ROW(TableDiv[Agency])-ROW(TableDiv[[#Headers],[Agency]])),COLUMNS($F$7:G$7))))</f>
        <v>14000G</v>
      </c>
      <c r="H40" s="2223" t="str" cm="1">
        <f t="array" ref="H40">IF($D40&lt;COLUMNS($F$7:H$7),"",INDEX(TableDiv[[GASB]:[GASB]],_xlfn.AGGREGATE(15,3,(TableDiv[[Agency]:[Agency]]=$E40)/(TableDiv[[Agency]:[Agency]]=$E40)*(ROW(TableDiv[Agency])-ROW(TableDiv[[#Headers],[Agency]])),COLUMNS($F$7:H$7))))</f>
        <v>39000G</v>
      </c>
      <c r="I40" s="2223" t="str" cm="1">
        <f t="array" ref="I40">IF($D40&lt;COLUMNS($F$7:I$7),"",INDEX(TableDiv[[GASB]:[GASB]],_xlfn.AGGREGATE(15,3,(TableDiv[[Agency]:[Agency]]=$E40)/(TableDiv[[Agency]:[Agency]]=$E40)*(ROW(TableDiv[Agency])-ROW(TableDiv[[#Headers],[Agency]])),COLUMNS($F$7:I$7))))</f>
        <v/>
      </c>
      <c r="J40" s="2223" t="str" cm="1">
        <f t="array" ref="J40">IF($D40&lt;COLUMNS($F$7:J$7),"",INDEX(TableDiv[[GASB]:[GASB]],_xlfn.AGGREGATE(15,3,(TableDiv[[Agency]:[Agency]]=$E40)/(TableDiv[[Agency]:[Agency]]=$E40)*(ROW(TableDiv[Agency])-ROW(TableDiv[[#Headers],[Agency]])),COLUMNS($F$7:J$7))))</f>
        <v/>
      </c>
      <c r="K40" s="2223" t="str" cm="1">
        <f t="array" ref="K40">IF($D40&lt;COLUMNS($F$7:K$7),"",INDEX(TableDiv[[GASB]:[GASB]],_xlfn.AGGREGATE(15,3,(TableDiv[[Agency]:[Agency]]=$E40)/(TableDiv[[Agency]:[Agency]]=$E40)*(ROW(TableDiv[Agency])-ROW(TableDiv[[#Headers],[Agency]])),COLUMNS($F$7:K$7))))</f>
        <v/>
      </c>
      <c r="L40" s="2223" t="str" cm="1">
        <f t="array" ref="L40">IF($D40&lt;COLUMNS($F$7:L$7),"",INDEX(TableDiv[[GASB]:[GASB]],_xlfn.AGGREGATE(15,3,(TableDiv[[Agency]:[Agency]]=$E40)/(TableDiv[[Agency]:[Agency]]=$E40)*(ROW(TableDiv[Agency])-ROW(TableDiv[[#Headers],[Agency]])),COLUMNS($F$7:L$7))))</f>
        <v/>
      </c>
      <c r="M40" s="2223" t="str" cm="1">
        <f t="array" ref="M40">IF($D40&lt;COLUMNS($F$7:M$7),"",INDEX(TableDiv[[GASB]:[GASB]],_xlfn.AGGREGATE(15,3,(TableDiv[[Agency]:[Agency]]=$E40)/(TableDiv[[Agency]:[Agency]]=$E40)*(ROW(TableDiv[Agency])-ROW(TableDiv[[#Headers],[Agency]])),COLUMNS($F$7:M$7))))</f>
        <v/>
      </c>
      <c r="N40" s="2223" t="str" cm="1">
        <f t="array" ref="N40">IF($D40&lt;COLUMNS($F$7:N$7),"",INDEX(TableDiv[[GASB]:[GASB]],_xlfn.AGGREGATE(15,3,(TableDiv[[Agency]:[Agency]]=$E40)/(TableDiv[[Agency]:[Agency]]=$E40)*(ROW(TableDiv[Agency])-ROW(TableDiv[[#Headers],[Agency]])),COLUMNS($F$7:N$7))))</f>
        <v/>
      </c>
      <c r="O40" s="2223" t="str" cm="1">
        <f t="array" ref="O40">IF($D40&lt;COLUMNS($F$7:O$7),"",INDEX(TableDiv[[GASB]:[GASB]],_xlfn.AGGREGATE(15,3,(TableDiv[[Agency]:[Agency]]=$E40)/(TableDiv[[Agency]:[Agency]]=$E40)*(ROW(TableDiv[Agency])-ROW(TableDiv[[#Headers],[Agency]])),COLUMNS($F$7:O$7))))</f>
        <v/>
      </c>
      <c r="P40" s="2223" t="str" cm="1">
        <f t="array" ref="P40">IF($D40&lt;COLUMNS($F$7:P$7),"",INDEX(TableDiv[[GASB]:[GASB]],_xlfn.AGGREGATE(15,3,(TableDiv[[Agency]:[Agency]]=$E40)/(TableDiv[[Agency]:[Agency]]=$E40)*(ROW(TableDiv[Agency])-ROW(TableDiv[[#Headers],[Agency]])),COLUMNS($F$7:P$7))))</f>
        <v/>
      </c>
      <c r="Q40" s="2223" t="str" cm="1">
        <f t="array" ref="Q40">IF($D40&lt;COLUMNS($F$7:Q$7),"",INDEX(TableDiv[[GASB]:[GASB]],_xlfn.AGGREGATE(15,3,(TableDiv[[Agency]:[Agency]]=$E40)/(TableDiv[[Agency]:[Agency]]=$E40)*(ROW(TableDiv[Agency])-ROW(TableDiv[[#Headers],[Agency]])),COLUMNS($F$7:Q$7))))</f>
        <v/>
      </c>
      <c r="R40" s="2223" t="str" cm="1">
        <f t="array" ref="R40">IF($D40&lt;COLUMNS($F$7:R$7),"",INDEX(TableDiv[[GASB]:[GASB]],_xlfn.AGGREGATE(15,3,(TableDiv[[Agency]:[Agency]]=$E40)/(TableDiv[[Agency]:[Agency]]=$E40)*(ROW(TableDiv[Agency])-ROW(TableDiv[[#Headers],[Agency]])),COLUMNS($F$7:R$7))))</f>
        <v/>
      </c>
      <c r="S40" s="2223" t="str" cm="1">
        <f t="array" ref="S40">IF($D40&lt;COLUMNS($F$7:S$7),"",INDEX(TableDiv[[GASB]:[GASB]],_xlfn.AGGREGATE(15,3,(TableDiv[[Agency]:[Agency]]=$E40)/(TableDiv[[Agency]:[Agency]]=$E40)*(ROW(TableDiv[Agency])-ROW(TableDiv[[#Headers],[Agency]])),COLUMNS($F$7:S$7))))</f>
        <v/>
      </c>
      <c r="T40" s="2223" t="str" cm="1">
        <f t="array" ref="T40">IF($D40&lt;COLUMNS($F$7:T$7),"",INDEX(TableDiv[[GASB]:[GASB]],_xlfn.AGGREGATE(15,3,(TableDiv[[Agency]:[Agency]]=$E40)/(TableDiv[[Agency]:[Agency]]=$E40)*(ROW(TableDiv[Agency])-ROW(TableDiv[[#Headers],[Agency]])),COLUMNS($F$7:T$7))))</f>
        <v/>
      </c>
      <c r="U40" s="2223" t="str" cm="1">
        <f t="array" ref="U40">IF($D40&lt;COLUMNS($F$7:U$7),"",INDEX(TableDiv[[GASB]:[GASB]],_xlfn.AGGREGATE(15,3,(TableDiv[[Agency]:[Agency]]=$E40)/(TableDiv[[Agency]:[Agency]]=$E40)*(ROW(TableDiv[Agency])-ROW(TableDiv[[#Headers],[Agency]])),COLUMNS($F$7:U$7))))</f>
        <v/>
      </c>
      <c r="V40" s="2223" t="str" cm="1">
        <f t="array" ref="V40">IF($D40&lt;COLUMNS($F$7:V$7),"",INDEX(TableDiv[[GASB]:[GASB]],_xlfn.AGGREGATE(15,3,(TableDiv[[Agency]:[Agency]]=$E40)/(TableDiv[[Agency]:[Agency]]=$E40)*(ROW(TableDiv[Agency])-ROW(TableDiv[[#Headers],[Agency]])),COLUMNS($F$7:V$7))))</f>
        <v/>
      </c>
      <c r="W40" s="2223" t="str" cm="1">
        <f t="array" ref="W40">IF($D40&lt;COLUMNS($F$7:W$7),"",INDEX(TableDiv[[GASB]:[GASB]],_xlfn.AGGREGATE(15,3,(TableDiv[[Agency]:[Agency]]=$E40)/(TableDiv[[Agency]:[Agency]]=$E40)*(ROW(TableDiv[Agency])-ROW(TableDiv[[#Headers],[Agency]])),COLUMNS($F$7:W$7))))</f>
        <v/>
      </c>
      <c r="X40" s="2223" t="str" cm="1">
        <f t="array" ref="X40">IF($D40&lt;COLUMNS($F$7:X$7),"",INDEX(TableDiv[[GASB]:[GASB]],_xlfn.AGGREGATE(15,3,(TableDiv[[Agency]:[Agency]]=$E40)/(TableDiv[[Agency]:[Agency]]=$E40)*(ROW(TableDiv[Agency])-ROW(TableDiv[[#Headers],[Agency]])),COLUMNS($F$7:X$7))))</f>
        <v/>
      </c>
      <c r="Y40" s="2223" t="str" cm="1">
        <f t="array" ref="Y40">IF($D40&lt;COLUMNS($F$7:Y$7),"",INDEX(TableDiv[[GASB]:[GASB]],_xlfn.AGGREGATE(15,3,(TableDiv[[Agency]:[Agency]]=$E40)/(TableDiv[[Agency]:[Agency]]=$E40)*(ROW(TableDiv[Agency])-ROW(TableDiv[[#Headers],[Agency]])),COLUMNS($F$7:Y$7))))</f>
        <v/>
      </c>
      <c r="Z40" s="2223" t="str" cm="1">
        <f t="array" ref="Z40">IF($D40&lt;COLUMNS($F$7:Z$7),"",INDEX(TableDiv[[GASB]:[GASB]],_xlfn.AGGREGATE(15,3,(TableDiv[[Agency]:[Agency]]=$E40)/(TableDiv[[Agency]:[Agency]]=$E40)*(ROW(TableDiv[Agency])-ROW(TableDiv[[#Headers],[Agency]])),COLUMNS($F$7:Z$7))))</f>
        <v/>
      </c>
      <c r="AA40" s="2223" t="str" cm="1">
        <f t="array" ref="AA40">IF($D40&lt;COLUMNS($F$7:AA$7),"",INDEX(TableDiv[[GASB]:[GASB]],_xlfn.AGGREGATE(15,3,(TableDiv[[Agency]:[Agency]]=$E40)/(TableDiv[[Agency]:[Agency]]=$E40)*(ROW(TableDiv[Agency])-ROW(TableDiv[[#Headers],[Agency]])),COLUMNS($F$7:AA$7))))</f>
        <v/>
      </c>
      <c r="AB40" s="2223" t="str" cm="1">
        <f t="array" ref="AB40">IF($D40&lt;COLUMNS($F$7:AB$7),"",INDEX(TableDiv[[GASB]:[GASB]],_xlfn.AGGREGATE(15,3,(TableDiv[[Agency]:[Agency]]=$E40)/(TableDiv[[Agency]:[Agency]]=$E40)*(ROW(TableDiv[Agency])-ROW(TableDiv[[#Headers],[Agency]])),COLUMNS($F$7:AB$7))))</f>
        <v/>
      </c>
      <c r="AC40" s="2223" t="str" cm="1">
        <f t="array" ref="AC40">IF($D40&lt;COLUMNS($F$7:AC$7),"",INDEX(TableDiv[[GASB]:[GASB]],_xlfn.AGGREGATE(15,3,(TableDiv[[Agency]:[Agency]]=$E40)/(TableDiv[[Agency]:[Agency]]=$E40)*(ROW(TableDiv[Agency])-ROW(TableDiv[[#Headers],[Agency]])),COLUMNS($F$7:AC$7))))</f>
        <v/>
      </c>
      <c r="AD40" s="2223" t="str" cm="1">
        <f t="array" ref="AD40">IF($D40&lt;COLUMNS($F$7:AD$7),"",INDEX(TableDiv[[GASB]:[GASB]],_xlfn.AGGREGATE(15,3,(TableDiv[[Agency]:[Agency]]=$E40)/(TableDiv[[Agency]:[Agency]]=$E40)*(ROW(TableDiv[Agency])-ROW(TableDiv[[#Headers],[Agency]])),COLUMNS($F$7:AD$7))))</f>
        <v/>
      </c>
      <c r="AE40" s="2223" t="str" cm="1">
        <f t="array" ref="AE40">IF($D40&lt;COLUMNS($F$7:AE$7),"",INDEX(TableDiv[[GASB]:[GASB]],_xlfn.AGGREGATE(15,3,(TableDiv[[Agency]:[Agency]]=$E40)/(TableDiv[[Agency]:[Agency]]=$E40)*(ROW(TableDiv[Agency])-ROW(TableDiv[[#Headers],[Agency]])),COLUMNS($F$7:AE$7))))</f>
        <v/>
      </c>
      <c r="AF40" s="2223" t="str" cm="1">
        <f t="array" ref="AF40">IF($D40&lt;COLUMNS($F$7:AF$7),"",INDEX(TableDiv[[GASB]:[GASB]],_xlfn.AGGREGATE(15,3,(TableDiv[[Agency]:[Agency]]=$E40)/(TableDiv[[Agency]:[Agency]]=$E40)*(ROW(TableDiv[Agency])-ROW(TableDiv[[#Headers],[Agency]])),COLUMNS($F$7:AF$7))))</f>
        <v/>
      </c>
      <c r="AG40" s="2223" t="str" cm="1">
        <f t="array" ref="AG40">IF($D40&lt;COLUMNS($F$7:AG$7),"",INDEX(TableDiv[[GASB]:[GASB]],_xlfn.AGGREGATE(15,3,(TableDiv[[Agency]:[Agency]]=$E40)/(TableDiv[[Agency]:[Agency]]=$E40)*(ROW(TableDiv[Agency])-ROW(TableDiv[[#Headers],[Agency]])),COLUMNS($F$7:AG$7))))</f>
        <v/>
      </c>
      <c r="AH40" s="2223" t="str" cm="1">
        <f t="array" ref="AH40">IF($D40&lt;COLUMNS($F$7:AH$7),"",INDEX(TableDiv[[GASB]:[GASB]],_xlfn.AGGREGATE(15,3,(TableDiv[[Agency]:[Agency]]=$E40)/(TableDiv[[Agency]:[Agency]]=$E40)*(ROW(TableDiv[Agency])-ROW(TableDiv[[#Headers],[Agency]])),COLUMNS($F$7:AH$7))))</f>
        <v/>
      </c>
      <c r="AI40" s="2223" t="str" cm="1">
        <f t="array" ref="AI40">IF($D40&lt;COLUMNS($F$7:AI$7),"",INDEX(TableDiv[[GASB]:[GASB]],_xlfn.AGGREGATE(15,3,(TableDiv[[Agency]:[Agency]]=$E40)/(TableDiv[[Agency]:[Agency]]=$E40)*(ROW(TableDiv[Agency])-ROW(TableDiv[[#Headers],[Agency]])),COLUMNS($F$7:AI$7))))</f>
        <v/>
      </c>
      <c r="AJ40" s="2223" t="str" cm="1">
        <f t="array" ref="AJ40">IF($D40&lt;COLUMNS($F$7:AJ$7),"",INDEX(TableDiv[[GASB]:[GASB]],_xlfn.AGGREGATE(15,3,(TableDiv[[Agency]:[Agency]]=$E40)/(TableDiv[[Agency]:[Agency]]=$E40)*(ROW(TableDiv[Agency])-ROW(TableDiv[[#Headers],[Agency]])),COLUMNS($F$7:AJ$7))))</f>
        <v/>
      </c>
      <c r="AK40" s="2223" t="str" cm="1">
        <f t="array" ref="AK40">IF($D40&lt;COLUMNS($F$7:AK$7),"",INDEX(TableDiv[[GASB]:[GASB]],_xlfn.AGGREGATE(15,3,(TableDiv[[Agency]:[Agency]]=$E40)/(TableDiv[[Agency]:[Agency]]=$E40)*(ROW(TableDiv[Agency])-ROW(TableDiv[[#Headers],[Agency]])),COLUMNS($F$7:AK$7))))</f>
        <v/>
      </c>
      <c r="AL40" s="2223" t="str" cm="1">
        <f t="array" ref="AL40">IF($D40&lt;COLUMNS($F$7:AL$7),"",INDEX(TableDiv[[GASB]:[GASB]],_xlfn.AGGREGATE(15,3,(TableDiv[[Agency]:[Agency]]=$E40)/(TableDiv[[Agency]:[Agency]]=$E40)*(ROW(TableDiv[Agency])-ROW(TableDiv[[#Headers],[Agency]])),COLUMNS($F$7:AL$7))))</f>
        <v/>
      </c>
      <c r="AM40" s="2223" t="str" cm="1">
        <f t="array" ref="AM40">IF($D40&lt;COLUMNS($F$7:AM$7),"",INDEX(TableDiv[[GASB]:[GASB]],_xlfn.AGGREGATE(15,3,(TableDiv[[Agency]:[Agency]]=$E40)/(TableDiv[[Agency]:[Agency]]=$E40)*(ROW(TableDiv[Agency])-ROW(TableDiv[[#Headers],[Agency]])),COLUMNS($F$7:AM$7))))</f>
        <v/>
      </c>
      <c r="AN40" s="2223"/>
      <c r="AO40" s="2223"/>
      <c r="AP40" s="2223"/>
      <c r="AQ40" s="2223"/>
      <c r="AR40" s="2223"/>
      <c r="AS40" s="2223"/>
    </row>
    <row r="41" spans="1:45" ht="15" x14ac:dyDescent="0.25">
      <c r="A41" s="2219" t="s">
        <v>5101</v>
      </c>
      <c r="B41" s="2219" t="s">
        <v>6370</v>
      </c>
      <c r="C41" s="2223"/>
      <c r="D41" s="2223">
        <f>COUNTIF(TableDiv[Agency],E41)</f>
        <v>3</v>
      </c>
      <c r="E41" s="2230" t="str" cm="1">
        <f t="array" ref="E41">IFERROR(INDEX(TableDiv[Agency],MATCH(0,INDEX(COUNTIF($E$7:E40,TableDiv[Agency]),),0)),"")</f>
        <v>3300</v>
      </c>
      <c r="F41" s="2223" t="str" cm="1">
        <f t="array" ref="F41">IF($D41&lt;COLUMNS($F$7:F$7),"",INDEX(TableDiv[[GASB]:[GASB]],_xlfn.AGGREGATE(15,3,(TableDiv[[Agency]:[Agency]]=$E41)/(TableDiv[[Agency]:[Agency]]=$E41)*(ROW(TableDiv[Agency])-ROW(TableDiv[[#Headers],[Agency]])),COLUMNS($F$7:F$7))))</f>
        <v>12000G</v>
      </c>
      <c r="G41" s="2223" t="str" cm="1">
        <f t="array" ref="G41">IF($D41&lt;COLUMNS($F$7:G$7),"",INDEX(TableDiv[[GASB]:[GASB]],_xlfn.AGGREGATE(15,3,(TableDiv[[Agency]:[Agency]]=$E41)/(TableDiv[[Agency]:[Agency]]=$E41)*(ROW(TableDiv[Agency])-ROW(TableDiv[[#Headers],[Agency]])),COLUMNS($F$7:G$7))))</f>
        <v>14000G</v>
      </c>
      <c r="H41" s="2223" t="str" cm="1">
        <f t="array" ref="H41">IF($D41&lt;COLUMNS($F$7:H$7),"",INDEX(TableDiv[[GASB]:[GASB]],_xlfn.AGGREGATE(15,3,(TableDiv[[Agency]:[Agency]]=$E41)/(TableDiv[[Agency]:[Agency]]=$E41)*(ROW(TableDiv[Agency])-ROW(TableDiv[[#Headers],[Agency]])),COLUMNS($F$7:H$7))))</f>
        <v>39000G</v>
      </c>
      <c r="I41" s="2223" t="str" cm="1">
        <f t="array" ref="I41">IF($D41&lt;COLUMNS($F$7:I$7),"",INDEX(TableDiv[[GASB]:[GASB]],_xlfn.AGGREGATE(15,3,(TableDiv[[Agency]:[Agency]]=$E41)/(TableDiv[[Agency]:[Agency]]=$E41)*(ROW(TableDiv[Agency])-ROW(TableDiv[[#Headers],[Agency]])),COLUMNS($F$7:I$7))))</f>
        <v/>
      </c>
      <c r="J41" s="2223" t="str" cm="1">
        <f t="array" ref="J41">IF($D41&lt;COLUMNS($F$7:J$7),"",INDEX(TableDiv[[GASB]:[GASB]],_xlfn.AGGREGATE(15,3,(TableDiv[[Agency]:[Agency]]=$E41)/(TableDiv[[Agency]:[Agency]]=$E41)*(ROW(TableDiv[Agency])-ROW(TableDiv[[#Headers],[Agency]])),COLUMNS($F$7:J$7))))</f>
        <v/>
      </c>
      <c r="K41" s="2223" t="str" cm="1">
        <f t="array" ref="K41">IF($D41&lt;COLUMNS($F$7:K$7),"",INDEX(TableDiv[[GASB]:[GASB]],_xlfn.AGGREGATE(15,3,(TableDiv[[Agency]:[Agency]]=$E41)/(TableDiv[[Agency]:[Agency]]=$E41)*(ROW(TableDiv[Agency])-ROW(TableDiv[[#Headers],[Agency]])),COLUMNS($F$7:K$7))))</f>
        <v/>
      </c>
      <c r="L41" s="2223" t="str" cm="1">
        <f t="array" ref="L41">IF($D41&lt;COLUMNS($F$7:L$7),"",INDEX(TableDiv[[GASB]:[GASB]],_xlfn.AGGREGATE(15,3,(TableDiv[[Agency]:[Agency]]=$E41)/(TableDiv[[Agency]:[Agency]]=$E41)*(ROW(TableDiv[Agency])-ROW(TableDiv[[#Headers],[Agency]])),COLUMNS($F$7:L$7))))</f>
        <v/>
      </c>
      <c r="M41" s="2223" t="str" cm="1">
        <f t="array" ref="M41">IF($D41&lt;COLUMNS($F$7:M$7),"",INDEX(TableDiv[[GASB]:[GASB]],_xlfn.AGGREGATE(15,3,(TableDiv[[Agency]:[Agency]]=$E41)/(TableDiv[[Agency]:[Agency]]=$E41)*(ROW(TableDiv[Agency])-ROW(TableDiv[[#Headers],[Agency]])),COLUMNS($F$7:M$7))))</f>
        <v/>
      </c>
      <c r="N41" s="2223" t="str" cm="1">
        <f t="array" ref="N41">IF($D41&lt;COLUMNS($F$7:N$7),"",INDEX(TableDiv[[GASB]:[GASB]],_xlfn.AGGREGATE(15,3,(TableDiv[[Agency]:[Agency]]=$E41)/(TableDiv[[Agency]:[Agency]]=$E41)*(ROW(TableDiv[Agency])-ROW(TableDiv[[#Headers],[Agency]])),COLUMNS($F$7:N$7))))</f>
        <v/>
      </c>
      <c r="O41" s="2223" t="str" cm="1">
        <f t="array" ref="O41">IF($D41&lt;COLUMNS($F$7:O$7),"",INDEX(TableDiv[[GASB]:[GASB]],_xlfn.AGGREGATE(15,3,(TableDiv[[Agency]:[Agency]]=$E41)/(TableDiv[[Agency]:[Agency]]=$E41)*(ROW(TableDiv[Agency])-ROW(TableDiv[[#Headers],[Agency]])),COLUMNS($F$7:O$7))))</f>
        <v/>
      </c>
      <c r="P41" s="2223" t="str" cm="1">
        <f t="array" ref="P41">IF($D41&lt;COLUMNS($F$7:P$7),"",INDEX(TableDiv[[GASB]:[GASB]],_xlfn.AGGREGATE(15,3,(TableDiv[[Agency]:[Agency]]=$E41)/(TableDiv[[Agency]:[Agency]]=$E41)*(ROW(TableDiv[Agency])-ROW(TableDiv[[#Headers],[Agency]])),COLUMNS($F$7:P$7))))</f>
        <v/>
      </c>
      <c r="Q41" s="2223" t="str" cm="1">
        <f t="array" ref="Q41">IF($D41&lt;COLUMNS($F$7:Q$7),"",INDEX(TableDiv[[GASB]:[GASB]],_xlfn.AGGREGATE(15,3,(TableDiv[[Agency]:[Agency]]=$E41)/(TableDiv[[Agency]:[Agency]]=$E41)*(ROW(TableDiv[Agency])-ROW(TableDiv[[#Headers],[Agency]])),COLUMNS($F$7:Q$7))))</f>
        <v/>
      </c>
      <c r="R41" s="2223" t="str" cm="1">
        <f t="array" ref="R41">IF($D41&lt;COLUMNS($F$7:R$7),"",INDEX(TableDiv[[GASB]:[GASB]],_xlfn.AGGREGATE(15,3,(TableDiv[[Agency]:[Agency]]=$E41)/(TableDiv[[Agency]:[Agency]]=$E41)*(ROW(TableDiv[Agency])-ROW(TableDiv[[#Headers],[Agency]])),COLUMNS($F$7:R$7))))</f>
        <v/>
      </c>
      <c r="S41" s="2223" t="str" cm="1">
        <f t="array" ref="S41">IF($D41&lt;COLUMNS($F$7:S$7),"",INDEX(TableDiv[[GASB]:[GASB]],_xlfn.AGGREGATE(15,3,(TableDiv[[Agency]:[Agency]]=$E41)/(TableDiv[[Agency]:[Agency]]=$E41)*(ROW(TableDiv[Agency])-ROW(TableDiv[[#Headers],[Agency]])),COLUMNS($F$7:S$7))))</f>
        <v/>
      </c>
      <c r="T41" s="2223" t="str" cm="1">
        <f t="array" ref="T41">IF($D41&lt;COLUMNS($F$7:T$7),"",INDEX(TableDiv[[GASB]:[GASB]],_xlfn.AGGREGATE(15,3,(TableDiv[[Agency]:[Agency]]=$E41)/(TableDiv[[Agency]:[Agency]]=$E41)*(ROW(TableDiv[Agency])-ROW(TableDiv[[#Headers],[Agency]])),COLUMNS($F$7:T$7))))</f>
        <v/>
      </c>
      <c r="U41" s="2223" t="str" cm="1">
        <f t="array" ref="U41">IF($D41&lt;COLUMNS($F$7:U$7),"",INDEX(TableDiv[[GASB]:[GASB]],_xlfn.AGGREGATE(15,3,(TableDiv[[Agency]:[Agency]]=$E41)/(TableDiv[[Agency]:[Agency]]=$E41)*(ROW(TableDiv[Agency])-ROW(TableDiv[[#Headers],[Agency]])),COLUMNS($F$7:U$7))))</f>
        <v/>
      </c>
      <c r="V41" s="2223" t="str" cm="1">
        <f t="array" ref="V41">IF($D41&lt;COLUMNS($F$7:V$7),"",INDEX(TableDiv[[GASB]:[GASB]],_xlfn.AGGREGATE(15,3,(TableDiv[[Agency]:[Agency]]=$E41)/(TableDiv[[Agency]:[Agency]]=$E41)*(ROW(TableDiv[Agency])-ROW(TableDiv[[#Headers],[Agency]])),COLUMNS($F$7:V$7))))</f>
        <v/>
      </c>
      <c r="W41" s="2223" t="str" cm="1">
        <f t="array" ref="W41">IF($D41&lt;COLUMNS($F$7:W$7),"",INDEX(TableDiv[[GASB]:[GASB]],_xlfn.AGGREGATE(15,3,(TableDiv[[Agency]:[Agency]]=$E41)/(TableDiv[[Agency]:[Agency]]=$E41)*(ROW(TableDiv[Agency])-ROW(TableDiv[[#Headers],[Agency]])),COLUMNS($F$7:W$7))))</f>
        <v/>
      </c>
      <c r="X41" s="2223" t="str" cm="1">
        <f t="array" ref="X41">IF($D41&lt;COLUMNS($F$7:X$7),"",INDEX(TableDiv[[GASB]:[GASB]],_xlfn.AGGREGATE(15,3,(TableDiv[[Agency]:[Agency]]=$E41)/(TableDiv[[Agency]:[Agency]]=$E41)*(ROW(TableDiv[Agency])-ROW(TableDiv[[#Headers],[Agency]])),COLUMNS($F$7:X$7))))</f>
        <v/>
      </c>
      <c r="Y41" s="2223" t="str" cm="1">
        <f t="array" ref="Y41">IF($D41&lt;COLUMNS($F$7:Y$7),"",INDEX(TableDiv[[GASB]:[GASB]],_xlfn.AGGREGATE(15,3,(TableDiv[[Agency]:[Agency]]=$E41)/(TableDiv[[Agency]:[Agency]]=$E41)*(ROW(TableDiv[Agency])-ROW(TableDiv[[#Headers],[Agency]])),COLUMNS($F$7:Y$7))))</f>
        <v/>
      </c>
      <c r="Z41" s="2223" t="str" cm="1">
        <f t="array" ref="Z41">IF($D41&lt;COLUMNS($F$7:Z$7),"",INDEX(TableDiv[[GASB]:[GASB]],_xlfn.AGGREGATE(15,3,(TableDiv[[Agency]:[Agency]]=$E41)/(TableDiv[[Agency]:[Agency]]=$E41)*(ROW(TableDiv[Agency])-ROW(TableDiv[[#Headers],[Agency]])),COLUMNS($F$7:Z$7))))</f>
        <v/>
      </c>
      <c r="AA41" s="2223" t="str" cm="1">
        <f t="array" ref="AA41">IF($D41&lt;COLUMNS($F$7:AA$7),"",INDEX(TableDiv[[GASB]:[GASB]],_xlfn.AGGREGATE(15,3,(TableDiv[[Agency]:[Agency]]=$E41)/(TableDiv[[Agency]:[Agency]]=$E41)*(ROW(TableDiv[Agency])-ROW(TableDiv[[#Headers],[Agency]])),COLUMNS($F$7:AA$7))))</f>
        <v/>
      </c>
      <c r="AB41" s="2223" t="str" cm="1">
        <f t="array" ref="AB41">IF($D41&lt;COLUMNS($F$7:AB$7),"",INDEX(TableDiv[[GASB]:[GASB]],_xlfn.AGGREGATE(15,3,(TableDiv[[Agency]:[Agency]]=$E41)/(TableDiv[[Agency]:[Agency]]=$E41)*(ROW(TableDiv[Agency])-ROW(TableDiv[[#Headers],[Agency]])),COLUMNS($F$7:AB$7))))</f>
        <v/>
      </c>
      <c r="AC41" s="2223" t="str" cm="1">
        <f t="array" ref="AC41">IF($D41&lt;COLUMNS($F$7:AC$7),"",INDEX(TableDiv[[GASB]:[GASB]],_xlfn.AGGREGATE(15,3,(TableDiv[[Agency]:[Agency]]=$E41)/(TableDiv[[Agency]:[Agency]]=$E41)*(ROW(TableDiv[Agency])-ROW(TableDiv[[#Headers],[Agency]])),COLUMNS($F$7:AC$7))))</f>
        <v/>
      </c>
      <c r="AD41" s="2223" t="str" cm="1">
        <f t="array" ref="AD41">IF($D41&lt;COLUMNS($F$7:AD$7),"",INDEX(TableDiv[[GASB]:[GASB]],_xlfn.AGGREGATE(15,3,(TableDiv[[Agency]:[Agency]]=$E41)/(TableDiv[[Agency]:[Agency]]=$E41)*(ROW(TableDiv[Agency])-ROW(TableDiv[[#Headers],[Agency]])),COLUMNS($F$7:AD$7))))</f>
        <v/>
      </c>
      <c r="AE41" s="2223" t="str" cm="1">
        <f t="array" ref="AE41">IF($D41&lt;COLUMNS($F$7:AE$7),"",INDEX(TableDiv[[GASB]:[GASB]],_xlfn.AGGREGATE(15,3,(TableDiv[[Agency]:[Agency]]=$E41)/(TableDiv[[Agency]:[Agency]]=$E41)*(ROW(TableDiv[Agency])-ROW(TableDiv[[#Headers],[Agency]])),COLUMNS($F$7:AE$7))))</f>
        <v/>
      </c>
      <c r="AF41" s="2223" t="str" cm="1">
        <f t="array" ref="AF41">IF($D41&lt;COLUMNS($F$7:AF$7),"",INDEX(TableDiv[[GASB]:[GASB]],_xlfn.AGGREGATE(15,3,(TableDiv[[Agency]:[Agency]]=$E41)/(TableDiv[[Agency]:[Agency]]=$E41)*(ROW(TableDiv[Agency])-ROW(TableDiv[[#Headers],[Agency]])),COLUMNS($F$7:AF$7))))</f>
        <v/>
      </c>
      <c r="AG41" s="2223" t="str" cm="1">
        <f t="array" ref="AG41">IF($D41&lt;COLUMNS($F$7:AG$7),"",INDEX(TableDiv[[GASB]:[GASB]],_xlfn.AGGREGATE(15,3,(TableDiv[[Agency]:[Agency]]=$E41)/(TableDiv[[Agency]:[Agency]]=$E41)*(ROW(TableDiv[Agency])-ROW(TableDiv[[#Headers],[Agency]])),COLUMNS($F$7:AG$7))))</f>
        <v/>
      </c>
      <c r="AH41" s="2223" t="str" cm="1">
        <f t="array" ref="AH41">IF($D41&lt;COLUMNS($F$7:AH$7),"",INDEX(TableDiv[[GASB]:[GASB]],_xlfn.AGGREGATE(15,3,(TableDiv[[Agency]:[Agency]]=$E41)/(TableDiv[[Agency]:[Agency]]=$E41)*(ROW(TableDiv[Agency])-ROW(TableDiv[[#Headers],[Agency]])),COLUMNS($F$7:AH$7))))</f>
        <v/>
      </c>
      <c r="AI41" s="2223" t="str" cm="1">
        <f t="array" ref="AI41">IF($D41&lt;COLUMNS($F$7:AI$7),"",INDEX(TableDiv[[GASB]:[GASB]],_xlfn.AGGREGATE(15,3,(TableDiv[[Agency]:[Agency]]=$E41)/(TableDiv[[Agency]:[Agency]]=$E41)*(ROW(TableDiv[Agency])-ROW(TableDiv[[#Headers],[Agency]])),COLUMNS($F$7:AI$7))))</f>
        <v/>
      </c>
      <c r="AJ41" s="2223" t="str" cm="1">
        <f t="array" ref="AJ41">IF($D41&lt;COLUMNS($F$7:AJ$7),"",INDEX(TableDiv[[GASB]:[GASB]],_xlfn.AGGREGATE(15,3,(TableDiv[[Agency]:[Agency]]=$E41)/(TableDiv[[Agency]:[Agency]]=$E41)*(ROW(TableDiv[Agency])-ROW(TableDiv[[#Headers],[Agency]])),COLUMNS($F$7:AJ$7))))</f>
        <v/>
      </c>
      <c r="AK41" s="2223" t="str" cm="1">
        <f t="array" ref="AK41">IF($D41&lt;COLUMNS($F$7:AK$7),"",INDEX(TableDiv[[GASB]:[GASB]],_xlfn.AGGREGATE(15,3,(TableDiv[[Agency]:[Agency]]=$E41)/(TableDiv[[Agency]:[Agency]]=$E41)*(ROW(TableDiv[Agency])-ROW(TableDiv[[#Headers],[Agency]])),COLUMNS($F$7:AK$7))))</f>
        <v/>
      </c>
      <c r="AL41" s="2223" t="str" cm="1">
        <f t="array" ref="AL41">IF($D41&lt;COLUMNS($F$7:AL$7),"",INDEX(TableDiv[[GASB]:[GASB]],_xlfn.AGGREGATE(15,3,(TableDiv[[Agency]:[Agency]]=$E41)/(TableDiv[[Agency]:[Agency]]=$E41)*(ROW(TableDiv[Agency])-ROW(TableDiv[[#Headers],[Agency]])),COLUMNS($F$7:AL$7))))</f>
        <v/>
      </c>
      <c r="AM41" s="2223" t="str" cm="1">
        <f t="array" ref="AM41">IF($D41&lt;COLUMNS($F$7:AM$7),"",INDEX(TableDiv[[GASB]:[GASB]],_xlfn.AGGREGATE(15,3,(TableDiv[[Agency]:[Agency]]=$E41)/(TableDiv[[Agency]:[Agency]]=$E41)*(ROW(TableDiv[Agency])-ROW(TableDiv[[#Headers],[Agency]])),COLUMNS($F$7:AM$7))))</f>
        <v/>
      </c>
      <c r="AN41" s="2223"/>
      <c r="AO41" s="2223"/>
      <c r="AP41" s="2223"/>
      <c r="AQ41" s="2223"/>
      <c r="AR41" s="2223"/>
      <c r="AS41" s="2223"/>
    </row>
    <row r="42" spans="1:45" ht="15" x14ac:dyDescent="0.25">
      <c r="A42" s="2219" t="s">
        <v>5101</v>
      </c>
      <c r="B42" s="2219" t="s">
        <v>6377</v>
      </c>
      <c r="C42" s="2223"/>
      <c r="D42" s="2223">
        <f>COUNTIF(TableDiv[Agency],E42)</f>
        <v>3</v>
      </c>
      <c r="E42" s="2230" t="str" cm="1">
        <f t="array" ref="E42">IFERROR(INDEX(TableDiv[Agency],MATCH(0,INDEX(COUNTIF($E$7:E41,TableDiv[Agency]),),0)),"")</f>
        <v>3400</v>
      </c>
      <c r="F42" s="2223" t="str" cm="1">
        <f t="array" ref="F42">IF($D42&lt;COLUMNS($F$7:F$7),"",INDEX(TableDiv[[GASB]:[GASB]],_xlfn.AGGREGATE(15,3,(TableDiv[[Agency]:[Agency]]=$E42)/(TableDiv[[Agency]:[Agency]]=$E42)*(ROW(TableDiv[Agency])-ROW(TableDiv[[#Headers],[Agency]])),COLUMNS($F$7:F$7))))</f>
        <v>12000G</v>
      </c>
      <c r="G42" s="2223" t="str" cm="1">
        <f t="array" ref="G42">IF($D42&lt;COLUMNS($F$7:G$7),"",INDEX(TableDiv[[GASB]:[GASB]],_xlfn.AGGREGATE(15,3,(TableDiv[[Agency]:[Agency]]=$E42)/(TableDiv[[Agency]:[Agency]]=$E42)*(ROW(TableDiv[Agency])-ROW(TableDiv[[#Headers],[Agency]])),COLUMNS($F$7:G$7))))</f>
        <v>14000G</v>
      </c>
      <c r="H42" s="2223" t="str" cm="1">
        <f t="array" ref="H42">IF($D42&lt;COLUMNS($F$7:H$7),"",INDEX(TableDiv[[GASB]:[GASB]],_xlfn.AGGREGATE(15,3,(TableDiv[[Agency]:[Agency]]=$E42)/(TableDiv[[Agency]:[Agency]]=$E42)*(ROW(TableDiv[Agency])-ROW(TableDiv[[#Headers],[Agency]])),COLUMNS($F$7:H$7))))</f>
        <v>39000G</v>
      </c>
      <c r="I42" s="2223" t="str" cm="1">
        <f t="array" ref="I42">IF($D42&lt;COLUMNS($F$7:I$7),"",INDEX(TableDiv[[GASB]:[GASB]],_xlfn.AGGREGATE(15,3,(TableDiv[[Agency]:[Agency]]=$E42)/(TableDiv[[Agency]:[Agency]]=$E42)*(ROW(TableDiv[Agency])-ROW(TableDiv[[#Headers],[Agency]])),COLUMNS($F$7:I$7))))</f>
        <v/>
      </c>
      <c r="J42" s="2223" t="str" cm="1">
        <f t="array" ref="J42">IF($D42&lt;COLUMNS($F$7:J$7),"",INDEX(TableDiv[[GASB]:[GASB]],_xlfn.AGGREGATE(15,3,(TableDiv[[Agency]:[Agency]]=$E42)/(TableDiv[[Agency]:[Agency]]=$E42)*(ROW(TableDiv[Agency])-ROW(TableDiv[[#Headers],[Agency]])),COLUMNS($F$7:J$7))))</f>
        <v/>
      </c>
      <c r="K42" s="2223" t="str" cm="1">
        <f t="array" ref="K42">IF($D42&lt;COLUMNS($F$7:K$7),"",INDEX(TableDiv[[GASB]:[GASB]],_xlfn.AGGREGATE(15,3,(TableDiv[[Agency]:[Agency]]=$E42)/(TableDiv[[Agency]:[Agency]]=$E42)*(ROW(TableDiv[Agency])-ROW(TableDiv[[#Headers],[Agency]])),COLUMNS($F$7:K$7))))</f>
        <v/>
      </c>
      <c r="L42" s="2223" t="str" cm="1">
        <f t="array" ref="L42">IF($D42&lt;COLUMNS($F$7:L$7),"",INDEX(TableDiv[[GASB]:[GASB]],_xlfn.AGGREGATE(15,3,(TableDiv[[Agency]:[Agency]]=$E42)/(TableDiv[[Agency]:[Agency]]=$E42)*(ROW(TableDiv[Agency])-ROW(TableDiv[[#Headers],[Agency]])),COLUMNS($F$7:L$7))))</f>
        <v/>
      </c>
      <c r="M42" s="2223" t="str" cm="1">
        <f t="array" ref="M42">IF($D42&lt;COLUMNS($F$7:M$7),"",INDEX(TableDiv[[GASB]:[GASB]],_xlfn.AGGREGATE(15,3,(TableDiv[[Agency]:[Agency]]=$E42)/(TableDiv[[Agency]:[Agency]]=$E42)*(ROW(TableDiv[Agency])-ROW(TableDiv[[#Headers],[Agency]])),COLUMNS($F$7:M$7))))</f>
        <v/>
      </c>
      <c r="N42" s="2223" t="str" cm="1">
        <f t="array" ref="N42">IF($D42&lt;COLUMNS($F$7:N$7),"",INDEX(TableDiv[[GASB]:[GASB]],_xlfn.AGGREGATE(15,3,(TableDiv[[Agency]:[Agency]]=$E42)/(TableDiv[[Agency]:[Agency]]=$E42)*(ROW(TableDiv[Agency])-ROW(TableDiv[[#Headers],[Agency]])),COLUMNS($F$7:N$7))))</f>
        <v/>
      </c>
      <c r="O42" s="2223" t="str" cm="1">
        <f t="array" ref="O42">IF($D42&lt;COLUMNS($F$7:O$7),"",INDEX(TableDiv[[GASB]:[GASB]],_xlfn.AGGREGATE(15,3,(TableDiv[[Agency]:[Agency]]=$E42)/(TableDiv[[Agency]:[Agency]]=$E42)*(ROW(TableDiv[Agency])-ROW(TableDiv[[#Headers],[Agency]])),COLUMNS($F$7:O$7))))</f>
        <v/>
      </c>
      <c r="P42" s="2223" t="str" cm="1">
        <f t="array" ref="P42">IF($D42&lt;COLUMNS($F$7:P$7),"",INDEX(TableDiv[[GASB]:[GASB]],_xlfn.AGGREGATE(15,3,(TableDiv[[Agency]:[Agency]]=$E42)/(TableDiv[[Agency]:[Agency]]=$E42)*(ROW(TableDiv[Agency])-ROW(TableDiv[[#Headers],[Agency]])),COLUMNS($F$7:P$7))))</f>
        <v/>
      </c>
      <c r="Q42" s="2223" t="str" cm="1">
        <f t="array" ref="Q42">IF($D42&lt;COLUMNS($F$7:Q$7),"",INDEX(TableDiv[[GASB]:[GASB]],_xlfn.AGGREGATE(15,3,(TableDiv[[Agency]:[Agency]]=$E42)/(TableDiv[[Agency]:[Agency]]=$E42)*(ROW(TableDiv[Agency])-ROW(TableDiv[[#Headers],[Agency]])),COLUMNS($F$7:Q$7))))</f>
        <v/>
      </c>
      <c r="R42" s="2223" t="str" cm="1">
        <f t="array" ref="R42">IF($D42&lt;COLUMNS($F$7:R$7),"",INDEX(TableDiv[[GASB]:[GASB]],_xlfn.AGGREGATE(15,3,(TableDiv[[Agency]:[Agency]]=$E42)/(TableDiv[[Agency]:[Agency]]=$E42)*(ROW(TableDiv[Agency])-ROW(TableDiv[[#Headers],[Agency]])),COLUMNS($F$7:R$7))))</f>
        <v/>
      </c>
      <c r="S42" s="2223" t="str" cm="1">
        <f t="array" ref="S42">IF($D42&lt;COLUMNS($F$7:S$7),"",INDEX(TableDiv[[GASB]:[GASB]],_xlfn.AGGREGATE(15,3,(TableDiv[[Agency]:[Agency]]=$E42)/(TableDiv[[Agency]:[Agency]]=$E42)*(ROW(TableDiv[Agency])-ROW(TableDiv[[#Headers],[Agency]])),COLUMNS($F$7:S$7))))</f>
        <v/>
      </c>
      <c r="T42" s="2223" t="str" cm="1">
        <f t="array" ref="T42">IF($D42&lt;COLUMNS($F$7:T$7),"",INDEX(TableDiv[[GASB]:[GASB]],_xlfn.AGGREGATE(15,3,(TableDiv[[Agency]:[Agency]]=$E42)/(TableDiv[[Agency]:[Agency]]=$E42)*(ROW(TableDiv[Agency])-ROW(TableDiv[[#Headers],[Agency]])),COLUMNS($F$7:T$7))))</f>
        <v/>
      </c>
      <c r="U42" s="2223" t="str" cm="1">
        <f t="array" ref="U42">IF($D42&lt;COLUMNS($F$7:U$7),"",INDEX(TableDiv[[GASB]:[GASB]],_xlfn.AGGREGATE(15,3,(TableDiv[[Agency]:[Agency]]=$E42)/(TableDiv[[Agency]:[Agency]]=$E42)*(ROW(TableDiv[Agency])-ROW(TableDiv[[#Headers],[Agency]])),COLUMNS($F$7:U$7))))</f>
        <v/>
      </c>
      <c r="V42" s="2223" t="str" cm="1">
        <f t="array" ref="V42">IF($D42&lt;COLUMNS($F$7:V$7),"",INDEX(TableDiv[[GASB]:[GASB]],_xlfn.AGGREGATE(15,3,(TableDiv[[Agency]:[Agency]]=$E42)/(TableDiv[[Agency]:[Agency]]=$E42)*(ROW(TableDiv[Agency])-ROW(TableDiv[[#Headers],[Agency]])),COLUMNS($F$7:V$7))))</f>
        <v/>
      </c>
      <c r="W42" s="2223" t="str" cm="1">
        <f t="array" ref="W42">IF($D42&lt;COLUMNS($F$7:W$7),"",INDEX(TableDiv[[GASB]:[GASB]],_xlfn.AGGREGATE(15,3,(TableDiv[[Agency]:[Agency]]=$E42)/(TableDiv[[Agency]:[Agency]]=$E42)*(ROW(TableDiv[Agency])-ROW(TableDiv[[#Headers],[Agency]])),COLUMNS($F$7:W$7))))</f>
        <v/>
      </c>
      <c r="X42" s="2223" t="str" cm="1">
        <f t="array" ref="X42">IF($D42&lt;COLUMNS($F$7:X$7),"",INDEX(TableDiv[[GASB]:[GASB]],_xlfn.AGGREGATE(15,3,(TableDiv[[Agency]:[Agency]]=$E42)/(TableDiv[[Agency]:[Agency]]=$E42)*(ROW(TableDiv[Agency])-ROW(TableDiv[[#Headers],[Agency]])),COLUMNS($F$7:X$7))))</f>
        <v/>
      </c>
      <c r="Y42" s="2223" t="str" cm="1">
        <f t="array" ref="Y42">IF($D42&lt;COLUMNS($F$7:Y$7),"",INDEX(TableDiv[[GASB]:[GASB]],_xlfn.AGGREGATE(15,3,(TableDiv[[Agency]:[Agency]]=$E42)/(TableDiv[[Agency]:[Agency]]=$E42)*(ROW(TableDiv[Agency])-ROW(TableDiv[[#Headers],[Agency]])),COLUMNS($F$7:Y$7))))</f>
        <v/>
      </c>
      <c r="Z42" s="2223" t="str" cm="1">
        <f t="array" ref="Z42">IF($D42&lt;COLUMNS($F$7:Z$7),"",INDEX(TableDiv[[GASB]:[GASB]],_xlfn.AGGREGATE(15,3,(TableDiv[[Agency]:[Agency]]=$E42)/(TableDiv[[Agency]:[Agency]]=$E42)*(ROW(TableDiv[Agency])-ROW(TableDiv[[#Headers],[Agency]])),COLUMNS($F$7:Z$7))))</f>
        <v/>
      </c>
      <c r="AA42" s="2223" t="str" cm="1">
        <f t="array" ref="AA42">IF($D42&lt;COLUMNS($F$7:AA$7),"",INDEX(TableDiv[[GASB]:[GASB]],_xlfn.AGGREGATE(15,3,(TableDiv[[Agency]:[Agency]]=$E42)/(TableDiv[[Agency]:[Agency]]=$E42)*(ROW(TableDiv[Agency])-ROW(TableDiv[[#Headers],[Agency]])),COLUMNS($F$7:AA$7))))</f>
        <v/>
      </c>
      <c r="AB42" s="2223" t="str" cm="1">
        <f t="array" ref="AB42">IF($D42&lt;COLUMNS($F$7:AB$7),"",INDEX(TableDiv[[GASB]:[GASB]],_xlfn.AGGREGATE(15,3,(TableDiv[[Agency]:[Agency]]=$E42)/(TableDiv[[Agency]:[Agency]]=$E42)*(ROW(TableDiv[Agency])-ROW(TableDiv[[#Headers],[Agency]])),COLUMNS($F$7:AB$7))))</f>
        <v/>
      </c>
      <c r="AC42" s="2223" t="str" cm="1">
        <f t="array" ref="AC42">IF($D42&lt;COLUMNS($F$7:AC$7),"",INDEX(TableDiv[[GASB]:[GASB]],_xlfn.AGGREGATE(15,3,(TableDiv[[Agency]:[Agency]]=$E42)/(TableDiv[[Agency]:[Agency]]=$E42)*(ROW(TableDiv[Agency])-ROW(TableDiv[[#Headers],[Agency]])),COLUMNS($F$7:AC$7))))</f>
        <v/>
      </c>
      <c r="AD42" s="2223" t="str" cm="1">
        <f t="array" ref="AD42">IF($D42&lt;COLUMNS($F$7:AD$7),"",INDEX(TableDiv[[GASB]:[GASB]],_xlfn.AGGREGATE(15,3,(TableDiv[[Agency]:[Agency]]=$E42)/(TableDiv[[Agency]:[Agency]]=$E42)*(ROW(TableDiv[Agency])-ROW(TableDiv[[#Headers],[Agency]])),COLUMNS($F$7:AD$7))))</f>
        <v/>
      </c>
      <c r="AE42" s="2223" t="str" cm="1">
        <f t="array" ref="AE42">IF($D42&lt;COLUMNS($F$7:AE$7),"",INDEX(TableDiv[[GASB]:[GASB]],_xlfn.AGGREGATE(15,3,(TableDiv[[Agency]:[Agency]]=$E42)/(TableDiv[[Agency]:[Agency]]=$E42)*(ROW(TableDiv[Agency])-ROW(TableDiv[[#Headers],[Agency]])),COLUMNS($F$7:AE$7))))</f>
        <v/>
      </c>
      <c r="AF42" s="2223" t="str" cm="1">
        <f t="array" ref="AF42">IF($D42&lt;COLUMNS($F$7:AF$7),"",INDEX(TableDiv[[GASB]:[GASB]],_xlfn.AGGREGATE(15,3,(TableDiv[[Agency]:[Agency]]=$E42)/(TableDiv[[Agency]:[Agency]]=$E42)*(ROW(TableDiv[Agency])-ROW(TableDiv[[#Headers],[Agency]])),COLUMNS($F$7:AF$7))))</f>
        <v/>
      </c>
      <c r="AG42" s="2223" t="str" cm="1">
        <f t="array" ref="AG42">IF($D42&lt;COLUMNS($F$7:AG$7),"",INDEX(TableDiv[[GASB]:[GASB]],_xlfn.AGGREGATE(15,3,(TableDiv[[Agency]:[Agency]]=$E42)/(TableDiv[[Agency]:[Agency]]=$E42)*(ROW(TableDiv[Agency])-ROW(TableDiv[[#Headers],[Agency]])),COLUMNS($F$7:AG$7))))</f>
        <v/>
      </c>
      <c r="AH42" s="2223" t="str" cm="1">
        <f t="array" ref="AH42">IF($D42&lt;COLUMNS($F$7:AH$7),"",INDEX(TableDiv[[GASB]:[GASB]],_xlfn.AGGREGATE(15,3,(TableDiv[[Agency]:[Agency]]=$E42)/(TableDiv[[Agency]:[Agency]]=$E42)*(ROW(TableDiv[Agency])-ROW(TableDiv[[#Headers],[Agency]])),COLUMNS($F$7:AH$7))))</f>
        <v/>
      </c>
      <c r="AI42" s="2223" t="str" cm="1">
        <f t="array" ref="AI42">IF($D42&lt;COLUMNS($F$7:AI$7),"",INDEX(TableDiv[[GASB]:[GASB]],_xlfn.AGGREGATE(15,3,(TableDiv[[Agency]:[Agency]]=$E42)/(TableDiv[[Agency]:[Agency]]=$E42)*(ROW(TableDiv[Agency])-ROW(TableDiv[[#Headers],[Agency]])),COLUMNS($F$7:AI$7))))</f>
        <v/>
      </c>
      <c r="AJ42" s="2223" t="str" cm="1">
        <f t="array" ref="AJ42">IF($D42&lt;COLUMNS($F$7:AJ$7),"",INDEX(TableDiv[[GASB]:[GASB]],_xlfn.AGGREGATE(15,3,(TableDiv[[Agency]:[Agency]]=$E42)/(TableDiv[[Agency]:[Agency]]=$E42)*(ROW(TableDiv[Agency])-ROW(TableDiv[[#Headers],[Agency]])),COLUMNS($F$7:AJ$7))))</f>
        <v/>
      </c>
      <c r="AK42" s="2223" t="str" cm="1">
        <f t="array" ref="AK42">IF($D42&lt;COLUMNS($F$7:AK$7),"",INDEX(TableDiv[[GASB]:[GASB]],_xlfn.AGGREGATE(15,3,(TableDiv[[Agency]:[Agency]]=$E42)/(TableDiv[[Agency]:[Agency]]=$E42)*(ROW(TableDiv[Agency])-ROW(TableDiv[[#Headers],[Agency]])),COLUMNS($F$7:AK$7))))</f>
        <v/>
      </c>
      <c r="AL42" s="2223" t="str" cm="1">
        <f t="array" ref="AL42">IF($D42&lt;COLUMNS($F$7:AL$7),"",INDEX(TableDiv[[GASB]:[GASB]],_xlfn.AGGREGATE(15,3,(TableDiv[[Agency]:[Agency]]=$E42)/(TableDiv[[Agency]:[Agency]]=$E42)*(ROW(TableDiv[Agency])-ROW(TableDiv[[#Headers],[Agency]])),COLUMNS($F$7:AL$7))))</f>
        <v/>
      </c>
      <c r="AM42" s="2223" t="str" cm="1">
        <f t="array" ref="AM42">IF($D42&lt;COLUMNS($F$7:AM$7),"",INDEX(TableDiv[[GASB]:[GASB]],_xlfn.AGGREGATE(15,3,(TableDiv[[Agency]:[Agency]]=$E42)/(TableDiv[[Agency]:[Agency]]=$E42)*(ROW(TableDiv[Agency])-ROW(TableDiv[[#Headers],[Agency]])),COLUMNS($F$7:AM$7))))</f>
        <v/>
      </c>
      <c r="AN42" s="2223"/>
      <c r="AO42" s="2223"/>
      <c r="AP42" s="2223"/>
      <c r="AQ42" s="2223"/>
      <c r="AR42" s="2223"/>
      <c r="AS42" s="2223"/>
    </row>
    <row r="43" spans="1:45" ht="15" x14ac:dyDescent="0.25">
      <c r="A43" s="2219" t="s">
        <v>5101</v>
      </c>
      <c r="B43" s="2219" t="s">
        <v>6378</v>
      </c>
      <c r="C43" s="2223"/>
      <c r="D43" s="2223">
        <f>COUNTIF(TableDiv[Agency],E43)</f>
        <v>3</v>
      </c>
      <c r="E43" s="2230" t="str" cm="1">
        <f t="array" ref="E43">IFERROR(INDEX(TableDiv[Agency],MATCH(0,INDEX(COUNTIF($E$7:E42,TableDiv[Agency]),),0)),"")</f>
        <v>3500</v>
      </c>
      <c r="F43" s="2223" t="str" cm="1">
        <f t="array" ref="F43">IF($D43&lt;COLUMNS($F$7:F$7),"",INDEX(TableDiv[[GASB]:[GASB]],_xlfn.AGGREGATE(15,3,(TableDiv[[Agency]:[Agency]]=$E43)/(TableDiv[[Agency]:[Agency]]=$E43)*(ROW(TableDiv[Agency])-ROW(TableDiv[[#Headers],[Agency]])),COLUMNS($F$7:F$7))))</f>
        <v>12000G</v>
      </c>
      <c r="G43" s="2223" t="str" cm="1">
        <f t="array" ref="G43">IF($D43&lt;COLUMNS($F$7:G$7),"",INDEX(TableDiv[[GASB]:[GASB]],_xlfn.AGGREGATE(15,3,(TableDiv[[Agency]:[Agency]]=$E43)/(TableDiv[[Agency]:[Agency]]=$E43)*(ROW(TableDiv[Agency])-ROW(TableDiv[[#Headers],[Agency]])),COLUMNS($F$7:G$7))))</f>
        <v>14000G</v>
      </c>
      <c r="H43" s="2223" t="str" cm="1">
        <f t="array" ref="H43">IF($D43&lt;COLUMNS($F$7:H$7),"",INDEX(TableDiv[[GASB]:[GASB]],_xlfn.AGGREGATE(15,3,(TableDiv[[Agency]:[Agency]]=$E43)/(TableDiv[[Agency]:[Agency]]=$E43)*(ROW(TableDiv[Agency])-ROW(TableDiv[[#Headers],[Agency]])),COLUMNS($F$7:H$7))))</f>
        <v>39000G</v>
      </c>
      <c r="I43" s="2223" t="str" cm="1">
        <f t="array" ref="I43">IF($D43&lt;COLUMNS($F$7:I$7),"",INDEX(TableDiv[[GASB]:[GASB]],_xlfn.AGGREGATE(15,3,(TableDiv[[Agency]:[Agency]]=$E43)/(TableDiv[[Agency]:[Agency]]=$E43)*(ROW(TableDiv[Agency])-ROW(TableDiv[[#Headers],[Agency]])),COLUMNS($F$7:I$7))))</f>
        <v/>
      </c>
      <c r="J43" s="2223" t="str" cm="1">
        <f t="array" ref="J43">IF($D43&lt;COLUMNS($F$7:J$7),"",INDEX(TableDiv[[GASB]:[GASB]],_xlfn.AGGREGATE(15,3,(TableDiv[[Agency]:[Agency]]=$E43)/(TableDiv[[Agency]:[Agency]]=$E43)*(ROW(TableDiv[Agency])-ROW(TableDiv[[#Headers],[Agency]])),COLUMNS($F$7:J$7))))</f>
        <v/>
      </c>
      <c r="K43" s="2223" t="str" cm="1">
        <f t="array" ref="K43">IF($D43&lt;COLUMNS($F$7:K$7),"",INDEX(TableDiv[[GASB]:[GASB]],_xlfn.AGGREGATE(15,3,(TableDiv[[Agency]:[Agency]]=$E43)/(TableDiv[[Agency]:[Agency]]=$E43)*(ROW(TableDiv[Agency])-ROW(TableDiv[[#Headers],[Agency]])),COLUMNS($F$7:K$7))))</f>
        <v/>
      </c>
      <c r="L43" s="2223" t="str" cm="1">
        <f t="array" ref="L43">IF($D43&lt;COLUMNS($F$7:L$7),"",INDEX(TableDiv[[GASB]:[GASB]],_xlfn.AGGREGATE(15,3,(TableDiv[[Agency]:[Agency]]=$E43)/(TableDiv[[Agency]:[Agency]]=$E43)*(ROW(TableDiv[Agency])-ROW(TableDiv[[#Headers],[Agency]])),COLUMNS($F$7:L$7))))</f>
        <v/>
      </c>
      <c r="M43" s="2223" t="str" cm="1">
        <f t="array" ref="M43">IF($D43&lt;COLUMNS($F$7:M$7),"",INDEX(TableDiv[[GASB]:[GASB]],_xlfn.AGGREGATE(15,3,(TableDiv[[Agency]:[Agency]]=$E43)/(TableDiv[[Agency]:[Agency]]=$E43)*(ROW(TableDiv[Agency])-ROW(TableDiv[[#Headers],[Agency]])),COLUMNS($F$7:M$7))))</f>
        <v/>
      </c>
      <c r="N43" s="2223" t="str" cm="1">
        <f t="array" ref="N43">IF($D43&lt;COLUMNS($F$7:N$7),"",INDEX(TableDiv[[GASB]:[GASB]],_xlfn.AGGREGATE(15,3,(TableDiv[[Agency]:[Agency]]=$E43)/(TableDiv[[Agency]:[Agency]]=$E43)*(ROW(TableDiv[Agency])-ROW(TableDiv[[#Headers],[Agency]])),COLUMNS($F$7:N$7))))</f>
        <v/>
      </c>
      <c r="O43" s="2223" t="str" cm="1">
        <f t="array" ref="O43">IF($D43&lt;COLUMNS($F$7:O$7),"",INDEX(TableDiv[[GASB]:[GASB]],_xlfn.AGGREGATE(15,3,(TableDiv[[Agency]:[Agency]]=$E43)/(TableDiv[[Agency]:[Agency]]=$E43)*(ROW(TableDiv[Agency])-ROW(TableDiv[[#Headers],[Agency]])),COLUMNS($F$7:O$7))))</f>
        <v/>
      </c>
      <c r="P43" s="2223" t="str" cm="1">
        <f t="array" ref="P43">IF($D43&lt;COLUMNS($F$7:P$7),"",INDEX(TableDiv[[GASB]:[GASB]],_xlfn.AGGREGATE(15,3,(TableDiv[[Agency]:[Agency]]=$E43)/(TableDiv[[Agency]:[Agency]]=$E43)*(ROW(TableDiv[Agency])-ROW(TableDiv[[#Headers],[Agency]])),COLUMNS($F$7:P$7))))</f>
        <v/>
      </c>
      <c r="Q43" s="2223" t="str" cm="1">
        <f t="array" ref="Q43">IF($D43&lt;COLUMNS($F$7:Q$7),"",INDEX(TableDiv[[GASB]:[GASB]],_xlfn.AGGREGATE(15,3,(TableDiv[[Agency]:[Agency]]=$E43)/(TableDiv[[Agency]:[Agency]]=$E43)*(ROW(TableDiv[Agency])-ROW(TableDiv[[#Headers],[Agency]])),COLUMNS($F$7:Q$7))))</f>
        <v/>
      </c>
      <c r="R43" s="2223" t="str" cm="1">
        <f t="array" ref="R43">IF($D43&lt;COLUMNS($F$7:R$7),"",INDEX(TableDiv[[GASB]:[GASB]],_xlfn.AGGREGATE(15,3,(TableDiv[[Agency]:[Agency]]=$E43)/(TableDiv[[Agency]:[Agency]]=$E43)*(ROW(TableDiv[Agency])-ROW(TableDiv[[#Headers],[Agency]])),COLUMNS($F$7:R$7))))</f>
        <v/>
      </c>
      <c r="S43" s="2223" t="str" cm="1">
        <f t="array" ref="S43">IF($D43&lt;COLUMNS($F$7:S$7),"",INDEX(TableDiv[[GASB]:[GASB]],_xlfn.AGGREGATE(15,3,(TableDiv[[Agency]:[Agency]]=$E43)/(TableDiv[[Agency]:[Agency]]=$E43)*(ROW(TableDiv[Agency])-ROW(TableDiv[[#Headers],[Agency]])),COLUMNS($F$7:S$7))))</f>
        <v/>
      </c>
      <c r="T43" s="2223" t="str" cm="1">
        <f t="array" ref="T43">IF($D43&lt;COLUMNS($F$7:T$7),"",INDEX(TableDiv[[GASB]:[GASB]],_xlfn.AGGREGATE(15,3,(TableDiv[[Agency]:[Agency]]=$E43)/(TableDiv[[Agency]:[Agency]]=$E43)*(ROW(TableDiv[Agency])-ROW(TableDiv[[#Headers],[Agency]])),COLUMNS($F$7:T$7))))</f>
        <v/>
      </c>
      <c r="U43" s="2223" t="str" cm="1">
        <f t="array" ref="U43">IF($D43&lt;COLUMNS($F$7:U$7),"",INDEX(TableDiv[[GASB]:[GASB]],_xlfn.AGGREGATE(15,3,(TableDiv[[Agency]:[Agency]]=$E43)/(TableDiv[[Agency]:[Agency]]=$E43)*(ROW(TableDiv[Agency])-ROW(TableDiv[[#Headers],[Agency]])),COLUMNS($F$7:U$7))))</f>
        <v/>
      </c>
      <c r="V43" s="2223" t="str" cm="1">
        <f t="array" ref="V43">IF($D43&lt;COLUMNS($F$7:V$7),"",INDEX(TableDiv[[GASB]:[GASB]],_xlfn.AGGREGATE(15,3,(TableDiv[[Agency]:[Agency]]=$E43)/(TableDiv[[Agency]:[Agency]]=$E43)*(ROW(TableDiv[Agency])-ROW(TableDiv[[#Headers],[Agency]])),COLUMNS($F$7:V$7))))</f>
        <v/>
      </c>
      <c r="W43" s="2223" t="str" cm="1">
        <f t="array" ref="W43">IF($D43&lt;COLUMNS($F$7:W$7),"",INDEX(TableDiv[[GASB]:[GASB]],_xlfn.AGGREGATE(15,3,(TableDiv[[Agency]:[Agency]]=$E43)/(TableDiv[[Agency]:[Agency]]=$E43)*(ROW(TableDiv[Agency])-ROW(TableDiv[[#Headers],[Agency]])),COLUMNS($F$7:W$7))))</f>
        <v/>
      </c>
      <c r="X43" s="2223" t="str" cm="1">
        <f t="array" ref="X43">IF($D43&lt;COLUMNS($F$7:X$7),"",INDEX(TableDiv[[GASB]:[GASB]],_xlfn.AGGREGATE(15,3,(TableDiv[[Agency]:[Agency]]=$E43)/(TableDiv[[Agency]:[Agency]]=$E43)*(ROW(TableDiv[Agency])-ROW(TableDiv[[#Headers],[Agency]])),COLUMNS($F$7:X$7))))</f>
        <v/>
      </c>
      <c r="Y43" s="2223" t="str" cm="1">
        <f t="array" ref="Y43">IF($D43&lt;COLUMNS($F$7:Y$7),"",INDEX(TableDiv[[GASB]:[GASB]],_xlfn.AGGREGATE(15,3,(TableDiv[[Agency]:[Agency]]=$E43)/(TableDiv[[Agency]:[Agency]]=$E43)*(ROW(TableDiv[Agency])-ROW(TableDiv[[#Headers],[Agency]])),COLUMNS($F$7:Y$7))))</f>
        <v/>
      </c>
      <c r="Z43" s="2223" t="str" cm="1">
        <f t="array" ref="Z43">IF($D43&lt;COLUMNS($F$7:Z$7),"",INDEX(TableDiv[[GASB]:[GASB]],_xlfn.AGGREGATE(15,3,(TableDiv[[Agency]:[Agency]]=$E43)/(TableDiv[[Agency]:[Agency]]=$E43)*(ROW(TableDiv[Agency])-ROW(TableDiv[[#Headers],[Agency]])),COLUMNS($F$7:Z$7))))</f>
        <v/>
      </c>
      <c r="AA43" s="2223" t="str" cm="1">
        <f t="array" ref="AA43">IF($D43&lt;COLUMNS($F$7:AA$7),"",INDEX(TableDiv[[GASB]:[GASB]],_xlfn.AGGREGATE(15,3,(TableDiv[[Agency]:[Agency]]=$E43)/(TableDiv[[Agency]:[Agency]]=$E43)*(ROW(TableDiv[Agency])-ROW(TableDiv[[#Headers],[Agency]])),COLUMNS($F$7:AA$7))))</f>
        <v/>
      </c>
      <c r="AB43" s="2223" t="str" cm="1">
        <f t="array" ref="AB43">IF($D43&lt;COLUMNS($F$7:AB$7),"",INDEX(TableDiv[[GASB]:[GASB]],_xlfn.AGGREGATE(15,3,(TableDiv[[Agency]:[Agency]]=$E43)/(TableDiv[[Agency]:[Agency]]=$E43)*(ROW(TableDiv[Agency])-ROW(TableDiv[[#Headers],[Agency]])),COLUMNS($F$7:AB$7))))</f>
        <v/>
      </c>
      <c r="AC43" s="2223" t="str" cm="1">
        <f t="array" ref="AC43">IF($D43&lt;COLUMNS($F$7:AC$7),"",INDEX(TableDiv[[GASB]:[GASB]],_xlfn.AGGREGATE(15,3,(TableDiv[[Agency]:[Agency]]=$E43)/(TableDiv[[Agency]:[Agency]]=$E43)*(ROW(TableDiv[Agency])-ROW(TableDiv[[#Headers],[Agency]])),COLUMNS($F$7:AC$7))))</f>
        <v/>
      </c>
      <c r="AD43" s="2223" t="str" cm="1">
        <f t="array" ref="AD43">IF($D43&lt;COLUMNS($F$7:AD$7),"",INDEX(TableDiv[[GASB]:[GASB]],_xlfn.AGGREGATE(15,3,(TableDiv[[Agency]:[Agency]]=$E43)/(TableDiv[[Agency]:[Agency]]=$E43)*(ROW(TableDiv[Agency])-ROW(TableDiv[[#Headers],[Agency]])),COLUMNS($F$7:AD$7))))</f>
        <v/>
      </c>
      <c r="AE43" s="2223" t="str" cm="1">
        <f t="array" ref="AE43">IF($D43&lt;COLUMNS($F$7:AE$7),"",INDEX(TableDiv[[GASB]:[GASB]],_xlfn.AGGREGATE(15,3,(TableDiv[[Agency]:[Agency]]=$E43)/(TableDiv[[Agency]:[Agency]]=$E43)*(ROW(TableDiv[Agency])-ROW(TableDiv[[#Headers],[Agency]])),COLUMNS($F$7:AE$7))))</f>
        <v/>
      </c>
      <c r="AF43" s="2223" t="str" cm="1">
        <f t="array" ref="AF43">IF($D43&lt;COLUMNS($F$7:AF$7),"",INDEX(TableDiv[[GASB]:[GASB]],_xlfn.AGGREGATE(15,3,(TableDiv[[Agency]:[Agency]]=$E43)/(TableDiv[[Agency]:[Agency]]=$E43)*(ROW(TableDiv[Agency])-ROW(TableDiv[[#Headers],[Agency]])),COLUMNS($F$7:AF$7))))</f>
        <v/>
      </c>
      <c r="AG43" s="2223" t="str" cm="1">
        <f t="array" ref="AG43">IF($D43&lt;COLUMNS($F$7:AG$7),"",INDEX(TableDiv[[GASB]:[GASB]],_xlfn.AGGREGATE(15,3,(TableDiv[[Agency]:[Agency]]=$E43)/(TableDiv[[Agency]:[Agency]]=$E43)*(ROW(TableDiv[Agency])-ROW(TableDiv[[#Headers],[Agency]])),COLUMNS($F$7:AG$7))))</f>
        <v/>
      </c>
      <c r="AH43" s="2223" t="str" cm="1">
        <f t="array" ref="AH43">IF($D43&lt;COLUMNS($F$7:AH$7),"",INDEX(TableDiv[[GASB]:[GASB]],_xlfn.AGGREGATE(15,3,(TableDiv[[Agency]:[Agency]]=$E43)/(TableDiv[[Agency]:[Agency]]=$E43)*(ROW(TableDiv[Agency])-ROW(TableDiv[[#Headers],[Agency]])),COLUMNS($F$7:AH$7))))</f>
        <v/>
      </c>
      <c r="AI43" s="2223" t="str" cm="1">
        <f t="array" ref="AI43">IF($D43&lt;COLUMNS($F$7:AI$7),"",INDEX(TableDiv[[GASB]:[GASB]],_xlfn.AGGREGATE(15,3,(TableDiv[[Agency]:[Agency]]=$E43)/(TableDiv[[Agency]:[Agency]]=$E43)*(ROW(TableDiv[Agency])-ROW(TableDiv[[#Headers],[Agency]])),COLUMNS($F$7:AI$7))))</f>
        <v/>
      </c>
      <c r="AJ43" s="2223" t="str" cm="1">
        <f t="array" ref="AJ43">IF($D43&lt;COLUMNS($F$7:AJ$7),"",INDEX(TableDiv[[GASB]:[GASB]],_xlfn.AGGREGATE(15,3,(TableDiv[[Agency]:[Agency]]=$E43)/(TableDiv[[Agency]:[Agency]]=$E43)*(ROW(TableDiv[Agency])-ROW(TableDiv[[#Headers],[Agency]])),COLUMNS($F$7:AJ$7))))</f>
        <v/>
      </c>
      <c r="AK43" s="2223" t="str" cm="1">
        <f t="array" ref="AK43">IF($D43&lt;COLUMNS($F$7:AK$7),"",INDEX(TableDiv[[GASB]:[GASB]],_xlfn.AGGREGATE(15,3,(TableDiv[[Agency]:[Agency]]=$E43)/(TableDiv[[Agency]:[Agency]]=$E43)*(ROW(TableDiv[Agency])-ROW(TableDiv[[#Headers],[Agency]])),COLUMNS($F$7:AK$7))))</f>
        <v/>
      </c>
      <c r="AL43" s="2223" t="str" cm="1">
        <f t="array" ref="AL43">IF($D43&lt;COLUMNS($F$7:AL$7),"",INDEX(TableDiv[[GASB]:[GASB]],_xlfn.AGGREGATE(15,3,(TableDiv[[Agency]:[Agency]]=$E43)/(TableDiv[[Agency]:[Agency]]=$E43)*(ROW(TableDiv[Agency])-ROW(TableDiv[[#Headers],[Agency]])),COLUMNS($F$7:AL$7))))</f>
        <v/>
      </c>
      <c r="AM43" s="2223" t="str" cm="1">
        <f t="array" ref="AM43">IF($D43&lt;COLUMNS($F$7:AM$7),"",INDEX(TableDiv[[GASB]:[GASB]],_xlfn.AGGREGATE(15,3,(TableDiv[[Agency]:[Agency]]=$E43)/(TableDiv[[Agency]:[Agency]]=$E43)*(ROW(TableDiv[Agency])-ROW(TableDiv[[#Headers],[Agency]])),COLUMNS($F$7:AM$7))))</f>
        <v/>
      </c>
      <c r="AN43" s="2223"/>
      <c r="AO43" s="2223"/>
      <c r="AP43" s="2223"/>
      <c r="AQ43" s="2223"/>
      <c r="AR43" s="2223"/>
      <c r="AS43" s="2223"/>
    </row>
    <row r="44" spans="1:45" ht="15" x14ac:dyDescent="0.25">
      <c r="A44" s="2219" t="s">
        <v>5101</v>
      </c>
      <c r="B44" s="2219" t="s">
        <v>6379</v>
      </c>
      <c r="C44" s="2223"/>
      <c r="D44" s="2223">
        <f>COUNTIF(TableDiv[Agency],E44)</f>
        <v>4</v>
      </c>
      <c r="E44" s="2230" t="str" cm="1">
        <f t="array" ref="E44">IFERROR(INDEX(TableDiv[Agency],MATCH(0,INDEX(COUNTIF($E$7:E43,TableDiv[Agency]),),0)),"")</f>
        <v>3600</v>
      </c>
      <c r="F44" s="2223" t="str" cm="1">
        <f t="array" ref="F44">IF($D44&lt;COLUMNS($F$7:F$7),"",INDEX(TableDiv[[GASB]:[GASB]],_xlfn.AGGREGATE(15,3,(TableDiv[[Agency]:[Agency]]=$E44)/(TableDiv[[Agency]:[Agency]]=$E44)*(ROW(TableDiv[Agency])-ROW(TableDiv[[#Headers],[Agency]])),COLUMNS($F$7:F$7))))</f>
        <v>12000G</v>
      </c>
      <c r="G44" s="2223" t="str" cm="1">
        <f t="array" ref="G44">IF($D44&lt;COLUMNS($F$7:G$7),"",INDEX(TableDiv[[GASB]:[GASB]],_xlfn.AGGREGATE(15,3,(TableDiv[[Agency]:[Agency]]=$E44)/(TableDiv[[Agency]:[Agency]]=$E44)*(ROW(TableDiv[Agency])-ROW(TableDiv[[#Headers],[Agency]])),COLUMNS($F$7:G$7))))</f>
        <v>14000G</v>
      </c>
      <c r="H44" s="2223" t="str" cm="1">
        <f t="array" ref="H44">IF($D44&lt;COLUMNS($F$7:H$7),"",INDEX(TableDiv[[GASB]:[GASB]],_xlfn.AGGREGATE(15,3,(TableDiv[[Agency]:[Agency]]=$E44)/(TableDiv[[Agency]:[Agency]]=$E44)*(ROW(TableDiv[Agency])-ROW(TableDiv[[#Headers],[Agency]])),COLUMNS($F$7:H$7))))</f>
        <v>14260G</v>
      </c>
      <c r="I44" s="2223" t="str" cm="1">
        <f t="array" ref="I44">IF($D44&lt;COLUMNS($F$7:I$7),"",INDEX(TableDiv[[GASB]:[GASB]],_xlfn.AGGREGATE(15,3,(TableDiv[[Agency]:[Agency]]=$E44)/(TableDiv[[Agency]:[Agency]]=$E44)*(ROW(TableDiv[Agency])-ROW(TableDiv[[#Headers],[Agency]])),COLUMNS($F$7:I$7))))</f>
        <v>39000G</v>
      </c>
      <c r="J44" s="2223" t="str" cm="1">
        <f t="array" ref="J44">IF($D44&lt;COLUMNS($F$7:J$7),"",INDEX(TableDiv[[GASB]:[GASB]],_xlfn.AGGREGATE(15,3,(TableDiv[[Agency]:[Agency]]=$E44)/(TableDiv[[Agency]:[Agency]]=$E44)*(ROW(TableDiv[Agency])-ROW(TableDiv[[#Headers],[Agency]])),COLUMNS($F$7:J$7))))</f>
        <v/>
      </c>
      <c r="K44" s="2223" t="str" cm="1">
        <f t="array" ref="K44">IF($D44&lt;COLUMNS($F$7:K$7),"",INDEX(TableDiv[[GASB]:[GASB]],_xlfn.AGGREGATE(15,3,(TableDiv[[Agency]:[Agency]]=$E44)/(TableDiv[[Agency]:[Agency]]=$E44)*(ROW(TableDiv[Agency])-ROW(TableDiv[[#Headers],[Agency]])),COLUMNS($F$7:K$7))))</f>
        <v/>
      </c>
      <c r="L44" s="2223" t="str" cm="1">
        <f t="array" ref="L44">IF($D44&lt;COLUMNS($F$7:L$7),"",INDEX(TableDiv[[GASB]:[GASB]],_xlfn.AGGREGATE(15,3,(TableDiv[[Agency]:[Agency]]=$E44)/(TableDiv[[Agency]:[Agency]]=$E44)*(ROW(TableDiv[Agency])-ROW(TableDiv[[#Headers],[Agency]])),COLUMNS($F$7:L$7))))</f>
        <v/>
      </c>
      <c r="M44" s="2223" t="str" cm="1">
        <f t="array" ref="M44">IF($D44&lt;COLUMNS($F$7:M$7),"",INDEX(TableDiv[[GASB]:[GASB]],_xlfn.AGGREGATE(15,3,(TableDiv[[Agency]:[Agency]]=$E44)/(TableDiv[[Agency]:[Agency]]=$E44)*(ROW(TableDiv[Agency])-ROW(TableDiv[[#Headers],[Agency]])),COLUMNS($F$7:M$7))))</f>
        <v/>
      </c>
      <c r="N44" s="2223" t="str" cm="1">
        <f t="array" ref="N44">IF($D44&lt;COLUMNS($F$7:N$7),"",INDEX(TableDiv[[GASB]:[GASB]],_xlfn.AGGREGATE(15,3,(TableDiv[[Agency]:[Agency]]=$E44)/(TableDiv[[Agency]:[Agency]]=$E44)*(ROW(TableDiv[Agency])-ROW(TableDiv[[#Headers],[Agency]])),COLUMNS($F$7:N$7))))</f>
        <v/>
      </c>
      <c r="O44" s="2223" t="str" cm="1">
        <f t="array" ref="O44">IF($D44&lt;COLUMNS($F$7:O$7),"",INDEX(TableDiv[[GASB]:[GASB]],_xlfn.AGGREGATE(15,3,(TableDiv[[Agency]:[Agency]]=$E44)/(TableDiv[[Agency]:[Agency]]=$E44)*(ROW(TableDiv[Agency])-ROW(TableDiv[[#Headers],[Agency]])),COLUMNS($F$7:O$7))))</f>
        <v/>
      </c>
      <c r="P44" s="2223" t="str" cm="1">
        <f t="array" ref="P44">IF($D44&lt;COLUMNS($F$7:P$7),"",INDEX(TableDiv[[GASB]:[GASB]],_xlfn.AGGREGATE(15,3,(TableDiv[[Agency]:[Agency]]=$E44)/(TableDiv[[Agency]:[Agency]]=$E44)*(ROW(TableDiv[Agency])-ROW(TableDiv[[#Headers],[Agency]])),COLUMNS($F$7:P$7))))</f>
        <v/>
      </c>
      <c r="Q44" s="2223" t="str" cm="1">
        <f t="array" ref="Q44">IF($D44&lt;COLUMNS($F$7:Q$7),"",INDEX(TableDiv[[GASB]:[GASB]],_xlfn.AGGREGATE(15,3,(TableDiv[[Agency]:[Agency]]=$E44)/(TableDiv[[Agency]:[Agency]]=$E44)*(ROW(TableDiv[Agency])-ROW(TableDiv[[#Headers],[Agency]])),COLUMNS($F$7:Q$7))))</f>
        <v/>
      </c>
      <c r="R44" s="2223" t="str" cm="1">
        <f t="array" ref="R44">IF($D44&lt;COLUMNS($F$7:R$7),"",INDEX(TableDiv[[GASB]:[GASB]],_xlfn.AGGREGATE(15,3,(TableDiv[[Agency]:[Agency]]=$E44)/(TableDiv[[Agency]:[Agency]]=$E44)*(ROW(TableDiv[Agency])-ROW(TableDiv[[#Headers],[Agency]])),COLUMNS($F$7:R$7))))</f>
        <v/>
      </c>
      <c r="S44" s="2223" t="str" cm="1">
        <f t="array" ref="S44">IF($D44&lt;COLUMNS($F$7:S$7),"",INDEX(TableDiv[[GASB]:[GASB]],_xlfn.AGGREGATE(15,3,(TableDiv[[Agency]:[Agency]]=$E44)/(TableDiv[[Agency]:[Agency]]=$E44)*(ROW(TableDiv[Agency])-ROW(TableDiv[[#Headers],[Agency]])),COLUMNS($F$7:S$7))))</f>
        <v/>
      </c>
      <c r="T44" s="2223" t="str" cm="1">
        <f t="array" ref="T44">IF($D44&lt;COLUMNS($F$7:T$7),"",INDEX(TableDiv[[GASB]:[GASB]],_xlfn.AGGREGATE(15,3,(TableDiv[[Agency]:[Agency]]=$E44)/(TableDiv[[Agency]:[Agency]]=$E44)*(ROW(TableDiv[Agency])-ROW(TableDiv[[#Headers],[Agency]])),COLUMNS($F$7:T$7))))</f>
        <v/>
      </c>
      <c r="U44" s="2223" t="str" cm="1">
        <f t="array" ref="U44">IF($D44&lt;COLUMNS($F$7:U$7),"",INDEX(TableDiv[[GASB]:[GASB]],_xlfn.AGGREGATE(15,3,(TableDiv[[Agency]:[Agency]]=$E44)/(TableDiv[[Agency]:[Agency]]=$E44)*(ROW(TableDiv[Agency])-ROW(TableDiv[[#Headers],[Agency]])),COLUMNS($F$7:U$7))))</f>
        <v/>
      </c>
      <c r="V44" s="2223" t="str" cm="1">
        <f t="array" ref="V44">IF($D44&lt;COLUMNS($F$7:V$7),"",INDEX(TableDiv[[GASB]:[GASB]],_xlfn.AGGREGATE(15,3,(TableDiv[[Agency]:[Agency]]=$E44)/(TableDiv[[Agency]:[Agency]]=$E44)*(ROW(TableDiv[Agency])-ROW(TableDiv[[#Headers],[Agency]])),COLUMNS($F$7:V$7))))</f>
        <v/>
      </c>
      <c r="W44" s="2223" t="str" cm="1">
        <f t="array" ref="W44">IF($D44&lt;COLUMNS($F$7:W$7),"",INDEX(TableDiv[[GASB]:[GASB]],_xlfn.AGGREGATE(15,3,(TableDiv[[Agency]:[Agency]]=$E44)/(TableDiv[[Agency]:[Agency]]=$E44)*(ROW(TableDiv[Agency])-ROW(TableDiv[[#Headers],[Agency]])),COLUMNS($F$7:W$7))))</f>
        <v/>
      </c>
      <c r="X44" s="2223" t="str" cm="1">
        <f t="array" ref="X44">IF($D44&lt;COLUMNS($F$7:X$7),"",INDEX(TableDiv[[GASB]:[GASB]],_xlfn.AGGREGATE(15,3,(TableDiv[[Agency]:[Agency]]=$E44)/(TableDiv[[Agency]:[Agency]]=$E44)*(ROW(TableDiv[Agency])-ROW(TableDiv[[#Headers],[Agency]])),COLUMNS($F$7:X$7))))</f>
        <v/>
      </c>
      <c r="Y44" s="2223" t="str" cm="1">
        <f t="array" ref="Y44">IF($D44&lt;COLUMNS($F$7:Y$7),"",INDEX(TableDiv[[GASB]:[GASB]],_xlfn.AGGREGATE(15,3,(TableDiv[[Agency]:[Agency]]=$E44)/(TableDiv[[Agency]:[Agency]]=$E44)*(ROW(TableDiv[Agency])-ROW(TableDiv[[#Headers],[Agency]])),COLUMNS($F$7:Y$7))))</f>
        <v/>
      </c>
      <c r="Z44" s="2223" t="str" cm="1">
        <f t="array" ref="Z44">IF($D44&lt;COLUMNS($F$7:Z$7),"",INDEX(TableDiv[[GASB]:[GASB]],_xlfn.AGGREGATE(15,3,(TableDiv[[Agency]:[Agency]]=$E44)/(TableDiv[[Agency]:[Agency]]=$E44)*(ROW(TableDiv[Agency])-ROW(TableDiv[[#Headers],[Agency]])),COLUMNS($F$7:Z$7))))</f>
        <v/>
      </c>
      <c r="AA44" s="2223" t="str" cm="1">
        <f t="array" ref="AA44">IF($D44&lt;COLUMNS($F$7:AA$7),"",INDEX(TableDiv[[GASB]:[GASB]],_xlfn.AGGREGATE(15,3,(TableDiv[[Agency]:[Agency]]=$E44)/(TableDiv[[Agency]:[Agency]]=$E44)*(ROW(TableDiv[Agency])-ROW(TableDiv[[#Headers],[Agency]])),COLUMNS($F$7:AA$7))))</f>
        <v/>
      </c>
      <c r="AB44" s="2223" t="str" cm="1">
        <f t="array" ref="AB44">IF($D44&lt;COLUMNS($F$7:AB$7),"",INDEX(TableDiv[[GASB]:[GASB]],_xlfn.AGGREGATE(15,3,(TableDiv[[Agency]:[Agency]]=$E44)/(TableDiv[[Agency]:[Agency]]=$E44)*(ROW(TableDiv[Agency])-ROW(TableDiv[[#Headers],[Agency]])),COLUMNS($F$7:AB$7))))</f>
        <v/>
      </c>
      <c r="AC44" s="2223" t="str" cm="1">
        <f t="array" ref="AC44">IF($D44&lt;COLUMNS($F$7:AC$7),"",INDEX(TableDiv[[GASB]:[GASB]],_xlfn.AGGREGATE(15,3,(TableDiv[[Agency]:[Agency]]=$E44)/(TableDiv[[Agency]:[Agency]]=$E44)*(ROW(TableDiv[Agency])-ROW(TableDiv[[#Headers],[Agency]])),COLUMNS($F$7:AC$7))))</f>
        <v/>
      </c>
      <c r="AD44" s="2223" t="str" cm="1">
        <f t="array" ref="AD44">IF($D44&lt;COLUMNS($F$7:AD$7),"",INDEX(TableDiv[[GASB]:[GASB]],_xlfn.AGGREGATE(15,3,(TableDiv[[Agency]:[Agency]]=$E44)/(TableDiv[[Agency]:[Agency]]=$E44)*(ROW(TableDiv[Agency])-ROW(TableDiv[[#Headers],[Agency]])),COLUMNS($F$7:AD$7))))</f>
        <v/>
      </c>
      <c r="AE44" s="2223" t="str" cm="1">
        <f t="array" ref="AE44">IF($D44&lt;COLUMNS($F$7:AE$7),"",INDEX(TableDiv[[GASB]:[GASB]],_xlfn.AGGREGATE(15,3,(TableDiv[[Agency]:[Agency]]=$E44)/(TableDiv[[Agency]:[Agency]]=$E44)*(ROW(TableDiv[Agency])-ROW(TableDiv[[#Headers],[Agency]])),COLUMNS($F$7:AE$7))))</f>
        <v/>
      </c>
      <c r="AF44" s="2223" t="str" cm="1">
        <f t="array" ref="AF44">IF($D44&lt;COLUMNS($F$7:AF$7),"",INDEX(TableDiv[[GASB]:[GASB]],_xlfn.AGGREGATE(15,3,(TableDiv[[Agency]:[Agency]]=$E44)/(TableDiv[[Agency]:[Agency]]=$E44)*(ROW(TableDiv[Agency])-ROW(TableDiv[[#Headers],[Agency]])),COLUMNS($F$7:AF$7))))</f>
        <v/>
      </c>
      <c r="AG44" s="2223" t="str" cm="1">
        <f t="array" ref="AG44">IF($D44&lt;COLUMNS($F$7:AG$7),"",INDEX(TableDiv[[GASB]:[GASB]],_xlfn.AGGREGATE(15,3,(TableDiv[[Agency]:[Agency]]=$E44)/(TableDiv[[Agency]:[Agency]]=$E44)*(ROW(TableDiv[Agency])-ROW(TableDiv[[#Headers],[Agency]])),COLUMNS($F$7:AG$7))))</f>
        <v/>
      </c>
      <c r="AH44" s="2223" t="str" cm="1">
        <f t="array" ref="AH44">IF($D44&lt;COLUMNS($F$7:AH$7),"",INDEX(TableDiv[[GASB]:[GASB]],_xlfn.AGGREGATE(15,3,(TableDiv[[Agency]:[Agency]]=$E44)/(TableDiv[[Agency]:[Agency]]=$E44)*(ROW(TableDiv[Agency])-ROW(TableDiv[[#Headers],[Agency]])),COLUMNS($F$7:AH$7))))</f>
        <v/>
      </c>
      <c r="AI44" s="2223" t="str" cm="1">
        <f t="array" ref="AI44">IF($D44&lt;COLUMNS($F$7:AI$7),"",INDEX(TableDiv[[GASB]:[GASB]],_xlfn.AGGREGATE(15,3,(TableDiv[[Agency]:[Agency]]=$E44)/(TableDiv[[Agency]:[Agency]]=$E44)*(ROW(TableDiv[Agency])-ROW(TableDiv[[#Headers],[Agency]])),COLUMNS($F$7:AI$7))))</f>
        <v/>
      </c>
      <c r="AJ44" s="2223" t="str" cm="1">
        <f t="array" ref="AJ44">IF($D44&lt;COLUMNS($F$7:AJ$7),"",INDEX(TableDiv[[GASB]:[GASB]],_xlfn.AGGREGATE(15,3,(TableDiv[[Agency]:[Agency]]=$E44)/(TableDiv[[Agency]:[Agency]]=$E44)*(ROW(TableDiv[Agency])-ROW(TableDiv[[#Headers],[Agency]])),COLUMNS($F$7:AJ$7))))</f>
        <v/>
      </c>
      <c r="AK44" s="2223" t="str" cm="1">
        <f t="array" ref="AK44">IF($D44&lt;COLUMNS($F$7:AK$7),"",INDEX(TableDiv[[GASB]:[GASB]],_xlfn.AGGREGATE(15,3,(TableDiv[[Agency]:[Agency]]=$E44)/(TableDiv[[Agency]:[Agency]]=$E44)*(ROW(TableDiv[Agency])-ROW(TableDiv[[#Headers],[Agency]])),COLUMNS($F$7:AK$7))))</f>
        <v/>
      </c>
      <c r="AL44" s="2223" t="str" cm="1">
        <f t="array" ref="AL44">IF($D44&lt;COLUMNS($F$7:AL$7),"",INDEX(TableDiv[[GASB]:[GASB]],_xlfn.AGGREGATE(15,3,(TableDiv[[Agency]:[Agency]]=$E44)/(TableDiv[[Agency]:[Agency]]=$E44)*(ROW(TableDiv[Agency])-ROW(TableDiv[[#Headers],[Agency]])),COLUMNS($F$7:AL$7))))</f>
        <v/>
      </c>
      <c r="AM44" s="2223" t="str" cm="1">
        <f t="array" ref="AM44">IF($D44&lt;COLUMNS($F$7:AM$7),"",INDEX(TableDiv[[GASB]:[GASB]],_xlfn.AGGREGATE(15,3,(TableDiv[[Agency]:[Agency]]=$E44)/(TableDiv[[Agency]:[Agency]]=$E44)*(ROW(TableDiv[Agency])-ROW(TableDiv[[#Headers],[Agency]])),COLUMNS($F$7:AM$7))))</f>
        <v/>
      </c>
      <c r="AN44" s="2223"/>
      <c r="AO44" s="2223"/>
      <c r="AP44" s="2223"/>
      <c r="AQ44" s="2223"/>
      <c r="AR44" s="2223"/>
      <c r="AS44" s="2223"/>
    </row>
    <row r="45" spans="1:45" ht="15" x14ac:dyDescent="0.25">
      <c r="A45" s="2219" t="s">
        <v>5101</v>
      </c>
      <c r="B45" s="2219" t="s">
        <v>6380</v>
      </c>
      <c r="C45" s="2223"/>
      <c r="D45" s="2223">
        <f>COUNTIF(TableDiv[Agency],E45)</f>
        <v>4</v>
      </c>
      <c r="E45" s="2230" t="str" cm="1">
        <f t="array" ref="E45">IFERROR(INDEX(TableDiv[Agency],MATCH(0,INDEX(COUNTIF($E$7:E44,TableDiv[Agency]),),0)),"")</f>
        <v>3700</v>
      </c>
      <c r="F45" s="2223" t="str" cm="1">
        <f t="array" ref="F45">IF($D45&lt;COLUMNS($F$7:F$7),"",INDEX(TableDiv[[GASB]:[GASB]],_xlfn.AGGREGATE(15,3,(TableDiv[[Agency]:[Agency]]=$E45)/(TableDiv[[Agency]:[Agency]]=$E45)*(ROW(TableDiv[Agency])-ROW(TableDiv[[#Headers],[Agency]])),COLUMNS($F$7:F$7))))</f>
        <v>12000G</v>
      </c>
      <c r="G45" s="2223" t="str" cm="1">
        <f t="array" ref="G45">IF($D45&lt;COLUMNS($F$7:G$7),"",INDEX(TableDiv[[GASB]:[GASB]],_xlfn.AGGREGATE(15,3,(TableDiv[[Agency]:[Agency]]=$E45)/(TableDiv[[Agency]:[Agency]]=$E45)*(ROW(TableDiv[Agency])-ROW(TableDiv[[#Headers],[Agency]])),COLUMNS($F$7:G$7))))</f>
        <v>14000G</v>
      </c>
      <c r="H45" s="2223" t="str" cm="1">
        <f t="array" ref="H45">IF($D45&lt;COLUMNS($F$7:H$7),"",INDEX(TableDiv[[GASB]:[GASB]],_xlfn.AGGREGATE(15,3,(TableDiv[[Agency]:[Agency]]=$E45)/(TableDiv[[Agency]:[Agency]]=$E45)*(ROW(TableDiv[Agency])-ROW(TableDiv[[#Headers],[Agency]])),COLUMNS($F$7:H$7))))</f>
        <v>14260G</v>
      </c>
      <c r="I45" s="2223" t="str" cm="1">
        <f t="array" ref="I45">IF($D45&lt;COLUMNS($F$7:I$7),"",INDEX(TableDiv[[GASB]:[GASB]],_xlfn.AGGREGATE(15,3,(TableDiv[[Agency]:[Agency]]=$E45)/(TableDiv[[Agency]:[Agency]]=$E45)*(ROW(TableDiv[Agency])-ROW(TableDiv[[#Headers],[Agency]])),COLUMNS($F$7:I$7))))</f>
        <v>39000G</v>
      </c>
      <c r="J45" s="2223" t="str" cm="1">
        <f t="array" ref="J45">IF($D45&lt;COLUMNS($F$7:J$7),"",INDEX(TableDiv[[GASB]:[GASB]],_xlfn.AGGREGATE(15,3,(TableDiv[[Agency]:[Agency]]=$E45)/(TableDiv[[Agency]:[Agency]]=$E45)*(ROW(TableDiv[Agency])-ROW(TableDiv[[#Headers],[Agency]])),COLUMNS($F$7:J$7))))</f>
        <v/>
      </c>
      <c r="K45" s="2223" t="str" cm="1">
        <f t="array" ref="K45">IF($D45&lt;COLUMNS($F$7:K$7),"",INDEX(TableDiv[[GASB]:[GASB]],_xlfn.AGGREGATE(15,3,(TableDiv[[Agency]:[Agency]]=$E45)/(TableDiv[[Agency]:[Agency]]=$E45)*(ROW(TableDiv[Agency])-ROW(TableDiv[[#Headers],[Agency]])),COLUMNS($F$7:K$7))))</f>
        <v/>
      </c>
      <c r="L45" s="2223" t="str" cm="1">
        <f t="array" ref="L45">IF($D45&lt;COLUMNS($F$7:L$7),"",INDEX(TableDiv[[GASB]:[GASB]],_xlfn.AGGREGATE(15,3,(TableDiv[[Agency]:[Agency]]=$E45)/(TableDiv[[Agency]:[Agency]]=$E45)*(ROW(TableDiv[Agency])-ROW(TableDiv[[#Headers],[Agency]])),COLUMNS($F$7:L$7))))</f>
        <v/>
      </c>
      <c r="M45" s="2223" t="str" cm="1">
        <f t="array" ref="M45">IF($D45&lt;COLUMNS($F$7:M$7),"",INDEX(TableDiv[[GASB]:[GASB]],_xlfn.AGGREGATE(15,3,(TableDiv[[Agency]:[Agency]]=$E45)/(TableDiv[[Agency]:[Agency]]=$E45)*(ROW(TableDiv[Agency])-ROW(TableDiv[[#Headers],[Agency]])),COLUMNS($F$7:M$7))))</f>
        <v/>
      </c>
      <c r="N45" s="2223" t="str" cm="1">
        <f t="array" ref="N45">IF($D45&lt;COLUMNS($F$7:N$7),"",INDEX(TableDiv[[GASB]:[GASB]],_xlfn.AGGREGATE(15,3,(TableDiv[[Agency]:[Agency]]=$E45)/(TableDiv[[Agency]:[Agency]]=$E45)*(ROW(TableDiv[Agency])-ROW(TableDiv[[#Headers],[Agency]])),COLUMNS($F$7:N$7))))</f>
        <v/>
      </c>
      <c r="O45" s="2223" t="str" cm="1">
        <f t="array" ref="O45">IF($D45&lt;COLUMNS($F$7:O$7),"",INDEX(TableDiv[[GASB]:[GASB]],_xlfn.AGGREGATE(15,3,(TableDiv[[Agency]:[Agency]]=$E45)/(TableDiv[[Agency]:[Agency]]=$E45)*(ROW(TableDiv[Agency])-ROW(TableDiv[[#Headers],[Agency]])),COLUMNS($F$7:O$7))))</f>
        <v/>
      </c>
      <c r="P45" s="2223" t="str" cm="1">
        <f t="array" ref="P45">IF($D45&lt;COLUMNS($F$7:P$7),"",INDEX(TableDiv[[GASB]:[GASB]],_xlfn.AGGREGATE(15,3,(TableDiv[[Agency]:[Agency]]=$E45)/(TableDiv[[Agency]:[Agency]]=$E45)*(ROW(TableDiv[Agency])-ROW(TableDiv[[#Headers],[Agency]])),COLUMNS($F$7:P$7))))</f>
        <v/>
      </c>
      <c r="Q45" s="2223" t="str" cm="1">
        <f t="array" ref="Q45">IF($D45&lt;COLUMNS($F$7:Q$7),"",INDEX(TableDiv[[GASB]:[GASB]],_xlfn.AGGREGATE(15,3,(TableDiv[[Agency]:[Agency]]=$E45)/(TableDiv[[Agency]:[Agency]]=$E45)*(ROW(TableDiv[Agency])-ROW(TableDiv[[#Headers],[Agency]])),COLUMNS($F$7:Q$7))))</f>
        <v/>
      </c>
      <c r="R45" s="2223" t="str" cm="1">
        <f t="array" ref="R45">IF($D45&lt;COLUMNS($F$7:R$7),"",INDEX(TableDiv[[GASB]:[GASB]],_xlfn.AGGREGATE(15,3,(TableDiv[[Agency]:[Agency]]=$E45)/(TableDiv[[Agency]:[Agency]]=$E45)*(ROW(TableDiv[Agency])-ROW(TableDiv[[#Headers],[Agency]])),COLUMNS($F$7:R$7))))</f>
        <v/>
      </c>
      <c r="S45" s="2223" t="str" cm="1">
        <f t="array" ref="S45">IF($D45&lt;COLUMNS($F$7:S$7),"",INDEX(TableDiv[[GASB]:[GASB]],_xlfn.AGGREGATE(15,3,(TableDiv[[Agency]:[Agency]]=$E45)/(TableDiv[[Agency]:[Agency]]=$E45)*(ROW(TableDiv[Agency])-ROW(TableDiv[[#Headers],[Agency]])),COLUMNS($F$7:S$7))))</f>
        <v/>
      </c>
      <c r="T45" s="2223" t="str" cm="1">
        <f t="array" ref="T45">IF($D45&lt;COLUMNS($F$7:T$7),"",INDEX(TableDiv[[GASB]:[GASB]],_xlfn.AGGREGATE(15,3,(TableDiv[[Agency]:[Agency]]=$E45)/(TableDiv[[Agency]:[Agency]]=$E45)*(ROW(TableDiv[Agency])-ROW(TableDiv[[#Headers],[Agency]])),COLUMNS($F$7:T$7))))</f>
        <v/>
      </c>
      <c r="U45" s="2223" t="str" cm="1">
        <f t="array" ref="U45">IF($D45&lt;COLUMNS($F$7:U$7),"",INDEX(TableDiv[[GASB]:[GASB]],_xlfn.AGGREGATE(15,3,(TableDiv[[Agency]:[Agency]]=$E45)/(TableDiv[[Agency]:[Agency]]=$E45)*(ROW(TableDiv[Agency])-ROW(TableDiv[[#Headers],[Agency]])),COLUMNS($F$7:U$7))))</f>
        <v/>
      </c>
      <c r="V45" s="2223" t="str" cm="1">
        <f t="array" ref="V45">IF($D45&lt;COLUMNS($F$7:V$7),"",INDEX(TableDiv[[GASB]:[GASB]],_xlfn.AGGREGATE(15,3,(TableDiv[[Agency]:[Agency]]=$E45)/(TableDiv[[Agency]:[Agency]]=$E45)*(ROW(TableDiv[Agency])-ROW(TableDiv[[#Headers],[Agency]])),COLUMNS($F$7:V$7))))</f>
        <v/>
      </c>
      <c r="W45" s="2223" t="str" cm="1">
        <f t="array" ref="W45">IF($D45&lt;COLUMNS($F$7:W$7),"",INDEX(TableDiv[[GASB]:[GASB]],_xlfn.AGGREGATE(15,3,(TableDiv[[Agency]:[Agency]]=$E45)/(TableDiv[[Agency]:[Agency]]=$E45)*(ROW(TableDiv[Agency])-ROW(TableDiv[[#Headers],[Agency]])),COLUMNS($F$7:W$7))))</f>
        <v/>
      </c>
      <c r="X45" s="2223" t="str" cm="1">
        <f t="array" ref="X45">IF($D45&lt;COLUMNS($F$7:X$7),"",INDEX(TableDiv[[GASB]:[GASB]],_xlfn.AGGREGATE(15,3,(TableDiv[[Agency]:[Agency]]=$E45)/(TableDiv[[Agency]:[Agency]]=$E45)*(ROW(TableDiv[Agency])-ROW(TableDiv[[#Headers],[Agency]])),COLUMNS($F$7:X$7))))</f>
        <v/>
      </c>
      <c r="Y45" s="2223" t="str" cm="1">
        <f t="array" ref="Y45">IF($D45&lt;COLUMNS($F$7:Y$7),"",INDEX(TableDiv[[GASB]:[GASB]],_xlfn.AGGREGATE(15,3,(TableDiv[[Agency]:[Agency]]=$E45)/(TableDiv[[Agency]:[Agency]]=$E45)*(ROW(TableDiv[Agency])-ROW(TableDiv[[#Headers],[Agency]])),COLUMNS($F$7:Y$7))))</f>
        <v/>
      </c>
      <c r="Z45" s="2223" t="str" cm="1">
        <f t="array" ref="Z45">IF($D45&lt;COLUMNS($F$7:Z$7),"",INDEX(TableDiv[[GASB]:[GASB]],_xlfn.AGGREGATE(15,3,(TableDiv[[Agency]:[Agency]]=$E45)/(TableDiv[[Agency]:[Agency]]=$E45)*(ROW(TableDiv[Agency])-ROW(TableDiv[[#Headers],[Agency]])),COLUMNS($F$7:Z$7))))</f>
        <v/>
      </c>
      <c r="AA45" s="2223" t="str" cm="1">
        <f t="array" ref="AA45">IF($D45&lt;COLUMNS($F$7:AA$7),"",INDEX(TableDiv[[GASB]:[GASB]],_xlfn.AGGREGATE(15,3,(TableDiv[[Agency]:[Agency]]=$E45)/(TableDiv[[Agency]:[Agency]]=$E45)*(ROW(TableDiv[Agency])-ROW(TableDiv[[#Headers],[Agency]])),COLUMNS($F$7:AA$7))))</f>
        <v/>
      </c>
      <c r="AB45" s="2223" t="str" cm="1">
        <f t="array" ref="AB45">IF($D45&lt;COLUMNS($F$7:AB$7),"",INDEX(TableDiv[[GASB]:[GASB]],_xlfn.AGGREGATE(15,3,(TableDiv[[Agency]:[Agency]]=$E45)/(TableDiv[[Agency]:[Agency]]=$E45)*(ROW(TableDiv[Agency])-ROW(TableDiv[[#Headers],[Agency]])),COLUMNS($F$7:AB$7))))</f>
        <v/>
      </c>
      <c r="AC45" s="2223" t="str" cm="1">
        <f t="array" ref="AC45">IF($D45&lt;COLUMNS($F$7:AC$7),"",INDEX(TableDiv[[GASB]:[GASB]],_xlfn.AGGREGATE(15,3,(TableDiv[[Agency]:[Agency]]=$E45)/(TableDiv[[Agency]:[Agency]]=$E45)*(ROW(TableDiv[Agency])-ROW(TableDiv[[#Headers],[Agency]])),COLUMNS($F$7:AC$7))))</f>
        <v/>
      </c>
      <c r="AD45" s="2223" t="str" cm="1">
        <f t="array" ref="AD45">IF($D45&lt;COLUMNS($F$7:AD$7),"",INDEX(TableDiv[[GASB]:[GASB]],_xlfn.AGGREGATE(15,3,(TableDiv[[Agency]:[Agency]]=$E45)/(TableDiv[[Agency]:[Agency]]=$E45)*(ROW(TableDiv[Agency])-ROW(TableDiv[[#Headers],[Agency]])),COLUMNS($F$7:AD$7))))</f>
        <v/>
      </c>
      <c r="AE45" s="2223" t="str" cm="1">
        <f t="array" ref="AE45">IF($D45&lt;COLUMNS($F$7:AE$7),"",INDEX(TableDiv[[GASB]:[GASB]],_xlfn.AGGREGATE(15,3,(TableDiv[[Agency]:[Agency]]=$E45)/(TableDiv[[Agency]:[Agency]]=$E45)*(ROW(TableDiv[Agency])-ROW(TableDiv[[#Headers],[Agency]])),COLUMNS($F$7:AE$7))))</f>
        <v/>
      </c>
      <c r="AF45" s="2223" t="str" cm="1">
        <f t="array" ref="AF45">IF($D45&lt;COLUMNS($F$7:AF$7),"",INDEX(TableDiv[[GASB]:[GASB]],_xlfn.AGGREGATE(15,3,(TableDiv[[Agency]:[Agency]]=$E45)/(TableDiv[[Agency]:[Agency]]=$E45)*(ROW(TableDiv[Agency])-ROW(TableDiv[[#Headers],[Agency]])),COLUMNS($F$7:AF$7))))</f>
        <v/>
      </c>
      <c r="AG45" s="2223" t="str" cm="1">
        <f t="array" ref="AG45">IF($D45&lt;COLUMNS($F$7:AG$7),"",INDEX(TableDiv[[GASB]:[GASB]],_xlfn.AGGREGATE(15,3,(TableDiv[[Agency]:[Agency]]=$E45)/(TableDiv[[Agency]:[Agency]]=$E45)*(ROW(TableDiv[Agency])-ROW(TableDiv[[#Headers],[Agency]])),COLUMNS($F$7:AG$7))))</f>
        <v/>
      </c>
      <c r="AH45" s="2223" t="str" cm="1">
        <f t="array" ref="AH45">IF($D45&lt;COLUMNS($F$7:AH$7),"",INDEX(TableDiv[[GASB]:[GASB]],_xlfn.AGGREGATE(15,3,(TableDiv[[Agency]:[Agency]]=$E45)/(TableDiv[[Agency]:[Agency]]=$E45)*(ROW(TableDiv[Agency])-ROW(TableDiv[[#Headers],[Agency]])),COLUMNS($F$7:AH$7))))</f>
        <v/>
      </c>
      <c r="AI45" s="2223" t="str" cm="1">
        <f t="array" ref="AI45">IF($D45&lt;COLUMNS($F$7:AI$7),"",INDEX(TableDiv[[GASB]:[GASB]],_xlfn.AGGREGATE(15,3,(TableDiv[[Agency]:[Agency]]=$E45)/(TableDiv[[Agency]:[Agency]]=$E45)*(ROW(TableDiv[Agency])-ROW(TableDiv[[#Headers],[Agency]])),COLUMNS($F$7:AI$7))))</f>
        <v/>
      </c>
      <c r="AJ45" s="2223" t="str" cm="1">
        <f t="array" ref="AJ45">IF($D45&lt;COLUMNS($F$7:AJ$7),"",INDEX(TableDiv[[GASB]:[GASB]],_xlfn.AGGREGATE(15,3,(TableDiv[[Agency]:[Agency]]=$E45)/(TableDiv[[Agency]:[Agency]]=$E45)*(ROW(TableDiv[Agency])-ROW(TableDiv[[#Headers],[Agency]])),COLUMNS($F$7:AJ$7))))</f>
        <v/>
      </c>
      <c r="AK45" s="2223" t="str" cm="1">
        <f t="array" ref="AK45">IF($D45&lt;COLUMNS($F$7:AK$7),"",INDEX(TableDiv[[GASB]:[GASB]],_xlfn.AGGREGATE(15,3,(TableDiv[[Agency]:[Agency]]=$E45)/(TableDiv[[Agency]:[Agency]]=$E45)*(ROW(TableDiv[Agency])-ROW(TableDiv[[#Headers],[Agency]])),COLUMNS($F$7:AK$7))))</f>
        <v/>
      </c>
      <c r="AL45" s="2223" t="str" cm="1">
        <f t="array" ref="AL45">IF($D45&lt;COLUMNS($F$7:AL$7),"",INDEX(TableDiv[[GASB]:[GASB]],_xlfn.AGGREGATE(15,3,(TableDiv[[Agency]:[Agency]]=$E45)/(TableDiv[[Agency]:[Agency]]=$E45)*(ROW(TableDiv[Agency])-ROW(TableDiv[[#Headers],[Agency]])),COLUMNS($F$7:AL$7))))</f>
        <v/>
      </c>
      <c r="AM45" s="2223" t="str" cm="1">
        <f t="array" ref="AM45">IF($D45&lt;COLUMNS($F$7:AM$7),"",INDEX(TableDiv[[GASB]:[GASB]],_xlfn.AGGREGATE(15,3,(TableDiv[[Agency]:[Agency]]=$E45)/(TableDiv[[Agency]:[Agency]]=$E45)*(ROW(TableDiv[Agency])-ROW(TableDiv[[#Headers],[Agency]])),COLUMNS($F$7:AM$7))))</f>
        <v/>
      </c>
      <c r="AN45" s="2223"/>
      <c r="AO45" s="2223"/>
      <c r="AP45" s="2223"/>
      <c r="AQ45" s="2223"/>
      <c r="AR45" s="2223"/>
      <c r="AS45" s="2223"/>
    </row>
    <row r="46" spans="1:45" ht="15" x14ac:dyDescent="0.25">
      <c r="A46" s="2219" t="s">
        <v>5101</v>
      </c>
      <c r="B46" s="2219" t="s">
        <v>6381</v>
      </c>
      <c r="C46" s="2223"/>
      <c r="D46" s="2223">
        <f>COUNTIF(TableDiv[Agency],E46)</f>
        <v>4</v>
      </c>
      <c r="E46" s="2230" t="str" cm="1">
        <f t="array" ref="E46">IFERROR(INDEX(TableDiv[Agency],MATCH(0,INDEX(COUNTIF($E$7:E45,TableDiv[Agency]),),0)),"")</f>
        <v>3800</v>
      </c>
      <c r="F46" s="2223" t="str" cm="1">
        <f t="array" ref="F46">IF($D46&lt;COLUMNS($F$7:F$7),"",INDEX(TableDiv[[GASB]:[GASB]],_xlfn.AGGREGATE(15,3,(TableDiv[[Agency]:[Agency]]=$E46)/(TableDiv[[Agency]:[Agency]]=$E46)*(ROW(TableDiv[Agency])-ROW(TableDiv[[#Headers],[Agency]])),COLUMNS($F$7:F$7))))</f>
        <v>12000G</v>
      </c>
      <c r="G46" s="2223" t="str" cm="1">
        <f t="array" ref="G46">IF($D46&lt;COLUMNS($F$7:G$7),"",INDEX(TableDiv[[GASB]:[GASB]],_xlfn.AGGREGATE(15,3,(TableDiv[[Agency]:[Agency]]=$E46)/(TableDiv[[Agency]:[Agency]]=$E46)*(ROW(TableDiv[Agency])-ROW(TableDiv[[#Headers],[Agency]])),COLUMNS($F$7:G$7))))</f>
        <v>14000G</v>
      </c>
      <c r="H46" s="2223" t="str" cm="1">
        <f t="array" ref="H46">IF($D46&lt;COLUMNS($F$7:H$7),"",INDEX(TableDiv[[GASB]:[GASB]],_xlfn.AGGREGATE(15,3,(TableDiv[[Agency]:[Agency]]=$E46)/(TableDiv[[Agency]:[Agency]]=$E46)*(ROW(TableDiv[Agency])-ROW(TableDiv[[#Headers],[Agency]])),COLUMNS($F$7:H$7))))</f>
        <v>14260G</v>
      </c>
      <c r="I46" s="2223" t="str" cm="1">
        <f t="array" ref="I46">IF($D46&lt;COLUMNS($F$7:I$7),"",INDEX(TableDiv[[GASB]:[GASB]],_xlfn.AGGREGATE(15,3,(TableDiv[[Agency]:[Agency]]=$E46)/(TableDiv[[Agency]:[Agency]]=$E46)*(ROW(TableDiv[Agency])-ROW(TableDiv[[#Headers],[Agency]])),COLUMNS($F$7:I$7))))</f>
        <v>39000G</v>
      </c>
      <c r="J46" s="2223" t="str" cm="1">
        <f t="array" ref="J46">IF($D46&lt;COLUMNS($F$7:J$7),"",INDEX(TableDiv[[GASB]:[GASB]],_xlfn.AGGREGATE(15,3,(TableDiv[[Agency]:[Agency]]=$E46)/(TableDiv[[Agency]:[Agency]]=$E46)*(ROW(TableDiv[Agency])-ROW(TableDiv[[#Headers],[Agency]])),COLUMNS($F$7:J$7))))</f>
        <v/>
      </c>
      <c r="K46" s="2223" t="str" cm="1">
        <f t="array" ref="K46">IF($D46&lt;COLUMNS($F$7:K$7),"",INDEX(TableDiv[[GASB]:[GASB]],_xlfn.AGGREGATE(15,3,(TableDiv[[Agency]:[Agency]]=$E46)/(TableDiv[[Agency]:[Agency]]=$E46)*(ROW(TableDiv[Agency])-ROW(TableDiv[[#Headers],[Agency]])),COLUMNS($F$7:K$7))))</f>
        <v/>
      </c>
      <c r="L46" s="2223" t="str" cm="1">
        <f t="array" ref="L46">IF($D46&lt;COLUMNS($F$7:L$7),"",INDEX(TableDiv[[GASB]:[GASB]],_xlfn.AGGREGATE(15,3,(TableDiv[[Agency]:[Agency]]=$E46)/(TableDiv[[Agency]:[Agency]]=$E46)*(ROW(TableDiv[Agency])-ROW(TableDiv[[#Headers],[Agency]])),COLUMNS($F$7:L$7))))</f>
        <v/>
      </c>
      <c r="M46" s="2223" t="str" cm="1">
        <f t="array" ref="M46">IF($D46&lt;COLUMNS($F$7:M$7),"",INDEX(TableDiv[[GASB]:[GASB]],_xlfn.AGGREGATE(15,3,(TableDiv[[Agency]:[Agency]]=$E46)/(TableDiv[[Agency]:[Agency]]=$E46)*(ROW(TableDiv[Agency])-ROW(TableDiv[[#Headers],[Agency]])),COLUMNS($F$7:M$7))))</f>
        <v/>
      </c>
      <c r="N46" s="2223" t="str" cm="1">
        <f t="array" ref="N46">IF($D46&lt;COLUMNS($F$7:N$7),"",INDEX(TableDiv[[GASB]:[GASB]],_xlfn.AGGREGATE(15,3,(TableDiv[[Agency]:[Agency]]=$E46)/(TableDiv[[Agency]:[Agency]]=$E46)*(ROW(TableDiv[Agency])-ROW(TableDiv[[#Headers],[Agency]])),COLUMNS($F$7:N$7))))</f>
        <v/>
      </c>
      <c r="O46" s="2223" t="str" cm="1">
        <f t="array" ref="O46">IF($D46&lt;COLUMNS($F$7:O$7),"",INDEX(TableDiv[[GASB]:[GASB]],_xlfn.AGGREGATE(15,3,(TableDiv[[Agency]:[Agency]]=$E46)/(TableDiv[[Agency]:[Agency]]=$E46)*(ROW(TableDiv[Agency])-ROW(TableDiv[[#Headers],[Agency]])),COLUMNS($F$7:O$7))))</f>
        <v/>
      </c>
      <c r="P46" s="2223" t="str" cm="1">
        <f t="array" ref="P46">IF($D46&lt;COLUMNS($F$7:P$7),"",INDEX(TableDiv[[GASB]:[GASB]],_xlfn.AGGREGATE(15,3,(TableDiv[[Agency]:[Agency]]=$E46)/(TableDiv[[Agency]:[Agency]]=$E46)*(ROW(TableDiv[Agency])-ROW(TableDiv[[#Headers],[Agency]])),COLUMNS($F$7:P$7))))</f>
        <v/>
      </c>
      <c r="Q46" s="2223" t="str" cm="1">
        <f t="array" ref="Q46">IF($D46&lt;COLUMNS($F$7:Q$7),"",INDEX(TableDiv[[GASB]:[GASB]],_xlfn.AGGREGATE(15,3,(TableDiv[[Agency]:[Agency]]=$E46)/(TableDiv[[Agency]:[Agency]]=$E46)*(ROW(TableDiv[Agency])-ROW(TableDiv[[#Headers],[Agency]])),COLUMNS($F$7:Q$7))))</f>
        <v/>
      </c>
      <c r="R46" s="2223" t="str" cm="1">
        <f t="array" ref="R46">IF($D46&lt;COLUMNS($F$7:R$7),"",INDEX(TableDiv[[GASB]:[GASB]],_xlfn.AGGREGATE(15,3,(TableDiv[[Agency]:[Agency]]=$E46)/(TableDiv[[Agency]:[Agency]]=$E46)*(ROW(TableDiv[Agency])-ROW(TableDiv[[#Headers],[Agency]])),COLUMNS($F$7:R$7))))</f>
        <v/>
      </c>
      <c r="S46" s="2223" t="str" cm="1">
        <f t="array" ref="S46">IF($D46&lt;COLUMNS($F$7:S$7),"",INDEX(TableDiv[[GASB]:[GASB]],_xlfn.AGGREGATE(15,3,(TableDiv[[Agency]:[Agency]]=$E46)/(TableDiv[[Agency]:[Agency]]=$E46)*(ROW(TableDiv[Agency])-ROW(TableDiv[[#Headers],[Agency]])),COLUMNS($F$7:S$7))))</f>
        <v/>
      </c>
      <c r="T46" s="2223" t="str" cm="1">
        <f t="array" ref="T46">IF($D46&lt;COLUMNS($F$7:T$7),"",INDEX(TableDiv[[GASB]:[GASB]],_xlfn.AGGREGATE(15,3,(TableDiv[[Agency]:[Agency]]=$E46)/(TableDiv[[Agency]:[Agency]]=$E46)*(ROW(TableDiv[Agency])-ROW(TableDiv[[#Headers],[Agency]])),COLUMNS($F$7:T$7))))</f>
        <v/>
      </c>
      <c r="U46" s="2223" t="str" cm="1">
        <f t="array" ref="U46">IF($D46&lt;COLUMNS($F$7:U$7),"",INDEX(TableDiv[[GASB]:[GASB]],_xlfn.AGGREGATE(15,3,(TableDiv[[Agency]:[Agency]]=$E46)/(TableDiv[[Agency]:[Agency]]=$E46)*(ROW(TableDiv[Agency])-ROW(TableDiv[[#Headers],[Agency]])),COLUMNS($F$7:U$7))))</f>
        <v/>
      </c>
      <c r="V46" s="2223" t="str" cm="1">
        <f t="array" ref="V46">IF($D46&lt;COLUMNS($F$7:V$7),"",INDEX(TableDiv[[GASB]:[GASB]],_xlfn.AGGREGATE(15,3,(TableDiv[[Agency]:[Agency]]=$E46)/(TableDiv[[Agency]:[Agency]]=$E46)*(ROW(TableDiv[Agency])-ROW(TableDiv[[#Headers],[Agency]])),COLUMNS($F$7:V$7))))</f>
        <v/>
      </c>
      <c r="W46" s="2223" t="str" cm="1">
        <f t="array" ref="W46">IF($D46&lt;COLUMNS($F$7:W$7),"",INDEX(TableDiv[[GASB]:[GASB]],_xlfn.AGGREGATE(15,3,(TableDiv[[Agency]:[Agency]]=$E46)/(TableDiv[[Agency]:[Agency]]=$E46)*(ROW(TableDiv[Agency])-ROW(TableDiv[[#Headers],[Agency]])),COLUMNS($F$7:W$7))))</f>
        <v/>
      </c>
      <c r="X46" s="2223" t="str" cm="1">
        <f t="array" ref="X46">IF($D46&lt;COLUMNS($F$7:X$7),"",INDEX(TableDiv[[GASB]:[GASB]],_xlfn.AGGREGATE(15,3,(TableDiv[[Agency]:[Agency]]=$E46)/(TableDiv[[Agency]:[Agency]]=$E46)*(ROW(TableDiv[Agency])-ROW(TableDiv[[#Headers],[Agency]])),COLUMNS($F$7:X$7))))</f>
        <v/>
      </c>
      <c r="Y46" s="2223" t="str" cm="1">
        <f t="array" ref="Y46">IF($D46&lt;COLUMNS($F$7:Y$7),"",INDEX(TableDiv[[GASB]:[GASB]],_xlfn.AGGREGATE(15,3,(TableDiv[[Agency]:[Agency]]=$E46)/(TableDiv[[Agency]:[Agency]]=$E46)*(ROW(TableDiv[Agency])-ROW(TableDiv[[#Headers],[Agency]])),COLUMNS($F$7:Y$7))))</f>
        <v/>
      </c>
      <c r="Z46" s="2223" t="str" cm="1">
        <f t="array" ref="Z46">IF($D46&lt;COLUMNS($F$7:Z$7),"",INDEX(TableDiv[[GASB]:[GASB]],_xlfn.AGGREGATE(15,3,(TableDiv[[Agency]:[Agency]]=$E46)/(TableDiv[[Agency]:[Agency]]=$E46)*(ROW(TableDiv[Agency])-ROW(TableDiv[[#Headers],[Agency]])),COLUMNS($F$7:Z$7))))</f>
        <v/>
      </c>
      <c r="AA46" s="2223" t="str" cm="1">
        <f t="array" ref="AA46">IF($D46&lt;COLUMNS($F$7:AA$7),"",INDEX(TableDiv[[GASB]:[GASB]],_xlfn.AGGREGATE(15,3,(TableDiv[[Agency]:[Agency]]=$E46)/(TableDiv[[Agency]:[Agency]]=$E46)*(ROW(TableDiv[Agency])-ROW(TableDiv[[#Headers],[Agency]])),COLUMNS($F$7:AA$7))))</f>
        <v/>
      </c>
      <c r="AB46" s="2223" t="str" cm="1">
        <f t="array" ref="AB46">IF($D46&lt;COLUMNS($F$7:AB$7),"",INDEX(TableDiv[[GASB]:[GASB]],_xlfn.AGGREGATE(15,3,(TableDiv[[Agency]:[Agency]]=$E46)/(TableDiv[[Agency]:[Agency]]=$E46)*(ROW(TableDiv[Agency])-ROW(TableDiv[[#Headers],[Agency]])),COLUMNS($F$7:AB$7))))</f>
        <v/>
      </c>
      <c r="AC46" s="2223" t="str" cm="1">
        <f t="array" ref="AC46">IF($D46&lt;COLUMNS($F$7:AC$7),"",INDEX(TableDiv[[GASB]:[GASB]],_xlfn.AGGREGATE(15,3,(TableDiv[[Agency]:[Agency]]=$E46)/(TableDiv[[Agency]:[Agency]]=$E46)*(ROW(TableDiv[Agency])-ROW(TableDiv[[#Headers],[Agency]])),COLUMNS($F$7:AC$7))))</f>
        <v/>
      </c>
      <c r="AD46" s="2223" t="str" cm="1">
        <f t="array" ref="AD46">IF($D46&lt;COLUMNS($F$7:AD$7),"",INDEX(TableDiv[[GASB]:[GASB]],_xlfn.AGGREGATE(15,3,(TableDiv[[Agency]:[Agency]]=$E46)/(TableDiv[[Agency]:[Agency]]=$E46)*(ROW(TableDiv[Agency])-ROW(TableDiv[[#Headers],[Agency]])),COLUMNS($F$7:AD$7))))</f>
        <v/>
      </c>
      <c r="AE46" s="2223" t="str" cm="1">
        <f t="array" ref="AE46">IF($D46&lt;COLUMNS($F$7:AE$7),"",INDEX(TableDiv[[GASB]:[GASB]],_xlfn.AGGREGATE(15,3,(TableDiv[[Agency]:[Agency]]=$E46)/(TableDiv[[Agency]:[Agency]]=$E46)*(ROW(TableDiv[Agency])-ROW(TableDiv[[#Headers],[Agency]])),COLUMNS($F$7:AE$7))))</f>
        <v/>
      </c>
      <c r="AF46" s="2223" t="str" cm="1">
        <f t="array" ref="AF46">IF($D46&lt;COLUMNS($F$7:AF$7),"",INDEX(TableDiv[[GASB]:[GASB]],_xlfn.AGGREGATE(15,3,(TableDiv[[Agency]:[Agency]]=$E46)/(TableDiv[[Agency]:[Agency]]=$E46)*(ROW(TableDiv[Agency])-ROW(TableDiv[[#Headers],[Agency]])),COLUMNS($F$7:AF$7))))</f>
        <v/>
      </c>
      <c r="AG46" s="2223" t="str" cm="1">
        <f t="array" ref="AG46">IF($D46&lt;COLUMNS($F$7:AG$7),"",INDEX(TableDiv[[GASB]:[GASB]],_xlfn.AGGREGATE(15,3,(TableDiv[[Agency]:[Agency]]=$E46)/(TableDiv[[Agency]:[Agency]]=$E46)*(ROW(TableDiv[Agency])-ROW(TableDiv[[#Headers],[Agency]])),COLUMNS($F$7:AG$7))))</f>
        <v/>
      </c>
      <c r="AH46" s="2223" t="str" cm="1">
        <f t="array" ref="AH46">IF($D46&lt;COLUMNS($F$7:AH$7),"",INDEX(TableDiv[[GASB]:[GASB]],_xlfn.AGGREGATE(15,3,(TableDiv[[Agency]:[Agency]]=$E46)/(TableDiv[[Agency]:[Agency]]=$E46)*(ROW(TableDiv[Agency])-ROW(TableDiv[[#Headers],[Agency]])),COLUMNS($F$7:AH$7))))</f>
        <v/>
      </c>
      <c r="AI46" s="2223" t="str" cm="1">
        <f t="array" ref="AI46">IF($D46&lt;COLUMNS($F$7:AI$7),"",INDEX(TableDiv[[GASB]:[GASB]],_xlfn.AGGREGATE(15,3,(TableDiv[[Agency]:[Agency]]=$E46)/(TableDiv[[Agency]:[Agency]]=$E46)*(ROW(TableDiv[Agency])-ROW(TableDiv[[#Headers],[Agency]])),COLUMNS($F$7:AI$7))))</f>
        <v/>
      </c>
      <c r="AJ46" s="2223" t="str" cm="1">
        <f t="array" ref="AJ46">IF($D46&lt;COLUMNS($F$7:AJ$7),"",INDEX(TableDiv[[GASB]:[GASB]],_xlfn.AGGREGATE(15,3,(TableDiv[[Agency]:[Agency]]=$E46)/(TableDiv[[Agency]:[Agency]]=$E46)*(ROW(TableDiv[Agency])-ROW(TableDiv[[#Headers],[Agency]])),COLUMNS($F$7:AJ$7))))</f>
        <v/>
      </c>
      <c r="AK46" s="2223" t="str" cm="1">
        <f t="array" ref="AK46">IF($D46&lt;COLUMNS($F$7:AK$7),"",INDEX(TableDiv[[GASB]:[GASB]],_xlfn.AGGREGATE(15,3,(TableDiv[[Agency]:[Agency]]=$E46)/(TableDiv[[Agency]:[Agency]]=$E46)*(ROW(TableDiv[Agency])-ROW(TableDiv[[#Headers],[Agency]])),COLUMNS($F$7:AK$7))))</f>
        <v/>
      </c>
      <c r="AL46" s="2223" t="str" cm="1">
        <f t="array" ref="AL46">IF($D46&lt;COLUMNS($F$7:AL$7),"",INDEX(TableDiv[[GASB]:[GASB]],_xlfn.AGGREGATE(15,3,(TableDiv[[Agency]:[Agency]]=$E46)/(TableDiv[[Agency]:[Agency]]=$E46)*(ROW(TableDiv[Agency])-ROW(TableDiv[[#Headers],[Agency]])),COLUMNS($F$7:AL$7))))</f>
        <v/>
      </c>
      <c r="AM46" s="2223" t="str" cm="1">
        <f t="array" ref="AM46">IF($D46&lt;COLUMNS($F$7:AM$7),"",INDEX(TableDiv[[GASB]:[GASB]],_xlfn.AGGREGATE(15,3,(TableDiv[[Agency]:[Agency]]=$E46)/(TableDiv[[Agency]:[Agency]]=$E46)*(ROW(TableDiv[Agency])-ROW(TableDiv[[#Headers],[Agency]])),COLUMNS($F$7:AM$7))))</f>
        <v/>
      </c>
      <c r="AN46" s="2223"/>
      <c r="AO46" s="2223"/>
      <c r="AP46" s="2223"/>
      <c r="AQ46" s="2223"/>
      <c r="AR46" s="2223"/>
      <c r="AS46" s="2223"/>
    </row>
    <row r="47" spans="1:45" ht="15" x14ac:dyDescent="0.25">
      <c r="A47" s="2219" t="s">
        <v>5101</v>
      </c>
      <c r="B47" s="2219" t="s">
        <v>6382</v>
      </c>
      <c r="C47" s="2223"/>
      <c r="D47" s="2223">
        <f>COUNTIF(TableDiv[Agency],E47)</f>
        <v>4</v>
      </c>
      <c r="E47" s="2230" t="str" cm="1">
        <f t="array" ref="E47">IFERROR(INDEX(TableDiv[Agency],MATCH(0,INDEX(COUNTIF($E$7:E46,TableDiv[Agency]),),0)),"")</f>
        <v>3900</v>
      </c>
      <c r="F47" s="2223" t="str" cm="1">
        <f t="array" ref="F47">IF($D47&lt;COLUMNS($F$7:F$7),"",INDEX(TableDiv[[GASB]:[GASB]],_xlfn.AGGREGATE(15,3,(TableDiv[[Agency]:[Agency]]=$E47)/(TableDiv[[Agency]:[Agency]]=$E47)*(ROW(TableDiv[Agency])-ROW(TableDiv[[#Headers],[Agency]])),COLUMNS($F$7:F$7))))</f>
        <v>12000G</v>
      </c>
      <c r="G47" s="2223" t="str" cm="1">
        <f t="array" ref="G47">IF($D47&lt;COLUMNS($F$7:G$7),"",INDEX(TableDiv[[GASB]:[GASB]],_xlfn.AGGREGATE(15,3,(TableDiv[[Agency]:[Agency]]=$E47)/(TableDiv[[Agency]:[Agency]]=$E47)*(ROW(TableDiv[Agency])-ROW(TableDiv[[#Headers],[Agency]])),COLUMNS($F$7:G$7))))</f>
        <v>14000G</v>
      </c>
      <c r="H47" s="2223" t="str" cm="1">
        <f t="array" ref="H47">IF($D47&lt;COLUMNS($F$7:H$7),"",INDEX(TableDiv[[GASB]:[GASB]],_xlfn.AGGREGATE(15,3,(TableDiv[[Agency]:[Agency]]=$E47)/(TableDiv[[Agency]:[Agency]]=$E47)*(ROW(TableDiv[Agency])-ROW(TableDiv[[#Headers],[Agency]])),COLUMNS($F$7:H$7))))</f>
        <v>14260G</v>
      </c>
      <c r="I47" s="2223" t="str" cm="1">
        <f t="array" ref="I47">IF($D47&lt;COLUMNS($F$7:I$7),"",INDEX(TableDiv[[GASB]:[GASB]],_xlfn.AGGREGATE(15,3,(TableDiv[[Agency]:[Agency]]=$E47)/(TableDiv[[Agency]:[Agency]]=$E47)*(ROW(TableDiv[Agency])-ROW(TableDiv[[#Headers],[Agency]])),COLUMNS($F$7:I$7))))</f>
        <v>39000G</v>
      </c>
      <c r="J47" s="2223" t="str" cm="1">
        <f t="array" ref="J47">IF($D47&lt;COLUMNS($F$7:J$7),"",INDEX(TableDiv[[GASB]:[GASB]],_xlfn.AGGREGATE(15,3,(TableDiv[[Agency]:[Agency]]=$E47)/(TableDiv[[Agency]:[Agency]]=$E47)*(ROW(TableDiv[Agency])-ROW(TableDiv[[#Headers],[Agency]])),COLUMNS($F$7:J$7))))</f>
        <v/>
      </c>
      <c r="K47" s="2223" t="str" cm="1">
        <f t="array" ref="K47">IF($D47&lt;COLUMNS($F$7:K$7),"",INDEX(TableDiv[[GASB]:[GASB]],_xlfn.AGGREGATE(15,3,(TableDiv[[Agency]:[Agency]]=$E47)/(TableDiv[[Agency]:[Agency]]=$E47)*(ROW(TableDiv[Agency])-ROW(TableDiv[[#Headers],[Agency]])),COLUMNS($F$7:K$7))))</f>
        <v/>
      </c>
      <c r="L47" s="2223" t="str" cm="1">
        <f t="array" ref="L47">IF($D47&lt;COLUMNS($F$7:L$7),"",INDEX(TableDiv[[GASB]:[GASB]],_xlfn.AGGREGATE(15,3,(TableDiv[[Agency]:[Agency]]=$E47)/(TableDiv[[Agency]:[Agency]]=$E47)*(ROW(TableDiv[Agency])-ROW(TableDiv[[#Headers],[Agency]])),COLUMNS($F$7:L$7))))</f>
        <v/>
      </c>
      <c r="M47" s="2223" t="str" cm="1">
        <f t="array" ref="M47">IF($D47&lt;COLUMNS($F$7:M$7),"",INDEX(TableDiv[[GASB]:[GASB]],_xlfn.AGGREGATE(15,3,(TableDiv[[Agency]:[Agency]]=$E47)/(TableDiv[[Agency]:[Agency]]=$E47)*(ROW(TableDiv[Agency])-ROW(TableDiv[[#Headers],[Agency]])),COLUMNS($F$7:M$7))))</f>
        <v/>
      </c>
      <c r="N47" s="2223" t="str" cm="1">
        <f t="array" ref="N47">IF($D47&lt;COLUMNS($F$7:N$7),"",INDEX(TableDiv[[GASB]:[GASB]],_xlfn.AGGREGATE(15,3,(TableDiv[[Agency]:[Agency]]=$E47)/(TableDiv[[Agency]:[Agency]]=$E47)*(ROW(TableDiv[Agency])-ROW(TableDiv[[#Headers],[Agency]])),COLUMNS($F$7:N$7))))</f>
        <v/>
      </c>
      <c r="O47" s="2223" t="str" cm="1">
        <f t="array" ref="O47">IF($D47&lt;COLUMNS($F$7:O$7),"",INDEX(TableDiv[[GASB]:[GASB]],_xlfn.AGGREGATE(15,3,(TableDiv[[Agency]:[Agency]]=$E47)/(TableDiv[[Agency]:[Agency]]=$E47)*(ROW(TableDiv[Agency])-ROW(TableDiv[[#Headers],[Agency]])),COLUMNS($F$7:O$7))))</f>
        <v/>
      </c>
      <c r="P47" s="2223" t="str" cm="1">
        <f t="array" ref="P47">IF($D47&lt;COLUMNS($F$7:P$7),"",INDEX(TableDiv[[GASB]:[GASB]],_xlfn.AGGREGATE(15,3,(TableDiv[[Agency]:[Agency]]=$E47)/(TableDiv[[Agency]:[Agency]]=$E47)*(ROW(TableDiv[Agency])-ROW(TableDiv[[#Headers],[Agency]])),COLUMNS($F$7:P$7))))</f>
        <v/>
      </c>
      <c r="Q47" s="2223" t="str" cm="1">
        <f t="array" ref="Q47">IF($D47&lt;COLUMNS($F$7:Q$7),"",INDEX(TableDiv[[GASB]:[GASB]],_xlfn.AGGREGATE(15,3,(TableDiv[[Agency]:[Agency]]=$E47)/(TableDiv[[Agency]:[Agency]]=$E47)*(ROW(TableDiv[Agency])-ROW(TableDiv[[#Headers],[Agency]])),COLUMNS($F$7:Q$7))))</f>
        <v/>
      </c>
      <c r="R47" s="2223" t="str" cm="1">
        <f t="array" ref="R47">IF($D47&lt;COLUMNS($F$7:R$7),"",INDEX(TableDiv[[GASB]:[GASB]],_xlfn.AGGREGATE(15,3,(TableDiv[[Agency]:[Agency]]=$E47)/(TableDiv[[Agency]:[Agency]]=$E47)*(ROW(TableDiv[Agency])-ROW(TableDiv[[#Headers],[Agency]])),COLUMNS($F$7:R$7))))</f>
        <v/>
      </c>
      <c r="S47" s="2223" t="str" cm="1">
        <f t="array" ref="S47">IF($D47&lt;COLUMNS($F$7:S$7),"",INDEX(TableDiv[[GASB]:[GASB]],_xlfn.AGGREGATE(15,3,(TableDiv[[Agency]:[Agency]]=$E47)/(TableDiv[[Agency]:[Agency]]=$E47)*(ROW(TableDiv[Agency])-ROW(TableDiv[[#Headers],[Agency]])),COLUMNS($F$7:S$7))))</f>
        <v/>
      </c>
      <c r="T47" s="2223" t="str" cm="1">
        <f t="array" ref="T47">IF($D47&lt;COLUMNS($F$7:T$7),"",INDEX(TableDiv[[GASB]:[GASB]],_xlfn.AGGREGATE(15,3,(TableDiv[[Agency]:[Agency]]=$E47)/(TableDiv[[Agency]:[Agency]]=$E47)*(ROW(TableDiv[Agency])-ROW(TableDiv[[#Headers],[Agency]])),COLUMNS($F$7:T$7))))</f>
        <v/>
      </c>
      <c r="U47" s="2223" t="str" cm="1">
        <f t="array" ref="U47">IF($D47&lt;COLUMNS($F$7:U$7),"",INDEX(TableDiv[[GASB]:[GASB]],_xlfn.AGGREGATE(15,3,(TableDiv[[Agency]:[Agency]]=$E47)/(TableDiv[[Agency]:[Agency]]=$E47)*(ROW(TableDiv[Agency])-ROW(TableDiv[[#Headers],[Agency]])),COLUMNS($F$7:U$7))))</f>
        <v/>
      </c>
      <c r="V47" s="2223" t="str" cm="1">
        <f t="array" ref="V47">IF($D47&lt;COLUMNS($F$7:V$7),"",INDEX(TableDiv[[GASB]:[GASB]],_xlfn.AGGREGATE(15,3,(TableDiv[[Agency]:[Agency]]=$E47)/(TableDiv[[Agency]:[Agency]]=$E47)*(ROW(TableDiv[Agency])-ROW(TableDiv[[#Headers],[Agency]])),COLUMNS($F$7:V$7))))</f>
        <v/>
      </c>
      <c r="W47" s="2223" t="str" cm="1">
        <f t="array" ref="W47">IF($D47&lt;COLUMNS($F$7:W$7),"",INDEX(TableDiv[[GASB]:[GASB]],_xlfn.AGGREGATE(15,3,(TableDiv[[Agency]:[Agency]]=$E47)/(TableDiv[[Agency]:[Agency]]=$E47)*(ROW(TableDiv[Agency])-ROW(TableDiv[[#Headers],[Agency]])),COLUMNS($F$7:W$7))))</f>
        <v/>
      </c>
      <c r="X47" s="2223" t="str" cm="1">
        <f t="array" ref="X47">IF($D47&lt;COLUMNS($F$7:X$7),"",INDEX(TableDiv[[GASB]:[GASB]],_xlfn.AGGREGATE(15,3,(TableDiv[[Agency]:[Agency]]=$E47)/(TableDiv[[Agency]:[Agency]]=$E47)*(ROW(TableDiv[Agency])-ROW(TableDiv[[#Headers],[Agency]])),COLUMNS($F$7:X$7))))</f>
        <v/>
      </c>
      <c r="Y47" s="2223" t="str" cm="1">
        <f t="array" ref="Y47">IF($D47&lt;COLUMNS($F$7:Y$7),"",INDEX(TableDiv[[GASB]:[GASB]],_xlfn.AGGREGATE(15,3,(TableDiv[[Agency]:[Agency]]=$E47)/(TableDiv[[Agency]:[Agency]]=$E47)*(ROW(TableDiv[Agency])-ROW(TableDiv[[#Headers],[Agency]])),COLUMNS($F$7:Y$7))))</f>
        <v/>
      </c>
      <c r="Z47" s="2223" t="str" cm="1">
        <f t="array" ref="Z47">IF($D47&lt;COLUMNS($F$7:Z$7),"",INDEX(TableDiv[[GASB]:[GASB]],_xlfn.AGGREGATE(15,3,(TableDiv[[Agency]:[Agency]]=$E47)/(TableDiv[[Agency]:[Agency]]=$E47)*(ROW(TableDiv[Agency])-ROW(TableDiv[[#Headers],[Agency]])),COLUMNS($F$7:Z$7))))</f>
        <v/>
      </c>
      <c r="AA47" s="2223" t="str" cm="1">
        <f t="array" ref="AA47">IF($D47&lt;COLUMNS($F$7:AA$7),"",INDEX(TableDiv[[GASB]:[GASB]],_xlfn.AGGREGATE(15,3,(TableDiv[[Agency]:[Agency]]=$E47)/(TableDiv[[Agency]:[Agency]]=$E47)*(ROW(TableDiv[Agency])-ROW(TableDiv[[#Headers],[Agency]])),COLUMNS($F$7:AA$7))))</f>
        <v/>
      </c>
      <c r="AB47" s="2223" t="str" cm="1">
        <f t="array" ref="AB47">IF($D47&lt;COLUMNS($F$7:AB$7),"",INDEX(TableDiv[[GASB]:[GASB]],_xlfn.AGGREGATE(15,3,(TableDiv[[Agency]:[Agency]]=$E47)/(TableDiv[[Agency]:[Agency]]=$E47)*(ROW(TableDiv[Agency])-ROW(TableDiv[[#Headers],[Agency]])),COLUMNS($F$7:AB$7))))</f>
        <v/>
      </c>
      <c r="AC47" s="2223" t="str" cm="1">
        <f t="array" ref="AC47">IF($D47&lt;COLUMNS($F$7:AC$7),"",INDEX(TableDiv[[GASB]:[GASB]],_xlfn.AGGREGATE(15,3,(TableDiv[[Agency]:[Agency]]=$E47)/(TableDiv[[Agency]:[Agency]]=$E47)*(ROW(TableDiv[Agency])-ROW(TableDiv[[#Headers],[Agency]])),COLUMNS($F$7:AC$7))))</f>
        <v/>
      </c>
      <c r="AD47" s="2223" t="str" cm="1">
        <f t="array" ref="AD47">IF($D47&lt;COLUMNS($F$7:AD$7),"",INDEX(TableDiv[[GASB]:[GASB]],_xlfn.AGGREGATE(15,3,(TableDiv[[Agency]:[Agency]]=$E47)/(TableDiv[[Agency]:[Agency]]=$E47)*(ROW(TableDiv[Agency])-ROW(TableDiv[[#Headers],[Agency]])),COLUMNS($F$7:AD$7))))</f>
        <v/>
      </c>
      <c r="AE47" s="2223" t="str" cm="1">
        <f t="array" ref="AE47">IF($D47&lt;COLUMNS($F$7:AE$7),"",INDEX(TableDiv[[GASB]:[GASB]],_xlfn.AGGREGATE(15,3,(TableDiv[[Agency]:[Agency]]=$E47)/(TableDiv[[Agency]:[Agency]]=$E47)*(ROW(TableDiv[Agency])-ROW(TableDiv[[#Headers],[Agency]])),COLUMNS($F$7:AE$7))))</f>
        <v/>
      </c>
      <c r="AF47" s="2223" t="str" cm="1">
        <f t="array" ref="AF47">IF($D47&lt;COLUMNS($F$7:AF$7),"",INDEX(TableDiv[[GASB]:[GASB]],_xlfn.AGGREGATE(15,3,(TableDiv[[Agency]:[Agency]]=$E47)/(TableDiv[[Agency]:[Agency]]=$E47)*(ROW(TableDiv[Agency])-ROW(TableDiv[[#Headers],[Agency]])),COLUMNS($F$7:AF$7))))</f>
        <v/>
      </c>
      <c r="AG47" s="2223" t="str" cm="1">
        <f t="array" ref="AG47">IF($D47&lt;COLUMNS($F$7:AG$7),"",INDEX(TableDiv[[GASB]:[GASB]],_xlfn.AGGREGATE(15,3,(TableDiv[[Agency]:[Agency]]=$E47)/(TableDiv[[Agency]:[Agency]]=$E47)*(ROW(TableDiv[Agency])-ROW(TableDiv[[#Headers],[Agency]])),COLUMNS($F$7:AG$7))))</f>
        <v/>
      </c>
      <c r="AH47" s="2223" t="str" cm="1">
        <f t="array" ref="AH47">IF($D47&lt;COLUMNS($F$7:AH$7),"",INDEX(TableDiv[[GASB]:[GASB]],_xlfn.AGGREGATE(15,3,(TableDiv[[Agency]:[Agency]]=$E47)/(TableDiv[[Agency]:[Agency]]=$E47)*(ROW(TableDiv[Agency])-ROW(TableDiv[[#Headers],[Agency]])),COLUMNS($F$7:AH$7))))</f>
        <v/>
      </c>
      <c r="AI47" s="2223" t="str" cm="1">
        <f t="array" ref="AI47">IF($D47&lt;COLUMNS($F$7:AI$7),"",INDEX(TableDiv[[GASB]:[GASB]],_xlfn.AGGREGATE(15,3,(TableDiv[[Agency]:[Agency]]=$E47)/(TableDiv[[Agency]:[Agency]]=$E47)*(ROW(TableDiv[Agency])-ROW(TableDiv[[#Headers],[Agency]])),COLUMNS($F$7:AI$7))))</f>
        <v/>
      </c>
      <c r="AJ47" s="2223" t="str" cm="1">
        <f t="array" ref="AJ47">IF($D47&lt;COLUMNS($F$7:AJ$7),"",INDEX(TableDiv[[GASB]:[GASB]],_xlfn.AGGREGATE(15,3,(TableDiv[[Agency]:[Agency]]=$E47)/(TableDiv[[Agency]:[Agency]]=$E47)*(ROW(TableDiv[Agency])-ROW(TableDiv[[#Headers],[Agency]])),COLUMNS($F$7:AJ$7))))</f>
        <v/>
      </c>
      <c r="AK47" s="2223" t="str" cm="1">
        <f t="array" ref="AK47">IF($D47&lt;COLUMNS($F$7:AK$7),"",INDEX(TableDiv[[GASB]:[GASB]],_xlfn.AGGREGATE(15,3,(TableDiv[[Agency]:[Agency]]=$E47)/(TableDiv[[Agency]:[Agency]]=$E47)*(ROW(TableDiv[Agency])-ROW(TableDiv[[#Headers],[Agency]])),COLUMNS($F$7:AK$7))))</f>
        <v/>
      </c>
      <c r="AL47" s="2223" t="str" cm="1">
        <f t="array" ref="AL47">IF($D47&lt;COLUMNS($F$7:AL$7),"",INDEX(TableDiv[[GASB]:[GASB]],_xlfn.AGGREGATE(15,3,(TableDiv[[Agency]:[Agency]]=$E47)/(TableDiv[[Agency]:[Agency]]=$E47)*(ROW(TableDiv[Agency])-ROW(TableDiv[[#Headers],[Agency]])),COLUMNS($F$7:AL$7))))</f>
        <v/>
      </c>
      <c r="AM47" s="2223" t="str" cm="1">
        <f t="array" ref="AM47">IF($D47&lt;COLUMNS($F$7:AM$7),"",INDEX(TableDiv[[GASB]:[GASB]],_xlfn.AGGREGATE(15,3,(TableDiv[[Agency]:[Agency]]=$E47)/(TableDiv[[Agency]:[Agency]]=$E47)*(ROW(TableDiv[Agency])-ROW(TableDiv[[#Headers],[Agency]])),COLUMNS($F$7:AM$7))))</f>
        <v/>
      </c>
      <c r="AN47" s="2223"/>
      <c r="AO47" s="2223"/>
      <c r="AP47" s="2223"/>
      <c r="AQ47" s="2223"/>
      <c r="AR47" s="2223"/>
      <c r="AS47" s="2223"/>
    </row>
    <row r="48" spans="1:45" ht="15" x14ac:dyDescent="0.25">
      <c r="A48" s="2219" t="s">
        <v>5101</v>
      </c>
      <c r="B48" s="2219" t="s">
        <v>6383</v>
      </c>
      <c r="C48" s="2223"/>
      <c r="D48" s="2223">
        <f>COUNTIF(TableDiv[Agency],E48)</f>
        <v>4</v>
      </c>
      <c r="E48" s="2230" t="str" cm="1">
        <f t="array" ref="E48">IFERROR(INDEX(TableDiv[Agency],MATCH(0,INDEX(COUNTIF($E$7:E47,TableDiv[Agency]),),0)),"")</f>
        <v>3A00</v>
      </c>
      <c r="F48" s="2223" t="str" cm="1">
        <f t="array" ref="F48">IF($D48&lt;COLUMNS($F$7:F$7),"",INDEX(TableDiv[[GASB]:[GASB]],_xlfn.AGGREGATE(15,3,(TableDiv[[Agency]:[Agency]]=$E48)/(TableDiv[[Agency]:[Agency]]=$E48)*(ROW(TableDiv[Agency])-ROW(TableDiv[[#Headers],[Agency]])),COLUMNS($F$7:F$7))))</f>
        <v>12000G</v>
      </c>
      <c r="G48" s="2223" t="str" cm="1">
        <f t="array" ref="G48">IF($D48&lt;COLUMNS($F$7:G$7),"",INDEX(TableDiv[[GASB]:[GASB]],_xlfn.AGGREGATE(15,3,(TableDiv[[Agency]:[Agency]]=$E48)/(TableDiv[[Agency]:[Agency]]=$E48)*(ROW(TableDiv[Agency])-ROW(TableDiv[[#Headers],[Agency]])),COLUMNS($F$7:G$7))))</f>
        <v>14000G</v>
      </c>
      <c r="H48" s="2223" t="str" cm="1">
        <f t="array" ref="H48">IF($D48&lt;COLUMNS($F$7:H$7),"",INDEX(TableDiv[[GASB]:[GASB]],_xlfn.AGGREGATE(15,3,(TableDiv[[Agency]:[Agency]]=$E48)/(TableDiv[[Agency]:[Agency]]=$E48)*(ROW(TableDiv[Agency])-ROW(TableDiv[[#Headers],[Agency]])),COLUMNS($F$7:H$7))))</f>
        <v>14260G</v>
      </c>
      <c r="I48" s="2223" t="str" cm="1">
        <f t="array" ref="I48">IF($D48&lt;COLUMNS($F$7:I$7),"",INDEX(TableDiv[[GASB]:[GASB]],_xlfn.AGGREGATE(15,3,(TableDiv[[Agency]:[Agency]]=$E48)/(TableDiv[[Agency]:[Agency]]=$E48)*(ROW(TableDiv[Agency])-ROW(TableDiv[[#Headers],[Agency]])),COLUMNS($F$7:I$7))))</f>
        <v>39000G</v>
      </c>
      <c r="J48" s="2223" t="str" cm="1">
        <f t="array" ref="J48">IF($D48&lt;COLUMNS($F$7:J$7),"",INDEX(TableDiv[[GASB]:[GASB]],_xlfn.AGGREGATE(15,3,(TableDiv[[Agency]:[Agency]]=$E48)/(TableDiv[[Agency]:[Agency]]=$E48)*(ROW(TableDiv[Agency])-ROW(TableDiv[[#Headers],[Agency]])),COLUMNS($F$7:J$7))))</f>
        <v/>
      </c>
      <c r="K48" s="2223" t="str" cm="1">
        <f t="array" ref="K48">IF($D48&lt;COLUMNS($F$7:K$7),"",INDEX(TableDiv[[GASB]:[GASB]],_xlfn.AGGREGATE(15,3,(TableDiv[[Agency]:[Agency]]=$E48)/(TableDiv[[Agency]:[Agency]]=$E48)*(ROW(TableDiv[Agency])-ROW(TableDiv[[#Headers],[Agency]])),COLUMNS($F$7:K$7))))</f>
        <v/>
      </c>
      <c r="L48" s="2223" t="str" cm="1">
        <f t="array" ref="L48">IF($D48&lt;COLUMNS($F$7:L$7),"",INDEX(TableDiv[[GASB]:[GASB]],_xlfn.AGGREGATE(15,3,(TableDiv[[Agency]:[Agency]]=$E48)/(TableDiv[[Agency]:[Agency]]=$E48)*(ROW(TableDiv[Agency])-ROW(TableDiv[[#Headers],[Agency]])),COLUMNS($F$7:L$7))))</f>
        <v/>
      </c>
      <c r="M48" s="2223" t="str" cm="1">
        <f t="array" ref="M48">IF($D48&lt;COLUMNS($F$7:M$7),"",INDEX(TableDiv[[GASB]:[GASB]],_xlfn.AGGREGATE(15,3,(TableDiv[[Agency]:[Agency]]=$E48)/(TableDiv[[Agency]:[Agency]]=$E48)*(ROW(TableDiv[Agency])-ROW(TableDiv[[#Headers],[Agency]])),COLUMNS($F$7:M$7))))</f>
        <v/>
      </c>
      <c r="N48" s="2223" t="str" cm="1">
        <f t="array" ref="N48">IF($D48&lt;COLUMNS($F$7:N$7),"",INDEX(TableDiv[[GASB]:[GASB]],_xlfn.AGGREGATE(15,3,(TableDiv[[Agency]:[Agency]]=$E48)/(TableDiv[[Agency]:[Agency]]=$E48)*(ROW(TableDiv[Agency])-ROW(TableDiv[[#Headers],[Agency]])),COLUMNS($F$7:N$7))))</f>
        <v/>
      </c>
      <c r="O48" s="2223" t="str" cm="1">
        <f t="array" ref="O48">IF($D48&lt;COLUMNS($F$7:O$7),"",INDEX(TableDiv[[GASB]:[GASB]],_xlfn.AGGREGATE(15,3,(TableDiv[[Agency]:[Agency]]=$E48)/(TableDiv[[Agency]:[Agency]]=$E48)*(ROW(TableDiv[Agency])-ROW(TableDiv[[#Headers],[Agency]])),COLUMNS($F$7:O$7))))</f>
        <v/>
      </c>
      <c r="P48" s="2223" t="str" cm="1">
        <f t="array" ref="P48">IF($D48&lt;COLUMNS($F$7:P$7),"",INDEX(TableDiv[[GASB]:[GASB]],_xlfn.AGGREGATE(15,3,(TableDiv[[Agency]:[Agency]]=$E48)/(TableDiv[[Agency]:[Agency]]=$E48)*(ROW(TableDiv[Agency])-ROW(TableDiv[[#Headers],[Agency]])),COLUMNS($F$7:P$7))))</f>
        <v/>
      </c>
      <c r="Q48" s="2223" t="str" cm="1">
        <f t="array" ref="Q48">IF($D48&lt;COLUMNS($F$7:Q$7),"",INDEX(TableDiv[[GASB]:[GASB]],_xlfn.AGGREGATE(15,3,(TableDiv[[Agency]:[Agency]]=$E48)/(TableDiv[[Agency]:[Agency]]=$E48)*(ROW(TableDiv[Agency])-ROW(TableDiv[[#Headers],[Agency]])),COLUMNS($F$7:Q$7))))</f>
        <v/>
      </c>
      <c r="R48" s="2223" t="str" cm="1">
        <f t="array" ref="R48">IF($D48&lt;COLUMNS($F$7:R$7),"",INDEX(TableDiv[[GASB]:[GASB]],_xlfn.AGGREGATE(15,3,(TableDiv[[Agency]:[Agency]]=$E48)/(TableDiv[[Agency]:[Agency]]=$E48)*(ROW(TableDiv[Agency])-ROW(TableDiv[[#Headers],[Agency]])),COLUMNS($F$7:R$7))))</f>
        <v/>
      </c>
      <c r="S48" s="2223" t="str" cm="1">
        <f t="array" ref="S48">IF($D48&lt;COLUMNS($F$7:S$7),"",INDEX(TableDiv[[GASB]:[GASB]],_xlfn.AGGREGATE(15,3,(TableDiv[[Agency]:[Agency]]=$E48)/(TableDiv[[Agency]:[Agency]]=$E48)*(ROW(TableDiv[Agency])-ROW(TableDiv[[#Headers],[Agency]])),COLUMNS($F$7:S$7))))</f>
        <v/>
      </c>
      <c r="T48" s="2223" t="str" cm="1">
        <f t="array" ref="T48">IF($D48&lt;COLUMNS($F$7:T$7),"",INDEX(TableDiv[[GASB]:[GASB]],_xlfn.AGGREGATE(15,3,(TableDiv[[Agency]:[Agency]]=$E48)/(TableDiv[[Agency]:[Agency]]=$E48)*(ROW(TableDiv[Agency])-ROW(TableDiv[[#Headers],[Agency]])),COLUMNS($F$7:T$7))))</f>
        <v/>
      </c>
      <c r="U48" s="2223" t="str" cm="1">
        <f t="array" ref="U48">IF($D48&lt;COLUMNS($F$7:U$7),"",INDEX(TableDiv[[GASB]:[GASB]],_xlfn.AGGREGATE(15,3,(TableDiv[[Agency]:[Agency]]=$E48)/(TableDiv[[Agency]:[Agency]]=$E48)*(ROW(TableDiv[Agency])-ROW(TableDiv[[#Headers],[Agency]])),COLUMNS($F$7:U$7))))</f>
        <v/>
      </c>
      <c r="V48" s="2223" t="str" cm="1">
        <f t="array" ref="V48">IF($D48&lt;COLUMNS($F$7:V$7),"",INDEX(TableDiv[[GASB]:[GASB]],_xlfn.AGGREGATE(15,3,(TableDiv[[Agency]:[Agency]]=$E48)/(TableDiv[[Agency]:[Agency]]=$E48)*(ROW(TableDiv[Agency])-ROW(TableDiv[[#Headers],[Agency]])),COLUMNS($F$7:V$7))))</f>
        <v/>
      </c>
      <c r="W48" s="2223" t="str" cm="1">
        <f t="array" ref="W48">IF($D48&lt;COLUMNS($F$7:W$7),"",INDEX(TableDiv[[GASB]:[GASB]],_xlfn.AGGREGATE(15,3,(TableDiv[[Agency]:[Agency]]=$E48)/(TableDiv[[Agency]:[Agency]]=$E48)*(ROW(TableDiv[Agency])-ROW(TableDiv[[#Headers],[Agency]])),COLUMNS($F$7:W$7))))</f>
        <v/>
      </c>
      <c r="X48" s="2223" t="str" cm="1">
        <f t="array" ref="X48">IF($D48&lt;COLUMNS($F$7:X$7),"",INDEX(TableDiv[[GASB]:[GASB]],_xlfn.AGGREGATE(15,3,(TableDiv[[Agency]:[Agency]]=$E48)/(TableDiv[[Agency]:[Agency]]=$E48)*(ROW(TableDiv[Agency])-ROW(TableDiv[[#Headers],[Agency]])),COLUMNS($F$7:X$7))))</f>
        <v/>
      </c>
      <c r="Y48" s="2223" t="str" cm="1">
        <f t="array" ref="Y48">IF($D48&lt;COLUMNS($F$7:Y$7),"",INDEX(TableDiv[[GASB]:[GASB]],_xlfn.AGGREGATE(15,3,(TableDiv[[Agency]:[Agency]]=$E48)/(TableDiv[[Agency]:[Agency]]=$E48)*(ROW(TableDiv[Agency])-ROW(TableDiv[[#Headers],[Agency]])),COLUMNS($F$7:Y$7))))</f>
        <v/>
      </c>
      <c r="Z48" s="2223" t="str" cm="1">
        <f t="array" ref="Z48">IF($D48&lt;COLUMNS($F$7:Z$7),"",INDEX(TableDiv[[GASB]:[GASB]],_xlfn.AGGREGATE(15,3,(TableDiv[[Agency]:[Agency]]=$E48)/(TableDiv[[Agency]:[Agency]]=$E48)*(ROW(TableDiv[Agency])-ROW(TableDiv[[#Headers],[Agency]])),COLUMNS($F$7:Z$7))))</f>
        <v/>
      </c>
      <c r="AA48" s="2223" t="str" cm="1">
        <f t="array" ref="AA48">IF($D48&lt;COLUMNS($F$7:AA$7),"",INDEX(TableDiv[[GASB]:[GASB]],_xlfn.AGGREGATE(15,3,(TableDiv[[Agency]:[Agency]]=$E48)/(TableDiv[[Agency]:[Agency]]=$E48)*(ROW(TableDiv[Agency])-ROW(TableDiv[[#Headers],[Agency]])),COLUMNS($F$7:AA$7))))</f>
        <v/>
      </c>
      <c r="AB48" s="2223" t="str" cm="1">
        <f t="array" ref="AB48">IF($D48&lt;COLUMNS($F$7:AB$7),"",INDEX(TableDiv[[GASB]:[GASB]],_xlfn.AGGREGATE(15,3,(TableDiv[[Agency]:[Agency]]=$E48)/(TableDiv[[Agency]:[Agency]]=$E48)*(ROW(TableDiv[Agency])-ROW(TableDiv[[#Headers],[Agency]])),COLUMNS($F$7:AB$7))))</f>
        <v/>
      </c>
      <c r="AC48" s="2223" t="str" cm="1">
        <f t="array" ref="AC48">IF($D48&lt;COLUMNS($F$7:AC$7),"",INDEX(TableDiv[[GASB]:[GASB]],_xlfn.AGGREGATE(15,3,(TableDiv[[Agency]:[Agency]]=$E48)/(TableDiv[[Agency]:[Agency]]=$E48)*(ROW(TableDiv[Agency])-ROW(TableDiv[[#Headers],[Agency]])),COLUMNS($F$7:AC$7))))</f>
        <v/>
      </c>
      <c r="AD48" s="2223" t="str" cm="1">
        <f t="array" ref="AD48">IF($D48&lt;COLUMNS($F$7:AD$7),"",INDEX(TableDiv[[GASB]:[GASB]],_xlfn.AGGREGATE(15,3,(TableDiv[[Agency]:[Agency]]=$E48)/(TableDiv[[Agency]:[Agency]]=$E48)*(ROW(TableDiv[Agency])-ROW(TableDiv[[#Headers],[Agency]])),COLUMNS($F$7:AD$7))))</f>
        <v/>
      </c>
      <c r="AE48" s="2223" t="str" cm="1">
        <f t="array" ref="AE48">IF($D48&lt;COLUMNS($F$7:AE$7),"",INDEX(TableDiv[[GASB]:[GASB]],_xlfn.AGGREGATE(15,3,(TableDiv[[Agency]:[Agency]]=$E48)/(TableDiv[[Agency]:[Agency]]=$E48)*(ROW(TableDiv[Agency])-ROW(TableDiv[[#Headers],[Agency]])),COLUMNS($F$7:AE$7))))</f>
        <v/>
      </c>
      <c r="AF48" s="2223" t="str" cm="1">
        <f t="array" ref="AF48">IF($D48&lt;COLUMNS($F$7:AF$7),"",INDEX(TableDiv[[GASB]:[GASB]],_xlfn.AGGREGATE(15,3,(TableDiv[[Agency]:[Agency]]=$E48)/(TableDiv[[Agency]:[Agency]]=$E48)*(ROW(TableDiv[Agency])-ROW(TableDiv[[#Headers],[Agency]])),COLUMNS($F$7:AF$7))))</f>
        <v/>
      </c>
      <c r="AG48" s="2223" t="str" cm="1">
        <f t="array" ref="AG48">IF($D48&lt;COLUMNS($F$7:AG$7),"",INDEX(TableDiv[[GASB]:[GASB]],_xlfn.AGGREGATE(15,3,(TableDiv[[Agency]:[Agency]]=$E48)/(TableDiv[[Agency]:[Agency]]=$E48)*(ROW(TableDiv[Agency])-ROW(TableDiv[[#Headers],[Agency]])),COLUMNS($F$7:AG$7))))</f>
        <v/>
      </c>
      <c r="AH48" s="2223" t="str" cm="1">
        <f t="array" ref="AH48">IF($D48&lt;COLUMNS($F$7:AH$7),"",INDEX(TableDiv[[GASB]:[GASB]],_xlfn.AGGREGATE(15,3,(TableDiv[[Agency]:[Agency]]=$E48)/(TableDiv[[Agency]:[Agency]]=$E48)*(ROW(TableDiv[Agency])-ROW(TableDiv[[#Headers],[Agency]])),COLUMNS($F$7:AH$7))))</f>
        <v/>
      </c>
      <c r="AI48" s="2223" t="str" cm="1">
        <f t="array" ref="AI48">IF($D48&lt;COLUMNS($F$7:AI$7),"",INDEX(TableDiv[[GASB]:[GASB]],_xlfn.AGGREGATE(15,3,(TableDiv[[Agency]:[Agency]]=$E48)/(TableDiv[[Agency]:[Agency]]=$E48)*(ROW(TableDiv[Agency])-ROW(TableDiv[[#Headers],[Agency]])),COLUMNS($F$7:AI$7))))</f>
        <v/>
      </c>
      <c r="AJ48" s="2223" t="str" cm="1">
        <f t="array" ref="AJ48">IF($D48&lt;COLUMNS($F$7:AJ$7),"",INDEX(TableDiv[[GASB]:[GASB]],_xlfn.AGGREGATE(15,3,(TableDiv[[Agency]:[Agency]]=$E48)/(TableDiv[[Agency]:[Agency]]=$E48)*(ROW(TableDiv[Agency])-ROW(TableDiv[[#Headers],[Agency]])),COLUMNS($F$7:AJ$7))))</f>
        <v/>
      </c>
      <c r="AK48" s="2223" t="str" cm="1">
        <f t="array" ref="AK48">IF($D48&lt;COLUMNS($F$7:AK$7),"",INDEX(TableDiv[[GASB]:[GASB]],_xlfn.AGGREGATE(15,3,(TableDiv[[Agency]:[Agency]]=$E48)/(TableDiv[[Agency]:[Agency]]=$E48)*(ROW(TableDiv[Agency])-ROW(TableDiv[[#Headers],[Agency]])),COLUMNS($F$7:AK$7))))</f>
        <v/>
      </c>
      <c r="AL48" s="2223" t="str" cm="1">
        <f t="array" ref="AL48">IF($D48&lt;COLUMNS($F$7:AL$7),"",INDEX(TableDiv[[GASB]:[GASB]],_xlfn.AGGREGATE(15,3,(TableDiv[[Agency]:[Agency]]=$E48)/(TableDiv[[Agency]:[Agency]]=$E48)*(ROW(TableDiv[Agency])-ROW(TableDiv[[#Headers],[Agency]])),COLUMNS($F$7:AL$7))))</f>
        <v/>
      </c>
      <c r="AM48" s="2223" t="str" cm="1">
        <f t="array" ref="AM48">IF($D48&lt;COLUMNS($F$7:AM$7),"",INDEX(TableDiv[[GASB]:[GASB]],_xlfn.AGGREGATE(15,3,(TableDiv[[Agency]:[Agency]]=$E48)/(TableDiv[[Agency]:[Agency]]=$E48)*(ROW(TableDiv[Agency])-ROW(TableDiv[[#Headers],[Agency]])),COLUMNS($F$7:AM$7))))</f>
        <v/>
      </c>
      <c r="AN48" s="2223"/>
      <c r="AO48" s="2223"/>
      <c r="AP48" s="2223"/>
      <c r="AQ48" s="2223"/>
      <c r="AR48" s="2223"/>
      <c r="AS48" s="2223"/>
    </row>
    <row r="49" spans="1:45" ht="15" x14ac:dyDescent="0.25">
      <c r="A49" s="2219" t="s">
        <v>5101</v>
      </c>
      <c r="B49" s="2219" t="s">
        <v>6384</v>
      </c>
      <c r="C49" s="2223"/>
      <c r="D49" s="2223">
        <f>COUNTIF(TableDiv[Agency],E49)</f>
        <v>3</v>
      </c>
      <c r="E49" s="2230" t="str" cm="1">
        <f t="array" ref="E49">IFERROR(INDEX(TableDiv[Agency],MATCH(0,INDEX(COUNTIF($E$7:E48,TableDiv[Agency]),),0)),"")</f>
        <v>3B00</v>
      </c>
      <c r="F49" s="2223" t="str" cm="1">
        <f t="array" ref="F49">IF($D49&lt;COLUMNS($F$7:F$7),"",INDEX(TableDiv[[GASB]:[GASB]],_xlfn.AGGREGATE(15,3,(TableDiv[[Agency]:[Agency]]=$E49)/(TableDiv[[Agency]:[Agency]]=$E49)*(ROW(TableDiv[Agency])-ROW(TableDiv[[#Headers],[Agency]])),COLUMNS($F$7:F$7))))</f>
        <v>14000G</v>
      </c>
      <c r="G49" s="2223" t="str" cm="1">
        <f t="array" ref="G49">IF($D49&lt;COLUMNS($F$7:G$7),"",INDEX(TableDiv[[GASB]:[GASB]],_xlfn.AGGREGATE(15,3,(TableDiv[[Agency]:[Agency]]=$E49)/(TableDiv[[Agency]:[Agency]]=$E49)*(ROW(TableDiv[Agency])-ROW(TableDiv[[#Headers],[Agency]])),COLUMNS($F$7:G$7))))</f>
        <v>14260G</v>
      </c>
      <c r="H49" s="2223" t="str" cm="1">
        <f t="array" ref="H49">IF($D49&lt;COLUMNS($F$7:H$7),"",INDEX(TableDiv[[GASB]:[GASB]],_xlfn.AGGREGATE(15,3,(TableDiv[[Agency]:[Agency]]=$E49)/(TableDiv[[Agency]:[Agency]]=$E49)*(ROW(TableDiv[Agency])-ROW(TableDiv[[#Headers],[Agency]])),COLUMNS($F$7:H$7))))</f>
        <v>39000G</v>
      </c>
      <c r="I49" s="2223" t="str" cm="1">
        <f t="array" ref="I49">IF($D49&lt;COLUMNS($F$7:I$7),"",INDEX(TableDiv[[GASB]:[GASB]],_xlfn.AGGREGATE(15,3,(TableDiv[[Agency]:[Agency]]=$E49)/(TableDiv[[Agency]:[Agency]]=$E49)*(ROW(TableDiv[Agency])-ROW(TableDiv[[#Headers],[Agency]])),COLUMNS($F$7:I$7))))</f>
        <v/>
      </c>
      <c r="J49" s="2223" t="str" cm="1">
        <f t="array" ref="J49">IF($D49&lt;COLUMNS($F$7:J$7),"",INDEX(TableDiv[[GASB]:[GASB]],_xlfn.AGGREGATE(15,3,(TableDiv[[Agency]:[Agency]]=$E49)/(TableDiv[[Agency]:[Agency]]=$E49)*(ROW(TableDiv[Agency])-ROW(TableDiv[[#Headers],[Agency]])),COLUMNS($F$7:J$7))))</f>
        <v/>
      </c>
      <c r="K49" s="2223" t="str" cm="1">
        <f t="array" ref="K49">IF($D49&lt;COLUMNS($F$7:K$7),"",INDEX(TableDiv[[GASB]:[GASB]],_xlfn.AGGREGATE(15,3,(TableDiv[[Agency]:[Agency]]=$E49)/(TableDiv[[Agency]:[Agency]]=$E49)*(ROW(TableDiv[Agency])-ROW(TableDiv[[#Headers],[Agency]])),COLUMNS($F$7:K$7))))</f>
        <v/>
      </c>
      <c r="L49" s="2223" t="str" cm="1">
        <f t="array" ref="L49">IF($D49&lt;COLUMNS($F$7:L$7),"",INDEX(TableDiv[[GASB]:[GASB]],_xlfn.AGGREGATE(15,3,(TableDiv[[Agency]:[Agency]]=$E49)/(TableDiv[[Agency]:[Agency]]=$E49)*(ROW(TableDiv[Agency])-ROW(TableDiv[[#Headers],[Agency]])),COLUMNS($F$7:L$7))))</f>
        <v/>
      </c>
      <c r="M49" s="2223" t="str" cm="1">
        <f t="array" ref="M49">IF($D49&lt;COLUMNS($F$7:M$7),"",INDEX(TableDiv[[GASB]:[GASB]],_xlfn.AGGREGATE(15,3,(TableDiv[[Agency]:[Agency]]=$E49)/(TableDiv[[Agency]:[Agency]]=$E49)*(ROW(TableDiv[Agency])-ROW(TableDiv[[#Headers],[Agency]])),COLUMNS($F$7:M$7))))</f>
        <v/>
      </c>
      <c r="N49" s="2223" t="str" cm="1">
        <f t="array" ref="N49">IF($D49&lt;COLUMNS($F$7:N$7),"",INDEX(TableDiv[[GASB]:[GASB]],_xlfn.AGGREGATE(15,3,(TableDiv[[Agency]:[Agency]]=$E49)/(TableDiv[[Agency]:[Agency]]=$E49)*(ROW(TableDiv[Agency])-ROW(TableDiv[[#Headers],[Agency]])),COLUMNS($F$7:N$7))))</f>
        <v/>
      </c>
      <c r="O49" s="2223" t="str" cm="1">
        <f t="array" ref="O49">IF($D49&lt;COLUMNS($F$7:O$7),"",INDEX(TableDiv[[GASB]:[GASB]],_xlfn.AGGREGATE(15,3,(TableDiv[[Agency]:[Agency]]=$E49)/(TableDiv[[Agency]:[Agency]]=$E49)*(ROW(TableDiv[Agency])-ROW(TableDiv[[#Headers],[Agency]])),COLUMNS($F$7:O$7))))</f>
        <v/>
      </c>
      <c r="P49" s="2223" t="str" cm="1">
        <f t="array" ref="P49">IF($D49&lt;COLUMNS($F$7:P$7),"",INDEX(TableDiv[[GASB]:[GASB]],_xlfn.AGGREGATE(15,3,(TableDiv[[Agency]:[Agency]]=$E49)/(TableDiv[[Agency]:[Agency]]=$E49)*(ROW(TableDiv[Agency])-ROW(TableDiv[[#Headers],[Agency]])),COLUMNS($F$7:P$7))))</f>
        <v/>
      </c>
      <c r="Q49" s="2223" t="str" cm="1">
        <f t="array" ref="Q49">IF($D49&lt;COLUMNS($F$7:Q$7),"",INDEX(TableDiv[[GASB]:[GASB]],_xlfn.AGGREGATE(15,3,(TableDiv[[Agency]:[Agency]]=$E49)/(TableDiv[[Agency]:[Agency]]=$E49)*(ROW(TableDiv[Agency])-ROW(TableDiv[[#Headers],[Agency]])),COLUMNS($F$7:Q$7))))</f>
        <v/>
      </c>
      <c r="R49" s="2223" t="str" cm="1">
        <f t="array" ref="R49">IF($D49&lt;COLUMNS($F$7:R$7),"",INDEX(TableDiv[[GASB]:[GASB]],_xlfn.AGGREGATE(15,3,(TableDiv[[Agency]:[Agency]]=$E49)/(TableDiv[[Agency]:[Agency]]=$E49)*(ROW(TableDiv[Agency])-ROW(TableDiv[[#Headers],[Agency]])),COLUMNS($F$7:R$7))))</f>
        <v/>
      </c>
      <c r="S49" s="2223" t="str" cm="1">
        <f t="array" ref="S49">IF($D49&lt;COLUMNS($F$7:S$7),"",INDEX(TableDiv[[GASB]:[GASB]],_xlfn.AGGREGATE(15,3,(TableDiv[[Agency]:[Agency]]=$E49)/(TableDiv[[Agency]:[Agency]]=$E49)*(ROW(TableDiv[Agency])-ROW(TableDiv[[#Headers],[Agency]])),COLUMNS($F$7:S$7))))</f>
        <v/>
      </c>
      <c r="T49" s="2223" t="str" cm="1">
        <f t="array" ref="T49">IF($D49&lt;COLUMNS($F$7:T$7),"",INDEX(TableDiv[[GASB]:[GASB]],_xlfn.AGGREGATE(15,3,(TableDiv[[Agency]:[Agency]]=$E49)/(TableDiv[[Agency]:[Agency]]=$E49)*(ROW(TableDiv[Agency])-ROW(TableDiv[[#Headers],[Agency]])),COLUMNS($F$7:T$7))))</f>
        <v/>
      </c>
      <c r="U49" s="2223" t="str" cm="1">
        <f t="array" ref="U49">IF($D49&lt;COLUMNS($F$7:U$7),"",INDEX(TableDiv[[GASB]:[GASB]],_xlfn.AGGREGATE(15,3,(TableDiv[[Agency]:[Agency]]=$E49)/(TableDiv[[Agency]:[Agency]]=$E49)*(ROW(TableDiv[Agency])-ROW(TableDiv[[#Headers],[Agency]])),COLUMNS($F$7:U$7))))</f>
        <v/>
      </c>
      <c r="V49" s="2223" t="str" cm="1">
        <f t="array" ref="V49">IF($D49&lt;COLUMNS($F$7:V$7),"",INDEX(TableDiv[[GASB]:[GASB]],_xlfn.AGGREGATE(15,3,(TableDiv[[Agency]:[Agency]]=$E49)/(TableDiv[[Agency]:[Agency]]=$E49)*(ROW(TableDiv[Agency])-ROW(TableDiv[[#Headers],[Agency]])),COLUMNS($F$7:V$7))))</f>
        <v/>
      </c>
      <c r="W49" s="2223" t="str" cm="1">
        <f t="array" ref="W49">IF($D49&lt;COLUMNS($F$7:W$7),"",INDEX(TableDiv[[GASB]:[GASB]],_xlfn.AGGREGATE(15,3,(TableDiv[[Agency]:[Agency]]=$E49)/(TableDiv[[Agency]:[Agency]]=$E49)*(ROW(TableDiv[Agency])-ROW(TableDiv[[#Headers],[Agency]])),COLUMNS($F$7:W$7))))</f>
        <v/>
      </c>
      <c r="X49" s="2223" t="str" cm="1">
        <f t="array" ref="X49">IF($D49&lt;COLUMNS($F$7:X$7),"",INDEX(TableDiv[[GASB]:[GASB]],_xlfn.AGGREGATE(15,3,(TableDiv[[Agency]:[Agency]]=$E49)/(TableDiv[[Agency]:[Agency]]=$E49)*(ROW(TableDiv[Agency])-ROW(TableDiv[[#Headers],[Agency]])),COLUMNS($F$7:X$7))))</f>
        <v/>
      </c>
      <c r="Y49" s="2223" t="str" cm="1">
        <f t="array" ref="Y49">IF($D49&lt;COLUMNS($F$7:Y$7),"",INDEX(TableDiv[[GASB]:[GASB]],_xlfn.AGGREGATE(15,3,(TableDiv[[Agency]:[Agency]]=$E49)/(TableDiv[[Agency]:[Agency]]=$E49)*(ROW(TableDiv[Agency])-ROW(TableDiv[[#Headers],[Agency]])),COLUMNS($F$7:Y$7))))</f>
        <v/>
      </c>
      <c r="Z49" s="2223" t="str" cm="1">
        <f t="array" ref="Z49">IF($D49&lt;COLUMNS($F$7:Z$7),"",INDEX(TableDiv[[GASB]:[GASB]],_xlfn.AGGREGATE(15,3,(TableDiv[[Agency]:[Agency]]=$E49)/(TableDiv[[Agency]:[Agency]]=$E49)*(ROW(TableDiv[Agency])-ROW(TableDiv[[#Headers],[Agency]])),COLUMNS($F$7:Z$7))))</f>
        <v/>
      </c>
      <c r="AA49" s="2223" t="str" cm="1">
        <f t="array" ref="AA49">IF($D49&lt;COLUMNS($F$7:AA$7),"",INDEX(TableDiv[[GASB]:[GASB]],_xlfn.AGGREGATE(15,3,(TableDiv[[Agency]:[Agency]]=$E49)/(TableDiv[[Agency]:[Agency]]=$E49)*(ROW(TableDiv[Agency])-ROW(TableDiv[[#Headers],[Agency]])),COLUMNS($F$7:AA$7))))</f>
        <v/>
      </c>
      <c r="AB49" s="2223" t="str" cm="1">
        <f t="array" ref="AB49">IF($D49&lt;COLUMNS($F$7:AB$7),"",INDEX(TableDiv[[GASB]:[GASB]],_xlfn.AGGREGATE(15,3,(TableDiv[[Agency]:[Agency]]=$E49)/(TableDiv[[Agency]:[Agency]]=$E49)*(ROW(TableDiv[Agency])-ROW(TableDiv[[#Headers],[Agency]])),COLUMNS($F$7:AB$7))))</f>
        <v/>
      </c>
      <c r="AC49" s="2223" t="str" cm="1">
        <f t="array" ref="AC49">IF($D49&lt;COLUMNS($F$7:AC$7),"",INDEX(TableDiv[[GASB]:[GASB]],_xlfn.AGGREGATE(15,3,(TableDiv[[Agency]:[Agency]]=$E49)/(TableDiv[[Agency]:[Agency]]=$E49)*(ROW(TableDiv[Agency])-ROW(TableDiv[[#Headers],[Agency]])),COLUMNS($F$7:AC$7))))</f>
        <v/>
      </c>
      <c r="AD49" s="2223" t="str" cm="1">
        <f t="array" ref="AD49">IF($D49&lt;COLUMNS($F$7:AD$7),"",INDEX(TableDiv[[GASB]:[GASB]],_xlfn.AGGREGATE(15,3,(TableDiv[[Agency]:[Agency]]=$E49)/(TableDiv[[Agency]:[Agency]]=$E49)*(ROW(TableDiv[Agency])-ROW(TableDiv[[#Headers],[Agency]])),COLUMNS($F$7:AD$7))))</f>
        <v/>
      </c>
      <c r="AE49" s="2223" t="str" cm="1">
        <f t="array" ref="AE49">IF($D49&lt;COLUMNS($F$7:AE$7),"",INDEX(TableDiv[[GASB]:[GASB]],_xlfn.AGGREGATE(15,3,(TableDiv[[Agency]:[Agency]]=$E49)/(TableDiv[[Agency]:[Agency]]=$E49)*(ROW(TableDiv[Agency])-ROW(TableDiv[[#Headers],[Agency]])),COLUMNS($F$7:AE$7))))</f>
        <v/>
      </c>
      <c r="AF49" s="2223" t="str" cm="1">
        <f t="array" ref="AF49">IF($D49&lt;COLUMNS($F$7:AF$7),"",INDEX(TableDiv[[GASB]:[GASB]],_xlfn.AGGREGATE(15,3,(TableDiv[[Agency]:[Agency]]=$E49)/(TableDiv[[Agency]:[Agency]]=$E49)*(ROW(TableDiv[Agency])-ROW(TableDiv[[#Headers],[Agency]])),COLUMNS($F$7:AF$7))))</f>
        <v/>
      </c>
      <c r="AG49" s="2223" t="str" cm="1">
        <f t="array" ref="AG49">IF($D49&lt;COLUMNS($F$7:AG$7),"",INDEX(TableDiv[[GASB]:[GASB]],_xlfn.AGGREGATE(15,3,(TableDiv[[Agency]:[Agency]]=$E49)/(TableDiv[[Agency]:[Agency]]=$E49)*(ROW(TableDiv[Agency])-ROW(TableDiv[[#Headers],[Agency]])),COLUMNS($F$7:AG$7))))</f>
        <v/>
      </c>
      <c r="AH49" s="2223" t="str" cm="1">
        <f t="array" ref="AH49">IF($D49&lt;COLUMNS($F$7:AH$7),"",INDEX(TableDiv[[GASB]:[GASB]],_xlfn.AGGREGATE(15,3,(TableDiv[[Agency]:[Agency]]=$E49)/(TableDiv[[Agency]:[Agency]]=$E49)*(ROW(TableDiv[Agency])-ROW(TableDiv[[#Headers],[Agency]])),COLUMNS($F$7:AH$7))))</f>
        <v/>
      </c>
      <c r="AI49" s="2223" t="str" cm="1">
        <f t="array" ref="AI49">IF($D49&lt;COLUMNS($F$7:AI$7),"",INDEX(TableDiv[[GASB]:[GASB]],_xlfn.AGGREGATE(15,3,(TableDiv[[Agency]:[Agency]]=$E49)/(TableDiv[[Agency]:[Agency]]=$E49)*(ROW(TableDiv[Agency])-ROW(TableDiv[[#Headers],[Agency]])),COLUMNS($F$7:AI$7))))</f>
        <v/>
      </c>
      <c r="AJ49" s="2223" t="str" cm="1">
        <f t="array" ref="AJ49">IF($D49&lt;COLUMNS($F$7:AJ$7),"",INDEX(TableDiv[[GASB]:[GASB]],_xlfn.AGGREGATE(15,3,(TableDiv[[Agency]:[Agency]]=$E49)/(TableDiv[[Agency]:[Agency]]=$E49)*(ROW(TableDiv[Agency])-ROW(TableDiv[[#Headers],[Agency]])),COLUMNS($F$7:AJ$7))))</f>
        <v/>
      </c>
      <c r="AK49" s="2223" t="str" cm="1">
        <f t="array" ref="AK49">IF($D49&lt;COLUMNS($F$7:AK$7),"",INDEX(TableDiv[[GASB]:[GASB]],_xlfn.AGGREGATE(15,3,(TableDiv[[Agency]:[Agency]]=$E49)/(TableDiv[[Agency]:[Agency]]=$E49)*(ROW(TableDiv[Agency])-ROW(TableDiv[[#Headers],[Agency]])),COLUMNS($F$7:AK$7))))</f>
        <v/>
      </c>
      <c r="AL49" s="2223" t="str" cm="1">
        <f t="array" ref="AL49">IF($D49&lt;COLUMNS($F$7:AL$7),"",INDEX(TableDiv[[GASB]:[GASB]],_xlfn.AGGREGATE(15,3,(TableDiv[[Agency]:[Agency]]=$E49)/(TableDiv[[Agency]:[Agency]]=$E49)*(ROW(TableDiv[Agency])-ROW(TableDiv[[#Headers],[Agency]])),COLUMNS($F$7:AL$7))))</f>
        <v/>
      </c>
      <c r="AM49" s="2223" t="str" cm="1">
        <f t="array" ref="AM49">IF($D49&lt;COLUMNS($F$7:AM$7),"",INDEX(TableDiv[[GASB]:[GASB]],_xlfn.AGGREGATE(15,3,(TableDiv[[Agency]:[Agency]]=$E49)/(TableDiv[[Agency]:[Agency]]=$E49)*(ROW(TableDiv[Agency])-ROW(TableDiv[[#Headers],[Agency]])),COLUMNS($F$7:AM$7))))</f>
        <v/>
      </c>
      <c r="AN49" s="2223"/>
      <c r="AO49" s="2223"/>
      <c r="AP49" s="2223"/>
      <c r="AQ49" s="2223"/>
      <c r="AR49" s="2223"/>
      <c r="AS49" s="2223"/>
    </row>
    <row r="50" spans="1:45" ht="15" x14ac:dyDescent="0.25">
      <c r="A50" s="2219" t="s">
        <v>5101</v>
      </c>
      <c r="B50" s="2219" t="s">
        <v>6385</v>
      </c>
      <c r="C50" s="2223"/>
      <c r="D50" s="2223">
        <f>COUNTIF(TableDiv[Agency],E50)</f>
        <v>3</v>
      </c>
      <c r="E50" s="2230" t="str" cm="1">
        <f t="array" ref="E50">IFERROR(INDEX(TableDiv[Agency],MATCH(0,INDEX(COUNTIF($E$7:E49,TableDiv[Agency]),),0)),"")</f>
        <v>3C00</v>
      </c>
      <c r="F50" s="2223" t="str" cm="1">
        <f t="array" ref="F50">IF($D50&lt;COLUMNS($F$7:F$7),"",INDEX(TableDiv[[GASB]:[GASB]],_xlfn.AGGREGATE(15,3,(TableDiv[[Agency]:[Agency]]=$E50)/(TableDiv[[Agency]:[Agency]]=$E50)*(ROW(TableDiv[Agency])-ROW(TableDiv[[#Headers],[Agency]])),COLUMNS($F$7:F$7))))</f>
        <v>12000G</v>
      </c>
      <c r="G50" s="2223" t="str" cm="1">
        <f t="array" ref="G50">IF($D50&lt;COLUMNS($F$7:G$7),"",INDEX(TableDiv[[GASB]:[GASB]],_xlfn.AGGREGATE(15,3,(TableDiv[[Agency]:[Agency]]=$E50)/(TableDiv[[Agency]:[Agency]]=$E50)*(ROW(TableDiv[Agency])-ROW(TableDiv[[#Headers],[Agency]])),COLUMNS($F$7:G$7))))</f>
        <v>14000G</v>
      </c>
      <c r="H50" s="2223" t="str" cm="1">
        <f t="array" ref="H50">IF($D50&lt;COLUMNS($F$7:H$7),"",INDEX(TableDiv[[GASB]:[GASB]],_xlfn.AGGREGATE(15,3,(TableDiv[[Agency]:[Agency]]=$E50)/(TableDiv[[Agency]:[Agency]]=$E50)*(ROW(TableDiv[Agency])-ROW(TableDiv[[#Headers],[Agency]])),COLUMNS($F$7:H$7))))</f>
        <v>39000G</v>
      </c>
      <c r="I50" s="2223" t="str" cm="1">
        <f t="array" ref="I50">IF($D50&lt;COLUMNS($F$7:I$7),"",INDEX(TableDiv[[GASB]:[GASB]],_xlfn.AGGREGATE(15,3,(TableDiv[[Agency]:[Agency]]=$E50)/(TableDiv[[Agency]:[Agency]]=$E50)*(ROW(TableDiv[Agency])-ROW(TableDiv[[#Headers],[Agency]])),COLUMNS($F$7:I$7))))</f>
        <v/>
      </c>
      <c r="J50" s="2223" t="str" cm="1">
        <f t="array" ref="J50">IF($D50&lt;COLUMNS($F$7:J$7),"",INDEX(TableDiv[[GASB]:[GASB]],_xlfn.AGGREGATE(15,3,(TableDiv[[Agency]:[Agency]]=$E50)/(TableDiv[[Agency]:[Agency]]=$E50)*(ROW(TableDiv[Agency])-ROW(TableDiv[[#Headers],[Agency]])),COLUMNS($F$7:J$7))))</f>
        <v/>
      </c>
      <c r="K50" s="2223" t="str" cm="1">
        <f t="array" ref="K50">IF($D50&lt;COLUMNS($F$7:K$7),"",INDEX(TableDiv[[GASB]:[GASB]],_xlfn.AGGREGATE(15,3,(TableDiv[[Agency]:[Agency]]=$E50)/(TableDiv[[Agency]:[Agency]]=$E50)*(ROW(TableDiv[Agency])-ROW(TableDiv[[#Headers],[Agency]])),COLUMNS($F$7:K$7))))</f>
        <v/>
      </c>
      <c r="L50" s="2223" t="str" cm="1">
        <f t="array" ref="L50">IF($D50&lt;COLUMNS($F$7:L$7),"",INDEX(TableDiv[[GASB]:[GASB]],_xlfn.AGGREGATE(15,3,(TableDiv[[Agency]:[Agency]]=$E50)/(TableDiv[[Agency]:[Agency]]=$E50)*(ROW(TableDiv[Agency])-ROW(TableDiv[[#Headers],[Agency]])),COLUMNS($F$7:L$7))))</f>
        <v/>
      </c>
      <c r="M50" s="2223" t="str" cm="1">
        <f t="array" ref="M50">IF($D50&lt;COLUMNS($F$7:M$7),"",INDEX(TableDiv[[GASB]:[GASB]],_xlfn.AGGREGATE(15,3,(TableDiv[[Agency]:[Agency]]=$E50)/(TableDiv[[Agency]:[Agency]]=$E50)*(ROW(TableDiv[Agency])-ROW(TableDiv[[#Headers],[Agency]])),COLUMNS($F$7:M$7))))</f>
        <v/>
      </c>
      <c r="N50" s="2223" t="str" cm="1">
        <f t="array" ref="N50">IF($D50&lt;COLUMNS($F$7:N$7),"",INDEX(TableDiv[[GASB]:[GASB]],_xlfn.AGGREGATE(15,3,(TableDiv[[Agency]:[Agency]]=$E50)/(TableDiv[[Agency]:[Agency]]=$E50)*(ROW(TableDiv[Agency])-ROW(TableDiv[[#Headers],[Agency]])),COLUMNS($F$7:N$7))))</f>
        <v/>
      </c>
      <c r="O50" s="2223" t="str" cm="1">
        <f t="array" ref="O50">IF($D50&lt;COLUMNS($F$7:O$7),"",INDEX(TableDiv[[GASB]:[GASB]],_xlfn.AGGREGATE(15,3,(TableDiv[[Agency]:[Agency]]=$E50)/(TableDiv[[Agency]:[Agency]]=$E50)*(ROW(TableDiv[Agency])-ROW(TableDiv[[#Headers],[Agency]])),COLUMNS($F$7:O$7))))</f>
        <v/>
      </c>
      <c r="P50" s="2223" t="str" cm="1">
        <f t="array" ref="P50">IF($D50&lt;COLUMNS($F$7:P$7),"",INDEX(TableDiv[[GASB]:[GASB]],_xlfn.AGGREGATE(15,3,(TableDiv[[Agency]:[Agency]]=$E50)/(TableDiv[[Agency]:[Agency]]=$E50)*(ROW(TableDiv[Agency])-ROW(TableDiv[[#Headers],[Agency]])),COLUMNS($F$7:P$7))))</f>
        <v/>
      </c>
      <c r="Q50" s="2223" t="str" cm="1">
        <f t="array" ref="Q50">IF($D50&lt;COLUMNS($F$7:Q$7),"",INDEX(TableDiv[[GASB]:[GASB]],_xlfn.AGGREGATE(15,3,(TableDiv[[Agency]:[Agency]]=$E50)/(TableDiv[[Agency]:[Agency]]=$E50)*(ROW(TableDiv[Agency])-ROW(TableDiv[[#Headers],[Agency]])),COLUMNS($F$7:Q$7))))</f>
        <v/>
      </c>
      <c r="R50" s="2223" t="str" cm="1">
        <f t="array" ref="R50">IF($D50&lt;COLUMNS($F$7:R$7),"",INDEX(TableDiv[[GASB]:[GASB]],_xlfn.AGGREGATE(15,3,(TableDiv[[Agency]:[Agency]]=$E50)/(TableDiv[[Agency]:[Agency]]=$E50)*(ROW(TableDiv[Agency])-ROW(TableDiv[[#Headers],[Agency]])),COLUMNS($F$7:R$7))))</f>
        <v/>
      </c>
      <c r="S50" s="2223" t="str" cm="1">
        <f t="array" ref="S50">IF($D50&lt;COLUMNS($F$7:S$7),"",INDEX(TableDiv[[GASB]:[GASB]],_xlfn.AGGREGATE(15,3,(TableDiv[[Agency]:[Agency]]=$E50)/(TableDiv[[Agency]:[Agency]]=$E50)*(ROW(TableDiv[Agency])-ROW(TableDiv[[#Headers],[Agency]])),COLUMNS($F$7:S$7))))</f>
        <v/>
      </c>
      <c r="T50" s="2223" t="str" cm="1">
        <f t="array" ref="T50">IF($D50&lt;COLUMNS($F$7:T$7),"",INDEX(TableDiv[[GASB]:[GASB]],_xlfn.AGGREGATE(15,3,(TableDiv[[Agency]:[Agency]]=$E50)/(TableDiv[[Agency]:[Agency]]=$E50)*(ROW(TableDiv[Agency])-ROW(TableDiv[[#Headers],[Agency]])),COLUMNS($F$7:T$7))))</f>
        <v/>
      </c>
      <c r="U50" s="2223" t="str" cm="1">
        <f t="array" ref="U50">IF($D50&lt;COLUMNS($F$7:U$7),"",INDEX(TableDiv[[GASB]:[GASB]],_xlfn.AGGREGATE(15,3,(TableDiv[[Agency]:[Agency]]=$E50)/(TableDiv[[Agency]:[Agency]]=$E50)*(ROW(TableDiv[Agency])-ROW(TableDiv[[#Headers],[Agency]])),COLUMNS($F$7:U$7))))</f>
        <v/>
      </c>
      <c r="V50" s="2223" t="str" cm="1">
        <f t="array" ref="V50">IF($D50&lt;COLUMNS($F$7:V$7),"",INDEX(TableDiv[[GASB]:[GASB]],_xlfn.AGGREGATE(15,3,(TableDiv[[Agency]:[Agency]]=$E50)/(TableDiv[[Agency]:[Agency]]=$E50)*(ROW(TableDiv[Agency])-ROW(TableDiv[[#Headers],[Agency]])),COLUMNS($F$7:V$7))))</f>
        <v/>
      </c>
      <c r="W50" s="2223" t="str" cm="1">
        <f t="array" ref="W50">IF($D50&lt;COLUMNS($F$7:W$7),"",INDEX(TableDiv[[GASB]:[GASB]],_xlfn.AGGREGATE(15,3,(TableDiv[[Agency]:[Agency]]=$E50)/(TableDiv[[Agency]:[Agency]]=$E50)*(ROW(TableDiv[Agency])-ROW(TableDiv[[#Headers],[Agency]])),COLUMNS($F$7:W$7))))</f>
        <v/>
      </c>
      <c r="X50" s="2223" t="str" cm="1">
        <f t="array" ref="X50">IF($D50&lt;COLUMNS($F$7:X$7),"",INDEX(TableDiv[[GASB]:[GASB]],_xlfn.AGGREGATE(15,3,(TableDiv[[Agency]:[Agency]]=$E50)/(TableDiv[[Agency]:[Agency]]=$E50)*(ROW(TableDiv[Agency])-ROW(TableDiv[[#Headers],[Agency]])),COLUMNS($F$7:X$7))))</f>
        <v/>
      </c>
      <c r="Y50" s="2223" t="str" cm="1">
        <f t="array" ref="Y50">IF($D50&lt;COLUMNS($F$7:Y$7),"",INDEX(TableDiv[[GASB]:[GASB]],_xlfn.AGGREGATE(15,3,(TableDiv[[Agency]:[Agency]]=$E50)/(TableDiv[[Agency]:[Agency]]=$E50)*(ROW(TableDiv[Agency])-ROW(TableDiv[[#Headers],[Agency]])),COLUMNS($F$7:Y$7))))</f>
        <v/>
      </c>
      <c r="Z50" s="2223" t="str" cm="1">
        <f t="array" ref="Z50">IF($D50&lt;COLUMNS($F$7:Z$7),"",INDEX(TableDiv[[GASB]:[GASB]],_xlfn.AGGREGATE(15,3,(TableDiv[[Agency]:[Agency]]=$E50)/(TableDiv[[Agency]:[Agency]]=$E50)*(ROW(TableDiv[Agency])-ROW(TableDiv[[#Headers],[Agency]])),COLUMNS($F$7:Z$7))))</f>
        <v/>
      </c>
      <c r="AA50" s="2223" t="str" cm="1">
        <f t="array" ref="AA50">IF($D50&lt;COLUMNS($F$7:AA$7),"",INDEX(TableDiv[[GASB]:[GASB]],_xlfn.AGGREGATE(15,3,(TableDiv[[Agency]:[Agency]]=$E50)/(TableDiv[[Agency]:[Agency]]=$E50)*(ROW(TableDiv[Agency])-ROW(TableDiv[[#Headers],[Agency]])),COLUMNS($F$7:AA$7))))</f>
        <v/>
      </c>
      <c r="AB50" s="2223" t="str" cm="1">
        <f t="array" ref="AB50">IF($D50&lt;COLUMNS($F$7:AB$7),"",INDEX(TableDiv[[GASB]:[GASB]],_xlfn.AGGREGATE(15,3,(TableDiv[[Agency]:[Agency]]=$E50)/(TableDiv[[Agency]:[Agency]]=$E50)*(ROW(TableDiv[Agency])-ROW(TableDiv[[#Headers],[Agency]])),COLUMNS($F$7:AB$7))))</f>
        <v/>
      </c>
      <c r="AC50" s="2223" t="str" cm="1">
        <f t="array" ref="AC50">IF($D50&lt;COLUMNS($F$7:AC$7),"",INDEX(TableDiv[[GASB]:[GASB]],_xlfn.AGGREGATE(15,3,(TableDiv[[Agency]:[Agency]]=$E50)/(TableDiv[[Agency]:[Agency]]=$E50)*(ROW(TableDiv[Agency])-ROW(TableDiv[[#Headers],[Agency]])),COLUMNS($F$7:AC$7))))</f>
        <v/>
      </c>
      <c r="AD50" s="2223" t="str" cm="1">
        <f t="array" ref="AD50">IF($D50&lt;COLUMNS($F$7:AD$7),"",INDEX(TableDiv[[GASB]:[GASB]],_xlfn.AGGREGATE(15,3,(TableDiv[[Agency]:[Agency]]=$E50)/(TableDiv[[Agency]:[Agency]]=$E50)*(ROW(TableDiv[Agency])-ROW(TableDiv[[#Headers],[Agency]])),COLUMNS($F$7:AD$7))))</f>
        <v/>
      </c>
      <c r="AE50" s="2223" t="str" cm="1">
        <f t="array" ref="AE50">IF($D50&lt;COLUMNS($F$7:AE$7),"",INDEX(TableDiv[[GASB]:[GASB]],_xlfn.AGGREGATE(15,3,(TableDiv[[Agency]:[Agency]]=$E50)/(TableDiv[[Agency]:[Agency]]=$E50)*(ROW(TableDiv[Agency])-ROW(TableDiv[[#Headers],[Agency]])),COLUMNS($F$7:AE$7))))</f>
        <v/>
      </c>
      <c r="AF50" s="2223" t="str" cm="1">
        <f t="array" ref="AF50">IF($D50&lt;COLUMNS($F$7:AF$7),"",INDEX(TableDiv[[GASB]:[GASB]],_xlfn.AGGREGATE(15,3,(TableDiv[[Agency]:[Agency]]=$E50)/(TableDiv[[Agency]:[Agency]]=$E50)*(ROW(TableDiv[Agency])-ROW(TableDiv[[#Headers],[Agency]])),COLUMNS($F$7:AF$7))))</f>
        <v/>
      </c>
      <c r="AG50" s="2223" t="str" cm="1">
        <f t="array" ref="AG50">IF($D50&lt;COLUMNS($F$7:AG$7),"",INDEX(TableDiv[[GASB]:[GASB]],_xlfn.AGGREGATE(15,3,(TableDiv[[Agency]:[Agency]]=$E50)/(TableDiv[[Agency]:[Agency]]=$E50)*(ROW(TableDiv[Agency])-ROW(TableDiv[[#Headers],[Agency]])),COLUMNS($F$7:AG$7))))</f>
        <v/>
      </c>
      <c r="AH50" s="2223" t="str" cm="1">
        <f t="array" ref="AH50">IF($D50&lt;COLUMNS($F$7:AH$7),"",INDEX(TableDiv[[GASB]:[GASB]],_xlfn.AGGREGATE(15,3,(TableDiv[[Agency]:[Agency]]=$E50)/(TableDiv[[Agency]:[Agency]]=$E50)*(ROW(TableDiv[Agency])-ROW(TableDiv[[#Headers],[Agency]])),COLUMNS($F$7:AH$7))))</f>
        <v/>
      </c>
      <c r="AI50" s="2223" t="str" cm="1">
        <f t="array" ref="AI50">IF($D50&lt;COLUMNS($F$7:AI$7),"",INDEX(TableDiv[[GASB]:[GASB]],_xlfn.AGGREGATE(15,3,(TableDiv[[Agency]:[Agency]]=$E50)/(TableDiv[[Agency]:[Agency]]=$E50)*(ROW(TableDiv[Agency])-ROW(TableDiv[[#Headers],[Agency]])),COLUMNS($F$7:AI$7))))</f>
        <v/>
      </c>
      <c r="AJ50" s="2223" t="str" cm="1">
        <f t="array" ref="AJ50">IF($D50&lt;COLUMNS($F$7:AJ$7),"",INDEX(TableDiv[[GASB]:[GASB]],_xlfn.AGGREGATE(15,3,(TableDiv[[Agency]:[Agency]]=$E50)/(TableDiv[[Agency]:[Agency]]=$E50)*(ROW(TableDiv[Agency])-ROW(TableDiv[[#Headers],[Agency]])),COLUMNS($F$7:AJ$7))))</f>
        <v/>
      </c>
      <c r="AK50" s="2223" t="str" cm="1">
        <f t="array" ref="AK50">IF($D50&lt;COLUMNS($F$7:AK$7),"",INDEX(TableDiv[[GASB]:[GASB]],_xlfn.AGGREGATE(15,3,(TableDiv[[Agency]:[Agency]]=$E50)/(TableDiv[[Agency]:[Agency]]=$E50)*(ROW(TableDiv[Agency])-ROW(TableDiv[[#Headers],[Agency]])),COLUMNS($F$7:AK$7))))</f>
        <v/>
      </c>
      <c r="AL50" s="2223" t="str" cm="1">
        <f t="array" ref="AL50">IF($D50&lt;COLUMNS($F$7:AL$7),"",INDEX(TableDiv[[GASB]:[GASB]],_xlfn.AGGREGATE(15,3,(TableDiv[[Agency]:[Agency]]=$E50)/(TableDiv[[Agency]:[Agency]]=$E50)*(ROW(TableDiv[Agency])-ROW(TableDiv[[#Headers],[Agency]])),COLUMNS($F$7:AL$7))))</f>
        <v/>
      </c>
      <c r="AM50" s="2223" t="str" cm="1">
        <f t="array" ref="AM50">IF($D50&lt;COLUMNS($F$7:AM$7),"",INDEX(TableDiv[[GASB]:[GASB]],_xlfn.AGGREGATE(15,3,(TableDiv[[Agency]:[Agency]]=$E50)/(TableDiv[[Agency]:[Agency]]=$E50)*(ROW(TableDiv[Agency])-ROW(TableDiv[[#Headers],[Agency]])),COLUMNS($F$7:AM$7))))</f>
        <v/>
      </c>
      <c r="AN50" s="2223"/>
      <c r="AO50" s="2223"/>
      <c r="AP50" s="2223"/>
      <c r="AQ50" s="2223"/>
      <c r="AR50" s="2223"/>
      <c r="AS50" s="2223"/>
    </row>
    <row r="51" spans="1:45" ht="15" x14ac:dyDescent="0.25">
      <c r="A51" s="2219" t="s">
        <v>5101</v>
      </c>
      <c r="B51" s="2219" t="s">
        <v>6386</v>
      </c>
      <c r="C51" s="2223"/>
      <c r="D51" s="2223">
        <f>COUNTIF(TableDiv[Agency],E51)</f>
        <v>3</v>
      </c>
      <c r="E51" s="2230" t="str" cm="1">
        <f t="array" ref="E51">IFERROR(INDEX(TableDiv[Agency],MATCH(0,INDEX(COUNTIF($E$7:E50,TableDiv[Agency]),),0)),"")</f>
        <v>3D00</v>
      </c>
      <c r="F51" s="2223" t="str" cm="1">
        <f t="array" ref="F51">IF($D51&lt;COLUMNS($F$7:F$7),"",INDEX(TableDiv[[GASB]:[GASB]],_xlfn.AGGREGATE(15,3,(TableDiv[[Agency]:[Agency]]=$E51)/(TableDiv[[Agency]:[Agency]]=$E51)*(ROW(TableDiv[Agency])-ROW(TableDiv[[#Headers],[Agency]])),COLUMNS($F$7:F$7))))</f>
        <v>12000G</v>
      </c>
      <c r="G51" s="2223" t="str" cm="1">
        <f t="array" ref="G51">IF($D51&lt;COLUMNS($F$7:G$7),"",INDEX(TableDiv[[GASB]:[GASB]],_xlfn.AGGREGATE(15,3,(TableDiv[[Agency]:[Agency]]=$E51)/(TableDiv[[Agency]:[Agency]]=$E51)*(ROW(TableDiv[Agency])-ROW(TableDiv[[#Headers],[Agency]])),COLUMNS($F$7:G$7))))</f>
        <v>14000G</v>
      </c>
      <c r="H51" s="2223" t="str" cm="1">
        <f t="array" ref="H51">IF($D51&lt;COLUMNS($F$7:H$7),"",INDEX(TableDiv[[GASB]:[GASB]],_xlfn.AGGREGATE(15,3,(TableDiv[[Agency]:[Agency]]=$E51)/(TableDiv[[Agency]:[Agency]]=$E51)*(ROW(TableDiv[Agency])-ROW(TableDiv[[#Headers],[Agency]])),COLUMNS($F$7:H$7))))</f>
        <v>39000G</v>
      </c>
      <c r="I51" s="2223" t="str" cm="1">
        <f t="array" ref="I51">IF($D51&lt;COLUMNS($F$7:I$7),"",INDEX(TableDiv[[GASB]:[GASB]],_xlfn.AGGREGATE(15,3,(TableDiv[[Agency]:[Agency]]=$E51)/(TableDiv[[Agency]:[Agency]]=$E51)*(ROW(TableDiv[Agency])-ROW(TableDiv[[#Headers],[Agency]])),COLUMNS($F$7:I$7))))</f>
        <v/>
      </c>
      <c r="J51" s="2223" t="str" cm="1">
        <f t="array" ref="J51">IF($D51&lt;COLUMNS($F$7:J$7),"",INDEX(TableDiv[[GASB]:[GASB]],_xlfn.AGGREGATE(15,3,(TableDiv[[Agency]:[Agency]]=$E51)/(TableDiv[[Agency]:[Agency]]=$E51)*(ROW(TableDiv[Agency])-ROW(TableDiv[[#Headers],[Agency]])),COLUMNS($F$7:J$7))))</f>
        <v/>
      </c>
      <c r="K51" s="2223" t="str" cm="1">
        <f t="array" ref="K51">IF($D51&lt;COLUMNS($F$7:K$7),"",INDEX(TableDiv[[GASB]:[GASB]],_xlfn.AGGREGATE(15,3,(TableDiv[[Agency]:[Agency]]=$E51)/(TableDiv[[Agency]:[Agency]]=$E51)*(ROW(TableDiv[Agency])-ROW(TableDiv[[#Headers],[Agency]])),COLUMNS($F$7:K$7))))</f>
        <v/>
      </c>
      <c r="L51" s="2223" t="str" cm="1">
        <f t="array" ref="L51">IF($D51&lt;COLUMNS($F$7:L$7),"",INDEX(TableDiv[[GASB]:[GASB]],_xlfn.AGGREGATE(15,3,(TableDiv[[Agency]:[Agency]]=$E51)/(TableDiv[[Agency]:[Agency]]=$E51)*(ROW(TableDiv[Agency])-ROW(TableDiv[[#Headers],[Agency]])),COLUMNS($F$7:L$7))))</f>
        <v/>
      </c>
      <c r="M51" s="2223" t="str" cm="1">
        <f t="array" ref="M51">IF($D51&lt;COLUMNS($F$7:M$7),"",INDEX(TableDiv[[GASB]:[GASB]],_xlfn.AGGREGATE(15,3,(TableDiv[[Agency]:[Agency]]=$E51)/(TableDiv[[Agency]:[Agency]]=$E51)*(ROW(TableDiv[Agency])-ROW(TableDiv[[#Headers],[Agency]])),COLUMNS($F$7:M$7))))</f>
        <v/>
      </c>
      <c r="N51" s="2223" t="str" cm="1">
        <f t="array" ref="N51">IF($D51&lt;COLUMNS($F$7:N$7),"",INDEX(TableDiv[[GASB]:[GASB]],_xlfn.AGGREGATE(15,3,(TableDiv[[Agency]:[Agency]]=$E51)/(TableDiv[[Agency]:[Agency]]=$E51)*(ROW(TableDiv[Agency])-ROW(TableDiv[[#Headers],[Agency]])),COLUMNS($F$7:N$7))))</f>
        <v/>
      </c>
      <c r="O51" s="2223" t="str" cm="1">
        <f t="array" ref="O51">IF($D51&lt;COLUMNS($F$7:O$7),"",INDEX(TableDiv[[GASB]:[GASB]],_xlfn.AGGREGATE(15,3,(TableDiv[[Agency]:[Agency]]=$E51)/(TableDiv[[Agency]:[Agency]]=$E51)*(ROW(TableDiv[Agency])-ROW(TableDiv[[#Headers],[Agency]])),COLUMNS($F$7:O$7))))</f>
        <v/>
      </c>
      <c r="P51" s="2223" t="str" cm="1">
        <f t="array" ref="P51">IF($D51&lt;COLUMNS($F$7:P$7),"",INDEX(TableDiv[[GASB]:[GASB]],_xlfn.AGGREGATE(15,3,(TableDiv[[Agency]:[Agency]]=$E51)/(TableDiv[[Agency]:[Agency]]=$E51)*(ROW(TableDiv[Agency])-ROW(TableDiv[[#Headers],[Agency]])),COLUMNS($F$7:P$7))))</f>
        <v/>
      </c>
      <c r="Q51" s="2223" t="str" cm="1">
        <f t="array" ref="Q51">IF($D51&lt;COLUMNS($F$7:Q$7),"",INDEX(TableDiv[[GASB]:[GASB]],_xlfn.AGGREGATE(15,3,(TableDiv[[Agency]:[Agency]]=$E51)/(TableDiv[[Agency]:[Agency]]=$E51)*(ROW(TableDiv[Agency])-ROW(TableDiv[[#Headers],[Agency]])),COLUMNS($F$7:Q$7))))</f>
        <v/>
      </c>
      <c r="R51" s="2223" t="str" cm="1">
        <f t="array" ref="R51">IF($D51&lt;COLUMNS($F$7:R$7),"",INDEX(TableDiv[[GASB]:[GASB]],_xlfn.AGGREGATE(15,3,(TableDiv[[Agency]:[Agency]]=$E51)/(TableDiv[[Agency]:[Agency]]=$E51)*(ROW(TableDiv[Agency])-ROW(TableDiv[[#Headers],[Agency]])),COLUMNS($F$7:R$7))))</f>
        <v/>
      </c>
      <c r="S51" s="2223" t="str" cm="1">
        <f t="array" ref="S51">IF($D51&lt;COLUMNS($F$7:S$7),"",INDEX(TableDiv[[GASB]:[GASB]],_xlfn.AGGREGATE(15,3,(TableDiv[[Agency]:[Agency]]=$E51)/(TableDiv[[Agency]:[Agency]]=$E51)*(ROW(TableDiv[Agency])-ROW(TableDiv[[#Headers],[Agency]])),COLUMNS($F$7:S$7))))</f>
        <v/>
      </c>
      <c r="T51" s="2223" t="str" cm="1">
        <f t="array" ref="T51">IF($D51&lt;COLUMNS($F$7:T$7),"",INDEX(TableDiv[[GASB]:[GASB]],_xlfn.AGGREGATE(15,3,(TableDiv[[Agency]:[Agency]]=$E51)/(TableDiv[[Agency]:[Agency]]=$E51)*(ROW(TableDiv[Agency])-ROW(TableDiv[[#Headers],[Agency]])),COLUMNS($F$7:T$7))))</f>
        <v/>
      </c>
      <c r="U51" s="2223" t="str" cm="1">
        <f t="array" ref="U51">IF($D51&lt;COLUMNS($F$7:U$7),"",INDEX(TableDiv[[GASB]:[GASB]],_xlfn.AGGREGATE(15,3,(TableDiv[[Agency]:[Agency]]=$E51)/(TableDiv[[Agency]:[Agency]]=$E51)*(ROW(TableDiv[Agency])-ROW(TableDiv[[#Headers],[Agency]])),COLUMNS($F$7:U$7))))</f>
        <v/>
      </c>
      <c r="V51" s="2223" t="str" cm="1">
        <f t="array" ref="V51">IF($D51&lt;COLUMNS($F$7:V$7),"",INDEX(TableDiv[[GASB]:[GASB]],_xlfn.AGGREGATE(15,3,(TableDiv[[Agency]:[Agency]]=$E51)/(TableDiv[[Agency]:[Agency]]=$E51)*(ROW(TableDiv[Agency])-ROW(TableDiv[[#Headers],[Agency]])),COLUMNS($F$7:V$7))))</f>
        <v/>
      </c>
      <c r="W51" s="2223" t="str" cm="1">
        <f t="array" ref="W51">IF($D51&lt;COLUMNS($F$7:W$7),"",INDEX(TableDiv[[GASB]:[GASB]],_xlfn.AGGREGATE(15,3,(TableDiv[[Agency]:[Agency]]=$E51)/(TableDiv[[Agency]:[Agency]]=$E51)*(ROW(TableDiv[Agency])-ROW(TableDiv[[#Headers],[Agency]])),COLUMNS($F$7:W$7))))</f>
        <v/>
      </c>
      <c r="X51" s="2223" t="str" cm="1">
        <f t="array" ref="X51">IF($D51&lt;COLUMNS($F$7:X$7),"",INDEX(TableDiv[[GASB]:[GASB]],_xlfn.AGGREGATE(15,3,(TableDiv[[Agency]:[Agency]]=$E51)/(TableDiv[[Agency]:[Agency]]=$E51)*(ROW(TableDiv[Agency])-ROW(TableDiv[[#Headers],[Agency]])),COLUMNS($F$7:X$7))))</f>
        <v/>
      </c>
      <c r="Y51" s="2223" t="str" cm="1">
        <f t="array" ref="Y51">IF($D51&lt;COLUMNS($F$7:Y$7),"",INDEX(TableDiv[[GASB]:[GASB]],_xlfn.AGGREGATE(15,3,(TableDiv[[Agency]:[Agency]]=$E51)/(TableDiv[[Agency]:[Agency]]=$E51)*(ROW(TableDiv[Agency])-ROW(TableDiv[[#Headers],[Agency]])),COLUMNS($F$7:Y$7))))</f>
        <v/>
      </c>
      <c r="Z51" s="2223" t="str" cm="1">
        <f t="array" ref="Z51">IF($D51&lt;COLUMNS($F$7:Z$7),"",INDEX(TableDiv[[GASB]:[GASB]],_xlfn.AGGREGATE(15,3,(TableDiv[[Agency]:[Agency]]=$E51)/(TableDiv[[Agency]:[Agency]]=$E51)*(ROW(TableDiv[Agency])-ROW(TableDiv[[#Headers],[Agency]])),COLUMNS($F$7:Z$7))))</f>
        <v/>
      </c>
      <c r="AA51" s="2223" t="str" cm="1">
        <f t="array" ref="AA51">IF($D51&lt;COLUMNS($F$7:AA$7),"",INDEX(TableDiv[[GASB]:[GASB]],_xlfn.AGGREGATE(15,3,(TableDiv[[Agency]:[Agency]]=$E51)/(TableDiv[[Agency]:[Agency]]=$E51)*(ROW(TableDiv[Agency])-ROW(TableDiv[[#Headers],[Agency]])),COLUMNS($F$7:AA$7))))</f>
        <v/>
      </c>
      <c r="AB51" s="2223" t="str" cm="1">
        <f t="array" ref="AB51">IF($D51&lt;COLUMNS($F$7:AB$7),"",INDEX(TableDiv[[GASB]:[GASB]],_xlfn.AGGREGATE(15,3,(TableDiv[[Agency]:[Agency]]=$E51)/(TableDiv[[Agency]:[Agency]]=$E51)*(ROW(TableDiv[Agency])-ROW(TableDiv[[#Headers],[Agency]])),COLUMNS($F$7:AB$7))))</f>
        <v/>
      </c>
      <c r="AC51" s="2223" t="str" cm="1">
        <f t="array" ref="AC51">IF($D51&lt;COLUMNS($F$7:AC$7),"",INDEX(TableDiv[[GASB]:[GASB]],_xlfn.AGGREGATE(15,3,(TableDiv[[Agency]:[Agency]]=$E51)/(TableDiv[[Agency]:[Agency]]=$E51)*(ROW(TableDiv[Agency])-ROW(TableDiv[[#Headers],[Agency]])),COLUMNS($F$7:AC$7))))</f>
        <v/>
      </c>
      <c r="AD51" s="2223" t="str" cm="1">
        <f t="array" ref="AD51">IF($D51&lt;COLUMNS($F$7:AD$7),"",INDEX(TableDiv[[GASB]:[GASB]],_xlfn.AGGREGATE(15,3,(TableDiv[[Agency]:[Agency]]=$E51)/(TableDiv[[Agency]:[Agency]]=$E51)*(ROW(TableDiv[Agency])-ROW(TableDiv[[#Headers],[Agency]])),COLUMNS($F$7:AD$7))))</f>
        <v/>
      </c>
      <c r="AE51" s="2223" t="str" cm="1">
        <f t="array" ref="AE51">IF($D51&lt;COLUMNS($F$7:AE$7),"",INDEX(TableDiv[[GASB]:[GASB]],_xlfn.AGGREGATE(15,3,(TableDiv[[Agency]:[Agency]]=$E51)/(TableDiv[[Agency]:[Agency]]=$E51)*(ROW(TableDiv[Agency])-ROW(TableDiv[[#Headers],[Agency]])),COLUMNS($F$7:AE$7))))</f>
        <v/>
      </c>
      <c r="AF51" s="2223" t="str" cm="1">
        <f t="array" ref="AF51">IF($D51&lt;COLUMNS($F$7:AF$7),"",INDEX(TableDiv[[GASB]:[GASB]],_xlfn.AGGREGATE(15,3,(TableDiv[[Agency]:[Agency]]=$E51)/(TableDiv[[Agency]:[Agency]]=$E51)*(ROW(TableDiv[Agency])-ROW(TableDiv[[#Headers],[Agency]])),COLUMNS($F$7:AF$7))))</f>
        <v/>
      </c>
      <c r="AG51" s="2223" t="str" cm="1">
        <f t="array" ref="AG51">IF($D51&lt;COLUMNS($F$7:AG$7),"",INDEX(TableDiv[[GASB]:[GASB]],_xlfn.AGGREGATE(15,3,(TableDiv[[Agency]:[Agency]]=$E51)/(TableDiv[[Agency]:[Agency]]=$E51)*(ROW(TableDiv[Agency])-ROW(TableDiv[[#Headers],[Agency]])),COLUMNS($F$7:AG$7))))</f>
        <v/>
      </c>
      <c r="AH51" s="2223" t="str" cm="1">
        <f t="array" ref="AH51">IF($D51&lt;COLUMNS($F$7:AH$7),"",INDEX(TableDiv[[GASB]:[GASB]],_xlfn.AGGREGATE(15,3,(TableDiv[[Agency]:[Agency]]=$E51)/(TableDiv[[Agency]:[Agency]]=$E51)*(ROW(TableDiv[Agency])-ROW(TableDiv[[#Headers],[Agency]])),COLUMNS($F$7:AH$7))))</f>
        <v/>
      </c>
      <c r="AI51" s="2223" t="str" cm="1">
        <f t="array" ref="AI51">IF($D51&lt;COLUMNS($F$7:AI$7),"",INDEX(TableDiv[[GASB]:[GASB]],_xlfn.AGGREGATE(15,3,(TableDiv[[Agency]:[Agency]]=$E51)/(TableDiv[[Agency]:[Agency]]=$E51)*(ROW(TableDiv[Agency])-ROW(TableDiv[[#Headers],[Agency]])),COLUMNS($F$7:AI$7))))</f>
        <v/>
      </c>
      <c r="AJ51" s="2223" t="str" cm="1">
        <f t="array" ref="AJ51">IF($D51&lt;COLUMNS($F$7:AJ$7),"",INDEX(TableDiv[[GASB]:[GASB]],_xlfn.AGGREGATE(15,3,(TableDiv[[Agency]:[Agency]]=$E51)/(TableDiv[[Agency]:[Agency]]=$E51)*(ROW(TableDiv[Agency])-ROW(TableDiv[[#Headers],[Agency]])),COLUMNS($F$7:AJ$7))))</f>
        <v/>
      </c>
      <c r="AK51" s="2223" t="str" cm="1">
        <f t="array" ref="AK51">IF($D51&lt;COLUMNS($F$7:AK$7),"",INDEX(TableDiv[[GASB]:[GASB]],_xlfn.AGGREGATE(15,3,(TableDiv[[Agency]:[Agency]]=$E51)/(TableDiv[[Agency]:[Agency]]=$E51)*(ROW(TableDiv[Agency])-ROW(TableDiv[[#Headers],[Agency]])),COLUMNS($F$7:AK$7))))</f>
        <v/>
      </c>
      <c r="AL51" s="2223" t="str" cm="1">
        <f t="array" ref="AL51">IF($D51&lt;COLUMNS($F$7:AL$7),"",INDEX(TableDiv[[GASB]:[GASB]],_xlfn.AGGREGATE(15,3,(TableDiv[[Agency]:[Agency]]=$E51)/(TableDiv[[Agency]:[Agency]]=$E51)*(ROW(TableDiv[Agency])-ROW(TableDiv[[#Headers],[Agency]])),COLUMNS($F$7:AL$7))))</f>
        <v/>
      </c>
      <c r="AM51" s="2223" t="str" cm="1">
        <f t="array" ref="AM51">IF($D51&lt;COLUMNS($F$7:AM$7),"",INDEX(TableDiv[[GASB]:[GASB]],_xlfn.AGGREGATE(15,3,(TableDiv[[Agency]:[Agency]]=$E51)/(TableDiv[[Agency]:[Agency]]=$E51)*(ROW(TableDiv[Agency])-ROW(TableDiv[[#Headers],[Agency]])),COLUMNS($F$7:AM$7))))</f>
        <v/>
      </c>
      <c r="AN51" s="2223"/>
      <c r="AO51" s="2223"/>
      <c r="AP51" s="2223"/>
      <c r="AQ51" s="2223"/>
      <c r="AR51" s="2223"/>
      <c r="AS51" s="2223"/>
    </row>
    <row r="52" spans="1:45" ht="15" x14ac:dyDescent="0.25">
      <c r="A52" s="2219" t="s">
        <v>5101</v>
      </c>
      <c r="B52" s="2219" t="s">
        <v>6387</v>
      </c>
      <c r="C52" s="2223"/>
      <c r="D52" s="2223">
        <f>COUNTIF(TableDiv[Agency],E52)</f>
        <v>6</v>
      </c>
      <c r="E52" s="2230" t="str" cm="1">
        <f t="array" ref="E52">IFERROR(INDEX(TableDiv[Agency],MATCH(0,INDEX(COUNTIF($E$7:E51,TableDiv[Agency]),),0)),"")</f>
        <v>4000</v>
      </c>
      <c r="F52" s="2223" t="str" cm="1">
        <f t="array" ref="F52">IF($D52&lt;COLUMNS($F$7:F$7),"",INDEX(TableDiv[[GASB]:[GASB]],_xlfn.AGGREGATE(15,3,(TableDiv[[Agency]:[Agency]]=$E52)/(TableDiv[[Agency]:[Agency]]=$E52)*(ROW(TableDiv[Agency])-ROW(TableDiv[[#Headers],[Agency]])),COLUMNS($F$7:F$7))))</f>
        <v>11000G</v>
      </c>
      <c r="G52" s="2223" t="str" cm="1">
        <f t="array" ref="G52">IF($D52&lt;COLUMNS($F$7:G$7),"",INDEX(TableDiv[[GASB]:[GASB]],_xlfn.AGGREGATE(15,3,(TableDiv[[Agency]:[Agency]]=$E52)/(TableDiv[[Agency]:[Agency]]=$E52)*(ROW(TableDiv[Agency])-ROW(TableDiv[[#Headers],[Agency]])),COLUMNS($F$7:G$7))))</f>
        <v>11020G</v>
      </c>
      <c r="H52" s="2223" t="str" cm="1">
        <f t="array" ref="H52">IF($D52&lt;COLUMNS($F$7:H$7),"",INDEX(TableDiv[[GASB]:[GASB]],_xlfn.AGGREGATE(15,3,(TableDiv[[Agency]:[Agency]]=$E52)/(TableDiv[[Agency]:[Agency]]=$E52)*(ROW(TableDiv[Agency])-ROW(TableDiv[[#Headers],[Agency]])),COLUMNS($F$7:H$7))))</f>
        <v>11200G</v>
      </c>
      <c r="I52" s="2223" t="str" cm="1">
        <f t="array" ref="I52">IF($D52&lt;COLUMNS($F$7:I$7),"",INDEX(TableDiv[[GASB]:[GASB]],_xlfn.AGGREGATE(15,3,(TableDiv[[Agency]:[Agency]]=$E52)/(TableDiv[[Agency]:[Agency]]=$E52)*(ROW(TableDiv[Agency])-ROW(TableDiv[[#Headers],[Agency]])),COLUMNS($F$7:I$7))))</f>
        <v>12000G</v>
      </c>
      <c r="J52" s="2223" t="str" cm="1">
        <f t="array" ref="J52">IF($D52&lt;COLUMNS($F$7:J$7),"",INDEX(TableDiv[[GASB]:[GASB]],_xlfn.AGGREGATE(15,3,(TableDiv[[Agency]:[Agency]]=$E52)/(TableDiv[[Agency]:[Agency]]=$E52)*(ROW(TableDiv[Agency])-ROW(TableDiv[[#Headers],[Agency]])),COLUMNS($F$7:J$7))))</f>
        <v>14000G</v>
      </c>
      <c r="K52" s="2223" t="str" cm="1">
        <f t="array" ref="K52">IF($D52&lt;COLUMNS($F$7:K$7),"",INDEX(TableDiv[[GASB]:[GASB]],_xlfn.AGGREGATE(15,3,(TableDiv[[Agency]:[Agency]]=$E52)/(TableDiv[[Agency]:[Agency]]=$E52)*(ROW(TableDiv[Agency])-ROW(TableDiv[[#Headers],[Agency]])),COLUMNS($F$7:K$7))))</f>
        <v>14260G</v>
      </c>
      <c r="L52" s="2223" t="str" cm="1">
        <f t="array" ref="L52">IF($D52&lt;COLUMNS($F$7:L$7),"",INDEX(TableDiv[[GASB]:[GASB]],_xlfn.AGGREGATE(15,3,(TableDiv[[Agency]:[Agency]]=$E52)/(TableDiv[[Agency]:[Agency]]=$E52)*(ROW(TableDiv[Agency])-ROW(TableDiv[[#Headers],[Agency]])),COLUMNS($F$7:L$7))))</f>
        <v/>
      </c>
      <c r="M52" s="2223" t="str" cm="1">
        <f t="array" ref="M52">IF($D52&lt;COLUMNS($F$7:M$7),"",INDEX(TableDiv[[GASB]:[GASB]],_xlfn.AGGREGATE(15,3,(TableDiv[[Agency]:[Agency]]=$E52)/(TableDiv[[Agency]:[Agency]]=$E52)*(ROW(TableDiv[Agency])-ROW(TableDiv[[#Headers],[Agency]])),COLUMNS($F$7:M$7))))</f>
        <v/>
      </c>
      <c r="N52" s="2223" t="str" cm="1">
        <f t="array" ref="N52">IF($D52&lt;COLUMNS($F$7:N$7),"",INDEX(TableDiv[[GASB]:[GASB]],_xlfn.AGGREGATE(15,3,(TableDiv[[Agency]:[Agency]]=$E52)/(TableDiv[[Agency]:[Agency]]=$E52)*(ROW(TableDiv[Agency])-ROW(TableDiv[[#Headers],[Agency]])),COLUMNS($F$7:N$7))))</f>
        <v/>
      </c>
      <c r="O52" s="2223" t="str" cm="1">
        <f t="array" ref="O52">IF($D52&lt;COLUMNS($F$7:O$7),"",INDEX(TableDiv[[GASB]:[GASB]],_xlfn.AGGREGATE(15,3,(TableDiv[[Agency]:[Agency]]=$E52)/(TableDiv[[Agency]:[Agency]]=$E52)*(ROW(TableDiv[Agency])-ROW(TableDiv[[#Headers],[Agency]])),COLUMNS($F$7:O$7))))</f>
        <v/>
      </c>
      <c r="P52" s="2223" t="str" cm="1">
        <f t="array" ref="P52">IF($D52&lt;COLUMNS($F$7:P$7),"",INDEX(TableDiv[[GASB]:[GASB]],_xlfn.AGGREGATE(15,3,(TableDiv[[Agency]:[Agency]]=$E52)/(TableDiv[[Agency]:[Agency]]=$E52)*(ROW(TableDiv[Agency])-ROW(TableDiv[[#Headers],[Agency]])),COLUMNS($F$7:P$7))))</f>
        <v/>
      </c>
      <c r="Q52" s="2223" t="str" cm="1">
        <f t="array" ref="Q52">IF($D52&lt;COLUMNS($F$7:Q$7),"",INDEX(TableDiv[[GASB]:[GASB]],_xlfn.AGGREGATE(15,3,(TableDiv[[Agency]:[Agency]]=$E52)/(TableDiv[[Agency]:[Agency]]=$E52)*(ROW(TableDiv[Agency])-ROW(TableDiv[[#Headers],[Agency]])),COLUMNS($F$7:Q$7))))</f>
        <v/>
      </c>
      <c r="R52" s="2223" t="str" cm="1">
        <f t="array" ref="R52">IF($D52&lt;COLUMNS($F$7:R$7),"",INDEX(TableDiv[[GASB]:[GASB]],_xlfn.AGGREGATE(15,3,(TableDiv[[Agency]:[Agency]]=$E52)/(TableDiv[[Agency]:[Agency]]=$E52)*(ROW(TableDiv[Agency])-ROW(TableDiv[[#Headers],[Agency]])),COLUMNS($F$7:R$7))))</f>
        <v/>
      </c>
      <c r="S52" s="2223" t="str" cm="1">
        <f t="array" ref="S52">IF($D52&lt;COLUMNS($F$7:S$7),"",INDEX(TableDiv[[GASB]:[GASB]],_xlfn.AGGREGATE(15,3,(TableDiv[[Agency]:[Agency]]=$E52)/(TableDiv[[Agency]:[Agency]]=$E52)*(ROW(TableDiv[Agency])-ROW(TableDiv[[#Headers],[Agency]])),COLUMNS($F$7:S$7))))</f>
        <v/>
      </c>
      <c r="T52" s="2223" t="str" cm="1">
        <f t="array" ref="T52">IF($D52&lt;COLUMNS($F$7:T$7),"",INDEX(TableDiv[[GASB]:[GASB]],_xlfn.AGGREGATE(15,3,(TableDiv[[Agency]:[Agency]]=$E52)/(TableDiv[[Agency]:[Agency]]=$E52)*(ROW(TableDiv[Agency])-ROW(TableDiv[[#Headers],[Agency]])),COLUMNS($F$7:T$7))))</f>
        <v/>
      </c>
      <c r="U52" s="2223" t="str" cm="1">
        <f t="array" ref="U52">IF($D52&lt;COLUMNS($F$7:U$7),"",INDEX(TableDiv[[GASB]:[GASB]],_xlfn.AGGREGATE(15,3,(TableDiv[[Agency]:[Agency]]=$E52)/(TableDiv[[Agency]:[Agency]]=$E52)*(ROW(TableDiv[Agency])-ROW(TableDiv[[#Headers],[Agency]])),COLUMNS($F$7:U$7))))</f>
        <v/>
      </c>
      <c r="V52" s="2223" t="str" cm="1">
        <f t="array" ref="V52">IF($D52&lt;COLUMNS($F$7:V$7),"",INDEX(TableDiv[[GASB]:[GASB]],_xlfn.AGGREGATE(15,3,(TableDiv[[Agency]:[Agency]]=$E52)/(TableDiv[[Agency]:[Agency]]=$E52)*(ROW(TableDiv[Agency])-ROW(TableDiv[[#Headers],[Agency]])),COLUMNS($F$7:V$7))))</f>
        <v/>
      </c>
      <c r="W52" s="2223" t="str" cm="1">
        <f t="array" ref="W52">IF($D52&lt;COLUMNS($F$7:W$7),"",INDEX(TableDiv[[GASB]:[GASB]],_xlfn.AGGREGATE(15,3,(TableDiv[[Agency]:[Agency]]=$E52)/(TableDiv[[Agency]:[Agency]]=$E52)*(ROW(TableDiv[Agency])-ROW(TableDiv[[#Headers],[Agency]])),COLUMNS($F$7:W$7))))</f>
        <v/>
      </c>
      <c r="X52" s="2223" t="str" cm="1">
        <f t="array" ref="X52">IF($D52&lt;COLUMNS($F$7:X$7),"",INDEX(TableDiv[[GASB]:[GASB]],_xlfn.AGGREGATE(15,3,(TableDiv[[Agency]:[Agency]]=$E52)/(TableDiv[[Agency]:[Agency]]=$E52)*(ROW(TableDiv[Agency])-ROW(TableDiv[[#Headers],[Agency]])),COLUMNS($F$7:X$7))))</f>
        <v/>
      </c>
      <c r="Y52" s="2223" t="str" cm="1">
        <f t="array" ref="Y52">IF($D52&lt;COLUMNS($F$7:Y$7),"",INDEX(TableDiv[[GASB]:[GASB]],_xlfn.AGGREGATE(15,3,(TableDiv[[Agency]:[Agency]]=$E52)/(TableDiv[[Agency]:[Agency]]=$E52)*(ROW(TableDiv[Agency])-ROW(TableDiv[[#Headers],[Agency]])),COLUMNS($F$7:Y$7))))</f>
        <v/>
      </c>
      <c r="Z52" s="2223" t="str" cm="1">
        <f t="array" ref="Z52">IF($D52&lt;COLUMNS($F$7:Z$7),"",INDEX(TableDiv[[GASB]:[GASB]],_xlfn.AGGREGATE(15,3,(TableDiv[[Agency]:[Agency]]=$E52)/(TableDiv[[Agency]:[Agency]]=$E52)*(ROW(TableDiv[Agency])-ROW(TableDiv[[#Headers],[Agency]])),COLUMNS($F$7:Z$7))))</f>
        <v/>
      </c>
      <c r="AA52" s="2223" t="str" cm="1">
        <f t="array" ref="AA52">IF($D52&lt;COLUMNS($F$7:AA$7),"",INDEX(TableDiv[[GASB]:[GASB]],_xlfn.AGGREGATE(15,3,(TableDiv[[Agency]:[Agency]]=$E52)/(TableDiv[[Agency]:[Agency]]=$E52)*(ROW(TableDiv[Agency])-ROW(TableDiv[[#Headers],[Agency]])),COLUMNS($F$7:AA$7))))</f>
        <v/>
      </c>
      <c r="AB52" s="2223" t="str" cm="1">
        <f t="array" ref="AB52">IF($D52&lt;COLUMNS($F$7:AB$7),"",INDEX(TableDiv[[GASB]:[GASB]],_xlfn.AGGREGATE(15,3,(TableDiv[[Agency]:[Agency]]=$E52)/(TableDiv[[Agency]:[Agency]]=$E52)*(ROW(TableDiv[Agency])-ROW(TableDiv[[#Headers],[Agency]])),COLUMNS($F$7:AB$7))))</f>
        <v/>
      </c>
      <c r="AC52" s="2223" t="str" cm="1">
        <f t="array" ref="AC52">IF($D52&lt;COLUMNS($F$7:AC$7),"",INDEX(TableDiv[[GASB]:[GASB]],_xlfn.AGGREGATE(15,3,(TableDiv[[Agency]:[Agency]]=$E52)/(TableDiv[[Agency]:[Agency]]=$E52)*(ROW(TableDiv[Agency])-ROW(TableDiv[[#Headers],[Agency]])),COLUMNS($F$7:AC$7))))</f>
        <v/>
      </c>
      <c r="AD52" s="2223" t="str" cm="1">
        <f t="array" ref="AD52">IF($D52&lt;COLUMNS($F$7:AD$7),"",INDEX(TableDiv[[GASB]:[GASB]],_xlfn.AGGREGATE(15,3,(TableDiv[[Agency]:[Agency]]=$E52)/(TableDiv[[Agency]:[Agency]]=$E52)*(ROW(TableDiv[Agency])-ROW(TableDiv[[#Headers],[Agency]])),COLUMNS($F$7:AD$7))))</f>
        <v/>
      </c>
      <c r="AE52" s="2223" t="str" cm="1">
        <f t="array" ref="AE52">IF($D52&lt;COLUMNS($F$7:AE$7),"",INDEX(TableDiv[[GASB]:[GASB]],_xlfn.AGGREGATE(15,3,(TableDiv[[Agency]:[Agency]]=$E52)/(TableDiv[[Agency]:[Agency]]=$E52)*(ROW(TableDiv[Agency])-ROW(TableDiv[[#Headers],[Agency]])),COLUMNS($F$7:AE$7))))</f>
        <v/>
      </c>
      <c r="AF52" s="2223" t="str" cm="1">
        <f t="array" ref="AF52">IF($D52&lt;COLUMNS($F$7:AF$7),"",INDEX(TableDiv[[GASB]:[GASB]],_xlfn.AGGREGATE(15,3,(TableDiv[[Agency]:[Agency]]=$E52)/(TableDiv[[Agency]:[Agency]]=$E52)*(ROW(TableDiv[Agency])-ROW(TableDiv[[#Headers],[Agency]])),COLUMNS($F$7:AF$7))))</f>
        <v/>
      </c>
      <c r="AG52" s="2223" t="str" cm="1">
        <f t="array" ref="AG52">IF($D52&lt;COLUMNS($F$7:AG$7),"",INDEX(TableDiv[[GASB]:[GASB]],_xlfn.AGGREGATE(15,3,(TableDiv[[Agency]:[Agency]]=$E52)/(TableDiv[[Agency]:[Agency]]=$E52)*(ROW(TableDiv[Agency])-ROW(TableDiv[[#Headers],[Agency]])),COLUMNS($F$7:AG$7))))</f>
        <v/>
      </c>
      <c r="AH52" s="2223" t="str" cm="1">
        <f t="array" ref="AH52">IF($D52&lt;COLUMNS($F$7:AH$7),"",INDEX(TableDiv[[GASB]:[GASB]],_xlfn.AGGREGATE(15,3,(TableDiv[[Agency]:[Agency]]=$E52)/(TableDiv[[Agency]:[Agency]]=$E52)*(ROW(TableDiv[Agency])-ROW(TableDiv[[#Headers],[Agency]])),COLUMNS($F$7:AH$7))))</f>
        <v/>
      </c>
      <c r="AI52" s="2223" t="str" cm="1">
        <f t="array" ref="AI52">IF($D52&lt;COLUMNS($F$7:AI$7),"",INDEX(TableDiv[[GASB]:[GASB]],_xlfn.AGGREGATE(15,3,(TableDiv[[Agency]:[Agency]]=$E52)/(TableDiv[[Agency]:[Agency]]=$E52)*(ROW(TableDiv[Agency])-ROW(TableDiv[[#Headers],[Agency]])),COLUMNS($F$7:AI$7))))</f>
        <v/>
      </c>
      <c r="AJ52" s="2223" t="str" cm="1">
        <f t="array" ref="AJ52">IF($D52&lt;COLUMNS($F$7:AJ$7),"",INDEX(TableDiv[[GASB]:[GASB]],_xlfn.AGGREGATE(15,3,(TableDiv[[Agency]:[Agency]]=$E52)/(TableDiv[[Agency]:[Agency]]=$E52)*(ROW(TableDiv[Agency])-ROW(TableDiv[[#Headers],[Agency]])),COLUMNS($F$7:AJ$7))))</f>
        <v/>
      </c>
      <c r="AK52" s="2223" t="str" cm="1">
        <f t="array" ref="AK52">IF($D52&lt;COLUMNS($F$7:AK$7),"",INDEX(TableDiv[[GASB]:[GASB]],_xlfn.AGGREGATE(15,3,(TableDiv[[Agency]:[Agency]]=$E52)/(TableDiv[[Agency]:[Agency]]=$E52)*(ROW(TableDiv[Agency])-ROW(TableDiv[[#Headers],[Agency]])),COLUMNS($F$7:AK$7))))</f>
        <v/>
      </c>
      <c r="AL52" s="2223" t="str" cm="1">
        <f t="array" ref="AL52">IF($D52&lt;COLUMNS($F$7:AL$7),"",INDEX(TableDiv[[GASB]:[GASB]],_xlfn.AGGREGATE(15,3,(TableDiv[[Agency]:[Agency]]=$E52)/(TableDiv[[Agency]:[Agency]]=$E52)*(ROW(TableDiv[Agency])-ROW(TableDiv[[#Headers],[Agency]])),COLUMNS($F$7:AL$7))))</f>
        <v/>
      </c>
      <c r="AM52" s="2223" t="str" cm="1">
        <f t="array" ref="AM52">IF($D52&lt;COLUMNS($F$7:AM$7),"",INDEX(TableDiv[[GASB]:[GASB]],_xlfn.AGGREGATE(15,3,(TableDiv[[Agency]:[Agency]]=$E52)/(TableDiv[[Agency]:[Agency]]=$E52)*(ROW(TableDiv[Agency])-ROW(TableDiv[[#Headers],[Agency]])),COLUMNS($F$7:AM$7))))</f>
        <v/>
      </c>
      <c r="AN52" s="2223"/>
      <c r="AO52" s="2223"/>
      <c r="AP52" s="2223"/>
      <c r="AQ52" s="2223"/>
      <c r="AR52" s="2223"/>
      <c r="AS52" s="2223"/>
    </row>
    <row r="53" spans="1:45" ht="15" x14ac:dyDescent="0.25">
      <c r="A53" s="2219" t="s">
        <v>5101</v>
      </c>
      <c r="B53" s="2219" t="s">
        <v>6388</v>
      </c>
      <c r="C53" s="2223"/>
      <c r="D53" s="2223">
        <f>COUNTIF(TableDiv[Agency],E53)</f>
        <v>8</v>
      </c>
      <c r="E53" s="2230" t="str" cm="1">
        <f t="array" ref="E53">IFERROR(INDEX(TableDiv[Agency],MATCH(0,INDEX(COUNTIF($E$7:E52,TableDiv[Agency]),),0)),"")</f>
        <v>4100</v>
      </c>
      <c r="F53" s="2223" t="str" cm="1">
        <f t="array" ref="F53">IF($D53&lt;COLUMNS($F$7:F$7),"",INDEX(TableDiv[[GASB]:[GASB]],_xlfn.AGGREGATE(15,3,(TableDiv[[Agency]:[Agency]]=$E53)/(TableDiv[[Agency]:[Agency]]=$E53)*(ROW(TableDiv[Agency])-ROW(TableDiv[[#Headers],[Agency]])),COLUMNS($F$7:F$7))))</f>
        <v>11000G</v>
      </c>
      <c r="G53" s="2223" t="str" cm="1">
        <f t="array" ref="G53">IF($D53&lt;COLUMNS($F$7:G$7),"",INDEX(TableDiv[[GASB]:[GASB]],_xlfn.AGGREGATE(15,3,(TableDiv[[Agency]:[Agency]]=$E53)/(TableDiv[[Agency]:[Agency]]=$E53)*(ROW(TableDiv[Agency])-ROW(TableDiv[[#Headers],[Agency]])),COLUMNS($F$7:G$7))))</f>
        <v>11190G</v>
      </c>
      <c r="H53" s="2223" t="str" cm="1">
        <f t="array" ref="H53">IF($D53&lt;COLUMNS($F$7:H$7),"",INDEX(TableDiv[[GASB]:[GASB]],_xlfn.AGGREGATE(15,3,(TableDiv[[Agency]:[Agency]]=$E53)/(TableDiv[[Agency]:[Agency]]=$E53)*(ROW(TableDiv[Agency])-ROW(TableDiv[[#Headers],[Agency]])),COLUMNS($F$7:H$7))))</f>
        <v>12000G</v>
      </c>
      <c r="I53" s="2223" t="str" cm="1">
        <f t="array" ref="I53">IF($D53&lt;COLUMNS($F$7:I$7),"",INDEX(TableDiv[[GASB]:[GASB]],_xlfn.AGGREGATE(15,3,(TableDiv[[Agency]:[Agency]]=$E53)/(TableDiv[[Agency]:[Agency]]=$E53)*(ROW(TableDiv[Agency])-ROW(TableDiv[[#Headers],[Agency]])),COLUMNS($F$7:I$7))))</f>
        <v>13260G</v>
      </c>
      <c r="J53" s="2223" t="str" cm="1">
        <f t="array" ref="J53">IF($D53&lt;COLUMNS($F$7:J$7),"",INDEX(TableDiv[[GASB]:[GASB]],_xlfn.AGGREGATE(15,3,(TableDiv[[Agency]:[Agency]]=$E53)/(TableDiv[[Agency]:[Agency]]=$E53)*(ROW(TableDiv[Agency])-ROW(TableDiv[[#Headers],[Agency]])),COLUMNS($F$7:J$7))))</f>
        <v>13610G</v>
      </c>
      <c r="K53" s="2223" t="str" cm="1">
        <f t="array" ref="K53">IF($D53&lt;COLUMNS($F$7:K$7),"",INDEX(TableDiv[[GASB]:[GASB]],_xlfn.AGGREGATE(15,3,(TableDiv[[Agency]:[Agency]]=$E53)/(TableDiv[[Agency]:[Agency]]=$E53)*(ROW(TableDiv[Agency])-ROW(TableDiv[[#Headers],[Agency]])),COLUMNS($F$7:K$7))))</f>
        <v>14000G</v>
      </c>
      <c r="L53" s="2223" t="str" cm="1">
        <f t="array" ref="L53">IF($D53&lt;COLUMNS($F$7:L$7),"",INDEX(TableDiv[[GASB]:[GASB]],_xlfn.AGGREGATE(15,3,(TableDiv[[Agency]:[Agency]]=$E53)/(TableDiv[[Agency]:[Agency]]=$E53)*(ROW(TableDiv[Agency])-ROW(TableDiv[[#Headers],[Agency]])),COLUMNS($F$7:L$7))))</f>
        <v>27300G</v>
      </c>
      <c r="M53" s="2223" t="str" cm="1">
        <f t="array" ref="M53">IF($D53&lt;COLUMNS($F$7:M$7),"",INDEX(TableDiv[[GASB]:[GASB]],_xlfn.AGGREGATE(15,3,(TableDiv[[Agency]:[Agency]]=$E53)/(TableDiv[[Agency]:[Agency]]=$E53)*(ROW(TableDiv[Agency])-ROW(TableDiv[[#Headers],[Agency]])),COLUMNS($F$7:M$7))))</f>
        <v>27310G</v>
      </c>
      <c r="N53" s="2223" t="str" cm="1">
        <f t="array" ref="N53">IF($D53&lt;COLUMNS($F$7:N$7),"",INDEX(TableDiv[[GASB]:[GASB]],_xlfn.AGGREGATE(15,3,(TableDiv[[Agency]:[Agency]]=$E53)/(TableDiv[[Agency]:[Agency]]=$E53)*(ROW(TableDiv[Agency])-ROW(TableDiv[[#Headers],[Agency]])),COLUMNS($F$7:N$7))))</f>
        <v/>
      </c>
      <c r="O53" s="2223" t="str" cm="1">
        <f t="array" ref="O53">IF($D53&lt;COLUMNS($F$7:O$7),"",INDEX(TableDiv[[GASB]:[GASB]],_xlfn.AGGREGATE(15,3,(TableDiv[[Agency]:[Agency]]=$E53)/(TableDiv[[Agency]:[Agency]]=$E53)*(ROW(TableDiv[Agency])-ROW(TableDiv[[#Headers],[Agency]])),COLUMNS($F$7:O$7))))</f>
        <v/>
      </c>
      <c r="P53" s="2223" t="str" cm="1">
        <f t="array" ref="P53">IF($D53&lt;COLUMNS($F$7:P$7),"",INDEX(TableDiv[[GASB]:[GASB]],_xlfn.AGGREGATE(15,3,(TableDiv[[Agency]:[Agency]]=$E53)/(TableDiv[[Agency]:[Agency]]=$E53)*(ROW(TableDiv[Agency])-ROW(TableDiv[[#Headers],[Agency]])),COLUMNS($F$7:P$7))))</f>
        <v/>
      </c>
      <c r="Q53" s="2223" t="str" cm="1">
        <f t="array" ref="Q53">IF($D53&lt;COLUMNS($F$7:Q$7),"",INDEX(TableDiv[[GASB]:[GASB]],_xlfn.AGGREGATE(15,3,(TableDiv[[Agency]:[Agency]]=$E53)/(TableDiv[[Agency]:[Agency]]=$E53)*(ROW(TableDiv[Agency])-ROW(TableDiv[[#Headers],[Agency]])),COLUMNS($F$7:Q$7))))</f>
        <v/>
      </c>
      <c r="R53" s="2223" t="str" cm="1">
        <f t="array" ref="R53">IF($D53&lt;COLUMNS($F$7:R$7),"",INDEX(TableDiv[[GASB]:[GASB]],_xlfn.AGGREGATE(15,3,(TableDiv[[Agency]:[Agency]]=$E53)/(TableDiv[[Agency]:[Agency]]=$E53)*(ROW(TableDiv[Agency])-ROW(TableDiv[[#Headers],[Agency]])),COLUMNS($F$7:R$7))))</f>
        <v/>
      </c>
      <c r="S53" s="2223" t="str" cm="1">
        <f t="array" ref="S53">IF($D53&lt;COLUMNS($F$7:S$7),"",INDEX(TableDiv[[GASB]:[GASB]],_xlfn.AGGREGATE(15,3,(TableDiv[[Agency]:[Agency]]=$E53)/(TableDiv[[Agency]:[Agency]]=$E53)*(ROW(TableDiv[Agency])-ROW(TableDiv[[#Headers],[Agency]])),COLUMNS($F$7:S$7))))</f>
        <v/>
      </c>
      <c r="T53" s="2223" t="str" cm="1">
        <f t="array" ref="T53">IF($D53&lt;COLUMNS($F$7:T$7),"",INDEX(TableDiv[[GASB]:[GASB]],_xlfn.AGGREGATE(15,3,(TableDiv[[Agency]:[Agency]]=$E53)/(TableDiv[[Agency]:[Agency]]=$E53)*(ROW(TableDiv[Agency])-ROW(TableDiv[[#Headers],[Agency]])),COLUMNS($F$7:T$7))))</f>
        <v/>
      </c>
      <c r="U53" s="2223" t="str" cm="1">
        <f t="array" ref="U53">IF($D53&lt;COLUMNS($F$7:U$7),"",INDEX(TableDiv[[GASB]:[GASB]],_xlfn.AGGREGATE(15,3,(TableDiv[[Agency]:[Agency]]=$E53)/(TableDiv[[Agency]:[Agency]]=$E53)*(ROW(TableDiv[Agency])-ROW(TableDiv[[#Headers],[Agency]])),COLUMNS($F$7:U$7))))</f>
        <v/>
      </c>
      <c r="V53" s="2223" t="str" cm="1">
        <f t="array" ref="V53">IF($D53&lt;COLUMNS($F$7:V$7),"",INDEX(TableDiv[[GASB]:[GASB]],_xlfn.AGGREGATE(15,3,(TableDiv[[Agency]:[Agency]]=$E53)/(TableDiv[[Agency]:[Agency]]=$E53)*(ROW(TableDiv[Agency])-ROW(TableDiv[[#Headers],[Agency]])),COLUMNS($F$7:V$7))))</f>
        <v/>
      </c>
      <c r="W53" s="2223" t="str" cm="1">
        <f t="array" ref="W53">IF($D53&lt;COLUMNS($F$7:W$7),"",INDEX(TableDiv[[GASB]:[GASB]],_xlfn.AGGREGATE(15,3,(TableDiv[[Agency]:[Agency]]=$E53)/(TableDiv[[Agency]:[Agency]]=$E53)*(ROW(TableDiv[Agency])-ROW(TableDiv[[#Headers],[Agency]])),COLUMNS($F$7:W$7))))</f>
        <v/>
      </c>
      <c r="X53" s="2223" t="str" cm="1">
        <f t="array" ref="X53">IF($D53&lt;COLUMNS($F$7:X$7),"",INDEX(TableDiv[[GASB]:[GASB]],_xlfn.AGGREGATE(15,3,(TableDiv[[Agency]:[Agency]]=$E53)/(TableDiv[[Agency]:[Agency]]=$E53)*(ROW(TableDiv[Agency])-ROW(TableDiv[[#Headers],[Agency]])),COLUMNS($F$7:X$7))))</f>
        <v/>
      </c>
      <c r="Y53" s="2223" t="str" cm="1">
        <f t="array" ref="Y53">IF($D53&lt;COLUMNS($F$7:Y$7),"",INDEX(TableDiv[[GASB]:[GASB]],_xlfn.AGGREGATE(15,3,(TableDiv[[Agency]:[Agency]]=$E53)/(TableDiv[[Agency]:[Agency]]=$E53)*(ROW(TableDiv[Agency])-ROW(TableDiv[[#Headers],[Agency]])),COLUMNS($F$7:Y$7))))</f>
        <v/>
      </c>
      <c r="Z53" s="2223" t="str" cm="1">
        <f t="array" ref="Z53">IF($D53&lt;COLUMNS($F$7:Z$7),"",INDEX(TableDiv[[GASB]:[GASB]],_xlfn.AGGREGATE(15,3,(TableDiv[[Agency]:[Agency]]=$E53)/(TableDiv[[Agency]:[Agency]]=$E53)*(ROW(TableDiv[Agency])-ROW(TableDiv[[#Headers],[Agency]])),COLUMNS($F$7:Z$7))))</f>
        <v/>
      </c>
      <c r="AA53" s="2223" t="str" cm="1">
        <f t="array" ref="AA53">IF($D53&lt;COLUMNS($F$7:AA$7),"",INDEX(TableDiv[[GASB]:[GASB]],_xlfn.AGGREGATE(15,3,(TableDiv[[Agency]:[Agency]]=$E53)/(TableDiv[[Agency]:[Agency]]=$E53)*(ROW(TableDiv[Agency])-ROW(TableDiv[[#Headers],[Agency]])),COLUMNS($F$7:AA$7))))</f>
        <v/>
      </c>
      <c r="AB53" s="2223" t="str" cm="1">
        <f t="array" ref="AB53">IF($D53&lt;COLUMNS($F$7:AB$7),"",INDEX(TableDiv[[GASB]:[GASB]],_xlfn.AGGREGATE(15,3,(TableDiv[[Agency]:[Agency]]=$E53)/(TableDiv[[Agency]:[Agency]]=$E53)*(ROW(TableDiv[Agency])-ROW(TableDiv[[#Headers],[Agency]])),COLUMNS($F$7:AB$7))))</f>
        <v/>
      </c>
      <c r="AC53" s="2223" t="str" cm="1">
        <f t="array" ref="AC53">IF($D53&lt;COLUMNS($F$7:AC$7),"",INDEX(TableDiv[[GASB]:[GASB]],_xlfn.AGGREGATE(15,3,(TableDiv[[Agency]:[Agency]]=$E53)/(TableDiv[[Agency]:[Agency]]=$E53)*(ROW(TableDiv[Agency])-ROW(TableDiv[[#Headers],[Agency]])),COLUMNS($F$7:AC$7))))</f>
        <v/>
      </c>
      <c r="AD53" s="2223" t="str" cm="1">
        <f t="array" ref="AD53">IF($D53&lt;COLUMNS($F$7:AD$7),"",INDEX(TableDiv[[GASB]:[GASB]],_xlfn.AGGREGATE(15,3,(TableDiv[[Agency]:[Agency]]=$E53)/(TableDiv[[Agency]:[Agency]]=$E53)*(ROW(TableDiv[Agency])-ROW(TableDiv[[#Headers],[Agency]])),COLUMNS($F$7:AD$7))))</f>
        <v/>
      </c>
      <c r="AE53" s="2223" t="str" cm="1">
        <f t="array" ref="AE53">IF($D53&lt;COLUMNS($F$7:AE$7),"",INDEX(TableDiv[[GASB]:[GASB]],_xlfn.AGGREGATE(15,3,(TableDiv[[Agency]:[Agency]]=$E53)/(TableDiv[[Agency]:[Agency]]=$E53)*(ROW(TableDiv[Agency])-ROW(TableDiv[[#Headers],[Agency]])),COLUMNS($F$7:AE$7))))</f>
        <v/>
      </c>
      <c r="AF53" s="2223" t="str" cm="1">
        <f t="array" ref="AF53">IF($D53&lt;COLUMNS($F$7:AF$7),"",INDEX(TableDiv[[GASB]:[GASB]],_xlfn.AGGREGATE(15,3,(TableDiv[[Agency]:[Agency]]=$E53)/(TableDiv[[Agency]:[Agency]]=$E53)*(ROW(TableDiv[Agency])-ROW(TableDiv[[#Headers],[Agency]])),COLUMNS($F$7:AF$7))))</f>
        <v/>
      </c>
      <c r="AG53" s="2223" t="str" cm="1">
        <f t="array" ref="AG53">IF($D53&lt;COLUMNS($F$7:AG$7),"",INDEX(TableDiv[[GASB]:[GASB]],_xlfn.AGGREGATE(15,3,(TableDiv[[Agency]:[Agency]]=$E53)/(TableDiv[[Agency]:[Agency]]=$E53)*(ROW(TableDiv[Agency])-ROW(TableDiv[[#Headers],[Agency]])),COLUMNS($F$7:AG$7))))</f>
        <v/>
      </c>
      <c r="AH53" s="2223" t="str" cm="1">
        <f t="array" ref="AH53">IF($D53&lt;COLUMNS($F$7:AH$7),"",INDEX(TableDiv[[GASB]:[GASB]],_xlfn.AGGREGATE(15,3,(TableDiv[[Agency]:[Agency]]=$E53)/(TableDiv[[Agency]:[Agency]]=$E53)*(ROW(TableDiv[Agency])-ROW(TableDiv[[#Headers],[Agency]])),COLUMNS($F$7:AH$7))))</f>
        <v/>
      </c>
      <c r="AI53" s="2223" t="str" cm="1">
        <f t="array" ref="AI53">IF($D53&lt;COLUMNS($F$7:AI$7),"",INDEX(TableDiv[[GASB]:[GASB]],_xlfn.AGGREGATE(15,3,(TableDiv[[Agency]:[Agency]]=$E53)/(TableDiv[[Agency]:[Agency]]=$E53)*(ROW(TableDiv[Agency])-ROW(TableDiv[[#Headers],[Agency]])),COLUMNS($F$7:AI$7))))</f>
        <v/>
      </c>
      <c r="AJ53" s="2223" t="str" cm="1">
        <f t="array" ref="AJ53">IF($D53&lt;COLUMNS($F$7:AJ$7),"",INDEX(TableDiv[[GASB]:[GASB]],_xlfn.AGGREGATE(15,3,(TableDiv[[Agency]:[Agency]]=$E53)/(TableDiv[[Agency]:[Agency]]=$E53)*(ROW(TableDiv[Agency])-ROW(TableDiv[[#Headers],[Agency]])),COLUMNS($F$7:AJ$7))))</f>
        <v/>
      </c>
      <c r="AK53" s="2223" t="str" cm="1">
        <f t="array" ref="AK53">IF($D53&lt;COLUMNS($F$7:AK$7),"",INDEX(TableDiv[[GASB]:[GASB]],_xlfn.AGGREGATE(15,3,(TableDiv[[Agency]:[Agency]]=$E53)/(TableDiv[[Agency]:[Agency]]=$E53)*(ROW(TableDiv[Agency])-ROW(TableDiv[[#Headers],[Agency]])),COLUMNS($F$7:AK$7))))</f>
        <v/>
      </c>
      <c r="AL53" s="2223" t="str" cm="1">
        <f t="array" ref="AL53">IF($D53&lt;COLUMNS($F$7:AL$7),"",INDEX(TableDiv[[GASB]:[GASB]],_xlfn.AGGREGATE(15,3,(TableDiv[[Agency]:[Agency]]=$E53)/(TableDiv[[Agency]:[Agency]]=$E53)*(ROW(TableDiv[Agency])-ROW(TableDiv[[#Headers],[Agency]])),COLUMNS($F$7:AL$7))))</f>
        <v/>
      </c>
      <c r="AM53" s="2223" t="str" cm="1">
        <f t="array" ref="AM53">IF($D53&lt;COLUMNS($F$7:AM$7),"",INDEX(TableDiv[[GASB]:[GASB]],_xlfn.AGGREGATE(15,3,(TableDiv[[Agency]:[Agency]]=$E53)/(TableDiv[[Agency]:[Agency]]=$E53)*(ROW(TableDiv[Agency])-ROW(TableDiv[[#Headers],[Agency]])),COLUMNS($F$7:AM$7))))</f>
        <v/>
      </c>
      <c r="AN53" s="2223"/>
      <c r="AO53" s="2223"/>
      <c r="AP53" s="2223"/>
      <c r="AQ53" s="2223"/>
      <c r="AR53" s="2223"/>
      <c r="AS53" s="2223"/>
    </row>
    <row r="54" spans="1:45" ht="15" x14ac:dyDescent="0.25">
      <c r="A54" s="2219" t="s">
        <v>5101</v>
      </c>
      <c r="B54" s="2219" t="s">
        <v>6389</v>
      </c>
      <c r="C54" s="2223"/>
      <c r="D54" s="2223">
        <f>COUNTIF(TableDiv[Agency],E54)</f>
        <v>16</v>
      </c>
      <c r="E54" s="2230" t="str" cm="1">
        <f t="array" ref="E54">IFERROR(INDEX(TableDiv[Agency],MATCH(0,INDEX(COUNTIF($E$7:E53,TableDiv[Agency]),),0)),"")</f>
        <v>4300</v>
      </c>
      <c r="F54" s="2223" t="str" cm="1">
        <f t="array" ref="F54">IF($D54&lt;COLUMNS($F$7:F$7),"",INDEX(TableDiv[[GASB]:[GASB]],_xlfn.AGGREGATE(15,3,(TableDiv[[Agency]:[Agency]]=$E54)/(TableDiv[[Agency]:[Agency]]=$E54)*(ROW(TableDiv[Agency])-ROW(TableDiv[[#Headers],[Agency]])),COLUMNS($F$7:F$7))))</f>
        <v>11000G</v>
      </c>
      <c r="G54" s="2223" t="str" cm="1">
        <f t="array" ref="G54">IF($D54&lt;COLUMNS($F$7:G$7),"",INDEX(TableDiv[[GASB]:[GASB]],_xlfn.AGGREGATE(15,3,(TableDiv[[Agency]:[Agency]]=$E54)/(TableDiv[[Agency]:[Agency]]=$E54)*(ROW(TableDiv[Agency])-ROW(TableDiv[[#Headers],[Agency]])),COLUMNS($F$7:G$7))))</f>
        <v>11020G</v>
      </c>
      <c r="H54" s="2223" t="str" cm="1">
        <f t="array" ref="H54">IF($D54&lt;COLUMNS($F$7:H$7),"",INDEX(TableDiv[[GASB]:[GASB]],_xlfn.AGGREGATE(15,3,(TableDiv[[Agency]:[Agency]]=$E54)/(TableDiv[[Agency]:[Agency]]=$E54)*(ROW(TableDiv[Agency])-ROW(TableDiv[[#Headers],[Agency]])),COLUMNS($F$7:H$7))))</f>
        <v>11030G</v>
      </c>
      <c r="I54" s="2223" t="str" cm="1">
        <f t="array" ref="I54">IF($D54&lt;COLUMNS($F$7:I$7),"",INDEX(TableDiv[[GASB]:[GASB]],_xlfn.AGGREGATE(15,3,(TableDiv[[Agency]:[Agency]]=$E54)/(TableDiv[[Agency]:[Agency]]=$E54)*(ROW(TableDiv[Agency])-ROW(TableDiv[[#Headers],[Agency]])),COLUMNS($F$7:I$7))))</f>
        <v>11060G</v>
      </c>
      <c r="J54" s="2223" t="str" cm="1">
        <f t="array" ref="J54">IF($D54&lt;COLUMNS($F$7:J$7),"",INDEX(TableDiv[[GASB]:[GASB]],_xlfn.AGGREGATE(15,3,(TableDiv[[Agency]:[Agency]]=$E54)/(TableDiv[[Agency]:[Agency]]=$E54)*(ROW(TableDiv[Agency])-ROW(TableDiv[[#Headers],[Agency]])),COLUMNS($F$7:J$7))))</f>
        <v>12000G</v>
      </c>
      <c r="K54" s="2223" t="str" cm="1">
        <f t="array" ref="K54">IF($D54&lt;COLUMNS($F$7:K$7),"",INDEX(TableDiv[[GASB]:[GASB]],_xlfn.AGGREGATE(15,3,(TableDiv[[Agency]:[Agency]]=$E54)/(TableDiv[[Agency]:[Agency]]=$E54)*(ROW(TableDiv[Agency])-ROW(TableDiv[[#Headers],[Agency]])),COLUMNS($F$7:K$7))))</f>
        <v>13640G</v>
      </c>
      <c r="L54" s="2223" t="str" cm="1">
        <f t="array" ref="L54">IF($D54&lt;COLUMNS($F$7:L$7),"",INDEX(TableDiv[[GASB]:[GASB]],_xlfn.AGGREGATE(15,3,(TableDiv[[Agency]:[Agency]]=$E54)/(TableDiv[[Agency]:[Agency]]=$E54)*(ROW(TableDiv[Agency])-ROW(TableDiv[[#Headers],[Agency]])),COLUMNS($F$7:L$7))))</f>
        <v>13650G</v>
      </c>
      <c r="M54" s="2223" t="str" cm="1">
        <f t="array" ref="M54">IF($D54&lt;COLUMNS($F$7:M$7),"",INDEX(TableDiv[[GASB]:[GASB]],_xlfn.AGGREGATE(15,3,(TableDiv[[Agency]:[Agency]]=$E54)/(TableDiv[[Agency]:[Agency]]=$E54)*(ROW(TableDiv[Agency])-ROW(TableDiv[[#Headers],[Agency]])),COLUMNS($F$7:M$7))))</f>
        <v>14000G</v>
      </c>
      <c r="N54" s="2223" t="str" cm="1">
        <f t="array" ref="N54">IF($D54&lt;COLUMNS($F$7:N$7),"",INDEX(TableDiv[[GASB]:[GASB]],_xlfn.AGGREGATE(15,3,(TableDiv[[Agency]:[Agency]]=$E54)/(TableDiv[[Agency]:[Agency]]=$E54)*(ROW(TableDiv[Agency])-ROW(TableDiv[[#Headers],[Agency]])),COLUMNS($F$7:N$7))))</f>
        <v>14240G</v>
      </c>
      <c r="O54" s="2223" t="str" cm="1">
        <f t="array" ref="O54">IF($D54&lt;COLUMNS($F$7:O$7),"",INDEX(TableDiv[[GASB]:[GASB]],_xlfn.AGGREGATE(15,3,(TableDiv[[Agency]:[Agency]]=$E54)/(TableDiv[[Agency]:[Agency]]=$E54)*(ROW(TableDiv[Agency])-ROW(TableDiv[[#Headers],[Agency]])),COLUMNS($F$7:O$7))))</f>
        <v>14260G</v>
      </c>
      <c r="P54" s="2223" t="str" cm="1">
        <f t="array" ref="P54">IF($D54&lt;COLUMNS($F$7:P$7),"",INDEX(TableDiv[[GASB]:[GASB]],_xlfn.AGGREGATE(15,3,(TableDiv[[Agency]:[Agency]]=$E54)/(TableDiv[[Agency]:[Agency]]=$E54)*(ROW(TableDiv[Agency])-ROW(TableDiv[[#Headers],[Agency]])),COLUMNS($F$7:P$7))))</f>
        <v>14290G</v>
      </c>
      <c r="Q54" s="2223" t="str" cm="1">
        <f t="array" ref="Q54">IF($D54&lt;COLUMNS($F$7:Q$7),"",INDEX(TableDiv[[GASB]:[GASB]],_xlfn.AGGREGATE(15,3,(TableDiv[[Agency]:[Agency]]=$E54)/(TableDiv[[Agency]:[Agency]]=$E54)*(ROW(TableDiv[Agency])-ROW(TableDiv[[#Headers],[Agency]])),COLUMNS($F$7:Q$7))))</f>
        <v>25000G</v>
      </c>
      <c r="R54" s="2223" t="str" cm="1">
        <f t="array" ref="R54">IF($D54&lt;COLUMNS($F$7:R$7),"",INDEX(TableDiv[[GASB]:[GASB]],_xlfn.AGGREGATE(15,3,(TableDiv[[Agency]:[Agency]]=$E54)/(TableDiv[[Agency]:[Agency]]=$E54)*(ROW(TableDiv[Agency])-ROW(TableDiv[[#Headers],[Agency]])),COLUMNS($F$7:R$7))))</f>
        <v>25350G</v>
      </c>
      <c r="S54" s="2223" t="str" cm="1">
        <f t="array" ref="S54">IF($D54&lt;COLUMNS($F$7:S$7),"",INDEX(TableDiv[[GASB]:[GASB]],_xlfn.AGGREGATE(15,3,(TableDiv[[Agency]:[Agency]]=$E54)/(TableDiv[[Agency]:[Agency]]=$E54)*(ROW(TableDiv[Agency])-ROW(TableDiv[[#Headers],[Agency]])),COLUMNS($F$7:S$7))))</f>
        <v>25390G</v>
      </c>
      <c r="T54" s="2223" t="str" cm="1">
        <f t="array" ref="T54">IF($D54&lt;COLUMNS($F$7:T$7),"",INDEX(TableDiv[[GASB]:[GASB]],_xlfn.AGGREGATE(15,3,(TableDiv[[Agency]:[Agency]]=$E54)/(TableDiv[[Agency]:[Agency]]=$E54)*(ROW(TableDiv[Agency])-ROW(TableDiv[[#Headers],[Agency]])),COLUMNS($F$7:T$7))))</f>
        <v>25400G</v>
      </c>
      <c r="U54" s="2223" t="str" cm="1">
        <f t="array" ref="U54">IF($D54&lt;COLUMNS($F$7:U$7),"",INDEX(TableDiv[[GASB]:[GASB]],_xlfn.AGGREGATE(15,3,(TableDiv[[Agency]:[Agency]]=$E54)/(TableDiv[[Agency]:[Agency]]=$E54)*(ROW(TableDiv[Agency])-ROW(TableDiv[[#Headers],[Agency]])),COLUMNS($F$7:U$7))))</f>
        <v>25410G</v>
      </c>
      <c r="V54" s="2223" t="str" cm="1">
        <f t="array" ref="V54">IF($D54&lt;COLUMNS($F$7:V$7),"",INDEX(TableDiv[[GASB]:[GASB]],_xlfn.AGGREGATE(15,3,(TableDiv[[Agency]:[Agency]]=$E54)/(TableDiv[[Agency]:[Agency]]=$E54)*(ROW(TableDiv[Agency])-ROW(TableDiv[[#Headers],[Agency]])),COLUMNS($F$7:V$7))))</f>
        <v/>
      </c>
      <c r="W54" s="2223" t="str" cm="1">
        <f t="array" ref="W54">IF($D54&lt;COLUMNS($F$7:W$7),"",INDEX(TableDiv[[GASB]:[GASB]],_xlfn.AGGREGATE(15,3,(TableDiv[[Agency]:[Agency]]=$E54)/(TableDiv[[Agency]:[Agency]]=$E54)*(ROW(TableDiv[Agency])-ROW(TableDiv[[#Headers],[Agency]])),COLUMNS($F$7:W$7))))</f>
        <v/>
      </c>
      <c r="X54" s="2223" t="str" cm="1">
        <f t="array" ref="X54">IF($D54&lt;COLUMNS($F$7:X$7),"",INDEX(TableDiv[[GASB]:[GASB]],_xlfn.AGGREGATE(15,3,(TableDiv[[Agency]:[Agency]]=$E54)/(TableDiv[[Agency]:[Agency]]=$E54)*(ROW(TableDiv[Agency])-ROW(TableDiv[[#Headers],[Agency]])),COLUMNS($F$7:X$7))))</f>
        <v/>
      </c>
      <c r="Y54" s="2223" t="str" cm="1">
        <f t="array" ref="Y54">IF($D54&lt;COLUMNS($F$7:Y$7),"",INDEX(TableDiv[[GASB]:[GASB]],_xlfn.AGGREGATE(15,3,(TableDiv[[Agency]:[Agency]]=$E54)/(TableDiv[[Agency]:[Agency]]=$E54)*(ROW(TableDiv[Agency])-ROW(TableDiv[[#Headers],[Agency]])),COLUMNS($F$7:Y$7))))</f>
        <v/>
      </c>
      <c r="Z54" s="2223" t="str" cm="1">
        <f t="array" ref="Z54">IF($D54&lt;COLUMNS($F$7:Z$7),"",INDEX(TableDiv[[GASB]:[GASB]],_xlfn.AGGREGATE(15,3,(TableDiv[[Agency]:[Agency]]=$E54)/(TableDiv[[Agency]:[Agency]]=$E54)*(ROW(TableDiv[Agency])-ROW(TableDiv[[#Headers],[Agency]])),COLUMNS($F$7:Z$7))))</f>
        <v/>
      </c>
      <c r="AA54" s="2223" t="str" cm="1">
        <f t="array" ref="AA54">IF($D54&lt;COLUMNS($F$7:AA$7),"",INDEX(TableDiv[[GASB]:[GASB]],_xlfn.AGGREGATE(15,3,(TableDiv[[Agency]:[Agency]]=$E54)/(TableDiv[[Agency]:[Agency]]=$E54)*(ROW(TableDiv[Agency])-ROW(TableDiv[[#Headers],[Agency]])),COLUMNS($F$7:AA$7))))</f>
        <v/>
      </c>
      <c r="AB54" s="2223" t="str" cm="1">
        <f t="array" ref="AB54">IF($D54&lt;COLUMNS($F$7:AB$7),"",INDEX(TableDiv[[GASB]:[GASB]],_xlfn.AGGREGATE(15,3,(TableDiv[[Agency]:[Agency]]=$E54)/(TableDiv[[Agency]:[Agency]]=$E54)*(ROW(TableDiv[Agency])-ROW(TableDiv[[#Headers],[Agency]])),COLUMNS($F$7:AB$7))))</f>
        <v/>
      </c>
      <c r="AC54" s="2223" t="str" cm="1">
        <f t="array" ref="AC54">IF($D54&lt;COLUMNS($F$7:AC$7),"",INDEX(TableDiv[[GASB]:[GASB]],_xlfn.AGGREGATE(15,3,(TableDiv[[Agency]:[Agency]]=$E54)/(TableDiv[[Agency]:[Agency]]=$E54)*(ROW(TableDiv[Agency])-ROW(TableDiv[[#Headers],[Agency]])),COLUMNS($F$7:AC$7))))</f>
        <v/>
      </c>
      <c r="AD54" s="2223" t="str" cm="1">
        <f t="array" ref="AD54">IF($D54&lt;COLUMNS($F$7:AD$7),"",INDEX(TableDiv[[GASB]:[GASB]],_xlfn.AGGREGATE(15,3,(TableDiv[[Agency]:[Agency]]=$E54)/(TableDiv[[Agency]:[Agency]]=$E54)*(ROW(TableDiv[Agency])-ROW(TableDiv[[#Headers],[Agency]])),COLUMNS($F$7:AD$7))))</f>
        <v/>
      </c>
      <c r="AE54" s="2223" t="str" cm="1">
        <f t="array" ref="AE54">IF($D54&lt;COLUMNS($F$7:AE$7),"",INDEX(TableDiv[[GASB]:[GASB]],_xlfn.AGGREGATE(15,3,(TableDiv[[Agency]:[Agency]]=$E54)/(TableDiv[[Agency]:[Agency]]=$E54)*(ROW(TableDiv[Agency])-ROW(TableDiv[[#Headers],[Agency]])),COLUMNS($F$7:AE$7))))</f>
        <v/>
      </c>
      <c r="AF54" s="2223" t="str" cm="1">
        <f t="array" ref="AF54">IF($D54&lt;COLUMNS($F$7:AF$7),"",INDEX(TableDiv[[GASB]:[GASB]],_xlfn.AGGREGATE(15,3,(TableDiv[[Agency]:[Agency]]=$E54)/(TableDiv[[Agency]:[Agency]]=$E54)*(ROW(TableDiv[Agency])-ROW(TableDiv[[#Headers],[Agency]])),COLUMNS($F$7:AF$7))))</f>
        <v/>
      </c>
      <c r="AG54" s="2223" t="str" cm="1">
        <f t="array" ref="AG54">IF($D54&lt;COLUMNS($F$7:AG$7),"",INDEX(TableDiv[[GASB]:[GASB]],_xlfn.AGGREGATE(15,3,(TableDiv[[Agency]:[Agency]]=$E54)/(TableDiv[[Agency]:[Agency]]=$E54)*(ROW(TableDiv[Agency])-ROW(TableDiv[[#Headers],[Agency]])),COLUMNS($F$7:AG$7))))</f>
        <v/>
      </c>
      <c r="AH54" s="2223" t="str" cm="1">
        <f t="array" ref="AH54">IF($D54&lt;COLUMNS($F$7:AH$7),"",INDEX(TableDiv[[GASB]:[GASB]],_xlfn.AGGREGATE(15,3,(TableDiv[[Agency]:[Agency]]=$E54)/(TableDiv[[Agency]:[Agency]]=$E54)*(ROW(TableDiv[Agency])-ROW(TableDiv[[#Headers],[Agency]])),COLUMNS($F$7:AH$7))))</f>
        <v/>
      </c>
      <c r="AI54" s="2223" t="str" cm="1">
        <f t="array" ref="AI54">IF($D54&lt;COLUMNS($F$7:AI$7),"",INDEX(TableDiv[[GASB]:[GASB]],_xlfn.AGGREGATE(15,3,(TableDiv[[Agency]:[Agency]]=$E54)/(TableDiv[[Agency]:[Agency]]=$E54)*(ROW(TableDiv[Agency])-ROW(TableDiv[[#Headers],[Agency]])),COLUMNS($F$7:AI$7))))</f>
        <v/>
      </c>
      <c r="AJ54" s="2223" t="str" cm="1">
        <f t="array" ref="AJ54">IF($D54&lt;COLUMNS($F$7:AJ$7),"",INDEX(TableDiv[[GASB]:[GASB]],_xlfn.AGGREGATE(15,3,(TableDiv[[Agency]:[Agency]]=$E54)/(TableDiv[[Agency]:[Agency]]=$E54)*(ROW(TableDiv[Agency])-ROW(TableDiv[[#Headers],[Agency]])),COLUMNS($F$7:AJ$7))))</f>
        <v/>
      </c>
      <c r="AK54" s="2223" t="str" cm="1">
        <f t="array" ref="AK54">IF($D54&lt;COLUMNS($F$7:AK$7),"",INDEX(TableDiv[[GASB]:[GASB]],_xlfn.AGGREGATE(15,3,(TableDiv[[Agency]:[Agency]]=$E54)/(TableDiv[[Agency]:[Agency]]=$E54)*(ROW(TableDiv[Agency])-ROW(TableDiv[[#Headers],[Agency]])),COLUMNS($F$7:AK$7))))</f>
        <v/>
      </c>
      <c r="AL54" s="2223" t="str" cm="1">
        <f t="array" ref="AL54">IF($D54&lt;COLUMNS($F$7:AL$7),"",INDEX(TableDiv[[GASB]:[GASB]],_xlfn.AGGREGATE(15,3,(TableDiv[[Agency]:[Agency]]=$E54)/(TableDiv[[Agency]:[Agency]]=$E54)*(ROW(TableDiv[Agency])-ROW(TableDiv[[#Headers],[Agency]])),COLUMNS($F$7:AL$7))))</f>
        <v/>
      </c>
      <c r="AM54" s="2223" t="str" cm="1">
        <f t="array" ref="AM54">IF($D54&lt;COLUMNS($F$7:AM$7),"",INDEX(TableDiv[[GASB]:[GASB]],_xlfn.AGGREGATE(15,3,(TableDiv[[Agency]:[Agency]]=$E54)/(TableDiv[[Agency]:[Agency]]=$E54)*(ROW(TableDiv[Agency])-ROW(TableDiv[[#Headers],[Agency]])),COLUMNS($F$7:AM$7))))</f>
        <v/>
      </c>
      <c r="AN54" s="2223"/>
      <c r="AO54" s="2223"/>
      <c r="AP54" s="2223"/>
      <c r="AQ54" s="2223"/>
      <c r="AR54" s="2223"/>
      <c r="AS54" s="2223"/>
    </row>
    <row r="55" spans="1:45" ht="15" x14ac:dyDescent="0.25">
      <c r="A55" s="2219" t="s">
        <v>5101</v>
      </c>
      <c r="B55" s="2219" t="s">
        <v>6390</v>
      </c>
      <c r="C55" s="2223"/>
      <c r="D55" s="2223">
        <f>COUNTIF(TableDiv[Agency],E55)</f>
        <v>4</v>
      </c>
      <c r="E55" s="2230" t="str" cm="1">
        <f t="array" ref="E55">IFERROR(INDEX(TableDiv[Agency],MATCH(0,INDEX(COUNTIF($E$7:E54,TableDiv[Agency]),),0)),"")</f>
        <v>4500</v>
      </c>
      <c r="F55" s="2223" t="str" cm="1">
        <f t="array" ref="F55">IF($D55&lt;COLUMNS($F$7:F$7),"",INDEX(TableDiv[[GASB]:[GASB]],_xlfn.AGGREGATE(15,3,(TableDiv[[Agency]:[Agency]]=$E55)/(TableDiv[[Agency]:[Agency]]=$E55)*(ROW(TableDiv[Agency])-ROW(TableDiv[[#Headers],[Agency]])),COLUMNS($F$7:F$7))))</f>
        <v>11000G</v>
      </c>
      <c r="G55" s="2223" t="str" cm="1">
        <f t="array" ref="G55">IF($D55&lt;COLUMNS($F$7:G$7),"",INDEX(TableDiv[[GASB]:[GASB]],_xlfn.AGGREGATE(15,3,(TableDiv[[Agency]:[Agency]]=$E55)/(TableDiv[[Agency]:[Agency]]=$E55)*(ROW(TableDiv[Agency])-ROW(TableDiv[[#Headers],[Agency]])),COLUMNS($F$7:G$7))))</f>
        <v>11020G</v>
      </c>
      <c r="H55" s="2223" t="str" cm="1">
        <f t="array" ref="H55">IF($D55&lt;COLUMNS($F$7:H$7),"",INDEX(TableDiv[[GASB]:[GASB]],_xlfn.AGGREGATE(15,3,(TableDiv[[Agency]:[Agency]]=$E55)/(TableDiv[[Agency]:[Agency]]=$E55)*(ROW(TableDiv[Agency])-ROW(TableDiv[[#Headers],[Agency]])),COLUMNS($F$7:H$7))))</f>
        <v>11060G</v>
      </c>
      <c r="I55" s="2223" t="str" cm="1">
        <f t="array" ref="I55">IF($D55&lt;COLUMNS($F$7:I$7),"",INDEX(TableDiv[[GASB]:[GASB]],_xlfn.AGGREGATE(15,3,(TableDiv[[Agency]:[Agency]]=$E55)/(TableDiv[[Agency]:[Agency]]=$E55)*(ROW(TableDiv[Agency])-ROW(TableDiv[[#Headers],[Agency]])),COLUMNS($F$7:I$7))))</f>
        <v>12000G</v>
      </c>
      <c r="J55" s="2223" t="str" cm="1">
        <f t="array" ref="J55">IF($D55&lt;COLUMNS($F$7:J$7),"",INDEX(TableDiv[[GASB]:[GASB]],_xlfn.AGGREGATE(15,3,(TableDiv[[Agency]:[Agency]]=$E55)/(TableDiv[[Agency]:[Agency]]=$E55)*(ROW(TableDiv[Agency])-ROW(TableDiv[[#Headers],[Agency]])),COLUMNS($F$7:J$7))))</f>
        <v/>
      </c>
      <c r="K55" s="2223" t="str" cm="1">
        <f t="array" ref="K55">IF($D55&lt;COLUMNS($F$7:K$7),"",INDEX(TableDiv[[GASB]:[GASB]],_xlfn.AGGREGATE(15,3,(TableDiv[[Agency]:[Agency]]=$E55)/(TableDiv[[Agency]:[Agency]]=$E55)*(ROW(TableDiv[Agency])-ROW(TableDiv[[#Headers],[Agency]])),COLUMNS($F$7:K$7))))</f>
        <v/>
      </c>
      <c r="L55" s="2223" t="str" cm="1">
        <f t="array" ref="L55">IF($D55&lt;COLUMNS($F$7:L$7),"",INDEX(TableDiv[[GASB]:[GASB]],_xlfn.AGGREGATE(15,3,(TableDiv[[Agency]:[Agency]]=$E55)/(TableDiv[[Agency]:[Agency]]=$E55)*(ROW(TableDiv[Agency])-ROW(TableDiv[[#Headers],[Agency]])),COLUMNS($F$7:L$7))))</f>
        <v/>
      </c>
      <c r="M55" s="2223" t="str" cm="1">
        <f t="array" ref="M55">IF($D55&lt;COLUMNS($F$7:M$7),"",INDEX(TableDiv[[GASB]:[GASB]],_xlfn.AGGREGATE(15,3,(TableDiv[[Agency]:[Agency]]=$E55)/(TableDiv[[Agency]:[Agency]]=$E55)*(ROW(TableDiv[Agency])-ROW(TableDiv[[#Headers],[Agency]])),COLUMNS($F$7:M$7))))</f>
        <v/>
      </c>
      <c r="N55" s="2223" t="str" cm="1">
        <f t="array" ref="N55">IF($D55&lt;COLUMNS($F$7:N$7),"",INDEX(TableDiv[[GASB]:[GASB]],_xlfn.AGGREGATE(15,3,(TableDiv[[Agency]:[Agency]]=$E55)/(TableDiv[[Agency]:[Agency]]=$E55)*(ROW(TableDiv[Agency])-ROW(TableDiv[[#Headers],[Agency]])),COLUMNS($F$7:N$7))))</f>
        <v/>
      </c>
      <c r="O55" s="2223" t="str" cm="1">
        <f t="array" ref="O55">IF($D55&lt;COLUMNS($F$7:O$7),"",INDEX(TableDiv[[GASB]:[GASB]],_xlfn.AGGREGATE(15,3,(TableDiv[[Agency]:[Agency]]=$E55)/(TableDiv[[Agency]:[Agency]]=$E55)*(ROW(TableDiv[Agency])-ROW(TableDiv[[#Headers],[Agency]])),COLUMNS($F$7:O$7))))</f>
        <v/>
      </c>
      <c r="P55" s="2223" t="str" cm="1">
        <f t="array" ref="P55">IF($D55&lt;COLUMNS($F$7:P$7),"",INDEX(TableDiv[[GASB]:[GASB]],_xlfn.AGGREGATE(15,3,(TableDiv[[Agency]:[Agency]]=$E55)/(TableDiv[[Agency]:[Agency]]=$E55)*(ROW(TableDiv[Agency])-ROW(TableDiv[[#Headers],[Agency]])),COLUMNS($F$7:P$7))))</f>
        <v/>
      </c>
      <c r="Q55" s="2223" t="str" cm="1">
        <f t="array" ref="Q55">IF($D55&lt;COLUMNS($F$7:Q$7),"",INDEX(TableDiv[[GASB]:[GASB]],_xlfn.AGGREGATE(15,3,(TableDiv[[Agency]:[Agency]]=$E55)/(TableDiv[[Agency]:[Agency]]=$E55)*(ROW(TableDiv[Agency])-ROW(TableDiv[[#Headers],[Agency]])),COLUMNS($F$7:Q$7))))</f>
        <v/>
      </c>
      <c r="R55" s="2223" t="str" cm="1">
        <f t="array" ref="R55">IF($D55&lt;COLUMNS($F$7:R$7),"",INDEX(TableDiv[[GASB]:[GASB]],_xlfn.AGGREGATE(15,3,(TableDiv[[Agency]:[Agency]]=$E55)/(TableDiv[[Agency]:[Agency]]=$E55)*(ROW(TableDiv[Agency])-ROW(TableDiv[[#Headers],[Agency]])),COLUMNS($F$7:R$7))))</f>
        <v/>
      </c>
      <c r="S55" s="2223" t="str" cm="1">
        <f t="array" ref="S55">IF($D55&lt;COLUMNS($F$7:S$7),"",INDEX(TableDiv[[GASB]:[GASB]],_xlfn.AGGREGATE(15,3,(TableDiv[[Agency]:[Agency]]=$E55)/(TableDiv[[Agency]:[Agency]]=$E55)*(ROW(TableDiv[Agency])-ROW(TableDiv[[#Headers],[Agency]])),COLUMNS($F$7:S$7))))</f>
        <v/>
      </c>
      <c r="T55" s="2223" t="str" cm="1">
        <f t="array" ref="T55">IF($D55&lt;COLUMNS($F$7:T$7),"",INDEX(TableDiv[[GASB]:[GASB]],_xlfn.AGGREGATE(15,3,(TableDiv[[Agency]:[Agency]]=$E55)/(TableDiv[[Agency]:[Agency]]=$E55)*(ROW(TableDiv[Agency])-ROW(TableDiv[[#Headers],[Agency]])),COLUMNS($F$7:T$7))))</f>
        <v/>
      </c>
      <c r="U55" s="2223" t="str" cm="1">
        <f t="array" ref="U55">IF($D55&lt;COLUMNS($F$7:U$7),"",INDEX(TableDiv[[GASB]:[GASB]],_xlfn.AGGREGATE(15,3,(TableDiv[[Agency]:[Agency]]=$E55)/(TableDiv[[Agency]:[Agency]]=$E55)*(ROW(TableDiv[Agency])-ROW(TableDiv[[#Headers],[Agency]])),COLUMNS($F$7:U$7))))</f>
        <v/>
      </c>
      <c r="V55" s="2223" t="str" cm="1">
        <f t="array" ref="V55">IF($D55&lt;COLUMNS($F$7:V$7),"",INDEX(TableDiv[[GASB]:[GASB]],_xlfn.AGGREGATE(15,3,(TableDiv[[Agency]:[Agency]]=$E55)/(TableDiv[[Agency]:[Agency]]=$E55)*(ROW(TableDiv[Agency])-ROW(TableDiv[[#Headers],[Agency]])),COLUMNS($F$7:V$7))))</f>
        <v/>
      </c>
      <c r="W55" s="2223" t="str" cm="1">
        <f t="array" ref="W55">IF($D55&lt;COLUMNS($F$7:W$7),"",INDEX(TableDiv[[GASB]:[GASB]],_xlfn.AGGREGATE(15,3,(TableDiv[[Agency]:[Agency]]=$E55)/(TableDiv[[Agency]:[Agency]]=$E55)*(ROW(TableDiv[Agency])-ROW(TableDiv[[#Headers],[Agency]])),COLUMNS($F$7:W$7))))</f>
        <v/>
      </c>
      <c r="X55" s="2223" t="str" cm="1">
        <f t="array" ref="X55">IF($D55&lt;COLUMNS($F$7:X$7),"",INDEX(TableDiv[[GASB]:[GASB]],_xlfn.AGGREGATE(15,3,(TableDiv[[Agency]:[Agency]]=$E55)/(TableDiv[[Agency]:[Agency]]=$E55)*(ROW(TableDiv[Agency])-ROW(TableDiv[[#Headers],[Agency]])),COLUMNS($F$7:X$7))))</f>
        <v/>
      </c>
      <c r="Y55" s="2223" t="str" cm="1">
        <f t="array" ref="Y55">IF($D55&lt;COLUMNS($F$7:Y$7),"",INDEX(TableDiv[[GASB]:[GASB]],_xlfn.AGGREGATE(15,3,(TableDiv[[Agency]:[Agency]]=$E55)/(TableDiv[[Agency]:[Agency]]=$E55)*(ROW(TableDiv[Agency])-ROW(TableDiv[[#Headers],[Agency]])),COLUMNS($F$7:Y$7))))</f>
        <v/>
      </c>
      <c r="Z55" s="2223" t="str" cm="1">
        <f t="array" ref="Z55">IF($D55&lt;COLUMNS($F$7:Z$7),"",INDEX(TableDiv[[GASB]:[GASB]],_xlfn.AGGREGATE(15,3,(TableDiv[[Agency]:[Agency]]=$E55)/(TableDiv[[Agency]:[Agency]]=$E55)*(ROW(TableDiv[Agency])-ROW(TableDiv[[#Headers],[Agency]])),COLUMNS($F$7:Z$7))))</f>
        <v/>
      </c>
      <c r="AA55" s="2223" t="str" cm="1">
        <f t="array" ref="AA55">IF($D55&lt;COLUMNS($F$7:AA$7),"",INDEX(TableDiv[[GASB]:[GASB]],_xlfn.AGGREGATE(15,3,(TableDiv[[Agency]:[Agency]]=$E55)/(TableDiv[[Agency]:[Agency]]=$E55)*(ROW(TableDiv[Agency])-ROW(TableDiv[[#Headers],[Agency]])),COLUMNS($F$7:AA$7))))</f>
        <v/>
      </c>
      <c r="AB55" s="2223" t="str" cm="1">
        <f t="array" ref="AB55">IF($D55&lt;COLUMNS($F$7:AB$7),"",INDEX(TableDiv[[GASB]:[GASB]],_xlfn.AGGREGATE(15,3,(TableDiv[[Agency]:[Agency]]=$E55)/(TableDiv[[Agency]:[Agency]]=$E55)*(ROW(TableDiv[Agency])-ROW(TableDiv[[#Headers],[Agency]])),COLUMNS($F$7:AB$7))))</f>
        <v/>
      </c>
      <c r="AC55" s="2223" t="str" cm="1">
        <f t="array" ref="AC55">IF($D55&lt;COLUMNS($F$7:AC$7),"",INDEX(TableDiv[[GASB]:[GASB]],_xlfn.AGGREGATE(15,3,(TableDiv[[Agency]:[Agency]]=$E55)/(TableDiv[[Agency]:[Agency]]=$E55)*(ROW(TableDiv[Agency])-ROW(TableDiv[[#Headers],[Agency]])),COLUMNS($F$7:AC$7))))</f>
        <v/>
      </c>
      <c r="AD55" s="2223" t="str" cm="1">
        <f t="array" ref="AD55">IF($D55&lt;COLUMNS($F$7:AD$7),"",INDEX(TableDiv[[GASB]:[GASB]],_xlfn.AGGREGATE(15,3,(TableDiv[[Agency]:[Agency]]=$E55)/(TableDiv[[Agency]:[Agency]]=$E55)*(ROW(TableDiv[Agency])-ROW(TableDiv[[#Headers],[Agency]])),COLUMNS($F$7:AD$7))))</f>
        <v/>
      </c>
      <c r="AE55" s="2223" t="str" cm="1">
        <f t="array" ref="AE55">IF($D55&lt;COLUMNS($F$7:AE$7),"",INDEX(TableDiv[[GASB]:[GASB]],_xlfn.AGGREGATE(15,3,(TableDiv[[Agency]:[Agency]]=$E55)/(TableDiv[[Agency]:[Agency]]=$E55)*(ROW(TableDiv[Agency])-ROW(TableDiv[[#Headers],[Agency]])),COLUMNS($F$7:AE$7))))</f>
        <v/>
      </c>
      <c r="AF55" s="2223" t="str" cm="1">
        <f t="array" ref="AF55">IF($D55&lt;COLUMNS($F$7:AF$7),"",INDEX(TableDiv[[GASB]:[GASB]],_xlfn.AGGREGATE(15,3,(TableDiv[[Agency]:[Agency]]=$E55)/(TableDiv[[Agency]:[Agency]]=$E55)*(ROW(TableDiv[Agency])-ROW(TableDiv[[#Headers],[Agency]])),COLUMNS($F$7:AF$7))))</f>
        <v/>
      </c>
      <c r="AG55" s="2223" t="str" cm="1">
        <f t="array" ref="AG55">IF($D55&lt;COLUMNS($F$7:AG$7),"",INDEX(TableDiv[[GASB]:[GASB]],_xlfn.AGGREGATE(15,3,(TableDiv[[Agency]:[Agency]]=$E55)/(TableDiv[[Agency]:[Agency]]=$E55)*(ROW(TableDiv[Agency])-ROW(TableDiv[[#Headers],[Agency]])),COLUMNS($F$7:AG$7))))</f>
        <v/>
      </c>
      <c r="AH55" s="2223" t="str" cm="1">
        <f t="array" ref="AH55">IF($D55&lt;COLUMNS($F$7:AH$7),"",INDEX(TableDiv[[GASB]:[GASB]],_xlfn.AGGREGATE(15,3,(TableDiv[[Agency]:[Agency]]=$E55)/(TableDiv[[Agency]:[Agency]]=$E55)*(ROW(TableDiv[Agency])-ROW(TableDiv[[#Headers],[Agency]])),COLUMNS($F$7:AH$7))))</f>
        <v/>
      </c>
      <c r="AI55" s="2223" t="str" cm="1">
        <f t="array" ref="AI55">IF($D55&lt;COLUMNS($F$7:AI$7),"",INDEX(TableDiv[[GASB]:[GASB]],_xlfn.AGGREGATE(15,3,(TableDiv[[Agency]:[Agency]]=$E55)/(TableDiv[[Agency]:[Agency]]=$E55)*(ROW(TableDiv[Agency])-ROW(TableDiv[[#Headers],[Agency]])),COLUMNS($F$7:AI$7))))</f>
        <v/>
      </c>
      <c r="AJ55" s="2223" t="str" cm="1">
        <f t="array" ref="AJ55">IF($D55&lt;COLUMNS($F$7:AJ$7),"",INDEX(TableDiv[[GASB]:[GASB]],_xlfn.AGGREGATE(15,3,(TableDiv[[Agency]:[Agency]]=$E55)/(TableDiv[[Agency]:[Agency]]=$E55)*(ROW(TableDiv[Agency])-ROW(TableDiv[[#Headers],[Agency]])),COLUMNS($F$7:AJ$7))))</f>
        <v/>
      </c>
      <c r="AK55" s="2223" t="str" cm="1">
        <f t="array" ref="AK55">IF($D55&lt;COLUMNS($F$7:AK$7),"",INDEX(TableDiv[[GASB]:[GASB]],_xlfn.AGGREGATE(15,3,(TableDiv[[Agency]:[Agency]]=$E55)/(TableDiv[[Agency]:[Agency]]=$E55)*(ROW(TableDiv[Agency])-ROW(TableDiv[[#Headers],[Agency]])),COLUMNS($F$7:AK$7))))</f>
        <v/>
      </c>
      <c r="AL55" s="2223" t="str" cm="1">
        <f t="array" ref="AL55">IF($D55&lt;COLUMNS($F$7:AL$7),"",INDEX(TableDiv[[GASB]:[GASB]],_xlfn.AGGREGATE(15,3,(TableDiv[[Agency]:[Agency]]=$E55)/(TableDiv[[Agency]:[Agency]]=$E55)*(ROW(TableDiv[Agency])-ROW(TableDiv[[#Headers],[Agency]])),COLUMNS($F$7:AL$7))))</f>
        <v/>
      </c>
      <c r="AM55" s="2223" t="str" cm="1">
        <f t="array" ref="AM55">IF($D55&lt;COLUMNS($F$7:AM$7),"",INDEX(TableDiv[[GASB]:[GASB]],_xlfn.AGGREGATE(15,3,(TableDiv[[Agency]:[Agency]]=$E55)/(TableDiv[[Agency]:[Agency]]=$E55)*(ROW(TableDiv[Agency])-ROW(TableDiv[[#Headers],[Agency]])),COLUMNS($F$7:AM$7))))</f>
        <v/>
      </c>
      <c r="AN55" s="2223"/>
      <c r="AO55" s="2223"/>
      <c r="AP55" s="2223"/>
      <c r="AQ55" s="2223"/>
      <c r="AR55" s="2223"/>
      <c r="AS55" s="2223"/>
    </row>
    <row r="56" spans="1:45" ht="15" x14ac:dyDescent="0.25">
      <c r="A56" s="2219" t="s">
        <v>5101</v>
      </c>
      <c r="B56" s="2219" t="s">
        <v>6391</v>
      </c>
      <c r="C56" s="2223"/>
      <c r="D56" s="2223">
        <f>COUNTIF(TableDiv[Agency],E56)</f>
        <v>14</v>
      </c>
      <c r="E56" s="2230" t="str" cm="1">
        <f t="array" ref="E56">IFERROR(INDEX(TableDiv[Agency],MATCH(0,INDEX(COUNTIF($E$7:E55,TableDiv[Agency]),),0)),"")</f>
        <v>4600</v>
      </c>
      <c r="F56" s="2223" t="str" cm="1">
        <f t="array" ref="F56">IF($D56&lt;COLUMNS($F$7:F$7),"",INDEX(TableDiv[[GASB]:[GASB]],_xlfn.AGGREGATE(15,3,(TableDiv[[Agency]:[Agency]]=$E56)/(TableDiv[[Agency]:[Agency]]=$E56)*(ROW(TableDiv[Agency])-ROW(TableDiv[[#Headers],[Agency]])),COLUMNS($F$7:F$7))))</f>
        <v>11000G</v>
      </c>
      <c r="G56" s="2223" t="str" cm="1">
        <f t="array" ref="G56">IF($D56&lt;COLUMNS($F$7:G$7),"",INDEX(TableDiv[[GASB]:[GASB]],_xlfn.AGGREGATE(15,3,(TableDiv[[Agency]:[Agency]]=$E56)/(TableDiv[[Agency]:[Agency]]=$E56)*(ROW(TableDiv[Agency])-ROW(TableDiv[[#Headers],[Agency]])),COLUMNS($F$7:G$7))))</f>
        <v>11020G</v>
      </c>
      <c r="H56" s="2223" t="str" cm="1">
        <f t="array" ref="H56">IF($D56&lt;COLUMNS($F$7:H$7),"",INDEX(TableDiv[[GASB]:[GASB]],_xlfn.AGGREGATE(15,3,(TableDiv[[Agency]:[Agency]]=$E56)/(TableDiv[[Agency]:[Agency]]=$E56)*(ROW(TableDiv[Agency])-ROW(TableDiv[[#Headers],[Agency]])),COLUMNS($F$7:H$7))))</f>
        <v>11030G</v>
      </c>
      <c r="I56" s="2223" t="str" cm="1">
        <f t="array" ref="I56">IF($D56&lt;COLUMNS($F$7:I$7),"",INDEX(TableDiv[[GASB]:[GASB]],_xlfn.AGGREGATE(15,3,(TableDiv[[Agency]:[Agency]]=$E56)/(TableDiv[[Agency]:[Agency]]=$E56)*(ROW(TableDiv[Agency])-ROW(TableDiv[[#Headers],[Agency]])),COLUMNS($F$7:I$7))))</f>
        <v>11110G</v>
      </c>
      <c r="J56" s="2223" t="str" cm="1">
        <f t="array" ref="J56">IF($D56&lt;COLUMNS($F$7:J$7),"",INDEX(TableDiv[[GASB]:[GASB]],_xlfn.AGGREGATE(15,3,(TableDiv[[Agency]:[Agency]]=$E56)/(TableDiv[[Agency]:[Agency]]=$E56)*(ROW(TableDiv[Agency])-ROW(TableDiv[[#Headers],[Agency]])),COLUMNS($F$7:J$7))))</f>
        <v>12000G</v>
      </c>
      <c r="K56" s="2223" t="str" cm="1">
        <f t="array" ref="K56">IF($D56&lt;COLUMNS($F$7:K$7),"",INDEX(TableDiv[[GASB]:[GASB]],_xlfn.AGGREGATE(15,3,(TableDiv[[Agency]:[Agency]]=$E56)/(TableDiv[[Agency]:[Agency]]=$E56)*(ROW(TableDiv[Agency])-ROW(TableDiv[[#Headers],[Agency]])),COLUMNS($F$7:K$7))))</f>
        <v>12240G</v>
      </c>
      <c r="L56" s="2223" t="str" cm="1">
        <f t="array" ref="L56">IF($D56&lt;COLUMNS($F$7:L$7),"",INDEX(TableDiv[[GASB]:[GASB]],_xlfn.AGGREGATE(15,3,(TableDiv[[Agency]:[Agency]]=$E56)/(TableDiv[[Agency]:[Agency]]=$E56)*(ROW(TableDiv[Agency])-ROW(TableDiv[[#Headers],[Agency]])),COLUMNS($F$7:L$7))))</f>
        <v>13470G</v>
      </c>
      <c r="M56" s="2223" t="str" cm="1">
        <f t="array" ref="M56">IF($D56&lt;COLUMNS($F$7:M$7),"",INDEX(TableDiv[[GASB]:[GASB]],_xlfn.AGGREGATE(15,3,(TableDiv[[Agency]:[Agency]]=$E56)/(TableDiv[[Agency]:[Agency]]=$E56)*(ROW(TableDiv[Agency])-ROW(TableDiv[[#Headers],[Agency]])),COLUMNS($F$7:M$7))))</f>
        <v>13480G</v>
      </c>
      <c r="N56" s="2223" t="str" cm="1">
        <f t="array" ref="N56">IF($D56&lt;COLUMNS($F$7:N$7),"",INDEX(TableDiv[[GASB]:[GASB]],_xlfn.AGGREGATE(15,3,(TableDiv[[Agency]:[Agency]]=$E56)/(TableDiv[[Agency]:[Agency]]=$E56)*(ROW(TableDiv[Agency])-ROW(TableDiv[[#Headers],[Agency]])),COLUMNS($F$7:N$7))))</f>
        <v>13490G</v>
      </c>
      <c r="O56" s="2223" t="str" cm="1">
        <f t="array" ref="O56">IF($D56&lt;COLUMNS($F$7:O$7),"",INDEX(TableDiv[[GASB]:[GASB]],_xlfn.AGGREGATE(15,3,(TableDiv[[Agency]:[Agency]]=$E56)/(TableDiv[[Agency]:[Agency]]=$E56)*(ROW(TableDiv[Agency])-ROW(TableDiv[[#Headers],[Agency]])),COLUMNS($F$7:O$7))))</f>
        <v>14000G</v>
      </c>
      <c r="P56" s="2223" t="str" cm="1">
        <f t="array" ref="P56">IF($D56&lt;COLUMNS($F$7:P$7),"",INDEX(TableDiv[[GASB]:[GASB]],_xlfn.AGGREGATE(15,3,(TableDiv[[Agency]:[Agency]]=$E56)/(TableDiv[[Agency]:[Agency]]=$E56)*(ROW(TableDiv[Agency])-ROW(TableDiv[[#Headers],[Agency]])),COLUMNS($F$7:P$7))))</f>
        <v>14240G</v>
      </c>
      <c r="Q56" s="2223" t="str" cm="1">
        <f t="array" ref="Q56">IF($D56&lt;COLUMNS($F$7:Q$7),"",INDEX(TableDiv[[GASB]:[GASB]],_xlfn.AGGREGATE(15,3,(TableDiv[[Agency]:[Agency]]=$E56)/(TableDiv[[Agency]:[Agency]]=$E56)*(ROW(TableDiv[Agency])-ROW(TableDiv[[#Headers],[Agency]])),COLUMNS($F$7:Q$7))))</f>
        <v>14260G</v>
      </c>
      <c r="R56" s="2223" t="str" cm="1">
        <f t="array" ref="R56">IF($D56&lt;COLUMNS($F$7:R$7),"",INDEX(TableDiv[[GASB]:[GASB]],_xlfn.AGGREGATE(15,3,(TableDiv[[Agency]:[Agency]]=$E56)/(TableDiv[[Agency]:[Agency]]=$E56)*(ROW(TableDiv[Agency])-ROW(TableDiv[[#Headers],[Agency]])),COLUMNS($F$7:R$7))))</f>
        <v>25000G</v>
      </c>
      <c r="S56" s="2223" t="str" cm="1">
        <f t="array" ref="S56">IF($D56&lt;COLUMNS($F$7:S$7),"",INDEX(TableDiv[[GASB]:[GASB]],_xlfn.AGGREGATE(15,3,(TableDiv[[Agency]:[Agency]]=$E56)/(TableDiv[[Agency]:[Agency]]=$E56)*(ROW(TableDiv[Agency])-ROW(TableDiv[[#Headers],[Agency]])),COLUMNS($F$7:S$7))))</f>
        <v>39000G</v>
      </c>
      <c r="T56" s="2223" t="str" cm="1">
        <f t="array" ref="T56">IF($D56&lt;COLUMNS($F$7:T$7),"",INDEX(TableDiv[[GASB]:[GASB]],_xlfn.AGGREGATE(15,3,(TableDiv[[Agency]:[Agency]]=$E56)/(TableDiv[[Agency]:[Agency]]=$E56)*(ROW(TableDiv[Agency])-ROW(TableDiv[[#Headers],[Agency]])),COLUMNS($F$7:T$7))))</f>
        <v/>
      </c>
      <c r="U56" s="2223" t="str" cm="1">
        <f t="array" ref="U56">IF($D56&lt;COLUMNS($F$7:U$7),"",INDEX(TableDiv[[GASB]:[GASB]],_xlfn.AGGREGATE(15,3,(TableDiv[[Agency]:[Agency]]=$E56)/(TableDiv[[Agency]:[Agency]]=$E56)*(ROW(TableDiv[Agency])-ROW(TableDiv[[#Headers],[Agency]])),COLUMNS($F$7:U$7))))</f>
        <v/>
      </c>
      <c r="V56" s="2223" t="str" cm="1">
        <f t="array" ref="V56">IF($D56&lt;COLUMNS($F$7:V$7),"",INDEX(TableDiv[[GASB]:[GASB]],_xlfn.AGGREGATE(15,3,(TableDiv[[Agency]:[Agency]]=$E56)/(TableDiv[[Agency]:[Agency]]=$E56)*(ROW(TableDiv[Agency])-ROW(TableDiv[[#Headers],[Agency]])),COLUMNS($F$7:V$7))))</f>
        <v/>
      </c>
      <c r="W56" s="2223" t="str" cm="1">
        <f t="array" ref="W56">IF($D56&lt;COLUMNS($F$7:W$7),"",INDEX(TableDiv[[GASB]:[GASB]],_xlfn.AGGREGATE(15,3,(TableDiv[[Agency]:[Agency]]=$E56)/(TableDiv[[Agency]:[Agency]]=$E56)*(ROW(TableDiv[Agency])-ROW(TableDiv[[#Headers],[Agency]])),COLUMNS($F$7:W$7))))</f>
        <v/>
      </c>
      <c r="X56" s="2223" t="str" cm="1">
        <f t="array" ref="X56">IF($D56&lt;COLUMNS($F$7:X$7),"",INDEX(TableDiv[[GASB]:[GASB]],_xlfn.AGGREGATE(15,3,(TableDiv[[Agency]:[Agency]]=$E56)/(TableDiv[[Agency]:[Agency]]=$E56)*(ROW(TableDiv[Agency])-ROW(TableDiv[[#Headers],[Agency]])),COLUMNS($F$7:X$7))))</f>
        <v/>
      </c>
      <c r="Y56" s="2223" t="str" cm="1">
        <f t="array" ref="Y56">IF($D56&lt;COLUMNS($F$7:Y$7),"",INDEX(TableDiv[[GASB]:[GASB]],_xlfn.AGGREGATE(15,3,(TableDiv[[Agency]:[Agency]]=$E56)/(TableDiv[[Agency]:[Agency]]=$E56)*(ROW(TableDiv[Agency])-ROW(TableDiv[[#Headers],[Agency]])),COLUMNS($F$7:Y$7))))</f>
        <v/>
      </c>
      <c r="Z56" s="2223" t="str" cm="1">
        <f t="array" ref="Z56">IF($D56&lt;COLUMNS($F$7:Z$7),"",INDEX(TableDiv[[GASB]:[GASB]],_xlfn.AGGREGATE(15,3,(TableDiv[[Agency]:[Agency]]=$E56)/(TableDiv[[Agency]:[Agency]]=$E56)*(ROW(TableDiv[Agency])-ROW(TableDiv[[#Headers],[Agency]])),COLUMNS($F$7:Z$7))))</f>
        <v/>
      </c>
      <c r="AA56" s="2223" t="str" cm="1">
        <f t="array" ref="AA56">IF($D56&lt;COLUMNS($F$7:AA$7),"",INDEX(TableDiv[[GASB]:[GASB]],_xlfn.AGGREGATE(15,3,(TableDiv[[Agency]:[Agency]]=$E56)/(TableDiv[[Agency]:[Agency]]=$E56)*(ROW(TableDiv[Agency])-ROW(TableDiv[[#Headers],[Agency]])),COLUMNS($F$7:AA$7))))</f>
        <v/>
      </c>
      <c r="AB56" s="2223" t="str" cm="1">
        <f t="array" ref="AB56">IF($D56&lt;COLUMNS($F$7:AB$7),"",INDEX(TableDiv[[GASB]:[GASB]],_xlfn.AGGREGATE(15,3,(TableDiv[[Agency]:[Agency]]=$E56)/(TableDiv[[Agency]:[Agency]]=$E56)*(ROW(TableDiv[Agency])-ROW(TableDiv[[#Headers],[Agency]])),COLUMNS($F$7:AB$7))))</f>
        <v/>
      </c>
      <c r="AC56" s="2223" t="str" cm="1">
        <f t="array" ref="AC56">IF($D56&lt;COLUMNS($F$7:AC$7),"",INDEX(TableDiv[[GASB]:[GASB]],_xlfn.AGGREGATE(15,3,(TableDiv[[Agency]:[Agency]]=$E56)/(TableDiv[[Agency]:[Agency]]=$E56)*(ROW(TableDiv[Agency])-ROW(TableDiv[[#Headers],[Agency]])),COLUMNS($F$7:AC$7))))</f>
        <v/>
      </c>
      <c r="AD56" s="2223" t="str" cm="1">
        <f t="array" ref="AD56">IF($D56&lt;COLUMNS($F$7:AD$7),"",INDEX(TableDiv[[GASB]:[GASB]],_xlfn.AGGREGATE(15,3,(TableDiv[[Agency]:[Agency]]=$E56)/(TableDiv[[Agency]:[Agency]]=$E56)*(ROW(TableDiv[Agency])-ROW(TableDiv[[#Headers],[Agency]])),COLUMNS($F$7:AD$7))))</f>
        <v/>
      </c>
      <c r="AE56" s="2223" t="str" cm="1">
        <f t="array" ref="AE56">IF($D56&lt;COLUMNS($F$7:AE$7),"",INDEX(TableDiv[[GASB]:[GASB]],_xlfn.AGGREGATE(15,3,(TableDiv[[Agency]:[Agency]]=$E56)/(TableDiv[[Agency]:[Agency]]=$E56)*(ROW(TableDiv[Agency])-ROW(TableDiv[[#Headers],[Agency]])),COLUMNS($F$7:AE$7))))</f>
        <v/>
      </c>
      <c r="AF56" s="2223" t="str" cm="1">
        <f t="array" ref="AF56">IF($D56&lt;COLUMNS($F$7:AF$7),"",INDEX(TableDiv[[GASB]:[GASB]],_xlfn.AGGREGATE(15,3,(TableDiv[[Agency]:[Agency]]=$E56)/(TableDiv[[Agency]:[Agency]]=$E56)*(ROW(TableDiv[Agency])-ROW(TableDiv[[#Headers],[Agency]])),COLUMNS($F$7:AF$7))))</f>
        <v/>
      </c>
      <c r="AG56" s="2223" t="str" cm="1">
        <f t="array" ref="AG56">IF($D56&lt;COLUMNS($F$7:AG$7),"",INDEX(TableDiv[[GASB]:[GASB]],_xlfn.AGGREGATE(15,3,(TableDiv[[Agency]:[Agency]]=$E56)/(TableDiv[[Agency]:[Agency]]=$E56)*(ROW(TableDiv[Agency])-ROW(TableDiv[[#Headers],[Agency]])),COLUMNS($F$7:AG$7))))</f>
        <v/>
      </c>
      <c r="AH56" s="2223" t="str" cm="1">
        <f t="array" ref="AH56">IF($D56&lt;COLUMNS($F$7:AH$7),"",INDEX(TableDiv[[GASB]:[GASB]],_xlfn.AGGREGATE(15,3,(TableDiv[[Agency]:[Agency]]=$E56)/(TableDiv[[Agency]:[Agency]]=$E56)*(ROW(TableDiv[Agency])-ROW(TableDiv[[#Headers],[Agency]])),COLUMNS($F$7:AH$7))))</f>
        <v/>
      </c>
      <c r="AI56" s="2223" t="str" cm="1">
        <f t="array" ref="AI56">IF($D56&lt;COLUMNS($F$7:AI$7),"",INDEX(TableDiv[[GASB]:[GASB]],_xlfn.AGGREGATE(15,3,(TableDiv[[Agency]:[Agency]]=$E56)/(TableDiv[[Agency]:[Agency]]=$E56)*(ROW(TableDiv[Agency])-ROW(TableDiv[[#Headers],[Agency]])),COLUMNS($F$7:AI$7))))</f>
        <v/>
      </c>
      <c r="AJ56" s="2223" t="str" cm="1">
        <f t="array" ref="AJ56">IF($D56&lt;COLUMNS($F$7:AJ$7),"",INDEX(TableDiv[[GASB]:[GASB]],_xlfn.AGGREGATE(15,3,(TableDiv[[Agency]:[Agency]]=$E56)/(TableDiv[[Agency]:[Agency]]=$E56)*(ROW(TableDiv[Agency])-ROW(TableDiv[[#Headers],[Agency]])),COLUMNS($F$7:AJ$7))))</f>
        <v/>
      </c>
      <c r="AK56" s="2223" t="str" cm="1">
        <f t="array" ref="AK56">IF($D56&lt;COLUMNS($F$7:AK$7),"",INDEX(TableDiv[[GASB]:[GASB]],_xlfn.AGGREGATE(15,3,(TableDiv[[Agency]:[Agency]]=$E56)/(TableDiv[[Agency]:[Agency]]=$E56)*(ROW(TableDiv[Agency])-ROW(TableDiv[[#Headers],[Agency]])),COLUMNS($F$7:AK$7))))</f>
        <v/>
      </c>
      <c r="AL56" s="2223" t="str" cm="1">
        <f t="array" ref="AL56">IF($D56&lt;COLUMNS($F$7:AL$7),"",INDEX(TableDiv[[GASB]:[GASB]],_xlfn.AGGREGATE(15,3,(TableDiv[[Agency]:[Agency]]=$E56)/(TableDiv[[Agency]:[Agency]]=$E56)*(ROW(TableDiv[Agency])-ROW(TableDiv[[#Headers],[Agency]])),COLUMNS($F$7:AL$7))))</f>
        <v/>
      </c>
      <c r="AM56" s="2223" t="str" cm="1">
        <f t="array" ref="AM56">IF($D56&lt;COLUMNS($F$7:AM$7),"",INDEX(TableDiv[[GASB]:[GASB]],_xlfn.AGGREGATE(15,3,(TableDiv[[Agency]:[Agency]]=$E56)/(TableDiv[[Agency]:[Agency]]=$E56)*(ROW(TableDiv[Agency])-ROW(TableDiv[[#Headers],[Agency]])),COLUMNS($F$7:AM$7))))</f>
        <v/>
      </c>
      <c r="AN56" s="2223"/>
      <c r="AO56" s="2223"/>
      <c r="AP56" s="2223"/>
      <c r="AQ56" s="2223"/>
      <c r="AR56" s="2223"/>
      <c r="AS56" s="2223"/>
    </row>
    <row r="57" spans="1:45" ht="15" x14ac:dyDescent="0.25">
      <c r="A57" s="2219" t="s">
        <v>5101</v>
      </c>
      <c r="B57" s="2219" t="s">
        <v>6392</v>
      </c>
      <c r="C57" s="2223"/>
      <c r="D57" s="2223">
        <f>COUNTIF(TableDiv[Agency],E57)</f>
        <v>2</v>
      </c>
      <c r="E57" s="2230" t="str" cm="1">
        <f t="array" ref="E57">IFERROR(INDEX(TableDiv[Agency],MATCH(0,INDEX(COUNTIF($E$7:E56,TableDiv[Agency]),),0)),"")</f>
        <v>4800</v>
      </c>
      <c r="F57" s="2223" t="str" cm="1">
        <f t="array" ref="F57">IF($D57&lt;COLUMNS($F$7:F$7),"",INDEX(TableDiv[[GASB]:[GASB]],_xlfn.AGGREGATE(15,3,(TableDiv[[Agency]:[Agency]]=$E57)/(TableDiv[[Agency]:[Agency]]=$E57)*(ROW(TableDiv[Agency])-ROW(TableDiv[[#Headers],[Agency]])),COLUMNS($F$7:F$7))))</f>
        <v>26310G</v>
      </c>
      <c r="G57" s="2223" t="str" cm="1">
        <f t="array" ref="G57">IF($D57&lt;COLUMNS($F$7:G$7),"",INDEX(TableDiv[[GASB]:[GASB]],_xlfn.AGGREGATE(15,3,(TableDiv[[Agency]:[Agency]]=$E57)/(TableDiv[[Agency]:[Agency]]=$E57)*(ROW(TableDiv[Agency])-ROW(TableDiv[[#Headers],[Agency]])),COLUMNS($F$7:G$7))))</f>
        <v>26340G</v>
      </c>
      <c r="H57" s="2223" t="str" cm="1">
        <f t="array" ref="H57">IF($D57&lt;COLUMNS($F$7:H$7),"",INDEX(TableDiv[[GASB]:[GASB]],_xlfn.AGGREGATE(15,3,(TableDiv[[Agency]:[Agency]]=$E57)/(TableDiv[[Agency]:[Agency]]=$E57)*(ROW(TableDiv[Agency])-ROW(TableDiv[[#Headers],[Agency]])),COLUMNS($F$7:H$7))))</f>
        <v/>
      </c>
      <c r="I57" s="2223" t="str" cm="1">
        <f t="array" ref="I57">IF($D57&lt;COLUMNS($F$7:I$7),"",INDEX(TableDiv[[GASB]:[GASB]],_xlfn.AGGREGATE(15,3,(TableDiv[[Agency]:[Agency]]=$E57)/(TableDiv[[Agency]:[Agency]]=$E57)*(ROW(TableDiv[Agency])-ROW(TableDiv[[#Headers],[Agency]])),COLUMNS($F$7:I$7))))</f>
        <v/>
      </c>
      <c r="J57" s="2223" t="str" cm="1">
        <f t="array" ref="J57">IF($D57&lt;COLUMNS($F$7:J$7),"",INDEX(TableDiv[[GASB]:[GASB]],_xlfn.AGGREGATE(15,3,(TableDiv[[Agency]:[Agency]]=$E57)/(TableDiv[[Agency]:[Agency]]=$E57)*(ROW(TableDiv[Agency])-ROW(TableDiv[[#Headers],[Agency]])),COLUMNS($F$7:J$7))))</f>
        <v/>
      </c>
      <c r="K57" s="2223" t="str" cm="1">
        <f t="array" ref="K57">IF($D57&lt;COLUMNS($F$7:K$7),"",INDEX(TableDiv[[GASB]:[GASB]],_xlfn.AGGREGATE(15,3,(TableDiv[[Agency]:[Agency]]=$E57)/(TableDiv[[Agency]:[Agency]]=$E57)*(ROW(TableDiv[Agency])-ROW(TableDiv[[#Headers],[Agency]])),COLUMNS($F$7:K$7))))</f>
        <v/>
      </c>
      <c r="L57" s="2223" t="str" cm="1">
        <f t="array" ref="L57">IF($D57&lt;COLUMNS($F$7:L$7),"",INDEX(TableDiv[[GASB]:[GASB]],_xlfn.AGGREGATE(15,3,(TableDiv[[Agency]:[Agency]]=$E57)/(TableDiv[[Agency]:[Agency]]=$E57)*(ROW(TableDiv[Agency])-ROW(TableDiv[[#Headers],[Agency]])),COLUMNS($F$7:L$7))))</f>
        <v/>
      </c>
      <c r="M57" s="2223" t="str" cm="1">
        <f t="array" ref="M57">IF($D57&lt;COLUMNS($F$7:M$7),"",INDEX(TableDiv[[GASB]:[GASB]],_xlfn.AGGREGATE(15,3,(TableDiv[[Agency]:[Agency]]=$E57)/(TableDiv[[Agency]:[Agency]]=$E57)*(ROW(TableDiv[Agency])-ROW(TableDiv[[#Headers],[Agency]])),COLUMNS($F$7:M$7))))</f>
        <v/>
      </c>
      <c r="N57" s="2223" t="str" cm="1">
        <f t="array" ref="N57">IF($D57&lt;COLUMNS($F$7:N$7),"",INDEX(TableDiv[[GASB]:[GASB]],_xlfn.AGGREGATE(15,3,(TableDiv[[Agency]:[Agency]]=$E57)/(TableDiv[[Agency]:[Agency]]=$E57)*(ROW(TableDiv[Agency])-ROW(TableDiv[[#Headers],[Agency]])),COLUMNS($F$7:N$7))))</f>
        <v/>
      </c>
      <c r="O57" s="2223" t="str" cm="1">
        <f t="array" ref="O57">IF($D57&lt;COLUMNS($F$7:O$7),"",INDEX(TableDiv[[GASB]:[GASB]],_xlfn.AGGREGATE(15,3,(TableDiv[[Agency]:[Agency]]=$E57)/(TableDiv[[Agency]:[Agency]]=$E57)*(ROW(TableDiv[Agency])-ROW(TableDiv[[#Headers],[Agency]])),COLUMNS($F$7:O$7))))</f>
        <v/>
      </c>
      <c r="P57" s="2223" t="str" cm="1">
        <f t="array" ref="P57">IF($D57&lt;COLUMNS($F$7:P$7),"",INDEX(TableDiv[[GASB]:[GASB]],_xlfn.AGGREGATE(15,3,(TableDiv[[Agency]:[Agency]]=$E57)/(TableDiv[[Agency]:[Agency]]=$E57)*(ROW(TableDiv[Agency])-ROW(TableDiv[[#Headers],[Agency]])),COLUMNS($F$7:P$7))))</f>
        <v/>
      </c>
      <c r="Q57" s="2223" t="str" cm="1">
        <f t="array" ref="Q57">IF($D57&lt;COLUMNS($F$7:Q$7),"",INDEX(TableDiv[[GASB]:[GASB]],_xlfn.AGGREGATE(15,3,(TableDiv[[Agency]:[Agency]]=$E57)/(TableDiv[[Agency]:[Agency]]=$E57)*(ROW(TableDiv[Agency])-ROW(TableDiv[[#Headers],[Agency]])),COLUMNS($F$7:Q$7))))</f>
        <v/>
      </c>
      <c r="R57" s="2223" t="str" cm="1">
        <f t="array" ref="R57">IF($D57&lt;COLUMNS($F$7:R$7),"",INDEX(TableDiv[[GASB]:[GASB]],_xlfn.AGGREGATE(15,3,(TableDiv[[Agency]:[Agency]]=$E57)/(TableDiv[[Agency]:[Agency]]=$E57)*(ROW(TableDiv[Agency])-ROW(TableDiv[[#Headers],[Agency]])),COLUMNS($F$7:R$7))))</f>
        <v/>
      </c>
      <c r="S57" s="2223" t="str" cm="1">
        <f t="array" ref="S57">IF($D57&lt;COLUMNS($F$7:S$7),"",INDEX(TableDiv[[GASB]:[GASB]],_xlfn.AGGREGATE(15,3,(TableDiv[[Agency]:[Agency]]=$E57)/(TableDiv[[Agency]:[Agency]]=$E57)*(ROW(TableDiv[Agency])-ROW(TableDiv[[#Headers],[Agency]])),COLUMNS($F$7:S$7))))</f>
        <v/>
      </c>
      <c r="T57" s="2223" t="str" cm="1">
        <f t="array" ref="T57">IF($D57&lt;COLUMNS($F$7:T$7),"",INDEX(TableDiv[[GASB]:[GASB]],_xlfn.AGGREGATE(15,3,(TableDiv[[Agency]:[Agency]]=$E57)/(TableDiv[[Agency]:[Agency]]=$E57)*(ROW(TableDiv[Agency])-ROW(TableDiv[[#Headers],[Agency]])),COLUMNS($F$7:T$7))))</f>
        <v/>
      </c>
      <c r="U57" s="2223" t="str" cm="1">
        <f t="array" ref="U57">IF($D57&lt;COLUMNS($F$7:U$7),"",INDEX(TableDiv[[GASB]:[GASB]],_xlfn.AGGREGATE(15,3,(TableDiv[[Agency]:[Agency]]=$E57)/(TableDiv[[Agency]:[Agency]]=$E57)*(ROW(TableDiv[Agency])-ROW(TableDiv[[#Headers],[Agency]])),COLUMNS($F$7:U$7))))</f>
        <v/>
      </c>
      <c r="V57" s="2223" t="str" cm="1">
        <f t="array" ref="V57">IF($D57&lt;COLUMNS($F$7:V$7),"",INDEX(TableDiv[[GASB]:[GASB]],_xlfn.AGGREGATE(15,3,(TableDiv[[Agency]:[Agency]]=$E57)/(TableDiv[[Agency]:[Agency]]=$E57)*(ROW(TableDiv[Agency])-ROW(TableDiv[[#Headers],[Agency]])),COLUMNS($F$7:V$7))))</f>
        <v/>
      </c>
      <c r="W57" s="2223" t="str" cm="1">
        <f t="array" ref="W57">IF($D57&lt;COLUMNS($F$7:W$7),"",INDEX(TableDiv[[GASB]:[GASB]],_xlfn.AGGREGATE(15,3,(TableDiv[[Agency]:[Agency]]=$E57)/(TableDiv[[Agency]:[Agency]]=$E57)*(ROW(TableDiv[Agency])-ROW(TableDiv[[#Headers],[Agency]])),COLUMNS($F$7:W$7))))</f>
        <v/>
      </c>
      <c r="X57" s="2223" t="str" cm="1">
        <f t="array" ref="X57">IF($D57&lt;COLUMNS($F$7:X$7),"",INDEX(TableDiv[[GASB]:[GASB]],_xlfn.AGGREGATE(15,3,(TableDiv[[Agency]:[Agency]]=$E57)/(TableDiv[[Agency]:[Agency]]=$E57)*(ROW(TableDiv[Agency])-ROW(TableDiv[[#Headers],[Agency]])),COLUMNS($F$7:X$7))))</f>
        <v/>
      </c>
      <c r="Y57" s="2223" t="str" cm="1">
        <f t="array" ref="Y57">IF($D57&lt;COLUMNS($F$7:Y$7),"",INDEX(TableDiv[[GASB]:[GASB]],_xlfn.AGGREGATE(15,3,(TableDiv[[Agency]:[Agency]]=$E57)/(TableDiv[[Agency]:[Agency]]=$E57)*(ROW(TableDiv[Agency])-ROW(TableDiv[[#Headers],[Agency]])),COLUMNS($F$7:Y$7))))</f>
        <v/>
      </c>
      <c r="Z57" s="2223" t="str" cm="1">
        <f t="array" ref="Z57">IF($D57&lt;COLUMNS($F$7:Z$7),"",INDEX(TableDiv[[GASB]:[GASB]],_xlfn.AGGREGATE(15,3,(TableDiv[[Agency]:[Agency]]=$E57)/(TableDiv[[Agency]:[Agency]]=$E57)*(ROW(TableDiv[Agency])-ROW(TableDiv[[#Headers],[Agency]])),COLUMNS($F$7:Z$7))))</f>
        <v/>
      </c>
      <c r="AA57" s="2223" t="str" cm="1">
        <f t="array" ref="AA57">IF($D57&lt;COLUMNS($F$7:AA$7),"",INDEX(TableDiv[[GASB]:[GASB]],_xlfn.AGGREGATE(15,3,(TableDiv[[Agency]:[Agency]]=$E57)/(TableDiv[[Agency]:[Agency]]=$E57)*(ROW(TableDiv[Agency])-ROW(TableDiv[[#Headers],[Agency]])),COLUMNS($F$7:AA$7))))</f>
        <v/>
      </c>
      <c r="AB57" s="2223" t="str" cm="1">
        <f t="array" ref="AB57">IF($D57&lt;COLUMNS($F$7:AB$7),"",INDEX(TableDiv[[GASB]:[GASB]],_xlfn.AGGREGATE(15,3,(TableDiv[[Agency]:[Agency]]=$E57)/(TableDiv[[Agency]:[Agency]]=$E57)*(ROW(TableDiv[Agency])-ROW(TableDiv[[#Headers],[Agency]])),COLUMNS($F$7:AB$7))))</f>
        <v/>
      </c>
      <c r="AC57" s="2223" t="str" cm="1">
        <f t="array" ref="AC57">IF($D57&lt;COLUMNS($F$7:AC$7),"",INDEX(TableDiv[[GASB]:[GASB]],_xlfn.AGGREGATE(15,3,(TableDiv[[Agency]:[Agency]]=$E57)/(TableDiv[[Agency]:[Agency]]=$E57)*(ROW(TableDiv[Agency])-ROW(TableDiv[[#Headers],[Agency]])),COLUMNS($F$7:AC$7))))</f>
        <v/>
      </c>
      <c r="AD57" s="2223" t="str" cm="1">
        <f t="array" ref="AD57">IF($D57&lt;COLUMNS($F$7:AD$7),"",INDEX(TableDiv[[GASB]:[GASB]],_xlfn.AGGREGATE(15,3,(TableDiv[[Agency]:[Agency]]=$E57)/(TableDiv[[Agency]:[Agency]]=$E57)*(ROW(TableDiv[Agency])-ROW(TableDiv[[#Headers],[Agency]])),COLUMNS($F$7:AD$7))))</f>
        <v/>
      </c>
      <c r="AE57" s="2223" t="str" cm="1">
        <f t="array" ref="AE57">IF($D57&lt;COLUMNS($F$7:AE$7),"",INDEX(TableDiv[[GASB]:[GASB]],_xlfn.AGGREGATE(15,3,(TableDiv[[Agency]:[Agency]]=$E57)/(TableDiv[[Agency]:[Agency]]=$E57)*(ROW(TableDiv[Agency])-ROW(TableDiv[[#Headers],[Agency]])),COLUMNS($F$7:AE$7))))</f>
        <v/>
      </c>
      <c r="AF57" s="2223" t="str" cm="1">
        <f t="array" ref="AF57">IF($D57&lt;COLUMNS($F$7:AF$7),"",INDEX(TableDiv[[GASB]:[GASB]],_xlfn.AGGREGATE(15,3,(TableDiv[[Agency]:[Agency]]=$E57)/(TableDiv[[Agency]:[Agency]]=$E57)*(ROW(TableDiv[Agency])-ROW(TableDiv[[#Headers],[Agency]])),COLUMNS($F$7:AF$7))))</f>
        <v/>
      </c>
      <c r="AG57" s="2223" t="str" cm="1">
        <f t="array" ref="AG57">IF($D57&lt;COLUMNS($F$7:AG$7),"",INDEX(TableDiv[[GASB]:[GASB]],_xlfn.AGGREGATE(15,3,(TableDiv[[Agency]:[Agency]]=$E57)/(TableDiv[[Agency]:[Agency]]=$E57)*(ROW(TableDiv[Agency])-ROW(TableDiv[[#Headers],[Agency]])),COLUMNS($F$7:AG$7))))</f>
        <v/>
      </c>
      <c r="AH57" s="2223" t="str" cm="1">
        <f t="array" ref="AH57">IF($D57&lt;COLUMNS($F$7:AH$7),"",INDEX(TableDiv[[GASB]:[GASB]],_xlfn.AGGREGATE(15,3,(TableDiv[[Agency]:[Agency]]=$E57)/(TableDiv[[Agency]:[Agency]]=$E57)*(ROW(TableDiv[Agency])-ROW(TableDiv[[#Headers],[Agency]])),COLUMNS($F$7:AH$7))))</f>
        <v/>
      </c>
      <c r="AI57" s="2223" t="str" cm="1">
        <f t="array" ref="AI57">IF($D57&lt;COLUMNS($F$7:AI$7),"",INDEX(TableDiv[[GASB]:[GASB]],_xlfn.AGGREGATE(15,3,(TableDiv[[Agency]:[Agency]]=$E57)/(TableDiv[[Agency]:[Agency]]=$E57)*(ROW(TableDiv[Agency])-ROW(TableDiv[[#Headers],[Agency]])),COLUMNS($F$7:AI$7))))</f>
        <v/>
      </c>
      <c r="AJ57" s="2223" t="str" cm="1">
        <f t="array" ref="AJ57">IF($D57&lt;COLUMNS($F$7:AJ$7),"",INDEX(TableDiv[[GASB]:[GASB]],_xlfn.AGGREGATE(15,3,(TableDiv[[Agency]:[Agency]]=$E57)/(TableDiv[[Agency]:[Agency]]=$E57)*(ROW(TableDiv[Agency])-ROW(TableDiv[[#Headers],[Agency]])),COLUMNS($F$7:AJ$7))))</f>
        <v/>
      </c>
      <c r="AK57" s="2223" t="str" cm="1">
        <f t="array" ref="AK57">IF($D57&lt;COLUMNS($F$7:AK$7),"",INDEX(TableDiv[[GASB]:[GASB]],_xlfn.AGGREGATE(15,3,(TableDiv[[Agency]:[Agency]]=$E57)/(TableDiv[[Agency]:[Agency]]=$E57)*(ROW(TableDiv[Agency])-ROW(TableDiv[[#Headers],[Agency]])),COLUMNS($F$7:AK$7))))</f>
        <v/>
      </c>
      <c r="AL57" s="2223" t="str" cm="1">
        <f t="array" ref="AL57">IF($D57&lt;COLUMNS($F$7:AL$7),"",INDEX(TableDiv[[GASB]:[GASB]],_xlfn.AGGREGATE(15,3,(TableDiv[[Agency]:[Agency]]=$E57)/(TableDiv[[Agency]:[Agency]]=$E57)*(ROW(TableDiv[Agency])-ROW(TableDiv[[#Headers],[Agency]])),COLUMNS($F$7:AL$7))))</f>
        <v/>
      </c>
      <c r="AM57" s="2223" t="str" cm="1">
        <f t="array" ref="AM57">IF($D57&lt;COLUMNS($F$7:AM$7),"",INDEX(TableDiv[[GASB]:[GASB]],_xlfn.AGGREGATE(15,3,(TableDiv[[Agency]:[Agency]]=$E57)/(TableDiv[[Agency]:[Agency]]=$E57)*(ROW(TableDiv[Agency])-ROW(TableDiv[[#Headers],[Agency]])),COLUMNS($F$7:AM$7))))</f>
        <v/>
      </c>
      <c r="AN57" s="2223"/>
      <c r="AO57" s="2223"/>
      <c r="AP57" s="2223"/>
      <c r="AQ57" s="2223"/>
      <c r="AR57" s="2223"/>
      <c r="AS57" s="2223"/>
    </row>
    <row r="58" spans="1:45" ht="15" x14ac:dyDescent="0.25">
      <c r="A58" s="2219" t="s">
        <v>5101</v>
      </c>
      <c r="B58" s="2219" t="s">
        <v>6393</v>
      </c>
      <c r="C58" s="2223"/>
      <c r="D58" s="2223">
        <f>COUNTIF(TableDiv[Agency],E58)</f>
        <v>4</v>
      </c>
      <c r="E58" s="2230" t="str" cm="1">
        <f t="array" ref="E58">IFERROR(INDEX(TableDiv[Agency],MATCH(0,INDEX(COUNTIF($E$7:E57,TableDiv[Agency]),),0)),"")</f>
        <v>4900</v>
      </c>
      <c r="F58" s="2223" t="str" cm="1">
        <f t="array" ref="F58">IF($D58&lt;COLUMNS($F$7:F$7),"",INDEX(TableDiv[[GASB]:[GASB]],_xlfn.AGGREGATE(15,3,(TableDiv[[Agency]:[Agency]]=$E58)/(TableDiv[[Agency]:[Agency]]=$E58)*(ROW(TableDiv[Agency])-ROW(TableDiv[[#Headers],[Agency]])),COLUMNS($F$7:F$7))))</f>
        <v>11000G</v>
      </c>
      <c r="G58" s="2223" t="str" cm="1">
        <f t="array" ref="G58">IF($D58&lt;COLUMNS($F$7:G$7),"",INDEX(TableDiv[[GASB]:[GASB]],_xlfn.AGGREGATE(15,3,(TableDiv[[Agency]:[Agency]]=$E58)/(TableDiv[[Agency]:[Agency]]=$E58)*(ROW(TableDiv[Agency])-ROW(TableDiv[[#Headers],[Agency]])),COLUMNS($F$7:G$7))))</f>
        <v>11020G</v>
      </c>
      <c r="H58" s="2223" t="str" cm="1">
        <f t="array" ref="H58">IF($D58&lt;COLUMNS($F$7:H$7),"",INDEX(TableDiv[[GASB]:[GASB]],_xlfn.AGGREGATE(15,3,(TableDiv[[Agency]:[Agency]]=$E58)/(TableDiv[[Agency]:[Agency]]=$E58)*(ROW(TableDiv[Agency])-ROW(TableDiv[[#Headers],[Agency]])),COLUMNS($F$7:H$7))))</f>
        <v>11030G</v>
      </c>
      <c r="I58" s="2223" t="str" cm="1">
        <f t="array" ref="I58">IF($D58&lt;COLUMNS($F$7:I$7),"",INDEX(TableDiv[[GASB]:[GASB]],_xlfn.AGGREGATE(15,3,(TableDiv[[Agency]:[Agency]]=$E58)/(TableDiv[[Agency]:[Agency]]=$E58)*(ROW(TableDiv[Agency])-ROW(TableDiv[[#Headers],[Agency]])),COLUMNS($F$7:I$7))))</f>
        <v>14000G</v>
      </c>
      <c r="J58" s="2223" t="str" cm="1">
        <f t="array" ref="J58">IF($D58&lt;COLUMNS($F$7:J$7),"",INDEX(TableDiv[[GASB]:[GASB]],_xlfn.AGGREGATE(15,3,(TableDiv[[Agency]:[Agency]]=$E58)/(TableDiv[[Agency]:[Agency]]=$E58)*(ROW(TableDiv[Agency])-ROW(TableDiv[[#Headers],[Agency]])),COLUMNS($F$7:J$7))))</f>
        <v/>
      </c>
      <c r="K58" s="2223" t="str" cm="1">
        <f t="array" ref="K58">IF($D58&lt;COLUMNS($F$7:K$7),"",INDEX(TableDiv[[GASB]:[GASB]],_xlfn.AGGREGATE(15,3,(TableDiv[[Agency]:[Agency]]=$E58)/(TableDiv[[Agency]:[Agency]]=$E58)*(ROW(TableDiv[Agency])-ROW(TableDiv[[#Headers],[Agency]])),COLUMNS($F$7:K$7))))</f>
        <v/>
      </c>
      <c r="L58" s="2223" t="str" cm="1">
        <f t="array" ref="L58">IF($D58&lt;COLUMNS($F$7:L$7),"",INDEX(TableDiv[[GASB]:[GASB]],_xlfn.AGGREGATE(15,3,(TableDiv[[Agency]:[Agency]]=$E58)/(TableDiv[[Agency]:[Agency]]=$E58)*(ROW(TableDiv[Agency])-ROW(TableDiv[[#Headers],[Agency]])),COLUMNS($F$7:L$7))))</f>
        <v/>
      </c>
      <c r="M58" s="2223" t="str" cm="1">
        <f t="array" ref="M58">IF($D58&lt;COLUMNS($F$7:M$7),"",INDEX(TableDiv[[GASB]:[GASB]],_xlfn.AGGREGATE(15,3,(TableDiv[[Agency]:[Agency]]=$E58)/(TableDiv[[Agency]:[Agency]]=$E58)*(ROW(TableDiv[Agency])-ROW(TableDiv[[#Headers],[Agency]])),COLUMNS($F$7:M$7))))</f>
        <v/>
      </c>
      <c r="N58" s="2223" t="str" cm="1">
        <f t="array" ref="N58">IF($D58&lt;COLUMNS($F$7:N$7),"",INDEX(TableDiv[[GASB]:[GASB]],_xlfn.AGGREGATE(15,3,(TableDiv[[Agency]:[Agency]]=$E58)/(TableDiv[[Agency]:[Agency]]=$E58)*(ROW(TableDiv[Agency])-ROW(TableDiv[[#Headers],[Agency]])),COLUMNS($F$7:N$7))))</f>
        <v/>
      </c>
      <c r="O58" s="2223" t="str" cm="1">
        <f t="array" ref="O58">IF($D58&lt;COLUMNS($F$7:O$7),"",INDEX(TableDiv[[GASB]:[GASB]],_xlfn.AGGREGATE(15,3,(TableDiv[[Agency]:[Agency]]=$E58)/(TableDiv[[Agency]:[Agency]]=$E58)*(ROW(TableDiv[Agency])-ROW(TableDiv[[#Headers],[Agency]])),COLUMNS($F$7:O$7))))</f>
        <v/>
      </c>
      <c r="P58" s="2223" t="str" cm="1">
        <f t="array" ref="P58">IF($D58&lt;COLUMNS($F$7:P$7),"",INDEX(TableDiv[[GASB]:[GASB]],_xlfn.AGGREGATE(15,3,(TableDiv[[Agency]:[Agency]]=$E58)/(TableDiv[[Agency]:[Agency]]=$E58)*(ROW(TableDiv[Agency])-ROW(TableDiv[[#Headers],[Agency]])),COLUMNS($F$7:P$7))))</f>
        <v/>
      </c>
      <c r="Q58" s="2223" t="str" cm="1">
        <f t="array" ref="Q58">IF($D58&lt;COLUMNS($F$7:Q$7),"",INDEX(TableDiv[[GASB]:[GASB]],_xlfn.AGGREGATE(15,3,(TableDiv[[Agency]:[Agency]]=$E58)/(TableDiv[[Agency]:[Agency]]=$E58)*(ROW(TableDiv[Agency])-ROW(TableDiv[[#Headers],[Agency]])),COLUMNS($F$7:Q$7))))</f>
        <v/>
      </c>
      <c r="R58" s="2223" t="str" cm="1">
        <f t="array" ref="R58">IF($D58&lt;COLUMNS($F$7:R$7),"",INDEX(TableDiv[[GASB]:[GASB]],_xlfn.AGGREGATE(15,3,(TableDiv[[Agency]:[Agency]]=$E58)/(TableDiv[[Agency]:[Agency]]=$E58)*(ROW(TableDiv[Agency])-ROW(TableDiv[[#Headers],[Agency]])),COLUMNS($F$7:R$7))))</f>
        <v/>
      </c>
      <c r="S58" s="2223" t="str" cm="1">
        <f t="array" ref="S58">IF($D58&lt;COLUMNS($F$7:S$7),"",INDEX(TableDiv[[GASB]:[GASB]],_xlfn.AGGREGATE(15,3,(TableDiv[[Agency]:[Agency]]=$E58)/(TableDiv[[Agency]:[Agency]]=$E58)*(ROW(TableDiv[Agency])-ROW(TableDiv[[#Headers],[Agency]])),COLUMNS($F$7:S$7))))</f>
        <v/>
      </c>
      <c r="T58" s="2223" t="str" cm="1">
        <f t="array" ref="T58">IF($D58&lt;COLUMNS($F$7:T$7),"",INDEX(TableDiv[[GASB]:[GASB]],_xlfn.AGGREGATE(15,3,(TableDiv[[Agency]:[Agency]]=$E58)/(TableDiv[[Agency]:[Agency]]=$E58)*(ROW(TableDiv[Agency])-ROW(TableDiv[[#Headers],[Agency]])),COLUMNS($F$7:T$7))))</f>
        <v/>
      </c>
      <c r="U58" s="2223" t="str" cm="1">
        <f t="array" ref="U58">IF($D58&lt;COLUMNS($F$7:U$7),"",INDEX(TableDiv[[GASB]:[GASB]],_xlfn.AGGREGATE(15,3,(TableDiv[[Agency]:[Agency]]=$E58)/(TableDiv[[Agency]:[Agency]]=$E58)*(ROW(TableDiv[Agency])-ROW(TableDiv[[#Headers],[Agency]])),COLUMNS($F$7:U$7))))</f>
        <v/>
      </c>
      <c r="V58" s="2223" t="str" cm="1">
        <f t="array" ref="V58">IF($D58&lt;COLUMNS($F$7:V$7),"",INDEX(TableDiv[[GASB]:[GASB]],_xlfn.AGGREGATE(15,3,(TableDiv[[Agency]:[Agency]]=$E58)/(TableDiv[[Agency]:[Agency]]=$E58)*(ROW(TableDiv[Agency])-ROW(TableDiv[[#Headers],[Agency]])),COLUMNS($F$7:V$7))))</f>
        <v/>
      </c>
      <c r="W58" s="2223" t="str" cm="1">
        <f t="array" ref="W58">IF($D58&lt;COLUMNS($F$7:W$7),"",INDEX(TableDiv[[GASB]:[GASB]],_xlfn.AGGREGATE(15,3,(TableDiv[[Agency]:[Agency]]=$E58)/(TableDiv[[Agency]:[Agency]]=$E58)*(ROW(TableDiv[Agency])-ROW(TableDiv[[#Headers],[Agency]])),COLUMNS($F$7:W$7))))</f>
        <v/>
      </c>
      <c r="X58" s="2223" t="str" cm="1">
        <f t="array" ref="X58">IF($D58&lt;COLUMNS($F$7:X$7),"",INDEX(TableDiv[[GASB]:[GASB]],_xlfn.AGGREGATE(15,3,(TableDiv[[Agency]:[Agency]]=$E58)/(TableDiv[[Agency]:[Agency]]=$E58)*(ROW(TableDiv[Agency])-ROW(TableDiv[[#Headers],[Agency]])),COLUMNS($F$7:X$7))))</f>
        <v/>
      </c>
      <c r="Y58" s="2223" t="str" cm="1">
        <f t="array" ref="Y58">IF($D58&lt;COLUMNS($F$7:Y$7),"",INDEX(TableDiv[[GASB]:[GASB]],_xlfn.AGGREGATE(15,3,(TableDiv[[Agency]:[Agency]]=$E58)/(TableDiv[[Agency]:[Agency]]=$E58)*(ROW(TableDiv[Agency])-ROW(TableDiv[[#Headers],[Agency]])),COLUMNS($F$7:Y$7))))</f>
        <v/>
      </c>
      <c r="Z58" s="2223" t="str" cm="1">
        <f t="array" ref="Z58">IF($D58&lt;COLUMNS($F$7:Z$7),"",INDEX(TableDiv[[GASB]:[GASB]],_xlfn.AGGREGATE(15,3,(TableDiv[[Agency]:[Agency]]=$E58)/(TableDiv[[Agency]:[Agency]]=$E58)*(ROW(TableDiv[Agency])-ROW(TableDiv[[#Headers],[Agency]])),COLUMNS($F$7:Z$7))))</f>
        <v/>
      </c>
      <c r="AA58" s="2223" t="str" cm="1">
        <f t="array" ref="AA58">IF($D58&lt;COLUMNS($F$7:AA$7),"",INDEX(TableDiv[[GASB]:[GASB]],_xlfn.AGGREGATE(15,3,(TableDiv[[Agency]:[Agency]]=$E58)/(TableDiv[[Agency]:[Agency]]=$E58)*(ROW(TableDiv[Agency])-ROW(TableDiv[[#Headers],[Agency]])),COLUMNS($F$7:AA$7))))</f>
        <v/>
      </c>
      <c r="AB58" s="2223" t="str" cm="1">
        <f t="array" ref="AB58">IF($D58&lt;COLUMNS($F$7:AB$7),"",INDEX(TableDiv[[GASB]:[GASB]],_xlfn.AGGREGATE(15,3,(TableDiv[[Agency]:[Agency]]=$E58)/(TableDiv[[Agency]:[Agency]]=$E58)*(ROW(TableDiv[Agency])-ROW(TableDiv[[#Headers],[Agency]])),COLUMNS($F$7:AB$7))))</f>
        <v/>
      </c>
      <c r="AC58" s="2223" t="str" cm="1">
        <f t="array" ref="AC58">IF($D58&lt;COLUMNS($F$7:AC$7),"",INDEX(TableDiv[[GASB]:[GASB]],_xlfn.AGGREGATE(15,3,(TableDiv[[Agency]:[Agency]]=$E58)/(TableDiv[[Agency]:[Agency]]=$E58)*(ROW(TableDiv[Agency])-ROW(TableDiv[[#Headers],[Agency]])),COLUMNS($F$7:AC$7))))</f>
        <v/>
      </c>
      <c r="AD58" s="2223" t="str" cm="1">
        <f t="array" ref="AD58">IF($D58&lt;COLUMNS($F$7:AD$7),"",INDEX(TableDiv[[GASB]:[GASB]],_xlfn.AGGREGATE(15,3,(TableDiv[[Agency]:[Agency]]=$E58)/(TableDiv[[Agency]:[Agency]]=$E58)*(ROW(TableDiv[Agency])-ROW(TableDiv[[#Headers],[Agency]])),COLUMNS($F$7:AD$7))))</f>
        <v/>
      </c>
      <c r="AE58" s="2223" t="str" cm="1">
        <f t="array" ref="AE58">IF($D58&lt;COLUMNS($F$7:AE$7),"",INDEX(TableDiv[[GASB]:[GASB]],_xlfn.AGGREGATE(15,3,(TableDiv[[Agency]:[Agency]]=$E58)/(TableDiv[[Agency]:[Agency]]=$E58)*(ROW(TableDiv[Agency])-ROW(TableDiv[[#Headers],[Agency]])),COLUMNS($F$7:AE$7))))</f>
        <v/>
      </c>
      <c r="AF58" s="2223" t="str" cm="1">
        <f t="array" ref="AF58">IF($D58&lt;COLUMNS($F$7:AF$7),"",INDEX(TableDiv[[GASB]:[GASB]],_xlfn.AGGREGATE(15,3,(TableDiv[[Agency]:[Agency]]=$E58)/(TableDiv[[Agency]:[Agency]]=$E58)*(ROW(TableDiv[Agency])-ROW(TableDiv[[#Headers],[Agency]])),COLUMNS($F$7:AF$7))))</f>
        <v/>
      </c>
      <c r="AG58" s="2223" t="str" cm="1">
        <f t="array" ref="AG58">IF($D58&lt;COLUMNS($F$7:AG$7),"",INDEX(TableDiv[[GASB]:[GASB]],_xlfn.AGGREGATE(15,3,(TableDiv[[Agency]:[Agency]]=$E58)/(TableDiv[[Agency]:[Agency]]=$E58)*(ROW(TableDiv[Agency])-ROW(TableDiv[[#Headers],[Agency]])),COLUMNS($F$7:AG$7))))</f>
        <v/>
      </c>
      <c r="AH58" s="2223" t="str" cm="1">
        <f t="array" ref="AH58">IF($D58&lt;COLUMNS($F$7:AH$7),"",INDEX(TableDiv[[GASB]:[GASB]],_xlfn.AGGREGATE(15,3,(TableDiv[[Agency]:[Agency]]=$E58)/(TableDiv[[Agency]:[Agency]]=$E58)*(ROW(TableDiv[Agency])-ROW(TableDiv[[#Headers],[Agency]])),COLUMNS($F$7:AH$7))))</f>
        <v/>
      </c>
      <c r="AI58" s="2223" t="str" cm="1">
        <f t="array" ref="AI58">IF($D58&lt;COLUMNS($F$7:AI$7),"",INDEX(TableDiv[[GASB]:[GASB]],_xlfn.AGGREGATE(15,3,(TableDiv[[Agency]:[Agency]]=$E58)/(TableDiv[[Agency]:[Agency]]=$E58)*(ROW(TableDiv[Agency])-ROW(TableDiv[[#Headers],[Agency]])),COLUMNS($F$7:AI$7))))</f>
        <v/>
      </c>
      <c r="AJ58" s="2223" t="str" cm="1">
        <f t="array" ref="AJ58">IF($D58&lt;COLUMNS($F$7:AJ$7),"",INDEX(TableDiv[[GASB]:[GASB]],_xlfn.AGGREGATE(15,3,(TableDiv[[Agency]:[Agency]]=$E58)/(TableDiv[[Agency]:[Agency]]=$E58)*(ROW(TableDiv[Agency])-ROW(TableDiv[[#Headers],[Agency]])),COLUMNS($F$7:AJ$7))))</f>
        <v/>
      </c>
      <c r="AK58" s="2223" t="str" cm="1">
        <f t="array" ref="AK58">IF($D58&lt;COLUMNS($F$7:AK$7),"",INDEX(TableDiv[[GASB]:[GASB]],_xlfn.AGGREGATE(15,3,(TableDiv[[Agency]:[Agency]]=$E58)/(TableDiv[[Agency]:[Agency]]=$E58)*(ROW(TableDiv[Agency])-ROW(TableDiv[[#Headers],[Agency]])),COLUMNS($F$7:AK$7))))</f>
        <v/>
      </c>
      <c r="AL58" s="2223" t="str" cm="1">
        <f t="array" ref="AL58">IF($D58&lt;COLUMNS($F$7:AL$7),"",INDEX(TableDiv[[GASB]:[GASB]],_xlfn.AGGREGATE(15,3,(TableDiv[[Agency]:[Agency]]=$E58)/(TableDiv[[Agency]:[Agency]]=$E58)*(ROW(TableDiv[Agency])-ROW(TableDiv[[#Headers],[Agency]])),COLUMNS($F$7:AL$7))))</f>
        <v/>
      </c>
      <c r="AM58" s="2223" t="str" cm="1">
        <f t="array" ref="AM58">IF($D58&lt;COLUMNS($F$7:AM$7),"",INDEX(TableDiv[[GASB]:[GASB]],_xlfn.AGGREGATE(15,3,(TableDiv[[Agency]:[Agency]]=$E58)/(TableDiv[[Agency]:[Agency]]=$E58)*(ROW(TableDiv[Agency])-ROW(TableDiv[[#Headers],[Agency]])),COLUMNS($F$7:AM$7))))</f>
        <v/>
      </c>
      <c r="AN58" s="2223"/>
      <c r="AO58" s="2223"/>
      <c r="AP58" s="2223"/>
      <c r="AQ58" s="2223"/>
      <c r="AR58" s="2223"/>
      <c r="AS58" s="2223"/>
    </row>
    <row r="59" spans="1:45" ht="15" x14ac:dyDescent="0.25">
      <c r="A59" s="2219" t="s">
        <v>5101</v>
      </c>
      <c r="B59" s="2219" t="s">
        <v>6394</v>
      </c>
      <c r="C59" s="2223"/>
      <c r="D59" s="2223">
        <f>COUNTIF(TableDiv[Agency],E59)</f>
        <v>8</v>
      </c>
      <c r="E59" s="2230" t="str" cm="1">
        <f t="array" ref="E59">IFERROR(INDEX(TableDiv[Agency],MATCH(0,INDEX(COUNTIF($E$7:E58,TableDiv[Agency]),),0)),"")</f>
        <v>5000</v>
      </c>
      <c r="F59" s="2223" t="str" cm="1">
        <f t="array" ref="F59">IF($D59&lt;COLUMNS($F$7:F$7),"",INDEX(TableDiv[[GASB]:[GASB]],_xlfn.AGGREGATE(15,3,(TableDiv[[Agency]:[Agency]]=$E59)/(TableDiv[[Agency]:[Agency]]=$E59)*(ROW(TableDiv[Agency])-ROW(TableDiv[[#Headers],[Agency]])),COLUMNS($F$7:F$7))))</f>
        <v>11000G</v>
      </c>
      <c r="G59" s="2223" t="str" cm="1">
        <f t="array" ref="G59">IF($D59&lt;COLUMNS($F$7:G$7),"",INDEX(TableDiv[[GASB]:[GASB]],_xlfn.AGGREGATE(15,3,(TableDiv[[Agency]:[Agency]]=$E59)/(TableDiv[[Agency]:[Agency]]=$E59)*(ROW(TableDiv[Agency])-ROW(TableDiv[[#Headers],[Agency]])),COLUMNS($F$7:G$7))))</f>
        <v>11020G</v>
      </c>
      <c r="H59" s="2223" t="str" cm="1">
        <f t="array" ref="H59">IF($D59&lt;COLUMNS($F$7:H$7),"",INDEX(TableDiv[[GASB]:[GASB]],_xlfn.AGGREGATE(15,3,(TableDiv[[Agency]:[Agency]]=$E59)/(TableDiv[[Agency]:[Agency]]=$E59)*(ROW(TableDiv[Agency])-ROW(TableDiv[[#Headers],[Agency]])),COLUMNS($F$7:H$7))))</f>
        <v>11030G</v>
      </c>
      <c r="I59" s="2223" t="str" cm="1">
        <f t="array" ref="I59">IF($D59&lt;COLUMNS($F$7:I$7),"",INDEX(TableDiv[[GASB]:[GASB]],_xlfn.AGGREGATE(15,3,(TableDiv[[Agency]:[Agency]]=$E59)/(TableDiv[[Agency]:[Agency]]=$E59)*(ROW(TableDiv[Agency])-ROW(TableDiv[[#Headers],[Agency]])),COLUMNS($F$7:I$7))))</f>
        <v>11060G</v>
      </c>
      <c r="J59" s="2223" t="str" cm="1">
        <f t="array" ref="J59">IF($D59&lt;COLUMNS($F$7:J$7),"",INDEX(TableDiv[[GASB]:[GASB]],_xlfn.AGGREGATE(15,3,(TableDiv[[Agency]:[Agency]]=$E59)/(TableDiv[[Agency]:[Agency]]=$E59)*(ROW(TableDiv[Agency])-ROW(TableDiv[[#Headers],[Agency]])),COLUMNS($F$7:J$7))))</f>
        <v>12000G</v>
      </c>
      <c r="K59" s="2223" t="str" cm="1">
        <f t="array" ref="K59">IF($D59&lt;COLUMNS($F$7:K$7),"",INDEX(TableDiv[[GASB]:[GASB]],_xlfn.AGGREGATE(15,3,(TableDiv[[Agency]:[Agency]]=$E59)/(TableDiv[[Agency]:[Agency]]=$E59)*(ROW(TableDiv[Agency])-ROW(TableDiv[[#Headers],[Agency]])),COLUMNS($F$7:K$7))))</f>
        <v>14000G</v>
      </c>
      <c r="L59" s="2223" t="str" cm="1">
        <f t="array" ref="L59">IF($D59&lt;COLUMNS($F$7:L$7),"",INDEX(TableDiv[[GASB]:[GASB]],_xlfn.AGGREGATE(15,3,(TableDiv[[Agency]:[Agency]]=$E59)/(TableDiv[[Agency]:[Agency]]=$E59)*(ROW(TableDiv[Agency])-ROW(TableDiv[[#Headers],[Agency]])),COLUMNS($F$7:L$7))))</f>
        <v>14260G</v>
      </c>
      <c r="M59" s="2223" t="str" cm="1">
        <f t="array" ref="M59">IF($D59&lt;COLUMNS($F$7:M$7),"",INDEX(TableDiv[[GASB]:[GASB]],_xlfn.AGGREGATE(15,3,(TableDiv[[Agency]:[Agency]]=$E59)/(TableDiv[[Agency]:[Agency]]=$E59)*(ROW(TableDiv[Agency])-ROW(TableDiv[[#Headers],[Agency]])),COLUMNS($F$7:M$7))))</f>
        <v>15000G</v>
      </c>
      <c r="N59" s="2223" t="str" cm="1">
        <f t="array" ref="N59">IF($D59&lt;COLUMNS($F$7:N$7),"",INDEX(TableDiv[[GASB]:[GASB]],_xlfn.AGGREGATE(15,3,(TableDiv[[Agency]:[Agency]]=$E59)/(TableDiv[[Agency]:[Agency]]=$E59)*(ROW(TableDiv[Agency])-ROW(TableDiv[[#Headers],[Agency]])),COLUMNS($F$7:N$7))))</f>
        <v/>
      </c>
      <c r="O59" s="2223" t="str" cm="1">
        <f t="array" ref="O59">IF($D59&lt;COLUMNS($F$7:O$7),"",INDEX(TableDiv[[GASB]:[GASB]],_xlfn.AGGREGATE(15,3,(TableDiv[[Agency]:[Agency]]=$E59)/(TableDiv[[Agency]:[Agency]]=$E59)*(ROW(TableDiv[Agency])-ROW(TableDiv[[#Headers],[Agency]])),COLUMNS($F$7:O$7))))</f>
        <v/>
      </c>
      <c r="P59" s="2223" t="str" cm="1">
        <f t="array" ref="P59">IF($D59&lt;COLUMNS($F$7:P$7),"",INDEX(TableDiv[[GASB]:[GASB]],_xlfn.AGGREGATE(15,3,(TableDiv[[Agency]:[Agency]]=$E59)/(TableDiv[[Agency]:[Agency]]=$E59)*(ROW(TableDiv[Agency])-ROW(TableDiv[[#Headers],[Agency]])),COLUMNS($F$7:P$7))))</f>
        <v/>
      </c>
      <c r="Q59" s="2223" t="str" cm="1">
        <f t="array" ref="Q59">IF($D59&lt;COLUMNS($F$7:Q$7),"",INDEX(TableDiv[[GASB]:[GASB]],_xlfn.AGGREGATE(15,3,(TableDiv[[Agency]:[Agency]]=$E59)/(TableDiv[[Agency]:[Agency]]=$E59)*(ROW(TableDiv[Agency])-ROW(TableDiv[[#Headers],[Agency]])),COLUMNS($F$7:Q$7))))</f>
        <v/>
      </c>
      <c r="R59" s="2223" t="str" cm="1">
        <f t="array" ref="R59">IF($D59&lt;COLUMNS($F$7:R$7),"",INDEX(TableDiv[[GASB]:[GASB]],_xlfn.AGGREGATE(15,3,(TableDiv[[Agency]:[Agency]]=$E59)/(TableDiv[[Agency]:[Agency]]=$E59)*(ROW(TableDiv[Agency])-ROW(TableDiv[[#Headers],[Agency]])),COLUMNS($F$7:R$7))))</f>
        <v/>
      </c>
      <c r="S59" s="2223" t="str" cm="1">
        <f t="array" ref="S59">IF($D59&lt;COLUMNS($F$7:S$7),"",INDEX(TableDiv[[GASB]:[GASB]],_xlfn.AGGREGATE(15,3,(TableDiv[[Agency]:[Agency]]=$E59)/(TableDiv[[Agency]:[Agency]]=$E59)*(ROW(TableDiv[Agency])-ROW(TableDiv[[#Headers],[Agency]])),COLUMNS($F$7:S$7))))</f>
        <v/>
      </c>
      <c r="T59" s="2223" t="str" cm="1">
        <f t="array" ref="T59">IF($D59&lt;COLUMNS($F$7:T$7),"",INDEX(TableDiv[[GASB]:[GASB]],_xlfn.AGGREGATE(15,3,(TableDiv[[Agency]:[Agency]]=$E59)/(TableDiv[[Agency]:[Agency]]=$E59)*(ROW(TableDiv[Agency])-ROW(TableDiv[[#Headers],[Agency]])),COLUMNS($F$7:T$7))))</f>
        <v/>
      </c>
      <c r="U59" s="2223" t="str" cm="1">
        <f t="array" ref="U59">IF($D59&lt;COLUMNS($F$7:U$7),"",INDEX(TableDiv[[GASB]:[GASB]],_xlfn.AGGREGATE(15,3,(TableDiv[[Agency]:[Agency]]=$E59)/(TableDiv[[Agency]:[Agency]]=$E59)*(ROW(TableDiv[Agency])-ROW(TableDiv[[#Headers],[Agency]])),COLUMNS($F$7:U$7))))</f>
        <v/>
      </c>
      <c r="V59" s="2223" t="str" cm="1">
        <f t="array" ref="V59">IF($D59&lt;COLUMNS($F$7:V$7),"",INDEX(TableDiv[[GASB]:[GASB]],_xlfn.AGGREGATE(15,3,(TableDiv[[Agency]:[Agency]]=$E59)/(TableDiv[[Agency]:[Agency]]=$E59)*(ROW(TableDiv[Agency])-ROW(TableDiv[[#Headers],[Agency]])),COLUMNS($F$7:V$7))))</f>
        <v/>
      </c>
      <c r="W59" s="2223" t="str" cm="1">
        <f t="array" ref="W59">IF($D59&lt;COLUMNS($F$7:W$7),"",INDEX(TableDiv[[GASB]:[GASB]],_xlfn.AGGREGATE(15,3,(TableDiv[[Agency]:[Agency]]=$E59)/(TableDiv[[Agency]:[Agency]]=$E59)*(ROW(TableDiv[Agency])-ROW(TableDiv[[#Headers],[Agency]])),COLUMNS($F$7:W$7))))</f>
        <v/>
      </c>
      <c r="X59" s="2223" t="str" cm="1">
        <f t="array" ref="X59">IF($D59&lt;COLUMNS($F$7:X$7),"",INDEX(TableDiv[[GASB]:[GASB]],_xlfn.AGGREGATE(15,3,(TableDiv[[Agency]:[Agency]]=$E59)/(TableDiv[[Agency]:[Agency]]=$E59)*(ROW(TableDiv[Agency])-ROW(TableDiv[[#Headers],[Agency]])),COLUMNS($F$7:X$7))))</f>
        <v/>
      </c>
      <c r="Y59" s="2223" t="str" cm="1">
        <f t="array" ref="Y59">IF($D59&lt;COLUMNS($F$7:Y$7),"",INDEX(TableDiv[[GASB]:[GASB]],_xlfn.AGGREGATE(15,3,(TableDiv[[Agency]:[Agency]]=$E59)/(TableDiv[[Agency]:[Agency]]=$E59)*(ROW(TableDiv[Agency])-ROW(TableDiv[[#Headers],[Agency]])),COLUMNS($F$7:Y$7))))</f>
        <v/>
      </c>
      <c r="Z59" s="2223" t="str" cm="1">
        <f t="array" ref="Z59">IF($D59&lt;COLUMNS($F$7:Z$7),"",INDEX(TableDiv[[GASB]:[GASB]],_xlfn.AGGREGATE(15,3,(TableDiv[[Agency]:[Agency]]=$E59)/(TableDiv[[Agency]:[Agency]]=$E59)*(ROW(TableDiv[Agency])-ROW(TableDiv[[#Headers],[Agency]])),COLUMNS($F$7:Z$7))))</f>
        <v/>
      </c>
      <c r="AA59" s="2223" t="str" cm="1">
        <f t="array" ref="AA59">IF($D59&lt;COLUMNS($F$7:AA$7),"",INDEX(TableDiv[[GASB]:[GASB]],_xlfn.AGGREGATE(15,3,(TableDiv[[Agency]:[Agency]]=$E59)/(TableDiv[[Agency]:[Agency]]=$E59)*(ROW(TableDiv[Agency])-ROW(TableDiv[[#Headers],[Agency]])),COLUMNS($F$7:AA$7))))</f>
        <v/>
      </c>
      <c r="AB59" s="2223" t="str" cm="1">
        <f t="array" ref="AB59">IF($D59&lt;COLUMNS($F$7:AB$7),"",INDEX(TableDiv[[GASB]:[GASB]],_xlfn.AGGREGATE(15,3,(TableDiv[[Agency]:[Agency]]=$E59)/(TableDiv[[Agency]:[Agency]]=$E59)*(ROW(TableDiv[Agency])-ROW(TableDiv[[#Headers],[Agency]])),COLUMNS($F$7:AB$7))))</f>
        <v/>
      </c>
      <c r="AC59" s="2223" t="str" cm="1">
        <f t="array" ref="AC59">IF($D59&lt;COLUMNS($F$7:AC$7),"",INDEX(TableDiv[[GASB]:[GASB]],_xlfn.AGGREGATE(15,3,(TableDiv[[Agency]:[Agency]]=$E59)/(TableDiv[[Agency]:[Agency]]=$E59)*(ROW(TableDiv[Agency])-ROW(TableDiv[[#Headers],[Agency]])),COLUMNS($F$7:AC$7))))</f>
        <v/>
      </c>
      <c r="AD59" s="2223" t="str" cm="1">
        <f t="array" ref="AD59">IF($D59&lt;COLUMNS($F$7:AD$7),"",INDEX(TableDiv[[GASB]:[GASB]],_xlfn.AGGREGATE(15,3,(TableDiv[[Agency]:[Agency]]=$E59)/(TableDiv[[Agency]:[Agency]]=$E59)*(ROW(TableDiv[Agency])-ROW(TableDiv[[#Headers],[Agency]])),COLUMNS($F$7:AD$7))))</f>
        <v/>
      </c>
      <c r="AE59" s="2223" t="str" cm="1">
        <f t="array" ref="AE59">IF($D59&lt;COLUMNS($F$7:AE$7),"",INDEX(TableDiv[[GASB]:[GASB]],_xlfn.AGGREGATE(15,3,(TableDiv[[Agency]:[Agency]]=$E59)/(TableDiv[[Agency]:[Agency]]=$E59)*(ROW(TableDiv[Agency])-ROW(TableDiv[[#Headers],[Agency]])),COLUMNS($F$7:AE$7))))</f>
        <v/>
      </c>
      <c r="AF59" s="2223" t="str" cm="1">
        <f t="array" ref="AF59">IF($D59&lt;COLUMNS($F$7:AF$7),"",INDEX(TableDiv[[GASB]:[GASB]],_xlfn.AGGREGATE(15,3,(TableDiv[[Agency]:[Agency]]=$E59)/(TableDiv[[Agency]:[Agency]]=$E59)*(ROW(TableDiv[Agency])-ROW(TableDiv[[#Headers],[Agency]])),COLUMNS($F$7:AF$7))))</f>
        <v/>
      </c>
      <c r="AG59" s="2223" t="str" cm="1">
        <f t="array" ref="AG59">IF($D59&lt;COLUMNS($F$7:AG$7),"",INDEX(TableDiv[[GASB]:[GASB]],_xlfn.AGGREGATE(15,3,(TableDiv[[Agency]:[Agency]]=$E59)/(TableDiv[[Agency]:[Agency]]=$E59)*(ROW(TableDiv[Agency])-ROW(TableDiv[[#Headers],[Agency]])),COLUMNS($F$7:AG$7))))</f>
        <v/>
      </c>
      <c r="AH59" s="2223" t="str" cm="1">
        <f t="array" ref="AH59">IF($D59&lt;COLUMNS($F$7:AH$7),"",INDEX(TableDiv[[GASB]:[GASB]],_xlfn.AGGREGATE(15,3,(TableDiv[[Agency]:[Agency]]=$E59)/(TableDiv[[Agency]:[Agency]]=$E59)*(ROW(TableDiv[Agency])-ROW(TableDiv[[#Headers],[Agency]])),COLUMNS($F$7:AH$7))))</f>
        <v/>
      </c>
      <c r="AI59" s="2223" t="str" cm="1">
        <f t="array" ref="AI59">IF($D59&lt;COLUMNS($F$7:AI$7),"",INDEX(TableDiv[[GASB]:[GASB]],_xlfn.AGGREGATE(15,3,(TableDiv[[Agency]:[Agency]]=$E59)/(TableDiv[[Agency]:[Agency]]=$E59)*(ROW(TableDiv[Agency])-ROW(TableDiv[[#Headers],[Agency]])),COLUMNS($F$7:AI$7))))</f>
        <v/>
      </c>
      <c r="AJ59" s="2223" t="str" cm="1">
        <f t="array" ref="AJ59">IF($D59&lt;COLUMNS($F$7:AJ$7),"",INDEX(TableDiv[[GASB]:[GASB]],_xlfn.AGGREGATE(15,3,(TableDiv[[Agency]:[Agency]]=$E59)/(TableDiv[[Agency]:[Agency]]=$E59)*(ROW(TableDiv[Agency])-ROW(TableDiv[[#Headers],[Agency]])),COLUMNS($F$7:AJ$7))))</f>
        <v/>
      </c>
      <c r="AK59" s="2223" t="str" cm="1">
        <f t="array" ref="AK59">IF($D59&lt;COLUMNS($F$7:AK$7),"",INDEX(TableDiv[[GASB]:[GASB]],_xlfn.AGGREGATE(15,3,(TableDiv[[Agency]:[Agency]]=$E59)/(TableDiv[[Agency]:[Agency]]=$E59)*(ROW(TableDiv[Agency])-ROW(TableDiv[[#Headers],[Agency]])),COLUMNS($F$7:AK$7))))</f>
        <v/>
      </c>
      <c r="AL59" s="2223" t="str" cm="1">
        <f t="array" ref="AL59">IF($D59&lt;COLUMNS($F$7:AL$7),"",INDEX(TableDiv[[GASB]:[GASB]],_xlfn.AGGREGATE(15,3,(TableDiv[[Agency]:[Agency]]=$E59)/(TableDiv[[Agency]:[Agency]]=$E59)*(ROW(TableDiv[Agency])-ROW(TableDiv[[#Headers],[Agency]])),COLUMNS($F$7:AL$7))))</f>
        <v/>
      </c>
      <c r="AM59" s="2223" t="str" cm="1">
        <f t="array" ref="AM59">IF($D59&lt;COLUMNS($F$7:AM$7),"",INDEX(TableDiv[[GASB]:[GASB]],_xlfn.AGGREGATE(15,3,(TableDiv[[Agency]:[Agency]]=$E59)/(TableDiv[[Agency]:[Agency]]=$E59)*(ROW(TableDiv[Agency])-ROW(TableDiv[[#Headers],[Agency]])),COLUMNS($F$7:AM$7))))</f>
        <v/>
      </c>
      <c r="AN59" s="2223"/>
      <c r="AO59" s="2223"/>
      <c r="AP59" s="2223"/>
      <c r="AQ59" s="2223"/>
      <c r="AR59" s="2223"/>
      <c r="AS59" s="2223"/>
    </row>
    <row r="60" spans="1:45" ht="15" x14ac:dyDescent="0.25">
      <c r="A60" s="2219" t="s">
        <v>5101</v>
      </c>
      <c r="B60" s="2219" t="s">
        <v>6395</v>
      </c>
      <c r="C60" s="2223"/>
      <c r="D60" s="2223">
        <f>COUNTIF(TableDiv[Agency],E60)</f>
        <v>8</v>
      </c>
      <c r="E60" s="2230" t="str" cm="1">
        <f t="array" ref="E60">IFERROR(INDEX(TableDiv[Agency],MATCH(0,INDEX(COUNTIF($E$7:E59,TableDiv[Agency]),),0)),"")</f>
        <v>5200</v>
      </c>
      <c r="F60" s="2223" t="str" cm="1">
        <f t="array" ref="F60">IF($D60&lt;COLUMNS($F$7:F$7),"",INDEX(TableDiv[[GASB]:[GASB]],_xlfn.AGGREGATE(15,3,(TableDiv[[Agency]:[Agency]]=$E60)/(TableDiv[[Agency]:[Agency]]=$E60)*(ROW(TableDiv[Agency])-ROW(TableDiv[[#Headers],[Agency]])),COLUMNS($F$7:F$7))))</f>
        <v>11000G</v>
      </c>
      <c r="G60" s="2223" t="str" cm="1">
        <f t="array" ref="G60">IF($D60&lt;COLUMNS($F$7:G$7),"",INDEX(TableDiv[[GASB]:[GASB]],_xlfn.AGGREGATE(15,3,(TableDiv[[Agency]:[Agency]]=$E60)/(TableDiv[[Agency]:[Agency]]=$E60)*(ROW(TableDiv[Agency])-ROW(TableDiv[[#Headers],[Agency]])),COLUMNS($F$7:G$7))))</f>
        <v>11020G</v>
      </c>
      <c r="H60" s="2223" t="str" cm="1">
        <f t="array" ref="H60">IF($D60&lt;COLUMNS($F$7:H$7),"",INDEX(TableDiv[[GASB]:[GASB]],_xlfn.AGGREGATE(15,3,(TableDiv[[Agency]:[Agency]]=$E60)/(TableDiv[[Agency]:[Agency]]=$E60)*(ROW(TableDiv[Agency])-ROW(TableDiv[[#Headers],[Agency]])),COLUMNS($F$7:H$7))))</f>
        <v>11030G</v>
      </c>
      <c r="I60" s="2223" t="str" cm="1">
        <f t="array" ref="I60">IF($D60&lt;COLUMNS($F$7:I$7),"",INDEX(TableDiv[[GASB]:[GASB]],_xlfn.AGGREGATE(15,3,(TableDiv[[Agency]:[Agency]]=$E60)/(TableDiv[[Agency]:[Agency]]=$E60)*(ROW(TableDiv[Agency])-ROW(TableDiv[[#Headers],[Agency]])),COLUMNS($F$7:I$7))))</f>
        <v>12000G</v>
      </c>
      <c r="J60" s="2223" t="str" cm="1">
        <f t="array" ref="J60">IF($D60&lt;COLUMNS($F$7:J$7),"",INDEX(TableDiv[[GASB]:[GASB]],_xlfn.AGGREGATE(15,3,(TableDiv[[Agency]:[Agency]]=$E60)/(TableDiv[[Agency]:[Agency]]=$E60)*(ROW(TableDiv[Agency])-ROW(TableDiv[[#Headers],[Agency]])),COLUMNS($F$7:J$7))))</f>
        <v>13960G</v>
      </c>
      <c r="K60" s="2223" t="str" cm="1">
        <f t="array" ref="K60">IF($D60&lt;COLUMNS($F$7:K$7),"",INDEX(TableDiv[[GASB]:[GASB]],_xlfn.AGGREGATE(15,3,(TableDiv[[Agency]:[Agency]]=$E60)/(TableDiv[[Agency]:[Agency]]=$E60)*(ROW(TableDiv[Agency])-ROW(TableDiv[[#Headers],[Agency]])),COLUMNS($F$7:K$7))))</f>
        <v>14000G</v>
      </c>
      <c r="L60" s="2223" t="str" cm="1">
        <f t="array" ref="L60">IF($D60&lt;COLUMNS($F$7:L$7),"",INDEX(TableDiv[[GASB]:[GASB]],_xlfn.AGGREGATE(15,3,(TableDiv[[Agency]:[Agency]]=$E60)/(TableDiv[[Agency]:[Agency]]=$E60)*(ROW(TableDiv[Agency])-ROW(TableDiv[[#Headers],[Agency]])),COLUMNS($F$7:L$7))))</f>
        <v>14260G</v>
      </c>
      <c r="M60" s="2223" t="str" cm="1">
        <f t="array" ref="M60">IF($D60&lt;COLUMNS($F$7:M$7),"",INDEX(TableDiv[[GASB]:[GASB]],_xlfn.AGGREGATE(15,3,(TableDiv[[Agency]:[Agency]]=$E60)/(TableDiv[[Agency]:[Agency]]=$E60)*(ROW(TableDiv[Agency])-ROW(TableDiv[[#Headers],[Agency]])),COLUMNS($F$7:M$7))))</f>
        <v>39000G</v>
      </c>
      <c r="N60" s="2223" t="str" cm="1">
        <f t="array" ref="N60">IF($D60&lt;COLUMNS($F$7:N$7),"",INDEX(TableDiv[[GASB]:[GASB]],_xlfn.AGGREGATE(15,3,(TableDiv[[Agency]:[Agency]]=$E60)/(TableDiv[[Agency]:[Agency]]=$E60)*(ROW(TableDiv[Agency])-ROW(TableDiv[[#Headers],[Agency]])),COLUMNS($F$7:N$7))))</f>
        <v/>
      </c>
      <c r="O60" s="2223" t="str" cm="1">
        <f t="array" ref="O60">IF($D60&lt;COLUMNS($F$7:O$7),"",INDEX(TableDiv[[GASB]:[GASB]],_xlfn.AGGREGATE(15,3,(TableDiv[[Agency]:[Agency]]=$E60)/(TableDiv[[Agency]:[Agency]]=$E60)*(ROW(TableDiv[Agency])-ROW(TableDiv[[#Headers],[Agency]])),COLUMNS($F$7:O$7))))</f>
        <v/>
      </c>
      <c r="P60" s="2223" t="str" cm="1">
        <f t="array" ref="P60">IF($D60&lt;COLUMNS($F$7:P$7),"",INDEX(TableDiv[[GASB]:[GASB]],_xlfn.AGGREGATE(15,3,(TableDiv[[Agency]:[Agency]]=$E60)/(TableDiv[[Agency]:[Agency]]=$E60)*(ROW(TableDiv[Agency])-ROW(TableDiv[[#Headers],[Agency]])),COLUMNS($F$7:P$7))))</f>
        <v/>
      </c>
      <c r="Q60" s="2223" t="str" cm="1">
        <f t="array" ref="Q60">IF($D60&lt;COLUMNS($F$7:Q$7),"",INDEX(TableDiv[[GASB]:[GASB]],_xlfn.AGGREGATE(15,3,(TableDiv[[Agency]:[Agency]]=$E60)/(TableDiv[[Agency]:[Agency]]=$E60)*(ROW(TableDiv[Agency])-ROW(TableDiv[[#Headers],[Agency]])),COLUMNS($F$7:Q$7))))</f>
        <v/>
      </c>
      <c r="R60" s="2223" t="str" cm="1">
        <f t="array" ref="R60">IF($D60&lt;COLUMNS($F$7:R$7),"",INDEX(TableDiv[[GASB]:[GASB]],_xlfn.AGGREGATE(15,3,(TableDiv[[Agency]:[Agency]]=$E60)/(TableDiv[[Agency]:[Agency]]=$E60)*(ROW(TableDiv[Agency])-ROW(TableDiv[[#Headers],[Agency]])),COLUMNS($F$7:R$7))))</f>
        <v/>
      </c>
      <c r="S60" s="2223" t="str" cm="1">
        <f t="array" ref="S60">IF($D60&lt;COLUMNS($F$7:S$7),"",INDEX(TableDiv[[GASB]:[GASB]],_xlfn.AGGREGATE(15,3,(TableDiv[[Agency]:[Agency]]=$E60)/(TableDiv[[Agency]:[Agency]]=$E60)*(ROW(TableDiv[Agency])-ROW(TableDiv[[#Headers],[Agency]])),COLUMNS($F$7:S$7))))</f>
        <v/>
      </c>
      <c r="T60" s="2223" t="str" cm="1">
        <f t="array" ref="T60">IF($D60&lt;COLUMNS($F$7:T$7),"",INDEX(TableDiv[[GASB]:[GASB]],_xlfn.AGGREGATE(15,3,(TableDiv[[Agency]:[Agency]]=$E60)/(TableDiv[[Agency]:[Agency]]=$E60)*(ROW(TableDiv[Agency])-ROW(TableDiv[[#Headers],[Agency]])),COLUMNS($F$7:T$7))))</f>
        <v/>
      </c>
      <c r="U60" s="2223" t="str" cm="1">
        <f t="array" ref="U60">IF($D60&lt;COLUMNS($F$7:U$7),"",INDEX(TableDiv[[GASB]:[GASB]],_xlfn.AGGREGATE(15,3,(TableDiv[[Agency]:[Agency]]=$E60)/(TableDiv[[Agency]:[Agency]]=$E60)*(ROW(TableDiv[Agency])-ROW(TableDiv[[#Headers],[Agency]])),COLUMNS($F$7:U$7))))</f>
        <v/>
      </c>
      <c r="V60" s="2223" t="str" cm="1">
        <f t="array" ref="V60">IF($D60&lt;COLUMNS($F$7:V$7),"",INDEX(TableDiv[[GASB]:[GASB]],_xlfn.AGGREGATE(15,3,(TableDiv[[Agency]:[Agency]]=$E60)/(TableDiv[[Agency]:[Agency]]=$E60)*(ROW(TableDiv[Agency])-ROW(TableDiv[[#Headers],[Agency]])),COLUMNS($F$7:V$7))))</f>
        <v/>
      </c>
      <c r="W60" s="2223" t="str" cm="1">
        <f t="array" ref="W60">IF($D60&lt;COLUMNS($F$7:W$7),"",INDEX(TableDiv[[GASB]:[GASB]],_xlfn.AGGREGATE(15,3,(TableDiv[[Agency]:[Agency]]=$E60)/(TableDiv[[Agency]:[Agency]]=$E60)*(ROW(TableDiv[Agency])-ROW(TableDiv[[#Headers],[Agency]])),COLUMNS($F$7:W$7))))</f>
        <v/>
      </c>
      <c r="X60" s="2223" t="str" cm="1">
        <f t="array" ref="X60">IF($D60&lt;COLUMNS($F$7:X$7),"",INDEX(TableDiv[[GASB]:[GASB]],_xlfn.AGGREGATE(15,3,(TableDiv[[Agency]:[Agency]]=$E60)/(TableDiv[[Agency]:[Agency]]=$E60)*(ROW(TableDiv[Agency])-ROW(TableDiv[[#Headers],[Agency]])),COLUMNS($F$7:X$7))))</f>
        <v/>
      </c>
      <c r="Y60" s="2223" t="str" cm="1">
        <f t="array" ref="Y60">IF($D60&lt;COLUMNS($F$7:Y$7),"",INDEX(TableDiv[[GASB]:[GASB]],_xlfn.AGGREGATE(15,3,(TableDiv[[Agency]:[Agency]]=$E60)/(TableDiv[[Agency]:[Agency]]=$E60)*(ROW(TableDiv[Agency])-ROW(TableDiv[[#Headers],[Agency]])),COLUMNS($F$7:Y$7))))</f>
        <v/>
      </c>
      <c r="Z60" s="2223" t="str" cm="1">
        <f t="array" ref="Z60">IF($D60&lt;COLUMNS($F$7:Z$7),"",INDEX(TableDiv[[GASB]:[GASB]],_xlfn.AGGREGATE(15,3,(TableDiv[[Agency]:[Agency]]=$E60)/(TableDiv[[Agency]:[Agency]]=$E60)*(ROW(TableDiv[Agency])-ROW(TableDiv[[#Headers],[Agency]])),COLUMNS($F$7:Z$7))))</f>
        <v/>
      </c>
      <c r="AA60" s="2223" t="str" cm="1">
        <f t="array" ref="AA60">IF($D60&lt;COLUMNS($F$7:AA$7),"",INDEX(TableDiv[[GASB]:[GASB]],_xlfn.AGGREGATE(15,3,(TableDiv[[Agency]:[Agency]]=$E60)/(TableDiv[[Agency]:[Agency]]=$E60)*(ROW(TableDiv[Agency])-ROW(TableDiv[[#Headers],[Agency]])),COLUMNS($F$7:AA$7))))</f>
        <v/>
      </c>
      <c r="AB60" s="2223" t="str" cm="1">
        <f t="array" ref="AB60">IF($D60&lt;COLUMNS($F$7:AB$7),"",INDEX(TableDiv[[GASB]:[GASB]],_xlfn.AGGREGATE(15,3,(TableDiv[[Agency]:[Agency]]=$E60)/(TableDiv[[Agency]:[Agency]]=$E60)*(ROW(TableDiv[Agency])-ROW(TableDiv[[#Headers],[Agency]])),COLUMNS($F$7:AB$7))))</f>
        <v/>
      </c>
      <c r="AC60" s="2223" t="str" cm="1">
        <f t="array" ref="AC60">IF($D60&lt;COLUMNS($F$7:AC$7),"",INDEX(TableDiv[[GASB]:[GASB]],_xlfn.AGGREGATE(15,3,(TableDiv[[Agency]:[Agency]]=$E60)/(TableDiv[[Agency]:[Agency]]=$E60)*(ROW(TableDiv[Agency])-ROW(TableDiv[[#Headers],[Agency]])),COLUMNS($F$7:AC$7))))</f>
        <v/>
      </c>
      <c r="AD60" s="2223" t="str" cm="1">
        <f t="array" ref="AD60">IF($D60&lt;COLUMNS($F$7:AD$7),"",INDEX(TableDiv[[GASB]:[GASB]],_xlfn.AGGREGATE(15,3,(TableDiv[[Agency]:[Agency]]=$E60)/(TableDiv[[Agency]:[Agency]]=$E60)*(ROW(TableDiv[Agency])-ROW(TableDiv[[#Headers],[Agency]])),COLUMNS($F$7:AD$7))))</f>
        <v/>
      </c>
      <c r="AE60" s="2223" t="str" cm="1">
        <f t="array" ref="AE60">IF($D60&lt;COLUMNS($F$7:AE$7),"",INDEX(TableDiv[[GASB]:[GASB]],_xlfn.AGGREGATE(15,3,(TableDiv[[Agency]:[Agency]]=$E60)/(TableDiv[[Agency]:[Agency]]=$E60)*(ROW(TableDiv[Agency])-ROW(TableDiv[[#Headers],[Agency]])),COLUMNS($F$7:AE$7))))</f>
        <v/>
      </c>
      <c r="AF60" s="2223" t="str" cm="1">
        <f t="array" ref="AF60">IF($D60&lt;COLUMNS($F$7:AF$7),"",INDEX(TableDiv[[GASB]:[GASB]],_xlfn.AGGREGATE(15,3,(TableDiv[[Agency]:[Agency]]=$E60)/(TableDiv[[Agency]:[Agency]]=$E60)*(ROW(TableDiv[Agency])-ROW(TableDiv[[#Headers],[Agency]])),COLUMNS($F$7:AF$7))))</f>
        <v/>
      </c>
      <c r="AG60" s="2223" t="str" cm="1">
        <f t="array" ref="AG60">IF($D60&lt;COLUMNS($F$7:AG$7),"",INDEX(TableDiv[[GASB]:[GASB]],_xlfn.AGGREGATE(15,3,(TableDiv[[Agency]:[Agency]]=$E60)/(TableDiv[[Agency]:[Agency]]=$E60)*(ROW(TableDiv[Agency])-ROW(TableDiv[[#Headers],[Agency]])),COLUMNS($F$7:AG$7))))</f>
        <v/>
      </c>
      <c r="AH60" s="2223" t="str" cm="1">
        <f t="array" ref="AH60">IF($D60&lt;COLUMNS($F$7:AH$7),"",INDEX(TableDiv[[GASB]:[GASB]],_xlfn.AGGREGATE(15,3,(TableDiv[[Agency]:[Agency]]=$E60)/(TableDiv[[Agency]:[Agency]]=$E60)*(ROW(TableDiv[Agency])-ROW(TableDiv[[#Headers],[Agency]])),COLUMNS($F$7:AH$7))))</f>
        <v/>
      </c>
      <c r="AI60" s="2223" t="str" cm="1">
        <f t="array" ref="AI60">IF($D60&lt;COLUMNS($F$7:AI$7),"",INDEX(TableDiv[[GASB]:[GASB]],_xlfn.AGGREGATE(15,3,(TableDiv[[Agency]:[Agency]]=$E60)/(TableDiv[[Agency]:[Agency]]=$E60)*(ROW(TableDiv[Agency])-ROW(TableDiv[[#Headers],[Agency]])),COLUMNS($F$7:AI$7))))</f>
        <v/>
      </c>
      <c r="AJ60" s="2223" t="str" cm="1">
        <f t="array" ref="AJ60">IF($D60&lt;COLUMNS($F$7:AJ$7),"",INDEX(TableDiv[[GASB]:[GASB]],_xlfn.AGGREGATE(15,3,(TableDiv[[Agency]:[Agency]]=$E60)/(TableDiv[[Agency]:[Agency]]=$E60)*(ROW(TableDiv[Agency])-ROW(TableDiv[[#Headers],[Agency]])),COLUMNS($F$7:AJ$7))))</f>
        <v/>
      </c>
      <c r="AK60" s="2223" t="str" cm="1">
        <f t="array" ref="AK60">IF($D60&lt;COLUMNS($F$7:AK$7),"",INDEX(TableDiv[[GASB]:[GASB]],_xlfn.AGGREGATE(15,3,(TableDiv[[Agency]:[Agency]]=$E60)/(TableDiv[[Agency]:[Agency]]=$E60)*(ROW(TableDiv[Agency])-ROW(TableDiv[[#Headers],[Agency]])),COLUMNS($F$7:AK$7))))</f>
        <v/>
      </c>
      <c r="AL60" s="2223" t="str" cm="1">
        <f t="array" ref="AL60">IF($D60&lt;COLUMNS($F$7:AL$7),"",INDEX(TableDiv[[GASB]:[GASB]],_xlfn.AGGREGATE(15,3,(TableDiv[[Agency]:[Agency]]=$E60)/(TableDiv[[Agency]:[Agency]]=$E60)*(ROW(TableDiv[Agency])-ROW(TableDiv[[#Headers],[Agency]])),COLUMNS($F$7:AL$7))))</f>
        <v/>
      </c>
      <c r="AM60" s="2223" t="str" cm="1">
        <f t="array" ref="AM60">IF($D60&lt;COLUMNS($F$7:AM$7),"",INDEX(TableDiv[[GASB]:[GASB]],_xlfn.AGGREGATE(15,3,(TableDiv[[Agency]:[Agency]]=$E60)/(TableDiv[[Agency]:[Agency]]=$E60)*(ROW(TableDiv[Agency])-ROW(TableDiv[[#Headers],[Agency]])),COLUMNS($F$7:AM$7))))</f>
        <v/>
      </c>
      <c r="AN60" s="2223"/>
      <c r="AO60" s="2223"/>
      <c r="AP60" s="2223"/>
      <c r="AQ60" s="2223"/>
      <c r="AR60" s="2223"/>
      <c r="AS60" s="2223"/>
    </row>
    <row r="61" spans="1:45" ht="15" x14ac:dyDescent="0.25">
      <c r="A61" s="2219" t="s">
        <v>5101</v>
      </c>
      <c r="B61" s="2219" t="s">
        <v>6396</v>
      </c>
      <c r="C61" s="2223"/>
      <c r="D61" s="2223">
        <f>COUNTIF(TableDiv[Agency],E61)</f>
        <v>4</v>
      </c>
      <c r="E61" s="2230" t="str" cm="1">
        <f t="array" ref="E61">IFERROR(INDEX(TableDiv[Agency],MATCH(0,INDEX(COUNTIF($E$7:E60,TableDiv[Agency]),),0)),"")</f>
        <v>6000</v>
      </c>
      <c r="F61" s="2223" t="str" cm="1">
        <f t="array" ref="F61">IF($D61&lt;COLUMNS($F$7:F$7),"",INDEX(TableDiv[[GASB]:[GASB]],_xlfn.AGGREGATE(15,3,(TableDiv[[Agency]:[Agency]]=$E61)/(TableDiv[[Agency]:[Agency]]=$E61)*(ROW(TableDiv[Agency])-ROW(TableDiv[[#Headers],[Agency]])),COLUMNS($F$7:F$7))))</f>
        <v>11000G</v>
      </c>
      <c r="G61" s="2223" t="str" cm="1">
        <f t="array" ref="G61">IF($D61&lt;COLUMNS($F$7:G$7),"",INDEX(TableDiv[[GASB]:[GASB]],_xlfn.AGGREGATE(15,3,(TableDiv[[Agency]:[Agency]]=$E61)/(TableDiv[[Agency]:[Agency]]=$E61)*(ROW(TableDiv[Agency])-ROW(TableDiv[[#Headers],[Agency]])),COLUMNS($F$7:G$7))))</f>
        <v>11020G</v>
      </c>
      <c r="H61" s="2223" t="str" cm="1">
        <f t="array" ref="H61">IF($D61&lt;COLUMNS($F$7:H$7),"",INDEX(TableDiv[[GASB]:[GASB]],_xlfn.AGGREGATE(15,3,(TableDiv[[Agency]:[Agency]]=$E61)/(TableDiv[[Agency]:[Agency]]=$E61)*(ROW(TableDiv[Agency])-ROW(TableDiv[[#Headers],[Agency]])),COLUMNS($F$7:H$7))))</f>
        <v>11030G</v>
      </c>
      <c r="I61" s="2223" t="str" cm="1">
        <f t="array" ref="I61">IF($D61&lt;COLUMNS($F$7:I$7),"",INDEX(TableDiv[[GASB]:[GASB]],_xlfn.AGGREGATE(15,3,(TableDiv[[Agency]:[Agency]]=$E61)/(TableDiv[[Agency]:[Agency]]=$E61)*(ROW(TableDiv[Agency])-ROW(TableDiv[[#Headers],[Agency]])),COLUMNS($F$7:I$7))))</f>
        <v>12000G</v>
      </c>
      <c r="J61" s="2223" t="str" cm="1">
        <f t="array" ref="J61">IF($D61&lt;COLUMNS($F$7:J$7),"",INDEX(TableDiv[[GASB]:[GASB]],_xlfn.AGGREGATE(15,3,(TableDiv[[Agency]:[Agency]]=$E61)/(TableDiv[[Agency]:[Agency]]=$E61)*(ROW(TableDiv[Agency])-ROW(TableDiv[[#Headers],[Agency]])),COLUMNS($F$7:J$7))))</f>
        <v/>
      </c>
      <c r="K61" s="2223" t="str" cm="1">
        <f t="array" ref="K61">IF($D61&lt;COLUMNS($F$7:K$7),"",INDEX(TableDiv[[GASB]:[GASB]],_xlfn.AGGREGATE(15,3,(TableDiv[[Agency]:[Agency]]=$E61)/(TableDiv[[Agency]:[Agency]]=$E61)*(ROW(TableDiv[Agency])-ROW(TableDiv[[#Headers],[Agency]])),COLUMNS($F$7:K$7))))</f>
        <v/>
      </c>
      <c r="L61" s="2223" t="str" cm="1">
        <f t="array" ref="L61">IF($D61&lt;COLUMNS($F$7:L$7),"",INDEX(TableDiv[[GASB]:[GASB]],_xlfn.AGGREGATE(15,3,(TableDiv[[Agency]:[Agency]]=$E61)/(TableDiv[[Agency]:[Agency]]=$E61)*(ROW(TableDiv[Agency])-ROW(TableDiv[[#Headers],[Agency]])),COLUMNS($F$7:L$7))))</f>
        <v/>
      </c>
      <c r="M61" s="2223" t="str" cm="1">
        <f t="array" ref="M61">IF($D61&lt;COLUMNS($F$7:M$7),"",INDEX(TableDiv[[GASB]:[GASB]],_xlfn.AGGREGATE(15,3,(TableDiv[[Agency]:[Agency]]=$E61)/(TableDiv[[Agency]:[Agency]]=$E61)*(ROW(TableDiv[Agency])-ROW(TableDiv[[#Headers],[Agency]])),COLUMNS($F$7:M$7))))</f>
        <v/>
      </c>
      <c r="N61" s="2223" t="str" cm="1">
        <f t="array" ref="N61">IF($D61&lt;COLUMNS($F$7:N$7),"",INDEX(TableDiv[[GASB]:[GASB]],_xlfn.AGGREGATE(15,3,(TableDiv[[Agency]:[Agency]]=$E61)/(TableDiv[[Agency]:[Agency]]=$E61)*(ROW(TableDiv[Agency])-ROW(TableDiv[[#Headers],[Agency]])),COLUMNS($F$7:N$7))))</f>
        <v/>
      </c>
      <c r="O61" s="2223" t="str" cm="1">
        <f t="array" ref="O61">IF($D61&lt;COLUMNS($F$7:O$7),"",INDEX(TableDiv[[GASB]:[GASB]],_xlfn.AGGREGATE(15,3,(TableDiv[[Agency]:[Agency]]=$E61)/(TableDiv[[Agency]:[Agency]]=$E61)*(ROW(TableDiv[Agency])-ROW(TableDiv[[#Headers],[Agency]])),COLUMNS($F$7:O$7))))</f>
        <v/>
      </c>
      <c r="P61" s="2223" t="str" cm="1">
        <f t="array" ref="P61">IF($D61&lt;COLUMNS($F$7:P$7),"",INDEX(TableDiv[[GASB]:[GASB]],_xlfn.AGGREGATE(15,3,(TableDiv[[Agency]:[Agency]]=$E61)/(TableDiv[[Agency]:[Agency]]=$E61)*(ROW(TableDiv[Agency])-ROW(TableDiv[[#Headers],[Agency]])),COLUMNS($F$7:P$7))))</f>
        <v/>
      </c>
      <c r="Q61" s="2223" t="str" cm="1">
        <f t="array" ref="Q61">IF($D61&lt;COLUMNS($F$7:Q$7),"",INDEX(TableDiv[[GASB]:[GASB]],_xlfn.AGGREGATE(15,3,(TableDiv[[Agency]:[Agency]]=$E61)/(TableDiv[[Agency]:[Agency]]=$E61)*(ROW(TableDiv[Agency])-ROW(TableDiv[[#Headers],[Agency]])),COLUMNS($F$7:Q$7))))</f>
        <v/>
      </c>
      <c r="R61" s="2223" t="str" cm="1">
        <f t="array" ref="R61">IF($D61&lt;COLUMNS($F$7:R$7),"",INDEX(TableDiv[[GASB]:[GASB]],_xlfn.AGGREGATE(15,3,(TableDiv[[Agency]:[Agency]]=$E61)/(TableDiv[[Agency]:[Agency]]=$E61)*(ROW(TableDiv[Agency])-ROW(TableDiv[[#Headers],[Agency]])),COLUMNS($F$7:R$7))))</f>
        <v/>
      </c>
      <c r="S61" s="2223" t="str" cm="1">
        <f t="array" ref="S61">IF($D61&lt;COLUMNS($F$7:S$7),"",INDEX(TableDiv[[GASB]:[GASB]],_xlfn.AGGREGATE(15,3,(TableDiv[[Agency]:[Agency]]=$E61)/(TableDiv[[Agency]:[Agency]]=$E61)*(ROW(TableDiv[Agency])-ROW(TableDiv[[#Headers],[Agency]])),COLUMNS($F$7:S$7))))</f>
        <v/>
      </c>
      <c r="T61" s="2223" t="str" cm="1">
        <f t="array" ref="T61">IF($D61&lt;COLUMNS($F$7:T$7),"",INDEX(TableDiv[[GASB]:[GASB]],_xlfn.AGGREGATE(15,3,(TableDiv[[Agency]:[Agency]]=$E61)/(TableDiv[[Agency]:[Agency]]=$E61)*(ROW(TableDiv[Agency])-ROW(TableDiv[[#Headers],[Agency]])),COLUMNS($F$7:T$7))))</f>
        <v/>
      </c>
      <c r="U61" s="2223" t="str" cm="1">
        <f t="array" ref="U61">IF($D61&lt;COLUMNS($F$7:U$7),"",INDEX(TableDiv[[GASB]:[GASB]],_xlfn.AGGREGATE(15,3,(TableDiv[[Agency]:[Agency]]=$E61)/(TableDiv[[Agency]:[Agency]]=$E61)*(ROW(TableDiv[Agency])-ROW(TableDiv[[#Headers],[Agency]])),COLUMNS($F$7:U$7))))</f>
        <v/>
      </c>
      <c r="V61" s="2223" t="str" cm="1">
        <f t="array" ref="V61">IF($D61&lt;COLUMNS($F$7:V$7),"",INDEX(TableDiv[[GASB]:[GASB]],_xlfn.AGGREGATE(15,3,(TableDiv[[Agency]:[Agency]]=$E61)/(TableDiv[[Agency]:[Agency]]=$E61)*(ROW(TableDiv[Agency])-ROW(TableDiv[[#Headers],[Agency]])),COLUMNS($F$7:V$7))))</f>
        <v/>
      </c>
      <c r="W61" s="2223" t="str" cm="1">
        <f t="array" ref="W61">IF($D61&lt;COLUMNS($F$7:W$7),"",INDEX(TableDiv[[GASB]:[GASB]],_xlfn.AGGREGATE(15,3,(TableDiv[[Agency]:[Agency]]=$E61)/(TableDiv[[Agency]:[Agency]]=$E61)*(ROW(TableDiv[Agency])-ROW(TableDiv[[#Headers],[Agency]])),COLUMNS($F$7:W$7))))</f>
        <v/>
      </c>
      <c r="X61" s="2223" t="str" cm="1">
        <f t="array" ref="X61">IF($D61&lt;COLUMNS($F$7:X$7),"",INDEX(TableDiv[[GASB]:[GASB]],_xlfn.AGGREGATE(15,3,(TableDiv[[Agency]:[Agency]]=$E61)/(TableDiv[[Agency]:[Agency]]=$E61)*(ROW(TableDiv[Agency])-ROW(TableDiv[[#Headers],[Agency]])),COLUMNS($F$7:X$7))))</f>
        <v/>
      </c>
      <c r="Y61" s="2223" t="str" cm="1">
        <f t="array" ref="Y61">IF($D61&lt;COLUMNS($F$7:Y$7),"",INDEX(TableDiv[[GASB]:[GASB]],_xlfn.AGGREGATE(15,3,(TableDiv[[Agency]:[Agency]]=$E61)/(TableDiv[[Agency]:[Agency]]=$E61)*(ROW(TableDiv[Agency])-ROW(TableDiv[[#Headers],[Agency]])),COLUMNS($F$7:Y$7))))</f>
        <v/>
      </c>
      <c r="Z61" s="2223" t="str" cm="1">
        <f t="array" ref="Z61">IF($D61&lt;COLUMNS($F$7:Z$7),"",INDEX(TableDiv[[GASB]:[GASB]],_xlfn.AGGREGATE(15,3,(TableDiv[[Agency]:[Agency]]=$E61)/(TableDiv[[Agency]:[Agency]]=$E61)*(ROW(TableDiv[Agency])-ROW(TableDiv[[#Headers],[Agency]])),COLUMNS($F$7:Z$7))))</f>
        <v/>
      </c>
      <c r="AA61" s="2223" t="str" cm="1">
        <f t="array" ref="AA61">IF($D61&lt;COLUMNS($F$7:AA$7),"",INDEX(TableDiv[[GASB]:[GASB]],_xlfn.AGGREGATE(15,3,(TableDiv[[Agency]:[Agency]]=$E61)/(TableDiv[[Agency]:[Agency]]=$E61)*(ROW(TableDiv[Agency])-ROW(TableDiv[[#Headers],[Agency]])),COLUMNS($F$7:AA$7))))</f>
        <v/>
      </c>
      <c r="AB61" s="2223" t="str" cm="1">
        <f t="array" ref="AB61">IF($D61&lt;COLUMNS($F$7:AB$7),"",INDEX(TableDiv[[GASB]:[GASB]],_xlfn.AGGREGATE(15,3,(TableDiv[[Agency]:[Agency]]=$E61)/(TableDiv[[Agency]:[Agency]]=$E61)*(ROW(TableDiv[Agency])-ROW(TableDiv[[#Headers],[Agency]])),COLUMNS($F$7:AB$7))))</f>
        <v/>
      </c>
      <c r="AC61" s="2223" t="str" cm="1">
        <f t="array" ref="AC61">IF($D61&lt;COLUMNS($F$7:AC$7),"",INDEX(TableDiv[[GASB]:[GASB]],_xlfn.AGGREGATE(15,3,(TableDiv[[Agency]:[Agency]]=$E61)/(TableDiv[[Agency]:[Agency]]=$E61)*(ROW(TableDiv[Agency])-ROW(TableDiv[[#Headers],[Agency]])),COLUMNS($F$7:AC$7))))</f>
        <v/>
      </c>
      <c r="AD61" s="2223" t="str" cm="1">
        <f t="array" ref="AD61">IF($D61&lt;COLUMNS($F$7:AD$7),"",INDEX(TableDiv[[GASB]:[GASB]],_xlfn.AGGREGATE(15,3,(TableDiv[[Agency]:[Agency]]=$E61)/(TableDiv[[Agency]:[Agency]]=$E61)*(ROW(TableDiv[Agency])-ROW(TableDiv[[#Headers],[Agency]])),COLUMNS($F$7:AD$7))))</f>
        <v/>
      </c>
      <c r="AE61" s="2223" t="str" cm="1">
        <f t="array" ref="AE61">IF($D61&lt;COLUMNS($F$7:AE$7),"",INDEX(TableDiv[[GASB]:[GASB]],_xlfn.AGGREGATE(15,3,(TableDiv[[Agency]:[Agency]]=$E61)/(TableDiv[[Agency]:[Agency]]=$E61)*(ROW(TableDiv[Agency])-ROW(TableDiv[[#Headers],[Agency]])),COLUMNS($F$7:AE$7))))</f>
        <v/>
      </c>
      <c r="AF61" s="2223" t="str" cm="1">
        <f t="array" ref="AF61">IF($D61&lt;COLUMNS($F$7:AF$7),"",INDEX(TableDiv[[GASB]:[GASB]],_xlfn.AGGREGATE(15,3,(TableDiv[[Agency]:[Agency]]=$E61)/(TableDiv[[Agency]:[Agency]]=$E61)*(ROW(TableDiv[Agency])-ROW(TableDiv[[#Headers],[Agency]])),COLUMNS($F$7:AF$7))))</f>
        <v/>
      </c>
      <c r="AG61" s="2223" t="str" cm="1">
        <f t="array" ref="AG61">IF($D61&lt;COLUMNS($F$7:AG$7),"",INDEX(TableDiv[[GASB]:[GASB]],_xlfn.AGGREGATE(15,3,(TableDiv[[Agency]:[Agency]]=$E61)/(TableDiv[[Agency]:[Agency]]=$E61)*(ROW(TableDiv[Agency])-ROW(TableDiv[[#Headers],[Agency]])),COLUMNS($F$7:AG$7))))</f>
        <v/>
      </c>
      <c r="AH61" s="2223" t="str" cm="1">
        <f t="array" ref="AH61">IF($D61&lt;COLUMNS($F$7:AH$7),"",INDEX(TableDiv[[GASB]:[GASB]],_xlfn.AGGREGATE(15,3,(TableDiv[[Agency]:[Agency]]=$E61)/(TableDiv[[Agency]:[Agency]]=$E61)*(ROW(TableDiv[Agency])-ROW(TableDiv[[#Headers],[Agency]])),COLUMNS($F$7:AH$7))))</f>
        <v/>
      </c>
      <c r="AI61" s="2223" t="str" cm="1">
        <f t="array" ref="AI61">IF($D61&lt;COLUMNS($F$7:AI$7),"",INDEX(TableDiv[[GASB]:[GASB]],_xlfn.AGGREGATE(15,3,(TableDiv[[Agency]:[Agency]]=$E61)/(TableDiv[[Agency]:[Agency]]=$E61)*(ROW(TableDiv[Agency])-ROW(TableDiv[[#Headers],[Agency]])),COLUMNS($F$7:AI$7))))</f>
        <v/>
      </c>
      <c r="AJ61" s="2223" t="str" cm="1">
        <f t="array" ref="AJ61">IF($D61&lt;COLUMNS($F$7:AJ$7),"",INDEX(TableDiv[[GASB]:[GASB]],_xlfn.AGGREGATE(15,3,(TableDiv[[Agency]:[Agency]]=$E61)/(TableDiv[[Agency]:[Agency]]=$E61)*(ROW(TableDiv[Agency])-ROW(TableDiv[[#Headers],[Agency]])),COLUMNS($F$7:AJ$7))))</f>
        <v/>
      </c>
      <c r="AK61" s="2223" t="str" cm="1">
        <f t="array" ref="AK61">IF($D61&lt;COLUMNS($F$7:AK$7),"",INDEX(TableDiv[[GASB]:[GASB]],_xlfn.AGGREGATE(15,3,(TableDiv[[Agency]:[Agency]]=$E61)/(TableDiv[[Agency]:[Agency]]=$E61)*(ROW(TableDiv[Agency])-ROW(TableDiv[[#Headers],[Agency]])),COLUMNS($F$7:AK$7))))</f>
        <v/>
      </c>
      <c r="AL61" s="2223" t="str" cm="1">
        <f t="array" ref="AL61">IF($D61&lt;COLUMNS($F$7:AL$7),"",INDEX(TableDiv[[GASB]:[GASB]],_xlfn.AGGREGATE(15,3,(TableDiv[[Agency]:[Agency]]=$E61)/(TableDiv[[Agency]:[Agency]]=$E61)*(ROW(TableDiv[Agency])-ROW(TableDiv[[#Headers],[Agency]])),COLUMNS($F$7:AL$7))))</f>
        <v/>
      </c>
      <c r="AM61" s="2223" t="str" cm="1">
        <f t="array" ref="AM61">IF($D61&lt;COLUMNS($F$7:AM$7),"",INDEX(TableDiv[[GASB]:[GASB]],_xlfn.AGGREGATE(15,3,(TableDiv[[Agency]:[Agency]]=$E61)/(TableDiv[[Agency]:[Agency]]=$E61)*(ROW(TableDiv[Agency])-ROW(TableDiv[[#Headers],[Agency]])),COLUMNS($F$7:AM$7))))</f>
        <v/>
      </c>
      <c r="AN61" s="2223"/>
      <c r="AO61" s="2223"/>
      <c r="AP61" s="2223"/>
      <c r="AQ61" s="2223"/>
      <c r="AR61" s="2223"/>
      <c r="AS61" s="2223"/>
    </row>
    <row r="62" spans="1:45" ht="15" x14ac:dyDescent="0.25">
      <c r="A62" s="2219" t="s">
        <v>5101</v>
      </c>
      <c r="B62" s="2219" t="s">
        <v>6397</v>
      </c>
      <c r="C62" s="2223"/>
      <c r="D62" s="2223">
        <f>COUNTIF(TableDiv[Agency],E62)</f>
        <v>1</v>
      </c>
      <c r="E62" s="2230" t="str" cm="1">
        <f t="array" ref="E62">IFERROR(INDEX(TableDiv[Agency],MATCH(0,INDEX(COUNTIF($E$7:E61,TableDiv[Agency]),),0)),"")</f>
        <v>6100</v>
      </c>
      <c r="F62" s="2223" t="str" cm="1">
        <f t="array" ref="F62">IF($D62&lt;COLUMNS($F$7:F$7),"",INDEX(TableDiv[[GASB]:[GASB]],_xlfn.AGGREGATE(15,3,(TableDiv[[Agency]:[Agency]]=$E62)/(TableDiv[[Agency]:[Agency]]=$E62)*(ROW(TableDiv[Agency])-ROW(TableDiv[[#Headers],[Agency]])),COLUMNS($F$7:F$7))))</f>
        <v>25420G</v>
      </c>
      <c r="G62" s="2223" t="str" cm="1">
        <f t="array" ref="G62">IF($D62&lt;COLUMNS($F$7:G$7),"",INDEX(TableDiv[[GASB]:[GASB]],_xlfn.AGGREGATE(15,3,(TableDiv[[Agency]:[Agency]]=$E62)/(TableDiv[[Agency]:[Agency]]=$E62)*(ROW(TableDiv[Agency])-ROW(TableDiv[[#Headers],[Agency]])),COLUMNS($F$7:G$7))))</f>
        <v/>
      </c>
      <c r="H62" s="2223" t="str" cm="1">
        <f t="array" ref="H62">IF($D62&lt;COLUMNS($F$7:H$7),"",INDEX(TableDiv[[GASB]:[GASB]],_xlfn.AGGREGATE(15,3,(TableDiv[[Agency]:[Agency]]=$E62)/(TableDiv[[Agency]:[Agency]]=$E62)*(ROW(TableDiv[Agency])-ROW(TableDiv[[#Headers],[Agency]])),COLUMNS($F$7:H$7))))</f>
        <v/>
      </c>
      <c r="I62" s="2223" t="str" cm="1">
        <f t="array" ref="I62">IF($D62&lt;COLUMNS($F$7:I$7),"",INDEX(TableDiv[[GASB]:[GASB]],_xlfn.AGGREGATE(15,3,(TableDiv[[Agency]:[Agency]]=$E62)/(TableDiv[[Agency]:[Agency]]=$E62)*(ROW(TableDiv[Agency])-ROW(TableDiv[[#Headers],[Agency]])),COLUMNS($F$7:I$7))))</f>
        <v/>
      </c>
      <c r="J62" s="2223" t="str" cm="1">
        <f t="array" ref="J62">IF($D62&lt;COLUMNS($F$7:J$7),"",INDEX(TableDiv[[GASB]:[GASB]],_xlfn.AGGREGATE(15,3,(TableDiv[[Agency]:[Agency]]=$E62)/(TableDiv[[Agency]:[Agency]]=$E62)*(ROW(TableDiv[Agency])-ROW(TableDiv[[#Headers],[Agency]])),COLUMNS($F$7:J$7))))</f>
        <v/>
      </c>
      <c r="K62" s="2223" t="str" cm="1">
        <f t="array" ref="K62">IF($D62&lt;COLUMNS($F$7:K$7),"",INDEX(TableDiv[[GASB]:[GASB]],_xlfn.AGGREGATE(15,3,(TableDiv[[Agency]:[Agency]]=$E62)/(TableDiv[[Agency]:[Agency]]=$E62)*(ROW(TableDiv[Agency])-ROW(TableDiv[[#Headers],[Agency]])),COLUMNS($F$7:K$7))))</f>
        <v/>
      </c>
      <c r="L62" s="2223" t="str" cm="1">
        <f t="array" ref="L62">IF($D62&lt;COLUMNS($F$7:L$7),"",INDEX(TableDiv[[GASB]:[GASB]],_xlfn.AGGREGATE(15,3,(TableDiv[[Agency]:[Agency]]=$E62)/(TableDiv[[Agency]:[Agency]]=$E62)*(ROW(TableDiv[Agency])-ROW(TableDiv[[#Headers],[Agency]])),COLUMNS($F$7:L$7))))</f>
        <v/>
      </c>
      <c r="M62" s="2223" t="str" cm="1">
        <f t="array" ref="M62">IF($D62&lt;COLUMNS($F$7:M$7),"",INDEX(TableDiv[[GASB]:[GASB]],_xlfn.AGGREGATE(15,3,(TableDiv[[Agency]:[Agency]]=$E62)/(TableDiv[[Agency]:[Agency]]=$E62)*(ROW(TableDiv[Agency])-ROW(TableDiv[[#Headers],[Agency]])),COLUMNS($F$7:M$7))))</f>
        <v/>
      </c>
      <c r="N62" s="2223" t="str" cm="1">
        <f t="array" ref="N62">IF($D62&lt;COLUMNS($F$7:N$7),"",INDEX(TableDiv[[GASB]:[GASB]],_xlfn.AGGREGATE(15,3,(TableDiv[[Agency]:[Agency]]=$E62)/(TableDiv[[Agency]:[Agency]]=$E62)*(ROW(TableDiv[Agency])-ROW(TableDiv[[#Headers],[Agency]])),COLUMNS($F$7:N$7))))</f>
        <v/>
      </c>
      <c r="O62" s="2223" t="str" cm="1">
        <f t="array" ref="O62">IF($D62&lt;COLUMNS($F$7:O$7),"",INDEX(TableDiv[[GASB]:[GASB]],_xlfn.AGGREGATE(15,3,(TableDiv[[Agency]:[Agency]]=$E62)/(TableDiv[[Agency]:[Agency]]=$E62)*(ROW(TableDiv[Agency])-ROW(TableDiv[[#Headers],[Agency]])),COLUMNS($F$7:O$7))))</f>
        <v/>
      </c>
      <c r="P62" s="2223" t="str" cm="1">
        <f t="array" ref="P62">IF($D62&lt;COLUMNS($F$7:P$7),"",INDEX(TableDiv[[GASB]:[GASB]],_xlfn.AGGREGATE(15,3,(TableDiv[[Agency]:[Agency]]=$E62)/(TableDiv[[Agency]:[Agency]]=$E62)*(ROW(TableDiv[Agency])-ROW(TableDiv[[#Headers],[Agency]])),COLUMNS($F$7:P$7))))</f>
        <v/>
      </c>
      <c r="Q62" s="2223" t="str" cm="1">
        <f t="array" ref="Q62">IF($D62&lt;COLUMNS($F$7:Q$7),"",INDEX(TableDiv[[GASB]:[GASB]],_xlfn.AGGREGATE(15,3,(TableDiv[[Agency]:[Agency]]=$E62)/(TableDiv[[Agency]:[Agency]]=$E62)*(ROW(TableDiv[Agency])-ROW(TableDiv[[#Headers],[Agency]])),COLUMNS($F$7:Q$7))))</f>
        <v/>
      </c>
      <c r="R62" s="2223" t="str" cm="1">
        <f t="array" ref="R62">IF($D62&lt;COLUMNS($F$7:R$7),"",INDEX(TableDiv[[GASB]:[GASB]],_xlfn.AGGREGATE(15,3,(TableDiv[[Agency]:[Agency]]=$E62)/(TableDiv[[Agency]:[Agency]]=$E62)*(ROW(TableDiv[Agency])-ROW(TableDiv[[#Headers],[Agency]])),COLUMNS($F$7:R$7))))</f>
        <v/>
      </c>
      <c r="S62" s="2223" t="str" cm="1">
        <f t="array" ref="S62">IF($D62&lt;COLUMNS($F$7:S$7),"",INDEX(TableDiv[[GASB]:[GASB]],_xlfn.AGGREGATE(15,3,(TableDiv[[Agency]:[Agency]]=$E62)/(TableDiv[[Agency]:[Agency]]=$E62)*(ROW(TableDiv[Agency])-ROW(TableDiv[[#Headers],[Agency]])),COLUMNS($F$7:S$7))))</f>
        <v/>
      </c>
      <c r="T62" s="2223" t="str" cm="1">
        <f t="array" ref="T62">IF($D62&lt;COLUMNS($F$7:T$7),"",INDEX(TableDiv[[GASB]:[GASB]],_xlfn.AGGREGATE(15,3,(TableDiv[[Agency]:[Agency]]=$E62)/(TableDiv[[Agency]:[Agency]]=$E62)*(ROW(TableDiv[Agency])-ROW(TableDiv[[#Headers],[Agency]])),COLUMNS($F$7:T$7))))</f>
        <v/>
      </c>
      <c r="U62" s="2223" t="str" cm="1">
        <f t="array" ref="U62">IF($D62&lt;COLUMNS($F$7:U$7),"",INDEX(TableDiv[[GASB]:[GASB]],_xlfn.AGGREGATE(15,3,(TableDiv[[Agency]:[Agency]]=$E62)/(TableDiv[[Agency]:[Agency]]=$E62)*(ROW(TableDiv[Agency])-ROW(TableDiv[[#Headers],[Agency]])),COLUMNS($F$7:U$7))))</f>
        <v/>
      </c>
      <c r="V62" s="2223" t="str" cm="1">
        <f t="array" ref="V62">IF($D62&lt;COLUMNS($F$7:V$7),"",INDEX(TableDiv[[GASB]:[GASB]],_xlfn.AGGREGATE(15,3,(TableDiv[[Agency]:[Agency]]=$E62)/(TableDiv[[Agency]:[Agency]]=$E62)*(ROW(TableDiv[Agency])-ROW(TableDiv[[#Headers],[Agency]])),COLUMNS($F$7:V$7))))</f>
        <v/>
      </c>
      <c r="W62" s="2223" t="str" cm="1">
        <f t="array" ref="W62">IF($D62&lt;COLUMNS($F$7:W$7),"",INDEX(TableDiv[[GASB]:[GASB]],_xlfn.AGGREGATE(15,3,(TableDiv[[Agency]:[Agency]]=$E62)/(TableDiv[[Agency]:[Agency]]=$E62)*(ROW(TableDiv[Agency])-ROW(TableDiv[[#Headers],[Agency]])),COLUMNS($F$7:W$7))))</f>
        <v/>
      </c>
      <c r="X62" s="2223" t="str" cm="1">
        <f t="array" ref="X62">IF($D62&lt;COLUMNS($F$7:X$7),"",INDEX(TableDiv[[GASB]:[GASB]],_xlfn.AGGREGATE(15,3,(TableDiv[[Agency]:[Agency]]=$E62)/(TableDiv[[Agency]:[Agency]]=$E62)*(ROW(TableDiv[Agency])-ROW(TableDiv[[#Headers],[Agency]])),COLUMNS($F$7:X$7))))</f>
        <v/>
      </c>
      <c r="Y62" s="2223" t="str" cm="1">
        <f t="array" ref="Y62">IF($D62&lt;COLUMNS($F$7:Y$7),"",INDEX(TableDiv[[GASB]:[GASB]],_xlfn.AGGREGATE(15,3,(TableDiv[[Agency]:[Agency]]=$E62)/(TableDiv[[Agency]:[Agency]]=$E62)*(ROW(TableDiv[Agency])-ROW(TableDiv[[#Headers],[Agency]])),COLUMNS($F$7:Y$7))))</f>
        <v/>
      </c>
      <c r="Z62" s="2223" t="str" cm="1">
        <f t="array" ref="Z62">IF($D62&lt;COLUMNS($F$7:Z$7),"",INDEX(TableDiv[[GASB]:[GASB]],_xlfn.AGGREGATE(15,3,(TableDiv[[Agency]:[Agency]]=$E62)/(TableDiv[[Agency]:[Agency]]=$E62)*(ROW(TableDiv[Agency])-ROW(TableDiv[[#Headers],[Agency]])),COLUMNS($F$7:Z$7))))</f>
        <v/>
      </c>
      <c r="AA62" s="2223" t="str" cm="1">
        <f t="array" ref="AA62">IF($D62&lt;COLUMNS($F$7:AA$7),"",INDEX(TableDiv[[GASB]:[GASB]],_xlfn.AGGREGATE(15,3,(TableDiv[[Agency]:[Agency]]=$E62)/(TableDiv[[Agency]:[Agency]]=$E62)*(ROW(TableDiv[Agency])-ROW(TableDiv[[#Headers],[Agency]])),COLUMNS($F$7:AA$7))))</f>
        <v/>
      </c>
      <c r="AB62" s="2223" t="str" cm="1">
        <f t="array" ref="AB62">IF($D62&lt;COLUMNS($F$7:AB$7),"",INDEX(TableDiv[[GASB]:[GASB]],_xlfn.AGGREGATE(15,3,(TableDiv[[Agency]:[Agency]]=$E62)/(TableDiv[[Agency]:[Agency]]=$E62)*(ROW(TableDiv[Agency])-ROW(TableDiv[[#Headers],[Agency]])),COLUMNS($F$7:AB$7))))</f>
        <v/>
      </c>
      <c r="AC62" s="2223" t="str" cm="1">
        <f t="array" ref="AC62">IF($D62&lt;COLUMNS($F$7:AC$7),"",INDEX(TableDiv[[GASB]:[GASB]],_xlfn.AGGREGATE(15,3,(TableDiv[[Agency]:[Agency]]=$E62)/(TableDiv[[Agency]:[Agency]]=$E62)*(ROW(TableDiv[Agency])-ROW(TableDiv[[#Headers],[Agency]])),COLUMNS($F$7:AC$7))))</f>
        <v/>
      </c>
      <c r="AD62" s="2223" t="str" cm="1">
        <f t="array" ref="AD62">IF($D62&lt;COLUMNS($F$7:AD$7),"",INDEX(TableDiv[[GASB]:[GASB]],_xlfn.AGGREGATE(15,3,(TableDiv[[Agency]:[Agency]]=$E62)/(TableDiv[[Agency]:[Agency]]=$E62)*(ROW(TableDiv[Agency])-ROW(TableDiv[[#Headers],[Agency]])),COLUMNS($F$7:AD$7))))</f>
        <v/>
      </c>
      <c r="AE62" s="2223" t="str" cm="1">
        <f t="array" ref="AE62">IF($D62&lt;COLUMNS($F$7:AE$7),"",INDEX(TableDiv[[GASB]:[GASB]],_xlfn.AGGREGATE(15,3,(TableDiv[[Agency]:[Agency]]=$E62)/(TableDiv[[Agency]:[Agency]]=$E62)*(ROW(TableDiv[Agency])-ROW(TableDiv[[#Headers],[Agency]])),COLUMNS($F$7:AE$7))))</f>
        <v/>
      </c>
      <c r="AF62" s="2223" t="str" cm="1">
        <f t="array" ref="AF62">IF($D62&lt;COLUMNS($F$7:AF$7),"",INDEX(TableDiv[[GASB]:[GASB]],_xlfn.AGGREGATE(15,3,(TableDiv[[Agency]:[Agency]]=$E62)/(TableDiv[[Agency]:[Agency]]=$E62)*(ROW(TableDiv[Agency])-ROW(TableDiv[[#Headers],[Agency]])),COLUMNS($F$7:AF$7))))</f>
        <v/>
      </c>
      <c r="AG62" s="2223" t="str" cm="1">
        <f t="array" ref="AG62">IF($D62&lt;COLUMNS($F$7:AG$7),"",INDEX(TableDiv[[GASB]:[GASB]],_xlfn.AGGREGATE(15,3,(TableDiv[[Agency]:[Agency]]=$E62)/(TableDiv[[Agency]:[Agency]]=$E62)*(ROW(TableDiv[Agency])-ROW(TableDiv[[#Headers],[Agency]])),COLUMNS($F$7:AG$7))))</f>
        <v/>
      </c>
      <c r="AH62" s="2223" t="str" cm="1">
        <f t="array" ref="AH62">IF($D62&lt;COLUMNS($F$7:AH$7),"",INDEX(TableDiv[[GASB]:[GASB]],_xlfn.AGGREGATE(15,3,(TableDiv[[Agency]:[Agency]]=$E62)/(TableDiv[[Agency]:[Agency]]=$E62)*(ROW(TableDiv[Agency])-ROW(TableDiv[[#Headers],[Agency]])),COLUMNS($F$7:AH$7))))</f>
        <v/>
      </c>
      <c r="AI62" s="2223" t="str" cm="1">
        <f t="array" ref="AI62">IF($D62&lt;COLUMNS($F$7:AI$7),"",INDEX(TableDiv[[GASB]:[GASB]],_xlfn.AGGREGATE(15,3,(TableDiv[[Agency]:[Agency]]=$E62)/(TableDiv[[Agency]:[Agency]]=$E62)*(ROW(TableDiv[Agency])-ROW(TableDiv[[#Headers],[Agency]])),COLUMNS($F$7:AI$7))))</f>
        <v/>
      </c>
      <c r="AJ62" s="2223" t="str" cm="1">
        <f t="array" ref="AJ62">IF($D62&lt;COLUMNS($F$7:AJ$7),"",INDEX(TableDiv[[GASB]:[GASB]],_xlfn.AGGREGATE(15,3,(TableDiv[[Agency]:[Agency]]=$E62)/(TableDiv[[Agency]:[Agency]]=$E62)*(ROW(TableDiv[Agency])-ROW(TableDiv[[#Headers],[Agency]])),COLUMNS($F$7:AJ$7))))</f>
        <v/>
      </c>
      <c r="AK62" s="2223" t="str" cm="1">
        <f t="array" ref="AK62">IF($D62&lt;COLUMNS($F$7:AK$7),"",INDEX(TableDiv[[GASB]:[GASB]],_xlfn.AGGREGATE(15,3,(TableDiv[[Agency]:[Agency]]=$E62)/(TableDiv[[Agency]:[Agency]]=$E62)*(ROW(TableDiv[Agency])-ROW(TableDiv[[#Headers],[Agency]])),COLUMNS($F$7:AK$7))))</f>
        <v/>
      </c>
      <c r="AL62" s="2223" t="str" cm="1">
        <f t="array" ref="AL62">IF($D62&lt;COLUMNS($F$7:AL$7),"",INDEX(TableDiv[[GASB]:[GASB]],_xlfn.AGGREGATE(15,3,(TableDiv[[Agency]:[Agency]]=$E62)/(TableDiv[[Agency]:[Agency]]=$E62)*(ROW(TableDiv[Agency])-ROW(TableDiv[[#Headers],[Agency]])),COLUMNS($F$7:AL$7))))</f>
        <v/>
      </c>
      <c r="AM62" s="2223" t="str" cm="1">
        <f t="array" ref="AM62">IF($D62&lt;COLUMNS($F$7:AM$7),"",INDEX(TableDiv[[GASB]:[GASB]],_xlfn.AGGREGATE(15,3,(TableDiv[[Agency]:[Agency]]=$E62)/(TableDiv[[Agency]:[Agency]]=$E62)*(ROW(TableDiv[Agency])-ROW(TableDiv[[#Headers],[Agency]])),COLUMNS($F$7:AM$7))))</f>
        <v/>
      </c>
      <c r="AN62" s="2223"/>
      <c r="AO62" s="2223"/>
      <c r="AP62" s="2223"/>
      <c r="AQ62" s="2223"/>
      <c r="AR62" s="2223"/>
      <c r="AS62" s="2223"/>
    </row>
    <row r="63" spans="1:45" ht="15" x14ac:dyDescent="0.25">
      <c r="A63" s="2219" t="s">
        <v>5102</v>
      </c>
      <c r="B63" s="2219" t="s">
        <v>6357</v>
      </c>
      <c r="C63" s="2223"/>
      <c r="D63" s="2223">
        <f>COUNTIF(TableDiv[Agency],E63)</f>
        <v>4</v>
      </c>
      <c r="E63" s="2230" t="str" cm="1">
        <f t="array" ref="E63">IFERROR(INDEX(TableDiv[Agency],MATCH(0,INDEX(COUNTIF($E$7:E62,TableDiv[Agency]),),0)),"")</f>
        <v>6700</v>
      </c>
      <c r="F63" s="2223" t="str" cm="1">
        <f t="array" ref="F63">IF($D63&lt;COLUMNS($F$7:F$7),"",INDEX(TableDiv[[GASB]:[GASB]],_xlfn.AGGREGATE(15,3,(TableDiv[[Agency]:[Agency]]=$E63)/(TableDiv[[Agency]:[Agency]]=$E63)*(ROW(TableDiv[Agency])-ROW(TableDiv[[#Headers],[Agency]])),COLUMNS($F$7:F$7))))</f>
        <v>11000G</v>
      </c>
      <c r="G63" s="2223" t="str" cm="1">
        <f t="array" ref="G63">IF($D63&lt;COLUMNS($F$7:G$7),"",INDEX(TableDiv[[GASB]:[GASB]],_xlfn.AGGREGATE(15,3,(TableDiv[[Agency]:[Agency]]=$E63)/(TableDiv[[Agency]:[Agency]]=$E63)*(ROW(TableDiv[Agency])-ROW(TableDiv[[#Headers],[Agency]])),COLUMNS($F$7:G$7))))</f>
        <v>11020G</v>
      </c>
      <c r="H63" s="2223" t="str" cm="1">
        <f t="array" ref="H63">IF($D63&lt;COLUMNS($F$7:H$7),"",INDEX(TableDiv[[GASB]:[GASB]],_xlfn.AGGREGATE(15,3,(TableDiv[[Agency]:[Agency]]=$E63)/(TableDiv[[Agency]:[Agency]]=$E63)*(ROW(TableDiv[Agency])-ROW(TableDiv[[#Headers],[Agency]])),COLUMNS($F$7:H$7))))</f>
        <v>12000G</v>
      </c>
      <c r="I63" s="2223" t="str" cm="1">
        <f t="array" ref="I63">IF($D63&lt;COLUMNS($F$7:I$7),"",INDEX(TableDiv[[GASB]:[GASB]],_xlfn.AGGREGATE(15,3,(TableDiv[[Agency]:[Agency]]=$E63)/(TableDiv[[Agency]:[Agency]]=$E63)*(ROW(TableDiv[Agency])-ROW(TableDiv[[#Headers],[Agency]])),COLUMNS($F$7:I$7))))</f>
        <v>39000G</v>
      </c>
      <c r="J63" s="2223" t="str" cm="1">
        <f t="array" ref="J63">IF($D63&lt;COLUMNS($F$7:J$7),"",INDEX(TableDiv[[GASB]:[GASB]],_xlfn.AGGREGATE(15,3,(TableDiv[[Agency]:[Agency]]=$E63)/(TableDiv[[Agency]:[Agency]]=$E63)*(ROW(TableDiv[Agency])-ROW(TableDiv[[#Headers],[Agency]])),COLUMNS($F$7:J$7))))</f>
        <v/>
      </c>
      <c r="K63" s="2223" t="str" cm="1">
        <f t="array" ref="K63">IF($D63&lt;COLUMNS($F$7:K$7),"",INDEX(TableDiv[[GASB]:[GASB]],_xlfn.AGGREGATE(15,3,(TableDiv[[Agency]:[Agency]]=$E63)/(TableDiv[[Agency]:[Agency]]=$E63)*(ROW(TableDiv[Agency])-ROW(TableDiv[[#Headers],[Agency]])),COLUMNS($F$7:K$7))))</f>
        <v/>
      </c>
      <c r="L63" s="2223" t="str" cm="1">
        <f t="array" ref="L63">IF($D63&lt;COLUMNS($F$7:L$7),"",INDEX(TableDiv[[GASB]:[GASB]],_xlfn.AGGREGATE(15,3,(TableDiv[[Agency]:[Agency]]=$E63)/(TableDiv[[Agency]:[Agency]]=$E63)*(ROW(TableDiv[Agency])-ROW(TableDiv[[#Headers],[Agency]])),COLUMNS($F$7:L$7))))</f>
        <v/>
      </c>
      <c r="M63" s="2223" t="str" cm="1">
        <f t="array" ref="M63">IF($D63&lt;COLUMNS($F$7:M$7),"",INDEX(TableDiv[[GASB]:[GASB]],_xlfn.AGGREGATE(15,3,(TableDiv[[Agency]:[Agency]]=$E63)/(TableDiv[[Agency]:[Agency]]=$E63)*(ROW(TableDiv[Agency])-ROW(TableDiv[[#Headers],[Agency]])),COLUMNS($F$7:M$7))))</f>
        <v/>
      </c>
      <c r="N63" s="2223" t="str" cm="1">
        <f t="array" ref="N63">IF($D63&lt;COLUMNS($F$7:N$7),"",INDEX(TableDiv[[GASB]:[GASB]],_xlfn.AGGREGATE(15,3,(TableDiv[[Agency]:[Agency]]=$E63)/(TableDiv[[Agency]:[Agency]]=$E63)*(ROW(TableDiv[Agency])-ROW(TableDiv[[#Headers],[Agency]])),COLUMNS($F$7:N$7))))</f>
        <v/>
      </c>
      <c r="O63" s="2223" t="str" cm="1">
        <f t="array" ref="O63">IF($D63&lt;COLUMNS($F$7:O$7),"",INDEX(TableDiv[[GASB]:[GASB]],_xlfn.AGGREGATE(15,3,(TableDiv[[Agency]:[Agency]]=$E63)/(TableDiv[[Agency]:[Agency]]=$E63)*(ROW(TableDiv[Agency])-ROW(TableDiv[[#Headers],[Agency]])),COLUMNS($F$7:O$7))))</f>
        <v/>
      </c>
      <c r="P63" s="2223" t="str" cm="1">
        <f t="array" ref="P63">IF($D63&lt;COLUMNS($F$7:P$7),"",INDEX(TableDiv[[GASB]:[GASB]],_xlfn.AGGREGATE(15,3,(TableDiv[[Agency]:[Agency]]=$E63)/(TableDiv[[Agency]:[Agency]]=$E63)*(ROW(TableDiv[Agency])-ROW(TableDiv[[#Headers],[Agency]])),COLUMNS($F$7:P$7))))</f>
        <v/>
      </c>
      <c r="Q63" s="2223" t="str" cm="1">
        <f t="array" ref="Q63">IF($D63&lt;COLUMNS($F$7:Q$7),"",INDEX(TableDiv[[GASB]:[GASB]],_xlfn.AGGREGATE(15,3,(TableDiv[[Agency]:[Agency]]=$E63)/(TableDiv[[Agency]:[Agency]]=$E63)*(ROW(TableDiv[Agency])-ROW(TableDiv[[#Headers],[Agency]])),COLUMNS($F$7:Q$7))))</f>
        <v/>
      </c>
      <c r="R63" s="2223" t="str" cm="1">
        <f t="array" ref="R63">IF($D63&lt;COLUMNS($F$7:R$7),"",INDEX(TableDiv[[GASB]:[GASB]],_xlfn.AGGREGATE(15,3,(TableDiv[[Agency]:[Agency]]=$E63)/(TableDiv[[Agency]:[Agency]]=$E63)*(ROW(TableDiv[Agency])-ROW(TableDiv[[#Headers],[Agency]])),COLUMNS($F$7:R$7))))</f>
        <v/>
      </c>
      <c r="S63" s="2223" t="str" cm="1">
        <f t="array" ref="S63">IF($D63&lt;COLUMNS($F$7:S$7),"",INDEX(TableDiv[[GASB]:[GASB]],_xlfn.AGGREGATE(15,3,(TableDiv[[Agency]:[Agency]]=$E63)/(TableDiv[[Agency]:[Agency]]=$E63)*(ROW(TableDiv[Agency])-ROW(TableDiv[[#Headers],[Agency]])),COLUMNS($F$7:S$7))))</f>
        <v/>
      </c>
      <c r="T63" s="2223" t="str" cm="1">
        <f t="array" ref="T63">IF($D63&lt;COLUMNS($F$7:T$7),"",INDEX(TableDiv[[GASB]:[GASB]],_xlfn.AGGREGATE(15,3,(TableDiv[[Agency]:[Agency]]=$E63)/(TableDiv[[Agency]:[Agency]]=$E63)*(ROW(TableDiv[Agency])-ROW(TableDiv[[#Headers],[Agency]])),COLUMNS($F$7:T$7))))</f>
        <v/>
      </c>
      <c r="U63" s="2223" t="str" cm="1">
        <f t="array" ref="U63">IF($D63&lt;COLUMNS($F$7:U$7),"",INDEX(TableDiv[[GASB]:[GASB]],_xlfn.AGGREGATE(15,3,(TableDiv[[Agency]:[Agency]]=$E63)/(TableDiv[[Agency]:[Agency]]=$E63)*(ROW(TableDiv[Agency])-ROW(TableDiv[[#Headers],[Agency]])),COLUMNS($F$7:U$7))))</f>
        <v/>
      </c>
      <c r="V63" s="2223" t="str" cm="1">
        <f t="array" ref="V63">IF($D63&lt;COLUMNS($F$7:V$7),"",INDEX(TableDiv[[GASB]:[GASB]],_xlfn.AGGREGATE(15,3,(TableDiv[[Agency]:[Agency]]=$E63)/(TableDiv[[Agency]:[Agency]]=$E63)*(ROW(TableDiv[Agency])-ROW(TableDiv[[#Headers],[Agency]])),COLUMNS($F$7:V$7))))</f>
        <v/>
      </c>
      <c r="W63" s="2223" t="str" cm="1">
        <f t="array" ref="W63">IF($D63&lt;COLUMNS($F$7:W$7),"",INDEX(TableDiv[[GASB]:[GASB]],_xlfn.AGGREGATE(15,3,(TableDiv[[Agency]:[Agency]]=$E63)/(TableDiv[[Agency]:[Agency]]=$E63)*(ROW(TableDiv[Agency])-ROW(TableDiv[[#Headers],[Agency]])),COLUMNS($F$7:W$7))))</f>
        <v/>
      </c>
      <c r="X63" s="2223" t="str" cm="1">
        <f t="array" ref="X63">IF($D63&lt;COLUMNS($F$7:X$7),"",INDEX(TableDiv[[GASB]:[GASB]],_xlfn.AGGREGATE(15,3,(TableDiv[[Agency]:[Agency]]=$E63)/(TableDiv[[Agency]:[Agency]]=$E63)*(ROW(TableDiv[Agency])-ROW(TableDiv[[#Headers],[Agency]])),COLUMNS($F$7:X$7))))</f>
        <v/>
      </c>
      <c r="Y63" s="2223" t="str" cm="1">
        <f t="array" ref="Y63">IF($D63&lt;COLUMNS($F$7:Y$7),"",INDEX(TableDiv[[GASB]:[GASB]],_xlfn.AGGREGATE(15,3,(TableDiv[[Agency]:[Agency]]=$E63)/(TableDiv[[Agency]:[Agency]]=$E63)*(ROW(TableDiv[Agency])-ROW(TableDiv[[#Headers],[Agency]])),COLUMNS($F$7:Y$7))))</f>
        <v/>
      </c>
      <c r="Z63" s="2223" t="str" cm="1">
        <f t="array" ref="Z63">IF($D63&lt;COLUMNS($F$7:Z$7),"",INDEX(TableDiv[[GASB]:[GASB]],_xlfn.AGGREGATE(15,3,(TableDiv[[Agency]:[Agency]]=$E63)/(TableDiv[[Agency]:[Agency]]=$E63)*(ROW(TableDiv[Agency])-ROW(TableDiv[[#Headers],[Agency]])),COLUMNS($F$7:Z$7))))</f>
        <v/>
      </c>
      <c r="AA63" s="2223" t="str" cm="1">
        <f t="array" ref="AA63">IF($D63&lt;COLUMNS($F$7:AA$7),"",INDEX(TableDiv[[GASB]:[GASB]],_xlfn.AGGREGATE(15,3,(TableDiv[[Agency]:[Agency]]=$E63)/(TableDiv[[Agency]:[Agency]]=$E63)*(ROW(TableDiv[Agency])-ROW(TableDiv[[#Headers],[Agency]])),COLUMNS($F$7:AA$7))))</f>
        <v/>
      </c>
      <c r="AB63" s="2223" t="str" cm="1">
        <f t="array" ref="AB63">IF($D63&lt;COLUMNS($F$7:AB$7),"",INDEX(TableDiv[[GASB]:[GASB]],_xlfn.AGGREGATE(15,3,(TableDiv[[Agency]:[Agency]]=$E63)/(TableDiv[[Agency]:[Agency]]=$E63)*(ROW(TableDiv[Agency])-ROW(TableDiv[[#Headers],[Agency]])),COLUMNS($F$7:AB$7))))</f>
        <v/>
      </c>
      <c r="AC63" s="2223" t="str" cm="1">
        <f t="array" ref="AC63">IF($D63&lt;COLUMNS($F$7:AC$7),"",INDEX(TableDiv[[GASB]:[GASB]],_xlfn.AGGREGATE(15,3,(TableDiv[[Agency]:[Agency]]=$E63)/(TableDiv[[Agency]:[Agency]]=$E63)*(ROW(TableDiv[Agency])-ROW(TableDiv[[#Headers],[Agency]])),COLUMNS($F$7:AC$7))))</f>
        <v/>
      </c>
      <c r="AD63" s="2223" t="str" cm="1">
        <f t="array" ref="AD63">IF($D63&lt;COLUMNS($F$7:AD$7),"",INDEX(TableDiv[[GASB]:[GASB]],_xlfn.AGGREGATE(15,3,(TableDiv[[Agency]:[Agency]]=$E63)/(TableDiv[[Agency]:[Agency]]=$E63)*(ROW(TableDiv[Agency])-ROW(TableDiv[[#Headers],[Agency]])),COLUMNS($F$7:AD$7))))</f>
        <v/>
      </c>
      <c r="AE63" s="2223" t="str" cm="1">
        <f t="array" ref="AE63">IF($D63&lt;COLUMNS($F$7:AE$7),"",INDEX(TableDiv[[GASB]:[GASB]],_xlfn.AGGREGATE(15,3,(TableDiv[[Agency]:[Agency]]=$E63)/(TableDiv[[Agency]:[Agency]]=$E63)*(ROW(TableDiv[Agency])-ROW(TableDiv[[#Headers],[Agency]])),COLUMNS($F$7:AE$7))))</f>
        <v/>
      </c>
      <c r="AF63" s="2223" t="str" cm="1">
        <f t="array" ref="AF63">IF($D63&lt;COLUMNS($F$7:AF$7),"",INDEX(TableDiv[[GASB]:[GASB]],_xlfn.AGGREGATE(15,3,(TableDiv[[Agency]:[Agency]]=$E63)/(TableDiv[[Agency]:[Agency]]=$E63)*(ROW(TableDiv[Agency])-ROW(TableDiv[[#Headers],[Agency]])),COLUMNS($F$7:AF$7))))</f>
        <v/>
      </c>
      <c r="AG63" s="2223" t="str" cm="1">
        <f t="array" ref="AG63">IF($D63&lt;COLUMNS($F$7:AG$7),"",INDEX(TableDiv[[GASB]:[GASB]],_xlfn.AGGREGATE(15,3,(TableDiv[[Agency]:[Agency]]=$E63)/(TableDiv[[Agency]:[Agency]]=$E63)*(ROW(TableDiv[Agency])-ROW(TableDiv[[#Headers],[Agency]])),COLUMNS($F$7:AG$7))))</f>
        <v/>
      </c>
      <c r="AH63" s="2223" t="str" cm="1">
        <f t="array" ref="AH63">IF($D63&lt;COLUMNS($F$7:AH$7),"",INDEX(TableDiv[[GASB]:[GASB]],_xlfn.AGGREGATE(15,3,(TableDiv[[Agency]:[Agency]]=$E63)/(TableDiv[[Agency]:[Agency]]=$E63)*(ROW(TableDiv[Agency])-ROW(TableDiv[[#Headers],[Agency]])),COLUMNS($F$7:AH$7))))</f>
        <v/>
      </c>
      <c r="AI63" s="2223" t="str" cm="1">
        <f t="array" ref="AI63">IF($D63&lt;COLUMNS($F$7:AI$7),"",INDEX(TableDiv[[GASB]:[GASB]],_xlfn.AGGREGATE(15,3,(TableDiv[[Agency]:[Agency]]=$E63)/(TableDiv[[Agency]:[Agency]]=$E63)*(ROW(TableDiv[Agency])-ROW(TableDiv[[#Headers],[Agency]])),COLUMNS($F$7:AI$7))))</f>
        <v/>
      </c>
      <c r="AJ63" s="2223" t="str" cm="1">
        <f t="array" ref="AJ63">IF($D63&lt;COLUMNS($F$7:AJ$7),"",INDEX(TableDiv[[GASB]:[GASB]],_xlfn.AGGREGATE(15,3,(TableDiv[[Agency]:[Agency]]=$E63)/(TableDiv[[Agency]:[Agency]]=$E63)*(ROW(TableDiv[Agency])-ROW(TableDiv[[#Headers],[Agency]])),COLUMNS($F$7:AJ$7))))</f>
        <v/>
      </c>
      <c r="AK63" s="2223" t="str" cm="1">
        <f t="array" ref="AK63">IF($D63&lt;COLUMNS($F$7:AK$7),"",INDEX(TableDiv[[GASB]:[GASB]],_xlfn.AGGREGATE(15,3,(TableDiv[[Agency]:[Agency]]=$E63)/(TableDiv[[Agency]:[Agency]]=$E63)*(ROW(TableDiv[Agency])-ROW(TableDiv[[#Headers],[Agency]])),COLUMNS($F$7:AK$7))))</f>
        <v/>
      </c>
      <c r="AL63" s="2223" t="str" cm="1">
        <f t="array" ref="AL63">IF($D63&lt;COLUMNS($F$7:AL$7),"",INDEX(TableDiv[[GASB]:[GASB]],_xlfn.AGGREGATE(15,3,(TableDiv[[Agency]:[Agency]]=$E63)/(TableDiv[[Agency]:[Agency]]=$E63)*(ROW(TableDiv[Agency])-ROW(TableDiv[[#Headers],[Agency]])),COLUMNS($F$7:AL$7))))</f>
        <v/>
      </c>
      <c r="AM63" s="2223" t="str" cm="1">
        <f t="array" ref="AM63">IF($D63&lt;COLUMNS($F$7:AM$7),"",INDEX(TableDiv[[GASB]:[GASB]],_xlfn.AGGREGATE(15,3,(TableDiv[[Agency]:[Agency]]=$E63)/(TableDiv[[Agency]:[Agency]]=$E63)*(ROW(TableDiv[Agency])-ROW(TableDiv[[#Headers],[Agency]])),COLUMNS($F$7:AM$7))))</f>
        <v/>
      </c>
      <c r="AN63" s="2223"/>
      <c r="AO63" s="2223"/>
      <c r="AP63" s="2223"/>
      <c r="AQ63" s="2223"/>
      <c r="AR63" s="2223"/>
      <c r="AS63" s="2223"/>
    </row>
    <row r="64" spans="1:45" ht="15" x14ac:dyDescent="0.25">
      <c r="A64" s="2219" t="s">
        <v>5102</v>
      </c>
      <c r="B64" s="2219" t="s">
        <v>1878</v>
      </c>
      <c r="C64" s="2223"/>
      <c r="D64" s="2223">
        <f>COUNTIF(TableDiv[Agency],E64)</f>
        <v>4</v>
      </c>
      <c r="E64" s="2230" t="str" cm="1">
        <f t="array" ref="E64">IFERROR(INDEX(TableDiv[Agency],MATCH(0,INDEX(COUNTIF($E$7:E63,TableDiv[Agency]),),0)),"")</f>
        <v>8700</v>
      </c>
      <c r="F64" s="2223" t="str" cm="1">
        <f t="array" ref="F64">IF($D64&lt;COLUMNS($F$7:F$7),"",INDEX(TableDiv[[GASB]:[GASB]],_xlfn.AGGREGATE(15,3,(TableDiv[[Agency]:[Agency]]=$E64)/(TableDiv[[Agency]:[Agency]]=$E64)*(ROW(TableDiv[Agency])-ROW(TableDiv[[#Headers],[Agency]])),COLUMNS($F$7:F$7))))</f>
        <v>41100G</v>
      </c>
      <c r="G64" s="2223" t="str" cm="1">
        <f t="array" ref="G64">IF($D64&lt;COLUMNS($F$7:G$7),"",INDEX(TableDiv[[GASB]:[GASB]],_xlfn.AGGREGATE(15,3,(TableDiv[[Agency]:[Agency]]=$E64)/(TableDiv[[Agency]:[Agency]]=$E64)*(ROW(TableDiv[Agency])-ROW(TableDiv[[#Headers],[Agency]])),COLUMNS($F$7:G$7))))</f>
        <v>41300G</v>
      </c>
      <c r="H64" s="2223" t="str" cm="1">
        <f t="array" ref="H64">IF($D64&lt;COLUMNS($F$7:H$7),"",INDEX(TableDiv[[GASB]:[GASB]],_xlfn.AGGREGATE(15,3,(TableDiv[[Agency]:[Agency]]=$E64)/(TableDiv[[Agency]:[Agency]]=$E64)*(ROW(TableDiv[Agency])-ROW(TableDiv[[#Headers],[Agency]])),COLUMNS($F$7:H$7))))</f>
        <v>42300G</v>
      </c>
      <c r="I64" s="2223" t="str" cm="1">
        <f t="array" ref="I64">IF($D64&lt;COLUMNS($F$7:I$7),"",INDEX(TableDiv[[GASB]:[GASB]],_xlfn.AGGREGATE(15,3,(TableDiv[[Agency]:[Agency]]=$E64)/(TableDiv[[Agency]:[Agency]]=$E64)*(ROW(TableDiv[Agency])-ROW(TableDiv[[#Headers],[Agency]])),COLUMNS($F$7:I$7))))</f>
        <v>43100G</v>
      </c>
      <c r="J64" s="2223" t="str" cm="1">
        <f t="array" ref="J64">IF($D64&lt;COLUMNS($F$7:J$7),"",INDEX(TableDiv[[GASB]:[GASB]],_xlfn.AGGREGATE(15,3,(TableDiv[[Agency]:[Agency]]=$E64)/(TableDiv[[Agency]:[Agency]]=$E64)*(ROW(TableDiv[Agency])-ROW(TableDiv[[#Headers],[Agency]])),COLUMNS($F$7:J$7))))</f>
        <v/>
      </c>
      <c r="K64" s="2223" t="str" cm="1">
        <f t="array" ref="K64">IF($D64&lt;COLUMNS($F$7:K$7),"",INDEX(TableDiv[[GASB]:[GASB]],_xlfn.AGGREGATE(15,3,(TableDiv[[Agency]:[Agency]]=$E64)/(TableDiv[[Agency]:[Agency]]=$E64)*(ROW(TableDiv[Agency])-ROW(TableDiv[[#Headers],[Agency]])),COLUMNS($F$7:K$7))))</f>
        <v/>
      </c>
      <c r="L64" s="2223" t="str" cm="1">
        <f t="array" ref="L64">IF($D64&lt;COLUMNS($F$7:L$7),"",INDEX(TableDiv[[GASB]:[GASB]],_xlfn.AGGREGATE(15,3,(TableDiv[[Agency]:[Agency]]=$E64)/(TableDiv[[Agency]:[Agency]]=$E64)*(ROW(TableDiv[Agency])-ROW(TableDiv[[#Headers],[Agency]])),COLUMNS($F$7:L$7))))</f>
        <v/>
      </c>
      <c r="M64" s="2223" t="str" cm="1">
        <f t="array" ref="M64">IF($D64&lt;COLUMNS($F$7:M$7),"",INDEX(TableDiv[[GASB]:[GASB]],_xlfn.AGGREGATE(15,3,(TableDiv[[Agency]:[Agency]]=$E64)/(TableDiv[[Agency]:[Agency]]=$E64)*(ROW(TableDiv[Agency])-ROW(TableDiv[[#Headers],[Agency]])),COLUMNS($F$7:M$7))))</f>
        <v/>
      </c>
      <c r="N64" s="2223" t="str" cm="1">
        <f t="array" ref="N64">IF($D64&lt;COLUMNS($F$7:N$7),"",INDEX(TableDiv[[GASB]:[GASB]],_xlfn.AGGREGATE(15,3,(TableDiv[[Agency]:[Agency]]=$E64)/(TableDiv[[Agency]:[Agency]]=$E64)*(ROW(TableDiv[Agency])-ROW(TableDiv[[#Headers],[Agency]])),COLUMNS($F$7:N$7))))</f>
        <v/>
      </c>
      <c r="O64" s="2223" t="str" cm="1">
        <f t="array" ref="O64">IF($D64&lt;COLUMNS($F$7:O$7),"",INDEX(TableDiv[[GASB]:[GASB]],_xlfn.AGGREGATE(15,3,(TableDiv[[Agency]:[Agency]]=$E64)/(TableDiv[[Agency]:[Agency]]=$E64)*(ROW(TableDiv[Agency])-ROW(TableDiv[[#Headers],[Agency]])),COLUMNS($F$7:O$7))))</f>
        <v/>
      </c>
      <c r="P64" s="2223" t="str" cm="1">
        <f t="array" ref="P64">IF($D64&lt;COLUMNS($F$7:P$7),"",INDEX(TableDiv[[GASB]:[GASB]],_xlfn.AGGREGATE(15,3,(TableDiv[[Agency]:[Agency]]=$E64)/(TableDiv[[Agency]:[Agency]]=$E64)*(ROW(TableDiv[Agency])-ROW(TableDiv[[#Headers],[Agency]])),COLUMNS($F$7:P$7))))</f>
        <v/>
      </c>
      <c r="Q64" s="2223" t="str" cm="1">
        <f t="array" ref="Q64">IF($D64&lt;COLUMNS($F$7:Q$7),"",INDEX(TableDiv[[GASB]:[GASB]],_xlfn.AGGREGATE(15,3,(TableDiv[[Agency]:[Agency]]=$E64)/(TableDiv[[Agency]:[Agency]]=$E64)*(ROW(TableDiv[Agency])-ROW(TableDiv[[#Headers],[Agency]])),COLUMNS($F$7:Q$7))))</f>
        <v/>
      </c>
      <c r="R64" s="2223" t="str" cm="1">
        <f t="array" ref="R64">IF($D64&lt;COLUMNS($F$7:R$7),"",INDEX(TableDiv[[GASB]:[GASB]],_xlfn.AGGREGATE(15,3,(TableDiv[[Agency]:[Agency]]=$E64)/(TableDiv[[Agency]:[Agency]]=$E64)*(ROW(TableDiv[Agency])-ROW(TableDiv[[#Headers],[Agency]])),COLUMNS($F$7:R$7))))</f>
        <v/>
      </c>
      <c r="S64" s="2223" t="str" cm="1">
        <f t="array" ref="S64">IF($D64&lt;COLUMNS($F$7:S$7),"",INDEX(TableDiv[[GASB]:[GASB]],_xlfn.AGGREGATE(15,3,(TableDiv[[Agency]:[Agency]]=$E64)/(TableDiv[[Agency]:[Agency]]=$E64)*(ROW(TableDiv[Agency])-ROW(TableDiv[[#Headers],[Agency]])),COLUMNS($F$7:S$7))))</f>
        <v/>
      </c>
      <c r="T64" s="2223" t="str" cm="1">
        <f t="array" ref="T64">IF($D64&lt;COLUMNS($F$7:T$7),"",INDEX(TableDiv[[GASB]:[GASB]],_xlfn.AGGREGATE(15,3,(TableDiv[[Agency]:[Agency]]=$E64)/(TableDiv[[Agency]:[Agency]]=$E64)*(ROW(TableDiv[Agency])-ROW(TableDiv[[#Headers],[Agency]])),COLUMNS($F$7:T$7))))</f>
        <v/>
      </c>
      <c r="U64" s="2223" t="str" cm="1">
        <f t="array" ref="U64">IF($D64&lt;COLUMNS($F$7:U$7),"",INDEX(TableDiv[[GASB]:[GASB]],_xlfn.AGGREGATE(15,3,(TableDiv[[Agency]:[Agency]]=$E64)/(TableDiv[[Agency]:[Agency]]=$E64)*(ROW(TableDiv[Agency])-ROW(TableDiv[[#Headers],[Agency]])),COLUMNS($F$7:U$7))))</f>
        <v/>
      </c>
      <c r="V64" s="2223" t="str" cm="1">
        <f t="array" ref="V64">IF($D64&lt;COLUMNS($F$7:V$7),"",INDEX(TableDiv[[GASB]:[GASB]],_xlfn.AGGREGATE(15,3,(TableDiv[[Agency]:[Agency]]=$E64)/(TableDiv[[Agency]:[Agency]]=$E64)*(ROW(TableDiv[Agency])-ROW(TableDiv[[#Headers],[Agency]])),COLUMNS($F$7:V$7))))</f>
        <v/>
      </c>
      <c r="W64" s="2223" t="str" cm="1">
        <f t="array" ref="W64">IF($D64&lt;COLUMNS($F$7:W$7),"",INDEX(TableDiv[[GASB]:[GASB]],_xlfn.AGGREGATE(15,3,(TableDiv[[Agency]:[Agency]]=$E64)/(TableDiv[[Agency]:[Agency]]=$E64)*(ROW(TableDiv[Agency])-ROW(TableDiv[[#Headers],[Agency]])),COLUMNS($F$7:W$7))))</f>
        <v/>
      </c>
      <c r="X64" s="2223" t="str" cm="1">
        <f t="array" ref="X64">IF($D64&lt;COLUMNS($F$7:X$7),"",INDEX(TableDiv[[GASB]:[GASB]],_xlfn.AGGREGATE(15,3,(TableDiv[[Agency]:[Agency]]=$E64)/(TableDiv[[Agency]:[Agency]]=$E64)*(ROW(TableDiv[Agency])-ROW(TableDiv[[#Headers],[Agency]])),COLUMNS($F$7:X$7))))</f>
        <v/>
      </c>
      <c r="Y64" s="2223" t="str" cm="1">
        <f t="array" ref="Y64">IF($D64&lt;COLUMNS($F$7:Y$7),"",INDEX(TableDiv[[GASB]:[GASB]],_xlfn.AGGREGATE(15,3,(TableDiv[[Agency]:[Agency]]=$E64)/(TableDiv[[Agency]:[Agency]]=$E64)*(ROW(TableDiv[Agency])-ROW(TableDiv[[#Headers],[Agency]])),COLUMNS($F$7:Y$7))))</f>
        <v/>
      </c>
      <c r="Z64" s="2223" t="str" cm="1">
        <f t="array" ref="Z64">IF($D64&lt;COLUMNS($F$7:Z$7),"",INDEX(TableDiv[[GASB]:[GASB]],_xlfn.AGGREGATE(15,3,(TableDiv[[Agency]:[Agency]]=$E64)/(TableDiv[[Agency]:[Agency]]=$E64)*(ROW(TableDiv[Agency])-ROW(TableDiv[[#Headers],[Agency]])),COLUMNS($F$7:Z$7))))</f>
        <v/>
      </c>
      <c r="AA64" s="2223" t="str" cm="1">
        <f t="array" ref="AA64">IF($D64&lt;COLUMNS($F$7:AA$7),"",INDEX(TableDiv[[GASB]:[GASB]],_xlfn.AGGREGATE(15,3,(TableDiv[[Agency]:[Agency]]=$E64)/(TableDiv[[Agency]:[Agency]]=$E64)*(ROW(TableDiv[Agency])-ROW(TableDiv[[#Headers],[Agency]])),COLUMNS($F$7:AA$7))))</f>
        <v/>
      </c>
      <c r="AB64" s="2223" t="str" cm="1">
        <f t="array" ref="AB64">IF($D64&lt;COLUMNS($F$7:AB$7),"",INDEX(TableDiv[[GASB]:[GASB]],_xlfn.AGGREGATE(15,3,(TableDiv[[Agency]:[Agency]]=$E64)/(TableDiv[[Agency]:[Agency]]=$E64)*(ROW(TableDiv[Agency])-ROW(TableDiv[[#Headers],[Agency]])),COLUMNS($F$7:AB$7))))</f>
        <v/>
      </c>
      <c r="AC64" s="2223" t="str" cm="1">
        <f t="array" ref="AC64">IF($D64&lt;COLUMNS($F$7:AC$7),"",INDEX(TableDiv[[GASB]:[GASB]],_xlfn.AGGREGATE(15,3,(TableDiv[[Agency]:[Agency]]=$E64)/(TableDiv[[Agency]:[Agency]]=$E64)*(ROW(TableDiv[Agency])-ROW(TableDiv[[#Headers],[Agency]])),COLUMNS($F$7:AC$7))))</f>
        <v/>
      </c>
      <c r="AD64" s="2223" t="str" cm="1">
        <f t="array" ref="AD64">IF($D64&lt;COLUMNS($F$7:AD$7),"",INDEX(TableDiv[[GASB]:[GASB]],_xlfn.AGGREGATE(15,3,(TableDiv[[Agency]:[Agency]]=$E64)/(TableDiv[[Agency]:[Agency]]=$E64)*(ROW(TableDiv[Agency])-ROW(TableDiv[[#Headers],[Agency]])),COLUMNS($F$7:AD$7))))</f>
        <v/>
      </c>
      <c r="AE64" s="2223" t="str" cm="1">
        <f t="array" ref="AE64">IF($D64&lt;COLUMNS($F$7:AE$7),"",INDEX(TableDiv[[GASB]:[GASB]],_xlfn.AGGREGATE(15,3,(TableDiv[[Agency]:[Agency]]=$E64)/(TableDiv[[Agency]:[Agency]]=$E64)*(ROW(TableDiv[Agency])-ROW(TableDiv[[#Headers],[Agency]])),COLUMNS($F$7:AE$7))))</f>
        <v/>
      </c>
      <c r="AF64" s="2223" t="str" cm="1">
        <f t="array" ref="AF64">IF($D64&lt;COLUMNS($F$7:AF$7),"",INDEX(TableDiv[[GASB]:[GASB]],_xlfn.AGGREGATE(15,3,(TableDiv[[Agency]:[Agency]]=$E64)/(TableDiv[[Agency]:[Agency]]=$E64)*(ROW(TableDiv[Agency])-ROW(TableDiv[[#Headers],[Agency]])),COLUMNS($F$7:AF$7))))</f>
        <v/>
      </c>
      <c r="AG64" s="2223" t="str" cm="1">
        <f t="array" ref="AG64">IF($D64&lt;COLUMNS($F$7:AG$7),"",INDEX(TableDiv[[GASB]:[GASB]],_xlfn.AGGREGATE(15,3,(TableDiv[[Agency]:[Agency]]=$E64)/(TableDiv[[Agency]:[Agency]]=$E64)*(ROW(TableDiv[Agency])-ROW(TableDiv[[#Headers],[Agency]])),COLUMNS($F$7:AG$7))))</f>
        <v/>
      </c>
      <c r="AH64" s="2223" t="str" cm="1">
        <f t="array" ref="AH64">IF($D64&lt;COLUMNS($F$7:AH$7),"",INDEX(TableDiv[[GASB]:[GASB]],_xlfn.AGGREGATE(15,3,(TableDiv[[Agency]:[Agency]]=$E64)/(TableDiv[[Agency]:[Agency]]=$E64)*(ROW(TableDiv[Agency])-ROW(TableDiv[[#Headers],[Agency]])),COLUMNS($F$7:AH$7))))</f>
        <v/>
      </c>
      <c r="AI64" s="2223" t="str" cm="1">
        <f t="array" ref="AI64">IF($D64&lt;COLUMNS($F$7:AI$7),"",INDEX(TableDiv[[GASB]:[GASB]],_xlfn.AGGREGATE(15,3,(TableDiv[[Agency]:[Agency]]=$E64)/(TableDiv[[Agency]:[Agency]]=$E64)*(ROW(TableDiv[Agency])-ROW(TableDiv[[#Headers],[Agency]])),COLUMNS($F$7:AI$7))))</f>
        <v/>
      </c>
      <c r="AJ64" s="2223" t="str" cm="1">
        <f t="array" ref="AJ64">IF($D64&lt;COLUMNS($F$7:AJ$7),"",INDEX(TableDiv[[GASB]:[GASB]],_xlfn.AGGREGATE(15,3,(TableDiv[[Agency]:[Agency]]=$E64)/(TableDiv[[Agency]:[Agency]]=$E64)*(ROW(TableDiv[Agency])-ROW(TableDiv[[#Headers],[Agency]])),COLUMNS($F$7:AJ$7))))</f>
        <v/>
      </c>
      <c r="AK64" s="2223" t="str" cm="1">
        <f t="array" ref="AK64">IF($D64&lt;COLUMNS($F$7:AK$7),"",INDEX(TableDiv[[GASB]:[GASB]],_xlfn.AGGREGATE(15,3,(TableDiv[[Agency]:[Agency]]=$E64)/(TableDiv[[Agency]:[Agency]]=$E64)*(ROW(TableDiv[Agency])-ROW(TableDiv[[#Headers],[Agency]])),COLUMNS($F$7:AK$7))))</f>
        <v/>
      </c>
      <c r="AL64" s="2223" t="str" cm="1">
        <f t="array" ref="AL64">IF($D64&lt;COLUMNS($F$7:AL$7),"",INDEX(TableDiv[[GASB]:[GASB]],_xlfn.AGGREGATE(15,3,(TableDiv[[Agency]:[Agency]]=$E64)/(TableDiv[[Agency]:[Agency]]=$E64)*(ROW(TableDiv[Agency])-ROW(TableDiv[[#Headers],[Agency]])),COLUMNS($F$7:AL$7))))</f>
        <v/>
      </c>
      <c r="AM64" s="2223" t="str" cm="1">
        <f t="array" ref="AM64">IF($D64&lt;COLUMNS($F$7:AM$7),"",INDEX(TableDiv[[GASB]:[GASB]],_xlfn.AGGREGATE(15,3,(TableDiv[[Agency]:[Agency]]=$E64)/(TableDiv[[Agency]:[Agency]]=$E64)*(ROW(TableDiv[Agency])-ROW(TableDiv[[#Headers],[Agency]])),COLUMNS($F$7:AM$7))))</f>
        <v/>
      </c>
      <c r="AN64" s="2223"/>
      <c r="AO64" s="2223"/>
      <c r="AP64" s="2223"/>
      <c r="AQ64" s="2223"/>
      <c r="AR64" s="2223"/>
      <c r="AS64" s="2223"/>
    </row>
    <row r="65" spans="1:45" ht="15" x14ac:dyDescent="0.25">
      <c r="A65" s="2219" t="s">
        <v>5102</v>
      </c>
      <c r="B65" s="2219" t="s">
        <v>6365</v>
      </c>
      <c r="C65" s="2223"/>
      <c r="D65" s="2223">
        <f>COUNTIF(TableDiv[Agency],E65)</f>
        <v>3</v>
      </c>
      <c r="E65" s="2230" t="str" cm="1">
        <f t="array" ref="E65">IFERROR(INDEX(TableDiv[Agency],MATCH(0,INDEX(COUNTIF($E$7:E64,TableDiv[Agency]),),0)),"")</f>
        <v>9000</v>
      </c>
      <c r="F65" s="2223" t="str" cm="1">
        <f t="array" ref="F65">IF($D65&lt;COLUMNS($F$7:F$7),"",INDEX(TableDiv[[GASB]:[GASB]],_xlfn.AGGREGATE(15,3,(TableDiv[[Agency]:[Agency]]=$E65)/(TableDiv[[Agency]:[Agency]]=$E65)*(ROW(TableDiv[Agency])-ROW(TableDiv[[#Headers],[Agency]])),COLUMNS($F$7:F$7))))</f>
        <v>11000G</v>
      </c>
      <c r="G65" s="2223" t="str" cm="1">
        <f t="array" ref="G65">IF($D65&lt;COLUMNS($F$7:G$7),"",INDEX(TableDiv[[GASB]:[GASB]],_xlfn.AGGREGATE(15,3,(TableDiv[[Agency]:[Agency]]=$E65)/(TableDiv[[Agency]:[Agency]]=$E65)*(ROW(TableDiv[Agency])-ROW(TableDiv[[#Headers],[Agency]])),COLUMNS($F$7:G$7))))</f>
        <v>11980G</v>
      </c>
      <c r="H65" s="2223" t="str" cm="1">
        <f t="array" ref="H65">IF($D65&lt;COLUMNS($F$7:H$7),"",INDEX(TableDiv[[GASB]:[GASB]],_xlfn.AGGREGATE(15,3,(TableDiv[[Agency]:[Agency]]=$E65)/(TableDiv[[Agency]:[Agency]]=$E65)*(ROW(TableDiv[Agency])-ROW(TableDiv[[#Headers],[Agency]])),COLUMNS($F$7:H$7))))</f>
        <v>39230G</v>
      </c>
      <c r="I65" s="2223" t="str" cm="1">
        <f t="array" ref="I65">IF($D65&lt;COLUMNS($F$7:I$7),"",INDEX(TableDiv[[GASB]:[GASB]],_xlfn.AGGREGATE(15,3,(TableDiv[[Agency]:[Agency]]=$E65)/(TableDiv[[Agency]:[Agency]]=$E65)*(ROW(TableDiv[Agency])-ROW(TableDiv[[#Headers],[Agency]])),COLUMNS($F$7:I$7))))</f>
        <v/>
      </c>
      <c r="J65" s="2223" t="str" cm="1">
        <f t="array" ref="J65">IF($D65&lt;COLUMNS($F$7:J$7),"",INDEX(TableDiv[[GASB]:[GASB]],_xlfn.AGGREGATE(15,3,(TableDiv[[Agency]:[Agency]]=$E65)/(TableDiv[[Agency]:[Agency]]=$E65)*(ROW(TableDiv[Agency])-ROW(TableDiv[[#Headers],[Agency]])),COLUMNS($F$7:J$7))))</f>
        <v/>
      </c>
      <c r="K65" s="2223" t="str" cm="1">
        <f t="array" ref="K65">IF($D65&lt;COLUMNS($F$7:K$7),"",INDEX(TableDiv[[GASB]:[GASB]],_xlfn.AGGREGATE(15,3,(TableDiv[[Agency]:[Agency]]=$E65)/(TableDiv[[Agency]:[Agency]]=$E65)*(ROW(TableDiv[Agency])-ROW(TableDiv[[#Headers],[Agency]])),COLUMNS($F$7:K$7))))</f>
        <v/>
      </c>
      <c r="L65" s="2223" t="str" cm="1">
        <f t="array" ref="L65">IF($D65&lt;COLUMNS($F$7:L$7),"",INDEX(TableDiv[[GASB]:[GASB]],_xlfn.AGGREGATE(15,3,(TableDiv[[Agency]:[Agency]]=$E65)/(TableDiv[[Agency]:[Agency]]=$E65)*(ROW(TableDiv[Agency])-ROW(TableDiv[[#Headers],[Agency]])),COLUMNS($F$7:L$7))))</f>
        <v/>
      </c>
      <c r="M65" s="2223" t="str" cm="1">
        <f t="array" ref="M65">IF($D65&lt;COLUMNS($F$7:M$7),"",INDEX(TableDiv[[GASB]:[GASB]],_xlfn.AGGREGATE(15,3,(TableDiv[[Agency]:[Agency]]=$E65)/(TableDiv[[Agency]:[Agency]]=$E65)*(ROW(TableDiv[Agency])-ROW(TableDiv[[#Headers],[Agency]])),COLUMNS($F$7:M$7))))</f>
        <v/>
      </c>
      <c r="N65" s="2223" t="str" cm="1">
        <f t="array" ref="N65">IF($D65&lt;COLUMNS($F$7:N$7),"",INDEX(TableDiv[[GASB]:[GASB]],_xlfn.AGGREGATE(15,3,(TableDiv[[Agency]:[Agency]]=$E65)/(TableDiv[[Agency]:[Agency]]=$E65)*(ROW(TableDiv[Agency])-ROW(TableDiv[[#Headers],[Agency]])),COLUMNS($F$7:N$7))))</f>
        <v/>
      </c>
      <c r="O65" s="2223" t="str" cm="1">
        <f t="array" ref="O65">IF($D65&lt;COLUMNS($F$7:O$7),"",INDEX(TableDiv[[GASB]:[GASB]],_xlfn.AGGREGATE(15,3,(TableDiv[[Agency]:[Agency]]=$E65)/(TableDiv[[Agency]:[Agency]]=$E65)*(ROW(TableDiv[Agency])-ROW(TableDiv[[#Headers],[Agency]])),COLUMNS($F$7:O$7))))</f>
        <v/>
      </c>
      <c r="P65" s="2223" t="str" cm="1">
        <f t="array" ref="P65">IF($D65&lt;COLUMNS($F$7:P$7),"",INDEX(TableDiv[[GASB]:[GASB]],_xlfn.AGGREGATE(15,3,(TableDiv[[Agency]:[Agency]]=$E65)/(TableDiv[[Agency]:[Agency]]=$E65)*(ROW(TableDiv[Agency])-ROW(TableDiv[[#Headers],[Agency]])),COLUMNS($F$7:P$7))))</f>
        <v/>
      </c>
      <c r="Q65" s="2223" t="str" cm="1">
        <f t="array" ref="Q65">IF($D65&lt;COLUMNS($F$7:Q$7),"",INDEX(TableDiv[[GASB]:[GASB]],_xlfn.AGGREGATE(15,3,(TableDiv[[Agency]:[Agency]]=$E65)/(TableDiv[[Agency]:[Agency]]=$E65)*(ROW(TableDiv[Agency])-ROW(TableDiv[[#Headers],[Agency]])),COLUMNS($F$7:Q$7))))</f>
        <v/>
      </c>
      <c r="R65" s="2223" t="str" cm="1">
        <f t="array" ref="R65">IF($D65&lt;COLUMNS($F$7:R$7),"",INDEX(TableDiv[[GASB]:[GASB]],_xlfn.AGGREGATE(15,3,(TableDiv[[Agency]:[Agency]]=$E65)/(TableDiv[[Agency]:[Agency]]=$E65)*(ROW(TableDiv[Agency])-ROW(TableDiv[[#Headers],[Agency]])),COLUMNS($F$7:R$7))))</f>
        <v/>
      </c>
      <c r="S65" s="2223" t="str" cm="1">
        <f t="array" ref="S65">IF($D65&lt;COLUMNS($F$7:S$7),"",INDEX(TableDiv[[GASB]:[GASB]],_xlfn.AGGREGATE(15,3,(TableDiv[[Agency]:[Agency]]=$E65)/(TableDiv[[Agency]:[Agency]]=$E65)*(ROW(TableDiv[Agency])-ROW(TableDiv[[#Headers],[Agency]])),COLUMNS($F$7:S$7))))</f>
        <v/>
      </c>
      <c r="T65" s="2223" t="str" cm="1">
        <f t="array" ref="T65">IF($D65&lt;COLUMNS($F$7:T$7),"",INDEX(TableDiv[[GASB]:[GASB]],_xlfn.AGGREGATE(15,3,(TableDiv[[Agency]:[Agency]]=$E65)/(TableDiv[[Agency]:[Agency]]=$E65)*(ROW(TableDiv[Agency])-ROW(TableDiv[[#Headers],[Agency]])),COLUMNS($F$7:T$7))))</f>
        <v/>
      </c>
      <c r="U65" s="2223" t="str" cm="1">
        <f t="array" ref="U65">IF($D65&lt;COLUMNS($F$7:U$7),"",INDEX(TableDiv[[GASB]:[GASB]],_xlfn.AGGREGATE(15,3,(TableDiv[[Agency]:[Agency]]=$E65)/(TableDiv[[Agency]:[Agency]]=$E65)*(ROW(TableDiv[Agency])-ROW(TableDiv[[#Headers],[Agency]])),COLUMNS($F$7:U$7))))</f>
        <v/>
      </c>
      <c r="V65" s="2223" t="str" cm="1">
        <f t="array" ref="V65">IF($D65&lt;COLUMNS($F$7:V$7),"",INDEX(TableDiv[[GASB]:[GASB]],_xlfn.AGGREGATE(15,3,(TableDiv[[Agency]:[Agency]]=$E65)/(TableDiv[[Agency]:[Agency]]=$E65)*(ROW(TableDiv[Agency])-ROW(TableDiv[[#Headers],[Agency]])),COLUMNS($F$7:V$7))))</f>
        <v/>
      </c>
      <c r="W65" s="2223" t="str" cm="1">
        <f t="array" ref="W65">IF($D65&lt;COLUMNS($F$7:W$7),"",INDEX(TableDiv[[GASB]:[GASB]],_xlfn.AGGREGATE(15,3,(TableDiv[[Agency]:[Agency]]=$E65)/(TableDiv[[Agency]:[Agency]]=$E65)*(ROW(TableDiv[Agency])-ROW(TableDiv[[#Headers],[Agency]])),COLUMNS($F$7:W$7))))</f>
        <v/>
      </c>
      <c r="X65" s="2223" t="str" cm="1">
        <f t="array" ref="X65">IF($D65&lt;COLUMNS($F$7:X$7),"",INDEX(TableDiv[[GASB]:[GASB]],_xlfn.AGGREGATE(15,3,(TableDiv[[Agency]:[Agency]]=$E65)/(TableDiv[[Agency]:[Agency]]=$E65)*(ROW(TableDiv[Agency])-ROW(TableDiv[[#Headers],[Agency]])),COLUMNS($F$7:X$7))))</f>
        <v/>
      </c>
      <c r="Y65" s="2223" t="str" cm="1">
        <f t="array" ref="Y65">IF($D65&lt;COLUMNS($F$7:Y$7),"",INDEX(TableDiv[[GASB]:[GASB]],_xlfn.AGGREGATE(15,3,(TableDiv[[Agency]:[Agency]]=$E65)/(TableDiv[[Agency]:[Agency]]=$E65)*(ROW(TableDiv[Agency])-ROW(TableDiv[[#Headers],[Agency]])),COLUMNS($F$7:Y$7))))</f>
        <v/>
      </c>
      <c r="Z65" s="2223" t="str" cm="1">
        <f t="array" ref="Z65">IF($D65&lt;COLUMNS($F$7:Z$7),"",INDEX(TableDiv[[GASB]:[GASB]],_xlfn.AGGREGATE(15,3,(TableDiv[[Agency]:[Agency]]=$E65)/(TableDiv[[Agency]:[Agency]]=$E65)*(ROW(TableDiv[Agency])-ROW(TableDiv[[#Headers],[Agency]])),COLUMNS($F$7:Z$7))))</f>
        <v/>
      </c>
      <c r="AA65" s="2223" t="str" cm="1">
        <f t="array" ref="AA65">IF($D65&lt;COLUMNS($F$7:AA$7),"",INDEX(TableDiv[[GASB]:[GASB]],_xlfn.AGGREGATE(15,3,(TableDiv[[Agency]:[Agency]]=$E65)/(TableDiv[[Agency]:[Agency]]=$E65)*(ROW(TableDiv[Agency])-ROW(TableDiv[[#Headers],[Agency]])),COLUMNS($F$7:AA$7))))</f>
        <v/>
      </c>
      <c r="AB65" s="2223" t="str" cm="1">
        <f t="array" ref="AB65">IF($D65&lt;COLUMNS($F$7:AB$7),"",INDEX(TableDiv[[GASB]:[GASB]],_xlfn.AGGREGATE(15,3,(TableDiv[[Agency]:[Agency]]=$E65)/(TableDiv[[Agency]:[Agency]]=$E65)*(ROW(TableDiv[Agency])-ROW(TableDiv[[#Headers],[Agency]])),COLUMNS($F$7:AB$7))))</f>
        <v/>
      </c>
      <c r="AC65" s="2223" t="str" cm="1">
        <f t="array" ref="AC65">IF($D65&lt;COLUMNS($F$7:AC$7),"",INDEX(TableDiv[[GASB]:[GASB]],_xlfn.AGGREGATE(15,3,(TableDiv[[Agency]:[Agency]]=$E65)/(TableDiv[[Agency]:[Agency]]=$E65)*(ROW(TableDiv[Agency])-ROW(TableDiv[[#Headers],[Agency]])),COLUMNS($F$7:AC$7))))</f>
        <v/>
      </c>
      <c r="AD65" s="2223" t="str" cm="1">
        <f t="array" ref="AD65">IF($D65&lt;COLUMNS($F$7:AD$7),"",INDEX(TableDiv[[GASB]:[GASB]],_xlfn.AGGREGATE(15,3,(TableDiv[[Agency]:[Agency]]=$E65)/(TableDiv[[Agency]:[Agency]]=$E65)*(ROW(TableDiv[Agency])-ROW(TableDiv[[#Headers],[Agency]])),COLUMNS($F$7:AD$7))))</f>
        <v/>
      </c>
      <c r="AE65" s="2223" t="str" cm="1">
        <f t="array" ref="AE65">IF($D65&lt;COLUMNS($F$7:AE$7),"",INDEX(TableDiv[[GASB]:[GASB]],_xlfn.AGGREGATE(15,3,(TableDiv[[Agency]:[Agency]]=$E65)/(TableDiv[[Agency]:[Agency]]=$E65)*(ROW(TableDiv[Agency])-ROW(TableDiv[[#Headers],[Agency]])),COLUMNS($F$7:AE$7))))</f>
        <v/>
      </c>
      <c r="AF65" s="2223" t="str" cm="1">
        <f t="array" ref="AF65">IF($D65&lt;COLUMNS($F$7:AF$7),"",INDEX(TableDiv[[GASB]:[GASB]],_xlfn.AGGREGATE(15,3,(TableDiv[[Agency]:[Agency]]=$E65)/(TableDiv[[Agency]:[Agency]]=$E65)*(ROW(TableDiv[Agency])-ROW(TableDiv[[#Headers],[Agency]])),COLUMNS($F$7:AF$7))))</f>
        <v/>
      </c>
      <c r="AG65" s="2223" t="str" cm="1">
        <f t="array" ref="AG65">IF($D65&lt;COLUMNS($F$7:AG$7),"",INDEX(TableDiv[[GASB]:[GASB]],_xlfn.AGGREGATE(15,3,(TableDiv[[Agency]:[Agency]]=$E65)/(TableDiv[[Agency]:[Agency]]=$E65)*(ROW(TableDiv[Agency])-ROW(TableDiv[[#Headers],[Agency]])),COLUMNS($F$7:AG$7))))</f>
        <v/>
      </c>
      <c r="AH65" s="2223" t="str" cm="1">
        <f t="array" ref="AH65">IF($D65&lt;COLUMNS($F$7:AH$7),"",INDEX(TableDiv[[GASB]:[GASB]],_xlfn.AGGREGATE(15,3,(TableDiv[[Agency]:[Agency]]=$E65)/(TableDiv[[Agency]:[Agency]]=$E65)*(ROW(TableDiv[Agency])-ROW(TableDiv[[#Headers],[Agency]])),COLUMNS($F$7:AH$7))))</f>
        <v/>
      </c>
      <c r="AI65" s="2223" t="str" cm="1">
        <f t="array" ref="AI65">IF($D65&lt;COLUMNS($F$7:AI$7),"",INDEX(TableDiv[[GASB]:[GASB]],_xlfn.AGGREGATE(15,3,(TableDiv[[Agency]:[Agency]]=$E65)/(TableDiv[[Agency]:[Agency]]=$E65)*(ROW(TableDiv[Agency])-ROW(TableDiv[[#Headers],[Agency]])),COLUMNS($F$7:AI$7))))</f>
        <v/>
      </c>
      <c r="AJ65" s="2223" t="str" cm="1">
        <f t="array" ref="AJ65">IF($D65&lt;COLUMNS($F$7:AJ$7),"",INDEX(TableDiv[[GASB]:[GASB]],_xlfn.AGGREGATE(15,3,(TableDiv[[Agency]:[Agency]]=$E65)/(TableDiv[[Agency]:[Agency]]=$E65)*(ROW(TableDiv[Agency])-ROW(TableDiv[[#Headers],[Agency]])),COLUMNS($F$7:AJ$7))))</f>
        <v/>
      </c>
      <c r="AK65" s="2223" t="str" cm="1">
        <f t="array" ref="AK65">IF($D65&lt;COLUMNS($F$7:AK$7),"",INDEX(TableDiv[[GASB]:[GASB]],_xlfn.AGGREGATE(15,3,(TableDiv[[Agency]:[Agency]]=$E65)/(TableDiv[[Agency]:[Agency]]=$E65)*(ROW(TableDiv[Agency])-ROW(TableDiv[[#Headers],[Agency]])),COLUMNS($F$7:AK$7))))</f>
        <v/>
      </c>
      <c r="AL65" s="2223" t="str" cm="1">
        <f t="array" ref="AL65">IF($D65&lt;COLUMNS($F$7:AL$7),"",INDEX(TableDiv[[GASB]:[GASB]],_xlfn.AGGREGATE(15,3,(TableDiv[[Agency]:[Agency]]=$E65)/(TableDiv[[Agency]:[Agency]]=$E65)*(ROW(TableDiv[Agency])-ROW(TableDiv[[#Headers],[Agency]])),COLUMNS($F$7:AL$7))))</f>
        <v/>
      </c>
      <c r="AM65" s="2223" t="str" cm="1">
        <f t="array" ref="AM65">IF($D65&lt;COLUMNS($F$7:AM$7),"",INDEX(TableDiv[[GASB]:[GASB]],_xlfn.AGGREGATE(15,3,(TableDiv[[Agency]:[Agency]]=$E65)/(TableDiv[[Agency]:[Agency]]=$E65)*(ROW(TableDiv[Agency])-ROW(TableDiv[[#Headers],[Agency]])),COLUMNS($F$7:AM$7))))</f>
        <v/>
      </c>
      <c r="AN65" s="2223"/>
      <c r="AO65" s="2223"/>
      <c r="AP65" s="2223"/>
      <c r="AQ65" s="2223"/>
      <c r="AR65" s="2223"/>
      <c r="AS65" s="2223"/>
    </row>
    <row r="66" spans="1:45" ht="15" x14ac:dyDescent="0.25">
      <c r="A66" s="2219" t="s">
        <v>5102</v>
      </c>
      <c r="B66" s="2219" t="s">
        <v>6372</v>
      </c>
      <c r="C66" s="2223"/>
      <c r="D66" s="2223">
        <f>COUNTIF(TableDiv[Agency],E66)</f>
        <v>3</v>
      </c>
      <c r="E66" s="2230" t="str" cm="1">
        <f t="array" ref="E66">IFERROR(INDEX(TableDiv[Agency],MATCH(0,INDEX(COUNTIF($E$7:E65,TableDiv[Agency]),),0)),"")</f>
        <v>9900</v>
      </c>
      <c r="F66" s="2223" t="str" cm="1">
        <f t="array" ref="F66">IF($D66&lt;COLUMNS($F$7:F$7),"",INDEX(TableDiv[[GASB]:[GASB]],_xlfn.AGGREGATE(15,3,(TableDiv[[Agency]:[Agency]]=$E66)/(TableDiv[[Agency]:[Agency]]=$E66)*(ROW(TableDiv[Agency])-ROW(TableDiv[[#Headers],[Agency]])),COLUMNS($F$7:F$7))))</f>
        <v>11000G</v>
      </c>
      <c r="G66" s="2223" t="str" cm="1">
        <f t="array" ref="G66">IF($D66&lt;COLUMNS($F$7:G$7),"",INDEX(TableDiv[[GASB]:[GASB]],_xlfn.AGGREGATE(15,3,(TableDiv[[Agency]:[Agency]]=$E66)/(TableDiv[[Agency]:[Agency]]=$E66)*(ROW(TableDiv[Agency])-ROW(TableDiv[[#Headers],[Agency]])),COLUMNS($F$7:G$7))))</f>
        <v>11980G</v>
      </c>
      <c r="H66" s="2223" t="str" cm="1">
        <f t="array" ref="H66">IF($D66&lt;COLUMNS($F$7:H$7),"",INDEX(TableDiv[[GASB]:[GASB]],_xlfn.AGGREGATE(15,3,(TableDiv[[Agency]:[Agency]]=$E66)/(TableDiv[[Agency]:[Agency]]=$E66)*(ROW(TableDiv[Agency])-ROW(TableDiv[[#Headers],[Agency]])),COLUMNS($F$7:H$7))))</f>
        <v>39120G</v>
      </c>
      <c r="I66" s="2223" t="str" cm="1">
        <f t="array" ref="I66">IF($D66&lt;COLUMNS($F$7:I$7),"",INDEX(TableDiv[[GASB]:[GASB]],_xlfn.AGGREGATE(15,3,(TableDiv[[Agency]:[Agency]]=$E66)/(TableDiv[[Agency]:[Agency]]=$E66)*(ROW(TableDiv[Agency])-ROW(TableDiv[[#Headers],[Agency]])),COLUMNS($F$7:I$7))))</f>
        <v/>
      </c>
      <c r="J66" s="2223" t="str" cm="1">
        <f t="array" ref="J66">IF($D66&lt;COLUMNS($F$7:J$7),"",INDEX(TableDiv[[GASB]:[GASB]],_xlfn.AGGREGATE(15,3,(TableDiv[[Agency]:[Agency]]=$E66)/(TableDiv[[Agency]:[Agency]]=$E66)*(ROW(TableDiv[Agency])-ROW(TableDiv[[#Headers],[Agency]])),COLUMNS($F$7:J$7))))</f>
        <v/>
      </c>
      <c r="K66" s="2223" t="str" cm="1">
        <f t="array" ref="K66">IF($D66&lt;COLUMNS($F$7:K$7),"",INDEX(TableDiv[[GASB]:[GASB]],_xlfn.AGGREGATE(15,3,(TableDiv[[Agency]:[Agency]]=$E66)/(TableDiv[[Agency]:[Agency]]=$E66)*(ROW(TableDiv[Agency])-ROW(TableDiv[[#Headers],[Agency]])),COLUMNS($F$7:K$7))))</f>
        <v/>
      </c>
      <c r="L66" s="2223" t="str" cm="1">
        <f t="array" ref="L66">IF($D66&lt;COLUMNS($F$7:L$7),"",INDEX(TableDiv[[GASB]:[GASB]],_xlfn.AGGREGATE(15,3,(TableDiv[[Agency]:[Agency]]=$E66)/(TableDiv[[Agency]:[Agency]]=$E66)*(ROW(TableDiv[Agency])-ROW(TableDiv[[#Headers],[Agency]])),COLUMNS($F$7:L$7))))</f>
        <v/>
      </c>
      <c r="M66" s="2223" t="str" cm="1">
        <f t="array" ref="M66">IF($D66&lt;COLUMNS($F$7:M$7),"",INDEX(TableDiv[[GASB]:[GASB]],_xlfn.AGGREGATE(15,3,(TableDiv[[Agency]:[Agency]]=$E66)/(TableDiv[[Agency]:[Agency]]=$E66)*(ROW(TableDiv[Agency])-ROW(TableDiv[[#Headers],[Agency]])),COLUMNS($F$7:M$7))))</f>
        <v/>
      </c>
      <c r="N66" s="2223" t="str" cm="1">
        <f t="array" ref="N66">IF($D66&lt;COLUMNS($F$7:N$7),"",INDEX(TableDiv[[GASB]:[GASB]],_xlfn.AGGREGATE(15,3,(TableDiv[[Agency]:[Agency]]=$E66)/(TableDiv[[Agency]:[Agency]]=$E66)*(ROW(TableDiv[Agency])-ROW(TableDiv[[#Headers],[Agency]])),COLUMNS($F$7:N$7))))</f>
        <v/>
      </c>
      <c r="O66" s="2223" t="str" cm="1">
        <f t="array" ref="O66">IF($D66&lt;COLUMNS($F$7:O$7),"",INDEX(TableDiv[[GASB]:[GASB]],_xlfn.AGGREGATE(15,3,(TableDiv[[Agency]:[Agency]]=$E66)/(TableDiv[[Agency]:[Agency]]=$E66)*(ROW(TableDiv[Agency])-ROW(TableDiv[[#Headers],[Agency]])),COLUMNS($F$7:O$7))))</f>
        <v/>
      </c>
      <c r="P66" s="2223" t="str" cm="1">
        <f t="array" ref="P66">IF($D66&lt;COLUMNS($F$7:P$7),"",INDEX(TableDiv[[GASB]:[GASB]],_xlfn.AGGREGATE(15,3,(TableDiv[[Agency]:[Agency]]=$E66)/(TableDiv[[Agency]:[Agency]]=$E66)*(ROW(TableDiv[Agency])-ROW(TableDiv[[#Headers],[Agency]])),COLUMNS($F$7:P$7))))</f>
        <v/>
      </c>
      <c r="Q66" s="2223" t="str" cm="1">
        <f t="array" ref="Q66">IF($D66&lt;COLUMNS($F$7:Q$7),"",INDEX(TableDiv[[GASB]:[GASB]],_xlfn.AGGREGATE(15,3,(TableDiv[[Agency]:[Agency]]=$E66)/(TableDiv[[Agency]:[Agency]]=$E66)*(ROW(TableDiv[Agency])-ROW(TableDiv[[#Headers],[Agency]])),COLUMNS($F$7:Q$7))))</f>
        <v/>
      </c>
      <c r="R66" s="2223" t="str" cm="1">
        <f t="array" ref="R66">IF($D66&lt;COLUMNS($F$7:R$7),"",INDEX(TableDiv[[GASB]:[GASB]],_xlfn.AGGREGATE(15,3,(TableDiv[[Agency]:[Agency]]=$E66)/(TableDiv[[Agency]:[Agency]]=$E66)*(ROW(TableDiv[Agency])-ROW(TableDiv[[#Headers],[Agency]])),COLUMNS($F$7:R$7))))</f>
        <v/>
      </c>
      <c r="S66" s="2223" t="str" cm="1">
        <f t="array" ref="S66">IF($D66&lt;COLUMNS($F$7:S$7),"",INDEX(TableDiv[[GASB]:[GASB]],_xlfn.AGGREGATE(15,3,(TableDiv[[Agency]:[Agency]]=$E66)/(TableDiv[[Agency]:[Agency]]=$E66)*(ROW(TableDiv[Agency])-ROW(TableDiv[[#Headers],[Agency]])),COLUMNS($F$7:S$7))))</f>
        <v/>
      </c>
      <c r="T66" s="2223" t="str" cm="1">
        <f t="array" ref="T66">IF($D66&lt;COLUMNS($F$7:T$7),"",INDEX(TableDiv[[GASB]:[GASB]],_xlfn.AGGREGATE(15,3,(TableDiv[[Agency]:[Agency]]=$E66)/(TableDiv[[Agency]:[Agency]]=$E66)*(ROW(TableDiv[Agency])-ROW(TableDiv[[#Headers],[Agency]])),COLUMNS($F$7:T$7))))</f>
        <v/>
      </c>
      <c r="U66" s="2223" t="str" cm="1">
        <f t="array" ref="U66">IF($D66&lt;COLUMNS($F$7:U$7),"",INDEX(TableDiv[[GASB]:[GASB]],_xlfn.AGGREGATE(15,3,(TableDiv[[Agency]:[Agency]]=$E66)/(TableDiv[[Agency]:[Agency]]=$E66)*(ROW(TableDiv[Agency])-ROW(TableDiv[[#Headers],[Agency]])),COLUMNS($F$7:U$7))))</f>
        <v/>
      </c>
      <c r="V66" s="2223" t="str" cm="1">
        <f t="array" ref="V66">IF($D66&lt;COLUMNS($F$7:V$7),"",INDEX(TableDiv[[GASB]:[GASB]],_xlfn.AGGREGATE(15,3,(TableDiv[[Agency]:[Agency]]=$E66)/(TableDiv[[Agency]:[Agency]]=$E66)*(ROW(TableDiv[Agency])-ROW(TableDiv[[#Headers],[Agency]])),COLUMNS($F$7:V$7))))</f>
        <v/>
      </c>
      <c r="W66" s="2223" t="str" cm="1">
        <f t="array" ref="W66">IF($D66&lt;COLUMNS($F$7:W$7),"",INDEX(TableDiv[[GASB]:[GASB]],_xlfn.AGGREGATE(15,3,(TableDiv[[Agency]:[Agency]]=$E66)/(TableDiv[[Agency]:[Agency]]=$E66)*(ROW(TableDiv[Agency])-ROW(TableDiv[[#Headers],[Agency]])),COLUMNS($F$7:W$7))))</f>
        <v/>
      </c>
      <c r="X66" s="2223" t="str" cm="1">
        <f t="array" ref="X66">IF($D66&lt;COLUMNS($F$7:X$7),"",INDEX(TableDiv[[GASB]:[GASB]],_xlfn.AGGREGATE(15,3,(TableDiv[[Agency]:[Agency]]=$E66)/(TableDiv[[Agency]:[Agency]]=$E66)*(ROW(TableDiv[Agency])-ROW(TableDiv[[#Headers],[Agency]])),COLUMNS($F$7:X$7))))</f>
        <v/>
      </c>
      <c r="Y66" s="2223" t="str" cm="1">
        <f t="array" ref="Y66">IF($D66&lt;COLUMNS($F$7:Y$7),"",INDEX(TableDiv[[GASB]:[GASB]],_xlfn.AGGREGATE(15,3,(TableDiv[[Agency]:[Agency]]=$E66)/(TableDiv[[Agency]:[Agency]]=$E66)*(ROW(TableDiv[Agency])-ROW(TableDiv[[#Headers],[Agency]])),COLUMNS($F$7:Y$7))))</f>
        <v/>
      </c>
      <c r="Z66" s="2223" t="str" cm="1">
        <f t="array" ref="Z66">IF($D66&lt;COLUMNS($F$7:Z$7),"",INDEX(TableDiv[[GASB]:[GASB]],_xlfn.AGGREGATE(15,3,(TableDiv[[Agency]:[Agency]]=$E66)/(TableDiv[[Agency]:[Agency]]=$E66)*(ROW(TableDiv[Agency])-ROW(TableDiv[[#Headers],[Agency]])),COLUMNS($F$7:Z$7))))</f>
        <v/>
      </c>
      <c r="AA66" s="2223" t="str" cm="1">
        <f t="array" ref="AA66">IF($D66&lt;COLUMNS($F$7:AA$7),"",INDEX(TableDiv[[GASB]:[GASB]],_xlfn.AGGREGATE(15,3,(TableDiv[[Agency]:[Agency]]=$E66)/(TableDiv[[Agency]:[Agency]]=$E66)*(ROW(TableDiv[Agency])-ROW(TableDiv[[#Headers],[Agency]])),COLUMNS($F$7:AA$7))))</f>
        <v/>
      </c>
      <c r="AB66" s="2223" t="str" cm="1">
        <f t="array" ref="AB66">IF($D66&lt;COLUMNS($F$7:AB$7),"",INDEX(TableDiv[[GASB]:[GASB]],_xlfn.AGGREGATE(15,3,(TableDiv[[Agency]:[Agency]]=$E66)/(TableDiv[[Agency]:[Agency]]=$E66)*(ROW(TableDiv[Agency])-ROW(TableDiv[[#Headers],[Agency]])),COLUMNS($F$7:AB$7))))</f>
        <v/>
      </c>
      <c r="AC66" s="2223" t="str" cm="1">
        <f t="array" ref="AC66">IF($D66&lt;COLUMNS($F$7:AC$7),"",INDEX(TableDiv[[GASB]:[GASB]],_xlfn.AGGREGATE(15,3,(TableDiv[[Agency]:[Agency]]=$E66)/(TableDiv[[Agency]:[Agency]]=$E66)*(ROW(TableDiv[Agency])-ROW(TableDiv[[#Headers],[Agency]])),COLUMNS($F$7:AC$7))))</f>
        <v/>
      </c>
      <c r="AD66" s="2223" t="str" cm="1">
        <f t="array" ref="AD66">IF($D66&lt;COLUMNS($F$7:AD$7),"",INDEX(TableDiv[[GASB]:[GASB]],_xlfn.AGGREGATE(15,3,(TableDiv[[Agency]:[Agency]]=$E66)/(TableDiv[[Agency]:[Agency]]=$E66)*(ROW(TableDiv[Agency])-ROW(TableDiv[[#Headers],[Agency]])),COLUMNS($F$7:AD$7))))</f>
        <v/>
      </c>
      <c r="AE66" s="2223" t="str" cm="1">
        <f t="array" ref="AE66">IF($D66&lt;COLUMNS($F$7:AE$7),"",INDEX(TableDiv[[GASB]:[GASB]],_xlfn.AGGREGATE(15,3,(TableDiv[[Agency]:[Agency]]=$E66)/(TableDiv[[Agency]:[Agency]]=$E66)*(ROW(TableDiv[Agency])-ROW(TableDiv[[#Headers],[Agency]])),COLUMNS($F$7:AE$7))))</f>
        <v/>
      </c>
      <c r="AF66" s="2223" t="str" cm="1">
        <f t="array" ref="AF66">IF($D66&lt;COLUMNS($F$7:AF$7),"",INDEX(TableDiv[[GASB]:[GASB]],_xlfn.AGGREGATE(15,3,(TableDiv[[Agency]:[Agency]]=$E66)/(TableDiv[[Agency]:[Agency]]=$E66)*(ROW(TableDiv[Agency])-ROW(TableDiv[[#Headers],[Agency]])),COLUMNS($F$7:AF$7))))</f>
        <v/>
      </c>
      <c r="AG66" s="2223" t="str" cm="1">
        <f t="array" ref="AG66">IF($D66&lt;COLUMNS($F$7:AG$7),"",INDEX(TableDiv[[GASB]:[GASB]],_xlfn.AGGREGATE(15,3,(TableDiv[[Agency]:[Agency]]=$E66)/(TableDiv[[Agency]:[Agency]]=$E66)*(ROW(TableDiv[Agency])-ROW(TableDiv[[#Headers],[Agency]])),COLUMNS($F$7:AG$7))))</f>
        <v/>
      </c>
      <c r="AH66" s="2223" t="str" cm="1">
        <f t="array" ref="AH66">IF($D66&lt;COLUMNS($F$7:AH$7),"",INDEX(TableDiv[[GASB]:[GASB]],_xlfn.AGGREGATE(15,3,(TableDiv[[Agency]:[Agency]]=$E66)/(TableDiv[[Agency]:[Agency]]=$E66)*(ROW(TableDiv[Agency])-ROW(TableDiv[[#Headers],[Agency]])),COLUMNS($F$7:AH$7))))</f>
        <v/>
      </c>
      <c r="AI66" s="2223" t="str" cm="1">
        <f t="array" ref="AI66">IF($D66&lt;COLUMNS($F$7:AI$7),"",INDEX(TableDiv[[GASB]:[GASB]],_xlfn.AGGREGATE(15,3,(TableDiv[[Agency]:[Agency]]=$E66)/(TableDiv[[Agency]:[Agency]]=$E66)*(ROW(TableDiv[Agency])-ROW(TableDiv[[#Headers],[Agency]])),COLUMNS($F$7:AI$7))))</f>
        <v/>
      </c>
      <c r="AJ66" s="2223" t="str" cm="1">
        <f t="array" ref="AJ66">IF($D66&lt;COLUMNS($F$7:AJ$7),"",INDEX(TableDiv[[GASB]:[GASB]],_xlfn.AGGREGATE(15,3,(TableDiv[[Agency]:[Agency]]=$E66)/(TableDiv[[Agency]:[Agency]]=$E66)*(ROW(TableDiv[Agency])-ROW(TableDiv[[#Headers],[Agency]])),COLUMNS($F$7:AJ$7))))</f>
        <v/>
      </c>
      <c r="AK66" s="2223" t="str" cm="1">
        <f t="array" ref="AK66">IF($D66&lt;COLUMNS($F$7:AK$7),"",INDEX(TableDiv[[GASB]:[GASB]],_xlfn.AGGREGATE(15,3,(TableDiv[[Agency]:[Agency]]=$E66)/(TableDiv[[Agency]:[Agency]]=$E66)*(ROW(TableDiv[Agency])-ROW(TableDiv[[#Headers],[Agency]])),COLUMNS($F$7:AK$7))))</f>
        <v/>
      </c>
      <c r="AL66" s="2223" t="str" cm="1">
        <f t="array" ref="AL66">IF($D66&lt;COLUMNS($F$7:AL$7),"",INDEX(TableDiv[[GASB]:[GASB]],_xlfn.AGGREGATE(15,3,(TableDiv[[Agency]:[Agency]]=$E66)/(TableDiv[[Agency]:[Agency]]=$E66)*(ROW(TableDiv[Agency])-ROW(TableDiv[[#Headers],[Agency]])),COLUMNS($F$7:AL$7))))</f>
        <v/>
      </c>
      <c r="AM66" s="2223" t="str" cm="1">
        <f t="array" ref="AM66">IF($D66&lt;COLUMNS($F$7:AM$7),"",INDEX(TableDiv[[GASB]:[GASB]],_xlfn.AGGREGATE(15,3,(TableDiv[[Agency]:[Agency]]=$E66)/(TableDiv[[Agency]:[Agency]]=$E66)*(ROW(TableDiv[Agency])-ROW(TableDiv[[#Headers],[Agency]])),COLUMNS($F$7:AM$7))))</f>
        <v/>
      </c>
      <c r="AN66" s="2223"/>
      <c r="AO66" s="2223"/>
      <c r="AP66" s="2223"/>
      <c r="AQ66" s="2223"/>
      <c r="AR66" s="2223"/>
      <c r="AS66" s="2223"/>
    </row>
    <row r="67" spans="1:45" ht="15" x14ac:dyDescent="0.25">
      <c r="A67" s="2219" t="s">
        <v>5102</v>
      </c>
      <c r="B67" s="2219" t="s">
        <v>6398</v>
      </c>
      <c r="C67" s="2223"/>
      <c r="D67" s="2223">
        <f>COUNTIF(TableDiv[Agency],E67)</f>
        <v>3</v>
      </c>
      <c r="E67" s="2230" t="str" cm="1">
        <f t="array" ref="E67">IFERROR(INDEX(TableDiv[Agency],MATCH(0,INDEX(COUNTIF($E$7:E66,TableDiv[Agency]),),0)),"")</f>
        <v>R100</v>
      </c>
      <c r="F67" s="2223" t="str" cm="1">
        <f t="array" ref="F67">IF($D67&lt;COLUMNS($F$7:F$7),"",INDEX(TableDiv[[GASB]:[GASB]],_xlfn.AGGREGATE(15,3,(TableDiv[[Agency]:[Agency]]=$E67)/(TableDiv[[Agency]:[Agency]]=$E67)*(ROW(TableDiv[Agency])-ROW(TableDiv[[#Headers],[Agency]])),COLUMNS($F$7:F$7))))</f>
        <v>11000G</v>
      </c>
      <c r="G67" s="2223" t="str" cm="1">
        <f t="array" ref="G67">IF($D67&lt;COLUMNS($F$7:G$7),"",INDEX(TableDiv[[GASB]:[GASB]],_xlfn.AGGREGATE(15,3,(TableDiv[[Agency]:[Agency]]=$E67)/(TableDiv[[Agency]:[Agency]]=$E67)*(ROW(TableDiv[Agency])-ROW(TableDiv[[#Headers],[Agency]])),COLUMNS($F$7:G$7))))</f>
        <v>11040G</v>
      </c>
      <c r="H67" s="2223" t="str" cm="1">
        <f t="array" ref="H67">IF($D67&lt;COLUMNS($F$7:H$7),"",INDEX(TableDiv[[GASB]:[GASB]],_xlfn.AGGREGATE(15,3,(TableDiv[[Agency]:[Agency]]=$E67)/(TableDiv[[Agency]:[Agency]]=$E67)*(ROW(TableDiv[Agency])-ROW(TableDiv[[#Headers],[Agency]])),COLUMNS($F$7:H$7))))</f>
        <v>14000G</v>
      </c>
      <c r="I67" s="2223" t="str" cm="1">
        <f t="array" ref="I67">IF($D67&lt;COLUMNS($F$7:I$7),"",INDEX(TableDiv[[GASB]:[GASB]],_xlfn.AGGREGATE(15,3,(TableDiv[[Agency]:[Agency]]=$E67)/(TableDiv[[Agency]:[Agency]]=$E67)*(ROW(TableDiv[Agency])-ROW(TableDiv[[#Headers],[Agency]])),COLUMNS($F$7:I$7))))</f>
        <v/>
      </c>
      <c r="J67" s="2223" t="str" cm="1">
        <f t="array" ref="J67">IF($D67&lt;COLUMNS($F$7:J$7),"",INDEX(TableDiv[[GASB]:[GASB]],_xlfn.AGGREGATE(15,3,(TableDiv[[Agency]:[Agency]]=$E67)/(TableDiv[[Agency]:[Agency]]=$E67)*(ROW(TableDiv[Agency])-ROW(TableDiv[[#Headers],[Agency]])),COLUMNS($F$7:J$7))))</f>
        <v/>
      </c>
      <c r="K67" s="2223" t="str" cm="1">
        <f t="array" ref="K67">IF($D67&lt;COLUMNS($F$7:K$7),"",INDEX(TableDiv[[GASB]:[GASB]],_xlfn.AGGREGATE(15,3,(TableDiv[[Agency]:[Agency]]=$E67)/(TableDiv[[Agency]:[Agency]]=$E67)*(ROW(TableDiv[Agency])-ROW(TableDiv[[#Headers],[Agency]])),COLUMNS($F$7:K$7))))</f>
        <v/>
      </c>
      <c r="L67" s="2223" t="str" cm="1">
        <f t="array" ref="L67">IF($D67&lt;COLUMNS($F$7:L$7),"",INDEX(TableDiv[[GASB]:[GASB]],_xlfn.AGGREGATE(15,3,(TableDiv[[Agency]:[Agency]]=$E67)/(TableDiv[[Agency]:[Agency]]=$E67)*(ROW(TableDiv[Agency])-ROW(TableDiv[[#Headers],[Agency]])),COLUMNS($F$7:L$7))))</f>
        <v/>
      </c>
      <c r="M67" s="2223" t="str" cm="1">
        <f t="array" ref="M67">IF($D67&lt;COLUMNS($F$7:M$7),"",INDEX(TableDiv[[GASB]:[GASB]],_xlfn.AGGREGATE(15,3,(TableDiv[[Agency]:[Agency]]=$E67)/(TableDiv[[Agency]:[Agency]]=$E67)*(ROW(TableDiv[Agency])-ROW(TableDiv[[#Headers],[Agency]])),COLUMNS($F$7:M$7))))</f>
        <v/>
      </c>
      <c r="N67" s="2223" t="str" cm="1">
        <f t="array" ref="N67">IF($D67&lt;COLUMNS($F$7:N$7),"",INDEX(TableDiv[[GASB]:[GASB]],_xlfn.AGGREGATE(15,3,(TableDiv[[Agency]:[Agency]]=$E67)/(TableDiv[[Agency]:[Agency]]=$E67)*(ROW(TableDiv[Agency])-ROW(TableDiv[[#Headers],[Agency]])),COLUMNS($F$7:N$7))))</f>
        <v/>
      </c>
      <c r="O67" s="2223" t="str" cm="1">
        <f t="array" ref="O67">IF($D67&lt;COLUMNS($F$7:O$7),"",INDEX(TableDiv[[GASB]:[GASB]],_xlfn.AGGREGATE(15,3,(TableDiv[[Agency]:[Agency]]=$E67)/(TableDiv[[Agency]:[Agency]]=$E67)*(ROW(TableDiv[Agency])-ROW(TableDiv[[#Headers],[Agency]])),COLUMNS($F$7:O$7))))</f>
        <v/>
      </c>
      <c r="P67" s="2223" t="str" cm="1">
        <f t="array" ref="P67">IF($D67&lt;COLUMNS($F$7:P$7),"",INDEX(TableDiv[[GASB]:[GASB]],_xlfn.AGGREGATE(15,3,(TableDiv[[Agency]:[Agency]]=$E67)/(TableDiv[[Agency]:[Agency]]=$E67)*(ROW(TableDiv[Agency])-ROW(TableDiv[[#Headers],[Agency]])),COLUMNS($F$7:P$7))))</f>
        <v/>
      </c>
      <c r="Q67" s="2223" t="str" cm="1">
        <f t="array" ref="Q67">IF($D67&lt;COLUMNS($F$7:Q$7),"",INDEX(TableDiv[[GASB]:[GASB]],_xlfn.AGGREGATE(15,3,(TableDiv[[Agency]:[Agency]]=$E67)/(TableDiv[[Agency]:[Agency]]=$E67)*(ROW(TableDiv[Agency])-ROW(TableDiv[[#Headers],[Agency]])),COLUMNS($F$7:Q$7))))</f>
        <v/>
      </c>
      <c r="R67" s="2223" t="str" cm="1">
        <f t="array" ref="R67">IF($D67&lt;COLUMNS($F$7:R$7),"",INDEX(TableDiv[[GASB]:[GASB]],_xlfn.AGGREGATE(15,3,(TableDiv[[Agency]:[Agency]]=$E67)/(TableDiv[[Agency]:[Agency]]=$E67)*(ROW(TableDiv[Agency])-ROW(TableDiv[[#Headers],[Agency]])),COLUMNS($F$7:R$7))))</f>
        <v/>
      </c>
      <c r="S67" s="2223" t="str" cm="1">
        <f t="array" ref="S67">IF($D67&lt;COLUMNS($F$7:S$7),"",INDEX(TableDiv[[GASB]:[GASB]],_xlfn.AGGREGATE(15,3,(TableDiv[[Agency]:[Agency]]=$E67)/(TableDiv[[Agency]:[Agency]]=$E67)*(ROW(TableDiv[Agency])-ROW(TableDiv[[#Headers],[Agency]])),COLUMNS($F$7:S$7))))</f>
        <v/>
      </c>
      <c r="T67" s="2223" t="str" cm="1">
        <f t="array" ref="T67">IF($D67&lt;COLUMNS($F$7:T$7),"",INDEX(TableDiv[[GASB]:[GASB]],_xlfn.AGGREGATE(15,3,(TableDiv[[Agency]:[Agency]]=$E67)/(TableDiv[[Agency]:[Agency]]=$E67)*(ROW(TableDiv[Agency])-ROW(TableDiv[[#Headers],[Agency]])),COLUMNS($F$7:T$7))))</f>
        <v/>
      </c>
      <c r="U67" s="2223" t="str" cm="1">
        <f t="array" ref="U67">IF($D67&lt;COLUMNS($F$7:U$7),"",INDEX(TableDiv[[GASB]:[GASB]],_xlfn.AGGREGATE(15,3,(TableDiv[[Agency]:[Agency]]=$E67)/(TableDiv[[Agency]:[Agency]]=$E67)*(ROW(TableDiv[Agency])-ROW(TableDiv[[#Headers],[Agency]])),COLUMNS($F$7:U$7))))</f>
        <v/>
      </c>
      <c r="V67" s="2223" t="str" cm="1">
        <f t="array" ref="V67">IF($D67&lt;COLUMNS($F$7:V$7),"",INDEX(TableDiv[[GASB]:[GASB]],_xlfn.AGGREGATE(15,3,(TableDiv[[Agency]:[Agency]]=$E67)/(TableDiv[[Agency]:[Agency]]=$E67)*(ROW(TableDiv[Agency])-ROW(TableDiv[[#Headers],[Agency]])),COLUMNS($F$7:V$7))))</f>
        <v/>
      </c>
      <c r="W67" s="2223" t="str" cm="1">
        <f t="array" ref="W67">IF($D67&lt;COLUMNS($F$7:W$7),"",INDEX(TableDiv[[GASB]:[GASB]],_xlfn.AGGREGATE(15,3,(TableDiv[[Agency]:[Agency]]=$E67)/(TableDiv[[Agency]:[Agency]]=$E67)*(ROW(TableDiv[Agency])-ROW(TableDiv[[#Headers],[Agency]])),COLUMNS($F$7:W$7))))</f>
        <v/>
      </c>
      <c r="X67" s="2223" t="str" cm="1">
        <f t="array" ref="X67">IF($D67&lt;COLUMNS($F$7:X$7),"",INDEX(TableDiv[[GASB]:[GASB]],_xlfn.AGGREGATE(15,3,(TableDiv[[Agency]:[Agency]]=$E67)/(TableDiv[[Agency]:[Agency]]=$E67)*(ROW(TableDiv[Agency])-ROW(TableDiv[[#Headers],[Agency]])),COLUMNS($F$7:X$7))))</f>
        <v/>
      </c>
      <c r="Y67" s="2223" t="str" cm="1">
        <f t="array" ref="Y67">IF($D67&lt;COLUMNS($F$7:Y$7),"",INDEX(TableDiv[[GASB]:[GASB]],_xlfn.AGGREGATE(15,3,(TableDiv[[Agency]:[Agency]]=$E67)/(TableDiv[[Agency]:[Agency]]=$E67)*(ROW(TableDiv[Agency])-ROW(TableDiv[[#Headers],[Agency]])),COLUMNS($F$7:Y$7))))</f>
        <v/>
      </c>
      <c r="Z67" s="2223" t="str" cm="1">
        <f t="array" ref="Z67">IF($D67&lt;COLUMNS($F$7:Z$7),"",INDEX(TableDiv[[GASB]:[GASB]],_xlfn.AGGREGATE(15,3,(TableDiv[[Agency]:[Agency]]=$E67)/(TableDiv[[Agency]:[Agency]]=$E67)*(ROW(TableDiv[Agency])-ROW(TableDiv[[#Headers],[Agency]])),COLUMNS($F$7:Z$7))))</f>
        <v/>
      </c>
      <c r="AA67" s="2223" t="str" cm="1">
        <f t="array" ref="AA67">IF($D67&lt;COLUMNS($F$7:AA$7),"",INDEX(TableDiv[[GASB]:[GASB]],_xlfn.AGGREGATE(15,3,(TableDiv[[Agency]:[Agency]]=$E67)/(TableDiv[[Agency]:[Agency]]=$E67)*(ROW(TableDiv[Agency])-ROW(TableDiv[[#Headers],[Agency]])),COLUMNS($F$7:AA$7))))</f>
        <v/>
      </c>
      <c r="AB67" s="2223" t="str" cm="1">
        <f t="array" ref="AB67">IF($D67&lt;COLUMNS($F$7:AB$7),"",INDEX(TableDiv[[GASB]:[GASB]],_xlfn.AGGREGATE(15,3,(TableDiv[[Agency]:[Agency]]=$E67)/(TableDiv[[Agency]:[Agency]]=$E67)*(ROW(TableDiv[Agency])-ROW(TableDiv[[#Headers],[Agency]])),COLUMNS($F$7:AB$7))))</f>
        <v/>
      </c>
      <c r="AC67" s="2223" t="str" cm="1">
        <f t="array" ref="AC67">IF($D67&lt;COLUMNS($F$7:AC$7),"",INDEX(TableDiv[[GASB]:[GASB]],_xlfn.AGGREGATE(15,3,(TableDiv[[Agency]:[Agency]]=$E67)/(TableDiv[[Agency]:[Agency]]=$E67)*(ROW(TableDiv[Agency])-ROW(TableDiv[[#Headers],[Agency]])),COLUMNS($F$7:AC$7))))</f>
        <v/>
      </c>
      <c r="AD67" s="2223" t="str" cm="1">
        <f t="array" ref="AD67">IF($D67&lt;COLUMNS($F$7:AD$7),"",INDEX(TableDiv[[GASB]:[GASB]],_xlfn.AGGREGATE(15,3,(TableDiv[[Agency]:[Agency]]=$E67)/(TableDiv[[Agency]:[Agency]]=$E67)*(ROW(TableDiv[Agency])-ROW(TableDiv[[#Headers],[Agency]])),COLUMNS($F$7:AD$7))))</f>
        <v/>
      </c>
      <c r="AE67" s="2223" t="str" cm="1">
        <f t="array" ref="AE67">IF($D67&lt;COLUMNS($F$7:AE$7),"",INDEX(TableDiv[[GASB]:[GASB]],_xlfn.AGGREGATE(15,3,(TableDiv[[Agency]:[Agency]]=$E67)/(TableDiv[[Agency]:[Agency]]=$E67)*(ROW(TableDiv[Agency])-ROW(TableDiv[[#Headers],[Agency]])),COLUMNS($F$7:AE$7))))</f>
        <v/>
      </c>
      <c r="AF67" s="2223" t="str" cm="1">
        <f t="array" ref="AF67">IF($D67&lt;COLUMNS($F$7:AF$7),"",INDEX(TableDiv[[GASB]:[GASB]],_xlfn.AGGREGATE(15,3,(TableDiv[[Agency]:[Agency]]=$E67)/(TableDiv[[Agency]:[Agency]]=$E67)*(ROW(TableDiv[Agency])-ROW(TableDiv[[#Headers],[Agency]])),COLUMNS($F$7:AF$7))))</f>
        <v/>
      </c>
      <c r="AG67" s="2223" t="str" cm="1">
        <f t="array" ref="AG67">IF($D67&lt;COLUMNS($F$7:AG$7),"",INDEX(TableDiv[[GASB]:[GASB]],_xlfn.AGGREGATE(15,3,(TableDiv[[Agency]:[Agency]]=$E67)/(TableDiv[[Agency]:[Agency]]=$E67)*(ROW(TableDiv[Agency])-ROW(TableDiv[[#Headers],[Agency]])),COLUMNS($F$7:AG$7))))</f>
        <v/>
      </c>
      <c r="AH67" s="2223" t="str" cm="1">
        <f t="array" ref="AH67">IF($D67&lt;COLUMNS($F$7:AH$7),"",INDEX(TableDiv[[GASB]:[GASB]],_xlfn.AGGREGATE(15,3,(TableDiv[[Agency]:[Agency]]=$E67)/(TableDiv[[Agency]:[Agency]]=$E67)*(ROW(TableDiv[Agency])-ROW(TableDiv[[#Headers],[Agency]])),COLUMNS($F$7:AH$7))))</f>
        <v/>
      </c>
      <c r="AI67" s="2223" t="str" cm="1">
        <f t="array" ref="AI67">IF($D67&lt;COLUMNS($F$7:AI$7),"",INDEX(TableDiv[[GASB]:[GASB]],_xlfn.AGGREGATE(15,3,(TableDiv[[Agency]:[Agency]]=$E67)/(TableDiv[[Agency]:[Agency]]=$E67)*(ROW(TableDiv[Agency])-ROW(TableDiv[[#Headers],[Agency]])),COLUMNS($F$7:AI$7))))</f>
        <v/>
      </c>
      <c r="AJ67" s="2223" t="str" cm="1">
        <f t="array" ref="AJ67">IF($D67&lt;COLUMNS($F$7:AJ$7),"",INDEX(TableDiv[[GASB]:[GASB]],_xlfn.AGGREGATE(15,3,(TableDiv[[Agency]:[Agency]]=$E67)/(TableDiv[[Agency]:[Agency]]=$E67)*(ROW(TableDiv[Agency])-ROW(TableDiv[[#Headers],[Agency]])),COLUMNS($F$7:AJ$7))))</f>
        <v/>
      </c>
      <c r="AK67" s="2223" t="str" cm="1">
        <f t="array" ref="AK67">IF($D67&lt;COLUMNS($F$7:AK$7),"",INDEX(TableDiv[[GASB]:[GASB]],_xlfn.AGGREGATE(15,3,(TableDiv[[Agency]:[Agency]]=$E67)/(TableDiv[[Agency]:[Agency]]=$E67)*(ROW(TableDiv[Agency])-ROW(TableDiv[[#Headers],[Agency]])),COLUMNS($F$7:AK$7))))</f>
        <v/>
      </c>
      <c r="AL67" s="2223" t="str" cm="1">
        <f t="array" ref="AL67">IF($D67&lt;COLUMNS($F$7:AL$7),"",INDEX(TableDiv[[GASB]:[GASB]],_xlfn.AGGREGATE(15,3,(TableDiv[[Agency]:[Agency]]=$E67)/(TableDiv[[Agency]:[Agency]]=$E67)*(ROW(TableDiv[Agency])-ROW(TableDiv[[#Headers],[Agency]])),COLUMNS($F$7:AL$7))))</f>
        <v/>
      </c>
      <c r="AM67" s="2223" t="str" cm="1">
        <f t="array" ref="AM67">IF($D67&lt;COLUMNS($F$7:AM$7),"",INDEX(TableDiv[[GASB]:[GASB]],_xlfn.AGGREGATE(15,3,(TableDiv[[Agency]:[Agency]]=$E67)/(TableDiv[[Agency]:[Agency]]=$E67)*(ROW(TableDiv[Agency])-ROW(TableDiv[[#Headers],[Agency]])),COLUMNS($F$7:AM$7))))</f>
        <v/>
      </c>
      <c r="AN67" s="2223"/>
      <c r="AO67" s="2223"/>
      <c r="AP67" s="2223"/>
      <c r="AQ67" s="2223"/>
      <c r="AR67" s="2223"/>
      <c r="AS67" s="2223"/>
    </row>
    <row r="68" spans="1:45" ht="15" x14ac:dyDescent="0.25">
      <c r="A68" s="2219" t="s">
        <v>5102</v>
      </c>
      <c r="B68" s="2219" t="s">
        <v>6399</v>
      </c>
      <c r="C68" s="2223"/>
      <c r="D68" s="2223">
        <f>COUNTIF(TableDiv[Agency],E68)</f>
        <v>1</v>
      </c>
      <c r="E68" s="2230" t="str" cm="1">
        <f t="array" ref="E68">IFERROR(INDEX(TableDiv[Agency],MATCH(0,INDEX(COUNTIF($E$7:E67,TableDiv[Agency]),),0)),"")</f>
        <v>R200</v>
      </c>
      <c r="F68" s="2223" t="str" cm="1">
        <f t="array" ref="F68">IF($D68&lt;COLUMNS($F$7:F$7),"",INDEX(TableDiv[[GASB]:[GASB]],_xlfn.AGGREGATE(15,3,(TableDiv[[Agency]:[Agency]]=$E68)/(TableDiv[[Agency]:[Agency]]=$E68)*(ROW(TableDiv[Agency])-ROW(TableDiv[[#Headers],[Agency]])),COLUMNS($F$7:F$7))))</f>
        <v>11020G</v>
      </c>
      <c r="G68" s="2223" t="str" cm="1">
        <f t="array" ref="G68">IF($D68&lt;COLUMNS($F$7:G$7),"",INDEX(TableDiv[[GASB]:[GASB]],_xlfn.AGGREGATE(15,3,(TableDiv[[Agency]:[Agency]]=$E68)/(TableDiv[[Agency]:[Agency]]=$E68)*(ROW(TableDiv[Agency])-ROW(TableDiv[[#Headers],[Agency]])),COLUMNS($F$7:G$7))))</f>
        <v/>
      </c>
      <c r="H68" s="2223" t="str" cm="1">
        <f t="array" ref="H68">IF($D68&lt;COLUMNS($F$7:H$7),"",INDEX(TableDiv[[GASB]:[GASB]],_xlfn.AGGREGATE(15,3,(TableDiv[[Agency]:[Agency]]=$E68)/(TableDiv[[Agency]:[Agency]]=$E68)*(ROW(TableDiv[Agency])-ROW(TableDiv[[#Headers],[Agency]])),COLUMNS($F$7:H$7))))</f>
        <v/>
      </c>
      <c r="I68" s="2223" t="str" cm="1">
        <f t="array" ref="I68">IF($D68&lt;COLUMNS($F$7:I$7),"",INDEX(TableDiv[[GASB]:[GASB]],_xlfn.AGGREGATE(15,3,(TableDiv[[Agency]:[Agency]]=$E68)/(TableDiv[[Agency]:[Agency]]=$E68)*(ROW(TableDiv[Agency])-ROW(TableDiv[[#Headers],[Agency]])),COLUMNS($F$7:I$7))))</f>
        <v/>
      </c>
      <c r="J68" s="2223" t="str" cm="1">
        <f t="array" ref="J68">IF($D68&lt;COLUMNS($F$7:J$7),"",INDEX(TableDiv[[GASB]:[GASB]],_xlfn.AGGREGATE(15,3,(TableDiv[[Agency]:[Agency]]=$E68)/(TableDiv[[Agency]:[Agency]]=$E68)*(ROW(TableDiv[Agency])-ROW(TableDiv[[#Headers],[Agency]])),COLUMNS($F$7:J$7))))</f>
        <v/>
      </c>
      <c r="K68" s="2223" t="str" cm="1">
        <f t="array" ref="K68">IF($D68&lt;COLUMNS($F$7:K$7),"",INDEX(TableDiv[[GASB]:[GASB]],_xlfn.AGGREGATE(15,3,(TableDiv[[Agency]:[Agency]]=$E68)/(TableDiv[[Agency]:[Agency]]=$E68)*(ROW(TableDiv[Agency])-ROW(TableDiv[[#Headers],[Agency]])),COLUMNS($F$7:K$7))))</f>
        <v/>
      </c>
      <c r="L68" s="2223" t="str" cm="1">
        <f t="array" ref="L68">IF($D68&lt;COLUMNS($F$7:L$7),"",INDEX(TableDiv[[GASB]:[GASB]],_xlfn.AGGREGATE(15,3,(TableDiv[[Agency]:[Agency]]=$E68)/(TableDiv[[Agency]:[Agency]]=$E68)*(ROW(TableDiv[Agency])-ROW(TableDiv[[#Headers],[Agency]])),COLUMNS($F$7:L$7))))</f>
        <v/>
      </c>
      <c r="M68" s="2223" t="str" cm="1">
        <f t="array" ref="M68">IF($D68&lt;COLUMNS($F$7:M$7),"",INDEX(TableDiv[[GASB]:[GASB]],_xlfn.AGGREGATE(15,3,(TableDiv[[Agency]:[Agency]]=$E68)/(TableDiv[[Agency]:[Agency]]=$E68)*(ROW(TableDiv[Agency])-ROW(TableDiv[[#Headers],[Agency]])),COLUMNS($F$7:M$7))))</f>
        <v/>
      </c>
      <c r="N68" s="2223" t="str" cm="1">
        <f t="array" ref="N68">IF($D68&lt;COLUMNS($F$7:N$7),"",INDEX(TableDiv[[GASB]:[GASB]],_xlfn.AGGREGATE(15,3,(TableDiv[[Agency]:[Agency]]=$E68)/(TableDiv[[Agency]:[Agency]]=$E68)*(ROW(TableDiv[Agency])-ROW(TableDiv[[#Headers],[Agency]])),COLUMNS($F$7:N$7))))</f>
        <v/>
      </c>
      <c r="O68" s="2223" t="str" cm="1">
        <f t="array" ref="O68">IF($D68&lt;COLUMNS($F$7:O$7),"",INDEX(TableDiv[[GASB]:[GASB]],_xlfn.AGGREGATE(15,3,(TableDiv[[Agency]:[Agency]]=$E68)/(TableDiv[[Agency]:[Agency]]=$E68)*(ROW(TableDiv[Agency])-ROW(TableDiv[[#Headers],[Agency]])),COLUMNS($F$7:O$7))))</f>
        <v/>
      </c>
      <c r="P68" s="2223" t="str" cm="1">
        <f t="array" ref="P68">IF($D68&lt;COLUMNS($F$7:P$7),"",INDEX(TableDiv[[GASB]:[GASB]],_xlfn.AGGREGATE(15,3,(TableDiv[[Agency]:[Agency]]=$E68)/(TableDiv[[Agency]:[Agency]]=$E68)*(ROW(TableDiv[Agency])-ROW(TableDiv[[#Headers],[Agency]])),COLUMNS($F$7:P$7))))</f>
        <v/>
      </c>
      <c r="Q68" s="2223" t="str" cm="1">
        <f t="array" ref="Q68">IF($D68&lt;COLUMNS($F$7:Q$7),"",INDEX(TableDiv[[GASB]:[GASB]],_xlfn.AGGREGATE(15,3,(TableDiv[[Agency]:[Agency]]=$E68)/(TableDiv[[Agency]:[Agency]]=$E68)*(ROW(TableDiv[Agency])-ROW(TableDiv[[#Headers],[Agency]])),COLUMNS($F$7:Q$7))))</f>
        <v/>
      </c>
      <c r="R68" s="2223" t="str" cm="1">
        <f t="array" ref="R68">IF($D68&lt;COLUMNS($F$7:R$7),"",INDEX(TableDiv[[GASB]:[GASB]],_xlfn.AGGREGATE(15,3,(TableDiv[[Agency]:[Agency]]=$E68)/(TableDiv[[Agency]:[Agency]]=$E68)*(ROW(TableDiv[Agency])-ROW(TableDiv[[#Headers],[Agency]])),COLUMNS($F$7:R$7))))</f>
        <v/>
      </c>
      <c r="S68" s="2223" t="str" cm="1">
        <f t="array" ref="S68">IF($D68&lt;COLUMNS($F$7:S$7),"",INDEX(TableDiv[[GASB]:[GASB]],_xlfn.AGGREGATE(15,3,(TableDiv[[Agency]:[Agency]]=$E68)/(TableDiv[[Agency]:[Agency]]=$E68)*(ROW(TableDiv[Agency])-ROW(TableDiv[[#Headers],[Agency]])),COLUMNS($F$7:S$7))))</f>
        <v/>
      </c>
      <c r="T68" s="2223" t="str" cm="1">
        <f t="array" ref="T68">IF($D68&lt;COLUMNS($F$7:T$7),"",INDEX(TableDiv[[GASB]:[GASB]],_xlfn.AGGREGATE(15,3,(TableDiv[[Agency]:[Agency]]=$E68)/(TableDiv[[Agency]:[Agency]]=$E68)*(ROW(TableDiv[Agency])-ROW(TableDiv[[#Headers],[Agency]])),COLUMNS($F$7:T$7))))</f>
        <v/>
      </c>
      <c r="U68" s="2223" t="str" cm="1">
        <f t="array" ref="U68">IF($D68&lt;COLUMNS($F$7:U$7),"",INDEX(TableDiv[[GASB]:[GASB]],_xlfn.AGGREGATE(15,3,(TableDiv[[Agency]:[Agency]]=$E68)/(TableDiv[[Agency]:[Agency]]=$E68)*(ROW(TableDiv[Agency])-ROW(TableDiv[[#Headers],[Agency]])),COLUMNS($F$7:U$7))))</f>
        <v/>
      </c>
      <c r="V68" s="2223" t="str" cm="1">
        <f t="array" ref="V68">IF($D68&lt;COLUMNS($F$7:V$7),"",INDEX(TableDiv[[GASB]:[GASB]],_xlfn.AGGREGATE(15,3,(TableDiv[[Agency]:[Agency]]=$E68)/(TableDiv[[Agency]:[Agency]]=$E68)*(ROW(TableDiv[Agency])-ROW(TableDiv[[#Headers],[Agency]])),COLUMNS($F$7:V$7))))</f>
        <v/>
      </c>
      <c r="W68" s="2223" t="str" cm="1">
        <f t="array" ref="W68">IF($D68&lt;COLUMNS($F$7:W$7),"",INDEX(TableDiv[[GASB]:[GASB]],_xlfn.AGGREGATE(15,3,(TableDiv[[Agency]:[Agency]]=$E68)/(TableDiv[[Agency]:[Agency]]=$E68)*(ROW(TableDiv[Agency])-ROW(TableDiv[[#Headers],[Agency]])),COLUMNS($F$7:W$7))))</f>
        <v/>
      </c>
      <c r="X68" s="2223" t="str" cm="1">
        <f t="array" ref="X68">IF($D68&lt;COLUMNS($F$7:X$7),"",INDEX(TableDiv[[GASB]:[GASB]],_xlfn.AGGREGATE(15,3,(TableDiv[[Agency]:[Agency]]=$E68)/(TableDiv[[Agency]:[Agency]]=$E68)*(ROW(TableDiv[Agency])-ROW(TableDiv[[#Headers],[Agency]])),COLUMNS($F$7:X$7))))</f>
        <v/>
      </c>
      <c r="Y68" s="2223" t="str" cm="1">
        <f t="array" ref="Y68">IF($D68&lt;COLUMNS($F$7:Y$7),"",INDEX(TableDiv[[GASB]:[GASB]],_xlfn.AGGREGATE(15,3,(TableDiv[[Agency]:[Agency]]=$E68)/(TableDiv[[Agency]:[Agency]]=$E68)*(ROW(TableDiv[Agency])-ROW(TableDiv[[#Headers],[Agency]])),COLUMNS($F$7:Y$7))))</f>
        <v/>
      </c>
      <c r="Z68" s="2223" t="str" cm="1">
        <f t="array" ref="Z68">IF($D68&lt;COLUMNS($F$7:Z$7),"",INDEX(TableDiv[[GASB]:[GASB]],_xlfn.AGGREGATE(15,3,(TableDiv[[Agency]:[Agency]]=$E68)/(TableDiv[[Agency]:[Agency]]=$E68)*(ROW(TableDiv[Agency])-ROW(TableDiv[[#Headers],[Agency]])),COLUMNS($F$7:Z$7))))</f>
        <v/>
      </c>
      <c r="AA68" s="2223" t="str" cm="1">
        <f t="array" ref="AA68">IF($D68&lt;COLUMNS($F$7:AA$7),"",INDEX(TableDiv[[GASB]:[GASB]],_xlfn.AGGREGATE(15,3,(TableDiv[[Agency]:[Agency]]=$E68)/(TableDiv[[Agency]:[Agency]]=$E68)*(ROW(TableDiv[Agency])-ROW(TableDiv[[#Headers],[Agency]])),COLUMNS($F$7:AA$7))))</f>
        <v/>
      </c>
      <c r="AB68" s="2223" t="str" cm="1">
        <f t="array" ref="AB68">IF($D68&lt;COLUMNS($F$7:AB$7),"",INDEX(TableDiv[[GASB]:[GASB]],_xlfn.AGGREGATE(15,3,(TableDiv[[Agency]:[Agency]]=$E68)/(TableDiv[[Agency]:[Agency]]=$E68)*(ROW(TableDiv[Agency])-ROW(TableDiv[[#Headers],[Agency]])),COLUMNS($F$7:AB$7))))</f>
        <v/>
      </c>
      <c r="AC68" s="2223" t="str" cm="1">
        <f t="array" ref="AC68">IF($D68&lt;COLUMNS($F$7:AC$7),"",INDEX(TableDiv[[GASB]:[GASB]],_xlfn.AGGREGATE(15,3,(TableDiv[[Agency]:[Agency]]=$E68)/(TableDiv[[Agency]:[Agency]]=$E68)*(ROW(TableDiv[Agency])-ROW(TableDiv[[#Headers],[Agency]])),COLUMNS($F$7:AC$7))))</f>
        <v/>
      </c>
      <c r="AD68" s="2223" t="str" cm="1">
        <f t="array" ref="AD68">IF($D68&lt;COLUMNS($F$7:AD$7),"",INDEX(TableDiv[[GASB]:[GASB]],_xlfn.AGGREGATE(15,3,(TableDiv[[Agency]:[Agency]]=$E68)/(TableDiv[[Agency]:[Agency]]=$E68)*(ROW(TableDiv[Agency])-ROW(TableDiv[[#Headers],[Agency]])),COLUMNS($F$7:AD$7))))</f>
        <v/>
      </c>
      <c r="AE68" s="2223" t="str" cm="1">
        <f t="array" ref="AE68">IF($D68&lt;COLUMNS($F$7:AE$7),"",INDEX(TableDiv[[GASB]:[GASB]],_xlfn.AGGREGATE(15,3,(TableDiv[[Agency]:[Agency]]=$E68)/(TableDiv[[Agency]:[Agency]]=$E68)*(ROW(TableDiv[Agency])-ROW(TableDiv[[#Headers],[Agency]])),COLUMNS($F$7:AE$7))))</f>
        <v/>
      </c>
      <c r="AF68" s="2223" t="str" cm="1">
        <f t="array" ref="AF68">IF($D68&lt;COLUMNS($F$7:AF$7),"",INDEX(TableDiv[[GASB]:[GASB]],_xlfn.AGGREGATE(15,3,(TableDiv[[Agency]:[Agency]]=$E68)/(TableDiv[[Agency]:[Agency]]=$E68)*(ROW(TableDiv[Agency])-ROW(TableDiv[[#Headers],[Agency]])),COLUMNS($F$7:AF$7))))</f>
        <v/>
      </c>
      <c r="AG68" s="2223" t="str" cm="1">
        <f t="array" ref="AG68">IF($D68&lt;COLUMNS($F$7:AG$7),"",INDEX(TableDiv[[GASB]:[GASB]],_xlfn.AGGREGATE(15,3,(TableDiv[[Agency]:[Agency]]=$E68)/(TableDiv[[Agency]:[Agency]]=$E68)*(ROW(TableDiv[Agency])-ROW(TableDiv[[#Headers],[Agency]])),COLUMNS($F$7:AG$7))))</f>
        <v/>
      </c>
      <c r="AH68" s="2223" t="str" cm="1">
        <f t="array" ref="AH68">IF($D68&lt;COLUMNS($F$7:AH$7),"",INDEX(TableDiv[[GASB]:[GASB]],_xlfn.AGGREGATE(15,3,(TableDiv[[Agency]:[Agency]]=$E68)/(TableDiv[[Agency]:[Agency]]=$E68)*(ROW(TableDiv[Agency])-ROW(TableDiv[[#Headers],[Agency]])),COLUMNS($F$7:AH$7))))</f>
        <v/>
      </c>
      <c r="AI68" s="2223" t="str" cm="1">
        <f t="array" ref="AI68">IF($D68&lt;COLUMNS($F$7:AI$7),"",INDEX(TableDiv[[GASB]:[GASB]],_xlfn.AGGREGATE(15,3,(TableDiv[[Agency]:[Agency]]=$E68)/(TableDiv[[Agency]:[Agency]]=$E68)*(ROW(TableDiv[Agency])-ROW(TableDiv[[#Headers],[Agency]])),COLUMNS($F$7:AI$7))))</f>
        <v/>
      </c>
      <c r="AJ68" s="2223" t="str" cm="1">
        <f t="array" ref="AJ68">IF($D68&lt;COLUMNS($F$7:AJ$7),"",INDEX(TableDiv[[GASB]:[GASB]],_xlfn.AGGREGATE(15,3,(TableDiv[[Agency]:[Agency]]=$E68)/(TableDiv[[Agency]:[Agency]]=$E68)*(ROW(TableDiv[Agency])-ROW(TableDiv[[#Headers],[Agency]])),COLUMNS($F$7:AJ$7))))</f>
        <v/>
      </c>
      <c r="AK68" s="2223" t="str" cm="1">
        <f t="array" ref="AK68">IF($D68&lt;COLUMNS($F$7:AK$7),"",INDEX(TableDiv[[GASB]:[GASB]],_xlfn.AGGREGATE(15,3,(TableDiv[[Agency]:[Agency]]=$E68)/(TableDiv[[Agency]:[Agency]]=$E68)*(ROW(TableDiv[Agency])-ROW(TableDiv[[#Headers],[Agency]])),COLUMNS($F$7:AK$7))))</f>
        <v/>
      </c>
      <c r="AL68" s="2223" t="str" cm="1">
        <f t="array" ref="AL68">IF($D68&lt;COLUMNS($F$7:AL$7),"",INDEX(TableDiv[[GASB]:[GASB]],_xlfn.AGGREGATE(15,3,(TableDiv[[Agency]:[Agency]]=$E68)/(TableDiv[[Agency]:[Agency]]=$E68)*(ROW(TableDiv[Agency])-ROW(TableDiv[[#Headers],[Agency]])),COLUMNS($F$7:AL$7))))</f>
        <v/>
      </c>
      <c r="AM68" s="2223" t="str" cm="1">
        <f t="array" ref="AM68">IF($D68&lt;COLUMNS($F$7:AM$7),"",INDEX(TableDiv[[GASB]:[GASB]],_xlfn.AGGREGATE(15,3,(TableDiv[[Agency]:[Agency]]=$E68)/(TableDiv[[Agency]:[Agency]]=$E68)*(ROW(TableDiv[Agency])-ROW(TableDiv[[#Headers],[Agency]])),COLUMNS($F$7:AM$7))))</f>
        <v/>
      </c>
      <c r="AN68" s="2223"/>
      <c r="AO68" s="2223"/>
      <c r="AP68" s="2223"/>
      <c r="AQ68" s="2223"/>
      <c r="AR68" s="2223"/>
      <c r="AS68" s="2223"/>
    </row>
    <row r="69" spans="1:45" ht="15" x14ac:dyDescent="0.25">
      <c r="A69" s="2219" t="s">
        <v>5102</v>
      </c>
      <c r="B69" s="2219" t="s">
        <v>6400</v>
      </c>
      <c r="C69" s="2223"/>
      <c r="D69" s="2223">
        <f>COUNTIF(TableDiv[Agency],E69)</f>
        <v>3</v>
      </c>
      <c r="E69" s="2230" t="str" cm="1">
        <f t="array" ref="E69">IFERROR(INDEX(TableDiv[Agency],MATCH(0,INDEX(COUNTIF($E$7:E68,TableDiv[Agency]),),0)),"")</f>
        <v>R700</v>
      </c>
      <c r="F69" s="2223" t="str" cm="1">
        <f t="array" ref="F69">IF($D69&lt;COLUMNS($F$7:F$7),"",INDEX(TableDiv[[GASB]:[GASB]],_xlfn.AGGREGATE(15,3,(TableDiv[[Agency]:[Agency]]=$E69)/(TableDiv[[Agency]:[Agency]]=$E69)*(ROW(TableDiv[Agency])-ROW(TableDiv[[#Headers],[Agency]])),COLUMNS($F$7:F$7))))</f>
        <v>11020G</v>
      </c>
      <c r="G69" s="2223" t="str" cm="1">
        <f t="array" ref="G69">IF($D69&lt;COLUMNS($F$7:G$7),"",INDEX(TableDiv[[GASB]:[GASB]],_xlfn.AGGREGATE(15,3,(TableDiv[[Agency]:[Agency]]=$E69)/(TableDiv[[Agency]:[Agency]]=$E69)*(ROW(TableDiv[Agency])-ROW(TableDiv[[#Headers],[Agency]])),COLUMNS($F$7:G$7))))</f>
        <v>11070G</v>
      </c>
      <c r="H69" s="2223" t="str" cm="1">
        <f t="array" ref="H69">IF($D69&lt;COLUMNS($F$7:H$7),"",INDEX(TableDiv[[GASB]:[GASB]],_xlfn.AGGREGATE(15,3,(TableDiv[[Agency]:[Agency]]=$E69)/(TableDiv[[Agency]:[Agency]]=$E69)*(ROW(TableDiv[Agency])-ROW(TableDiv[[#Headers],[Agency]])),COLUMNS($F$7:H$7))))</f>
        <v>39000G</v>
      </c>
      <c r="I69" s="2223" t="str" cm="1">
        <f t="array" ref="I69">IF($D69&lt;COLUMNS($F$7:I$7),"",INDEX(TableDiv[[GASB]:[GASB]],_xlfn.AGGREGATE(15,3,(TableDiv[[Agency]:[Agency]]=$E69)/(TableDiv[[Agency]:[Agency]]=$E69)*(ROW(TableDiv[Agency])-ROW(TableDiv[[#Headers],[Agency]])),COLUMNS($F$7:I$7))))</f>
        <v/>
      </c>
      <c r="J69" s="2223" t="str" cm="1">
        <f t="array" ref="J69">IF($D69&lt;COLUMNS($F$7:J$7),"",INDEX(TableDiv[[GASB]:[GASB]],_xlfn.AGGREGATE(15,3,(TableDiv[[Agency]:[Agency]]=$E69)/(TableDiv[[Agency]:[Agency]]=$E69)*(ROW(TableDiv[Agency])-ROW(TableDiv[[#Headers],[Agency]])),COLUMNS($F$7:J$7))))</f>
        <v/>
      </c>
      <c r="K69" s="2223" t="str" cm="1">
        <f t="array" ref="K69">IF($D69&lt;COLUMNS($F$7:K$7),"",INDEX(TableDiv[[GASB]:[GASB]],_xlfn.AGGREGATE(15,3,(TableDiv[[Agency]:[Agency]]=$E69)/(TableDiv[[Agency]:[Agency]]=$E69)*(ROW(TableDiv[Agency])-ROW(TableDiv[[#Headers],[Agency]])),COLUMNS($F$7:K$7))))</f>
        <v/>
      </c>
      <c r="L69" s="2223" t="str" cm="1">
        <f t="array" ref="L69">IF($D69&lt;COLUMNS($F$7:L$7),"",INDEX(TableDiv[[GASB]:[GASB]],_xlfn.AGGREGATE(15,3,(TableDiv[[Agency]:[Agency]]=$E69)/(TableDiv[[Agency]:[Agency]]=$E69)*(ROW(TableDiv[Agency])-ROW(TableDiv[[#Headers],[Agency]])),COLUMNS($F$7:L$7))))</f>
        <v/>
      </c>
      <c r="M69" s="2223" t="str" cm="1">
        <f t="array" ref="M69">IF($D69&lt;COLUMNS($F$7:M$7),"",INDEX(TableDiv[[GASB]:[GASB]],_xlfn.AGGREGATE(15,3,(TableDiv[[Agency]:[Agency]]=$E69)/(TableDiv[[Agency]:[Agency]]=$E69)*(ROW(TableDiv[Agency])-ROW(TableDiv[[#Headers],[Agency]])),COLUMNS($F$7:M$7))))</f>
        <v/>
      </c>
      <c r="N69" s="2223" t="str" cm="1">
        <f t="array" ref="N69">IF($D69&lt;COLUMNS($F$7:N$7),"",INDEX(TableDiv[[GASB]:[GASB]],_xlfn.AGGREGATE(15,3,(TableDiv[[Agency]:[Agency]]=$E69)/(TableDiv[[Agency]:[Agency]]=$E69)*(ROW(TableDiv[Agency])-ROW(TableDiv[[#Headers],[Agency]])),COLUMNS($F$7:N$7))))</f>
        <v/>
      </c>
      <c r="O69" s="2223" t="str" cm="1">
        <f t="array" ref="O69">IF($D69&lt;COLUMNS($F$7:O$7),"",INDEX(TableDiv[[GASB]:[GASB]],_xlfn.AGGREGATE(15,3,(TableDiv[[Agency]:[Agency]]=$E69)/(TableDiv[[Agency]:[Agency]]=$E69)*(ROW(TableDiv[Agency])-ROW(TableDiv[[#Headers],[Agency]])),COLUMNS($F$7:O$7))))</f>
        <v/>
      </c>
      <c r="P69" s="2223" t="str" cm="1">
        <f t="array" ref="P69">IF($D69&lt;COLUMNS($F$7:P$7),"",INDEX(TableDiv[[GASB]:[GASB]],_xlfn.AGGREGATE(15,3,(TableDiv[[Agency]:[Agency]]=$E69)/(TableDiv[[Agency]:[Agency]]=$E69)*(ROW(TableDiv[Agency])-ROW(TableDiv[[#Headers],[Agency]])),COLUMNS($F$7:P$7))))</f>
        <v/>
      </c>
      <c r="Q69" s="2223" t="str" cm="1">
        <f t="array" ref="Q69">IF($D69&lt;COLUMNS($F$7:Q$7),"",INDEX(TableDiv[[GASB]:[GASB]],_xlfn.AGGREGATE(15,3,(TableDiv[[Agency]:[Agency]]=$E69)/(TableDiv[[Agency]:[Agency]]=$E69)*(ROW(TableDiv[Agency])-ROW(TableDiv[[#Headers],[Agency]])),COLUMNS($F$7:Q$7))))</f>
        <v/>
      </c>
      <c r="R69" s="2223" t="str" cm="1">
        <f t="array" ref="R69">IF($D69&lt;COLUMNS($F$7:R$7),"",INDEX(TableDiv[[GASB]:[GASB]],_xlfn.AGGREGATE(15,3,(TableDiv[[Agency]:[Agency]]=$E69)/(TableDiv[[Agency]:[Agency]]=$E69)*(ROW(TableDiv[Agency])-ROW(TableDiv[[#Headers],[Agency]])),COLUMNS($F$7:R$7))))</f>
        <v/>
      </c>
      <c r="S69" s="2223" t="str" cm="1">
        <f t="array" ref="S69">IF($D69&lt;COLUMNS($F$7:S$7),"",INDEX(TableDiv[[GASB]:[GASB]],_xlfn.AGGREGATE(15,3,(TableDiv[[Agency]:[Agency]]=$E69)/(TableDiv[[Agency]:[Agency]]=$E69)*(ROW(TableDiv[Agency])-ROW(TableDiv[[#Headers],[Agency]])),COLUMNS($F$7:S$7))))</f>
        <v/>
      </c>
      <c r="T69" s="2223" t="str" cm="1">
        <f t="array" ref="T69">IF($D69&lt;COLUMNS($F$7:T$7),"",INDEX(TableDiv[[GASB]:[GASB]],_xlfn.AGGREGATE(15,3,(TableDiv[[Agency]:[Agency]]=$E69)/(TableDiv[[Agency]:[Agency]]=$E69)*(ROW(TableDiv[Agency])-ROW(TableDiv[[#Headers],[Agency]])),COLUMNS($F$7:T$7))))</f>
        <v/>
      </c>
      <c r="U69" s="2223" t="str" cm="1">
        <f t="array" ref="U69">IF($D69&lt;COLUMNS($F$7:U$7),"",INDEX(TableDiv[[GASB]:[GASB]],_xlfn.AGGREGATE(15,3,(TableDiv[[Agency]:[Agency]]=$E69)/(TableDiv[[Agency]:[Agency]]=$E69)*(ROW(TableDiv[Agency])-ROW(TableDiv[[#Headers],[Agency]])),COLUMNS($F$7:U$7))))</f>
        <v/>
      </c>
      <c r="V69" s="2223" t="str" cm="1">
        <f t="array" ref="V69">IF($D69&lt;COLUMNS($F$7:V$7),"",INDEX(TableDiv[[GASB]:[GASB]],_xlfn.AGGREGATE(15,3,(TableDiv[[Agency]:[Agency]]=$E69)/(TableDiv[[Agency]:[Agency]]=$E69)*(ROW(TableDiv[Agency])-ROW(TableDiv[[#Headers],[Agency]])),COLUMNS($F$7:V$7))))</f>
        <v/>
      </c>
      <c r="W69" s="2223" t="str" cm="1">
        <f t="array" ref="W69">IF($D69&lt;COLUMNS($F$7:W$7),"",INDEX(TableDiv[[GASB]:[GASB]],_xlfn.AGGREGATE(15,3,(TableDiv[[Agency]:[Agency]]=$E69)/(TableDiv[[Agency]:[Agency]]=$E69)*(ROW(TableDiv[Agency])-ROW(TableDiv[[#Headers],[Agency]])),COLUMNS($F$7:W$7))))</f>
        <v/>
      </c>
      <c r="X69" s="2223" t="str" cm="1">
        <f t="array" ref="X69">IF($D69&lt;COLUMNS($F$7:X$7),"",INDEX(TableDiv[[GASB]:[GASB]],_xlfn.AGGREGATE(15,3,(TableDiv[[Agency]:[Agency]]=$E69)/(TableDiv[[Agency]:[Agency]]=$E69)*(ROW(TableDiv[Agency])-ROW(TableDiv[[#Headers],[Agency]])),COLUMNS($F$7:X$7))))</f>
        <v/>
      </c>
      <c r="Y69" s="2223" t="str" cm="1">
        <f t="array" ref="Y69">IF($D69&lt;COLUMNS($F$7:Y$7),"",INDEX(TableDiv[[GASB]:[GASB]],_xlfn.AGGREGATE(15,3,(TableDiv[[Agency]:[Agency]]=$E69)/(TableDiv[[Agency]:[Agency]]=$E69)*(ROW(TableDiv[Agency])-ROW(TableDiv[[#Headers],[Agency]])),COLUMNS($F$7:Y$7))))</f>
        <v/>
      </c>
      <c r="Z69" s="2223" t="str" cm="1">
        <f t="array" ref="Z69">IF($D69&lt;COLUMNS($F$7:Z$7),"",INDEX(TableDiv[[GASB]:[GASB]],_xlfn.AGGREGATE(15,3,(TableDiv[[Agency]:[Agency]]=$E69)/(TableDiv[[Agency]:[Agency]]=$E69)*(ROW(TableDiv[Agency])-ROW(TableDiv[[#Headers],[Agency]])),COLUMNS($F$7:Z$7))))</f>
        <v/>
      </c>
      <c r="AA69" s="2223" t="str" cm="1">
        <f t="array" ref="AA69">IF($D69&lt;COLUMNS($F$7:AA$7),"",INDEX(TableDiv[[GASB]:[GASB]],_xlfn.AGGREGATE(15,3,(TableDiv[[Agency]:[Agency]]=$E69)/(TableDiv[[Agency]:[Agency]]=$E69)*(ROW(TableDiv[Agency])-ROW(TableDiv[[#Headers],[Agency]])),COLUMNS($F$7:AA$7))))</f>
        <v/>
      </c>
      <c r="AB69" s="2223" t="str" cm="1">
        <f t="array" ref="AB69">IF($D69&lt;COLUMNS($F$7:AB$7),"",INDEX(TableDiv[[GASB]:[GASB]],_xlfn.AGGREGATE(15,3,(TableDiv[[Agency]:[Agency]]=$E69)/(TableDiv[[Agency]:[Agency]]=$E69)*(ROW(TableDiv[Agency])-ROW(TableDiv[[#Headers],[Agency]])),COLUMNS($F$7:AB$7))))</f>
        <v/>
      </c>
      <c r="AC69" s="2223" t="str" cm="1">
        <f t="array" ref="AC69">IF($D69&lt;COLUMNS($F$7:AC$7),"",INDEX(TableDiv[[GASB]:[GASB]],_xlfn.AGGREGATE(15,3,(TableDiv[[Agency]:[Agency]]=$E69)/(TableDiv[[Agency]:[Agency]]=$E69)*(ROW(TableDiv[Agency])-ROW(TableDiv[[#Headers],[Agency]])),COLUMNS($F$7:AC$7))))</f>
        <v/>
      </c>
      <c r="AD69" s="2223" t="str" cm="1">
        <f t="array" ref="AD69">IF($D69&lt;COLUMNS($F$7:AD$7),"",INDEX(TableDiv[[GASB]:[GASB]],_xlfn.AGGREGATE(15,3,(TableDiv[[Agency]:[Agency]]=$E69)/(TableDiv[[Agency]:[Agency]]=$E69)*(ROW(TableDiv[Agency])-ROW(TableDiv[[#Headers],[Agency]])),COLUMNS($F$7:AD$7))))</f>
        <v/>
      </c>
      <c r="AE69" s="2223" t="str" cm="1">
        <f t="array" ref="AE69">IF($D69&lt;COLUMNS($F$7:AE$7),"",INDEX(TableDiv[[GASB]:[GASB]],_xlfn.AGGREGATE(15,3,(TableDiv[[Agency]:[Agency]]=$E69)/(TableDiv[[Agency]:[Agency]]=$E69)*(ROW(TableDiv[Agency])-ROW(TableDiv[[#Headers],[Agency]])),COLUMNS($F$7:AE$7))))</f>
        <v/>
      </c>
      <c r="AF69" s="2223" t="str" cm="1">
        <f t="array" ref="AF69">IF($D69&lt;COLUMNS($F$7:AF$7),"",INDEX(TableDiv[[GASB]:[GASB]],_xlfn.AGGREGATE(15,3,(TableDiv[[Agency]:[Agency]]=$E69)/(TableDiv[[Agency]:[Agency]]=$E69)*(ROW(TableDiv[Agency])-ROW(TableDiv[[#Headers],[Agency]])),COLUMNS($F$7:AF$7))))</f>
        <v/>
      </c>
      <c r="AG69" s="2223" t="str" cm="1">
        <f t="array" ref="AG69">IF($D69&lt;COLUMNS($F$7:AG$7),"",INDEX(TableDiv[[GASB]:[GASB]],_xlfn.AGGREGATE(15,3,(TableDiv[[Agency]:[Agency]]=$E69)/(TableDiv[[Agency]:[Agency]]=$E69)*(ROW(TableDiv[Agency])-ROW(TableDiv[[#Headers],[Agency]])),COLUMNS($F$7:AG$7))))</f>
        <v/>
      </c>
      <c r="AH69" s="2223" t="str" cm="1">
        <f t="array" ref="AH69">IF($D69&lt;COLUMNS($F$7:AH$7),"",INDEX(TableDiv[[GASB]:[GASB]],_xlfn.AGGREGATE(15,3,(TableDiv[[Agency]:[Agency]]=$E69)/(TableDiv[[Agency]:[Agency]]=$E69)*(ROW(TableDiv[Agency])-ROW(TableDiv[[#Headers],[Agency]])),COLUMNS($F$7:AH$7))))</f>
        <v/>
      </c>
      <c r="AI69" s="2223" t="str" cm="1">
        <f t="array" ref="AI69">IF($D69&lt;COLUMNS($F$7:AI$7),"",INDEX(TableDiv[[GASB]:[GASB]],_xlfn.AGGREGATE(15,3,(TableDiv[[Agency]:[Agency]]=$E69)/(TableDiv[[Agency]:[Agency]]=$E69)*(ROW(TableDiv[Agency])-ROW(TableDiv[[#Headers],[Agency]])),COLUMNS($F$7:AI$7))))</f>
        <v/>
      </c>
      <c r="AJ69" s="2223" t="str" cm="1">
        <f t="array" ref="AJ69">IF($D69&lt;COLUMNS($F$7:AJ$7),"",INDEX(TableDiv[[GASB]:[GASB]],_xlfn.AGGREGATE(15,3,(TableDiv[[Agency]:[Agency]]=$E69)/(TableDiv[[Agency]:[Agency]]=$E69)*(ROW(TableDiv[Agency])-ROW(TableDiv[[#Headers],[Agency]])),COLUMNS($F$7:AJ$7))))</f>
        <v/>
      </c>
      <c r="AK69" s="2223" t="str" cm="1">
        <f t="array" ref="AK69">IF($D69&lt;COLUMNS($F$7:AK$7),"",INDEX(TableDiv[[GASB]:[GASB]],_xlfn.AGGREGATE(15,3,(TableDiv[[Agency]:[Agency]]=$E69)/(TableDiv[[Agency]:[Agency]]=$E69)*(ROW(TableDiv[Agency])-ROW(TableDiv[[#Headers],[Agency]])),COLUMNS($F$7:AK$7))))</f>
        <v/>
      </c>
      <c r="AL69" s="2223" t="str" cm="1">
        <f t="array" ref="AL69">IF($D69&lt;COLUMNS($F$7:AL$7),"",INDEX(TableDiv[[GASB]:[GASB]],_xlfn.AGGREGATE(15,3,(TableDiv[[Agency]:[Agency]]=$E69)/(TableDiv[[Agency]:[Agency]]=$E69)*(ROW(TableDiv[Agency])-ROW(TableDiv[[#Headers],[Agency]])),COLUMNS($F$7:AL$7))))</f>
        <v/>
      </c>
      <c r="AM69" s="2223" t="str" cm="1">
        <f t="array" ref="AM69">IF($D69&lt;COLUMNS($F$7:AM$7),"",INDEX(TableDiv[[GASB]:[GASB]],_xlfn.AGGREGATE(15,3,(TableDiv[[Agency]:[Agency]]=$E69)/(TableDiv[[Agency]:[Agency]]=$E69)*(ROW(TableDiv[Agency])-ROW(TableDiv[[#Headers],[Agency]])),COLUMNS($F$7:AM$7))))</f>
        <v/>
      </c>
      <c r="AN69" s="2223"/>
      <c r="AO69" s="2223"/>
      <c r="AP69" s="2223"/>
      <c r="AQ69" s="2223"/>
      <c r="AR69" s="2223"/>
      <c r="AS69" s="2223"/>
    </row>
    <row r="70" spans="1:45" ht="15" x14ac:dyDescent="0.25">
      <c r="A70" s="2219" t="s">
        <v>5102</v>
      </c>
      <c r="B70" s="2219" t="s">
        <v>6401</v>
      </c>
      <c r="C70" s="2223"/>
      <c r="D70" s="2223">
        <f>COUNTIF(TableDiv[Agency],E70)</f>
        <v>6</v>
      </c>
      <c r="E70" s="2230" t="str" cm="1">
        <f t="array" ref="E70">IFERROR(INDEX(TableDiv[Agency],MATCH(0,INDEX(COUNTIF($E$7:E69,TableDiv[Agency]),),0)),"")</f>
        <v>RC00</v>
      </c>
      <c r="F70" s="2223" t="str" cm="1">
        <f t="array" ref="F70">IF($D70&lt;COLUMNS($F$7:F$7),"",INDEX(TableDiv[[GASB]:[GASB]],_xlfn.AGGREGATE(15,3,(TableDiv[[Agency]:[Agency]]=$E70)/(TableDiv[[Agency]:[Agency]]=$E70)*(ROW(TableDiv[Agency])-ROW(TableDiv[[#Headers],[Agency]])),COLUMNS($F$7:F$7))))</f>
        <v>13620G</v>
      </c>
      <c r="G70" s="2223" t="str" cm="1">
        <f t="array" ref="G70">IF($D70&lt;COLUMNS($F$7:G$7),"",INDEX(TableDiv[[GASB]:[GASB]],_xlfn.AGGREGATE(15,3,(TableDiv[[Agency]:[Agency]]=$E70)/(TableDiv[[Agency]:[Agency]]=$E70)*(ROW(TableDiv[Agency])-ROW(TableDiv[[#Headers],[Agency]])),COLUMNS($F$7:G$7))))</f>
        <v>13710G</v>
      </c>
      <c r="H70" s="2223" t="str" cm="1">
        <f t="array" ref="H70">IF($D70&lt;COLUMNS($F$7:H$7),"",INDEX(TableDiv[[GASB]:[GASB]],_xlfn.AGGREGATE(15,3,(TableDiv[[Agency]:[Agency]]=$E70)/(TableDiv[[Agency]:[Agency]]=$E70)*(ROW(TableDiv[Agency])-ROW(TableDiv[[#Headers],[Agency]])),COLUMNS($F$7:H$7))))</f>
        <v>14290G</v>
      </c>
      <c r="I70" s="2223" t="str" cm="1">
        <f t="array" ref="I70">IF($D70&lt;COLUMNS($F$7:I$7),"",INDEX(TableDiv[[GASB]:[GASB]],_xlfn.AGGREGATE(15,3,(TableDiv[[Agency]:[Agency]]=$E70)/(TableDiv[[Agency]:[Agency]]=$E70)*(ROW(TableDiv[Agency])-ROW(TableDiv[[#Headers],[Agency]])),COLUMNS($F$7:I$7))))</f>
        <v>14300G</v>
      </c>
      <c r="J70" s="2223" t="str" cm="1">
        <f t="array" ref="J70">IF($D70&lt;COLUMNS($F$7:J$7),"",INDEX(TableDiv[[GASB]:[GASB]],_xlfn.AGGREGATE(15,3,(TableDiv[[Agency]:[Agency]]=$E70)/(TableDiv[[Agency]:[Agency]]=$E70)*(ROW(TableDiv[Agency])-ROW(TableDiv[[#Headers],[Agency]])),COLUMNS($F$7:J$7))))</f>
        <v>25360G</v>
      </c>
      <c r="K70" s="2223" t="str" cm="1">
        <f t="array" ref="K70">IF($D70&lt;COLUMNS($F$7:K$7),"",INDEX(TableDiv[[GASB]:[GASB]],_xlfn.AGGREGATE(15,3,(TableDiv[[Agency]:[Agency]]=$E70)/(TableDiv[[Agency]:[Agency]]=$E70)*(ROW(TableDiv[Agency])-ROW(TableDiv[[#Headers],[Agency]])),COLUMNS($F$7:K$7))))</f>
        <v>25370G</v>
      </c>
      <c r="L70" s="2223" t="str" cm="1">
        <f t="array" ref="L70">IF($D70&lt;COLUMNS($F$7:L$7),"",INDEX(TableDiv[[GASB]:[GASB]],_xlfn.AGGREGATE(15,3,(TableDiv[[Agency]:[Agency]]=$E70)/(TableDiv[[Agency]:[Agency]]=$E70)*(ROW(TableDiv[Agency])-ROW(TableDiv[[#Headers],[Agency]])),COLUMNS($F$7:L$7))))</f>
        <v/>
      </c>
      <c r="M70" s="2223" t="str" cm="1">
        <f t="array" ref="M70">IF($D70&lt;COLUMNS($F$7:M$7),"",INDEX(TableDiv[[GASB]:[GASB]],_xlfn.AGGREGATE(15,3,(TableDiv[[Agency]:[Agency]]=$E70)/(TableDiv[[Agency]:[Agency]]=$E70)*(ROW(TableDiv[Agency])-ROW(TableDiv[[#Headers],[Agency]])),COLUMNS($F$7:M$7))))</f>
        <v/>
      </c>
      <c r="N70" s="2223" t="str" cm="1">
        <f t="array" ref="N70">IF($D70&lt;COLUMNS($F$7:N$7),"",INDEX(TableDiv[[GASB]:[GASB]],_xlfn.AGGREGATE(15,3,(TableDiv[[Agency]:[Agency]]=$E70)/(TableDiv[[Agency]:[Agency]]=$E70)*(ROW(TableDiv[Agency])-ROW(TableDiv[[#Headers],[Agency]])),COLUMNS($F$7:N$7))))</f>
        <v/>
      </c>
      <c r="O70" s="2223" t="str" cm="1">
        <f t="array" ref="O70">IF($D70&lt;COLUMNS($F$7:O$7),"",INDEX(TableDiv[[GASB]:[GASB]],_xlfn.AGGREGATE(15,3,(TableDiv[[Agency]:[Agency]]=$E70)/(TableDiv[[Agency]:[Agency]]=$E70)*(ROW(TableDiv[Agency])-ROW(TableDiv[[#Headers],[Agency]])),COLUMNS($F$7:O$7))))</f>
        <v/>
      </c>
      <c r="P70" s="2223" t="str" cm="1">
        <f t="array" ref="P70">IF($D70&lt;COLUMNS($F$7:P$7),"",INDEX(TableDiv[[GASB]:[GASB]],_xlfn.AGGREGATE(15,3,(TableDiv[[Agency]:[Agency]]=$E70)/(TableDiv[[Agency]:[Agency]]=$E70)*(ROW(TableDiv[Agency])-ROW(TableDiv[[#Headers],[Agency]])),COLUMNS($F$7:P$7))))</f>
        <v/>
      </c>
      <c r="Q70" s="2223" t="str" cm="1">
        <f t="array" ref="Q70">IF($D70&lt;COLUMNS($F$7:Q$7),"",INDEX(TableDiv[[GASB]:[GASB]],_xlfn.AGGREGATE(15,3,(TableDiv[[Agency]:[Agency]]=$E70)/(TableDiv[[Agency]:[Agency]]=$E70)*(ROW(TableDiv[Agency])-ROW(TableDiv[[#Headers],[Agency]])),COLUMNS($F$7:Q$7))))</f>
        <v/>
      </c>
      <c r="R70" s="2223" t="str" cm="1">
        <f t="array" ref="R70">IF($D70&lt;COLUMNS($F$7:R$7),"",INDEX(TableDiv[[GASB]:[GASB]],_xlfn.AGGREGATE(15,3,(TableDiv[[Agency]:[Agency]]=$E70)/(TableDiv[[Agency]:[Agency]]=$E70)*(ROW(TableDiv[Agency])-ROW(TableDiv[[#Headers],[Agency]])),COLUMNS($F$7:R$7))))</f>
        <v/>
      </c>
      <c r="S70" s="2223" t="str" cm="1">
        <f t="array" ref="S70">IF($D70&lt;COLUMNS($F$7:S$7),"",INDEX(TableDiv[[GASB]:[GASB]],_xlfn.AGGREGATE(15,3,(TableDiv[[Agency]:[Agency]]=$E70)/(TableDiv[[Agency]:[Agency]]=$E70)*(ROW(TableDiv[Agency])-ROW(TableDiv[[#Headers],[Agency]])),COLUMNS($F$7:S$7))))</f>
        <v/>
      </c>
      <c r="T70" s="2223" t="str" cm="1">
        <f t="array" ref="T70">IF($D70&lt;COLUMNS($F$7:T$7),"",INDEX(TableDiv[[GASB]:[GASB]],_xlfn.AGGREGATE(15,3,(TableDiv[[Agency]:[Agency]]=$E70)/(TableDiv[[Agency]:[Agency]]=$E70)*(ROW(TableDiv[Agency])-ROW(TableDiv[[#Headers],[Agency]])),COLUMNS($F$7:T$7))))</f>
        <v/>
      </c>
      <c r="U70" s="2223" t="str" cm="1">
        <f t="array" ref="U70">IF($D70&lt;COLUMNS($F$7:U$7),"",INDEX(TableDiv[[GASB]:[GASB]],_xlfn.AGGREGATE(15,3,(TableDiv[[Agency]:[Agency]]=$E70)/(TableDiv[[Agency]:[Agency]]=$E70)*(ROW(TableDiv[Agency])-ROW(TableDiv[[#Headers],[Agency]])),COLUMNS($F$7:U$7))))</f>
        <v/>
      </c>
      <c r="V70" s="2223" t="str" cm="1">
        <f t="array" ref="V70">IF($D70&lt;COLUMNS($F$7:V$7),"",INDEX(TableDiv[[GASB]:[GASB]],_xlfn.AGGREGATE(15,3,(TableDiv[[Agency]:[Agency]]=$E70)/(TableDiv[[Agency]:[Agency]]=$E70)*(ROW(TableDiv[Agency])-ROW(TableDiv[[#Headers],[Agency]])),COLUMNS($F$7:V$7))))</f>
        <v/>
      </c>
      <c r="W70" s="2223" t="str" cm="1">
        <f t="array" ref="W70">IF($D70&lt;COLUMNS($F$7:W$7),"",INDEX(TableDiv[[GASB]:[GASB]],_xlfn.AGGREGATE(15,3,(TableDiv[[Agency]:[Agency]]=$E70)/(TableDiv[[Agency]:[Agency]]=$E70)*(ROW(TableDiv[Agency])-ROW(TableDiv[[#Headers],[Agency]])),COLUMNS($F$7:W$7))))</f>
        <v/>
      </c>
      <c r="X70" s="2223" t="str" cm="1">
        <f t="array" ref="X70">IF($D70&lt;COLUMNS($F$7:X$7),"",INDEX(TableDiv[[GASB]:[GASB]],_xlfn.AGGREGATE(15,3,(TableDiv[[Agency]:[Agency]]=$E70)/(TableDiv[[Agency]:[Agency]]=$E70)*(ROW(TableDiv[Agency])-ROW(TableDiv[[#Headers],[Agency]])),COLUMNS($F$7:X$7))))</f>
        <v/>
      </c>
      <c r="Y70" s="2223" t="str" cm="1">
        <f t="array" ref="Y70">IF($D70&lt;COLUMNS($F$7:Y$7),"",INDEX(TableDiv[[GASB]:[GASB]],_xlfn.AGGREGATE(15,3,(TableDiv[[Agency]:[Agency]]=$E70)/(TableDiv[[Agency]:[Agency]]=$E70)*(ROW(TableDiv[Agency])-ROW(TableDiv[[#Headers],[Agency]])),COLUMNS($F$7:Y$7))))</f>
        <v/>
      </c>
      <c r="Z70" s="2223" t="str" cm="1">
        <f t="array" ref="Z70">IF($D70&lt;COLUMNS($F$7:Z$7),"",INDEX(TableDiv[[GASB]:[GASB]],_xlfn.AGGREGATE(15,3,(TableDiv[[Agency]:[Agency]]=$E70)/(TableDiv[[Agency]:[Agency]]=$E70)*(ROW(TableDiv[Agency])-ROW(TableDiv[[#Headers],[Agency]])),COLUMNS($F$7:Z$7))))</f>
        <v/>
      </c>
      <c r="AA70" s="2223" t="str" cm="1">
        <f t="array" ref="AA70">IF($D70&lt;COLUMNS($F$7:AA$7),"",INDEX(TableDiv[[GASB]:[GASB]],_xlfn.AGGREGATE(15,3,(TableDiv[[Agency]:[Agency]]=$E70)/(TableDiv[[Agency]:[Agency]]=$E70)*(ROW(TableDiv[Agency])-ROW(TableDiv[[#Headers],[Agency]])),COLUMNS($F$7:AA$7))))</f>
        <v/>
      </c>
      <c r="AB70" s="2223" t="str" cm="1">
        <f t="array" ref="AB70">IF($D70&lt;COLUMNS($F$7:AB$7),"",INDEX(TableDiv[[GASB]:[GASB]],_xlfn.AGGREGATE(15,3,(TableDiv[[Agency]:[Agency]]=$E70)/(TableDiv[[Agency]:[Agency]]=$E70)*(ROW(TableDiv[Agency])-ROW(TableDiv[[#Headers],[Agency]])),COLUMNS($F$7:AB$7))))</f>
        <v/>
      </c>
      <c r="AC70" s="2223" t="str" cm="1">
        <f t="array" ref="AC70">IF($D70&lt;COLUMNS($F$7:AC$7),"",INDEX(TableDiv[[GASB]:[GASB]],_xlfn.AGGREGATE(15,3,(TableDiv[[Agency]:[Agency]]=$E70)/(TableDiv[[Agency]:[Agency]]=$E70)*(ROW(TableDiv[Agency])-ROW(TableDiv[[#Headers],[Agency]])),COLUMNS($F$7:AC$7))))</f>
        <v/>
      </c>
      <c r="AD70" s="2223" t="str" cm="1">
        <f t="array" ref="AD70">IF($D70&lt;COLUMNS($F$7:AD$7),"",INDEX(TableDiv[[GASB]:[GASB]],_xlfn.AGGREGATE(15,3,(TableDiv[[Agency]:[Agency]]=$E70)/(TableDiv[[Agency]:[Agency]]=$E70)*(ROW(TableDiv[Agency])-ROW(TableDiv[[#Headers],[Agency]])),COLUMNS($F$7:AD$7))))</f>
        <v/>
      </c>
      <c r="AE70" s="2223" t="str" cm="1">
        <f t="array" ref="AE70">IF($D70&lt;COLUMNS($F$7:AE$7),"",INDEX(TableDiv[[GASB]:[GASB]],_xlfn.AGGREGATE(15,3,(TableDiv[[Agency]:[Agency]]=$E70)/(TableDiv[[Agency]:[Agency]]=$E70)*(ROW(TableDiv[Agency])-ROW(TableDiv[[#Headers],[Agency]])),COLUMNS($F$7:AE$7))))</f>
        <v/>
      </c>
      <c r="AF70" s="2223" t="str" cm="1">
        <f t="array" ref="AF70">IF($D70&lt;COLUMNS($F$7:AF$7),"",INDEX(TableDiv[[GASB]:[GASB]],_xlfn.AGGREGATE(15,3,(TableDiv[[Agency]:[Agency]]=$E70)/(TableDiv[[Agency]:[Agency]]=$E70)*(ROW(TableDiv[Agency])-ROW(TableDiv[[#Headers],[Agency]])),COLUMNS($F$7:AF$7))))</f>
        <v/>
      </c>
      <c r="AG70" s="2223" t="str" cm="1">
        <f t="array" ref="AG70">IF($D70&lt;COLUMNS($F$7:AG$7),"",INDEX(TableDiv[[GASB]:[GASB]],_xlfn.AGGREGATE(15,3,(TableDiv[[Agency]:[Agency]]=$E70)/(TableDiv[[Agency]:[Agency]]=$E70)*(ROW(TableDiv[Agency])-ROW(TableDiv[[#Headers],[Agency]])),COLUMNS($F$7:AG$7))))</f>
        <v/>
      </c>
      <c r="AH70" s="2223" t="str" cm="1">
        <f t="array" ref="AH70">IF($D70&lt;COLUMNS($F$7:AH$7),"",INDEX(TableDiv[[GASB]:[GASB]],_xlfn.AGGREGATE(15,3,(TableDiv[[Agency]:[Agency]]=$E70)/(TableDiv[[Agency]:[Agency]]=$E70)*(ROW(TableDiv[Agency])-ROW(TableDiv[[#Headers],[Agency]])),COLUMNS($F$7:AH$7))))</f>
        <v/>
      </c>
      <c r="AI70" s="2223" t="str" cm="1">
        <f t="array" ref="AI70">IF($D70&lt;COLUMNS($F$7:AI$7),"",INDEX(TableDiv[[GASB]:[GASB]],_xlfn.AGGREGATE(15,3,(TableDiv[[Agency]:[Agency]]=$E70)/(TableDiv[[Agency]:[Agency]]=$E70)*(ROW(TableDiv[Agency])-ROW(TableDiv[[#Headers],[Agency]])),COLUMNS($F$7:AI$7))))</f>
        <v/>
      </c>
      <c r="AJ70" s="2223" t="str" cm="1">
        <f t="array" ref="AJ70">IF($D70&lt;COLUMNS($F$7:AJ$7),"",INDEX(TableDiv[[GASB]:[GASB]],_xlfn.AGGREGATE(15,3,(TableDiv[[Agency]:[Agency]]=$E70)/(TableDiv[[Agency]:[Agency]]=$E70)*(ROW(TableDiv[Agency])-ROW(TableDiv[[#Headers],[Agency]])),COLUMNS($F$7:AJ$7))))</f>
        <v/>
      </c>
      <c r="AK70" s="2223" t="str" cm="1">
        <f t="array" ref="AK70">IF($D70&lt;COLUMNS($F$7:AK$7),"",INDEX(TableDiv[[GASB]:[GASB]],_xlfn.AGGREGATE(15,3,(TableDiv[[Agency]:[Agency]]=$E70)/(TableDiv[[Agency]:[Agency]]=$E70)*(ROW(TableDiv[Agency])-ROW(TableDiv[[#Headers],[Agency]])),COLUMNS($F$7:AK$7))))</f>
        <v/>
      </c>
      <c r="AL70" s="2223" t="str" cm="1">
        <f t="array" ref="AL70">IF($D70&lt;COLUMNS($F$7:AL$7),"",INDEX(TableDiv[[GASB]:[GASB]],_xlfn.AGGREGATE(15,3,(TableDiv[[Agency]:[Agency]]=$E70)/(TableDiv[[Agency]:[Agency]]=$E70)*(ROW(TableDiv[Agency])-ROW(TableDiv[[#Headers],[Agency]])),COLUMNS($F$7:AL$7))))</f>
        <v/>
      </c>
      <c r="AM70" s="2223" t="str" cm="1">
        <f t="array" ref="AM70">IF($D70&lt;COLUMNS($F$7:AM$7),"",INDEX(TableDiv[[GASB]:[GASB]],_xlfn.AGGREGATE(15,3,(TableDiv[[Agency]:[Agency]]=$E70)/(TableDiv[[Agency]:[Agency]]=$E70)*(ROW(TableDiv[Agency])-ROW(TableDiv[[#Headers],[Agency]])),COLUMNS($F$7:AM$7))))</f>
        <v/>
      </c>
      <c r="AN70" s="2223"/>
      <c r="AO70" s="2223"/>
      <c r="AP70" s="2223"/>
      <c r="AQ70" s="2223"/>
      <c r="AR70" s="2223"/>
      <c r="AS70" s="2223"/>
    </row>
    <row r="71" spans="1:45" ht="15" x14ac:dyDescent="0.25">
      <c r="A71" s="2219" t="s">
        <v>5102</v>
      </c>
      <c r="B71" s="2219" t="s">
        <v>6358</v>
      </c>
      <c r="C71" s="2223"/>
      <c r="D71" s="2223">
        <f>COUNTIF(TableDiv[Agency],E71)</f>
        <v>4</v>
      </c>
      <c r="E71" s="2230" t="str" cm="1">
        <f t="array" ref="E71">IFERROR(INDEX(TableDiv[Agency],MATCH(0,INDEX(COUNTIF($E$7:E70,TableDiv[Agency]),),0)),"")</f>
        <v>RG00</v>
      </c>
      <c r="F71" s="2223" t="str" cm="1">
        <f t="array" ref="F71">IF($D71&lt;COLUMNS($F$7:F$7),"",INDEX(TableDiv[[GASB]:[GASB]],_xlfn.AGGREGATE(15,3,(TableDiv[[Agency]:[Agency]]=$E71)/(TableDiv[[Agency]:[Agency]]=$E71)*(ROW(TableDiv[Agency])-ROW(TableDiv[[#Headers],[Agency]])),COLUMNS($F$7:F$7))))</f>
        <v>11020G</v>
      </c>
      <c r="G71" s="2223" t="str" cm="1">
        <f t="array" ref="G71">IF($D71&lt;COLUMNS($F$7:G$7),"",INDEX(TableDiv[[GASB]:[GASB]],_xlfn.AGGREGATE(15,3,(TableDiv[[Agency]:[Agency]]=$E71)/(TableDiv[[Agency]:[Agency]]=$E71)*(ROW(TableDiv[Agency])-ROW(TableDiv[[#Headers],[Agency]])),COLUMNS($F$7:G$7))))</f>
        <v>11060G</v>
      </c>
      <c r="H71" s="2223" t="str" cm="1">
        <f t="array" ref="H71">IF($D71&lt;COLUMNS($F$7:H$7),"",INDEX(TableDiv[[GASB]:[GASB]],_xlfn.AGGREGATE(15,3,(TableDiv[[Agency]:[Agency]]=$E71)/(TableDiv[[Agency]:[Agency]]=$E71)*(ROW(TableDiv[Agency])-ROW(TableDiv[[#Headers],[Agency]])),COLUMNS($F$7:H$7))))</f>
        <v>12000G</v>
      </c>
      <c r="I71" s="2223" t="str" cm="1">
        <f t="array" ref="I71">IF($D71&lt;COLUMNS($F$7:I$7),"",INDEX(TableDiv[[GASB]:[GASB]],_xlfn.AGGREGATE(15,3,(TableDiv[[Agency]:[Agency]]=$E71)/(TableDiv[[Agency]:[Agency]]=$E71)*(ROW(TableDiv[Agency])-ROW(TableDiv[[#Headers],[Agency]])),COLUMNS($F$7:I$7))))</f>
        <v>39000G</v>
      </c>
      <c r="J71" s="2223" t="str" cm="1">
        <f t="array" ref="J71">IF($D71&lt;COLUMNS($F$7:J$7),"",INDEX(TableDiv[[GASB]:[GASB]],_xlfn.AGGREGATE(15,3,(TableDiv[[Agency]:[Agency]]=$E71)/(TableDiv[[Agency]:[Agency]]=$E71)*(ROW(TableDiv[Agency])-ROW(TableDiv[[#Headers],[Agency]])),COLUMNS($F$7:J$7))))</f>
        <v/>
      </c>
      <c r="K71" s="2223" t="str" cm="1">
        <f t="array" ref="K71">IF($D71&lt;COLUMNS($F$7:K$7),"",INDEX(TableDiv[[GASB]:[GASB]],_xlfn.AGGREGATE(15,3,(TableDiv[[Agency]:[Agency]]=$E71)/(TableDiv[[Agency]:[Agency]]=$E71)*(ROW(TableDiv[Agency])-ROW(TableDiv[[#Headers],[Agency]])),COLUMNS($F$7:K$7))))</f>
        <v/>
      </c>
      <c r="L71" s="2223" t="str" cm="1">
        <f t="array" ref="L71">IF($D71&lt;COLUMNS($F$7:L$7),"",INDEX(TableDiv[[GASB]:[GASB]],_xlfn.AGGREGATE(15,3,(TableDiv[[Agency]:[Agency]]=$E71)/(TableDiv[[Agency]:[Agency]]=$E71)*(ROW(TableDiv[Agency])-ROW(TableDiv[[#Headers],[Agency]])),COLUMNS($F$7:L$7))))</f>
        <v/>
      </c>
      <c r="M71" s="2223" t="str" cm="1">
        <f t="array" ref="M71">IF($D71&lt;COLUMNS($F$7:M$7),"",INDEX(TableDiv[[GASB]:[GASB]],_xlfn.AGGREGATE(15,3,(TableDiv[[Agency]:[Agency]]=$E71)/(TableDiv[[Agency]:[Agency]]=$E71)*(ROW(TableDiv[Agency])-ROW(TableDiv[[#Headers],[Agency]])),COLUMNS($F$7:M$7))))</f>
        <v/>
      </c>
      <c r="N71" s="2223" t="str" cm="1">
        <f t="array" ref="N71">IF($D71&lt;COLUMNS($F$7:N$7),"",INDEX(TableDiv[[GASB]:[GASB]],_xlfn.AGGREGATE(15,3,(TableDiv[[Agency]:[Agency]]=$E71)/(TableDiv[[Agency]:[Agency]]=$E71)*(ROW(TableDiv[Agency])-ROW(TableDiv[[#Headers],[Agency]])),COLUMNS($F$7:N$7))))</f>
        <v/>
      </c>
      <c r="O71" s="2223" t="str" cm="1">
        <f t="array" ref="O71">IF($D71&lt;COLUMNS($F$7:O$7),"",INDEX(TableDiv[[GASB]:[GASB]],_xlfn.AGGREGATE(15,3,(TableDiv[[Agency]:[Agency]]=$E71)/(TableDiv[[Agency]:[Agency]]=$E71)*(ROW(TableDiv[Agency])-ROW(TableDiv[[#Headers],[Agency]])),COLUMNS($F$7:O$7))))</f>
        <v/>
      </c>
      <c r="P71" s="2223" t="str" cm="1">
        <f t="array" ref="P71">IF($D71&lt;COLUMNS($F$7:P$7),"",INDEX(TableDiv[[GASB]:[GASB]],_xlfn.AGGREGATE(15,3,(TableDiv[[Agency]:[Agency]]=$E71)/(TableDiv[[Agency]:[Agency]]=$E71)*(ROW(TableDiv[Agency])-ROW(TableDiv[[#Headers],[Agency]])),COLUMNS($F$7:P$7))))</f>
        <v/>
      </c>
      <c r="Q71" s="2223" t="str" cm="1">
        <f t="array" ref="Q71">IF($D71&lt;COLUMNS($F$7:Q$7),"",INDEX(TableDiv[[GASB]:[GASB]],_xlfn.AGGREGATE(15,3,(TableDiv[[Agency]:[Agency]]=$E71)/(TableDiv[[Agency]:[Agency]]=$E71)*(ROW(TableDiv[Agency])-ROW(TableDiv[[#Headers],[Agency]])),COLUMNS($F$7:Q$7))))</f>
        <v/>
      </c>
      <c r="R71" s="2223" t="str" cm="1">
        <f t="array" ref="R71">IF($D71&lt;COLUMNS($F$7:R$7),"",INDEX(TableDiv[[GASB]:[GASB]],_xlfn.AGGREGATE(15,3,(TableDiv[[Agency]:[Agency]]=$E71)/(TableDiv[[Agency]:[Agency]]=$E71)*(ROW(TableDiv[Agency])-ROW(TableDiv[[#Headers],[Agency]])),COLUMNS($F$7:R$7))))</f>
        <v/>
      </c>
      <c r="S71" s="2223" t="str" cm="1">
        <f t="array" ref="S71">IF($D71&lt;COLUMNS($F$7:S$7),"",INDEX(TableDiv[[GASB]:[GASB]],_xlfn.AGGREGATE(15,3,(TableDiv[[Agency]:[Agency]]=$E71)/(TableDiv[[Agency]:[Agency]]=$E71)*(ROW(TableDiv[Agency])-ROW(TableDiv[[#Headers],[Agency]])),COLUMNS($F$7:S$7))))</f>
        <v/>
      </c>
      <c r="T71" s="2223" t="str" cm="1">
        <f t="array" ref="T71">IF($D71&lt;COLUMNS($F$7:T$7),"",INDEX(TableDiv[[GASB]:[GASB]],_xlfn.AGGREGATE(15,3,(TableDiv[[Agency]:[Agency]]=$E71)/(TableDiv[[Agency]:[Agency]]=$E71)*(ROW(TableDiv[Agency])-ROW(TableDiv[[#Headers],[Agency]])),COLUMNS($F$7:T$7))))</f>
        <v/>
      </c>
      <c r="U71" s="2223" t="str" cm="1">
        <f t="array" ref="U71">IF($D71&lt;COLUMNS($F$7:U$7),"",INDEX(TableDiv[[GASB]:[GASB]],_xlfn.AGGREGATE(15,3,(TableDiv[[Agency]:[Agency]]=$E71)/(TableDiv[[Agency]:[Agency]]=$E71)*(ROW(TableDiv[Agency])-ROW(TableDiv[[#Headers],[Agency]])),COLUMNS($F$7:U$7))))</f>
        <v/>
      </c>
      <c r="V71" s="2223" t="str" cm="1">
        <f t="array" ref="V71">IF($D71&lt;COLUMNS($F$7:V$7),"",INDEX(TableDiv[[GASB]:[GASB]],_xlfn.AGGREGATE(15,3,(TableDiv[[Agency]:[Agency]]=$E71)/(TableDiv[[Agency]:[Agency]]=$E71)*(ROW(TableDiv[Agency])-ROW(TableDiv[[#Headers],[Agency]])),COLUMNS($F$7:V$7))))</f>
        <v/>
      </c>
      <c r="W71" s="2223" t="str" cm="1">
        <f t="array" ref="W71">IF($D71&lt;COLUMNS($F$7:W$7),"",INDEX(TableDiv[[GASB]:[GASB]],_xlfn.AGGREGATE(15,3,(TableDiv[[Agency]:[Agency]]=$E71)/(TableDiv[[Agency]:[Agency]]=$E71)*(ROW(TableDiv[Agency])-ROW(TableDiv[[#Headers],[Agency]])),COLUMNS($F$7:W$7))))</f>
        <v/>
      </c>
      <c r="X71" s="2223" t="str" cm="1">
        <f t="array" ref="X71">IF($D71&lt;COLUMNS($F$7:X$7),"",INDEX(TableDiv[[GASB]:[GASB]],_xlfn.AGGREGATE(15,3,(TableDiv[[Agency]:[Agency]]=$E71)/(TableDiv[[Agency]:[Agency]]=$E71)*(ROW(TableDiv[Agency])-ROW(TableDiv[[#Headers],[Agency]])),COLUMNS($F$7:X$7))))</f>
        <v/>
      </c>
      <c r="Y71" s="2223" t="str" cm="1">
        <f t="array" ref="Y71">IF($D71&lt;COLUMNS($F$7:Y$7),"",INDEX(TableDiv[[GASB]:[GASB]],_xlfn.AGGREGATE(15,3,(TableDiv[[Agency]:[Agency]]=$E71)/(TableDiv[[Agency]:[Agency]]=$E71)*(ROW(TableDiv[Agency])-ROW(TableDiv[[#Headers],[Agency]])),COLUMNS($F$7:Y$7))))</f>
        <v/>
      </c>
      <c r="Z71" s="2223" t="str" cm="1">
        <f t="array" ref="Z71">IF($D71&lt;COLUMNS($F$7:Z$7),"",INDEX(TableDiv[[GASB]:[GASB]],_xlfn.AGGREGATE(15,3,(TableDiv[[Agency]:[Agency]]=$E71)/(TableDiv[[Agency]:[Agency]]=$E71)*(ROW(TableDiv[Agency])-ROW(TableDiv[[#Headers],[Agency]])),COLUMNS($F$7:Z$7))))</f>
        <v/>
      </c>
      <c r="AA71" s="2223" t="str" cm="1">
        <f t="array" ref="AA71">IF($D71&lt;COLUMNS($F$7:AA$7),"",INDEX(TableDiv[[GASB]:[GASB]],_xlfn.AGGREGATE(15,3,(TableDiv[[Agency]:[Agency]]=$E71)/(TableDiv[[Agency]:[Agency]]=$E71)*(ROW(TableDiv[Agency])-ROW(TableDiv[[#Headers],[Agency]])),COLUMNS($F$7:AA$7))))</f>
        <v/>
      </c>
      <c r="AB71" s="2223" t="str" cm="1">
        <f t="array" ref="AB71">IF($D71&lt;COLUMNS($F$7:AB$7),"",INDEX(TableDiv[[GASB]:[GASB]],_xlfn.AGGREGATE(15,3,(TableDiv[[Agency]:[Agency]]=$E71)/(TableDiv[[Agency]:[Agency]]=$E71)*(ROW(TableDiv[Agency])-ROW(TableDiv[[#Headers],[Agency]])),COLUMNS($F$7:AB$7))))</f>
        <v/>
      </c>
      <c r="AC71" s="2223" t="str" cm="1">
        <f t="array" ref="AC71">IF($D71&lt;COLUMNS($F$7:AC$7),"",INDEX(TableDiv[[GASB]:[GASB]],_xlfn.AGGREGATE(15,3,(TableDiv[[Agency]:[Agency]]=$E71)/(TableDiv[[Agency]:[Agency]]=$E71)*(ROW(TableDiv[Agency])-ROW(TableDiv[[#Headers],[Agency]])),COLUMNS($F$7:AC$7))))</f>
        <v/>
      </c>
      <c r="AD71" s="2223" t="str" cm="1">
        <f t="array" ref="AD71">IF($D71&lt;COLUMNS($F$7:AD$7),"",INDEX(TableDiv[[GASB]:[GASB]],_xlfn.AGGREGATE(15,3,(TableDiv[[Agency]:[Agency]]=$E71)/(TableDiv[[Agency]:[Agency]]=$E71)*(ROW(TableDiv[Agency])-ROW(TableDiv[[#Headers],[Agency]])),COLUMNS($F$7:AD$7))))</f>
        <v/>
      </c>
      <c r="AE71" s="2223" t="str" cm="1">
        <f t="array" ref="AE71">IF($D71&lt;COLUMNS($F$7:AE$7),"",INDEX(TableDiv[[GASB]:[GASB]],_xlfn.AGGREGATE(15,3,(TableDiv[[Agency]:[Agency]]=$E71)/(TableDiv[[Agency]:[Agency]]=$E71)*(ROW(TableDiv[Agency])-ROW(TableDiv[[#Headers],[Agency]])),COLUMNS($F$7:AE$7))))</f>
        <v/>
      </c>
      <c r="AF71" s="2223" t="str" cm="1">
        <f t="array" ref="AF71">IF($D71&lt;COLUMNS($F$7:AF$7),"",INDEX(TableDiv[[GASB]:[GASB]],_xlfn.AGGREGATE(15,3,(TableDiv[[Agency]:[Agency]]=$E71)/(TableDiv[[Agency]:[Agency]]=$E71)*(ROW(TableDiv[Agency])-ROW(TableDiv[[#Headers],[Agency]])),COLUMNS($F$7:AF$7))))</f>
        <v/>
      </c>
      <c r="AG71" s="2223" t="str" cm="1">
        <f t="array" ref="AG71">IF($D71&lt;COLUMNS($F$7:AG$7),"",INDEX(TableDiv[[GASB]:[GASB]],_xlfn.AGGREGATE(15,3,(TableDiv[[Agency]:[Agency]]=$E71)/(TableDiv[[Agency]:[Agency]]=$E71)*(ROW(TableDiv[Agency])-ROW(TableDiv[[#Headers],[Agency]])),COLUMNS($F$7:AG$7))))</f>
        <v/>
      </c>
      <c r="AH71" s="2223" t="str" cm="1">
        <f t="array" ref="AH71">IF($D71&lt;COLUMNS($F$7:AH$7),"",INDEX(TableDiv[[GASB]:[GASB]],_xlfn.AGGREGATE(15,3,(TableDiv[[Agency]:[Agency]]=$E71)/(TableDiv[[Agency]:[Agency]]=$E71)*(ROW(TableDiv[Agency])-ROW(TableDiv[[#Headers],[Agency]])),COLUMNS($F$7:AH$7))))</f>
        <v/>
      </c>
      <c r="AI71" s="2223" t="str" cm="1">
        <f t="array" ref="AI71">IF($D71&lt;COLUMNS($F$7:AI$7),"",INDEX(TableDiv[[GASB]:[GASB]],_xlfn.AGGREGATE(15,3,(TableDiv[[Agency]:[Agency]]=$E71)/(TableDiv[[Agency]:[Agency]]=$E71)*(ROW(TableDiv[Agency])-ROW(TableDiv[[#Headers],[Agency]])),COLUMNS($F$7:AI$7))))</f>
        <v/>
      </c>
      <c r="AJ71" s="2223" t="str" cm="1">
        <f t="array" ref="AJ71">IF($D71&lt;COLUMNS($F$7:AJ$7),"",INDEX(TableDiv[[GASB]:[GASB]],_xlfn.AGGREGATE(15,3,(TableDiv[[Agency]:[Agency]]=$E71)/(TableDiv[[Agency]:[Agency]]=$E71)*(ROW(TableDiv[Agency])-ROW(TableDiv[[#Headers],[Agency]])),COLUMNS($F$7:AJ$7))))</f>
        <v/>
      </c>
      <c r="AK71" s="2223" t="str" cm="1">
        <f t="array" ref="AK71">IF($D71&lt;COLUMNS($F$7:AK$7),"",INDEX(TableDiv[[GASB]:[GASB]],_xlfn.AGGREGATE(15,3,(TableDiv[[Agency]:[Agency]]=$E71)/(TableDiv[[Agency]:[Agency]]=$E71)*(ROW(TableDiv[Agency])-ROW(TableDiv[[#Headers],[Agency]])),COLUMNS($F$7:AK$7))))</f>
        <v/>
      </c>
      <c r="AL71" s="2223" t="str" cm="1">
        <f t="array" ref="AL71">IF($D71&lt;COLUMNS($F$7:AL$7),"",INDEX(TableDiv[[GASB]:[GASB]],_xlfn.AGGREGATE(15,3,(TableDiv[[Agency]:[Agency]]=$E71)/(TableDiv[[Agency]:[Agency]]=$E71)*(ROW(TableDiv[Agency])-ROW(TableDiv[[#Headers],[Agency]])),COLUMNS($F$7:AL$7))))</f>
        <v/>
      </c>
      <c r="AM71" s="2223" t="str" cm="1">
        <f t="array" ref="AM71">IF($D71&lt;COLUMNS($F$7:AM$7),"",INDEX(TableDiv[[GASB]:[GASB]],_xlfn.AGGREGATE(15,3,(TableDiv[[Agency]:[Agency]]=$E71)/(TableDiv[[Agency]:[Agency]]=$E71)*(ROW(TableDiv[Agency])-ROW(TableDiv[[#Headers],[Agency]])),COLUMNS($F$7:AM$7))))</f>
        <v/>
      </c>
      <c r="AN71" s="2223"/>
      <c r="AO71" s="2223"/>
      <c r="AP71" s="2223"/>
      <c r="AQ71" s="2223"/>
      <c r="AR71" s="2223"/>
      <c r="AS71" s="2223"/>
    </row>
    <row r="72" spans="1:45" ht="15" x14ac:dyDescent="0.25">
      <c r="A72" s="2219" t="s">
        <v>5102</v>
      </c>
      <c r="B72" s="2219" t="s">
        <v>6402</v>
      </c>
      <c r="C72" s="2223"/>
      <c r="D72" s="2223">
        <f>COUNTIF(TableDiv[Agency],E72)</f>
        <v>1</v>
      </c>
      <c r="E72" s="2230" t="str" cm="1">
        <f t="array" ref="E72">IFERROR(INDEX(TableDiv[Agency],MATCH(0,INDEX(COUNTIF($E$7:E71,TableDiv[Agency]),),0)),"")</f>
        <v>U100</v>
      </c>
      <c r="F72" s="2223" t="str" cm="1">
        <f t="array" ref="F72">IF($D72&lt;COLUMNS($F$7:F$7),"",INDEX(TableDiv[[GASB]:[GASB]],_xlfn.AGGREGATE(15,3,(TableDiv[[Agency]:[Agency]]=$E72)/(TableDiv[[Agency]:[Agency]]=$E72)*(ROW(TableDiv[Agency])-ROW(TableDiv[[#Headers],[Agency]])),COLUMNS($F$7:F$7))))</f>
        <v>U10</v>
      </c>
      <c r="G72" s="2223" t="str" cm="1">
        <f t="array" ref="G72">IF($D72&lt;COLUMNS($F$7:G$7),"",INDEX(TableDiv[[GASB]:[GASB]],_xlfn.AGGREGATE(15,3,(TableDiv[[Agency]:[Agency]]=$E72)/(TableDiv[[Agency]:[Agency]]=$E72)*(ROW(TableDiv[Agency])-ROW(TableDiv[[#Headers],[Agency]])),COLUMNS($F$7:G$7))))</f>
        <v/>
      </c>
      <c r="H72" s="2223" t="str" cm="1">
        <f t="array" ref="H72">IF($D72&lt;COLUMNS($F$7:H$7),"",INDEX(TableDiv[[GASB]:[GASB]],_xlfn.AGGREGATE(15,3,(TableDiv[[Agency]:[Agency]]=$E72)/(TableDiv[[Agency]:[Agency]]=$E72)*(ROW(TableDiv[Agency])-ROW(TableDiv[[#Headers],[Agency]])),COLUMNS($F$7:H$7))))</f>
        <v/>
      </c>
      <c r="I72" s="2223" t="str" cm="1">
        <f t="array" ref="I72">IF($D72&lt;COLUMNS($F$7:I$7),"",INDEX(TableDiv[[GASB]:[GASB]],_xlfn.AGGREGATE(15,3,(TableDiv[[Agency]:[Agency]]=$E72)/(TableDiv[[Agency]:[Agency]]=$E72)*(ROW(TableDiv[Agency])-ROW(TableDiv[[#Headers],[Agency]])),COLUMNS($F$7:I$7))))</f>
        <v/>
      </c>
      <c r="J72" s="2223" t="str" cm="1">
        <f t="array" ref="J72">IF($D72&lt;COLUMNS($F$7:J$7),"",INDEX(TableDiv[[GASB]:[GASB]],_xlfn.AGGREGATE(15,3,(TableDiv[[Agency]:[Agency]]=$E72)/(TableDiv[[Agency]:[Agency]]=$E72)*(ROW(TableDiv[Agency])-ROW(TableDiv[[#Headers],[Agency]])),COLUMNS($F$7:J$7))))</f>
        <v/>
      </c>
      <c r="K72" s="2223" t="str" cm="1">
        <f t="array" ref="K72">IF($D72&lt;COLUMNS($F$7:K$7),"",INDEX(TableDiv[[GASB]:[GASB]],_xlfn.AGGREGATE(15,3,(TableDiv[[Agency]:[Agency]]=$E72)/(TableDiv[[Agency]:[Agency]]=$E72)*(ROW(TableDiv[Agency])-ROW(TableDiv[[#Headers],[Agency]])),COLUMNS($F$7:K$7))))</f>
        <v/>
      </c>
      <c r="L72" s="2223" t="str" cm="1">
        <f t="array" ref="L72">IF($D72&lt;COLUMNS($F$7:L$7),"",INDEX(TableDiv[[GASB]:[GASB]],_xlfn.AGGREGATE(15,3,(TableDiv[[Agency]:[Agency]]=$E72)/(TableDiv[[Agency]:[Agency]]=$E72)*(ROW(TableDiv[Agency])-ROW(TableDiv[[#Headers],[Agency]])),COLUMNS($F$7:L$7))))</f>
        <v/>
      </c>
      <c r="M72" s="2223" t="str" cm="1">
        <f t="array" ref="M72">IF($D72&lt;COLUMNS($F$7:M$7),"",INDEX(TableDiv[[GASB]:[GASB]],_xlfn.AGGREGATE(15,3,(TableDiv[[Agency]:[Agency]]=$E72)/(TableDiv[[Agency]:[Agency]]=$E72)*(ROW(TableDiv[Agency])-ROW(TableDiv[[#Headers],[Agency]])),COLUMNS($F$7:M$7))))</f>
        <v/>
      </c>
      <c r="N72" s="2223" t="str" cm="1">
        <f t="array" ref="N72">IF($D72&lt;COLUMNS($F$7:N$7),"",INDEX(TableDiv[[GASB]:[GASB]],_xlfn.AGGREGATE(15,3,(TableDiv[[Agency]:[Agency]]=$E72)/(TableDiv[[Agency]:[Agency]]=$E72)*(ROW(TableDiv[Agency])-ROW(TableDiv[[#Headers],[Agency]])),COLUMNS($F$7:N$7))))</f>
        <v/>
      </c>
      <c r="O72" s="2223" t="str" cm="1">
        <f t="array" ref="O72">IF($D72&lt;COLUMNS($F$7:O$7),"",INDEX(TableDiv[[GASB]:[GASB]],_xlfn.AGGREGATE(15,3,(TableDiv[[Agency]:[Agency]]=$E72)/(TableDiv[[Agency]:[Agency]]=$E72)*(ROW(TableDiv[Agency])-ROW(TableDiv[[#Headers],[Agency]])),COLUMNS($F$7:O$7))))</f>
        <v/>
      </c>
      <c r="P72" s="2223" t="str" cm="1">
        <f t="array" ref="P72">IF($D72&lt;COLUMNS($F$7:P$7),"",INDEX(TableDiv[[GASB]:[GASB]],_xlfn.AGGREGATE(15,3,(TableDiv[[Agency]:[Agency]]=$E72)/(TableDiv[[Agency]:[Agency]]=$E72)*(ROW(TableDiv[Agency])-ROW(TableDiv[[#Headers],[Agency]])),COLUMNS($F$7:P$7))))</f>
        <v/>
      </c>
      <c r="Q72" s="2223" t="str" cm="1">
        <f t="array" ref="Q72">IF($D72&lt;COLUMNS($F$7:Q$7),"",INDEX(TableDiv[[GASB]:[GASB]],_xlfn.AGGREGATE(15,3,(TableDiv[[Agency]:[Agency]]=$E72)/(TableDiv[[Agency]:[Agency]]=$E72)*(ROW(TableDiv[Agency])-ROW(TableDiv[[#Headers],[Agency]])),COLUMNS($F$7:Q$7))))</f>
        <v/>
      </c>
      <c r="R72" s="2223" t="str" cm="1">
        <f t="array" ref="R72">IF($D72&lt;COLUMNS($F$7:R$7),"",INDEX(TableDiv[[GASB]:[GASB]],_xlfn.AGGREGATE(15,3,(TableDiv[[Agency]:[Agency]]=$E72)/(TableDiv[[Agency]:[Agency]]=$E72)*(ROW(TableDiv[Agency])-ROW(TableDiv[[#Headers],[Agency]])),COLUMNS($F$7:R$7))))</f>
        <v/>
      </c>
      <c r="S72" s="2223" t="str" cm="1">
        <f t="array" ref="S72">IF($D72&lt;COLUMNS($F$7:S$7),"",INDEX(TableDiv[[GASB]:[GASB]],_xlfn.AGGREGATE(15,3,(TableDiv[[Agency]:[Agency]]=$E72)/(TableDiv[[Agency]:[Agency]]=$E72)*(ROW(TableDiv[Agency])-ROW(TableDiv[[#Headers],[Agency]])),COLUMNS($F$7:S$7))))</f>
        <v/>
      </c>
      <c r="T72" s="2223" t="str" cm="1">
        <f t="array" ref="T72">IF($D72&lt;COLUMNS($F$7:T$7),"",INDEX(TableDiv[[GASB]:[GASB]],_xlfn.AGGREGATE(15,3,(TableDiv[[Agency]:[Agency]]=$E72)/(TableDiv[[Agency]:[Agency]]=$E72)*(ROW(TableDiv[Agency])-ROW(TableDiv[[#Headers],[Agency]])),COLUMNS($F$7:T$7))))</f>
        <v/>
      </c>
      <c r="U72" s="2223" t="str" cm="1">
        <f t="array" ref="U72">IF($D72&lt;COLUMNS($F$7:U$7),"",INDEX(TableDiv[[GASB]:[GASB]],_xlfn.AGGREGATE(15,3,(TableDiv[[Agency]:[Agency]]=$E72)/(TableDiv[[Agency]:[Agency]]=$E72)*(ROW(TableDiv[Agency])-ROW(TableDiv[[#Headers],[Agency]])),COLUMNS($F$7:U$7))))</f>
        <v/>
      </c>
      <c r="V72" s="2223" t="str" cm="1">
        <f t="array" ref="V72">IF($D72&lt;COLUMNS($F$7:V$7),"",INDEX(TableDiv[[GASB]:[GASB]],_xlfn.AGGREGATE(15,3,(TableDiv[[Agency]:[Agency]]=$E72)/(TableDiv[[Agency]:[Agency]]=$E72)*(ROW(TableDiv[Agency])-ROW(TableDiv[[#Headers],[Agency]])),COLUMNS($F$7:V$7))))</f>
        <v/>
      </c>
      <c r="W72" s="2223" t="str" cm="1">
        <f t="array" ref="W72">IF($D72&lt;COLUMNS($F$7:W$7),"",INDEX(TableDiv[[GASB]:[GASB]],_xlfn.AGGREGATE(15,3,(TableDiv[[Agency]:[Agency]]=$E72)/(TableDiv[[Agency]:[Agency]]=$E72)*(ROW(TableDiv[Agency])-ROW(TableDiv[[#Headers],[Agency]])),COLUMNS($F$7:W$7))))</f>
        <v/>
      </c>
      <c r="X72" s="2223" t="str" cm="1">
        <f t="array" ref="X72">IF($D72&lt;COLUMNS($F$7:X$7),"",INDEX(TableDiv[[GASB]:[GASB]],_xlfn.AGGREGATE(15,3,(TableDiv[[Agency]:[Agency]]=$E72)/(TableDiv[[Agency]:[Agency]]=$E72)*(ROW(TableDiv[Agency])-ROW(TableDiv[[#Headers],[Agency]])),COLUMNS($F$7:X$7))))</f>
        <v/>
      </c>
      <c r="Y72" s="2223" t="str" cm="1">
        <f t="array" ref="Y72">IF($D72&lt;COLUMNS($F$7:Y$7),"",INDEX(TableDiv[[GASB]:[GASB]],_xlfn.AGGREGATE(15,3,(TableDiv[[Agency]:[Agency]]=$E72)/(TableDiv[[Agency]:[Agency]]=$E72)*(ROW(TableDiv[Agency])-ROW(TableDiv[[#Headers],[Agency]])),COLUMNS($F$7:Y$7))))</f>
        <v/>
      </c>
      <c r="Z72" s="2223" t="str" cm="1">
        <f t="array" ref="Z72">IF($D72&lt;COLUMNS($F$7:Z$7),"",INDEX(TableDiv[[GASB]:[GASB]],_xlfn.AGGREGATE(15,3,(TableDiv[[Agency]:[Agency]]=$E72)/(TableDiv[[Agency]:[Agency]]=$E72)*(ROW(TableDiv[Agency])-ROW(TableDiv[[#Headers],[Agency]])),COLUMNS($F$7:Z$7))))</f>
        <v/>
      </c>
      <c r="AA72" s="2223" t="str" cm="1">
        <f t="array" ref="AA72">IF($D72&lt;COLUMNS($F$7:AA$7),"",INDEX(TableDiv[[GASB]:[GASB]],_xlfn.AGGREGATE(15,3,(TableDiv[[Agency]:[Agency]]=$E72)/(TableDiv[[Agency]:[Agency]]=$E72)*(ROW(TableDiv[Agency])-ROW(TableDiv[[#Headers],[Agency]])),COLUMNS($F$7:AA$7))))</f>
        <v/>
      </c>
      <c r="AB72" s="2223" t="str" cm="1">
        <f t="array" ref="AB72">IF($D72&lt;COLUMNS($F$7:AB$7),"",INDEX(TableDiv[[GASB]:[GASB]],_xlfn.AGGREGATE(15,3,(TableDiv[[Agency]:[Agency]]=$E72)/(TableDiv[[Agency]:[Agency]]=$E72)*(ROW(TableDiv[Agency])-ROW(TableDiv[[#Headers],[Agency]])),COLUMNS($F$7:AB$7))))</f>
        <v/>
      </c>
      <c r="AC72" s="2223" t="str" cm="1">
        <f t="array" ref="AC72">IF($D72&lt;COLUMNS($F$7:AC$7),"",INDEX(TableDiv[[GASB]:[GASB]],_xlfn.AGGREGATE(15,3,(TableDiv[[Agency]:[Agency]]=$E72)/(TableDiv[[Agency]:[Agency]]=$E72)*(ROW(TableDiv[Agency])-ROW(TableDiv[[#Headers],[Agency]])),COLUMNS($F$7:AC$7))))</f>
        <v/>
      </c>
      <c r="AD72" s="2223" t="str" cm="1">
        <f t="array" ref="AD72">IF($D72&lt;COLUMNS($F$7:AD$7),"",INDEX(TableDiv[[GASB]:[GASB]],_xlfn.AGGREGATE(15,3,(TableDiv[[Agency]:[Agency]]=$E72)/(TableDiv[[Agency]:[Agency]]=$E72)*(ROW(TableDiv[Agency])-ROW(TableDiv[[#Headers],[Agency]])),COLUMNS($F$7:AD$7))))</f>
        <v/>
      </c>
      <c r="AE72" s="2223" t="str" cm="1">
        <f t="array" ref="AE72">IF($D72&lt;COLUMNS($F$7:AE$7),"",INDEX(TableDiv[[GASB]:[GASB]],_xlfn.AGGREGATE(15,3,(TableDiv[[Agency]:[Agency]]=$E72)/(TableDiv[[Agency]:[Agency]]=$E72)*(ROW(TableDiv[Agency])-ROW(TableDiv[[#Headers],[Agency]])),COLUMNS($F$7:AE$7))))</f>
        <v/>
      </c>
      <c r="AF72" s="2223" t="str" cm="1">
        <f t="array" ref="AF72">IF($D72&lt;COLUMNS($F$7:AF$7),"",INDEX(TableDiv[[GASB]:[GASB]],_xlfn.AGGREGATE(15,3,(TableDiv[[Agency]:[Agency]]=$E72)/(TableDiv[[Agency]:[Agency]]=$E72)*(ROW(TableDiv[Agency])-ROW(TableDiv[[#Headers],[Agency]])),COLUMNS($F$7:AF$7))))</f>
        <v/>
      </c>
      <c r="AG72" s="2223" t="str" cm="1">
        <f t="array" ref="AG72">IF($D72&lt;COLUMNS($F$7:AG$7),"",INDEX(TableDiv[[GASB]:[GASB]],_xlfn.AGGREGATE(15,3,(TableDiv[[Agency]:[Agency]]=$E72)/(TableDiv[[Agency]:[Agency]]=$E72)*(ROW(TableDiv[Agency])-ROW(TableDiv[[#Headers],[Agency]])),COLUMNS($F$7:AG$7))))</f>
        <v/>
      </c>
      <c r="AH72" s="2223" t="str" cm="1">
        <f t="array" ref="AH72">IF($D72&lt;COLUMNS($F$7:AH$7),"",INDEX(TableDiv[[GASB]:[GASB]],_xlfn.AGGREGATE(15,3,(TableDiv[[Agency]:[Agency]]=$E72)/(TableDiv[[Agency]:[Agency]]=$E72)*(ROW(TableDiv[Agency])-ROW(TableDiv[[#Headers],[Agency]])),COLUMNS($F$7:AH$7))))</f>
        <v/>
      </c>
      <c r="AI72" s="2223" t="str" cm="1">
        <f t="array" ref="AI72">IF($D72&lt;COLUMNS($F$7:AI$7),"",INDEX(TableDiv[[GASB]:[GASB]],_xlfn.AGGREGATE(15,3,(TableDiv[[Agency]:[Agency]]=$E72)/(TableDiv[[Agency]:[Agency]]=$E72)*(ROW(TableDiv[Agency])-ROW(TableDiv[[#Headers],[Agency]])),COLUMNS($F$7:AI$7))))</f>
        <v/>
      </c>
      <c r="AJ72" s="2223" t="str" cm="1">
        <f t="array" ref="AJ72">IF($D72&lt;COLUMNS($F$7:AJ$7),"",INDEX(TableDiv[[GASB]:[GASB]],_xlfn.AGGREGATE(15,3,(TableDiv[[Agency]:[Agency]]=$E72)/(TableDiv[[Agency]:[Agency]]=$E72)*(ROW(TableDiv[Agency])-ROW(TableDiv[[#Headers],[Agency]])),COLUMNS($F$7:AJ$7))))</f>
        <v/>
      </c>
      <c r="AK72" s="2223" t="str" cm="1">
        <f t="array" ref="AK72">IF($D72&lt;COLUMNS($F$7:AK$7),"",INDEX(TableDiv[[GASB]:[GASB]],_xlfn.AGGREGATE(15,3,(TableDiv[[Agency]:[Agency]]=$E72)/(TableDiv[[Agency]:[Agency]]=$E72)*(ROW(TableDiv[Agency])-ROW(TableDiv[[#Headers],[Agency]])),COLUMNS($F$7:AK$7))))</f>
        <v/>
      </c>
      <c r="AL72" s="2223" t="str" cm="1">
        <f t="array" ref="AL72">IF($D72&lt;COLUMNS($F$7:AL$7),"",INDEX(TableDiv[[GASB]:[GASB]],_xlfn.AGGREGATE(15,3,(TableDiv[[Agency]:[Agency]]=$E72)/(TableDiv[[Agency]:[Agency]]=$E72)*(ROW(TableDiv[Agency])-ROW(TableDiv[[#Headers],[Agency]])),COLUMNS($F$7:AL$7))))</f>
        <v/>
      </c>
      <c r="AM72" s="2223" t="str" cm="1">
        <f t="array" ref="AM72">IF($D72&lt;COLUMNS($F$7:AM$7),"",INDEX(TableDiv[[GASB]:[GASB]],_xlfn.AGGREGATE(15,3,(TableDiv[[Agency]:[Agency]]=$E72)/(TableDiv[[Agency]:[Agency]]=$E72)*(ROW(TableDiv[Agency])-ROW(TableDiv[[#Headers],[Agency]])),COLUMNS($F$7:AM$7))))</f>
        <v/>
      </c>
      <c r="AN72" s="2223"/>
      <c r="AO72" s="2223"/>
      <c r="AP72" s="2223"/>
      <c r="AQ72" s="2223"/>
      <c r="AR72" s="2223"/>
      <c r="AS72" s="2223"/>
    </row>
    <row r="73" spans="1:45" ht="15" x14ac:dyDescent="0.25">
      <c r="A73" s="2219" t="s">
        <v>5102</v>
      </c>
      <c r="B73" s="2219" t="s">
        <v>6403</v>
      </c>
      <c r="C73" s="2223"/>
      <c r="D73" s="2223">
        <f>COUNTIF(TableDiv[Agency],E73)</f>
        <v>1</v>
      </c>
      <c r="E73" s="2230" t="str" cm="1">
        <f t="array" ref="E73">IFERROR(INDEX(TableDiv[Agency],MATCH(0,INDEX(COUNTIF($E$7:E72,TableDiv[Agency]),),0)),"")</f>
        <v>U200</v>
      </c>
      <c r="F73" s="2223" t="str" cm="1">
        <f t="array" ref="F73">IF($D73&lt;COLUMNS($F$7:F$7),"",INDEX(TableDiv[[GASB]:[GASB]],_xlfn.AGGREGATE(15,3,(TableDiv[[Agency]:[Agency]]=$E73)/(TableDiv[[Agency]:[Agency]]=$E73)*(ROW(TableDiv[Agency])-ROW(TableDiv[[#Headers],[Agency]])),COLUMNS($F$7:F$7))))</f>
        <v>U20</v>
      </c>
      <c r="G73" s="2223" t="str" cm="1">
        <f t="array" ref="G73">IF($D73&lt;COLUMNS($F$7:G$7),"",INDEX(TableDiv[[GASB]:[GASB]],_xlfn.AGGREGATE(15,3,(TableDiv[[Agency]:[Agency]]=$E73)/(TableDiv[[Agency]:[Agency]]=$E73)*(ROW(TableDiv[Agency])-ROW(TableDiv[[#Headers],[Agency]])),COLUMNS($F$7:G$7))))</f>
        <v/>
      </c>
      <c r="H73" s="2223" t="str" cm="1">
        <f t="array" ref="H73">IF($D73&lt;COLUMNS($F$7:H$7),"",INDEX(TableDiv[[GASB]:[GASB]],_xlfn.AGGREGATE(15,3,(TableDiv[[Agency]:[Agency]]=$E73)/(TableDiv[[Agency]:[Agency]]=$E73)*(ROW(TableDiv[Agency])-ROW(TableDiv[[#Headers],[Agency]])),COLUMNS($F$7:H$7))))</f>
        <v/>
      </c>
      <c r="I73" s="2223" t="str" cm="1">
        <f t="array" ref="I73">IF($D73&lt;COLUMNS($F$7:I$7),"",INDEX(TableDiv[[GASB]:[GASB]],_xlfn.AGGREGATE(15,3,(TableDiv[[Agency]:[Agency]]=$E73)/(TableDiv[[Agency]:[Agency]]=$E73)*(ROW(TableDiv[Agency])-ROW(TableDiv[[#Headers],[Agency]])),COLUMNS($F$7:I$7))))</f>
        <v/>
      </c>
      <c r="J73" s="2223" t="str" cm="1">
        <f t="array" ref="J73">IF($D73&lt;COLUMNS($F$7:J$7),"",INDEX(TableDiv[[GASB]:[GASB]],_xlfn.AGGREGATE(15,3,(TableDiv[[Agency]:[Agency]]=$E73)/(TableDiv[[Agency]:[Agency]]=$E73)*(ROW(TableDiv[Agency])-ROW(TableDiv[[#Headers],[Agency]])),COLUMNS($F$7:J$7))))</f>
        <v/>
      </c>
      <c r="K73" s="2223" t="str" cm="1">
        <f t="array" ref="K73">IF($D73&lt;COLUMNS($F$7:K$7),"",INDEX(TableDiv[[GASB]:[GASB]],_xlfn.AGGREGATE(15,3,(TableDiv[[Agency]:[Agency]]=$E73)/(TableDiv[[Agency]:[Agency]]=$E73)*(ROW(TableDiv[Agency])-ROW(TableDiv[[#Headers],[Agency]])),COLUMNS($F$7:K$7))))</f>
        <v/>
      </c>
      <c r="L73" s="2223" t="str" cm="1">
        <f t="array" ref="L73">IF($D73&lt;COLUMNS($F$7:L$7),"",INDEX(TableDiv[[GASB]:[GASB]],_xlfn.AGGREGATE(15,3,(TableDiv[[Agency]:[Agency]]=$E73)/(TableDiv[[Agency]:[Agency]]=$E73)*(ROW(TableDiv[Agency])-ROW(TableDiv[[#Headers],[Agency]])),COLUMNS($F$7:L$7))))</f>
        <v/>
      </c>
      <c r="M73" s="2223" t="str" cm="1">
        <f t="array" ref="M73">IF($D73&lt;COLUMNS($F$7:M$7),"",INDEX(TableDiv[[GASB]:[GASB]],_xlfn.AGGREGATE(15,3,(TableDiv[[Agency]:[Agency]]=$E73)/(TableDiv[[Agency]:[Agency]]=$E73)*(ROW(TableDiv[Agency])-ROW(TableDiv[[#Headers],[Agency]])),COLUMNS($F$7:M$7))))</f>
        <v/>
      </c>
      <c r="N73" s="2223" t="str" cm="1">
        <f t="array" ref="N73">IF($D73&lt;COLUMNS($F$7:N$7),"",INDEX(TableDiv[[GASB]:[GASB]],_xlfn.AGGREGATE(15,3,(TableDiv[[Agency]:[Agency]]=$E73)/(TableDiv[[Agency]:[Agency]]=$E73)*(ROW(TableDiv[Agency])-ROW(TableDiv[[#Headers],[Agency]])),COLUMNS($F$7:N$7))))</f>
        <v/>
      </c>
      <c r="O73" s="2223" t="str" cm="1">
        <f t="array" ref="O73">IF($D73&lt;COLUMNS($F$7:O$7),"",INDEX(TableDiv[[GASB]:[GASB]],_xlfn.AGGREGATE(15,3,(TableDiv[[Agency]:[Agency]]=$E73)/(TableDiv[[Agency]:[Agency]]=$E73)*(ROW(TableDiv[Agency])-ROW(TableDiv[[#Headers],[Agency]])),COLUMNS($F$7:O$7))))</f>
        <v/>
      </c>
      <c r="P73" s="2223" t="str" cm="1">
        <f t="array" ref="P73">IF($D73&lt;COLUMNS($F$7:P$7),"",INDEX(TableDiv[[GASB]:[GASB]],_xlfn.AGGREGATE(15,3,(TableDiv[[Agency]:[Agency]]=$E73)/(TableDiv[[Agency]:[Agency]]=$E73)*(ROW(TableDiv[Agency])-ROW(TableDiv[[#Headers],[Agency]])),COLUMNS($F$7:P$7))))</f>
        <v/>
      </c>
      <c r="Q73" s="2223" t="str" cm="1">
        <f t="array" ref="Q73">IF($D73&lt;COLUMNS($F$7:Q$7),"",INDEX(TableDiv[[GASB]:[GASB]],_xlfn.AGGREGATE(15,3,(TableDiv[[Agency]:[Agency]]=$E73)/(TableDiv[[Agency]:[Agency]]=$E73)*(ROW(TableDiv[Agency])-ROW(TableDiv[[#Headers],[Agency]])),COLUMNS($F$7:Q$7))))</f>
        <v/>
      </c>
      <c r="R73" s="2223" t="str" cm="1">
        <f t="array" ref="R73">IF($D73&lt;COLUMNS($F$7:R$7),"",INDEX(TableDiv[[GASB]:[GASB]],_xlfn.AGGREGATE(15,3,(TableDiv[[Agency]:[Agency]]=$E73)/(TableDiv[[Agency]:[Agency]]=$E73)*(ROW(TableDiv[Agency])-ROW(TableDiv[[#Headers],[Agency]])),COLUMNS($F$7:R$7))))</f>
        <v/>
      </c>
      <c r="S73" s="2223" t="str" cm="1">
        <f t="array" ref="S73">IF($D73&lt;COLUMNS($F$7:S$7),"",INDEX(TableDiv[[GASB]:[GASB]],_xlfn.AGGREGATE(15,3,(TableDiv[[Agency]:[Agency]]=$E73)/(TableDiv[[Agency]:[Agency]]=$E73)*(ROW(TableDiv[Agency])-ROW(TableDiv[[#Headers],[Agency]])),COLUMNS($F$7:S$7))))</f>
        <v/>
      </c>
      <c r="T73" s="2223" t="str" cm="1">
        <f t="array" ref="T73">IF($D73&lt;COLUMNS($F$7:T$7),"",INDEX(TableDiv[[GASB]:[GASB]],_xlfn.AGGREGATE(15,3,(TableDiv[[Agency]:[Agency]]=$E73)/(TableDiv[[Agency]:[Agency]]=$E73)*(ROW(TableDiv[Agency])-ROW(TableDiv[[#Headers],[Agency]])),COLUMNS($F$7:T$7))))</f>
        <v/>
      </c>
      <c r="U73" s="2223" t="str" cm="1">
        <f t="array" ref="U73">IF($D73&lt;COLUMNS($F$7:U$7),"",INDEX(TableDiv[[GASB]:[GASB]],_xlfn.AGGREGATE(15,3,(TableDiv[[Agency]:[Agency]]=$E73)/(TableDiv[[Agency]:[Agency]]=$E73)*(ROW(TableDiv[Agency])-ROW(TableDiv[[#Headers],[Agency]])),COLUMNS($F$7:U$7))))</f>
        <v/>
      </c>
      <c r="V73" s="2223" t="str" cm="1">
        <f t="array" ref="V73">IF($D73&lt;COLUMNS($F$7:V$7),"",INDEX(TableDiv[[GASB]:[GASB]],_xlfn.AGGREGATE(15,3,(TableDiv[[Agency]:[Agency]]=$E73)/(TableDiv[[Agency]:[Agency]]=$E73)*(ROW(TableDiv[Agency])-ROW(TableDiv[[#Headers],[Agency]])),COLUMNS($F$7:V$7))))</f>
        <v/>
      </c>
      <c r="W73" s="2223" t="str" cm="1">
        <f t="array" ref="W73">IF($D73&lt;COLUMNS($F$7:W$7),"",INDEX(TableDiv[[GASB]:[GASB]],_xlfn.AGGREGATE(15,3,(TableDiv[[Agency]:[Agency]]=$E73)/(TableDiv[[Agency]:[Agency]]=$E73)*(ROW(TableDiv[Agency])-ROW(TableDiv[[#Headers],[Agency]])),COLUMNS($F$7:W$7))))</f>
        <v/>
      </c>
      <c r="X73" s="2223" t="str" cm="1">
        <f t="array" ref="X73">IF($D73&lt;COLUMNS($F$7:X$7),"",INDEX(TableDiv[[GASB]:[GASB]],_xlfn.AGGREGATE(15,3,(TableDiv[[Agency]:[Agency]]=$E73)/(TableDiv[[Agency]:[Agency]]=$E73)*(ROW(TableDiv[Agency])-ROW(TableDiv[[#Headers],[Agency]])),COLUMNS($F$7:X$7))))</f>
        <v/>
      </c>
      <c r="Y73" s="2223" t="str" cm="1">
        <f t="array" ref="Y73">IF($D73&lt;COLUMNS($F$7:Y$7),"",INDEX(TableDiv[[GASB]:[GASB]],_xlfn.AGGREGATE(15,3,(TableDiv[[Agency]:[Agency]]=$E73)/(TableDiv[[Agency]:[Agency]]=$E73)*(ROW(TableDiv[Agency])-ROW(TableDiv[[#Headers],[Agency]])),COLUMNS($F$7:Y$7))))</f>
        <v/>
      </c>
      <c r="Z73" s="2223" t="str" cm="1">
        <f t="array" ref="Z73">IF($D73&lt;COLUMNS($F$7:Z$7),"",INDEX(TableDiv[[GASB]:[GASB]],_xlfn.AGGREGATE(15,3,(TableDiv[[Agency]:[Agency]]=$E73)/(TableDiv[[Agency]:[Agency]]=$E73)*(ROW(TableDiv[Agency])-ROW(TableDiv[[#Headers],[Agency]])),COLUMNS($F$7:Z$7))))</f>
        <v/>
      </c>
      <c r="AA73" s="2223" t="str" cm="1">
        <f t="array" ref="AA73">IF($D73&lt;COLUMNS($F$7:AA$7),"",INDEX(TableDiv[[GASB]:[GASB]],_xlfn.AGGREGATE(15,3,(TableDiv[[Agency]:[Agency]]=$E73)/(TableDiv[[Agency]:[Agency]]=$E73)*(ROW(TableDiv[Agency])-ROW(TableDiv[[#Headers],[Agency]])),COLUMNS($F$7:AA$7))))</f>
        <v/>
      </c>
      <c r="AB73" s="2223" t="str" cm="1">
        <f t="array" ref="AB73">IF($D73&lt;COLUMNS($F$7:AB$7),"",INDEX(TableDiv[[GASB]:[GASB]],_xlfn.AGGREGATE(15,3,(TableDiv[[Agency]:[Agency]]=$E73)/(TableDiv[[Agency]:[Agency]]=$E73)*(ROW(TableDiv[Agency])-ROW(TableDiv[[#Headers],[Agency]])),COLUMNS($F$7:AB$7))))</f>
        <v/>
      </c>
      <c r="AC73" s="2223" t="str" cm="1">
        <f t="array" ref="AC73">IF($D73&lt;COLUMNS($F$7:AC$7),"",INDEX(TableDiv[[GASB]:[GASB]],_xlfn.AGGREGATE(15,3,(TableDiv[[Agency]:[Agency]]=$E73)/(TableDiv[[Agency]:[Agency]]=$E73)*(ROW(TableDiv[Agency])-ROW(TableDiv[[#Headers],[Agency]])),COLUMNS($F$7:AC$7))))</f>
        <v/>
      </c>
      <c r="AD73" s="2223" t="str" cm="1">
        <f t="array" ref="AD73">IF($D73&lt;COLUMNS($F$7:AD$7),"",INDEX(TableDiv[[GASB]:[GASB]],_xlfn.AGGREGATE(15,3,(TableDiv[[Agency]:[Agency]]=$E73)/(TableDiv[[Agency]:[Agency]]=$E73)*(ROW(TableDiv[Agency])-ROW(TableDiv[[#Headers],[Agency]])),COLUMNS($F$7:AD$7))))</f>
        <v/>
      </c>
      <c r="AE73" s="2223" t="str" cm="1">
        <f t="array" ref="AE73">IF($D73&lt;COLUMNS($F$7:AE$7),"",INDEX(TableDiv[[GASB]:[GASB]],_xlfn.AGGREGATE(15,3,(TableDiv[[Agency]:[Agency]]=$E73)/(TableDiv[[Agency]:[Agency]]=$E73)*(ROW(TableDiv[Agency])-ROW(TableDiv[[#Headers],[Agency]])),COLUMNS($F$7:AE$7))))</f>
        <v/>
      </c>
      <c r="AF73" s="2223" t="str" cm="1">
        <f t="array" ref="AF73">IF($D73&lt;COLUMNS($F$7:AF$7),"",INDEX(TableDiv[[GASB]:[GASB]],_xlfn.AGGREGATE(15,3,(TableDiv[[Agency]:[Agency]]=$E73)/(TableDiv[[Agency]:[Agency]]=$E73)*(ROW(TableDiv[Agency])-ROW(TableDiv[[#Headers],[Agency]])),COLUMNS($F$7:AF$7))))</f>
        <v/>
      </c>
      <c r="AG73" s="2223" t="str" cm="1">
        <f t="array" ref="AG73">IF($D73&lt;COLUMNS($F$7:AG$7),"",INDEX(TableDiv[[GASB]:[GASB]],_xlfn.AGGREGATE(15,3,(TableDiv[[Agency]:[Agency]]=$E73)/(TableDiv[[Agency]:[Agency]]=$E73)*(ROW(TableDiv[Agency])-ROW(TableDiv[[#Headers],[Agency]])),COLUMNS($F$7:AG$7))))</f>
        <v/>
      </c>
      <c r="AH73" s="2223" t="str" cm="1">
        <f t="array" ref="AH73">IF($D73&lt;COLUMNS($F$7:AH$7),"",INDEX(TableDiv[[GASB]:[GASB]],_xlfn.AGGREGATE(15,3,(TableDiv[[Agency]:[Agency]]=$E73)/(TableDiv[[Agency]:[Agency]]=$E73)*(ROW(TableDiv[Agency])-ROW(TableDiv[[#Headers],[Agency]])),COLUMNS($F$7:AH$7))))</f>
        <v/>
      </c>
      <c r="AI73" s="2223" t="str" cm="1">
        <f t="array" ref="AI73">IF($D73&lt;COLUMNS($F$7:AI$7),"",INDEX(TableDiv[[GASB]:[GASB]],_xlfn.AGGREGATE(15,3,(TableDiv[[Agency]:[Agency]]=$E73)/(TableDiv[[Agency]:[Agency]]=$E73)*(ROW(TableDiv[Agency])-ROW(TableDiv[[#Headers],[Agency]])),COLUMNS($F$7:AI$7))))</f>
        <v/>
      </c>
      <c r="AJ73" s="2223" t="str" cm="1">
        <f t="array" ref="AJ73">IF($D73&lt;COLUMNS($F$7:AJ$7),"",INDEX(TableDiv[[GASB]:[GASB]],_xlfn.AGGREGATE(15,3,(TableDiv[[Agency]:[Agency]]=$E73)/(TableDiv[[Agency]:[Agency]]=$E73)*(ROW(TableDiv[Agency])-ROW(TableDiv[[#Headers],[Agency]])),COLUMNS($F$7:AJ$7))))</f>
        <v/>
      </c>
      <c r="AK73" s="2223" t="str" cm="1">
        <f t="array" ref="AK73">IF($D73&lt;COLUMNS($F$7:AK$7),"",INDEX(TableDiv[[GASB]:[GASB]],_xlfn.AGGREGATE(15,3,(TableDiv[[Agency]:[Agency]]=$E73)/(TableDiv[[Agency]:[Agency]]=$E73)*(ROW(TableDiv[Agency])-ROW(TableDiv[[#Headers],[Agency]])),COLUMNS($F$7:AK$7))))</f>
        <v/>
      </c>
      <c r="AL73" s="2223" t="str" cm="1">
        <f t="array" ref="AL73">IF($D73&lt;COLUMNS($F$7:AL$7),"",INDEX(TableDiv[[GASB]:[GASB]],_xlfn.AGGREGATE(15,3,(TableDiv[[Agency]:[Agency]]=$E73)/(TableDiv[[Agency]:[Agency]]=$E73)*(ROW(TableDiv[Agency])-ROW(TableDiv[[#Headers],[Agency]])),COLUMNS($F$7:AL$7))))</f>
        <v/>
      </c>
      <c r="AM73" s="2223" t="str" cm="1">
        <f t="array" ref="AM73">IF($D73&lt;COLUMNS($F$7:AM$7),"",INDEX(TableDiv[[GASB]:[GASB]],_xlfn.AGGREGATE(15,3,(TableDiv[[Agency]:[Agency]]=$E73)/(TableDiv[[Agency]:[Agency]]=$E73)*(ROW(TableDiv[Agency])-ROW(TableDiv[[#Headers],[Agency]])),COLUMNS($F$7:AM$7))))</f>
        <v/>
      </c>
      <c r="AN73" s="2223"/>
      <c r="AO73" s="2223"/>
      <c r="AP73" s="2223"/>
      <c r="AQ73" s="2223"/>
      <c r="AR73" s="2223"/>
      <c r="AS73" s="2223"/>
    </row>
    <row r="74" spans="1:45" ht="15" x14ac:dyDescent="0.25">
      <c r="A74" s="2219" t="s">
        <v>5102</v>
      </c>
      <c r="B74" s="2219" t="s">
        <v>6393</v>
      </c>
      <c r="C74" s="2223"/>
      <c r="D74" s="2223">
        <f>COUNTIF(TableDiv[Agency],E74)</f>
        <v>1</v>
      </c>
      <c r="E74" s="2230" t="str" cm="1">
        <f t="array" ref="E74">IFERROR(INDEX(TableDiv[Agency],MATCH(0,INDEX(COUNTIF($E$7:E73,TableDiv[Agency]),),0)),"")</f>
        <v>U300</v>
      </c>
      <c r="F74" s="2223" t="str" cm="1">
        <f t="array" ref="F74">IF($D74&lt;COLUMNS($F$7:F$7),"",INDEX(TableDiv[[GASB]:[GASB]],_xlfn.AGGREGATE(15,3,(TableDiv[[Agency]:[Agency]]=$E74)/(TableDiv[[Agency]:[Agency]]=$E74)*(ROW(TableDiv[Agency])-ROW(TableDiv[[#Headers],[Agency]])),COLUMNS($F$7:F$7))))</f>
        <v>U30</v>
      </c>
      <c r="G74" s="2223" t="str" cm="1">
        <f t="array" ref="G74">IF($D74&lt;COLUMNS($F$7:G$7),"",INDEX(TableDiv[[GASB]:[GASB]],_xlfn.AGGREGATE(15,3,(TableDiv[[Agency]:[Agency]]=$E74)/(TableDiv[[Agency]:[Agency]]=$E74)*(ROW(TableDiv[Agency])-ROW(TableDiv[[#Headers],[Agency]])),COLUMNS($F$7:G$7))))</f>
        <v/>
      </c>
      <c r="H74" s="2223" t="str" cm="1">
        <f t="array" ref="H74">IF($D74&lt;COLUMNS($F$7:H$7),"",INDEX(TableDiv[[GASB]:[GASB]],_xlfn.AGGREGATE(15,3,(TableDiv[[Agency]:[Agency]]=$E74)/(TableDiv[[Agency]:[Agency]]=$E74)*(ROW(TableDiv[Agency])-ROW(TableDiv[[#Headers],[Agency]])),COLUMNS($F$7:H$7))))</f>
        <v/>
      </c>
      <c r="I74" s="2223" t="str" cm="1">
        <f t="array" ref="I74">IF($D74&lt;COLUMNS($F$7:I$7),"",INDEX(TableDiv[[GASB]:[GASB]],_xlfn.AGGREGATE(15,3,(TableDiv[[Agency]:[Agency]]=$E74)/(TableDiv[[Agency]:[Agency]]=$E74)*(ROW(TableDiv[Agency])-ROW(TableDiv[[#Headers],[Agency]])),COLUMNS($F$7:I$7))))</f>
        <v/>
      </c>
      <c r="J74" s="2223" t="str" cm="1">
        <f t="array" ref="J74">IF($D74&lt;COLUMNS($F$7:J$7),"",INDEX(TableDiv[[GASB]:[GASB]],_xlfn.AGGREGATE(15,3,(TableDiv[[Agency]:[Agency]]=$E74)/(TableDiv[[Agency]:[Agency]]=$E74)*(ROW(TableDiv[Agency])-ROW(TableDiv[[#Headers],[Agency]])),COLUMNS($F$7:J$7))))</f>
        <v/>
      </c>
      <c r="K74" s="2223" t="str" cm="1">
        <f t="array" ref="K74">IF($D74&lt;COLUMNS($F$7:K$7),"",INDEX(TableDiv[[GASB]:[GASB]],_xlfn.AGGREGATE(15,3,(TableDiv[[Agency]:[Agency]]=$E74)/(TableDiv[[Agency]:[Agency]]=$E74)*(ROW(TableDiv[Agency])-ROW(TableDiv[[#Headers],[Agency]])),COLUMNS($F$7:K$7))))</f>
        <v/>
      </c>
      <c r="L74" s="2223" t="str" cm="1">
        <f t="array" ref="L74">IF($D74&lt;COLUMNS($F$7:L$7),"",INDEX(TableDiv[[GASB]:[GASB]],_xlfn.AGGREGATE(15,3,(TableDiv[[Agency]:[Agency]]=$E74)/(TableDiv[[Agency]:[Agency]]=$E74)*(ROW(TableDiv[Agency])-ROW(TableDiv[[#Headers],[Agency]])),COLUMNS($F$7:L$7))))</f>
        <v/>
      </c>
      <c r="M74" s="2223" t="str" cm="1">
        <f t="array" ref="M74">IF($D74&lt;COLUMNS($F$7:M$7),"",INDEX(TableDiv[[GASB]:[GASB]],_xlfn.AGGREGATE(15,3,(TableDiv[[Agency]:[Agency]]=$E74)/(TableDiv[[Agency]:[Agency]]=$E74)*(ROW(TableDiv[Agency])-ROW(TableDiv[[#Headers],[Agency]])),COLUMNS($F$7:M$7))))</f>
        <v/>
      </c>
      <c r="N74" s="2223" t="str" cm="1">
        <f t="array" ref="N74">IF($D74&lt;COLUMNS($F$7:N$7),"",INDEX(TableDiv[[GASB]:[GASB]],_xlfn.AGGREGATE(15,3,(TableDiv[[Agency]:[Agency]]=$E74)/(TableDiv[[Agency]:[Agency]]=$E74)*(ROW(TableDiv[Agency])-ROW(TableDiv[[#Headers],[Agency]])),COLUMNS($F$7:N$7))))</f>
        <v/>
      </c>
      <c r="O74" s="2223" t="str" cm="1">
        <f t="array" ref="O74">IF($D74&lt;COLUMNS($F$7:O$7),"",INDEX(TableDiv[[GASB]:[GASB]],_xlfn.AGGREGATE(15,3,(TableDiv[[Agency]:[Agency]]=$E74)/(TableDiv[[Agency]:[Agency]]=$E74)*(ROW(TableDiv[Agency])-ROW(TableDiv[[#Headers],[Agency]])),COLUMNS($F$7:O$7))))</f>
        <v/>
      </c>
      <c r="P74" s="2223" t="str" cm="1">
        <f t="array" ref="P74">IF($D74&lt;COLUMNS($F$7:P$7),"",INDEX(TableDiv[[GASB]:[GASB]],_xlfn.AGGREGATE(15,3,(TableDiv[[Agency]:[Agency]]=$E74)/(TableDiv[[Agency]:[Agency]]=$E74)*(ROW(TableDiv[Agency])-ROW(TableDiv[[#Headers],[Agency]])),COLUMNS($F$7:P$7))))</f>
        <v/>
      </c>
      <c r="Q74" s="2223" t="str" cm="1">
        <f t="array" ref="Q74">IF($D74&lt;COLUMNS($F$7:Q$7),"",INDEX(TableDiv[[GASB]:[GASB]],_xlfn.AGGREGATE(15,3,(TableDiv[[Agency]:[Agency]]=$E74)/(TableDiv[[Agency]:[Agency]]=$E74)*(ROW(TableDiv[Agency])-ROW(TableDiv[[#Headers],[Agency]])),COLUMNS($F$7:Q$7))))</f>
        <v/>
      </c>
      <c r="R74" s="2223" t="str" cm="1">
        <f t="array" ref="R74">IF($D74&lt;COLUMNS($F$7:R$7),"",INDEX(TableDiv[[GASB]:[GASB]],_xlfn.AGGREGATE(15,3,(TableDiv[[Agency]:[Agency]]=$E74)/(TableDiv[[Agency]:[Agency]]=$E74)*(ROW(TableDiv[Agency])-ROW(TableDiv[[#Headers],[Agency]])),COLUMNS($F$7:R$7))))</f>
        <v/>
      </c>
      <c r="S74" s="2223" t="str" cm="1">
        <f t="array" ref="S74">IF($D74&lt;COLUMNS($F$7:S$7),"",INDEX(TableDiv[[GASB]:[GASB]],_xlfn.AGGREGATE(15,3,(TableDiv[[Agency]:[Agency]]=$E74)/(TableDiv[[Agency]:[Agency]]=$E74)*(ROW(TableDiv[Agency])-ROW(TableDiv[[#Headers],[Agency]])),COLUMNS($F$7:S$7))))</f>
        <v/>
      </c>
      <c r="T74" s="2223" t="str" cm="1">
        <f t="array" ref="T74">IF($D74&lt;COLUMNS($F$7:T$7),"",INDEX(TableDiv[[GASB]:[GASB]],_xlfn.AGGREGATE(15,3,(TableDiv[[Agency]:[Agency]]=$E74)/(TableDiv[[Agency]:[Agency]]=$E74)*(ROW(TableDiv[Agency])-ROW(TableDiv[[#Headers],[Agency]])),COLUMNS($F$7:T$7))))</f>
        <v/>
      </c>
      <c r="U74" s="2223" t="str" cm="1">
        <f t="array" ref="U74">IF($D74&lt;COLUMNS($F$7:U$7),"",INDEX(TableDiv[[GASB]:[GASB]],_xlfn.AGGREGATE(15,3,(TableDiv[[Agency]:[Agency]]=$E74)/(TableDiv[[Agency]:[Agency]]=$E74)*(ROW(TableDiv[Agency])-ROW(TableDiv[[#Headers],[Agency]])),COLUMNS($F$7:U$7))))</f>
        <v/>
      </c>
      <c r="V74" s="2223" t="str" cm="1">
        <f t="array" ref="V74">IF($D74&lt;COLUMNS($F$7:V$7),"",INDEX(TableDiv[[GASB]:[GASB]],_xlfn.AGGREGATE(15,3,(TableDiv[[Agency]:[Agency]]=$E74)/(TableDiv[[Agency]:[Agency]]=$E74)*(ROW(TableDiv[Agency])-ROW(TableDiv[[#Headers],[Agency]])),COLUMNS($F$7:V$7))))</f>
        <v/>
      </c>
      <c r="W74" s="2223" t="str" cm="1">
        <f t="array" ref="W74">IF($D74&lt;COLUMNS($F$7:W$7),"",INDEX(TableDiv[[GASB]:[GASB]],_xlfn.AGGREGATE(15,3,(TableDiv[[Agency]:[Agency]]=$E74)/(TableDiv[[Agency]:[Agency]]=$E74)*(ROW(TableDiv[Agency])-ROW(TableDiv[[#Headers],[Agency]])),COLUMNS($F$7:W$7))))</f>
        <v/>
      </c>
      <c r="X74" s="2223" t="str" cm="1">
        <f t="array" ref="X74">IF($D74&lt;COLUMNS($F$7:X$7),"",INDEX(TableDiv[[GASB]:[GASB]],_xlfn.AGGREGATE(15,3,(TableDiv[[Agency]:[Agency]]=$E74)/(TableDiv[[Agency]:[Agency]]=$E74)*(ROW(TableDiv[Agency])-ROW(TableDiv[[#Headers],[Agency]])),COLUMNS($F$7:X$7))))</f>
        <v/>
      </c>
      <c r="Y74" s="2223" t="str" cm="1">
        <f t="array" ref="Y74">IF($D74&lt;COLUMNS($F$7:Y$7),"",INDEX(TableDiv[[GASB]:[GASB]],_xlfn.AGGREGATE(15,3,(TableDiv[[Agency]:[Agency]]=$E74)/(TableDiv[[Agency]:[Agency]]=$E74)*(ROW(TableDiv[Agency])-ROW(TableDiv[[#Headers],[Agency]])),COLUMNS($F$7:Y$7))))</f>
        <v/>
      </c>
      <c r="Z74" s="2223" t="str" cm="1">
        <f t="array" ref="Z74">IF($D74&lt;COLUMNS($F$7:Z$7),"",INDEX(TableDiv[[GASB]:[GASB]],_xlfn.AGGREGATE(15,3,(TableDiv[[Agency]:[Agency]]=$E74)/(TableDiv[[Agency]:[Agency]]=$E74)*(ROW(TableDiv[Agency])-ROW(TableDiv[[#Headers],[Agency]])),COLUMNS($F$7:Z$7))))</f>
        <v/>
      </c>
      <c r="AA74" s="2223" t="str" cm="1">
        <f t="array" ref="AA74">IF($D74&lt;COLUMNS($F$7:AA$7),"",INDEX(TableDiv[[GASB]:[GASB]],_xlfn.AGGREGATE(15,3,(TableDiv[[Agency]:[Agency]]=$E74)/(TableDiv[[Agency]:[Agency]]=$E74)*(ROW(TableDiv[Agency])-ROW(TableDiv[[#Headers],[Agency]])),COLUMNS($F$7:AA$7))))</f>
        <v/>
      </c>
      <c r="AB74" s="2223" t="str" cm="1">
        <f t="array" ref="AB74">IF($D74&lt;COLUMNS($F$7:AB$7),"",INDEX(TableDiv[[GASB]:[GASB]],_xlfn.AGGREGATE(15,3,(TableDiv[[Agency]:[Agency]]=$E74)/(TableDiv[[Agency]:[Agency]]=$E74)*(ROW(TableDiv[Agency])-ROW(TableDiv[[#Headers],[Agency]])),COLUMNS($F$7:AB$7))))</f>
        <v/>
      </c>
      <c r="AC74" s="2223" t="str" cm="1">
        <f t="array" ref="AC74">IF($D74&lt;COLUMNS($F$7:AC$7),"",INDEX(TableDiv[[GASB]:[GASB]],_xlfn.AGGREGATE(15,3,(TableDiv[[Agency]:[Agency]]=$E74)/(TableDiv[[Agency]:[Agency]]=$E74)*(ROW(TableDiv[Agency])-ROW(TableDiv[[#Headers],[Agency]])),COLUMNS($F$7:AC$7))))</f>
        <v/>
      </c>
      <c r="AD74" s="2223" t="str" cm="1">
        <f t="array" ref="AD74">IF($D74&lt;COLUMNS($F$7:AD$7),"",INDEX(TableDiv[[GASB]:[GASB]],_xlfn.AGGREGATE(15,3,(TableDiv[[Agency]:[Agency]]=$E74)/(TableDiv[[Agency]:[Agency]]=$E74)*(ROW(TableDiv[Agency])-ROW(TableDiv[[#Headers],[Agency]])),COLUMNS($F$7:AD$7))))</f>
        <v/>
      </c>
      <c r="AE74" s="2223" t="str" cm="1">
        <f t="array" ref="AE74">IF($D74&lt;COLUMNS($F$7:AE$7),"",INDEX(TableDiv[[GASB]:[GASB]],_xlfn.AGGREGATE(15,3,(TableDiv[[Agency]:[Agency]]=$E74)/(TableDiv[[Agency]:[Agency]]=$E74)*(ROW(TableDiv[Agency])-ROW(TableDiv[[#Headers],[Agency]])),COLUMNS($F$7:AE$7))))</f>
        <v/>
      </c>
      <c r="AF74" s="2223" t="str" cm="1">
        <f t="array" ref="AF74">IF($D74&lt;COLUMNS($F$7:AF$7),"",INDEX(TableDiv[[GASB]:[GASB]],_xlfn.AGGREGATE(15,3,(TableDiv[[Agency]:[Agency]]=$E74)/(TableDiv[[Agency]:[Agency]]=$E74)*(ROW(TableDiv[Agency])-ROW(TableDiv[[#Headers],[Agency]])),COLUMNS($F$7:AF$7))))</f>
        <v/>
      </c>
      <c r="AG74" s="2223" t="str" cm="1">
        <f t="array" ref="AG74">IF($D74&lt;COLUMNS($F$7:AG$7),"",INDEX(TableDiv[[GASB]:[GASB]],_xlfn.AGGREGATE(15,3,(TableDiv[[Agency]:[Agency]]=$E74)/(TableDiv[[Agency]:[Agency]]=$E74)*(ROW(TableDiv[Agency])-ROW(TableDiv[[#Headers],[Agency]])),COLUMNS($F$7:AG$7))))</f>
        <v/>
      </c>
      <c r="AH74" s="2223" t="str" cm="1">
        <f t="array" ref="AH74">IF($D74&lt;COLUMNS($F$7:AH$7),"",INDEX(TableDiv[[GASB]:[GASB]],_xlfn.AGGREGATE(15,3,(TableDiv[[Agency]:[Agency]]=$E74)/(TableDiv[[Agency]:[Agency]]=$E74)*(ROW(TableDiv[Agency])-ROW(TableDiv[[#Headers],[Agency]])),COLUMNS($F$7:AH$7))))</f>
        <v/>
      </c>
      <c r="AI74" s="2223" t="str" cm="1">
        <f t="array" ref="AI74">IF($D74&lt;COLUMNS($F$7:AI$7),"",INDEX(TableDiv[[GASB]:[GASB]],_xlfn.AGGREGATE(15,3,(TableDiv[[Agency]:[Agency]]=$E74)/(TableDiv[[Agency]:[Agency]]=$E74)*(ROW(TableDiv[Agency])-ROW(TableDiv[[#Headers],[Agency]])),COLUMNS($F$7:AI$7))))</f>
        <v/>
      </c>
      <c r="AJ74" s="2223" t="str" cm="1">
        <f t="array" ref="AJ74">IF($D74&lt;COLUMNS($F$7:AJ$7),"",INDEX(TableDiv[[GASB]:[GASB]],_xlfn.AGGREGATE(15,3,(TableDiv[[Agency]:[Agency]]=$E74)/(TableDiv[[Agency]:[Agency]]=$E74)*(ROW(TableDiv[Agency])-ROW(TableDiv[[#Headers],[Agency]])),COLUMNS($F$7:AJ$7))))</f>
        <v/>
      </c>
      <c r="AK74" s="2223" t="str" cm="1">
        <f t="array" ref="AK74">IF($D74&lt;COLUMNS($F$7:AK$7),"",INDEX(TableDiv[[GASB]:[GASB]],_xlfn.AGGREGATE(15,3,(TableDiv[[Agency]:[Agency]]=$E74)/(TableDiv[[Agency]:[Agency]]=$E74)*(ROW(TableDiv[Agency])-ROW(TableDiv[[#Headers],[Agency]])),COLUMNS($F$7:AK$7))))</f>
        <v/>
      </c>
      <c r="AL74" s="2223" t="str" cm="1">
        <f t="array" ref="AL74">IF($D74&lt;COLUMNS($F$7:AL$7),"",INDEX(TableDiv[[GASB]:[GASB]],_xlfn.AGGREGATE(15,3,(TableDiv[[Agency]:[Agency]]=$E74)/(TableDiv[[Agency]:[Agency]]=$E74)*(ROW(TableDiv[Agency])-ROW(TableDiv[[#Headers],[Agency]])),COLUMNS($F$7:AL$7))))</f>
        <v/>
      </c>
      <c r="AM74" s="2223" t="str" cm="1">
        <f t="array" ref="AM74">IF($D74&lt;COLUMNS($F$7:AM$7),"",INDEX(TableDiv[[GASB]:[GASB]],_xlfn.AGGREGATE(15,3,(TableDiv[[Agency]:[Agency]]=$E74)/(TableDiv[[Agency]:[Agency]]=$E74)*(ROW(TableDiv[Agency])-ROW(TableDiv[[#Headers],[Agency]])),COLUMNS($F$7:AM$7))))</f>
        <v/>
      </c>
      <c r="AN74" s="2223"/>
      <c r="AO74" s="2223"/>
      <c r="AP74" s="2223"/>
      <c r="AQ74" s="2223"/>
      <c r="AR74" s="2223"/>
      <c r="AS74" s="2223"/>
    </row>
    <row r="75" spans="1:45" ht="15" x14ac:dyDescent="0.25">
      <c r="A75" s="2219" t="s">
        <v>5103</v>
      </c>
      <c r="B75" s="2219" t="s">
        <v>6357</v>
      </c>
      <c r="C75" s="2223"/>
      <c r="D75" s="2223">
        <f>COUNTIF(TableDiv[Agency],E75)</f>
        <v>1</v>
      </c>
      <c r="E75" s="2230" t="str" cm="1">
        <f t="array" ref="E75">IFERROR(INDEX(TableDiv[Agency],MATCH(0,INDEX(COUNTIF($E$7:E74,TableDiv[Agency]),),0)),"")</f>
        <v>U400</v>
      </c>
      <c r="F75" s="2223" t="str" cm="1">
        <f t="array" ref="F75">IF($D75&lt;COLUMNS($F$7:F$7),"",INDEX(TableDiv[[GASB]:[GASB]],_xlfn.AGGREGATE(15,3,(TableDiv[[Agency]:[Agency]]=$E75)/(TableDiv[[Agency]:[Agency]]=$E75)*(ROW(TableDiv[Agency])-ROW(TableDiv[[#Headers],[Agency]])),COLUMNS($F$7:F$7))))</f>
        <v>U40</v>
      </c>
      <c r="G75" s="2223" t="str" cm="1">
        <f t="array" ref="G75">IF($D75&lt;COLUMNS($F$7:G$7),"",INDEX(TableDiv[[GASB]:[GASB]],_xlfn.AGGREGATE(15,3,(TableDiv[[Agency]:[Agency]]=$E75)/(TableDiv[[Agency]:[Agency]]=$E75)*(ROW(TableDiv[Agency])-ROW(TableDiv[[#Headers],[Agency]])),COLUMNS($F$7:G$7))))</f>
        <v/>
      </c>
      <c r="H75" s="2223" t="str" cm="1">
        <f t="array" ref="H75">IF($D75&lt;COLUMNS($F$7:H$7),"",INDEX(TableDiv[[GASB]:[GASB]],_xlfn.AGGREGATE(15,3,(TableDiv[[Agency]:[Agency]]=$E75)/(TableDiv[[Agency]:[Agency]]=$E75)*(ROW(TableDiv[Agency])-ROW(TableDiv[[#Headers],[Agency]])),COLUMNS($F$7:H$7))))</f>
        <v/>
      </c>
      <c r="I75" s="2223" t="str" cm="1">
        <f t="array" ref="I75">IF($D75&lt;COLUMNS($F$7:I$7),"",INDEX(TableDiv[[GASB]:[GASB]],_xlfn.AGGREGATE(15,3,(TableDiv[[Agency]:[Agency]]=$E75)/(TableDiv[[Agency]:[Agency]]=$E75)*(ROW(TableDiv[Agency])-ROW(TableDiv[[#Headers],[Agency]])),COLUMNS($F$7:I$7))))</f>
        <v/>
      </c>
      <c r="J75" s="2223" t="str" cm="1">
        <f t="array" ref="J75">IF($D75&lt;COLUMNS($F$7:J$7),"",INDEX(TableDiv[[GASB]:[GASB]],_xlfn.AGGREGATE(15,3,(TableDiv[[Agency]:[Agency]]=$E75)/(TableDiv[[Agency]:[Agency]]=$E75)*(ROW(TableDiv[Agency])-ROW(TableDiv[[#Headers],[Agency]])),COLUMNS($F$7:J$7))))</f>
        <v/>
      </c>
      <c r="K75" s="2223" t="str" cm="1">
        <f t="array" ref="K75">IF($D75&lt;COLUMNS($F$7:K$7),"",INDEX(TableDiv[[GASB]:[GASB]],_xlfn.AGGREGATE(15,3,(TableDiv[[Agency]:[Agency]]=$E75)/(TableDiv[[Agency]:[Agency]]=$E75)*(ROW(TableDiv[Agency])-ROW(TableDiv[[#Headers],[Agency]])),COLUMNS($F$7:K$7))))</f>
        <v/>
      </c>
      <c r="L75" s="2223" t="str" cm="1">
        <f t="array" ref="L75">IF($D75&lt;COLUMNS($F$7:L$7),"",INDEX(TableDiv[[GASB]:[GASB]],_xlfn.AGGREGATE(15,3,(TableDiv[[Agency]:[Agency]]=$E75)/(TableDiv[[Agency]:[Agency]]=$E75)*(ROW(TableDiv[Agency])-ROW(TableDiv[[#Headers],[Agency]])),COLUMNS($F$7:L$7))))</f>
        <v/>
      </c>
      <c r="M75" s="2223" t="str" cm="1">
        <f t="array" ref="M75">IF($D75&lt;COLUMNS($F$7:M$7),"",INDEX(TableDiv[[GASB]:[GASB]],_xlfn.AGGREGATE(15,3,(TableDiv[[Agency]:[Agency]]=$E75)/(TableDiv[[Agency]:[Agency]]=$E75)*(ROW(TableDiv[Agency])-ROW(TableDiv[[#Headers],[Agency]])),COLUMNS($F$7:M$7))))</f>
        <v/>
      </c>
      <c r="N75" s="2223" t="str" cm="1">
        <f t="array" ref="N75">IF($D75&lt;COLUMNS($F$7:N$7),"",INDEX(TableDiv[[GASB]:[GASB]],_xlfn.AGGREGATE(15,3,(TableDiv[[Agency]:[Agency]]=$E75)/(TableDiv[[Agency]:[Agency]]=$E75)*(ROW(TableDiv[Agency])-ROW(TableDiv[[#Headers],[Agency]])),COLUMNS($F$7:N$7))))</f>
        <v/>
      </c>
      <c r="O75" s="2223" t="str" cm="1">
        <f t="array" ref="O75">IF($D75&lt;COLUMNS($F$7:O$7),"",INDEX(TableDiv[[GASB]:[GASB]],_xlfn.AGGREGATE(15,3,(TableDiv[[Agency]:[Agency]]=$E75)/(TableDiv[[Agency]:[Agency]]=$E75)*(ROW(TableDiv[Agency])-ROW(TableDiv[[#Headers],[Agency]])),COLUMNS($F$7:O$7))))</f>
        <v/>
      </c>
      <c r="P75" s="2223" t="str" cm="1">
        <f t="array" ref="P75">IF($D75&lt;COLUMNS($F$7:P$7),"",INDEX(TableDiv[[GASB]:[GASB]],_xlfn.AGGREGATE(15,3,(TableDiv[[Agency]:[Agency]]=$E75)/(TableDiv[[Agency]:[Agency]]=$E75)*(ROW(TableDiv[Agency])-ROW(TableDiv[[#Headers],[Agency]])),COLUMNS($F$7:P$7))))</f>
        <v/>
      </c>
      <c r="Q75" s="2223" t="str" cm="1">
        <f t="array" ref="Q75">IF($D75&lt;COLUMNS($F$7:Q$7),"",INDEX(TableDiv[[GASB]:[GASB]],_xlfn.AGGREGATE(15,3,(TableDiv[[Agency]:[Agency]]=$E75)/(TableDiv[[Agency]:[Agency]]=$E75)*(ROW(TableDiv[Agency])-ROW(TableDiv[[#Headers],[Agency]])),COLUMNS($F$7:Q$7))))</f>
        <v/>
      </c>
      <c r="R75" s="2223" t="str" cm="1">
        <f t="array" ref="R75">IF($D75&lt;COLUMNS($F$7:R$7),"",INDEX(TableDiv[[GASB]:[GASB]],_xlfn.AGGREGATE(15,3,(TableDiv[[Agency]:[Agency]]=$E75)/(TableDiv[[Agency]:[Agency]]=$E75)*(ROW(TableDiv[Agency])-ROW(TableDiv[[#Headers],[Agency]])),COLUMNS($F$7:R$7))))</f>
        <v/>
      </c>
      <c r="S75" s="2223" t="str" cm="1">
        <f t="array" ref="S75">IF($D75&lt;COLUMNS($F$7:S$7),"",INDEX(TableDiv[[GASB]:[GASB]],_xlfn.AGGREGATE(15,3,(TableDiv[[Agency]:[Agency]]=$E75)/(TableDiv[[Agency]:[Agency]]=$E75)*(ROW(TableDiv[Agency])-ROW(TableDiv[[#Headers],[Agency]])),COLUMNS($F$7:S$7))))</f>
        <v/>
      </c>
      <c r="T75" s="2223" t="str" cm="1">
        <f t="array" ref="T75">IF($D75&lt;COLUMNS($F$7:T$7),"",INDEX(TableDiv[[GASB]:[GASB]],_xlfn.AGGREGATE(15,3,(TableDiv[[Agency]:[Agency]]=$E75)/(TableDiv[[Agency]:[Agency]]=$E75)*(ROW(TableDiv[Agency])-ROW(TableDiv[[#Headers],[Agency]])),COLUMNS($F$7:T$7))))</f>
        <v/>
      </c>
      <c r="U75" s="2223" t="str" cm="1">
        <f t="array" ref="U75">IF($D75&lt;COLUMNS($F$7:U$7),"",INDEX(TableDiv[[GASB]:[GASB]],_xlfn.AGGREGATE(15,3,(TableDiv[[Agency]:[Agency]]=$E75)/(TableDiv[[Agency]:[Agency]]=$E75)*(ROW(TableDiv[Agency])-ROW(TableDiv[[#Headers],[Agency]])),COLUMNS($F$7:U$7))))</f>
        <v/>
      </c>
      <c r="V75" s="2223" t="str" cm="1">
        <f t="array" ref="V75">IF($D75&lt;COLUMNS($F$7:V$7),"",INDEX(TableDiv[[GASB]:[GASB]],_xlfn.AGGREGATE(15,3,(TableDiv[[Agency]:[Agency]]=$E75)/(TableDiv[[Agency]:[Agency]]=$E75)*(ROW(TableDiv[Agency])-ROW(TableDiv[[#Headers],[Agency]])),COLUMNS($F$7:V$7))))</f>
        <v/>
      </c>
      <c r="W75" s="2223" t="str" cm="1">
        <f t="array" ref="W75">IF($D75&lt;COLUMNS($F$7:W$7),"",INDEX(TableDiv[[GASB]:[GASB]],_xlfn.AGGREGATE(15,3,(TableDiv[[Agency]:[Agency]]=$E75)/(TableDiv[[Agency]:[Agency]]=$E75)*(ROW(TableDiv[Agency])-ROW(TableDiv[[#Headers],[Agency]])),COLUMNS($F$7:W$7))))</f>
        <v/>
      </c>
      <c r="X75" s="2223" t="str" cm="1">
        <f t="array" ref="X75">IF($D75&lt;COLUMNS($F$7:X$7),"",INDEX(TableDiv[[GASB]:[GASB]],_xlfn.AGGREGATE(15,3,(TableDiv[[Agency]:[Agency]]=$E75)/(TableDiv[[Agency]:[Agency]]=$E75)*(ROW(TableDiv[Agency])-ROW(TableDiv[[#Headers],[Agency]])),COLUMNS($F$7:X$7))))</f>
        <v/>
      </c>
      <c r="Y75" s="2223" t="str" cm="1">
        <f t="array" ref="Y75">IF($D75&lt;COLUMNS($F$7:Y$7),"",INDEX(TableDiv[[GASB]:[GASB]],_xlfn.AGGREGATE(15,3,(TableDiv[[Agency]:[Agency]]=$E75)/(TableDiv[[Agency]:[Agency]]=$E75)*(ROW(TableDiv[Agency])-ROW(TableDiv[[#Headers],[Agency]])),COLUMNS($F$7:Y$7))))</f>
        <v/>
      </c>
      <c r="Z75" s="2223" t="str" cm="1">
        <f t="array" ref="Z75">IF($D75&lt;COLUMNS($F$7:Z$7),"",INDEX(TableDiv[[GASB]:[GASB]],_xlfn.AGGREGATE(15,3,(TableDiv[[Agency]:[Agency]]=$E75)/(TableDiv[[Agency]:[Agency]]=$E75)*(ROW(TableDiv[Agency])-ROW(TableDiv[[#Headers],[Agency]])),COLUMNS($F$7:Z$7))))</f>
        <v/>
      </c>
      <c r="AA75" s="2223" t="str" cm="1">
        <f t="array" ref="AA75">IF($D75&lt;COLUMNS($F$7:AA$7),"",INDEX(TableDiv[[GASB]:[GASB]],_xlfn.AGGREGATE(15,3,(TableDiv[[Agency]:[Agency]]=$E75)/(TableDiv[[Agency]:[Agency]]=$E75)*(ROW(TableDiv[Agency])-ROW(TableDiv[[#Headers],[Agency]])),COLUMNS($F$7:AA$7))))</f>
        <v/>
      </c>
      <c r="AB75" s="2223" t="str" cm="1">
        <f t="array" ref="AB75">IF($D75&lt;COLUMNS($F$7:AB$7),"",INDEX(TableDiv[[GASB]:[GASB]],_xlfn.AGGREGATE(15,3,(TableDiv[[Agency]:[Agency]]=$E75)/(TableDiv[[Agency]:[Agency]]=$E75)*(ROW(TableDiv[Agency])-ROW(TableDiv[[#Headers],[Agency]])),COLUMNS($F$7:AB$7))))</f>
        <v/>
      </c>
      <c r="AC75" s="2223" t="str" cm="1">
        <f t="array" ref="AC75">IF($D75&lt;COLUMNS($F$7:AC$7),"",INDEX(TableDiv[[GASB]:[GASB]],_xlfn.AGGREGATE(15,3,(TableDiv[[Agency]:[Agency]]=$E75)/(TableDiv[[Agency]:[Agency]]=$E75)*(ROW(TableDiv[Agency])-ROW(TableDiv[[#Headers],[Agency]])),COLUMNS($F$7:AC$7))))</f>
        <v/>
      </c>
      <c r="AD75" s="2223" t="str" cm="1">
        <f t="array" ref="AD75">IF($D75&lt;COLUMNS($F$7:AD$7),"",INDEX(TableDiv[[GASB]:[GASB]],_xlfn.AGGREGATE(15,3,(TableDiv[[Agency]:[Agency]]=$E75)/(TableDiv[[Agency]:[Agency]]=$E75)*(ROW(TableDiv[Agency])-ROW(TableDiv[[#Headers],[Agency]])),COLUMNS($F$7:AD$7))))</f>
        <v/>
      </c>
      <c r="AE75" s="2223" t="str" cm="1">
        <f t="array" ref="AE75">IF($D75&lt;COLUMNS($F$7:AE$7),"",INDEX(TableDiv[[GASB]:[GASB]],_xlfn.AGGREGATE(15,3,(TableDiv[[Agency]:[Agency]]=$E75)/(TableDiv[[Agency]:[Agency]]=$E75)*(ROW(TableDiv[Agency])-ROW(TableDiv[[#Headers],[Agency]])),COLUMNS($F$7:AE$7))))</f>
        <v/>
      </c>
      <c r="AF75" s="2223" t="str" cm="1">
        <f t="array" ref="AF75">IF($D75&lt;COLUMNS($F$7:AF$7),"",INDEX(TableDiv[[GASB]:[GASB]],_xlfn.AGGREGATE(15,3,(TableDiv[[Agency]:[Agency]]=$E75)/(TableDiv[[Agency]:[Agency]]=$E75)*(ROW(TableDiv[Agency])-ROW(TableDiv[[#Headers],[Agency]])),COLUMNS($F$7:AF$7))))</f>
        <v/>
      </c>
      <c r="AG75" s="2223" t="str" cm="1">
        <f t="array" ref="AG75">IF($D75&lt;COLUMNS($F$7:AG$7),"",INDEX(TableDiv[[GASB]:[GASB]],_xlfn.AGGREGATE(15,3,(TableDiv[[Agency]:[Agency]]=$E75)/(TableDiv[[Agency]:[Agency]]=$E75)*(ROW(TableDiv[Agency])-ROW(TableDiv[[#Headers],[Agency]])),COLUMNS($F$7:AG$7))))</f>
        <v/>
      </c>
      <c r="AH75" s="2223" t="str" cm="1">
        <f t="array" ref="AH75">IF($D75&lt;COLUMNS($F$7:AH$7),"",INDEX(TableDiv[[GASB]:[GASB]],_xlfn.AGGREGATE(15,3,(TableDiv[[Agency]:[Agency]]=$E75)/(TableDiv[[Agency]:[Agency]]=$E75)*(ROW(TableDiv[Agency])-ROW(TableDiv[[#Headers],[Agency]])),COLUMNS($F$7:AH$7))))</f>
        <v/>
      </c>
      <c r="AI75" s="2223" t="str" cm="1">
        <f t="array" ref="AI75">IF($D75&lt;COLUMNS($F$7:AI$7),"",INDEX(TableDiv[[GASB]:[GASB]],_xlfn.AGGREGATE(15,3,(TableDiv[[Agency]:[Agency]]=$E75)/(TableDiv[[Agency]:[Agency]]=$E75)*(ROW(TableDiv[Agency])-ROW(TableDiv[[#Headers],[Agency]])),COLUMNS($F$7:AI$7))))</f>
        <v/>
      </c>
      <c r="AJ75" s="2223" t="str" cm="1">
        <f t="array" ref="AJ75">IF($D75&lt;COLUMNS($F$7:AJ$7),"",INDEX(TableDiv[[GASB]:[GASB]],_xlfn.AGGREGATE(15,3,(TableDiv[[Agency]:[Agency]]=$E75)/(TableDiv[[Agency]:[Agency]]=$E75)*(ROW(TableDiv[Agency])-ROW(TableDiv[[#Headers],[Agency]])),COLUMNS($F$7:AJ$7))))</f>
        <v/>
      </c>
      <c r="AK75" s="2223" t="str" cm="1">
        <f t="array" ref="AK75">IF($D75&lt;COLUMNS($F$7:AK$7),"",INDEX(TableDiv[[GASB]:[GASB]],_xlfn.AGGREGATE(15,3,(TableDiv[[Agency]:[Agency]]=$E75)/(TableDiv[[Agency]:[Agency]]=$E75)*(ROW(TableDiv[Agency])-ROW(TableDiv[[#Headers],[Agency]])),COLUMNS($F$7:AK$7))))</f>
        <v/>
      </c>
      <c r="AL75" s="2223" t="str" cm="1">
        <f t="array" ref="AL75">IF($D75&lt;COLUMNS($F$7:AL$7),"",INDEX(TableDiv[[GASB]:[GASB]],_xlfn.AGGREGATE(15,3,(TableDiv[[Agency]:[Agency]]=$E75)/(TableDiv[[Agency]:[Agency]]=$E75)*(ROW(TableDiv[Agency])-ROW(TableDiv[[#Headers],[Agency]])),COLUMNS($F$7:AL$7))))</f>
        <v/>
      </c>
      <c r="AM75" s="2223" t="str" cm="1">
        <f t="array" ref="AM75">IF($D75&lt;COLUMNS($F$7:AM$7),"",INDEX(TableDiv[[GASB]:[GASB]],_xlfn.AGGREGATE(15,3,(TableDiv[[Agency]:[Agency]]=$E75)/(TableDiv[[Agency]:[Agency]]=$E75)*(ROW(TableDiv[Agency])-ROW(TableDiv[[#Headers],[Agency]])),COLUMNS($F$7:AM$7))))</f>
        <v/>
      </c>
      <c r="AN75" s="2223"/>
      <c r="AO75" s="2223"/>
      <c r="AP75" s="2223"/>
      <c r="AQ75" s="2223"/>
      <c r="AR75" s="2223"/>
      <c r="AS75" s="2223"/>
    </row>
    <row r="76" spans="1:45" ht="15" x14ac:dyDescent="0.25">
      <c r="A76" s="2219" t="s">
        <v>5103</v>
      </c>
      <c r="B76" s="2219" t="s">
        <v>6365</v>
      </c>
      <c r="C76" s="2223"/>
      <c r="D76" s="2223">
        <f>COUNTIF(TableDiv[Agency],E76)</f>
        <v>1</v>
      </c>
      <c r="E76" s="2230" t="str" cm="1">
        <f t="array" ref="E76">IFERROR(INDEX(TableDiv[Agency],MATCH(0,INDEX(COUNTIF($E$7:E75,TableDiv[Agency]),),0)),"")</f>
        <v>U500</v>
      </c>
      <c r="F76" s="2223" t="str" cm="1">
        <f t="array" ref="F76">IF($D76&lt;COLUMNS($F$7:F$7),"",INDEX(TableDiv[[GASB]:[GASB]],_xlfn.AGGREGATE(15,3,(TableDiv[[Agency]:[Agency]]=$E76)/(TableDiv[[Agency]:[Agency]]=$E76)*(ROW(TableDiv[Agency])-ROW(TableDiv[[#Headers],[Agency]])),COLUMNS($F$7:F$7))))</f>
        <v>U50</v>
      </c>
      <c r="G76" s="2223" t="str" cm="1">
        <f t="array" ref="G76">IF($D76&lt;COLUMNS($F$7:G$7),"",INDEX(TableDiv[[GASB]:[GASB]],_xlfn.AGGREGATE(15,3,(TableDiv[[Agency]:[Agency]]=$E76)/(TableDiv[[Agency]:[Agency]]=$E76)*(ROW(TableDiv[Agency])-ROW(TableDiv[[#Headers],[Agency]])),COLUMNS($F$7:G$7))))</f>
        <v/>
      </c>
      <c r="H76" s="2223" t="str" cm="1">
        <f t="array" ref="H76">IF($D76&lt;COLUMNS($F$7:H$7),"",INDEX(TableDiv[[GASB]:[GASB]],_xlfn.AGGREGATE(15,3,(TableDiv[[Agency]:[Agency]]=$E76)/(TableDiv[[Agency]:[Agency]]=$E76)*(ROW(TableDiv[Agency])-ROW(TableDiv[[#Headers],[Agency]])),COLUMNS($F$7:H$7))))</f>
        <v/>
      </c>
      <c r="I76" s="2223" t="str" cm="1">
        <f t="array" ref="I76">IF($D76&lt;COLUMNS($F$7:I$7),"",INDEX(TableDiv[[GASB]:[GASB]],_xlfn.AGGREGATE(15,3,(TableDiv[[Agency]:[Agency]]=$E76)/(TableDiv[[Agency]:[Agency]]=$E76)*(ROW(TableDiv[Agency])-ROW(TableDiv[[#Headers],[Agency]])),COLUMNS($F$7:I$7))))</f>
        <v/>
      </c>
      <c r="J76" s="2223" t="str" cm="1">
        <f t="array" ref="J76">IF($D76&lt;COLUMNS($F$7:J$7),"",INDEX(TableDiv[[GASB]:[GASB]],_xlfn.AGGREGATE(15,3,(TableDiv[[Agency]:[Agency]]=$E76)/(TableDiv[[Agency]:[Agency]]=$E76)*(ROW(TableDiv[Agency])-ROW(TableDiv[[#Headers],[Agency]])),COLUMNS($F$7:J$7))))</f>
        <v/>
      </c>
      <c r="K76" s="2223" t="str" cm="1">
        <f t="array" ref="K76">IF($D76&lt;COLUMNS($F$7:K$7),"",INDEX(TableDiv[[GASB]:[GASB]],_xlfn.AGGREGATE(15,3,(TableDiv[[Agency]:[Agency]]=$E76)/(TableDiv[[Agency]:[Agency]]=$E76)*(ROW(TableDiv[Agency])-ROW(TableDiv[[#Headers],[Agency]])),COLUMNS($F$7:K$7))))</f>
        <v/>
      </c>
      <c r="L76" s="2223" t="str" cm="1">
        <f t="array" ref="L76">IF($D76&lt;COLUMNS($F$7:L$7),"",INDEX(TableDiv[[GASB]:[GASB]],_xlfn.AGGREGATE(15,3,(TableDiv[[Agency]:[Agency]]=$E76)/(TableDiv[[Agency]:[Agency]]=$E76)*(ROW(TableDiv[Agency])-ROW(TableDiv[[#Headers],[Agency]])),COLUMNS($F$7:L$7))))</f>
        <v/>
      </c>
      <c r="M76" s="2223" t="str" cm="1">
        <f t="array" ref="M76">IF($D76&lt;COLUMNS($F$7:M$7),"",INDEX(TableDiv[[GASB]:[GASB]],_xlfn.AGGREGATE(15,3,(TableDiv[[Agency]:[Agency]]=$E76)/(TableDiv[[Agency]:[Agency]]=$E76)*(ROW(TableDiv[Agency])-ROW(TableDiv[[#Headers],[Agency]])),COLUMNS($F$7:M$7))))</f>
        <v/>
      </c>
      <c r="N76" s="2223" t="str" cm="1">
        <f t="array" ref="N76">IF($D76&lt;COLUMNS($F$7:N$7),"",INDEX(TableDiv[[GASB]:[GASB]],_xlfn.AGGREGATE(15,3,(TableDiv[[Agency]:[Agency]]=$E76)/(TableDiv[[Agency]:[Agency]]=$E76)*(ROW(TableDiv[Agency])-ROW(TableDiv[[#Headers],[Agency]])),COLUMNS($F$7:N$7))))</f>
        <v/>
      </c>
      <c r="O76" s="2223" t="str" cm="1">
        <f t="array" ref="O76">IF($D76&lt;COLUMNS($F$7:O$7),"",INDEX(TableDiv[[GASB]:[GASB]],_xlfn.AGGREGATE(15,3,(TableDiv[[Agency]:[Agency]]=$E76)/(TableDiv[[Agency]:[Agency]]=$E76)*(ROW(TableDiv[Agency])-ROW(TableDiv[[#Headers],[Agency]])),COLUMNS($F$7:O$7))))</f>
        <v/>
      </c>
      <c r="P76" s="2223" t="str" cm="1">
        <f t="array" ref="P76">IF($D76&lt;COLUMNS($F$7:P$7),"",INDEX(TableDiv[[GASB]:[GASB]],_xlfn.AGGREGATE(15,3,(TableDiv[[Agency]:[Agency]]=$E76)/(TableDiv[[Agency]:[Agency]]=$E76)*(ROW(TableDiv[Agency])-ROW(TableDiv[[#Headers],[Agency]])),COLUMNS($F$7:P$7))))</f>
        <v/>
      </c>
      <c r="Q76" s="2223" t="str" cm="1">
        <f t="array" ref="Q76">IF($D76&lt;COLUMNS($F$7:Q$7),"",INDEX(TableDiv[[GASB]:[GASB]],_xlfn.AGGREGATE(15,3,(TableDiv[[Agency]:[Agency]]=$E76)/(TableDiv[[Agency]:[Agency]]=$E76)*(ROW(TableDiv[Agency])-ROW(TableDiv[[#Headers],[Agency]])),COLUMNS($F$7:Q$7))))</f>
        <v/>
      </c>
      <c r="R76" s="2223" t="str" cm="1">
        <f t="array" ref="R76">IF($D76&lt;COLUMNS($F$7:R$7),"",INDEX(TableDiv[[GASB]:[GASB]],_xlfn.AGGREGATE(15,3,(TableDiv[[Agency]:[Agency]]=$E76)/(TableDiv[[Agency]:[Agency]]=$E76)*(ROW(TableDiv[Agency])-ROW(TableDiv[[#Headers],[Agency]])),COLUMNS($F$7:R$7))))</f>
        <v/>
      </c>
      <c r="S76" s="2223" t="str" cm="1">
        <f t="array" ref="S76">IF($D76&lt;COLUMNS($F$7:S$7),"",INDEX(TableDiv[[GASB]:[GASB]],_xlfn.AGGREGATE(15,3,(TableDiv[[Agency]:[Agency]]=$E76)/(TableDiv[[Agency]:[Agency]]=$E76)*(ROW(TableDiv[Agency])-ROW(TableDiv[[#Headers],[Agency]])),COLUMNS($F$7:S$7))))</f>
        <v/>
      </c>
      <c r="T76" s="2223" t="str" cm="1">
        <f t="array" ref="T76">IF($D76&lt;COLUMNS($F$7:T$7),"",INDEX(TableDiv[[GASB]:[GASB]],_xlfn.AGGREGATE(15,3,(TableDiv[[Agency]:[Agency]]=$E76)/(TableDiv[[Agency]:[Agency]]=$E76)*(ROW(TableDiv[Agency])-ROW(TableDiv[[#Headers],[Agency]])),COLUMNS($F$7:T$7))))</f>
        <v/>
      </c>
      <c r="U76" s="2223" t="str" cm="1">
        <f t="array" ref="U76">IF($D76&lt;COLUMNS($F$7:U$7),"",INDEX(TableDiv[[GASB]:[GASB]],_xlfn.AGGREGATE(15,3,(TableDiv[[Agency]:[Agency]]=$E76)/(TableDiv[[Agency]:[Agency]]=$E76)*(ROW(TableDiv[Agency])-ROW(TableDiv[[#Headers],[Agency]])),COLUMNS($F$7:U$7))))</f>
        <v/>
      </c>
      <c r="V76" s="2223" t="str" cm="1">
        <f t="array" ref="V76">IF($D76&lt;COLUMNS($F$7:V$7),"",INDEX(TableDiv[[GASB]:[GASB]],_xlfn.AGGREGATE(15,3,(TableDiv[[Agency]:[Agency]]=$E76)/(TableDiv[[Agency]:[Agency]]=$E76)*(ROW(TableDiv[Agency])-ROW(TableDiv[[#Headers],[Agency]])),COLUMNS($F$7:V$7))))</f>
        <v/>
      </c>
      <c r="W76" s="2223" t="str" cm="1">
        <f t="array" ref="W76">IF($D76&lt;COLUMNS($F$7:W$7),"",INDEX(TableDiv[[GASB]:[GASB]],_xlfn.AGGREGATE(15,3,(TableDiv[[Agency]:[Agency]]=$E76)/(TableDiv[[Agency]:[Agency]]=$E76)*(ROW(TableDiv[Agency])-ROW(TableDiv[[#Headers],[Agency]])),COLUMNS($F$7:W$7))))</f>
        <v/>
      </c>
      <c r="X76" s="2223" t="str" cm="1">
        <f t="array" ref="X76">IF($D76&lt;COLUMNS($F$7:X$7),"",INDEX(TableDiv[[GASB]:[GASB]],_xlfn.AGGREGATE(15,3,(TableDiv[[Agency]:[Agency]]=$E76)/(TableDiv[[Agency]:[Agency]]=$E76)*(ROW(TableDiv[Agency])-ROW(TableDiv[[#Headers],[Agency]])),COLUMNS($F$7:X$7))))</f>
        <v/>
      </c>
      <c r="Y76" s="2223" t="str" cm="1">
        <f t="array" ref="Y76">IF($D76&lt;COLUMNS($F$7:Y$7),"",INDEX(TableDiv[[GASB]:[GASB]],_xlfn.AGGREGATE(15,3,(TableDiv[[Agency]:[Agency]]=$E76)/(TableDiv[[Agency]:[Agency]]=$E76)*(ROW(TableDiv[Agency])-ROW(TableDiv[[#Headers],[Agency]])),COLUMNS($F$7:Y$7))))</f>
        <v/>
      </c>
      <c r="Z76" s="2223" t="str" cm="1">
        <f t="array" ref="Z76">IF($D76&lt;COLUMNS($F$7:Z$7),"",INDEX(TableDiv[[GASB]:[GASB]],_xlfn.AGGREGATE(15,3,(TableDiv[[Agency]:[Agency]]=$E76)/(TableDiv[[Agency]:[Agency]]=$E76)*(ROW(TableDiv[Agency])-ROW(TableDiv[[#Headers],[Agency]])),COLUMNS($F$7:Z$7))))</f>
        <v/>
      </c>
      <c r="AA76" s="2223" t="str" cm="1">
        <f t="array" ref="AA76">IF($D76&lt;COLUMNS($F$7:AA$7),"",INDEX(TableDiv[[GASB]:[GASB]],_xlfn.AGGREGATE(15,3,(TableDiv[[Agency]:[Agency]]=$E76)/(TableDiv[[Agency]:[Agency]]=$E76)*(ROW(TableDiv[Agency])-ROW(TableDiv[[#Headers],[Agency]])),COLUMNS($F$7:AA$7))))</f>
        <v/>
      </c>
      <c r="AB76" s="2223" t="str" cm="1">
        <f t="array" ref="AB76">IF($D76&lt;COLUMNS($F$7:AB$7),"",INDEX(TableDiv[[GASB]:[GASB]],_xlfn.AGGREGATE(15,3,(TableDiv[[Agency]:[Agency]]=$E76)/(TableDiv[[Agency]:[Agency]]=$E76)*(ROW(TableDiv[Agency])-ROW(TableDiv[[#Headers],[Agency]])),COLUMNS($F$7:AB$7))))</f>
        <v/>
      </c>
      <c r="AC76" s="2223" t="str" cm="1">
        <f t="array" ref="AC76">IF($D76&lt;COLUMNS($F$7:AC$7),"",INDEX(TableDiv[[GASB]:[GASB]],_xlfn.AGGREGATE(15,3,(TableDiv[[Agency]:[Agency]]=$E76)/(TableDiv[[Agency]:[Agency]]=$E76)*(ROW(TableDiv[Agency])-ROW(TableDiv[[#Headers],[Agency]])),COLUMNS($F$7:AC$7))))</f>
        <v/>
      </c>
      <c r="AD76" s="2223" t="str" cm="1">
        <f t="array" ref="AD76">IF($D76&lt;COLUMNS($F$7:AD$7),"",INDEX(TableDiv[[GASB]:[GASB]],_xlfn.AGGREGATE(15,3,(TableDiv[[Agency]:[Agency]]=$E76)/(TableDiv[[Agency]:[Agency]]=$E76)*(ROW(TableDiv[Agency])-ROW(TableDiv[[#Headers],[Agency]])),COLUMNS($F$7:AD$7))))</f>
        <v/>
      </c>
      <c r="AE76" s="2223" t="str" cm="1">
        <f t="array" ref="AE76">IF($D76&lt;COLUMNS($F$7:AE$7),"",INDEX(TableDiv[[GASB]:[GASB]],_xlfn.AGGREGATE(15,3,(TableDiv[[Agency]:[Agency]]=$E76)/(TableDiv[[Agency]:[Agency]]=$E76)*(ROW(TableDiv[Agency])-ROW(TableDiv[[#Headers],[Agency]])),COLUMNS($F$7:AE$7))))</f>
        <v/>
      </c>
      <c r="AF76" s="2223" t="str" cm="1">
        <f t="array" ref="AF76">IF($D76&lt;COLUMNS($F$7:AF$7),"",INDEX(TableDiv[[GASB]:[GASB]],_xlfn.AGGREGATE(15,3,(TableDiv[[Agency]:[Agency]]=$E76)/(TableDiv[[Agency]:[Agency]]=$E76)*(ROW(TableDiv[Agency])-ROW(TableDiv[[#Headers],[Agency]])),COLUMNS($F$7:AF$7))))</f>
        <v/>
      </c>
      <c r="AG76" s="2223" t="str" cm="1">
        <f t="array" ref="AG76">IF($D76&lt;COLUMNS($F$7:AG$7),"",INDEX(TableDiv[[GASB]:[GASB]],_xlfn.AGGREGATE(15,3,(TableDiv[[Agency]:[Agency]]=$E76)/(TableDiv[[Agency]:[Agency]]=$E76)*(ROW(TableDiv[Agency])-ROW(TableDiv[[#Headers],[Agency]])),COLUMNS($F$7:AG$7))))</f>
        <v/>
      </c>
      <c r="AH76" s="2223" t="str" cm="1">
        <f t="array" ref="AH76">IF($D76&lt;COLUMNS($F$7:AH$7),"",INDEX(TableDiv[[GASB]:[GASB]],_xlfn.AGGREGATE(15,3,(TableDiv[[Agency]:[Agency]]=$E76)/(TableDiv[[Agency]:[Agency]]=$E76)*(ROW(TableDiv[Agency])-ROW(TableDiv[[#Headers],[Agency]])),COLUMNS($F$7:AH$7))))</f>
        <v/>
      </c>
      <c r="AI76" s="2223" t="str" cm="1">
        <f t="array" ref="AI76">IF($D76&lt;COLUMNS($F$7:AI$7),"",INDEX(TableDiv[[GASB]:[GASB]],_xlfn.AGGREGATE(15,3,(TableDiv[[Agency]:[Agency]]=$E76)/(TableDiv[[Agency]:[Agency]]=$E76)*(ROW(TableDiv[Agency])-ROW(TableDiv[[#Headers],[Agency]])),COLUMNS($F$7:AI$7))))</f>
        <v/>
      </c>
      <c r="AJ76" s="2223" t="str" cm="1">
        <f t="array" ref="AJ76">IF($D76&lt;COLUMNS($F$7:AJ$7),"",INDEX(TableDiv[[GASB]:[GASB]],_xlfn.AGGREGATE(15,3,(TableDiv[[Agency]:[Agency]]=$E76)/(TableDiv[[Agency]:[Agency]]=$E76)*(ROW(TableDiv[Agency])-ROW(TableDiv[[#Headers],[Agency]])),COLUMNS($F$7:AJ$7))))</f>
        <v/>
      </c>
      <c r="AK76" s="2223" t="str" cm="1">
        <f t="array" ref="AK76">IF($D76&lt;COLUMNS($F$7:AK$7),"",INDEX(TableDiv[[GASB]:[GASB]],_xlfn.AGGREGATE(15,3,(TableDiv[[Agency]:[Agency]]=$E76)/(TableDiv[[Agency]:[Agency]]=$E76)*(ROW(TableDiv[Agency])-ROW(TableDiv[[#Headers],[Agency]])),COLUMNS($F$7:AK$7))))</f>
        <v/>
      </c>
      <c r="AL76" s="2223" t="str" cm="1">
        <f t="array" ref="AL76">IF($D76&lt;COLUMNS($F$7:AL$7),"",INDEX(TableDiv[[GASB]:[GASB]],_xlfn.AGGREGATE(15,3,(TableDiv[[Agency]:[Agency]]=$E76)/(TableDiv[[Agency]:[Agency]]=$E76)*(ROW(TableDiv[Agency])-ROW(TableDiv[[#Headers],[Agency]])),COLUMNS($F$7:AL$7))))</f>
        <v/>
      </c>
      <c r="AM76" s="2223" t="str" cm="1">
        <f t="array" ref="AM76">IF($D76&lt;COLUMNS($F$7:AM$7),"",INDEX(TableDiv[[GASB]:[GASB]],_xlfn.AGGREGATE(15,3,(TableDiv[[Agency]:[Agency]]=$E76)/(TableDiv[[Agency]:[Agency]]=$E76)*(ROW(TableDiv[Agency])-ROW(TableDiv[[#Headers],[Agency]])),COLUMNS($F$7:AM$7))))</f>
        <v/>
      </c>
      <c r="AN76" s="2223"/>
      <c r="AO76" s="2223"/>
      <c r="AP76" s="2223"/>
      <c r="AQ76" s="2223"/>
      <c r="AR76" s="2223"/>
      <c r="AS76" s="2223"/>
    </row>
    <row r="77" spans="1:45" ht="15" x14ac:dyDescent="0.25">
      <c r="A77" s="2219" t="s">
        <v>5103</v>
      </c>
      <c r="B77" s="2219" t="s">
        <v>6361</v>
      </c>
      <c r="C77" s="2223"/>
      <c r="D77" s="2223">
        <f>COUNTIF(TableDiv[Agency],E77)</f>
        <v>1</v>
      </c>
      <c r="E77" s="2230" t="str" cm="1">
        <f t="array" ref="E77">IFERROR(INDEX(TableDiv[Agency],MATCH(0,INDEX(COUNTIF($E$7:E76,TableDiv[Agency]),),0)),"")</f>
        <v>U550</v>
      </c>
      <c r="F77" s="2223" t="str" cm="1">
        <f t="array" ref="F77">IF($D77&lt;COLUMNS($F$7:F$7),"",INDEX(TableDiv[[GASB]:[GASB]],_xlfn.AGGREGATE(15,3,(TableDiv[[Agency]:[Agency]]=$E77)/(TableDiv[[Agency]:[Agency]]=$E77)*(ROW(TableDiv[Agency])-ROW(TableDiv[[#Headers],[Agency]])),COLUMNS($F$7:F$7))))</f>
        <v>U55</v>
      </c>
      <c r="G77" s="2223" t="str" cm="1">
        <f t="array" ref="G77">IF($D77&lt;COLUMNS($F$7:G$7),"",INDEX(TableDiv[[GASB]:[GASB]],_xlfn.AGGREGATE(15,3,(TableDiv[[Agency]:[Agency]]=$E77)/(TableDiv[[Agency]:[Agency]]=$E77)*(ROW(TableDiv[Agency])-ROW(TableDiv[[#Headers],[Agency]])),COLUMNS($F$7:G$7))))</f>
        <v/>
      </c>
      <c r="H77" s="2223" t="str" cm="1">
        <f t="array" ref="H77">IF($D77&lt;COLUMNS($F$7:H$7),"",INDEX(TableDiv[[GASB]:[GASB]],_xlfn.AGGREGATE(15,3,(TableDiv[[Agency]:[Agency]]=$E77)/(TableDiv[[Agency]:[Agency]]=$E77)*(ROW(TableDiv[Agency])-ROW(TableDiv[[#Headers],[Agency]])),COLUMNS($F$7:H$7))))</f>
        <v/>
      </c>
      <c r="I77" s="2223" t="str" cm="1">
        <f t="array" ref="I77">IF($D77&lt;COLUMNS($F$7:I$7),"",INDEX(TableDiv[[GASB]:[GASB]],_xlfn.AGGREGATE(15,3,(TableDiv[[Agency]:[Agency]]=$E77)/(TableDiv[[Agency]:[Agency]]=$E77)*(ROW(TableDiv[Agency])-ROW(TableDiv[[#Headers],[Agency]])),COLUMNS($F$7:I$7))))</f>
        <v/>
      </c>
      <c r="J77" s="2223" t="str" cm="1">
        <f t="array" ref="J77">IF($D77&lt;COLUMNS($F$7:J$7),"",INDEX(TableDiv[[GASB]:[GASB]],_xlfn.AGGREGATE(15,3,(TableDiv[[Agency]:[Agency]]=$E77)/(TableDiv[[Agency]:[Agency]]=$E77)*(ROW(TableDiv[Agency])-ROW(TableDiv[[#Headers],[Agency]])),COLUMNS($F$7:J$7))))</f>
        <v/>
      </c>
      <c r="K77" s="2223" t="str" cm="1">
        <f t="array" ref="K77">IF($D77&lt;COLUMNS($F$7:K$7),"",INDEX(TableDiv[[GASB]:[GASB]],_xlfn.AGGREGATE(15,3,(TableDiv[[Agency]:[Agency]]=$E77)/(TableDiv[[Agency]:[Agency]]=$E77)*(ROW(TableDiv[Agency])-ROW(TableDiv[[#Headers],[Agency]])),COLUMNS($F$7:K$7))))</f>
        <v/>
      </c>
      <c r="L77" s="2223" t="str" cm="1">
        <f t="array" ref="L77">IF($D77&lt;COLUMNS($F$7:L$7),"",INDEX(TableDiv[[GASB]:[GASB]],_xlfn.AGGREGATE(15,3,(TableDiv[[Agency]:[Agency]]=$E77)/(TableDiv[[Agency]:[Agency]]=$E77)*(ROW(TableDiv[Agency])-ROW(TableDiv[[#Headers],[Agency]])),COLUMNS($F$7:L$7))))</f>
        <v/>
      </c>
      <c r="M77" s="2223" t="str" cm="1">
        <f t="array" ref="M77">IF($D77&lt;COLUMNS($F$7:M$7),"",INDEX(TableDiv[[GASB]:[GASB]],_xlfn.AGGREGATE(15,3,(TableDiv[[Agency]:[Agency]]=$E77)/(TableDiv[[Agency]:[Agency]]=$E77)*(ROW(TableDiv[Agency])-ROW(TableDiv[[#Headers],[Agency]])),COLUMNS($F$7:M$7))))</f>
        <v/>
      </c>
      <c r="N77" s="2223" t="str" cm="1">
        <f t="array" ref="N77">IF($D77&lt;COLUMNS($F$7:N$7),"",INDEX(TableDiv[[GASB]:[GASB]],_xlfn.AGGREGATE(15,3,(TableDiv[[Agency]:[Agency]]=$E77)/(TableDiv[[Agency]:[Agency]]=$E77)*(ROW(TableDiv[Agency])-ROW(TableDiv[[#Headers],[Agency]])),COLUMNS($F$7:N$7))))</f>
        <v/>
      </c>
      <c r="O77" s="2223" t="str" cm="1">
        <f t="array" ref="O77">IF($D77&lt;COLUMNS($F$7:O$7),"",INDEX(TableDiv[[GASB]:[GASB]],_xlfn.AGGREGATE(15,3,(TableDiv[[Agency]:[Agency]]=$E77)/(TableDiv[[Agency]:[Agency]]=$E77)*(ROW(TableDiv[Agency])-ROW(TableDiv[[#Headers],[Agency]])),COLUMNS($F$7:O$7))))</f>
        <v/>
      </c>
      <c r="P77" s="2223" t="str" cm="1">
        <f t="array" ref="P77">IF($D77&lt;COLUMNS($F$7:P$7),"",INDEX(TableDiv[[GASB]:[GASB]],_xlfn.AGGREGATE(15,3,(TableDiv[[Agency]:[Agency]]=$E77)/(TableDiv[[Agency]:[Agency]]=$E77)*(ROW(TableDiv[Agency])-ROW(TableDiv[[#Headers],[Agency]])),COLUMNS($F$7:P$7))))</f>
        <v/>
      </c>
      <c r="Q77" s="2223" t="str" cm="1">
        <f t="array" ref="Q77">IF($D77&lt;COLUMNS($F$7:Q$7),"",INDEX(TableDiv[[GASB]:[GASB]],_xlfn.AGGREGATE(15,3,(TableDiv[[Agency]:[Agency]]=$E77)/(TableDiv[[Agency]:[Agency]]=$E77)*(ROW(TableDiv[Agency])-ROW(TableDiv[[#Headers],[Agency]])),COLUMNS($F$7:Q$7))))</f>
        <v/>
      </c>
      <c r="R77" s="2223" t="str" cm="1">
        <f t="array" ref="R77">IF($D77&lt;COLUMNS($F$7:R$7),"",INDEX(TableDiv[[GASB]:[GASB]],_xlfn.AGGREGATE(15,3,(TableDiv[[Agency]:[Agency]]=$E77)/(TableDiv[[Agency]:[Agency]]=$E77)*(ROW(TableDiv[Agency])-ROW(TableDiv[[#Headers],[Agency]])),COLUMNS($F$7:R$7))))</f>
        <v/>
      </c>
      <c r="S77" s="2223" t="str" cm="1">
        <f t="array" ref="S77">IF($D77&lt;COLUMNS($F$7:S$7),"",INDEX(TableDiv[[GASB]:[GASB]],_xlfn.AGGREGATE(15,3,(TableDiv[[Agency]:[Agency]]=$E77)/(TableDiv[[Agency]:[Agency]]=$E77)*(ROW(TableDiv[Agency])-ROW(TableDiv[[#Headers],[Agency]])),COLUMNS($F$7:S$7))))</f>
        <v/>
      </c>
      <c r="T77" s="2223" t="str" cm="1">
        <f t="array" ref="T77">IF($D77&lt;COLUMNS($F$7:T$7),"",INDEX(TableDiv[[GASB]:[GASB]],_xlfn.AGGREGATE(15,3,(TableDiv[[Agency]:[Agency]]=$E77)/(TableDiv[[Agency]:[Agency]]=$E77)*(ROW(TableDiv[Agency])-ROW(TableDiv[[#Headers],[Agency]])),COLUMNS($F$7:T$7))))</f>
        <v/>
      </c>
      <c r="U77" s="2223" t="str" cm="1">
        <f t="array" ref="U77">IF($D77&lt;COLUMNS($F$7:U$7),"",INDEX(TableDiv[[GASB]:[GASB]],_xlfn.AGGREGATE(15,3,(TableDiv[[Agency]:[Agency]]=$E77)/(TableDiv[[Agency]:[Agency]]=$E77)*(ROW(TableDiv[Agency])-ROW(TableDiv[[#Headers],[Agency]])),COLUMNS($F$7:U$7))))</f>
        <v/>
      </c>
      <c r="V77" s="2223" t="str" cm="1">
        <f t="array" ref="V77">IF($D77&lt;COLUMNS($F$7:V$7),"",INDEX(TableDiv[[GASB]:[GASB]],_xlfn.AGGREGATE(15,3,(TableDiv[[Agency]:[Agency]]=$E77)/(TableDiv[[Agency]:[Agency]]=$E77)*(ROW(TableDiv[Agency])-ROW(TableDiv[[#Headers],[Agency]])),COLUMNS($F$7:V$7))))</f>
        <v/>
      </c>
      <c r="W77" s="2223" t="str" cm="1">
        <f t="array" ref="W77">IF($D77&lt;COLUMNS($F$7:W$7),"",INDEX(TableDiv[[GASB]:[GASB]],_xlfn.AGGREGATE(15,3,(TableDiv[[Agency]:[Agency]]=$E77)/(TableDiv[[Agency]:[Agency]]=$E77)*(ROW(TableDiv[Agency])-ROW(TableDiv[[#Headers],[Agency]])),COLUMNS($F$7:W$7))))</f>
        <v/>
      </c>
      <c r="X77" s="2223" t="str" cm="1">
        <f t="array" ref="X77">IF($D77&lt;COLUMNS($F$7:X$7),"",INDEX(TableDiv[[GASB]:[GASB]],_xlfn.AGGREGATE(15,3,(TableDiv[[Agency]:[Agency]]=$E77)/(TableDiv[[Agency]:[Agency]]=$E77)*(ROW(TableDiv[Agency])-ROW(TableDiv[[#Headers],[Agency]])),COLUMNS($F$7:X$7))))</f>
        <v/>
      </c>
      <c r="Y77" s="2223" t="str" cm="1">
        <f t="array" ref="Y77">IF($D77&lt;COLUMNS($F$7:Y$7),"",INDEX(TableDiv[[GASB]:[GASB]],_xlfn.AGGREGATE(15,3,(TableDiv[[Agency]:[Agency]]=$E77)/(TableDiv[[Agency]:[Agency]]=$E77)*(ROW(TableDiv[Agency])-ROW(TableDiv[[#Headers],[Agency]])),COLUMNS($F$7:Y$7))))</f>
        <v/>
      </c>
      <c r="Z77" s="2223" t="str" cm="1">
        <f t="array" ref="Z77">IF($D77&lt;COLUMNS($F$7:Z$7),"",INDEX(TableDiv[[GASB]:[GASB]],_xlfn.AGGREGATE(15,3,(TableDiv[[Agency]:[Agency]]=$E77)/(TableDiv[[Agency]:[Agency]]=$E77)*(ROW(TableDiv[Agency])-ROW(TableDiv[[#Headers],[Agency]])),COLUMNS($F$7:Z$7))))</f>
        <v/>
      </c>
      <c r="AA77" s="2223" t="str" cm="1">
        <f t="array" ref="AA77">IF($D77&lt;COLUMNS($F$7:AA$7),"",INDEX(TableDiv[[GASB]:[GASB]],_xlfn.AGGREGATE(15,3,(TableDiv[[Agency]:[Agency]]=$E77)/(TableDiv[[Agency]:[Agency]]=$E77)*(ROW(TableDiv[Agency])-ROW(TableDiv[[#Headers],[Agency]])),COLUMNS($F$7:AA$7))))</f>
        <v/>
      </c>
      <c r="AB77" s="2223" t="str" cm="1">
        <f t="array" ref="AB77">IF($D77&lt;COLUMNS($F$7:AB$7),"",INDEX(TableDiv[[GASB]:[GASB]],_xlfn.AGGREGATE(15,3,(TableDiv[[Agency]:[Agency]]=$E77)/(TableDiv[[Agency]:[Agency]]=$E77)*(ROW(TableDiv[Agency])-ROW(TableDiv[[#Headers],[Agency]])),COLUMNS($F$7:AB$7))))</f>
        <v/>
      </c>
      <c r="AC77" s="2223" t="str" cm="1">
        <f t="array" ref="AC77">IF($D77&lt;COLUMNS($F$7:AC$7),"",INDEX(TableDiv[[GASB]:[GASB]],_xlfn.AGGREGATE(15,3,(TableDiv[[Agency]:[Agency]]=$E77)/(TableDiv[[Agency]:[Agency]]=$E77)*(ROW(TableDiv[Agency])-ROW(TableDiv[[#Headers],[Agency]])),COLUMNS($F$7:AC$7))))</f>
        <v/>
      </c>
      <c r="AD77" s="2223" t="str" cm="1">
        <f t="array" ref="AD77">IF($D77&lt;COLUMNS($F$7:AD$7),"",INDEX(TableDiv[[GASB]:[GASB]],_xlfn.AGGREGATE(15,3,(TableDiv[[Agency]:[Agency]]=$E77)/(TableDiv[[Agency]:[Agency]]=$E77)*(ROW(TableDiv[Agency])-ROW(TableDiv[[#Headers],[Agency]])),COLUMNS($F$7:AD$7))))</f>
        <v/>
      </c>
      <c r="AE77" s="2223" t="str" cm="1">
        <f t="array" ref="AE77">IF($D77&lt;COLUMNS($F$7:AE$7),"",INDEX(TableDiv[[GASB]:[GASB]],_xlfn.AGGREGATE(15,3,(TableDiv[[Agency]:[Agency]]=$E77)/(TableDiv[[Agency]:[Agency]]=$E77)*(ROW(TableDiv[Agency])-ROW(TableDiv[[#Headers],[Agency]])),COLUMNS($F$7:AE$7))))</f>
        <v/>
      </c>
      <c r="AF77" s="2223" t="str" cm="1">
        <f t="array" ref="AF77">IF($D77&lt;COLUMNS($F$7:AF$7),"",INDEX(TableDiv[[GASB]:[GASB]],_xlfn.AGGREGATE(15,3,(TableDiv[[Agency]:[Agency]]=$E77)/(TableDiv[[Agency]:[Agency]]=$E77)*(ROW(TableDiv[Agency])-ROW(TableDiv[[#Headers],[Agency]])),COLUMNS($F$7:AF$7))))</f>
        <v/>
      </c>
      <c r="AG77" s="2223" t="str" cm="1">
        <f t="array" ref="AG77">IF($D77&lt;COLUMNS($F$7:AG$7),"",INDEX(TableDiv[[GASB]:[GASB]],_xlfn.AGGREGATE(15,3,(TableDiv[[Agency]:[Agency]]=$E77)/(TableDiv[[Agency]:[Agency]]=$E77)*(ROW(TableDiv[Agency])-ROW(TableDiv[[#Headers],[Agency]])),COLUMNS($F$7:AG$7))))</f>
        <v/>
      </c>
      <c r="AH77" s="2223" t="str" cm="1">
        <f t="array" ref="AH77">IF($D77&lt;COLUMNS($F$7:AH$7),"",INDEX(TableDiv[[GASB]:[GASB]],_xlfn.AGGREGATE(15,3,(TableDiv[[Agency]:[Agency]]=$E77)/(TableDiv[[Agency]:[Agency]]=$E77)*(ROW(TableDiv[Agency])-ROW(TableDiv[[#Headers],[Agency]])),COLUMNS($F$7:AH$7))))</f>
        <v/>
      </c>
      <c r="AI77" s="2223" t="str" cm="1">
        <f t="array" ref="AI77">IF($D77&lt;COLUMNS($F$7:AI$7),"",INDEX(TableDiv[[GASB]:[GASB]],_xlfn.AGGREGATE(15,3,(TableDiv[[Agency]:[Agency]]=$E77)/(TableDiv[[Agency]:[Agency]]=$E77)*(ROW(TableDiv[Agency])-ROW(TableDiv[[#Headers],[Agency]])),COLUMNS($F$7:AI$7))))</f>
        <v/>
      </c>
      <c r="AJ77" s="2223" t="str" cm="1">
        <f t="array" ref="AJ77">IF($D77&lt;COLUMNS($F$7:AJ$7),"",INDEX(TableDiv[[GASB]:[GASB]],_xlfn.AGGREGATE(15,3,(TableDiv[[Agency]:[Agency]]=$E77)/(TableDiv[[Agency]:[Agency]]=$E77)*(ROW(TableDiv[Agency])-ROW(TableDiv[[#Headers],[Agency]])),COLUMNS($F$7:AJ$7))))</f>
        <v/>
      </c>
      <c r="AK77" s="2223" t="str" cm="1">
        <f t="array" ref="AK77">IF($D77&lt;COLUMNS($F$7:AK$7),"",INDEX(TableDiv[[GASB]:[GASB]],_xlfn.AGGREGATE(15,3,(TableDiv[[Agency]:[Agency]]=$E77)/(TableDiv[[Agency]:[Agency]]=$E77)*(ROW(TableDiv[Agency])-ROW(TableDiv[[#Headers],[Agency]])),COLUMNS($F$7:AK$7))))</f>
        <v/>
      </c>
      <c r="AL77" s="2223" t="str" cm="1">
        <f t="array" ref="AL77">IF($D77&lt;COLUMNS($F$7:AL$7),"",INDEX(TableDiv[[GASB]:[GASB]],_xlfn.AGGREGATE(15,3,(TableDiv[[Agency]:[Agency]]=$E77)/(TableDiv[[Agency]:[Agency]]=$E77)*(ROW(TableDiv[Agency])-ROW(TableDiv[[#Headers],[Agency]])),COLUMNS($F$7:AL$7))))</f>
        <v/>
      </c>
      <c r="AM77" s="2223" t="str" cm="1">
        <f t="array" ref="AM77">IF($D77&lt;COLUMNS($F$7:AM$7),"",INDEX(TableDiv[[GASB]:[GASB]],_xlfn.AGGREGATE(15,3,(TableDiv[[Agency]:[Agency]]=$E77)/(TableDiv[[Agency]:[Agency]]=$E77)*(ROW(TableDiv[Agency])-ROW(TableDiv[[#Headers],[Agency]])),COLUMNS($F$7:AM$7))))</f>
        <v/>
      </c>
      <c r="AN77" s="2223"/>
      <c r="AO77" s="2223"/>
      <c r="AP77" s="2223"/>
      <c r="AQ77" s="2223"/>
      <c r="AR77" s="2223"/>
      <c r="AS77" s="2223"/>
    </row>
    <row r="78" spans="1:45" ht="15" x14ac:dyDescent="0.25">
      <c r="A78" s="2219" t="s">
        <v>5103</v>
      </c>
      <c r="B78" s="2219" t="s">
        <v>6358</v>
      </c>
      <c r="C78" s="2223"/>
      <c r="D78" s="2223">
        <f>COUNTIF(TableDiv[Agency],E78)</f>
        <v>1</v>
      </c>
      <c r="E78" s="2230" t="str" cm="1">
        <f t="array" ref="E78">IFERROR(INDEX(TableDiv[Agency],MATCH(0,INDEX(COUNTIF($E$7:E77,TableDiv[Agency]),),0)),"")</f>
        <v>U600</v>
      </c>
      <c r="F78" s="2223" t="str" cm="1">
        <f t="array" ref="F78">IF($D78&lt;COLUMNS($F$7:F$7),"",INDEX(TableDiv[[GASB]:[GASB]],_xlfn.AGGREGATE(15,3,(TableDiv[[Agency]:[Agency]]=$E78)/(TableDiv[[Agency]:[Agency]]=$E78)*(ROW(TableDiv[Agency])-ROW(TableDiv[[#Headers],[Agency]])),COLUMNS($F$7:F$7))))</f>
        <v>U60</v>
      </c>
      <c r="G78" s="2223" t="str" cm="1">
        <f t="array" ref="G78">IF($D78&lt;COLUMNS($F$7:G$7),"",INDEX(TableDiv[[GASB]:[GASB]],_xlfn.AGGREGATE(15,3,(TableDiv[[Agency]:[Agency]]=$E78)/(TableDiv[[Agency]:[Agency]]=$E78)*(ROW(TableDiv[Agency])-ROW(TableDiv[[#Headers],[Agency]])),COLUMNS($F$7:G$7))))</f>
        <v/>
      </c>
      <c r="H78" s="2223" t="str" cm="1">
        <f t="array" ref="H78">IF($D78&lt;COLUMNS($F$7:H$7),"",INDEX(TableDiv[[GASB]:[GASB]],_xlfn.AGGREGATE(15,3,(TableDiv[[Agency]:[Agency]]=$E78)/(TableDiv[[Agency]:[Agency]]=$E78)*(ROW(TableDiv[Agency])-ROW(TableDiv[[#Headers],[Agency]])),COLUMNS($F$7:H$7))))</f>
        <v/>
      </c>
      <c r="I78" s="2223" t="str" cm="1">
        <f t="array" ref="I78">IF($D78&lt;COLUMNS($F$7:I$7),"",INDEX(TableDiv[[GASB]:[GASB]],_xlfn.AGGREGATE(15,3,(TableDiv[[Agency]:[Agency]]=$E78)/(TableDiv[[Agency]:[Agency]]=$E78)*(ROW(TableDiv[Agency])-ROW(TableDiv[[#Headers],[Agency]])),COLUMNS($F$7:I$7))))</f>
        <v/>
      </c>
      <c r="J78" s="2223" t="str" cm="1">
        <f t="array" ref="J78">IF($D78&lt;COLUMNS($F$7:J$7),"",INDEX(TableDiv[[GASB]:[GASB]],_xlfn.AGGREGATE(15,3,(TableDiv[[Agency]:[Agency]]=$E78)/(TableDiv[[Agency]:[Agency]]=$E78)*(ROW(TableDiv[Agency])-ROW(TableDiv[[#Headers],[Agency]])),COLUMNS($F$7:J$7))))</f>
        <v/>
      </c>
      <c r="K78" s="2223" t="str" cm="1">
        <f t="array" ref="K78">IF($D78&lt;COLUMNS($F$7:K$7),"",INDEX(TableDiv[[GASB]:[GASB]],_xlfn.AGGREGATE(15,3,(TableDiv[[Agency]:[Agency]]=$E78)/(TableDiv[[Agency]:[Agency]]=$E78)*(ROW(TableDiv[Agency])-ROW(TableDiv[[#Headers],[Agency]])),COLUMNS($F$7:K$7))))</f>
        <v/>
      </c>
      <c r="L78" s="2223" t="str" cm="1">
        <f t="array" ref="L78">IF($D78&lt;COLUMNS($F$7:L$7),"",INDEX(TableDiv[[GASB]:[GASB]],_xlfn.AGGREGATE(15,3,(TableDiv[[Agency]:[Agency]]=$E78)/(TableDiv[[Agency]:[Agency]]=$E78)*(ROW(TableDiv[Agency])-ROW(TableDiv[[#Headers],[Agency]])),COLUMNS($F$7:L$7))))</f>
        <v/>
      </c>
      <c r="M78" s="2223" t="str" cm="1">
        <f t="array" ref="M78">IF($D78&lt;COLUMNS($F$7:M$7),"",INDEX(TableDiv[[GASB]:[GASB]],_xlfn.AGGREGATE(15,3,(TableDiv[[Agency]:[Agency]]=$E78)/(TableDiv[[Agency]:[Agency]]=$E78)*(ROW(TableDiv[Agency])-ROW(TableDiv[[#Headers],[Agency]])),COLUMNS($F$7:M$7))))</f>
        <v/>
      </c>
      <c r="N78" s="2223" t="str" cm="1">
        <f t="array" ref="N78">IF($D78&lt;COLUMNS($F$7:N$7),"",INDEX(TableDiv[[GASB]:[GASB]],_xlfn.AGGREGATE(15,3,(TableDiv[[Agency]:[Agency]]=$E78)/(TableDiv[[Agency]:[Agency]]=$E78)*(ROW(TableDiv[Agency])-ROW(TableDiv[[#Headers],[Agency]])),COLUMNS($F$7:N$7))))</f>
        <v/>
      </c>
      <c r="O78" s="2223" t="str" cm="1">
        <f t="array" ref="O78">IF($D78&lt;COLUMNS($F$7:O$7),"",INDEX(TableDiv[[GASB]:[GASB]],_xlfn.AGGREGATE(15,3,(TableDiv[[Agency]:[Agency]]=$E78)/(TableDiv[[Agency]:[Agency]]=$E78)*(ROW(TableDiv[Agency])-ROW(TableDiv[[#Headers],[Agency]])),COLUMNS($F$7:O$7))))</f>
        <v/>
      </c>
      <c r="P78" s="2223" t="str" cm="1">
        <f t="array" ref="P78">IF($D78&lt;COLUMNS($F$7:P$7),"",INDEX(TableDiv[[GASB]:[GASB]],_xlfn.AGGREGATE(15,3,(TableDiv[[Agency]:[Agency]]=$E78)/(TableDiv[[Agency]:[Agency]]=$E78)*(ROW(TableDiv[Agency])-ROW(TableDiv[[#Headers],[Agency]])),COLUMNS($F$7:P$7))))</f>
        <v/>
      </c>
      <c r="Q78" s="2223" t="str" cm="1">
        <f t="array" ref="Q78">IF($D78&lt;COLUMNS($F$7:Q$7),"",INDEX(TableDiv[[GASB]:[GASB]],_xlfn.AGGREGATE(15,3,(TableDiv[[Agency]:[Agency]]=$E78)/(TableDiv[[Agency]:[Agency]]=$E78)*(ROW(TableDiv[Agency])-ROW(TableDiv[[#Headers],[Agency]])),COLUMNS($F$7:Q$7))))</f>
        <v/>
      </c>
      <c r="R78" s="2223" t="str" cm="1">
        <f t="array" ref="R78">IF($D78&lt;COLUMNS($F$7:R$7),"",INDEX(TableDiv[[GASB]:[GASB]],_xlfn.AGGREGATE(15,3,(TableDiv[[Agency]:[Agency]]=$E78)/(TableDiv[[Agency]:[Agency]]=$E78)*(ROW(TableDiv[Agency])-ROW(TableDiv[[#Headers],[Agency]])),COLUMNS($F$7:R$7))))</f>
        <v/>
      </c>
      <c r="S78" s="2223" t="str" cm="1">
        <f t="array" ref="S78">IF($D78&lt;COLUMNS($F$7:S$7),"",INDEX(TableDiv[[GASB]:[GASB]],_xlfn.AGGREGATE(15,3,(TableDiv[[Agency]:[Agency]]=$E78)/(TableDiv[[Agency]:[Agency]]=$E78)*(ROW(TableDiv[Agency])-ROW(TableDiv[[#Headers],[Agency]])),COLUMNS($F$7:S$7))))</f>
        <v/>
      </c>
      <c r="T78" s="2223" t="str" cm="1">
        <f t="array" ref="T78">IF($D78&lt;COLUMNS($F$7:T$7),"",INDEX(TableDiv[[GASB]:[GASB]],_xlfn.AGGREGATE(15,3,(TableDiv[[Agency]:[Agency]]=$E78)/(TableDiv[[Agency]:[Agency]]=$E78)*(ROW(TableDiv[Agency])-ROW(TableDiv[[#Headers],[Agency]])),COLUMNS($F$7:T$7))))</f>
        <v/>
      </c>
      <c r="U78" s="2223" t="str" cm="1">
        <f t="array" ref="U78">IF($D78&lt;COLUMNS($F$7:U$7),"",INDEX(TableDiv[[GASB]:[GASB]],_xlfn.AGGREGATE(15,3,(TableDiv[[Agency]:[Agency]]=$E78)/(TableDiv[[Agency]:[Agency]]=$E78)*(ROW(TableDiv[Agency])-ROW(TableDiv[[#Headers],[Agency]])),COLUMNS($F$7:U$7))))</f>
        <v/>
      </c>
      <c r="V78" s="2223" t="str" cm="1">
        <f t="array" ref="V78">IF($D78&lt;COLUMNS($F$7:V$7),"",INDEX(TableDiv[[GASB]:[GASB]],_xlfn.AGGREGATE(15,3,(TableDiv[[Agency]:[Agency]]=$E78)/(TableDiv[[Agency]:[Agency]]=$E78)*(ROW(TableDiv[Agency])-ROW(TableDiv[[#Headers],[Agency]])),COLUMNS($F$7:V$7))))</f>
        <v/>
      </c>
      <c r="W78" s="2223" t="str" cm="1">
        <f t="array" ref="W78">IF($D78&lt;COLUMNS($F$7:W$7),"",INDEX(TableDiv[[GASB]:[GASB]],_xlfn.AGGREGATE(15,3,(TableDiv[[Agency]:[Agency]]=$E78)/(TableDiv[[Agency]:[Agency]]=$E78)*(ROW(TableDiv[Agency])-ROW(TableDiv[[#Headers],[Agency]])),COLUMNS($F$7:W$7))))</f>
        <v/>
      </c>
      <c r="X78" s="2223" t="str" cm="1">
        <f t="array" ref="X78">IF($D78&lt;COLUMNS($F$7:X$7),"",INDEX(TableDiv[[GASB]:[GASB]],_xlfn.AGGREGATE(15,3,(TableDiv[[Agency]:[Agency]]=$E78)/(TableDiv[[Agency]:[Agency]]=$E78)*(ROW(TableDiv[Agency])-ROW(TableDiv[[#Headers],[Agency]])),COLUMNS($F$7:X$7))))</f>
        <v/>
      </c>
      <c r="Y78" s="2223" t="str" cm="1">
        <f t="array" ref="Y78">IF($D78&lt;COLUMNS($F$7:Y$7),"",INDEX(TableDiv[[GASB]:[GASB]],_xlfn.AGGREGATE(15,3,(TableDiv[[Agency]:[Agency]]=$E78)/(TableDiv[[Agency]:[Agency]]=$E78)*(ROW(TableDiv[Agency])-ROW(TableDiv[[#Headers],[Agency]])),COLUMNS($F$7:Y$7))))</f>
        <v/>
      </c>
      <c r="Z78" s="2223" t="str" cm="1">
        <f t="array" ref="Z78">IF($D78&lt;COLUMNS($F$7:Z$7),"",INDEX(TableDiv[[GASB]:[GASB]],_xlfn.AGGREGATE(15,3,(TableDiv[[Agency]:[Agency]]=$E78)/(TableDiv[[Agency]:[Agency]]=$E78)*(ROW(TableDiv[Agency])-ROW(TableDiv[[#Headers],[Agency]])),COLUMNS($F$7:Z$7))))</f>
        <v/>
      </c>
      <c r="AA78" s="2223" t="str" cm="1">
        <f t="array" ref="AA78">IF($D78&lt;COLUMNS($F$7:AA$7),"",INDEX(TableDiv[[GASB]:[GASB]],_xlfn.AGGREGATE(15,3,(TableDiv[[Agency]:[Agency]]=$E78)/(TableDiv[[Agency]:[Agency]]=$E78)*(ROW(TableDiv[Agency])-ROW(TableDiv[[#Headers],[Agency]])),COLUMNS($F$7:AA$7))))</f>
        <v/>
      </c>
      <c r="AB78" s="2223" t="str" cm="1">
        <f t="array" ref="AB78">IF($D78&lt;COLUMNS($F$7:AB$7),"",INDEX(TableDiv[[GASB]:[GASB]],_xlfn.AGGREGATE(15,3,(TableDiv[[Agency]:[Agency]]=$E78)/(TableDiv[[Agency]:[Agency]]=$E78)*(ROW(TableDiv[Agency])-ROW(TableDiv[[#Headers],[Agency]])),COLUMNS($F$7:AB$7))))</f>
        <v/>
      </c>
      <c r="AC78" s="2223" t="str" cm="1">
        <f t="array" ref="AC78">IF($D78&lt;COLUMNS($F$7:AC$7),"",INDEX(TableDiv[[GASB]:[GASB]],_xlfn.AGGREGATE(15,3,(TableDiv[[Agency]:[Agency]]=$E78)/(TableDiv[[Agency]:[Agency]]=$E78)*(ROW(TableDiv[Agency])-ROW(TableDiv[[#Headers],[Agency]])),COLUMNS($F$7:AC$7))))</f>
        <v/>
      </c>
      <c r="AD78" s="2223" t="str" cm="1">
        <f t="array" ref="AD78">IF($D78&lt;COLUMNS($F$7:AD$7),"",INDEX(TableDiv[[GASB]:[GASB]],_xlfn.AGGREGATE(15,3,(TableDiv[[Agency]:[Agency]]=$E78)/(TableDiv[[Agency]:[Agency]]=$E78)*(ROW(TableDiv[Agency])-ROW(TableDiv[[#Headers],[Agency]])),COLUMNS($F$7:AD$7))))</f>
        <v/>
      </c>
      <c r="AE78" s="2223" t="str" cm="1">
        <f t="array" ref="AE78">IF($D78&lt;COLUMNS($F$7:AE$7),"",INDEX(TableDiv[[GASB]:[GASB]],_xlfn.AGGREGATE(15,3,(TableDiv[[Agency]:[Agency]]=$E78)/(TableDiv[[Agency]:[Agency]]=$E78)*(ROW(TableDiv[Agency])-ROW(TableDiv[[#Headers],[Agency]])),COLUMNS($F$7:AE$7))))</f>
        <v/>
      </c>
      <c r="AF78" s="2223" t="str" cm="1">
        <f t="array" ref="AF78">IF($D78&lt;COLUMNS($F$7:AF$7),"",INDEX(TableDiv[[GASB]:[GASB]],_xlfn.AGGREGATE(15,3,(TableDiv[[Agency]:[Agency]]=$E78)/(TableDiv[[Agency]:[Agency]]=$E78)*(ROW(TableDiv[Agency])-ROW(TableDiv[[#Headers],[Agency]])),COLUMNS($F$7:AF$7))))</f>
        <v/>
      </c>
      <c r="AG78" s="2223" t="str" cm="1">
        <f t="array" ref="AG78">IF($D78&lt;COLUMNS($F$7:AG$7),"",INDEX(TableDiv[[GASB]:[GASB]],_xlfn.AGGREGATE(15,3,(TableDiv[[Agency]:[Agency]]=$E78)/(TableDiv[[Agency]:[Agency]]=$E78)*(ROW(TableDiv[Agency])-ROW(TableDiv[[#Headers],[Agency]])),COLUMNS($F$7:AG$7))))</f>
        <v/>
      </c>
      <c r="AH78" s="2223" t="str" cm="1">
        <f t="array" ref="AH78">IF($D78&lt;COLUMNS($F$7:AH$7),"",INDEX(TableDiv[[GASB]:[GASB]],_xlfn.AGGREGATE(15,3,(TableDiv[[Agency]:[Agency]]=$E78)/(TableDiv[[Agency]:[Agency]]=$E78)*(ROW(TableDiv[Agency])-ROW(TableDiv[[#Headers],[Agency]])),COLUMNS($F$7:AH$7))))</f>
        <v/>
      </c>
      <c r="AI78" s="2223" t="str" cm="1">
        <f t="array" ref="AI78">IF($D78&lt;COLUMNS($F$7:AI$7),"",INDEX(TableDiv[[GASB]:[GASB]],_xlfn.AGGREGATE(15,3,(TableDiv[[Agency]:[Agency]]=$E78)/(TableDiv[[Agency]:[Agency]]=$E78)*(ROW(TableDiv[Agency])-ROW(TableDiv[[#Headers],[Agency]])),COLUMNS($F$7:AI$7))))</f>
        <v/>
      </c>
      <c r="AJ78" s="2223" t="str" cm="1">
        <f t="array" ref="AJ78">IF($D78&lt;COLUMNS($F$7:AJ$7),"",INDEX(TableDiv[[GASB]:[GASB]],_xlfn.AGGREGATE(15,3,(TableDiv[[Agency]:[Agency]]=$E78)/(TableDiv[[Agency]:[Agency]]=$E78)*(ROW(TableDiv[Agency])-ROW(TableDiv[[#Headers],[Agency]])),COLUMNS($F$7:AJ$7))))</f>
        <v/>
      </c>
      <c r="AK78" s="2223" t="str" cm="1">
        <f t="array" ref="AK78">IF($D78&lt;COLUMNS($F$7:AK$7),"",INDEX(TableDiv[[GASB]:[GASB]],_xlfn.AGGREGATE(15,3,(TableDiv[[Agency]:[Agency]]=$E78)/(TableDiv[[Agency]:[Agency]]=$E78)*(ROW(TableDiv[Agency])-ROW(TableDiv[[#Headers],[Agency]])),COLUMNS($F$7:AK$7))))</f>
        <v/>
      </c>
      <c r="AL78" s="2223" t="str" cm="1">
        <f t="array" ref="AL78">IF($D78&lt;COLUMNS($F$7:AL$7),"",INDEX(TableDiv[[GASB]:[GASB]],_xlfn.AGGREGATE(15,3,(TableDiv[[Agency]:[Agency]]=$E78)/(TableDiv[[Agency]:[Agency]]=$E78)*(ROW(TableDiv[Agency])-ROW(TableDiv[[#Headers],[Agency]])),COLUMNS($F$7:AL$7))))</f>
        <v/>
      </c>
      <c r="AM78" s="2223" t="str" cm="1">
        <f t="array" ref="AM78">IF($D78&lt;COLUMNS($F$7:AM$7),"",INDEX(TableDiv[[GASB]:[GASB]],_xlfn.AGGREGATE(15,3,(TableDiv[[Agency]:[Agency]]=$E78)/(TableDiv[[Agency]:[Agency]]=$E78)*(ROW(TableDiv[Agency])-ROW(TableDiv[[#Headers],[Agency]])),COLUMNS($F$7:AM$7))))</f>
        <v/>
      </c>
      <c r="AN78" s="2223"/>
      <c r="AO78" s="2223"/>
      <c r="AP78" s="2223"/>
      <c r="AQ78" s="2223"/>
      <c r="AR78" s="2223"/>
      <c r="AS78" s="2223"/>
    </row>
    <row r="79" spans="1:45" ht="15" x14ac:dyDescent="0.25">
      <c r="A79" s="2219" t="s">
        <v>5103</v>
      </c>
      <c r="B79" s="2219" t="s">
        <v>6402</v>
      </c>
      <c r="C79" s="2223"/>
      <c r="D79" s="2223">
        <f>COUNTIF(TableDiv[Agency],E79)</f>
        <v>1</v>
      </c>
      <c r="E79" s="2230" t="str" cm="1">
        <f t="array" ref="E79">IFERROR(INDEX(TableDiv[Agency],MATCH(0,INDEX(COUNTIF($E$7:E78,TableDiv[Agency]),),0)),"")</f>
        <v>U650</v>
      </c>
      <c r="F79" s="2223" t="str" cm="1">
        <f t="array" ref="F79">IF($D79&lt;COLUMNS($F$7:F$7),"",INDEX(TableDiv[[GASB]:[GASB]],_xlfn.AGGREGATE(15,3,(TableDiv[[Agency]:[Agency]]=$E79)/(TableDiv[[Agency]:[Agency]]=$E79)*(ROW(TableDiv[Agency])-ROW(TableDiv[[#Headers],[Agency]])),COLUMNS($F$7:F$7))))</f>
        <v>U65</v>
      </c>
      <c r="G79" s="2223" t="str" cm="1">
        <f t="array" ref="G79">IF($D79&lt;COLUMNS($F$7:G$7),"",INDEX(TableDiv[[GASB]:[GASB]],_xlfn.AGGREGATE(15,3,(TableDiv[[Agency]:[Agency]]=$E79)/(TableDiv[[Agency]:[Agency]]=$E79)*(ROW(TableDiv[Agency])-ROW(TableDiv[[#Headers],[Agency]])),COLUMNS($F$7:G$7))))</f>
        <v/>
      </c>
      <c r="H79" s="2223" t="str" cm="1">
        <f t="array" ref="H79">IF($D79&lt;COLUMNS($F$7:H$7),"",INDEX(TableDiv[[GASB]:[GASB]],_xlfn.AGGREGATE(15,3,(TableDiv[[Agency]:[Agency]]=$E79)/(TableDiv[[Agency]:[Agency]]=$E79)*(ROW(TableDiv[Agency])-ROW(TableDiv[[#Headers],[Agency]])),COLUMNS($F$7:H$7))))</f>
        <v/>
      </c>
      <c r="I79" s="2223" t="str" cm="1">
        <f t="array" ref="I79">IF($D79&lt;COLUMNS($F$7:I$7),"",INDEX(TableDiv[[GASB]:[GASB]],_xlfn.AGGREGATE(15,3,(TableDiv[[Agency]:[Agency]]=$E79)/(TableDiv[[Agency]:[Agency]]=$E79)*(ROW(TableDiv[Agency])-ROW(TableDiv[[#Headers],[Agency]])),COLUMNS($F$7:I$7))))</f>
        <v/>
      </c>
      <c r="J79" s="2223" t="str" cm="1">
        <f t="array" ref="J79">IF($D79&lt;COLUMNS($F$7:J$7),"",INDEX(TableDiv[[GASB]:[GASB]],_xlfn.AGGREGATE(15,3,(TableDiv[[Agency]:[Agency]]=$E79)/(TableDiv[[Agency]:[Agency]]=$E79)*(ROW(TableDiv[Agency])-ROW(TableDiv[[#Headers],[Agency]])),COLUMNS($F$7:J$7))))</f>
        <v/>
      </c>
      <c r="K79" s="2223" t="str" cm="1">
        <f t="array" ref="K79">IF($D79&lt;COLUMNS($F$7:K$7),"",INDEX(TableDiv[[GASB]:[GASB]],_xlfn.AGGREGATE(15,3,(TableDiv[[Agency]:[Agency]]=$E79)/(TableDiv[[Agency]:[Agency]]=$E79)*(ROW(TableDiv[Agency])-ROW(TableDiv[[#Headers],[Agency]])),COLUMNS($F$7:K$7))))</f>
        <v/>
      </c>
      <c r="L79" s="2223" t="str" cm="1">
        <f t="array" ref="L79">IF($D79&lt;COLUMNS($F$7:L$7),"",INDEX(TableDiv[[GASB]:[GASB]],_xlfn.AGGREGATE(15,3,(TableDiv[[Agency]:[Agency]]=$E79)/(TableDiv[[Agency]:[Agency]]=$E79)*(ROW(TableDiv[Agency])-ROW(TableDiv[[#Headers],[Agency]])),COLUMNS($F$7:L$7))))</f>
        <v/>
      </c>
      <c r="M79" s="2223" t="str" cm="1">
        <f t="array" ref="M79">IF($D79&lt;COLUMNS($F$7:M$7),"",INDEX(TableDiv[[GASB]:[GASB]],_xlfn.AGGREGATE(15,3,(TableDiv[[Agency]:[Agency]]=$E79)/(TableDiv[[Agency]:[Agency]]=$E79)*(ROW(TableDiv[Agency])-ROW(TableDiv[[#Headers],[Agency]])),COLUMNS($F$7:M$7))))</f>
        <v/>
      </c>
      <c r="N79" s="2223" t="str" cm="1">
        <f t="array" ref="N79">IF($D79&lt;COLUMNS($F$7:N$7),"",INDEX(TableDiv[[GASB]:[GASB]],_xlfn.AGGREGATE(15,3,(TableDiv[[Agency]:[Agency]]=$E79)/(TableDiv[[Agency]:[Agency]]=$E79)*(ROW(TableDiv[Agency])-ROW(TableDiv[[#Headers],[Agency]])),COLUMNS($F$7:N$7))))</f>
        <v/>
      </c>
      <c r="O79" s="2223" t="str" cm="1">
        <f t="array" ref="O79">IF($D79&lt;COLUMNS($F$7:O$7),"",INDEX(TableDiv[[GASB]:[GASB]],_xlfn.AGGREGATE(15,3,(TableDiv[[Agency]:[Agency]]=$E79)/(TableDiv[[Agency]:[Agency]]=$E79)*(ROW(TableDiv[Agency])-ROW(TableDiv[[#Headers],[Agency]])),COLUMNS($F$7:O$7))))</f>
        <v/>
      </c>
      <c r="P79" s="2223" t="str" cm="1">
        <f t="array" ref="P79">IF($D79&lt;COLUMNS($F$7:P$7),"",INDEX(TableDiv[[GASB]:[GASB]],_xlfn.AGGREGATE(15,3,(TableDiv[[Agency]:[Agency]]=$E79)/(TableDiv[[Agency]:[Agency]]=$E79)*(ROW(TableDiv[Agency])-ROW(TableDiv[[#Headers],[Agency]])),COLUMNS($F$7:P$7))))</f>
        <v/>
      </c>
      <c r="Q79" s="2223" t="str" cm="1">
        <f t="array" ref="Q79">IF($D79&lt;COLUMNS($F$7:Q$7),"",INDEX(TableDiv[[GASB]:[GASB]],_xlfn.AGGREGATE(15,3,(TableDiv[[Agency]:[Agency]]=$E79)/(TableDiv[[Agency]:[Agency]]=$E79)*(ROW(TableDiv[Agency])-ROW(TableDiv[[#Headers],[Agency]])),COLUMNS($F$7:Q$7))))</f>
        <v/>
      </c>
      <c r="R79" s="2223" t="str" cm="1">
        <f t="array" ref="R79">IF($D79&lt;COLUMNS($F$7:R$7),"",INDEX(TableDiv[[GASB]:[GASB]],_xlfn.AGGREGATE(15,3,(TableDiv[[Agency]:[Agency]]=$E79)/(TableDiv[[Agency]:[Agency]]=$E79)*(ROW(TableDiv[Agency])-ROW(TableDiv[[#Headers],[Agency]])),COLUMNS($F$7:R$7))))</f>
        <v/>
      </c>
      <c r="S79" s="2223" t="str" cm="1">
        <f t="array" ref="S79">IF($D79&lt;COLUMNS($F$7:S$7),"",INDEX(TableDiv[[GASB]:[GASB]],_xlfn.AGGREGATE(15,3,(TableDiv[[Agency]:[Agency]]=$E79)/(TableDiv[[Agency]:[Agency]]=$E79)*(ROW(TableDiv[Agency])-ROW(TableDiv[[#Headers],[Agency]])),COLUMNS($F$7:S$7))))</f>
        <v/>
      </c>
      <c r="T79" s="2223" t="str" cm="1">
        <f t="array" ref="T79">IF($D79&lt;COLUMNS($F$7:T$7),"",INDEX(TableDiv[[GASB]:[GASB]],_xlfn.AGGREGATE(15,3,(TableDiv[[Agency]:[Agency]]=$E79)/(TableDiv[[Agency]:[Agency]]=$E79)*(ROW(TableDiv[Agency])-ROW(TableDiv[[#Headers],[Agency]])),COLUMNS($F$7:T$7))))</f>
        <v/>
      </c>
      <c r="U79" s="2223" t="str" cm="1">
        <f t="array" ref="U79">IF($D79&lt;COLUMNS($F$7:U$7),"",INDEX(TableDiv[[GASB]:[GASB]],_xlfn.AGGREGATE(15,3,(TableDiv[[Agency]:[Agency]]=$E79)/(TableDiv[[Agency]:[Agency]]=$E79)*(ROW(TableDiv[Agency])-ROW(TableDiv[[#Headers],[Agency]])),COLUMNS($F$7:U$7))))</f>
        <v/>
      </c>
      <c r="V79" s="2223" t="str" cm="1">
        <f t="array" ref="V79">IF($D79&lt;COLUMNS($F$7:V$7),"",INDEX(TableDiv[[GASB]:[GASB]],_xlfn.AGGREGATE(15,3,(TableDiv[[Agency]:[Agency]]=$E79)/(TableDiv[[Agency]:[Agency]]=$E79)*(ROW(TableDiv[Agency])-ROW(TableDiv[[#Headers],[Agency]])),COLUMNS($F$7:V$7))))</f>
        <v/>
      </c>
      <c r="W79" s="2223" t="str" cm="1">
        <f t="array" ref="W79">IF($D79&lt;COLUMNS($F$7:W$7),"",INDEX(TableDiv[[GASB]:[GASB]],_xlfn.AGGREGATE(15,3,(TableDiv[[Agency]:[Agency]]=$E79)/(TableDiv[[Agency]:[Agency]]=$E79)*(ROW(TableDiv[Agency])-ROW(TableDiv[[#Headers],[Agency]])),COLUMNS($F$7:W$7))))</f>
        <v/>
      </c>
      <c r="X79" s="2223" t="str" cm="1">
        <f t="array" ref="X79">IF($D79&lt;COLUMNS($F$7:X$7),"",INDEX(TableDiv[[GASB]:[GASB]],_xlfn.AGGREGATE(15,3,(TableDiv[[Agency]:[Agency]]=$E79)/(TableDiv[[Agency]:[Agency]]=$E79)*(ROW(TableDiv[Agency])-ROW(TableDiv[[#Headers],[Agency]])),COLUMNS($F$7:X$7))))</f>
        <v/>
      </c>
      <c r="Y79" s="2223" t="str" cm="1">
        <f t="array" ref="Y79">IF($D79&lt;COLUMNS($F$7:Y$7),"",INDEX(TableDiv[[GASB]:[GASB]],_xlfn.AGGREGATE(15,3,(TableDiv[[Agency]:[Agency]]=$E79)/(TableDiv[[Agency]:[Agency]]=$E79)*(ROW(TableDiv[Agency])-ROW(TableDiv[[#Headers],[Agency]])),COLUMNS($F$7:Y$7))))</f>
        <v/>
      </c>
      <c r="Z79" s="2223" t="str" cm="1">
        <f t="array" ref="Z79">IF($D79&lt;COLUMNS($F$7:Z$7),"",INDEX(TableDiv[[GASB]:[GASB]],_xlfn.AGGREGATE(15,3,(TableDiv[[Agency]:[Agency]]=$E79)/(TableDiv[[Agency]:[Agency]]=$E79)*(ROW(TableDiv[Agency])-ROW(TableDiv[[#Headers],[Agency]])),COLUMNS($F$7:Z$7))))</f>
        <v/>
      </c>
      <c r="AA79" s="2223" t="str" cm="1">
        <f t="array" ref="AA79">IF($D79&lt;COLUMNS($F$7:AA$7),"",INDEX(TableDiv[[GASB]:[GASB]],_xlfn.AGGREGATE(15,3,(TableDiv[[Agency]:[Agency]]=$E79)/(TableDiv[[Agency]:[Agency]]=$E79)*(ROW(TableDiv[Agency])-ROW(TableDiv[[#Headers],[Agency]])),COLUMNS($F$7:AA$7))))</f>
        <v/>
      </c>
      <c r="AB79" s="2223" t="str" cm="1">
        <f t="array" ref="AB79">IF($D79&lt;COLUMNS($F$7:AB$7),"",INDEX(TableDiv[[GASB]:[GASB]],_xlfn.AGGREGATE(15,3,(TableDiv[[Agency]:[Agency]]=$E79)/(TableDiv[[Agency]:[Agency]]=$E79)*(ROW(TableDiv[Agency])-ROW(TableDiv[[#Headers],[Agency]])),COLUMNS($F$7:AB$7))))</f>
        <v/>
      </c>
      <c r="AC79" s="2223" t="str" cm="1">
        <f t="array" ref="AC79">IF($D79&lt;COLUMNS($F$7:AC$7),"",INDEX(TableDiv[[GASB]:[GASB]],_xlfn.AGGREGATE(15,3,(TableDiv[[Agency]:[Agency]]=$E79)/(TableDiv[[Agency]:[Agency]]=$E79)*(ROW(TableDiv[Agency])-ROW(TableDiv[[#Headers],[Agency]])),COLUMNS($F$7:AC$7))))</f>
        <v/>
      </c>
      <c r="AD79" s="2223" t="str" cm="1">
        <f t="array" ref="AD79">IF($D79&lt;COLUMNS($F$7:AD$7),"",INDEX(TableDiv[[GASB]:[GASB]],_xlfn.AGGREGATE(15,3,(TableDiv[[Agency]:[Agency]]=$E79)/(TableDiv[[Agency]:[Agency]]=$E79)*(ROW(TableDiv[Agency])-ROW(TableDiv[[#Headers],[Agency]])),COLUMNS($F$7:AD$7))))</f>
        <v/>
      </c>
      <c r="AE79" s="2223" t="str" cm="1">
        <f t="array" ref="AE79">IF($D79&lt;COLUMNS($F$7:AE$7),"",INDEX(TableDiv[[GASB]:[GASB]],_xlfn.AGGREGATE(15,3,(TableDiv[[Agency]:[Agency]]=$E79)/(TableDiv[[Agency]:[Agency]]=$E79)*(ROW(TableDiv[Agency])-ROW(TableDiv[[#Headers],[Agency]])),COLUMNS($F$7:AE$7))))</f>
        <v/>
      </c>
      <c r="AF79" s="2223" t="str" cm="1">
        <f t="array" ref="AF79">IF($D79&lt;COLUMNS($F$7:AF$7),"",INDEX(TableDiv[[GASB]:[GASB]],_xlfn.AGGREGATE(15,3,(TableDiv[[Agency]:[Agency]]=$E79)/(TableDiv[[Agency]:[Agency]]=$E79)*(ROW(TableDiv[Agency])-ROW(TableDiv[[#Headers],[Agency]])),COLUMNS($F$7:AF$7))))</f>
        <v/>
      </c>
      <c r="AG79" s="2223" t="str" cm="1">
        <f t="array" ref="AG79">IF($D79&lt;COLUMNS($F$7:AG$7),"",INDEX(TableDiv[[GASB]:[GASB]],_xlfn.AGGREGATE(15,3,(TableDiv[[Agency]:[Agency]]=$E79)/(TableDiv[[Agency]:[Agency]]=$E79)*(ROW(TableDiv[Agency])-ROW(TableDiv[[#Headers],[Agency]])),COLUMNS($F$7:AG$7))))</f>
        <v/>
      </c>
      <c r="AH79" s="2223" t="str" cm="1">
        <f t="array" ref="AH79">IF($D79&lt;COLUMNS($F$7:AH$7),"",INDEX(TableDiv[[GASB]:[GASB]],_xlfn.AGGREGATE(15,3,(TableDiv[[Agency]:[Agency]]=$E79)/(TableDiv[[Agency]:[Agency]]=$E79)*(ROW(TableDiv[Agency])-ROW(TableDiv[[#Headers],[Agency]])),COLUMNS($F$7:AH$7))))</f>
        <v/>
      </c>
      <c r="AI79" s="2223" t="str" cm="1">
        <f t="array" ref="AI79">IF($D79&lt;COLUMNS($F$7:AI$7),"",INDEX(TableDiv[[GASB]:[GASB]],_xlfn.AGGREGATE(15,3,(TableDiv[[Agency]:[Agency]]=$E79)/(TableDiv[[Agency]:[Agency]]=$E79)*(ROW(TableDiv[Agency])-ROW(TableDiv[[#Headers],[Agency]])),COLUMNS($F$7:AI$7))))</f>
        <v/>
      </c>
      <c r="AJ79" s="2223" t="str" cm="1">
        <f t="array" ref="AJ79">IF($D79&lt;COLUMNS($F$7:AJ$7),"",INDEX(TableDiv[[GASB]:[GASB]],_xlfn.AGGREGATE(15,3,(TableDiv[[Agency]:[Agency]]=$E79)/(TableDiv[[Agency]:[Agency]]=$E79)*(ROW(TableDiv[Agency])-ROW(TableDiv[[#Headers],[Agency]])),COLUMNS($F$7:AJ$7))))</f>
        <v/>
      </c>
      <c r="AK79" s="2223" t="str" cm="1">
        <f t="array" ref="AK79">IF($D79&lt;COLUMNS($F$7:AK$7),"",INDEX(TableDiv[[GASB]:[GASB]],_xlfn.AGGREGATE(15,3,(TableDiv[[Agency]:[Agency]]=$E79)/(TableDiv[[Agency]:[Agency]]=$E79)*(ROW(TableDiv[Agency])-ROW(TableDiv[[#Headers],[Agency]])),COLUMNS($F$7:AK$7))))</f>
        <v/>
      </c>
      <c r="AL79" s="2223" t="str" cm="1">
        <f t="array" ref="AL79">IF($D79&lt;COLUMNS($F$7:AL$7),"",INDEX(TableDiv[[GASB]:[GASB]],_xlfn.AGGREGATE(15,3,(TableDiv[[Agency]:[Agency]]=$E79)/(TableDiv[[Agency]:[Agency]]=$E79)*(ROW(TableDiv[Agency])-ROW(TableDiv[[#Headers],[Agency]])),COLUMNS($F$7:AL$7))))</f>
        <v/>
      </c>
      <c r="AM79" s="2223" t="str" cm="1">
        <f t="array" ref="AM79">IF($D79&lt;COLUMNS($F$7:AM$7),"",INDEX(TableDiv[[GASB]:[GASB]],_xlfn.AGGREGATE(15,3,(TableDiv[[Agency]:[Agency]]=$E79)/(TableDiv[[Agency]:[Agency]]=$E79)*(ROW(TableDiv[Agency])-ROW(TableDiv[[#Headers],[Agency]])),COLUMNS($F$7:AM$7))))</f>
        <v/>
      </c>
      <c r="AN79" s="2223"/>
      <c r="AO79" s="2223"/>
      <c r="AP79" s="2223"/>
      <c r="AQ79" s="2223"/>
      <c r="AR79" s="2223"/>
      <c r="AS79" s="2223"/>
    </row>
    <row r="80" spans="1:45" ht="15" x14ac:dyDescent="0.25">
      <c r="A80" s="2219" t="s">
        <v>5103</v>
      </c>
      <c r="B80" s="2219" t="s">
        <v>6404</v>
      </c>
      <c r="C80" s="2223"/>
      <c r="D80" s="2223">
        <f>COUNTIF(TableDiv[Agency],E80)</f>
        <v>1</v>
      </c>
      <c r="E80" s="2230" t="str" cm="1">
        <f t="array" ref="E80">IFERROR(INDEX(TableDiv[Agency],MATCH(0,INDEX(COUNTIF($E$7:E79,TableDiv[Agency]),),0)),"")</f>
        <v>U700</v>
      </c>
      <c r="F80" s="2223" t="str" cm="1">
        <f t="array" ref="F80">IF($D80&lt;COLUMNS($F$7:F$7),"",INDEX(TableDiv[[GASB]:[GASB]],_xlfn.AGGREGATE(15,3,(TableDiv[[Agency]:[Agency]]=$E80)/(TableDiv[[Agency]:[Agency]]=$E80)*(ROW(TableDiv[Agency])-ROW(TableDiv[[#Headers],[Agency]])),COLUMNS($F$7:F$7))))</f>
        <v>U70</v>
      </c>
      <c r="G80" s="2223" t="str" cm="1">
        <f t="array" ref="G80">IF($D80&lt;COLUMNS($F$7:G$7),"",INDEX(TableDiv[[GASB]:[GASB]],_xlfn.AGGREGATE(15,3,(TableDiv[[Agency]:[Agency]]=$E80)/(TableDiv[[Agency]:[Agency]]=$E80)*(ROW(TableDiv[Agency])-ROW(TableDiv[[#Headers],[Agency]])),COLUMNS($F$7:G$7))))</f>
        <v/>
      </c>
      <c r="H80" s="2223" t="str" cm="1">
        <f t="array" ref="H80">IF($D80&lt;COLUMNS($F$7:H$7),"",INDEX(TableDiv[[GASB]:[GASB]],_xlfn.AGGREGATE(15,3,(TableDiv[[Agency]:[Agency]]=$E80)/(TableDiv[[Agency]:[Agency]]=$E80)*(ROW(TableDiv[Agency])-ROW(TableDiv[[#Headers],[Agency]])),COLUMNS($F$7:H$7))))</f>
        <v/>
      </c>
      <c r="I80" s="2223" t="str" cm="1">
        <f t="array" ref="I80">IF($D80&lt;COLUMNS($F$7:I$7),"",INDEX(TableDiv[[GASB]:[GASB]],_xlfn.AGGREGATE(15,3,(TableDiv[[Agency]:[Agency]]=$E80)/(TableDiv[[Agency]:[Agency]]=$E80)*(ROW(TableDiv[Agency])-ROW(TableDiv[[#Headers],[Agency]])),COLUMNS($F$7:I$7))))</f>
        <v/>
      </c>
      <c r="J80" s="2223" t="str" cm="1">
        <f t="array" ref="J80">IF($D80&lt;COLUMNS($F$7:J$7),"",INDEX(TableDiv[[GASB]:[GASB]],_xlfn.AGGREGATE(15,3,(TableDiv[[Agency]:[Agency]]=$E80)/(TableDiv[[Agency]:[Agency]]=$E80)*(ROW(TableDiv[Agency])-ROW(TableDiv[[#Headers],[Agency]])),COLUMNS($F$7:J$7))))</f>
        <v/>
      </c>
      <c r="K80" s="2223" t="str" cm="1">
        <f t="array" ref="K80">IF($D80&lt;COLUMNS($F$7:K$7),"",INDEX(TableDiv[[GASB]:[GASB]],_xlfn.AGGREGATE(15,3,(TableDiv[[Agency]:[Agency]]=$E80)/(TableDiv[[Agency]:[Agency]]=$E80)*(ROW(TableDiv[Agency])-ROW(TableDiv[[#Headers],[Agency]])),COLUMNS($F$7:K$7))))</f>
        <v/>
      </c>
      <c r="L80" s="2223" t="str" cm="1">
        <f t="array" ref="L80">IF($D80&lt;COLUMNS($F$7:L$7),"",INDEX(TableDiv[[GASB]:[GASB]],_xlfn.AGGREGATE(15,3,(TableDiv[[Agency]:[Agency]]=$E80)/(TableDiv[[Agency]:[Agency]]=$E80)*(ROW(TableDiv[Agency])-ROW(TableDiv[[#Headers],[Agency]])),COLUMNS($F$7:L$7))))</f>
        <v/>
      </c>
      <c r="M80" s="2223" t="str" cm="1">
        <f t="array" ref="M80">IF($D80&lt;COLUMNS($F$7:M$7),"",INDEX(TableDiv[[GASB]:[GASB]],_xlfn.AGGREGATE(15,3,(TableDiv[[Agency]:[Agency]]=$E80)/(TableDiv[[Agency]:[Agency]]=$E80)*(ROW(TableDiv[Agency])-ROW(TableDiv[[#Headers],[Agency]])),COLUMNS($F$7:M$7))))</f>
        <v/>
      </c>
      <c r="N80" s="2223" t="str" cm="1">
        <f t="array" ref="N80">IF($D80&lt;COLUMNS($F$7:N$7),"",INDEX(TableDiv[[GASB]:[GASB]],_xlfn.AGGREGATE(15,3,(TableDiv[[Agency]:[Agency]]=$E80)/(TableDiv[[Agency]:[Agency]]=$E80)*(ROW(TableDiv[Agency])-ROW(TableDiv[[#Headers],[Agency]])),COLUMNS($F$7:N$7))))</f>
        <v/>
      </c>
      <c r="O80" s="2223" t="str" cm="1">
        <f t="array" ref="O80">IF($D80&lt;COLUMNS($F$7:O$7),"",INDEX(TableDiv[[GASB]:[GASB]],_xlfn.AGGREGATE(15,3,(TableDiv[[Agency]:[Agency]]=$E80)/(TableDiv[[Agency]:[Agency]]=$E80)*(ROW(TableDiv[Agency])-ROW(TableDiv[[#Headers],[Agency]])),COLUMNS($F$7:O$7))))</f>
        <v/>
      </c>
      <c r="P80" s="2223" t="str" cm="1">
        <f t="array" ref="P80">IF($D80&lt;COLUMNS($F$7:P$7),"",INDEX(TableDiv[[GASB]:[GASB]],_xlfn.AGGREGATE(15,3,(TableDiv[[Agency]:[Agency]]=$E80)/(TableDiv[[Agency]:[Agency]]=$E80)*(ROW(TableDiv[Agency])-ROW(TableDiv[[#Headers],[Agency]])),COLUMNS($F$7:P$7))))</f>
        <v/>
      </c>
      <c r="Q80" s="2223" t="str" cm="1">
        <f t="array" ref="Q80">IF($D80&lt;COLUMNS($F$7:Q$7),"",INDEX(TableDiv[[GASB]:[GASB]],_xlfn.AGGREGATE(15,3,(TableDiv[[Agency]:[Agency]]=$E80)/(TableDiv[[Agency]:[Agency]]=$E80)*(ROW(TableDiv[Agency])-ROW(TableDiv[[#Headers],[Agency]])),COLUMNS($F$7:Q$7))))</f>
        <v/>
      </c>
      <c r="R80" s="2223" t="str" cm="1">
        <f t="array" ref="R80">IF($D80&lt;COLUMNS($F$7:R$7),"",INDEX(TableDiv[[GASB]:[GASB]],_xlfn.AGGREGATE(15,3,(TableDiv[[Agency]:[Agency]]=$E80)/(TableDiv[[Agency]:[Agency]]=$E80)*(ROW(TableDiv[Agency])-ROW(TableDiv[[#Headers],[Agency]])),COLUMNS($F$7:R$7))))</f>
        <v/>
      </c>
      <c r="S80" s="2223" t="str" cm="1">
        <f t="array" ref="S80">IF($D80&lt;COLUMNS($F$7:S$7),"",INDEX(TableDiv[[GASB]:[GASB]],_xlfn.AGGREGATE(15,3,(TableDiv[[Agency]:[Agency]]=$E80)/(TableDiv[[Agency]:[Agency]]=$E80)*(ROW(TableDiv[Agency])-ROW(TableDiv[[#Headers],[Agency]])),COLUMNS($F$7:S$7))))</f>
        <v/>
      </c>
      <c r="T80" s="2223" t="str" cm="1">
        <f t="array" ref="T80">IF($D80&lt;COLUMNS($F$7:T$7),"",INDEX(TableDiv[[GASB]:[GASB]],_xlfn.AGGREGATE(15,3,(TableDiv[[Agency]:[Agency]]=$E80)/(TableDiv[[Agency]:[Agency]]=$E80)*(ROW(TableDiv[Agency])-ROW(TableDiv[[#Headers],[Agency]])),COLUMNS($F$7:T$7))))</f>
        <v/>
      </c>
      <c r="U80" s="2223" t="str" cm="1">
        <f t="array" ref="U80">IF($D80&lt;COLUMNS($F$7:U$7),"",INDEX(TableDiv[[GASB]:[GASB]],_xlfn.AGGREGATE(15,3,(TableDiv[[Agency]:[Agency]]=$E80)/(TableDiv[[Agency]:[Agency]]=$E80)*(ROW(TableDiv[Agency])-ROW(TableDiv[[#Headers],[Agency]])),COLUMNS($F$7:U$7))))</f>
        <v/>
      </c>
      <c r="V80" s="2223" t="str" cm="1">
        <f t="array" ref="V80">IF($D80&lt;COLUMNS($F$7:V$7),"",INDEX(TableDiv[[GASB]:[GASB]],_xlfn.AGGREGATE(15,3,(TableDiv[[Agency]:[Agency]]=$E80)/(TableDiv[[Agency]:[Agency]]=$E80)*(ROW(TableDiv[Agency])-ROW(TableDiv[[#Headers],[Agency]])),COLUMNS($F$7:V$7))))</f>
        <v/>
      </c>
      <c r="W80" s="2223" t="str" cm="1">
        <f t="array" ref="W80">IF($D80&lt;COLUMNS($F$7:W$7),"",INDEX(TableDiv[[GASB]:[GASB]],_xlfn.AGGREGATE(15,3,(TableDiv[[Agency]:[Agency]]=$E80)/(TableDiv[[Agency]:[Agency]]=$E80)*(ROW(TableDiv[Agency])-ROW(TableDiv[[#Headers],[Agency]])),COLUMNS($F$7:W$7))))</f>
        <v/>
      </c>
      <c r="X80" s="2223" t="str" cm="1">
        <f t="array" ref="X80">IF($D80&lt;COLUMNS($F$7:X$7),"",INDEX(TableDiv[[GASB]:[GASB]],_xlfn.AGGREGATE(15,3,(TableDiv[[Agency]:[Agency]]=$E80)/(TableDiv[[Agency]:[Agency]]=$E80)*(ROW(TableDiv[Agency])-ROW(TableDiv[[#Headers],[Agency]])),COLUMNS($F$7:X$7))))</f>
        <v/>
      </c>
      <c r="Y80" s="2223" t="str" cm="1">
        <f t="array" ref="Y80">IF($D80&lt;COLUMNS($F$7:Y$7),"",INDEX(TableDiv[[GASB]:[GASB]],_xlfn.AGGREGATE(15,3,(TableDiv[[Agency]:[Agency]]=$E80)/(TableDiv[[Agency]:[Agency]]=$E80)*(ROW(TableDiv[Agency])-ROW(TableDiv[[#Headers],[Agency]])),COLUMNS($F$7:Y$7))))</f>
        <v/>
      </c>
      <c r="Z80" s="2223" t="str" cm="1">
        <f t="array" ref="Z80">IF($D80&lt;COLUMNS($F$7:Z$7),"",INDEX(TableDiv[[GASB]:[GASB]],_xlfn.AGGREGATE(15,3,(TableDiv[[Agency]:[Agency]]=$E80)/(TableDiv[[Agency]:[Agency]]=$E80)*(ROW(TableDiv[Agency])-ROW(TableDiv[[#Headers],[Agency]])),COLUMNS($F$7:Z$7))))</f>
        <v/>
      </c>
      <c r="AA80" s="2223" t="str" cm="1">
        <f t="array" ref="AA80">IF($D80&lt;COLUMNS($F$7:AA$7),"",INDEX(TableDiv[[GASB]:[GASB]],_xlfn.AGGREGATE(15,3,(TableDiv[[Agency]:[Agency]]=$E80)/(TableDiv[[Agency]:[Agency]]=$E80)*(ROW(TableDiv[Agency])-ROW(TableDiv[[#Headers],[Agency]])),COLUMNS($F$7:AA$7))))</f>
        <v/>
      </c>
      <c r="AB80" s="2223" t="str" cm="1">
        <f t="array" ref="AB80">IF($D80&lt;COLUMNS($F$7:AB$7),"",INDEX(TableDiv[[GASB]:[GASB]],_xlfn.AGGREGATE(15,3,(TableDiv[[Agency]:[Agency]]=$E80)/(TableDiv[[Agency]:[Agency]]=$E80)*(ROW(TableDiv[Agency])-ROW(TableDiv[[#Headers],[Agency]])),COLUMNS($F$7:AB$7))))</f>
        <v/>
      </c>
      <c r="AC80" s="2223" t="str" cm="1">
        <f t="array" ref="AC80">IF($D80&lt;COLUMNS($F$7:AC$7),"",INDEX(TableDiv[[GASB]:[GASB]],_xlfn.AGGREGATE(15,3,(TableDiv[[Agency]:[Agency]]=$E80)/(TableDiv[[Agency]:[Agency]]=$E80)*(ROW(TableDiv[Agency])-ROW(TableDiv[[#Headers],[Agency]])),COLUMNS($F$7:AC$7))))</f>
        <v/>
      </c>
      <c r="AD80" s="2223" t="str" cm="1">
        <f t="array" ref="AD80">IF($D80&lt;COLUMNS($F$7:AD$7),"",INDEX(TableDiv[[GASB]:[GASB]],_xlfn.AGGREGATE(15,3,(TableDiv[[Agency]:[Agency]]=$E80)/(TableDiv[[Agency]:[Agency]]=$E80)*(ROW(TableDiv[Agency])-ROW(TableDiv[[#Headers],[Agency]])),COLUMNS($F$7:AD$7))))</f>
        <v/>
      </c>
      <c r="AE80" s="2223" t="str" cm="1">
        <f t="array" ref="AE80">IF($D80&lt;COLUMNS($F$7:AE$7),"",INDEX(TableDiv[[GASB]:[GASB]],_xlfn.AGGREGATE(15,3,(TableDiv[[Agency]:[Agency]]=$E80)/(TableDiv[[Agency]:[Agency]]=$E80)*(ROW(TableDiv[Agency])-ROW(TableDiv[[#Headers],[Agency]])),COLUMNS($F$7:AE$7))))</f>
        <v/>
      </c>
      <c r="AF80" s="2223" t="str" cm="1">
        <f t="array" ref="AF80">IF($D80&lt;COLUMNS($F$7:AF$7),"",INDEX(TableDiv[[GASB]:[GASB]],_xlfn.AGGREGATE(15,3,(TableDiv[[Agency]:[Agency]]=$E80)/(TableDiv[[Agency]:[Agency]]=$E80)*(ROW(TableDiv[Agency])-ROW(TableDiv[[#Headers],[Agency]])),COLUMNS($F$7:AF$7))))</f>
        <v/>
      </c>
      <c r="AG80" s="2223" t="str" cm="1">
        <f t="array" ref="AG80">IF($D80&lt;COLUMNS($F$7:AG$7),"",INDEX(TableDiv[[GASB]:[GASB]],_xlfn.AGGREGATE(15,3,(TableDiv[[Agency]:[Agency]]=$E80)/(TableDiv[[Agency]:[Agency]]=$E80)*(ROW(TableDiv[Agency])-ROW(TableDiv[[#Headers],[Agency]])),COLUMNS($F$7:AG$7))))</f>
        <v/>
      </c>
      <c r="AH80" s="2223" t="str" cm="1">
        <f t="array" ref="AH80">IF($D80&lt;COLUMNS($F$7:AH$7),"",INDEX(TableDiv[[GASB]:[GASB]],_xlfn.AGGREGATE(15,3,(TableDiv[[Agency]:[Agency]]=$E80)/(TableDiv[[Agency]:[Agency]]=$E80)*(ROW(TableDiv[Agency])-ROW(TableDiv[[#Headers],[Agency]])),COLUMNS($F$7:AH$7))))</f>
        <v/>
      </c>
      <c r="AI80" s="2223" t="str" cm="1">
        <f t="array" ref="AI80">IF($D80&lt;COLUMNS($F$7:AI$7),"",INDEX(TableDiv[[GASB]:[GASB]],_xlfn.AGGREGATE(15,3,(TableDiv[[Agency]:[Agency]]=$E80)/(TableDiv[[Agency]:[Agency]]=$E80)*(ROW(TableDiv[Agency])-ROW(TableDiv[[#Headers],[Agency]])),COLUMNS($F$7:AI$7))))</f>
        <v/>
      </c>
      <c r="AJ80" s="2223" t="str" cm="1">
        <f t="array" ref="AJ80">IF($D80&lt;COLUMNS($F$7:AJ$7),"",INDEX(TableDiv[[GASB]:[GASB]],_xlfn.AGGREGATE(15,3,(TableDiv[[Agency]:[Agency]]=$E80)/(TableDiv[[Agency]:[Agency]]=$E80)*(ROW(TableDiv[Agency])-ROW(TableDiv[[#Headers],[Agency]])),COLUMNS($F$7:AJ$7))))</f>
        <v/>
      </c>
      <c r="AK80" s="2223" t="str" cm="1">
        <f t="array" ref="AK80">IF($D80&lt;COLUMNS($F$7:AK$7),"",INDEX(TableDiv[[GASB]:[GASB]],_xlfn.AGGREGATE(15,3,(TableDiv[[Agency]:[Agency]]=$E80)/(TableDiv[[Agency]:[Agency]]=$E80)*(ROW(TableDiv[Agency])-ROW(TableDiv[[#Headers],[Agency]])),COLUMNS($F$7:AK$7))))</f>
        <v/>
      </c>
      <c r="AL80" s="2223" t="str" cm="1">
        <f t="array" ref="AL80">IF($D80&lt;COLUMNS($F$7:AL$7),"",INDEX(TableDiv[[GASB]:[GASB]],_xlfn.AGGREGATE(15,3,(TableDiv[[Agency]:[Agency]]=$E80)/(TableDiv[[Agency]:[Agency]]=$E80)*(ROW(TableDiv[Agency])-ROW(TableDiv[[#Headers],[Agency]])),COLUMNS($F$7:AL$7))))</f>
        <v/>
      </c>
      <c r="AM80" s="2223" t="str" cm="1">
        <f t="array" ref="AM80">IF($D80&lt;COLUMNS($F$7:AM$7),"",INDEX(TableDiv[[GASB]:[GASB]],_xlfn.AGGREGATE(15,3,(TableDiv[[Agency]:[Agency]]=$E80)/(TableDiv[[Agency]:[Agency]]=$E80)*(ROW(TableDiv[Agency])-ROW(TableDiv[[#Headers],[Agency]])),COLUMNS($F$7:AM$7))))</f>
        <v/>
      </c>
      <c r="AN80" s="2223"/>
      <c r="AO80" s="2223"/>
      <c r="AP80" s="2223"/>
      <c r="AQ80" s="2223"/>
      <c r="AR80" s="2223"/>
      <c r="AS80" s="2223"/>
    </row>
    <row r="81" spans="1:45" ht="15" x14ac:dyDescent="0.25">
      <c r="A81" s="2219" t="s">
        <v>5103</v>
      </c>
      <c r="B81" s="2219" t="s">
        <v>6405</v>
      </c>
      <c r="C81" s="2223"/>
      <c r="D81" s="2223">
        <f>COUNTIF(TableDiv[Agency],E81)</f>
        <v>1</v>
      </c>
      <c r="E81" s="2230" t="str" cm="1">
        <f t="array" ref="E81">IFERROR(INDEX(TableDiv[Agency],MATCH(0,INDEX(COUNTIF($E$7:E80,TableDiv[Agency]),),0)),"")</f>
        <v>U750</v>
      </c>
      <c r="F81" s="2223" t="str" cm="1">
        <f t="array" ref="F81">IF($D81&lt;COLUMNS($F$7:F$7),"",INDEX(TableDiv[[GASB]:[GASB]],_xlfn.AGGREGATE(15,3,(TableDiv[[Agency]:[Agency]]=$E81)/(TableDiv[[Agency]:[Agency]]=$E81)*(ROW(TableDiv[Agency])-ROW(TableDiv[[#Headers],[Agency]])),COLUMNS($F$7:F$7))))</f>
        <v>U75</v>
      </c>
      <c r="G81" s="2223" t="str" cm="1">
        <f t="array" ref="G81">IF($D81&lt;COLUMNS($F$7:G$7),"",INDEX(TableDiv[[GASB]:[GASB]],_xlfn.AGGREGATE(15,3,(TableDiv[[Agency]:[Agency]]=$E81)/(TableDiv[[Agency]:[Agency]]=$E81)*(ROW(TableDiv[Agency])-ROW(TableDiv[[#Headers],[Agency]])),COLUMNS($F$7:G$7))))</f>
        <v/>
      </c>
      <c r="H81" s="2223" t="str" cm="1">
        <f t="array" ref="H81">IF($D81&lt;COLUMNS($F$7:H$7),"",INDEX(TableDiv[[GASB]:[GASB]],_xlfn.AGGREGATE(15,3,(TableDiv[[Agency]:[Agency]]=$E81)/(TableDiv[[Agency]:[Agency]]=$E81)*(ROW(TableDiv[Agency])-ROW(TableDiv[[#Headers],[Agency]])),COLUMNS($F$7:H$7))))</f>
        <v/>
      </c>
      <c r="I81" s="2223" t="str" cm="1">
        <f t="array" ref="I81">IF($D81&lt;COLUMNS($F$7:I$7),"",INDEX(TableDiv[[GASB]:[GASB]],_xlfn.AGGREGATE(15,3,(TableDiv[[Agency]:[Agency]]=$E81)/(TableDiv[[Agency]:[Agency]]=$E81)*(ROW(TableDiv[Agency])-ROW(TableDiv[[#Headers],[Agency]])),COLUMNS($F$7:I$7))))</f>
        <v/>
      </c>
      <c r="J81" s="2223" t="str" cm="1">
        <f t="array" ref="J81">IF($D81&lt;COLUMNS($F$7:J$7),"",INDEX(TableDiv[[GASB]:[GASB]],_xlfn.AGGREGATE(15,3,(TableDiv[[Agency]:[Agency]]=$E81)/(TableDiv[[Agency]:[Agency]]=$E81)*(ROW(TableDiv[Agency])-ROW(TableDiv[[#Headers],[Agency]])),COLUMNS($F$7:J$7))))</f>
        <v/>
      </c>
      <c r="K81" s="2223" t="str" cm="1">
        <f t="array" ref="K81">IF($D81&lt;COLUMNS($F$7:K$7),"",INDEX(TableDiv[[GASB]:[GASB]],_xlfn.AGGREGATE(15,3,(TableDiv[[Agency]:[Agency]]=$E81)/(TableDiv[[Agency]:[Agency]]=$E81)*(ROW(TableDiv[Agency])-ROW(TableDiv[[#Headers],[Agency]])),COLUMNS($F$7:K$7))))</f>
        <v/>
      </c>
      <c r="L81" s="2223" t="str" cm="1">
        <f t="array" ref="L81">IF($D81&lt;COLUMNS($F$7:L$7),"",INDEX(TableDiv[[GASB]:[GASB]],_xlfn.AGGREGATE(15,3,(TableDiv[[Agency]:[Agency]]=$E81)/(TableDiv[[Agency]:[Agency]]=$E81)*(ROW(TableDiv[Agency])-ROW(TableDiv[[#Headers],[Agency]])),COLUMNS($F$7:L$7))))</f>
        <v/>
      </c>
      <c r="M81" s="2223" t="str" cm="1">
        <f t="array" ref="M81">IF($D81&lt;COLUMNS($F$7:M$7),"",INDEX(TableDiv[[GASB]:[GASB]],_xlfn.AGGREGATE(15,3,(TableDiv[[Agency]:[Agency]]=$E81)/(TableDiv[[Agency]:[Agency]]=$E81)*(ROW(TableDiv[Agency])-ROW(TableDiv[[#Headers],[Agency]])),COLUMNS($F$7:M$7))))</f>
        <v/>
      </c>
      <c r="N81" s="2223" t="str" cm="1">
        <f t="array" ref="N81">IF($D81&lt;COLUMNS($F$7:N$7),"",INDEX(TableDiv[[GASB]:[GASB]],_xlfn.AGGREGATE(15,3,(TableDiv[[Agency]:[Agency]]=$E81)/(TableDiv[[Agency]:[Agency]]=$E81)*(ROW(TableDiv[Agency])-ROW(TableDiv[[#Headers],[Agency]])),COLUMNS($F$7:N$7))))</f>
        <v/>
      </c>
      <c r="O81" s="2223" t="str" cm="1">
        <f t="array" ref="O81">IF($D81&lt;COLUMNS($F$7:O$7),"",INDEX(TableDiv[[GASB]:[GASB]],_xlfn.AGGREGATE(15,3,(TableDiv[[Agency]:[Agency]]=$E81)/(TableDiv[[Agency]:[Agency]]=$E81)*(ROW(TableDiv[Agency])-ROW(TableDiv[[#Headers],[Agency]])),COLUMNS($F$7:O$7))))</f>
        <v/>
      </c>
      <c r="P81" s="2223" t="str" cm="1">
        <f t="array" ref="P81">IF($D81&lt;COLUMNS($F$7:P$7),"",INDEX(TableDiv[[GASB]:[GASB]],_xlfn.AGGREGATE(15,3,(TableDiv[[Agency]:[Agency]]=$E81)/(TableDiv[[Agency]:[Agency]]=$E81)*(ROW(TableDiv[Agency])-ROW(TableDiv[[#Headers],[Agency]])),COLUMNS($F$7:P$7))))</f>
        <v/>
      </c>
      <c r="Q81" s="2223" t="str" cm="1">
        <f t="array" ref="Q81">IF($D81&lt;COLUMNS($F$7:Q$7),"",INDEX(TableDiv[[GASB]:[GASB]],_xlfn.AGGREGATE(15,3,(TableDiv[[Agency]:[Agency]]=$E81)/(TableDiv[[Agency]:[Agency]]=$E81)*(ROW(TableDiv[Agency])-ROW(TableDiv[[#Headers],[Agency]])),COLUMNS($F$7:Q$7))))</f>
        <v/>
      </c>
      <c r="R81" s="2223" t="str" cm="1">
        <f t="array" ref="R81">IF($D81&lt;COLUMNS($F$7:R$7),"",INDEX(TableDiv[[GASB]:[GASB]],_xlfn.AGGREGATE(15,3,(TableDiv[[Agency]:[Agency]]=$E81)/(TableDiv[[Agency]:[Agency]]=$E81)*(ROW(TableDiv[Agency])-ROW(TableDiv[[#Headers],[Agency]])),COLUMNS($F$7:R$7))))</f>
        <v/>
      </c>
      <c r="S81" s="2223" t="str" cm="1">
        <f t="array" ref="S81">IF($D81&lt;COLUMNS($F$7:S$7),"",INDEX(TableDiv[[GASB]:[GASB]],_xlfn.AGGREGATE(15,3,(TableDiv[[Agency]:[Agency]]=$E81)/(TableDiv[[Agency]:[Agency]]=$E81)*(ROW(TableDiv[Agency])-ROW(TableDiv[[#Headers],[Agency]])),COLUMNS($F$7:S$7))))</f>
        <v/>
      </c>
      <c r="T81" s="2223" t="str" cm="1">
        <f t="array" ref="T81">IF($D81&lt;COLUMNS($F$7:T$7),"",INDEX(TableDiv[[GASB]:[GASB]],_xlfn.AGGREGATE(15,3,(TableDiv[[Agency]:[Agency]]=$E81)/(TableDiv[[Agency]:[Agency]]=$E81)*(ROW(TableDiv[Agency])-ROW(TableDiv[[#Headers],[Agency]])),COLUMNS($F$7:T$7))))</f>
        <v/>
      </c>
      <c r="U81" s="2223" t="str" cm="1">
        <f t="array" ref="U81">IF($D81&lt;COLUMNS($F$7:U$7),"",INDEX(TableDiv[[GASB]:[GASB]],_xlfn.AGGREGATE(15,3,(TableDiv[[Agency]:[Agency]]=$E81)/(TableDiv[[Agency]:[Agency]]=$E81)*(ROW(TableDiv[Agency])-ROW(TableDiv[[#Headers],[Agency]])),COLUMNS($F$7:U$7))))</f>
        <v/>
      </c>
      <c r="V81" s="2223" t="str" cm="1">
        <f t="array" ref="V81">IF($D81&lt;COLUMNS($F$7:V$7),"",INDEX(TableDiv[[GASB]:[GASB]],_xlfn.AGGREGATE(15,3,(TableDiv[[Agency]:[Agency]]=$E81)/(TableDiv[[Agency]:[Agency]]=$E81)*(ROW(TableDiv[Agency])-ROW(TableDiv[[#Headers],[Agency]])),COLUMNS($F$7:V$7))))</f>
        <v/>
      </c>
      <c r="W81" s="2223" t="str" cm="1">
        <f t="array" ref="W81">IF($D81&lt;COLUMNS($F$7:W$7),"",INDEX(TableDiv[[GASB]:[GASB]],_xlfn.AGGREGATE(15,3,(TableDiv[[Agency]:[Agency]]=$E81)/(TableDiv[[Agency]:[Agency]]=$E81)*(ROW(TableDiv[Agency])-ROW(TableDiv[[#Headers],[Agency]])),COLUMNS($F$7:W$7))))</f>
        <v/>
      </c>
      <c r="X81" s="2223" t="str" cm="1">
        <f t="array" ref="X81">IF($D81&lt;COLUMNS($F$7:X$7),"",INDEX(TableDiv[[GASB]:[GASB]],_xlfn.AGGREGATE(15,3,(TableDiv[[Agency]:[Agency]]=$E81)/(TableDiv[[Agency]:[Agency]]=$E81)*(ROW(TableDiv[Agency])-ROW(TableDiv[[#Headers],[Agency]])),COLUMNS($F$7:X$7))))</f>
        <v/>
      </c>
      <c r="Y81" s="2223" t="str" cm="1">
        <f t="array" ref="Y81">IF($D81&lt;COLUMNS($F$7:Y$7),"",INDEX(TableDiv[[GASB]:[GASB]],_xlfn.AGGREGATE(15,3,(TableDiv[[Agency]:[Agency]]=$E81)/(TableDiv[[Agency]:[Agency]]=$E81)*(ROW(TableDiv[Agency])-ROW(TableDiv[[#Headers],[Agency]])),COLUMNS($F$7:Y$7))))</f>
        <v/>
      </c>
      <c r="Z81" s="2223" t="str" cm="1">
        <f t="array" ref="Z81">IF($D81&lt;COLUMNS($F$7:Z$7),"",INDEX(TableDiv[[GASB]:[GASB]],_xlfn.AGGREGATE(15,3,(TableDiv[[Agency]:[Agency]]=$E81)/(TableDiv[[Agency]:[Agency]]=$E81)*(ROW(TableDiv[Agency])-ROW(TableDiv[[#Headers],[Agency]])),COLUMNS($F$7:Z$7))))</f>
        <v/>
      </c>
      <c r="AA81" s="2223" t="str" cm="1">
        <f t="array" ref="AA81">IF($D81&lt;COLUMNS($F$7:AA$7),"",INDEX(TableDiv[[GASB]:[GASB]],_xlfn.AGGREGATE(15,3,(TableDiv[[Agency]:[Agency]]=$E81)/(TableDiv[[Agency]:[Agency]]=$E81)*(ROW(TableDiv[Agency])-ROW(TableDiv[[#Headers],[Agency]])),COLUMNS($F$7:AA$7))))</f>
        <v/>
      </c>
      <c r="AB81" s="2223" t="str" cm="1">
        <f t="array" ref="AB81">IF($D81&lt;COLUMNS($F$7:AB$7),"",INDEX(TableDiv[[GASB]:[GASB]],_xlfn.AGGREGATE(15,3,(TableDiv[[Agency]:[Agency]]=$E81)/(TableDiv[[Agency]:[Agency]]=$E81)*(ROW(TableDiv[Agency])-ROW(TableDiv[[#Headers],[Agency]])),COLUMNS($F$7:AB$7))))</f>
        <v/>
      </c>
      <c r="AC81" s="2223" t="str" cm="1">
        <f t="array" ref="AC81">IF($D81&lt;COLUMNS($F$7:AC$7),"",INDEX(TableDiv[[GASB]:[GASB]],_xlfn.AGGREGATE(15,3,(TableDiv[[Agency]:[Agency]]=$E81)/(TableDiv[[Agency]:[Agency]]=$E81)*(ROW(TableDiv[Agency])-ROW(TableDiv[[#Headers],[Agency]])),COLUMNS($F$7:AC$7))))</f>
        <v/>
      </c>
      <c r="AD81" s="2223" t="str" cm="1">
        <f t="array" ref="AD81">IF($D81&lt;COLUMNS($F$7:AD$7),"",INDEX(TableDiv[[GASB]:[GASB]],_xlfn.AGGREGATE(15,3,(TableDiv[[Agency]:[Agency]]=$E81)/(TableDiv[[Agency]:[Agency]]=$E81)*(ROW(TableDiv[Agency])-ROW(TableDiv[[#Headers],[Agency]])),COLUMNS($F$7:AD$7))))</f>
        <v/>
      </c>
      <c r="AE81" s="2223" t="str" cm="1">
        <f t="array" ref="AE81">IF($D81&lt;COLUMNS($F$7:AE$7),"",INDEX(TableDiv[[GASB]:[GASB]],_xlfn.AGGREGATE(15,3,(TableDiv[[Agency]:[Agency]]=$E81)/(TableDiv[[Agency]:[Agency]]=$E81)*(ROW(TableDiv[Agency])-ROW(TableDiv[[#Headers],[Agency]])),COLUMNS($F$7:AE$7))))</f>
        <v/>
      </c>
      <c r="AF81" s="2223" t="str" cm="1">
        <f t="array" ref="AF81">IF($D81&lt;COLUMNS($F$7:AF$7),"",INDEX(TableDiv[[GASB]:[GASB]],_xlfn.AGGREGATE(15,3,(TableDiv[[Agency]:[Agency]]=$E81)/(TableDiv[[Agency]:[Agency]]=$E81)*(ROW(TableDiv[Agency])-ROW(TableDiv[[#Headers],[Agency]])),COLUMNS($F$7:AF$7))))</f>
        <v/>
      </c>
      <c r="AG81" s="2223" t="str" cm="1">
        <f t="array" ref="AG81">IF($D81&lt;COLUMNS($F$7:AG$7),"",INDEX(TableDiv[[GASB]:[GASB]],_xlfn.AGGREGATE(15,3,(TableDiv[[Agency]:[Agency]]=$E81)/(TableDiv[[Agency]:[Agency]]=$E81)*(ROW(TableDiv[Agency])-ROW(TableDiv[[#Headers],[Agency]])),COLUMNS($F$7:AG$7))))</f>
        <v/>
      </c>
      <c r="AH81" s="2223" t="str" cm="1">
        <f t="array" ref="AH81">IF($D81&lt;COLUMNS($F$7:AH$7),"",INDEX(TableDiv[[GASB]:[GASB]],_xlfn.AGGREGATE(15,3,(TableDiv[[Agency]:[Agency]]=$E81)/(TableDiv[[Agency]:[Agency]]=$E81)*(ROW(TableDiv[Agency])-ROW(TableDiv[[#Headers],[Agency]])),COLUMNS($F$7:AH$7))))</f>
        <v/>
      </c>
      <c r="AI81" s="2223" t="str" cm="1">
        <f t="array" ref="AI81">IF($D81&lt;COLUMNS($F$7:AI$7),"",INDEX(TableDiv[[GASB]:[GASB]],_xlfn.AGGREGATE(15,3,(TableDiv[[Agency]:[Agency]]=$E81)/(TableDiv[[Agency]:[Agency]]=$E81)*(ROW(TableDiv[Agency])-ROW(TableDiv[[#Headers],[Agency]])),COLUMNS($F$7:AI$7))))</f>
        <v/>
      </c>
      <c r="AJ81" s="2223" t="str" cm="1">
        <f t="array" ref="AJ81">IF($D81&lt;COLUMNS($F$7:AJ$7),"",INDEX(TableDiv[[GASB]:[GASB]],_xlfn.AGGREGATE(15,3,(TableDiv[[Agency]:[Agency]]=$E81)/(TableDiv[[Agency]:[Agency]]=$E81)*(ROW(TableDiv[Agency])-ROW(TableDiv[[#Headers],[Agency]])),COLUMNS($F$7:AJ$7))))</f>
        <v/>
      </c>
      <c r="AK81" s="2223" t="str" cm="1">
        <f t="array" ref="AK81">IF($D81&lt;COLUMNS($F$7:AK$7),"",INDEX(TableDiv[[GASB]:[GASB]],_xlfn.AGGREGATE(15,3,(TableDiv[[Agency]:[Agency]]=$E81)/(TableDiv[[Agency]:[Agency]]=$E81)*(ROW(TableDiv[Agency])-ROW(TableDiv[[#Headers],[Agency]])),COLUMNS($F$7:AK$7))))</f>
        <v/>
      </c>
      <c r="AL81" s="2223" t="str" cm="1">
        <f t="array" ref="AL81">IF($D81&lt;COLUMNS($F$7:AL$7),"",INDEX(TableDiv[[GASB]:[GASB]],_xlfn.AGGREGATE(15,3,(TableDiv[[Agency]:[Agency]]=$E81)/(TableDiv[[Agency]:[Agency]]=$E81)*(ROW(TableDiv[Agency])-ROW(TableDiv[[#Headers],[Agency]])),COLUMNS($F$7:AL$7))))</f>
        <v/>
      </c>
      <c r="AM81" s="2223" t="str" cm="1">
        <f t="array" ref="AM81">IF($D81&lt;COLUMNS($F$7:AM$7),"",INDEX(TableDiv[[GASB]:[GASB]],_xlfn.AGGREGATE(15,3,(TableDiv[[Agency]:[Agency]]=$E81)/(TableDiv[[Agency]:[Agency]]=$E81)*(ROW(TableDiv[Agency])-ROW(TableDiv[[#Headers],[Agency]])),COLUMNS($F$7:AM$7))))</f>
        <v/>
      </c>
      <c r="AN81" s="2223"/>
      <c r="AO81" s="2223"/>
      <c r="AP81" s="2223"/>
      <c r="AQ81" s="2223"/>
      <c r="AR81" s="2223"/>
      <c r="AS81" s="2223"/>
    </row>
    <row r="82" spans="1:45" ht="15" x14ac:dyDescent="0.25">
      <c r="A82" s="2219" t="s">
        <v>5104</v>
      </c>
      <c r="B82" s="2219" t="s">
        <v>6357</v>
      </c>
      <c r="C82" s="2223"/>
      <c r="D82" s="2223">
        <f>COUNTIF(TableDiv[Agency],E82)</f>
        <v>1</v>
      </c>
      <c r="E82" s="2230" t="str" cm="1">
        <f t="array" ref="E82">IFERROR(INDEX(TableDiv[Agency],MATCH(0,INDEX(COUNTIF($E$7:E81,TableDiv[Agency]),),0)),"")</f>
        <v>U800</v>
      </c>
      <c r="F82" s="2223" t="str" cm="1">
        <f t="array" ref="F82">IF($D82&lt;COLUMNS($F$7:F$7),"",INDEX(TableDiv[[GASB]:[GASB]],_xlfn.AGGREGATE(15,3,(TableDiv[[Agency]:[Agency]]=$E82)/(TableDiv[[Agency]:[Agency]]=$E82)*(ROW(TableDiv[Agency])-ROW(TableDiv[[#Headers],[Agency]])),COLUMNS($F$7:F$7))))</f>
        <v>U80</v>
      </c>
      <c r="G82" s="2223" t="str" cm="1">
        <f t="array" ref="G82">IF($D82&lt;COLUMNS($F$7:G$7),"",INDEX(TableDiv[[GASB]:[GASB]],_xlfn.AGGREGATE(15,3,(TableDiv[[Agency]:[Agency]]=$E82)/(TableDiv[[Agency]:[Agency]]=$E82)*(ROW(TableDiv[Agency])-ROW(TableDiv[[#Headers],[Agency]])),COLUMNS($F$7:G$7))))</f>
        <v/>
      </c>
      <c r="H82" s="2223" t="str" cm="1">
        <f t="array" ref="H82">IF($D82&lt;COLUMNS($F$7:H$7),"",INDEX(TableDiv[[GASB]:[GASB]],_xlfn.AGGREGATE(15,3,(TableDiv[[Agency]:[Agency]]=$E82)/(TableDiv[[Agency]:[Agency]]=$E82)*(ROW(TableDiv[Agency])-ROW(TableDiv[[#Headers],[Agency]])),COLUMNS($F$7:H$7))))</f>
        <v/>
      </c>
      <c r="I82" s="2223" t="str" cm="1">
        <f t="array" ref="I82">IF($D82&lt;COLUMNS($F$7:I$7),"",INDEX(TableDiv[[GASB]:[GASB]],_xlfn.AGGREGATE(15,3,(TableDiv[[Agency]:[Agency]]=$E82)/(TableDiv[[Agency]:[Agency]]=$E82)*(ROW(TableDiv[Agency])-ROW(TableDiv[[#Headers],[Agency]])),COLUMNS($F$7:I$7))))</f>
        <v/>
      </c>
      <c r="J82" s="2223" t="str" cm="1">
        <f t="array" ref="J82">IF($D82&lt;COLUMNS($F$7:J$7),"",INDEX(TableDiv[[GASB]:[GASB]],_xlfn.AGGREGATE(15,3,(TableDiv[[Agency]:[Agency]]=$E82)/(TableDiv[[Agency]:[Agency]]=$E82)*(ROW(TableDiv[Agency])-ROW(TableDiv[[#Headers],[Agency]])),COLUMNS($F$7:J$7))))</f>
        <v/>
      </c>
      <c r="K82" s="2223" t="str" cm="1">
        <f t="array" ref="K82">IF($D82&lt;COLUMNS($F$7:K$7),"",INDEX(TableDiv[[GASB]:[GASB]],_xlfn.AGGREGATE(15,3,(TableDiv[[Agency]:[Agency]]=$E82)/(TableDiv[[Agency]:[Agency]]=$E82)*(ROW(TableDiv[Agency])-ROW(TableDiv[[#Headers],[Agency]])),COLUMNS($F$7:K$7))))</f>
        <v/>
      </c>
      <c r="L82" s="2223" t="str" cm="1">
        <f t="array" ref="L82">IF($D82&lt;COLUMNS($F$7:L$7),"",INDEX(TableDiv[[GASB]:[GASB]],_xlfn.AGGREGATE(15,3,(TableDiv[[Agency]:[Agency]]=$E82)/(TableDiv[[Agency]:[Agency]]=$E82)*(ROW(TableDiv[Agency])-ROW(TableDiv[[#Headers],[Agency]])),COLUMNS($F$7:L$7))))</f>
        <v/>
      </c>
      <c r="M82" s="2223" t="str" cm="1">
        <f t="array" ref="M82">IF($D82&lt;COLUMNS($F$7:M$7),"",INDEX(TableDiv[[GASB]:[GASB]],_xlfn.AGGREGATE(15,3,(TableDiv[[Agency]:[Agency]]=$E82)/(TableDiv[[Agency]:[Agency]]=$E82)*(ROW(TableDiv[Agency])-ROW(TableDiv[[#Headers],[Agency]])),COLUMNS($F$7:M$7))))</f>
        <v/>
      </c>
      <c r="N82" s="2223" t="str" cm="1">
        <f t="array" ref="N82">IF($D82&lt;COLUMNS($F$7:N$7),"",INDEX(TableDiv[[GASB]:[GASB]],_xlfn.AGGREGATE(15,3,(TableDiv[[Agency]:[Agency]]=$E82)/(TableDiv[[Agency]:[Agency]]=$E82)*(ROW(TableDiv[Agency])-ROW(TableDiv[[#Headers],[Agency]])),COLUMNS($F$7:N$7))))</f>
        <v/>
      </c>
      <c r="O82" s="2223" t="str" cm="1">
        <f t="array" ref="O82">IF($D82&lt;COLUMNS($F$7:O$7),"",INDEX(TableDiv[[GASB]:[GASB]],_xlfn.AGGREGATE(15,3,(TableDiv[[Agency]:[Agency]]=$E82)/(TableDiv[[Agency]:[Agency]]=$E82)*(ROW(TableDiv[Agency])-ROW(TableDiv[[#Headers],[Agency]])),COLUMNS($F$7:O$7))))</f>
        <v/>
      </c>
      <c r="P82" s="2223" t="str" cm="1">
        <f t="array" ref="P82">IF($D82&lt;COLUMNS($F$7:P$7),"",INDEX(TableDiv[[GASB]:[GASB]],_xlfn.AGGREGATE(15,3,(TableDiv[[Agency]:[Agency]]=$E82)/(TableDiv[[Agency]:[Agency]]=$E82)*(ROW(TableDiv[Agency])-ROW(TableDiv[[#Headers],[Agency]])),COLUMNS($F$7:P$7))))</f>
        <v/>
      </c>
      <c r="Q82" s="2223" t="str" cm="1">
        <f t="array" ref="Q82">IF($D82&lt;COLUMNS($F$7:Q$7),"",INDEX(TableDiv[[GASB]:[GASB]],_xlfn.AGGREGATE(15,3,(TableDiv[[Agency]:[Agency]]=$E82)/(TableDiv[[Agency]:[Agency]]=$E82)*(ROW(TableDiv[Agency])-ROW(TableDiv[[#Headers],[Agency]])),COLUMNS($F$7:Q$7))))</f>
        <v/>
      </c>
      <c r="R82" s="2223" t="str" cm="1">
        <f t="array" ref="R82">IF($D82&lt;COLUMNS($F$7:R$7),"",INDEX(TableDiv[[GASB]:[GASB]],_xlfn.AGGREGATE(15,3,(TableDiv[[Agency]:[Agency]]=$E82)/(TableDiv[[Agency]:[Agency]]=$E82)*(ROW(TableDiv[Agency])-ROW(TableDiv[[#Headers],[Agency]])),COLUMNS($F$7:R$7))))</f>
        <v/>
      </c>
      <c r="S82" s="2223" t="str" cm="1">
        <f t="array" ref="S82">IF($D82&lt;COLUMNS($F$7:S$7),"",INDEX(TableDiv[[GASB]:[GASB]],_xlfn.AGGREGATE(15,3,(TableDiv[[Agency]:[Agency]]=$E82)/(TableDiv[[Agency]:[Agency]]=$E82)*(ROW(TableDiv[Agency])-ROW(TableDiv[[#Headers],[Agency]])),COLUMNS($F$7:S$7))))</f>
        <v/>
      </c>
      <c r="T82" s="2223" t="str" cm="1">
        <f t="array" ref="T82">IF($D82&lt;COLUMNS($F$7:T$7),"",INDEX(TableDiv[[GASB]:[GASB]],_xlfn.AGGREGATE(15,3,(TableDiv[[Agency]:[Agency]]=$E82)/(TableDiv[[Agency]:[Agency]]=$E82)*(ROW(TableDiv[Agency])-ROW(TableDiv[[#Headers],[Agency]])),COLUMNS($F$7:T$7))))</f>
        <v/>
      </c>
      <c r="U82" s="2223" t="str" cm="1">
        <f t="array" ref="U82">IF($D82&lt;COLUMNS($F$7:U$7),"",INDEX(TableDiv[[GASB]:[GASB]],_xlfn.AGGREGATE(15,3,(TableDiv[[Agency]:[Agency]]=$E82)/(TableDiv[[Agency]:[Agency]]=$E82)*(ROW(TableDiv[Agency])-ROW(TableDiv[[#Headers],[Agency]])),COLUMNS($F$7:U$7))))</f>
        <v/>
      </c>
      <c r="V82" s="2223" t="str" cm="1">
        <f t="array" ref="V82">IF($D82&lt;COLUMNS($F$7:V$7),"",INDEX(TableDiv[[GASB]:[GASB]],_xlfn.AGGREGATE(15,3,(TableDiv[[Agency]:[Agency]]=$E82)/(TableDiv[[Agency]:[Agency]]=$E82)*(ROW(TableDiv[Agency])-ROW(TableDiv[[#Headers],[Agency]])),COLUMNS($F$7:V$7))))</f>
        <v/>
      </c>
      <c r="W82" s="2223" t="str" cm="1">
        <f t="array" ref="W82">IF($D82&lt;COLUMNS($F$7:W$7),"",INDEX(TableDiv[[GASB]:[GASB]],_xlfn.AGGREGATE(15,3,(TableDiv[[Agency]:[Agency]]=$E82)/(TableDiv[[Agency]:[Agency]]=$E82)*(ROW(TableDiv[Agency])-ROW(TableDiv[[#Headers],[Agency]])),COLUMNS($F$7:W$7))))</f>
        <v/>
      </c>
      <c r="X82" s="2223" t="str" cm="1">
        <f t="array" ref="X82">IF($D82&lt;COLUMNS($F$7:X$7),"",INDEX(TableDiv[[GASB]:[GASB]],_xlfn.AGGREGATE(15,3,(TableDiv[[Agency]:[Agency]]=$E82)/(TableDiv[[Agency]:[Agency]]=$E82)*(ROW(TableDiv[Agency])-ROW(TableDiv[[#Headers],[Agency]])),COLUMNS($F$7:X$7))))</f>
        <v/>
      </c>
      <c r="Y82" s="2223" t="str" cm="1">
        <f t="array" ref="Y82">IF($D82&lt;COLUMNS($F$7:Y$7),"",INDEX(TableDiv[[GASB]:[GASB]],_xlfn.AGGREGATE(15,3,(TableDiv[[Agency]:[Agency]]=$E82)/(TableDiv[[Agency]:[Agency]]=$E82)*(ROW(TableDiv[Agency])-ROW(TableDiv[[#Headers],[Agency]])),COLUMNS($F$7:Y$7))))</f>
        <v/>
      </c>
      <c r="Z82" s="2223" t="str" cm="1">
        <f t="array" ref="Z82">IF($D82&lt;COLUMNS($F$7:Z$7),"",INDEX(TableDiv[[GASB]:[GASB]],_xlfn.AGGREGATE(15,3,(TableDiv[[Agency]:[Agency]]=$E82)/(TableDiv[[Agency]:[Agency]]=$E82)*(ROW(TableDiv[Agency])-ROW(TableDiv[[#Headers],[Agency]])),COLUMNS($F$7:Z$7))))</f>
        <v/>
      </c>
      <c r="AA82" s="2223" t="str" cm="1">
        <f t="array" ref="AA82">IF($D82&lt;COLUMNS($F$7:AA$7),"",INDEX(TableDiv[[GASB]:[GASB]],_xlfn.AGGREGATE(15,3,(TableDiv[[Agency]:[Agency]]=$E82)/(TableDiv[[Agency]:[Agency]]=$E82)*(ROW(TableDiv[Agency])-ROW(TableDiv[[#Headers],[Agency]])),COLUMNS($F$7:AA$7))))</f>
        <v/>
      </c>
      <c r="AB82" s="2223" t="str" cm="1">
        <f t="array" ref="AB82">IF($D82&lt;COLUMNS($F$7:AB$7),"",INDEX(TableDiv[[GASB]:[GASB]],_xlfn.AGGREGATE(15,3,(TableDiv[[Agency]:[Agency]]=$E82)/(TableDiv[[Agency]:[Agency]]=$E82)*(ROW(TableDiv[Agency])-ROW(TableDiv[[#Headers],[Agency]])),COLUMNS($F$7:AB$7))))</f>
        <v/>
      </c>
      <c r="AC82" s="2223" t="str" cm="1">
        <f t="array" ref="AC82">IF($D82&lt;COLUMNS($F$7:AC$7),"",INDEX(TableDiv[[GASB]:[GASB]],_xlfn.AGGREGATE(15,3,(TableDiv[[Agency]:[Agency]]=$E82)/(TableDiv[[Agency]:[Agency]]=$E82)*(ROW(TableDiv[Agency])-ROW(TableDiv[[#Headers],[Agency]])),COLUMNS($F$7:AC$7))))</f>
        <v/>
      </c>
      <c r="AD82" s="2223" t="str" cm="1">
        <f t="array" ref="AD82">IF($D82&lt;COLUMNS($F$7:AD$7),"",INDEX(TableDiv[[GASB]:[GASB]],_xlfn.AGGREGATE(15,3,(TableDiv[[Agency]:[Agency]]=$E82)/(TableDiv[[Agency]:[Agency]]=$E82)*(ROW(TableDiv[Agency])-ROW(TableDiv[[#Headers],[Agency]])),COLUMNS($F$7:AD$7))))</f>
        <v/>
      </c>
      <c r="AE82" s="2223" t="str" cm="1">
        <f t="array" ref="AE82">IF($D82&lt;COLUMNS($F$7:AE$7),"",INDEX(TableDiv[[GASB]:[GASB]],_xlfn.AGGREGATE(15,3,(TableDiv[[Agency]:[Agency]]=$E82)/(TableDiv[[Agency]:[Agency]]=$E82)*(ROW(TableDiv[Agency])-ROW(TableDiv[[#Headers],[Agency]])),COLUMNS($F$7:AE$7))))</f>
        <v/>
      </c>
      <c r="AF82" s="2223" t="str" cm="1">
        <f t="array" ref="AF82">IF($D82&lt;COLUMNS($F$7:AF$7),"",INDEX(TableDiv[[GASB]:[GASB]],_xlfn.AGGREGATE(15,3,(TableDiv[[Agency]:[Agency]]=$E82)/(TableDiv[[Agency]:[Agency]]=$E82)*(ROW(TableDiv[Agency])-ROW(TableDiv[[#Headers],[Agency]])),COLUMNS($F$7:AF$7))))</f>
        <v/>
      </c>
      <c r="AG82" s="2223" t="str" cm="1">
        <f t="array" ref="AG82">IF($D82&lt;COLUMNS($F$7:AG$7),"",INDEX(TableDiv[[GASB]:[GASB]],_xlfn.AGGREGATE(15,3,(TableDiv[[Agency]:[Agency]]=$E82)/(TableDiv[[Agency]:[Agency]]=$E82)*(ROW(TableDiv[Agency])-ROW(TableDiv[[#Headers],[Agency]])),COLUMNS($F$7:AG$7))))</f>
        <v/>
      </c>
      <c r="AH82" s="2223" t="str" cm="1">
        <f t="array" ref="AH82">IF($D82&lt;COLUMNS($F$7:AH$7),"",INDEX(TableDiv[[GASB]:[GASB]],_xlfn.AGGREGATE(15,3,(TableDiv[[Agency]:[Agency]]=$E82)/(TableDiv[[Agency]:[Agency]]=$E82)*(ROW(TableDiv[Agency])-ROW(TableDiv[[#Headers],[Agency]])),COLUMNS($F$7:AH$7))))</f>
        <v/>
      </c>
      <c r="AI82" s="2223" t="str" cm="1">
        <f t="array" ref="AI82">IF($D82&lt;COLUMNS($F$7:AI$7),"",INDEX(TableDiv[[GASB]:[GASB]],_xlfn.AGGREGATE(15,3,(TableDiv[[Agency]:[Agency]]=$E82)/(TableDiv[[Agency]:[Agency]]=$E82)*(ROW(TableDiv[Agency])-ROW(TableDiv[[#Headers],[Agency]])),COLUMNS($F$7:AI$7))))</f>
        <v/>
      </c>
      <c r="AJ82" s="2223" t="str" cm="1">
        <f t="array" ref="AJ82">IF($D82&lt;COLUMNS($F$7:AJ$7),"",INDEX(TableDiv[[GASB]:[GASB]],_xlfn.AGGREGATE(15,3,(TableDiv[[Agency]:[Agency]]=$E82)/(TableDiv[[Agency]:[Agency]]=$E82)*(ROW(TableDiv[Agency])-ROW(TableDiv[[#Headers],[Agency]])),COLUMNS($F$7:AJ$7))))</f>
        <v/>
      </c>
      <c r="AK82" s="2223" t="str" cm="1">
        <f t="array" ref="AK82">IF($D82&lt;COLUMNS($F$7:AK$7),"",INDEX(TableDiv[[GASB]:[GASB]],_xlfn.AGGREGATE(15,3,(TableDiv[[Agency]:[Agency]]=$E82)/(TableDiv[[Agency]:[Agency]]=$E82)*(ROW(TableDiv[Agency])-ROW(TableDiv[[#Headers],[Agency]])),COLUMNS($F$7:AK$7))))</f>
        <v/>
      </c>
      <c r="AL82" s="2223" t="str" cm="1">
        <f t="array" ref="AL82">IF($D82&lt;COLUMNS($F$7:AL$7),"",INDEX(TableDiv[[GASB]:[GASB]],_xlfn.AGGREGATE(15,3,(TableDiv[[Agency]:[Agency]]=$E82)/(TableDiv[[Agency]:[Agency]]=$E82)*(ROW(TableDiv[Agency])-ROW(TableDiv[[#Headers],[Agency]])),COLUMNS($F$7:AL$7))))</f>
        <v/>
      </c>
      <c r="AM82" s="2223" t="str" cm="1">
        <f t="array" ref="AM82">IF($D82&lt;COLUMNS($F$7:AM$7),"",INDEX(TableDiv[[GASB]:[GASB]],_xlfn.AGGREGATE(15,3,(TableDiv[[Agency]:[Agency]]=$E82)/(TableDiv[[Agency]:[Agency]]=$E82)*(ROW(TableDiv[Agency])-ROW(TableDiv[[#Headers],[Agency]])),COLUMNS($F$7:AM$7))))</f>
        <v/>
      </c>
      <c r="AN82" s="2223"/>
      <c r="AO82" s="2223"/>
      <c r="AP82" s="2223"/>
      <c r="AQ82" s="2223"/>
      <c r="AR82" s="2223"/>
      <c r="AS82" s="2223"/>
    </row>
    <row r="83" spans="1:45" ht="15" x14ac:dyDescent="0.25">
      <c r="A83" s="2219" t="s">
        <v>5104</v>
      </c>
      <c r="B83" s="2219" t="s">
        <v>1878</v>
      </c>
      <c r="C83" s="2223"/>
      <c r="D83" s="2223">
        <f>COUNTIF(TableDiv[Agency],E83)</f>
        <v>1</v>
      </c>
      <c r="E83" s="2230" t="str" cm="1">
        <f t="array" ref="E83">IFERROR(INDEX(TableDiv[Agency],MATCH(0,INDEX(COUNTIF($E$7:E82,TableDiv[Agency]),),0)),"")</f>
        <v>U820</v>
      </c>
      <c r="F83" s="2223" t="str" cm="1">
        <f t="array" ref="F83">IF($D83&lt;COLUMNS($F$7:F$7),"",INDEX(TableDiv[[GASB]:[GASB]],_xlfn.AGGREGATE(15,3,(TableDiv[[Agency]:[Agency]]=$E83)/(TableDiv[[Agency]:[Agency]]=$E83)*(ROW(TableDiv[Agency])-ROW(TableDiv[[#Headers],[Agency]])),COLUMNS($F$7:F$7))))</f>
        <v>U82</v>
      </c>
      <c r="G83" s="2223" t="str" cm="1">
        <f t="array" ref="G83">IF($D83&lt;COLUMNS($F$7:G$7),"",INDEX(TableDiv[[GASB]:[GASB]],_xlfn.AGGREGATE(15,3,(TableDiv[[Agency]:[Agency]]=$E83)/(TableDiv[[Agency]:[Agency]]=$E83)*(ROW(TableDiv[Agency])-ROW(TableDiv[[#Headers],[Agency]])),COLUMNS($F$7:G$7))))</f>
        <v/>
      </c>
      <c r="H83" s="2223" t="str" cm="1">
        <f t="array" ref="H83">IF($D83&lt;COLUMNS($F$7:H$7),"",INDEX(TableDiv[[GASB]:[GASB]],_xlfn.AGGREGATE(15,3,(TableDiv[[Agency]:[Agency]]=$E83)/(TableDiv[[Agency]:[Agency]]=$E83)*(ROW(TableDiv[Agency])-ROW(TableDiv[[#Headers],[Agency]])),COLUMNS($F$7:H$7))))</f>
        <v/>
      </c>
      <c r="I83" s="2223" t="str" cm="1">
        <f t="array" ref="I83">IF($D83&lt;COLUMNS($F$7:I$7),"",INDEX(TableDiv[[GASB]:[GASB]],_xlfn.AGGREGATE(15,3,(TableDiv[[Agency]:[Agency]]=$E83)/(TableDiv[[Agency]:[Agency]]=$E83)*(ROW(TableDiv[Agency])-ROW(TableDiv[[#Headers],[Agency]])),COLUMNS($F$7:I$7))))</f>
        <v/>
      </c>
      <c r="J83" s="2223" t="str" cm="1">
        <f t="array" ref="J83">IF($D83&lt;COLUMNS($F$7:J$7),"",INDEX(TableDiv[[GASB]:[GASB]],_xlfn.AGGREGATE(15,3,(TableDiv[[Agency]:[Agency]]=$E83)/(TableDiv[[Agency]:[Agency]]=$E83)*(ROW(TableDiv[Agency])-ROW(TableDiv[[#Headers],[Agency]])),COLUMNS($F$7:J$7))))</f>
        <v/>
      </c>
      <c r="K83" s="2223" t="str" cm="1">
        <f t="array" ref="K83">IF($D83&lt;COLUMNS($F$7:K$7),"",INDEX(TableDiv[[GASB]:[GASB]],_xlfn.AGGREGATE(15,3,(TableDiv[[Agency]:[Agency]]=$E83)/(TableDiv[[Agency]:[Agency]]=$E83)*(ROW(TableDiv[Agency])-ROW(TableDiv[[#Headers],[Agency]])),COLUMNS($F$7:K$7))))</f>
        <v/>
      </c>
      <c r="L83" s="2223" t="str" cm="1">
        <f t="array" ref="L83">IF($D83&lt;COLUMNS($F$7:L$7),"",INDEX(TableDiv[[GASB]:[GASB]],_xlfn.AGGREGATE(15,3,(TableDiv[[Agency]:[Agency]]=$E83)/(TableDiv[[Agency]:[Agency]]=$E83)*(ROW(TableDiv[Agency])-ROW(TableDiv[[#Headers],[Agency]])),COLUMNS($F$7:L$7))))</f>
        <v/>
      </c>
      <c r="M83" s="2223" t="str" cm="1">
        <f t="array" ref="M83">IF($D83&lt;COLUMNS($F$7:M$7),"",INDEX(TableDiv[[GASB]:[GASB]],_xlfn.AGGREGATE(15,3,(TableDiv[[Agency]:[Agency]]=$E83)/(TableDiv[[Agency]:[Agency]]=$E83)*(ROW(TableDiv[Agency])-ROW(TableDiv[[#Headers],[Agency]])),COLUMNS($F$7:M$7))))</f>
        <v/>
      </c>
      <c r="N83" s="2223" t="str" cm="1">
        <f t="array" ref="N83">IF($D83&lt;COLUMNS($F$7:N$7),"",INDEX(TableDiv[[GASB]:[GASB]],_xlfn.AGGREGATE(15,3,(TableDiv[[Agency]:[Agency]]=$E83)/(TableDiv[[Agency]:[Agency]]=$E83)*(ROW(TableDiv[Agency])-ROW(TableDiv[[#Headers],[Agency]])),COLUMNS($F$7:N$7))))</f>
        <v/>
      </c>
      <c r="O83" s="2223" t="str" cm="1">
        <f t="array" ref="O83">IF($D83&lt;COLUMNS($F$7:O$7),"",INDEX(TableDiv[[GASB]:[GASB]],_xlfn.AGGREGATE(15,3,(TableDiv[[Agency]:[Agency]]=$E83)/(TableDiv[[Agency]:[Agency]]=$E83)*(ROW(TableDiv[Agency])-ROW(TableDiv[[#Headers],[Agency]])),COLUMNS($F$7:O$7))))</f>
        <v/>
      </c>
      <c r="P83" s="2223" t="str" cm="1">
        <f t="array" ref="P83">IF($D83&lt;COLUMNS($F$7:P$7),"",INDEX(TableDiv[[GASB]:[GASB]],_xlfn.AGGREGATE(15,3,(TableDiv[[Agency]:[Agency]]=$E83)/(TableDiv[[Agency]:[Agency]]=$E83)*(ROW(TableDiv[Agency])-ROW(TableDiv[[#Headers],[Agency]])),COLUMNS($F$7:P$7))))</f>
        <v/>
      </c>
      <c r="Q83" s="2223" t="str" cm="1">
        <f t="array" ref="Q83">IF($D83&lt;COLUMNS($F$7:Q$7),"",INDEX(TableDiv[[GASB]:[GASB]],_xlfn.AGGREGATE(15,3,(TableDiv[[Agency]:[Agency]]=$E83)/(TableDiv[[Agency]:[Agency]]=$E83)*(ROW(TableDiv[Agency])-ROW(TableDiv[[#Headers],[Agency]])),COLUMNS($F$7:Q$7))))</f>
        <v/>
      </c>
      <c r="R83" s="2223" t="str" cm="1">
        <f t="array" ref="R83">IF($D83&lt;COLUMNS($F$7:R$7),"",INDEX(TableDiv[[GASB]:[GASB]],_xlfn.AGGREGATE(15,3,(TableDiv[[Agency]:[Agency]]=$E83)/(TableDiv[[Agency]:[Agency]]=$E83)*(ROW(TableDiv[Agency])-ROW(TableDiv[[#Headers],[Agency]])),COLUMNS($F$7:R$7))))</f>
        <v/>
      </c>
      <c r="S83" s="2223" t="str" cm="1">
        <f t="array" ref="S83">IF($D83&lt;COLUMNS($F$7:S$7),"",INDEX(TableDiv[[GASB]:[GASB]],_xlfn.AGGREGATE(15,3,(TableDiv[[Agency]:[Agency]]=$E83)/(TableDiv[[Agency]:[Agency]]=$E83)*(ROW(TableDiv[Agency])-ROW(TableDiv[[#Headers],[Agency]])),COLUMNS($F$7:S$7))))</f>
        <v/>
      </c>
      <c r="T83" s="2223" t="str" cm="1">
        <f t="array" ref="T83">IF($D83&lt;COLUMNS($F$7:T$7),"",INDEX(TableDiv[[GASB]:[GASB]],_xlfn.AGGREGATE(15,3,(TableDiv[[Agency]:[Agency]]=$E83)/(TableDiv[[Agency]:[Agency]]=$E83)*(ROW(TableDiv[Agency])-ROW(TableDiv[[#Headers],[Agency]])),COLUMNS($F$7:T$7))))</f>
        <v/>
      </c>
      <c r="U83" s="2223" t="str" cm="1">
        <f t="array" ref="U83">IF($D83&lt;COLUMNS($F$7:U$7),"",INDEX(TableDiv[[GASB]:[GASB]],_xlfn.AGGREGATE(15,3,(TableDiv[[Agency]:[Agency]]=$E83)/(TableDiv[[Agency]:[Agency]]=$E83)*(ROW(TableDiv[Agency])-ROW(TableDiv[[#Headers],[Agency]])),COLUMNS($F$7:U$7))))</f>
        <v/>
      </c>
      <c r="V83" s="2223" t="str" cm="1">
        <f t="array" ref="V83">IF($D83&lt;COLUMNS($F$7:V$7),"",INDEX(TableDiv[[GASB]:[GASB]],_xlfn.AGGREGATE(15,3,(TableDiv[[Agency]:[Agency]]=$E83)/(TableDiv[[Agency]:[Agency]]=$E83)*(ROW(TableDiv[Agency])-ROW(TableDiv[[#Headers],[Agency]])),COLUMNS($F$7:V$7))))</f>
        <v/>
      </c>
      <c r="W83" s="2223" t="str" cm="1">
        <f t="array" ref="W83">IF($D83&lt;COLUMNS($F$7:W$7),"",INDEX(TableDiv[[GASB]:[GASB]],_xlfn.AGGREGATE(15,3,(TableDiv[[Agency]:[Agency]]=$E83)/(TableDiv[[Agency]:[Agency]]=$E83)*(ROW(TableDiv[Agency])-ROW(TableDiv[[#Headers],[Agency]])),COLUMNS($F$7:W$7))))</f>
        <v/>
      </c>
      <c r="X83" s="2223" t="str" cm="1">
        <f t="array" ref="X83">IF($D83&lt;COLUMNS($F$7:X$7),"",INDEX(TableDiv[[GASB]:[GASB]],_xlfn.AGGREGATE(15,3,(TableDiv[[Agency]:[Agency]]=$E83)/(TableDiv[[Agency]:[Agency]]=$E83)*(ROW(TableDiv[Agency])-ROW(TableDiv[[#Headers],[Agency]])),COLUMNS($F$7:X$7))))</f>
        <v/>
      </c>
      <c r="Y83" s="2223" t="str" cm="1">
        <f t="array" ref="Y83">IF($D83&lt;COLUMNS($F$7:Y$7),"",INDEX(TableDiv[[GASB]:[GASB]],_xlfn.AGGREGATE(15,3,(TableDiv[[Agency]:[Agency]]=$E83)/(TableDiv[[Agency]:[Agency]]=$E83)*(ROW(TableDiv[Agency])-ROW(TableDiv[[#Headers],[Agency]])),COLUMNS($F$7:Y$7))))</f>
        <v/>
      </c>
      <c r="Z83" s="2223" t="str" cm="1">
        <f t="array" ref="Z83">IF($D83&lt;COLUMNS($F$7:Z$7),"",INDEX(TableDiv[[GASB]:[GASB]],_xlfn.AGGREGATE(15,3,(TableDiv[[Agency]:[Agency]]=$E83)/(TableDiv[[Agency]:[Agency]]=$E83)*(ROW(TableDiv[Agency])-ROW(TableDiv[[#Headers],[Agency]])),COLUMNS($F$7:Z$7))))</f>
        <v/>
      </c>
      <c r="AA83" s="2223" t="str" cm="1">
        <f t="array" ref="AA83">IF($D83&lt;COLUMNS($F$7:AA$7),"",INDEX(TableDiv[[GASB]:[GASB]],_xlfn.AGGREGATE(15,3,(TableDiv[[Agency]:[Agency]]=$E83)/(TableDiv[[Agency]:[Agency]]=$E83)*(ROW(TableDiv[Agency])-ROW(TableDiv[[#Headers],[Agency]])),COLUMNS($F$7:AA$7))))</f>
        <v/>
      </c>
      <c r="AB83" s="2223" t="str" cm="1">
        <f t="array" ref="AB83">IF($D83&lt;COLUMNS($F$7:AB$7),"",INDEX(TableDiv[[GASB]:[GASB]],_xlfn.AGGREGATE(15,3,(TableDiv[[Agency]:[Agency]]=$E83)/(TableDiv[[Agency]:[Agency]]=$E83)*(ROW(TableDiv[Agency])-ROW(TableDiv[[#Headers],[Agency]])),COLUMNS($F$7:AB$7))))</f>
        <v/>
      </c>
      <c r="AC83" s="2223" t="str" cm="1">
        <f t="array" ref="AC83">IF($D83&lt;COLUMNS($F$7:AC$7),"",INDEX(TableDiv[[GASB]:[GASB]],_xlfn.AGGREGATE(15,3,(TableDiv[[Agency]:[Agency]]=$E83)/(TableDiv[[Agency]:[Agency]]=$E83)*(ROW(TableDiv[Agency])-ROW(TableDiv[[#Headers],[Agency]])),COLUMNS($F$7:AC$7))))</f>
        <v/>
      </c>
      <c r="AD83" s="2223" t="str" cm="1">
        <f t="array" ref="AD83">IF($D83&lt;COLUMNS($F$7:AD$7),"",INDEX(TableDiv[[GASB]:[GASB]],_xlfn.AGGREGATE(15,3,(TableDiv[[Agency]:[Agency]]=$E83)/(TableDiv[[Agency]:[Agency]]=$E83)*(ROW(TableDiv[Agency])-ROW(TableDiv[[#Headers],[Agency]])),COLUMNS($F$7:AD$7))))</f>
        <v/>
      </c>
      <c r="AE83" s="2223" t="str" cm="1">
        <f t="array" ref="AE83">IF($D83&lt;COLUMNS($F$7:AE$7),"",INDEX(TableDiv[[GASB]:[GASB]],_xlfn.AGGREGATE(15,3,(TableDiv[[Agency]:[Agency]]=$E83)/(TableDiv[[Agency]:[Agency]]=$E83)*(ROW(TableDiv[Agency])-ROW(TableDiv[[#Headers],[Agency]])),COLUMNS($F$7:AE$7))))</f>
        <v/>
      </c>
      <c r="AF83" s="2223" t="str" cm="1">
        <f t="array" ref="AF83">IF($D83&lt;COLUMNS($F$7:AF$7),"",INDEX(TableDiv[[GASB]:[GASB]],_xlfn.AGGREGATE(15,3,(TableDiv[[Agency]:[Agency]]=$E83)/(TableDiv[[Agency]:[Agency]]=$E83)*(ROW(TableDiv[Agency])-ROW(TableDiv[[#Headers],[Agency]])),COLUMNS($F$7:AF$7))))</f>
        <v/>
      </c>
      <c r="AG83" s="2223" t="str" cm="1">
        <f t="array" ref="AG83">IF($D83&lt;COLUMNS($F$7:AG$7),"",INDEX(TableDiv[[GASB]:[GASB]],_xlfn.AGGREGATE(15,3,(TableDiv[[Agency]:[Agency]]=$E83)/(TableDiv[[Agency]:[Agency]]=$E83)*(ROW(TableDiv[Agency])-ROW(TableDiv[[#Headers],[Agency]])),COLUMNS($F$7:AG$7))))</f>
        <v/>
      </c>
      <c r="AH83" s="2223" t="str" cm="1">
        <f t="array" ref="AH83">IF($D83&lt;COLUMNS($F$7:AH$7),"",INDEX(TableDiv[[GASB]:[GASB]],_xlfn.AGGREGATE(15,3,(TableDiv[[Agency]:[Agency]]=$E83)/(TableDiv[[Agency]:[Agency]]=$E83)*(ROW(TableDiv[Agency])-ROW(TableDiv[[#Headers],[Agency]])),COLUMNS($F$7:AH$7))))</f>
        <v/>
      </c>
      <c r="AI83" s="2223" t="str" cm="1">
        <f t="array" ref="AI83">IF($D83&lt;COLUMNS($F$7:AI$7),"",INDEX(TableDiv[[GASB]:[GASB]],_xlfn.AGGREGATE(15,3,(TableDiv[[Agency]:[Agency]]=$E83)/(TableDiv[[Agency]:[Agency]]=$E83)*(ROW(TableDiv[Agency])-ROW(TableDiv[[#Headers],[Agency]])),COLUMNS($F$7:AI$7))))</f>
        <v/>
      </c>
      <c r="AJ83" s="2223" t="str" cm="1">
        <f t="array" ref="AJ83">IF($D83&lt;COLUMNS($F$7:AJ$7),"",INDEX(TableDiv[[GASB]:[GASB]],_xlfn.AGGREGATE(15,3,(TableDiv[[Agency]:[Agency]]=$E83)/(TableDiv[[Agency]:[Agency]]=$E83)*(ROW(TableDiv[Agency])-ROW(TableDiv[[#Headers],[Agency]])),COLUMNS($F$7:AJ$7))))</f>
        <v/>
      </c>
      <c r="AK83" s="2223" t="str" cm="1">
        <f t="array" ref="AK83">IF($D83&lt;COLUMNS($F$7:AK$7),"",INDEX(TableDiv[[GASB]:[GASB]],_xlfn.AGGREGATE(15,3,(TableDiv[[Agency]:[Agency]]=$E83)/(TableDiv[[Agency]:[Agency]]=$E83)*(ROW(TableDiv[Agency])-ROW(TableDiv[[#Headers],[Agency]])),COLUMNS($F$7:AK$7))))</f>
        <v/>
      </c>
      <c r="AL83" s="2223" t="str" cm="1">
        <f t="array" ref="AL83">IF($D83&lt;COLUMNS($F$7:AL$7),"",INDEX(TableDiv[[GASB]:[GASB]],_xlfn.AGGREGATE(15,3,(TableDiv[[Agency]:[Agency]]=$E83)/(TableDiv[[Agency]:[Agency]]=$E83)*(ROW(TableDiv[Agency])-ROW(TableDiv[[#Headers],[Agency]])),COLUMNS($F$7:AL$7))))</f>
        <v/>
      </c>
      <c r="AM83" s="2223" t="str" cm="1">
        <f t="array" ref="AM83">IF($D83&lt;COLUMNS($F$7:AM$7),"",INDEX(TableDiv[[GASB]:[GASB]],_xlfn.AGGREGATE(15,3,(TableDiv[[Agency]:[Agency]]=$E83)/(TableDiv[[Agency]:[Agency]]=$E83)*(ROW(TableDiv[Agency])-ROW(TableDiv[[#Headers],[Agency]])),COLUMNS($F$7:AM$7))))</f>
        <v/>
      </c>
      <c r="AN83" s="2223"/>
      <c r="AO83" s="2223"/>
      <c r="AP83" s="2223"/>
      <c r="AQ83" s="2223"/>
      <c r="AR83" s="2223"/>
      <c r="AS83" s="2223"/>
    </row>
    <row r="84" spans="1:45" ht="15" x14ac:dyDescent="0.25">
      <c r="A84" s="2219" t="s">
        <v>5104</v>
      </c>
      <c r="B84" s="2219" t="s">
        <v>6365</v>
      </c>
      <c r="C84" s="2223"/>
      <c r="D84" s="2223">
        <f>COUNTIF(TableDiv[Agency],E84)</f>
        <v>1</v>
      </c>
      <c r="E84" s="2230" t="str" cm="1">
        <f t="array" ref="E84">IFERROR(INDEX(TableDiv[Agency],MATCH(0,INDEX(COUNTIF($E$7:E83,TableDiv[Agency]),),0)),"")</f>
        <v>U840</v>
      </c>
      <c r="F84" s="2223" t="str" cm="1">
        <f t="array" ref="F84">IF($D84&lt;COLUMNS($F$7:F$7),"",INDEX(TableDiv[[GASB]:[GASB]],_xlfn.AGGREGATE(15,3,(TableDiv[[Agency]:[Agency]]=$E84)/(TableDiv[[Agency]:[Agency]]=$E84)*(ROW(TableDiv[Agency])-ROW(TableDiv[[#Headers],[Agency]])),COLUMNS($F$7:F$7))))</f>
        <v>U84</v>
      </c>
      <c r="G84" s="2223" t="str" cm="1">
        <f t="array" ref="G84">IF($D84&lt;COLUMNS($F$7:G$7),"",INDEX(TableDiv[[GASB]:[GASB]],_xlfn.AGGREGATE(15,3,(TableDiv[[Agency]:[Agency]]=$E84)/(TableDiv[[Agency]:[Agency]]=$E84)*(ROW(TableDiv[Agency])-ROW(TableDiv[[#Headers],[Agency]])),COLUMNS($F$7:G$7))))</f>
        <v/>
      </c>
      <c r="H84" s="2223" t="str" cm="1">
        <f t="array" ref="H84">IF($D84&lt;COLUMNS($F$7:H$7),"",INDEX(TableDiv[[GASB]:[GASB]],_xlfn.AGGREGATE(15,3,(TableDiv[[Agency]:[Agency]]=$E84)/(TableDiv[[Agency]:[Agency]]=$E84)*(ROW(TableDiv[Agency])-ROW(TableDiv[[#Headers],[Agency]])),COLUMNS($F$7:H$7))))</f>
        <v/>
      </c>
      <c r="I84" s="2223" t="str" cm="1">
        <f t="array" ref="I84">IF($D84&lt;COLUMNS($F$7:I$7),"",INDEX(TableDiv[[GASB]:[GASB]],_xlfn.AGGREGATE(15,3,(TableDiv[[Agency]:[Agency]]=$E84)/(TableDiv[[Agency]:[Agency]]=$E84)*(ROW(TableDiv[Agency])-ROW(TableDiv[[#Headers],[Agency]])),COLUMNS($F$7:I$7))))</f>
        <v/>
      </c>
      <c r="J84" s="2223" t="str" cm="1">
        <f t="array" ref="J84">IF($D84&lt;COLUMNS($F$7:J$7),"",INDEX(TableDiv[[GASB]:[GASB]],_xlfn.AGGREGATE(15,3,(TableDiv[[Agency]:[Agency]]=$E84)/(TableDiv[[Agency]:[Agency]]=$E84)*(ROW(TableDiv[Agency])-ROW(TableDiv[[#Headers],[Agency]])),COLUMNS($F$7:J$7))))</f>
        <v/>
      </c>
      <c r="K84" s="2223" t="str" cm="1">
        <f t="array" ref="K84">IF($D84&lt;COLUMNS($F$7:K$7),"",INDEX(TableDiv[[GASB]:[GASB]],_xlfn.AGGREGATE(15,3,(TableDiv[[Agency]:[Agency]]=$E84)/(TableDiv[[Agency]:[Agency]]=$E84)*(ROW(TableDiv[Agency])-ROW(TableDiv[[#Headers],[Agency]])),COLUMNS($F$7:K$7))))</f>
        <v/>
      </c>
      <c r="L84" s="2223" t="str" cm="1">
        <f t="array" ref="L84">IF($D84&lt;COLUMNS($F$7:L$7),"",INDEX(TableDiv[[GASB]:[GASB]],_xlfn.AGGREGATE(15,3,(TableDiv[[Agency]:[Agency]]=$E84)/(TableDiv[[Agency]:[Agency]]=$E84)*(ROW(TableDiv[Agency])-ROW(TableDiv[[#Headers],[Agency]])),COLUMNS($F$7:L$7))))</f>
        <v/>
      </c>
      <c r="M84" s="2223" t="str" cm="1">
        <f t="array" ref="M84">IF($D84&lt;COLUMNS($F$7:M$7),"",INDEX(TableDiv[[GASB]:[GASB]],_xlfn.AGGREGATE(15,3,(TableDiv[[Agency]:[Agency]]=$E84)/(TableDiv[[Agency]:[Agency]]=$E84)*(ROW(TableDiv[Agency])-ROW(TableDiv[[#Headers],[Agency]])),COLUMNS($F$7:M$7))))</f>
        <v/>
      </c>
      <c r="N84" s="2223" t="str" cm="1">
        <f t="array" ref="N84">IF($D84&lt;COLUMNS($F$7:N$7),"",INDEX(TableDiv[[GASB]:[GASB]],_xlfn.AGGREGATE(15,3,(TableDiv[[Agency]:[Agency]]=$E84)/(TableDiv[[Agency]:[Agency]]=$E84)*(ROW(TableDiv[Agency])-ROW(TableDiv[[#Headers],[Agency]])),COLUMNS($F$7:N$7))))</f>
        <v/>
      </c>
      <c r="O84" s="2223" t="str" cm="1">
        <f t="array" ref="O84">IF($D84&lt;COLUMNS($F$7:O$7),"",INDEX(TableDiv[[GASB]:[GASB]],_xlfn.AGGREGATE(15,3,(TableDiv[[Agency]:[Agency]]=$E84)/(TableDiv[[Agency]:[Agency]]=$E84)*(ROW(TableDiv[Agency])-ROW(TableDiv[[#Headers],[Agency]])),COLUMNS($F$7:O$7))))</f>
        <v/>
      </c>
      <c r="P84" s="2223" t="str" cm="1">
        <f t="array" ref="P84">IF($D84&lt;COLUMNS($F$7:P$7),"",INDEX(TableDiv[[GASB]:[GASB]],_xlfn.AGGREGATE(15,3,(TableDiv[[Agency]:[Agency]]=$E84)/(TableDiv[[Agency]:[Agency]]=$E84)*(ROW(TableDiv[Agency])-ROW(TableDiv[[#Headers],[Agency]])),COLUMNS($F$7:P$7))))</f>
        <v/>
      </c>
      <c r="Q84" s="2223" t="str" cm="1">
        <f t="array" ref="Q84">IF($D84&lt;COLUMNS($F$7:Q$7),"",INDEX(TableDiv[[GASB]:[GASB]],_xlfn.AGGREGATE(15,3,(TableDiv[[Agency]:[Agency]]=$E84)/(TableDiv[[Agency]:[Agency]]=$E84)*(ROW(TableDiv[Agency])-ROW(TableDiv[[#Headers],[Agency]])),COLUMNS($F$7:Q$7))))</f>
        <v/>
      </c>
      <c r="R84" s="2223" t="str" cm="1">
        <f t="array" ref="R84">IF($D84&lt;COLUMNS($F$7:R$7),"",INDEX(TableDiv[[GASB]:[GASB]],_xlfn.AGGREGATE(15,3,(TableDiv[[Agency]:[Agency]]=$E84)/(TableDiv[[Agency]:[Agency]]=$E84)*(ROW(TableDiv[Agency])-ROW(TableDiv[[#Headers],[Agency]])),COLUMNS($F$7:R$7))))</f>
        <v/>
      </c>
      <c r="S84" s="2223" t="str" cm="1">
        <f t="array" ref="S84">IF($D84&lt;COLUMNS($F$7:S$7),"",INDEX(TableDiv[[GASB]:[GASB]],_xlfn.AGGREGATE(15,3,(TableDiv[[Agency]:[Agency]]=$E84)/(TableDiv[[Agency]:[Agency]]=$E84)*(ROW(TableDiv[Agency])-ROW(TableDiv[[#Headers],[Agency]])),COLUMNS($F$7:S$7))))</f>
        <v/>
      </c>
      <c r="T84" s="2223" t="str" cm="1">
        <f t="array" ref="T84">IF($D84&lt;COLUMNS($F$7:T$7),"",INDEX(TableDiv[[GASB]:[GASB]],_xlfn.AGGREGATE(15,3,(TableDiv[[Agency]:[Agency]]=$E84)/(TableDiv[[Agency]:[Agency]]=$E84)*(ROW(TableDiv[Agency])-ROW(TableDiv[[#Headers],[Agency]])),COLUMNS($F$7:T$7))))</f>
        <v/>
      </c>
      <c r="U84" s="2223" t="str" cm="1">
        <f t="array" ref="U84">IF($D84&lt;COLUMNS($F$7:U$7),"",INDEX(TableDiv[[GASB]:[GASB]],_xlfn.AGGREGATE(15,3,(TableDiv[[Agency]:[Agency]]=$E84)/(TableDiv[[Agency]:[Agency]]=$E84)*(ROW(TableDiv[Agency])-ROW(TableDiv[[#Headers],[Agency]])),COLUMNS($F$7:U$7))))</f>
        <v/>
      </c>
      <c r="V84" s="2223" t="str" cm="1">
        <f t="array" ref="V84">IF($D84&lt;COLUMNS($F$7:V$7),"",INDEX(TableDiv[[GASB]:[GASB]],_xlfn.AGGREGATE(15,3,(TableDiv[[Agency]:[Agency]]=$E84)/(TableDiv[[Agency]:[Agency]]=$E84)*(ROW(TableDiv[Agency])-ROW(TableDiv[[#Headers],[Agency]])),COLUMNS($F$7:V$7))))</f>
        <v/>
      </c>
      <c r="W84" s="2223" t="str" cm="1">
        <f t="array" ref="W84">IF($D84&lt;COLUMNS($F$7:W$7),"",INDEX(TableDiv[[GASB]:[GASB]],_xlfn.AGGREGATE(15,3,(TableDiv[[Agency]:[Agency]]=$E84)/(TableDiv[[Agency]:[Agency]]=$E84)*(ROW(TableDiv[Agency])-ROW(TableDiv[[#Headers],[Agency]])),COLUMNS($F$7:W$7))))</f>
        <v/>
      </c>
      <c r="X84" s="2223" t="str" cm="1">
        <f t="array" ref="X84">IF($D84&lt;COLUMNS($F$7:X$7),"",INDEX(TableDiv[[GASB]:[GASB]],_xlfn.AGGREGATE(15,3,(TableDiv[[Agency]:[Agency]]=$E84)/(TableDiv[[Agency]:[Agency]]=$E84)*(ROW(TableDiv[Agency])-ROW(TableDiv[[#Headers],[Agency]])),COLUMNS($F$7:X$7))))</f>
        <v/>
      </c>
      <c r="Y84" s="2223" t="str" cm="1">
        <f t="array" ref="Y84">IF($D84&lt;COLUMNS($F$7:Y$7),"",INDEX(TableDiv[[GASB]:[GASB]],_xlfn.AGGREGATE(15,3,(TableDiv[[Agency]:[Agency]]=$E84)/(TableDiv[[Agency]:[Agency]]=$E84)*(ROW(TableDiv[Agency])-ROW(TableDiv[[#Headers],[Agency]])),COLUMNS($F$7:Y$7))))</f>
        <v/>
      </c>
      <c r="Z84" s="2223" t="str" cm="1">
        <f t="array" ref="Z84">IF($D84&lt;COLUMNS($F$7:Z$7),"",INDEX(TableDiv[[GASB]:[GASB]],_xlfn.AGGREGATE(15,3,(TableDiv[[Agency]:[Agency]]=$E84)/(TableDiv[[Agency]:[Agency]]=$E84)*(ROW(TableDiv[Agency])-ROW(TableDiv[[#Headers],[Agency]])),COLUMNS($F$7:Z$7))))</f>
        <v/>
      </c>
      <c r="AA84" s="2223" t="str" cm="1">
        <f t="array" ref="AA84">IF($D84&lt;COLUMNS($F$7:AA$7),"",INDEX(TableDiv[[GASB]:[GASB]],_xlfn.AGGREGATE(15,3,(TableDiv[[Agency]:[Agency]]=$E84)/(TableDiv[[Agency]:[Agency]]=$E84)*(ROW(TableDiv[Agency])-ROW(TableDiv[[#Headers],[Agency]])),COLUMNS($F$7:AA$7))))</f>
        <v/>
      </c>
      <c r="AB84" s="2223" t="str" cm="1">
        <f t="array" ref="AB84">IF($D84&lt;COLUMNS($F$7:AB$7),"",INDEX(TableDiv[[GASB]:[GASB]],_xlfn.AGGREGATE(15,3,(TableDiv[[Agency]:[Agency]]=$E84)/(TableDiv[[Agency]:[Agency]]=$E84)*(ROW(TableDiv[Agency])-ROW(TableDiv[[#Headers],[Agency]])),COLUMNS($F$7:AB$7))))</f>
        <v/>
      </c>
      <c r="AC84" s="2223" t="str" cm="1">
        <f t="array" ref="AC84">IF($D84&lt;COLUMNS($F$7:AC$7),"",INDEX(TableDiv[[GASB]:[GASB]],_xlfn.AGGREGATE(15,3,(TableDiv[[Agency]:[Agency]]=$E84)/(TableDiv[[Agency]:[Agency]]=$E84)*(ROW(TableDiv[Agency])-ROW(TableDiv[[#Headers],[Agency]])),COLUMNS($F$7:AC$7))))</f>
        <v/>
      </c>
      <c r="AD84" s="2223" t="str" cm="1">
        <f t="array" ref="AD84">IF($D84&lt;COLUMNS($F$7:AD$7),"",INDEX(TableDiv[[GASB]:[GASB]],_xlfn.AGGREGATE(15,3,(TableDiv[[Agency]:[Agency]]=$E84)/(TableDiv[[Agency]:[Agency]]=$E84)*(ROW(TableDiv[Agency])-ROW(TableDiv[[#Headers],[Agency]])),COLUMNS($F$7:AD$7))))</f>
        <v/>
      </c>
      <c r="AE84" s="2223" t="str" cm="1">
        <f t="array" ref="AE84">IF($D84&lt;COLUMNS($F$7:AE$7),"",INDEX(TableDiv[[GASB]:[GASB]],_xlfn.AGGREGATE(15,3,(TableDiv[[Agency]:[Agency]]=$E84)/(TableDiv[[Agency]:[Agency]]=$E84)*(ROW(TableDiv[Agency])-ROW(TableDiv[[#Headers],[Agency]])),COLUMNS($F$7:AE$7))))</f>
        <v/>
      </c>
      <c r="AF84" s="2223" t="str" cm="1">
        <f t="array" ref="AF84">IF($D84&lt;COLUMNS($F$7:AF$7),"",INDEX(TableDiv[[GASB]:[GASB]],_xlfn.AGGREGATE(15,3,(TableDiv[[Agency]:[Agency]]=$E84)/(TableDiv[[Agency]:[Agency]]=$E84)*(ROW(TableDiv[Agency])-ROW(TableDiv[[#Headers],[Agency]])),COLUMNS($F$7:AF$7))))</f>
        <v/>
      </c>
      <c r="AG84" s="2223" t="str" cm="1">
        <f t="array" ref="AG84">IF($D84&lt;COLUMNS($F$7:AG$7),"",INDEX(TableDiv[[GASB]:[GASB]],_xlfn.AGGREGATE(15,3,(TableDiv[[Agency]:[Agency]]=$E84)/(TableDiv[[Agency]:[Agency]]=$E84)*(ROW(TableDiv[Agency])-ROW(TableDiv[[#Headers],[Agency]])),COLUMNS($F$7:AG$7))))</f>
        <v/>
      </c>
      <c r="AH84" s="2223" t="str" cm="1">
        <f t="array" ref="AH84">IF($D84&lt;COLUMNS($F$7:AH$7),"",INDEX(TableDiv[[GASB]:[GASB]],_xlfn.AGGREGATE(15,3,(TableDiv[[Agency]:[Agency]]=$E84)/(TableDiv[[Agency]:[Agency]]=$E84)*(ROW(TableDiv[Agency])-ROW(TableDiv[[#Headers],[Agency]])),COLUMNS($F$7:AH$7))))</f>
        <v/>
      </c>
      <c r="AI84" s="2223" t="str" cm="1">
        <f t="array" ref="AI84">IF($D84&lt;COLUMNS($F$7:AI$7),"",INDEX(TableDiv[[GASB]:[GASB]],_xlfn.AGGREGATE(15,3,(TableDiv[[Agency]:[Agency]]=$E84)/(TableDiv[[Agency]:[Agency]]=$E84)*(ROW(TableDiv[Agency])-ROW(TableDiv[[#Headers],[Agency]])),COLUMNS($F$7:AI$7))))</f>
        <v/>
      </c>
      <c r="AJ84" s="2223" t="str" cm="1">
        <f t="array" ref="AJ84">IF($D84&lt;COLUMNS($F$7:AJ$7),"",INDEX(TableDiv[[GASB]:[GASB]],_xlfn.AGGREGATE(15,3,(TableDiv[[Agency]:[Agency]]=$E84)/(TableDiv[[Agency]:[Agency]]=$E84)*(ROW(TableDiv[Agency])-ROW(TableDiv[[#Headers],[Agency]])),COLUMNS($F$7:AJ$7))))</f>
        <v/>
      </c>
      <c r="AK84" s="2223" t="str" cm="1">
        <f t="array" ref="AK84">IF($D84&lt;COLUMNS($F$7:AK$7),"",INDEX(TableDiv[[GASB]:[GASB]],_xlfn.AGGREGATE(15,3,(TableDiv[[Agency]:[Agency]]=$E84)/(TableDiv[[Agency]:[Agency]]=$E84)*(ROW(TableDiv[Agency])-ROW(TableDiv[[#Headers],[Agency]])),COLUMNS($F$7:AK$7))))</f>
        <v/>
      </c>
      <c r="AL84" s="2223" t="str" cm="1">
        <f t="array" ref="AL84">IF($D84&lt;COLUMNS($F$7:AL$7),"",INDEX(TableDiv[[GASB]:[GASB]],_xlfn.AGGREGATE(15,3,(TableDiv[[Agency]:[Agency]]=$E84)/(TableDiv[[Agency]:[Agency]]=$E84)*(ROW(TableDiv[Agency])-ROW(TableDiv[[#Headers],[Agency]])),COLUMNS($F$7:AL$7))))</f>
        <v/>
      </c>
      <c r="AM84" s="2223" t="str" cm="1">
        <f t="array" ref="AM84">IF($D84&lt;COLUMNS($F$7:AM$7),"",INDEX(TableDiv[[GASB]:[GASB]],_xlfn.AGGREGATE(15,3,(TableDiv[[Agency]:[Agency]]=$E84)/(TableDiv[[Agency]:[Agency]]=$E84)*(ROW(TableDiv[Agency])-ROW(TableDiv[[#Headers],[Agency]])),COLUMNS($F$7:AM$7))))</f>
        <v/>
      </c>
      <c r="AN84" s="2223"/>
      <c r="AO84" s="2223"/>
      <c r="AP84" s="2223"/>
      <c r="AQ84" s="2223"/>
      <c r="AR84" s="2223"/>
      <c r="AS84" s="2223"/>
    </row>
    <row r="85" spans="1:45" ht="15" x14ac:dyDescent="0.25">
      <c r="A85" s="2219" t="s">
        <v>5104</v>
      </c>
      <c r="B85" s="2219" t="s">
        <v>6372</v>
      </c>
      <c r="C85" s="2223"/>
      <c r="D85" s="2223">
        <f>COUNTIF(TableDiv[Agency],E85)</f>
        <v>1</v>
      </c>
      <c r="E85" s="2230" t="str" cm="1">
        <f t="array" ref="E85">IFERROR(INDEX(TableDiv[Agency],MATCH(0,INDEX(COUNTIF($E$7:E84,TableDiv[Agency]),),0)),"")</f>
        <v>U860</v>
      </c>
      <c r="F85" s="2223" t="str" cm="1">
        <f t="array" ref="F85">IF($D85&lt;COLUMNS($F$7:F$7),"",INDEX(TableDiv[[GASB]:[GASB]],_xlfn.AGGREGATE(15,3,(TableDiv[[Agency]:[Agency]]=$E85)/(TableDiv[[Agency]:[Agency]]=$E85)*(ROW(TableDiv[Agency])-ROW(TableDiv[[#Headers],[Agency]])),COLUMNS($F$7:F$7))))</f>
        <v>U86</v>
      </c>
      <c r="G85" s="2223" t="str" cm="1">
        <f t="array" ref="G85">IF($D85&lt;COLUMNS($F$7:G$7),"",INDEX(TableDiv[[GASB]:[GASB]],_xlfn.AGGREGATE(15,3,(TableDiv[[Agency]:[Agency]]=$E85)/(TableDiv[[Agency]:[Agency]]=$E85)*(ROW(TableDiv[Agency])-ROW(TableDiv[[#Headers],[Agency]])),COLUMNS($F$7:G$7))))</f>
        <v/>
      </c>
      <c r="H85" s="2223" t="str" cm="1">
        <f t="array" ref="H85">IF($D85&lt;COLUMNS($F$7:H$7),"",INDEX(TableDiv[[GASB]:[GASB]],_xlfn.AGGREGATE(15,3,(TableDiv[[Agency]:[Agency]]=$E85)/(TableDiv[[Agency]:[Agency]]=$E85)*(ROW(TableDiv[Agency])-ROW(TableDiv[[#Headers],[Agency]])),COLUMNS($F$7:H$7))))</f>
        <v/>
      </c>
      <c r="I85" s="2223" t="str" cm="1">
        <f t="array" ref="I85">IF($D85&lt;COLUMNS($F$7:I$7),"",INDEX(TableDiv[[GASB]:[GASB]],_xlfn.AGGREGATE(15,3,(TableDiv[[Agency]:[Agency]]=$E85)/(TableDiv[[Agency]:[Agency]]=$E85)*(ROW(TableDiv[Agency])-ROW(TableDiv[[#Headers],[Agency]])),COLUMNS($F$7:I$7))))</f>
        <v/>
      </c>
      <c r="J85" s="2223" t="str" cm="1">
        <f t="array" ref="J85">IF($D85&lt;COLUMNS($F$7:J$7),"",INDEX(TableDiv[[GASB]:[GASB]],_xlfn.AGGREGATE(15,3,(TableDiv[[Agency]:[Agency]]=$E85)/(TableDiv[[Agency]:[Agency]]=$E85)*(ROW(TableDiv[Agency])-ROW(TableDiv[[#Headers],[Agency]])),COLUMNS($F$7:J$7))))</f>
        <v/>
      </c>
      <c r="K85" s="2223" t="str" cm="1">
        <f t="array" ref="K85">IF($D85&lt;COLUMNS($F$7:K$7),"",INDEX(TableDiv[[GASB]:[GASB]],_xlfn.AGGREGATE(15,3,(TableDiv[[Agency]:[Agency]]=$E85)/(TableDiv[[Agency]:[Agency]]=$E85)*(ROW(TableDiv[Agency])-ROW(TableDiv[[#Headers],[Agency]])),COLUMNS($F$7:K$7))))</f>
        <v/>
      </c>
      <c r="L85" s="2223" t="str" cm="1">
        <f t="array" ref="L85">IF($D85&lt;COLUMNS($F$7:L$7),"",INDEX(TableDiv[[GASB]:[GASB]],_xlfn.AGGREGATE(15,3,(TableDiv[[Agency]:[Agency]]=$E85)/(TableDiv[[Agency]:[Agency]]=$E85)*(ROW(TableDiv[Agency])-ROW(TableDiv[[#Headers],[Agency]])),COLUMNS($F$7:L$7))))</f>
        <v/>
      </c>
      <c r="M85" s="2223" t="str" cm="1">
        <f t="array" ref="M85">IF($D85&lt;COLUMNS($F$7:M$7),"",INDEX(TableDiv[[GASB]:[GASB]],_xlfn.AGGREGATE(15,3,(TableDiv[[Agency]:[Agency]]=$E85)/(TableDiv[[Agency]:[Agency]]=$E85)*(ROW(TableDiv[Agency])-ROW(TableDiv[[#Headers],[Agency]])),COLUMNS($F$7:M$7))))</f>
        <v/>
      </c>
      <c r="N85" s="2223" t="str" cm="1">
        <f t="array" ref="N85">IF($D85&lt;COLUMNS($F$7:N$7),"",INDEX(TableDiv[[GASB]:[GASB]],_xlfn.AGGREGATE(15,3,(TableDiv[[Agency]:[Agency]]=$E85)/(TableDiv[[Agency]:[Agency]]=$E85)*(ROW(TableDiv[Agency])-ROW(TableDiv[[#Headers],[Agency]])),COLUMNS($F$7:N$7))))</f>
        <v/>
      </c>
      <c r="O85" s="2223" t="str" cm="1">
        <f t="array" ref="O85">IF($D85&lt;COLUMNS($F$7:O$7),"",INDEX(TableDiv[[GASB]:[GASB]],_xlfn.AGGREGATE(15,3,(TableDiv[[Agency]:[Agency]]=$E85)/(TableDiv[[Agency]:[Agency]]=$E85)*(ROW(TableDiv[Agency])-ROW(TableDiv[[#Headers],[Agency]])),COLUMNS($F$7:O$7))))</f>
        <v/>
      </c>
      <c r="P85" s="2223" t="str" cm="1">
        <f t="array" ref="P85">IF($D85&lt;COLUMNS($F$7:P$7),"",INDEX(TableDiv[[GASB]:[GASB]],_xlfn.AGGREGATE(15,3,(TableDiv[[Agency]:[Agency]]=$E85)/(TableDiv[[Agency]:[Agency]]=$E85)*(ROW(TableDiv[Agency])-ROW(TableDiv[[#Headers],[Agency]])),COLUMNS($F$7:P$7))))</f>
        <v/>
      </c>
      <c r="Q85" s="2223" t="str" cm="1">
        <f t="array" ref="Q85">IF($D85&lt;COLUMNS($F$7:Q$7),"",INDEX(TableDiv[[GASB]:[GASB]],_xlfn.AGGREGATE(15,3,(TableDiv[[Agency]:[Agency]]=$E85)/(TableDiv[[Agency]:[Agency]]=$E85)*(ROW(TableDiv[Agency])-ROW(TableDiv[[#Headers],[Agency]])),COLUMNS($F$7:Q$7))))</f>
        <v/>
      </c>
      <c r="R85" s="2223" t="str" cm="1">
        <f t="array" ref="R85">IF($D85&lt;COLUMNS($F$7:R$7),"",INDEX(TableDiv[[GASB]:[GASB]],_xlfn.AGGREGATE(15,3,(TableDiv[[Agency]:[Agency]]=$E85)/(TableDiv[[Agency]:[Agency]]=$E85)*(ROW(TableDiv[Agency])-ROW(TableDiv[[#Headers],[Agency]])),COLUMNS($F$7:R$7))))</f>
        <v/>
      </c>
      <c r="S85" s="2223" t="str" cm="1">
        <f t="array" ref="S85">IF($D85&lt;COLUMNS($F$7:S$7),"",INDEX(TableDiv[[GASB]:[GASB]],_xlfn.AGGREGATE(15,3,(TableDiv[[Agency]:[Agency]]=$E85)/(TableDiv[[Agency]:[Agency]]=$E85)*(ROW(TableDiv[Agency])-ROW(TableDiv[[#Headers],[Agency]])),COLUMNS($F$7:S$7))))</f>
        <v/>
      </c>
      <c r="T85" s="2223" t="str" cm="1">
        <f t="array" ref="T85">IF($D85&lt;COLUMNS($F$7:T$7),"",INDEX(TableDiv[[GASB]:[GASB]],_xlfn.AGGREGATE(15,3,(TableDiv[[Agency]:[Agency]]=$E85)/(TableDiv[[Agency]:[Agency]]=$E85)*(ROW(TableDiv[Agency])-ROW(TableDiv[[#Headers],[Agency]])),COLUMNS($F$7:T$7))))</f>
        <v/>
      </c>
      <c r="U85" s="2223" t="str" cm="1">
        <f t="array" ref="U85">IF($D85&lt;COLUMNS($F$7:U$7),"",INDEX(TableDiv[[GASB]:[GASB]],_xlfn.AGGREGATE(15,3,(TableDiv[[Agency]:[Agency]]=$E85)/(TableDiv[[Agency]:[Agency]]=$E85)*(ROW(TableDiv[Agency])-ROW(TableDiv[[#Headers],[Agency]])),COLUMNS($F$7:U$7))))</f>
        <v/>
      </c>
      <c r="V85" s="2223" t="str" cm="1">
        <f t="array" ref="V85">IF($D85&lt;COLUMNS($F$7:V$7),"",INDEX(TableDiv[[GASB]:[GASB]],_xlfn.AGGREGATE(15,3,(TableDiv[[Agency]:[Agency]]=$E85)/(TableDiv[[Agency]:[Agency]]=$E85)*(ROW(TableDiv[Agency])-ROW(TableDiv[[#Headers],[Agency]])),COLUMNS($F$7:V$7))))</f>
        <v/>
      </c>
      <c r="W85" s="2223" t="str" cm="1">
        <f t="array" ref="W85">IF($D85&lt;COLUMNS($F$7:W$7),"",INDEX(TableDiv[[GASB]:[GASB]],_xlfn.AGGREGATE(15,3,(TableDiv[[Agency]:[Agency]]=$E85)/(TableDiv[[Agency]:[Agency]]=$E85)*(ROW(TableDiv[Agency])-ROW(TableDiv[[#Headers],[Agency]])),COLUMNS($F$7:W$7))))</f>
        <v/>
      </c>
      <c r="X85" s="2223" t="str" cm="1">
        <f t="array" ref="X85">IF($D85&lt;COLUMNS($F$7:X$7),"",INDEX(TableDiv[[GASB]:[GASB]],_xlfn.AGGREGATE(15,3,(TableDiv[[Agency]:[Agency]]=$E85)/(TableDiv[[Agency]:[Agency]]=$E85)*(ROW(TableDiv[Agency])-ROW(TableDiv[[#Headers],[Agency]])),COLUMNS($F$7:X$7))))</f>
        <v/>
      </c>
      <c r="Y85" s="2223" t="str" cm="1">
        <f t="array" ref="Y85">IF($D85&lt;COLUMNS($F$7:Y$7),"",INDEX(TableDiv[[GASB]:[GASB]],_xlfn.AGGREGATE(15,3,(TableDiv[[Agency]:[Agency]]=$E85)/(TableDiv[[Agency]:[Agency]]=$E85)*(ROW(TableDiv[Agency])-ROW(TableDiv[[#Headers],[Agency]])),COLUMNS($F$7:Y$7))))</f>
        <v/>
      </c>
      <c r="Z85" s="2223" t="str" cm="1">
        <f t="array" ref="Z85">IF($D85&lt;COLUMNS($F$7:Z$7),"",INDEX(TableDiv[[GASB]:[GASB]],_xlfn.AGGREGATE(15,3,(TableDiv[[Agency]:[Agency]]=$E85)/(TableDiv[[Agency]:[Agency]]=$E85)*(ROW(TableDiv[Agency])-ROW(TableDiv[[#Headers],[Agency]])),COLUMNS($F$7:Z$7))))</f>
        <v/>
      </c>
      <c r="AA85" s="2223" t="str" cm="1">
        <f t="array" ref="AA85">IF($D85&lt;COLUMNS($F$7:AA$7),"",INDEX(TableDiv[[GASB]:[GASB]],_xlfn.AGGREGATE(15,3,(TableDiv[[Agency]:[Agency]]=$E85)/(TableDiv[[Agency]:[Agency]]=$E85)*(ROW(TableDiv[Agency])-ROW(TableDiv[[#Headers],[Agency]])),COLUMNS($F$7:AA$7))))</f>
        <v/>
      </c>
      <c r="AB85" s="2223" t="str" cm="1">
        <f t="array" ref="AB85">IF($D85&lt;COLUMNS($F$7:AB$7),"",INDEX(TableDiv[[GASB]:[GASB]],_xlfn.AGGREGATE(15,3,(TableDiv[[Agency]:[Agency]]=$E85)/(TableDiv[[Agency]:[Agency]]=$E85)*(ROW(TableDiv[Agency])-ROW(TableDiv[[#Headers],[Agency]])),COLUMNS($F$7:AB$7))))</f>
        <v/>
      </c>
      <c r="AC85" s="2223" t="str" cm="1">
        <f t="array" ref="AC85">IF($D85&lt;COLUMNS($F$7:AC$7),"",INDEX(TableDiv[[GASB]:[GASB]],_xlfn.AGGREGATE(15,3,(TableDiv[[Agency]:[Agency]]=$E85)/(TableDiv[[Agency]:[Agency]]=$E85)*(ROW(TableDiv[Agency])-ROW(TableDiv[[#Headers],[Agency]])),COLUMNS($F$7:AC$7))))</f>
        <v/>
      </c>
      <c r="AD85" s="2223" t="str" cm="1">
        <f t="array" ref="AD85">IF($D85&lt;COLUMNS($F$7:AD$7),"",INDEX(TableDiv[[GASB]:[GASB]],_xlfn.AGGREGATE(15,3,(TableDiv[[Agency]:[Agency]]=$E85)/(TableDiv[[Agency]:[Agency]]=$E85)*(ROW(TableDiv[Agency])-ROW(TableDiv[[#Headers],[Agency]])),COLUMNS($F$7:AD$7))))</f>
        <v/>
      </c>
      <c r="AE85" s="2223" t="str" cm="1">
        <f t="array" ref="AE85">IF($D85&lt;COLUMNS($F$7:AE$7),"",INDEX(TableDiv[[GASB]:[GASB]],_xlfn.AGGREGATE(15,3,(TableDiv[[Agency]:[Agency]]=$E85)/(TableDiv[[Agency]:[Agency]]=$E85)*(ROW(TableDiv[Agency])-ROW(TableDiv[[#Headers],[Agency]])),COLUMNS($F$7:AE$7))))</f>
        <v/>
      </c>
      <c r="AF85" s="2223" t="str" cm="1">
        <f t="array" ref="AF85">IF($D85&lt;COLUMNS($F$7:AF$7),"",INDEX(TableDiv[[GASB]:[GASB]],_xlfn.AGGREGATE(15,3,(TableDiv[[Agency]:[Agency]]=$E85)/(TableDiv[[Agency]:[Agency]]=$E85)*(ROW(TableDiv[Agency])-ROW(TableDiv[[#Headers],[Agency]])),COLUMNS($F$7:AF$7))))</f>
        <v/>
      </c>
      <c r="AG85" s="2223" t="str" cm="1">
        <f t="array" ref="AG85">IF($D85&lt;COLUMNS($F$7:AG$7),"",INDEX(TableDiv[[GASB]:[GASB]],_xlfn.AGGREGATE(15,3,(TableDiv[[Agency]:[Agency]]=$E85)/(TableDiv[[Agency]:[Agency]]=$E85)*(ROW(TableDiv[Agency])-ROW(TableDiv[[#Headers],[Agency]])),COLUMNS($F$7:AG$7))))</f>
        <v/>
      </c>
      <c r="AH85" s="2223" t="str" cm="1">
        <f t="array" ref="AH85">IF($D85&lt;COLUMNS($F$7:AH$7),"",INDEX(TableDiv[[GASB]:[GASB]],_xlfn.AGGREGATE(15,3,(TableDiv[[Agency]:[Agency]]=$E85)/(TableDiv[[Agency]:[Agency]]=$E85)*(ROW(TableDiv[Agency])-ROW(TableDiv[[#Headers],[Agency]])),COLUMNS($F$7:AH$7))))</f>
        <v/>
      </c>
      <c r="AI85" s="2223" t="str" cm="1">
        <f t="array" ref="AI85">IF($D85&lt;COLUMNS($F$7:AI$7),"",INDEX(TableDiv[[GASB]:[GASB]],_xlfn.AGGREGATE(15,3,(TableDiv[[Agency]:[Agency]]=$E85)/(TableDiv[[Agency]:[Agency]]=$E85)*(ROW(TableDiv[Agency])-ROW(TableDiv[[#Headers],[Agency]])),COLUMNS($F$7:AI$7))))</f>
        <v/>
      </c>
      <c r="AJ85" s="2223" t="str" cm="1">
        <f t="array" ref="AJ85">IF($D85&lt;COLUMNS($F$7:AJ$7),"",INDEX(TableDiv[[GASB]:[GASB]],_xlfn.AGGREGATE(15,3,(TableDiv[[Agency]:[Agency]]=$E85)/(TableDiv[[Agency]:[Agency]]=$E85)*(ROW(TableDiv[Agency])-ROW(TableDiv[[#Headers],[Agency]])),COLUMNS($F$7:AJ$7))))</f>
        <v/>
      </c>
      <c r="AK85" s="2223" t="str" cm="1">
        <f t="array" ref="AK85">IF($D85&lt;COLUMNS($F$7:AK$7),"",INDEX(TableDiv[[GASB]:[GASB]],_xlfn.AGGREGATE(15,3,(TableDiv[[Agency]:[Agency]]=$E85)/(TableDiv[[Agency]:[Agency]]=$E85)*(ROW(TableDiv[Agency])-ROW(TableDiv[[#Headers],[Agency]])),COLUMNS($F$7:AK$7))))</f>
        <v/>
      </c>
      <c r="AL85" s="2223" t="str" cm="1">
        <f t="array" ref="AL85">IF($D85&lt;COLUMNS($F$7:AL$7),"",INDEX(TableDiv[[GASB]:[GASB]],_xlfn.AGGREGATE(15,3,(TableDiv[[Agency]:[Agency]]=$E85)/(TableDiv[[Agency]:[Agency]]=$E85)*(ROW(TableDiv[Agency])-ROW(TableDiv[[#Headers],[Agency]])),COLUMNS($F$7:AL$7))))</f>
        <v/>
      </c>
      <c r="AM85" s="2223" t="str" cm="1">
        <f t="array" ref="AM85">IF($D85&lt;COLUMNS($F$7:AM$7),"",INDEX(TableDiv[[GASB]:[GASB]],_xlfn.AGGREGATE(15,3,(TableDiv[[Agency]:[Agency]]=$E85)/(TableDiv[[Agency]:[Agency]]=$E85)*(ROW(TableDiv[Agency])-ROW(TableDiv[[#Headers],[Agency]])),COLUMNS($F$7:AM$7))))</f>
        <v/>
      </c>
      <c r="AN85" s="2223"/>
      <c r="AO85" s="2223"/>
      <c r="AP85" s="2223"/>
      <c r="AQ85" s="2223"/>
      <c r="AR85" s="2223"/>
      <c r="AS85" s="2223"/>
    </row>
    <row r="86" spans="1:45" ht="15" x14ac:dyDescent="0.25">
      <c r="A86" s="2219" t="s">
        <v>5104</v>
      </c>
      <c r="B86" s="2219" t="s">
        <v>6406</v>
      </c>
      <c r="C86" s="2223"/>
      <c r="D86" s="2223">
        <f>COUNTIF(TableDiv[Agency],E86)</f>
        <v>1</v>
      </c>
      <c r="E86" s="2230" t="str" cm="1">
        <f t="array" ref="E86">IFERROR(INDEX(TableDiv[Agency],MATCH(0,INDEX(COUNTIF($E$7:E85,TableDiv[Agency]),),0)),"")</f>
        <v>U880</v>
      </c>
      <c r="F86" s="2223" t="str" cm="1">
        <f t="array" ref="F86">IF($D86&lt;COLUMNS($F$7:F$7),"",INDEX(TableDiv[[GASB]:[GASB]],_xlfn.AGGREGATE(15,3,(TableDiv[[Agency]:[Agency]]=$E86)/(TableDiv[[Agency]:[Agency]]=$E86)*(ROW(TableDiv[Agency])-ROW(TableDiv[[#Headers],[Agency]])),COLUMNS($F$7:F$7))))</f>
        <v>U88</v>
      </c>
      <c r="G86" s="2223" t="str" cm="1">
        <f t="array" ref="G86">IF($D86&lt;COLUMNS($F$7:G$7),"",INDEX(TableDiv[[GASB]:[GASB]],_xlfn.AGGREGATE(15,3,(TableDiv[[Agency]:[Agency]]=$E86)/(TableDiv[[Agency]:[Agency]]=$E86)*(ROW(TableDiv[Agency])-ROW(TableDiv[[#Headers],[Agency]])),COLUMNS($F$7:G$7))))</f>
        <v/>
      </c>
      <c r="H86" s="2223" t="str" cm="1">
        <f t="array" ref="H86">IF($D86&lt;COLUMNS($F$7:H$7),"",INDEX(TableDiv[[GASB]:[GASB]],_xlfn.AGGREGATE(15,3,(TableDiv[[Agency]:[Agency]]=$E86)/(TableDiv[[Agency]:[Agency]]=$E86)*(ROW(TableDiv[Agency])-ROW(TableDiv[[#Headers],[Agency]])),COLUMNS($F$7:H$7))))</f>
        <v/>
      </c>
      <c r="I86" s="2223" t="str" cm="1">
        <f t="array" ref="I86">IF($D86&lt;COLUMNS($F$7:I$7),"",INDEX(TableDiv[[GASB]:[GASB]],_xlfn.AGGREGATE(15,3,(TableDiv[[Agency]:[Agency]]=$E86)/(TableDiv[[Agency]:[Agency]]=$E86)*(ROW(TableDiv[Agency])-ROW(TableDiv[[#Headers],[Agency]])),COLUMNS($F$7:I$7))))</f>
        <v/>
      </c>
      <c r="J86" s="2223" t="str" cm="1">
        <f t="array" ref="J86">IF($D86&lt;COLUMNS($F$7:J$7),"",INDEX(TableDiv[[GASB]:[GASB]],_xlfn.AGGREGATE(15,3,(TableDiv[[Agency]:[Agency]]=$E86)/(TableDiv[[Agency]:[Agency]]=$E86)*(ROW(TableDiv[Agency])-ROW(TableDiv[[#Headers],[Agency]])),COLUMNS($F$7:J$7))))</f>
        <v/>
      </c>
      <c r="K86" s="2223" t="str" cm="1">
        <f t="array" ref="K86">IF($D86&lt;COLUMNS($F$7:K$7),"",INDEX(TableDiv[[GASB]:[GASB]],_xlfn.AGGREGATE(15,3,(TableDiv[[Agency]:[Agency]]=$E86)/(TableDiv[[Agency]:[Agency]]=$E86)*(ROW(TableDiv[Agency])-ROW(TableDiv[[#Headers],[Agency]])),COLUMNS($F$7:K$7))))</f>
        <v/>
      </c>
      <c r="L86" s="2223" t="str" cm="1">
        <f t="array" ref="L86">IF($D86&lt;COLUMNS($F$7:L$7),"",INDEX(TableDiv[[GASB]:[GASB]],_xlfn.AGGREGATE(15,3,(TableDiv[[Agency]:[Agency]]=$E86)/(TableDiv[[Agency]:[Agency]]=$E86)*(ROW(TableDiv[Agency])-ROW(TableDiv[[#Headers],[Agency]])),COLUMNS($F$7:L$7))))</f>
        <v/>
      </c>
      <c r="M86" s="2223" t="str" cm="1">
        <f t="array" ref="M86">IF($D86&lt;COLUMNS($F$7:M$7),"",INDEX(TableDiv[[GASB]:[GASB]],_xlfn.AGGREGATE(15,3,(TableDiv[[Agency]:[Agency]]=$E86)/(TableDiv[[Agency]:[Agency]]=$E86)*(ROW(TableDiv[Agency])-ROW(TableDiv[[#Headers],[Agency]])),COLUMNS($F$7:M$7))))</f>
        <v/>
      </c>
      <c r="N86" s="2223" t="str" cm="1">
        <f t="array" ref="N86">IF($D86&lt;COLUMNS($F$7:N$7),"",INDEX(TableDiv[[GASB]:[GASB]],_xlfn.AGGREGATE(15,3,(TableDiv[[Agency]:[Agency]]=$E86)/(TableDiv[[Agency]:[Agency]]=$E86)*(ROW(TableDiv[Agency])-ROW(TableDiv[[#Headers],[Agency]])),COLUMNS($F$7:N$7))))</f>
        <v/>
      </c>
      <c r="O86" s="2223" t="str" cm="1">
        <f t="array" ref="O86">IF($D86&lt;COLUMNS($F$7:O$7),"",INDEX(TableDiv[[GASB]:[GASB]],_xlfn.AGGREGATE(15,3,(TableDiv[[Agency]:[Agency]]=$E86)/(TableDiv[[Agency]:[Agency]]=$E86)*(ROW(TableDiv[Agency])-ROW(TableDiv[[#Headers],[Agency]])),COLUMNS($F$7:O$7))))</f>
        <v/>
      </c>
      <c r="P86" s="2223" t="str" cm="1">
        <f t="array" ref="P86">IF($D86&lt;COLUMNS($F$7:P$7),"",INDEX(TableDiv[[GASB]:[GASB]],_xlfn.AGGREGATE(15,3,(TableDiv[[Agency]:[Agency]]=$E86)/(TableDiv[[Agency]:[Agency]]=$E86)*(ROW(TableDiv[Agency])-ROW(TableDiv[[#Headers],[Agency]])),COLUMNS($F$7:P$7))))</f>
        <v/>
      </c>
      <c r="Q86" s="2223" t="str" cm="1">
        <f t="array" ref="Q86">IF($D86&lt;COLUMNS($F$7:Q$7),"",INDEX(TableDiv[[GASB]:[GASB]],_xlfn.AGGREGATE(15,3,(TableDiv[[Agency]:[Agency]]=$E86)/(TableDiv[[Agency]:[Agency]]=$E86)*(ROW(TableDiv[Agency])-ROW(TableDiv[[#Headers],[Agency]])),COLUMNS($F$7:Q$7))))</f>
        <v/>
      </c>
      <c r="R86" s="2223" t="str" cm="1">
        <f t="array" ref="R86">IF($D86&lt;COLUMNS($F$7:R$7),"",INDEX(TableDiv[[GASB]:[GASB]],_xlfn.AGGREGATE(15,3,(TableDiv[[Agency]:[Agency]]=$E86)/(TableDiv[[Agency]:[Agency]]=$E86)*(ROW(TableDiv[Agency])-ROW(TableDiv[[#Headers],[Agency]])),COLUMNS($F$7:R$7))))</f>
        <v/>
      </c>
      <c r="S86" s="2223" t="str" cm="1">
        <f t="array" ref="S86">IF($D86&lt;COLUMNS($F$7:S$7),"",INDEX(TableDiv[[GASB]:[GASB]],_xlfn.AGGREGATE(15,3,(TableDiv[[Agency]:[Agency]]=$E86)/(TableDiv[[Agency]:[Agency]]=$E86)*(ROW(TableDiv[Agency])-ROW(TableDiv[[#Headers],[Agency]])),COLUMNS($F$7:S$7))))</f>
        <v/>
      </c>
      <c r="T86" s="2223" t="str" cm="1">
        <f t="array" ref="T86">IF($D86&lt;COLUMNS($F$7:T$7),"",INDEX(TableDiv[[GASB]:[GASB]],_xlfn.AGGREGATE(15,3,(TableDiv[[Agency]:[Agency]]=$E86)/(TableDiv[[Agency]:[Agency]]=$E86)*(ROW(TableDiv[Agency])-ROW(TableDiv[[#Headers],[Agency]])),COLUMNS($F$7:T$7))))</f>
        <v/>
      </c>
      <c r="U86" s="2223" t="str" cm="1">
        <f t="array" ref="U86">IF($D86&lt;COLUMNS($F$7:U$7),"",INDEX(TableDiv[[GASB]:[GASB]],_xlfn.AGGREGATE(15,3,(TableDiv[[Agency]:[Agency]]=$E86)/(TableDiv[[Agency]:[Agency]]=$E86)*(ROW(TableDiv[Agency])-ROW(TableDiv[[#Headers],[Agency]])),COLUMNS($F$7:U$7))))</f>
        <v/>
      </c>
      <c r="V86" s="2223" t="str" cm="1">
        <f t="array" ref="V86">IF($D86&lt;COLUMNS($F$7:V$7),"",INDEX(TableDiv[[GASB]:[GASB]],_xlfn.AGGREGATE(15,3,(TableDiv[[Agency]:[Agency]]=$E86)/(TableDiv[[Agency]:[Agency]]=$E86)*(ROW(TableDiv[Agency])-ROW(TableDiv[[#Headers],[Agency]])),COLUMNS($F$7:V$7))))</f>
        <v/>
      </c>
      <c r="W86" s="2223" t="str" cm="1">
        <f t="array" ref="W86">IF($D86&lt;COLUMNS($F$7:W$7),"",INDEX(TableDiv[[GASB]:[GASB]],_xlfn.AGGREGATE(15,3,(TableDiv[[Agency]:[Agency]]=$E86)/(TableDiv[[Agency]:[Agency]]=$E86)*(ROW(TableDiv[Agency])-ROW(TableDiv[[#Headers],[Agency]])),COLUMNS($F$7:W$7))))</f>
        <v/>
      </c>
      <c r="X86" s="2223" t="str" cm="1">
        <f t="array" ref="X86">IF($D86&lt;COLUMNS($F$7:X$7),"",INDEX(TableDiv[[GASB]:[GASB]],_xlfn.AGGREGATE(15,3,(TableDiv[[Agency]:[Agency]]=$E86)/(TableDiv[[Agency]:[Agency]]=$E86)*(ROW(TableDiv[Agency])-ROW(TableDiv[[#Headers],[Agency]])),COLUMNS($F$7:X$7))))</f>
        <v/>
      </c>
      <c r="Y86" s="2223" t="str" cm="1">
        <f t="array" ref="Y86">IF($D86&lt;COLUMNS($F$7:Y$7),"",INDEX(TableDiv[[GASB]:[GASB]],_xlfn.AGGREGATE(15,3,(TableDiv[[Agency]:[Agency]]=$E86)/(TableDiv[[Agency]:[Agency]]=$E86)*(ROW(TableDiv[Agency])-ROW(TableDiv[[#Headers],[Agency]])),COLUMNS($F$7:Y$7))))</f>
        <v/>
      </c>
      <c r="Z86" s="2223" t="str" cm="1">
        <f t="array" ref="Z86">IF($D86&lt;COLUMNS($F$7:Z$7),"",INDEX(TableDiv[[GASB]:[GASB]],_xlfn.AGGREGATE(15,3,(TableDiv[[Agency]:[Agency]]=$E86)/(TableDiv[[Agency]:[Agency]]=$E86)*(ROW(TableDiv[Agency])-ROW(TableDiv[[#Headers],[Agency]])),COLUMNS($F$7:Z$7))))</f>
        <v/>
      </c>
      <c r="AA86" s="2223" t="str" cm="1">
        <f t="array" ref="AA86">IF($D86&lt;COLUMNS($F$7:AA$7),"",INDEX(TableDiv[[GASB]:[GASB]],_xlfn.AGGREGATE(15,3,(TableDiv[[Agency]:[Agency]]=$E86)/(TableDiv[[Agency]:[Agency]]=$E86)*(ROW(TableDiv[Agency])-ROW(TableDiv[[#Headers],[Agency]])),COLUMNS($F$7:AA$7))))</f>
        <v/>
      </c>
      <c r="AB86" s="2223" t="str" cm="1">
        <f t="array" ref="AB86">IF($D86&lt;COLUMNS($F$7:AB$7),"",INDEX(TableDiv[[GASB]:[GASB]],_xlfn.AGGREGATE(15,3,(TableDiv[[Agency]:[Agency]]=$E86)/(TableDiv[[Agency]:[Agency]]=$E86)*(ROW(TableDiv[Agency])-ROW(TableDiv[[#Headers],[Agency]])),COLUMNS($F$7:AB$7))))</f>
        <v/>
      </c>
      <c r="AC86" s="2223" t="str" cm="1">
        <f t="array" ref="AC86">IF($D86&lt;COLUMNS($F$7:AC$7),"",INDEX(TableDiv[[GASB]:[GASB]],_xlfn.AGGREGATE(15,3,(TableDiv[[Agency]:[Agency]]=$E86)/(TableDiv[[Agency]:[Agency]]=$E86)*(ROW(TableDiv[Agency])-ROW(TableDiv[[#Headers],[Agency]])),COLUMNS($F$7:AC$7))))</f>
        <v/>
      </c>
      <c r="AD86" s="2223" t="str" cm="1">
        <f t="array" ref="AD86">IF($D86&lt;COLUMNS($F$7:AD$7),"",INDEX(TableDiv[[GASB]:[GASB]],_xlfn.AGGREGATE(15,3,(TableDiv[[Agency]:[Agency]]=$E86)/(TableDiv[[Agency]:[Agency]]=$E86)*(ROW(TableDiv[Agency])-ROW(TableDiv[[#Headers],[Agency]])),COLUMNS($F$7:AD$7))))</f>
        <v/>
      </c>
      <c r="AE86" s="2223" t="str" cm="1">
        <f t="array" ref="AE86">IF($D86&lt;COLUMNS($F$7:AE$7),"",INDEX(TableDiv[[GASB]:[GASB]],_xlfn.AGGREGATE(15,3,(TableDiv[[Agency]:[Agency]]=$E86)/(TableDiv[[Agency]:[Agency]]=$E86)*(ROW(TableDiv[Agency])-ROW(TableDiv[[#Headers],[Agency]])),COLUMNS($F$7:AE$7))))</f>
        <v/>
      </c>
      <c r="AF86" s="2223" t="str" cm="1">
        <f t="array" ref="AF86">IF($D86&lt;COLUMNS($F$7:AF$7),"",INDEX(TableDiv[[GASB]:[GASB]],_xlfn.AGGREGATE(15,3,(TableDiv[[Agency]:[Agency]]=$E86)/(TableDiv[[Agency]:[Agency]]=$E86)*(ROW(TableDiv[Agency])-ROW(TableDiv[[#Headers],[Agency]])),COLUMNS($F$7:AF$7))))</f>
        <v/>
      </c>
      <c r="AG86" s="2223" t="str" cm="1">
        <f t="array" ref="AG86">IF($D86&lt;COLUMNS($F$7:AG$7),"",INDEX(TableDiv[[GASB]:[GASB]],_xlfn.AGGREGATE(15,3,(TableDiv[[Agency]:[Agency]]=$E86)/(TableDiv[[Agency]:[Agency]]=$E86)*(ROW(TableDiv[Agency])-ROW(TableDiv[[#Headers],[Agency]])),COLUMNS($F$7:AG$7))))</f>
        <v/>
      </c>
      <c r="AH86" s="2223" t="str" cm="1">
        <f t="array" ref="AH86">IF($D86&lt;COLUMNS($F$7:AH$7),"",INDEX(TableDiv[[GASB]:[GASB]],_xlfn.AGGREGATE(15,3,(TableDiv[[Agency]:[Agency]]=$E86)/(TableDiv[[Agency]:[Agency]]=$E86)*(ROW(TableDiv[Agency])-ROW(TableDiv[[#Headers],[Agency]])),COLUMNS($F$7:AH$7))))</f>
        <v/>
      </c>
      <c r="AI86" s="2223" t="str" cm="1">
        <f t="array" ref="AI86">IF($D86&lt;COLUMNS($F$7:AI$7),"",INDEX(TableDiv[[GASB]:[GASB]],_xlfn.AGGREGATE(15,3,(TableDiv[[Agency]:[Agency]]=$E86)/(TableDiv[[Agency]:[Agency]]=$E86)*(ROW(TableDiv[Agency])-ROW(TableDiv[[#Headers],[Agency]])),COLUMNS($F$7:AI$7))))</f>
        <v/>
      </c>
      <c r="AJ86" s="2223" t="str" cm="1">
        <f t="array" ref="AJ86">IF($D86&lt;COLUMNS($F$7:AJ$7),"",INDEX(TableDiv[[GASB]:[GASB]],_xlfn.AGGREGATE(15,3,(TableDiv[[Agency]:[Agency]]=$E86)/(TableDiv[[Agency]:[Agency]]=$E86)*(ROW(TableDiv[Agency])-ROW(TableDiv[[#Headers],[Agency]])),COLUMNS($F$7:AJ$7))))</f>
        <v/>
      </c>
      <c r="AK86" s="2223" t="str" cm="1">
        <f t="array" ref="AK86">IF($D86&lt;COLUMNS($F$7:AK$7),"",INDEX(TableDiv[[GASB]:[GASB]],_xlfn.AGGREGATE(15,3,(TableDiv[[Agency]:[Agency]]=$E86)/(TableDiv[[Agency]:[Agency]]=$E86)*(ROW(TableDiv[Agency])-ROW(TableDiv[[#Headers],[Agency]])),COLUMNS($F$7:AK$7))))</f>
        <v/>
      </c>
      <c r="AL86" s="2223" t="str" cm="1">
        <f t="array" ref="AL86">IF($D86&lt;COLUMNS($F$7:AL$7),"",INDEX(TableDiv[[GASB]:[GASB]],_xlfn.AGGREGATE(15,3,(TableDiv[[Agency]:[Agency]]=$E86)/(TableDiv[[Agency]:[Agency]]=$E86)*(ROW(TableDiv[Agency])-ROW(TableDiv[[#Headers],[Agency]])),COLUMNS($F$7:AL$7))))</f>
        <v/>
      </c>
      <c r="AM86" s="2223" t="str" cm="1">
        <f t="array" ref="AM86">IF($D86&lt;COLUMNS($F$7:AM$7),"",INDEX(TableDiv[[GASB]:[GASB]],_xlfn.AGGREGATE(15,3,(TableDiv[[Agency]:[Agency]]=$E86)/(TableDiv[[Agency]:[Agency]]=$E86)*(ROW(TableDiv[Agency])-ROW(TableDiv[[#Headers],[Agency]])),COLUMNS($F$7:AM$7))))</f>
        <v/>
      </c>
      <c r="AN86" s="2223"/>
      <c r="AO86" s="2223"/>
      <c r="AP86" s="2223"/>
      <c r="AQ86" s="2223"/>
      <c r="AR86" s="2223"/>
      <c r="AS86" s="2223"/>
    </row>
    <row r="87" spans="1:45" ht="15" x14ac:dyDescent="0.25">
      <c r="A87" s="2219" t="s">
        <v>5104</v>
      </c>
      <c r="B87" s="2219" t="s">
        <v>6361</v>
      </c>
      <c r="C87" s="2223"/>
      <c r="D87" s="2223">
        <f>COUNTIF(TableDiv[Agency],E87)</f>
        <v>1</v>
      </c>
      <c r="E87" s="2230" t="str" cm="1">
        <f t="array" ref="E87">IFERROR(INDEX(TableDiv[Agency],MATCH(0,INDEX(COUNTIF($E$7:E86,TableDiv[Agency]),),0)),"")</f>
        <v>U900</v>
      </c>
      <c r="F87" s="2223" t="str" cm="1">
        <f t="array" ref="F87">IF($D87&lt;COLUMNS($F$7:F$7),"",INDEX(TableDiv[[GASB]:[GASB]],_xlfn.AGGREGATE(15,3,(TableDiv[[Agency]:[Agency]]=$E87)/(TableDiv[[Agency]:[Agency]]=$E87)*(ROW(TableDiv[Agency])-ROW(TableDiv[[#Headers],[Agency]])),COLUMNS($F$7:F$7))))</f>
        <v>U90</v>
      </c>
      <c r="G87" s="2223" t="str" cm="1">
        <f t="array" ref="G87">IF($D87&lt;COLUMNS($F$7:G$7),"",INDEX(TableDiv[[GASB]:[GASB]],_xlfn.AGGREGATE(15,3,(TableDiv[[Agency]:[Agency]]=$E87)/(TableDiv[[Agency]:[Agency]]=$E87)*(ROW(TableDiv[Agency])-ROW(TableDiv[[#Headers],[Agency]])),COLUMNS($F$7:G$7))))</f>
        <v/>
      </c>
      <c r="H87" s="2223" t="str" cm="1">
        <f t="array" ref="H87">IF($D87&lt;COLUMNS($F$7:H$7),"",INDEX(TableDiv[[GASB]:[GASB]],_xlfn.AGGREGATE(15,3,(TableDiv[[Agency]:[Agency]]=$E87)/(TableDiv[[Agency]:[Agency]]=$E87)*(ROW(TableDiv[Agency])-ROW(TableDiv[[#Headers],[Agency]])),COLUMNS($F$7:H$7))))</f>
        <v/>
      </c>
      <c r="I87" s="2223" t="str" cm="1">
        <f t="array" ref="I87">IF($D87&lt;COLUMNS($F$7:I$7),"",INDEX(TableDiv[[GASB]:[GASB]],_xlfn.AGGREGATE(15,3,(TableDiv[[Agency]:[Agency]]=$E87)/(TableDiv[[Agency]:[Agency]]=$E87)*(ROW(TableDiv[Agency])-ROW(TableDiv[[#Headers],[Agency]])),COLUMNS($F$7:I$7))))</f>
        <v/>
      </c>
      <c r="J87" s="2223" t="str" cm="1">
        <f t="array" ref="J87">IF($D87&lt;COLUMNS($F$7:J$7),"",INDEX(TableDiv[[GASB]:[GASB]],_xlfn.AGGREGATE(15,3,(TableDiv[[Agency]:[Agency]]=$E87)/(TableDiv[[Agency]:[Agency]]=$E87)*(ROW(TableDiv[Agency])-ROW(TableDiv[[#Headers],[Agency]])),COLUMNS($F$7:J$7))))</f>
        <v/>
      </c>
      <c r="K87" s="2223" t="str" cm="1">
        <f t="array" ref="K87">IF($D87&lt;COLUMNS($F$7:K$7),"",INDEX(TableDiv[[GASB]:[GASB]],_xlfn.AGGREGATE(15,3,(TableDiv[[Agency]:[Agency]]=$E87)/(TableDiv[[Agency]:[Agency]]=$E87)*(ROW(TableDiv[Agency])-ROW(TableDiv[[#Headers],[Agency]])),COLUMNS($F$7:K$7))))</f>
        <v/>
      </c>
      <c r="L87" s="2223" t="str" cm="1">
        <f t="array" ref="L87">IF($D87&lt;COLUMNS($F$7:L$7),"",INDEX(TableDiv[[GASB]:[GASB]],_xlfn.AGGREGATE(15,3,(TableDiv[[Agency]:[Agency]]=$E87)/(TableDiv[[Agency]:[Agency]]=$E87)*(ROW(TableDiv[Agency])-ROW(TableDiv[[#Headers],[Agency]])),COLUMNS($F$7:L$7))))</f>
        <v/>
      </c>
      <c r="M87" s="2223" t="str" cm="1">
        <f t="array" ref="M87">IF($D87&lt;COLUMNS($F$7:M$7),"",INDEX(TableDiv[[GASB]:[GASB]],_xlfn.AGGREGATE(15,3,(TableDiv[[Agency]:[Agency]]=$E87)/(TableDiv[[Agency]:[Agency]]=$E87)*(ROW(TableDiv[Agency])-ROW(TableDiv[[#Headers],[Agency]])),COLUMNS($F$7:M$7))))</f>
        <v/>
      </c>
      <c r="N87" s="2223" t="str" cm="1">
        <f t="array" ref="N87">IF($D87&lt;COLUMNS($F$7:N$7),"",INDEX(TableDiv[[GASB]:[GASB]],_xlfn.AGGREGATE(15,3,(TableDiv[[Agency]:[Agency]]=$E87)/(TableDiv[[Agency]:[Agency]]=$E87)*(ROW(TableDiv[Agency])-ROW(TableDiv[[#Headers],[Agency]])),COLUMNS($F$7:N$7))))</f>
        <v/>
      </c>
      <c r="O87" s="2223" t="str" cm="1">
        <f t="array" ref="O87">IF($D87&lt;COLUMNS($F$7:O$7),"",INDEX(TableDiv[[GASB]:[GASB]],_xlfn.AGGREGATE(15,3,(TableDiv[[Agency]:[Agency]]=$E87)/(TableDiv[[Agency]:[Agency]]=$E87)*(ROW(TableDiv[Agency])-ROW(TableDiv[[#Headers],[Agency]])),COLUMNS($F$7:O$7))))</f>
        <v/>
      </c>
      <c r="P87" s="2223" t="str" cm="1">
        <f t="array" ref="P87">IF($D87&lt;COLUMNS($F$7:P$7),"",INDEX(TableDiv[[GASB]:[GASB]],_xlfn.AGGREGATE(15,3,(TableDiv[[Agency]:[Agency]]=$E87)/(TableDiv[[Agency]:[Agency]]=$E87)*(ROW(TableDiv[Agency])-ROW(TableDiv[[#Headers],[Agency]])),COLUMNS($F$7:P$7))))</f>
        <v/>
      </c>
      <c r="Q87" s="2223" t="str" cm="1">
        <f t="array" ref="Q87">IF($D87&lt;COLUMNS($F$7:Q$7),"",INDEX(TableDiv[[GASB]:[GASB]],_xlfn.AGGREGATE(15,3,(TableDiv[[Agency]:[Agency]]=$E87)/(TableDiv[[Agency]:[Agency]]=$E87)*(ROW(TableDiv[Agency])-ROW(TableDiv[[#Headers],[Agency]])),COLUMNS($F$7:Q$7))))</f>
        <v/>
      </c>
      <c r="R87" s="2223" t="str" cm="1">
        <f t="array" ref="R87">IF($D87&lt;COLUMNS($F$7:R$7),"",INDEX(TableDiv[[GASB]:[GASB]],_xlfn.AGGREGATE(15,3,(TableDiv[[Agency]:[Agency]]=$E87)/(TableDiv[[Agency]:[Agency]]=$E87)*(ROW(TableDiv[Agency])-ROW(TableDiv[[#Headers],[Agency]])),COLUMNS($F$7:R$7))))</f>
        <v/>
      </c>
      <c r="S87" s="2223" t="str" cm="1">
        <f t="array" ref="S87">IF($D87&lt;COLUMNS($F$7:S$7),"",INDEX(TableDiv[[GASB]:[GASB]],_xlfn.AGGREGATE(15,3,(TableDiv[[Agency]:[Agency]]=$E87)/(TableDiv[[Agency]:[Agency]]=$E87)*(ROW(TableDiv[Agency])-ROW(TableDiv[[#Headers],[Agency]])),COLUMNS($F$7:S$7))))</f>
        <v/>
      </c>
      <c r="T87" s="2223" t="str" cm="1">
        <f t="array" ref="T87">IF($D87&lt;COLUMNS($F$7:T$7),"",INDEX(TableDiv[[GASB]:[GASB]],_xlfn.AGGREGATE(15,3,(TableDiv[[Agency]:[Agency]]=$E87)/(TableDiv[[Agency]:[Agency]]=$E87)*(ROW(TableDiv[Agency])-ROW(TableDiv[[#Headers],[Agency]])),COLUMNS($F$7:T$7))))</f>
        <v/>
      </c>
      <c r="U87" s="2223" t="str" cm="1">
        <f t="array" ref="U87">IF($D87&lt;COLUMNS($F$7:U$7),"",INDEX(TableDiv[[GASB]:[GASB]],_xlfn.AGGREGATE(15,3,(TableDiv[[Agency]:[Agency]]=$E87)/(TableDiv[[Agency]:[Agency]]=$E87)*(ROW(TableDiv[Agency])-ROW(TableDiv[[#Headers],[Agency]])),COLUMNS($F$7:U$7))))</f>
        <v/>
      </c>
      <c r="V87" s="2223" t="str" cm="1">
        <f t="array" ref="V87">IF($D87&lt;COLUMNS($F$7:V$7),"",INDEX(TableDiv[[GASB]:[GASB]],_xlfn.AGGREGATE(15,3,(TableDiv[[Agency]:[Agency]]=$E87)/(TableDiv[[Agency]:[Agency]]=$E87)*(ROW(TableDiv[Agency])-ROW(TableDiv[[#Headers],[Agency]])),COLUMNS($F$7:V$7))))</f>
        <v/>
      </c>
      <c r="W87" s="2223" t="str" cm="1">
        <f t="array" ref="W87">IF($D87&lt;COLUMNS($F$7:W$7),"",INDEX(TableDiv[[GASB]:[GASB]],_xlfn.AGGREGATE(15,3,(TableDiv[[Agency]:[Agency]]=$E87)/(TableDiv[[Agency]:[Agency]]=$E87)*(ROW(TableDiv[Agency])-ROW(TableDiv[[#Headers],[Agency]])),COLUMNS($F$7:W$7))))</f>
        <v/>
      </c>
      <c r="X87" s="2223" t="str" cm="1">
        <f t="array" ref="X87">IF($D87&lt;COLUMNS($F$7:X$7),"",INDEX(TableDiv[[GASB]:[GASB]],_xlfn.AGGREGATE(15,3,(TableDiv[[Agency]:[Agency]]=$E87)/(TableDiv[[Agency]:[Agency]]=$E87)*(ROW(TableDiv[Agency])-ROW(TableDiv[[#Headers],[Agency]])),COLUMNS($F$7:X$7))))</f>
        <v/>
      </c>
      <c r="Y87" s="2223" t="str" cm="1">
        <f t="array" ref="Y87">IF($D87&lt;COLUMNS($F$7:Y$7),"",INDEX(TableDiv[[GASB]:[GASB]],_xlfn.AGGREGATE(15,3,(TableDiv[[Agency]:[Agency]]=$E87)/(TableDiv[[Agency]:[Agency]]=$E87)*(ROW(TableDiv[Agency])-ROW(TableDiv[[#Headers],[Agency]])),COLUMNS($F$7:Y$7))))</f>
        <v/>
      </c>
      <c r="Z87" s="2223" t="str" cm="1">
        <f t="array" ref="Z87">IF($D87&lt;COLUMNS($F$7:Z$7),"",INDEX(TableDiv[[GASB]:[GASB]],_xlfn.AGGREGATE(15,3,(TableDiv[[Agency]:[Agency]]=$E87)/(TableDiv[[Agency]:[Agency]]=$E87)*(ROW(TableDiv[Agency])-ROW(TableDiv[[#Headers],[Agency]])),COLUMNS($F$7:Z$7))))</f>
        <v/>
      </c>
      <c r="AA87" s="2223" t="str" cm="1">
        <f t="array" ref="AA87">IF($D87&lt;COLUMNS($F$7:AA$7),"",INDEX(TableDiv[[GASB]:[GASB]],_xlfn.AGGREGATE(15,3,(TableDiv[[Agency]:[Agency]]=$E87)/(TableDiv[[Agency]:[Agency]]=$E87)*(ROW(TableDiv[Agency])-ROW(TableDiv[[#Headers],[Agency]])),COLUMNS($F$7:AA$7))))</f>
        <v/>
      </c>
      <c r="AB87" s="2223" t="str" cm="1">
        <f t="array" ref="AB87">IF($D87&lt;COLUMNS($F$7:AB$7),"",INDEX(TableDiv[[GASB]:[GASB]],_xlfn.AGGREGATE(15,3,(TableDiv[[Agency]:[Agency]]=$E87)/(TableDiv[[Agency]:[Agency]]=$E87)*(ROW(TableDiv[Agency])-ROW(TableDiv[[#Headers],[Agency]])),COLUMNS($F$7:AB$7))))</f>
        <v/>
      </c>
      <c r="AC87" s="2223" t="str" cm="1">
        <f t="array" ref="AC87">IF($D87&lt;COLUMNS($F$7:AC$7),"",INDEX(TableDiv[[GASB]:[GASB]],_xlfn.AGGREGATE(15,3,(TableDiv[[Agency]:[Agency]]=$E87)/(TableDiv[[Agency]:[Agency]]=$E87)*(ROW(TableDiv[Agency])-ROW(TableDiv[[#Headers],[Agency]])),COLUMNS($F$7:AC$7))))</f>
        <v/>
      </c>
      <c r="AD87" s="2223" t="str" cm="1">
        <f t="array" ref="AD87">IF($D87&lt;COLUMNS($F$7:AD$7),"",INDEX(TableDiv[[GASB]:[GASB]],_xlfn.AGGREGATE(15,3,(TableDiv[[Agency]:[Agency]]=$E87)/(TableDiv[[Agency]:[Agency]]=$E87)*(ROW(TableDiv[Agency])-ROW(TableDiv[[#Headers],[Agency]])),COLUMNS($F$7:AD$7))))</f>
        <v/>
      </c>
      <c r="AE87" s="2223" t="str" cm="1">
        <f t="array" ref="AE87">IF($D87&lt;COLUMNS($F$7:AE$7),"",INDEX(TableDiv[[GASB]:[GASB]],_xlfn.AGGREGATE(15,3,(TableDiv[[Agency]:[Agency]]=$E87)/(TableDiv[[Agency]:[Agency]]=$E87)*(ROW(TableDiv[Agency])-ROW(TableDiv[[#Headers],[Agency]])),COLUMNS($F$7:AE$7))))</f>
        <v/>
      </c>
      <c r="AF87" s="2223" t="str" cm="1">
        <f t="array" ref="AF87">IF($D87&lt;COLUMNS($F$7:AF$7),"",INDEX(TableDiv[[GASB]:[GASB]],_xlfn.AGGREGATE(15,3,(TableDiv[[Agency]:[Agency]]=$E87)/(TableDiv[[Agency]:[Agency]]=$E87)*(ROW(TableDiv[Agency])-ROW(TableDiv[[#Headers],[Agency]])),COLUMNS($F$7:AF$7))))</f>
        <v/>
      </c>
      <c r="AG87" s="2223" t="str" cm="1">
        <f t="array" ref="AG87">IF($D87&lt;COLUMNS($F$7:AG$7),"",INDEX(TableDiv[[GASB]:[GASB]],_xlfn.AGGREGATE(15,3,(TableDiv[[Agency]:[Agency]]=$E87)/(TableDiv[[Agency]:[Agency]]=$E87)*(ROW(TableDiv[Agency])-ROW(TableDiv[[#Headers],[Agency]])),COLUMNS($F$7:AG$7))))</f>
        <v/>
      </c>
      <c r="AH87" s="2223" t="str" cm="1">
        <f t="array" ref="AH87">IF($D87&lt;COLUMNS($F$7:AH$7),"",INDEX(TableDiv[[GASB]:[GASB]],_xlfn.AGGREGATE(15,3,(TableDiv[[Agency]:[Agency]]=$E87)/(TableDiv[[Agency]:[Agency]]=$E87)*(ROW(TableDiv[Agency])-ROW(TableDiv[[#Headers],[Agency]])),COLUMNS($F$7:AH$7))))</f>
        <v/>
      </c>
      <c r="AI87" s="2223" t="str" cm="1">
        <f t="array" ref="AI87">IF($D87&lt;COLUMNS($F$7:AI$7),"",INDEX(TableDiv[[GASB]:[GASB]],_xlfn.AGGREGATE(15,3,(TableDiv[[Agency]:[Agency]]=$E87)/(TableDiv[[Agency]:[Agency]]=$E87)*(ROW(TableDiv[Agency])-ROW(TableDiv[[#Headers],[Agency]])),COLUMNS($F$7:AI$7))))</f>
        <v/>
      </c>
      <c r="AJ87" s="2223" t="str" cm="1">
        <f t="array" ref="AJ87">IF($D87&lt;COLUMNS($F$7:AJ$7),"",INDEX(TableDiv[[GASB]:[GASB]],_xlfn.AGGREGATE(15,3,(TableDiv[[Agency]:[Agency]]=$E87)/(TableDiv[[Agency]:[Agency]]=$E87)*(ROW(TableDiv[Agency])-ROW(TableDiv[[#Headers],[Agency]])),COLUMNS($F$7:AJ$7))))</f>
        <v/>
      </c>
      <c r="AK87" s="2223" t="str" cm="1">
        <f t="array" ref="AK87">IF($D87&lt;COLUMNS($F$7:AK$7),"",INDEX(TableDiv[[GASB]:[GASB]],_xlfn.AGGREGATE(15,3,(TableDiv[[Agency]:[Agency]]=$E87)/(TableDiv[[Agency]:[Agency]]=$E87)*(ROW(TableDiv[Agency])-ROW(TableDiv[[#Headers],[Agency]])),COLUMNS($F$7:AK$7))))</f>
        <v/>
      </c>
      <c r="AL87" s="2223" t="str" cm="1">
        <f t="array" ref="AL87">IF($D87&lt;COLUMNS($F$7:AL$7),"",INDEX(TableDiv[[GASB]:[GASB]],_xlfn.AGGREGATE(15,3,(TableDiv[[Agency]:[Agency]]=$E87)/(TableDiv[[Agency]:[Agency]]=$E87)*(ROW(TableDiv[Agency])-ROW(TableDiv[[#Headers],[Agency]])),COLUMNS($F$7:AL$7))))</f>
        <v/>
      </c>
      <c r="AM87" s="2223" t="str" cm="1">
        <f t="array" ref="AM87">IF($D87&lt;COLUMNS($F$7:AM$7),"",INDEX(TableDiv[[GASB]:[GASB]],_xlfn.AGGREGATE(15,3,(TableDiv[[Agency]:[Agency]]=$E87)/(TableDiv[[Agency]:[Agency]]=$E87)*(ROW(TableDiv[Agency])-ROW(TableDiv[[#Headers],[Agency]])),COLUMNS($F$7:AM$7))))</f>
        <v/>
      </c>
      <c r="AN87" s="2223"/>
      <c r="AO87" s="2223"/>
      <c r="AP87" s="2223"/>
      <c r="AQ87" s="2223"/>
      <c r="AR87" s="2223"/>
      <c r="AS87" s="2223"/>
    </row>
    <row r="88" spans="1:45" ht="15" x14ac:dyDescent="0.25">
      <c r="A88" s="2219" t="s">
        <v>5104</v>
      </c>
      <c r="B88" s="2219" t="s">
        <v>6358</v>
      </c>
      <c r="C88" s="2223"/>
      <c r="D88" s="2223">
        <f>COUNTIF(TableDiv[Agency],E88)</f>
        <v>1</v>
      </c>
      <c r="E88" s="2230" t="str" cm="1">
        <f t="array" ref="E88">IFERROR(INDEX(TableDiv[Agency],MATCH(0,INDEX(COUNTIF($E$7:E87,TableDiv[Agency]),),0)),"")</f>
        <v>U920</v>
      </c>
      <c r="F88" s="2223" t="str" cm="1">
        <f t="array" ref="F88">IF($D88&lt;COLUMNS($F$7:F$7),"",INDEX(TableDiv[[GASB]:[GASB]],_xlfn.AGGREGATE(15,3,(TableDiv[[Agency]:[Agency]]=$E88)/(TableDiv[[Agency]:[Agency]]=$E88)*(ROW(TableDiv[Agency])-ROW(TableDiv[[#Headers],[Agency]])),COLUMNS($F$7:F$7))))</f>
        <v>U92</v>
      </c>
      <c r="G88" s="2223" t="str" cm="1">
        <f t="array" ref="G88">IF($D88&lt;COLUMNS($F$7:G$7),"",INDEX(TableDiv[[GASB]:[GASB]],_xlfn.AGGREGATE(15,3,(TableDiv[[Agency]:[Agency]]=$E88)/(TableDiv[[Agency]:[Agency]]=$E88)*(ROW(TableDiv[Agency])-ROW(TableDiv[[#Headers],[Agency]])),COLUMNS($F$7:G$7))))</f>
        <v/>
      </c>
      <c r="H88" s="2223" t="str" cm="1">
        <f t="array" ref="H88">IF($D88&lt;COLUMNS($F$7:H$7),"",INDEX(TableDiv[[GASB]:[GASB]],_xlfn.AGGREGATE(15,3,(TableDiv[[Agency]:[Agency]]=$E88)/(TableDiv[[Agency]:[Agency]]=$E88)*(ROW(TableDiv[Agency])-ROW(TableDiv[[#Headers],[Agency]])),COLUMNS($F$7:H$7))))</f>
        <v/>
      </c>
      <c r="I88" s="2223" t="str" cm="1">
        <f t="array" ref="I88">IF($D88&lt;COLUMNS($F$7:I$7),"",INDEX(TableDiv[[GASB]:[GASB]],_xlfn.AGGREGATE(15,3,(TableDiv[[Agency]:[Agency]]=$E88)/(TableDiv[[Agency]:[Agency]]=$E88)*(ROW(TableDiv[Agency])-ROW(TableDiv[[#Headers],[Agency]])),COLUMNS($F$7:I$7))))</f>
        <v/>
      </c>
      <c r="J88" s="2223" t="str" cm="1">
        <f t="array" ref="J88">IF($D88&lt;COLUMNS($F$7:J$7),"",INDEX(TableDiv[[GASB]:[GASB]],_xlfn.AGGREGATE(15,3,(TableDiv[[Agency]:[Agency]]=$E88)/(TableDiv[[Agency]:[Agency]]=$E88)*(ROW(TableDiv[Agency])-ROW(TableDiv[[#Headers],[Agency]])),COLUMNS($F$7:J$7))))</f>
        <v/>
      </c>
      <c r="K88" s="2223" t="str" cm="1">
        <f t="array" ref="K88">IF($D88&lt;COLUMNS($F$7:K$7),"",INDEX(TableDiv[[GASB]:[GASB]],_xlfn.AGGREGATE(15,3,(TableDiv[[Agency]:[Agency]]=$E88)/(TableDiv[[Agency]:[Agency]]=$E88)*(ROW(TableDiv[Agency])-ROW(TableDiv[[#Headers],[Agency]])),COLUMNS($F$7:K$7))))</f>
        <v/>
      </c>
      <c r="L88" s="2223" t="str" cm="1">
        <f t="array" ref="L88">IF($D88&lt;COLUMNS($F$7:L$7),"",INDEX(TableDiv[[GASB]:[GASB]],_xlfn.AGGREGATE(15,3,(TableDiv[[Agency]:[Agency]]=$E88)/(TableDiv[[Agency]:[Agency]]=$E88)*(ROW(TableDiv[Agency])-ROW(TableDiv[[#Headers],[Agency]])),COLUMNS($F$7:L$7))))</f>
        <v/>
      </c>
      <c r="M88" s="2223" t="str" cm="1">
        <f t="array" ref="M88">IF($D88&lt;COLUMNS($F$7:M$7),"",INDEX(TableDiv[[GASB]:[GASB]],_xlfn.AGGREGATE(15,3,(TableDiv[[Agency]:[Agency]]=$E88)/(TableDiv[[Agency]:[Agency]]=$E88)*(ROW(TableDiv[Agency])-ROW(TableDiv[[#Headers],[Agency]])),COLUMNS($F$7:M$7))))</f>
        <v/>
      </c>
      <c r="N88" s="2223" t="str" cm="1">
        <f t="array" ref="N88">IF($D88&lt;COLUMNS($F$7:N$7),"",INDEX(TableDiv[[GASB]:[GASB]],_xlfn.AGGREGATE(15,3,(TableDiv[[Agency]:[Agency]]=$E88)/(TableDiv[[Agency]:[Agency]]=$E88)*(ROW(TableDiv[Agency])-ROW(TableDiv[[#Headers],[Agency]])),COLUMNS($F$7:N$7))))</f>
        <v/>
      </c>
      <c r="O88" s="2223" t="str" cm="1">
        <f t="array" ref="O88">IF($D88&lt;COLUMNS($F$7:O$7),"",INDEX(TableDiv[[GASB]:[GASB]],_xlfn.AGGREGATE(15,3,(TableDiv[[Agency]:[Agency]]=$E88)/(TableDiv[[Agency]:[Agency]]=$E88)*(ROW(TableDiv[Agency])-ROW(TableDiv[[#Headers],[Agency]])),COLUMNS($F$7:O$7))))</f>
        <v/>
      </c>
      <c r="P88" s="2223" t="str" cm="1">
        <f t="array" ref="P88">IF($D88&lt;COLUMNS($F$7:P$7),"",INDEX(TableDiv[[GASB]:[GASB]],_xlfn.AGGREGATE(15,3,(TableDiv[[Agency]:[Agency]]=$E88)/(TableDiv[[Agency]:[Agency]]=$E88)*(ROW(TableDiv[Agency])-ROW(TableDiv[[#Headers],[Agency]])),COLUMNS($F$7:P$7))))</f>
        <v/>
      </c>
      <c r="Q88" s="2223" t="str" cm="1">
        <f t="array" ref="Q88">IF($D88&lt;COLUMNS($F$7:Q$7),"",INDEX(TableDiv[[GASB]:[GASB]],_xlfn.AGGREGATE(15,3,(TableDiv[[Agency]:[Agency]]=$E88)/(TableDiv[[Agency]:[Agency]]=$E88)*(ROW(TableDiv[Agency])-ROW(TableDiv[[#Headers],[Agency]])),COLUMNS($F$7:Q$7))))</f>
        <v/>
      </c>
      <c r="R88" s="2223" t="str" cm="1">
        <f t="array" ref="R88">IF($D88&lt;COLUMNS($F$7:R$7),"",INDEX(TableDiv[[GASB]:[GASB]],_xlfn.AGGREGATE(15,3,(TableDiv[[Agency]:[Agency]]=$E88)/(TableDiv[[Agency]:[Agency]]=$E88)*(ROW(TableDiv[Agency])-ROW(TableDiv[[#Headers],[Agency]])),COLUMNS($F$7:R$7))))</f>
        <v/>
      </c>
      <c r="S88" s="2223" t="str" cm="1">
        <f t="array" ref="S88">IF($D88&lt;COLUMNS($F$7:S$7),"",INDEX(TableDiv[[GASB]:[GASB]],_xlfn.AGGREGATE(15,3,(TableDiv[[Agency]:[Agency]]=$E88)/(TableDiv[[Agency]:[Agency]]=$E88)*(ROW(TableDiv[Agency])-ROW(TableDiv[[#Headers],[Agency]])),COLUMNS($F$7:S$7))))</f>
        <v/>
      </c>
      <c r="T88" s="2223" t="str" cm="1">
        <f t="array" ref="T88">IF($D88&lt;COLUMNS($F$7:T$7),"",INDEX(TableDiv[[GASB]:[GASB]],_xlfn.AGGREGATE(15,3,(TableDiv[[Agency]:[Agency]]=$E88)/(TableDiv[[Agency]:[Agency]]=$E88)*(ROW(TableDiv[Agency])-ROW(TableDiv[[#Headers],[Agency]])),COLUMNS($F$7:T$7))))</f>
        <v/>
      </c>
      <c r="U88" s="2223" t="str" cm="1">
        <f t="array" ref="U88">IF($D88&lt;COLUMNS($F$7:U$7),"",INDEX(TableDiv[[GASB]:[GASB]],_xlfn.AGGREGATE(15,3,(TableDiv[[Agency]:[Agency]]=$E88)/(TableDiv[[Agency]:[Agency]]=$E88)*(ROW(TableDiv[Agency])-ROW(TableDiv[[#Headers],[Agency]])),COLUMNS($F$7:U$7))))</f>
        <v/>
      </c>
      <c r="V88" s="2223" t="str" cm="1">
        <f t="array" ref="V88">IF($D88&lt;COLUMNS($F$7:V$7),"",INDEX(TableDiv[[GASB]:[GASB]],_xlfn.AGGREGATE(15,3,(TableDiv[[Agency]:[Agency]]=$E88)/(TableDiv[[Agency]:[Agency]]=$E88)*(ROW(TableDiv[Agency])-ROW(TableDiv[[#Headers],[Agency]])),COLUMNS($F$7:V$7))))</f>
        <v/>
      </c>
      <c r="W88" s="2223" t="str" cm="1">
        <f t="array" ref="W88">IF($D88&lt;COLUMNS($F$7:W$7),"",INDEX(TableDiv[[GASB]:[GASB]],_xlfn.AGGREGATE(15,3,(TableDiv[[Agency]:[Agency]]=$E88)/(TableDiv[[Agency]:[Agency]]=$E88)*(ROW(TableDiv[Agency])-ROW(TableDiv[[#Headers],[Agency]])),COLUMNS($F$7:W$7))))</f>
        <v/>
      </c>
      <c r="X88" s="2223" t="str" cm="1">
        <f t="array" ref="X88">IF($D88&lt;COLUMNS($F$7:X$7),"",INDEX(TableDiv[[GASB]:[GASB]],_xlfn.AGGREGATE(15,3,(TableDiv[[Agency]:[Agency]]=$E88)/(TableDiv[[Agency]:[Agency]]=$E88)*(ROW(TableDiv[Agency])-ROW(TableDiv[[#Headers],[Agency]])),COLUMNS($F$7:X$7))))</f>
        <v/>
      </c>
      <c r="Y88" s="2223" t="str" cm="1">
        <f t="array" ref="Y88">IF($D88&lt;COLUMNS($F$7:Y$7),"",INDEX(TableDiv[[GASB]:[GASB]],_xlfn.AGGREGATE(15,3,(TableDiv[[Agency]:[Agency]]=$E88)/(TableDiv[[Agency]:[Agency]]=$E88)*(ROW(TableDiv[Agency])-ROW(TableDiv[[#Headers],[Agency]])),COLUMNS($F$7:Y$7))))</f>
        <v/>
      </c>
      <c r="Z88" s="2223" t="str" cm="1">
        <f t="array" ref="Z88">IF($D88&lt;COLUMNS($F$7:Z$7),"",INDEX(TableDiv[[GASB]:[GASB]],_xlfn.AGGREGATE(15,3,(TableDiv[[Agency]:[Agency]]=$E88)/(TableDiv[[Agency]:[Agency]]=$E88)*(ROW(TableDiv[Agency])-ROW(TableDiv[[#Headers],[Agency]])),COLUMNS($F$7:Z$7))))</f>
        <v/>
      </c>
      <c r="AA88" s="2223" t="str" cm="1">
        <f t="array" ref="AA88">IF($D88&lt;COLUMNS($F$7:AA$7),"",INDEX(TableDiv[[GASB]:[GASB]],_xlfn.AGGREGATE(15,3,(TableDiv[[Agency]:[Agency]]=$E88)/(TableDiv[[Agency]:[Agency]]=$E88)*(ROW(TableDiv[Agency])-ROW(TableDiv[[#Headers],[Agency]])),COLUMNS($F$7:AA$7))))</f>
        <v/>
      </c>
      <c r="AB88" s="2223" t="str" cm="1">
        <f t="array" ref="AB88">IF($D88&lt;COLUMNS($F$7:AB$7),"",INDEX(TableDiv[[GASB]:[GASB]],_xlfn.AGGREGATE(15,3,(TableDiv[[Agency]:[Agency]]=$E88)/(TableDiv[[Agency]:[Agency]]=$E88)*(ROW(TableDiv[Agency])-ROW(TableDiv[[#Headers],[Agency]])),COLUMNS($F$7:AB$7))))</f>
        <v/>
      </c>
      <c r="AC88" s="2223" t="str" cm="1">
        <f t="array" ref="AC88">IF($D88&lt;COLUMNS($F$7:AC$7),"",INDEX(TableDiv[[GASB]:[GASB]],_xlfn.AGGREGATE(15,3,(TableDiv[[Agency]:[Agency]]=$E88)/(TableDiv[[Agency]:[Agency]]=$E88)*(ROW(TableDiv[Agency])-ROW(TableDiv[[#Headers],[Agency]])),COLUMNS($F$7:AC$7))))</f>
        <v/>
      </c>
      <c r="AD88" s="2223" t="str" cm="1">
        <f t="array" ref="AD88">IF($D88&lt;COLUMNS($F$7:AD$7),"",INDEX(TableDiv[[GASB]:[GASB]],_xlfn.AGGREGATE(15,3,(TableDiv[[Agency]:[Agency]]=$E88)/(TableDiv[[Agency]:[Agency]]=$E88)*(ROW(TableDiv[Agency])-ROW(TableDiv[[#Headers],[Agency]])),COLUMNS($F$7:AD$7))))</f>
        <v/>
      </c>
      <c r="AE88" s="2223" t="str" cm="1">
        <f t="array" ref="AE88">IF($D88&lt;COLUMNS($F$7:AE$7),"",INDEX(TableDiv[[GASB]:[GASB]],_xlfn.AGGREGATE(15,3,(TableDiv[[Agency]:[Agency]]=$E88)/(TableDiv[[Agency]:[Agency]]=$E88)*(ROW(TableDiv[Agency])-ROW(TableDiv[[#Headers],[Agency]])),COLUMNS($F$7:AE$7))))</f>
        <v/>
      </c>
      <c r="AF88" s="2223" t="str" cm="1">
        <f t="array" ref="AF88">IF($D88&lt;COLUMNS($F$7:AF$7),"",INDEX(TableDiv[[GASB]:[GASB]],_xlfn.AGGREGATE(15,3,(TableDiv[[Agency]:[Agency]]=$E88)/(TableDiv[[Agency]:[Agency]]=$E88)*(ROW(TableDiv[Agency])-ROW(TableDiv[[#Headers],[Agency]])),COLUMNS($F$7:AF$7))))</f>
        <v/>
      </c>
      <c r="AG88" s="2223" t="str" cm="1">
        <f t="array" ref="AG88">IF($D88&lt;COLUMNS($F$7:AG$7),"",INDEX(TableDiv[[GASB]:[GASB]],_xlfn.AGGREGATE(15,3,(TableDiv[[Agency]:[Agency]]=$E88)/(TableDiv[[Agency]:[Agency]]=$E88)*(ROW(TableDiv[Agency])-ROW(TableDiv[[#Headers],[Agency]])),COLUMNS($F$7:AG$7))))</f>
        <v/>
      </c>
      <c r="AH88" s="2223" t="str" cm="1">
        <f t="array" ref="AH88">IF($D88&lt;COLUMNS($F$7:AH$7),"",INDEX(TableDiv[[GASB]:[GASB]],_xlfn.AGGREGATE(15,3,(TableDiv[[Agency]:[Agency]]=$E88)/(TableDiv[[Agency]:[Agency]]=$E88)*(ROW(TableDiv[Agency])-ROW(TableDiv[[#Headers],[Agency]])),COLUMNS($F$7:AH$7))))</f>
        <v/>
      </c>
      <c r="AI88" s="2223" t="str" cm="1">
        <f t="array" ref="AI88">IF($D88&lt;COLUMNS($F$7:AI$7),"",INDEX(TableDiv[[GASB]:[GASB]],_xlfn.AGGREGATE(15,3,(TableDiv[[Agency]:[Agency]]=$E88)/(TableDiv[[Agency]:[Agency]]=$E88)*(ROW(TableDiv[Agency])-ROW(TableDiv[[#Headers],[Agency]])),COLUMNS($F$7:AI$7))))</f>
        <v/>
      </c>
      <c r="AJ88" s="2223" t="str" cm="1">
        <f t="array" ref="AJ88">IF($D88&lt;COLUMNS($F$7:AJ$7),"",INDEX(TableDiv[[GASB]:[GASB]],_xlfn.AGGREGATE(15,3,(TableDiv[[Agency]:[Agency]]=$E88)/(TableDiv[[Agency]:[Agency]]=$E88)*(ROW(TableDiv[Agency])-ROW(TableDiv[[#Headers],[Agency]])),COLUMNS($F$7:AJ$7))))</f>
        <v/>
      </c>
      <c r="AK88" s="2223" t="str" cm="1">
        <f t="array" ref="AK88">IF($D88&lt;COLUMNS($F$7:AK$7),"",INDEX(TableDiv[[GASB]:[GASB]],_xlfn.AGGREGATE(15,3,(TableDiv[[Agency]:[Agency]]=$E88)/(TableDiv[[Agency]:[Agency]]=$E88)*(ROW(TableDiv[Agency])-ROW(TableDiv[[#Headers],[Agency]])),COLUMNS($F$7:AK$7))))</f>
        <v/>
      </c>
      <c r="AL88" s="2223" t="str" cm="1">
        <f t="array" ref="AL88">IF($D88&lt;COLUMNS($F$7:AL$7),"",INDEX(TableDiv[[GASB]:[GASB]],_xlfn.AGGREGATE(15,3,(TableDiv[[Agency]:[Agency]]=$E88)/(TableDiv[[Agency]:[Agency]]=$E88)*(ROW(TableDiv[Agency])-ROW(TableDiv[[#Headers],[Agency]])),COLUMNS($F$7:AL$7))))</f>
        <v/>
      </c>
      <c r="AM88" s="2223" t="str" cm="1">
        <f t="array" ref="AM88">IF($D88&lt;COLUMNS($F$7:AM$7),"",INDEX(TableDiv[[GASB]:[GASB]],_xlfn.AGGREGATE(15,3,(TableDiv[[Agency]:[Agency]]=$E88)/(TableDiv[[Agency]:[Agency]]=$E88)*(ROW(TableDiv[Agency])-ROW(TableDiv[[#Headers],[Agency]])),COLUMNS($F$7:AM$7))))</f>
        <v/>
      </c>
      <c r="AN88" s="2223"/>
      <c r="AO88" s="2223"/>
      <c r="AP88" s="2223"/>
      <c r="AQ88" s="2223"/>
      <c r="AR88" s="2223"/>
      <c r="AS88" s="2223"/>
    </row>
    <row r="89" spans="1:45" ht="15" x14ac:dyDescent="0.25">
      <c r="A89" s="2219" t="s">
        <v>5104</v>
      </c>
      <c r="B89" s="2219" t="s">
        <v>6402</v>
      </c>
      <c r="C89" s="2223"/>
      <c r="D89" s="2223">
        <f>COUNTIF(TableDiv[Agency],E89)</f>
        <v>2</v>
      </c>
      <c r="E89" s="2230" t="str" cm="1">
        <f t="array" ref="E89">IFERROR(INDEX(TableDiv[Agency],MATCH(0,INDEX(COUNTIF($E$7:E88,TableDiv[Agency]),),0)),"")</f>
        <v>Z300</v>
      </c>
      <c r="F89" s="2223" t="str" cm="1">
        <f t="array" ref="F89">IF($D89&lt;COLUMNS($F$7:F$7),"",INDEX(TableDiv[[GASB]:[GASB]],_xlfn.AGGREGATE(15,3,(TableDiv[[Agency]:[Agency]]=$E89)/(TableDiv[[Agency]:[Agency]]=$E89)*(ROW(TableDiv[Agency])-ROW(TableDiv[[#Headers],[Agency]])),COLUMNS($F$7:F$7))))</f>
        <v>26150G</v>
      </c>
      <c r="G89" s="2223" t="str" cm="1">
        <f t="array" ref="G89">IF($D89&lt;COLUMNS($F$7:G$7),"",INDEX(TableDiv[[GASB]:[GASB]],_xlfn.AGGREGATE(15,3,(TableDiv[[Agency]:[Agency]]=$E89)/(TableDiv[[Agency]:[Agency]]=$E89)*(ROW(TableDiv[Agency])-ROW(TableDiv[[#Headers],[Agency]])),COLUMNS($F$7:G$7))))</f>
        <v>26151G</v>
      </c>
      <c r="H89" s="2223" t="str" cm="1">
        <f t="array" ref="H89">IF($D89&lt;COLUMNS($F$7:H$7),"",INDEX(TableDiv[[GASB]:[GASB]],_xlfn.AGGREGATE(15,3,(TableDiv[[Agency]:[Agency]]=$E89)/(TableDiv[[Agency]:[Agency]]=$E89)*(ROW(TableDiv[Agency])-ROW(TableDiv[[#Headers],[Agency]])),COLUMNS($F$7:H$7))))</f>
        <v/>
      </c>
      <c r="I89" s="2223" t="str" cm="1">
        <f t="array" ref="I89">IF($D89&lt;COLUMNS($F$7:I$7),"",INDEX(TableDiv[[GASB]:[GASB]],_xlfn.AGGREGATE(15,3,(TableDiv[[Agency]:[Agency]]=$E89)/(TableDiv[[Agency]:[Agency]]=$E89)*(ROW(TableDiv[Agency])-ROW(TableDiv[[#Headers],[Agency]])),COLUMNS($F$7:I$7))))</f>
        <v/>
      </c>
      <c r="J89" s="2223" t="str" cm="1">
        <f t="array" ref="J89">IF($D89&lt;COLUMNS($F$7:J$7),"",INDEX(TableDiv[[GASB]:[GASB]],_xlfn.AGGREGATE(15,3,(TableDiv[[Agency]:[Agency]]=$E89)/(TableDiv[[Agency]:[Agency]]=$E89)*(ROW(TableDiv[Agency])-ROW(TableDiv[[#Headers],[Agency]])),COLUMNS($F$7:J$7))))</f>
        <v/>
      </c>
      <c r="K89" s="2223" t="str" cm="1">
        <f t="array" ref="K89">IF($D89&lt;COLUMNS($F$7:K$7),"",INDEX(TableDiv[[GASB]:[GASB]],_xlfn.AGGREGATE(15,3,(TableDiv[[Agency]:[Agency]]=$E89)/(TableDiv[[Agency]:[Agency]]=$E89)*(ROW(TableDiv[Agency])-ROW(TableDiv[[#Headers],[Agency]])),COLUMNS($F$7:K$7))))</f>
        <v/>
      </c>
      <c r="L89" s="2223" t="str" cm="1">
        <f t="array" ref="L89">IF($D89&lt;COLUMNS($F$7:L$7),"",INDEX(TableDiv[[GASB]:[GASB]],_xlfn.AGGREGATE(15,3,(TableDiv[[Agency]:[Agency]]=$E89)/(TableDiv[[Agency]:[Agency]]=$E89)*(ROW(TableDiv[Agency])-ROW(TableDiv[[#Headers],[Agency]])),COLUMNS($F$7:L$7))))</f>
        <v/>
      </c>
      <c r="M89" s="2223" t="str" cm="1">
        <f t="array" ref="M89">IF($D89&lt;COLUMNS($F$7:M$7),"",INDEX(TableDiv[[GASB]:[GASB]],_xlfn.AGGREGATE(15,3,(TableDiv[[Agency]:[Agency]]=$E89)/(TableDiv[[Agency]:[Agency]]=$E89)*(ROW(TableDiv[Agency])-ROW(TableDiv[[#Headers],[Agency]])),COLUMNS($F$7:M$7))))</f>
        <v/>
      </c>
      <c r="N89" s="2223" t="str" cm="1">
        <f t="array" ref="N89">IF($D89&lt;COLUMNS($F$7:N$7),"",INDEX(TableDiv[[GASB]:[GASB]],_xlfn.AGGREGATE(15,3,(TableDiv[[Agency]:[Agency]]=$E89)/(TableDiv[[Agency]:[Agency]]=$E89)*(ROW(TableDiv[Agency])-ROW(TableDiv[[#Headers],[Agency]])),COLUMNS($F$7:N$7))))</f>
        <v/>
      </c>
      <c r="O89" s="2223" t="str" cm="1">
        <f t="array" ref="O89">IF($D89&lt;COLUMNS($F$7:O$7),"",INDEX(TableDiv[[GASB]:[GASB]],_xlfn.AGGREGATE(15,3,(TableDiv[[Agency]:[Agency]]=$E89)/(TableDiv[[Agency]:[Agency]]=$E89)*(ROW(TableDiv[Agency])-ROW(TableDiv[[#Headers],[Agency]])),COLUMNS($F$7:O$7))))</f>
        <v/>
      </c>
      <c r="P89" s="2223" t="str" cm="1">
        <f t="array" ref="P89">IF($D89&lt;COLUMNS($F$7:P$7),"",INDEX(TableDiv[[GASB]:[GASB]],_xlfn.AGGREGATE(15,3,(TableDiv[[Agency]:[Agency]]=$E89)/(TableDiv[[Agency]:[Agency]]=$E89)*(ROW(TableDiv[Agency])-ROW(TableDiv[[#Headers],[Agency]])),COLUMNS($F$7:P$7))))</f>
        <v/>
      </c>
      <c r="Q89" s="2223" t="str" cm="1">
        <f t="array" ref="Q89">IF($D89&lt;COLUMNS($F$7:Q$7),"",INDEX(TableDiv[[GASB]:[GASB]],_xlfn.AGGREGATE(15,3,(TableDiv[[Agency]:[Agency]]=$E89)/(TableDiv[[Agency]:[Agency]]=$E89)*(ROW(TableDiv[Agency])-ROW(TableDiv[[#Headers],[Agency]])),COLUMNS($F$7:Q$7))))</f>
        <v/>
      </c>
      <c r="R89" s="2223" t="str" cm="1">
        <f t="array" ref="R89">IF($D89&lt;COLUMNS($F$7:R$7),"",INDEX(TableDiv[[GASB]:[GASB]],_xlfn.AGGREGATE(15,3,(TableDiv[[Agency]:[Agency]]=$E89)/(TableDiv[[Agency]:[Agency]]=$E89)*(ROW(TableDiv[Agency])-ROW(TableDiv[[#Headers],[Agency]])),COLUMNS($F$7:R$7))))</f>
        <v/>
      </c>
      <c r="S89" s="2223" t="str" cm="1">
        <f t="array" ref="S89">IF($D89&lt;COLUMNS($F$7:S$7),"",INDEX(TableDiv[[GASB]:[GASB]],_xlfn.AGGREGATE(15,3,(TableDiv[[Agency]:[Agency]]=$E89)/(TableDiv[[Agency]:[Agency]]=$E89)*(ROW(TableDiv[Agency])-ROW(TableDiv[[#Headers],[Agency]])),COLUMNS($F$7:S$7))))</f>
        <v/>
      </c>
      <c r="T89" s="2223" t="str" cm="1">
        <f t="array" ref="T89">IF($D89&lt;COLUMNS($F$7:T$7),"",INDEX(TableDiv[[GASB]:[GASB]],_xlfn.AGGREGATE(15,3,(TableDiv[[Agency]:[Agency]]=$E89)/(TableDiv[[Agency]:[Agency]]=$E89)*(ROW(TableDiv[Agency])-ROW(TableDiv[[#Headers],[Agency]])),COLUMNS($F$7:T$7))))</f>
        <v/>
      </c>
      <c r="U89" s="2223" t="str" cm="1">
        <f t="array" ref="U89">IF($D89&lt;COLUMNS($F$7:U$7),"",INDEX(TableDiv[[GASB]:[GASB]],_xlfn.AGGREGATE(15,3,(TableDiv[[Agency]:[Agency]]=$E89)/(TableDiv[[Agency]:[Agency]]=$E89)*(ROW(TableDiv[Agency])-ROW(TableDiv[[#Headers],[Agency]])),COLUMNS($F$7:U$7))))</f>
        <v/>
      </c>
      <c r="V89" s="2223" t="str" cm="1">
        <f t="array" ref="V89">IF($D89&lt;COLUMNS($F$7:V$7),"",INDEX(TableDiv[[GASB]:[GASB]],_xlfn.AGGREGATE(15,3,(TableDiv[[Agency]:[Agency]]=$E89)/(TableDiv[[Agency]:[Agency]]=$E89)*(ROW(TableDiv[Agency])-ROW(TableDiv[[#Headers],[Agency]])),COLUMNS($F$7:V$7))))</f>
        <v/>
      </c>
      <c r="W89" s="2223" t="str" cm="1">
        <f t="array" ref="W89">IF($D89&lt;COLUMNS($F$7:W$7),"",INDEX(TableDiv[[GASB]:[GASB]],_xlfn.AGGREGATE(15,3,(TableDiv[[Agency]:[Agency]]=$E89)/(TableDiv[[Agency]:[Agency]]=$E89)*(ROW(TableDiv[Agency])-ROW(TableDiv[[#Headers],[Agency]])),COLUMNS($F$7:W$7))))</f>
        <v/>
      </c>
      <c r="X89" s="2223" t="str" cm="1">
        <f t="array" ref="X89">IF($D89&lt;COLUMNS($F$7:X$7),"",INDEX(TableDiv[[GASB]:[GASB]],_xlfn.AGGREGATE(15,3,(TableDiv[[Agency]:[Agency]]=$E89)/(TableDiv[[Agency]:[Agency]]=$E89)*(ROW(TableDiv[Agency])-ROW(TableDiv[[#Headers],[Agency]])),COLUMNS($F$7:X$7))))</f>
        <v/>
      </c>
      <c r="Y89" s="2223" t="str" cm="1">
        <f t="array" ref="Y89">IF($D89&lt;COLUMNS($F$7:Y$7),"",INDEX(TableDiv[[GASB]:[GASB]],_xlfn.AGGREGATE(15,3,(TableDiv[[Agency]:[Agency]]=$E89)/(TableDiv[[Agency]:[Agency]]=$E89)*(ROW(TableDiv[Agency])-ROW(TableDiv[[#Headers],[Agency]])),COLUMNS($F$7:Y$7))))</f>
        <v/>
      </c>
      <c r="Z89" s="2223" t="str" cm="1">
        <f t="array" ref="Z89">IF($D89&lt;COLUMNS($F$7:Z$7),"",INDEX(TableDiv[[GASB]:[GASB]],_xlfn.AGGREGATE(15,3,(TableDiv[[Agency]:[Agency]]=$E89)/(TableDiv[[Agency]:[Agency]]=$E89)*(ROW(TableDiv[Agency])-ROW(TableDiv[[#Headers],[Agency]])),COLUMNS($F$7:Z$7))))</f>
        <v/>
      </c>
      <c r="AA89" s="2223" t="str" cm="1">
        <f t="array" ref="AA89">IF($D89&lt;COLUMNS($F$7:AA$7),"",INDEX(TableDiv[[GASB]:[GASB]],_xlfn.AGGREGATE(15,3,(TableDiv[[Agency]:[Agency]]=$E89)/(TableDiv[[Agency]:[Agency]]=$E89)*(ROW(TableDiv[Agency])-ROW(TableDiv[[#Headers],[Agency]])),COLUMNS($F$7:AA$7))))</f>
        <v/>
      </c>
      <c r="AB89" s="2223" t="str" cm="1">
        <f t="array" ref="AB89">IF($D89&lt;COLUMNS($F$7:AB$7),"",INDEX(TableDiv[[GASB]:[GASB]],_xlfn.AGGREGATE(15,3,(TableDiv[[Agency]:[Agency]]=$E89)/(TableDiv[[Agency]:[Agency]]=$E89)*(ROW(TableDiv[Agency])-ROW(TableDiv[[#Headers],[Agency]])),COLUMNS($F$7:AB$7))))</f>
        <v/>
      </c>
      <c r="AC89" s="2223" t="str" cm="1">
        <f t="array" ref="AC89">IF($D89&lt;COLUMNS($F$7:AC$7),"",INDEX(TableDiv[[GASB]:[GASB]],_xlfn.AGGREGATE(15,3,(TableDiv[[Agency]:[Agency]]=$E89)/(TableDiv[[Agency]:[Agency]]=$E89)*(ROW(TableDiv[Agency])-ROW(TableDiv[[#Headers],[Agency]])),COLUMNS($F$7:AC$7))))</f>
        <v/>
      </c>
      <c r="AD89" s="2223" t="str" cm="1">
        <f t="array" ref="AD89">IF($D89&lt;COLUMNS($F$7:AD$7),"",INDEX(TableDiv[[GASB]:[GASB]],_xlfn.AGGREGATE(15,3,(TableDiv[[Agency]:[Agency]]=$E89)/(TableDiv[[Agency]:[Agency]]=$E89)*(ROW(TableDiv[Agency])-ROW(TableDiv[[#Headers],[Agency]])),COLUMNS($F$7:AD$7))))</f>
        <v/>
      </c>
      <c r="AE89" s="2223" t="str" cm="1">
        <f t="array" ref="AE89">IF($D89&lt;COLUMNS($F$7:AE$7),"",INDEX(TableDiv[[GASB]:[GASB]],_xlfn.AGGREGATE(15,3,(TableDiv[[Agency]:[Agency]]=$E89)/(TableDiv[[Agency]:[Agency]]=$E89)*(ROW(TableDiv[Agency])-ROW(TableDiv[[#Headers],[Agency]])),COLUMNS($F$7:AE$7))))</f>
        <v/>
      </c>
      <c r="AF89" s="2223" t="str" cm="1">
        <f t="array" ref="AF89">IF($D89&lt;COLUMNS($F$7:AF$7),"",INDEX(TableDiv[[GASB]:[GASB]],_xlfn.AGGREGATE(15,3,(TableDiv[[Agency]:[Agency]]=$E89)/(TableDiv[[Agency]:[Agency]]=$E89)*(ROW(TableDiv[Agency])-ROW(TableDiv[[#Headers],[Agency]])),COLUMNS($F$7:AF$7))))</f>
        <v/>
      </c>
      <c r="AG89" s="2223" t="str" cm="1">
        <f t="array" ref="AG89">IF($D89&lt;COLUMNS($F$7:AG$7),"",INDEX(TableDiv[[GASB]:[GASB]],_xlfn.AGGREGATE(15,3,(TableDiv[[Agency]:[Agency]]=$E89)/(TableDiv[[Agency]:[Agency]]=$E89)*(ROW(TableDiv[Agency])-ROW(TableDiv[[#Headers],[Agency]])),COLUMNS($F$7:AG$7))))</f>
        <v/>
      </c>
      <c r="AH89" s="2223" t="str" cm="1">
        <f t="array" ref="AH89">IF($D89&lt;COLUMNS($F$7:AH$7),"",INDEX(TableDiv[[GASB]:[GASB]],_xlfn.AGGREGATE(15,3,(TableDiv[[Agency]:[Agency]]=$E89)/(TableDiv[[Agency]:[Agency]]=$E89)*(ROW(TableDiv[Agency])-ROW(TableDiv[[#Headers],[Agency]])),COLUMNS($F$7:AH$7))))</f>
        <v/>
      </c>
      <c r="AI89" s="2223" t="str" cm="1">
        <f t="array" ref="AI89">IF($D89&lt;COLUMNS($F$7:AI$7),"",INDEX(TableDiv[[GASB]:[GASB]],_xlfn.AGGREGATE(15,3,(TableDiv[[Agency]:[Agency]]=$E89)/(TableDiv[[Agency]:[Agency]]=$E89)*(ROW(TableDiv[Agency])-ROW(TableDiv[[#Headers],[Agency]])),COLUMNS($F$7:AI$7))))</f>
        <v/>
      </c>
      <c r="AJ89" s="2223" t="str" cm="1">
        <f t="array" ref="AJ89">IF($D89&lt;COLUMNS($F$7:AJ$7),"",INDEX(TableDiv[[GASB]:[GASB]],_xlfn.AGGREGATE(15,3,(TableDiv[[Agency]:[Agency]]=$E89)/(TableDiv[[Agency]:[Agency]]=$E89)*(ROW(TableDiv[Agency])-ROW(TableDiv[[#Headers],[Agency]])),COLUMNS($F$7:AJ$7))))</f>
        <v/>
      </c>
      <c r="AK89" s="2223" t="str" cm="1">
        <f t="array" ref="AK89">IF($D89&lt;COLUMNS($F$7:AK$7),"",INDEX(TableDiv[[GASB]:[GASB]],_xlfn.AGGREGATE(15,3,(TableDiv[[Agency]:[Agency]]=$E89)/(TableDiv[[Agency]:[Agency]]=$E89)*(ROW(TableDiv[Agency])-ROW(TableDiv[[#Headers],[Agency]])),COLUMNS($F$7:AK$7))))</f>
        <v/>
      </c>
      <c r="AL89" s="2223" t="str" cm="1">
        <f t="array" ref="AL89">IF($D89&lt;COLUMNS($F$7:AL$7),"",INDEX(TableDiv[[GASB]:[GASB]],_xlfn.AGGREGATE(15,3,(TableDiv[[Agency]:[Agency]]=$E89)/(TableDiv[[Agency]:[Agency]]=$E89)*(ROW(TableDiv[Agency])-ROW(TableDiv[[#Headers],[Agency]])),COLUMNS($F$7:AL$7))))</f>
        <v/>
      </c>
      <c r="AM89" s="2223" t="str" cm="1">
        <f t="array" ref="AM89">IF($D89&lt;COLUMNS($F$7:AM$7),"",INDEX(TableDiv[[GASB]:[GASB]],_xlfn.AGGREGATE(15,3,(TableDiv[[Agency]:[Agency]]=$E89)/(TableDiv[[Agency]:[Agency]]=$E89)*(ROW(TableDiv[Agency])-ROW(TableDiv[[#Headers],[Agency]])),COLUMNS($F$7:AM$7))))</f>
        <v/>
      </c>
      <c r="AN89" s="2223"/>
      <c r="AO89" s="2223"/>
      <c r="AP89" s="2223"/>
      <c r="AQ89" s="2223"/>
      <c r="AR89" s="2223"/>
      <c r="AS89" s="2223"/>
    </row>
    <row r="90" spans="1:45" ht="15" x14ac:dyDescent="0.25">
      <c r="A90" s="2219" t="s">
        <v>5104</v>
      </c>
      <c r="B90" s="2219" t="s">
        <v>6407</v>
      </c>
      <c r="C90" s="2223"/>
      <c r="D90" s="2223">
        <f>COUNTIF(TableDiv[Agency],E90)</f>
        <v>1</v>
      </c>
      <c r="E90" s="2230" t="str" cm="1">
        <f t="array" ref="E90">IFERROR(INDEX(TableDiv[Agency],MATCH(0,INDEX(COUNTIF($E$7:E89,TableDiv[Agency]),),0)),"")</f>
        <v>ZA00</v>
      </c>
      <c r="F90" s="2223" t="str" cm="1">
        <f t="array" ref="F90">IF($D90&lt;COLUMNS($F$7:F$7),"",INDEX(TableDiv[[GASB]:[GASB]],_xlfn.AGGREGATE(15,3,(TableDiv[[Agency]:[Agency]]=$E90)/(TableDiv[[Agency]:[Agency]]=$E90)*(ROW(TableDiv[Agency])-ROW(TableDiv[[#Headers],[Agency]])),COLUMNS($F$7:F$7))))</f>
        <v>26120G</v>
      </c>
      <c r="G90" s="2223" t="str" cm="1">
        <f t="array" ref="G90">IF($D90&lt;COLUMNS($F$7:G$7),"",INDEX(TableDiv[[GASB]:[GASB]],_xlfn.AGGREGATE(15,3,(TableDiv[[Agency]:[Agency]]=$E90)/(TableDiv[[Agency]:[Agency]]=$E90)*(ROW(TableDiv[Agency])-ROW(TableDiv[[#Headers],[Agency]])),COLUMNS($F$7:G$7))))</f>
        <v/>
      </c>
      <c r="H90" s="2223" t="str" cm="1">
        <f t="array" ref="H90">IF($D90&lt;COLUMNS($F$7:H$7),"",INDEX(TableDiv[[GASB]:[GASB]],_xlfn.AGGREGATE(15,3,(TableDiv[[Agency]:[Agency]]=$E90)/(TableDiv[[Agency]:[Agency]]=$E90)*(ROW(TableDiv[Agency])-ROW(TableDiv[[#Headers],[Agency]])),COLUMNS($F$7:H$7))))</f>
        <v/>
      </c>
      <c r="I90" s="2223" t="str" cm="1">
        <f t="array" ref="I90">IF($D90&lt;COLUMNS($F$7:I$7),"",INDEX(TableDiv[[GASB]:[GASB]],_xlfn.AGGREGATE(15,3,(TableDiv[[Agency]:[Agency]]=$E90)/(TableDiv[[Agency]:[Agency]]=$E90)*(ROW(TableDiv[Agency])-ROW(TableDiv[[#Headers],[Agency]])),COLUMNS($F$7:I$7))))</f>
        <v/>
      </c>
      <c r="J90" s="2223" t="str" cm="1">
        <f t="array" ref="J90">IF($D90&lt;COLUMNS($F$7:J$7),"",INDEX(TableDiv[[GASB]:[GASB]],_xlfn.AGGREGATE(15,3,(TableDiv[[Agency]:[Agency]]=$E90)/(TableDiv[[Agency]:[Agency]]=$E90)*(ROW(TableDiv[Agency])-ROW(TableDiv[[#Headers],[Agency]])),COLUMNS($F$7:J$7))))</f>
        <v/>
      </c>
      <c r="K90" s="2223" t="str" cm="1">
        <f t="array" ref="K90">IF($D90&lt;COLUMNS($F$7:K$7),"",INDEX(TableDiv[[GASB]:[GASB]],_xlfn.AGGREGATE(15,3,(TableDiv[[Agency]:[Agency]]=$E90)/(TableDiv[[Agency]:[Agency]]=$E90)*(ROW(TableDiv[Agency])-ROW(TableDiv[[#Headers],[Agency]])),COLUMNS($F$7:K$7))))</f>
        <v/>
      </c>
      <c r="L90" s="2223" t="str" cm="1">
        <f t="array" ref="L90">IF($D90&lt;COLUMNS($F$7:L$7),"",INDEX(TableDiv[[GASB]:[GASB]],_xlfn.AGGREGATE(15,3,(TableDiv[[Agency]:[Agency]]=$E90)/(TableDiv[[Agency]:[Agency]]=$E90)*(ROW(TableDiv[Agency])-ROW(TableDiv[[#Headers],[Agency]])),COLUMNS($F$7:L$7))))</f>
        <v/>
      </c>
      <c r="M90" s="2223" t="str" cm="1">
        <f t="array" ref="M90">IF($D90&lt;COLUMNS($F$7:M$7),"",INDEX(TableDiv[[GASB]:[GASB]],_xlfn.AGGREGATE(15,3,(TableDiv[[Agency]:[Agency]]=$E90)/(TableDiv[[Agency]:[Agency]]=$E90)*(ROW(TableDiv[Agency])-ROW(TableDiv[[#Headers],[Agency]])),COLUMNS($F$7:M$7))))</f>
        <v/>
      </c>
      <c r="N90" s="2223" t="str" cm="1">
        <f t="array" ref="N90">IF($D90&lt;COLUMNS($F$7:N$7),"",INDEX(TableDiv[[GASB]:[GASB]],_xlfn.AGGREGATE(15,3,(TableDiv[[Agency]:[Agency]]=$E90)/(TableDiv[[Agency]:[Agency]]=$E90)*(ROW(TableDiv[Agency])-ROW(TableDiv[[#Headers],[Agency]])),COLUMNS($F$7:N$7))))</f>
        <v/>
      </c>
      <c r="O90" s="2223" t="str" cm="1">
        <f t="array" ref="O90">IF($D90&lt;COLUMNS($F$7:O$7),"",INDEX(TableDiv[[GASB]:[GASB]],_xlfn.AGGREGATE(15,3,(TableDiv[[Agency]:[Agency]]=$E90)/(TableDiv[[Agency]:[Agency]]=$E90)*(ROW(TableDiv[Agency])-ROW(TableDiv[[#Headers],[Agency]])),COLUMNS($F$7:O$7))))</f>
        <v/>
      </c>
      <c r="P90" s="2223" t="str" cm="1">
        <f t="array" ref="P90">IF($D90&lt;COLUMNS($F$7:P$7),"",INDEX(TableDiv[[GASB]:[GASB]],_xlfn.AGGREGATE(15,3,(TableDiv[[Agency]:[Agency]]=$E90)/(TableDiv[[Agency]:[Agency]]=$E90)*(ROW(TableDiv[Agency])-ROW(TableDiv[[#Headers],[Agency]])),COLUMNS($F$7:P$7))))</f>
        <v/>
      </c>
      <c r="Q90" s="2223" t="str" cm="1">
        <f t="array" ref="Q90">IF($D90&lt;COLUMNS($F$7:Q$7),"",INDEX(TableDiv[[GASB]:[GASB]],_xlfn.AGGREGATE(15,3,(TableDiv[[Agency]:[Agency]]=$E90)/(TableDiv[[Agency]:[Agency]]=$E90)*(ROW(TableDiv[Agency])-ROW(TableDiv[[#Headers],[Agency]])),COLUMNS($F$7:Q$7))))</f>
        <v/>
      </c>
      <c r="R90" s="2223" t="str" cm="1">
        <f t="array" ref="R90">IF($D90&lt;COLUMNS($F$7:R$7),"",INDEX(TableDiv[[GASB]:[GASB]],_xlfn.AGGREGATE(15,3,(TableDiv[[Agency]:[Agency]]=$E90)/(TableDiv[[Agency]:[Agency]]=$E90)*(ROW(TableDiv[Agency])-ROW(TableDiv[[#Headers],[Agency]])),COLUMNS($F$7:R$7))))</f>
        <v/>
      </c>
      <c r="S90" s="2223" t="str" cm="1">
        <f t="array" ref="S90">IF($D90&lt;COLUMNS($F$7:S$7),"",INDEX(TableDiv[[GASB]:[GASB]],_xlfn.AGGREGATE(15,3,(TableDiv[[Agency]:[Agency]]=$E90)/(TableDiv[[Agency]:[Agency]]=$E90)*(ROW(TableDiv[Agency])-ROW(TableDiv[[#Headers],[Agency]])),COLUMNS($F$7:S$7))))</f>
        <v/>
      </c>
      <c r="T90" s="2223" t="str" cm="1">
        <f t="array" ref="T90">IF($D90&lt;COLUMNS($F$7:T$7),"",INDEX(TableDiv[[GASB]:[GASB]],_xlfn.AGGREGATE(15,3,(TableDiv[[Agency]:[Agency]]=$E90)/(TableDiv[[Agency]:[Agency]]=$E90)*(ROW(TableDiv[Agency])-ROW(TableDiv[[#Headers],[Agency]])),COLUMNS($F$7:T$7))))</f>
        <v/>
      </c>
      <c r="U90" s="2223" t="str" cm="1">
        <f t="array" ref="U90">IF($D90&lt;COLUMNS($F$7:U$7),"",INDEX(TableDiv[[GASB]:[GASB]],_xlfn.AGGREGATE(15,3,(TableDiv[[Agency]:[Agency]]=$E90)/(TableDiv[[Agency]:[Agency]]=$E90)*(ROW(TableDiv[Agency])-ROW(TableDiv[[#Headers],[Agency]])),COLUMNS($F$7:U$7))))</f>
        <v/>
      </c>
      <c r="V90" s="2223" t="str" cm="1">
        <f t="array" ref="V90">IF($D90&lt;COLUMNS($F$7:V$7),"",INDEX(TableDiv[[GASB]:[GASB]],_xlfn.AGGREGATE(15,3,(TableDiv[[Agency]:[Agency]]=$E90)/(TableDiv[[Agency]:[Agency]]=$E90)*(ROW(TableDiv[Agency])-ROW(TableDiv[[#Headers],[Agency]])),COLUMNS($F$7:V$7))))</f>
        <v/>
      </c>
      <c r="W90" s="2223" t="str" cm="1">
        <f t="array" ref="W90">IF($D90&lt;COLUMNS($F$7:W$7),"",INDEX(TableDiv[[GASB]:[GASB]],_xlfn.AGGREGATE(15,3,(TableDiv[[Agency]:[Agency]]=$E90)/(TableDiv[[Agency]:[Agency]]=$E90)*(ROW(TableDiv[Agency])-ROW(TableDiv[[#Headers],[Agency]])),COLUMNS($F$7:W$7))))</f>
        <v/>
      </c>
      <c r="X90" s="2223" t="str" cm="1">
        <f t="array" ref="X90">IF($D90&lt;COLUMNS($F$7:X$7),"",INDEX(TableDiv[[GASB]:[GASB]],_xlfn.AGGREGATE(15,3,(TableDiv[[Agency]:[Agency]]=$E90)/(TableDiv[[Agency]:[Agency]]=$E90)*(ROW(TableDiv[Agency])-ROW(TableDiv[[#Headers],[Agency]])),COLUMNS($F$7:X$7))))</f>
        <v/>
      </c>
      <c r="Y90" s="2223" t="str" cm="1">
        <f t="array" ref="Y90">IF($D90&lt;COLUMNS($F$7:Y$7),"",INDEX(TableDiv[[GASB]:[GASB]],_xlfn.AGGREGATE(15,3,(TableDiv[[Agency]:[Agency]]=$E90)/(TableDiv[[Agency]:[Agency]]=$E90)*(ROW(TableDiv[Agency])-ROW(TableDiv[[#Headers],[Agency]])),COLUMNS($F$7:Y$7))))</f>
        <v/>
      </c>
      <c r="Z90" s="2223" t="str" cm="1">
        <f t="array" ref="Z90">IF($D90&lt;COLUMNS($F$7:Z$7),"",INDEX(TableDiv[[GASB]:[GASB]],_xlfn.AGGREGATE(15,3,(TableDiv[[Agency]:[Agency]]=$E90)/(TableDiv[[Agency]:[Agency]]=$E90)*(ROW(TableDiv[Agency])-ROW(TableDiv[[#Headers],[Agency]])),COLUMNS($F$7:Z$7))))</f>
        <v/>
      </c>
      <c r="AA90" s="2223" t="str" cm="1">
        <f t="array" ref="AA90">IF($D90&lt;COLUMNS($F$7:AA$7),"",INDEX(TableDiv[[GASB]:[GASB]],_xlfn.AGGREGATE(15,3,(TableDiv[[Agency]:[Agency]]=$E90)/(TableDiv[[Agency]:[Agency]]=$E90)*(ROW(TableDiv[Agency])-ROW(TableDiv[[#Headers],[Agency]])),COLUMNS($F$7:AA$7))))</f>
        <v/>
      </c>
      <c r="AB90" s="2223" t="str" cm="1">
        <f t="array" ref="AB90">IF($D90&lt;COLUMNS($F$7:AB$7),"",INDEX(TableDiv[[GASB]:[GASB]],_xlfn.AGGREGATE(15,3,(TableDiv[[Agency]:[Agency]]=$E90)/(TableDiv[[Agency]:[Agency]]=$E90)*(ROW(TableDiv[Agency])-ROW(TableDiv[[#Headers],[Agency]])),COLUMNS($F$7:AB$7))))</f>
        <v/>
      </c>
      <c r="AC90" s="2223" t="str" cm="1">
        <f t="array" ref="AC90">IF($D90&lt;COLUMNS($F$7:AC$7),"",INDEX(TableDiv[[GASB]:[GASB]],_xlfn.AGGREGATE(15,3,(TableDiv[[Agency]:[Agency]]=$E90)/(TableDiv[[Agency]:[Agency]]=$E90)*(ROW(TableDiv[Agency])-ROW(TableDiv[[#Headers],[Agency]])),COLUMNS($F$7:AC$7))))</f>
        <v/>
      </c>
      <c r="AD90" s="2223" t="str" cm="1">
        <f t="array" ref="AD90">IF($D90&lt;COLUMNS($F$7:AD$7),"",INDEX(TableDiv[[GASB]:[GASB]],_xlfn.AGGREGATE(15,3,(TableDiv[[Agency]:[Agency]]=$E90)/(TableDiv[[Agency]:[Agency]]=$E90)*(ROW(TableDiv[Agency])-ROW(TableDiv[[#Headers],[Agency]])),COLUMNS($F$7:AD$7))))</f>
        <v/>
      </c>
      <c r="AE90" s="2223" t="str" cm="1">
        <f t="array" ref="AE90">IF($D90&lt;COLUMNS($F$7:AE$7),"",INDEX(TableDiv[[GASB]:[GASB]],_xlfn.AGGREGATE(15,3,(TableDiv[[Agency]:[Agency]]=$E90)/(TableDiv[[Agency]:[Agency]]=$E90)*(ROW(TableDiv[Agency])-ROW(TableDiv[[#Headers],[Agency]])),COLUMNS($F$7:AE$7))))</f>
        <v/>
      </c>
      <c r="AF90" s="2223" t="str" cm="1">
        <f t="array" ref="AF90">IF($D90&lt;COLUMNS($F$7:AF$7),"",INDEX(TableDiv[[GASB]:[GASB]],_xlfn.AGGREGATE(15,3,(TableDiv[[Agency]:[Agency]]=$E90)/(TableDiv[[Agency]:[Agency]]=$E90)*(ROW(TableDiv[Agency])-ROW(TableDiv[[#Headers],[Agency]])),COLUMNS($F$7:AF$7))))</f>
        <v/>
      </c>
      <c r="AG90" s="2223" t="str" cm="1">
        <f t="array" ref="AG90">IF($D90&lt;COLUMNS($F$7:AG$7),"",INDEX(TableDiv[[GASB]:[GASB]],_xlfn.AGGREGATE(15,3,(TableDiv[[Agency]:[Agency]]=$E90)/(TableDiv[[Agency]:[Agency]]=$E90)*(ROW(TableDiv[Agency])-ROW(TableDiv[[#Headers],[Agency]])),COLUMNS($F$7:AG$7))))</f>
        <v/>
      </c>
      <c r="AH90" s="2223" t="str" cm="1">
        <f t="array" ref="AH90">IF($D90&lt;COLUMNS($F$7:AH$7),"",INDEX(TableDiv[[GASB]:[GASB]],_xlfn.AGGREGATE(15,3,(TableDiv[[Agency]:[Agency]]=$E90)/(TableDiv[[Agency]:[Agency]]=$E90)*(ROW(TableDiv[Agency])-ROW(TableDiv[[#Headers],[Agency]])),COLUMNS($F$7:AH$7))))</f>
        <v/>
      </c>
      <c r="AI90" s="2223" t="str" cm="1">
        <f t="array" ref="AI90">IF($D90&lt;COLUMNS($F$7:AI$7),"",INDEX(TableDiv[[GASB]:[GASB]],_xlfn.AGGREGATE(15,3,(TableDiv[[Agency]:[Agency]]=$E90)/(TableDiv[[Agency]:[Agency]]=$E90)*(ROW(TableDiv[Agency])-ROW(TableDiv[[#Headers],[Agency]])),COLUMNS($F$7:AI$7))))</f>
        <v/>
      </c>
      <c r="AJ90" s="2223" t="str" cm="1">
        <f t="array" ref="AJ90">IF($D90&lt;COLUMNS($F$7:AJ$7),"",INDEX(TableDiv[[GASB]:[GASB]],_xlfn.AGGREGATE(15,3,(TableDiv[[Agency]:[Agency]]=$E90)/(TableDiv[[Agency]:[Agency]]=$E90)*(ROW(TableDiv[Agency])-ROW(TableDiv[[#Headers],[Agency]])),COLUMNS($F$7:AJ$7))))</f>
        <v/>
      </c>
      <c r="AK90" s="2223" t="str" cm="1">
        <f t="array" ref="AK90">IF($D90&lt;COLUMNS($F$7:AK$7),"",INDEX(TableDiv[[GASB]:[GASB]],_xlfn.AGGREGATE(15,3,(TableDiv[[Agency]:[Agency]]=$E90)/(TableDiv[[Agency]:[Agency]]=$E90)*(ROW(TableDiv[Agency])-ROW(TableDiv[[#Headers],[Agency]])),COLUMNS($F$7:AK$7))))</f>
        <v/>
      </c>
      <c r="AL90" s="2223" t="str" cm="1">
        <f t="array" ref="AL90">IF($D90&lt;COLUMNS($F$7:AL$7),"",INDEX(TableDiv[[GASB]:[GASB]],_xlfn.AGGREGATE(15,3,(TableDiv[[Agency]:[Agency]]=$E90)/(TableDiv[[Agency]:[Agency]]=$E90)*(ROW(TableDiv[Agency])-ROW(TableDiv[[#Headers],[Agency]])),COLUMNS($F$7:AL$7))))</f>
        <v/>
      </c>
      <c r="AM90" s="2223" t="str" cm="1">
        <f t="array" ref="AM90">IF($D90&lt;COLUMNS($F$7:AM$7),"",INDEX(TableDiv[[GASB]:[GASB]],_xlfn.AGGREGATE(15,3,(TableDiv[[Agency]:[Agency]]=$E90)/(TableDiv[[Agency]:[Agency]]=$E90)*(ROW(TableDiv[Agency])-ROW(TableDiv[[#Headers],[Agency]])),COLUMNS($F$7:AM$7))))</f>
        <v/>
      </c>
      <c r="AN90" s="2223"/>
      <c r="AO90" s="2223"/>
      <c r="AP90" s="2223"/>
      <c r="AQ90" s="2223"/>
      <c r="AR90" s="2223"/>
      <c r="AS90" s="2223"/>
    </row>
    <row r="91" spans="1:45" ht="15" x14ac:dyDescent="0.25">
      <c r="A91" s="2219" t="s">
        <v>5104</v>
      </c>
      <c r="B91" s="2219" t="s">
        <v>6408</v>
      </c>
      <c r="C91" s="2223"/>
      <c r="D91" s="2223">
        <f>COUNTIF(TableDiv[Agency],E91)</f>
        <v>1</v>
      </c>
      <c r="E91" s="2230" t="str" cm="1">
        <f t="array" ref="E91">IFERROR(INDEX(TableDiv[Agency],MATCH(0,INDEX(COUNTIF($E$7:E90,TableDiv[Agency]),),0)),"")</f>
        <v>CDF</v>
      </c>
      <c r="F91" s="2223" t="str" cm="1">
        <f t="array" ref="F91">IF($D91&lt;COLUMNS($F$7:F$7),"",INDEX(TableDiv[[GASB]:[GASB]],_xlfn.AGGREGATE(15,3,(TableDiv[[Agency]:[Agency]]=$E91)/(TableDiv[[Agency]:[Agency]]=$E91)*(ROW(TableDiv[Agency])-ROW(TableDiv[[#Headers],[Agency]])),COLUMNS($F$7:F$7))))</f>
        <v>48200G</v>
      </c>
      <c r="G91" s="2223" t="str" cm="1">
        <f t="array" ref="G91">IF($D91&lt;COLUMNS($F$7:G$7),"",INDEX(TableDiv[[GASB]:[GASB]],_xlfn.AGGREGATE(15,3,(TableDiv[[Agency]:[Agency]]=$E91)/(TableDiv[[Agency]:[Agency]]=$E91)*(ROW(TableDiv[Agency])-ROW(TableDiv[[#Headers],[Agency]])),COLUMNS($F$7:G$7))))</f>
        <v/>
      </c>
      <c r="H91" s="2223" t="str" cm="1">
        <f t="array" ref="H91">IF($D91&lt;COLUMNS($F$7:H$7),"",INDEX(TableDiv[[GASB]:[GASB]],_xlfn.AGGREGATE(15,3,(TableDiv[[Agency]:[Agency]]=$E91)/(TableDiv[[Agency]:[Agency]]=$E91)*(ROW(TableDiv[Agency])-ROW(TableDiv[[#Headers],[Agency]])),COLUMNS($F$7:H$7))))</f>
        <v/>
      </c>
      <c r="I91" s="2223" t="str" cm="1">
        <f t="array" ref="I91">IF($D91&lt;COLUMNS($F$7:I$7),"",INDEX(TableDiv[[GASB]:[GASB]],_xlfn.AGGREGATE(15,3,(TableDiv[[Agency]:[Agency]]=$E91)/(TableDiv[[Agency]:[Agency]]=$E91)*(ROW(TableDiv[Agency])-ROW(TableDiv[[#Headers],[Agency]])),COLUMNS($F$7:I$7))))</f>
        <v/>
      </c>
      <c r="J91" s="2223" t="str" cm="1">
        <f t="array" ref="J91">IF($D91&lt;COLUMNS($F$7:J$7),"",INDEX(TableDiv[[GASB]:[GASB]],_xlfn.AGGREGATE(15,3,(TableDiv[[Agency]:[Agency]]=$E91)/(TableDiv[[Agency]:[Agency]]=$E91)*(ROW(TableDiv[Agency])-ROW(TableDiv[[#Headers],[Agency]])),COLUMNS($F$7:J$7))))</f>
        <v/>
      </c>
      <c r="K91" s="2223" t="str" cm="1">
        <f t="array" ref="K91">IF($D91&lt;COLUMNS($F$7:K$7),"",INDEX(TableDiv[[GASB]:[GASB]],_xlfn.AGGREGATE(15,3,(TableDiv[[Agency]:[Agency]]=$E91)/(TableDiv[[Agency]:[Agency]]=$E91)*(ROW(TableDiv[Agency])-ROW(TableDiv[[#Headers],[Agency]])),COLUMNS($F$7:K$7))))</f>
        <v/>
      </c>
      <c r="L91" s="2223" t="str" cm="1">
        <f t="array" ref="L91">IF($D91&lt;COLUMNS($F$7:L$7),"",INDEX(TableDiv[[GASB]:[GASB]],_xlfn.AGGREGATE(15,3,(TableDiv[[Agency]:[Agency]]=$E91)/(TableDiv[[Agency]:[Agency]]=$E91)*(ROW(TableDiv[Agency])-ROW(TableDiv[[#Headers],[Agency]])),COLUMNS($F$7:L$7))))</f>
        <v/>
      </c>
      <c r="M91" s="2223" t="str" cm="1">
        <f t="array" ref="M91">IF($D91&lt;COLUMNS($F$7:M$7),"",INDEX(TableDiv[[GASB]:[GASB]],_xlfn.AGGREGATE(15,3,(TableDiv[[Agency]:[Agency]]=$E91)/(TableDiv[[Agency]:[Agency]]=$E91)*(ROW(TableDiv[Agency])-ROW(TableDiv[[#Headers],[Agency]])),COLUMNS($F$7:M$7))))</f>
        <v/>
      </c>
      <c r="N91" s="2223" t="str" cm="1">
        <f t="array" ref="N91">IF($D91&lt;COLUMNS($F$7:N$7),"",INDEX(TableDiv[[GASB]:[GASB]],_xlfn.AGGREGATE(15,3,(TableDiv[[Agency]:[Agency]]=$E91)/(TableDiv[[Agency]:[Agency]]=$E91)*(ROW(TableDiv[Agency])-ROW(TableDiv[[#Headers],[Agency]])),COLUMNS($F$7:N$7))))</f>
        <v/>
      </c>
      <c r="O91" s="2223" t="str" cm="1">
        <f t="array" ref="O91">IF($D91&lt;COLUMNS($F$7:O$7),"",INDEX(TableDiv[[GASB]:[GASB]],_xlfn.AGGREGATE(15,3,(TableDiv[[Agency]:[Agency]]=$E91)/(TableDiv[[Agency]:[Agency]]=$E91)*(ROW(TableDiv[Agency])-ROW(TableDiv[[#Headers],[Agency]])),COLUMNS($F$7:O$7))))</f>
        <v/>
      </c>
      <c r="P91" s="2223" t="str" cm="1">
        <f t="array" ref="P91">IF($D91&lt;COLUMNS($F$7:P$7),"",INDEX(TableDiv[[GASB]:[GASB]],_xlfn.AGGREGATE(15,3,(TableDiv[[Agency]:[Agency]]=$E91)/(TableDiv[[Agency]:[Agency]]=$E91)*(ROW(TableDiv[Agency])-ROW(TableDiv[[#Headers],[Agency]])),COLUMNS($F$7:P$7))))</f>
        <v/>
      </c>
      <c r="Q91" s="2223" t="str" cm="1">
        <f t="array" ref="Q91">IF($D91&lt;COLUMNS($F$7:Q$7),"",INDEX(TableDiv[[GASB]:[GASB]],_xlfn.AGGREGATE(15,3,(TableDiv[[Agency]:[Agency]]=$E91)/(TableDiv[[Agency]:[Agency]]=$E91)*(ROW(TableDiv[Agency])-ROW(TableDiv[[#Headers],[Agency]])),COLUMNS($F$7:Q$7))))</f>
        <v/>
      </c>
      <c r="R91" s="2223" t="str" cm="1">
        <f t="array" ref="R91">IF($D91&lt;COLUMNS($F$7:R$7),"",INDEX(TableDiv[[GASB]:[GASB]],_xlfn.AGGREGATE(15,3,(TableDiv[[Agency]:[Agency]]=$E91)/(TableDiv[[Agency]:[Agency]]=$E91)*(ROW(TableDiv[Agency])-ROW(TableDiv[[#Headers],[Agency]])),COLUMNS($F$7:R$7))))</f>
        <v/>
      </c>
      <c r="S91" s="2223" t="str" cm="1">
        <f t="array" ref="S91">IF($D91&lt;COLUMNS($F$7:S$7),"",INDEX(TableDiv[[GASB]:[GASB]],_xlfn.AGGREGATE(15,3,(TableDiv[[Agency]:[Agency]]=$E91)/(TableDiv[[Agency]:[Agency]]=$E91)*(ROW(TableDiv[Agency])-ROW(TableDiv[[#Headers],[Agency]])),COLUMNS($F$7:S$7))))</f>
        <v/>
      </c>
      <c r="T91" s="2223" t="str" cm="1">
        <f t="array" ref="T91">IF($D91&lt;COLUMNS($F$7:T$7),"",INDEX(TableDiv[[GASB]:[GASB]],_xlfn.AGGREGATE(15,3,(TableDiv[[Agency]:[Agency]]=$E91)/(TableDiv[[Agency]:[Agency]]=$E91)*(ROW(TableDiv[Agency])-ROW(TableDiv[[#Headers],[Agency]])),COLUMNS($F$7:T$7))))</f>
        <v/>
      </c>
      <c r="U91" s="2223" t="str" cm="1">
        <f t="array" ref="U91">IF($D91&lt;COLUMNS($F$7:U$7),"",INDEX(TableDiv[[GASB]:[GASB]],_xlfn.AGGREGATE(15,3,(TableDiv[[Agency]:[Agency]]=$E91)/(TableDiv[[Agency]:[Agency]]=$E91)*(ROW(TableDiv[Agency])-ROW(TableDiv[[#Headers],[Agency]])),COLUMNS($F$7:U$7))))</f>
        <v/>
      </c>
      <c r="V91" s="2223" t="str" cm="1">
        <f t="array" ref="V91">IF($D91&lt;COLUMNS($F$7:V$7),"",INDEX(TableDiv[[GASB]:[GASB]],_xlfn.AGGREGATE(15,3,(TableDiv[[Agency]:[Agency]]=$E91)/(TableDiv[[Agency]:[Agency]]=$E91)*(ROW(TableDiv[Agency])-ROW(TableDiv[[#Headers],[Agency]])),COLUMNS($F$7:V$7))))</f>
        <v/>
      </c>
      <c r="W91" s="2223" t="str" cm="1">
        <f t="array" ref="W91">IF($D91&lt;COLUMNS($F$7:W$7),"",INDEX(TableDiv[[GASB]:[GASB]],_xlfn.AGGREGATE(15,3,(TableDiv[[Agency]:[Agency]]=$E91)/(TableDiv[[Agency]:[Agency]]=$E91)*(ROW(TableDiv[Agency])-ROW(TableDiv[[#Headers],[Agency]])),COLUMNS($F$7:W$7))))</f>
        <v/>
      </c>
      <c r="X91" s="2223" t="str" cm="1">
        <f t="array" ref="X91">IF($D91&lt;COLUMNS($F$7:X$7),"",INDEX(TableDiv[[GASB]:[GASB]],_xlfn.AGGREGATE(15,3,(TableDiv[[Agency]:[Agency]]=$E91)/(TableDiv[[Agency]:[Agency]]=$E91)*(ROW(TableDiv[Agency])-ROW(TableDiv[[#Headers],[Agency]])),COLUMNS($F$7:X$7))))</f>
        <v/>
      </c>
      <c r="Y91" s="2223" t="str" cm="1">
        <f t="array" ref="Y91">IF($D91&lt;COLUMNS($F$7:Y$7),"",INDEX(TableDiv[[GASB]:[GASB]],_xlfn.AGGREGATE(15,3,(TableDiv[[Agency]:[Agency]]=$E91)/(TableDiv[[Agency]:[Agency]]=$E91)*(ROW(TableDiv[Agency])-ROW(TableDiv[[#Headers],[Agency]])),COLUMNS($F$7:Y$7))))</f>
        <v/>
      </c>
      <c r="Z91" s="2223" t="str" cm="1">
        <f t="array" ref="Z91">IF($D91&lt;COLUMNS($F$7:Z$7),"",INDEX(TableDiv[[GASB]:[GASB]],_xlfn.AGGREGATE(15,3,(TableDiv[[Agency]:[Agency]]=$E91)/(TableDiv[[Agency]:[Agency]]=$E91)*(ROW(TableDiv[Agency])-ROW(TableDiv[[#Headers],[Agency]])),COLUMNS($F$7:Z$7))))</f>
        <v/>
      </c>
      <c r="AA91" s="2223" t="str" cm="1">
        <f t="array" ref="AA91">IF($D91&lt;COLUMNS($F$7:AA$7),"",INDEX(TableDiv[[GASB]:[GASB]],_xlfn.AGGREGATE(15,3,(TableDiv[[Agency]:[Agency]]=$E91)/(TableDiv[[Agency]:[Agency]]=$E91)*(ROW(TableDiv[Agency])-ROW(TableDiv[[#Headers],[Agency]])),COLUMNS($F$7:AA$7))))</f>
        <v/>
      </c>
      <c r="AB91" s="2223" t="str" cm="1">
        <f t="array" ref="AB91">IF($D91&lt;COLUMNS($F$7:AB$7),"",INDEX(TableDiv[[GASB]:[GASB]],_xlfn.AGGREGATE(15,3,(TableDiv[[Agency]:[Agency]]=$E91)/(TableDiv[[Agency]:[Agency]]=$E91)*(ROW(TableDiv[Agency])-ROW(TableDiv[[#Headers],[Agency]])),COLUMNS($F$7:AB$7))))</f>
        <v/>
      </c>
      <c r="AC91" s="2223" t="str" cm="1">
        <f t="array" ref="AC91">IF($D91&lt;COLUMNS($F$7:AC$7),"",INDEX(TableDiv[[GASB]:[GASB]],_xlfn.AGGREGATE(15,3,(TableDiv[[Agency]:[Agency]]=$E91)/(TableDiv[[Agency]:[Agency]]=$E91)*(ROW(TableDiv[Agency])-ROW(TableDiv[[#Headers],[Agency]])),COLUMNS($F$7:AC$7))))</f>
        <v/>
      </c>
      <c r="AD91" s="2223" t="str" cm="1">
        <f t="array" ref="AD91">IF($D91&lt;COLUMNS($F$7:AD$7),"",INDEX(TableDiv[[GASB]:[GASB]],_xlfn.AGGREGATE(15,3,(TableDiv[[Agency]:[Agency]]=$E91)/(TableDiv[[Agency]:[Agency]]=$E91)*(ROW(TableDiv[Agency])-ROW(TableDiv[[#Headers],[Agency]])),COLUMNS($F$7:AD$7))))</f>
        <v/>
      </c>
      <c r="AE91" s="2223" t="str" cm="1">
        <f t="array" ref="AE91">IF($D91&lt;COLUMNS($F$7:AE$7),"",INDEX(TableDiv[[GASB]:[GASB]],_xlfn.AGGREGATE(15,3,(TableDiv[[Agency]:[Agency]]=$E91)/(TableDiv[[Agency]:[Agency]]=$E91)*(ROW(TableDiv[Agency])-ROW(TableDiv[[#Headers],[Agency]])),COLUMNS($F$7:AE$7))))</f>
        <v/>
      </c>
      <c r="AF91" s="2223" t="str" cm="1">
        <f t="array" ref="AF91">IF($D91&lt;COLUMNS($F$7:AF$7),"",INDEX(TableDiv[[GASB]:[GASB]],_xlfn.AGGREGATE(15,3,(TableDiv[[Agency]:[Agency]]=$E91)/(TableDiv[[Agency]:[Agency]]=$E91)*(ROW(TableDiv[Agency])-ROW(TableDiv[[#Headers],[Agency]])),COLUMNS($F$7:AF$7))))</f>
        <v/>
      </c>
      <c r="AG91" s="2223" t="str" cm="1">
        <f t="array" ref="AG91">IF($D91&lt;COLUMNS($F$7:AG$7),"",INDEX(TableDiv[[GASB]:[GASB]],_xlfn.AGGREGATE(15,3,(TableDiv[[Agency]:[Agency]]=$E91)/(TableDiv[[Agency]:[Agency]]=$E91)*(ROW(TableDiv[Agency])-ROW(TableDiv[[#Headers],[Agency]])),COLUMNS($F$7:AG$7))))</f>
        <v/>
      </c>
      <c r="AH91" s="2223" t="str" cm="1">
        <f t="array" ref="AH91">IF($D91&lt;COLUMNS($F$7:AH$7),"",INDEX(TableDiv[[GASB]:[GASB]],_xlfn.AGGREGATE(15,3,(TableDiv[[Agency]:[Agency]]=$E91)/(TableDiv[[Agency]:[Agency]]=$E91)*(ROW(TableDiv[Agency])-ROW(TableDiv[[#Headers],[Agency]])),COLUMNS($F$7:AH$7))))</f>
        <v/>
      </c>
      <c r="AI91" s="2223" t="str" cm="1">
        <f t="array" ref="AI91">IF($D91&lt;COLUMNS($F$7:AI$7),"",INDEX(TableDiv[[GASB]:[GASB]],_xlfn.AGGREGATE(15,3,(TableDiv[[Agency]:[Agency]]=$E91)/(TableDiv[[Agency]:[Agency]]=$E91)*(ROW(TableDiv[Agency])-ROW(TableDiv[[#Headers],[Agency]])),COLUMNS($F$7:AI$7))))</f>
        <v/>
      </c>
      <c r="AJ91" s="2223" t="str" cm="1">
        <f t="array" ref="AJ91">IF($D91&lt;COLUMNS($F$7:AJ$7),"",INDEX(TableDiv[[GASB]:[GASB]],_xlfn.AGGREGATE(15,3,(TableDiv[[Agency]:[Agency]]=$E91)/(TableDiv[[Agency]:[Agency]]=$E91)*(ROW(TableDiv[Agency])-ROW(TableDiv[[#Headers],[Agency]])),COLUMNS($F$7:AJ$7))))</f>
        <v/>
      </c>
      <c r="AK91" s="2223" t="str" cm="1">
        <f t="array" ref="AK91">IF($D91&lt;COLUMNS($F$7:AK$7),"",INDEX(TableDiv[[GASB]:[GASB]],_xlfn.AGGREGATE(15,3,(TableDiv[[Agency]:[Agency]]=$E91)/(TableDiv[[Agency]:[Agency]]=$E91)*(ROW(TableDiv[Agency])-ROW(TableDiv[[#Headers],[Agency]])),COLUMNS($F$7:AK$7))))</f>
        <v/>
      </c>
      <c r="AL91" s="2223" t="str" cm="1">
        <f t="array" ref="AL91">IF($D91&lt;COLUMNS($F$7:AL$7),"",INDEX(TableDiv[[GASB]:[GASB]],_xlfn.AGGREGATE(15,3,(TableDiv[[Agency]:[Agency]]=$E91)/(TableDiv[[Agency]:[Agency]]=$E91)*(ROW(TableDiv[Agency])-ROW(TableDiv[[#Headers],[Agency]])),COLUMNS($F$7:AL$7))))</f>
        <v/>
      </c>
      <c r="AM91" s="2223" t="str" cm="1">
        <f t="array" ref="AM91">IF($D91&lt;COLUMNS($F$7:AM$7),"",INDEX(TableDiv[[GASB]:[GASB]],_xlfn.AGGREGATE(15,3,(TableDiv[[Agency]:[Agency]]=$E91)/(TableDiv[[Agency]:[Agency]]=$E91)*(ROW(TableDiv[Agency])-ROW(TableDiv[[#Headers],[Agency]])),COLUMNS($F$7:AM$7))))</f>
        <v/>
      </c>
      <c r="AN91" s="2223"/>
      <c r="AO91" s="2223"/>
      <c r="AP91" s="2223"/>
      <c r="AQ91" s="2223"/>
      <c r="AR91" s="2223"/>
      <c r="AS91" s="2223"/>
    </row>
    <row r="92" spans="1:45" ht="15" x14ac:dyDescent="0.25">
      <c r="A92" s="2219" t="s">
        <v>5104</v>
      </c>
      <c r="B92" s="2219" t="s">
        <v>6409</v>
      </c>
      <c r="C92" s="2223"/>
      <c r="D92" s="2223">
        <f>COUNTIF(TableDiv[Agency],E92)</f>
        <v>1</v>
      </c>
      <c r="E92" s="2230" t="str" cm="1">
        <f t="array" ref="E92">IFERROR(INDEX(TableDiv[Agency],MATCH(0,INDEX(COUNTIF($E$7:E91,TableDiv[Agency]),),0)),"")</f>
        <v>CCF</v>
      </c>
      <c r="F92" s="2223" t="str" cm="1">
        <f t="array" ref="F92">IF($D92&lt;COLUMNS($F$7:F$7),"",INDEX(TableDiv[[GASB]:[GASB]],_xlfn.AGGREGATE(15,3,(TableDiv[[Agency]:[Agency]]=$E92)/(TableDiv[[Agency]:[Agency]]=$E92)*(ROW(TableDiv[Agency])-ROW(TableDiv[[#Headers],[Agency]])),COLUMNS($F$7:F$7))))</f>
        <v>48200G</v>
      </c>
      <c r="G92" s="2223" t="str" cm="1">
        <f t="array" ref="G92">IF($D92&lt;COLUMNS($F$7:G$7),"",INDEX(TableDiv[[GASB]:[GASB]],_xlfn.AGGREGATE(15,3,(TableDiv[[Agency]:[Agency]]=$E92)/(TableDiv[[Agency]:[Agency]]=$E92)*(ROW(TableDiv[Agency])-ROW(TableDiv[[#Headers],[Agency]])),COLUMNS($F$7:G$7))))</f>
        <v/>
      </c>
      <c r="H92" s="2223" t="str" cm="1">
        <f t="array" ref="H92">IF($D92&lt;COLUMNS($F$7:H$7),"",INDEX(TableDiv[[GASB]:[GASB]],_xlfn.AGGREGATE(15,3,(TableDiv[[Agency]:[Agency]]=$E92)/(TableDiv[[Agency]:[Agency]]=$E92)*(ROW(TableDiv[Agency])-ROW(TableDiv[[#Headers],[Agency]])),COLUMNS($F$7:H$7))))</f>
        <v/>
      </c>
      <c r="I92" s="2223" t="str" cm="1">
        <f t="array" ref="I92">IF($D92&lt;COLUMNS($F$7:I$7),"",INDEX(TableDiv[[GASB]:[GASB]],_xlfn.AGGREGATE(15,3,(TableDiv[[Agency]:[Agency]]=$E92)/(TableDiv[[Agency]:[Agency]]=$E92)*(ROW(TableDiv[Agency])-ROW(TableDiv[[#Headers],[Agency]])),COLUMNS($F$7:I$7))))</f>
        <v/>
      </c>
      <c r="J92" s="2223" t="str" cm="1">
        <f t="array" ref="J92">IF($D92&lt;COLUMNS($F$7:J$7),"",INDEX(TableDiv[[GASB]:[GASB]],_xlfn.AGGREGATE(15,3,(TableDiv[[Agency]:[Agency]]=$E92)/(TableDiv[[Agency]:[Agency]]=$E92)*(ROW(TableDiv[Agency])-ROW(TableDiv[[#Headers],[Agency]])),COLUMNS($F$7:J$7))))</f>
        <v/>
      </c>
      <c r="K92" s="2223" t="str" cm="1">
        <f t="array" ref="K92">IF($D92&lt;COLUMNS($F$7:K$7),"",INDEX(TableDiv[[GASB]:[GASB]],_xlfn.AGGREGATE(15,3,(TableDiv[[Agency]:[Agency]]=$E92)/(TableDiv[[Agency]:[Agency]]=$E92)*(ROW(TableDiv[Agency])-ROW(TableDiv[[#Headers],[Agency]])),COLUMNS($F$7:K$7))))</f>
        <v/>
      </c>
      <c r="L92" s="2223" t="str" cm="1">
        <f t="array" ref="L92">IF($D92&lt;COLUMNS($F$7:L$7),"",INDEX(TableDiv[[GASB]:[GASB]],_xlfn.AGGREGATE(15,3,(TableDiv[[Agency]:[Agency]]=$E92)/(TableDiv[[Agency]:[Agency]]=$E92)*(ROW(TableDiv[Agency])-ROW(TableDiv[[#Headers],[Agency]])),COLUMNS($F$7:L$7))))</f>
        <v/>
      </c>
      <c r="M92" s="2223" t="str" cm="1">
        <f t="array" ref="M92">IF($D92&lt;COLUMNS($F$7:M$7),"",INDEX(TableDiv[[GASB]:[GASB]],_xlfn.AGGREGATE(15,3,(TableDiv[[Agency]:[Agency]]=$E92)/(TableDiv[[Agency]:[Agency]]=$E92)*(ROW(TableDiv[Agency])-ROW(TableDiv[[#Headers],[Agency]])),COLUMNS($F$7:M$7))))</f>
        <v/>
      </c>
      <c r="N92" s="2223" t="str" cm="1">
        <f t="array" ref="N92">IF($D92&lt;COLUMNS($F$7:N$7),"",INDEX(TableDiv[[GASB]:[GASB]],_xlfn.AGGREGATE(15,3,(TableDiv[[Agency]:[Agency]]=$E92)/(TableDiv[[Agency]:[Agency]]=$E92)*(ROW(TableDiv[Agency])-ROW(TableDiv[[#Headers],[Agency]])),COLUMNS($F$7:N$7))))</f>
        <v/>
      </c>
      <c r="O92" s="2223" t="str" cm="1">
        <f t="array" ref="O92">IF($D92&lt;COLUMNS($F$7:O$7),"",INDEX(TableDiv[[GASB]:[GASB]],_xlfn.AGGREGATE(15,3,(TableDiv[[Agency]:[Agency]]=$E92)/(TableDiv[[Agency]:[Agency]]=$E92)*(ROW(TableDiv[Agency])-ROW(TableDiv[[#Headers],[Agency]])),COLUMNS($F$7:O$7))))</f>
        <v/>
      </c>
      <c r="P92" s="2223" t="str" cm="1">
        <f t="array" ref="P92">IF($D92&lt;COLUMNS($F$7:P$7),"",INDEX(TableDiv[[GASB]:[GASB]],_xlfn.AGGREGATE(15,3,(TableDiv[[Agency]:[Agency]]=$E92)/(TableDiv[[Agency]:[Agency]]=$E92)*(ROW(TableDiv[Agency])-ROW(TableDiv[[#Headers],[Agency]])),COLUMNS($F$7:P$7))))</f>
        <v/>
      </c>
      <c r="Q92" s="2223" t="str" cm="1">
        <f t="array" ref="Q92">IF($D92&lt;COLUMNS($F$7:Q$7),"",INDEX(TableDiv[[GASB]:[GASB]],_xlfn.AGGREGATE(15,3,(TableDiv[[Agency]:[Agency]]=$E92)/(TableDiv[[Agency]:[Agency]]=$E92)*(ROW(TableDiv[Agency])-ROW(TableDiv[[#Headers],[Agency]])),COLUMNS($F$7:Q$7))))</f>
        <v/>
      </c>
      <c r="R92" s="2223" t="str" cm="1">
        <f t="array" ref="R92">IF($D92&lt;COLUMNS($F$7:R$7),"",INDEX(TableDiv[[GASB]:[GASB]],_xlfn.AGGREGATE(15,3,(TableDiv[[Agency]:[Agency]]=$E92)/(TableDiv[[Agency]:[Agency]]=$E92)*(ROW(TableDiv[Agency])-ROW(TableDiv[[#Headers],[Agency]])),COLUMNS($F$7:R$7))))</f>
        <v/>
      </c>
      <c r="S92" s="2223" t="str" cm="1">
        <f t="array" ref="S92">IF($D92&lt;COLUMNS($F$7:S$7),"",INDEX(TableDiv[[GASB]:[GASB]],_xlfn.AGGREGATE(15,3,(TableDiv[[Agency]:[Agency]]=$E92)/(TableDiv[[Agency]:[Agency]]=$E92)*(ROW(TableDiv[Agency])-ROW(TableDiv[[#Headers],[Agency]])),COLUMNS($F$7:S$7))))</f>
        <v/>
      </c>
      <c r="T92" s="2223" t="str" cm="1">
        <f t="array" ref="T92">IF($D92&lt;COLUMNS($F$7:T$7),"",INDEX(TableDiv[[GASB]:[GASB]],_xlfn.AGGREGATE(15,3,(TableDiv[[Agency]:[Agency]]=$E92)/(TableDiv[[Agency]:[Agency]]=$E92)*(ROW(TableDiv[Agency])-ROW(TableDiv[[#Headers],[Agency]])),COLUMNS($F$7:T$7))))</f>
        <v/>
      </c>
      <c r="U92" s="2223" t="str" cm="1">
        <f t="array" ref="U92">IF($D92&lt;COLUMNS($F$7:U$7),"",INDEX(TableDiv[[GASB]:[GASB]],_xlfn.AGGREGATE(15,3,(TableDiv[[Agency]:[Agency]]=$E92)/(TableDiv[[Agency]:[Agency]]=$E92)*(ROW(TableDiv[Agency])-ROW(TableDiv[[#Headers],[Agency]])),COLUMNS($F$7:U$7))))</f>
        <v/>
      </c>
      <c r="V92" s="2223" t="str" cm="1">
        <f t="array" ref="V92">IF($D92&lt;COLUMNS($F$7:V$7),"",INDEX(TableDiv[[GASB]:[GASB]],_xlfn.AGGREGATE(15,3,(TableDiv[[Agency]:[Agency]]=$E92)/(TableDiv[[Agency]:[Agency]]=$E92)*(ROW(TableDiv[Agency])-ROW(TableDiv[[#Headers],[Agency]])),COLUMNS($F$7:V$7))))</f>
        <v/>
      </c>
      <c r="W92" s="2223" t="str" cm="1">
        <f t="array" ref="W92">IF($D92&lt;COLUMNS($F$7:W$7),"",INDEX(TableDiv[[GASB]:[GASB]],_xlfn.AGGREGATE(15,3,(TableDiv[[Agency]:[Agency]]=$E92)/(TableDiv[[Agency]:[Agency]]=$E92)*(ROW(TableDiv[Agency])-ROW(TableDiv[[#Headers],[Agency]])),COLUMNS($F$7:W$7))))</f>
        <v/>
      </c>
      <c r="X92" s="2223" t="str" cm="1">
        <f t="array" ref="X92">IF($D92&lt;COLUMNS($F$7:X$7),"",INDEX(TableDiv[[GASB]:[GASB]],_xlfn.AGGREGATE(15,3,(TableDiv[[Agency]:[Agency]]=$E92)/(TableDiv[[Agency]:[Agency]]=$E92)*(ROW(TableDiv[Agency])-ROW(TableDiv[[#Headers],[Agency]])),COLUMNS($F$7:X$7))))</f>
        <v/>
      </c>
      <c r="Y92" s="2223" t="str" cm="1">
        <f t="array" ref="Y92">IF($D92&lt;COLUMNS($F$7:Y$7),"",INDEX(TableDiv[[GASB]:[GASB]],_xlfn.AGGREGATE(15,3,(TableDiv[[Agency]:[Agency]]=$E92)/(TableDiv[[Agency]:[Agency]]=$E92)*(ROW(TableDiv[Agency])-ROW(TableDiv[[#Headers],[Agency]])),COLUMNS($F$7:Y$7))))</f>
        <v/>
      </c>
      <c r="Z92" s="2223" t="str" cm="1">
        <f t="array" ref="Z92">IF($D92&lt;COLUMNS($F$7:Z$7),"",INDEX(TableDiv[[GASB]:[GASB]],_xlfn.AGGREGATE(15,3,(TableDiv[[Agency]:[Agency]]=$E92)/(TableDiv[[Agency]:[Agency]]=$E92)*(ROW(TableDiv[Agency])-ROW(TableDiv[[#Headers],[Agency]])),COLUMNS($F$7:Z$7))))</f>
        <v/>
      </c>
      <c r="AA92" s="2223" t="str" cm="1">
        <f t="array" ref="AA92">IF($D92&lt;COLUMNS($F$7:AA$7),"",INDEX(TableDiv[[GASB]:[GASB]],_xlfn.AGGREGATE(15,3,(TableDiv[[Agency]:[Agency]]=$E92)/(TableDiv[[Agency]:[Agency]]=$E92)*(ROW(TableDiv[Agency])-ROW(TableDiv[[#Headers],[Agency]])),COLUMNS($F$7:AA$7))))</f>
        <v/>
      </c>
      <c r="AB92" s="2223" t="str" cm="1">
        <f t="array" ref="AB92">IF($D92&lt;COLUMNS($F$7:AB$7),"",INDEX(TableDiv[[GASB]:[GASB]],_xlfn.AGGREGATE(15,3,(TableDiv[[Agency]:[Agency]]=$E92)/(TableDiv[[Agency]:[Agency]]=$E92)*(ROW(TableDiv[Agency])-ROW(TableDiv[[#Headers],[Agency]])),COLUMNS($F$7:AB$7))))</f>
        <v/>
      </c>
      <c r="AC92" s="2223" t="str" cm="1">
        <f t="array" ref="AC92">IF($D92&lt;COLUMNS($F$7:AC$7),"",INDEX(TableDiv[[GASB]:[GASB]],_xlfn.AGGREGATE(15,3,(TableDiv[[Agency]:[Agency]]=$E92)/(TableDiv[[Agency]:[Agency]]=$E92)*(ROW(TableDiv[Agency])-ROW(TableDiv[[#Headers],[Agency]])),COLUMNS($F$7:AC$7))))</f>
        <v/>
      </c>
      <c r="AD92" s="2223" t="str" cm="1">
        <f t="array" ref="AD92">IF($D92&lt;COLUMNS($F$7:AD$7),"",INDEX(TableDiv[[GASB]:[GASB]],_xlfn.AGGREGATE(15,3,(TableDiv[[Agency]:[Agency]]=$E92)/(TableDiv[[Agency]:[Agency]]=$E92)*(ROW(TableDiv[Agency])-ROW(TableDiv[[#Headers],[Agency]])),COLUMNS($F$7:AD$7))))</f>
        <v/>
      </c>
      <c r="AE92" s="2223" t="str" cm="1">
        <f t="array" ref="AE92">IF($D92&lt;COLUMNS($F$7:AE$7),"",INDEX(TableDiv[[GASB]:[GASB]],_xlfn.AGGREGATE(15,3,(TableDiv[[Agency]:[Agency]]=$E92)/(TableDiv[[Agency]:[Agency]]=$E92)*(ROW(TableDiv[Agency])-ROW(TableDiv[[#Headers],[Agency]])),COLUMNS($F$7:AE$7))))</f>
        <v/>
      </c>
      <c r="AF92" s="2223" t="str" cm="1">
        <f t="array" ref="AF92">IF($D92&lt;COLUMNS($F$7:AF$7),"",INDEX(TableDiv[[GASB]:[GASB]],_xlfn.AGGREGATE(15,3,(TableDiv[[Agency]:[Agency]]=$E92)/(TableDiv[[Agency]:[Agency]]=$E92)*(ROW(TableDiv[Agency])-ROW(TableDiv[[#Headers],[Agency]])),COLUMNS($F$7:AF$7))))</f>
        <v/>
      </c>
      <c r="AG92" s="2223" t="str" cm="1">
        <f t="array" ref="AG92">IF($D92&lt;COLUMNS($F$7:AG$7),"",INDEX(TableDiv[[GASB]:[GASB]],_xlfn.AGGREGATE(15,3,(TableDiv[[Agency]:[Agency]]=$E92)/(TableDiv[[Agency]:[Agency]]=$E92)*(ROW(TableDiv[Agency])-ROW(TableDiv[[#Headers],[Agency]])),COLUMNS($F$7:AG$7))))</f>
        <v/>
      </c>
      <c r="AH92" s="2223" t="str" cm="1">
        <f t="array" ref="AH92">IF($D92&lt;COLUMNS($F$7:AH$7),"",INDEX(TableDiv[[GASB]:[GASB]],_xlfn.AGGREGATE(15,3,(TableDiv[[Agency]:[Agency]]=$E92)/(TableDiv[[Agency]:[Agency]]=$E92)*(ROW(TableDiv[Agency])-ROW(TableDiv[[#Headers],[Agency]])),COLUMNS($F$7:AH$7))))</f>
        <v/>
      </c>
      <c r="AI92" s="2223" t="str" cm="1">
        <f t="array" ref="AI92">IF($D92&lt;COLUMNS($F$7:AI$7),"",INDEX(TableDiv[[GASB]:[GASB]],_xlfn.AGGREGATE(15,3,(TableDiv[[Agency]:[Agency]]=$E92)/(TableDiv[[Agency]:[Agency]]=$E92)*(ROW(TableDiv[Agency])-ROW(TableDiv[[#Headers],[Agency]])),COLUMNS($F$7:AI$7))))</f>
        <v/>
      </c>
      <c r="AJ92" s="2223" t="str" cm="1">
        <f t="array" ref="AJ92">IF($D92&lt;COLUMNS($F$7:AJ$7),"",INDEX(TableDiv[[GASB]:[GASB]],_xlfn.AGGREGATE(15,3,(TableDiv[[Agency]:[Agency]]=$E92)/(TableDiv[[Agency]:[Agency]]=$E92)*(ROW(TableDiv[Agency])-ROW(TableDiv[[#Headers],[Agency]])),COLUMNS($F$7:AJ$7))))</f>
        <v/>
      </c>
      <c r="AK92" s="2223" t="str" cm="1">
        <f t="array" ref="AK92">IF($D92&lt;COLUMNS($F$7:AK$7),"",INDEX(TableDiv[[GASB]:[GASB]],_xlfn.AGGREGATE(15,3,(TableDiv[[Agency]:[Agency]]=$E92)/(TableDiv[[Agency]:[Agency]]=$E92)*(ROW(TableDiv[Agency])-ROW(TableDiv[[#Headers],[Agency]])),COLUMNS($F$7:AK$7))))</f>
        <v/>
      </c>
      <c r="AL92" s="2223" t="str" cm="1">
        <f t="array" ref="AL92">IF($D92&lt;COLUMNS($F$7:AL$7),"",INDEX(TableDiv[[GASB]:[GASB]],_xlfn.AGGREGATE(15,3,(TableDiv[[Agency]:[Agency]]=$E92)/(TableDiv[[Agency]:[Agency]]=$E92)*(ROW(TableDiv[Agency])-ROW(TableDiv[[#Headers],[Agency]])),COLUMNS($F$7:AL$7))))</f>
        <v/>
      </c>
      <c r="AM92" s="2223" t="str" cm="1">
        <f t="array" ref="AM92">IF($D92&lt;COLUMNS($F$7:AM$7),"",INDEX(TableDiv[[GASB]:[GASB]],_xlfn.AGGREGATE(15,3,(TableDiv[[Agency]:[Agency]]=$E92)/(TableDiv[[Agency]:[Agency]]=$E92)*(ROW(TableDiv[Agency])-ROW(TableDiv[[#Headers],[Agency]])),COLUMNS($F$7:AM$7))))</f>
        <v/>
      </c>
      <c r="AN92" s="2223"/>
      <c r="AO92" s="2223"/>
      <c r="AP92" s="2223"/>
      <c r="AQ92" s="2223"/>
      <c r="AR92" s="2223"/>
      <c r="AS92" s="2223"/>
    </row>
    <row r="93" spans="1:45" ht="15" x14ac:dyDescent="0.25">
      <c r="A93" s="2219" t="s">
        <v>5104</v>
      </c>
      <c r="B93" s="2219" t="s">
        <v>6410</v>
      </c>
      <c r="C93" s="2223"/>
      <c r="D93" s="2223">
        <f>COUNTIF(TableDiv[Agency],E93)</f>
        <v>1</v>
      </c>
      <c r="E93" s="2230" t="str" cm="1">
        <f t="array" ref="E93">IFERROR(INDEX(TableDiv[Agency],MATCH(0,INDEX(COUNTIF($E$7:E92,TableDiv[Agency]),),0)),"")</f>
        <v>CFF</v>
      </c>
      <c r="F93" s="2223" t="str" cm="1">
        <f t="array" ref="F93">IF($D93&lt;COLUMNS($F$7:F$7),"",INDEX(TableDiv[[GASB]:[GASB]],_xlfn.AGGREGATE(15,3,(TableDiv[[Agency]:[Agency]]=$E93)/(TableDiv[[Agency]:[Agency]]=$E93)*(ROW(TableDiv[Agency])-ROW(TableDiv[[#Headers],[Agency]])),COLUMNS($F$7:F$7))))</f>
        <v>48200G</v>
      </c>
      <c r="G93" s="2223" t="str" cm="1">
        <f t="array" ref="G93">IF($D93&lt;COLUMNS($F$7:G$7),"",INDEX(TableDiv[[GASB]:[GASB]],_xlfn.AGGREGATE(15,3,(TableDiv[[Agency]:[Agency]]=$E93)/(TableDiv[[Agency]:[Agency]]=$E93)*(ROW(TableDiv[Agency])-ROW(TableDiv[[#Headers],[Agency]])),COLUMNS($F$7:G$7))))</f>
        <v/>
      </c>
      <c r="H93" s="2223" t="str" cm="1">
        <f t="array" ref="H93">IF($D93&lt;COLUMNS($F$7:H$7),"",INDEX(TableDiv[[GASB]:[GASB]],_xlfn.AGGREGATE(15,3,(TableDiv[[Agency]:[Agency]]=$E93)/(TableDiv[[Agency]:[Agency]]=$E93)*(ROW(TableDiv[Agency])-ROW(TableDiv[[#Headers],[Agency]])),COLUMNS($F$7:H$7))))</f>
        <v/>
      </c>
      <c r="I93" s="2223" t="str" cm="1">
        <f t="array" ref="I93">IF($D93&lt;COLUMNS($F$7:I$7),"",INDEX(TableDiv[[GASB]:[GASB]],_xlfn.AGGREGATE(15,3,(TableDiv[[Agency]:[Agency]]=$E93)/(TableDiv[[Agency]:[Agency]]=$E93)*(ROW(TableDiv[Agency])-ROW(TableDiv[[#Headers],[Agency]])),COLUMNS($F$7:I$7))))</f>
        <v/>
      </c>
      <c r="J93" s="2223" t="str" cm="1">
        <f t="array" ref="J93">IF($D93&lt;COLUMNS($F$7:J$7),"",INDEX(TableDiv[[GASB]:[GASB]],_xlfn.AGGREGATE(15,3,(TableDiv[[Agency]:[Agency]]=$E93)/(TableDiv[[Agency]:[Agency]]=$E93)*(ROW(TableDiv[Agency])-ROW(TableDiv[[#Headers],[Agency]])),COLUMNS($F$7:J$7))))</f>
        <v/>
      </c>
      <c r="K93" s="2223" t="str" cm="1">
        <f t="array" ref="K93">IF($D93&lt;COLUMNS($F$7:K$7),"",INDEX(TableDiv[[GASB]:[GASB]],_xlfn.AGGREGATE(15,3,(TableDiv[[Agency]:[Agency]]=$E93)/(TableDiv[[Agency]:[Agency]]=$E93)*(ROW(TableDiv[Agency])-ROW(TableDiv[[#Headers],[Agency]])),COLUMNS($F$7:K$7))))</f>
        <v/>
      </c>
      <c r="L93" s="2223" t="str" cm="1">
        <f t="array" ref="L93">IF($D93&lt;COLUMNS($F$7:L$7),"",INDEX(TableDiv[[GASB]:[GASB]],_xlfn.AGGREGATE(15,3,(TableDiv[[Agency]:[Agency]]=$E93)/(TableDiv[[Agency]:[Agency]]=$E93)*(ROW(TableDiv[Agency])-ROW(TableDiv[[#Headers],[Agency]])),COLUMNS($F$7:L$7))))</f>
        <v/>
      </c>
      <c r="M93" s="2223" t="str" cm="1">
        <f t="array" ref="M93">IF($D93&lt;COLUMNS($F$7:M$7),"",INDEX(TableDiv[[GASB]:[GASB]],_xlfn.AGGREGATE(15,3,(TableDiv[[Agency]:[Agency]]=$E93)/(TableDiv[[Agency]:[Agency]]=$E93)*(ROW(TableDiv[Agency])-ROW(TableDiv[[#Headers],[Agency]])),COLUMNS($F$7:M$7))))</f>
        <v/>
      </c>
      <c r="N93" s="2223" t="str" cm="1">
        <f t="array" ref="N93">IF($D93&lt;COLUMNS($F$7:N$7),"",INDEX(TableDiv[[GASB]:[GASB]],_xlfn.AGGREGATE(15,3,(TableDiv[[Agency]:[Agency]]=$E93)/(TableDiv[[Agency]:[Agency]]=$E93)*(ROW(TableDiv[Agency])-ROW(TableDiv[[#Headers],[Agency]])),COLUMNS($F$7:N$7))))</f>
        <v/>
      </c>
      <c r="O93" s="2223" t="str" cm="1">
        <f t="array" ref="O93">IF($D93&lt;COLUMNS($F$7:O$7),"",INDEX(TableDiv[[GASB]:[GASB]],_xlfn.AGGREGATE(15,3,(TableDiv[[Agency]:[Agency]]=$E93)/(TableDiv[[Agency]:[Agency]]=$E93)*(ROW(TableDiv[Agency])-ROW(TableDiv[[#Headers],[Agency]])),COLUMNS($F$7:O$7))))</f>
        <v/>
      </c>
      <c r="P93" s="2223" t="str" cm="1">
        <f t="array" ref="P93">IF($D93&lt;COLUMNS($F$7:P$7),"",INDEX(TableDiv[[GASB]:[GASB]],_xlfn.AGGREGATE(15,3,(TableDiv[[Agency]:[Agency]]=$E93)/(TableDiv[[Agency]:[Agency]]=$E93)*(ROW(TableDiv[Agency])-ROW(TableDiv[[#Headers],[Agency]])),COLUMNS($F$7:P$7))))</f>
        <v/>
      </c>
      <c r="Q93" s="2223" t="str" cm="1">
        <f t="array" ref="Q93">IF($D93&lt;COLUMNS($F$7:Q$7),"",INDEX(TableDiv[[GASB]:[GASB]],_xlfn.AGGREGATE(15,3,(TableDiv[[Agency]:[Agency]]=$E93)/(TableDiv[[Agency]:[Agency]]=$E93)*(ROW(TableDiv[Agency])-ROW(TableDiv[[#Headers],[Agency]])),COLUMNS($F$7:Q$7))))</f>
        <v/>
      </c>
      <c r="R93" s="2223" t="str" cm="1">
        <f t="array" ref="R93">IF($D93&lt;COLUMNS($F$7:R$7),"",INDEX(TableDiv[[GASB]:[GASB]],_xlfn.AGGREGATE(15,3,(TableDiv[[Agency]:[Agency]]=$E93)/(TableDiv[[Agency]:[Agency]]=$E93)*(ROW(TableDiv[Agency])-ROW(TableDiv[[#Headers],[Agency]])),COLUMNS($F$7:R$7))))</f>
        <v/>
      </c>
      <c r="S93" s="2223" t="str" cm="1">
        <f t="array" ref="S93">IF($D93&lt;COLUMNS($F$7:S$7),"",INDEX(TableDiv[[GASB]:[GASB]],_xlfn.AGGREGATE(15,3,(TableDiv[[Agency]:[Agency]]=$E93)/(TableDiv[[Agency]:[Agency]]=$E93)*(ROW(TableDiv[Agency])-ROW(TableDiv[[#Headers],[Agency]])),COLUMNS($F$7:S$7))))</f>
        <v/>
      </c>
      <c r="T93" s="2223" t="str" cm="1">
        <f t="array" ref="T93">IF($D93&lt;COLUMNS($F$7:T$7),"",INDEX(TableDiv[[GASB]:[GASB]],_xlfn.AGGREGATE(15,3,(TableDiv[[Agency]:[Agency]]=$E93)/(TableDiv[[Agency]:[Agency]]=$E93)*(ROW(TableDiv[Agency])-ROW(TableDiv[[#Headers],[Agency]])),COLUMNS($F$7:T$7))))</f>
        <v/>
      </c>
      <c r="U93" s="2223" t="str" cm="1">
        <f t="array" ref="U93">IF($D93&lt;COLUMNS($F$7:U$7),"",INDEX(TableDiv[[GASB]:[GASB]],_xlfn.AGGREGATE(15,3,(TableDiv[[Agency]:[Agency]]=$E93)/(TableDiv[[Agency]:[Agency]]=$E93)*(ROW(TableDiv[Agency])-ROW(TableDiv[[#Headers],[Agency]])),COLUMNS($F$7:U$7))))</f>
        <v/>
      </c>
      <c r="V93" s="2223" t="str" cm="1">
        <f t="array" ref="V93">IF($D93&lt;COLUMNS($F$7:V$7),"",INDEX(TableDiv[[GASB]:[GASB]],_xlfn.AGGREGATE(15,3,(TableDiv[[Agency]:[Agency]]=$E93)/(TableDiv[[Agency]:[Agency]]=$E93)*(ROW(TableDiv[Agency])-ROW(TableDiv[[#Headers],[Agency]])),COLUMNS($F$7:V$7))))</f>
        <v/>
      </c>
      <c r="W93" s="2223" t="str" cm="1">
        <f t="array" ref="W93">IF($D93&lt;COLUMNS($F$7:W$7),"",INDEX(TableDiv[[GASB]:[GASB]],_xlfn.AGGREGATE(15,3,(TableDiv[[Agency]:[Agency]]=$E93)/(TableDiv[[Agency]:[Agency]]=$E93)*(ROW(TableDiv[Agency])-ROW(TableDiv[[#Headers],[Agency]])),COLUMNS($F$7:W$7))))</f>
        <v/>
      </c>
      <c r="X93" s="2223" t="str" cm="1">
        <f t="array" ref="X93">IF($D93&lt;COLUMNS($F$7:X$7),"",INDEX(TableDiv[[GASB]:[GASB]],_xlfn.AGGREGATE(15,3,(TableDiv[[Agency]:[Agency]]=$E93)/(TableDiv[[Agency]:[Agency]]=$E93)*(ROW(TableDiv[Agency])-ROW(TableDiv[[#Headers],[Agency]])),COLUMNS($F$7:X$7))))</f>
        <v/>
      </c>
      <c r="Y93" s="2223" t="str" cm="1">
        <f t="array" ref="Y93">IF($D93&lt;COLUMNS($F$7:Y$7),"",INDEX(TableDiv[[GASB]:[GASB]],_xlfn.AGGREGATE(15,3,(TableDiv[[Agency]:[Agency]]=$E93)/(TableDiv[[Agency]:[Agency]]=$E93)*(ROW(TableDiv[Agency])-ROW(TableDiv[[#Headers],[Agency]])),COLUMNS($F$7:Y$7))))</f>
        <v/>
      </c>
      <c r="Z93" s="2223" t="str" cm="1">
        <f t="array" ref="Z93">IF($D93&lt;COLUMNS($F$7:Z$7),"",INDEX(TableDiv[[GASB]:[GASB]],_xlfn.AGGREGATE(15,3,(TableDiv[[Agency]:[Agency]]=$E93)/(TableDiv[[Agency]:[Agency]]=$E93)*(ROW(TableDiv[Agency])-ROW(TableDiv[[#Headers],[Agency]])),COLUMNS($F$7:Z$7))))</f>
        <v/>
      </c>
      <c r="AA93" s="2223" t="str" cm="1">
        <f t="array" ref="AA93">IF($D93&lt;COLUMNS($F$7:AA$7),"",INDEX(TableDiv[[GASB]:[GASB]],_xlfn.AGGREGATE(15,3,(TableDiv[[Agency]:[Agency]]=$E93)/(TableDiv[[Agency]:[Agency]]=$E93)*(ROW(TableDiv[Agency])-ROW(TableDiv[[#Headers],[Agency]])),COLUMNS($F$7:AA$7))))</f>
        <v/>
      </c>
      <c r="AB93" s="2223" t="str" cm="1">
        <f t="array" ref="AB93">IF($D93&lt;COLUMNS($F$7:AB$7),"",INDEX(TableDiv[[GASB]:[GASB]],_xlfn.AGGREGATE(15,3,(TableDiv[[Agency]:[Agency]]=$E93)/(TableDiv[[Agency]:[Agency]]=$E93)*(ROW(TableDiv[Agency])-ROW(TableDiv[[#Headers],[Agency]])),COLUMNS($F$7:AB$7))))</f>
        <v/>
      </c>
      <c r="AC93" s="2223" t="str" cm="1">
        <f t="array" ref="AC93">IF($D93&lt;COLUMNS($F$7:AC$7),"",INDEX(TableDiv[[GASB]:[GASB]],_xlfn.AGGREGATE(15,3,(TableDiv[[Agency]:[Agency]]=$E93)/(TableDiv[[Agency]:[Agency]]=$E93)*(ROW(TableDiv[Agency])-ROW(TableDiv[[#Headers],[Agency]])),COLUMNS($F$7:AC$7))))</f>
        <v/>
      </c>
      <c r="AD93" s="2223" t="str" cm="1">
        <f t="array" ref="AD93">IF($D93&lt;COLUMNS($F$7:AD$7),"",INDEX(TableDiv[[GASB]:[GASB]],_xlfn.AGGREGATE(15,3,(TableDiv[[Agency]:[Agency]]=$E93)/(TableDiv[[Agency]:[Agency]]=$E93)*(ROW(TableDiv[Agency])-ROW(TableDiv[[#Headers],[Agency]])),COLUMNS($F$7:AD$7))))</f>
        <v/>
      </c>
      <c r="AE93" s="2223" t="str" cm="1">
        <f t="array" ref="AE93">IF($D93&lt;COLUMNS($F$7:AE$7),"",INDEX(TableDiv[[GASB]:[GASB]],_xlfn.AGGREGATE(15,3,(TableDiv[[Agency]:[Agency]]=$E93)/(TableDiv[[Agency]:[Agency]]=$E93)*(ROW(TableDiv[Agency])-ROW(TableDiv[[#Headers],[Agency]])),COLUMNS($F$7:AE$7))))</f>
        <v/>
      </c>
      <c r="AF93" s="2223" t="str" cm="1">
        <f t="array" ref="AF93">IF($D93&lt;COLUMNS($F$7:AF$7),"",INDEX(TableDiv[[GASB]:[GASB]],_xlfn.AGGREGATE(15,3,(TableDiv[[Agency]:[Agency]]=$E93)/(TableDiv[[Agency]:[Agency]]=$E93)*(ROW(TableDiv[Agency])-ROW(TableDiv[[#Headers],[Agency]])),COLUMNS($F$7:AF$7))))</f>
        <v/>
      </c>
      <c r="AG93" s="2223" t="str" cm="1">
        <f t="array" ref="AG93">IF($D93&lt;COLUMNS($F$7:AG$7),"",INDEX(TableDiv[[GASB]:[GASB]],_xlfn.AGGREGATE(15,3,(TableDiv[[Agency]:[Agency]]=$E93)/(TableDiv[[Agency]:[Agency]]=$E93)*(ROW(TableDiv[Agency])-ROW(TableDiv[[#Headers],[Agency]])),COLUMNS($F$7:AG$7))))</f>
        <v/>
      </c>
      <c r="AH93" s="2223" t="str" cm="1">
        <f t="array" ref="AH93">IF($D93&lt;COLUMNS($F$7:AH$7),"",INDEX(TableDiv[[GASB]:[GASB]],_xlfn.AGGREGATE(15,3,(TableDiv[[Agency]:[Agency]]=$E93)/(TableDiv[[Agency]:[Agency]]=$E93)*(ROW(TableDiv[Agency])-ROW(TableDiv[[#Headers],[Agency]])),COLUMNS($F$7:AH$7))))</f>
        <v/>
      </c>
      <c r="AI93" s="2223" t="str" cm="1">
        <f t="array" ref="AI93">IF($D93&lt;COLUMNS($F$7:AI$7),"",INDEX(TableDiv[[GASB]:[GASB]],_xlfn.AGGREGATE(15,3,(TableDiv[[Agency]:[Agency]]=$E93)/(TableDiv[[Agency]:[Agency]]=$E93)*(ROW(TableDiv[Agency])-ROW(TableDiv[[#Headers],[Agency]])),COLUMNS($F$7:AI$7))))</f>
        <v/>
      </c>
      <c r="AJ93" s="2223" t="str" cm="1">
        <f t="array" ref="AJ93">IF($D93&lt;COLUMNS($F$7:AJ$7),"",INDEX(TableDiv[[GASB]:[GASB]],_xlfn.AGGREGATE(15,3,(TableDiv[[Agency]:[Agency]]=$E93)/(TableDiv[[Agency]:[Agency]]=$E93)*(ROW(TableDiv[Agency])-ROW(TableDiv[[#Headers],[Agency]])),COLUMNS($F$7:AJ$7))))</f>
        <v/>
      </c>
      <c r="AK93" s="2223" t="str" cm="1">
        <f t="array" ref="AK93">IF($D93&lt;COLUMNS($F$7:AK$7),"",INDEX(TableDiv[[GASB]:[GASB]],_xlfn.AGGREGATE(15,3,(TableDiv[[Agency]:[Agency]]=$E93)/(TableDiv[[Agency]:[Agency]]=$E93)*(ROW(TableDiv[Agency])-ROW(TableDiv[[#Headers],[Agency]])),COLUMNS($F$7:AK$7))))</f>
        <v/>
      </c>
      <c r="AL93" s="2223" t="str" cm="1">
        <f t="array" ref="AL93">IF($D93&lt;COLUMNS($F$7:AL$7),"",INDEX(TableDiv[[GASB]:[GASB]],_xlfn.AGGREGATE(15,3,(TableDiv[[Agency]:[Agency]]=$E93)/(TableDiv[[Agency]:[Agency]]=$E93)*(ROW(TableDiv[Agency])-ROW(TableDiv[[#Headers],[Agency]])),COLUMNS($F$7:AL$7))))</f>
        <v/>
      </c>
      <c r="AM93" s="2223" t="str" cm="1">
        <f t="array" ref="AM93">IF($D93&lt;COLUMNS($F$7:AM$7),"",INDEX(TableDiv[[GASB]:[GASB]],_xlfn.AGGREGATE(15,3,(TableDiv[[Agency]:[Agency]]=$E93)/(TableDiv[[Agency]:[Agency]]=$E93)*(ROW(TableDiv[Agency])-ROW(TableDiv[[#Headers],[Agency]])),COLUMNS($F$7:AM$7))))</f>
        <v/>
      </c>
      <c r="AN93" s="2223"/>
      <c r="AO93" s="2223"/>
      <c r="AP93" s="2223"/>
      <c r="AQ93" s="2223"/>
      <c r="AR93" s="2223"/>
      <c r="AS93" s="2223"/>
    </row>
    <row r="94" spans="1:45" ht="15" x14ac:dyDescent="0.25">
      <c r="A94" s="2219" t="s">
        <v>5104</v>
      </c>
      <c r="B94" s="2219" t="s">
        <v>6393</v>
      </c>
      <c r="C94" s="2223"/>
      <c r="D94" s="2223">
        <f>COUNTIF(TableDiv[Agency],E94)</f>
        <v>1</v>
      </c>
      <c r="E94" s="2230" t="str" cm="1">
        <f t="array" ref="E94">IFERROR(INDEX(TableDiv[Agency],MATCH(0,INDEX(COUNTIF($E$7:E93,TableDiv[Agency]),),0)),"")</f>
        <v>CHF</v>
      </c>
      <c r="F94" s="2223" t="str" cm="1">
        <f t="array" ref="F94">IF($D94&lt;COLUMNS($F$7:F$7),"",INDEX(TableDiv[[GASB]:[GASB]],_xlfn.AGGREGATE(15,3,(TableDiv[[Agency]:[Agency]]=$E94)/(TableDiv[[Agency]:[Agency]]=$E94)*(ROW(TableDiv[Agency])-ROW(TableDiv[[#Headers],[Agency]])),COLUMNS($F$7:F$7))))</f>
        <v>48200G</v>
      </c>
      <c r="G94" s="2223" t="str" cm="1">
        <f t="array" ref="G94">IF($D94&lt;COLUMNS($F$7:G$7),"",INDEX(TableDiv[[GASB]:[GASB]],_xlfn.AGGREGATE(15,3,(TableDiv[[Agency]:[Agency]]=$E94)/(TableDiv[[Agency]:[Agency]]=$E94)*(ROW(TableDiv[Agency])-ROW(TableDiv[[#Headers],[Agency]])),COLUMNS($F$7:G$7))))</f>
        <v/>
      </c>
      <c r="H94" s="2223" t="str" cm="1">
        <f t="array" ref="H94">IF($D94&lt;COLUMNS($F$7:H$7),"",INDEX(TableDiv[[GASB]:[GASB]],_xlfn.AGGREGATE(15,3,(TableDiv[[Agency]:[Agency]]=$E94)/(TableDiv[[Agency]:[Agency]]=$E94)*(ROW(TableDiv[Agency])-ROW(TableDiv[[#Headers],[Agency]])),COLUMNS($F$7:H$7))))</f>
        <v/>
      </c>
      <c r="I94" s="2223" t="str" cm="1">
        <f t="array" ref="I94">IF($D94&lt;COLUMNS($F$7:I$7),"",INDEX(TableDiv[[GASB]:[GASB]],_xlfn.AGGREGATE(15,3,(TableDiv[[Agency]:[Agency]]=$E94)/(TableDiv[[Agency]:[Agency]]=$E94)*(ROW(TableDiv[Agency])-ROW(TableDiv[[#Headers],[Agency]])),COLUMNS($F$7:I$7))))</f>
        <v/>
      </c>
      <c r="J94" s="2223" t="str" cm="1">
        <f t="array" ref="J94">IF($D94&lt;COLUMNS($F$7:J$7),"",INDEX(TableDiv[[GASB]:[GASB]],_xlfn.AGGREGATE(15,3,(TableDiv[[Agency]:[Agency]]=$E94)/(TableDiv[[Agency]:[Agency]]=$E94)*(ROW(TableDiv[Agency])-ROW(TableDiv[[#Headers],[Agency]])),COLUMNS($F$7:J$7))))</f>
        <v/>
      </c>
      <c r="K94" s="2223" t="str" cm="1">
        <f t="array" ref="K94">IF($D94&lt;COLUMNS($F$7:K$7),"",INDEX(TableDiv[[GASB]:[GASB]],_xlfn.AGGREGATE(15,3,(TableDiv[[Agency]:[Agency]]=$E94)/(TableDiv[[Agency]:[Agency]]=$E94)*(ROW(TableDiv[Agency])-ROW(TableDiv[[#Headers],[Agency]])),COLUMNS($F$7:K$7))))</f>
        <v/>
      </c>
      <c r="L94" s="2223" t="str" cm="1">
        <f t="array" ref="L94">IF($D94&lt;COLUMNS($F$7:L$7),"",INDEX(TableDiv[[GASB]:[GASB]],_xlfn.AGGREGATE(15,3,(TableDiv[[Agency]:[Agency]]=$E94)/(TableDiv[[Agency]:[Agency]]=$E94)*(ROW(TableDiv[Agency])-ROW(TableDiv[[#Headers],[Agency]])),COLUMNS($F$7:L$7))))</f>
        <v/>
      </c>
      <c r="M94" s="2223" t="str" cm="1">
        <f t="array" ref="M94">IF($D94&lt;COLUMNS($F$7:M$7),"",INDEX(TableDiv[[GASB]:[GASB]],_xlfn.AGGREGATE(15,3,(TableDiv[[Agency]:[Agency]]=$E94)/(TableDiv[[Agency]:[Agency]]=$E94)*(ROW(TableDiv[Agency])-ROW(TableDiv[[#Headers],[Agency]])),COLUMNS($F$7:M$7))))</f>
        <v/>
      </c>
      <c r="N94" s="2223" t="str" cm="1">
        <f t="array" ref="N94">IF($D94&lt;COLUMNS($F$7:N$7),"",INDEX(TableDiv[[GASB]:[GASB]],_xlfn.AGGREGATE(15,3,(TableDiv[[Agency]:[Agency]]=$E94)/(TableDiv[[Agency]:[Agency]]=$E94)*(ROW(TableDiv[Agency])-ROW(TableDiv[[#Headers],[Agency]])),COLUMNS($F$7:N$7))))</f>
        <v/>
      </c>
      <c r="O94" s="2223" t="str" cm="1">
        <f t="array" ref="O94">IF($D94&lt;COLUMNS($F$7:O$7),"",INDEX(TableDiv[[GASB]:[GASB]],_xlfn.AGGREGATE(15,3,(TableDiv[[Agency]:[Agency]]=$E94)/(TableDiv[[Agency]:[Agency]]=$E94)*(ROW(TableDiv[Agency])-ROW(TableDiv[[#Headers],[Agency]])),COLUMNS($F$7:O$7))))</f>
        <v/>
      </c>
      <c r="P94" s="2223" t="str" cm="1">
        <f t="array" ref="P94">IF($D94&lt;COLUMNS($F$7:P$7),"",INDEX(TableDiv[[GASB]:[GASB]],_xlfn.AGGREGATE(15,3,(TableDiv[[Agency]:[Agency]]=$E94)/(TableDiv[[Agency]:[Agency]]=$E94)*(ROW(TableDiv[Agency])-ROW(TableDiv[[#Headers],[Agency]])),COLUMNS($F$7:P$7))))</f>
        <v/>
      </c>
      <c r="Q94" s="2223" t="str" cm="1">
        <f t="array" ref="Q94">IF($D94&lt;COLUMNS($F$7:Q$7),"",INDEX(TableDiv[[GASB]:[GASB]],_xlfn.AGGREGATE(15,3,(TableDiv[[Agency]:[Agency]]=$E94)/(TableDiv[[Agency]:[Agency]]=$E94)*(ROW(TableDiv[Agency])-ROW(TableDiv[[#Headers],[Agency]])),COLUMNS($F$7:Q$7))))</f>
        <v/>
      </c>
      <c r="R94" s="2223" t="str" cm="1">
        <f t="array" ref="R94">IF($D94&lt;COLUMNS($F$7:R$7),"",INDEX(TableDiv[[GASB]:[GASB]],_xlfn.AGGREGATE(15,3,(TableDiv[[Agency]:[Agency]]=$E94)/(TableDiv[[Agency]:[Agency]]=$E94)*(ROW(TableDiv[Agency])-ROW(TableDiv[[#Headers],[Agency]])),COLUMNS($F$7:R$7))))</f>
        <v/>
      </c>
      <c r="S94" s="2223" t="str" cm="1">
        <f t="array" ref="S94">IF($D94&lt;COLUMNS($F$7:S$7),"",INDEX(TableDiv[[GASB]:[GASB]],_xlfn.AGGREGATE(15,3,(TableDiv[[Agency]:[Agency]]=$E94)/(TableDiv[[Agency]:[Agency]]=$E94)*(ROW(TableDiv[Agency])-ROW(TableDiv[[#Headers],[Agency]])),COLUMNS($F$7:S$7))))</f>
        <v/>
      </c>
      <c r="T94" s="2223" t="str" cm="1">
        <f t="array" ref="T94">IF($D94&lt;COLUMNS($F$7:T$7),"",INDEX(TableDiv[[GASB]:[GASB]],_xlfn.AGGREGATE(15,3,(TableDiv[[Agency]:[Agency]]=$E94)/(TableDiv[[Agency]:[Agency]]=$E94)*(ROW(TableDiv[Agency])-ROW(TableDiv[[#Headers],[Agency]])),COLUMNS($F$7:T$7))))</f>
        <v/>
      </c>
      <c r="U94" s="2223" t="str" cm="1">
        <f t="array" ref="U94">IF($D94&lt;COLUMNS($F$7:U$7),"",INDEX(TableDiv[[GASB]:[GASB]],_xlfn.AGGREGATE(15,3,(TableDiv[[Agency]:[Agency]]=$E94)/(TableDiv[[Agency]:[Agency]]=$E94)*(ROW(TableDiv[Agency])-ROW(TableDiv[[#Headers],[Agency]])),COLUMNS($F$7:U$7))))</f>
        <v/>
      </c>
      <c r="V94" s="2223" t="str" cm="1">
        <f t="array" ref="V94">IF($D94&lt;COLUMNS($F$7:V$7),"",INDEX(TableDiv[[GASB]:[GASB]],_xlfn.AGGREGATE(15,3,(TableDiv[[Agency]:[Agency]]=$E94)/(TableDiv[[Agency]:[Agency]]=$E94)*(ROW(TableDiv[Agency])-ROW(TableDiv[[#Headers],[Agency]])),COLUMNS($F$7:V$7))))</f>
        <v/>
      </c>
      <c r="W94" s="2223" t="str" cm="1">
        <f t="array" ref="W94">IF($D94&lt;COLUMNS($F$7:W$7),"",INDEX(TableDiv[[GASB]:[GASB]],_xlfn.AGGREGATE(15,3,(TableDiv[[Agency]:[Agency]]=$E94)/(TableDiv[[Agency]:[Agency]]=$E94)*(ROW(TableDiv[Agency])-ROW(TableDiv[[#Headers],[Agency]])),COLUMNS($F$7:W$7))))</f>
        <v/>
      </c>
      <c r="X94" s="2223" t="str" cm="1">
        <f t="array" ref="X94">IF($D94&lt;COLUMNS($F$7:X$7),"",INDEX(TableDiv[[GASB]:[GASB]],_xlfn.AGGREGATE(15,3,(TableDiv[[Agency]:[Agency]]=$E94)/(TableDiv[[Agency]:[Agency]]=$E94)*(ROW(TableDiv[Agency])-ROW(TableDiv[[#Headers],[Agency]])),COLUMNS($F$7:X$7))))</f>
        <v/>
      </c>
      <c r="Y94" s="2223" t="str" cm="1">
        <f t="array" ref="Y94">IF($D94&lt;COLUMNS($F$7:Y$7),"",INDEX(TableDiv[[GASB]:[GASB]],_xlfn.AGGREGATE(15,3,(TableDiv[[Agency]:[Agency]]=$E94)/(TableDiv[[Agency]:[Agency]]=$E94)*(ROW(TableDiv[Agency])-ROW(TableDiv[[#Headers],[Agency]])),COLUMNS($F$7:Y$7))))</f>
        <v/>
      </c>
      <c r="Z94" s="2223" t="str" cm="1">
        <f t="array" ref="Z94">IF($D94&lt;COLUMNS($F$7:Z$7),"",INDEX(TableDiv[[GASB]:[GASB]],_xlfn.AGGREGATE(15,3,(TableDiv[[Agency]:[Agency]]=$E94)/(TableDiv[[Agency]:[Agency]]=$E94)*(ROW(TableDiv[Agency])-ROW(TableDiv[[#Headers],[Agency]])),COLUMNS($F$7:Z$7))))</f>
        <v/>
      </c>
      <c r="AA94" s="2223" t="str" cm="1">
        <f t="array" ref="AA94">IF($D94&lt;COLUMNS($F$7:AA$7),"",INDEX(TableDiv[[GASB]:[GASB]],_xlfn.AGGREGATE(15,3,(TableDiv[[Agency]:[Agency]]=$E94)/(TableDiv[[Agency]:[Agency]]=$E94)*(ROW(TableDiv[Agency])-ROW(TableDiv[[#Headers],[Agency]])),COLUMNS($F$7:AA$7))))</f>
        <v/>
      </c>
      <c r="AB94" s="2223" t="str" cm="1">
        <f t="array" ref="AB94">IF($D94&lt;COLUMNS($F$7:AB$7),"",INDEX(TableDiv[[GASB]:[GASB]],_xlfn.AGGREGATE(15,3,(TableDiv[[Agency]:[Agency]]=$E94)/(TableDiv[[Agency]:[Agency]]=$E94)*(ROW(TableDiv[Agency])-ROW(TableDiv[[#Headers],[Agency]])),COLUMNS($F$7:AB$7))))</f>
        <v/>
      </c>
      <c r="AC94" s="2223" t="str" cm="1">
        <f t="array" ref="AC94">IF($D94&lt;COLUMNS($F$7:AC$7),"",INDEX(TableDiv[[GASB]:[GASB]],_xlfn.AGGREGATE(15,3,(TableDiv[[Agency]:[Agency]]=$E94)/(TableDiv[[Agency]:[Agency]]=$E94)*(ROW(TableDiv[Agency])-ROW(TableDiv[[#Headers],[Agency]])),COLUMNS($F$7:AC$7))))</f>
        <v/>
      </c>
      <c r="AD94" s="2223" t="str" cm="1">
        <f t="array" ref="AD94">IF($D94&lt;COLUMNS($F$7:AD$7),"",INDEX(TableDiv[[GASB]:[GASB]],_xlfn.AGGREGATE(15,3,(TableDiv[[Agency]:[Agency]]=$E94)/(TableDiv[[Agency]:[Agency]]=$E94)*(ROW(TableDiv[Agency])-ROW(TableDiv[[#Headers],[Agency]])),COLUMNS($F$7:AD$7))))</f>
        <v/>
      </c>
      <c r="AE94" s="2223" t="str" cm="1">
        <f t="array" ref="AE94">IF($D94&lt;COLUMNS($F$7:AE$7),"",INDEX(TableDiv[[GASB]:[GASB]],_xlfn.AGGREGATE(15,3,(TableDiv[[Agency]:[Agency]]=$E94)/(TableDiv[[Agency]:[Agency]]=$E94)*(ROW(TableDiv[Agency])-ROW(TableDiv[[#Headers],[Agency]])),COLUMNS($F$7:AE$7))))</f>
        <v/>
      </c>
      <c r="AF94" s="2223" t="str" cm="1">
        <f t="array" ref="AF94">IF($D94&lt;COLUMNS($F$7:AF$7),"",INDEX(TableDiv[[GASB]:[GASB]],_xlfn.AGGREGATE(15,3,(TableDiv[[Agency]:[Agency]]=$E94)/(TableDiv[[Agency]:[Agency]]=$E94)*(ROW(TableDiv[Agency])-ROW(TableDiv[[#Headers],[Agency]])),COLUMNS($F$7:AF$7))))</f>
        <v/>
      </c>
      <c r="AG94" s="2223" t="str" cm="1">
        <f t="array" ref="AG94">IF($D94&lt;COLUMNS($F$7:AG$7),"",INDEX(TableDiv[[GASB]:[GASB]],_xlfn.AGGREGATE(15,3,(TableDiv[[Agency]:[Agency]]=$E94)/(TableDiv[[Agency]:[Agency]]=$E94)*(ROW(TableDiv[Agency])-ROW(TableDiv[[#Headers],[Agency]])),COLUMNS($F$7:AG$7))))</f>
        <v/>
      </c>
      <c r="AH94" s="2223" t="str" cm="1">
        <f t="array" ref="AH94">IF($D94&lt;COLUMNS($F$7:AH$7),"",INDEX(TableDiv[[GASB]:[GASB]],_xlfn.AGGREGATE(15,3,(TableDiv[[Agency]:[Agency]]=$E94)/(TableDiv[[Agency]:[Agency]]=$E94)*(ROW(TableDiv[Agency])-ROW(TableDiv[[#Headers],[Agency]])),COLUMNS($F$7:AH$7))))</f>
        <v/>
      </c>
      <c r="AI94" s="2223" t="str" cm="1">
        <f t="array" ref="AI94">IF($D94&lt;COLUMNS($F$7:AI$7),"",INDEX(TableDiv[[GASB]:[GASB]],_xlfn.AGGREGATE(15,3,(TableDiv[[Agency]:[Agency]]=$E94)/(TableDiv[[Agency]:[Agency]]=$E94)*(ROW(TableDiv[Agency])-ROW(TableDiv[[#Headers],[Agency]])),COLUMNS($F$7:AI$7))))</f>
        <v/>
      </c>
      <c r="AJ94" s="2223" t="str" cm="1">
        <f t="array" ref="AJ94">IF($D94&lt;COLUMNS($F$7:AJ$7),"",INDEX(TableDiv[[GASB]:[GASB]],_xlfn.AGGREGATE(15,3,(TableDiv[[Agency]:[Agency]]=$E94)/(TableDiv[[Agency]:[Agency]]=$E94)*(ROW(TableDiv[Agency])-ROW(TableDiv[[#Headers],[Agency]])),COLUMNS($F$7:AJ$7))))</f>
        <v/>
      </c>
      <c r="AK94" s="2223" t="str" cm="1">
        <f t="array" ref="AK94">IF($D94&lt;COLUMNS($F$7:AK$7),"",INDEX(TableDiv[[GASB]:[GASB]],_xlfn.AGGREGATE(15,3,(TableDiv[[Agency]:[Agency]]=$E94)/(TableDiv[[Agency]:[Agency]]=$E94)*(ROW(TableDiv[Agency])-ROW(TableDiv[[#Headers],[Agency]])),COLUMNS($F$7:AK$7))))</f>
        <v/>
      </c>
      <c r="AL94" s="2223" t="str" cm="1">
        <f t="array" ref="AL94">IF($D94&lt;COLUMNS($F$7:AL$7),"",INDEX(TableDiv[[GASB]:[GASB]],_xlfn.AGGREGATE(15,3,(TableDiv[[Agency]:[Agency]]=$E94)/(TableDiv[[Agency]:[Agency]]=$E94)*(ROW(TableDiv[Agency])-ROW(TableDiv[[#Headers],[Agency]])),COLUMNS($F$7:AL$7))))</f>
        <v/>
      </c>
      <c r="AM94" s="2223" t="str" cm="1">
        <f t="array" ref="AM94">IF($D94&lt;COLUMNS($F$7:AM$7),"",INDEX(TableDiv[[GASB]:[GASB]],_xlfn.AGGREGATE(15,3,(TableDiv[[Agency]:[Agency]]=$E94)/(TableDiv[[Agency]:[Agency]]=$E94)*(ROW(TableDiv[Agency])-ROW(TableDiv[[#Headers],[Agency]])),COLUMNS($F$7:AM$7))))</f>
        <v/>
      </c>
      <c r="AN94" s="2223"/>
      <c r="AO94" s="2223"/>
      <c r="AP94" s="2223"/>
      <c r="AQ94" s="2223"/>
      <c r="AR94" s="2223"/>
      <c r="AS94" s="2223"/>
    </row>
    <row r="95" spans="1:45" ht="15" x14ac:dyDescent="0.25">
      <c r="A95" s="2219" t="s">
        <v>5105</v>
      </c>
      <c r="B95" s="2219" t="s">
        <v>6357</v>
      </c>
      <c r="C95" s="2223"/>
      <c r="D95" s="2223">
        <f>COUNTIF(TableDiv[Agency],E95)</f>
        <v>1</v>
      </c>
      <c r="E95" s="2230" t="str" cm="1">
        <f t="array" ref="E95">IFERROR(INDEX(TableDiv[Agency],MATCH(0,INDEX(COUNTIF($E$7:E94,TableDiv[Agency]),),0)),"")</f>
        <v>CJF</v>
      </c>
      <c r="F95" s="2223" t="str" cm="1">
        <f t="array" ref="F95">IF($D95&lt;COLUMNS($F$7:F$7),"",INDEX(TableDiv[[GASB]:[GASB]],_xlfn.AGGREGATE(15,3,(TableDiv[[Agency]:[Agency]]=$E95)/(TableDiv[[Agency]:[Agency]]=$E95)*(ROW(TableDiv[Agency])-ROW(TableDiv[[#Headers],[Agency]])),COLUMNS($F$7:F$7))))</f>
        <v>48200G</v>
      </c>
      <c r="G95" s="2223" t="str" cm="1">
        <f t="array" ref="G95">IF($D95&lt;COLUMNS($F$7:G$7),"",INDEX(TableDiv[[GASB]:[GASB]],_xlfn.AGGREGATE(15,3,(TableDiv[[Agency]:[Agency]]=$E95)/(TableDiv[[Agency]:[Agency]]=$E95)*(ROW(TableDiv[Agency])-ROW(TableDiv[[#Headers],[Agency]])),COLUMNS($F$7:G$7))))</f>
        <v/>
      </c>
      <c r="H95" s="2223" t="str" cm="1">
        <f t="array" ref="H95">IF($D95&lt;COLUMNS($F$7:H$7),"",INDEX(TableDiv[[GASB]:[GASB]],_xlfn.AGGREGATE(15,3,(TableDiv[[Agency]:[Agency]]=$E95)/(TableDiv[[Agency]:[Agency]]=$E95)*(ROW(TableDiv[Agency])-ROW(TableDiv[[#Headers],[Agency]])),COLUMNS($F$7:H$7))))</f>
        <v/>
      </c>
      <c r="I95" s="2223" t="str" cm="1">
        <f t="array" ref="I95">IF($D95&lt;COLUMNS($F$7:I$7),"",INDEX(TableDiv[[GASB]:[GASB]],_xlfn.AGGREGATE(15,3,(TableDiv[[Agency]:[Agency]]=$E95)/(TableDiv[[Agency]:[Agency]]=$E95)*(ROW(TableDiv[Agency])-ROW(TableDiv[[#Headers],[Agency]])),COLUMNS($F$7:I$7))))</f>
        <v/>
      </c>
      <c r="J95" s="2223" t="str" cm="1">
        <f t="array" ref="J95">IF($D95&lt;COLUMNS($F$7:J$7),"",INDEX(TableDiv[[GASB]:[GASB]],_xlfn.AGGREGATE(15,3,(TableDiv[[Agency]:[Agency]]=$E95)/(TableDiv[[Agency]:[Agency]]=$E95)*(ROW(TableDiv[Agency])-ROW(TableDiv[[#Headers],[Agency]])),COLUMNS($F$7:J$7))))</f>
        <v/>
      </c>
      <c r="K95" s="2223" t="str" cm="1">
        <f t="array" ref="K95">IF($D95&lt;COLUMNS($F$7:K$7),"",INDEX(TableDiv[[GASB]:[GASB]],_xlfn.AGGREGATE(15,3,(TableDiv[[Agency]:[Agency]]=$E95)/(TableDiv[[Agency]:[Agency]]=$E95)*(ROW(TableDiv[Agency])-ROW(TableDiv[[#Headers],[Agency]])),COLUMNS($F$7:K$7))))</f>
        <v/>
      </c>
      <c r="L95" s="2223" t="str" cm="1">
        <f t="array" ref="L95">IF($D95&lt;COLUMNS($F$7:L$7),"",INDEX(TableDiv[[GASB]:[GASB]],_xlfn.AGGREGATE(15,3,(TableDiv[[Agency]:[Agency]]=$E95)/(TableDiv[[Agency]:[Agency]]=$E95)*(ROW(TableDiv[Agency])-ROW(TableDiv[[#Headers],[Agency]])),COLUMNS($F$7:L$7))))</f>
        <v/>
      </c>
      <c r="M95" s="2223" t="str" cm="1">
        <f t="array" ref="M95">IF($D95&lt;COLUMNS($F$7:M$7),"",INDEX(TableDiv[[GASB]:[GASB]],_xlfn.AGGREGATE(15,3,(TableDiv[[Agency]:[Agency]]=$E95)/(TableDiv[[Agency]:[Agency]]=$E95)*(ROW(TableDiv[Agency])-ROW(TableDiv[[#Headers],[Agency]])),COLUMNS($F$7:M$7))))</f>
        <v/>
      </c>
      <c r="N95" s="2223" t="str" cm="1">
        <f t="array" ref="N95">IF($D95&lt;COLUMNS($F$7:N$7),"",INDEX(TableDiv[[GASB]:[GASB]],_xlfn.AGGREGATE(15,3,(TableDiv[[Agency]:[Agency]]=$E95)/(TableDiv[[Agency]:[Agency]]=$E95)*(ROW(TableDiv[Agency])-ROW(TableDiv[[#Headers],[Agency]])),COLUMNS($F$7:N$7))))</f>
        <v/>
      </c>
      <c r="O95" s="2223" t="str" cm="1">
        <f t="array" ref="O95">IF($D95&lt;COLUMNS($F$7:O$7),"",INDEX(TableDiv[[GASB]:[GASB]],_xlfn.AGGREGATE(15,3,(TableDiv[[Agency]:[Agency]]=$E95)/(TableDiv[[Agency]:[Agency]]=$E95)*(ROW(TableDiv[Agency])-ROW(TableDiv[[#Headers],[Agency]])),COLUMNS($F$7:O$7))))</f>
        <v/>
      </c>
      <c r="P95" s="2223" t="str" cm="1">
        <f t="array" ref="P95">IF($D95&lt;COLUMNS($F$7:P$7),"",INDEX(TableDiv[[GASB]:[GASB]],_xlfn.AGGREGATE(15,3,(TableDiv[[Agency]:[Agency]]=$E95)/(TableDiv[[Agency]:[Agency]]=$E95)*(ROW(TableDiv[Agency])-ROW(TableDiv[[#Headers],[Agency]])),COLUMNS($F$7:P$7))))</f>
        <v/>
      </c>
      <c r="Q95" s="2223" t="str" cm="1">
        <f t="array" ref="Q95">IF($D95&lt;COLUMNS($F$7:Q$7),"",INDEX(TableDiv[[GASB]:[GASB]],_xlfn.AGGREGATE(15,3,(TableDiv[[Agency]:[Agency]]=$E95)/(TableDiv[[Agency]:[Agency]]=$E95)*(ROW(TableDiv[Agency])-ROW(TableDiv[[#Headers],[Agency]])),COLUMNS($F$7:Q$7))))</f>
        <v/>
      </c>
      <c r="R95" s="2223" t="str" cm="1">
        <f t="array" ref="R95">IF($D95&lt;COLUMNS($F$7:R$7),"",INDEX(TableDiv[[GASB]:[GASB]],_xlfn.AGGREGATE(15,3,(TableDiv[[Agency]:[Agency]]=$E95)/(TableDiv[[Agency]:[Agency]]=$E95)*(ROW(TableDiv[Agency])-ROW(TableDiv[[#Headers],[Agency]])),COLUMNS($F$7:R$7))))</f>
        <v/>
      </c>
      <c r="S95" s="2223" t="str" cm="1">
        <f t="array" ref="S95">IF($D95&lt;COLUMNS($F$7:S$7),"",INDEX(TableDiv[[GASB]:[GASB]],_xlfn.AGGREGATE(15,3,(TableDiv[[Agency]:[Agency]]=$E95)/(TableDiv[[Agency]:[Agency]]=$E95)*(ROW(TableDiv[Agency])-ROW(TableDiv[[#Headers],[Agency]])),COLUMNS($F$7:S$7))))</f>
        <v/>
      </c>
      <c r="T95" s="2223" t="str" cm="1">
        <f t="array" ref="T95">IF($D95&lt;COLUMNS($F$7:T$7),"",INDEX(TableDiv[[GASB]:[GASB]],_xlfn.AGGREGATE(15,3,(TableDiv[[Agency]:[Agency]]=$E95)/(TableDiv[[Agency]:[Agency]]=$E95)*(ROW(TableDiv[Agency])-ROW(TableDiv[[#Headers],[Agency]])),COLUMNS($F$7:T$7))))</f>
        <v/>
      </c>
      <c r="U95" s="2223" t="str" cm="1">
        <f t="array" ref="U95">IF($D95&lt;COLUMNS($F$7:U$7),"",INDEX(TableDiv[[GASB]:[GASB]],_xlfn.AGGREGATE(15,3,(TableDiv[[Agency]:[Agency]]=$E95)/(TableDiv[[Agency]:[Agency]]=$E95)*(ROW(TableDiv[Agency])-ROW(TableDiv[[#Headers],[Agency]])),COLUMNS($F$7:U$7))))</f>
        <v/>
      </c>
      <c r="V95" s="2223" t="str" cm="1">
        <f t="array" ref="V95">IF($D95&lt;COLUMNS($F$7:V$7),"",INDEX(TableDiv[[GASB]:[GASB]],_xlfn.AGGREGATE(15,3,(TableDiv[[Agency]:[Agency]]=$E95)/(TableDiv[[Agency]:[Agency]]=$E95)*(ROW(TableDiv[Agency])-ROW(TableDiv[[#Headers],[Agency]])),COLUMNS($F$7:V$7))))</f>
        <v/>
      </c>
      <c r="W95" s="2223" t="str" cm="1">
        <f t="array" ref="W95">IF($D95&lt;COLUMNS($F$7:W$7),"",INDEX(TableDiv[[GASB]:[GASB]],_xlfn.AGGREGATE(15,3,(TableDiv[[Agency]:[Agency]]=$E95)/(TableDiv[[Agency]:[Agency]]=$E95)*(ROW(TableDiv[Agency])-ROW(TableDiv[[#Headers],[Agency]])),COLUMNS($F$7:W$7))))</f>
        <v/>
      </c>
      <c r="X95" s="2223" t="str" cm="1">
        <f t="array" ref="X95">IF($D95&lt;COLUMNS($F$7:X$7),"",INDEX(TableDiv[[GASB]:[GASB]],_xlfn.AGGREGATE(15,3,(TableDiv[[Agency]:[Agency]]=$E95)/(TableDiv[[Agency]:[Agency]]=$E95)*(ROW(TableDiv[Agency])-ROW(TableDiv[[#Headers],[Agency]])),COLUMNS($F$7:X$7))))</f>
        <v/>
      </c>
      <c r="Y95" s="2223" t="str" cm="1">
        <f t="array" ref="Y95">IF($D95&lt;COLUMNS($F$7:Y$7),"",INDEX(TableDiv[[GASB]:[GASB]],_xlfn.AGGREGATE(15,3,(TableDiv[[Agency]:[Agency]]=$E95)/(TableDiv[[Agency]:[Agency]]=$E95)*(ROW(TableDiv[Agency])-ROW(TableDiv[[#Headers],[Agency]])),COLUMNS($F$7:Y$7))))</f>
        <v/>
      </c>
      <c r="Z95" s="2223" t="str" cm="1">
        <f t="array" ref="Z95">IF($D95&lt;COLUMNS($F$7:Z$7),"",INDEX(TableDiv[[GASB]:[GASB]],_xlfn.AGGREGATE(15,3,(TableDiv[[Agency]:[Agency]]=$E95)/(TableDiv[[Agency]:[Agency]]=$E95)*(ROW(TableDiv[Agency])-ROW(TableDiv[[#Headers],[Agency]])),COLUMNS($F$7:Z$7))))</f>
        <v/>
      </c>
      <c r="AA95" s="2223" t="str" cm="1">
        <f t="array" ref="AA95">IF($D95&lt;COLUMNS($F$7:AA$7),"",INDEX(TableDiv[[GASB]:[GASB]],_xlfn.AGGREGATE(15,3,(TableDiv[[Agency]:[Agency]]=$E95)/(TableDiv[[Agency]:[Agency]]=$E95)*(ROW(TableDiv[Agency])-ROW(TableDiv[[#Headers],[Agency]])),COLUMNS($F$7:AA$7))))</f>
        <v/>
      </c>
      <c r="AB95" s="2223" t="str" cm="1">
        <f t="array" ref="AB95">IF($D95&lt;COLUMNS($F$7:AB$7),"",INDEX(TableDiv[[GASB]:[GASB]],_xlfn.AGGREGATE(15,3,(TableDiv[[Agency]:[Agency]]=$E95)/(TableDiv[[Agency]:[Agency]]=$E95)*(ROW(TableDiv[Agency])-ROW(TableDiv[[#Headers],[Agency]])),COLUMNS($F$7:AB$7))))</f>
        <v/>
      </c>
      <c r="AC95" s="2223" t="str" cm="1">
        <f t="array" ref="AC95">IF($D95&lt;COLUMNS($F$7:AC$7),"",INDEX(TableDiv[[GASB]:[GASB]],_xlfn.AGGREGATE(15,3,(TableDiv[[Agency]:[Agency]]=$E95)/(TableDiv[[Agency]:[Agency]]=$E95)*(ROW(TableDiv[Agency])-ROW(TableDiv[[#Headers],[Agency]])),COLUMNS($F$7:AC$7))))</f>
        <v/>
      </c>
      <c r="AD95" s="2223" t="str" cm="1">
        <f t="array" ref="AD95">IF($D95&lt;COLUMNS($F$7:AD$7),"",INDEX(TableDiv[[GASB]:[GASB]],_xlfn.AGGREGATE(15,3,(TableDiv[[Agency]:[Agency]]=$E95)/(TableDiv[[Agency]:[Agency]]=$E95)*(ROW(TableDiv[Agency])-ROW(TableDiv[[#Headers],[Agency]])),COLUMNS($F$7:AD$7))))</f>
        <v/>
      </c>
      <c r="AE95" s="2223" t="str" cm="1">
        <f t="array" ref="AE95">IF($D95&lt;COLUMNS($F$7:AE$7),"",INDEX(TableDiv[[GASB]:[GASB]],_xlfn.AGGREGATE(15,3,(TableDiv[[Agency]:[Agency]]=$E95)/(TableDiv[[Agency]:[Agency]]=$E95)*(ROW(TableDiv[Agency])-ROW(TableDiv[[#Headers],[Agency]])),COLUMNS($F$7:AE$7))))</f>
        <v/>
      </c>
      <c r="AF95" s="2223" t="str" cm="1">
        <f t="array" ref="AF95">IF($D95&lt;COLUMNS($F$7:AF$7),"",INDEX(TableDiv[[GASB]:[GASB]],_xlfn.AGGREGATE(15,3,(TableDiv[[Agency]:[Agency]]=$E95)/(TableDiv[[Agency]:[Agency]]=$E95)*(ROW(TableDiv[Agency])-ROW(TableDiv[[#Headers],[Agency]])),COLUMNS($F$7:AF$7))))</f>
        <v/>
      </c>
      <c r="AG95" s="2223" t="str" cm="1">
        <f t="array" ref="AG95">IF($D95&lt;COLUMNS($F$7:AG$7),"",INDEX(TableDiv[[GASB]:[GASB]],_xlfn.AGGREGATE(15,3,(TableDiv[[Agency]:[Agency]]=$E95)/(TableDiv[[Agency]:[Agency]]=$E95)*(ROW(TableDiv[Agency])-ROW(TableDiv[[#Headers],[Agency]])),COLUMNS($F$7:AG$7))))</f>
        <v/>
      </c>
      <c r="AH95" s="2223" t="str" cm="1">
        <f t="array" ref="AH95">IF($D95&lt;COLUMNS($F$7:AH$7),"",INDEX(TableDiv[[GASB]:[GASB]],_xlfn.AGGREGATE(15,3,(TableDiv[[Agency]:[Agency]]=$E95)/(TableDiv[[Agency]:[Agency]]=$E95)*(ROW(TableDiv[Agency])-ROW(TableDiv[[#Headers],[Agency]])),COLUMNS($F$7:AH$7))))</f>
        <v/>
      </c>
      <c r="AI95" s="2223" t="str" cm="1">
        <f t="array" ref="AI95">IF($D95&lt;COLUMNS($F$7:AI$7),"",INDEX(TableDiv[[GASB]:[GASB]],_xlfn.AGGREGATE(15,3,(TableDiv[[Agency]:[Agency]]=$E95)/(TableDiv[[Agency]:[Agency]]=$E95)*(ROW(TableDiv[Agency])-ROW(TableDiv[[#Headers],[Agency]])),COLUMNS($F$7:AI$7))))</f>
        <v/>
      </c>
      <c r="AJ95" s="2223" t="str" cm="1">
        <f t="array" ref="AJ95">IF($D95&lt;COLUMNS($F$7:AJ$7),"",INDEX(TableDiv[[GASB]:[GASB]],_xlfn.AGGREGATE(15,3,(TableDiv[[Agency]:[Agency]]=$E95)/(TableDiv[[Agency]:[Agency]]=$E95)*(ROW(TableDiv[Agency])-ROW(TableDiv[[#Headers],[Agency]])),COLUMNS($F$7:AJ$7))))</f>
        <v/>
      </c>
      <c r="AK95" s="2223" t="str" cm="1">
        <f t="array" ref="AK95">IF($D95&lt;COLUMNS($F$7:AK$7),"",INDEX(TableDiv[[GASB]:[GASB]],_xlfn.AGGREGATE(15,3,(TableDiv[[Agency]:[Agency]]=$E95)/(TableDiv[[Agency]:[Agency]]=$E95)*(ROW(TableDiv[Agency])-ROW(TableDiv[[#Headers],[Agency]])),COLUMNS($F$7:AK$7))))</f>
        <v/>
      </c>
      <c r="AL95" s="2223" t="str" cm="1">
        <f t="array" ref="AL95">IF($D95&lt;COLUMNS($F$7:AL$7),"",INDEX(TableDiv[[GASB]:[GASB]],_xlfn.AGGREGATE(15,3,(TableDiv[[Agency]:[Agency]]=$E95)/(TableDiv[[Agency]:[Agency]]=$E95)*(ROW(TableDiv[Agency])-ROW(TableDiv[[#Headers],[Agency]])),COLUMNS($F$7:AL$7))))</f>
        <v/>
      </c>
      <c r="AM95" s="2223" t="str" cm="1">
        <f t="array" ref="AM95">IF($D95&lt;COLUMNS($F$7:AM$7),"",INDEX(TableDiv[[GASB]:[GASB]],_xlfn.AGGREGATE(15,3,(TableDiv[[Agency]:[Agency]]=$E95)/(TableDiv[[Agency]:[Agency]]=$E95)*(ROW(TableDiv[Agency])-ROW(TableDiv[[#Headers],[Agency]])),COLUMNS($F$7:AM$7))))</f>
        <v/>
      </c>
      <c r="AN95" s="2223"/>
      <c r="AO95" s="2223"/>
      <c r="AP95" s="2223"/>
      <c r="AQ95" s="2223"/>
      <c r="AR95" s="2223"/>
      <c r="AS95" s="2223"/>
    </row>
    <row r="96" spans="1:45" ht="15" x14ac:dyDescent="0.25">
      <c r="A96" s="2219" t="s">
        <v>5105</v>
      </c>
      <c r="B96" s="2219" t="s">
        <v>1878</v>
      </c>
      <c r="C96" s="2223"/>
      <c r="D96" s="2223">
        <f>COUNTIF(TableDiv[Agency],E96)</f>
        <v>1</v>
      </c>
      <c r="E96" s="2230" t="str" cm="1">
        <f t="array" ref="E96">IFERROR(INDEX(TableDiv[Agency],MATCH(0,INDEX(COUNTIF($E$7:E95,TableDiv[Agency]),),0)),"")</f>
        <v>CKF</v>
      </c>
      <c r="F96" s="2223" t="str" cm="1">
        <f t="array" ref="F96">IF($D96&lt;COLUMNS($F$7:F$7),"",INDEX(TableDiv[[GASB]:[GASB]],_xlfn.AGGREGATE(15,3,(TableDiv[[Agency]:[Agency]]=$E96)/(TableDiv[[Agency]:[Agency]]=$E96)*(ROW(TableDiv[Agency])-ROW(TableDiv[[#Headers],[Agency]])),COLUMNS($F$7:F$7))))</f>
        <v>48200G</v>
      </c>
      <c r="G96" s="2223" t="str" cm="1">
        <f t="array" ref="G96">IF($D96&lt;COLUMNS($F$7:G$7),"",INDEX(TableDiv[[GASB]:[GASB]],_xlfn.AGGREGATE(15,3,(TableDiv[[Agency]:[Agency]]=$E96)/(TableDiv[[Agency]:[Agency]]=$E96)*(ROW(TableDiv[Agency])-ROW(TableDiv[[#Headers],[Agency]])),COLUMNS($F$7:G$7))))</f>
        <v/>
      </c>
      <c r="H96" s="2223" t="str" cm="1">
        <f t="array" ref="H96">IF($D96&lt;COLUMNS($F$7:H$7),"",INDEX(TableDiv[[GASB]:[GASB]],_xlfn.AGGREGATE(15,3,(TableDiv[[Agency]:[Agency]]=$E96)/(TableDiv[[Agency]:[Agency]]=$E96)*(ROW(TableDiv[Agency])-ROW(TableDiv[[#Headers],[Agency]])),COLUMNS($F$7:H$7))))</f>
        <v/>
      </c>
      <c r="I96" s="2223" t="str" cm="1">
        <f t="array" ref="I96">IF($D96&lt;COLUMNS($F$7:I$7),"",INDEX(TableDiv[[GASB]:[GASB]],_xlfn.AGGREGATE(15,3,(TableDiv[[Agency]:[Agency]]=$E96)/(TableDiv[[Agency]:[Agency]]=$E96)*(ROW(TableDiv[Agency])-ROW(TableDiv[[#Headers],[Agency]])),COLUMNS($F$7:I$7))))</f>
        <v/>
      </c>
      <c r="J96" s="2223" t="str" cm="1">
        <f t="array" ref="J96">IF($D96&lt;COLUMNS($F$7:J$7),"",INDEX(TableDiv[[GASB]:[GASB]],_xlfn.AGGREGATE(15,3,(TableDiv[[Agency]:[Agency]]=$E96)/(TableDiv[[Agency]:[Agency]]=$E96)*(ROW(TableDiv[Agency])-ROW(TableDiv[[#Headers],[Agency]])),COLUMNS($F$7:J$7))))</f>
        <v/>
      </c>
      <c r="K96" s="2223" t="str" cm="1">
        <f t="array" ref="K96">IF($D96&lt;COLUMNS($F$7:K$7),"",INDEX(TableDiv[[GASB]:[GASB]],_xlfn.AGGREGATE(15,3,(TableDiv[[Agency]:[Agency]]=$E96)/(TableDiv[[Agency]:[Agency]]=$E96)*(ROW(TableDiv[Agency])-ROW(TableDiv[[#Headers],[Agency]])),COLUMNS($F$7:K$7))))</f>
        <v/>
      </c>
      <c r="L96" s="2223" t="str" cm="1">
        <f t="array" ref="L96">IF($D96&lt;COLUMNS($F$7:L$7),"",INDEX(TableDiv[[GASB]:[GASB]],_xlfn.AGGREGATE(15,3,(TableDiv[[Agency]:[Agency]]=$E96)/(TableDiv[[Agency]:[Agency]]=$E96)*(ROW(TableDiv[Agency])-ROW(TableDiv[[#Headers],[Agency]])),COLUMNS($F$7:L$7))))</f>
        <v/>
      </c>
      <c r="M96" s="2223" t="str" cm="1">
        <f t="array" ref="M96">IF($D96&lt;COLUMNS($F$7:M$7),"",INDEX(TableDiv[[GASB]:[GASB]],_xlfn.AGGREGATE(15,3,(TableDiv[[Agency]:[Agency]]=$E96)/(TableDiv[[Agency]:[Agency]]=$E96)*(ROW(TableDiv[Agency])-ROW(TableDiv[[#Headers],[Agency]])),COLUMNS($F$7:M$7))))</f>
        <v/>
      </c>
      <c r="N96" s="2223" t="str" cm="1">
        <f t="array" ref="N96">IF($D96&lt;COLUMNS($F$7:N$7),"",INDEX(TableDiv[[GASB]:[GASB]],_xlfn.AGGREGATE(15,3,(TableDiv[[Agency]:[Agency]]=$E96)/(TableDiv[[Agency]:[Agency]]=$E96)*(ROW(TableDiv[Agency])-ROW(TableDiv[[#Headers],[Agency]])),COLUMNS($F$7:N$7))))</f>
        <v/>
      </c>
      <c r="O96" s="2223" t="str" cm="1">
        <f t="array" ref="O96">IF($D96&lt;COLUMNS($F$7:O$7),"",INDEX(TableDiv[[GASB]:[GASB]],_xlfn.AGGREGATE(15,3,(TableDiv[[Agency]:[Agency]]=$E96)/(TableDiv[[Agency]:[Agency]]=$E96)*(ROW(TableDiv[Agency])-ROW(TableDiv[[#Headers],[Agency]])),COLUMNS($F$7:O$7))))</f>
        <v/>
      </c>
      <c r="P96" s="2223" t="str" cm="1">
        <f t="array" ref="P96">IF($D96&lt;COLUMNS($F$7:P$7),"",INDEX(TableDiv[[GASB]:[GASB]],_xlfn.AGGREGATE(15,3,(TableDiv[[Agency]:[Agency]]=$E96)/(TableDiv[[Agency]:[Agency]]=$E96)*(ROW(TableDiv[Agency])-ROW(TableDiv[[#Headers],[Agency]])),COLUMNS($F$7:P$7))))</f>
        <v/>
      </c>
      <c r="Q96" s="2223" t="str" cm="1">
        <f t="array" ref="Q96">IF($D96&lt;COLUMNS($F$7:Q$7),"",INDEX(TableDiv[[GASB]:[GASB]],_xlfn.AGGREGATE(15,3,(TableDiv[[Agency]:[Agency]]=$E96)/(TableDiv[[Agency]:[Agency]]=$E96)*(ROW(TableDiv[Agency])-ROW(TableDiv[[#Headers],[Agency]])),COLUMNS($F$7:Q$7))))</f>
        <v/>
      </c>
      <c r="R96" s="2223" t="str" cm="1">
        <f t="array" ref="R96">IF($D96&lt;COLUMNS($F$7:R$7),"",INDEX(TableDiv[[GASB]:[GASB]],_xlfn.AGGREGATE(15,3,(TableDiv[[Agency]:[Agency]]=$E96)/(TableDiv[[Agency]:[Agency]]=$E96)*(ROW(TableDiv[Agency])-ROW(TableDiv[[#Headers],[Agency]])),COLUMNS($F$7:R$7))))</f>
        <v/>
      </c>
      <c r="S96" s="2223" t="str" cm="1">
        <f t="array" ref="S96">IF($D96&lt;COLUMNS($F$7:S$7),"",INDEX(TableDiv[[GASB]:[GASB]],_xlfn.AGGREGATE(15,3,(TableDiv[[Agency]:[Agency]]=$E96)/(TableDiv[[Agency]:[Agency]]=$E96)*(ROW(TableDiv[Agency])-ROW(TableDiv[[#Headers],[Agency]])),COLUMNS($F$7:S$7))))</f>
        <v/>
      </c>
      <c r="T96" s="2223" t="str" cm="1">
        <f t="array" ref="T96">IF($D96&lt;COLUMNS($F$7:T$7),"",INDEX(TableDiv[[GASB]:[GASB]],_xlfn.AGGREGATE(15,3,(TableDiv[[Agency]:[Agency]]=$E96)/(TableDiv[[Agency]:[Agency]]=$E96)*(ROW(TableDiv[Agency])-ROW(TableDiv[[#Headers],[Agency]])),COLUMNS($F$7:T$7))))</f>
        <v/>
      </c>
      <c r="U96" s="2223" t="str" cm="1">
        <f t="array" ref="U96">IF($D96&lt;COLUMNS($F$7:U$7),"",INDEX(TableDiv[[GASB]:[GASB]],_xlfn.AGGREGATE(15,3,(TableDiv[[Agency]:[Agency]]=$E96)/(TableDiv[[Agency]:[Agency]]=$E96)*(ROW(TableDiv[Agency])-ROW(TableDiv[[#Headers],[Agency]])),COLUMNS($F$7:U$7))))</f>
        <v/>
      </c>
      <c r="V96" s="2223" t="str" cm="1">
        <f t="array" ref="V96">IF($D96&lt;COLUMNS($F$7:V$7),"",INDEX(TableDiv[[GASB]:[GASB]],_xlfn.AGGREGATE(15,3,(TableDiv[[Agency]:[Agency]]=$E96)/(TableDiv[[Agency]:[Agency]]=$E96)*(ROW(TableDiv[Agency])-ROW(TableDiv[[#Headers],[Agency]])),COLUMNS($F$7:V$7))))</f>
        <v/>
      </c>
      <c r="W96" s="2223" t="str" cm="1">
        <f t="array" ref="W96">IF($D96&lt;COLUMNS($F$7:W$7),"",INDEX(TableDiv[[GASB]:[GASB]],_xlfn.AGGREGATE(15,3,(TableDiv[[Agency]:[Agency]]=$E96)/(TableDiv[[Agency]:[Agency]]=$E96)*(ROW(TableDiv[Agency])-ROW(TableDiv[[#Headers],[Agency]])),COLUMNS($F$7:W$7))))</f>
        <v/>
      </c>
      <c r="X96" s="2223" t="str" cm="1">
        <f t="array" ref="X96">IF($D96&lt;COLUMNS($F$7:X$7),"",INDEX(TableDiv[[GASB]:[GASB]],_xlfn.AGGREGATE(15,3,(TableDiv[[Agency]:[Agency]]=$E96)/(TableDiv[[Agency]:[Agency]]=$E96)*(ROW(TableDiv[Agency])-ROW(TableDiv[[#Headers],[Agency]])),COLUMNS($F$7:X$7))))</f>
        <v/>
      </c>
      <c r="Y96" s="2223" t="str" cm="1">
        <f t="array" ref="Y96">IF($D96&lt;COLUMNS($F$7:Y$7),"",INDEX(TableDiv[[GASB]:[GASB]],_xlfn.AGGREGATE(15,3,(TableDiv[[Agency]:[Agency]]=$E96)/(TableDiv[[Agency]:[Agency]]=$E96)*(ROW(TableDiv[Agency])-ROW(TableDiv[[#Headers],[Agency]])),COLUMNS($F$7:Y$7))))</f>
        <v/>
      </c>
      <c r="Z96" s="2223" t="str" cm="1">
        <f t="array" ref="Z96">IF($D96&lt;COLUMNS($F$7:Z$7),"",INDEX(TableDiv[[GASB]:[GASB]],_xlfn.AGGREGATE(15,3,(TableDiv[[Agency]:[Agency]]=$E96)/(TableDiv[[Agency]:[Agency]]=$E96)*(ROW(TableDiv[Agency])-ROW(TableDiv[[#Headers],[Agency]])),COLUMNS($F$7:Z$7))))</f>
        <v/>
      </c>
      <c r="AA96" s="2223" t="str" cm="1">
        <f t="array" ref="AA96">IF($D96&lt;COLUMNS($F$7:AA$7),"",INDEX(TableDiv[[GASB]:[GASB]],_xlfn.AGGREGATE(15,3,(TableDiv[[Agency]:[Agency]]=$E96)/(TableDiv[[Agency]:[Agency]]=$E96)*(ROW(TableDiv[Agency])-ROW(TableDiv[[#Headers],[Agency]])),COLUMNS($F$7:AA$7))))</f>
        <v/>
      </c>
      <c r="AB96" s="2223" t="str" cm="1">
        <f t="array" ref="AB96">IF($D96&lt;COLUMNS($F$7:AB$7),"",INDEX(TableDiv[[GASB]:[GASB]],_xlfn.AGGREGATE(15,3,(TableDiv[[Agency]:[Agency]]=$E96)/(TableDiv[[Agency]:[Agency]]=$E96)*(ROW(TableDiv[Agency])-ROW(TableDiv[[#Headers],[Agency]])),COLUMNS($F$7:AB$7))))</f>
        <v/>
      </c>
      <c r="AC96" s="2223" t="str" cm="1">
        <f t="array" ref="AC96">IF($D96&lt;COLUMNS($F$7:AC$7),"",INDEX(TableDiv[[GASB]:[GASB]],_xlfn.AGGREGATE(15,3,(TableDiv[[Agency]:[Agency]]=$E96)/(TableDiv[[Agency]:[Agency]]=$E96)*(ROW(TableDiv[Agency])-ROW(TableDiv[[#Headers],[Agency]])),COLUMNS($F$7:AC$7))))</f>
        <v/>
      </c>
      <c r="AD96" s="2223" t="str" cm="1">
        <f t="array" ref="AD96">IF($D96&lt;COLUMNS($F$7:AD$7),"",INDEX(TableDiv[[GASB]:[GASB]],_xlfn.AGGREGATE(15,3,(TableDiv[[Agency]:[Agency]]=$E96)/(TableDiv[[Agency]:[Agency]]=$E96)*(ROW(TableDiv[Agency])-ROW(TableDiv[[#Headers],[Agency]])),COLUMNS($F$7:AD$7))))</f>
        <v/>
      </c>
      <c r="AE96" s="2223" t="str" cm="1">
        <f t="array" ref="AE96">IF($D96&lt;COLUMNS($F$7:AE$7),"",INDEX(TableDiv[[GASB]:[GASB]],_xlfn.AGGREGATE(15,3,(TableDiv[[Agency]:[Agency]]=$E96)/(TableDiv[[Agency]:[Agency]]=$E96)*(ROW(TableDiv[Agency])-ROW(TableDiv[[#Headers],[Agency]])),COLUMNS($F$7:AE$7))))</f>
        <v/>
      </c>
      <c r="AF96" s="2223" t="str" cm="1">
        <f t="array" ref="AF96">IF($D96&lt;COLUMNS($F$7:AF$7),"",INDEX(TableDiv[[GASB]:[GASB]],_xlfn.AGGREGATE(15,3,(TableDiv[[Agency]:[Agency]]=$E96)/(TableDiv[[Agency]:[Agency]]=$E96)*(ROW(TableDiv[Agency])-ROW(TableDiv[[#Headers],[Agency]])),COLUMNS($F$7:AF$7))))</f>
        <v/>
      </c>
      <c r="AG96" s="2223" t="str" cm="1">
        <f t="array" ref="AG96">IF($D96&lt;COLUMNS($F$7:AG$7),"",INDEX(TableDiv[[GASB]:[GASB]],_xlfn.AGGREGATE(15,3,(TableDiv[[Agency]:[Agency]]=$E96)/(TableDiv[[Agency]:[Agency]]=$E96)*(ROW(TableDiv[Agency])-ROW(TableDiv[[#Headers],[Agency]])),COLUMNS($F$7:AG$7))))</f>
        <v/>
      </c>
      <c r="AH96" s="2223" t="str" cm="1">
        <f t="array" ref="AH96">IF($D96&lt;COLUMNS($F$7:AH$7),"",INDEX(TableDiv[[GASB]:[GASB]],_xlfn.AGGREGATE(15,3,(TableDiv[[Agency]:[Agency]]=$E96)/(TableDiv[[Agency]:[Agency]]=$E96)*(ROW(TableDiv[Agency])-ROW(TableDiv[[#Headers],[Agency]])),COLUMNS($F$7:AH$7))))</f>
        <v/>
      </c>
      <c r="AI96" s="2223" t="str" cm="1">
        <f t="array" ref="AI96">IF($D96&lt;COLUMNS($F$7:AI$7),"",INDEX(TableDiv[[GASB]:[GASB]],_xlfn.AGGREGATE(15,3,(TableDiv[[Agency]:[Agency]]=$E96)/(TableDiv[[Agency]:[Agency]]=$E96)*(ROW(TableDiv[Agency])-ROW(TableDiv[[#Headers],[Agency]])),COLUMNS($F$7:AI$7))))</f>
        <v/>
      </c>
      <c r="AJ96" s="2223" t="str" cm="1">
        <f t="array" ref="AJ96">IF($D96&lt;COLUMNS($F$7:AJ$7),"",INDEX(TableDiv[[GASB]:[GASB]],_xlfn.AGGREGATE(15,3,(TableDiv[[Agency]:[Agency]]=$E96)/(TableDiv[[Agency]:[Agency]]=$E96)*(ROW(TableDiv[Agency])-ROW(TableDiv[[#Headers],[Agency]])),COLUMNS($F$7:AJ$7))))</f>
        <v/>
      </c>
      <c r="AK96" s="2223" t="str" cm="1">
        <f t="array" ref="AK96">IF($D96&lt;COLUMNS($F$7:AK$7),"",INDEX(TableDiv[[GASB]:[GASB]],_xlfn.AGGREGATE(15,3,(TableDiv[[Agency]:[Agency]]=$E96)/(TableDiv[[Agency]:[Agency]]=$E96)*(ROW(TableDiv[Agency])-ROW(TableDiv[[#Headers],[Agency]])),COLUMNS($F$7:AK$7))))</f>
        <v/>
      </c>
      <c r="AL96" s="2223" t="str" cm="1">
        <f t="array" ref="AL96">IF($D96&lt;COLUMNS($F$7:AL$7),"",INDEX(TableDiv[[GASB]:[GASB]],_xlfn.AGGREGATE(15,3,(TableDiv[[Agency]:[Agency]]=$E96)/(TableDiv[[Agency]:[Agency]]=$E96)*(ROW(TableDiv[Agency])-ROW(TableDiv[[#Headers],[Agency]])),COLUMNS($F$7:AL$7))))</f>
        <v/>
      </c>
      <c r="AM96" s="2223" t="str" cm="1">
        <f t="array" ref="AM96">IF($D96&lt;COLUMNS($F$7:AM$7),"",INDEX(TableDiv[[GASB]:[GASB]],_xlfn.AGGREGATE(15,3,(TableDiv[[Agency]:[Agency]]=$E96)/(TableDiv[[Agency]:[Agency]]=$E96)*(ROW(TableDiv[Agency])-ROW(TableDiv[[#Headers],[Agency]])),COLUMNS($F$7:AM$7))))</f>
        <v/>
      </c>
      <c r="AN96" s="2223"/>
      <c r="AO96" s="2223"/>
      <c r="AP96" s="2223"/>
      <c r="AQ96" s="2223"/>
      <c r="AR96" s="2223"/>
      <c r="AS96" s="2223"/>
    </row>
    <row r="97" spans="1:45" ht="15" x14ac:dyDescent="0.25">
      <c r="A97" s="2219" t="s">
        <v>5105</v>
      </c>
      <c r="B97" s="2219" t="s">
        <v>6365</v>
      </c>
      <c r="C97" s="2223"/>
      <c r="D97" s="2223">
        <f>COUNTIF(TableDiv[Agency],E97)</f>
        <v>1</v>
      </c>
      <c r="E97" s="2230" t="str" cm="1">
        <f t="array" ref="E97">IFERROR(INDEX(TableDiv[Agency],MATCH(0,INDEX(COUNTIF($E$7:E96,TableDiv[Agency]),),0)),"")</f>
        <v>CMF</v>
      </c>
      <c r="F97" s="2223" t="str" cm="1">
        <f t="array" ref="F97">IF($D97&lt;COLUMNS($F$7:F$7),"",INDEX(TableDiv[[GASB]:[GASB]],_xlfn.AGGREGATE(15,3,(TableDiv[[Agency]:[Agency]]=$E97)/(TableDiv[[Agency]:[Agency]]=$E97)*(ROW(TableDiv[Agency])-ROW(TableDiv[[#Headers],[Agency]])),COLUMNS($F$7:F$7))))</f>
        <v>48200G</v>
      </c>
      <c r="G97" s="2223" t="str" cm="1">
        <f t="array" ref="G97">IF($D97&lt;COLUMNS($F$7:G$7),"",INDEX(TableDiv[[GASB]:[GASB]],_xlfn.AGGREGATE(15,3,(TableDiv[[Agency]:[Agency]]=$E97)/(TableDiv[[Agency]:[Agency]]=$E97)*(ROW(TableDiv[Agency])-ROW(TableDiv[[#Headers],[Agency]])),COLUMNS($F$7:G$7))))</f>
        <v/>
      </c>
      <c r="H97" s="2223" t="str" cm="1">
        <f t="array" ref="H97">IF($D97&lt;COLUMNS($F$7:H$7),"",INDEX(TableDiv[[GASB]:[GASB]],_xlfn.AGGREGATE(15,3,(TableDiv[[Agency]:[Agency]]=$E97)/(TableDiv[[Agency]:[Agency]]=$E97)*(ROW(TableDiv[Agency])-ROW(TableDiv[[#Headers],[Agency]])),COLUMNS($F$7:H$7))))</f>
        <v/>
      </c>
      <c r="I97" s="2223" t="str" cm="1">
        <f t="array" ref="I97">IF($D97&lt;COLUMNS($F$7:I$7),"",INDEX(TableDiv[[GASB]:[GASB]],_xlfn.AGGREGATE(15,3,(TableDiv[[Agency]:[Agency]]=$E97)/(TableDiv[[Agency]:[Agency]]=$E97)*(ROW(TableDiv[Agency])-ROW(TableDiv[[#Headers],[Agency]])),COLUMNS($F$7:I$7))))</f>
        <v/>
      </c>
      <c r="J97" s="2223" t="str" cm="1">
        <f t="array" ref="J97">IF($D97&lt;COLUMNS($F$7:J$7),"",INDEX(TableDiv[[GASB]:[GASB]],_xlfn.AGGREGATE(15,3,(TableDiv[[Agency]:[Agency]]=$E97)/(TableDiv[[Agency]:[Agency]]=$E97)*(ROW(TableDiv[Agency])-ROW(TableDiv[[#Headers],[Agency]])),COLUMNS($F$7:J$7))))</f>
        <v/>
      </c>
      <c r="K97" s="2223" t="str" cm="1">
        <f t="array" ref="K97">IF($D97&lt;COLUMNS($F$7:K$7),"",INDEX(TableDiv[[GASB]:[GASB]],_xlfn.AGGREGATE(15,3,(TableDiv[[Agency]:[Agency]]=$E97)/(TableDiv[[Agency]:[Agency]]=$E97)*(ROW(TableDiv[Agency])-ROW(TableDiv[[#Headers],[Agency]])),COLUMNS($F$7:K$7))))</f>
        <v/>
      </c>
      <c r="L97" s="2223" t="str" cm="1">
        <f t="array" ref="L97">IF($D97&lt;COLUMNS($F$7:L$7),"",INDEX(TableDiv[[GASB]:[GASB]],_xlfn.AGGREGATE(15,3,(TableDiv[[Agency]:[Agency]]=$E97)/(TableDiv[[Agency]:[Agency]]=$E97)*(ROW(TableDiv[Agency])-ROW(TableDiv[[#Headers],[Agency]])),COLUMNS($F$7:L$7))))</f>
        <v/>
      </c>
      <c r="M97" s="2223" t="str" cm="1">
        <f t="array" ref="M97">IF($D97&lt;COLUMNS($F$7:M$7),"",INDEX(TableDiv[[GASB]:[GASB]],_xlfn.AGGREGATE(15,3,(TableDiv[[Agency]:[Agency]]=$E97)/(TableDiv[[Agency]:[Agency]]=$E97)*(ROW(TableDiv[Agency])-ROW(TableDiv[[#Headers],[Agency]])),COLUMNS($F$7:M$7))))</f>
        <v/>
      </c>
      <c r="N97" s="2223" t="str" cm="1">
        <f t="array" ref="N97">IF($D97&lt;COLUMNS($F$7:N$7),"",INDEX(TableDiv[[GASB]:[GASB]],_xlfn.AGGREGATE(15,3,(TableDiv[[Agency]:[Agency]]=$E97)/(TableDiv[[Agency]:[Agency]]=$E97)*(ROW(TableDiv[Agency])-ROW(TableDiv[[#Headers],[Agency]])),COLUMNS($F$7:N$7))))</f>
        <v/>
      </c>
      <c r="O97" s="2223" t="str" cm="1">
        <f t="array" ref="O97">IF($D97&lt;COLUMNS($F$7:O$7),"",INDEX(TableDiv[[GASB]:[GASB]],_xlfn.AGGREGATE(15,3,(TableDiv[[Agency]:[Agency]]=$E97)/(TableDiv[[Agency]:[Agency]]=$E97)*(ROW(TableDiv[Agency])-ROW(TableDiv[[#Headers],[Agency]])),COLUMNS($F$7:O$7))))</f>
        <v/>
      </c>
      <c r="P97" s="2223" t="str" cm="1">
        <f t="array" ref="P97">IF($D97&lt;COLUMNS($F$7:P$7),"",INDEX(TableDiv[[GASB]:[GASB]],_xlfn.AGGREGATE(15,3,(TableDiv[[Agency]:[Agency]]=$E97)/(TableDiv[[Agency]:[Agency]]=$E97)*(ROW(TableDiv[Agency])-ROW(TableDiv[[#Headers],[Agency]])),COLUMNS($F$7:P$7))))</f>
        <v/>
      </c>
      <c r="Q97" s="2223" t="str" cm="1">
        <f t="array" ref="Q97">IF($D97&lt;COLUMNS($F$7:Q$7),"",INDEX(TableDiv[[GASB]:[GASB]],_xlfn.AGGREGATE(15,3,(TableDiv[[Agency]:[Agency]]=$E97)/(TableDiv[[Agency]:[Agency]]=$E97)*(ROW(TableDiv[Agency])-ROW(TableDiv[[#Headers],[Agency]])),COLUMNS($F$7:Q$7))))</f>
        <v/>
      </c>
      <c r="R97" s="2223" t="str" cm="1">
        <f t="array" ref="R97">IF($D97&lt;COLUMNS($F$7:R$7),"",INDEX(TableDiv[[GASB]:[GASB]],_xlfn.AGGREGATE(15,3,(TableDiv[[Agency]:[Agency]]=$E97)/(TableDiv[[Agency]:[Agency]]=$E97)*(ROW(TableDiv[Agency])-ROW(TableDiv[[#Headers],[Agency]])),COLUMNS($F$7:R$7))))</f>
        <v/>
      </c>
      <c r="S97" s="2223" t="str" cm="1">
        <f t="array" ref="S97">IF($D97&lt;COLUMNS($F$7:S$7),"",INDEX(TableDiv[[GASB]:[GASB]],_xlfn.AGGREGATE(15,3,(TableDiv[[Agency]:[Agency]]=$E97)/(TableDiv[[Agency]:[Agency]]=$E97)*(ROW(TableDiv[Agency])-ROW(TableDiv[[#Headers],[Agency]])),COLUMNS($F$7:S$7))))</f>
        <v/>
      </c>
      <c r="T97" s="2223" t="str" cm="1">
        <f t="array" ref="T97">IF($D97&lt;COLUMNS($F$7:T$7),"",INDEX(TableDiv[[GASB]:[GASB]],_xlfn.AGGREGATE(15,3,(TableDiv[[Agency]:[Agency]]=$E97)/(TableDiv[[Agency]:[Agency]]=$E97)*(ROW(TableDiv[Agency])-ROW(TableDiv[[#Headers],[Agency]])),COLUMNS($F$7:T$7))))</f>
        <v/>
      </c>
      <c r="U97" s="2223" t="str" cm="1">
        <f t="array" ref="U97">IF($D97&lt;COLUMNS($F$7:U$7),"",INDEX(TableDiv[[GASB]:[GASB]],_xlfn.AGGREGATE(15,3,(TableDiv[[Agency]:[Agency]]=$E97)/(TableDiv[[Agency]:[Agency]]=$E97)*(ROW(TableDiv[Agency])-ROW(TableDiv[[#Headers],[Agency]])),COLUMNS($F$7:U$7))))</f>
        <v/>
      </c>
      <c r="V97" s="2223" t="str" cm="1">
        <f t="array" ref="V97">IF($D97&lt;COLUMNS($F$7:V$7),"",INDEX(TableDiv[[GASB]:[GASB]],_xlfn.AGGREGATE(15,3,(TableDiv[[Agency]:[Agency]]=$E97)/(TableDiv[[Agency]:[Agency]]=$E97)*(ROW(TableDiv[Agency])-ROW(TableDiv[[#Headers],[Agency]])),COLUMNS($F$7:V$7))))</f>
        <v/>
      </c>
      <c r="W97" s="2223" t="str" cm="1">
        <f t="array" ref="W97">IF($D97&lt;COLUMNS($F$7:W$7),"",INDEX(TableDiv[[GASB]:[GASB]],_xlfn.AGGREGATE(15,3,(TableDiv[[Agency]:[Agency]]=$E97)/(TableDiv[[Agency]:[Agency]]=$E97)*(ROW(TableDiv[Agency])-ROW(TableDiv[[#Headers],[Agency]])),COLUMNS($F$7:W$7))))</f>
        <v/>
      </c>
      <c r="X97" s="2223" t="str" cm="1">
        <f t="array" ref="X97">IF($D97&lt;COLUMNS($F$7:X$7),"",INDEX(TableDiv[[GASB]:[GASB]],_xlfn.AGGREGATE(15,3,(TableDiv[[Agency]:[Agency]]=$E97)/(TableDiv[[Agency]:[Agency]]=$E97)*(ROW(TableDiv[Agency])-ROW(TableDiv[[#Headers],[Agency]])),COLUMNS($F$7:X$7))))</f>
        <v/>
      </c>
      <c r="Y97" s="2223" t="str" cm="1">
        <f t="array" ref="Y97">IF($D97&lt;COLUMNS($F$7:Y$7),"",INDEX(TableDiv[[GASB]:[GASB]],_xlfn.AGGREGATE(15,3,(TableDiv[[Agency]:[Agency]]=$E97)/(TableDiv[[Agency]:[Agency]]=$E97)*(ROW(TableDiv[Agency])-ROW(TableDiv[[#Headers],[Agency]])),COLUMNS($F$7:Y$7))))</f>
        <v/>
      </c>
      <c r="Z97" s="2223" t="str" cm="1">
        <f t="array" ref="Z97">IF($D97&lt;COLUMNS($F$7:Z$7),"",INDEX(TableDiv[[GASB]:[GASB]],_xlfn.AGGREGATE(15,3,(TableDiv[[Agency]:[Agency]]=$E97)/(TableDiv[[Agency]:[Agency]]=$E97)*(ROW(TableDiv[Agency])-ROW(TableDiv[[#Headers],[Agency]])),COLUMNS($F$7:Z$7))))</f>
        <v/>
      </c>
      <c r="AA97" s="2223" t="str" cm="1">
        <f t="array" ref="AA97">IF($D97&lt;COLUMNS($F$7:AA$7),"",INDEX(TableDiv[[GASB]:[GASB]],_xlfn.AGGREGATE(15,3,(TableDiv[[Agency]:[Agency]]=$E97)/(TableDiv[[Agency]:[Agency]]=$E97)*(ROW(TableDiv[Agency])-ROW(TableDiv[[#Headers],[Agency]])),COLUMNS($F$7:AA$7))))</f>
        <v/>
      </c>
      <c r="AB97" s="2223" t="str" cm="1">
        <f t="array" ref="AB97">IF($D97&lt;COLUMNS($F$7:AB$7),"",INDEX(TableDiv[[GASB]:[GASB]],_xlfn.AGGREGATE(15,3,(TableDiv[[Agency]:[Agency]]=$E97)/(TableDiv[[Agency]:[Agency]]=$E97)*(ROW(TableDiv[Agency])-ROW(TableDiv[[#Headers],[Agency]])),COLUMNS($F$7:AB$7))))</f>
        <v/>
      </c>
      <c r="AC97" s="2223" t="str" cm="1">
        <f t="array" ref="AC97">IF($D97&lt;COLUMNS($F$7:AC$7),"",INDEX(TableDiv[[GASB]:[GASB]],_xlfn.AGGREGATE(15,3,(TableDiv[[Agency]:[Agency]]=$E97)/(TableDiv[[Agency]:[Agency]]=$E97)*(ROW(TableDiv[Agency])-ROW(TableDiv[[#Headers],[Agency]])),COLUMNS($F$7:AC$7))))</f>
        <v/>
      </c>
      <c r="AD97" s="2223" t="str" cm="1">
        <f t="array" ref="AD97">IF($D97&lt;COLUMNS($F$7:AD$7),"",INDEX(TableDiv[[GASB]:[GASB]],_xlfn.AGGREGATE(15,3,(TableDiv[[Agency]:[Agency]]=$E97)/(TableDiv[[Agency]:[Agency]]=$E97)*(ROW(TableDiv[Agency])-ROW(TableDiv[[#Headers],[Agency]])),COLUMNS($F$7:AD$7))))</f>
        <v/>
      </c>
      <c r="AE97" s="2223" t="str" cm="1">
        <f t="array" ref="AE97">IF($D97&lt;COLUMNS($F$7:AE$7),"",INDEX(TableDiv[[GASB]:[GASB]],_xlfn.AGGREGATE(15,3,(TableDiv[[Agency]:[Agency]]=$E97)/(TableDiv[[Agency]:[Agency]]=$E97)*(ROW(TableDiv[Agency])-ROW(TableDiv[[#Headers],[Agency]])),COLUMNS($F$7:AE$7))))</f>
        <v/>
      </c>
      <c r="AF97" s="2223" t="str" cm="1">
        <f t="array" ref="AF97">IF($D97&lt;COLUMNS($F$7:AF$7),"",INDEX(TableDiv[[GASB]:[GASB]],_xlfn.AGGREGATE(15,3,(TableDiv[[Agency]:[Agency]]=$E97)/(TableDiv[[Agency]:[Agency]]=$E97)*(ROW(TableDiv[Agency])-ROW(TableDiv[[#Headers],[Agency]])),COLUMNS($F$7:AF$7))))</f>
        <v/>
      </c>
      <c r="AG97" s="2223" t="str" cm="1">
        <f t="array" ref="AG97">IF($D97&lt;COLUMNS($F$7:AG$7),"",INDEX(TableDiv[[GASB]:[GASB]],_xlfn.AGGREGATE(15,3,(TableDiv[[Agency]:[Agency]]=$E97)/(TableDiv[[Agency]:[Agency]]=$E97)*(ROW(TableDiv[Agency])-ROW(TableDiv[[#Headers],[Agency]])),COLUMNS($F$7:AG$7))))</f>
        <v/>
      </c>
      <c r="AH97" s="2223" t="str" cm="1">
        <f t="array" ref="AH97">IF($D97&lt;COLUMNS($F$7:AH$7),"",INDEX(TableDiv[[GASB]:[GASB]],_xlfn.AGGREGATE(15,3,(TableDiv[[Agency]:[Agency]]=$E97)/(TableDiv[[Agency]:[Agency]]=$E97)*(ROW(TableDiv[Agency])-ROW(TableDiv[[#Headers],[Agency]])),COLUMNS($F$7:AH$7))))</f>
        <v/>
      </c>
      <c r="AI97" s="2223" t="str" cm="1">
        <f t="array" ref="AI97">IF($D97&lt;COLUMNS($F$7:AI$7),"",INDEX(TableDiv[[GASB]:[GASB]],_xlfn.AGGREGATE(15,3,(TableDiv[[Agency]:[Agency]]=$E97)/(TableDiv[[Agency]:[Agency]]=$E97)*(ROW(TableDiv[Agency])-ROW(TableDiv[[#Headers],[Agency]])),COLUMNS($F$7:AI$7))))</f>
        <v/>
      </c>
      <c r="AJ97" s="2223" t="str" cm="1">
        <f t="array" ref="AJ97">IF($D97&lt;COLUMNS($F$7:AJ$7),"",INDEX(TableDiv[[GASB]:[GASB]],_xlfn.AGGREGATE(15,3,(TableDiv[[Agency]:[Agency]]=$E97)/(TableDiv[[Agency]:[Agency]]=$E97)*(ROW(TableDiv[Agency])-ROW(TableDiv[[#Headers],[Agency]])),COLUMNS($F$7:AJ$7))))</f>
        <v/>
      </c>
      <c r="AK97" s="2223" t="str" cm="1">
        <f t="array" ref="AK97">IF($D97&lt;COLUMNS($F$7:AK$7),"",INDEX(TableDiv[[GASB]:[GASB]],_xlfn.AGGREGATE(15,3,(TableDiv[[Agency]:[Agency]]=$E97)/(TableDiv[[Agency]:[Agency]]=$E97)*(ROW(TableDiv[Agency])-ROW(TableDiv[[#Headers],[Agency]])),COLUMNS($F$7:AK$7))))</f>
        <v/>
      </c>
      <c r="AL97" s="2223" t="str" cm="1">
        <f t="array" ref="AL97">IF($D97&lt;COLUMNS($F$7:AL$7),"",INDEX(TableDiv[[GASB]:[GASB]],_xlfn.AGGREGATE(15,3,(TableDiv[[Agency]:[Agency]]=$E97)/(TableDiv[[Agency]:[Agency]]=$E97)*(ROW(TableDiv[Agency])-ROW(TableDiv[[#Headers],[Agency]])),COLUMNS($F$7:AL$7))))</f>
        <v/>
      </c>
      <c r="AM97" s="2223" t="str" cm="1">
        <f t="array" ref="AM97">IF($D97&lt;COLUMNS($F$7:AM$7),"",INDEX(TableDiv[[GASB]:[GASB]],_xlfn.AGGREGATE(15,3,(TableDiv[[Agency]:[Agency]]=$E97)/(TableDiv[[Agency]:[Agency]]=$E97)*(ROW(TableDiv[Agency])-ROW(TableDiv[[#Headers],[Agency]])),COLUMNS($F$7:AM$7))))</f>
        <v/>
      </c>
      <c r="AN97" s="2223"/>
      <c r="AO97" s="2223"/>
      <c r="AP97" s="2223"/>
      <c r="AQ97" s="2223"/>
      <c r="AR97" s="2223"/>
      <c r="AS97" s="2223"/>
    </row>
    <row r="98" spans="1:45" ht="15" x14ac:dyDescent="0.25">
      <c r="A98" s="2219" t="s">
        <v>5105</v>
      </c>
      <c r="B98" s="2219" t="s">
        <v>6361</v>
      </c>
      <c r="C98" s="2223"/>
      <c r="D98" s="2223">
        <f>COUNTIF(TableDiv[Agency],E98)</f>
        <v>1</v>
      </c>
      <c r="E98" s="2230" t="str" cm="1">
        <f t="array" ref="E98">IFERROR(INDEX(TableDiv[Agency],MATCH(0,INDEX(COUNTIF($E$7:E97,TableDiv[Agency]),),0)),"")</f>
        <v>CNF</v>
      </c>
      <c r="F98" s="2223" t="str" cm="1">
        <f t="array" ref="F98">IF($D98&lt;COLUMNS($F$7:F$7),"",INDEX(TableDiv[[GASB]:[GASB]],_xlfn.AGGREGATE(15,3,(TableDiv[[Agency]:[Agency]]=$E98)/(TableDiv[[Agency]:[Agency]]=$E98)*(ROW(TableDiv[Agency])-ROW(TableDiv[[#Headers],[Agency]])),COLUMNS($F$7:F$7))))</f>
        <v>48200G</v>
      </c>
      <c r="G98" s="2223" t="str" cm="1">
        <f t="array" ref="G98">IF($D98&lt;COLUMNS($F$7:G$7),"",INDEX(TableDiv[[GASB]:[GASB]],_xlfn.AGGREGATE(15,3,(TableDiv[[Agency]:[Agency]]=$E98)/(TableDiv[[Agency]:[Agency]]=$E98)*(ROW(TableDiv[Agency])-ROW(TableDiv[[#Headers],[Agency]])),COLUMNS($F$7:G$7))))</f>
        <v/>
      </c>
      <c r="H98" s="2223" t="str" cm="1">
        <f t="array" ref="H98">IF($D98&lt;COLUMNS($F$7:H$7),"",INDEX(TableDiv[[GASB]:[GASB]],_xlfn.AGGREGATE(15,3,(TableDiv[[Agency]:[Agency]]=$E98)/(TableDiv[[Agency]:[Agency]]=$E98)*(ROW(TableDiv[Agency])-ROW(TableDiv[[#Headers],[Agency]])),COLUMNS($F$7:H$7))))</f>
        <v/>
      </c>
      <c r="I98" s="2223" t="str" cm="1">
        <f t="array" ref="I98">IF($D98&lt;COLUMNS($F$7:I$7),"",INDEX(TableDiv[[GASB]:[GASB]],_xlfn.AGGREGATE(15,3,(TableDiv[[Agency]:[Agency]]=$E98)/(TableDiv[[Agency]:[Agency]]=$E98)*(ROW(TableDiv[Agency])-ROW(TableDiv[[#Headers],[Agency]])),COLUMNS($F$7:I$7))))</f>
        <v/>
      </c>
      <c r="J98" s="2223" t="str" cm="1">
        <f t="array" ref="J98">IF($D98&lt;COLUMNS($F$7:J$7),"",INDEX(TableDiv[[GASB]:[GASB]],_xlfn.AGGREGATE(15,3,(TableDiv[[Agency]:[Agency]]=$E98)/(TableDiv[[Agency]:[Agency]]=$E98)*(ROW(TableDiv[Agency])-ROW(TableDiv[[#Headers],[Agency]])),COLUMNS($F$7:J$7))))</f>
        <v/>
      </c>
      <c r="K98" s="2223" t="str" cm="1">
        <f t="array" ref="K98">IF($D98&lt;COLUMNS($F$7:K$7),"",INDEX(TableDiv[[GASB]:[GASB]],_xlfn.AGGREGATE(15,3,(TableDiv[[Agency]:[Agency]]=$E98)/(TableDiv[[Agency]:[Agency]]=$E98)*(ROW(TableDiv[Agency])-ROW(TableDiv[[#Headers],[Agency]])),COLUMNS($F$7:K$7))))</f>
        <v/>
      </c>
      <c r="L98" s="2223" t="str" cm="1">
        <f t="array" ref="L98">IF($D98&lt;COLUMNS($F$7:L$7),"",INDEX(TableDiv[[GASB]:[GASB]],_xlfn.AGGREGATE(15,3,(TableDiv[[Agency]:[Agency]]=$E98)/(TableDiv[[Agency]:[Agency]]=$E98)*(ROW(TableDiv[Agency])-ROW(TableDiv[[#Headers],[Agency]])),COLUMNS($F$7:L$7))))</f>
        <v/>
      </c>
      <c r="M98" s="2223" t="str" cm="1">
        <f t="array" ref="M98">IF($D98&lt;COLUMNS($F$7:M$7),"",INDEX(TableDiv[[GASB]:[GASB]],_xlfn.AGGREGATE(15,3,(TableDiv[[Agency]:[Agency]]=$E98)/(TableDiv[[Agency]:[Agency]]=$E98)*(ROW(TableDiv[Agency])-ROW(TableDiv[[#Headers],[Agency]])),COLUMNS($F$7:M$7))))</f>
        <v/>
      </c>
      <c r="N98" s="2223" t="str" cm="1">
        <f t="array" ref="N98">IF($D98&lt;COLUMNS($F$7:N$7),"",INDEX(TableDiv[[GASB]:[GASB]],_xlfn.AGGREGATE(15,3,(TableDiv[[Agency]:[Agency]]=$E98)/(TableDiv[[Agency]:[Agency]]=$E98)*(ROW(TableDiv[Agency])-ROW(TableDiv[[#Headers],[Agency]])),COLUMNS($F$7:N$7))))</f>
        <v/>
      </c>
      <c r="O98" s="2223" t="str" cm="1">
        <f t="array" ref="O98">IF($D98&lt;COLUMNS($F$7:O$7),"",INDEX(TableDiv[[GASB]:[GASB]],_xlfn.AGGREGATE(15,3,(TableDiv[[Agency]:[Agency]]=$E98)/(TableDiv[[Agency]:[Agency]]=$E98)*(ROW(TableDiv[Agency])-ROW(TableDiv[[#Headers],[Agency]])),COLUMNS($F$7:O$7))))</f>
        <v/>
      </c>
      <c r="P98" s="2223" t="str" cm="1">
        <f t="array" ref="P98">IF($D98&lt;COLUMNS($F$7:P$7),"",INDEX(TableDiv[[GASB]:[GASB]],_xlfn.AGGREGATE(15,3,(TableDiv[[Agency]:[Agency]]=$E98)/(TableDiv[[Agency]:[Agency]]=$E98)*(ROW(TableDiv[Agency])-ROW(TableDiv[[#Headers],[Agency]])),COLUMNS($F$7:P$7))))</f>
        <v/>
      </c>
      <c r="Q98" s="2223" t="str" cm="1">
        <f t="array" ref="Q98">IF($D98&lt;COLUMNS($F$7:Q$7),"",INDEX(TableDiv[[GASB]:[GASB]],_xlfn.AGGREGATE(15,3,(TableDiv[[Agency]:[Agency]]=$E98)/(TableDiv[[Agency]:[Agency]]=$E98)*(ROW(TableDiv[Agency])-ROW(TableDiv[[#Headers],[Agency]])),COLUMNS($F$7:Q$7))))</f>
        <v/>
      </c>
      <c r="R98" s="2223" t="str" cm="1">
        <f t="array" ref="R98">IF($D98&lt;COLUMNS($F$7:R$7),"",INDEX(TableDiv[[GASB]:[GASB]],_xlfn.AGGREGATE(15,3,(TableDiv[[Agency]:[Agency]]=$E98)/(TableDiv[[Agency]:[Agency]]=$E98)*(ROW(TableDiv[Agency])-ROW(TableDiv[[#Headers],[Agency]])),COLUMNS($F$7:R$7))))</f>
        <v/>
      </c>
      <c r="S98" s="2223" t="str" cm="1">
        <f t="array" ref="S98">IF($D98&lt;COLUMNS($F$7:S$7),"",INDEX(TableDiv[[GASB]:[GASB]],_xlfn.AGGREGATE(15,3,(TableDiv[[Agency]:[Agency]]=$E98)/(TableDiv[[Agency]:[Agency]]=$E98)*(ROW(TableDiv[Agency])-ROW(TableDiv[[#Headers],[Agency]])),COLUMNS($F$7:S$7))))</f>
        <v/>
      </c>
      <c r="T98" s="2223" t="str" cm="1">
        <f t="array" ref="T98">IF($D98&lt;COLUMNS($F$7:T$7),"",INDEX(TableDiv[[GASB]:[GASB]],_xlfn.AGGREGATE(15,3,(TableDiv[[Agency]:[Agency]]=$E98)/(TableDiv[[Agency]:[Agency]]=$E98)*(ROW(TableDiv[Agency])-ROW(TableDiv[[#Headers],[Agency]])),COLUMNS($F$7:T$7))))</f>
        <v/>
      </c>
      <c r="U98" s="2223" t="str" cm="1">
        <f t="array" ref="U98">IF($D98&lt;COLUMNS($F$7:U$7),"",INDEX(TableDiv[[GASB]:[GASB]],_xlfn.AGGREGATE(15,3,(TableDiv[[Agency]:[Agency]]=$E98)/(TableDiv[[Agency]:[Agency]]=$E98)*(ROW(TableDiv[Agency])-ROW(TableDiv[[#Headers],[Agency]])),COLUMNS($F$7:U$7))))</f>
        <v/>
      </c>
      <c r="V98" s="2223" t="str" cm="1">
        <f t="array" ref="V98">IF($D98&lt;COLUMNS($F$7:V$7),"",INDEX(TableDiv[[GASB]:[GASB]],_xlfn.AGGREGATE(15,3,(TableDiv[[Agency]:[Agency]]=$E98)/(TableDiv[[Agency]:[Agency]]=$E98)*(ROW(TableDiv[Agency])-ROW(TableDiv[[#Headers],[Agency]])),COLUMNS($F$7:V$7))))</f>
        <v/>
      </c>
      <c r="W98" s="2223" t="str" cm="1">
        <f t="array" ref="W98">IF($D98&lt;COLUMNS($F$7:W$7),"",INDEX(TableDiv[[GASB]:[GASB]],_xlfn.AGGREGATE(15,3,(TableDiv[[Agency]:[Agency]]=$E98)/(TableDiv[[Agency]:[Agency]]=$E98)*(ROW(TableDiv[Agency])-ROW(TableDiv[[#Headers],[Agency]])),COLUMNS($F$7:W$7))))</f>
        <v/>
      </c>
      <c r="X98" s="2223" t="str" cm="1">
        <f t="array" ref="X98">IF($D98&lt;COLUMNS($F$7:X$7),"",INDEX(TableDiv[[GASB]:[GASB]],_xlfn.AGGREGATE(15,3,(TableDiv[[Agency]:[Agency]]=$E98)/(TableDiv[[Agency]:[Agency]]=$E98)*(ROW(TableDiv[Agency])-ROW(TableDiv[[#Headers],[Agency]])),COLUMNS($F$7:X$7))))</f>
        <v/>
      </c>
      <c r="Y98" s="2223" t="str" cm="1">
        <f t="array" ref="Y98">IF($D98&lt;COLUMNS($F$7:Y$7),"",INDEX(TableDiv[[GASB]:[GASB]],_xlfn.AGGREGATE(15,3,(TableDiv[[Agency]:[Agency]]=$E98)/(TableDiv[[Agency]:[Agency]]=$E98)*(ROW(TableDiv[Agency])-ROW(TableDiv[[#Headers],[Agency]])),COLUMNS($F$7:Y$7))))</f>
        <v/>
      </c>
      <c r="Z98" s="2223" t="str" cm="1">
        <f t="array" ref="Z98">IF($D98&lt;COLUMNS($F$7:Z$7),"",INDEX(TableDiv[[GASB]:[GASB]],_xlfn.AGGREGATE(15,3,(TableDiv[[Agency]:[Agency]]=$E98)/(TableDiv[[Agency]:[Agency]]=$E98)*(ROW(TableDiv[Agency])-ROW(TableDiv[[#Headers],[Agency]])),COLUMNS($F$7:Z$7))))</f>
        <v/>
      </c>
      <c r="AA98" s="2223" t="str" cm="1">
        <f t="array" ref="AA98">IF($D98&lt;COLUMNS($F$7:AA$7),"",INDEX(TableDiv[[GASB]:[GASB]],_xlfn.AGGREGATE(15,3,(TableDiv[[Agency]:[Agency]]=$E98)/(TableDiv[[Agency]:[Agency]]=$E98)*(ROW(TableDiv[Agency])-ROW(TableDiv[[#Headers],[Agency]])),COLUMNS($F$7:AA$7))))</f>
        <v/>
      </c>
      <c r="AB98" s="2223" t="str" cm="1">
        <f t="array" ref="AB98">IF($D98&lt;COLUMNS($F$7:AB$7),"",INDEX(TableDiv[[GASB]:[GASB]],_xlfn.AGGREGATE(15,3,(TableDiv[[Agency]:[Agency]]=$E98)/(TableDiv[[Agency]:[Agency]]=$E98)*(ROW(TableDiv[Agency])-ROW(TableDiv[[#Headers],[Agency]])),COLUMNS($F$7:AB$7))))</f>
        <v/>
      </c>
      <c r="AC98" s="2223" t="str" cm="1">
        <f t="array" ref="AC98">IF($D98&lt;COLUMNS($F$7:AC$7),"",INDEX(TableDiv[[GASB]:[GASB]],_xlfn.AGGREGATE(15,3,(TableDiv[[Agency]:[Agency]]=$E98)/(TableDiv[[Agency]:[Agency]]=$E98)*(ROW(TableDiv[Agency])-ROW(TableDiv[[#Headers],[Agency]])),COLUMNS($F$7:AC$7))))</f>
        <v/>
      </c>
      <c r="AD98" s="2223" t="str" cm="1">
        <f t="array" ref="AD98">IF($D98&lt;COLUMNS($F$7:AD$7),"",INDEX(TableDiv[[GASB]:[GASB]],_xlfn.AGGREGATE(15,3,(TableDiv[[Agency]:[Agency]]=$E98)/(TableDiv[[Agency]:[Agency]]=$E98)*(ROW(TableDiv[Agency])-ROW(TableDiv[[#Headers],[Agency]])),COLUMNS($F$7:AD$7))))</f>
        <v/>
      </c>
      <c r="AE98" s="2223" t="str" cm="1">
        <f t="array" ref="AE98">IF($D98&lt;COLUMNS($F$7:AE$7),"",INDEX(TableDiv[[GASB]:[GASB]],_xlfn.AGGREGATE(15,3,(TableDiv[[Agency]:[Agency]]=$E98)/(TableDiv[[Agency]:[Agency]]=$E98)*(ROW(TableDiv[Agency])-ROW(TableDiv[[#Headers],[Agency]])),COLUMNS($F$7:AE$7))))</f>
        <v/>
      </c>
      <c r="AF98" s="2223" t="str" cm="1">
        <f t="array" ref="AF98">IF($D98&lt;COLUMNS($F$7:AF$7),"",INDEX(TableDiv[[GASB]:[GASB]],_xlfn.AGGREGATE(15,3,(TableDiv[[Agency]:[Agency]]=$E98)/(TableDiv[[Agency]:[Agency]]=$E98)*(ROW(TableDiv[Agency])-ROW(TableDiv[[#Headers],[Agency]])),COLUMNS($F$7:AF$7))))</f>
        <v/>
      </c>
      <c r="AG98" s="2223" t="str" cm="1">
        <f t="array" ref="AG98">IF($D98&lt;COLUMNS($F$7:AG$7),"",INDEX(TableDiv[[GASB]:[GASB]],_xlfn.AGGREGATE(15,3,(TableDiv[[Agency]:[Agency]]=$E98)/(TableDiv[[Agency]:[Agency]]=$E98)*(ROW(TableDiv[Agency])-ROW(TableDiv[[#Headers],[Agency]])),COLUMNS($F$7:AG$7))))</f>
        <v/>
      </c>
      <c r="AH98" s="2223" t="str" cm="1">
        <f t="array" ref="AH98">IF($D98&lt;COLUMNS($F$7:AH$7),"",INDEX(TableDiv[[GASB]:[GASB]],_xlfn.AGGREGATE(15,3,(TableDiv[[Agency]:[Agency]]=$E98)/(TableDiv[[Agency]:[Agency]]=$E98)*(ROW(TableDiv[Agency])-ROW(TableDiv[[#Headers],[Agency]])),COLUMNS($F$7:AH$7))))</f>
        <v/>
      </c>
      <c r="AI98" s="2223" t="str" cm="1">
        <f t="array" ref="AI98">IF($D98&lt;COLUMNS($F$7:AI$7),"",INDEX(TableDiv[[GASB]:[GASB]],_xlfn.AGGREGATE(15,3,(TableDiv[[Agency]:[Agency]]=$E98)/(TableDiv[[Agency]:[Agency]]=$E98)*(ROW(TableDiv[Agency])-ROW(TableDiv[[#Headers],[Agency]])),COLUMNS($F$7:AI$7))))</f>
        <v/>
      </c>
      <c r="AJ98" s="2223" t="str" cm="1">
        <f t="array" ref="AJ98">IF($D98&lt;COLUMNS($F$7:AJ$7),"",INDEX(TableDiv[[GASB]:[GASB]],_xlfn.AGGREGATE(15,3,(TableDiv[[Agency]:[Agency]]=$E98)/(TableDiv[[Agency]:[Agency]]=$E98)*(ROW(TableDiv[Agency])-ROW(TableDiv[[#Headers],[Agency]])),COLUMNS($F$7:AJ$7))))</f>
        <v/>
      </c>
      <c r="AK98" s="2223" t="str" cm="1">
        <f t="array" ref="AK98">IF($D98&lt;COLUMNS($F$7:AK$7),"",INDEX(TableDiv[[GASB]:[GASB]],_xlfn.AGGREGATE(15,3,(TableDiv[[Agency]:[Agency]]=$E98)/(TableDiv[[Agency]:[Agency]]=$E98)*(ROW(TableDiv[Agency])-ROW(TableDiv[[#Headers],[Agency]])),COLUMNS($F$7:AK$7))))</f>
        <v/>
      </c>
      <c r="AL98" s="2223" t="str" cm="1">
        <f t="array" ref="AL98">IF($D98&lt;COLUMNS($F$7:AL$7),"",INDEX(TableDiv[[GASB]:[GASB]],_xlfn.AGGREGATE(15,3,(TableDiv[[Agency]:[Agency]]=$E98)/(TableDiv[[Agency]:[Agency]]=$E98)*(ROW(TableDiv[Agency])-ROW(TableDiv[[#Headers],[Agency]])),COLUMNS($F$7:AL$7))))</f>
        <v/>
      </c>
      <c r="AM98" s="2223" t="str" cm="1">
        <f t="array" ref="AM98">IF($D98&lt;COLUMNS($F$7:AM$7),"",INDEX(TableDiv[[GASB]:[GASB]],_xlfn.AGGREGATE(15,3,(TableDiv[[Agency]:[Agency]]=$E98)/(TableDiv[[Agency]:[Agency]]=$E98)*(ROW(TableDiv[Agency])-ROW(TableDiv[[#Headers],[Agency]])),COLUMNS($F$7:AM$7))))</f>
        <v/>
      </c>
      <c r="AN98" s="2223"/>
      <c r="AO98" s="2223"/>
      <c r="AP98" s="2223"/>
      <c r="AQ98" s="2223"/>
      <c r="AR98" s="2223"/>
      <c r="AS98" s="2223"/>
    </row>
    <row r="99" spans="1:45" ht="15" x14ac:dyDescent="0.25">
      <c r="A99" s="2219" t="s">
        <v>5106</v>
      </c>
      <c r="B99" s="2219" t="s">
        <v>6357</v>
      </c>
      <c r="C99" s="2223"/>
      <c r="D99" s="2223">
        <f>COUNTIF(TableDiv[Agency],E99)</f>
        <v>1</v>
      </c>
      <c r="E99" s="2230" t="str" cm="1">
        <f t="array" ref="E99">IFERROR(INDEX(TableDiv[Agency],MATCH(0,INDEX(COUNTIF($E$7:E98,TableDiv[Agency]),),0)),"")</f>
        <v>CPF</v>
      </c>
      <c r="F99" s="2223" t="str" cm="1">
        <f t="array" ref="F99">IF($D99&lt;COLUMNS($F$7:F$7),"",INDEX(TableDiv[[GASB]:[GASB]],_xlfn.AGGREGATE(15,3,(TableDiv[[Agency]:[Agency]]=$E99)/(TableDiv[[Agency]:[Agency]]=$E99)*(ROW(TableDiv[Agency])-ROW(TableDiv[[#Headers],[Agency]])),COLUMNS($F$7:F$7))))</f>
        <v>48200G</v>
      </c>
      <c r="G99" s="2223" t="str" cm="1">
        <f t="array" ref="G99">IF($D99&lt;COLUMNS($F$7:G$7),"",INDEX(TableDiv[[GASB]:[GASB]],_xlfn.AGGREGATE(15,3,(TableDiv[[Agency]:[Agency]]=$E99)/(TableDiv[[Agency]:[Agency]]=$E99)*(ROW(TableDiv[Agency])-ROW(TableDiv[[#Headers],[Agency]])),COLUMNS($F$7:G$7))))</f>
        <v/>
      </c>
      <c r="H99" s="2223" t="str" cm="1">
        <f t="array" ref="H99">IF($D99&lt;COLUMNS($F$7:H$7),"",INDEX(TableDiv[[GASB]:[GASB]],_xlfn.AGGREGATE(15,3,(TableDiv[[Agency]:[Agency]]=$E99)/(TableDiv[[Agency]:[Agency]]=$E99)*(ROW(TableDiv[Agency])-ROW(TableDiv[[#Headers],[Agency]])),COLUMNS($F$7:H$7))))</f>
        <v/>
      </c>
      <c r="I99" s="2223" t="str" cm="1">
        <f t="array" ref="I99">IF($D99&lt;COLUMNS($F$7:I$7),"",INDEX(TableDiv[[GASB]:[GASB]],_xlfn.AGGREGATE(15,3,(TableDiv[[Agency]:[Agency]]=$E99)/(TableDiv[[Agency]:[Agency]]=$E99)*(ROW(TableDiv[Agency])-ROW(TableDiv[[#Headers],[Agency]])),COLUMNS($F$7:I$7))))</f>
        <v/>
      </c>
      <c r="J99" s="2223" t="str" cm="1">
        <f t="array" ref="J99">IF($D99&lt;COLUMNS($F$7:J$7),"",INDEX(TableDiv[[GASB]:[GASB]],_xlfn.AGGREGATE(15,3,(TableDiv[[Agency]:[Agency]]=$E99)/(TableDiv[[Agency]:[Agency]]=$E99)*(ROW(TableDiv[Agency])-ROW(TableDiv[[#Headers],[Agency]])),COLUMNS($F$7:J$7))))</f>
        <v/>
      </c>
      <c r="K99" s="2223" t="str" cm="1">
        <f t="array" ref="K99">IF($D99&lt;COLUMNS($F$7:K$7),"",INDEX(TableDiv[[GASB]:[GASB]],_xlfn.AGGREGATE(15,3,(TableDiv[[Agency]:[Agency]]=$E99)/(TableDiv[[Agency]:[Agency]]=$E99)*(ROW(TableDiv[Agency])-ROW(TableDiv[[#Headers],[Agency]])),COLUMNS($F$7:K$7))))</f>
        <v/>
      </c>
      <c r="L99" s="2223" t="str" cm="1">
        <f t="array" ref="L99">IF($D99&lt;COLUMNS($F$7:L$7),"",INDEX(TableDiv[[GASB]:[GASB]],_xlfn.AGGREGATE(15,3,(TableDiv[[Agency]:[Agency]]=$E99)/(TableDiv[[Agency]:[Agency]]=$E99)*(ROW(TableDiv[Agency])-ROW(TableDiv[[#Headers],[Agency]])),COLUMNS($F$7:L$7))))</f>
        <v/>
      </c>
      <c r="M99" s="2223" t="str" cm="1">
        <f t="array" ref="M99">IF($D99&lt;COLUMNS($F$7:M$7),"",INDEX(TableDiv[[GASB]:[GASB]],_xlfn.AGGREGATE(15,3,(TableDiv[[Agency]:[Agency]]=$E99)/(TableDiv[[Agency]:[Agency]]=$E99)*(ROW(TableDiv[Agency])-ROW(TableDiv[[#Headers],[Agency]])),COLUMNS($F$7:M$7))))</f>
        <v/>
      </c>
      <c r="N99" s="2223" t="str" cm="1">
        <f t="array" ref="N99">IF($D99&lt;COLUMNS($F$7:N$7),"",INDEX(TableDiv[[GASB]:[GASB]],_xlfn.AGGREGATE(15,3,(TableDiv[[Agency]:[Agency]]=$E99)/(TableDiv[[Agency]:[Agency]]=$E99)*(ROW(TableDiv[Agency])-ROW(TableDiv[[#Headers],[Agency]])),COLUMNS($F$7:N$7))))</f>
        <v/>
      </c>
      <c r="O99" s="2223" t="str" cm="1">
        <f t="array" ref="O99">IF($D99&lt;COLUMNS($F$7:O$7),"",INDEX(TableDiv[[GASB]:[GASB]],_xlfn.AGGREGATE(15,3,(TableDiv[[Agency]:[Agency]]=$E99)/(TableDiv[[Agency]:[Agency]]=$E99)*(ROW(TableDiv[Agency])-ROW(TableDiv[[#Headers],[Agency]])),COLUMNS($F$7:O$7))))</f>
        <v/>
      </c>
      <c r="P99" s="2223" t="str" cm="1">
        <f t="array" ref="P99">IF($D99&lt;COLUMNS($F$7:P$7),"",INDEX(TableDiv[[GASB]:[GASB]],_xlfn.AGGREGATE(15,3,(TableDiv[[Agency]:[Agency]]=$E99)/(TableDiv[[Agency]:[Agency]]=$E99)*(ROW(TableDiv[Agency])-ROW(TableDiv[[#Headers],[Agency]])),COLUMNS($F$7:P$7))))</f>
        <v/>
      </c>
      <c r="Q99" s="2223" t="str" cm="1">
        <f t="array" ref="Q99">IF($D99&lt;COLUMNS($F$7:Q$7),"",INDEX(TableDiv[[GASB]:[GASB]],_xlfn.AGGREGATE(15,3,(TableDiv[[Agency]:[Agency]]=$E99)/(TableDiv[[Agency]:[Agency]]=$E99)*(ROW(TableDiv[Agency])-ROW(TableDiv[[#Headers],[Agency]])),COLUMNS($F$7:Q$7))))</f>
        <v/>
      </c>
      <c r="R99" s="2223" t="str" cm="1">
        <f t="array" ref="R99">IF($D99&lt;COLUMNS($F$7:R$7),"",INDEX(TableDiv[[GASB]:[GASB]],_xlfn.AGGREGATE(15,3,(TableDiv[[Agency]:[Agency]]=$E99)/(TableDiv[[Agency]:[Agency]]=$E99)*(ROW(TableDiv[Agency])-ROW(TableDiv[[#Headers],[Agency]])),COLUMNS($F$7:R$7))))</f>
        <v/>
      </c>
      <c r="S99" s="2223" t="str" cm="1">
        <f t="array" ref="S99">IF($D99&lt;COLUMNS($F$7:S$7),"",INDEX(TableDiv[[GASB]:[GASB]],_xlfn.AGGREGATE(15,3,(TableDiv[[Agency]:[Agency]]=$E99)/(TableDiv[[Agency]:[Agency]]=$E99)*(ROW(TableDiv[Agency])-ROW(TableDiv[[#Headers],[Agency]])),COLUMNS($F$7:S$7))))</f>
        <v/>
      </c>
      <c r="T99" s="2223" t="str" cm="1">
        <f t="array" ref="T99">IF($D99&lt;COLUMNS($F$7:T$7),"",INDEX(TableDiv[[GASB]:[GASB]],_xlfn.AGGREGATE(15,3,(TableDiv[[Agency]:[Agency]]=$E99)/(TableDiv[[Agency]:[Agency]]=$E99)*(ROW(TableDiv[Agency])-ROW(TableDiv[[#Headers],[Agency]])),COLUMNS($F$7:T$7))))</f>
        <v/>
      </c>
      <c r="U99" s="2223" t="str" cm="1">
        <f t="array" ref="U99">IF($D99&lt;COLUMNS($F$7:U$7),"",INDEX(TableDiv[[GASB]:[GASB]],_xlfn.AGGREGATE(15,3,(TableDiv[[Agency]:[Agency]]=$E99)/(TableDiv[[Agency]:[Agency]]=$E99)*(ROW(TableDiv[Agency])-ROW(TableDiv[[#Headers],[Agency]])),COLUMNS($F$7:U$7))))</f>
        <v/>
      </c>
      <c r="V99" s="2223" t="str" cm="1">
        <f t="array" ref="V99">IF($D99&lt;COLUMNS($F$7:V$7),"",INDEX(TableDiv[[GASB]:[GASB]],_xlfn.AGGREGATE(15,3,(TableDiv[[Agency]:[Agency]]=$E99)/(TableDiv[[Agency]:[Agency]]=$E99)*(ROW(TableDiv[Agency])-ROW(TableDiv[[#Headers],[Agency]])),COLUMNS($F$7:V$7))))</f>
        <v/>
      </c>
      <c r="W99" s="2223" t="str" cm="1">
        <f t="array" ref="W99">IF($D99&lt;COLUMNS($F$7:W$7),"",INDEX(TableDiv[[GASB]:[GASB]],_xlfn.AGGREGATE(15,3,(TableDiv[[Agency]:[Agency]]=$E99)/(TableDiv[[Agency]:[Agency]]=$E99)*(ROW(TableDiv[Agency])-ROW(TableDiv[[#Headers],[Agency]])),COLUMNS($F$7:W$7))))</f>
        <v/>
      </c>
      <c r="X99" s="2223" t="str" cm="1">
        <f t="array" ref="X99">IF($D99&lt;COLUMNS($F$7:X$7),"",INDEX(TableDiv[[GASB]:[GASB]],_xlfn.AGGREGATE(15,3,(TableDiv[[Agency]:[Agency]]=$E99)/(TableDiv[[Agency]:[Agency]]=$E99)*(ROW(TableDiv[Agency])-ROW(TableDiv[[#Headers],[Agency]])),COLUMNS($F$7:X$7))))</f>
        <v/>
      </c>
      <c r="Y99" s="2223" t="str" cm="1">
        <f t="array" ref="Y99">IF($D99&lt;COLUMNS($F$7:Y$7),"",INDEX(TableDiv[[GASB]:[GASB]],_xlfn.AGGREGATE(15,3,(TableDiv[[Agency]:[Agency]]=$E99)/(TableDiv[[Agency]:[Agency]]=$E99)*(ROW(TableDiv[Agency])-ROW(TableDiv[[#Headers],[Agency]])),COLUMNS($F$7:Y$7))))</f>
        <v/>
      </c>
      <c r="Z99" s="2223" t="str" cm="1">
        <f t="array" ref="Z99">IF($D99&lt;COLUMNS($F$7:Z$7),"",INDEX(TableDiv[[GASB]:[GASB]],_xlfn.AGGREGATE(15,3,(TableDiv[[Agency]:[Agency]]=$E99)/(TableDiv[[Agency]:[Agency]]=$E99)*(ROW(TableDiv[Agency])-ROW(TableDiv[[#Headers],[Agency]])),COLUMNS($F$7:Z$7))))</f>
        <v/>
      </c>
      <c r="AA99" s="2223" t="str" cm="1">
        <f t="array" ref="AA99">IF($D99&lt;COLUMNS($F$7:AA$7),"",INDEX(TableDiv[[GASB]:[GASB]],_xlfn.AGGREGATE(15,3,(TableDiv[[Agency]:[Agency]]=$E99)/(TableDiv[[Agency]:[Agency]]=$E99)*(ROW(TableDiv[Agency])-ROW(TableDiv[[#Headers],[Agency]])),COLUMNS($F$7:AA$7))))</f>
        <v/>
      </c>
      <c r="AB99" s="2223" t="str" cm="1">
        <f t="array" ref="AB99">IF($D99&lt;COLUMNS($F$7:AB$7),"",INDEX(TableDiv[[GASB]:[GASB]],_xlfn.AGGREGATE(15,3,(TableDiv[[Agency]:[Agency]]=$E99)/(TableDiv[[Agency]:[Agency]]=$E99)*(ROW(TableDiv[Agency])-ROW(TableDiv[[#Headers],[Agency]])),COLUMNS($F$7:AB$7))))</f>
        <v/>
      </c>
      <c r="AC99" s="2223" t="str" cm="1">
        <f t="array" ref="AC99">IF($D99&lt;COLUMNS($F$7:AC$7),"",INDEX(TableDiv[[GASB]:[GASB]],_xlfn.AGGREGATE(15,3,(TableDiv[[Agency]:[Agency]]=$E99)/(TableDiv[[Agency]:[Agency]]=$E99)*(ROW(TableDiv[Agency])-ROW(TableDiv[[#Headers],[Agency]])),COLUMNS($F$7:AC$7))))</f>
        <v/>
      </c>
      <c r="AD99" s="2223" t="str" cm="1">
        <f t="array" ref="AD99">IF($D99&lt;COLUMNS($F$7:AD$7),"",INDEX(TableDiv[[GASB]:[GASB]],_xlfn.AGGREGATE(15,3,(TableDiv[[Agency]:[Agency]]=$E99)/(TableDiv[[Agency]:[Agency]]=$E99)*(ROW(TableDiv[Agency])-ROW(TableDiv[[#Headers],[Agency]])),COLUMNS($F$7:AD$7))))</f>
        <v/>
      </c>
      <c r="AE99" s="2223" t="str" cm="1">
        <f t="array" ref="AE99">IF($D99&lt;COLUMNS($F$7:AE$7),"",INDEX(TableDiv[[GASB]:[GASB]],_xlfn.AGGREGATE(15,3,(TableDiv[[Agency]:[Agency]]=$E99)/(TableDiv[[Agency]:[Agency]]=$E99)*(ROW(TableDiv[Agency])-ROW(TableDiv[[#Headers],[Agency]])),COLUMNS($F$7:AE$7))))</f>
        <v/>
      </c>
      <c r="AF99" s="2223" t="str" cm="1">
        <f t="array" ref="AF99">IF($D99&lt;COLUMNS($F$7:AF$7),"",INDEX(TableDiv[[GASB]:[GASB]],_xlfn.AGGREGATE(15,3,(TableDiv[[Agency]:[Agency]]=$E99)/(TableDiv[[Agency]:[Agency]]=$E99)*(ROW(TableDiv[Agency])-ROW(TableDiv[[#Headers],[Agency]])),COLUMNS($F$7:AF$7))))</f>
        <v/>
      </c>
      <c r="AG99" s="2223" t="str" cm="1">
        <f t="array" ref="AG99">IF($D99&lt;COLUMNS($F$7:AG$7),"",INDEX(TableDiv[[GASB]:[GASB]],_xlfn.AGGREGATE(15,3,(TableDiv[[Agency]:[Agency]]=$E99)/(TableDiv[[Agency]:[Agency]]=$E99)*(ROW(TableDiv[Agency])-ROW(TableDiv[[#Headers],[Agency]])),COLUMNS($F$7:AG$7))))</f>
        <v/>
      </c>
      <c r="AH99" s="2223" t="str" cm="1">
        <f t="array" ref="AH99">IF($D99&lt;COLUMNS($F$7:AH$7),"",INDEX(TableDiv[[GASB]:[GASB]],_xlfn.AGGREGATE(15,3,(TableDiv[[Agency]:[Agency]]=$E99)/(TableDiv[[Agency]:[Agency]]=$E99)*(ROW(TableDiv[Agency])-ROW(TableDiv[[#Headers],[Agency]])),COLUMNS($F$7:AH$7))))</f>
        <v/>
      </c>
      <c r="AI99" s="2223" t="str" cm="1">
        <f t="array" ref="AI99">IF($D99&lt;COLUMNS($F$7:AI$7),"",INDEX(TableDiv[[GASB]:[GASB]],_xlfn.AGGREGATE(15,3,(TableDiv[[Agency]:[Agency]]=$E99)/(TableDiv[[Agency]:[Agency]]=$E99)*(ROW(TableDiv[Agency])-ROW(TableDiv[[#Headers],[Agency]])),COLUMNS($F$7:AI$7))))</f>
        <v/>
      </c>
      <c r="AJ99" s="2223" t="str" cm="1">
        <f t="array" ref="AJ99">IF($D99&lt;COLUMNS($F$7:AJ$7),"",INDEX(TableDiv[[GASB]:[GASB]],_xlfn.AGGREGATE(15,3,(TableDiv[[Agency]:[Agency]]=$E99)/(TableDiv[[Agency]:[Agency]]=$E99)*(ROW(TableDiv[Agency])-ROW(TableDiv[[#Headers],[Agency]])),COLUMNS($F$7:AJ$7))))</f>
        <v/>
      </c>
      <c r="AK99" s="2223" t="str" cm="1">
        <f t="array" ref="AK99">IF($D99&lt;COLUMNS($F$7:AK$7),"",INDEX(TableDiv[[GASB]:[GASB]],_xlfn.AGGREGATE(15,3,(TableDiv[[Agency]:[Agency]]=$E99)/(TableDiv[[Agency]:[Agency]]=$E99)*(ROW(TableDiv[Agency])-ROW(TableDiv[[#Headers],[Agency]])),COLUMNS($F$7:AK$7))))</f>
        <v/>
      </c>
      <c r="AL99" s="2223" t="str" cm="1">
        <f t="array" ref="AL99">IF($D99&lt;COLUMNS($F$7:AL$7),"",INDEX(TableDiv[[GASB]:[GASB]],_xlfn.AGGREGATE(15,3,(TableDiv[[Agency]:[Agency]]=$E99)/(TableDiv[[Agency]:[Agency]]=$E99)*(ROW(TableDiv[Agency])-ROW(TableDiv[[#Headers],[Agency]])),COLUMNS($F$7:AL$7))))</f>
        <v/>
      </c>
      <c r="AM99" s="2223" t="str" cm="1">
        <f t="array" ref="AM99">IF($D99&lt;COLUMNS($F$7:AM$7),"",INDEX(TableDiv[[GASB]:[GASB]],_xlfn.AGGREGATE(15,3,(TableDiv[[Agency]:[Agency]]=$E99)/(TableDiv[[Agency]:[Agency]]=$E99)*(ROW(TableDiv[Agency])-ROW(TableDiv[[#Headers],[Agency]])),COLUMNS($F$7:AM$7))))</f>
        <v/>
      </c>
      <c r="AN99" s="2223"/>
      <c r="AO99" s="2223"/>
      <c r="AP99" s="2223"/>
      <c r="AQ99" s="2223"/>
      <c r="AR99" s="2223"/>
      <c r="AS99" s="2223"/>
    </row>
    <row r="100" spans="1:45" ht="15" x14ac:dyDescent="0.25">
      <c r="A100" s="2219" t="s">
        <v>5106</v>
      </c>
      <c r="B100" s="2219" t="s">
        <v>1878</v>
      </c>
      <c r="C100" s="2223"/>
      <c r="D100" s="2223">
        <f>COUNTIF(TableDiv[Agency],E100)</f>
        <v>1</v>
      </c>
      <c r="E100" s="2230" t="str" cm="1">
        <f t="array" ref="E100">IFERROR(INDEX(TableDiv[Agency],MATCH(0,INDEX(COUNTIF($E$7:E99,TableDiv[Agency]),),0)),"")</f>
        <v>CSF</v>
      </c>
      <c r="F100" s="2223" t="str" cm="1">
        <f t="array" ref="F100">IF($D100&lt;COLUMNS($F$7:F$7),"",INDEX(TableDiv[[GASB]:[GASB]],_xlfn.AGGREGATE(15,3,(TableDiv[[Agency]:[Agency]]=$E100)/(TableDiv[[Agency]:[Agency]]=$E100)*(ROW(TableDiv[Agency])-ROW(TableDiv[[#Headers],[Agency]])),COLUMNS($F$7:F$7))))</f>
        <v>48200G</v>
      </c>
      <c r="G100" s="2223" t="str" cm="1">
        <f t="array" ref="G100">IF($D100&lt;COLUMNS($F$7:G$7),"",INDEX(TableDiv[[GASB]:[GASB]],_xlfn.AGGREGATE(15,3,(TableDiv[[Agency]:[Agency]]=$E100)/(TableDiv[[Agency]:[Agency]]=$E100)*(ROW(TableDiv[Agency])-ROW(TableDiv[[#Headers],[Agency]])),COLUMNS($F$7:G$7))))</f>
        <v/>
      </c>
      <c r="H100" s="2223" t="str" cm="1">
        <f t="array" ref="H100">IF($D100&lt;COLUMNS($F$7:H$7),"",INDEX(TableDiv[[GASB]:[GASB]],_xlfn.AGGREGATE(15,3,(TableDiv[[Agency]:[Agency]]=$E100)/(TableDiv[[Agency]:[Agency]]=$E100)*(ROW(TableDiv[Agency])-ROW(TableDiv[[#Headers],[Agency]])),COLUMNS($F$7:H$7))))</f>
        <v/>
      </c>
      <c r="I100" s="2223" t="str" cm="1">
        <f t="array" ref="I100">IF($D100&lt;COLUMNS($F$7:I$7),"",INDEX(TableDiv[[GASB]:[GASB]],_xlfn.AGGREGATE(15,3,(TableDiv[[Agency]:[Agency]]=$E100)/(TableDiv[[Agency]:[Agency]]=$E100)*(ROW(TableDiv[Agency])-ROW(TableDiv[[#Headers],[Agency]])),COLUMNS($F$7:I$7))))</f>
        <v/>
      </c>
      <c r="J100" s="2223" t="str" cm="1">
        <f t="array" ref="J100">IF($D100&lt;COLUMNS($F$7:J$7),"",INDEX(TableDiv[[GASB]:[GASB]],_xlfn.AGGREGATE(15,3,(TableDiv[[Agency]:[Agency]]=$E100)/(TableDiv[[Agency]:[Agency]]=$E100)*(ROW(TableDiv[Agency])-ROW(TableDiv[[#Headers],[Agency]])),COLUMNS($F$7:J$7))))</f>
        <v/>
      </c>
      <c r="K100" s="2223" t="str" cm="1">
        <f t="array" ref="K100">IF($D100&lt;COLUMNS($F$7:K$7),"",INDEX(TableDiv[[GASB]:[GASB]],_xlfn.AGGREGATE(15,3,(TableDiv[[Agency]:[Agency]]=$E100)/(TableDiv[[Agency]:[Agency]]=$E100)*(ROW(TableDiv[Agency])-ROW(TableDiv[[#Headers],[Agency]])),COLUMNS($F$7:K$7))))</f>
        <v/>
      </c>
      <c r="L100" s="2223" t="str" cm="1">
        <f t="array" ref="L100">IF($D100&lt;COLUMNS($F$7:L$7),"",INDEX(TableDiv[[GASB]:[GASB]],_xlfn.AGGREGATE(15,3,(TableDiv[[Agency]:[Agency]]=$E100)/(TableDiv[[Agency]:[Agency]]=$E100)*(ROW(TableDiv[Agency])-ROW(TableDiv[[#Headers],[Agency]])),COLUMNS($F$7:L$7))))</f>
        <v/>
      </c>
      <c r="M100" s="2223" t="str" cm="1">
        <f t="array" ref="M100">IF($D100&lt;COLUMNS($F$7:M$7),"",INDEX(TableDiv[[GASB]:[GASB]],_xlfn.AGGREGATE(15,3,(TableDiv[[Agency]:[Agency]]=$E100)/(TableDiv[[Agency]:[Agency]]=$E100)*(ROW(TableDiv[Agency])-ROW(TableDiv[[#Headers],[Agency]])),COLUMNS($F$7:M$7))))</f>
        <v/>
      </c>
      <c r="N100" s="2223" t="str" cm="1">
        <f t="array" ref="N100">IF($D100&lt;COLUMNS($F$7:N$7),"",INDEX(TableDiv[[GASB]:[GASB]],_xlfn.AGGREGATE(15,3,(TableDiv[[Agency]:[Agency]]=$E100)/(TableDiv[[Agency]:[Agency]]=$E100)*(ROW(TableDiv[Agency])-ROW(TableDiv[[#Headers],[Agency]])),COLUMNS($F$7:N$7))))</f>
        <v/>
      </c>
      <c r="O100" s="2223" t="str" cm="1">
        <f t="array" ref="O100">IF($D100&lt;COLUMNS($F$7:O$7),"",INDEX(TableDiv[[GASB]:[GASB]],_xlfn.AGGREGATE(15,3,(TableDiv[[Agency]:[Agency]]=$E100)/(TableDiv[[Agency]:[Agency]]=$E100)*(ROW(TableDiv[Agency])-ROW(TableDiv[[#Headers],[Agency]])),COLUMNS($F$7:O$7))))</f>
        <v/>
      </c>
      <c r="P100" s="2223" t="str" cm="1">
        <f t="array" ref="P100">IF($D100&lt;COLUMNS($F$7:P$7),"",INDEX(TableDiv[[GASB]:[GASB]],_xlfn.AGGREGATE(15,3,(TableDiv[[Agency]:[Agency]]=$E100)/(TableDiv[[Agency]:[Agency]]=$E100)*(ROW(TableDiv[Agency])-ROW(TableDiv[[#Headers],[Agency]])),COLUMNS($F$7:P$7))))</f>
        <v/>
      </c>
      <c r="Q100" s="2223" t="str" cm="1">
        <f t="array" ref="Q100">IF($D100&lt;COLUMNS($F$7:Q$7),"",INDEX(TableDiv[[GASB]:[GASB]],_xlfn.AGGREGATE(15,3,(TableDiv[[Agency]:[Agency]]=$E100)/(TableDiv[[Agency]:[Agency]]=$E100)*(ROW(TableDiv[Agency])-ROW(TableDiv[[#Headers],[Agency]])),COLUMNS($F$7:Q$7))))</f>
        <v/>
      </c>
      <c r="R100" s="2223" t="str" cm="1">
        <f t="array" ref="R100">IF($D100&lt;COLUMNS($F$7:R$7),"",INDEX(TableDiv[[GASB]:[GASB]],_xlfn.AGGREGATE(15,3,(TableDiv[[Agency]:[Agency]]=$E100)/(TableDiv[[Agency]:[Agency]]=$E100)*(ROW(TableDiv[Agency])-ROW(TableDiv[[#Headers],[Agency]])),COLUMNS($F$7:R$7))))</f>
        <v/>
      </c>
      <c r="S100" s="2223" t="str" cm="1">
        <f t="array" ref="S100">IF($D100&lt;COLUMNS($F$7:S$7),"",INDEX(TableDiv[[GASB]:[GASB]],_xlfn.AGGREGATE(15,3,(TableDiv[[Agency]:[Agency]]=$E100)/(TableDiv[[Agency]:[Agency]]=$E100)*(ROW(TableDiv[Agency])-ROW(TableDiv[[#Headers],[Agency]])),COLUMNS($F$7:S$7))))</f>
        <v/>
      </c>
      <c r="T100" s="2223" t="str" cm="1">
        <f t="array" ref="T100">IF($D100&lt;COLUMNS($F$7:T$7),"",INDEX(TableDiv[[GASB]:[GASB]],_xlfn.AGGREGATE(15,3,(TableDiv[[Agency]:[Agency]]=$E100)/(TableDiv[[Agency]:[Agency]]=$E100)*(ROW(TableDiv[Agency])-ROW(TableDiv[[#Headers],[Agency]])),COLUMNS($F$7:T$7))))</f>
        <v/>
      </c>
      <c r="U100" s="2223" t="str" cm="1">
        <f t="array" ref="U100">IF($D100&lt;COLUMNS($F$7:U$7),"",INDEX(TableDiv[[GASB]:[GASB]],_xlfn.AGGREGATE(15,3,(TableDiv[[Agency]:[Agency]]=$E100)/(TableDiv[[Agency]:[Agency]]=$E100)*(ROW(TableDiv[Agency])-ROW(TableDiv[[#Headers],[Agency]])),COLUMNS($F$7:U$7))))</f>
        <v/>
      </c>
      <c r="V100" s="2223" t="str" cm="1">
        <f t="array" ref="V100">IF($D100&lt;COLUMNS($F$7:V$7),"",INDEX(TableDiv[[GASB]:[GASB]],_xlfn.AGGREGATE(15,3,(TableDiv[[Agency]:[Agency]]=$E100)/(TableDiv[[Agency]:[Agency]]=$E100)*(ROW(TableDiv[Agency])-ROW(TableDiv[[#Headers],[Agency]])),COLUMNS($F$7:V$7))))</f>
        <v/>
      </c>
      <c r="W100" s="2223" t="str" cm="1">
        <f t="array" ref="W100">IF($D100&lt;COLUMNS($F$7:W$7),"",INDEX(TableDiv[[GASB]:[GASB]],_xlfn.AGGREGATE(15,3,(TableDiv[[Agency]:[Agency]]=$E100)/(TableDiv[[Agency]:[Agency]]=$E100)*(ROW(TableDiv[Agency])-ROW(TableDiv[[#Headers],[Agency]])),COLUMNS($F$7:W$7))))</f>
        <v/>
      </c>
      <c r="X100" s="2223" t="str" cm="1">
        <f t="array" ref="X100">IF($D100&lt;COLUMNS($F$7:X$7),"",INDEX(TableDiv[[GASB]:[GASB]],_xlfn.AGGREGATE(15,3,(TableDiv[[Agency]:[Agency]]=$E100)/(TableDiv[[Agency]:[Agency]]=$E100)*(ROW(TableDiv[Agency])-ROW(TableDiv[[#Headers],[Agency]])),COLUMNS($F$7:X$7))))</f>
        <v/>
      </c>
      <c r="Y100" s="2223" t="str" cm="1">
        <f t="array" ref="Y100">IF($D100&lt;COLUMNS($F$7:Y$7),"",INDEX(TableDiv[[GASB]:[GASB]],_xlfn.AGGREGATE(15,3,(TableDiv[[Agency]:[Agency]]=$E100)/(TableDiv[[Agency]:[Agency]]=$E100)*(ROW(TableDiv[Agency])-ROW(TableDiv[[#Headers],[Agency]])),COLUMNS($F$7:Y$7))))</f>
        <v/>
      </c>
      <c r="Z100" s="2223" t="str" cm="1">
        <f t="array" ref="Z100">IF($D100&lt;COLUMNS($F$7:Z$7),"",INDEX(TableDiv[[GASB]:[GASB]],_xlfn.AGGREGATE(15,3,(TableDiv[[Agency]:[Agency]]=$E100)/(TableDiv[[Agency]:[Agency]]=$E100)*(ROW(TableDiv[Agency])-ROW(TableDiv[[#Headers],[Agency]])),COLUMNS($F$7:Z$7))))</f>
        <v/>
      </c>
      <c r="AA100" s="2223" t="str" cm="1">
        <f t="array" ref="AA100">IF($D100&lt;COLUMNS($F$7:AA$7),"",INDEX(TableDiv[[GASB]:[GASB]],_xlfn.AGGREGATE(15,3,(TableDiv[[Agency]:[Agency]]=$E100)/(TableDiv[[Agency]:[Agency]]=$E100)*(ROW(TableDiv[Agency])-ROW(TableDiv[[#Headers],[Agency]])),COLUMNS($F$7:AA$7))))</f>
        <v/>
      </c>
      <c r="AB100" s="2223" t="str" cm="1">
        <f t="array" ref="AB100">IF($D100&lt;COLUMNS($F$7:AB$7),"",INDEX(TableDiv[[GASB]:[GASB]],_xlfn.AGGREGATE(15,3,(TableDiv[[Agency]:[Agency]]=$E100)/(TableDiv[[Agency]:[Agency]]=$E100)*(ROW(TableDiv[Agency])-ROW(TableDiv[[#Headers],[Agency]])),COLUMNS($F$7:AB$7))))</f>
        <v/>
      </c>
      <c r="AC100" s="2223" t="str" cm="1">
        <f t="array" ref="AC100">IF($D100&lt;COLUMNS($F$7:AC$7),"",INDEX(TableDiv[[GASB]:[GASB]],_xlfn.AGGREGATE(15,3,(TableDiv[[Agency]:[Agency]]=$E100)/(TableDiv[[Agency]:[Agency]]=$E100)*(ROW(TableDiv[Agency])-ROW(TableDiv[[#Headers],[Agency]])),COLUMNS($F$7:AC$7))))</f>
        <v/>
      </c>
      <c r="AD100" s="2223" t="str" cm="1">
        <f t="array" ref="AD100">IF($D100&lt;COLUMNS($F$7:AD$7),"",INDEX(TableDiv[[GASB]:[GASB]],_xlfn.AGGREGATE(15,3,(TableDiv[[Agency]:[Agency]]=$E100)/(TableDiv[[Agency]:[Agency]]=$E100)*(ROW(TableDiv[Agency])-ROW(TableDiv[[#Headers],[Agency]])),COLUMNS($F$7:AD$7))))</f>
        <v/>
      </c>
      <c r="AE100" s="2223" t="str" cm="1">
        <f t="array" ref="AE100">IF($D100&lt;COLUMNS($F$7:AE$7),"",INDEX(TableDiv[[GASB]:[GASB]],_xlfn.AGGREGATE(15,3,(TableDiv[[Agency]:[Agency]]=$E100)/(TableDiv[[Agency]:[Agency]]=$E100)*(ROW(TableDiv[Agency])-ROW(TableDiv[[#Headers],[Agency]])),COLUMNS($F$7:AE$7))))</f>
        <v/>
      </c>
      <c r="AF100" s="2223" t="str" cm="1">
        <f t="array" ref="AF100">IF($D100&lt;COLUMNS($F$7:AF$7),"",INDEX(TableDiv[[GASB]:[GASB]],_xlfn.AGGREGATE(15,3,(TableDiv[[Agency]:[Agency]]=$E100)/(TableDiv[[Agency]:[Agency]]=$E100)*(ROW(TableDiv[Agency])-ROW(TableDiv[[#Headers],[Agency]])),COLUMNS($F$7:AF$7))))</f>
        <v/>
      </c>
      <c r="AG100" s="2223" t="str" cm="1">
        <f t="array" ref="AG100">IF($D100&lt;COLUMNS($F$7:AG$7),"",INDEX(TableDiv[[GASB]:[GASB]],_xlfn.AGGREGATE(15,3,(TableDiv[[Agency]:[Agency]]=$E100)/(TableDiv[[Agency]:[Agency]]=$E100)*(ROW(TableDiv[Agency])-ROW(TableDiv[[#Headers],[Agency]])),COLUMNS($F$7:AG$7))))</f>
        <v/>
      </c>
      <c r="AH100" s="2223" t="str" cm="1">
        <f t="array" ref="AH100">IF($D100&lt;COLUMNS($F$7:AH$7),"",INDEX(TableDiv[[GASB]:[GASB]],_xlfn.AGGREGATE(15,3,(TableDiv[[Agency]:[Agency]]=$E100)/(TableDiv[[Agency]:[Agency]]=$E100)*(ROW(TableDiv[Agency])-ROW(TableDiv[[#Headers],[Agency]])),COLUMNS($F$7:AH$7))))</f>
        <v/>
      </c>
      <c r="AI100" s="2223" t="str" cm="1">
        <f t="array" ref="AI100">IF($D100&lt;COLUMNS($F$7:AI$7),"",INDEX(TableDiv[[GASB]:[GASB]],_xlfn.AGGREGATE(15,3,(TableDiv[[Agency]:[Agency]]=$E100)/(TableDiv[[Agency]:[Agency]]=$E100)*(ROW(TableDiv[Agency])-ROW(TableDiv[[#Headers],[Agency]])),COLUMNS($F$7:AI$7))))</f>
        <v/>
      </c>
      <c r="AJ100" s="2223" t="str" cm="1">
        <f t="array" ref="AJ100">IF($D100&lt;COLUMNS($F$7:AJ$7),"",INDEX(TableDiv[[GASB]:[GASB]],_xlfn.AGGREGATE(15,3,(TableDiv[[Agency]:[Agency]]=$E100)/(TableDiv[[Agency]:[Agency]]=$E100)*(ROW(TableDiv[Agency])-ROW(TableDiv[[#Headers],[Agency]])),COLUMNS($F$7:AJ$7))))</f>
        <v/>
      </c>
      <c r="AK100" s="2223" t="str" cm="1">
        <f t="array" ref="AK100">IF($D100&lt;COLUMNS($F$7:AK$7),"",INDEX(TableDiv[[GASB]:[GASB]],_xlfn.AGGREGATE(15,3,(TableDiv[[Agency]:[Agency]]=$E100)/(TableDiv[[Agency]:[Agency]]=$E100)*(ROW(TableDiv[Agency])-ROW(TableDiv[[#Headers],[Agency]])),COLUMNS($F$7:AK$7))))</f>
        <v/>
      </c>
      <c r="AL100" s="2223" t="str" cm="1">
        <f t="array" ref="AL100">IF($D100&lt;COLUMNS($F$7:AL$7),"",INDEX(TableDiv[[GASB]:[GASB]],_xlfn.AGGREGATE(15,3,(TableDiv[[Agency]:[Agency]]=$E100)/(TableDiv[[Agency]:[Agency]]=$E100)*(ROW(TableDiv[Agency])-ROW(TableDiv[[#Headers],[Agency]])),COLUMNS($F$7:AL$7))))</f>
        <v/>
      </c>
      <c r="AM100" s="2223" t="str" cm="1">
        <f t="array" ref="AM100">IF($D100&lt;COLUMNS($F$7:AM$7),"",INDEX(TableDiv[[GASB]:[GASB]],_xlfn.AGGREGATE(15,3,(TableDiv[[Agency]:[Agency]]=$E100)/(TableDiv[[Agency]:[Agency]]=$E100)*(ROW(TableDiv[Agency])-ROW(TableDiv[[#Headers],[Agency]])),COLUMNS($F$7:AM$7))))</f>
        <v/>
      </c>
      <c r="AN100" s="2223"/>
      <c r="AO100" s="2223"/>
      <c r="AP100" s="2223"/>
      <c r="AQ100" s="2223"/>
      <c r="AR100" s="2223"/>
      <c r="AS100" s="2223"/>
    </row>
    <row r="101" spans="1:45" ht="15" x14ac:dyDescent="0.25">
      <c r="A101" s="2219" t="s">
        <v>5106</v>
      </c>
      <c r="B101" s="2219" t="s">
        <v>6365</v>
      </c>
      <c r="C101" s="2223"/>
      <c r="D101" s="2223">
        <f>COUNTIF(TableDiv[Agency],E101)</f>
        <v>1</v>
      </c>
      <c r="E101" s="2230" t="str" cm="1">
        <f t="array" ref="E101">IFERROR(INDEX(TableDiv[Agency],MATCH(0,INDEX(COUNTIF($E$7:E100,TableDiv[Agency]),),0)),"")</f>
        <v>CTF</v>
      </c>
      <c r="F101" s="2223" t="str" cm="1">
        <f t="array" ref="F101">IF($D101&lt;COLUMNS($F$7:F$7),"",INDEX(TableDiv[[GASB]:[GASB]],_xlfn.AGGREGATE(15,3,(TableDiv[[Agency]:[Agency]]=$E101)/(TableDiv[[Agency]:[Agency]]=$E101)*(ROW(TableDiv[Agency])-ROW(TableDiv[[#Headers],[Agency]])),COLUMNS($F$7:F$7))))</f>
        <v>48200G</v>
      </c>
      <c r="G101" s="2223" t="str" cm="1">
        <f t="array" ref="G101">IF($D101&lt;COLUMNS($F$7:G$7),"",INDEX(TableDiv[[GASB]:[GASB]],_xlfn.AGGREGATE(15,3,(TableDiv[[Agency]:[Agency]]=$E101)/(TableDiv[[Agency]:[Agency]]=$E101)*(ROW(TableDiv[Agency])-ROW(TableDiv[[#Headers],[Agency]])),COLUMNS($F$7:G$7))))</f>
        <v/>
      </c>
      <c r="H101" s="2223" t="str" cm="1">
        <f t="array" ref="H101">IF($D101&lt;COLUMNS($F$7:H$7),"",INDEX(TableDiv[[GASB]:[GASB]],_xlfn.AGGREGATE(15,3,(TableDiv[[Agency]:[Agency]]=$E101)/(TableDiv[[Agency]:[Agency]]=$E101)*(ROW(TableDiv[Agency])-ROW(TableDiv[[#Headers],[Agency]])),COLUMNS($F$7:H$7))))</f>
        <v/>
      </c>
      <c r="I101" s="2223" t="str" cm="1">
        <f t="array" ref="I101">IF($D101&lt;COLUMNS($F$7:I$7),"",INDEX(TableDiv[[GASB]:[GASB]],_xlfn.AGGREGATE(15,3,(TableDiv[[Agency]:[Agency]]=$E101)/(TableDiv[[Agency]:[Agency]]=$E101)*(ROW(TableDiv[Agency])-ROW(TableDiv[[#Headers],[Agency]])),COLUMNS($F$7:I$7))))</f>
        <v/>
      </c>
      <c r="J101" s="2223" t="str" cm="1">
        <f t="array" ref="J101">IF($D101&lt;COLUMNS($F$7:J$7),"",INDEX(TableDiv[[GASB]:[GASB]],_xlfn.AGGREGATE(15,3,(TableDiv[[Agency]:[Agency]]=$E101)/(TableDiv[[Agency]:[Agency]]=$E101)*(ROW(TableDiv[Agency])-ROW(TableDiv[[#Headers],[Agency]])),COLUMNS($F$7:J$7))))</f>
        <v/>
      </c>
      <c r="K101" s="2223" t="str" cm="1">
        <f t="array" ref="K101">IF($D101&lt;COLUMNS($F$7:K$7),"",INDEX(TableDiv[[GASB]:[GASB]],_xlfn.AGGREGATE(15,3,(TableDiv[[Agency]:[Agency]]=$E101)/(TableDiv[[Agency]:[Agency]]=$E101)*(ROW(TableDiv[Agency])-ROW(TableDiv[[#Headers],[Agency]])),COLUMNS($F$7:K$7))))</f>
        <v/>
      </c>
      <c r="L101" s="2223" t="str" cm="1">
        <f t="array" ref="L101">IF($D101&lt;COLUMNS($F$7:L$7),"",INDEX(TableDiv[[GASB]:[GASB]],_xlfn.AGGREGATE(15,3,(TableDiv[[Agency]:[Agency]]=$E101)/(TableDiv[[Agency]:[Agency]]=$E101)*(ROW(TableDiv[Agency])-ROW(TableDiv[[#Headers],[Agency]])),COLUMNS($F$7:L$7))))</f>
        <v/>
      </c>
      <c r="M101" s="2223" t="str" cm="1">
        <f t="array" ref="M101">IF($D101&lt;COLUMNS($F$7:M$7),"",INDEX(TableDiv[[GASB]:[GASB]],_xlfn.AGGREGATE(15,3,(TableDiv[[Agency]:[Agency]]=$E101)/(TableDiv[[Agency]:[Agency]]=$E101)*(ROW(TableDiv[Agency])-ROW(TableDiv[[#Headers],[Agency]])),COLUMNS($F$7:M$7))))</f>
        <v/>
      </c>
      <c r="N101" s="2223" t="str" cm="1">
        <f t="array" ref="N101">IF($D101&lt;COLUMNS($F$7:N$7),"",INDEX(TableDiv[[GASB]:[GASB]],_xlfn.AGGREGATE(15,3,(TableDiv[[Agency]:[Agency]]=$E101)/(TableDiv[[Agency]:[Agency]]=$E101)*(ROW(TableDiv[Agency])-ROW(TableDiv[[#Headers],[Agency]])),COLUMNS($F$7:N$7))))</f>
        <v/>
      </c>
      <c r="O101" s="2223" t="str" cm="1">
        <f t="array" ref="O101">IF($D101&lt;COLUMNS($F$7:O$7),"",INDEX(TableDiv[[GASB]:[GASB]],_xlfn.AGGREGATE(15,3,(TableDiv[[Agency]:[Agency]]=$E101)/(TableDiv[[Agency]:[Agency]]=$E101)*(ROW(TableDiv[Agency])-ROW(TableDiv[[#Headers],[Agency]])),COLUMNS($F$7:O$7))))</f>
        <v/>
      </c>
      <c r="P101" s="2223" t="str" cm="1">
        <f t="array" ref="P101">IF($D101&lt;COLUMNS($F$7:P$7),"",INDEX(TableDiv[[GASB]:[GASB]],_xlfn.AGGREGATE(15,3,(TableDiv[[Agency]:[Agency]]=$E101)/(TableDiv[[Agency]:[Agency]]=$E101)*(ROW(TableDiv[Agency])-ROW(TableDiv[[#Headers],[Agency]])),COLUMNS($F$7:P$7))))</f>
        <v/>
      </c>
      <c r="Q101" s="2223" t="str" cm="1">
        <f t="array" ref="Q101">IF($D101&lt;COLUMNS($F$7:Q$7),"",INDEX(TableDiv[[GASB]:[GASB]],_xlfn.AGGREGATE(15,3,(TableDiv[[Agency]:[Agency]]=$E101)/(TableDiv[[Agency]:[Agency]]=$E101)*(ROW(TableDiv[Agency])-ROW(TableDiv[[#Headers],[Agency]])),COLUMNS($F$7:Q$7))))</f>
        <v/>
      </c>
      <c r="R101" s="2223" t="str" cm="1">
        <f t="array" ref="R101">IF($D101&lt;COLUMNS($F$7:R$7),"",INDEX(TableDiv[[GASB]:[GASB]],_xlfn.AGGREGATE(15,3,(TableDiv[[Agency]:[Agency]]=$E101)/(TableDiv[[Agency]:[Agency]]=$E101)*(ROW(TableDiv[Agency])-ROW(TableDiv[[#Headers],[Agency]])),COLUMNS($F$7:R$7))))</f>
        <v/>
      </c>
      <c r="S101" s="2223" t="str" cm="1">
        <f t="array" ref="S101">IF($D101&lt;COLUMNS($F$7:S$7),"",INDEX(TableDiv[[GASB]:[GASB]],_xlfn.AGGREGATE(15,3,(TableDiv[[Agency]:[Agency]]=$E101)/(TableDiv[[Agency]:[Agency]]=$E101)*(ROW(TableDiv[Agency])-ROW(TableDiv[[#Headers],[Agency]])),COLUMNS($F$7:S$7))))</f>
        <v/>
      </c>
      <c r="T101" s="2223" t="str" cm="1">
        <f t="array" ref="T101">IF($D101&lt;COLUMNS($F$7:T$7),"",INDEX(TableDiv[[GASB]:[GASB]],_xlfn.AGGREGATE(15,3,(TableDiv[[Agency]:[Agency]]=$E101)/(TableDiv[[Agency]:[Agency]]=$E101)*(ROW(TableDiv[Agency])-ROW(TableDiv[[#Headers],[Agency]])),COLUMNS($F$7:T$7))))</f>
        <v/>
      </c>
      <c r="U101" s="2223" t="str" cm="1">
        <f t="array" ref="U101">IF($D101&lt;COLUMNS($F$7:U$7),"",INDEX(TableDiv[[GASB]:[GASB]],_xlfn.AGGREGATE(15,3,(TableDiv[[Agency]:[Agency]]=$E101)/(TableDiv[[Agency]:[Agency]]=$E101)*(ROW(TableDiv[Agency])-ROW(TableDiv[[#Headers],[Agency]])),COLUMNS($F$7:U$7))))</f>
        <v/>
      </c>
      <c r="V101" s="2223" t="str" cm="1">
        <f t="array" ref="V101">IF($D101&lt;COLUMNS($F$7:V$7),"",INDEX(TableDiv[[GASB]:[GASB]],_xlfn.AGGREGATE(15,3,(TableDiv[[Agency]:[Agency]]=$E101)/(TableDiv[[Agency]:[Agency]]=$E101)*(ROW(TableDiv[Agency])-ROW(TableDiv[[#Headers],[Agency]])),COLUMNS($F$7:V$7))))</f>
        <v/>
      </c>
      <c r="W101" s="2223" t="str" cm="1">
        <f t="array" ref="W101">IF($D101&lt;COLUMNS($F$7:W$7),"",INDEX(TableDiv[[GASB]:[GASB]],_xlfn.AGGREGATE(15,3,(TableDiv[[Agency]:[Agency]]=$E101)/(TableDiv[[Agency]:[Agency]]=$E101)*(ROW(TableDiv[Agency])-ROW(TableDiv[[#Headers],[Agency]])),COLUMNS($F$7:W$7))))</f>
        <v/>
      </c>
      <c r="X101" s="2223" t="str" cm="1">
        <f t="array" ref="X101">IF($D101&lt;COLUMNS($F$7:X$7),"",INDEX(TableDiv[[GASB]:[GASB]],_xlfn.AGGREGATE(15,3,(TableDiv[[Agency]:[Agency]]=$E101)/(TableDiv[[Agency]:[Agency]]=$E101)*(ROW(TableDiv[Agency])-ROW(TableDiv[[#Headers],[Agency]])),COLUMNS($F$7:X$7))))</f>
        <v/>
      </c>
      <c r="Y101" s="2223" t="str" cm="1">
        <f t="array" ref="Y101">IF($D101&lt;COLUMNS($F$7:Y$7),"",INDEX(TableDiv[[GASB]:[GASB]],_xlfn.AGGREGATE(15,3,(TableDiv[[Agency]:[Agency]]=$E101)/(TableDiv[[Agency]:[Agency]]=$E101)*(ROW(TableDiv[Agency])-ROW(TableDiv[[#Headers],[Agency]])),COLUMNS($F$7:Y$7))))</f>
        <v/>
      </c>
      <c r="Z101" s="2223" t="str" cm="1">
        <f t="array" ref="Z101">IF($D101&lt;COLUMNS($F$7:Z$7),"",INDEX(TableDiv[[GASB]:[GASB]],_xlfn.AGGREGATE(15,3,(TableDiv[[Agency]:[Agency]]=$E101)/(TableDiv[[Agency]:[Agency]]=$E101)*(ROW(TableDiv[Agency])-ROW(TableDiv[[#Headers],[Agency]])),COLUMNS($F$7:Z$7))))</f>
        <v/>
      </c>
      <c r="AA101" s="2223" t="str" cm="1">
        <f t="array" ref="AA101">IF($D101&lt;COLUMNS($F$7:AA$7),"",INDEX(TableDiv[[GASB]:[GASB]],_xlfn.AGGREGATE(15,3,(TableDiv[[Agency]:[Agency]]=$E101)/(TableDiv[[Agency]:[Agency]]=$E101)*(ROW(TableDiv[Agency])-ROW(TableDiv[[#Headers],[Agency]])),COLUMNS($F$7:AA$7))))</f>
        <v/>
      </c>
      <c r="AB101" s="2223" t="str" cm="1">
        <f t="array" ref="AB101">IF($D101&lt;COLUMNS($F$7:AB$7),"",INDEX(TableDiv[[GASB]:[GASB]],_xlfn.AGGREGATE(15,3,(TableDiv[[Agency]:[Agency]]=$E101)/(TableDiv[[Agency]:[Agency]]=$E101)*(ROW(TableDiv[Agency])-ROW(TableDiv[[#Headers],[Agency]])),COLUMNS($F$7:AB$7))))</f>
        <v/>
      </c>
      <c r="AC101" s="2223" t="str" cm="1">
        <f t="array" ref="AC101">IF($D101&lt;COLUMNS($F$7:AC$7),"",INDEX(TableDiv[[GASB]:[GASB]],_xlfn.AGGREGATE(15,3,(TableDiv[[Agency]:[Agency]]=$E101)/(TableDiv[[Agency]:[Agency]]=$E101)*(ROW(TableDiv[Agency])-ROW(TableDiv[[#Headers],[Agency]])),COLUMNS($F$7:AC$7))))</f>
        <v/>
      </c>
      <c r="AD101" s="2223" t="str" cm="1">
        <f t="array" ref="AD101">IF($D101&lt;COLUMNS($F$7:AD$7),"",INDEX(TableDiv[[GASB]:[GASB]],_xlfn.AGGREGATE(15,3,(TableDiv[[Agency]:[Agency]]=$E101)/(TableDiv[[Agency]:[Agency]]=$E101)*(ROW(TableDiv[Agency])-ROW(TableDiv[[#Headers],[Agency]])),COLUMNS($F$7:AD$7))))</f>
        <v/>
      </c>
      <c r="AE101" s="2223" t="str" cm="1">
        <f t="array" ref="AE101">IF($D101&lt;COLUMNS($F$7:AE$7),"",INDEX(TableDiv[[GASB]:[GASB]],_xlfn.AGGREGATE(15,3,(TableDiv[[Agency]:[Agency]]=$E101)/(TableDiv[[Agency]:[Agency]]=$E101)*(ROW(TableDiv[Agency])-ROW(TableDiv[[#Headers],[Agency]])),COLUMNS($F$7:AE$7))))</f>
        <v/>
      </c>
      <c r="AF101" s="2223" t="str" cm="1">
        <f t="array" ref="AF101">IF($D101&lt;COLUMNS($F$7:AF$7),"",INDEX(TableDiv[[GASB]:[GASB]],_xlfn.AGGREGATE(15,3,(TableDiv[[Agency]:[Agency]]=$E101)/(TableDiv[[Agency]:[Agency]]=$E101)*(ROW(TableDiv[Agency])-ROW(TableDiv[[#Headers],[Agency]])),COLUMNS($F$7:AF$7))))</f>
        <v/>
      </c>
      <c r="AG101" s="2223" t="str" cm="1">
        <f t="array" ref="AG101">IF($D101&lt;COLUMNS($F$7:AG$7),"",INDEX(TableDiv[[GASB]:[GASB]],_xlfn.AGGREGATE(15,3,(TableDiv[[Agency]:[Agency]]=$E101)/(TableDiv[[Agency]:[Agency]]=$E101)*(ROW(TableDiv[Agency])-ROW(TableDiv[[#Headers],[Agency]])),COLUMNS($F$7:AG$7))))</f>
        <v/>
      </c>
      <c r="AH101" s="2223" t="str" cm="1">
        <f t="array" ref="AH101">IF($D101&lt;COLUMNS($F$7:AH$7),"",INDEX(TableDiv[[GASB]:[GASB]],_xlfn.AGGREGATE(15,3,(TableDiv[[Agency]:[Agency]]=$E101)/(TableDiv[[Agency]:[Agency]]=$E101)*(ROW(TableDiv[Agency])-ROW(TableDiv[[#Headers],[Agency]])),COLUMNS($F$7:AH$7))))</f>
        <v/>
      </c>
      <c r="AI101" s="2223" t="str" cm="1">
        <f t="array" ref="AI101">IF($D101&lt;COLUMNS($F$7:AI$7),"",INDEX(TableDiv[[GASB]:[GASB]],_xlfn.AGGREGATE(15,3,(TableDiv[[Agency]:[Agency]]=$E101)/(TableDiv[[Agency]:[Agency]]=$E101)*(ROW(TableDiv[Agency])-ROW(TableDiv[[#Headers],[Agency]])),COLUMNS($F$7:AI$7))))</f>
        <v/>
      </c>
      <c r="AJ101" s="2223" t="str" cm="1">
        <f t="array" ref="AJ101">IF($D101&lt;COLUMNS($F$7:AJ$7),"",INDEX(TableDiv[[GASB]:[GASB]],_xlfn.AGGREGATE(15,3,(TableDiv[[Agency]:[Agency]]=$E101)/(TableDiv[[Agency]:[Agency]]=$E101)*(ROW(TableDiv[Agency])-ROW(TableDiv[[#Headers],[Agency]])),COLUMNS($F$7:AJ$7))))</f>
        <v/>
      </c>
      <c r="AK101" s="2223" t="str" cm="1">
        <f t="array" ref="AK101">IF($D101&lt;COLUMNS($F$7:AK$7),"",INDEX(TableDiv[[GASB]:[GASB]],_xlfn.AGGREGATE(15,3,(TableDiv[[Agency]:[Agency]]=$E101)/(TableDiv[[Agency]:[Agency]]=$E101)*(ROW(TableDiv[Agency])-ROW(TableDiv[[#Headers],[Agency]])),COLUMNS($F$7:AK$7))))</f>
        <v/>
      </c>
      <c r="AL101" s="2223" t="str" cm="1">
        <f t="array" ref="AL101">IF($D101&lt;COLUMNS($F$7:AL$7),"",INDEX(TableDiv[[GASB]:[GASB]],_xlfn.AGGREGATE(15,3,(TableDiv[[Agency]:[Agency]]=$E101)/(TableDiv[[Agency]:[Agency]]=$E101)*(ROW(TableDiv[Agency])-ROW(TableDiv[[#Headers],[Agency]])),COLUMNS($F$7:AL$7))))</f>
        <v/>
      </c>
      <c r="AM101" s="2223" t="str" cm="1">
        <f t="array" ref="AM101">IF($D101&lt;COLUMNS($F$7:AM$7),"",INDEX(TableDiv[[GASB]:[GASB]],_xlfn.AGGREGATE(15,3,(TableDiv[[Agency]:[Agency]]=$E101)/(TableDiv[[Agency]:[Agency]]=$E101)*(ROW(TableDiv[Agency])-ROW(TableDiv[[#Headers],[Agency]])),COLUMNS($F$7:AM$7))))</f>
        <v/>
      </c>
      <c r="AN101" s="2223"/>
      <c r="AO101" s="2223"/>
      <c r="AP101" s="2223"/>
      <c r="AQ101" s="2223"/>
      <c r="AR101" s="2223"/>
      <c r="AS101" s="2223"/>
    </row>
    <row r="102" spans="1:45" ht="15" x14ac:dyDescent="0.25">
      <c r="A102" s="2219" t="s">
        <v>5106</v>
      </c>
      <c r="B102" s="2219" t="s">
        <v>6361</v>
      </c>
      <c r="C102" s="2223"/>
      <c r="D102" s="2223">
        <f>COUNTIF(TableDiv[Agency],E102)</f>
        <v>1</v>
      </c>
      <c r="E102" s="2230" t="str" cm="1">
        <f t="array" ref="E102">IFERROR(INDEX(TableDiv[Agency],MATCH(0,INDEX(COUNTIF($E$7:E101,TableDiv[Agency]),),0)),"")</f>
        <v>CUF</v>
      </c>
      <c r="F102" s="2223" t="str" cm="1">
        <f t="array" ref="F102">IF($D102&lt;COLUMNS($F$7:F$7),"",INDEX(TableDiv[[GASB]:[GASB]],_xlfn.AGGREGATE(15,3,(TableDiv[[Agency]:[Agency]]=$E102)/(TableDiv[[Agency]:[Agency]]=$E102)*(ROW(TableDiv[Agency])-ROW(TableDiv[[#Headers],[Agency]])),COLUMNS($F$7:F$7))))</f>
        <v>48200G</v>
      </c>
      <c r="G102" s="2223" t="str" cm="1">
        <f t="array" ref="G102">IF($D102&lt;COLUMNS($F$7:G$7),"",INDEX(TableDiv[[GASB]:[GASB]],_xlfn.AGGREGATE(15,3,(TableDiv[[Agency]:[Agency]]=$E102)/(TableDiv[[Agency]:[Agency]]=$E102)*(ROW(TableDiv[Agency])-ROW(TableDiv[[#Headers],[Agency]])),COLUMNS($F$7:G$7))))</f>
        <v/>
      </c>
      <c r="H102" s="2223" t="str" cm="1">
        <f t="array" ref="H102">IF($D102&lt;COLUMNS($F$7:H$7),"",INDEX(TableDiv[[GASB]:[GASB]],_xlfn.AGGREGATE(15,3,(TableDiv[[Agency]:[Agency]]=$E102)/(TableDiv[[Agency]:[Agency]]=$E102)*(ROW(TableDiv[Agency])-ROW(TableDiv[[#Headers],[Agency]])),COLUMNS($F$7:H$7))))</f>
        <v/>
      </c>
      <c r="I102" s="2223" t="str" cm="1">
        <f t="array" ref="I102">IF($D102&lt;COLUMNS($F$7:I$7),"",INDEX(TableDiv[[GASB]:[GASB]],_xlfn.AGGREGATE(15,3,(TableDiv[[Agency]:[Agency]]=$E102)/(TableDiv[[Agency]:[Agency]]=$E102)*(ROW(TableDiv[Agency])-ROW(TableDiv[[#Headers],[Agency]])),COLUMNS($F$7:I$7))))</f>
        <v/>
      </c>
      <c r="J102" s="2223" t="str" cm="1">
        <f t="array" ref="J102">IF($D102&lt;COLUMNS($F$7:J$7),"",INDEX(TableDiv[[GASB]:[GASB]],_xlfn.AGGREGATE(15,3,(TableDiv[[Agency]:[Agency]]=$E102)/(TableDiv[[Agency]:[Agency]]=$E102)*(ROW(TableDiv[Agency])-ROW(TableDiv[[#Headers],[Agency]])),COLUMNS($F$7:J$7))))</f>
        <v/>
      </c>
      <c r="K102" s="2223" t="str" cm="1">
        <f t="array" ref="K102">IF($D102&lt;COLUMNS($F$7:K$7),"",INDEX(TableDiv[[GASB]:[GASB]],_xlfn.AGGREGATE(15,3,(TableDiv[[Agency]:[Agency]]=$E102)/(TableDiv[[Agency]:[Agency]]=$E102)*(ROW(TableDiv[Agency])-ROW(TableDiv[[#Headers],[Agency]])),COLUMNS($F$7:K$7))))</f>
        <v/>
      </c>
      <c r="L102" s="2223" t="str" cm="1">
        <f t="array" ref="L102">IF($D102&lt;COLUMNS($F$7:L$7),"",INDEX(TableDiv[[GASB]:[GASB]],_xlfn.AGGREGATE(15,3,(TableDiv[[Agency]:[Agency]]=$E102)/(TableDiv[[Agency]:[Agency]]=$E102)*(ROW(TableDiv[Agency])-ROW(TableDiv[[#Headers],[Agency]])),COLUMNS($F$7:L$7))))</f>
        <v/>
      </c>
      <c r="M102" s="2223" t="str" cm="1">
        <f t="array" ref="M102">IF($D102&lt;COLUMNS($F$7:M$7),"",INDEX(TableDiv[[GASB]:[GASB]],_xlfn.AGGREGATE(15,3,(TableDiv[[Agency]:[Agency]]=$E102)/(TableDiv[[Agency]:[Agency]]=$E102)*(ROW(TableDiv[Agency])-ROW(TableDiv[[#Headers],[Agency]])),COLUMNS($F$7:M$7))))</f>
        <v/>
      </c>
      <c r="N102" s="2223" t="str" cm="1">
        <f t="array" ref="N102">IF($D102&lt;COLUMNS($F$7:N$7),"",INDEX(TableDiv[[GASB]:[GASB]],_xlfn.AGGREGATE(15,3,(TableDiv[[Agency]:[Agency]]=$E102)/(TableDiv[[Agency]:[Agency]]=$E102)*(ROW(TableDiv[Agency])-ROW(TableDiv[[#Headers],[Agency]])),COLUMNS($F$7:N$7))))</f>
        <v/>
      </c>
      <c r="O102" s="2223" t="str" cm="1">
        <f t="array" ref="O102">IF($D102&lt;COLUMNS($F$7:O$7),"",INDEX(TableDiv[[GASB]:[GASB]],_xlfn.AGGREGATE(15,3,(TableDiv[[Agency]:[Agency]]=$E102)/(TableDiv[[Agency]:[Agency]]=$E102)*(ROW(TableDiv[Agency])-ROW(TableDiv[[#Headers],[Agency]])),COLUMNS($F$7:O$7))))</f>
        <v/>
      </c>
      <c r="P102" s="2223" t="str" cm="1">
        <f t="array" ref="P102">IF($D102&lt;COLUMNS($F$7:P$7),"",INDEX(TableDiv[[GASB]:[GASB]],_xlfn.AGGREGATE(15,3,(TableDiv[[Agency]:[Agency]]=$E102)/(TableDiv[[Agency]:[Agency]]=$E102)*(ROW(TableDiv[Agency])-ROW(TableDiv[[#Headers],[Agency]])),COLUMNS($F$7:P$7))))</f>
        <v/>
      </c>
      <c r="Q102" s="2223" t="str" cm="1">
        <f t="array" ref="Q102">IF($D102&lt;COLUMNS($F$7:Q$7),"",INDEX(TableDiv[[GASB]:[GASB]],_xlfn.AGGREGATE(15,3,(TableDiv[[Agency]:[Agency]]=$E102)/(TableDiv[[Agency]:[Agency]]=$E102)*(ROW(TableDiv[Agency])-ROW(TableDiv[[#Headers],[Agency]])),COLUMNS($F$7:Q$7))))</f>
        <v/>
      </c>
      <c r="R102" s="2223" t="str" cm="1">
        <f t="array" ref="R102">IF($D102&lt;COLUMNS($F$7:R$7),"",INDEX(TableDiv[[GASB]:[GASB]],_xlfn.AGGREGATE(15,3,(TableDiv[[Agency]:[Agency]]=$E102)/(TableDiv[[Agency]:[Agency]]=$E102)*(ROW(TableDiv[Agency])-ROW(TableDiv[[#Headers],[Agency]])),COLUMNS($F$7:R$7))))</f>
        <v/>
      </c>
      <c r="S102" s="2223" t="str" cm="1">
        <f t="array" ref="S102">IF($D102&lt;COLUMNS($F$7:S$7),"",INDEX(TableDiv[[GASB]:[GASB]],_xlfn.AGGREGATE(15,3,(TableDiv[[Agency]:[Agency]]=$E102)/(TableDiv[[Agency]:[Agency]]=$E102)*(ROW(TableDiv[Agency])-ROW(TableDiv[[#Headers],[Agency]])),COLUMNS($F$7:S$7))))</f>
        <v/>
      </c>
      <c r="T102" s="2223" t="str" cm="1">
        <f t="array" ref="T102">IF($D102&lt;COLUMNS($F$7:T$7),"",INDEX(TableDiv[[GASB]:[GASB]],_xlfn.AGGREGATE(15,3,(TableDiv[[Agency]:[Agency]]=$E102)/(TableDiv[[Agency]:[Agency]]=$E102)*(ROW(TableDiv[Agency])-ROW(TableDiv[[#Headers],[Agency]])),COLUMNS($F$7:T$7))))</f>
        <v/>
      </c>
      <c r="U102" s="2223" t="str" cm="1">
        <f t="array" ref="U102">IF($D102&lt;COLUMNS($F$7:U$7),"",INDEX(TableDiv[[GASB]:[GASB]],_xlfn.AGGREGATE(15,3,(TableDiv[[Agency]:[Agency]]=$E102)/(TableDiv[[Agency]:[Agency]]=$E102)*(ROW(TableDiv[Agency])-ROW(TableDiv[[#Headers],[Agency]])),COLUMNS($F$7:U$7))))</f>
        <v/>
      </c>
      <c r="V102" s="2223" t="str" cm="1">
        <f t="array" ref="V102">IF($D102&lt;COLUMNS($F$7:V$7),"",INDEX(TableDiv[[GASB]:[GASB]],_xlfn.AGGREGATE(15,3,(TableDiv[[Agency]:[Agency]]=$E102)/(TableDiv[[Agency]:[Agency]]=$E102)*(ROW(TableDiv[Agency])-ROW(TableDiv[[#Headers],[Agency]])),COLUMNS($F$7:V$7))))</f>
        <v/>
      </c>
      <c r="W102" s="2223" t="str" cm="1">
        <f t="array" ref="W102">IF($D102&lt;COLUMNS($F$7:W$7),"",INDEX(TableDiv[[GASB]:[GASB]],_xlfn.AGGREGATE(15,3,(TableDiv[[Agency]:[Agency]]=$E102)/(TableDiv[[Agency]:[Agency]]=$E102)*(ROW(TableDiv[Agency])-ROW(TableDiv[[#Headers],[Agency]])),COLUMNS($F$7:W$7))))</f>
        <v/>
      </c>
      <c r="X102" s="2223" t="str" cm="1">
        <f t="array" ref="X102">IF($D102&lt;COLUMNS($F$7:X$7),"",INDEX(TableDiv[[GASB]:[GASB]],_xlfn.AGGREGATE(15,3,(TableDiv[[Agency]:[Agency]]=$E102)/(TableDiv[[Agency]:[Agency]]=$E102)*(ROW(TableDiv[Agency])-ROW(TableDiv[[#Headers],[Agency]])),COLUMNS($F$7:X$7))))</f>
        <v/>
      </c>
      <c r="Y102" s="2223" t="str" cm="1">
        <f t="array" ref="Y102">IF($D102&lt;COLUMNS($F$7:Y$7),"",INDEX(TableDiv[[GASB]:[GASB]],_xlfn.AGGREGATE(15,3,(TableDiv[[Agency]:[Agency]]=$E102)/(TableDiv[[Agency]:[Agency]]=$E102)*(ROW(TableDiv[Agency])-ROW(TableDiv[[#Headers],[Agency]])),COLUMNS($F$7:Y$7))))</f>
        <v/>
      </c>
      <c r="Z102" s="2223" t="str" cm="1">
        <f t="array" ref="Z102">IF($D102&lt;COLUMNS($F$7:Z$7),"",INDEX(TableDiv[[GASB]:[GASB]],_xlfn.AGGREGATE(15,3,(TableDiv[[Agency]:[Agency]]=$E102)/(TableDiv[[Agency]:[Agency]]=$E102)*(ROW(TableDiv[Agency])-ROW(TableDiv[[#Headers],[Agency]])),COLUMNS($F$7:Z$7))))</f>
        <v/>
      </c>
      <c r="AA102" s="2223" t="str" cm="1">
        <f t="array" ref="AA102">IF($D102&lt;COLUMNS($F$7:AA$7),"",INDEX(TableDiv[[GASB]:[GASB]],_xlfn.AGGREGATE(15,3,(TableDiv[[Agency]:[Agency]]=$E102)/(TableDiv[[Agency]:[Agency]]=$E102)*(ROW(TableDiv[Agency])-ROW(TableDiv[[#Headers],[Agency]])),COLUMNS($F$7:AA$7))))</f>
        <v/>
      </c>
      <c r="AB102" s="2223" t="str" cm="1">
        <f t="array" ref="AB102">IF($D102&lt;COLUMNS($F$7:AB$7),"",INDEX(TableDiv[[GASB]:[GASB]],_xlfn.AGGREGATE(15,3,(TableDiv[[Agency]:[Agency]]=$E102)/(TableDiv[[Agency]:[Agency]]=$E102)*(ROW(TableDiv[Agency])-ROW(TableDiv[[#Headers],[Agency]])),COLUMNS($F$7:AB$7))))</f>
        <v/>
      </c>
      <c r="AC102" s="2223" t="str" cm="1">
        <f t="array" ref="AC102">IF($D102&lt;COLUMNS($F$7:AC$7),"",INDEX(TableDiv[[GASB]:[GASB]],_xlfn.AGGREGATE(15,3,(TableDiv[[Agency]:[Agency]]=$E102)/(TableDiv[[Agency]:[Agency]]=$E102)*(ROW(TableDiv[Agency])-ROW(TableDiv[[#Headers],[Agency]])),COLUMNS($F$7:AC$7))))</f>
        <v/>
      </c>
      <c r="AD102" s="2223" t="str" cm="1">
        <f t="array" ref="AD102">IF($D102&lt;COLUMNS($F$7:AD$7),"",INDEX(TableDiv[[GASB]:[GASB]],_xlfn.AGGREGATE(15,3,(TableDiv[[Agency]:[Agency]]=$E102)/(TableDiv[[Agency]:[Agency]]=$E102)*(ROW(TableDiv[Agency])-ROW(TableDiv[[#Headers],[Agency]])),COLUMNS($F$7:AD$7))))</f>
        <v/>
      </c>
      <c r="AE102" s="2223" t="str" cm="1">
        <f t="array" ref="AE102">IF($D102&lt;COLUMNS($F$7:AE$7),"",INDEX(TableDiv[[GASB]:[GASB]],_xlfn.AGGREGATE(15,3,(TableDiv[[Agency]:[Agency]]=$E102)/(TableDiv[[Agency]:[Agency]]=$E102)*(ROW(TableDiv[Agency])-ROW(TableDiv[[#Headers],[Agency]])),COLUMNS($F$7:AE$7))))</f>
        <v/>
      </c>
      <c r="AF102" s="2223" t="str" cm="1">
        <f t="array" ref="AF102">IF($D102&lt;COLUMNS($F$7:AF$7),"",INDEX(TableDiv[[GASB]:[GASB]],_xlfn.AGGREGATE(15,3,(TableDiv[[Agency]:[Agency]]=$E102)/(TableDiv[[Agency]:[Agency]]=$E102)*(ROW(TableDiv[Agency])-ROW(TableDiv[[#Headers],[Agency]])),COLUMNS($F$7:AF$7))))</f>
        <v/>
      </c>
      <c r="AG102" s="2223" t="str" cm="1">
        <f t="array" ref="AG102">IF($D102&lt;COLUMNS($F$7:AG$7),"",INDEX(TableDiv[[GASB]:[GASB]],_xlfn.AGGREGATE(15,3,(TableDiv[[Agency]:[Agency]]=$E102)/(TableDiv[[Agency]:[Agency]]=$E102)*(ROW(TableDiv[Agency])-ROW(TableDiv[[#Headers],[Agency]])),COLUMNS($F$7:AG$7))))</f>
        <v/>
      </c>
      <c r="AH102" s="2223" t="str" cm="1">
        <f t="array" ref="AH102">IF($D102&lt;COLUMNS($F$7:AH$7),"",INDEX(TableDiv[[GASB]:[GASB]],_xlfn.AGGREGATE(15,3,(TableDiv[[Agency]:[Agency]]=$E102)/(TableDiv[[Agency]:[Agency]]=$E102)*(ROW(TableDiv[Agency])-ROW(TableDiv[[#Headers],[Agency]])),COLUMNS($F$7:AH$7))))</f>
        <v/>
      </c>
      <c r="AI102" s="2223" t="str" cm="1">
        <f t="array" ref="AI102">IF($D102&lt;COLUMNS($F$7:AI$7),"",INDEX(TableDiv[[GASB]:[GASB]],_xlfn.AGGREGATE(15,3,(TableDiv[[Agency]:[Agency]]=$E102)/(TableDiv[[Agency]:[Agency]]=$E102)*(ROW(TableDiv[Agency])-ROW(TableDiv[[#Headers],[Agency]])),COLUMNS($F$7:AI$7))))</f>
        <v/>
      </c>
      <c r="AJ102" s="2223" t="str" cm="1">
        <f t="array" ref="AJ102">IF($D102&lt;COLUMNS($F$7:AJ$7),"",INDEX(TableDiv[[GASB]:[GASB]],_xlfn.AGGREGATE(15,3,(TableDiv[[Agency]:[Agency]]=$E102)/(TableDiv[[Agency]:[Agency]]=$E102)*(ROW(TableDiv[Agency])-ROW(TableDiv[[#Headers],[Agency]])),COLUMNS($F$7:AJ$7))))</f>
        <v/>
      </c>
      <c r="AK102" s="2223" t="str" cm="1">
        <f t="array" ref="AK102">IF($D102&lt;COLUMNS($F$7:AK$7),"",INDEX(TableDiv[[GASB]:[GASB]],_xlfn.AGGREGATE(15,3,(TableDiv[[Agency]:[Agency]]=$E102)/(TableDiv[[Agency]:[Agency]]=$E102)*(ROW(TableDiv[Agency])-ROW(TableDiv[[#Headers],[Agency]])),COLUMNS($F$7:AK$7))))</f>
        <v/>
      </c>
      <c r="AL102" s="2223" t="str" cm="1">
        <f t="array" ref="AL102">IF($D102&lt;COLUMNS($F$7:AL$7),"",INDEX(TableDiv[[GASB]:[GASB]],_xlfn.AGGREGATE(15,3,(TableDiv[[Agency]:[Agency]]=$E102)/(TableDiv[[Agency]:[Agency]]=$E102)*(ROW(TableDiv[Agency])-ROW(TableDiv[[#Headers],[Agency]])),COLUMNS($F$7:AL$7))))</f>
        <v/>
      </c>
      <c r="AM102" s="2223" t="str" cm="1">
        <f t="array" ref="AM102">IF($D102&lt;COLUMNS($F$7:AM$7),"",INDEX(TableDiv[[GASB]:[GASB]],_xlfn.AGGREGATE(15,3,(TableDiv[[Agency]:[Agency]]=$E102)/(TableDiv[[Agency]:[Agency]]=$E102)*(ROW(TableDiv[Agency])-ROW(TableDiv[[#Headers],[Agency]])),COLUMNS($F$7:AM$7))))</f>
        <v/>
      </c>
      <c r="AN102" s="2223"/>
      <c r="AO102" s="2223"/>
      <c r="AP102" s="2223"/>
      <c r="AQ102" s="2223"/>
      <c r="AR102" s="2223"/>
      <c r="AS102" s="2223"/>
    </row>
    <row r="103" spans="1:45" ht="15" x14ac:dyDescent="0.25">
      <c r="A103" s="2219" t="s">
        <v>5106</v>
      </c>
      <c r="B103" s="2219" t="s">
        <v>6411</v>
      </c>
      <c r="C103" s="2223"/>
      <c r="D103" s="2223">
        <f>COUNTIF(TableDiv[Agency],E103)</f>
        <v>1</v>
      </c>
      <c r="E103" s="2230" t="str" cm="1">
        <f t="array" ref="E103">IFERROR(INDEX(TableDiv[Agency],MATCH(0,INDEX(COUNTIF($E$7:E102,TableDiv[Agency]),),0)),"")</f>
        <v>CVF</v>
      </c>
      <c r="F103" s="2223" t="str" cm="1">
        <f t="array" ref="F103">IF($D103&lt;COLUMNS($F$7:F$7),"",INDEX(TableDiv[[GASB]:[GASB]],_xlfn.AGGREGATE(15,3,(TableDiv[[Agency]:[Agency]]=$E103)/(TableDiv[[Agency]:[Agency]]=$E103)*(ROW(TableDiv[Agency])-ROW(TableDiv[[#Headers],[Agency]])),COLUMNS($F$7:F$7))))</f>
        <v>48200G</v>
      </c>
      <c r="G103" s="2223" t="str" cm="1">
        <f t="array" ref="G103">IF($D103&lt;COLUMNS($F$7:G$7),"",INDEX(TableDiv[[GASB]:[GASB]],_xlfn.AGGREGATE(15,3,(TableDiv[[Agency]:[Agency]]=$E103)/(TableDiv[[Agency]:[Agency]]=$E103)*(ROW(TableDiv[Agency])-ROW(TableDiv[[#Headers],[Agency]])),COLUMNS($F$7:G$7))))</f>
        <v/>
      </c>
      <c r="H103" s="2223" t="str" cm="1">
        <f t="array" ref="H103">IF($D103&lt;COLUMNS($F$7:H$7),"",INDEX(TableDiv[[GASB]:[GASB]],_xlfn.AGGREGATE(15,3,(TableDiv[[Agency]:[Agency]]=$E103)/(TableDiv[[Agency]:[Agency]]=$E103)*(ROW(TableDiv[Agency])-ROW(TableDiv[[#Headers],[Agency]])),COLUMNS($F$7:H$7))))</f>
        <v/>
      </c>
      <c r="I103" s="2223" t="str" cm="1">
        <f t="array" ref="I103">IF($D103&lt;COLUMNS($F$7:I$7),"",INDEX(TableDiv[[GASB]:[GASB]],_xlfn.AGGREGATE(15,3,(TableDiv[[Agency]:[Agency]]=$E103)/(TableDiv[[Agency]:[Agency]]=$E103)*(ROW(TableDiv[Agency])-ROW(TableDiv[[#Headers],[Agency]])),COLUMNS($F$7:I$7))))</f>
        <v/>
      </c>
      <c r="J103" s="2223" t="str" cm="1">
        <f t="array" ref="J103">IF($D103&lt;COLUMNS($F$7:J$7),"",INDEX(TableDiv[[GASB]:[GASB]],_xlfn.AGGREGATE(15,3,(TableDiv[[Agency]:[Agency]]=$E103)/(TableDiv[[Agency]:[Agency]]=$E103)*(ROW(TableDiv[Agency])-ROW(TableDiv[[#Headers],[Agency]])),COLUMNS($F$7:J$7))))</f>
        <v/>
      </c>
      <c r="K103" s="2223" t="str" cm="1">
        <f t="array" ref="K103">IF($D103&lt;COLUMNS($F$7:K$7),"",INDEX(TableDiv[[GASB]:[GASB]],_xlfn.AGGREGATE(15,3,(TableDiv[[Agency]:[Agency]]=$E103)/(TableDiv[[Agency]:[Agency]]=$E103)*(ROW(TableDiv[Agency])-ROW(TableDiv[[#Headers],[Agency]])),COLUMNS($F$7:K$7))))</f>
        <v/>
      </c>
      <c r="L103" s="2223" t="str" cm="1">
        <f t="array" ref="L103">IF($D103&lt;COLUMNS($F$7:L$7),"",INDEX(TableDiv[[GASB]:[GASB]],_xlfn.AGGREGATE(15,3,(TableDiv[[Agency]:[Agency]]=$E103)/(TableDiv[[Agency]:[Agency]]=$E103)*(ROW(TableDiv[Agency])-ROW(TableDiv[[#Headers],[Agency]])),COLUMNS($F$7:L$7))))</f>
        <v/>
      </c>
      <c r="M103" s="2223" t="str" cm="1">
        <f t="array" ref="M103">IF($D103&lt;COLUMNS($F$7:M$7),"",INDEX(TableDiv[[GASB]:[GASB]],_xlfn.AGGREGATE(15,3,(TableDiv[[Agency]:[Agency]]=$E103)/(TableDiv[[Agency]:[Agency]]=$E103)*(ROW(TableDiv[Agency])-ROW(TableDiv[[#Headers],[Agency]])),COLUMNS($F$7:M$7))))</f>
        <v/>
      </c>
      <c r="N103" s="2223" t="str" cm="1">
        <f t="array" ref="N103">IF($D103&lt;COLUMNS($F$7:N$7),"",INDEX(TableDiv[[GASB]:[GASB]],_xlfn.AGGREGATE(15,3,(TableDiv[[Agency]:[Agency]]=$E103)/(TableDiv[[Agency]:[Agency]]=$E103)*(ROW(TableDiv[Agency])-ROW(TableDiv[[#Headers],[Agency]])),COLUMNS($F$7:N$7))))</f>
        <v/>
      </c>
      <c r="O103" s="2223" t="str" cm="1">
        <f t="array" ref="O103">IF($D103&lt;COLUMNS($F$7:O$7),"",INDEX(TableDiv[[GASB]:[GASB]],_xlfn.AGGREGATE(15,3,(TableDiv[[Agency]:[Agency]]=$E103)/(TableDiv[[Agency]:[Agency]]=$E103)*(ROW(TableDiv[Agency])-ROW(TableDiv[[#Headers],[Agency]])),COLUMNS($F$7:O$7))))</f>
        <v/>
      </c>
      <c r="P103" s="2223" t="str" cm="1">
        <f t="array" ref="P103">IF($D103&lt;COLUMNS($F$7:P$7),"",INDEX(TableDiv[[GASB]:[GASB]],_xlfn.AGGREGATE(15,3,(TableDiv[[Agency]:[Agency]]=$E103)/(TableDiv[[Agency]:[Agency]]=$E103)*(ROW(TableDiv[Agency])-ROW(TableDiv[[#Headers],[Agency]])),COLUMNS($F$7:P$7))))</f>
        <v/>
      </c>
      <c r="Q103" s="2223" t="str" cm="1">
        <f t="array" ref="Q103">IF($D103&lt;COLUMNS($F$7:Q$7),"",INDEX(TableDiv[[GASB]:[GASB]],_xlfn.AGGREGATE(15,3,(TableDiv[[Agency]:[Agency]]=$E103)/(TableDiv[[Agency]:[Agency]]=$E103)*(ROW(TableDiv[Agency])-ROW(TableDiv[[#Headers],[Agency]])),COLUMNS($F$7:Q$7))))</f>
        <v/>
      </c>
      <c r="R103" s="2223" t="str" cm="1">
        <f t="array" ref="R103">IF($D103&lt;COLUMNS($F$7:R$7),"",INDEX(TableDiv[[GASB]:[GASB]],_xlfn.AGGREGATE(15,3,(TableDiv[[Agency]:[Agency]]=$E103)/(TableDiv[[Agency]:[Agency]]=$E103)*(ROW(TableDiv[Agency])-ROW(TableDiv[[#Headers],[Agency]])),COLUMNS($F$7:R$7))))</f>
        <v/>
      </c>
      <c r="S103" s="2223" t="str" cm="1">
        <f t="array" ref="S103">IF($D103&lt;COLUMNS($F$7:S$7),"",INDEX(TableDiv[[GASB]:[GASB]],_xlfn.AGGREGATE(15,3,(TableDiv[[Agency]:[Agency]]=$E103)/(TableDiv[[Agency]:[Agency]]=$E103)*(ROW(TableDiv[Agency])-ROW(TableDiv[[#Headers],[Agency]])),COLUMNS($F$7:S$7))))</f>
        <v/>
      </c>
      <c r="T103" s="2223" t="str" cm="1">
        <f t="array" ref="T103">IF($D103&lt;COLUMNS($F$7:T$7),"",INDEX(TableDiv[[GASB]:[GASB]],_xlfn.AGGREGATE(15,3,(TableDiv[[Agency]:[Agency]]=$E103)/(TableDiv[[Agency]:[Agency]]=$E103)*(ROW(TableDiv[Agency])-ROW(TableDiv[[#Headers],[Agency]])),COLUMNS($F$7:T$7))))</f>
        <v/>
      </c>
      <c r="U103" s="2223" t="str" cm="1">
        <f t="array" ref="U103">IF($D103&lt;COLUMNS($F$7:U$7),"",INDEX(TableDiv[[GASB]:[GASB]],_xlfn.AGGREGATE(15,3,(TableDiv[[Agency]:[Agency]]=$E103)/(TableDiv[[Agency]:[Agency]]=$E103)*(ROW(TableDiv[Agency])-ROW(TableDiv[[#Headers],[Agency]])),COLUMNS($F$7:U$7))))</f>
        <v/>
      </c>
      <c r="V103" s="2223" t="str" cm="1">
        <f t="array" ref="V103">IF($D103&lt;COLUMNS($F$7:V$7),"",INDEX(TableDiv[[GASB]:[GASB]],_xlfn.AGGREGATE(15,3,(TableDiv[[Agency]:[Agency]]=$E103)/(TableDiv[[Agency]:[Agency]]=$E103)*(ROW(TableDiv[Agency])-ROW(TableDiv[[#Headers],[Agency]])),COLUMNS($F$7:V$7))))</f>
        <v/>
      </c>
      <c r="W103" s="2223" t="str" cm="1">
        <f t="array" ref="W103">IF($D103&lt;COLUMNS($F$7:W$7),"",INDEX(TableDiv[[GASB]:[GASB]],_xlfn.AGGREGATE(15,3,(TableDiv[[Agency]:[Agency]]=$E103)/(TableDiv[[Agency]:[Agency]]=$E103)*(ROW(TableDiv[Agency])-ROW(TableDiv[[#Headers],[Agency]])),COLUMNS($F$7:W$7))))</f>
        <v/>
      </c>
      <c r="X103" s="2223" t="str" cm="1">
        <f t="array" ref="X103">IF($D103&lt;COLUMNS($F$7:X$7),"",INDEX(TableDiv[[GASB]:[GASB]],_xlfn.AGGREGATE(15,3,(TableDiv[[Agency]:[Agency]]=$E103)/(TableDiv[[Agency]:[Agency]]=$E103)*(ROW(TableDiv[Agency])-ROW(TableDiv[[#Headers],[Agency]])),COLUMNS($F$7:X$7))))</f>
        <v/>
      </c>
      <c r="Y103" s="2223" t="str" cm="1">
        <f t="array" ref="Y103">IF($D103&lt;COLUMNS($F$7:Y$7),"",INDEX(TableDiv[[GASB]:[GASB]],_xlfn.AGGREGATE(15,3,(TableDiv[[Agency]:[Agency]]=$E103)/(TableDiv[[Agency]:[Agency]]=$E103)*(ROW(TableDiv[Agency])-ROW(TableDiv[[#Headers],[Agency]])),COLUMNS($F$7:Y$7))))</f>
        <v/>
      </c>
      <c r="Z103" s="2223" t="str" cm="1">
        <f t="array" ref="Z103">IF($D103&lt;COLUMNS($F$7:Z$7),"",INDEX(TableDiv[[GASB]:[GASB]],_xlfn.AGGREGATE(15,3,(TableDiv[[Agency]:[Agency]]=$E103)/(TableDiv[[Agency]:[Agency]]=$E103)*(ROW(TableDiv[Agency])-ROW(TableDiv[[#Headers],[Agency]])),COLUMNS($F$7:Z$7))))</f>
        <v/>
      </c>
      <c r="AA103" s="2223" t="str" cm="1">
        <f t="array" ref="AA103">IF($D103&lt;COLUMNS($F$7:AA$7),"",INDEX(TableDiv[[GASB]:[GASB]],_xlfn.AGGREGATE(15,3,(TableDiv[[Agency]:[Agency]]=$E103)/(TableDiv[[Agency]:[Agency]]=$E103)*(ROW(TableDiv[Agency])-ROW(TableDiv[[#Headers],[Agency]])),COLUMNS($F$7:AA$7))))</f>
        <v/>
      </c>
      <c r="AB103" s="2223" t="str" cm="1">
        <f t="array" ref="AB103">IF($D103&lt;COLUMNS($F$7:AB$7),"",INDEX(TableDiv[[GASB]:[GASB]],_xlfn.AGGREGATE(15,3,(TableDiv[[Agency]:[Agency]]=$E103)/(TableDiv[[Agency]:[Agency]]=$E103)*(ROW(TableDiv[Agency])-ROW(TableDiv[[#Headers],[Agency]])),COLUMNS($F$7:AB$7))))</f>
        <v/>
      </c>
      <c r="AC103" s="2223" t="str" cm="1">
        <f t="array" ref="AC103">IF($D103&lt;COLUMNS($F$7:AC$7),"",INDEX(TableDiv[[GASB]:[GASB]],_xlfn.AGGREGATE(15,3,(TableDiv[[Agency]:[Agency]]=$E103)/(TableDiv[[Agency]:[Agency]]=$E103)*(ROW(TableDiv[Agency])-ROW(TableDiv[[#Headers],[Agency]])),COLUMNS($F$7:AC$7))))</f>
        <v/>
      </c>
      <c r="AD103" s="2223" t="str" cm="1">
        <f t="array" ref="AD103">IF($D103&lt;COLUMNS($F$7:AD$7),"",INDEX(TableDiv[[GASB]:[GASB]],_xlfn.AGGREGATE(15,3,(TableDiv[[Agency]:[Agency]]=$E103)/(TableDiv[[Agency]:[Agency]]=$E103)*(ROW(TableDiv[Agency])-ROW(TableDiv[[#Headers],[Agency]])),COLUMNS($F$7:AD$7))))</f>
        <v/>
      </c>
      <c r="AE103" s="2223" t="str" cm="1">
        <f t="array" ref="AE103">IF($D103&lt;COLUMNS($F$7:AE$7),"",INDEX(TableDiv[[GASB]:[GASB]],_xlfn.AGGREGATE(15,3,(TableDiv[[Agency]:[Agency]]=$E103)/(TableDiv[[Agency]:[Agency]]=$E103)*(ROW(TableDiv[Agency])-ROW(TableDiv[[#Headers],[Agency]])),COLUMNS($F$7:AE$7))))</f>
        <v/>
      </c>
      <c r="AF103" s="2223" t="str" cm="1">
        <f t="array" ref="AF103">IF($D103&lt;COLUMNS($F$7:AF$7),"",INDEX(TableDiv[[GASB]:[GASB]],_xlfn.AGGREGATE(15,3,(TableDiv[[Agency]:[Agency]]=$E103)/(TableDiv[[Agency]:[Agency]]=$E103)*(ROW(TableDiv[Agency])-ROW(TableDiv[[#Headers],[Agency]])),COLUMNS($F$7:AF$7))))</f>
        <v/>
      </c>
      <c r="AG103" s="2223" t="str" cm="1">
        <f t="array" ref="AG103">IF($D103&lt;COLUMNS($F$7:AG$7),"",INDEX(TableDiv[[GASB]:[GASB]],_xlfn.AGGREGATE(15,3,(TableDiv[[Agency]:[Agency]]=$E103)/(TableDiv[[Agency]:[Agency]]=$E103)*(ROW(TableDiv[Agency])-ROW(TableDiv[[#Headers],[Agency]])),COLUMNS($F$7:AG$7))))</f>
        <v/>
      </c>
      <c r="AH103" s="2223" t="str" cm="1">
        <f t="array" ref="AH103">IF($D103&lt;COLUMNS($F$7:AH$7),"",INDEX(TableDiv[[GASB]:[GASB]],_xlfn.AGGREGATE(15,3,(TableDiv[[Agency]:[Agency]]=$E103)/(TableDiv[[Agency]:[Agency]]=$E103)*(ROW(TableDiv[Agency])-ROW(TableDiv[[#Headers],[Agency]])),COLUMNS($F$7:AH$7))))</f>
        <v/>
      </c>
      <c r="AI103" s="2223" t="str" cm="1">
        <f t="array" ref="AI103">IF($D103&lt;COLUMNS($F$7:AI$7),"",INDEX(TableDiv[[GASB]:[GASB]],_xlfn.AGGREGATE(15,3,(TableDiv[[Agency]:[Agency]]=$E103)/(TableDiv[[Agency]:[Agency]]=$E103)*(ROW(TableDiv[Agency])-ROW(TableDiv[[#Headers],[Agency]])),COLUMNS($F$7:AI$7))))</f>
        <v/>
      </c>
      <c r="AJ103" s="2223" t="str" cm="1">
        <f t="array" ref="AJ103">IF($D103&lt;COLUMNS($F$7:AJ$7),"",INDEX(TableDiv[[GASB]:[GASB]],_xlfn.AGGREGATE(15,3,(TableDiv[[Agency]:[Agency]]=$E103)/(TableDiv[[Agency]:[Agency]]=$E103)*(ROW(TableDiv[Agency])-ROW(TableDiv[[#Headers],[Agency]])),COLUMNS($F$7:AJ$7))))</f>
        <v/>
      </c>
      <c r="AK103" s="2223" t="str" cm="1">
        <f t="array" ref="AK103">IF($D103&lt;COLUMNS($F$7:AK$7),"",INDEX(TableDiv[[GASB]:[GASB]],_xlfn.AGGREGATE(15,3,(TableDiv[[Agency]:[Agency]]=$E103)/(TableDiv[[Agency]:[Agency]]=$E103)*(ROW(TableDiv[Agency])-ROW(TableDiv[[#Headers],[Agency]])),COLUMNS($F$7:AK$7))))</f>
        <v/>
      </c>
      <c r="AL103" s="2223" t="str" cm="1">
        <f t="array" ref="AL103">IF($D103&lt;COLUMNS($F$7:AL$7),"",INDEX(TableDiv[[GASB]:[GASB]],_xlfn.AGGREGATE(15,3,(TableDiv[[Agency]:[Agency]]=$E103)/(TableDiv[[Agency]:[Agency]]=$E103)*(ROW(TableDiv[Agency])-ROW(TableDiv[[#Headers],[Agency]])),COLUMNS($F$7:AL$7))))</f>
        <v/>
      </c>
      <c r="AM103" s="2223" t="str" cm="1">
        <f t="array" ref="AM103">IF($D103&lt;COLUMNS($F$7:AM$7),"",INDEX(TableDiv[[GASB]:[GASB]],_xlfn.AGGREGATE(15,3,(TableDiv[[Agency]:[Agency]]=$E103)/(TableDiv[[Agency]:[Agency]]=$E103)*(ROW(TableDiv[Agency])-ROW(TableDiv[[#Headers],[Agency]])),COLUMNS($F$7:AM$7))))</f>
        <v/>
      </c>
      <c r="AN103" s="2223"/>
      <c r="AO103" s="2223"/>
      <c r="AP103" s="2223"/>
      <c r="AQ103" s="2223"/>
      <c r="AR103" s="2223"/>
      <c r="AS103" s="2223"/>
    </row>
    <row r="104" spans="1:45" ht="15" x14ac:dyDescent="0.25">
      <c r="A104" s="2219" t="s">
        <v>5106</v>
      </c>
      <c r="B104" s="2219" t="s">
        <v>6412</v>
      </c>
      <c r="C104" s="2223"/>
      <c r="D104" s="2223">
        <f>COUNTIF(TableDiv[Agency],E104)</f>
        <v>1</v>
      </c>
      <c r="E104" s="2230" t="str" cm="1">
        <f t="array" ref="E104">IFERROR(INDEX(TableDiv[Agency],MATCH(0,INDEX(COUNTIF($E$7:E103,TableDiv[Agency]),),0)),"")</f>
        <v>CWF</v>
      </c>
      <c r="F104" s="2223" t="str" cm="1">
        <f t="array" ref="F104">IF($D104&lt;COLUMNS($F$7:F$7),"",INDEX(TableDiv[[GASB]:[GASB]],_xlfn.AGGREGATE(15,3,(TableDiv[[Agency]:[Agency]]=$E104)/(TableDiv[[Agency]:[Agency]]=$E104)*(ROW(TableDiv[Agency])-ROW(TableDiv[[#Headers],[Agency]])),COLUMNS($F$7:F$7))))</f>
        <v>48200G</v>
      </c>
      <c r="G104" s="2223" t="str" cm="1">
        <f t="array" ref="G104">IF($D104&lt;COLUMNS($F$7:G$7),"",INDEX(TableDiv[[GASB]:[GASB]],_xlfn.AGGREGATE(15,3,(TableDiv[[Agency]:[Agency]]=$E104)/(TableDiv[[Agency]:[Agency]]=$E104)*(ROW(TableDiv[Agency])-ROW(TableDiv[[#Headers],[Agency]])),COLUMNS($F$7:G$7))))</f>
        <v/>
      </c>
      <c r="H104" s="2223" t="str" cm="1">
        <f t="array" ref="H104">IF($D104&lt;COLUMNS($F$7:H$7),"",INDEX(TableDiv[[GASB]:[GASB]],_xlfn.AGGREGATE(15,3,(TableDiv[[Agency]:[Agency]]=$E104)/(TableDiv[[Agency]:[Agency]]=$E104)*(ROW(TableDiv[Agency])-ROW(TableDiv[[#Headers],[Agency]])),COLUMNS($F$7:H$7))))</f>
        <v/>
      </c>
      <c r="I104" s="2223" t="str" cm="1">
        <f t="array" ref="I104">IF($D104&lt;COLUMNS($F$7:I$7),"",INDEX(TableDiv[[GASB]:[GASB]],_xlfn.AGGREGATE(15,3,(TableDiv[[Agency]:[Agency]]=$E104)/(TableDiv[[Agency]:[Agency]]=$E104)*(ROW(TableDiv[Agency])-ROW(TableDiv[[#Headers],[Agency]])),COLUMNS($F$7:I$7))))</f>
        <v/>
      </c>
      <c r="J104" s="2223" t="str" cm="1">
        <f t="array" ref="J104">IF($D104&lt;COLUMNS($F$7:J$7),"",INDEX(TableDiv[[GASB]:[GASB]],_xlfn.AGGREGATE(15,3,(TableDiv[[Agency]:[Agency]]=$E104)/(TableDiv[[Agency]:[Agency]]=$E104)*(ROW(TableDiv[Agency])-ROW(TableDiv[[#Headers],[Agency]])),COLUMNS($F$7:J$7))))</f>
        <v/>
      </c>
      <c r="K104" s="2223" t="str" cm="1">
        <f t="array" ref="K104">IF($D104&lt;COLUMNS($F$7:K$7),"",INDEX(TableDiv[[GASB]:[GASB]],_xlfn.AGGREGATE(15,3,(TableDiv[[Agency]:[Agency]]=$E104)/(TableDiv[[Agency]:[Agency]]=$E104)*(ROW(TableDiv[Agency])-ROW(TableDiv[[#Headers],[Agency]])),COLUMNS($F$7:K$7))))</f>
        <v/>
      </c>
      <c r="L104" s="2223" t="str" cm="1">
        <f t="array" ref="L104">IF($D104&lt;COLUMNS($F$7:L$7),"",INDEX(TableDiv[[GASB]:[GASB]],_xlfn.AGGREGATE(15,3,(TableDiv[[Agency]:[Agency]]=$E104)/(TableDiv[[Agency]:[Agency]]=$E104)*(ROW(TableDiv[Agency])-ROW(TableDiv[[#Headers],[Agency]])),COLUMNS($F$7:L$7))))</f>
        <v/>
      </c>
      <c r="M104" s="2223" t="str" cm="1">
        <f t="array" ref="M104">IF($D104&lt;COLUMNS($F$7:M$7),"",INDEX(TableDiv[[GASB]:[GASB]],_xlfn.AGGREGATE(15,3,(TableDiv[[Agency]:[Agency]]=$E104)/(TableDiv[[Agency]:[Agency]]=$E104)*(ROW(TableDiv[Agency])-ROW(TableDiv[[#Headers],[Agency]])),COLUMNS($F$7:M$7))))</f>
        <v/>
      </c>
      <c r="N104" s="2223" t="str" cm="1">
        <f t="array" ref="N104">IF($D104&lt;COLUMNS($F$7:N$7),"",INDEX(TableDiv[[GASB]:[GASB]],_xlfn.AGGREGATE(15,3,(TableDiv[[Agency]:[Agency]]=$E104)/(TableDiv[[Agency]:[Agency]]=$E104)*(ROW(TableDiv[Agency])-ROW(TableDiv[[#Headers],[Agency]])),COLUMNS($F$7:N$7))))</f>
        <v/>
      </c>
      <c r="O104" s="2223" t="str" cm="1">
        <f t="array" ref="O104">IF($D104&lt;COLUMNS($F$7:O$7),"",INDEX(TableDiv[[GASB]:[GASB]],_xlfn.AGGREGATE(15,3,(TableDiv[[Agency]:[Agency]]=$E104)/(TableDiv[[Agency]:[Agency]]=$E104)*(ROW(TableDiv[Agency])-ROW(TableDiv[[#Headers],[Agency]])),COLUMNS($F$7:O$7))))</f>
        <v/>
      </c>
      <c r="P104" s="2223" t="str" cm="1">
        <f t="array" ref="P104">IF($D104&lt;COLUMNS($F$7:P$7),"",INDEX(TableDiv[[GASB]:[GASB]],_xlfn.AGGREGATE(15,3,(TableDiv[[Agency]:[Agency]]=$E104)/(TableDiv[[Agency]:[Agency]]=$E104)*(ROW(TableDiv[Agency])-ROW(TableDiv[[#Headers],[Agency]])),COLUMNS($F$7:P$7))))</f>
        <v/>
      </c>
      <c r="Q104" s="2223" t="str" cm="1">
        <f t="array" ref="Q104">IF($D104&lt;COLUMNS($F$7:Q$7),"",INDEX(TableDiv[[GASB]:[GASB]],_xlfn.AGGREGATE(15,3,(TableDiv[[Agency]:[Agency]]=$E104)/(TableDiv[[Agency]:[Agency]]=$E104)*(ROW(TableDiv[Agency])-ROW(TableDiv[[#Headers],[Agency]])),COLUMNS($F$7:Q$7))))</f>
        <v/>
      </c>
      <c r="R104" s="2223" t="str" cm="1">
        <f t="array" ref="R104">IF($D104&lt;COLUMNS($F$7:R$7),"",INDEX(TableDiv[[GASB]:[GASB]],_xlfn.AGGREGATE(15,3,(TableDiv[[Agency]:[Agency]]=$E104)/(TableDiv[[Agency]:[Agency]]=$E104)*(ROW(TableDiv[Agency])-ROW(TableDiv[[#Headers],[Agency]])),COLUMNS($F$7:R$7))))</f>
        <v/>
      </c>
      <c r="S104" s="2223" t="str" cm="1">
        <f t="array" ref="S104">IF($D104&lt;COLUMNS($F$7:S$7),"",INDEX(TableDiv[[GASB]:[GASB]],_xlfn.AGGREGATE(15,3,(TableDiv[[Agency]:[Agency]]=$E104)/(TableDiv[[Agency]:[Agency]]=$E104)*(ROW(TableDiv[Agency])-ROW(TableDiv[[#Headers],[Agency]])),COLUMNS($F$7:S$7))))</f>
        <v/>
      </c>
      <c r="T104" s="2223" t="str" cm="1">
        <f t="array" ref="T104">IF($D104&lt;COLUMNS($F$7:T$7),"",INDEX(TableDiv[[GASB]:[GASB]],_xlfn.AGGREGATE(15,3,(TableDiv[[Agency]:[Agency]]=$E104)/(TableDiv[[Agency]:[Agency]]=$E104)*(ROW(TableDiv[Agency])-ROW(TableDiv[[#Headers],[Agency]])),COLUMNS($F$7:T$7))))</f>
        <v/>
      </c>
      <c r="U104" s="2223" t="str" cm="1">
        <f t="array" ref="U104">IF($D104&lt;COLUMNS($F$7:U$7),"",INDEX(TableDiv[[GASB]:[GASB]],_xlfn.AGGREGATE(15,3,(TableDiv[[Agency]:[Agency]]=$E104)/(TableDiv[[Agency]:[Agency]]=$E104)*(ROW(TableDiv[Agency])-ROW(TableDiv[[#Headers],[Agency]])),COLUMNS($F$7:U$7))))</f>
        <v/>
      </c>
      <c r="V104" s="2223" t="str" cm="1">
        <f t="array" ref="V104">IF($D104&lt;COLUMNS($F$7:V$7),"",INDEX(TableDiv[[GASB]:[GASB]],_xlfn.AGGREGATE(15,3,(TableDiv[[Agency]:[Agency]]=$E104)/(TableDiv[[Agency]:[Agency]]=$E104)*(ROW(TableDiv[Agency])-ROW(TableDiv[[#Headers],[Agency]])),COLUMNS($F$7:V$7))))</f>
        <v/>
      </c>
      <c r="W104" s="2223" t="str" cm="1">
        <f t="array" ref="W104">IF($D104&lt;COLUMNS($F$7:W$7),"",INDEX(TableDiv[[GASB]:[GASB]],_xlfn.AGGREGATE(15,3,(TableDiv[[Agency]:[Agency]]=$E104)/(TableDiv[[Agency]:[Agency]]=$E104)*(ROW(TableDiv[Agency])-ROW(TableDiv[[#Headers],[Agency]])),COLUMNS($F$7:W$7))))</f>
        <v/>
      </c>
      <c r="X104" s="2223" t="str" cm="1">
        <f t="array" ref="X104">IF($D104&lt;COLUMNS($F$7:X$7),"",INDEX(TableDiv[[GASB]:[GASB]],_xlfn.AGGREGATE(15,3,(TableDiv[[Agency]:[Agency]]=$E104)/(TableDiv[[Agency]:[Agency]]=$E104)*(ROW(TableDiv[Agency])-ROW(TableDiv[[#Headers],[Agency]])),COLUMNS($F$7:X$7))))</f>
        <v/>
      </c>
      <c r="Y104" s="2223" t="str" cm="1">
        <f t="array" ref="Y104">IF($D104&lt;COLUMNS($F$7:Y$7),"",INDEX(TableDiv[[GASB]:[GASB]],_xlfn.AGGREGATE(15,3,(TableDiv[[Agency]:[Agency]]=$E104)/(TableDiv[[Agency]:[Agency]]=$E104)*(ROW(TableDiv[Agency])-ROW(TableDiv[[#Headers],[Agency]])),COLUMNS($F$7:Y$7))))</f>
        <v/>
      </c>
      <c r="Z104" s="2223" t="str" cm="1">
        <f t="array" ref="Z104">IF($D104&lt;COLUMNS($F$7:Z$7),"",INDEX(TableDiv[[GASB]:[GASB]],_xlfn.AGGREGATE(15,3,(TableDiv[[Agency]:[Agency]]=$E104)/(TableDiv[[Agency]:[Agency]]=$E104)*(ROW(TableDiv[Agency])-ROW(TableDiv[[#Headers],[Agency]])),COLUMNS($F$7:Z$7))))</f>
        <v/>
      </c>
      <c r="AA104" s="2223" t="str" cm="1">
        <f t="array" ref="AA104">IF($D104&lt;COLUMNS($F$7:AA$7),"",INDEX(TableDiv[[GASB]:[GASB]],_xlfn.AGGREGATE(15,3,(TableDiv[[Agency]:[Agency]]=$E104)/(TableDiv[[Agency]:[Agency]]=$E104)*(ROW(TableDiv[Agency])-ROW(TableDiv[[#Headers],[Agency]])),COLUMNS($F$7:AA$7))))</f>
        <v/>
      </c>
      <c r="AB104" s="2223" t="str" cm="1">
        <f t="array" ref="AB104">IF($D104&lt;COLUMNS($F$7:AB$7),"",INDEX(TableDiv[[GASB]:[GASB]],_xlfn.AGGREGATE(15,3,(TableDiv[[Agency]:[Agency]]=$E104)/(TableDiv[[Agency]:[Agency]]=$E104)*(ROW(TableDiv[Agency])-ROW(TableDiv[[#Headers],[Agency]])),COLUMNS($F$7:AB$7))))</f>
        <v/>
      </c>
      <c r="AC104" s="2223" t="str" cm="1">
        <f t="array" ref="AC104">IF($D104&lt;COLUMNS($F$7:AC$7),"",INDEX(TableDiv[[GASB]:[GASB]],_xlfn.AGGREGATE(15,3,(TableDiv[[Agency]:[Agency]]=$E104)/(TableDiv[[Agency]:[Agency]]=$E104)*(ROW(TableDiv[Agency])-ROW(TableDiv[[#Headers],[Agency]])),COLUMNS($F$7:AC$7))))</f>
        <v/>
      </c>
      <c r="AD104" s="2223" t="str" cm="1">
        <f t="array" ref="AD104">IF($D104&lt;COLUMNS($F$7:AD$7),"",INDEX(TableDiv[[GASB]:[GASB]],_xlfn.AGGREGATE(15,3,(TableDiv[[Agency]:[Agency]]=$E104)/(TableDiv[[Agency]:[Agency]]=$E104)*(ROW(TableDiv[Agency])-ROW(TableDiv[[#Headers],[Agency]])),COLUMNS($F$7:AD$7))))</f>
        <v/>
      </c>
      <c r="AE104" s="2223" t="str" cm="1">
        <f t="array" ref="AE104">IF($D104&lt;COLUMNS($F$7:AE$7),"",INDEX(TableDiv[[GASB]:[GASB]],_xlfn.AGGREGATE(15,3,(TableDiv[[Agency]:[Agency]]=$E104)/(TableDiv[[Agency]:[Agency]]=$E104)*(ROW(TableDiv[Agency])-ROW(TableDiv[[#Headers],[Agency]])),COLUMNS($F$7:AE$7))))</f>
        <v/>
      </c>
      <c r="AF104" s="2223" t="str" cm="1">
        <f t="array" ref="AF104">IF($D104&lt;COLUMNS($F$7:AF$7),"",INDEX(TableDiv[[GASB]:[GASB]],_xlfn.AGGREGATE(15,3,(TableDiv[[Agency]:[Agency]]=$E104)/(TableDiv[[Agency]:[Agency]]=$E104)*(ROW(TableDiv[Agency])-ROW(TableDiv[[#Headers],[Agency]])),COLUMNS($F$7:AF$7))))</f>
        <v/>
      </c>
      <c r="AG104" s="2223" t="str" cm="1">
        <f t="array" ref="AG104">IF($D104&lt;COLUMNS($F$7:AG$7),"",INDEX(TableDiv[[GASB]:[GASB]],_xlfn.AGGREGATE(15,3,(TableDiv[[Agency]:[Agency]]=$E104)/(TableDiv[[Agency]:[Agency]]=$E104)*(ROW(TableDiv[Agency])-ROW(TableDiv[[#Headers],[Agency]])),COLUMNS($F$7:AG$7))))</f>
        <v/>
      </c>
      <c r="AH104" s="2223" t="str" cm="1">
        <f t="array" ref="AH104">IF($D104&lt;COLUMNS($F$7:AH$7),"",INDEX(TableDiv[[GASB]:[GASB]],_xlfn.AGGREGATE(15,3,(TableDiv[[Agency]:[Agency]]=$E104)/(TableDiv[[Agency]:[Agency]]=$E104)*(ROW(TableDiv[Agency])-ROW(TableDiv[[#Headers],[Agency]])),COLUMNS($F$7:AH$7))))</f>
        <v/>
      </c>
      <c r="AI104" s="2223" t="str" cm="1">
        <f t="array" ref="AI104">IF($D104&lt;COLUMNS($F$7:AI$7),"",INDEX(TableDiv[[GASB]:[GASB]],_xlfn.AGGREGATE(15,3,(TableDiv[[Agency]:[Agency]]=$E104)/(TableDiv[[Agency]:[Agency]]=$E104)*(ROW(TableDiv[Agency])-ROW(TableDiv[[#Headers],[Agency]])),COLUMNS($F$7:AI$7))))</f>
        <v/>
      </c>
      <c r="AJ104" s="2223" t="str" cm="1">
        <f t="array" ref="AJ104">IF($D104&lt;COLUMNS($F$7:AJ$7),"",INDEX(TableDiv[[GASB]:[GASB]],_xlfn.AGGREGATE(15,3,(TableDiv[[Agency]:[Agency]]=$E104)/(TableDiv[[Agency]:[Agency]]=$E104)*(ROW(TableDiv[Agency])-ROW(TableDiv[[#Headers],[Agency]])),COLUMNS($F$7:AJ$7))))</f>
        <v/>
      </c>
      <c r="AK104" s="2223" t="str" cm="1">
        <f t="array" ref="AK104">IF($D104&lt;COLUMNS($F$7:AK$7),"",INDEX(TableDiv[[GASB]:[GASB]],_xlfn.AGGREGATE(15,3,(TableDiv[[Agency]:[Agency]]=$E104)/(TableDiv[[Agency]:[Agency]]=$E104)*(ROW(TableDiv[Agency])-ROW(TableDiv[[#Headers],[Agency]])),COLUMNS($F$7:AK$7))))</f>
        <v/>
      </c>
      <c r="AL104" s="2223" t="str" cm="1">
        <f t="array" ref="AL104">IF($D104&lt;COLUMNS($F$7:AL$7),"",INDEX(TableDiv[[GASB]:[GASB]],_xlfn.AGGREGATE(15,3,(TableDiv[[Agency]:[Agency]]=$E104)/(TableDiv[[Agency]:[Agency]]=$E104)*(ROW(TableDiv[Agency])-ROW(TableDiv[[#Headers],[Agency]])),COLUMNS($F$7:AL$7))))</f>
        <v/>
      </c>
      <c r="AM104" s="2223" t="str" cm="1">
        <f t="array" ref="AM104">IF($D104&lt;COLUMNS($F$7:AM$7),"",INDEX(TableDiv[[GASB]:[GASB]],_xlfn.AGGREGATE(15,3,(TableDiv[[Agency]:[Agency]]=$E104)/(TableDiv[[Agency]:[Agency]]=$E104)*(ROW(TableDiv[Agency])-ROW(TableDiv[[#Headers],[Agency]])),COLUMNS($F$7:AM$7))))</f>
        <v/>
      </c>
      <c r="AN104" s="2223"/>
      <c r="AO104" s="2223"/>
      <c r="AP104" s="2223"/>
      <c r="AQ104" s="2223"/>
      <c r="AR104" s="2223"/>
      <c r="AS104" s="2223"/>
    </row>
    <row r="105" spans="1:45" ht="15" x14ac:dyDescent="0.25">
      <c r="A105" s="2219" t="s">
        <v>5106</v>
      </c>
      <c r="B105" s="2219" t="s">
        <v>6358</v>
      </c>
      <c r="C105" s="2223"/>
      <c r="D105" s="2223">
        <f>COUNTIF(TableDiv[Agency],E105)</f>
        <v>1</v>
      </c>
      <c r="E105" s="2230" t="str" cm="1">
        <f t="array" ref="E105">IFERROR(INDEX(TableDiv[Agency],MATCH(0,INDEX(COUNTIF($E$7:E104,TableDiv[Agency]),),0)),"")</f>
        <v>CXF</v>
      </c>
      <c r="F105" s="2223" t="str" cm="1">
        <f t="array" ref="F105">IF($D105&lt;COLUMNS($F$7:F$7),"",INDEX(TableDiv[[GASB]:[GASB]],_xlfn.AGGREGATE(15,3,(TableDiv[[Agency]:[Agency]]=$E105)/(TableDiv[[Agency]:[Agency]]=$E105)*(ROW(TableDiv[Agency])-ROW(TableDiv[[#Headers],[Agency]])),COLUMNS($F$7:F$7))))</f>
        <v>48200G</v>
      </c>
      <c r="G105" s="2223" t="str" cm="1">
        <f t="array" ref="G105">IF($D105&lt;COLUMNS($F$7:G$7),"",INDEX(TableDiv[[GASB]:[GASB]],_xlfn.AGGREGATE(15,3,(TableDiv[[Agency]:[Agency]]=$E105)/(TableDiv[[Agency]:[Agency]]=$E105)*(ROW(TableDiv[Agency])-ROW(TableDiv[[#Headers],[Agency]])),COLUMNS($F$7:G$7))))</f>
        <v/>
      </c>
      <c r="H105" s="2223" t="str" cm="1">
        <f t="array" ref="H105">IF($D105&lt;COLUMNS($F$7:H$7),"",INDEX(TableDiv[[GASB]:[GASB]],_xlfn.AGGREGATE(15,3,(TableDiv[[Agency]:[Agency]]=$E105)/(TableDiv[[Agency]:[Agency]]=$E105)*(ROW(TableDiv[Agency])-ROW(TableDiv[[#Headers],[Agency]])),COLUMNS($F$7:H$7))))</f>
        <v/>
      </c>
      <c r="I105" s="2223" t="str" cm="1">
        <f t="array" ref="I105">IF($D105&lt;COLUMNS($F$7:I$7),"",INDEX(TableDiv[[GASB]:[GASB]],_xlfn.AGGREGATE(15,3,(TableDiv[[Agency]:[Agency]]=$E105)/(TableDiv[[Agency]:[Agency]]=$E105)*(ROW(TableDiv[Agency])-ROW(TableDiv[[#Headers],[Agency]])),COLUMNS($F$7:I$7))))</f>
        <v/>
      </c>
      <c r="J105" s="2223" t="str" cm="1">
        <f t="array" ref="J105">IF($D105&lt;COLUMNS($F$7:J$7),"",INDEX(TableDiv[[GASB]:[GASB]],_xlfn.AGGREGATE(15,3,(TableDiv[[Agency]:[Agency]]=$E105)/(TableDiv[[Agency]:[Agency]]=$E105)*(ROW(TableDiv[Agency])-ROW(TableDiv[[#Headers],[Agency]])),COLUMNS($F$7:J$7))))</f>
        <v/>
      </c>
      <c r="K105" s="2223" t="str" cm="1">
        <f t="array" ref="K105">IF($D105&lt;COLUMNS($F$7:K$7),"",INDEX(TableDiv[[GASB]:[GASB]],_xlfn.AGGREGATE(15,3,(TableDiv[[Agency]:[Agency]]=$E105)/(TableDiv[[Agency]:[Agency]]=$E105)*(ROW(TableDiv[Agency])-ROW(TableDiv[[#Headers],[Agency]])),COLUMNS($F$7:K$7))))</f>
        <v/>
      </c>
      <c r="L105" s="2223" t="str" cm="1">
        <f t="array" ref="L105">IF($D105&lt;COLUMNS($F$7:L$7),"",INDEX(TableDiv[[GASB]:[GASB]],_xlfn.AGGREGATE(15,3,(TableDiv[[Agency]:[Agency]]=$E105)/(TableDiv[[Agency]:[Agency]]=$E105)*(ROW(TableDiv[Agency])-ROW(TableDiv[[#Headers],[Agency]])),COLUMNS($F$7:L$7))))</f>
        <v/>
      </c>
      <c r="M105" s="2223" t="str" cm="1">
        <f t="array" ref="M105">IF($D105&lt;COLUMNS($F$7:M$7),"",INDEX(TableDiv[[GASB]:[GASB]],_xlfn.AGGREGATE(15,3,(TableDiv[[Agency]:[Agency]]=$E105)/(TableDiv[[Agency]:[Agency]]=$E105)*(ROW(TableDiv[Agency])-ROW(TableDiv[[#Headers],[Agency]])),COLUMNS($F$7:M$7))))</f>
        <v/>
      </c>
      <c r="N105" s="2223" t="str" cm="1">
        <f t="array" ref="N105">IF($D105&lt;COLUMNS($F$7:N$7),"",INDEX(TableDiv[[GASB]:[GASB]],_xlfn.AGGREGATE(15,3,(TableDiv[[Agency]:[Agency]]=$E105)/(TableDiv[[Agency]:[Agency]]=$E105)*(ROW(TableDiv[Agency])-ROW(TableDiv[[#Headers],[Agency]])),COLUMNS($F$7:N$7))))</f>
        <v/>
      </c>
      <c r="O105" s="2223" t="str" cm="1">
        <f t="array" ref="O105">IF($D105&lt;COLUMNS($F$7:O$7),"",INDEX(TableDiv[[GASB]:[GASB]],_xlfn.AGGREGATE(15,3,(TableDiv[[Agency]:[Agency]]=$E105)/(TableDiv[[Agency]:[Agency]]=$E105)*(ROW(TableDiv[Agency])-ROW(TableDiv[[#Headers],[Agency]])),COLUMNS($F$7:O$7))))</f>
        <v/>
      </c>
      <c r="P105" s="2223" t="str" cm="1">
        <f t="array" ref="P105">IF($D105&lt;COLUMNS($F$7:P$7),"",INDEX(TableDiv[[GASB]:[GASB]],_xlfn.AGGREGATE(15,3,(TableDiv[[Agency]:[Agency]]=$E105)/(TableDiv[[Agency]:[Agency]]=$E105)*(ROW(TableDiv[Agency])-ROW(TableDiv[[#Headers],[Agency]])),COLUMNS($F$7:P$7))))</f>
        <v/>
      </c>
      <c r="Q105" s="2223" t="str" cm="1">
        <f t="array" ref="Q105">IF($D105&lt;COLUMNS($F$7:Q$7),"",INDEX(TableDiv[[GASB]:[GASB]],_xlfn.AGGREGATE(15,3,(TableDiv[[Agency]:[Agency]]=$E105)/(TableDiv[[Agency]:[Agency]]=$E105)*(ROW(TableDiv[Agency])-ROW(TableDiv[[#Headers],[Agency]])),COLUMNS($F$7:Q$7))))</f>
        <v/>
      </c>
      <c r="R105" s="2223" t="str" cm="1">
        <f t="array" ref="R105">IF($D105&lt;COLUMNS($F$7:R$7),"",INDEX(TableDiv[[GASB]:[GASB]],_xlfn.AGGREGATE(15,3,(TableDiv[[Agency]:[Agency]]=$E105)/(TableDiv[[Agency]:[Agency]]=$E105)*(ROW(TableDiv[Agency])-ROW(TableDiv[[#Headers],[Agency]])),COLUMNS($F$7:R$7))))</f>
        <v/>
      </c>
      <c r="S105" s="2223" t="str" cm="1">
        <f t="array" ref="S105">IF($D105&lt;COLUMNS($F$7:S$7),"",INDEX(TableDiv[[GASB]:[GASB]],_xlfn.AGGREGATE(15,3,(TableDiv[[Agency]:[Agency]]=$E105)/(TableDiv[[Agency]:[Agency]]=$E105)*(ROW(TableDiv[Agency])-ROW(TableDiv[[#Headers],[Agency]])),COLUMNS($F$7:S$7))))</f>
        <v/>
      </c>
      <c r="T105" s="2223" t="str" cm="1">
        <f t="array" ref="T105">IF($D105&lt;COLUMNS($F$7:T$7),"",INDEX(TableDiv[[GASB]:[GASB]],_xlfn.AGGREGATE(15,3,(TableDiv[[Agency]:[Agency]]=$E105)/(TableDiv[[Agency]:[Agency]]=$E105)*(ROW(TableDiv[Agency])-ROW(TableDiv[[#Headers],[Agency]])),COLUMNS($F$7:T$7))))</f>
        <v/>
      </c>
      <c r="U105" s="2223" t="str" cm="1">
        <f t="array" ref="U105">IF($D105&lt;COLUMNS($F$7:U$7),"",INDEX(TableDiv[[GASB]:[GASB]],_xlfn.AGGREGATE(15,3,(TableDiv[[Agency]:[Agency]]=$E105)/(TableDiv[[Agency]:[Agency]]=$E105)*(ROW(TableDiv[Agency])-ROW(TableDiv[[#Headers],[Agency]])),COLUMNS($F$7:U$7))))</f>
        <v/>
      </c>
      <c r="V105" s="2223" t="str" cm="1">
        <f t="array" ref="V105">IF($D105&lt;COLUMNS($F$7:V$7),"",INDEX(TableDiv[[GASB]:[GASB]],_xlfn.AGGREGATE(15,3,(TableDiv[[Agency]:[Agency]]=$E105)/(TableDiv[[Agency]:[Agency]]=$E105)*(ROW(TableDiv[Agency])-ROW(TableDiv[[#Headers],[Agency]])),COLUMNS($F$7:V$7))))</f>
        <v/>
      </c>
      <c r="W105" s="2223" t="str" cm="1">
        <f t="array" ref="W105">IF($D105&lt;COLUMNS($F$7:W$7),"",INDEX(TableDiv[[GASB]:[GASB]],_xlfn.AGGREGATE(15,3,(TableDiv[[Agency]:[Agency]]=$E105)/(TableDiv[[Agency]:[Agency]]=$E105)*(ROW(TableDiv[Agency])-ROW(TableDiv[[#Headers],[Agency]])),COLUMNS($F$7:W$7))))</f>
        <v/>
      </c>
      <c r="X105" s="2223" t="str" cm="1">
        <f t="array" ref="X105">IF($D105&lt;COLUMNS($F$7:X$7),"",INDEX(TableDiv[[GASB]:[GASB]],_xlfn.AGGREGATE(15,3,(TableDiv[[Agency]:[Agency]]=$E105)/(TableDiv[[Agency]:[Agency]]=$E105)*(ROW(TableDiv[Agency])-ROW(TableDiv[[#Headers],[Agency]])),COLUMNS($F$7:X$7))))</f>
        <v/>
      </c>
      <c r="Y105" s="2223" t="str" cm="1">
        <f t="array" ref="Y105">IF($D105&lt;COLUMNS($F$7:Y$7),"",INDEX(TableDiv[[GASB]:[GASB]],_xlfn.AGGREGATE(15,3,(TableDiv[[Agency]:[Agency]]=$E105)/(TableDiv[[Agency]:[Agency]]=$E105)*(ROW(TableDiv[Agency])-ROW(TableDiv[[#Headers],[Agency]])),COLUMNS($F$7:Y$7))))</f>
        <v/>
      </c>
      <c r="Z105" s="2223" t="str" cm="1">
        <f t="array" ref="Z105">IF($D105&lt;COLUMNS($F$7:Z$7),"",INDEX(TableDiv[[GASB]:[GASB]],_xlfn.AGGREGATE(15,3,(TableDiv[[Agency]:[Agency]]=$E105)/(TableDiv[[Agency]:[Agency]]=$E105)*(ROW(TableDiv[Agency])-ROW(TableDiv[[#Headers],[Agency]])),COLUMNS($F$7:Z$7))))</f>
        <v/>
      </c>
      <c r="AA105" s="2223" t="str" cm="1">
        <f t="array" ref="AA105">IF($D105&lt;COLUMNS($F$7:AA$7),"",INDEX(TableDiv[[GASB]:[GASB]],_xlfn.AGGREGATE(15,3,(TableDiv[[Agency]:[Agency]]=$E105)/(TableDiv[[Agency]:[Agency]]=$E105)*(ROW(TableDiv[Agency])-ROW(TableDiv[[#Headers],[Agency]])),COLUMNS($F$7:AA$7))))</f>
        <v/>
      </c>
      <c r="AB105" s="2223" t="str" cm="1">
        <f t="array" ref="AB105">IF($D105&lt;COLUMNS($F$7:AB$7),"",INDEX(TableDiv[[GASB]:[GASB]],_xlfn.AGGREGATE(15,3,(TableDiv[[Agency]:[Agency]]=$E105)/(TableDiv[[Agency]:[Agency]]=$E105)*(ROW(TableDiv[Agency])-ROW(TableDiv[[#Headers],[Agency]])),COLUMNS($F$7:AB$7))))</f>
        <v/>
      </c>
      <c r="AC105" s="2223" t="str" cm="1">
        <f t="array" ref="AC105">IF($D105&lt;COLUMNS($F$7:AC$7),"",INDEX(TableDiv[[GASB]:[GASB]],_xlfn.AGGREGATE(15,3,(TableDiv[[Agency]:[Agency]]=$E105)/(TableDiv[[Agency]:[Agency]]=$E105)*(ROW(TableDiv[Agency])-ROW(TableDiv[[#Headers],[Agency]])),COLUMNS($F$7:AC$7))))</f>
        <v/>
      </c>
      <c r="AD105" s="2223" t="str" cm="1">
        <f t="array" ref="AD105">IF($D105&lt;COLUMNS($F$7:AD$7),"",INDEX(TableDiv[[GASB]:[GASB]],_xlfn.AGGREGATE(15,3,(TableDiv[[Agency]:[Agency]]=$E105)/(TableDiv[[Agency]:[Agency]]=$E105)*(ROW(TableDiv[Agency])-ROW(TableDiv[[#Headers],[Agency]])),COLUMNS($F$7:AD$7))))</f>
        <v/>
      </c>
      <c r="AE105" s="2223" t="str" cm="1">
        <f t="array" ref="AE105">IF($D105&lt;COLUMNS($F$7:AE$7),"",INDEX(TableDiv[[GASB]:[GASB]],_xlfn.AGGREGATE(15,3,(TableDiv[[Agency]:[Agency]]=$E105)/(TableDiv[[Agency]:[Agency]]=$E105)*(ROW(TableDiv[Agency])-ROW(TableDiv[[#Headers],[Agency]])),COLUMNS($F$7:AE$7))))</f>
        <v/>
      </c>
      <c r="AF105" s="2223" t="str" cm="1">
        <f t="array" ref="AF105">IF($D105&lt;COLUMNS($F$7:AF$7),"",INDEX(TableDiv[[GASB]:[GASB]],_xlfn.AGGREGATE(15,3,(TableDiv[[Agency]:[Agency]]=$E105)/(TableDiv[[Agency]:[Agency]]=$E105)*(ROW(TableDiv[Agency])-ROW(TableDiv[[#Headers],[Agency]])),COLUMNS($F$7:AF$7))))</f>
        <v/>
      </c>
      <c r="AG105" s="2223" t="str" cm="1">
        <f t="array" ref="AG105">IF($D105&lt;COLUMNS($F$7:AG$7),"",INDEX(TableDiv[[GASB]:[GASB]],_xlfn.AGGREGATE(15,3,(TableDiv[[Agency]:[Agency]]=$E105)/(TableDiv[[Agency]:[Agency]]=$E105)*(ROW(TableDiv[Agency])-ROW(TableDiv[[#Headers],[Agency]])),COLUMNS($F$7:AG$7))))</f>
        <v/>
      </c>
      <c r="AH105" s="2223" t="str" cm="1">
        <f t="array" ref="AH105">IF($D105&lt;COLUMNS($F$7:AH$7),"",INDEX(TableDiv[[GASB]:[GASB]],_xlfn.AGGREGATE(15,3,(TableDiv[[Agency]:[Agency]]=$E105)/(TableDiv[[Agency]:[Agency]]=$E105)*(ROW(TableDiv[Agency])-ROW(TableDiv[[#Headers],[Agency]])),COLUMNS($F$7:AH$7))))</f>
        <v/>
      </c>
      <c r="AI105" s="2223" t="str" cm="1">
        <f t="array" ref="AI105">IF($D105&lt;COLUMNS($F$7:AI$7),"",INDEX(TableDiv[[GASB]:[GASB]],_xlfn.AGGREGATE(15,3,(TableDiv[[Agency]:[Agency]]=$E105)/(TableDiv[[Agency]:[Agency]]=$E105)*(ROW(TableDiv[Agency])-ROW(TableDiv[[#Headers],[Agency]])),COLUMNS($F$7:AI$7))))</f>
        <v/>
      </c>
      <c r="AJ105" s="2223" t="str" cm="1">
        <f t="array" ref="AJ105">IF($D105&lt;COLUMNS($F$7:AJ$7),"",INDEX(TableDiv[[GASB]:[GASB]],_xlfn.AGGREGATE(15,3,(TableDiv[[Agency]:[Agency]]=$E105)/(TableDiv[[Agency]:[Agency]]=$E105)*(ROW(TableDiv[Agency])-ROW(TableDiv[[#Headers],[Agency]])),COLUMNS($F$7:AJ$7))))</f>
        <v/>
      </c>
      <c r="AK105" s="2223" t="str" cm="1">
        <f t="array" ref="AK105">IF($D105&lt;COLUMNS($F$7:AK$7),"",INDEX(TableDiv[[GASB]:[GASB]],_xlfn.AGGREGATE(15,3,(TableDiv[[Agency]:[Agency]]=$E105)/(TableDiv[[Agency]:[Agency]]=$E105)*(ROW(TableDiv[Agency])-ROW(TableDiv[[#Headers],[Agency]])),COLUMNS($F$7:AK$7))))</f>
        <v/>
      </c>
      <c r="AL105" s="2223" t="str" cm="1">
        <f t="array" ref="AL105">IF($D105&lt;COLUMNS($F$7:AL$7),"",INDEX(TableDiv[[GASB]:[GASB]],_xlfn.AGGREGATE(15,3,(TableDiv[[Agency]:[Agency]]=$E105)/(TableDiv[[Agency]:[Agency]]=$E105)*(ROW(TableDiv[Agency])-ROW(TableDiv[[#Headers],[Agency]])),COLUMNS($F$7:AL$7))))</f>
        <v/>
      </c>
      <c r="AM105" s="2223" t="str" cm="1">
        <f t="array" ref="AM105">IF($D105&lt;COLUMNS($F$7:AM$7),"",INDEX(TableDiv[[GASB]:[GASB]],_xlfn.AGGREGATE(15,3,(TableDiv[[Agency]:[Agency]]=$E105)/(TableDiv[[Agency]:[Agency]]=$E105)*(ROW(TableDiv[Agency])-ROW(TableDiv[[#Headers],[Agency]])),COLUMNS($F$7:AM$7))))</f>
        <v/>
      </c>
      <c r="AN105" s="2223"/>
      <c r="AO105" s="2223"/>
      <c r="AP105" s="2223"/>
      <c r="AQ105" s="2223"/>
      <c r="AR105" s="2223"/>
      <c r="AS105" s="2223"/>
    </row>
    <row r="106" spans="1:45" ht="15" x14ac:dyDescent="0.25">
      <c r="A106" s="2219" t="s">
        <v>5106</v>
      </c>
      <c r="B106" s="2219" t="s">
        <v>6413</v>
      </c>
      <c r="C106" s="2223"/>
      <c r="D106" s="2223">
        <f>COUNTIF(TableDiv[Agency],E106)</f>
        <v>1</v>
      </c>
      <c r="E106" s="2230" t="str" cm="1">
        <f t="array" ref="E106">IFERROR(INDEX(TableDiv[Agency],MATCH(0,INDEX(COUNTIF($E$7:E105,TableDiv[Agency]),),0)),"")</f>
        <v>D0F</v>
      </c>
      <c r="F106" s="2223" t="str" cm="1">
        <f t="array" ref="F106">IF($D106&lt;COLUMNS($F$7:F$7),"",INDEX(TableDiv[[GASB]:[GASB]],_xlfn.AGGREGATE(15,3,(TableDiv[[Agency]:[Agency]]=$E106)/(TableDiv[[Agency]:[Agency]]=$E106)*(ROW(TableDiv[Agency])-ROW(TableDiv[[#Headers],[Agency]])),COLUMNS($F$7:F$7))))</f>
        <v>48200G</v>
      </c>
      <c r="G106" s="2223" t="str" cm="1">
        <f t="array" ref="G106">IF($D106&lt;COLUMNS($F$7:G$7),"",INDEX(TableDiv[[GASB]:[GASB]],_xlfn.AGGREGATE(15,3,(TableDiv[[Agency]:[Agency]]=$E106)/(TableDiv[[Agency]:[Agency]]=$E106)*(ROW(TableDiv[Agency])-ROW(TableDiv[[#Headers],[Agency]])),COLUMNS($F$7:G$7))))</f>
        <v/>
      </c>
      <c r="H106" s="2223" t="str" cm="1">
        <f t="array" ref="H106">IF($D106&lt;COLUMNS($F$7:H$7),"",INDEX(TableDiv[[GASB]:[GASB]],_xlfn.AGGREGATE(15,3,(TableDiv[[Agency]:[Agency]]=$E106)/(TableDiv[[Agency]:[Agency]]=$E106)*(ROW(TableDiv[Agency])-ROW(TableDiv[[#Headers],[Agency]])),COLUMNS($F$7:H$7))))</f>
        <v/>
      </c>
      <c r="I106" s="2223" t="str" cm="1">
        <f t="array" ref="I106">IF($D106&lt;COLUMNS($F$7:I$7),"",INDEX(TableDiv[[GASB]:[GASB]],_xlfn.AGGREGATE(15,3,(TableDiv[[Agency]:[Agency]]=$E106)/(TableDiv[[Agency]:[Agency]]=$E106)*(ROW(TableDiv[Agency])-ROW(TableDiv[[#Headers],[Agency]])),COLUMNS($F$7:I$7))))</f>
        <v/>
      </c>
      <c r="J106" s="2223" t="str" cm="1">
        <f t="array" ref="J106">IF($D106&lt;COLUMNS($F$7:J$7),"",INDEX(TableDiv[[GASB]:[GASB]],_xlfn.AGGREGATE(15,3,(TableDiv[[Agency]:[Agency]]=$E106)/(TableDiv[[Agency]:[Agency]]=$E106)*(ROW(TableDiv[Agency])-ROW(TableDiv[[#Headers],[Agency]])),COLUMNS($F$7:J$7))))</f>
        <v/>
      </c>
      <c r="K106" s="2223" t="str" cm="1">
        <f t="array" ref="K106">IF($D106&lt;COLUMNS($F$7:K$7),"",INDEX(TableDiv[[GASB]:[GASB]],_xlfn.AGGREGATE(15,3,(TableDiv[[Agency]:[Agency]]=$E106)/(TableDiv[[Agency]:[Agency]]=$E106)*(ROW(TableDiv[Agency])-ROW(TableDiv[[#Headers],[Agency]])),COLUMNS($F$7:K$7))))</f>
        <v/>
      </c>
      <c r="L106" s="2223" t="str" cm="1">
        <f t="array" ref="L106">IF($D106&lt;COLUMNS($F$7:L$7),"",INDEX(TableDiv[[GASB]:[GASB]],_xlfn.AGGREGATE(15,3,(TableDiv[[Agency]:[Agency]]=$E106)/(TableDiv[[Agency]:[Agency]]=$E106)*(ROW(TableDiv[Agency])-ROW(TableDiv[[#Headers],[Agency]])),COLUMNS($F$7:L$7))))</f>
        <v/>
      </c>
      <c r="M106" s="2223" t="str" cm="1">
        <f t="array" ref="M106">IF($D106&lt;COLUMNS($F$7:M$7),"",INDEX(TableDiv[[GASB]:[GASB]],_xlfn.AGGREGATE(15,3,(TableDiv[[Agency]:[Agency]]=$E106)/(TableDiv[[Agency]:[Agency]]=$E106)*(ROW(TableDiv[Agency])-ROW(TableDiv[[#Headers],[Agency]])),COLUMNS($F$7:M$7))))</f>
        <v/>
      </c>
      <c r="N106" s="2223" t="str" cm="1">
        <f t="array" ref="N106">IF($D106&lt;COLUMNS($F$7:N$7),"",INDEX(TableDiv[[GASB]:[GASB]],_xlfn.AGGREGATE(15,3,(TableDiv[[Agency]:[Agency]]=$E106)/(TableDiv[[Agency]:[Agency]]=$E106)*(ROW(TableDiv[Agency])-ROW(TableDiv[[#Headers],[Agency]])),COLUMNS($F$7:N$7))))</f>
        <v/>
      </c>
      <c r="O106" s="2223" t="str" cm="1">
        <f t="array" ref="O106">IF($D106&lt;COLUMNS($F$7:O$7),"",INDEX(TableDiv[[GASB]:[GASB]],_xlfn.AGGREGATE(15,3,(TableDiv[[Agency]:[Agency]]=$E106)/(TableDiv[[Agency]:[Agency]]=$E106)*(ROW(TableDiv[Agency])-ROW(TableDiv[[#Headers],[Agency]])),COLUMNS($F$7:O$7))))</f>
        <v/>
      </c>
      <c r="P106" s="2223" t="str" cm="1">
        <f t="array" ref="P106">IF($D106&lt;COLUMNS($F$7:P$7),"",INDEX(TableDiv[[GASB]:[GASB]],_xlfn.AGGREGATE(15,3,(TableDiv[[Agency]:[Agency]]=$E106)/(TableDiv[[Agency]:[Agency]]=$E106)*(ROW(TableDiv[Agency])-ROW(TableDiv[[#Headers],[Agency]])),COLUMNS($F$7:P$7))))</f>
        <v/>
      </c>
      <c r="Q106" s="2223" t="str" cm="1">
        <f t="array" ref="Q106">IF($D106&lt;COLUMNS($F$7:Q$7),"",INDEX(TableDiv[[GASB]:[GASB]],_xlfn.AGGREGATE(15,3,(TableDiv[[Agency]:[Agency]]=$E106)/(TableDiv[[Agency]:[Agency]]=$E106)*(ROW(TableDiv[Agency])-ROW(TableDiv[[#Headers],[Agency]])),COLUMNS($F$7:Q$7))))</f>
        <v/>
      </c>
      <c r="R106" s="2223" t="str" cm="1">
        <f t="array" ref="R106">IF($D106&lt;COLUMNS($F$7:R$7),"",INDEX(TableDiv[[GASB]:[GASB]],_xlfn.AGGREGATE(15,3,(TableDiv[[Agency]:[Agency]]=$E106)/(TableDiv[[Agency]:[Agency]]=$E106)*(ROW(TableDiv[Agency])-ROW(TableDiv[[#Headers],[Agency]])),COLUMNS($F$7:R$7))))</f>
        <v/>
      </c>
      <c r="S106" s="2223" t="str" cm="1">
        <f t="array" ref="S106">IF($D106&lt;COLUMNS($F$7:S$7),"",INDEX(TableDiv[[GASB]:[GASB]],_xlfn.AGGREGATE(15,3,(TableDiv[[Agency]:[Agency]]=$E106)/(TableDiv[[Agency]:[Agency]]=$E106)*(ROW(TableDiv[Agency])-ROW(TableDiv[[#Headers],[Agency]])),COLUMNS($F$7:S$7))))</f>
        <v/>
      </c>
      <c r="T106" s="2223" t="str" cm="1">
        <f t="array" ref="T106">IF($D106&lt;COLUMNS($F$7:T$7),"",INDEX(TableDiv[[GASB]:[GASB]],_xlfn.AGGREGATE(15,3,(TableDiv[[Agency]:[Agency]]=$E106)/(TableDiv[[Agency]:[Agency]]=$E106)*(ROW(TableDiv[Agency])-ROW(TableDiv[[#Headers],[Agency]])),COLUMNS($F$7:T$7))))</f>
        <v/>
      </c>
      <c r="U106" s="2223" t="str" cm="1">
        <f t="array" ref="U106">IF($D106&lt;COLUMNS($F$7:U$7),"",INDEX(TableDiv[[GASB]:[GASB]],_xlfn.AGGREGATE(15,3,(TableDiv[[Agency]:[Agency]]=$E106)/(TableDiv[[Agency]:[Agency]]=$E106)*(ROW(TableDiv[Agency])-ROW(TableDiv[[#Headers],[Agency]])),COLUMNS($F$7:U$7))))</f>
        <v/>
      </c>
      <c r="V106" s="2223" t="str" cm="1">
        <f t="array" ref="V106">IF($D106&lt;COLUMNS($F$7:V$7),"",INDEX(TableDiv[[GASB]:[GASB]],_xlfn.AGGREGATE(15,3,(TableDiv[[Agency]:[Agency]]=$E106)/(TableDiv[[Agency]:[Agency]]=$E106)*(ROW(TableDiv[Agency])-ROW(TableDiv[[#Headers],[Agency]])),COLUMNS($F$7:V$7))))</f>
        <v/>
      </c>
      <c r="W106" s="2223" t="str" cm="1">
        <f t="array" ref="W106">IF($D106&lt;COLUMNS($F$7:W$7),"",INDEX(TableDiv[[GASB]:[GASB]],_xlfn.AGGREGATE(15,3,(TableDiv[[Agency]:[Agency]]=$E106)/(TableDiv[[Agency]:[Agency]]=$E106)*(ROW(TableDiv[Agency])-ROW(TableDiv[[#Headers],[Agency]])),COLUMNS($F$7:W$7))))</f>
        <v/>
      </c>
      <c r="X106" s="2223" t="str" cm="1">
        <f t="array" ref="X106">IF($D106&lt;COLUMNS($F$7:X$7),"",INDEX(TableDiv[[GASB]:[GASB]],_xlfn.AGGREGATE(15,3,(TableDiv[[Agency]:[Agency]]=$E106)/(TableDiv[[Agency]:[Agency]]=$E106)*(ROW(TableDiv[Agency])-ROW(TableDiv[[#Headers],[Agency]])),COLUMNS($F$7:X$7))))</f>
        <v/>
      </c>
      <c r="Y106" s="2223" t="str" cm="1">
        <f t="array" ref="Y106">IF($D106&lt;COLUMNS($F$7:Y$7),"",INDEX(TableDiv[[GASB]:[GASB]],_xlfn.AGGREGATE(15,3,(TableDiv[[Agency]:[Agency]]=$E106)/(TableDiv[[Agency]:[Agency]]=$E106)*(ROW(TableDiv[Agency])-ROW(TableDiv[[#Headers],[Agency]])),COLUMNS($F$7:Y$7))))</f>
        <v/>
      </c>
      <c r="Z106" s="2223" t="str" cm="1">
        <f t="array" ref="Z106">IF($D106&lt;COLUMNS($F$7:Z$7),"",INDEX(TableDiv[[GASB]:[GASB]],_xlfn.AGGREGATE(15,3,(TableDiv[[Agency]:[Agency]]=$E106)/(TableDiv[[Agency]:[Agency]]=$E106)*(ROW(TableDiv[Agency])-ROW(TableDiv[[#Headers],[Agency]])),COLUMNS($F$7:Z$7))))</f>
        <v/>
      </c>
      <c r="AA106" s="2223" t="str" cm="1">
        <f t="array" ref="AA106">IF($D106&lt;COLUMNS($F$7:AA$7),"",INDEX(TableDiv[[GASB]:[GASB]],_xlfn.AGGREGATE(15,3,(TableDiv[[Agency]:[Agency]]=$E106)/(TableDiv[[Agency]:[Agency]]=$E106)*(ROW(TableDiv[Agency])-ROW(TableDiv[[#Headers],[Agency]])),COLUMNS($F$7:AA$7))))</f>
        <v/>
      </c>
      <c r="AB106" s="2223" t="str" cm="1">
        <f t="array" ref="AB106">IF($D106&lt;COLUMNS($F$7:AB$7),"",INDEX(TableDiv[[GASB]:[GASB]],_xlfn.AGGREGATE(15,3,(TableDiv[[Agency]:[Agency]]=$E106)/(TableDiv[[Agency]:[Agency]]=$E106)*(ROW(TableDiv[Agency])-ROW(TableDiv[[#Headers],[Agency]])),COLUMNS($F$7:AB$7))))</f>
        <v/>
      </c>
      <c r="AC106" s="2223" t="str" cm="1">
        <f t="array" ref="AC106">IF($D106&lt;COLUMNS($F$7:AC$7),"",INDEX(TableDiv[[GASB]:[GASB]],_xlfn.AGGREGATE(15,3,(TableDiv[[Agency]:[Agency]]=$E106)/(TableDiv[[Agency]:[Agency]]=$E106)*(ROW(TableDiv[Agency])-ROW(TableDiv[[#Headers],[Agency]])),COLUMNS($F$7:AC$7))))</f>
        <v/>
      </c>
      <c r="AD106" s="2223" t="str" cm="1">
        <f t="array" ref="AD106">IF($D106&lt;COLUMNS($F$7:AD$7),"",INDEX(TableDiv[[GASB]:[GASB]],_xlfn.AGGREGATE(15,3,(TableDiv[[Agency]:[Agency]]=$E106)/(TableDiv[[Agency]:[Agency]]=$E106)*(ROW(TableDiv[Agency])-ROW(TableDiv[[#Headers],[Agency]])),COLUMNS($F$7:AD$7))))</f>
        <v/>
      </c>
      <c r="AE106" s="2223" t="str" cm="1">
        <f t="array" ref="AE106">IF($D106&lt;COLUMNS($F$7:AE$7),"",INDEX(TableDiv[[GASB]:[GASB]],_xlfn.AGGREGATE(15,3,(TableDiv[[Agency]:[Agency]]=$E106)/(TableDiv[[Agency]:[Agency]]=$E106)*(ROW(TableDiv[Agency])-ROW(TableDiv[[#Headers],[Agency]])),COLUMNS($F$7:AE$7))))</f>
        <v/>
      </c>
      <c r="AF106" s="2223" t="str" cm="1">
        <f t="array" ref="AF106">IF($D106&lt;COLUMNS($F$7:AF$7),"",INDEX(TableDiv[[GASB]:[GASB]],_xlfn.AGGREGATE(15,3,(TableDiv[[Agency]:[Agency]]=$E106)/(TableDiv[[Agency]:[Agency]]=$E106)*(ROW(TableDiv[Agency])-ROW(TableDiv[[#Headers],[Agency]])),COLUMNS($F$7:AF$7))))</f>
        <v/>
      </c>
      <c r="AG106" s="2223" t="str" cm="1">
        <f t="array" ref="AG106">IF($D106&lt;COLUMNS($F$7:AG$7),"",INDEX(TableDiv[[GASB]:[GASB]],_xlfn.AGGREGATE(15,3,(TableDiv[[Agency]:[Agency]]=$E106)/(TableDiv[[Agency]:[Agency]]=$E106)*(ROW(TableDiv[Agency])-ROW(TableDiv[[#Headers],[Agency]])),COLUMNS($F$7:AG$7))))</f>
        <v/>
      </c>
      <c r="AH106" s="2223" t="str" cm="1">
        <f t="array" ref="AH106">IF($D106&lt;COLUMNS($F$7:AH$7),"",INDEX(TableDiv[[GASB]:[GASB]],_xlfn.AGGREGATE(15,3,(TableDiv[[Agency]:[Agency]]=$E106)/(TableDiv[[Agency]:[Agency]]=$E106)*(ROW(TableDiv[Agency])-ROW(TableDiv[[#Headers],[Agency]])),COLUMNS($F$7:AH$7))))</f>
        <v/>
      </c>
      <c r="AI106" s="2223" t="str" cm="1">
        <f t="array" ref="AI106">IF($D106&lt;COLUMNS($F$7:AI$7),"",INDEX(TableDiv[[GASB]:[GASB]],_xlfn.AGGREGATE(15,3,(TableDiv[[Agency]:[Agency]]=$E106)/(TableDiv[[Agency]:[Agency]]=$E106)*(ROW(TableDiv[Agency])-ROW(TableDiv[[#Headers],[Agency]])),COLUMNS($F$7:AI$7))))</f>
        <v/>
      </c>
      <c r="AJ106" s="2223" t="str" cm="1">
        <f t="array" ref="AJ106">IF($D106&lt;COLUMNS($F$7:AJ$7),"",INDEX(TableDiv[[GASB]:[GASB]],_xlfn.AGGREGATE(15,3,(TableDiv[[Agency]:[Agency]]=$E106)/(TableDiv[[Agency]:[Agency]]=$E106)*(ROW(TableDiv[Agency])-ROW(TableDiv[[#Headers],[Agency]])),COLUMNS($F$7:AJ$7))))</f>
        <v/>
      </c>
      <c r="AK106" s="2223" t="str" cm="1">
        <f t="array" ref="AK106">IF($D106&lt;COLUMNS($F$7:AK$7),"",INDEX(TableDiv[[GASB]:[GASB]],_xlfn.AGGREGATE(15,3,(TableDiv[[Agency]:[Agency]]=$E106)/(TableDiv[[Agency]:[Agency]]=$E106)*(ROW(TableDiv[Agency])-ROW(TableDiv[[#Headers],[Agency]])),COLUMNS($F$7:AK$7))))</f>
        <v/>
      </c>
      <c r="AL106" s="2223" t="str" cm="1">
        <f t="array" ref="AL106">IF($D106&lt;COLUMNS($F$7:AL$7),"",INDEX(TableDiv[[GASB]:[GASB]],_xlfn.AGGREGATE(15,3,(TableDiv[[Agency]:[Agency]]=$E106)/(TableDiv[[Agency]:[Agency]]=$E106)*(ROW(TableDiv[Agency])-ROW(TableDiv[[#Headers],[Agency]])),COLUMNS($F$7:AL$7))))</f>
        <v/>
      </c>
      <c r="AM106" s="2223" t="str" cm="1">
        <f t="array" ref="AM106">IF($D106&lt;COLUMNS($F$7:AM$7),"",INDEX(TableDiv[[GASB]:[GASB]],_xlfn.AGGREGATE(15,3,(TableDiv[[Agency]:[Agency]]=$E106)/(TableDiv[[Agency]:[Agency]]=$E106)*(ROW(TableDiv[Agency])-ROW(TableDiv[[#Headers],[Agency]])),COLUMNS($F$7:AM$7))))</f>
        <v/>
      </c>
      <c r="AN106" s="2223"/>
      <c r="AO106" s="2223"/>
      <c r="AP106" s="2223"/>
      <c r="AQ106" s="2223"/>
      <c r="AR106" s="2223"/>
      <c r="AS106" s="2223"/>
    </row>
    <row r="107" spans="1:45" ht="15" x14ac:dyDescent="0.25">
      <c r="A107" s="2219" t="s">
        <v>5106</v>
      </c>
      <c r="B107" s="2219" t="s">
        <v>6403</v>
      </c>
      <c r="C107" s="2223"/>
      <c r="D107" s="2223">
        <f>COUNTIF(TableDiv[Agency],E107)</f>
        <v>1</v>
      </c>
      <c r="E107" s="2230" t="str" cm="1">
        <f t="array" ref="E107">IFERROR(INDEX(TableDiv[Agency],MATCH(0,INDEX(COUNTIF($E$7:E106,TableDiv[Agency]),),0)),"")</f>
        <v>D1F</v>
      </c>
      <c r="F107" s="2223" t="str" cm="1">
        <f t="array" ref="F107">IF($D107&lt;COLUMNS($F$7:F$7),"",INDEX(TableDiv[[GASB]:[GASB]],_xlfn.AGGREGATE(15,3,(TableDiv[[Agency]:[Agency]]=$E107)/(TableDiv[[Agency]:[Agency]]=$E107)*(ROW(TableDiv[Agency])-ROW(TableDiv[[#Headers],[Agency]])),COLUMNS($F$7:F$7))))</f>
        <v>48200G</v>
      </c>
      <c r="G107" s="2223" t="str" cm="1">
        <f t="array" ref="G107">IF($D107&lt;COLUMNS($F$7:G$7),"",INDEX(TableDiv[[GASB]:[GASB]],_xlfn.AGGREGATE(15,3,(TableDiv[[Agency]:[Agency]]=$E107)/(TableDiv[[Agency]:[Agency]]=$E107)*(ROW(TableDiv[Agency])-ROW(TableDiv[[#Headers],[Agency]])),COLUMNS($F$7:G$7))))</f>
        <v/>
      </c>
      <c r="H107" s="2223" t="str" cm="1">
        <f t="array" ref="H107">IF($D107&lt;COLUMNS($F$7:H$7),"",INDEX(TableDiv[[GASB]:[GASB]],_xlfn.AGGREGATE(15,3,(TableDiv[[Agency]:[Agency]]=$E107)/(TableDiv[[Agency]:[Agency]]=$E107)*(ROW(TableDiv[Agency])-ROW(TableDiv[[#Headers],[Agency]])),COLUMNS($F$7:H$7))))</f>
        <v/>
      </c>
      <c r="I107" s="2223" t="str" cm="1">
        <f t="array" ref="I107">IF($D107&lt;COLUMNS($F$7:I$7),"",INDEX(TableDiv[[GASB]:[GASB]],_xlfn.AGGREGATE(15,3,(TableDiv[[Agency]:[Agency]]=$E107)/(TableDiv[[Agency]:[Agency]]=$E107)*(ROW(TableDiv[Agency])-ROW(TableDiv[[#Headers],[Agency]])),COLUMNS($F$7:I$7))))</f>
        <v/>
      </c>
      <c r="J107" s="2223" t="str" cm="1">
        <f t="array" ref="J107">IF($D107&lt;COLUMNS($F$7:J$7),"",INDEX(TableDiv[[GASB]:[GASB]],_xlfn.AGGREGATE(15,3,(TableDiv[[Agency]:[Agency]]=$E107)/(TableDiv[[Agency]:[Agency]]=$E107)*(ROW(TableDiv[Agency])-ROW(TableDiv[[#Headers],[Agency]])),COLUMNS($F$7:J$7))))</f>
        <v/>
      </c>
      <c r="K107" s="2223" t="str" cm="1">
        <f t="array" ref="K107">IF($D107&lt;COLUMNS($F$7:K$7),"",INDEX(TableDiv[[GASB]:[GASB]],_xlfn.AGGREGATE(15,3,(TableDiv[[Agency]:[Agency]]=$E107)/(TableDiv[[Agency]:[Agency]]=$E107)*(ROW(TableDiv[Agency])-ROW(TableDiv[[#Headers],[Agency]])),COLUMNS($F$7:K$7))))</f>
        <v/>
      </c>
      <c r="L107" s="2223" t="str" cm="1">
        <f t="array" ref="L107">IF($D107&lt;COLUMNS($F$7:L$7),"",INDEX(TableDiv[[GASB]:[GASB]],_xlfn.AGGREGATE(15,3,(TableDiv[[Agency]:[Agency]]=$E107)/(TableDiv[[Agency]:[Agency]]=$E107)*(ROW(TableDiv[Agency])-ROW(TableDiv[[#Headers],[Agency]])),COLUMNS($F$7:L$7))))</f>
        <v/>
      </c>
      <c r="M107" s="2223" t="str" cm="1">
        <f t="array" ref="M107">IF($D107&lt;COLUMNS($F$7:M$7),"",INDEX(TableDiv[[GASB]:[GASB]],_xlfn.AGGREGATE(15,3,(TableDiv[[Agency]:[Agency]]=$E107)/(TableDiv[[Agency]:[Agency]]=$E107)*(ROW(TableDiv[Agency])-ROW(TableDiv[[#Headers],[Agency]])),COLUMNS($F$7:M$7))))</f>
        <v/>
      </c>
      <c r="N107" s="2223" t="str" cm="1">
        <f t="array" ref="N107">IF($D107&lt;COLUMNS($F$7:N$7),"",INDEX(TableDiv[[GASB]:[GASB]],_xlfn.AGGREGATE(15,3,(TableDiv[[Agency]:[Agency]]=$E107)/(TableDiv[[Agency]:[Agency]]=$E107)*(ROW(TableDiv[Agency])-ROW(TableDiv[[#Headers],[Agency]])),COLUMNS($F$7:N$7))))</f>
        <v/>
      </c>
      <c r="O107" s="2223" t="str" cm="1">
        <f t="array" ref="O107">IF($D107&lt;COLUMNS($F$7:O$7),"",INDEX(TableDiv[[GASB]:[GASB]],_xlfn.AGGREGATE(15,3,(TableDiv[[Agency]:[Agency]]=$E107)/(TableDiv[[Agency]:[Agency]]=$E107)*(ROW(TableDiv[Agency])-ROW(TableDiv[[#Headers],[Agency]])),COLUMNS($F$7:O$7))))</f>
        <v/>
      </c>
      <c r="P107" s="2223" t="str" cm="1">
        <f t="array" ref="P107">IF($D107&lt;COLUMNS($F$7:P$7),"",INDEX(TableDiv[[GASB]:[GASB]],_xlfn.AGGREGATE(15,3,(TableDiv[[Agency]:[Agency]]=$E107)/(TableDiv[[Agency]:[Agency]]=$E107)*(ROW(TableDiv[Agency])-ROW(TableDiv[[#Headers],[Agency]])),COLUMNS($F$7:P$7))))</f>
        <v/>
      </c>
      <c r="Q107" s="2223" t="str" cm="1">
        <f t="array" ref="Q107">IF($D107&lt;COLUMNS($F$7:Q$7),"",INDEX(TableDiv[[GASB]:[GASB]],_xlfn.AGGREGATE(15,3,(TableDiv[[Agency]:[Agency]]=$E107)/(TableDiv[[Agency]:[Agency]]=$E107)*(ROW(TableDiv[Agency])-ROW(TableDiv[[#Headers],[Agency]])),COLUMNS($F$7:Q$7))))</f>
        <v/>
      </c>
      <c r="R107" s="2223" t="str" cm="1">
        <f t="array" ref="R107">IF($D107&lt;COLUMNS($F$7:R$7),"",INDEX(TableDiv[[GASB]:[GASB]],_xlfn.AGGREGATE(15,3,(TableDiv[[Agency]:[Agency]]=$E107)/(TableDiv[[Agency]:[Agency]]=$E107)*(ROW(TableDiv[Agency])-ROW(TableDiv[[#Headers],[Agency]])),COLUMNS($F$7:R$7))))</f>
        <v/>
      </c>
      <c r="S107" s="2223" t="str" cm="1">
        <f t="array" ref="S107">IF($D107&lt;COLUMNS($F$7:S$7),"",INDEX(TableDiv[[GASB]:[GASB]],_xlfn.AGGREGATE(15,3,(TableDiv[[Agency]:[Agency]]=$E107)/(TableDiv[[Agency]:[Agency]]=$E107)*(ROW(TableDiv[Agency])-ROW(TableDiv[[#Headers],[Agency]])),COLUMNS($F$7:S$7))))</f>
        <v/>
      </c>
      <c r="T107" s="2223" t="str" cm="1">
        <f t="array" ref="T107">IF($D107&lt;COLUMNS($F$7:T$7),"",INDEX(TableDiv[[GASB]:[GASB]],_xlfn.AGGREGATE(15,3,(TableDiv[[Agency]:[Agency]]=$E107)/(TableDiv[[Agency]:[Agency]]=$E107)*(ROW(TableDiv[Agency])-ROW(TableDiv[[#Headers],[Agency]])),COLUMNS($F$7:T$7))))</f>
        <v/>
      </c>
      <c r="U107" s="2223" t="str" cm="1">
        <f t="array" ref="U107">IF($D107&lt;COLUMNS($F$7:U$7),"",INDEX(TableDiv[[GASB]:[GASB]],_xlfn.AGGREGATE(15,3,(TableDiv[[Agency]:[Agency]]=$E107)/(TableDiv[[Agency]:[Agency]]=$E107)*(ROW(TableDiv[Agency])-ROW(TableDiv[[#Headers],[Agency]])),COLUMNS($F$7:U$7))))</f>
        <v/>
      </c>
      <c r="V107" s="2223" t="str" cm="1">
        <f t="array" ref="V107">IF($D107&lt;COLUMNS($F$7:V$7),"",INDEX(TableDiv[[GASB]:[GASB]],_xlfn.AGGREGATE(15,3,(TableDiv[[Agency]:[Agency]]=$E107)/(TableDiv[[Agency]:[Agency]]=$E107)*(ROW(TableDiv[Agency])-ROW(TableDiv[[#Headers],[Agency]])),COLUMNS($F$7:V$7))))</f>
        <v/>
      </c>
      <c r="W107" s="2223" t="str" cm="1">
        <f t="array" ref="W107">IF($D107&lt;COLUMNS($F$7:W$7),"",INDEX(TableDiv[[GASB]:[GASB]],_xlfn.AGGREGATE(15,3,(TableDiv[[Agency]:[Agency]]=$E107)/(TableDiv[[Agency]:[Agency]]=$E107)*(ROW(TableDiv[Agency])-ROW(TableDiv[[#Headers],[Agency]])),COLUMNS($F$7:W$7))))</f>
        <v/>
      </c>
      <c r="X107" s="2223" t="str" cm="1">
        <f t="array" ref="X107">IF($D107&lt;COLUMNS($F$7:X$7),"",INDEX(TableDiv[[GASB]:[GASB]],_xlfn.AGGREGATE(15,3,(TableDiv[[Agency]:[Agency]]=$E107)/(TableDiv[[Agency]:[Agency]]=$E107)*(ROW(TableDiv[Agency])-ROW(TableDiv[[#Headers],[Agency]])),COLUMNS($F$7:X$7))))</f>
        <v/>
      </c>
      <c r="Y107" s="2223" t="str" cm="1">
        <f t="array" ref="Y107">IF($D107&lt;COLUMNS($F$7:Y$7),"",INDEX(TableDiv[[GASB]:[GASB]],_xlfn.AGGREGATE(15,3,(TableDiv[[Agency]:[Agency]]=$E107)/(TableDiv[[Agency]:[Agency]]=$E107)*(ROW(TableDiv[Agency])-ROW(TableDiv[[#Headers],[Agency]])),COLUMNS($F$7:Y$7))))</f>
        <v/>
      </c>
      <c r="Z107" s="2223" t="str" cm="1">
        <f t="array" ref="Z107">IF($D107&lt;COLUMNS($F$7:Z$7),"",INDEX(TableDiv[[GASB]:[GASB]],_xlfn.AGGREGATE(15,3,(TableDiv[[Agency]:[Agency]]=$E107)/(TableDiv[[Agency]:[Agency]]=$E107)*(ROW(TableDiv[Agency])-ROW(TableDiv[[#Headers],[Agency]])),COLUMNS($F$7:Z$7))))</f>
        <v/>
      </c>
      <c r="AA107" s="2223" t="str" cm="1">
        <f t="array" ref="AA107">IF($D107&lt;COLUMNS($F$7:AA$7),"",INDEX(TableDiv[[GASB]:[GASB]],_xlfn.AGGREGATE(15,3,(TableDiv[[Agency]:[Agency]]=$E107)/(TableDiv[[Agency]:[Agency]]=$E107)*(ROW(TableDiv[Agency])-ROW(TableDiv[[#Headers],[Agency]])),COLUMNS($F$7:AA$7))))</f>
        <v/>
      </c>
      <c r="AB107" s="2223" t="str" cm="1">
        <f t="array" ref="AB107">IF($D107&lt;COLUMNS($F$7:AB$7),"",INDEX(TableDiv[[GASB]:[GASB]],_xlfn.AGGREGATE(15,3,(TableDiv[[Agency]:[Agency]]=$E107)/(TableDiv[[Agency]:[Agency]]=$E107)*(ROW(TableDiv[Agency])-ROW(TableDiv[[#Headers],[Agency]])),COLUMNS($F$7:AB$7))))</f>
        <v/>
      </c>
      <c r="AC107" s="2223" t="str" cm="1">
        <f t="array" ref="AC107">IF($D107&lt;COLUMNS($F$7:AC$7),"",INDEX(TableDiv[[GASB]:[GASB]],_xlfn.AGGREGATE(15,3,(TableDiv[[Agency]:[Agency]]=$E107)/(TableDiv[[Agency]:[Agency]]=$E107)*(ROW(TableDiv[Agency])-ROW(TableDiv[[#Headers],[Agency]])),COLUMNS($F$7:AC$7))))</f>
        <v/>
      </c>
      <c r="AD107" s="2223" t="str" cm="1">
        <f t="array" ref="AD107">IF($D107&lt;COLUMNS($F$7:AD$7),"",INDEX(TableDiv[[GASB]:[GASB]],_xlfn.AGGREGATE(15,3,(TableDiv[[Agency]:[Agency]]=$E107)/(TableDiv[[Agency]:[Agency]]=$E107)*(ROW(TableDiv[Agency])-ROW(TableDiv[[#Headers],[Agency]])),COLUMNS($F$7:AD$7))))</f>
        <v/>
      </c>
      <c r="AE107" s="2223" t="str" cm="1">
        <f t="array" ref="AE107">IF($D107&lt;COLUMNS($F$7:AE$7),"",INDEX(TableDiv[[GASB]:[GASB]],_xlfn.AGGREGATE(15,3,(TableDiv[[Agency]:[Agency]]=$E107)/(TableDiv[[Agency]:[Agency]]=$E107)*(ROW(TableDiv[Agency])-ROW(TableDiv[[#Headers],[Agency]])),COLUMNS($F$7:AE$7))))</f>
        <v/>
      </c>
      <c r="AF107" s="2223" t="str" cm="1">
        <f t="array" ref="AF107">IF($D107&lt;COLUMNS($F$7:AF$7),"",INDEX(TableDiv[[GASB]:[GASB]],_xlfn.AGGREGATE(15,3,(TableDiv[[Agency]:[Agency]]=$E107)/(TableDiv[[Agency]:[Agency]]=$E107)*(ROW(TableDiv[Agency])-ROW(TableDiv[[#Headers],[Agency]])),COLUMNS($F$7:AF$7))))</f>
        <v/>
      </c>
      <c r="AG107" s="2223" t="str" cm="1">
        <f t="array" ref="AG107">IF($D107&lt;COLUMNS($F$7:AG$7),"",INDEX(TableDiv[[GASB]:[GASB]],_xlfn.AGGREGATE(15,3,(TableDiv[[Agency]:[Agency]]=$E107)/(TableDiv[[Agency]:[Agency]]=$E107)*(ROW(TableDiv[Agency])-ROW(TableDiv[[#Headers],[Agency]])),COLUMNS($F$7:AG$7))))</f>
        <v/>
      </c>
      <c r="AH107" s="2223" t="str" cm="1">
        <f t="array" ref="AH107">IF($D107&lt;COLUMNS($F$7:AH$7),"",INDEX(TableDiv[[GASB]:[GASB]],_xlfn.AGGREGATE(15,3,(TableDiv[[Agency]:[Agency]]=$E107)/(TableDiv[[Agency]:[Agency]]=$E107)*(ROW(TableDiv[Agency])-ROW(TableDiv[[#Headers],[Agency]])),COLUMNS($F$7:AH$7))))</f>
        <v/>
      </c>
      <c r="AI107" s="2223" t="str" cm="1">
        <f t="array" ref="AI107">IF($D107&lt;COLUMNS($F$7:AI$7),"",INDEX(TableDiv[[GASB]:[GASB]],_xlfn.AGGREGATE(15,3,(TableDiv[[Agency]:[Agency]]=$E107)/(TableDiv[[Agency]:[Agency]]=$E107)*(ROW(TableDiv[Agency])-ROW(TableDiv[[#Headers],[Agency]])),COLUMNS($F$7:AI$7))))</f>
        <v/>
      </c>
      <c r="AJ107" s="2223" t="str" cm="1">
        <f t="array" ref="AJ107">IF($D107&lt;COLUMNS($F$7:AJ$7),"",INDEX(TableDiv[[GASB]:[GASB]],_xlfn.AGGREGATE(15,3,(TableDiv[[Agency]:[Agency]]=$E107)/(TableDiv[[Agency]:[Agency]]=$E107)*(ROW(TableDiv[Agency])-ROW(TableDiv[[#Headers],[Agency]])),COLUMNS($F$7:AJ$7))))</f>
        <v/>
      </c>
      <c r="AK107" s="2223" t="str" cm="1">
        <f t="array" ref="AK107">IF($D107&lt;COLUMNS($F$7:AK$7),"",INDEX(TableDiv[[GASB]:[GASB]],_xlfn.AGGREGATE(15,3,(TableDiv[[Agency]:[Agency]]=$E107)/(TableDiv[[Agency]:[Agency]]=$E107)*(ROW(TableDiv[Agency])-ROW(TableDiv[[#Headers],[Agency]])),COLUMNS($F$7:AK$7))))</f>
        <v/>
      </c>
      <c r="AL107" s="2223" t="str" cm="1">
        <f t="array" ref="AL107">IF($D107&lt;COLUMNS($F$7:AL$7),"",INDEX(TableDiv[[GASB]:[GASB]],_xlfn.AGGREGATE(15,3,(TableDiv[[Agency]:[Agency]]=$E107)/(TableDiv[[Agency]:[Agency]]=$E107)*(ROW(TableDiv[Agency])-ROW(TableDiv[[#Headers],[Agency]])),COLUMNS($F$7:AL$7))))</f>
        <v/>
      </c>
      <c r="AM107" s="2223" t="str" cm="1">
        <f t="array" ref="AM107">IF($D107&lt;COLUMNS($F$7:AM$7),"",INDEX(TableDiv[[GASB]:[GASB]],_xlfn.AGGREGATE(15,3,(TableDiv[[Agency]:[Agency]]=$E107)/(TableDiv[[Agency]:[Agency]]=$E107)*(ROW(TableDiv[Agency])-ROW(TableDiv[[#Headers],[Agency]])),COLUMNS($F$7:AM$7))))</f>
        <v/>
      </c>
      <c r="AN107" s="2223"/>
      <c r="AO107" s="2223"/>
      <c r="AP107" s="2223"/>
      <c r="AQ107" s="2223"/>
      <c r="AR107" s="2223"/>
      <c r="AS107" s="2223"/>
    </row>
    <row r="108" spans="1:45" ht="15" x14ac:dyDescent="0.25">
      <c r="A108" s="2219" t="s">
        <v>5106</v>
      </c>
      <c r="B108" s="2219" t="s">
        <v>6414</v>
      </c>
      <c r="C108" s="2223"/>
      <c r="D108" s="2223">
        <f>COUNTIF(TableDiv[Agency],E108)</f>
        <v>1</v>
      </c>
      <c r="E108" s="2230" t="str" cm="1">
        <f t="array" ref="E108">IFERROR(INDEX(TableDiv[Agency],MATCH(0,INDEX(COUNTIF($E$7:E107,TableDiv[Agency]),),0)),"")</f>
        <v>D3F</v>
      </c>
      <c r="F108" s="2223" t="str" cm="1">
        <f t="array" ref="F108">IF($D108&lt;COLUMNS($F$7:F$7),"",INDEX(TableDiv[[GASB]:[GASB]],_xlfn.AGGREGATE(15,3,(TableDiv[[Agency]:[Agency]]=$E108)/(TableDiv[[Agency]:[Agency]]=$E108)*(ROW(TableDiv[Agency])-ROW(TableDiv[[#Headers],[Agency]])),COLUMNS($F$7:F$7))))</f>
        <v>48200G</v>
      </c>
      <c r="G108" s="2223" t="str" cm="1">
        <f t="array" ref="G108">IF($D108&lt;COLUMNS($F$7:G$7),"",INDEX(TableDiv[[GASB]:[GASB]],_xlfn.AGGREGATE(15,3,(TableDiv[[Agency]:[Agency]]=$E108)/(TableDiv[[Agency]:[Agency]]=$E108)*(ROW(TableDiv[Agency])-ROW(TableDiv[[#Headers],[Agency]])),COLUMNS($F$7:G$7))))</f>
        <v/>
      </c>
      <c r="H108" s="2223" t="str" cm="1">
        <f t="array" ref="H108">IF($D108&lt;COLUMNS($F$7:H$7),"",INDEX(TableDiv[[GASB]:[GASB]],_xlfn.AGGREGATE(15,3,(TableDiv[[Agency]:[Agency]]=$E108)/(TableDiv[[Agency]:[Agency]]=$E108)*(ROW(TableDiv[Agency])-ROW(TableDiv[[#Headers],[Agency]])),COLUMNS($F$7:H$7))))</f>
        <v/>
      </c>
      <c r="I108" s="2223" t="str" cm="1">
        <f t="array" ref="I108">IF($D108&lt;COLUMNS($F$7:I$7),"",INDEX(TableDiv[[GASB]:[GASB]],_xlfn.AGGREGATE(15,3,(TableDiv[[Agency]:[Agency]]=$E108)/(TableDiv[[Agency]:[Agency]]=$E108)*(ROW(TableDiv[Agency])-ROW(TableDiv[[#Headers],[Agency]])),COLUMNS($F$7:I$7))))</f>
        <v/>
      </c>
      <c r="J108" s="2223" t="str" cm="1">
        <f t="array" ref="J108">IF($D108&lt;COLUMNS($F$7:J$7),"",INDEX(TableDiv[[GASB]:[GASB]],_xlfn.AGGREGATE(15,3,(TableDiv[[Agency]:[Agency]]=$E108)/(TableDiv[[Agency]:[Agency]]=$E108)*(ROW(TableDiv[Agency])-ROW(TableDiv[[#Headers],[Agency]])),COLUMNS($F$7:J$7))))</f>
        <v/>
      </c>
      <c r="K108" s="2223" t="str" cm="1">
        <f t="array" ref="K108">IF($D108&lt;COLUMNS($F$7:K$7),"",INDEX(TableDiv[[GASB]:[GASB]],_xlfn.AGGREGATE(15,3,(TableDiv[[Agency]:[Agency]]=$E108)/(TableDiv[[Agency]:[Agency]]=$E108)*(ROW(TableDiv[Agency])-ROW(TableDiv[[#Headers],[Agency]])),COLUMNS($F$7:K$7))))</f>
        <v/>
      </c>
      <c r="L108" s="2223" t="str" cm="1">
        <f t="array" ref="L108">IF($D108&lt;COLUMNS($F$7:L$7),"",INDEX(TableDiv[[GASB]:[GASB]],_xlfn.AGGREGATE(15,3,(TableDiv[[Agency]:[Agency]]=$E108)/(TableDiv[[Agency]:[Agency]]=$E108)*(ROW(TableDiv[Agency])-ROW(TableDiv[[#Headers],[Agency]])),COLUMNS($F$7:L$7))))</f>
        <v/>
      </c>
      <c r="M108" s="2223" t="str" cm="1">
        <f t="array" ref="M108">IF($D108&lt;COLUMNS($F$7:M$7),"",INDEX(TableDiv[[GASB]:[GASB]],_xlfn.AGGREGATE(15,3,(TableDiv[[Agency]:[Agency]]=$E108)/(TableDiv[[Agency]:[Agency]]=$E108)*(ROW(TableDiv[Agency])-ROW(TableDiv[[#Headers],[Agency]])),COLUMNS($F$7:M$7))))</f>
        <v/>
      </c>
      <c r="N108" s="2223" t="str" cm="1">
        <f t="array" ref="N108">IF($D108&lt;COLUMNS($F$7:N$7),"",INDEX(TableDiv[[GASB]:[GASB]],_xlfn.AGGREGATE(15,3,(TableDiv[[Agency]:[Agency]]=$E108)/(TableDiv[[Agency]:[Agency]]=$E108)*(ROW(TableDiv[Agency])-ROW(TableDiv[[#Headers],[Agency]])),COLUMNS($F$7:N$7))))</f>
        <v/>
      </c>
      <c r="O108" s="2223" t="str" cm="1">
        <f t="array" ref="O108">IF($D108&lt;COLUMNS($F$7:O$7),"",INDEX(TableDiv[[GASB]:[GASB]],_xlfn.AGGREGATE(15,3,(TableDiv[[Agency]:[Agency]]=$E108)/(TableDiv[[Agency]:[Agency]]=$E108)*(ROW(TableDiv[Agency])-ROW(TableDiv[[#Headers],[Agency]])),COLUMNS($F$7:O$7))))</f>
        <v/>
      </c>
      <c r="P108" s="2223" t="str" cm="1">
        <f t="array" ref="P108">IF($D108&lt;COLUMNS($F$7:P$7),"",INDEX(TableDiv[[GASB]:[GASB]],_xlfn.AGGREGATE(15,3,(TableDiv[[Agency]:[Agency]]=$E108)/(TableDiv[[Agency]:[Agency]]=$E108)*(ROW(TableDiv[Agency])-ROW(TableDiv[[#Headers],[Agency]])),COLUMNS($F$7:P$7))))</f>
        <v/>
      </c>
      <c r="Q108" s="2223" t="str" cm="1">
        <f t="array" ref="Q108">IF($D108&lt;COLUMNS($F$7:Q$7),"",INDEX(TableDiv[[GASB]:[GASB]],_xlfn.AGGREGATE(15,3,(TableDiv[[Agency]:[Agency]]=$E108)/(TableDiv[[Agency]:[Agency]]=$E108)*(ROW(TableDiv[Agency])-ROW(TableDiv[[#Headers],[Agency]])),COLUMNS($F$7:Q$7))))</f>
        <v/>
      </c>
      <c r="R108" s="2223" t="str" cm="1">
        <f t="array" ref="R108">IF($D108&lt;COLUMNS($F$7:R$7),"",INDEX(TableDiv[[GASB]:[GASB]],_xlfn.AGGREGATE(15,3,(TableDiv[[Agency]:[Agency]]=$E108)/(TableDiv[[Agency]:[Agency]]=$E108)*(ROW(TableDiv[Agency])-ROW(TableDiv[[#Headers],[Agency]])),COLUMNS($F$7:R$7))))</f>
        <v/>
      </c>
      <c r="S108" s="2223" t="str" cm="1">
        <f t="array" ref="S108">IF($D108&lt;COLUMNS($F$7:S$7),"",INDEX(TableDiv[[GASB]:[GASB]],_xlfn.AGGREGATE(15,3,(TableDiv[[Agency]:[Agency]]=$E108)/(TableDiv[[Agency]:[Agency]]=$E108)*(ROW(TableDiv[Agency])-ROW(TableDiv[[#Headers],[Agency]])),COLUMNS($F$7:S$7))))</f>
        <v/>
      </c>
      <c r="T108" s="2223" t="str" cm="1">
        <f t="array" ref="T108">IF($D108&lt;COLUMNS($F$7:T$7),"",INDEX(TableDiv[[GASB]:[GASB]],_xlfn.AGGREGATE(15,3,(TableDiv[[Agency]:[Agency]]=$E108)/(TableDiv[[Agency]:[Agency]]=$E108)*(ROW(TableDiv[Agency])-ROW(TableDiv[[#Headers],[Agency]])),COLUMNS($F$7:T$7))))</f>
        <v/>
      </c>
      <c r="U108" s="2223" t="str" cm="1">
        <f t="array" ref="U108">IF($D108&lt;COLUMNS($F$7:U$7),"",INDEX(TableDiv[[GASB]:[GASB]],_xlfn.AGGREGATE(15,3,(TableDiv[[Agency]:[Agency]]=$E108)/(TableDiv[[Agency]:[Agency]]=$E108)*(ROW(TableDiv[Agency])-ROW(TableDiv[[#Headers],[Agency]])),COLUMNS($F$7:U$7))))</f>
        <v/>
      </c>
      <c r="V108" s="2223" t="str" cm="1">
        <f t="array" ref="V108">IF($D108&lt;COLUMNS($F$7:V$7),"",INDEX(TableDiv[[GASB]:[GASB]],_xlfn.AGGREGATE(15,3,(TableDiv[[Agency]:[Agency]]=$E108)/(TableDiv[[Agency]:[Agency]]=$E108)*(ROW(TableDiv[Agency])-ROW(TableDiv[[#Headers],[Agency]])),COLUMNS($F$7:V$7))))</f>
        <v/>
      </c>
      <c r="W108" s="2223" t="str" cm="1">
        <f t="array" ref="W108">IF($D108&lt;COLUMNS($F$7:W$7),"",INDEX(TableDiv[[GASB]:[GASB]],_xlfn.AGGREGATE(15,3,(TableDiv[[Agency]:[Agency]]=$E108)/(TableDiv[[Agency]:[Agency]]=$E108)*(ROW(TableDiv[Agency])-ROW(TableDiv[[#Headers],[Agency]])),COLUMNS($F$7:W$7))))</f>
        <v/>
      </c>
      <c r="X108" s="2223" t="str" cm="1">
        <f t="array" ref="X108">IF($D108&lt;COLUMNS($F$7:X$7),"",INDEX(TableDiv[[GASB]:[GASB]],_xlfn.AGGREGATE(15,3,(TableDiv[[Agency]:[Agency]]=$E108)/(TableDiv[[Agency]:[Agency]]=$E108)*(ROW(TableDiv[Agency])-ROW(TableDiv[[#Headers],[Agency]])),COLUMNS($F$7:X$7))))</f>
        <v/>
      </c>
      <c r="Y108" s="2223" t="str" cm="1">
        <f t="array" ref="Y108">IF($D108&lt;COLUMNS($F$7:Y$7),"",INDEX(TableDiv[[GASB]:[GASB]],_xlfn.AGGREGATE(15,3,(TableDiv[[Agency]:[Agency]]=$E108)/(TableDiv[[Agency]:[Agency]]=$E108)*(ROW(TableDiv[Agency])-ROW(TableDiv[[#Headers],[Agency]])),COLUMNS($F$7:Y$7))))</f>
        <v/>
      </c>
      <c r="Z108" s="2223" t="str" cm="1">
        <f t="array" ref="Z108">IF($D108&lt;COLUMNS($F$7:Z$7),"",INDEX(TableDiv[[GASB]:[GASB]],_xlfn.AGGREGATE(15,3,(TableDiv[[Agency]:[Agency]]=$E108)/(TableDiv[[Agency]:[Agency]]=$E108)*(ROW(TableDiv[Agency])-ROW(TableDiv[[#Headers],[Agency]])),COLUMNS($F$7:Z$7))))</f>
        <v/>
      </c>
      <c r="AA108" s="2223" t="str" cm="1">
        <f t="array" ref="AA108">IF($D108&lt;COLUMNS($F$7:AA$7),"",INDEX(TableDiv[[GASB]:[GASB]],_xlfn.AGGREGATE(15,3,(TableDiv[[Agency]:[Agency]]=$E108)/(TableDiv[[Agency]:[Agency]]=$E108)*(ROW(TableDiv[Agency])-ROW(TableDiv[[#Headers],[Agency]])),COLUMNS($F$7:AA$7))))</f>
        <v/>
      </c>
      <c r="AB108" s="2223" t="str" cm="1">
        <f t="array" ref="AB108">IF($D108&lt;COLUMNS($F$7:AB$7),"",INDEX(TableDiv[[GASB]:[GASB]],_xlfn.AGGREGATE(15,3,(TableDiv[[Agency]:[Agency]]=$E108)/(TableDiv[[Agency]:[Agency]]=$E108)*(ROW(TableDiv[Agency])-ROW(TableDiv[[#Headers],[Agency]])),COLUMNS($F$7:AB$7))))</f>
        <v/>
      </c>
      <c r="AC108" s="2223" t="str" cm="1">
        <f t="array" ref="AC108">IF($D108&lt;COLUMNS($F$7:AC$7),"",INDEX(TableDiv[[GASB]:[GASB]],_xlfn.AGGREGATE(15,3,(TableDiv[[Agency]:[Agency]]=$E108)/(TableDiv[[Agency]:[Agency]]=$E108)*(ROW(TableDiv[Agency])-ROW(TableDiv[[#Headers],[Agency]])),COLUMNS($F$7:AC$7))))</f>
        <v/>
      </c>
      <c r="AD108" s="2223" t="str" cm="1">
        <f t="array" ref="AD108">IF($D108&lt;COLUMNS($F$7:AD$7),"",INDEX(TableDiv[[GASB]:[GASB]],_xlfn.AGGREGATE(15,3,(TableDiv[[Agency]:[Agency]]=$E108)/(TableDiv[[Agency]:[Agency]]=$E108)*(ROW(TableDiv[Agency])-ROW(TableDiv[[#Headers],[Agency]])),COLUMNS($F$7:AD$7))))</f>
        <v/>
      </c>
      <c r="AE108" s="2223" t="str" cm="1">
        <f t="array" ref="AE108">IF($D108&lt;COLUMNS($F$7:AE$7),"",INDEX(TableDiv[[GASB]:[GASB]],_xlfn.AGGREGATE(15,3,(TableDiv[[Agency]:[Agency]]=$E108)/(TableDiv[[Agency]:[Agency]]=$E108)*(ROW(TableDiv[Agency])-ROW(TableDiv[[#Headers],[Agency]])),COLUMNS($F$7:AE$7))))</f>
        <v/>
      </c>
      <c r="AF108" s="2223" t="str" cm="1">
        <f t="array" ref="AF108">IF($D108&lt;COLUMNS($F$7:AF$7),"",INDEX(TableDiv[[GASB]:[GASB]],_xlfn.AGGREGATE(15,3,(TableDiv[[Agency]:[Agency]]=$E108)/(TableDiv[[Agency]:[Agency]]=$E108)*(ROW(TableDiv[Agency])-ROW(TableDiv[[#Headers],[Agency]])),COLUMNS($F$7:AF$7))))</f>
        <v/>
      </c>
      <c r="AG108" s="2223" t="str" cm="1">
        <f t="array" ref="AG108">IF($D108&lt;COLUMNS($F$7:AG$7),"",INDEX(TableDiv[[GASB]:[GASB]],_xlfn.AGGREGATE(15,3,(TableDiv[[Agency]:[Agency]]=$E108)/(TableDiv[[Agency]:[Agency]]=$E108)*(ROW(TableDiv[Agency])-ROW(TableDiv[[#Headers],[Agency]])),COLUMNS($F$7:AG$7))))</f>
        <v/>
      </c>
      <c r="AH108" s="2223" t="str" cm="1">
        <f t="array" ref="AH108">IF($D108&lt;COLUMNS($F$7:AH$7),"",INDEX(TableDiv[[GASB]:[GASB]],_xlfn.AGGREGATE(15,3,(TableDiv[[Agency]:[Agency]]=$E108)/(TableDiv[[Agency]:[Agency]]=$E108)*(ROW(TableDiv[Agency])-ROW(TableDiv[[#Headers],[Agency]])),COLUMNS($F$7:AH$7))))</f>
        <v/>
      </c>
      <c r="AI108" s="2223" t="str" cm="1">
        <f t="array" ref="AI108">IF($D108&lt;COLUMNS($F$7:AI$7),"",INDEX(TableDiv[[GASB]:[GASB]],_xlfn.AGGREGATE(15,3,(TableDiv[[Agency]:[Agency]]=$E108)/(TableDiv[[Agency]:[Agency]]=$E108)*(ROW(TableDiv[Agency])-ROW(TableDiv[[#Headers],[Agency]])),COLUMNS($F$7:AI$7))))</f>
        <v/>
      </c>
      <c r="AJ108" s="2223" t="str" cm="1">
        <f t="array" ref="AJ108">IF($D108&lt;COLUMNS($F$7:AJ$7),"",INDEX(TableDiv[[GASB]:[GASB]],_xlfn.AGGREGATE(15,3,(TableDiv[[Agency]:[Agency]]=$E108)/(TableDiv[[Agency]:[Agency]]=$E108)*(ROW(TableDiv[Agency])-ROW(TableDiv[[#Headers],[Agency]])),COLUMNS($F$7:AJ$7))))</f>
        <v/>
      </c>
      <c r="AK108" s="2223" t="str" cm="1">
        <f t="array" ref="AK108">IF($D108&lt;COLUMNS($F$7:AK$7),"",INDEX(TableDiv[[GASB]:[GASB]],_xlfn.AGGREGATE(15,3,(TableDiv[[Agency]:[Agency]]=$E108)/(TableDiv[[Agency]:[Agency]]=$E108)*(ROW(TableDiv[Agency])-ROW(TableDiv[[#Headers],[Agency]])),COLUMNS($F$7:AK$7))))</f>
        <v/>
      </c>
      <c r="AL108" s="2223" t="str" cm="1">
        <f t="array" ref="AL108">IF($D108&lt;COLUMNS($F$7:AL$7),"",INDEX(TableDiv[[GASB]:[GASB]],_xlfn.AGGREGATE(15,3,(TableDiv[[Agency]:[Agency]]=$E108)/(TableDiv[[Agency]:[Agency]]=$E108)*(ROW(TableDiv[Agency])-ROW(TableDiv[[#Headers],[Agency]])),COLUMNS($F$7:AL$7))))</f>
        <v/>
      </c>
      <c r="AM108" s="2223" t="str" cm="1">
        <f t="array" ref="AM108">IF($D108&lt;COLUMNS($F$7:AM$7),"",INDEX(TableDiv[[GASB]:[GASB]],_xlfn.AGGREGATE(15,3,(TableDiv[[Agency]:[Agency]]=$E108)/(TableDiv[[Agency]:[Agency]]=$E108)*(ROW(TableDiv[Agency])-ROW(TableDiv[[#Headers],[Agency]])),COLUMNS($F$7:AM$7))))</f>
        <v/>
      </c>
      <c r="AN108" s="2223"/>
      <c r="AO108" s="2223"/>
      <c r="AP108" s="2223"/>
      <c r="AQ108" s="2223"/>
      <c r="AR108" s="2223"/>
      <c r="AS108" s="2223"/>
    </row>
    <row r="109" spans="1:45" ht="15" x14ac:dyDescent="0.25">
      <c r="A109" s="2219" t="s">
        <v>5106</v>
      </c>
      <c r="B109" s="2219" t="s">
        <v>6415</v>
      </c>
      <c r="C109" s="2223"/>
      <c r="D109" s="2223">
        <f>COUNTIF(TableDiv[Agency],E109)</f>
        <v>1</v>
      </c>
      <c r="E109" s="2230" t="str" cm="1">
        <f t="array" ref="E109">IFERROR(INDEX(TableDiv[Agency],MATCH(0,INDEX(COUNTIF($E$7:E108,TableDiv[Agency]),),0)),"")</f>
        <v>D4F</v>
      </c>
      <c r="F109" s="2223" t="str" cm="1">
        <f t="array" ref="F109">IF($D109&lt;COLUMNS($F$7:F$7),"",INDEX(TableDiv[[GASB]:[GASB]],_xlfn.AGGREGATE(15,3,(TableDiv[[Agency]:[Agency]]=$E109)/(TableDiv[[Agency]:[Agency]]=$E109)*(ROW(TableDiv[Agency])-ROW(TableDiv[[#Headers],[Agency]])),COLUMNS($F$7:F$7))))</f>
        <v>48200G</v>
      </c>
      <c r="G109" s="2223" t="str" cm="1">
        <f t="array" ref="G109">IF($D109&lt;COLUMNS($F$7:G$7),"",INDEX(TableDiv[[GASB]:[GASB]],_xlfn.AGGREGATE(15,3,(TableDiv[[Agency]:[Agency]]=$E109)/(TableDiv[[Agency]:[Agency]]=$E109)*(ROW(TableDiv[Agency])-ROW(TableDiv[[#Headers],[Agency]])),COLUMNS($F$7:G$7))))</f>
        <v/>
      </c>
      <c r="H109" s="2223" t="str" cm="1">
        <f t="array" ref="H109">IF($D109&lt;COLUMNS($F$7:H$7),"",INDEX(TableDiv[[GASB]:[GASB]],_xlfn.AGGREGATE(15,3,(TableDiv[[Agency]:[Agency]]=$E109)/(TableDiv[[Agency]:[Agency]]=$E109)*(ROW(TableDiv[Agency])-ROW(TableDiv[[#Headers],[Agency]])),COLUMNS($F$7:H$7))))</f>
        <v/>
      </c>
      <c r="I109" s="2223" t="str" cm="1">
        <f t="array" ref="I109">IF($D109&lt;COLUMNS($F$7:I$7),"",INDEX(TableDiv[[GASB]:[GASB]],_xlfn.AGGREGATE(15,3,(TableDiv[[Agency]:[Agency]]=$E109)/(TableDiv[[Agency]:[Agency]]=$E109)*(ROW(TableDiv[Agency])-ROW(TableDiv[[#Headers],[Agency]])),COLUMNS($F$7:I$7))))</f>
        <v/>
      </c>
      <c r="J109" s="2223" t="str" cm="1">
        <f t="array" ref="J109">IF($D109&lt;COLUMNS($F$7:J$7),"",INDEX(TableDiv[[GASB]:[GASB]],_xlfn.AGGREGATE(15,3,(TableDiv[[Agency]:[Agency]]=$E109)/(TableDiv[[Agency]:[Agency]]=$E109)*(ROW(TableDiv[Agency])-ROW(TableDiv[[#Headers],[Agency]])),COLUMNS($F$7:J$7))))</f>
        <v/>
      </c>
      <c r="K109" s="2223" t="str" cm="1">
        <f t="array" ref="K109">IF($D109&lt;COLUMNS($F$7:K$7),"",INDEX(TableDiv[[GASB]:[GASB]],_xlfn.AGGREGATE(15,3,(TableDiv[[Agency]:[Agency]]=$E109)/(TableDiv[[Agency]:[Agency]]=$E109)*(ROW(TableDiv[Agency])-ROW(TableDiv[[#Headers],[Agency]])),COLUMNS($F$7:K$7))))</f>
        <v/>
      </c>
      <c r="L109" s="2223" t="str" cm="1">
        <f t="array" ref="L109">IF($D109&lt;COLUMNS($F$7:L$7),"",INDEX(TableDiv[[GASB]:[GASB]],_xlfn.AGGREGATE(15,3,(TableDiv[[Agency]:[Agency]]=$E109)/(TableDiv[[Agency]:[Agency]]=$E109)*(ROW(TableDiv[Agency])-ROW(TableDiv[[#Headers],[Agency]])),COLUMNS($F$7:L$7))))</f>
        <v/>
      </c>
      <c r="M109" s="2223" t="str" cm="1">
        <f t="array" ref="M109">IF($D109&lt;COLUMNS($F$7:M$7),"",INDEX(TableDiv[[GASB]:[GASB]],_xlfn.AGGREGATE(15,3,(TableDiv[[Agency]:[Agency]]=$E109)/(TableDiv[[Agency]:[Agency]]=$E109)*(ROW(TableDiv[Agency])-ROW(TableDiv[[#Headers],[Agency]])),COLUMNS($F$7:M$7))))</f>
        <v/>
      </c>
      <c r="N109" s="2223" t="str" cm="1">
        <f t="array" ref="N109">IF($D109&lt;COLUMNS($F$7:N$7),"",INDEX(TableDiv[[GASB]:[GASB]],_xlfn.AGGREGATE(15,3,(TableDiv[[Agency]:[Agency]]=$E109)/(TableDiv[[Agency]:[Agency]]=$E109)*(ROW(TableDiv[Agency])-ROW(TableDiv[[#Headers],[Agency]])),COLUMNS($F$7:N$7))))</f>
        <v/>
      </c>
      <c r="O109" s="2223" t="str" cm="1">
        <f t="array" ref="O109">IF($D109&lt;COLUMNS($F$7:O$7),"",INDEX(TableDiv[[GASB]:[GASB]],_xlfn.AGGREGATE(15,3,(TableDiv[[Agency]:[Agency]]=$E109)/(TableDiv[[Agency]:[Agency]]=$E109)*(ROW(TableDiv[Agency])-ROW(TableDiv[[#Headers],[Agency]])),COLUMNS($F$7:O$7))))</f>
        <v/>
      </c>
      <c r="P109" s="2223" t="str" cm="1">
        <f t="array" ref="P109">IF($D109&lt;COLUMNS($F$7:P$7),"",INDEX(TableDiv[[GASB]:[GASB]],_xlfn.AGGREGATE(15,3,(TableDiv[[Agency]:[Agency]]=$E109)/(TableDiv[[Agency]:[Agency]]=$E109)*(ROW(TableDiv[Agency])-ROW(TableDiv[[#Headers],[Agency]])),COLUMNS($F$7:P$7))))</f>
        <v/>
      </c>
      <c r="Q109" s="2223" t="str" cm="1">
        <f t="array" ref="Q109">IF($D109&lt;COLUMNS($F$7:Q$7),"",INDEX(TableDiv[[GASB]:[GASB]],_xlfn.AGGREGATE(15,3,(TableDiv[[Agency]:[Agency]]=$E109)/(TableDiv[[Agency]:[Agency]]=$E109)*(ROW(TableDiv[Agency])-ROW(TableDiv[[#Headers],[Agency]])),COLUMNS($F$7:Q$7))))</f>
        <v/>
      </c>
      <c r="R109" s="2223" t="str" cm="1">
        <f t="array" ref="R109">IF($D109&lt;COLUMNS($F$7:R$7),"",INDEX(TableDiv[[GASB]:[GASB]],_xlfn.AGGREGATE(15,3,(TableDiv[[Agency]:[Agency]]=$E109)/(TableDiv[[Agency]:[Agency]]=$E109)*(ROW(TableDiv[Agency])-ROW(TableDiv[[#Headers],[Agency]])),COLUMNS($F$7:R$7))))</f>
        <v/>
      </c>
      <c r="S109" s="2223" t="str" cm="1">
        <f t="array" ref="S109">IF($D109&lt;COLUMNS($F$7:S$7),"",INDEX(TableDiv[[GASB]:[GASB]],_xlfn.AGGREGATE(15,3,(TableDiv[[Agency]:[Agency]]=$E109)/(TableDiv[[Agency]:[Agency]]=$E109)*(ROW(TableDiv[Agency])-ROW(TableDiv[[#Headers],[Agency]])),COLUMNS($F$7:S$7))))</f>
        <v/>
      </c>
      <c r="T109" s="2223" t="str" cm="1">
        <f t="array" ref="T109">IF($D109&lt;COLUMNS($F$7:T$7),"",INDEX(TableDiv[[GASB]:[GASB]],_xlfn.AGGREGATE(15,3,(TableDiv[[Agency]:[Agency]]=$E109)/(TableDiv[[Agency]:[Agency]]=$E109)*(ROW(TableDiv[Agency])-ROW(TableDiv[[#Headers],[Agency]])),COLUMNS($F$7:T$7))))</f>
        <v/>
      </c>
      <c r="U109" s="2223" t="str" cm="1">
        <f t="array" ref="U109">IF($D109&lt;COLUMNS($F$7:U$7),"",INDEX(TableDiv[[GASB]:[GASB]],_xlfn.AGGREGATE(15,3,(TableDiv[[Agency]:[Agency]]=$E109)/(TableDiv[[Agency]:[Agency]]=$E109)*(ROW(TableDiv[Agency])-ROW(TableDiv[[#Headers],[Agency]])),COLUMNS($F$7:U$7))))</f>
        <v/>
      </c>
      <c r="V109" s="2223" t="str" cm="1">
        <f t="array" ref="V109">IF($D109&lt;COLUMNS($F$7:V$7),"",INDEX(TableDiv[[GASB]:[GASB]],_xlfn.AGGREGATE(15,3,(TableDiv[[Agency]:[Agency]]=$E109)/(TableDiv[[Agency]:[Agency]]=$E109)*(ROW(TableDiv[Agency])-ROW(TableDiv[[#Headers],[Agency]])),COLUMNS($F$7:V$7))))</f>
        <v/>
      </c>
      <c r="W109" s="2223" t="str" cm="1">
        <f t="array" ref="W109">IF($D109&lt;COLUMNS($F$7:W$7),"",INDEX(TableDiv[[GASB]:[GASB]],_xlfn.AGGREGATE(15,3,(TableDiv[[Agency]:[Agency]]=$E109)/(TableDiv[[Agency]:[Agency]]=$E109)*(ROW(TableDiv[Agency])-ROW(TableDiv[[#Headers],[Agency]])),COLUMNS($F$7:W$7))))</f>
        <v/>
      </c>
      <c r="X109" s="2223" t="str" cm="1">
        <f t="array" ref="X109">IF($D109&lt;COLUMNS($F$7:X$7),"",INDEX(TableDiv[[GASB]:[GASB]],_xlfn.AGGREGATE(15,3,(TableDiv[[Agency]:[Agency]]=$E109)/(TableDiv[[Agency]:[Agency]]=$E109)*(ROW(TableDiv[Agency])-ROW(TableDiv[[#Headers],[Agency]])),COLUMNS($F$7:X$7))))</f>
        <v/>
      </c>
      <c r="Y109" s="2223" t="str" cm="1">
        <f t="array" ref="Y109">IF($D109&lt;COLUMNS($F$7:Y$7),"",INDEX(TableDiv[[GASB]:[GASB]],_xlfn.AGGREGATE(15,3,(TableDiv[[Agency]:[Agency]]=$E109)/(TableDiv[[Agency]:[Agency]]=$E109)*(ROW(TableDiv[Agency])-ROW(TableDiv[[#Headers],[Agency]])),COLUMNS($F$7:Y$7))))</f>
        <v/>
      </c>
      <c r="Z109" s="2223" t="str" cm="1">
        <f t="array" ref="Z109">IF($D109&lt;COLUMNS($F$7:Z$7),"",INDEX(TableDiv[[GASB]:[GASB]],_xlfn.AGGREGATE(15,3,(TableDiv[[Agency]:[Agency]]=$E109)/(TableDiv[[Agency]:[Agency]]=$E109)*(ROW(TableDiv[Agency])-ROW(TableDiv[[#Headers],[Agency]])),COLUMNS($F$7:Z$7))))</f>
        <v/>
      </c>
      <c r="AA109" s="2223" t="str" cm="1">
        <f t="array" ref="AA109">IF($D109&lt;COLUMNS($F$7:AA$7),"",INDEX(TableDiv[[GASB]:[GASB]],_xlfn.AGGREGATE(15,3,(TableDiv[[Agency]:[Agency]]=$E109)/(TableDiv[[Agency]:[Agency]]=$E109)*(ROW(TableDiv[Agency])-ROW(TableDiv[[#Headers],[Agency]])),COLUMNS($F$7:AA$7))))</f>
        <v/>
      </c>
      <c r="AB109" s="2223" t="str" cm="1">
        <f t="array" ref="AB109">IF($D109&lt;COLUMNS($F$7:AB$7),"",INDEX(TableDiv[[GASB]:[GASB]],_xlfn.AGGREGATE(15,3,(TableDiv[[Agency]:[Agency]]=$E109)/(TableDiv[[Agency]:[Agency]]=$E109)*(ROW(TableDiv[Agency])-ROW(TableDiv[[#Headers],[Agency]])),COLUMNS($F$7:AB$7))))</f>
        <v/>
      </c>
      <c r="AC109" s="2223" t="str" cm="1">
        <f t="array" ref="AC109">IF($D109&lt;COLUMNS($F$7:AC$7),"",INDEX(TableDiv[[GASB]:[GASB]],_xlfn.AGGREGATE(15,3,(TableDiv[[Agency]:[Agency]]=$E109)/(TableDiv[[Agency]:[Agency]]=$E109)*(ROW(TableDiv[Agency])-ROW(TableDiv[[#Headers],[Agency]])),COLUMNS($F$7:AC$7))))</f>
        <v/>
      </c>
      <c r="AD109" s="2223" t="str" cm="1">
        <f t="array" ref="AD109">IF($D109&lt;COLUMNS($F$7:AD$7),"",INDEX(TableDiv[[GASB]:[GASB]],_xlfn.AGGREGATE(15,3,(TableDiv[[Agency]:[Agency]]=$E109)/(TableDiv[[Agency]:[Agency]]=$E109)*(ROW(TableDiv[Agency])-ROW(TableDiv[[#Headers],[Agency]])),COLUMNS($F$7:AD$7))))</f>
        <v/>
      </c>
      <c r="AE109" s="2223" t="str" cm="1">
        <f t="array" ref="AE109">IF($D109&lt;COLUMNS($F$7:AE$7),"",INDEX(TableDiv[[GASB]:[GASB]],_xlfn.AGGREGATE(15,3,(TableDiv[[Agency]:[Agency]]=$E109)/(TableDiv[[Agency]:[Agency]]=$E109)*(ROW(TableDiv[Agency])-ROW(TableDiv[[#Headers],[Agency]])),COLUMNS($F$7:AE$7))))</f>
        <v/>
      </c>
      <c r="AF109" s="2223" t="str" cm="1">
        <f t="array" ref="AF109">IF($D109&lt;COLUMNS($F$7:AF$7),"",INDEX(TableDiv[[GASB]:[GASB]],_xlfn.AGGREGATE(15,3,(TableDiv[[Agency]:[Agency]]=$E109)/(TableDiv[[Agency]:[Agency]]=$E109)*(ROW(TableDiv[Agency])-ROW(TableDiv[[#Headers],[Agency]])),COLUMNS($F$7:AF$7))))</f>
        <v/>
      </c>
      <c r="AG109" s="2223" t="str" cm="1">
        <f t="array" ref="AG109">IF($D109&lt;COLUMNS($F$7:AG$7),"",INDEX(TableDiv[[GASB]:[GASB]],_xlfn.AGGREGATE(15,3,(TableDiv[[Agency]:[Agency]]=$E109)/(TableDiv[[Agency]:[Agency]]=$E109)*(ROW(TableDiv[Agency])-ROW(TableDiv[[#Headers],[Agency]])),COLUMNS($F$7:AG$7))))</f>
        <v/>
      </c>
      <c r="AH109" s="2223" t="str" cm="1">
        <f t="array" ref="AH109">IF($D109&lt;COLUMNS($F$7:AH$7),"",INDEX(TableDiv[[GASB]:[GASB]],_xlfn.AGGREGATE(15,3,(TableDiv[[Agency]:[Agency]]=$E109)/(TableDiv[[Agency]:[Agency]]=$E109)*(ROW(TableDiv[Agency])-ROW(TableDiv[[#Headers],[Agency]])),COLUMNS($F$7:AH$7))))</f>
        <v/>
      </c>
      <c r="AI109" s="2223" t="str" cm="1">
        <f t="array" ref="AI109">IF($D109&lt;COLUMNS($F$7:AI$7),"",INDEX(TableDiv[[GASB]:[GASB]],_xlfn.AGGREGATE(15,3,(TableDiv[[Agency]:[Agency]]=$E109)/(TableDiv[[Agency]:[Agency]]=$E109)*(ROW(TableDiv[Agency])-ROW(TableDiv[[#Headers],[Agency]])),COLUMNS($F$7:AI$7))))</f>
        <v/>
      </c>
      <c r="AJ109" s="2223" t="str" cm="1">
        <f t="array" ref="AJ109">IF($D109&lt;COLUMNS($F$7:AJ$7),"",INDEX(TableDiv[[GASB]:[GASB]],_xlfn.AGGREGATE(15,3,(TableDiv[[Agency]:[Agency]]=$E109)/(TableDiv[[Agency]:[Agency]]=$E109)*(ROW(TableDiv[Agency])-ROW(TableDiv[[#Headers],[Agency]])),COLUMNS($F$7:AJ$7))))</f>
        <v/>
      </c>
      <c r="AK109" s="2223" t="str" cm="1">
        <f t="array" ref="AK109">IF($D109&lt;COLUMNS($F$7:AK$7),"",INDEX(TableDiv[[GASB]:[GASB]],_xlfn.AGGREGATE(15,3,(TableDiv[[Agency]:[Agency]]=$E109)/(TableDiv[[Agency]:[Agency]]=$E109)*(ROW(TableDiv[Agency])-ROW(TableDiv[[#Headers],[Agency]])),COLUMNS($F$7:AK$7))))</f>
        <v/>
      </c>
      <c r="AL109" s="2223" t="str" cm="1">
        <f t="array" ref="AL109">IF($D109&lt;COLUMNS($F$7:AL$7),"",INDEX(TableDiv[[GASB]:[GASB]],_xlfn.AGGREGATE(15,3,(TableDiv[[Agency]:[Agency]]=$E109)/(TableDiv[[Agency]:[Agency]]=$E109)*(ROW(TableDiv[Agency])-ROW(TableDiv[[#Headers],[Agency]])),COLUMNS($F$7:AL$7))))</f>
        <v/>
      </c>
      <c r="AM109" s="2223" t="str" cm="1">
        <f t="array" ref="AM109">IF($D109&lt;COLUMNS($F$7:AM$7),"",INDEX(TableDiv[[GASB]:[GASB]],_xlfn.AGGREGATE(15,3,(TableDiv[[Agency]:[Agency]]=$E109)/(TableDiv[[Agency]:[Agency]]=$E109)*(ROW(TableDiv[Agency])-ROW(TableDiv[[#Headers],[Agency]])),COLUMNS($F$7:AM$7))))</f>
        <v/>
      </c>
      <c r="AN109" s="2223"/>
      <c r="AO109" s="2223"/>
      <c r="AP109" s="2223"/>
      <c r="AQ109" s="2223"/>
      <c r="AR109" s="2223"/>
      <c r="AS109" s="2223"/>
    </row>
    <row r="110" spans="1:45" ht="15" x14ac:dyDescent="0.25">
      <c r="A110" s="2219" t="s">
        <v>5107</v>
      </c>
      <c r="B110" s="2219" t="s">
        <v>6357</v>
      </c>
      <c r="C110" s="2223"/>
      <c r="D110" s="2223">
        <f>COUNTIF(TableDiv[Agency],E110)</f>
        <v>1</v>
      </c>
      <c r="E110" s="2230" t="str" cm="1">
        <f t="array" ref="E110">IFERROR(INDEX(TableDiv[Agency],MATCH(0,INDEX(COUNTIF($E$7:E109,TableDiv[Agency]),),0)),"")</f>
        <v>D5F</v>
      </c>
      <c r="F110" s="2223" t="str" cm="1">
        <f t="array" ref="F110">IF($D110&lt;COLUMNS($F$7:F$7),"",INDEX(TableDiv[[GASB]:[GASB]],_xlfn.AGGREGATE(15,3,(TableDiv[[Agency]:[Agency]]=$E110)/(TableDiv[[Agency]:[Agency]]=$E110)*(ROW(TableDiv[Agency])-ROW(TableDiv[[#Headers],[Agency]])),COLUMNS($F$7:F$7))))</f>
        <v>48200G</v>
      </c>
      <c r="G110" s="2223" t="str" cm="1">
        <f t="array" ref="G110">IF($D110&lt;COLUMNS($F$7:G$7),"",INDEX(TableDiv[[GASB]:[GASB]],_xlfn.AGGREGATE(15,3,(TableDiv[[Agency]:[Agency]]=$E110)/(TableDiv[[Agency]:[Agency]]=$E110)*(ROW(TableDiv[Agency])-ROW(TableDiv[[#Headers],[Agency]])),COLUMNS($F$7:G$7))))</f>
        <v/>
      </c>
      <c r="H110" s="2223" t="str" cm="1">
        <f t="array" ref="H110">IF($D110&lt;COLUMNS($F$7:H$7),"",INDEX(TableDiv[[GASB]:[GASB]],_xlfn.AGGREGATE(15,3,(TableDiv[[Agency]:[Agency]]=$E110)/(TableDiv[[Agency]:[Agency]]=$E110)*(ROW(TableDiv[Agency])-ROW(TableDiv[[#Headers],[Agency]])),COLUMNS($F$7:H$7))))</f>
        <v/>
      </c>
      <c r="I110" s="2223" t="str" cm="1">
        <f t="array" ref="I110">IF($D110&lt;COLUMNS($F$7:I$7),"",INDEX(TableDiv[[GASB]:[GASB]],_xlfn.AGGREGATE(15,3,(TableDiv[[Agency]:[Agency]]=$E110)/(TableDiv[[Agency]:[Agency]]=$E110)*(ROW(TableDiv[Agency])-ROW(TableDiv[[#Headers],[Agency]])),COLUMNS($F$7:I$7))))</f>
        <v/>
      </c>
      <c r="J110" s="2223" t="str" cm="1">
        <f t="array" ref="J110">IF($D110&lt;COLUMNS($F$7:J$7),"",INDEX(TableDiv[[GASB]:[GASB]],_xlfn.AGGREGATE(15,3,(TableDiv[[Agency]:[Agency]]=$E110)/(TableDiv[[Agency]:[Agency]]=$E110)*(ROW(TableDiv[Agency])-ROW(TableDiv[[#Headers],[Agency]])),COLUMNS($F$7:J$7))))</f>
        <v/>
      </c>
      <c r="K110" s="2223" t="str" cm="1">
        <f t="array" ref="K110">IF($D110&lt;COLUMNS($F$7:K$7),"",INDEX(TableDiv[[GASB]:[GASB]],_xlfn.AGGREGATE(15,3,(TableDiv[[Agency]:[Agency]]=$E110)/(TableDiv[[Agency]:[Agency]]=$E110)*(ROW(TableDiv[Agency])-ROW(TableDiv[[#Headers],[Agency]])),COLUMNS($F$7:K$7))))</f>
        <v/>
      </c>
      <c r="L110" s="2223" t="str" cm="1">
        <f t="array" ref="L110">IF($D110&lt;COLUMNS($F$7:L$7),"",INDEX(TableDiv[[GASB]:[GASB]],_xlfn.AGGREGATE(15,3,(TableDiv[[Agency]:[Agency]]=$E110)/(TableDiv[[Agency]:[Agency]]=$E110)*(ROW(TableDiv[Agency])-ROW(TableDiv[[#Headers],[Agency]])),COLUMNS($F$7:L$7))))</f>
        <v/>
      </c>
      <c r="M110" s="2223" t="str" cm="1">
        <f t="array" ref="M110">IF($D110&lt;COLUMNS($F$7:M$7),"",INDEX(TableDiv[[GASB]:[GASB]],_xlfn.AGGREGATE(15,3,(TableDiv[[Agency]:[Agency]]=$E110)/(TableDiv[[Agency]:[Agency]]=$E110)*(ROW(TableDiv[Agency])-ROW(TableDiv[[#Headers],[Agency]])),COLUMNS($F$7:M$7))))</f>
        <v/>
      </c>
      <c r="N110" s="2223" t="str" cm="1">
        <f t="array" ref="N110">IF($D110&lt;COLUMNS($F$7:N$7),"",INDEX(TableDiv[[GASB]:[GASB]],_xlfn.AGGREGATE(15,3,(TableDiv[[Agency]:[Agency]]=$E110)/(TableDiv[[Agency]:[Agency]]=$E110)*(ROW(TableDiv[Agency])-ROW(TableDiv[[#Headers],[Agency]])),COLUMNS($F$7:N$7))))</f>
        <v/>
      </c>
      <c r="O110" s="2223" t="str" cm="1">
        <f t="array" ref="O110">IF($D110&lt;COLUMNS($F$7:O$7),"",INDEX(TableDiv[[GASB]:[GASB]],_xlfn.AGGREGATE(15,3,(TableDiv[[Agency]:[Agency]]=$E110)/(TableDiv[[Agency]:[Agency]]=$E110)*(ROW(TableDiv[Agency])-ROW(TableDiv[[#Headers],[Agency]])),COLUMNS($F$7:O$7))))</f>
        <v/>
      </c>
      <c r="P110" s="2223" t="str" cm="1">
        <f t="array" ref="P110">IF($D110&lt;COLUMNS($F$7:P$7),"",INDEX(TableDiv[[GASB]:[GASB]],_xlfn.AGGREGATE(15,3,(TableDiv[[Agency]:[Agency]]=$E110)/(TableDiv[[Agency]:[Agency]]=$E110)*(ROW(TableDiv[Agency])-ROW(TableDiv[[#Headers],[Agency]])),COLUMNS($F$7:P$7))))</f>
        <v/>
      </c>
      <c r="Q110" s="2223" t="str" cm="1">
        <f t="array" ref="Q110">IF($D110&lt;COLUMNS($F$7:Q$7),"",INDEX(TableDiv[[GASB]:[GASB]],_xlfn.AGGREGATE(15,3,(TableDiv[[Agency]:[Agency]]=$E110)/(TableDiv[[Agency]:[Agency]]=$E110)*(ROW(TableDiv[Agency])-ROW(TableDiv[[#Headers],[Agency]])),COLUMNS($F$7:Q$7))))</f>
        <v/>
      </c>
      <c r="R110" s="2223" t="str" cm="1">
        <f t="array" ref="R110">IF($D110&lt;COLUMNS($F$7:R$7),"",INDEX(TableDiv[[GASB]:[GASB]],_xlfn.AGGREGATE(15,3,(TableDiv[[Agency]:[Agency]]=$E110)/(TableDiv[[Agency]:[Agency]]=$E110)*(ROW(TableDiv[Agency])-ROW(TableDiv[[#Headers],[Agency]])),COLUMNS($F$7:R$7))))</f>
        <v/>
      </c>
      <c r="S110" s="2223" t="str" cm="1">
        <f t="array" ref="S110">IF($D110&lt;COLUMNS($F$7:S$7),"",INDEX(TableDiv[[GASB]:[GASB]],_xlfn.AGGREGATE(15,3,(TableDiv[[Agency]:[Agency]]=$E110)/(TableDiv[[Agency]:[Agency]]=$E110)*(ROW(TableDiv[Agency])-ROW(TableDiv[[#Headers],[Agency]])),COLUMNS($F$7:S$7))))</f>
        <v/>
      </c>
      <c r="T110" s="2223" t="str" cm="1">
        <f t="array" ref="T110">IF($D110&lt;COLUMNS($F$7:T$7),"",INDEX(TableDiv[[GASB]:[GASB]],_xlfn.AGGREGATE(15,3,(TableDiv[[Agency]:[Agency]]=$E110)/(TableDiv[[Agency]:[Agency]]=$E110)*(ROW(TableDiv[Agency])-ROW(TableDiv[[#Headers],[Agency]])),COLUMNS($F$7:T$7))))</f>
        <v/>
      </c>
      <c r="U110" s="2223" t="str" cm="1">
        <f t="array" ref="U110">IF($D110&lt;COLUMNS($F$7:U$7),"",INDEX(TableDiv[[GASB]:[GASB]],_xlfn.AGGREGATE(15,3,(TableDiv[[Agency]:[Agency]]=$E110)/(TableDiv[[Agency]:[Agency]]=$E110)*(ROW(TableDiv[Agency])-ROW(TableDiv[[#Headers],[Agency]])),COLUMNS($F$7:U$7))))</f>
        <v/>
      </c>
      <c r="V110" s="2223" t="str" cm="1">
        <f t="array" ref="V110">IF($D110&lt;COLUMNS($F$7:V$7),"",INDEX(TableDiv[[GASB]:[GASB]],_xlfn.AGGREGATE(15,3,(TableDiv[[Agency]:[Agency]]=$E110)/(TableDiv[[Agency]:[Agency]]=$E110)*(ROW(TableDiv[Agency])-ROW(TableDiv[[#Headers],[Agency]])),COLUMNS($F$7:V$7))))</f>
        <v/>
      </c>
      <c r="W110" s="2223" t="str" cm="1">
        <f t="array" ref="W110">IF($D110&lt;COLUMNS($F$7:W$7),"",INDEX(TableDiv[[GASB]:[GASB]],_xlfn.AGGREGATE(15,3,(TableDiv[[Agency]:[Agency]]=$E110)/(TableDiv[[Agency]:[Agency]]=$E110)*(ROW(TableDiv[Agency])-ROW(TableDiv[[#Headers],[Agency]])),COLUMNS($F$7:W$7))))</f>
        <v/>
      </c>
      <c r="X110" s="2223" t="str" cm="1">
        <f t="array" ref="X110">IF($D110&lt;COLUMNS($F$7:X$7),"",INDEX(TableDiv[[GASB]:[GASB]],_xlfn.AGGREGATE(15,3,(TableDiv[[Agency]:[Agency]]=$E110)/(TableDiv[[Agency]:[Agency]]=$E110)*(ROW(TableDiv[Agency])-ROW(TableDiv[[#Headers],[Agency]])),COLUMNS($F$7:X$7))))</f>
        <v/>
      </c>
      <c r="Y110" s="2223" t="str" cm="1">
        <f t="array" ref="Y110">IF($D110&lt;COLUMNS($F$7:Y$7),"",INDEX(TableDiv[[GASB]:[GASB]],_xlfn.AGGREGATE(15,3,(TableDiv[[Agency]:[Agency]]=$E110)/(TableDiv[[Agency]:[Agency]]=$E110)*(ROW(TableDiv[Agency])-ROW(TableDiv[[#Headers],[Agency]])),COLUMNS($F$7:Y$7))))</f>
        <v/>
      </c>
      <c r="Z110" s="2223" t="str" cm="1">
        <f t="array" ref="Z110">IF($D110&lt;COLUMNS($F$7:Z$7),"",INDEX(TableDiv[[GASB]:[GASB]],_xlfn.AGGREGATE(15,3,(TableDiv[[Agency]:[Agency]]=$E110)/(TableDiv[[Agency]:[Agency]]=$E110)*(ROW(TableDiv[Agency])-ROW(TableDiv[[#Headers],[Agency]])),COLUMNS($F$7:Z$7))))</f>
        <v/>
      </c>
      <c r="AA110" s="2223" t="str" cm="1">
        <f t="array" ref="AA110">IF($D110&lt;COLUMNS($F$7:AA$7),"",INDEX(TableDiv[[GASB]:[GASB]],_xlfn.AGGREGATE(15,3,(TableDiv[[Agency]:[Agency]]=$E110)/(TableDiv[[Agency]:[Agency]]=$E110)*(ROW(TableDiv[Agency])-ROW(TableDiv[[#Headers],[Agency]])),COLUMNS($F$7:AA$7))))</f>
        <v/>
      </c>
      <c r="AB110" s="2223" t="str" cm="1">
        <f t="array" ref="AB110">IF($D110&lt;COLUMNS($F$7:AB$7),"",INDEX(TableDiv[[GASB]:[GASB]],_xlfn.AGGREGATE(15,3,(TableDiv[[Agency]:[Agency]]=$E110)/(TableDiv[[Agency]:[Agency]]=$E110)*(ROW(TableDiv[Agency])-ROW(TableDiv[[#Headers],[Agency]])),COLUMNS($F$7:AB$7))))</f>
        <v/>
      </c>
      <c r="AC110" s="2223" t="str" cm="1">
        <f t="array" ref="AC110">IF($D110&lt;COLUMNS($F$7:AC$7),"",INDEX(TableDiv[[GASB]:[GASB]],_xlfn.AGGREGATE(15,3,(TableDiv[[Agency]:[Agency]]=$E110)/(TableDiv[[Agency]:[Agency]]=$E110)*(ROW(TableDiv[Agency])-ROW(TableDiv[[#Headers],[Agency]])),COLUMNS($F$7:AC$7))))</f>
        <v/>
      </c>
      <c r="AD110" s="2223" t="str" cm="1">
        <f t="array" ref="AD110">IF($D110&lt;COLUMNS($F$7:AD$7),"",INDEX(TableDiv[[GASB]:[GASB]],_xlfn.AGGREGATE(15,3,(TableDiv[[Agency]:[Agency]]=$E110)/(TableDiv[[Agency]:[Agency]]=$E110)*(ROW(TableDiv[Agency])-ROW(TableDiv[[#Headers],[Agency]])),COLUMNS($F$7:AD$7))))</f>
        <v/>
      </c>
      <c r="AE110" s="2223" t="str" cm="1">
        <f t="array" ref="AE110">IF($D110&lt;COLUMNS($F$7:AE$7),"",INDEX(TableDiv[[GASB]:[GASB]],_xlfn.AGGREGATE(15,3,(TableDiv[[Agency]:[Agency]]=$E110)/(TableDiv[[Agency]:[Agency]]=$E110)*(ROW(TableDiv[Agency])-ROW(TableDiv[[#Headers],[Agency]])),COLUMNS($F$7:AE$7))))</f>
        <v/>
      </c>
      <c r="AF110" s="2223" t="str" cm="1">
        <f t="array" ref="AF110">IF($D110&lt;COLUMNS($F$7:AF$7),"",INDEX(TableDiv[[GASB]:[GASB]],_xlfn.AGGREGATE(15,3,(TableDiv[[Agency]:[Agency]]=$E110)/(TableDiv[[Agency]:[Agency]]=$E110)*(ROW(TableDiv[Agency])-ROW(TableDiv[[#Headers],[Agency]])),COLUMNS($F$7:AF$7))))</f>
        <v/>
      </c>
      <c r="AG110" s="2223" t="str" cm="1">
        <f t="array" ref="AG110">IF($D110&lt;COLUMNS($F$7:AG$7),"",INDEX(TableDiv[[GASB]:[GASB]],_xlfn.AGGREGATE(15,3,(TableDiv[[Agency]:[Agency]]=$E110)/(TableDiv[[Agency]:[Agency]]=$E110)*(ROW(TableDiv[Agency])-ROW(TableDiv[[#Headers],[Agency]])),COLUMNS($F$7:AG$7))))</f>
        <v/>
      </c>
      <c r="AH110" s="2223" t="str" cm="1">
        <f t="array" ref="AH110">IF($D110&lt;COLUMNS($F$7:AH$7),"",INDEX(TableDiv[[GASB]:[GASB]],_xlfn.AGGREGATE(15,3,(TableDiv[[Agency]:[Agency]]=$E110)/(TableDiv[[Agency]:[Agency]]=$E110)*(ROW(TableDiv[Agency])-ROW(TableDiv[[#Headers],[Agency]])),COLUMNS($F$7:AH$7))))</f>
        <v/>
      </c>
      <c r="AI110" s="2223" t="str" cm="1">
        <f t="array" ref="AI110">IF($D110&lt;COLUMNS($F$7:AI$7),"",INDEX(TableDiv[[GASB]:[GASB]],_xlfn.AGGREGATE(15,3,(TableDiv[[Agency]:[Agency]]=$E110)/(TableDiv[[Agency]:[Agency]]=$E110)*(ROW(TableDiv[Agency])-ROW(TableDiv[[#Headers],[Agency]])),COLUMNS($F$7:AI$7))))</f>
        <v/>
      </c>
      <c r="AJ110" s="2223" t="str" cm="1">
        <f t="array" ref="AJ110">IF($D110&lt;COLUMNS($F$7:AJ$7),"",INDEX(TableDiv[[GASB]:[GASB]],_xlfn.AGGREGATE(15,3,(TableDiv[[Agency]:[Agency]]=$E110)/(TableDiv[[Agency]:[Agency]]=$E110)*(ROW(TableDiv[Agency])-ROW(TableDiv[[#Headers],[Agency]])),COLUMNS($F$7:AJ$7))))</f>
        <v/>
      </c>
      <c r="AK110" s="2223" t="str" cm="1">
        <f t="array" ref="AK110">IF($D110&lt;COLUMNS($F$7:AK$7),"",INDEX(TableDiv[[GASB]:[GASB]],_xlfn.AGGREGATE(15,3,(TableDiv[[Agency]:[Agency]]=$E110)/(TableDiv[[Agency]:[Agency]]=$E110)*(ROW(TableDiv[Agency])-ROW(TableDiv[[#Headers],[Agency]])),COLUMNS($F$7:AK$7))))</f>
        <v/>
      </c>
      <c r="AL110" s="2223" t="str" cm="1">
        <f t="array" ref="AL110">IF($D110&lt;COLUMNS($F$7:AL$7),"",INDEX(TableDiv[[GASB]:[GASB]],_xlfn.AGGREGATE(15,3,(TableDiv[[Agency]:[Agency]]=$E110)/(TableDiv[[Agency]:[Agency]]=$E110)*(ROW(TableDiv[Agency])-ROW(TableDiv[[#Headers],[Agency]])),COLUMNS($F$7:AL$7))))</f>
        <v/>
      </c>
      <c r="AM110" s="2223" t="str" cm="1">
        <f t="array" ref="AM110">IF($D110&lt;COLUMNS($F$7:AM$7),"",INDEX(TableDiv[[GASB]:[GASB]],_xlfn.AGGREGATE(15,3,(TableDiv[[Agency]:[Agency]]=$E110)/(TableDiv[[Agency]:[Agency]]=$E110)*(ROW(TableDiv[Agency])-ROW(TableDiv[[#Headers],[Agency]])),COLUMNS($F$7:AM$7))))</f>
        <v/>
      </c>
      <c r="AN110" s="2223"/>
      <c r="AO110" s="2223"/>
      <c r="AP110" s="2223"/>
      <c r="AQ110" s="2223"/>
      <c r="AR110" s="2223"/>
      <c r="AS110" s="2223"/>
    </row>
    <row r="111" spans="1:45" ht="15" x14ac:dyDescent="0.25">
      <c r="A111" s="2219" t="s">
        <v>5107</v>
      </c>
      <c r="B111" s="2219" t="s">
        <v>1878</v>
      </c>
      <c r="C111" s="2223"/>
      <c r="D111" s="2223">
        <f>COUNTIF(TableDiv[Agency],E111)</f>
        <v>1</v>
      </c>
      <c r="E111" s="2230" t="str" cm="1">
        <f t="array" ref="E111">IFERROR(INDEX(TableDiv[Agency],MATCH(0,INDEX(COUNTIF($E$7:E110,TableDiv[Agency]),),0)),"")</f>
        <v>D6F</v>
      </c>
      <c r="F111" s="2223" t="str" cm="1">
        <f t="array" ref="F111">IF($D111&lt;COLUMNS($F$7:F$7),"",INDEX(TableDiv[[GASB]:[GASB]],_xlfn.AGGREGATE(15,3,(TableDiv[[Agency]:[Agency]]=$E111)/(TableDiv[[Agency]:[Agency]]=$E111)*(ROW(TableDiv[Agency])-ROW(TableDiv[[#Headers],[Agency]])),COLUMNS($F$7:F$7))))</f>
        <v>48200G</v>
      </c>
      <c r="G111" s="2223" t="str" cm="1">
        <f t="array" ref="G111">IF($D111&lt;COLUMNS($F$7:G$7),"",INDEX(TableDiv[[GASB]:[GASB]],_xlfn.AGGREGATE(15,3,(TableDiv[[Agency]:[Agency]]=$E111)/(TableDiv[[Agency]:[Agency]]=$E111)*(ROW(TableDiv[Agency])-ROW(TableDiv[[#Headers],[Agency]])),COLUMNS($F$7:G$7))))</f>
        <v/>
      </c>
      <c r="H111" s="2223" t="str" cm="1">
        <f t="array" ref="H111">IF($D111&lt;COLUMNS($F$7:H$7),"",INDEX(TableDiv[[GASB]:[GASB]],_xlfn.AGGREGATE(15,3,(TableDiv[[Agency]:[Agency]]=$E111)/(TableDiv[[Agency]:[Agency]]=$E111)*(ROW(TableDiv[Agency])-ROW(TableDiv[[#Headers],[Agency]])),COLUMNS($F$7:H$7))))</f>
        <v/>
      </c>
      <c r="I111" s="2223" t="str" cm="1">
        <f t="array" ref="I111">IF($D111&lt;COLUMNS($F$7:I$7),"",INDEX(TableDiv[[GASB]:[GASB]],_xlfn.AGGREGATE(15,3,(TableDiv[[Agency]:[Agency]]=$E111)/(TableDiv[[Agency]:[Agency]]=$E111)*(ROW(TableDiv[Agency])-ROW(TableDiv[[#Headers],[Agency]])),COLUMNS($F$7:I$7))))</f>
        <v/>
      </c>
      <c r="J111" s="2223" t="str" cm="1">
        <f t="array" ref="J111">IF($D111&lt;COLUMNS($F$7:J$7),"",INDEX(TableDiv[[GASB]:[GASB]],_xlfn.AGGREGATE(15,3,(TableDiv[[Agency]:[Agency]]=$E111)/(TableDiv[[Agency]:[Agency]]=$E111)*(ROW(TableDiv[Agency])-ROW(TableDiv[[#Headers],[Agency]])),COLUMNS($F$7:J$7))))</f>
        <v/>
      </c>
      <c r="K111" s="2223" t="str" cm="1">
        <f t="array" ref="K111">IF($D111&lt;COLUMNS($F$7:K$7),"",INDEX(TableDiv[[GASB]:[GASB]],_xlfn.AGGREGATE(15,3,(TableDiv[[Agency]:[Agency]]=$E111)/(TableDiv[[Agency]:[Agency]]=$E111)*(ROW(TableDiv[Agency])-ROW(TableDiv[[#Headers],[Agency]])),COLUMNS($F$7:K$7))))</f>
        <v/>
      </c>
      <c r="L111" s="2223" t="str" cm="1">
        <f t="array" ref="L111">IF($D111&lt;COLUMNS($F$7:L$7),"",INDEX(TableDiv[[GASB]:[GASB]],_xlfn.AGGREGATE(15,3,(TableDiv[[Agency]:[Agency]]=$E111)/(TableDiv[[Agency]:[Agency]]=$E111)*(ROW(TableDiv[Agency])-ROW(TableDiv[[#Headers],[Agency]])),COLUMNS($F$7:L$7))))</f>
        <v/>
      </c>
      <c r="M111" s="2223" t="str" cm="1">
        <f t="array" ref="M111">IF($D111&lt;COLUMNS($F$7:M$7),"",INDEX(TableDiv[[GASB]:[GASB]],_xlfn.AGGREGATE(15,3,(TableDiv[[Agency]:[Agency]]=$E111)/(TableDiv[[Agency]:[Agency]]=$E111)*(ROW(TableDiv[Agency])-ROW(TableDiv[[#Headers],[Agency]])),COLUMNS($F$7:M$7))))</f>
        <v/>
      </c>
      <c r="N111" s="2223" t="str" cm="1">
        <f t="array" ref="N111">IF($D111&lt;COLUMNS($F$7:N$7),"",INDEX(TableDiv[[GASB]:[GASB]],_xlfn.AGGREGATE(15,3,(TableDiv[[Agency]:[Agency]]=$E111)/(TableDiv[[Agency]:[Agency]]=$E111)*(ROW(TableDiv[Agency])-ROW(TableDiv[[#Headers],[Agency]])),COLUMNS($F$7:N$7))))</f>
        <v/>
      </c>
      <c r="O111" s="2223" t="str" cm="1">
        <f t="array" ref="O111">IF($D111&lt;COLUMNS($F$7:O$7),"",INDEX(TableDiv[[GASB]:[GASB]],_xlfn.AGGREGATE(15,3,(TableDiv[[Agency]:[Agency]]=$E111)/(TableDiv[[Agency]:[Agency]]=$E111)*(ROW(TableDiv[Agency])-ROW(TableDiv[[#Headers],[Agency]])),COLUMNS($F$7:O$7))))</f>
        <v/>
      </c>
      <c r="P111" s="2223" t="str" cm="1">
        <f t="array" ref="P111">IF($D111&lt;COLUMNS($F$7:P$7),"",INDEX(TableDiv[[GASB]:[GASB]],_xlfn.AGGREGATE(15,3,(TableDiv[[Agency]:[Agency]]=$E111)/(TableDiv[[Agency]:[Agency]]=$E111)*(ROW(TableDiv[Agency])-ROW(TableDiv[[#Headers],[Agency]])),COLUMNS($F$7:P$7))))</f>
        <v/>
      </c>
      <c r="Q111" s="2223" t="str" cm="1">
        <f t="array" ref="Q111">IF($D111&lt;COLUMNS($F$7:Q$7),"",INDEX(TableDiv[[GASB]:[GASB]],_xlfn.AGGREGATE(15,3,(TableDiv[[Agency]:[Agency]]=$E111)/(TableDiv[[Agency]:[Agency]]=$E111)*(ROW(TableDiv[Agency])-ROW(TableDiv[[#Headers],[Agency]])),COLUMNS($F$7:Q$7))))</f>
        <v/>
      </c>
      <c r="R111" s="2223" t="str" cm="1">
        <f t="array" ref="R111">IF($D111&lt;COLUMNS($F$7:R$7),"",INDEX(TableDiv[[GASB]:[GASB]],_xlfn.AGGREGATE(15,3,(TableDiv[[Agency]:[Agency]]=$E111)/(TableDiv[[Agency]:[Agency]]=$E111)*(ROW(TableDiv[Agency])-ROW(TableDiv[[#Headers],[Agency]])),COLUMNS($F$7:R$7))))</f>
        <v/>
      </c>
      <c r="S111" s="2223" t="str" cm="1">
        <f t="array" ref="S111">IF($D111&lt;COLUMNS($F$7:S$7),"",INDEX(TableDiv[[GASB]:[GASB]],_xlfn.AGGREGATE(15,3,(TableDiv[[Agency]:[Agency]]=$E111)/(TableDiv[[Agency]:[Agency]]=$E111)*(ROW(TableDiv[Agency])-ROW(TableDiv[[#Headers],[Agency]])),COLUMNS($F$7:S$7))))</f>
        <v/>
      </c>
      <c r="T111" s="2223" t="str" cm="1">
        <f t="array" ref="T111">IF($D111&lt;COLUMNS($F$7:T$7),"",INDEX(TableDiv[[GASB]:[GASB]],_xlfn.AGGREGATE(15,3,(TableDiv[[Agency]:[Agency]]=$E111)/(TableDiv[[Agency]:[Agency]]=$E111)*(ROW(TableDiv[Agency])-ROW(TableDiv[[#Headers],[Agency]])),COLUMNS($F$7:T$7))))</f>
        <v/>
      </c>
      <c r="U111" s="2223" t="str" cm="1">
        <f t="array" ref="U111">IF($D111&lt;COLUMNS($F$7:U$7),"",INDEX(TableDiv[[GASB]:[GASB]],_xlfn.AGGREGATE(15,3,(TableDiv[[Agency]:[Agency]]=$E111)/(TableDiv[[Agency]:[Agency]]=$E111)*(ROW(TableDiv[Agency])-ROW(TableDiv[[#Headers],[Agency]])),COLUMNS($F$7:U$7))))</f>
        <v/>
      </c>
      <c r="V111" s="2223" t="str" cm="1">
        <f t="array" ref="V111">IF($D111&lt;COLUMNS($F$7:V$7),"",INDEX(TableDiv[[GASB]:[GASB]],_xlfn.AGGREGATE(15,3,(TableDiv[[Agency]:[Agency]]=$E111)/(TableDiv[[Agency]:[Agency]]=$E111)*(ROW(TableDiv[Agency])-ROW(TableDiv[[#Headers],[Agency]])),COLUMNS($F$7:V$7))))</f>
        <v/>
      </c>
      <c r="W111" s="2223" t="str" cm="1">
        <f t="array" ref="W111">IF($D111&lt;COLUMNS($F$7:W$7),"",INDEX(TableDiv[[GASB]:[GASB]],_xlfn.AGGREGATE(15,3,(TableDiv[[Agency]:[Agency]]=$E111)/(TableDiv[[Agency]:[Agency]]=$E111)*(ROW(TableDiv[Agency])-ROW(TableDiv[[#Headers],[Agency]])),COLUMNS($F$7:W$7))))</f>
        <v/>
      </c>
      <c r="X111" s="2223" t="str" cm="1">
        <f t="array" ref="X111">IF($D111&lt;COLUMNS($F$7:X$7),"",INDEX(TableDiv[[GASB]:[GASB]],_xlfn.AGGREGATE(15,3,(TableDiv[[Agency]:[Agency]]=$E111)/(TableDiv[[Agency]:[Agency]]=$E111)*(ROW(TableDiv[Agency])-ROW(TableDiv[[#Headers],[Agency]])),COLUMNS($F$7:X$7))))</f>
        <v/>
      </c>
      <c r="Y111" s="2223" t="str" cm="1">
        <f t="array" ref="Y111">IF($D111&lt;COLUMNS($F$7:Y$7),"",INDEX(TableDiv[[GASB]:[GASB]],_xlfn.AGGREGATE(15,3,(TableDiv[[Agency]:[Agency]]=$E111)/(TableDiv[[Agency]:[Agency]]=$E111)*(ROW(TableDiv[Agency])-ROW(TableDiv[[#Headers],[Agency]])),COLUMNS($F$7:Y$7))))</f>
        <v/>
      </c>
      <c r="Z111" s="2223" t="str" cm="1">
        <f t="array" ref="Z111">IF($D111&lt;COLUMNS($F$7:Z$7),"",INDEX(TableDiv[[GASB]:[GASB]],_xlfn.AGGREGATE(15,3,(TableDiv[[Agency]:[Agency]]=$E111)/(TableDiv[[Agency]:[Agency]]=$E111)*(ROW(TableDiv[Agency])-ROW(TableDiv[[#Headers],[Agency]])),COLUMNS($F$7:Z$7))))</f>
        <v/>
      </c>
      <c r="AA111" s="2223" t="str" cm="1">
        <f t="array" ref="AA111">IF($D111&lt;COLUMNS($F$7:AA$7),"",INDEX(TableDiv[[GASB]:[GASB]],_xlfn.AGGREGATE(15,3,(TableDiv[[Agency]:[Agency]]=$E111)/(TableDiv[[Agency]:[Agency]]=$E111)*(ROW(TableDiv[Agency])-ROW(TableDiv[[#Headers],[Agency]])),COLUMNS($F$7:AA$7))))</f>
        <v/>
      </c>
      <c r="AB111" s="2223" t="str" cm="1">
        <f t="array" ref="AB111">IF($D111&lt;COLUMNS($F$7:AB$7),"",INDEX(TableDiv[[GASB]:[GASB]],_xlfn.AGGREGATE(15,3,(TableDiv[[Agency]:[Agency]]=$E111)/(TableDiv[[Agency]:[Agency]]=$E111)*(ROW(TableDiv[Agency])-ROW(TableDiv[[#Headers],[Agency]])),COLUMNS($F$7:AB$7))))</f>
        <v/>
      </c>
      <c r="AC111" s="2223" t="str" cm="1">
        <f t="array" ref="AC111">IF($D111&lt;COLUMNS($F$7:AC$7),"",INDEX(TableDiv[[GASB]:[GASB]],_xlfn.AGGREGATE(15,3,(TableDiv[[Agency]:[Agency]]=$E111)/(TableDiv[[Agency]:[Agency]]=$E111)*(ROW(TableDiv[Agency])-ROW(TableDiv[[#Headers],[Agency]])),COLUMNS($F$7:AC$7))))</f>
        <v/>
      </c>
      <c r="AD111" s="2223" t="str" cm="1">
        <f t="array" ref="AD111">IF($D111&lt;COLUMNS($F$7:AD$7),"",INDEX(TableDiv[[GASB]:[GASB]],_xlfn.AGGREGATE(15,3,(TableDiv[[Agency]:[Agency]]=$E111)/(TableDiv[[Agency]:[Agency]]=$E111)*(ROW(TableDiv[Agency])-ROW(TableDiv[[#Headers],[Agency]])),COLUMNS($F$7:AD$7))))</f>
        <v/>
      </c>
      <c r="AE111" s="2223" t="str" cm="1">
        <f t="array" ref="AE111">IF($D111&lt;COLUMNS($F$7:AE$7),"",INDEX(TableDiv[[GASB]:[GASB]],_xlfn.AGGREGATE(15,3,(TableDiv[[Agency]:[Agency]]=$E111)/(TableDiv[[Agency]:[Agency]]=$E111)*(ROW(TableDiv[Agency])-ROW(TableDiv[[#Headers],[Agency]])),COLUMNS($F$7:AE$7))))</f>
        <v/>
      </c>
      <c r="AF111" s="2223" t="str" cm="1">
        <f t="array" ref="AF111">IF($D111&lt;COLUMNS($F$7:AF$7),"",INDEX(TableDiv[[GASB]:[GASB]],_xlfn.AGGREGATE(15,3,(TableDiv[[Agency]:[Agency]]=$E111)/(TableDiv[[Agency]:[Agency]]=$E111)*(ROW(TableDiv[Agency])-ROW(TableDiv[[#Headers],[Agency]])),COLUMNS($F$7:AF$7))))</f>
        <v/>
      </c>
      <c r="AG111" s="2223" t="str" cm="1">
        <f t="array" ref="AG111">IF($D111&lt;COLUMNS($F$7:AG$7),"",INDEX(TableDiv[[GASB]:[GASB]],_xlfn.AGGREGATE(15,3,(TableDiv[[Agency]:[Agency]]=$E111)/(TableDiv[[Agency]:[Agency]]=$E111)*(ROW(TableDiv[Agency])-ROW(TableDiv[[#Headers],[Agency]])),COLUMNS($F$7:AG$7))))</f>
        <v/>
      </c>
      <c r="AH111" s="2223" t="str" cm="1">
        <f t="array" ref="AH111">IF($D111&lt;COLUMNS($F$7:AH$7),"",INDEX(TableDiv[[GASB]:[GASB]],_xlfn.AGGREGATE(15,3,(TableDiv[[Agency]:[Agency]]=$E111)/(TableDiv[[Agency]:[Agency]]=$E111)*(ROW(TableDiv[Agency])-ROW(TableDiv[[#Headers],[Agency]])),COLUMNS($F$7:AH$7))))</f>
        <v/>
      </c>
      <c r="AI111" s="2223" t="str" cm="1">
        <f t="array" ref="AI111">IF($D111&lt;COLUMNS($F$7:AI$7),"",INDEX(TableDiv[[GASB]:[GASB]],_xlfn.AGGREGATE(15,3,(TableDiv[[Agency]:[Agency]]=$E111)/(TableDiv[[Agency]:[Agency]]=$E111)*(ROW(TableDiv[Agency])-ROW(TableDiv[[#Headers],[Agency]])),COLUMNS($F$7:AI$7))))</f>
        <v/>
      </c>
      <c r="AJ111" s="2223" t="str" cm="1">
        <f t="array" ref="AJ111">IF($D111&lt;COLUMNS($F$7:AJ$7),"",INDEX(TableDiv[[GASB]:[GASB]],_xlfn.AGGREGATE(15,3,(TableDiv[[Agency]:[Agency]]=$E111)/(TableDiv[[Agency]:[Agency]]=$E111)*(ROW(TableDiv[Agency])-ROW(TableDiv[[#Headers],[Agency]])),COLUMNS($F$7:AJ$7))))</f>
        <v/>
      </c>
      <c r="AK111" s="2223" t="str" cm="1">
        <f t="array" ref="AK111">IF($D111&lt;COLUMNS($F$7:AK$7),"",INDEX(TableDiv[[GASB]:[GASB]],_xlfn.AGGREGATE(15,3,(TableDiv[[Agency]:[Agency]]=$E111)/(TableDiv[[Agency]:[Agency]]=$E111)*(ROW(TableDiv[Agency])-ROW(TableDiv[[#Headers],[Agency]])),COLUMNS($F$7:AK$7))))</f>
        <v/>
      </c>
      <c r="AL111" s="2223" t="str" cm="1">
        <f t="array" ref="AL111">IF($D111&lt;COLUMNS($F$7:AL$7),"",INDEX(TableDiv[[GASB]:[GASB]],_xlfn.AGGREGATE(15,3,(TableDiv[[Agency]:[Agency]]=$E111)/(TableDiv[[Agency]:[Agency]]=$E111)*(ROW(TableDiv[Agency])-ROW(TableDiv[[#Headers],[Agency]])),COLUMNS($F$7:AL$7))))</f>
        <v/>
      </c>
      <c r="AM111" s="2223" t="str" cm="1">
        <f t="array" ref="AM111">IF($D111&lt;COLUMNS($F$7:AM$7),"",INDEX(TableDiv[[GASB]:[GASB]],_xlfn.AGGREGATE(15,3,(TableDiv[[Agency]:[Agency]]=$E111)/(TableDiv[[Agency]:[Agency]]=$E111)*(ROW(TableDiv[Agency])-ROW(TableDiv[[#Headers],[Agency]])),COLUMNS($F$7:AM$7))))</f>
        <v/>
      </c>
      <c r="AN111" s="2223"/>
      <c r="AO111" s="2223"/>
      <c r="AP111" s="2223"/>
      <c r="AQ111" s="2223"/>
      <c r="AR111" s="2223"/>
      <c r="AS111" s="2223"/>
    </row>
    <row r="112" spans="1:45" ht="15" x14ac:dyDescent="0.25">
      <c r="A112" s="2219" t="s">
        <v>5107</v>
      </c>
      <c r="B112" s="2219" t="s">
        <v>6416</v>
      </c>
      <c r="C112" s="2223"/>
      <c r="D112" s="2223">
        <f>COUNTIF(TableDiv[Agency],E112)</f>
        <v>1</v>
      </c>
      <c r="E112" s="2230" t="str" cm="1">
        <f t="array" ref="E112">IFERROR(INDEX(TableDiv[Agency],MATCH(0,INDEX(COUNTIF($E$7:E111,TableDiv[Agency]),),0)),"")</f>
        <v>D8F</v>
      </c>
      <c r="F112" s="2223" t="str" cm="1">
        <f t="array" ref="F112">IF($D112&lt;COLUMNS($F$7:F$7),"",INDEX(TableDiv[[GASB]:[GASB]],_xlfn.AGGREGATE(15,3,(TableDiv[[Agency]:[Agency]]=$E112)/(TableDiv[[Agency]:[Agency]]=$E112)*(ROW(TableDiv[Agency])-ROW(TableDiv[[#Headers],[Agency]])),COLUMNS($F$7:F$7))))</f>
        <v>48200G</v>
      </c>
      <c r="G112" s="2223" t="str" cm="1">
        <f t="array" ref="G112">IF($D112&lt;COLUMNS($F$7:G$7),"",INDEX(TableDiv[[GASB]:[GASB]],_xlfn.AGGREGATE(15,3,(TableDiv[[Agency]:[Agency]]=$E112)/(TableDiv[[Agency]:[Agency]]=$E112)*(ROW(TableDiv[Agency])-ROW(TableDiv[[#Headers],[Agency]])),COLUMNS($F$7:G$7))))</f>
        <v/>
      </c>
      <c r="H112" s="2223" t="str" cm="1">
        <f t="array" ref="H112">IF($D112&lt;COLUMNS($F$7:H$7),"",INDEX(TableDiv[[GASB]:[GASB]],_xlfn.AGGREGATE(15,3,(TableDiv[[Agency]:[Agency]]=$E112)/(TableDiv[[Agency]:[Agency]]=$E112)*(ROW(TableDiv[Agency])-ROW(TableDiv[[#Headers],[Agency]])),COLUMNS($F$7:H$7))))</f>
        <v/>
      </c>
      <c r="I112" s="2223" t="str" cm="1">
        <f t="array" ref="I112">IF($D112&lt;COLUMNS($F$7:I$7),"",INDEX(TableDiv[[GASB]:[GASB]],_xlfn.AGGREGATE(15,3,(TableDiv[[Agency]:[Agency]]=$E112)/(TableDiv[[Agency]:[Agency]]=$E112)*(ROW(TableDiv[Agency])-ROW(TableDiv[[#Headers],[Agency]])),COLUMNS($F$7:I$7))))</f>
        <v/>
      </c>
      <c r="J112" s="2223" t="str" cm="1">
        <f t="array" ref="J112">IF($D112&lt;COLUMNS($F$7:J$7),"",INDEX(TableDiv[[GASB]:[GASB]],_xlfn.AGGREGATE(15,3,(TableDiv[[Agency]:[Agency]]=$E112)/(TableDiv[[Agency]:[Agency]]=$E112)*(ROW(TableDiv[Agency])-ROW(TableDiv[[#Headers],[Agency]])),COLUMNS($F$7:J$7))))</f>
        <v/>
      </c>
      <c r="K112" s="2223" t="str" cm="1">
        <f t="array" ref="K112">IF($D112&lt;COLUMNS($F$7:K$7),"",INDEX(TableDiv[[GASB]:[GASB]],_xlfn.AGGREGATE(15,3,(TableDiv[[Agency]:[Agency]]=$E112)/(TableDiv[[Agency]:[Agency]]=$E112)*(ROW(TableDiv[Agency])-ROW(TableDiv[[#Headers],[Agency]])),COLUMNS($F$7:K$7))))</f>
        <v/>
      </c>
      <c r="L112" s="2223" t="str" cm="1">
        <f t="array" ref="L112">IF($D112&lt;COLUMNS($F$7:L$7),"",INDEX(TableDiv[[GASB]:[GASB]],_xlfn.AGGREGATE(15,3,(TableDiv[[Agency]:[Agency]]=$E112)/(TableDiv[[Agency]:[Agency]]=$E112)*(ROW(TableDiv[Agency])-ROW(TableDiv[[#Headers],[Agency]])),COLUMNS($F$7:L$7))))</f>
        <v/>
      </c>
      <c r="M112" s="2223" t="str" cm="1">
        <f t="array" ref="M112">IF($D112&lt;COLUMNS($F$7:M$7),"",INDEX(TableDiv[[GASB]:[GASB]],_xlfn.AGGREGATE(15,3,(TableDiv[[Agency]:[Agency]]=$E112)/(TableDiv[[Agency]:[Agency]]=$E112)*(ROW(TableDiv[Agency])-ROW(TableDiv[[#Headers],[Agency]])),COLUMNS($F$7:M$7))))</f>
        <v/>
      </c>
      <c r="N112" s="2223" t="str" cm="1">
        <f t="array" ref="N112">IF($D112&lt;COLUMNS($F$7:N$7),"",INDEX(TableDiv[[GASB]:[GASB]],_xlfn.AGGREGATE(15,3,(TableDiv[[Agency]:[Agency]]=$E112)/(TableDiv[[Agency]:[Agency]]=$E112)*(ROW(TableDiv[Agency])-ROW(TableDiv[[#Headers],[Agency]])),COLUMNS($F$7:N$7))))</f>
        <v/>
      </c>
      <c r="O112" s="2223" t="str" cm="1">
        <f t="array" ref="O112">IF($D112&lt;COLUMNS($F$7:O$7),"",INDEX(TableDiv[[GASB]:[GASB]],_xlfn.AGGREGATE(15,3,(TableDiv[[Agency]:[Agency]]=$E112)/(TableDiv[[Agency]:[Agency]]=$E112)*(ROW(TableDiv[Agency])-ROW(TableDiv[[#Headers],[Agency]])),COLUMNS($F$7:O$7))))</f>
        <v/>
      </c>
      <c r="P112" s="2223" t="str" cm="1">
        <f t="array" ref="P112">IF($D112&lt;COLUMNS($F$7:P$7),"",INDEX(TableDiv[[GASB]:[GASB]],_xlfn.AGGREGATE(15,3,(TableDiv[[Agency]:[Agency]]=$E112)/(TableDiv[[Agency]:[Agency]]=$E112)*(ROW(TableDiv[Agency])-ROW(TableDiv[[#Headers],[Agency]])),COLUMNS($F$7:P$7))))</f>
        <v/>
      </c>
      <c r="Q112" s="2223" t="str" cm="1">
        <f t="array" ref="Q112">IF($D112&lt;COLUMNS($F$7:Q$7),"",INDEX(TableDiv[[GASB]:[GASB]],_xlfn.AGGREGATE(15,3,(TableDiv[[Agency]:[Agency]]=$E112)/(TableDiv[[Agency]:[Agency]]=$E112)*(ROW(TableDiv[Agency])-ROW(TableDiv[[#Headers],[Agency]])),COLUMNS($F$7:Q$7))))</f>
        <v/>
      </c>
      <c r="R112" s="2223" t="str" cm="1">
        <f t="array" ref="R112">IF($D112&lt;COLUMNS($F$7:R$7),"",INDEX(TableDiv[[GASB]:[GASB]],_xlfn.AGGREGATE(15,3,(TableDiv[[Agency]:[Agency]]=$E112)/(TableDiv[[Agency]:[Agency]]=$E112)*(ROW(TableDiv[Agency])-ROW(TableDiv[[#Headers],[Agency]])),COLUMNS($F$7:R$7))))</f>
        <v/>
      </c>
      <c r="S112" s="2223" t="str" cm="1">
        <f t="array" ref="S112">IF($D112&lt;COLUMNS($F$7:S$7),"",INDEX(TableDiv[[GASB]:[GASB]],_xlfn.AGGREGATE(15,3,(TableDiv[[Agency]:[Agency]]=$E112)/(TableDiv[[Agency]:[Agency]]=$E112)*(ROW(TableDiv[Agency])-ROW(TableDiv[[#Headers],[Agency]])),COLUMNS($F$7:S$7))))</f>
        <v/>
      </c>
      <c r="T112" s="2223" t="str" cm="1">
        <f t="array" ref="T112">IF($D112&lt;COLUMNS($F$7:T$7),"",INDEX(TableDiv[[GASB]:[GASB]],_xlfn.AGGREGATE(15,3,(TableDiv[[Agency]:[Agency]]=$E112)/(TableDiv[[Agency]:[Agency]]=$E112)*(ROW(TableDiv[Agency])-ROW(TableDiv[[#Headers],[Agency]])),COLUMNS($F$7:T$7))))</f>
        <v/>
      </c>
      <c r="U112" s="2223" t="str" cm="1">
        <f t="array" ref="U112">IF($D112&lt;COLUMNS($F$7:U$7),"",INDEX(TableDiv[[GASB]:[GASB]],_xlfn.AGGREGATE(15,3,(TableDiv[[Agency]:[Agency]]=$E112)/(TableDiv[[Agency]:[Agency]]=$E112)*(ROW(TableDiv[Agency])-ROW(TableDiv[[#Headers],[Agency]])),COLUMNS($F$7:U$7))))</f>
        <v/>
      </c>
      <c r="V112" s="2223" t="str" cm="1">
        <f t="array" ref="V112">IF($D112&lt;COLUMNS($F$7:V$7),"",INDEX(TableDiv[[GASB]:[GASB]],_xlfn.AGGREGATE(15,3,(TableDiv[[Agency]:[Agency]]=$E112)/(TableDiv[[Agency]:[Agency]]=$E112)*(ROW(TableDiv[Agency])-ROW(TableDiv[[#Headers],[Agency]])),COLUMNS($F$7:V$7))))</f>
        <v/>
      </c>
      <c r="W112" s="2223" t="str" cm="1">
        <f t="array" ref="W112">IF($D112&lt;COLUMNS($F$7:W$7),"",INDEX(TableDiv[[GASB]:[GASB]],_xlfn.AGGREGATE(15,3,(TableDiv[[Agency]:[Agency]]=$E112)/(TableDiv[[Agency]:[Agency]]=$E112)*(ROW(TableDiv[Agency])-ROW(TableDiv[[#Headers],[Agency]])),COLUMNS($F$7:W$7))))</f>
        <v/>
      </c>
      <c r="X112" s="2223" t="str" cm="1">
        <f t="array" ref="X112">IF($D112&lt;COLUMNS($F$7:X$7),"",INDEX(TableDiv[[GASB]:[GASB]],_xlfn.AGGREGATE(15,3,(TableDiv[[Agency]:[Agency]]=$E112)/(TableDiv[[Agency]:[Agency]]=$E112)*(ROW(TableDiv[Agency])-ROW(TableDiv[[#Headers],[Agency]])),COLUMNS($F$7:X$7))))</f>
        <v/>
      </c>
      <c r="Y112" s="2223" t="str" cm="1">
        <f t="array" ref="Y112">IF($D112&lt;COLUMNS($F$7:Y$7),"",INDEX(TableDiv[[GASB]:[GASB]],_xlfn.AGGREGATE(15,3,(TableDiv[[Agency]:[Agency]]=$E112)/(TableDiv[[Agency]:[Agency]]=$E112)*(ROW(TableDiv[Agency])-ROW(TableDiv[[#Headers],[Agency]])),COLUMNS($F$7:Y$7))))</f>
        <v/>
      </c>
      <c r="Z112" s="2223" t="str" cm="1">
        <f t="array" ref="Z112">IF($D112&lt;COLUMNS($F$7:Z$7),"",INDEX(TableDiv[[GASB]:[GASB]],_xlfn.AGGREGATE(15,3,(TableDiv[[Agency]:[Agency]]=$E112)/(TableDiv[[Agency]:[Agency]]=$E112)*(ROW(TableDiv[Agency])-ROW(TableDiv[[#Headers],[Agency]])),COLUMNS($F$7:Z$7))))</f>
        <v/>
      </c>
      <c r="AA112" s="2223" t="str" cm="1">
        <f t="array" ref="AA112">IF($D112&lt;COLUMNS($F$7:AA$7),"",INDEX(TableDiv[[GASB]:[GASB]],_xlfn.AGGREGATE(15,3,(TableDiv[[Agency]:[Agency]]=$E112)/(TableDiv[[Agency]:[Agency]]=$E112)*(ROW(TableDiv[Agency])-ROW(TableDiv[[#Headers],[Agency]])),COLUMNS($F$7:AA$7))))</f>
        <v/>
      </c>
      <c r="AB112" s="2223" t="str" cm="1">
        <f t="array" ref="AB112">IF($D112&lt;COLUMNS($F$7:AB$7),"",INDEX(TableDiv[[GASB]:[GASB]],_xlfn.AGGREGATE(15,3,(TableDiv[[Agency]:[Agency]]=$E112)/(TableDiv[[Agency]:[Agency]]=$E112)*(ROW(TableDiv[Agency])-ROW(TableDiv[[#Headers],[Agency]])),COLUMNS($F$7:AB$7))))</f>
        <v/>
      </c>
      <c r="AC112" s="2223" t="str" cm="1">
        <f t="array" ref="AC112">IF($D112&lt;COLUMNS($F$7:AC$7),"",INDEX(TableDiv[[GASB]:[GASB]],_xlfn.AGGREGATE(15,3,(TableDiv[[Agency]:[Agency]]=$E112)/(TableDiv[[Agency]:[Agency]]=$E112)*(ROW(TableDiv[Agency])-ROW(TableDiv[[#Headers],[Agency]])),COLUMNS($F$7:AC$7))))</f>
        <v/>
      </c>
      <c r="AD112" s="2223" t="str" cm="1">
        <f t="array" ref="AD112">IF($D112&lt;COLUMNS($F$7:AD$7),"",INDEX(TableDiv[[GASB]:[GASB]],_xlfn.AGGREGATE(15,3,(TableDiv[[Agency]:[Agency]]=$E112)/(TableDiv[[Agency]:[Agency]]=$E112)*(ROW(TableDiv[Agency])-ROW(TableDiv[[#Headers],[Agency]])),COLUMNS($F$7:AD$7))))</f>
        <v/>
      </c>
      <c r="AE112" s="2223" t="str" cm="1">
        <f t="array" ref="AE112">IF($D112&lt;COLUMNS($F$7:AE$7),"",INDEX(TableDiv[[GASB]:[GASB]],_xlfn.AGGREGATE(15,3,(TableDiv[[Agency]:[Agency]]=$E112)/(TableDiv[[Agency]:[Agency]]=$E112)*(ROW(TableDiv[Agency])-ROW(TableDiv[[#Headers],[Agency]])),COLUMNS($F$7:AE$7))))</f>
        <v/>
      </c>
      <c r="AF112" s="2223" t="str" cm="1">
        <f t="array" ref="AF112">IF($D112&lt;COLUMNS($F$7:AF$7),"",INDEX(TableDiv[[GASB]:[GASB]],_xlfn.AGGREGATE(15,3,(TableDiv[[Agency]:[Agency]]=$E112)/(TableDiv[[Agency]:[Agency]]=$E112)*(ROW(TableDiv[Agency])-ROW(TableDiv[[#Headers],[Agency]])),COLUMNS($F$7:AF$7))))</f>
        <v/>
      </c>
      <c r="AG112" s="2223" t="str" cm="1">
        <f t="array" ref="AG112">IF($D112&lt;COLUMNS($F$7:AG$7),"",INDEX(TableDiv[[GASB]:[GASB]],_xlfn.AGGREGATE(15,3,(TableDiv[[Agency]:[Agency]]=$E112)/(TableDiv[[Agency]:[Agency]]=$E112)*(ROW(TableDiv[Agency])-ROW(TableDiv[[#Headers],[Agency]])),COLUMNS($F$7:AG$7))))</f>
        <v/>
      </c>
      <c r="AH112" s="2223" t="str" cm="1">
        <f t="array" ref="AH112">IF($D112&lt;COLUMNS($F$7:AH$7),"",INDEX(TableDiv[[GASB]:[GASB]],_xlfn.AGGREGATE(15,3,(TableDiv[[Agency]:[Agency]]=$E112)/(TableDiv[[Agency]:[Agency]]=$E112)*(ROW(TableDiv[Agency])-ROW(TableDiv[[#Headers],[Agency]])),COLUMNS($F$7:AH$7))))</f>
        <v/>
      </c>
      <c r="AI112" s="2223" t="str" cm="1">
        <f t="array" ref="AI112">IF($D112&lt;COLUMNS($F$7:AI$7),"",INDEX(TableDiv[[GASB]:[GASB]],_xlfn.AGGREGATE(15,3,(TableDiv[[Agency]:[Agency]]=$E112)/(TableDiv[[Agency]:[Agency]]=$E112)*(ROW(TableDiv[Agency])-ROW(TableDiv[[#Headers],[Agency]])),COLUMNS($F$7:AI$7))))</f>
        <v/>
      </c>
      <c r="AJ112" s="2223" t="str" cm="1">
        <f t="array" ref="AJ112">IF($D112&lt;COLUMNS($F$7:AJ$7),"",INDEX(TableDiv[[GASB]:[GASB]],_xlfn.AGGREGATE(15,3,(TableDiv[[Agency]:[Agency]]=$E112)/(TableDiv[[Agency]:[Agency]]=$E112)*(ROW(TableDiv[Agency])-ROW(TableDiv[[#Headers],[Agency]])),COLUMNS($F$7:AJ$7))))</f>
        <v/>
      </c>
      <c r="AK112" s="2223" t="str" cm="1">
        <f t="array" ref="AK112">IF($D112&lt;COLUMNS($F$7:AK$7),"",INDEX(TableDiv[[GASB]:[GASB]],_xlfn.AGGREGATE(15,3,(TableDiv[[Agency]:[Agency]]=$E112)/(TableDiv[[Agency]:[Agency]]=$E112)*(ROW(TableDiv[Agency])-ROW(TableDiv[[#Headers],[Agency]])),COLUMNS($F$7:AK$7))))</f>
        <v/>
      </c>
      <c r="AL112" s="2223" t="str" cm="1">
        <f t="array" ref="AL112">IF($D112&lt;COLUMNS($F$7:AL$7),"",INDEX(TableDiv[[GASB]:[GASB]],_xlfn.AGGREGATE(15,3,(TableDiv[[Agency]:[Agency]]=$E112)/(TableDiv[[Agency]:[Agency]]=$E112)*(ROW(TableDiv[Agency])-ROW(TableDiv[[#Headers],[Agency]])),COLUMNS($F$7:AL$7))))</f>
        <v/>
      </c>
      <c r="AM112" s="2223" t="str" cm="1">
        <f t="array" ref="AM112">IF($D112&lt;COLUMNS($F$7:AM$7),"",INDEX(TableDiv[[GASB]:[GASB]],_xlfn.AGGREGATE(15,3,(TableDiv[[Agency]:[Agency]]=$E112)/(TableDiv[[Agency]:[Agency]]=$E112)*(ROW(TableDiv[Agency])-ROW(TableDiv[[#Headers],[Agency]])),COLUMNS($F$7:AM$7))))</f>
        <v/>
      </c>
      <c r="AN112" s="2223"/>
      <c r="AO112" s="2223"/>
      <c r="AP112" s="2223"/>
      <c r="AQ112" s="2223"/>
      <c r="AR112" s="2223"/>
      <c r="AS112" s="2223"/>
    </row>
    <row r="113" spans="1:45" ht="15" x14ac:dyDescent="0.25">
      <c r="A113" s="2219" t="s">
        <v>5107</v>
      </c>
      <c r="B113" s="2219" t="s">
        <v>6361</v>
      </c>
      <c r="C113" s="2223"/>
      <c r="D113" s="2223">
        <f>COUNTIF(TableDiv[Agency],E113)</f>
        <v>1</v>
      </c>
      <c r="E113" s="2230" t="str" cm="1">
        <f t="array" ref="E113">IFERROR(INDEX(TableDiv[Agency],MATCH(0,INDEX(COUNTIF($E$7:E112,TableDiv[Agency]),),0)),"")</f>
        <v>D9F</v>
      </c>
      <c r="F113" s="2223" t="str" cm="1">
        <f t="array" ref="F113">IF($D113&lt;COLUMNS($F$7:F$7),"",INDEX(TableDiv[[GASB]:[GASB]],_xlfn.AGGREGATE(15,3,(TableDiv[[Agency]:[Agency]]=$E113)/(TableDiv[[Agency]:[Agency]]=$E113)*(ROW(TableDiv[Agency])-ROW(TableDiv[[#Headers],[Agency]])),COLUMNS($F$7:F$7))))</f>
        <v>48200G</v>
      </c>
      <c r="G113" s="2223" t="str" cm="1">
        <f t="array" ref="G113">IF($D113&lt;COLUMNS($F$7:G$7),"",INDEX(TableDiv[[GASB]:[GASB]],_xlfn.AGGREGATE(15,3,(TableDiv[[Agency]:[Agency]]=$E113)/(TableDiv[[Agency]:[Agency]]=$E113)*(ROW(TableDiv[Agency])-ROW(TableDiv[[#Headers],[Agency]])),COLUMNS($F$7:G$7))))</f>
        <v/>
      </c>
      <c r="H113" s="2223" t="str" cm="1">
        <f t="array" ref="H113">IF($D113&lt;COLUMNS($F$7:H$7),"",INDEX(TableDiv[[GASB]:[GASB]],_xlfn.AGGREGATE(15,3,(TableDiv[[Agency]:[Agency]]=$E113)/(TableDiv[[Agency]:[Agency]]=$E113)*(ROW(TableDiv[Agency])-ROW(TableDiv[[#Headers],[Agency]])),COLUMNS($F$7:H$7))))</f>
        <v/>
      </c>
      <c r="I113" s="2223" t="str" cm="1">
        <f t="array" ref="I113">IF($D113&lt;COLUMNS($F$7:I$7),"",INDEX(TableDiv[[GASB]:[GASB]],_xlfn.AGGREGATE(15,3,(TableDiv[[Agency]:[Agency]]=$E113)/(TableDiv[[Agency]:[Agency]]=$E113)*(ROW(TableDiv[Agency])-ROW(TableDiv[[#Headers],[Agency]])),COLUMNS($F$7:I$7))))</f>
        <v/>
      </c>
      <c r="J113" s="2223" t="str" cm="1">
        <f t="array" ref="J113">IF($D113&lt;COLUMNS($F$7:J$7),"",INDEX(TableDiv[[GASB]:[GASB]],_xlfn.AGGREGATE(15,3,(TableDiv[[Agency]:[Agency]]=$E113)/(TableDiv[[Agency]:[Agency]]=$E113)*(ROW(TableDiv[Agency])-ROW(TableDiv[[#Headers],[Agency]])),COLUMNS($F$7:J$7))))</f>
        <v/>
      </c>
      <c r="K113" s="2223" t="str" cm="1">
        <f t="array" ref="K113">IF($D113&lt;COLUMNS($F$7:K$7),"",INDEX(TableDiv[[GASB]:[GASB]],_xlfn.AGGREGATE(15,3,(TableDiv[[Agency]:[Agency]]=$E113)/(TableDiv[[Agency]:[Agency]]=$E113)*(ROW(TableDiv[Agency])-ROW(TableDiv[[#Headers],[Agency]])),COLUMNS($F$7:K$7))))</f>
        <v/>
      </c>
      <c r="L113" s="2223" t="str" cm="1">
        <f t="array" ref="L113">IF($D113&lt;COLUMNS($F$7:L$7),"",INDEX(TableDiv[[GASB]:[GASB]],_xlfn.AGGREGATE(15,3,(TableDiv[[Agency]:[Agency]]=$E113)/(TableDiv[[Agency]:[Agency]]=$E113)*(ROW(TableDiv[Agency])-ROW(TableDiv[[#Headers],[Agency]])),COLUMNS($F$7:L$7))))</f>
        <v/>
      </c>
      <c r="M113" s="2223" t="str" cm="1">
        <f t="array" ref="M113">IF($D113&lt;COLUMNS($F$7:M$7),"",INDEX(TableDiv[[GASB]:[GASB]],_xlfn.AGGREGATE(15,3,(TableDiv[[Agency]:[Agency]]=$E113)/(TableDiv[[Agency]:[Agency]]=$E113)*(ROW(TableDiv[Agency])-ROW(TableDiv[[#Headers],[Agency]])),COLUMNS($F$7:M$7))))</f>
        <v/>
      </c>
      <c r="N113" s="2223" t="str" cm="1">
        <f t="array" ref="N113">IF($D113&lt;COLUMNS($F$7:N$7),"",INDEX(TableDiv[[GASB]:[GASB]],_xlfn.AGGREGATE(15,3,(TableDiv[[Agency]:[Agency]]=$E113)/(TableDiv[[Agency]:[Agency]]=$E113)*(ROW(TableDiv[Agency])-ROW(TableDiv[[#Headers],[Agency]])),COLUMNS($F$7:N$7))))</f>
        <v/>
      </c>
      <c r="O113" s="2223" t="str" cm="1">
        <f t="array" ref="O113">IF($D113&lt;COLUMNS($F$7:O$7),"",INDEX(TableDiv[[GASB]:[GASB]],_xlfn.AGGREGATE(15,3,(TableDiv[[Agency]:[Agency]]=$E113)/(TableDiv[[Agency]:[Agency]]=$E113)*(ROW(TableDiv[Agency])-ROW(TableDiv[[#Headers],[Agency]])),COLUMNS($F$7:O$7))))</f>
        <v/>
      </c>
      <c r="P113" s="2223" t="str" cm="1">
        <f t="array" ref="P113">IF($D113&lt;COLUMNS($F$7:P$7),"",INDEX(TableDiv[[GASB]:[GASB]],_xlfn.AGGREGATE(15,3,(TableDiv[[Agency]:[Agency]]=$E113)/(TableDiv[[Agency]:[Agency]]=$E113)*(ROW(TableDiv[Agency])-ROW(TableDiv[[#Headers],[Agency]])),COLUMNS($F$7:P$7))))</f>
        <v/>
      </c>
      <c r="Q113" s="2223" t="str" cm="1">
        <f t="array" ref="Q113">IF($D113&lt;COLUMNS($F$7:Q$7),"",INDEX(TableDiv[[GASB]:[GASB]],_xlfn.AGGREGATE(15,3,(TableDiv[[Agency]:[Agency]]=$E113)/(TableDiv[[Agency]:[Agency]]=$E113)*(ROW(TableDiv[Agency])-ROW(TableDiv[[#Headers],[Agency]])),COLUMNS($F$7:Q$7))))</f>
        <v/>
      </c>
      <c r="R113" s="2223" t="str" cm="1">
        <f t="array" ref="R113">IF($D113&lt;COLUMNS($F$7:R$7),"",INDEX(TableDiv[[GASB]:[GASB]],_xlfn.AGGREGATE(15,3,(TableDiv[[Agency]:[Agency]]=$E113)/(TableDiv[[Agency]:[Agency]]=$E113)*(ROW(TableDiv[Agency])-ROW(TableDiv[[#Headers],[Agency]])),COLUMNS($F$7:R$7))))</f>
        <v/>
      </c>
      <c r="S113" s="2223" t="str" cm="1">
        <f t="array" ref="S113">IF($D113&lt;COLUMNS($F$7:S$7),"",INDEX(TableDiv[[GASB]:[GASB]],_xlfn.AGGREGATE(15,3,(TableDiv[[Agency]:[Agency]]=$E113)/(TableDiv[[Agency]:[Agency]]=$E113)*(ROW(TableDiv[Agency])-ROW(TableDiv[[#Headers],[Agency]])),COLUMNS($F$7:S$7))))</f>
        <v/>
      </c>
      <c r="T113" s="2223" t="str" cm="1">
        <f t="array" ref="T113">IF($D113&lt;COLUMNS($F$7:T$7),"",INDEX(TableDiv[[GASB]:[GASB]],_xlfn.AGGREGATE(15,3,(TableDiv[[Agency]:[Agency]]=$E113)/(TableDiv[[Agency]:[Agency]]=$E113)*(ROW(TableDiv[Agency])-ROW(TableDiv[[#Headers],[Agency]])),COLUMNS($F$7:T$7))))</f>
        <v/>
      </c>
      <c r="U113" s="2223" t="str" cm="1">
        <f t="array" ref="U113">IF($D113&lt;COLUMNS($F$7:U$7),"",INDEX(TableDiv[[GASB]:[GASB]],_xlfn.AGGREGATE(15,3,(TableDiv[[Agency]:[Agency]]=$E113)/(TableDiv[[Agency]:[Agency]]=$E113)*(ROW(TableDiv[Agency])-ROW(TableDiv[[#Headers],[Agency]])),COLUMNS($F$7:U$7))))</f>
        <v/>
      </c>
      <c r="V113" s="2223" t="str" cm="1">
        <f t="array" ref="V113">IF($D113&lt;COLUMNS($F$7:V$7),"",INDEX(TableDiv[[GASB]:[GASB]],_xlfn.AGGREGATE(15,3,(TableDiv[[Agency]:[Agency]]=$E113)/(TableDiv[[Agency]:[Agency]]=$E113)*(ROW(TableDiv[Agency])-ROW(TableDiv[[#Headers],[Agency]])),COLUMNS($F$7:V$7))))</f>
        <v/>
      </c>
      <c r="W113" s="2223" t="str" cm="1">
        <f t="array" ref="W113">IF($D113&lt;COLUMNS($F$7:W$7),"",INDEX(TableDiv[[GASB]:[GASB]],_xlfn.AGGREGATE(15,3,(TableDiv[[Agency]:[Agency]]=$E113)/(TableDiv[[Agency]:[Agency]]=$E113)*(ROW(TableDiv[Agency])-ROW(TableDiv[[#Headers],[Agency]])),COLUMNS($F$7:W$7))))</f>
        <v/>
      </c>
      <c r="X113" s="2223" t="str" cm="1">
        <f t="array" ref="X113">IF($D113&lt;COLUMNS($F$7:X$7),"",INDEX(TableDiv[[GASB]:[GASB]],_xlfn.AGGREGATE(15,3,(TableDiv[[Agency]:[Agency]]=$E113)/(TableDiv[[Agency]:[Agency]]=$E113)*(ROW(TableDiv[Agency])-ROW(TableDiv[[#Headers],[Agency]])),COLUMNS($F$7:X$7))))</f>
        <v/>
      </c>
      <c r="Y113" s="2223" t="str" cm="1">
        <f t="array" ref="Y113">IF($D113&lt;COLUMNS($F$7:Y$7),"",INDEX(TableDiv[[GASB]:[GASB]],_xlfn.AGGREGATE(15,3,(TableDiv[[Agency]:[Agency]]=$E113)/(TableDiv[[Agency]:[Agency]]=$E113)*(ROW(TableDiv[Agency])-ROW(TableDiv[[#Headers],[Agency]])),COLUMNS($F$7:Y$7))))</f>
        <v/>
      </c>
      <c r="Z113" s="2223" t="str" cm="1">
        <f t="array" ref="Z113">IF($D113&lt;COLUMNS($F$7:Z$7),"",INDEX(TableDiv[[GASB]:[GASB]],_xlfn.AGGREGATE(15,3,(TableDiv[[Agency]:[Agency]]=$E113)/(TableDiv[[Agency]:[Agency]]=$E113)*(ROW(TableDiv[Agency])-ROW(TableDiv[[#Headers],[Agency]])),COLUMNS($F$7:Z$7))))</f>
        <v/>
      </c>
      <c r="AA113" s="2223" t="str" cm="1">
        <f t="array" ref="AA113">IF($D113&lt;COLUMNS($F$7:AA$7),"",INDEX(TableDiv[[GASB]:[GASB]],_xlfn.AGGREGATE(15,3,(TableDiv[[Agency]:[Agency]]=$E113)/(TableDiv[[Agency]:[Agency]]=$E113)*(ROW(TableDiv[Agency])-ROW(TableDiv[[#Headers],[Agency]])),COLUMNS($F$7:AA$7))))</f>
        <v/>
      </c>
      <c r="AB113" s="2223" t="str" cm="1">
        <f t="array" ref="AB113">IF($D113&lt;COLUMNS($F$7:AB$7),"",INDEX(TableDiv[[GASB]:[GASB]],_xlfn.AGGREGATE(15,3,(TableDiv[[Agency]:[Agency]]=$E113)/(TableDiv[[Agency]:[Agency]]=$E113)*(ROW(TableDiv[Agency])-ROW(TableDiv[[#Headers],[Agency]])),COLUMNS($F$7:AB$7))))</f>
        <v/>
      </c>
      <c r="AC113" s="2223" t="str" cm="1">
        <f t="array" ref="AC113">IF($D113&lt;COLUMNS($F$7:AC$7),"",INDEX(TableDiv[[GASB]:[GASB]],_xlfn.AGGREGATE(15,3,(TableDiv[[Agency]:[Agency]]=$E113)/(TableDiv[[Agency]:[Agency]]=$E113)*(ROW(TableDiv[Agency])-ROW(TableDiv[[#Headers],[Agency]])),COLUMNS($F$7:AC$7))))</f>
        <v/>
      </c>
      <c r="AD113" s="2223" t="str" cm="1">
        <f t="array" ref="AD113">IF($D113&lt;COLUMNS($F$7:AD$7),"",INDEX(TableDiv[[GASB]:[GASB]],_xlfn.AGGREGATE(15,3,(TableDiv[[Agency]:[Agency]]=$E113)/(TableDiv[[Agency]:[Agency]]=$E113)*(ROW(TableDiv[Agency])-ROW(TableDiv[[#Headers],[Agency]])),COLUMNS($F$7:AD$7))))</f>
        <v/>
      </c>
      <c r="AE113" s="2223" t="str" cm="1">
        <f t="array" ref="AE113">IF($D113&lt;COLUMNS($F$7:AE$7),"",INDEX(TableDiv[[GASB]:[GASB]],_xlfn.AGGREGATE(15,3,(TableDiv[[Agency]:[Agency]]=$E113)/(TableDiv[[Agency]:[Agency]]=$E113)*(ROW(TableDiv[Agency])-ROW(TableDiv[[#Headers],[Agency]])),COLUMNS($F$7:AE$7))))</f>
        <v/>
      </c>
      <c r="AF113" s="2223" t="str" cm="1">
        <f t="array" ref="AF113">IF($D113&lt;COLUMNS($F$7:AF$7),"",INDEX(TableDiv[[GASB]:[GASB]],_xlfn.AGGREGATE(15,3,(TableDiv[[Agency]:[Agency]]=$E113)/(TableDiv[[Agency]:[Agency]]=$E113)*(ROW(TableDiv[Agency])-ROW(TableDiv[[#Headers],[Agency]])),COLUMNS($F$7:AF$7))))</f>
        <v/>
      </c>
      <c r="AG113" s="2223" t="str" cm="1">
        <f t="array" ref="AG113">IF($D113&lt;COLUMNS($F$7:AG$7),"",INDEX(TableDiv[[GASB]:[GASB]],_xlfn.AGGREGATE(15,3,(TableDiv[[Agency]:[Agency]]=$E113)/(TableDiv[[Agency]:[Agency]]=$E113)*(ROW(TableDiv[Agency])-ROW(TableDiv[[#Headers],[Agency]])),COLUMNS($F$7:AG$7))))</f>
        <v/>
      </c>
      <c r="AH113" s="2223" t="str" cm="1">
        <f t="array" ref="AH113">IF($D113&lt;COLUMNS($F$7:AH$7),"",INDEX(TableDiv[[GASB]:[GASB]],_xlfn.AGGREGATE(15,3,(TableDiv[[Agency]:[Agency]]=$E113)/(TableDiv[[Agency]:[Agency]]=$E113)*(ROW(TableDiv[Agency])-ROW(TableDiv[[#Headers],[Agency]])),COLUMNS($F$7:AH$7))))</f>
        <v/>
      </c>
      <c r="AI113" s="2223" t="str" cm="1">
        <f t="array" ref="AI113">IF($D113&lt;COLUMNS($F$7:AI$7),"",INDEX(TableDiv[[GASB]:[GASB]],_xlfn.AGGREGATE(15,3,(TableDiv[[Agency]:[Agency]]=$E113)/(TableDiv[[Agency]:[Agency]]=$E113)*(ROW(TableDiv[Agency])-ROW(TableDiv[[#Headers],[Agency]])),COLUMNS($F$7:AI$7))))</f>
        <v/>
      </c>
      <c r="AJ113" s="2223" t="str" cm="1">
        <f t="array" ref="AJ113">IF($D113&lt;COLUMNS($F$7:AJ$7),"",INDEX(TableDiv[[GASB]:[GASB]],_xlfn.AGGREGATE(15,3,(TableDiv[[Agency]:[Agency]]=$E113)/(TableDiv[[Agency]:[Agency]]=$E113)*(ROW(TableDiv[Agency])-ROW(TableDiv[[#Headers],[Agency]])),COLUMNS($F$7:AJ$7))))</f>
        <v/>
      </c>
      <c r="AK113" s="2223" t="str" cm="1">
        <f t="array" ref="AK113">IF($D113&lt;COLUMNS($F$7:AK$7),"",INDEX(TableDiv[[GASB]:[GASB]],_xlfn.AGGREGATE(15,3,(TableDiv[[Agency]:[Agency]]=$E113)/(TableDiv[[Agency]:[Agency]]=$E113)*(ROW(TableDiv[Agency])-ROW(TableDiv[[#Headers],[Agency]])),COLUMNS($F$7:AK$7))))</f>
        <v/>
      </c>
      <c r="AL113" s="2223" t="str" cm="1">
        <f t="array" ref="AL113">IF($D113&lt;COLUMNS($F$7:AL$7),"",INDEX(TableDiv[[GASB]:[GASB]],_xlfn.AGGREGATE(15,3,(TableDiv[[Agency]:[Agency]]=$E113)/(TableDiv[[Agency]:[Agency]]=$E113)*(ROW(TableDiv[Agency])-ROW(TableDiv[[#Headers],[Agency]])),COLUMNS($F$7:AL$7))))</f>
        <v/>
      </c>
      <c r="AM113" s="2223" t="str" cm="1">
        <f t="array" ref="AM113">IF($D113&lt;COLUMNS($F$7:AM$7),"",INDEX(TableDiv[[GASB]:[GASB]],_xlfn.AGGREGATE(15,3,(TableDiv[[Agency]:[Agency]]=$E113)/(TableDiv[[Agency]:[Agency]]=$E113)*(ROW(TableDiv[Agency])-ROW(TableDiv[[#Headers],[Agency]])),COLUMNS($F$7:AM$7))))</f>
        <v/>
      </c>
      <c r="AN113" s="2223"/>
      <c r="AO113" s="2223"/>
      <c r="AP113" s="2223"/>
      <c r="AQ113" s="2223"/>
      <c r="AR113" s="2223"/>
      <c r="AS113" s="2223"/>
    </row>
    <row r="114" spans="1:45" ht="15" x14ac:dyDescent="0.25">
      <c r="A114" s="2219" t="s">
        <v>5107</v>
      </c>
      <c r="B114" s="2219" t="s">
        <v>6358</v>
      </c>
      <c r="C114" s="2223"/>
      <c r="D114" s="2223">
        <f>COUNTIF(TableDiv[Agency],E114)</f>
        <v>1</v>
      </c>
      <c r="E114" s="2230" t="str" cm="1">
        <f t="array" ref="E114">IFERROR(INDEX(TableDiv[Agency],MATCH(0,INDEX(COUNTIF($E$7:E113,TableDiv[Agency]),),0)),"")</f>
        <v>DAF</v>
      </c>
      <c r="F114" s="2223" t="str" cm="1">
        <f t="array" ref="F114">IF($D114&lt;COLUMNS($F$7:F$7),"",INDEX(TableDiv[[GASB]:[GASB]],_xlfn.AGGREGATE(15,3,(TableDiv[[Agency]:[Agency]]=$E114)/(TableDiv[[Agency]:[Agency]]=$E114)*(ROW(TableDiv[Agency])-ROW(TableDiv[[#Headers],[Agency]])),COLUMNS($F$7:F$7))))</f>
        <v>48200G</v>
      </c>
      <c r="G114" s="2223" t="str" cm="1">
        <f t="array" ref="G114">IF($D114&lt;COLUMNS($F$7:G$7),"",INDEX(TableDiv[[GASB]:[GASB]],_xlfn.AGGREGATE(15,3,(TableDiv[[Agency]:[Agency]]=$E114)/(TableDiv[[Agency]:[Agency]]=$E114)*(ROW(TableDiv[Agency])-ROW(TableDiv[[#Headers],[Agency]])),COLUMNS($F$7:G$7))))</f>
        <v/>
      </c>
      <c r="H114" s="2223" t="str" cm="1">
        <f t="array" ref="H114">IF($D114&lt;COLUMNS($F$7:H$7),"",INDEX(TableDiv[[GASB]:[GASB]],_xlfn.AGGREGATE(15,3,(TableDiv[[Agency]:[Agency]]=$E114)/(TableDiv[[Agency]:[Agency]]=$E114)*(ROW(TableDiv[Agency])-ROW(TableDiv[[#Headers],[Agency]])),COLUMNS($F$7:H$7))))</f>
        <v/>
      </c>
      <c r="I114" s="2223" t="str" cm="1">
        <f t="array" ref="I114">IF($D114&lt;COLUMNS($F$7:I$7),"",INDEX(TableDiv[[GASB]:[GASB]],_xlfn.AGGREGATE(15,3,(TableDiv[[Agency]:[Agency]]=$E114)/(TableDiv[[Agency]:[Agency]]=$E114)*(ROW(TableDiv[Agency])-ROW(TableDiv[[#Headers],[Agency]])),COLUMNS($F$7:I$7))))</f>
        <v/>
      </c>
      <c r="J114" s="2223" t="str" cm="1">
        <f t="array" ref="J114">IF($D114&lt;COLUMNS($F$7:J$7),"",INDEX(TableDiv[[GASB]:[GASB]],_xlfn.AGGREGATE(15,3,(TableDiv[[Agency]:[Agency]]=$E114)/(TableDiv[[Agency]:[Agency]]=$E114)*(ROW(TableDiv[Agency])-ROW(TableDiv[[#Headers],[Agency]])),COLUMNS($F$7:J$7))))</f>
        <v/>
      </c>
      <c r="K114" s="2223" t="str" cm="1">
        <f t="array" ref="K114">IF($D114&lt;COLUMNS($F$7:K$7),"",INDEX(TableDiv[[GASB]:[GASB]],_xlfn.AGGREGATE(15,3,(TableDiv[[Agency]:[Agency]]=$E114)/(TableDiv[[Agency]:[Agency]]=$E114)*(ROW(TableDiv[Agency])-ROW(TableDiv[[#Headers],[Agency]])),COLUMNS($F$7:K$7))))</f>
        <v/>
      </c>
      <c r="L114" s="2223" t="str" cm="1">
        <f t="array" ref="L114">IF($D114&lt;COLUMNS($F$7:L$7),"",INDEX(TableDiv[[GASB]:[GASB]],_xlfn.AGGREGATE(15,3,(TableDiv[[Agency]:[Agency]]=$E114)/(TableDiv[[Agency]:[Agency]]=$E114)*(ROW(TableDiv[Agency])-ROW(TableDiv[[#Headers],[Agency]])),COLUMNS($F$7:L$7))))</f>
        <v/>
      </c>
      <c r="M114" s="2223" t="str" cm="1">
        <f t="array" ref="M114">IF($D114&lt;COLUMNS($F$7:M$7),"",INDEX(TableDiv[[GASB]:[GASB]],_xlfn.AGGREGATE(15,3,(TableDiv[[Agency]:[Agency]]=$E114)/(TableDiv[[Agency]:[Agency]]=$E114)*(ROW(TableDiv[Agency])-ROW(TableDiv[[#Headers],[Agency]])),COLUMNS($F$7:M$7))))</f>
        <v/>
      </c>
      <c r="N114" s="2223" t="str" cm="1">
        <f t="array" ref="N114">IF($D114&lt;COLUMNS($F$7:N$7),"",INDEX(TableDiv[[GASB]:[GASB]],_xlfn.AGGREGATE(15,3,(TableDiv[[Agency]:[Agency]]=$E114)/(TableDiv[[Agency]:[Agency]]=$E114)*(ROW(TableDiv[Agency])-ROW(TableDiv[[#Headers],[Agency]])),COLUMNS($F$7:N$7))))</f>
        <v/>
      </c>
      <c r="O114" s="2223" t="str" cm="1">
        <f t="array" ref="O114">IF($D114&lt;COLUMNS($F$7:O$7),"",INDEX(TableDiv[[GASB]:[GASB]],_xlfn.AGGREGATE(15,3,(TableDiv[[Agency]:[Agency]]=$E114)/(TableDiv[[Agency]:[Agency]]=$E114)*(ROW(TableDiv[Agency])-ROW(TableDiv[[#Headers],[Agency]])),COLUMNS($F$7:O$7))))</f>
        <v/>
      </c>
      <c r="P114" s="2223" t="str" cm="1">
        <f t="array" ref="P114">IF($D114&lt;COLUMNS($F$7:P$7),"",INDEX(TableDiv[[GASB]:[GASB]],_xlfn.AGGREGATE(15,3,(TableDiv[[Agency]:[Agency]]=$E114)/(TableDiv[[Agency]:[Agency]]=$E114)*(ROW(TableDiv[Agency])-ROW(TableDiv[[#Headers],[Agency]])),COLUMNS($F$7:P$7))))</f>
        <v/>
      </c>
      <c r="Q114" s="2223" t="str" cm="1">
        <f t="array" ref="Q114">IF($D114&lt;COLUMNS($F$7:Q$7),"",INDEX(TableDiv[[GASB]:[GASB]],_xlfn.AGGREGATE(15,3,(TableDiv[[Agency]:[Agency]]=$E114)/(TableDiv[[Agency]:[Agency]]=$E114)*(ROW(TableDiv[Agency])-ROW(TableDiv[[#Headers],[Agency]])),COLUMNS($F$7:Q$7))))</f>
        <v/>
      </c>
      <c r="R114" s="2223" t="str" cm="1">
        <f t="array" ref="R114">IF($D114&lt;COLUMNS($F$7:R$7),"",INDEX(TableDiv[[GASB]:[GASB]],_xlfn.AGGREGATE(15,3,(TableDiv[[Agency]:[Agency]]=$E114)/(TableDiv[[Agency]:[Agency]]=$E114)*(ROW(TableDiv[Agency])-ROW(TableDiv[[#Headers],[Agency]])),COLUMNS($F$7:R$7))))</f>
        <v/>
      </c>
      <c r="S114" s="2223" t="str" cm="1">
        <f t="array" ref="S114">IF($D114&lt;COLUMNS($F$7:S$7),"",INDEX(TableDiv[[GASB]:[GASB]],_xlfn.AGGREGATE(15,3,(TableDiv[[Agency]:[Agency]]=$E114)/(TableDiv[[Agency]:[Agency]]=$E114)*(ROW(TableDiv[Agency])-ROW(TableDiv[[#Headers],[Agency]])),COLUMNS($F$7:S$7))))</f>
        <v/>
      </c>
      <c r="T114" s="2223" t="str" cm="1">
        <f t="array" ref="T114">IF($D114&lt;COLUMNS($F$7:T$7),"",INDEX(TableDiv[[GASB]:[GASB]],_xlfn.AGGREGATE(15,3,(TableDiv[[Agency]:[Agency]]=$E114)/(TableDiv[[Agency]:[Agency]]=$E114)*(ROW(TableDiv[Agency])-ROW(TableDiv[[#Headers],[Agency]])),COLUMNS($F$7:T$7))))</f>
        <v/>
      </c>
      <c r="U114" s="2223" t="str" cm="1">
        <f t="array" ref="U114">IF($D114&lt;COLUMNS($F$7:U$7),"",INDEX(TableDiv[[GASB]:[GASB]],_xlfn.AGGREGATE(15,3,(TableDiv[[Agency]:[Agency]]=$E114)/(TableDiv[[Agency]:[Agency]]=$E114)*(ROW(TableDiv[Agency])-ROW(TableDiv[[#Headers],[Agency]])),COLUMNS($F$7:U$7))))</f>
        <v/>
      </c>
      <c r="V114" s="2223" t="str" cm="1">
        <f t="array" ref="V114">IF($D114&lt;COLUMNS($F$7:V$7),"",INDEX(TableDiv[[GASB]:[GASB]],_xlfn.AGGREGATE(15,3,(TableDiv[[Agency]:[Agency]]=$E114)/(TableDiv[[Agency]:[Agency]]=$E114)*(ROW(TableDiv[Agency])-ROW(TableDiv[[#Headers],[Agency]])),COLUMNS($F$7:V$7))))</f>
        <v/>
      </c>
      <c r="W114" s="2223" t="str" cm="1">
        <f t="array" ref="W114">IF($D114&lt;COLUMNS($F$7:W$7),"",INDEX(TableDiv[[GASB]:[GASB]],_xlfn.AGGREGATE(15,3,(TableDiv[[Agency]:[Agency]]=$E114)/(TableDiv[[Agency]:[Agency]]=$E114)*(ROW(TableDiv[Agency])-ROW(TableDiv[[#Headers],[Agency]])),COLUMNS($F$7:W$7))))</f>
        <v/>
      </c>
      <c r="X114" s="2223" t="str" cm="1">
        <f t="array" ref="X114">IF($D114&lt;COLUMNS($F$7:X$7),"",INDEX(TableDiv[[GASB]:[GASB]],_xlfn.AGGREGATE(15,3,(TableDiv[[Agency]:[Agency]]=$E114)/(TableDiv[[Agency]:[Agency]]=$E114)*(ROW(TableDiv[Agency])-ROW(TableDiv[[#Headers],[Agency]])),COLUMNS($F$7:X$7))))</f>
        <v/>
      </c>
      <c r="Y114" s="2223" t="str" cm="1">
        <f t="array" ref="Y114">IF($D114&lt;COLUMNS($F$7:Y$7),"",INDEX(TableDiv[[GASB]:[GASB]],_xlfn.AGGREGATE(15,3,(TableDiv[[Agency]:[Agency]]=$E114)/(TableDiv[[Agency]:[Agency]]=$E114)*(ROW(TableDiv[Agency])-ROW(TableDiv[[#Headers],[Agency]])),COLUMNS($F$7:Y$7))))</f>
        <v/>
      </c>
      <c r="Z114" s="2223" t="str" cm="1">
        <f t="array" ref="Z114">IF($D114&lt;COLUMNS($F$7:Z$7),"",INDEX(TableDiv[[GASB]:[GASB]],_xlfn.AGGREGATE(15,3,(TableDiv[[Agency]:[Agency]]=$E114)/(TableDiv[[Agency]:[Agency]]=$E114)*(ROW(TableDiv[Agency])-ROW(TableDiv[[#Headers],[Agency]])),COLUMNS($F$7:Z$7))))</f>
        <v/>
      </c>
      <c r="AA114" s="2223" t="str" cm="1">
        <f t="array" ref="AA114">IF($D114&lt;COLUMNS($F$7:AA$7),"",INDEX(TableDiv[[GASB]:[GASB]],_xlfn.AGGREGATE(15,3,(TableDiv[[Agency]:[Agency]]=$E114)/(TableDiv[[Agency]:[Agency]]=$E114)*(ROW(TableDiv[Agency])-ROW(TableDiv[[#Headers],[Agency]])),COLUMNS($F$7:AA$7))))</f>
        <v/>
      </c>
      <c r="AB114" s="2223" t="str" cm="1">
        <f t="array" ref="AB114">IF($D114&lt;COLUMNS($F$7:AB$7),"",INDEX(TableDiv[[GASB]:[GASB]],_xlfn.AGGREGATE(15,3,(TableDiv[[Agency]:[Agency]]=$E114)/(TableDiv[[Agency]:[Agency]]=$E114)*(ROW(TableDiv[Agency])-ROW(TableDiv[[#Headers],[Agency]])),COLUMNS($F$7:AB$7))))</f>
        <v/>
      </c>
      <c r="AC114" s="2223" t="str" cm="1">
        <f t="array" ref="AC114">IF($D114&lt;COLUMNS($F$7:AC$7),"",INDEX(TableDiv[[GASB]:[GASB]],_xlfn.AGGREGATE(15,3,(TableDiv[[Agency]:[Agency]]=$E114)/(TableDiv[[Agency]:[Agency]]=$E114)*(ROW(TableDiv[Agency])-ROW(TableDiv[[#Headers],[Agency]])),COLUMNS($F$7:AC$7))))</f>
        <v/>
      </c>
      <c r="AD114" s="2223" t="str" cm="1">
        <f t="array" ref="AD114">IF($D114&lt;COLUMNS($F$7:AD$7),"",INDEX(TableDiv[[GASB]:[GASB]],_xlfn.AGGREGATE(15,3,(TableDiv[[Agency]:[Agency]]=$E114)/(TableDiv[[Agency]:[Agency]]=$E114)*(ROW(TableDiv[Agency])-ROW(TableDiv[[#Headers],[Agency]])),COLUMNS($F$7:AD$7))))</f>
        <v/>
      </c>
      <c r="AE114" s="2223" t="str" cm="1">
        <f t="array" ref="AE114">IF($D114&lt;COLUMNS($F$7:AE$7),"",INDEX(TableDiv[[GASB]:[GASB]],_xlfn.AGGREGATE(15,3,(TableDiv[[Agency]:[Agency]]=$E114)/(TableDiv[[Agency]:[Agency]]=$E114)*(ROW(TableDiv[Agency])-ROW(TableDiv[[#Headers],[Agency]])),COLUMNS($F$7:AE$7))))</f>
        <v/>
      </c>
      <c r="AF114" s="2223" t="str" cm="1">
        <f t="array" ref="AF114">IF($D114&lt;COLUMNS($F$7:AF$7),"",INDEX(TableDiv[[GASB]:[GASB]],_xlfn.AGGREGATE(15,3,(TableDiv[[Agency]:[Agency]]=$E114)/(TableDiv[[Agency]:[Agency]]=$E114)*(ROW(TableDiv[Agency])-ROW(TableDiv[[#Headers],[Agency]])),COLUMNS($F$7:AF$7))))</f>
        <v/>
      </c>
      <c r="AG114" s="2223" t="str" cm="1">
        <f t="array" ref="AG114">IF($D114&lt;COLUMNS($F$7:AG$7),"",INDEX(TableDiv[[GASB]:[GASB]],_xlfn.AGGREGATE(15,3,(TableDiv[[Agency]:[Agency]]=$E114)/(TableDiv[[Agency]:[Agency]]=$E114)*(ROW(TableDiv[Agency])-ROW(TableDiv[[#Headers],[Agency]])),COLUMNS($F$7:AG$7))))</f>
        <v/>
      </c>
      <c r="AH114" s="2223" t="str" cm="1">
        <f t="array" ref="AH114">IF($D114&lt;COLUMNS($F$7:AH$7),"",INDEX(TableDiv[[GASB]:[GASB]],_xlfn.AGGREGATE(15,3,(TableDiv[[Agency]:[Agency]]=$E114)/(TableDiv[[Agency]:[Agency]]=$E114)*(ROW(TableDiv[Agency])-ROW(TableDiv[[#Headers],[Agency]])),COLUMNS($F$7:AH$7))))</f>
        <v/>
      </c>
      <c r="AI114" s="2223" t="str" cm="1">
        <f t="array" ref="AI114">IF($D114&lt;COLUMNS($F$7:AI$7),"",INDEX(TableDiv[[GASB]:[GASB]],_xlfn.AGGREGATE(15,3,(TableDiv[[Agency]:[Agency]]=$E114)/(TableDiv[[Agency]:[Agency]]=$E114)*(ROW(TableDiv[Agency])-ROW(TableDiv[[#Headers],[Agency]])),COLUMNS($F$7:AI$7))))</f>
        <v/>
      </c>
      <c r="AJ114" s="2223" t="str" cm="1">
        <f t="array" ref="AJ114">IF($D114&lt;COLUMNS($F$7:AJ$7),"",INDEX(TableDiv[[GASB]:[GASB]],_xlfn.AGGREGATE(15,3,(TableDiv[[Agency]:[Agency]]=$E114)/(TableDiv[[Agency]:[Agency]]=$E114)*(ROW(TableDiv[Agency])-ROW(TableDiv[[#Headers],[Agency]])),COLUMNS($F$7:AJ$7))))</f>
        <v/>
      </c>
      <c r="AK114" s="2223" t="str" cm="1">
        <f t="array" ref="AK114">IF($D114&lt;COLUMNS($F$7:AK$7),"",INDEX(TableDiv[[GASB]:[GASB]],_xlfn.AGGREGATE(15,3,(TableDiv[[Agency]:[Agency]]=$E114)/(TableDiv[[Agency]:[Agency]]=$E114)*(ROW(TableDiv[Agency])-ROW(TableDiv[[#Headers],[Agency]])),COLUMNS($F$7:AK$7))))</f>
        <v/>
      </c>
      <c r="AL114" s="2223" t="str" cm="1">
        <f t="array" ref="AL114">IF($D114&lt;COLUMNS($F$7:AL$7),"",INDEX(TableDiv[[GASB]:[GASB]],_xlfn.AGGREGATE(15,3,(TableDiv[[Agency]:[Agency]]=$E114)/(TableDiv[[Agency]:[Agency]]=$E114)*(ROW(TableDiv[Agency])-ROW(TableDiv[[#Headers],[Agency]])),COLUMNS($F$7:AL$7))))</f>
        <v/>
      </c>
      <c r="AM114" s="2223" t="str" cm="1">
        <f t="array" ref="AM114">IF($D114&lt;COLUMNS($F$7:AM$7),"",INDEX(TableDiv[[GASB]:[GASB]],_xlfn.AGGREGATE(15,3,(TableDiv[[Agency]:[Agency]]=$E114)/(TableDiv[[Agency]:[Agency]]=$E114)*(ROW(TableDiv[Agency])-ROW(TableDiv[[#Headers],[Agency]])),COLUMNS($F$7:AM$7))))</f>
        <v/>
      </c>
      <c r="AN114" s="2223"/>
      <c r="AO114" s="2223"/>
      <c r="AP114" s="2223"/>
      <c r="AQ114" s="2223"/>
      <c r="AR114" s="2223"/>
      <c r="AS114" s="2223"/>
    </row>
    <row r="115" spans="1:45" ht="15" x14ac:dyDescent="0.25">
      <c r="A115" s="2219" t="s">
        <v>5107</v>
      </c>
      <c r="B115" s="2219" t="s">
        <v>6402</v>
      </c>
      <c r="C115" s="2223"/>
      <c r="D115" s="2223">
        <f>COUNTIF(TableDiv[Agency],E115)</f>
        <v>1</v>
      </c>
      <c r="E115" s="2230" t="str" cm="1">
        <f t="array" ref="E115">IFERROR(INDEX(TableDiv[Agency],MATCH(0,INDEX(COUNTIF($E$7:E114,TableDiv[Agency]),),0)),"")</f>
        <v>DBF</v>
      </c>
      <c r="F115" s="2223" t="str" cm="1">
        <f t="array" ref="F115">IF($D115&lt;COLUMNS($F$7:F$7),"",INDEX(TableDiv[[GASB]:[GASB]],_xlfn.AGGREGATE(15,3,(TableDiv[[Agency]:[Agency]]=$E115)/(TableDiv[[Agency]:[Agency]]=$E115)*(ROW(TableDiv[Agency])-ROW(TableDiv[[#Headers],[Agency]])),COLUMNS($F$7:F$7))))</f>
        <v>48200G</v>
      </c>
      <c r="G115" s="2223" t="str" cm="1">
        <f t="array" ref="G115">IF($D115&lt;COLUMNS($F$7:G$7),"",INDEX(TableDiv[[GASB]:[GASB]],_xlfn.AGGREGATE(15,3,(TableDiv[[Agency]:[Agency]]=$E115)/(TableDiv[[Agency]:[Agency]]=$E115)*(ROW(TableDiv[Agency])-ROW(TableDiv[[#Headers],[Agency]])),COLUMNS($F$7:G$7))))</f>
        <v/>
      </c>
      <c r="H115" s="2223" t="str" cm="1">
        <f t="array" ref="H115">IF($D115&lt;COLUMNS($F$7:H$7),"",INDEX(TableDiv[[GASB]:[GASB]],_xlfn.AGGREGATE(15,3,(TableDiv[[Agency]:[Agency]]=$E115)/(TableDiv[[Agency]:[Agency]]=$E115)*(ROW(TableDiv[Agency])-ROW(TableDiv[[#Headers],[Agency]])),COLUMNS($F$7:H$7))))</f>
        <v/>
      </c>
      <c r="I115" s="2223" t="str" cm="1">
        <f t="array" ref="I115">IF($D115&lt;COLUMNS($F$7:I$7),"",INDEX(TableDiv[[GASB]:[GASB]],_xlfn.AGGREGATE(15,3,(TableDiv[[Agency]:[Agency]]=$E115)/(TableDiv[[Agency]:[Agency]]=$E115)*(ROW(TableDiv[Agency])-ROW(TableDiv[[#Headers],[Agency]])),COLUMNS($F$7:I$7))))</f>
        <v/>
      </c>
      <c r="J115" s="2223" t="str" cm="1">
        <f t="array" ref="J115">IF($D115&lt;COLUMNS($F$7:J$7),"",INDEX(TableDiv[[GASB]:[GASB]],_xlfn.AGGREGATE(15,3,(TableDiv[[Agency]:[Agency]]=$E115)/(TableDiv[[Agency]:[Agency]]=$E115)*(ROW(TableDiv[Agency])-ROW(TableDiv[[#Headers],[Agency]])),COLUMNS($F$7:J$7))))</f>
        <v/>
      </c>
      <c r="K115" s="2223" t="str" cm="1">
        <f t="array" ref="K115">IF($D115&lt;COLUMNS($F$7:K$7),"",INDEX(TableDiv[[GASB]:[GASB]],_xlfn.AGGREGATE(15,3,(TableDiv[[Agency]:[Agency]]=$E115)/(TableDiv[[Agency]:[Agency]]=$E115)*(ROW(TableDiv[Agency])-ROW(TableDiv[[#Headers],[Agency]])),COLUMNS($F$7:K$7))))</f>
        <v/>
      </c>
      <c r="L115" s="2223" t="str" cm="1">
        <f t="array" ref="L115">IF($D115&lt;COLUMNS($F$7:L$7),"",INDEX(TableDiv[[GASB]:[GASB]],_xlfn.AGGREGATE(15,3,(TableDiv[[Agency]:[Agency]]=$E115)/(TableDiv[[Agency]:[Agency]]=$E115)*(ROW(TableDiv[Agency])-ROW(TableDiv[[#Headers],[Agency]])),COLUMNS($F$7:L$7))))</f>
        <v/>
      </c>
      <c r="M115" s="2223" t="str" cm="1">
        <f t="array" ref="M115">IF($D115&lt;COLUMNS($F$7:M$7),"",INDEX(TableDiv[[GASB]:[GASB]],_xlfn.AGGREGATE(15,3,(TableDiv[[Agency]:[Agency]]=$E115)/(TableDiv[[Agency]:[Agency]]=$E115)*(ROW(TableDiv[Agency])-ROW(TableDiv[[#Headers],[Agency]])),COLUMNS($F$7:M$7))))</f>
        <v/>
      </c>
      <c r="N115" s="2223" t="str" cm="1">
        <f t="array" ref="N115">IF($D115&lt;COLUMNS($F$7:N$7),"",INDEX(TableDiv[[GASB]:[GASB]],_xlfn.AGGREGATE(15,3,(TableDiv[[Agency]:[Agency]]=$E115)/(TableDiv[[Agency]:[Agency]]=$E115)*(ROW(TableDiv[Agency])-ROW(TableDiv[[#Headers],[Agency]])),COLUMNS($F$7:N$7))))</f>
        <v/>
      </c>
      <c r="O115" s="2223" t="str" cm="1">
        <f t="array" ref="O115">IF($D115&lt;COLUMNS($F$7:O$7),"",INDEX(TableDiv[[GASB]:[GASB]],_xlfn.AGGREGATE(15,3,(TableDiv[[Agency]:[Agency]]=$E115)/(TableDiv[[Agency]:[Agency]]=$E115)*(ROW(TableDiv[Agency])-ROW(TableDiv[[#Headers],[Agency]])),COLUMNS($F$7:O$7))))</f>
        <v/>
      </c>
      <c r="P115" s="2223" t="str" cm="1">
        <f t="array" ref="P115">IF($D115&lt;COLUMNS($F$7:P$7),"",INDEX(TableDiv[[GASB]:[GASB]],_xlfn.AGGREGATE(15,3,(TableDiv[[Agency]:[Agency]]=$E115)/(TableDiv[[Agency]:[Agency]]=$E115)*(ROW(TableDiv[Agency])-ROW(TableDiv[[#Headers],[Agency]])),COLUMNS($F$7:P$7))))</f>
        <v/>
      </c>
      <c r="Q115" s="2223" t="str" cm="1">
        <f t="array" ref="Q115">IF($D115&lt;COLUMNS($F$7:Q$7),"",INDEX(TableDiv[[GASB]:[GASB]],_xlfn.AGGREGATE(15,3,(TableDiv[[Agency]:[Agency]]=$E115)/(TableDiv[[Agency]:[Agency]]=$E115)*(ROW(TableDiv[Agency])-ROW(TableDiv[[#Headers],[Agency]])),COLUMNS($F$7:Q$7))))</f>
        <v/>
      </c>
      <c r="R115" s="2223" t="str" cm="1">
        <f t="array" ref="R115">IF($D115&lt;COLUMNS($F$7:R$7),"",INDEX(TableDiv[[GASB]:[GASB]],_xlfn.AGGREGATE(15,3,(TableDiv[[Agency]:[Agency]]=$E115)/(TableDiv[[Agency]:[Agency]]=$E115)*(ROW(TableDiv[Agency])-ROW(TableDiv[[#Headers],[Agency]])),COLUMNS($F$7:R$7))))</f>
        <v/>
      </c>
      <c r="S115" s="2223" t="str" cm="1">
        <f t="array" ref="S115">IF($D115&lt;COLUMNS($F$7:S$7),"",INDEX(TableDiv[[GASB]:[GASB]],_xlfn.AGGREGATE(15,3,(TableDiv[[Agency]:[Agency]]=$E115)/(TableDiv[[Agency]:[Agency]]=$E115)*(ROW(TableDiv[Agency])-ROW(TableDiv[[#Headers],[Agency]])),COLUMNS($F$7:S$7))))</f>
        <v/>
      </c>
      <c r="T115" s="2223" t="str" cm="1">
        <f t="array" ref="T115">IF($D115&lt;COLUMNS($F$7:T$7),"",INDEX(TableDiv[[GASB]:[GASB]],_xlfn.AGGREGATE(15,3,(TableDiv[[Agency]:[Agency]]=$E115)/(TableDiv[[Agency]:[Agency]]=$E115)*(ROW(TableDiv[Agency])-ROW(TableDiv[[#Headers],[Agency]])),COLUMNS($F$7:T$7))))</f>
        <v/>
      </c>
      <c r="U115" s="2223" t="str" cm="1">
        <f t="array" ref="U115">IF($D115&lt;COLUMNS($F$7:U$7),"",INDEX(TableDiv[[GASB]:[GASB]],_xlfn.AGGREGATE(15,3,(TableDiv[[Agency]:[Agency]]=$E115)/(TableDiv[[Agency]:[Agency]]=$E115)*(ROW(TableDiv[Agency])-ROW(TableDiv[[#Headers],[Agency]])),COLUMNS($F$7:U$7))))</f>
        <v/>
      </c>
      <c r="V115" s="2223" t="str" cm="1">
        <f t="array" ref="V115">IF($D115&lt;COLUMNS($F$7:V$7),"",INDEX(TableDiv[[GASB]:[GASB]],_xlfn.AGGREGATE(15,3,(TableDiv[[Agency]:[Agency]]=$E115)/(TableDiv[[Agency]:[Agency]]=$E115)*(ROW(TableDiv[Agency])-ROW(TableDiv[[#Headers],[Agency]])),COLUMNS($F$7:V$7))))</f>
        <v/>
      </c>
      <c r="W115" s="2223" t="str" cm="1">
        <f t="array" ref="W115">IF($D115&lt;COLUMNS($F$7:W$7),"",INDEX(TableDiv[[GASB]:[GASB]],_xlfn.AGGREGATE(15,3,(TableDiv[[Agency]:[Agency]]=$E115)/(TableDiv[[Agency]:[Agency]]=$E115)*(ROW(TableDiv[Agency])-ROW(TableDiv[[#Headers],[Agency]])),COLUMNS($F$7:W$7))))</f>
        <v/>
      </c>
      <c r="X115" s="2223" t="str" cm="1">
        <f t="array" ref="X115">IF($D115&lt;COLUMNS($F$7:X$7),"",INDEX(TableDiv[[GASB]:[GASB]],_xlfn.AGGREGATE(15,3,(TableDiv[[Agency]:[Agency]]=$E115)/(TableDiv[[Agency]:[Agency]]=$E115)*(ROW(TableDiv[Agency])-ROW(TableDiv[[#Headers],[Agency]])),COLUMNS($F$7:X$7))))</f>
        <v/>
      </c>
      <c r="Y115" s="2223" t="str" cm="1">
        <f t="array" ref="Y115">IF($D115&lt;COLUMNS($F$7:Y$7),"",INDEX(TableDiv[[GASB]:[GASB]],_xlfn.AGGREGATE(15,3,(TableDiv[[Agency]:[Agency]]=$E115)/(TableDiv[[Agency]:[Agency]]=$E115)*(ROW(TableDiv[Agency])-ROW(TableDiv[[#Headers],[Agency]])),COLUMNS($F$7:Y$7))))</f>
        <v/>
      </c>
      <c r="Z115" s="2223" t="str" cm="1">
        <f t="array" ref="Z115">IF($D115&lt;COLUMNS($F$7:Z$7),"",INDEX(TableDiv[[GASB]:[GASB]],_xlfn.AGGREGATE(15,3,(TableDiv[[Agency]:[Agency]]=$E115)/(TableDiv[[Agency]:[Agency]]=$E115)*(ROW(TableDiv[Agency])-ROW(TableDiv[[#Headers],[Agency]])),COLUMNS($F$7:Z$7))))</f>
        <v/>
      </c>
      <c r="AA115" s="2223" t="str" cm="1">
        <f t="array" ref="AA115">IF($D115&lt;COLUMNS($F$7:AA$7),"",INDEX(TableDiv[[GASB]:[GASB]],_xlfn.AGGREGATE(15,3,(TableDiv[[Agency]:[Agency]]=$E115)/(TableDiv[[Agency]:[Agency]]=$E115)*(ROW(TableDiv[Agency])-ROW(TableDiv[[#Headers],[Agency]])),COLUMNS($F$7:AA$7))))</f>
        <v/>
      </c>
      <c r="AB115" s="2223" t="str" cm="1">
        <f t="array" ref="AB115">IF($D115&lt;COLUMNS($F$7:AB$7),"",INDEX(TableDiv[[GASB]:[GASB]],_xlfn.AGGREGATE(15,3,(TableDiv[[Agency]:[Agency]]=$E115)/(TableDiv[[Agency]:[Agency]]=$E115)*(ROW(TableDiv[Agency])-ROW(TableDiv[[#Headers],[Agency]])),COLUMNS($F$7:AB$7))))</f>
        <v/>
      </c>
      <c r="AC115" s="2223" t="str" cm="1">
        <f t="array" ref="AC115">IF($D115&lt;COLUMNS($F$7:AC$7),"",INDEX(TableDiv[[GASB]:[GASB]],_xlfn.AGGREGATE(15,3,(TableDiv[[Agency]:[Agency]]=$E115)/(TableDiv[[Agency]:[Agency]]=$E115)*(ROW(TableDiv[Agency])-ROW(TableDiv[[#Headers],[Agency]])),COLUMNS($F$7:AC$7))))</f>
        <v/>
      </c>
      <c r="AD115" s="2223" t="str" cm="1">
        <f t="array" ref="AD115">IF($D115&lt;COLUMNS($F$7:AD$7),"",INDEX(TableDiv[[GASB]:[GASB]],_xlfn.AGGREGATE(15,3,(TableDiv[[Agency]:[Agency]]=$E115)/(TableDiv[[Agency]:[Agency]]=$E115)*(ROW(TableDiv[Agency])-ROW(TableDiv[[#Headers],[Agency]])),COLUMNS($F$7:AD$7))))</f>
        <v/>
      </c>
      <c r="AE115" s="2223" t="str" cm="1">
        <f t="array" ref="AE115">IF($D115&lt;COLUMNS($F$7:AE$7),"",INDEX(TableDiv[[GASB]:[GASB]],_xlfn.AGGREGATE(15,3,(TableDiv[[Agency]:[Agency]]=$E115)/(TableDiv[[Agency]:[Agency]]=$E115)*(ROW(TableDiv[Agency])-ROW(TableDiv[[#Headers],[Agency]])),COLUMNS($F$7:AE$7))))</f>
        <v/>
      </c>
      <c r="AF115" s="2223" t="str" cm="1">
        <f t="array" ref="AF115">IF($D115&lt;COLUMNS($F$7:AF$7),"",INDEX(TableDiv[[GASB]:[GASB]],_xlfn.AGGREGATE(15,3,(TableDiv[[Agency]:[Agency]]=$E115)/(TableDiv[[Agency]:[Agency]]=$E115)*(ROW(TableDiv[Agency])-ROW(TableDiv[[#Headers],[Agency]])),COLUMNS($F$7:AF$7))))</f>
        <v/>
      </c>
      <c r="AG115" s="2223" t="str" cm="1">
        <f t="array" ref="AG115">IF($D115&lt;COLUMNS($F$7:AG$7),"",INDEX(TableDiv[[GASB]:[GASB]],_xlfn.AGGREGATE(15,3,(TableDiv[[Agency]:[Agency]]=$E115)/(TableDiv[[Agency]:[Agency]]=$E115)*(ROW(TableDiv[Agency])-ROW(TableDiv[[#Headers],[Agency]])),COLUMNS($F$7:AG$7))))</f>
        <v/>
      </c>
      <c r="AH115" s="2223" t="str" cm="1">
        <f t="array" ref="AH115">IF($D115&lt;COLUMNS($F$7:AH$7),"",INDEX(TableDiv[[GASB]:[GASB]],_xlfn.AGGREGATE(15,3,(TableDiv[[Agency]:[Agency]]=$E115)/(TableDiv[[Agency]:[Agency]]=$E115)*(ROW(TableDiv[Agency])-ROW(TableDiv[[#Headers],[Agency]])),COLUMNS($F$7:AH$7))))</f>
        <v/>
      </c>
      <c r="AI115" s="2223" t="str" cm="1">
        <f t="array" ref="AI115">IF($D115&lt;COLUMNS($F$7:AI$7),"",INDEX(TableDiv[[GASB]:[GASB]],_xlfn.AGGREGATE(15,3,(TableDiv[[Agency]:[Agency]]=$E115)/(TableDiv[[Agency]:[Agency]]=$E115)*(ROW(TableDiv[Agency])-ROW(TableDiv[[#Headers],[Agency]])),COLUMNS($F$7:AI$7))))</f>
        <v/>
      </c>
      <c r="AJ115" s="2223" t="str" cm="1">
        <f t="array" ref="AJ115">IF($D115&lt;COLUMNS($F$7:AJ$7),"",INDEX(TableDiv[[GASB]:[GASB]],_xlfn.AGGREGATE(15,3,(TableDiv[[Agency]:[Agency]]=$E115)/(TableDiv[[Agency]:[Agency]]=$E115)*(ROW(TableDiv[Agency])-ROW(TableDiv[[#Headers],[Agency]])),COLUMNS($F$7:AJ$7))))</f>
        <v/>
      </c>
      <c r="AK115" s="2223" t="str" cm="1">
        <f t="array" ref="AK115">IF($D115&lt;COLUMNS($F$7:AK$7),"",INDEX(TableDiv[[GASB]:[GASB]],_xlfn.AGGREGATE(15,3,(TableDiv[[Agency]:[Agency]]=$E115)/(TableDiv[[Agency]:[Agency]]=$E115)*(ROW(TableDiv[Agency])-ROW(TableDiv[[#Headers],[Agency]])),COLUMNS($F$7:AK$7))))</f>
        <v/>
      </c>
      <c r="AL115" s="2223" t="str" cm="1">
        <f t="array" ref="AL115">IF($D115&lt;COLUMNS($F$7:AL$7),"",INDEX(TableDiv[[GASB]:[GASB]],_xlfn.AGGREGATE(15,3,(TableDiv[[Agency]:[Agency]]=$E115)/(TableDiv[[Agency]:[Agency]]=$E115)*(ROW(TableDiv[Agency])-ROW(TableDiv[[#Headers],[Agency]])),COLUMNS($F$7:AL$7))))</f>
        <v/>
      </c>
      <c r="AM115" s="2223" t="str" cm="1">
        <f t="array" ref="AM115">IF($D115&lt;COLUMNS($F$7:AM$7),"",INDEX(TableDiv[[GASB]:[GASB]],_xlfn.AGGREGATE(15,3,(TableDiv[[Agency]:[Agency]]=$E115)/(TableDiv[[Agency]:[Agency]]=$E115)*(ROW(TableDiv[Agency])-ROW(TableDiv[[#Headers],[Agency]])),COLUMNS($F$7:AM$7))))</f>
        <v/>
      </c>
      <c r="AN115" s="2223"/>
      <c r="AO115" s="2223"/>
      <c r="AP115" s="2223"/>
      <c r="AQ115" s="2223"/>
      <c r="AR115" s="2223"/>
      <c r="AS115" s="2223"/>
    </row>
    <row r="116" spans="1:45" ht="15" x14ac:dyDescent="0.25">
      <c r="A116" s="2219" t="s">
        <v>5107</v>
      </c>
      <c r="B116" s="2219" t="s">
        <v>6417</v>
      </c>
      <c r="C116" s="2223"/>
      <c r="D116" s="2223">
        <f>COUNTIF(TableDiv[Agency],E116)</f>
        <v>1</v>
      </c>
      <c r="E116" s="2230" t="str" cm="1">
        <f t="array" ref="E116">IFERROR(INDEX(TableDiv[Agency],MATCH(0,INDEX(COUNTIF($E$7:E115,TableDiv[Agency]),),0)),"")</f>
        <v>C1F</v>
      </c>
      <c r="F116" s="2223" t="str" cm="1">
        <f t="array" ref="F116">IF($D116&lt;COLUMNS($F$7:F$7),"",INDEX(TableDiv[[GASB]:[GASB]],_xlfn.AGGREGATE(15,3,(TableDiv[[Agency]:[Agency]]=$E116)/(TableDiv[[Agency]:[Agency]]=$E116)*(ROW(TableDiv[Agency])-ROW(TableDiv[[#Headers],[Agency]])),COLUMNS($F$7:F$7))))</f>
        <v>48200G</v>
      </c>
      <c r="G116" s="2223" t="str" cm="1">
        <f t="array" ref="G116">IF($D116&lt;COLUMNS($F$7:G$7),"",INDEX(TableDiv[[GASB]:[GASB]],_xlfn.AGGREGATE(15,3,(TableDiv[[Agency]:[Agency]]=$E116)/(TableDiv[[Agency]:[Agency]]=$E116)*(ROW(TableDiv[Agency])-ROW(TableDiv[[#Headers],[Agency]])),COLUMNS($F$7:G$7))))</f>
        <v/>
      </c>
      <c r="H116" s="2223" t="str" cm="1">
        <f t="array" ref="H116">IF($D116&lt;COLUMNS($F$7:H$7),"",INDEX(TableDiv[[GASB]:[GASB]],_xlfn.AGGREGATE(15,3,(TableDiv[[Agency]:[Agency]]=$E116)/(TableDiv[[Agency]:[Agency]]=$E116)*(ROW(TableDiv[Agency])-ROW(TableDiv[[#Headers],[Agency]])),COLUMNS($F$7:H$7))))</f>
        <v/>
      </c>
      <c r="I116" s="2223" t="str" cm="1">
        <f t="array" ref="I116">IF($D116&lt;COLUMNS($F$7:I$7),"",INDEX(TableDiv[[GASB]:[GASB]],_xlfn.AGGREGATE(15,3,(TableDiv[[Agency]:[Agency]]=$E116)/(TableDiv[[Agency]:[Agency]]=$E116)*(ROW(TableDiv[Agency])-ROW(TableDiv[[#Headers],[Agency]])),COLUMNS($F$7:I$7))))</f>
        <v/>
      </c>
      <c r="J116" s="2223" t="str" cm="1">
        <f t="array" ref="J116">IF($D116&lt;COLUMNS($F$7:J$7),"",INDEX(TableDiv[[GASB]:[GASB]],_xlfn.AGGREGATE(15,3,(TableDiv[[Agency]:[Agency]]=$E116)/(TableDiv[[Agency]:[Agency]]=$E116)*(ROW(TableDiv[Agency])-ROW(TableDiv[[#Headers],[Agency]])),COLUMNS($F$7:J$7))))</f>
        <v/>
      </c>
      <c r="K116" s="2223" t="str" cm="1">
        <f t="array" ref="K116">IF($D116&lt;COLUMNS($F$7:K$7),"",INDEX(TableDiv[[GASB]:[GASB]],_xlfn.AGGREGATE(15,3,(TableDiv[[Agency]:[Agency]]=$E116)/(TableDiv[[Agency]:[Agency]]=$E116)*(ROW(TableDiv[Agency])-ROW(TableDiv[[#Headers],[Agency]])),COLUMNS($F$7:K$7))))</f>
        <v/>
      </c>
      <c r="L116" s="2223" t="str" cm="1">
        <f t="array" ref="L116">IF($D116&lt;COLUMNS($F$7:L$7),"",INDEX(TableDiv[[GASB]:[GASB]],_xlfn.AGGREGATE(15,3,(TableDiv[[Agency]:[Agency]]=$E116)/(TableDiv[[Agency]:[Agency]]=$E116)*(ROW(TableDiv[Agency])-ROW(TableDiv[[#Headers],[Agency]])),COLUMNS($F$7:L$7))))</f>
        <v/>
      </c>
      <c r="M116" s="2223" t="str" cm="1">
        <f t="array" ref="M116">IF($D116&lt;COLUMNS($F$7:M$7),"",INDEX(TableDiv[[GASB]:[GASB]],_xlfn.AGGREGATE(15,3,(TableDiv[[Agency]:[Agency]]=$E116)/(TableDiv[[Agency]:[Agency]]=$E116)*(ROW(TableDiv[Agency])-ROW(TableDiv[[#Headers],[Agency]])),COLUMNS($F$7:M$7))))</f>
        <v/>
      </c>
      <c r="N116" s="2223" t="str" cm="1">
        <f t="array" ref="N116">IF($D116&lt;COLUMNS($F$7:N$7),"",INDEX(TableDiv[[GASB]:[GASB]],_xlfn.AGGREGATE(15,3,(TableDiv[[Agency]:[Agency]]=$E116)/(TableDiv[[Agency]:[Agency]]=$E116)*(ROW(TableDiv[Agency])-ROW(TableDiv[[#Headers],[Agency]])),COLUMNS($F$7:N$7))))</f>
        <v/>
      </c>
      <c r="O116" s="2223" t="str" cm="1">
        <f t="array" ref="O116">IF($D116&lt;COLUMNS($F$7:O$7),"",INDEX(TableDiv[[GASB]:[GASB]],_xlfn.AGGREGATE(15,3,(TableDiv[[Agency]:[Agency]]=$E116)/(TableDiv[[Agency]:[Agency]]=$E116)*(ROW(TableDiv[Agency])-ROW(TableDiv[[#Headers],[Agency]])),COLUMNS($F$7:O$7))))</f>
        <v/>
      </c>
      <c r="P116" s="2223" t="str" cm="1">
        <f t="array" ref="P116">IF($D116&lt;COLUMNS($F$7:P$7),"",INDEX(TableDiv[[GASB]:[GASB]],_xlfn.AGGREGATE(15,3,(TableDiv[[Agency]:[Agency]]=$E116)/(TableDiv[[Agency]:[Agency]]=$E116)*(ROW(TableDiv[Agency])-ROW(TableDiv[[#Headers],[Agency]])),COLUMNS($F$7:P$7))))</f>
        <v/>
      </c>
      <c r="Q116" s="2223" t="str" cm="1">
        <f t="array" ref="Q116">IF($D116&lt;COLUMNS($F$7:Q$7),"",INDEX(TableDiv[[GASB]:[GASB]],_xlfn.AGGREGATE(15,3,(TableDiv[[Agency]:[Agency]]=$E116)/(TableDiv[[Agency]:[Agency]]=$E116)*(ROW(TableDiv[Agency])-ROW(TableDiv[[#Headers],[Agency]])),COLUMNS($F$7:Q$7))))</f>
        <v/>
      </c>
      <c r="R116" s="2223" t="str" cm="1">
        <f t="array" ref="R116">IF($D116&lt;COLUMNS($F$7:R$7),"",INDEX(TableDiv[[GASB]:[GASB]],_xlfn.AGGREGATE(15,3,(TableDiv[[Agency]:[Agency]]=$E116)/(TableDiv[[Agency]:[Agency]]=$E116)*(ROW(TableDiv[Agency])-ROW(TableDiv[[#Headers],[Agency]])),COLUMNS($F$7:R$7))))</f>
        <v/>
      </c>
      <c r="S116" s="2223" t="str" cm="1">
        <f t="array" ref="S116">IF($D116&lt;COLUMNS($F$7:S$7),"",INDEX(TableDiv[[GASB]:[GASB]],_xlfn.AGGREGATE(15,3,(TableDiv[[Agency]:[Agency]]=$E116)/(TableDiv[[Agency]:[Agency]]=$E116)*(ROW(TableDiv[Agency])-ROW(TableDiv[[#Headers],[Agency]])),COLUMNS($F$7:S$7))))</f>
        <v/>
      </c>
      <c r="T116" s="2223" t="str" cm="1">
        <f t="array" ref="T116">IF($D116&lt;COLUMNS($F$7:T$7),"",INDEX(TableDiv[[GASB]:[GASB]],_xlfn.AGGREGATE(15,3,(TableDiv[[Agency]:[Agency]]=$E116)/(TableDiv[[Agency]:[Agency]]=$E116)*(ROW(TableDiv[Agency])-ROW(TableDiv[[#Headers],[Agency]])),COLUMNS($F$7:T$7))))</f>
        <v/>
      </c>
      <c r="U116" s="2223" t="str" cm="1">
        <f t="array" ref="U116">IF($D116&lt;COLUMNS($F$7:U$7),"",INDEX(TableDiv[[GASB]:[GASB]],_xlfn.AGGREGATE(15,3,(TableDiv[[Agency]:[Agency]]=$E116)/(TableDiv[[Agency]:[Agency]]=$E116)*(ROW(TableDiv[Agency])-ROW(TableDiv[[#Headers],[Agency]])),COLUMNS($F$7:U$7))))</f>
        <v/>
      </c>
      <c r="V116" s="2223" t="str" cm="1">
        <f t="array" ref="V116">IF($D116&lt;COLUMNS($F$7:V$7),"",INDEX(TableDiv[[GASB]:[GASB]],_xlfn.AGGREGATE(15,3,(TableDiv[[Agency]:[Agency]]=$E116)/(TableDiv[[Agency]:[Agency]]=$E116)*(ROW(TableDiv[Agency])-ROW(TableDiv[[#Headers],[Agency]])),COLUMNS($F$7:V$7))))</f>
        <v/>
      </c>
      <c r="W116" s="2223" t="str" cm="1">
        <f t="array" ref="W116">IF($D116&lt;COLUMNS($F$7:W$7),"",INDEX(TableDiv[[GASB]:[GASB]],_xlfn.AGGREGATE(15,3,(TableDiv[[Agency]:[Agency]]=$E116)/(TableDiv[[Agency]:[Agency]]=$E116)*(ROW(TableDiv[Agency])-ROW(TableDiv[[#Headers],[Agency]])),COLUMNS($F$7:W$7))))</f>
        <v/>
      </c>
      <c r="X116" s="2223" t="str" cm="1">
        <f t="array" ref="X116">IF($D116&lt;COLUMNS($F$7:X$7),"",INDEX(TableDiv[[GASB]:[GASB]],_xlfn.AGGREGATE(15,3,(TableDiv[[Agency]:[Agency]]=$E116)/(TableDiv[[Agency]:[Agency]]=$E116)*(ROW(TableDiv[Agency])-ROW(TableDiv[[#Headers],[Agency]])),COLUMNS($F$7:X$7))))</f>
        <v/>
      </c>
      <c r="Y116" s="2223" t="str" cm="1">
        <f t="array" ref="Y116">IF($D116&lt;COLUMNS($F$7:Y$7),"",INDEX(TableDiv[[GASB]:[GASB]],_xlfn.AGGREGATE(15,3,(TableDiv[[Agency]:[Agency]]=$E116)/(TableDiv[[Agency]:[Agency]]=$E116)*(ROW(TableDiv[Agency])-ROW(TableDiv[[#Headers],[Agency]])),COLUMNS($F$7:Y$7))))</f>
        <v/>
      </c>
      <c r="Z116" s="2223" t="str" cm="1">
        <f t="array" ref="Z116">IF($D116&lt;COLUMNS($F$7:Z$7),"",INDEX(TableDiv[[GASB]:[GASB]],_xlfn.AGGREGATE(15,3,(TableDiv[[Agency]:[Agency]]=$E116)/(TableDiv[[Agency]:[Agency]]=$E116)*(ROW(TableDiv[Agency])-ROW(TableDiv[[#Headers],[Agency]])),COLUMNS($F$7:Z$7))))</f>
        <v/>
      </c>
      <c r="AA116" s="2223" t="str" cm="1">
        <f t="array" ref="AA116">IF($D116&lt;COLUMNS($F$7:AA$7),"",INDEX(TableDiv[[GASB]:[GASB]],_xlfn.AGGREGATE(15,3,(TableDiv[[Agency]:[Agency]]=$E116)/(TableDiv[[Agency]:[Agency]]=$E116)*(ROW(TableDiv[Agency])-ROW(TableDiv[[#Headers],[Agency]])),COLUMNS($F$7:AA$7))))</f>
        <v/>
      </c>
      <c r="AB116" s="2223" t="str" cm="1">
        <f t="array" ref="AB116">IF($D116&lt;COLUMNS($F$7:AB$7),"",INDEX(TableDiv[[GASB]:[GASB]],_xlfn.AGGREGATE(15,3,(TableDiv[[Agency]:[Agency]]=$E116)/(TableDiv[[Agency]:[Agency]]=$E116)*(ROW(TableDiv[Agency])-ROW(TableDiv[[#Headers],[Agency]])),COLUMNS($F$7:AB$7))))</f>
        <v/>
      </c>
      <c r="AC116" s="2223" t="str" cm="1">
        <f t="array" ref="AC116">IF($D116&lt;COLUMNS($F$7:AC$7),"",INDEX(TableDiv[[GASB]:[GASB]],_xlfn.AGGREGATE(15,3,(TableDiv[[Agency]:[Agency]]=$E116)/(TableDiv[[Agency]:[Agency]]=$E116)*(ROW(TableDiv[Agency])-ROW(TableDiv[[#Headers],[Agency]])),COLUMNS($F$7:AC$7))))</f>
        <v/>
      </c>
      <c r="AD116" s="2223" t="str" cm="1">
        <f t="array" ref="AD116">IF($D116&lt;COLUMNS($F$7:AD$7),"",INDEX(TableDiv[[GASB]:[GASB]],_xlfn.AGGREGATE(15,3,(TableDiv[[Agency]:[Agency]]=$E116)/(TableDiv[[Agency]:[Agency]]=$E116)*(ROW(TableDiv[Agency])-ROW(TableDiv[[#Headers],[Agency]])),COLUMNS($F$7:AD$7))))</f>
        <v/>
      </c>
      <c r="AE116" s="2223" t="str" cm="1">
        <f t="array" ref="AE116">IF($D116&lt;COLUMNS($F$7:AE$7),"",INDEX(TableDiv[[GASB]:[GASB]],_xlfn.AGGREGATE(15,3,(TableDiv[[Agency]:[Agency]]=$E116)/(TableDiv[[Agency]:[Agency]]=$E116)*(ROW(TableDiv[Agency])-ROW(TableDiv[[#Headers],[Agency]])),COLUMNS($F$7:AE$7))))</f>
        <v/>
      </c>
      <c r="AF116" s="2223" t="str" cm="1">
        <f t="array" ref="AF116">IF($D116&lt;COLUMNS($F$7:AF$7),"",INDEX(TableDiv[[GASB]:[GASB]],_xlfn.AGGREGATE(15,3,(TableDiv[[Agency]:[Agency]]=$E116)/(TableDiv[[Agency]:[Agency]]=$E116)*(ROW(TableDiv[Agency])-ROW(TableDiv[[#Headers],[Agency]])),COLUMNS($F$7:AF$7))))</f>
        <v/>
      </c>
      <c r="AG116" s="2223" t="str" cm="1">
        <f t="array" ref="AG116">IF($D116&lt;COLUMNS($F$7:AG$7),"",INDEX(TableDiv[[GASB]:[GASB]],_xlfn.AGGREGATE(15,3,(TableDiv[[Agency]:[Agency]]=$E116)/(TableDiv[[Agency]:[Agency]]=$E116)*(ROW(TableDiv[Agency])-ROW(TableDiv[[#Headers],[Agency]])),COLUMNS($F$7:AG$7))))</f>
        <v/>
      </c>
      <c r="AH116" s="2223" t="str" cm="1">
        <f t="array" ref="AH116">IF($D116&lt;COLUMNS($F$7:AH$7),"",INDEX(TableDiv[[GASB]:[GASB]],_xlfn.AGGREGATE(15,3,(TableDiv[[Agency]:[Agency]]=$E116)/(TableDiv[[Agency]:[Agency]]=$E116)*(ROW(TableDiv[Agency])-ROW(TableDiv[[#Headers],[Agency]])),COLUMNS($F$7:AH$7))))</f>
        <v/>
      </c>
      <c r="AI116" s="2223" t="str" cm="1">
        <f t="array" ref="AI116">IF($D116&lt;COLUMNS($F$7:AI$7),"",INDEX(TableDiv[[GASB]:[GASB]],_xlfn.AGGREGATE(15,3,(TableDiv[[Agency]:[Agency]]=$E116)/(TableDiv[[Agency]:[Agency]]=$E116)*(ROW(TableDiv[Agency])-ROW(TableDiv[[#Headers],[Agency]])),COLUMNS($F$7:AI$7))))</f>
        <v/>
      </c>
      <c r="AJ116" s="2223" t="str" cm="1">
        <f t="array" ref="AJ116">IF($D116&lt;COLUMNS($F$7:AJ$7),"",INDEX(TableDiv[[GASB]:[GASB]],_xlfn.AGGREGATE(15,3,(TableDiv[[Agency]:[Agency]]=$E116)/(TableDiv[[Agency]:[Agency]]=$E116)*(ROW(TableDiv[Agency])-ROW(TableDiv[[#Headers],[Agency]])),COLUMNS($F$7:AJ$7))))</f>
        <v/>
      </c>
      <c r="AK116" s="2223" t="str" cm="1">
        <f t="array" ref="AK116">IF($D116&lt;COLUMNS($F$7:AK$7),"",INDEX(TableDiv[[GASB]:[GASB]],_xlfn.AGGREGATE(15,3,(TableDiv[[Agency]:[Agency]]=$E116)/(TableDiv[[Agency]:[Agency]]=$E116)*(ROW(TableDiv[Agency])-ROW(TableDiv[[#Headers],[Agency]])),COLUMNS($F$7:AK$7))))</f>
        <v/>
      </c>
      <c r="AL116" s="2223" t="str" cm="1">
        <f t="array" ref="AL116">IF($D116&lt;COLUMNS($F$7:AL$7),"",INDEX(TableDiv[[GASB]:[GASB]],_xlfn.AGGREGATE(15,3,(TableDiv[[Agency]:[Agency]]=$E116)/(TableDiv[[Agency]:[Agency]]=$E116)*(ROW(TableDiv[Agency])-ROW(TableDiv[[#Headers],[Agency]])),COLUMNS($F$7:AL$7))))</f>
        <v/>
      </c>
      <c r="AM116" s="2223" t="str" cm="1">
        <f t="array" ref="AM116">IF($D116&lt;COLUMNS($F$7:AM$7),"",INDEX(TableDiv[[GASB]:[GASB]],_xlfn.AGGREGATE(15,3,(TableDiv[[Agency]:[Agency]]=$E116)/(TableDiv[[Agency]:[Agency]]=$E116)*(ROW(TableDiv[Agency])-ROW(TableDiv[[#Headers],[Agency]])),COLUMNS($F$7:AM$7))))</f>
        <v/>
      </c>
      <c r="AN116" s="2223"/>
      <c r="AO116" s="2223"/>
      <c r="AP116" s="2223"/>
      <c r="AQ116" s="2223"/>
      <c r="AR116" s="2223"/>
      <c r="AS116" s="2223"/>
    </row>
    <row r="117" spans="1:45" ht="15" x14ac:dyDescent="0.25">
      <c r="A117" s="2219" t="s">
        <v>5107</v>
      </c>
      <c r="B117" s="2219" t="s">
        <v>6418</v>
      </c>
      <c r="C117" s="2223"/>
      <c r="D117" s="2223">
        <f>COUNTIF(TableDiv[Agency],E117)</f>
        <v>1</v>
      </c>
      <c r="E117" s="2230" t="str" cm="1">
        <f t="array" ref="E117">IFERROR(INDEX(TableDiv[Agency],MATCH(0,INDEX(COUNTIF($E$7:E116,TableDiv[Agency]),),0)),"")</f>
        <v>DDF</v>
      </c>
      <c r="F117" s="2223" t="str" cm="1">
        <f t="array" ref="F117">IF($D117&lt;COLUMNS($F$7:F$7),"",INDEX(TableDiv[[GASB]:[GASB]],_xlfn.AGGREGATE(15,3,(TableDiv[[Agency]:[Agency]]=$E117)/(TableDiv[[Agency]:[Agency]]=$E117)*(ROW(TableDiv[Agency])-ROW(TableDiv[[#Headers],[Agency]])),COLUMNS($F$7:F$7))))</f>
        <v>48200G</v>
      </c>
      <c r="G117" s="2223" t="str" cm="1">
        <f t="array" ref="G117">IF($D117&lt;COLUMNS($F$7:G$7),"",INDEX(TableDiv[[GASB]:[GASB]],_xlfn.AGGREGATE(15,3,(TableDiv[[Agency]:[Agency]]=$E117)/(TableDiv[[Agency]:[Agency]]=$E117)*(ROW(TableDiv[Agency])-ROW(TableDiv[[#Headers],[Agency]])),COLUMNS($F$7:G$7))))</f>
        <v/>
      </c>
      <c r="H117" s="2223" t="str" cm="1">
        <f t="array" ref="H117">IF($D117&lt;COLUMNS($F$7:H$7),"",INDEX(TableDiv[[GASB]:[GASB]],_xlfn.AGGREGATE(15,3,(TableDiv[[Agency]:[Agency]]=$E117)/(TableDiv[[Agency]:[Agency]]=$E117)*(ROW(TableDiv[Agency])-ROW(TableDiv[[#Headers],[Agency]])),COLUMNS($F$7:H$7))))</f>
        <v/>
      </c>
      <c r="I117" s="2223" t="str" cm="1">
        <f t="array" ref="I117">IF($D117&lt;COLUMNS($F$7:I$7),"",INDEX(TableDiv[[GASB]:[GASB]],_xlfn.AGGREGATE(15,3,(TableDiv[[Agency]:[Agency]]=$E117)/(TableDiv[[Agency]:[Agency]]=$E117)*(ROW(TableDiv[Agency])-ROW(TableDiv[[#Headers],[Agency]])),COLUMNS($F$7:I$7))))</f>
        <v/>
      </c>
      <c r="J117" s="2223" t="str" cm="1">
        <f t="array" ref="J117">IF($D117&lt;COLUMNS($F$7:J$7),"",INDEX(TableDiv[[GASB]:[GASB]],_xlfn.AGGREGATE(15,3,(TableDiv[[Agency]:[Agency]]=$E117)/(TableDiv[[Agency]:[Agency]]=$E117)*(ROW(TableDiv[Agency])-ROW(TableDiv[[#Headers],[Agency]])),COLUMNS($F$7:J$7))))</f>
        <v/>
      </c>
      <c r="K117" s="2223" t="str" cm="1">
        <f t="array" ref="K117">IF($D117&lt;COLUMNS($F$7:K$7),"",INDEX(TableDiv[[GASB]:[GASB]],_xlfn.AGGREGATE(15,3,(TableDiv[[Agency]:[Agency]]=$E117)/(TableDiv[[Agency]:[Agency]]=$E117)*(ROW(TableDiv[Agency])-ROW(TableDiv[[#Headers],[Agency]])),COLUMNS($F$7:K$7))))</f>
        <v/>
      </c>
      <c r="L117" s="2223" t="str" cm="1">
        <f t="array" ref="L117">IF($D117&lt;COLUMNS($F$7:L$7),"",INDEX(TableDiv[[GASB]:[GASB]],_xlfn.AGGREGATE(15,3,(TableDiv[[Agency]:[Agency]]=$E117)/(TableDiv[[Agency]:[Agency]]=$E117)*(ROW(TableDiv[Agency])-ROW(TableDiv[[#Headers],[Agency]])),COLUMNS($F$7:L$7))))</f>
        <v/>
      </c>
      <c r="M117" s="2223" t="str" cm="1">
        <f t="array" ref="M117">IF($D117&lt;COLUMNS($F$7:M$7),"",INDEX(TableDiv[[GASB]:[GASB]],_xlfn.AGGREGATE(15,3,(TableDiv[[Agency]:[Agency]]=$E117)/(TableDiv[[Agency]:[Agency]]=$E117)*(ROW(TableDiv[Agency])-ROW(TableDiv[[#Headers],[Agency]])),COLUMNS($F$7:M$7))))</f>
        <v/>
      </c>
      <c r="N117" s="2223" t="str" cm="1">
        <f t="array" ref="N117">IF($D117&lt;COLUMNS($F$7:N$7),"",INDEX(TableDiv[[GASB]:[GASB]],_xlfn.AGGREGATE(15,3,(TableDiv[[Agency]:[Agency]]=$E117)/(TableDiv[[Agency]:[Agency]]=$E117)*(ROW(TableDiv[Agency])-ROW(TableDiv[[#Headers],[Agency]])),COLUMNS($F$7:N$7))))</f>
        <v/>
      </c>
      <c r="O117" s="2223" t="str" cm="1">
        <f t="array" ref="O117">IF($D117&lt;COLUMNS($F$7:O$7),"",INDEX(TableDiv[[GASB]:[GASB]],_xlfn.AGGREGATE(15,3,(TableDiv[[Agency]:[Agency]]=$E117)/(TableDiv[[Agency]:[Agency]]=$E117)*(ROW(TableDiv[Agency])-ROW(TableDiv[[#Headers],[Agency]])),COLUMNS($F$7:O$7))))</f>
        <v/>
      </c>
      <c r="P117" s="2223" t="str" cm="1">
        <f t="array" ref="P117">IF($D117&lt;COLUMNS($F$7:P$7),"",INDEX(TableDiv[[GASB]:[GASB]],_xlfn.AGGREGATE(15,3,(TableDiv[[Agency]:[Agency]]=$E117)/(TableDiv[[Agency]:[Agency]]=$E117)*(ROW(TableDiv[Agency])-ROW(TableDiv[[#Headers],[Agency]])),COLUMNS($F$7:P$7))))</f>
        <v/>
      </c>
      <c r="Q117" s="2223" t="str" cm="1">
        <f t="array" ref="Q117">IF($D117&lt;COLUMNS($F$7:Q$7),"",INDEX(TableDiv[[GASB]:[GASB]],_xlfn.AGGREGATE(15,3,(TableDiv[[Agency]:[Agency]]=$E117)/(TableDiv[[Agency]:[Agency]]=$E117)*(ROW(TableDiv[Agency])-ROW(TableDiv[[#Headers],[Agency]])),COLUMNS($F$7:Q$7))))</f>
        <v/>
      </c>
      <c r="R117" s="2223" t="str" cm="1">
        <f t="array" ref="R117">IF($D117&lt;COLUMNS($F$7:R$7),"",INDEX(TableDiv[[GASB]:[GASB]],_xlfn.AGGREGATE(15,3,(TableDiv[[Agency]:[Agency]]=$E117)/(TableDiv[[Agency]:[Agency]]=$E117)*(ROW(TableDiv[Agency])-ROW(TableDiv[[#Headers],[Agency]])),COLUMNS($F$7:R$7))))</f>
        <v/>
      </c>
      <c r="S117" s="2223" t="str" cm="1">
        <f t="array" ref="S117">IF($D117&lt;COLUMNS($F$7:S$7),"",INDEX(TableDiv[[GASB]:[GASB]],_xlfn.AGGREGATE(15,3,(TableDiv[[Agency]:[Agency]]=$E117)/(TableDiv[[Agency]:[Agency]]=$E117)*(ROW(TableDiv[Agency])-ROW(TableDiv[[#Headers],[Agency]])),COLUMNS($F$7:S$7))))</f>
        <v/>
      </c>
      <c r="T117" s="2223" t="str" cm="1">
        <f t="array" ref="T117">IF($D117&lt;COLUMNS($F$7:T$7),"",INDEX(TableDiv[[GASB]:[GASB]],_xlfn.AGGREGATE(15,3,(TableDiv[[Agency]:[Agency]]=$E117)/(TableDiv[[Agency]:[Agency]]=$E117)*(ROW(TableDiv[Agency])-ROW(TableDiv[[#Headers],[Agency]])),COLUMNS($F$7:T$7))))</f>
        <v/>
      </c>
      <c r="U117" s="2223" t="str" cm="1">
        <f t="array" ref="U117">IF($D117&lt;COLUMNS($F$7:U$7),"",INDEX(TableDiv[[GASB]:[GASB]],_xlfn.AGGREGATE(15,3,(TableDiv[[Agency]:[Agency]]=$E117)/(TableDiv[[Agency]:[Agency]]=$E117)*(ROW(TableDiv[Agency])-ROW(TableDiv[[#Headers],[Agency]])),COLUMNS($F$7:U$7))))</f>
        <v/>
      </c>
      <c r="V117" s="2223" t="str" cm="1">
        <f t="array" ref="V117">IF($D117&lt;COLUMNS($F$7:V$7),"",INDEX(TableDiv[[GASB]:[GASB]],_xlfn.AGGREGATE(15,3,(TableDiv[[Agency]:[Agency]]=$E117)/(TableDiv[[Agency]:[Agency]]=$E117)*(ROW(TableDiv[Agency])-ROW(TableDiv[[#Headers],[Agency]])),COLUMNS($F$7:V$7))))</f>
        <v/>
      </c>
      <c r="W117" s="2223" t="str" cm="1">
        <f t="array" ref="W117">IF($D117&lt;COLUMNS($F$7:W$7),"",INDEX(TableDiv[[GASB]:[GASB]],_xlfn.AGGREGATE(15,3,(TableDiv[[Agency]:[Agency]]=$E117)/(TableDiv[[Agency]:[Agency]]=$E117)*(ROW(TableDiv[Agency])-ROW(TableDiv[[#Headers],[Agency]])),COLUMNS($F$7:W$7))))</f>
        <v/>
      </c>
      <c r="X117" s="2223" t="str" cm="1">
        <f t="array" ref="X117">IF($D117&lt;COLUMNS($F$7:X$7),"",INDEX(TableDiv[[GASB]:[GASB]],_xlfn.AGGREGATE(15,3,(TableDiv[[Agency]:[Agency]]=$E117)/(TableDiv[[Agency]:[Agency]]=$E117)*(ROW(TableDiv[Agency])-ROW(TableDiv[[#Headers],[Agency]])),COLUMNS($F$7:X$7))))</f>
        <v/>
      </c>
      <c r="Y117" s="2223" t="str" cm="1">
        <f t="array" ref="Y117">IF($D117&lt;COLUMNS($F$7:Y$7),"",INDEX(TableDiv[[GASB]:[GASB]],_xlfn.AGGREGATE(15,3,(TableDiv[[Agency]:[Agency]]=$E117)/(TableDiv[[Agency]:[Agency]]=$E117)*(ROW(TableDiv[Agency])-ROW(TableDiv[[#Headers],[Agency]])),COLUMNS($F$7:Y$7))))</f>
        <v/>
      </c>
      <c r="Z117" s="2223" t="str" cm="1">
        <f t="array" ref="Z117">IF($D117&lt;COLUMNS($F$7:Z$7),"",INDEX(TableDiv[[GASB]:[GASB]],_xlfn.AGGREGATE(15,3,(TableDiv[[Agency]:[Agency]]=$E117)/(TableDiv[[Agency]:[Agency]]=$E117)*(ROW(TableDiv[Agency])-ROW(TableDiv[[#Headers],[Agency]])),COLUMNS($F$7:Z$7))))</f>
        <v/>
      </c>
      <c r="AA117" s="2223" t="str" cm="1">
        <f t="array" ref="AA117">IF($D117&lt;COLUMNS($F$7:AA$7),"",INDEX(TableDiv[[GASB]:[GASB]],_xlfn.AGGREGATE(15,3,(TableDiv[[Agency]:[Agency]]=$E117)/(TableDiv[[Agency]:[Agency]]=$E117)*(ROW(TableDiv[Agency])-ROW(TableDiv[[#Headers],[Agency]])),COLUMNS($F$7:AA$7))))</f>
        <v/>
      </c>
      <c r="AB117" s="2223" t="str" cm="1">
        <f t="array" ref="AB117">IF($D117&lt;COLUMNS($F$7:AB$7),"",INDEX(TableDiv[[GASB]:[GASB]],_xlfn.AGGREGATE(15,3,(TableDiv[[Agency]:[Agency]]=$E117)/(TableDiv[[Agency]:[Agency]]=$E117)*(ROW(TableDiv[Agency])-ROW(TableDiv[[#Headers],[Agency]])),COLUMNS($F$7:AB$7))))</f>
        <v/>
      </c>
      <c r="AC117" s="2223" t="str" cm="1">
        <f t="array" ref="AC117">IF($D117&lt;COLUMNS($F$7:AC$7),"",INDEX(TableDiv[[GASB]:[GASB]],_xlfn.AGGREGATE(15,3,(TableDiv[[Agency]:[Agency]]=$E117)/(TableDiv[[Agency]:[Agency]]=$E117)*(ROW(TableDiv[Agency])-ROW(TableDiv[[#Headers],[Agency]])),COLUMNS($F$7:AC$7))))</f>
        <v/>
      </c>
      <c r="AD117" s="2223" t="str" cm="1">
        <f t="array" ref="AD117">IF($D117&lt;COLUMNS($F$7:AD$7),"",INDEX(TableDiv[[GASB]:[GASB]],_xlfn.AGGREGATE(15,3,(TableDiv[[Agency]:[Agency]]=$E117)/(TableDiv[[Agency]:[Agency]]=$E117)*(ROW(TableDiv[Agency])-ROW(TableDiv[[#Headers],[Agency]])),COLUMNS($F$7:AD$7))))</f>
        <v/>
      </c>
      <c r="AE117" s="2223" t="str" cm="1">
        <f t="array" ref="AE117">IF($D117&lt;COLUMNS($F$7:AE$7),"",INDEX(TableDiv[[GASB]:[GASB]],_xlfn.AGGREGATE(15,3,(TableDiv[[Agency]:[Agency]]=$E117)/(TableDiv[[Agency]:[Agency]]=$E117)*(ROW(TableDiv[Agency])-ROW(TableDiv[[#Headers],[Agency]])),COLUMNS($F$7:AE$7))))</f>
        <v/>
      </c>
      <c r="AF117" s="2223" t="str" cm="1">
        <f t="array" ref="AF117">IF($D117&lt;COLUMNS($F$7:AF$7),"",INDEX(TableDiv[[GASB]:[GASB]],_xlfn.AGGREGATE(15,3,(TableDiv[[Agency]:[Agency]]=$E117)/(TableDiv[[Agency]:[Agency]]=$E117)*(ROW(TableDiv[Agency])-ROW(TableDiv[[#Headers],[Agency]])),COLUMNS($F$7:AF$7))))</f>
        <v/>
      </c>
      <c r="AG117" s="2223" t="str" cm="1">
        <f t="array" ref="AG117">IF($D117&lt;COLUMNS($F$7:AG$7),"",INDEX(TableDiv[[GASB]:[GASB]],_xlfn.AGGREGATE(15,3,(TableDiv[[Agency]:[Agency]]=$E117)/(TableDiv[[Agency]:[Agency]]=$E117)*(ROW(TableDiv[Agency])-ROW(TableDiv[[#Headers],[Agency]])),COLUMNS($F$7:AG$7))))</f>
        <v/>
      </c>
      <c r="AH117" s="2223" t="str" cm="1">
        <f t="array" ref="AH117">IF($D117&lt;COLUMNS($F$7:AH$7),"",INDEX(TableDiv[[GASB]:[GASB]],_xlfn.AGGREGATE(15,3,(TableDiv[[Agency]:[Agency]]=$E117)/(TableDiv[[Agency]:[Agency]]=$E117)*(ROW(TableDiv[Agency])-ROW(TableDiv[[#Headers],[Agency]])),COLUMNS($F$7:AH$7))))</f>
        <v/>
      </c>
      <c r="AI117" s="2223" t="str" cm="1">
        <f t="array" ref="AI117">IF($D117&lt;COLUMNS($F$7:AI$7),"",INDEX(TableDiv[[GASB]:[GASB]],_xlfn.AGGREGATE(15,3,(TableDiv[[Agency]:[Agency]]=$E117)/(TableDiv[[Agency]:[Agency]]=$E117)*(ROW(TableDiv[Agency])-ROW(TableDiv[[#Headers],[Agency]])),COLUMNS($F$7:AI$7))))</f>
        <v/>
      </c>
      <c r="AJ117" s="2223" t="str" cm="1">
        <f t="array" ref="AJ117">IF($D117&lt;COLUMNS($F$7:AJ$7),"",INDEX(TableDiv[[GASB]:[GASB]],_xlfn.AGGREGATE(15,3,(TableDiv[[Agency]:[Agency]]=$E117)/(TableDiv[[Agency]:[Agency]]=$E117)*(ROW(TableDiv[Agency])-ROW(TableDiv[[#Headers],[Agency]])),COLUMNS($F$7:AJ$7))))</f>
        <v/>
      </c>
      <c r="AK117" s="2223" t="str" cm="1">
        <f t="array" ref="AK117">IF($D117&lt;COLUMNS($F$7:AK$7),"",INDEX(TableDiv[[GASB]:[GASB]],_xlfn.AGGREGATE(15,3,(TableDiv[[Agency]:[Agency]]=$E117)/(TableDiv[[Agency]:[Agency]]=$E117)*(ROW(TableDiv[Agency])-ROW(TableDiv[[#Headers],[Agency]])),COLUMNS($F$7:AK$7))))</f>
        <v/>
      </c>
      <c r="AL117" s="2223" t="str" cm="1">
        <f t="array" ref="AL117">IF($D117&lt;COLUMNS($F$7:AL$7),"",INDEX(TableDiv[[GASB]:[GASB]],_xlfn.AGGREGATE(15,3,(TableDiv[[Agency]:[Agency]]=$E117)/(TableDiv[[Agency]:[Agency]]=$E117)*(ROW(TableDiv[Agency])-ROW(TableDiv[[#Headers],[Agency]])),COLUMNS($F$7:AL$7))))</f>
        <v/>
      </c>
      <c r="AM117" s="2223" t="str" cm="1">
        <f t="array" ref="AM117">IF($D117&lt;COLUMNS($F$7:AM$7),"",INDEX(TableDiv[[GASB]:[GASB]],_xlfn.AGGREGATE(15,3,(TableDiv[[Agency]:[Agency]]=$E117)/(TableDiv[[Agency]:[Agency]]=$E117)*(ROW(TableDiv[Agency])-ROW(TableDiv[[#Headers],[Agency]])),COLUMNS($F$7:AM$7))))</f>
        <v/>
      </c>
      <c r="AN117" s="2223"/>
      <c r="AO117" s="2223"/>
      <c r="AP117" s="2223"/>
      <c r="AQ117" s="2223"/>
      <c r="AR117" s="2223"/>
      <c r="AS117" s="2223"/>
    </row>
    <row r="118" spans="1:45" ht="15" x14ac:dyDescent="0.25">
      <c r="A118" s="2219" t="s">
        <v>5107</v>
      </c>
      <c r="B118" s="2219" t="s">
        <v>6419</v>
      </c>
      <c r="C118" s="2223"/>
      <c r="D118" s="2223">
        <f>COUNTIF(TableDiv[Agency],E118)</f>
        <v>1</v>
      </c>
      <c r="E118" s="2230" t="str" cm="1">
        <f t="array" ref="E118">IFERROR(INDEX(TableDiv[Agency],MATCH(0,INDEX(COUNTIF($E$7:E117,TableDiv[Agency]),),0)),"")</f>
        <v>DEF</v>
      </c>
      <c r="F118" s="2223" t="str" cm="1">
        <f t="array" ref="F118">IF($D118&lt;COLUMNS($F$7:F$7),"",INDEX(TableDiv[[GASB]:[GASB]],_xlfn.AGGREGATE(15,3,(TableDiv[[Agency]:[Agency]]=$E118)/(TableDiv[[Agency]:[Agency]]=$E118)*(ROW(TableDiv[Agency])-ROW(TableDiv[[#Headers],[Agency]])),COLUMNS($F$7:F$7))))</f>
        <v>48200G</v>
      </c>
      <c r="G118" s="2223" t="str" cm="1">
        <f t="array" ref="G118">IF($D118&lt;COLUMNS($F$7:G$7),"",INDEX(TableDiv[[GASB]:[GASB]],_xlfn.AGGREGATE(15,3,(TableDiv[[Agency]:[Agency]]=$E118)/(TableDiv[[Agency]:[Agency]]=$E118)*(ROW(TableDiv[Agency])-ROW(TableDiv[[#Headers],[Agency]])),COLUMNS($F$7:G$7))))</f>
        <v/>
      </c>
      <c r="H118" s="2223" t="str" cm="1">
        <f t="array" ref="H118">IF($D118&lt;COLUMNS($F$7:H$7),"",INDEX(TableDiv[[GASB]:[GASB]],_xlfn.AGGREGATE(15,3,(TableDiv[[Agency]:[Agency]]=$E118)/(TableDiv[[Agency]:[Agency]]=$E118)*(ROW(TableDiv[Agency])-ROW(TableDiv[[#Headers],[Agency]])),COLUMNS($F$7:H$7))))</f>
        <v/>
      </c>
      <c r="I118" s="2223" t="str" cm="1">
        <f t="array" ref="I118">IF($D118&lt;COLUMNS($F$7:I$7),"",INDEX(TableDiv[[GASB]:[GASB]],_xlfn.AGGREGATE(15,3,(TableDiv[[Agency]:[Agency]]=$E118)/(TableDiv[[Agency]:[Agency]]=$E118)*(ROW(TableDiv[Agency])-ROW(TableDiv[[#Headers],[Agency]])),COLUMNS($F$7:I$7))))</f>
        <v/>
      </c>
      <c r="J118" s="2223" t="str" cm="1">
        <f t="array" ref="J118">IF($D118&lt;COLUMNS($F$7:J$7),"",INDEX(TableDiv[[GASB]:[GASB]],_xlfn.AGGREGATE(15,3,(TableDiv[[Agency]:[Agency]]=$E118)/(TableDiv[[Agency]:[Agency]]=$E118)*(ROW(TableDiv[Agency])-ROW(TableDiv[[#Headers],[Agency]])),COLUMNS($F$7:J$7))))</f>
        <v/>
      </c>
      <c r="K118" s="2223" t="str" cm="1">
        <f t="array" ref="K118">IF($D118&lt;COLUMNS($F$7:K$7),"",INDEX(TableDiv[[GASB]:[GASB]],_xlfn.AGGREGATE(15,3,(TableDiv[[Agency]:[Agency]]=$E118)/(TableDiv[[Agency]:[Agency]]=$E118)*(ROW(TableDiv[Agency])-ROW(TableDiv[[#Headers],[Agency]])),COLUMNS($F$7:K$7))))</f>
        <v/>
      </c>
      <c r="L118" s="2223" t="str" cm="1">
        <f t="array" ref="L118">IF($D118&lt;COLUMNS($F$7:L$7),"",INDEX(TableDiv[[GASB]:[GASB]],_xlfn.AGGREGATE(15,3,(TableDiv[[Agency]:[Agency]]=$E118)/(TableDiv[[Agency]:[Agency]]=$E118)*(ROW(TableDiv[Agency])-ROW(TableDiv[[#Headers],[Agency]])),COLUMNS($F$7:L$7))))</f>
        <v/>
      </c>
      <c r="M118" s="2223" t="str" cm="1">
        <f t="array" ref="M118">IF($D118&lt;COLUMNS($F$7:M$7),"",INDEX(TableDiv[[GASB]:[GASB]],_xlfn.AGGREGATE(15,3,(TableDiv[[Agency]:[Agency]]=$E118)/(TableDiv[[Agency]:[Agency]]=$E118)*(ROW(TableDiv[Agency])-ROW(TableDiv[[#Headers],[Agency]])),COLUMNS($F$7:M$7))))</f>
        <v/>
      </c>
      <c r="N118" s="2223" t="str" cm="1">
        <f t="array" ref="N118">IF($D118&lt;COLUMNS($F$7:N$7),"",INDEX(TableDiv[[GASB]:[GASB]],_xlfn.AGGREGATE(15,3,(TableDiv[[Agency]:[Agency]]=$E118)/(TableDiv[[Agency]:[Agency]]=$E118)*(ROW(TableDiv[Agency])-ROW(TableDiv[[#Headers],[Agency]])),COLUMNS($F$7:N$7))))</f>
        <v/>
      </c>
      <c r="O118" s="2223" t="str" cm="1">
        <f t="array" ref="O118">IF($D118&lt;COLUMNS($F$7:O$7),"",INDEX(TableDiv[[GASB]:[GASB]],_xlfn.AGGREGATE(15,3,(TableDiv[[Agency]:[Agency]]=$E118)/(TableDiv[[Agency]:[Agency]]=$E118)*(ROW(TableDiv[Agency])-ROW(TableDiv[[#Headers],[Agency]])),COLUMNS($F$7:O$7))))</f>
        <v/>
      </c>
      <c r="P118" s="2223" t="str" cm="1">
        <f t="array" ref="P118">IF($D118&lt;COLUMNS($F$7:P$7),"",INDEX(TableDiv[[GASB]:[GASB]],_xlfn.AGGREGATE(15,3,(TableDiv[[Agency]:[Agency]]=$E118)/(TableDiv[[Agency]:[Agency]]=$E118)*(ROW(TableDiv[Agency])-ROW(TableDiv[[#Headers],[Agency]])),COLUMNS($F$7:P$7))))</f>
        <v/>
      </c>
      <c r="Q118" s="2223" t="str" cm="1">
        <f t="array" ref="Q118">IF($D118&lt;COLUMNS($F$7:Q$7),"",INDEX(TableDiv[[GASB]:[GASB]],_xlfn.AGGREGATE(15,3,(TableDiv[[Agency]:[Agency]]=$E118)/(TableDiv[[Agency]:[Agency]]=$E118)*(ROW(TableDiv[Agency])-ROW(TableDiv[[#Headers],[Agency]])),COLUMNS($F$7:Q$7))))</f>
        <v/>
      </c>
      <c r="R118" s="2223" t="str" cm="1">
        <f t="array" ref="R118">IF($D118&lt;COLUMNS($F$7:R$7),"",INDEX(TableDiv[[GASB]:[GASB]],_xlfn.AGGREGATE(15,3,(TableDiv[[Agency]:[Agency]]=$E118)/(TableDiv[[Agency]:[Agency]]=$E118)*(ROW(TableDiv[Agency])-ROW(TableDiv[[#Headers],[Agency]])),COLUMNS($F$7:R$7))))</f>
        <v/>
      </c>
      <c r="S118" s="2223" t="str" cm="1">
        <f t="array" ref="S118">IF($D118&lt;COLUMNS($F$7:S$7),"",INDEX(TableDiv[[GASB]:[GASB]],_xlfn.AGGREGATE(15,3,(TableDiv[[Agency]:[Agency]]=$E118)/(TableDiv[[Agency]:[Agency]]=$E118)*(ROW(TableDiv[Agency])-ROW(TableDiv[[#Headers],[Agency]])),COLUMNS($F$7:S$7))))</f>
        <v/>
      </c>
      <c r="T118" s="2223" t="str" cm="1">
        <f t="array" ref="T118">IF($D118&lt;COLUMNS($F$7:T$7),"",INDEX(TableDiv[[GASB]:[GASB]],_xlfn.AGGREGATE(15,3,(TableDiv[[Agency]:[Agency]]=$E118)/(TableDiv[[Agency]:[Agency]]=$E118)*(ROW(TableDiv[Agency])-ROW(TableDiv[[#Headers],[Agency]])),COLUMNS($F$7:T$7))))</f>
        <v/>
      </c>
      <c r="U118" s="2223" t="str" cm="1">
        <f t="array" ref="U118">IF($D118&lt;COLUMNS($F$7:U$7),"",INDEX(TableDiv[[GASB]:[GASB]],_xlfn.AGGREGATE(15,3,(TableDiv[[Agency]:[Agency]]=$E118)/(TableDiv[[Agency]:[Agency]]=$E118)*(ROW(TableDiv[Agency])-ROW(TableDiv[[#Headers],[Agency]])),COLUMNS($F$7:U$7))))</f>
        <v/>
      </c>
      <c r="V118" s="2223" t="str" cm="1">
        <f t="array" ref="V118">IF($D118&lt;COLUMNS($F$7:V$7),"",INDEX(TableDiv[[GASB]:[GASB]],_xlfn.AGGREGATE(15,3,(TableDiv[[Agency]:[Agency]]=$E118)/(TableDiv[[Agency]:[Agency]]=$E118)*(ROW(TableDiv[Agency])-ROW(TableDiv[[#Headers],[Agency]])),COLUMNS($F$7:V$7))))</f>
        <v/>
      </c>
      <c r="W118" s="2223" t="str" cm="1">
        <f t="array" ref="W118">IF($D118&lt;COLUMNS($F$7:W$7),"",INDEX(TableDiv[[GASB]:[GASB]],_xlfn.AGGREGATE(15,3,(TableDiv[[Agency]:[Agency]]=$E118)/(TableDiv[[Agency]:[Agency]]=$E118)*(ROW(TableDiv[Agency])-ROW(TableDiv[[#Headers],[Agency]])),COLUMNS($F$7:W$7))))</f>
        <v/>
      </c>
      <c r="X118" s="2223" t="str" cm="1">
        <f t="array" ref="X118">IF($D118&lt;COLUMNS($F$7:X$7),"",INDEX(TableDiv[[GASB]:[GASB]],_xlfn.AGGREGATE(15,3,(TableDiv[[Agency]:[Agency]]=$E118)/(TableDiv[[Agency]:[Agency]]=$E118)*(ROW(TableDiv[Agency])-ROW(TableDiv[[#Headers],[Agency]])),COLUMNS($F$7:X$7))))</f>
        <v/>
      </c>
      <c r="Y118" s="2223" t="str" cm="1">
        <f t="array" ref="Y118">IF($D118&lt;COLUMNS($F$7:Y$7),"",INDEX(TableDiv[[GASB]:[GASB]],_xlfn.AGGREGATE(15,3,(TableDiv[[Agency]:[Agency]]=$E118)/(TableDiv[[Agency]:[Agency]]=$E118)*(ROW(TableDiv[Agency])-ROW(TableDiv[[#Headers],[Agency]])),COLUMNS($F$7:Y$7))))</f>
        <v/>
      </c>
      <c r="Z118" s="2223" t="str" cm="1">
        <f t="array" ref="Z118">IF($D118&lt;COLUMNS($F$7:Z$7),"",INDEX(TableDiv[[GASB]:[GASB]],_xlfn.AGGREGATE(15,3,(TableDiv[[Agency]:[Agency]]=$E118)/(TableDiv[[Agency]:[Agency]]=$E118)*(ROW(TableDiv[Agency])-ROW(TableDiv[[#Headers],[Agency]])),COLUMNS($F$7:Z$7))))</f>
        <v/>
      </c>
      <c r="AA118" s="2223" t="str" cm="1">
        <f t="array" ref="AA118">IF($D118&lt;COLUMNS($F$7:AA$7),"",INDEX(TableDiv[[GASB]:[GASB]],_xlfn.AGGREGATE(15,3,(TableDiv[[Agency]:[Agency]]=$E118)/(TableDiv[[Agency]:[Agency]]=$E118)*(ROW(TableDiv[Agency])-ROW(TableDiv[[#Headers],[Agency]])),COLUMNS($F$7:AA$7))))</f>
        <v/>
      </c>
      <c r="AB118" s="2223" t="str" cm="1">
        <f t="array" ref="AB118">IF($D118&lt;COLUMNS($F$7:AB$7),"",INDEX(TableDiv[[GASB]:[GASB]],_xlfn.AGGREGATE(15,3,(TableDiv[[Agency]:[Agency]]=$E118)/(TableDiv[[Agency]:[Agency]]=$E118)*(ROW(TableDiv[Agency])-ROW(TableDiv[[#Headers],[Agency]])),COLUMNS($F$7:AB$7))))</f>
        <v/>
      </c>
      <c r="AC118" s="2223" t="str" cm="1">
        <f t="array" ref="AC118">IF($D118&lt;COLUMNS($F$7:AC$7),"",INDEX(TableDiv[[GASB]:[GASB]],_xlfn.AGGREGATE(15,3,(TableDiv[[Agency]:[Agency]]=$E118)/(TableDiv[[Agency]:[Agency]]=$E118)*(ROW(TableDiv[Agency])-ROW(TableDiv[[#Headers],[Agency]])),COLUMNS($F$7:AC$7))))</f>
        <v/>
      </c>
      <c r="AD118" s="2223" t="str" cm="1">
        <f t="array" ref="AD118">IF($D118&lt;COLUMNS($F$7:AD$7),"",INDEX(TableDiv[[GASB]:[GASB]],_xlfn.AGGREGATE(15,3,(TableDiv[[Agency]:[Agency]]=$E118)/(TableDiv[[Agency]:[Agency]]=$E118)*(ROW(TableDiv[Agency])-ROW(TableDiv[[#Headers],[Agency]])),COLUMNS($F$7:AD$7))))</f>
        <v/>
      </c>
      <c r="AE118" s="2223" t="str" cm="1">
        <f t="array" ref="AE118">IF($D118&lt;COLUMNS($F$7:AE$7),"",INDEX(TableDiv[[GASB]:[GASB]],_xlfn.AGGREGATE(15,3,(TableDiv[[Agency]:[Agency]]=$E118)/(TableDiv[[Agency]:[Agency]]=$E118)*(ROW(TableDiv[Agency])-ROW(TableDiv[[#Headers],[Agency]])),COLUMNS($F$7:AE$7))))</f>
        <v/>
      </c>
      <c r="AF118" s="2223" t="str" cm="1">
        <f t="array" ref="AF118">IF($D118&lt;COLUMNS($F$7:AF$7),"",INDEX(TableDiv[[GASB]:[GASB]],_xlfn.AGGREGATE(15,3,(TableDiv[[Agency]:[Agency]]=$E118)/(TableDiv[[Agency]:[Agency]]=$E118)*(ROW(TableDiv[Agency])-ROW(TableDiv[[#Headers],[Agency]])),COLUMNS($F$7:AF$7))))</f>
        <v/>
      </c>
      <c r="AG118" s="2223" t="str" cm="1">
        <f t="array" ref="AG118">IF($D118&lt;COLUMNS($F$7:AG$7),"",INDEX(TableDiv[[GASB]:[GASB]],_xlfn.AGGREGATE(15,3,(TableDiv[[Agency]:[Agency]]=$E118)/(TableDiv[[Agency]:[Agency]]=$E118)*(ROW(TableDiv[Agency])-ROW(TableDiv[[#Headers],[Agency]])),COLUMNS($F$7:AG$7))))</f>
        <v/>
      </c>
      <c r="AH118" s="2223" t="str" cm="1">
        <f t="array" ref="AH118">IF($D118&lt;COLUMNS($F$7:AH$7),"",INDEX(TableDiv[[GASB]:[GASB]],_xlfn.AGGREGATE(15,3,(TableDiv[[Agency]:[Agency]]=$E118)/(TableDiv[[Agency]:[Agency]]=$E118)*(ROW(TableDiv[Agency])-ROW(TableDiv[[#Headers],[Agency]])),COLUMNS($F$7:AH$7))))</f>
        <v/>
      </c>
      <c r="AI118" s="2223" t="str" cm="1">
        <f t="array" ref="AI118">IF($D118&lt;COLUMNS($F$7:AI$7),"",INDEX(TableDiv[[GASB]:[GASB]],_xlfn.AGGREGATE(15,3,(TableDiv[[Agency]:[Agency]]=$E118)/(TableDiv[[Agency]:[Agency]]=$E118)*(ROW(TableDiv[Agency])-ROW(TableDiv[[#Headers],[Agency]])),COLUMNS($F$7:AI$7))))</f>
        <v/>
      </c>
      <c r="AJ118" s="2223" t="str" cm="1">
        <f t="array" ref="AJ118">IF($D118&lt;COLUMNS($F$7:AJ$7),"",INDEX(TableDiv[[GASB]:[GASB]],_xlfn.AGGREGATE(15,3,(TableDiv[[Agency]:[Agency]]=$E118)/(TableDiv[[Agency]:[Agency]]=$E118)*(ROW(TableDiv[Agency])-ROW(TableDiv[[#Headers],[Agency]])),COLUMNS($F$7:AJ$7))))</f>
        <v/>
      </c>
      <c r="AK118" s="2223" t="str" cm="1">
        <f t="array" ref="AK118">IF($D118&lt;COLUMNS($F$7:AK$7),"",INDEX(TableDiv[[GASB]:[GASB]],_xlfn.AGGREGATE(15,3,(TableDiv[[Agency]:[Agency]]=$E118)/(TableDiv[[Agency]:[Agency]]=$E118)*(ROW(TableDiv[Agency])-ROW(TableDiv[[#Headers],[Agency]])),COLUMNS($F$7:AK$7))))</f>
        <v/>
      </c>
      <c r="AL118" s="2223" t="str" cm="1">
        <f t="array" ref="AL118">IF($D118&lt;COLUMNS($F$7:AL$7),"",INDEX(TableDiv[[GASB]:[GASB]],_xlfn.AGGREGATE(15,3,(TableDiv[[Agency]:[Agency]]=$E118)/(TableDiv[[Agency]:[Agency]]=$E118)*(ROW(TableDiv[Agency])-ROW(TableDiv[[#Headers],[Agency]])),COLUMNS($F$7:AL$7))))</f>
        <v/>
      </c>
      <c r="AM118" s="2223" t="str" cm="1">
        <f t="array" ref="AM118">IF($D118&lt;COLUMNS($F$7:AM$7),"",INDEX(TableDiv[[GASB]:[GASB]],_xlfn.AGGREGATE(15,3,(TableDiv[[Agency]:[Agency]]=$E118)/(TableDiv[[Agency]:[Agency]]=$E118)*(ROW(TableDiv[Agency])-ROW(TableDiv[[#Headers],[Agency]])),COLUMNS($F$7:AM$7))))</f>
        <v/>
      </c>
      <c r="AN118" s="2223"/>
      <c r="AO118" s="2223"/>
      <c r="AP118" s="2223"/>
      <c r="AQ118" s="2223"/>
      <c r="AR118" s="2223"/>
      <c r="AS118" s="2223"/>
    </row>
    <row r="119" spans="1:45" ht="15" x14ac:dyDescent="0.25">
      <c r="A119" s="2219" t="s">
        <v>5107</v>
      </c>
      <c r="B119" s="2219" t="s">
        <v>6420</v>
      </c>
      <c r="C119" s="2223"/>
      <c r="D119" s="2223">
        <f>COUNTIF(TableDiv[Agency],E119)</f>
        <v>1</v>
      </c>
      <c r="E119" s="2230" t="str" cm="1">
        <f t="array" ref="E119">IFERROR(INDEX(TableDiv[Agency],MATCH(0,INDEX(COUNTIF($E$7:E118,TableDiv[Agency]),),0)),"")</f>
        <v>DFF</v>
      </c>
      <c r="F119" s="2223" t="str" cm="1">
        <f t="array" ref="F119">IF($D119&lt;COLUMNS($F$7:F$7),"",INDEX(TableDiv[[GASB]:[GASB]],_xlfn.AGGREGATE(15,3,(TableDiv[[Agency]:[Agency]]=$E119)/(TableDiv[[Agency]:[Agency]]=$E119)*(ROW(TableDiv[Agency])-ROW(TableDiv[[#Headers],[Agency]])),COLUMNS($F$7:F$7))))</f>
        <v>48200G</v>
      </c>
      <c r="G119" s="2223" t="str" cm="1">
        <f t="array" ref="G119">IF($D119&lt;COLUMNS($F$7:G$7),"",INDEX(TableDiv[[GASB]:[GASB]],_xlfn.AGGREGATE(15,3,(TableDiv[[Agency]:[Agency]]=$E119)/(TableDiv[[Agency]:[Agency]]=$E119)*(ROW(TableDiv[Agency])-ROW(TableDiv[[#Headers],[Agency]])),COLUMNS($F$7:G$7))))</f>
        <v/>
      </c>
      <c r="H119" s="2223" t="str" cm="1">
        <f t="array" ref="H119">IF($D119&lt;COLUMNS($F$7:H$7),"",INDEX(TableDiv[[GASB]:[GASB]],_xlfn.AGGREGATE(15,3,(TableDiv[[Agency]:[Agency]]=$E119)/(TableDiv[[Agency]:[Agency]]=$E119)*(ROW(TableDiv[Agency])-ROW(TableDiv[[#Headers],[Agency]])),COLUMNS($F$7:H$7))))</f>
        <v/>
      </c>
      <c r="I119" s="2223" t="str" cm="1">
        <f t="array" ref="I119">IF($D119&lt;COLUMNS($F$7:I$7),"",INDEX(TableDiv[[GASB]:[GASB]],_xlfn.AGGREGATE(15,3,(TableDiv[[Agency]:[Agency]]=$E119)/(TableDiv[[Agency]:[Agency]]=$E119)*(ROW(TableDiv[Agency])-ROW(TableDiv[[#Headers],[Agency]])),COLUMNS($F$7:I$7))))</f>
        <v/>
      </c>
      <c r="J119" s="2223" t="str" cm="1">
        <f t="array" ref="J119">IF($D119&lt;COLUMNS($F$7:J$7),"",INDEX(TableDiv[[GASB]:[GASB]],_xlfn.AGGREGATE(15,3,(TableDiv[[Agency]:[Agency]]=$E119)/(TableDiv[[Agency]:[Agency]]=$E119)*(ROW(TableDiv[Agency])-ROW(TableDiv[[#Headers],[Agency]])),COLUMNS($F$7:J$7))))</f>
        <v/>
      </c>
      <c r="K119" s="2223" t="str" cm="1">
        <f t="array" ref="K119">IF($D119&lt;COLUMNS($F$7:K$7),"",INDEX(TableDiv[[GASB]:[GASB]],_xlfn.AGGREGATE(15,3,(TableDiv[[Agency]:[Agency]]=$E119)/(TableDiv[[Agency]:[Agency]]=$E119)*(ROW(TableDiv[Agency])-ROW(TableDiv[[#Headers],[Agency]])),COLUMNS($F$7:K$7))))</f>
        <v/>
      </c>
      <c r="L119" s="2223" t="str" cm="1">
        <f t="array" ref="L119">IF($D119&lt;COLUMNS($F$7:L$7),"",INDEX(TableDiv[[GASB]:[GASB]],_xlfn.AGGREGATE(15,3,(TableDiv[[Agency]:[Agency]]=$E119)/(TableDiv[[Agency]:[Agency]]=$E119)*(ROW(TableDiv[Agency])-ROW(TableDiv[[#Headers],[Agency]])),COLUMNS($F$7:L$7))))</f>
        <v/>
      </c>
      <c r="M119" s="2223" t="str" cm="1">
        <f t="array" ref="M119">IF($D119&lt;COLUMNS($F$7:M$7),"",INDEX(TableDiv[[GASB]:[GASB]],_xlfn.AGGREGATE(15,3,(TableDiv[[Agency]:[Agency]]=$E119)/(TableDiv[[Agency]:[Agency]]=$E119)*(ROW(TableDiv[Agency])-ROW(TableDiv[[#Headers],[Agency]])),COLUMNS($F$7:M$7))))</f>
        <v/>
      </c>
      <c r="N119" s="2223" t="str" cm="1">
        <f t="array" ref="N119">IF($D119&lt;COLUMNS($F$7:N$7),"",INDEX(TableDiv[[GASB]:[GASB]],_xlfn.AGGREGATE(15,3,(TableDiv[[Agency]:[Agency]]=$E119)/(TableDiv[[Agency]:[Agency]]=$E119)*(ROW(TableDiv[Agency])-ROW(TableDiv[[#Headers],[Agency]])),COLUMNS($F$7:N$7))))</f>
        <v/>
      </c>
      <c r="O119" s="2223" t="str" cm="1">
        <f t="array" ref="O119">IF($D119&lt;COLUMNS($F$7:O$7),"",INDEX(TableDiv[[GASB]:[GASB]],_xlfn.AGGREGATE(15,3,(TableDiv[[Agency]:[Agency]]=$E119)/(TableDiv[[Agency]:[Agency]]=$E119)*(ROW(TableDiv[Agency])-ROW(TableDiv[[#Headers],[Agency]])),COLUMNS($F$7:O$7))))</f>
        <v/>
      </c>
      <c r="P119" s="2223" t="str" cm="1">
        <f t="array" ref="P119">IF($D119&lt;COLUMNS($F$7:P$7),"",INDEX(TableDiv[[GASB]:[GASB]],_xlfn.AGGREGATE(15,3,(TableDiv[[Agency]:[Agency]]=$E119)/(TableDiv[[Agency]:[Agency]]=$E119)*(ROW(TableDiv[Agency])-ROW(TableDiv[[#Headers],[Agency]])),COLUMNS($F$7:P$7))))</f>
        <v/>
      </c>
      <c r="Q119" s="2223" t="str" cm="1">
        <f t="array" ref="Q119">IF($D119&lt;COLUMNS($F$7:Q$7),"",INDEX(TableDiv[[GASB]:[GASB]],_xlfn.AGGREGATE(15,3,(TableDiv[[Agency]:[Agency]]=$E119)/(TableDiv[[Agency]:[Agency]]=$E119)*(ROW(TableDiv[Agency])-ROW(TableDiv[[#Headers],[Agency]])),COLUMNS($F$7:Q$7))))</f>
        <v/>
      </c>
      <c r="R119" s="2223" t="str" cm="1">
        <f t="array" ref="R119">IF($D119&lt;COLUMNS($F$7:R$7),"",INDEX(TableDiv[[GASB]:[GASB]],_xlfn.AGGREGATE(15,3,(TableDiv[[Agency]:[Agency]]=$E119)/(TableDiv[[Agency]:[Agency]]=$E119)*(ROW(TableDiv[Agency])-ROW(TableDiv[[#Headers],[Agency]])),COLUMNS($F$7:R$7))))</f>
        <v/>
      </c>
      <c r="S119" s="2223" t="str" cm="1">
        <f t="array" ref="S119">IF($D119&lt;COLUMNS($F$7:S$7),"",INDEX(TableDiv[[GASB]:[GASB]],_xlfn.AGGREGATE(15,3,(TableDiv[[Agency]:[Agency]]=$E119)/(TableDiv[[Agency]:[Agency]]=$E119)*(ROW(TableDiv[Agency])-ROW(TableDiv[[#Headers],[Agency]])),COLUMNS($F$7:S$7))))</f>
        <v/>
      </c>
      <c r="T119" s="2223" t="str" cm="1">
        <f t="array" ref="T119">IF($D119&lt;COLUMNS($F$7:T$7),"",INDEX(TableDiv[[GASB]:[GASB]],_xlfn.AGGREGATE(15,3,(TableDiv[[Agency]:[Agency]]=$E119)/(TableDiv[[Agency]:[Agency]]=$E119)*(ROW(TableDiv[Agency])-ROW(TableDiv[[#Headers],[Agency]])),COLUMNS($F$7:T$7))))</f>
        <v/>
      </c>
      <c r="U119" s="2223" t="str" cm="1">
        <f t="array" ref="U119">IF($D119&lt;COLUMNS($F$7:U$7),"",INDEX(TableDiv[[GASB]:[GASB]],_xlfn.AGGREGATE(15,3,(TableDiv[[Agency]:[Agency]]=$E119)/(TableDiv[[Agency]:[Agency]]=$E119)*(ROW(TableDiv[Agency])-ROW(TableDiv[[#Headers],[Agency]])),COLUMNS($F$7:U$7))))</f>
        <v/>
      </c>
      <c r="V119" s="2223" t="str" cm="1">
        <f t="array" ref="V119">IF($D119&lt;COLUMNS($F$7:V$7),"",INDEX(TableDiv[[GASB]:[GASB]],_xlfn.AGGREGATE(15,3,(TableDiv[[Agency]:[Agency]]=$E119)/(TableDiv[[Agency]:[Agency]]=$E119)*(ROW(TableDiv[Agency])-ROW(TableDiv[[#Headers],[Agency]])),COLUMNS($F$7:V$7))))</f>
        <v/>
      </c>
      <c r="W119" s="2223" t="str" cm="1">
        <f t="array" ref="W119">IF($D119&lt;COLUMNS($F$7:W$7),"",INDEX(TableDiv[[GASB]:[GASB]],_xlfn.AGGREGATE(15,3,(TableDiv[[Agency]:[Agency]]=$E119)/(TableDiv[[Agency]:[Agency]]=$E119)*(ROW(TableDiv[Agency])-ROW(TableDiv[[#Headers],[Agency]])),COLUMNS($F$7:W$7))))</f>
        <v/>
      </c>
      <c r="X119" s="2223" t="str" cm="1">
        <f t="array" ref="X119">IF($D119&lt;COLUMNS($F$7:X$7),"",INDEX(TableDiv[[GASB]:[GASB]],_xlfn.AGGREGATE(15,3,(TableDiv[[Agency]:[Agency]]=$E119)/(TableDiv[[Agency]:[Agency]]=$E119)*(ROW(TableDiv[Agency])-ROW(TableDiv[[#Headers],[Agency]])),COLUMNS($F$7:X$7))))</f>
        <v/>
      </c>
      <c r="Y119" s="2223" t="str" cm="1">
        <f t="array" ref="Y119">IF($D119&lt;COLUMNS($F$7:Y$7),"",INDEX(TableDiv[[GASB]:[GASB]],_xlfn.AGGREGATE(15,3,(TableDiv[[Agency]:[Agency]]=$E119)/(TableDiv[[Agency]:[Agency]]=$E119)*(ROW(TableDiv[Agency])-ROW(TableDiv[[#Headers],[Agency]])),COLUMNS($F$7:Y$7))))</f>
        <v/>
      </c>
      <c r="Z119" s="2223" t="str" cm="1">
        <f t="array" ref="Z119">IF($D119&lt;COLUMNS($F$7:Z$7),"",INDEX(TableDiv[[GASB]:[GASB]],_xlfn.AGGREGATE(15,3,(TableDiv[[Agency]:[Agency]]=$E119)/(TableDiv[[Agency]:[Agency]]=$E119)*(ROW(TableDiv[Agency])-ROW(TableDiv[[#Headers],[Agency]])),COLUMNS($F$7:Z$7))))</f>
        <v/>
      </c>
      <c r="AA119" s="2223" t="str" cm="1">
        <f t="array" ref="AA119">IF($D119&lt;COLUMNS($F$7:AA$7),"",INDEX(TableDiv[[GASB]:[GASB]],_xlfn.AGGREGATE(15,3,(TableDiv[[Agency]:[Agency]]=$E119)/(TableDiv[[Agency]:[Agency]]=$E119)*(ROW(TableDiv[Agency])-ROW(TableDiv[[#Headers],[Agency]])),COLUMNS($F$7:AA$7))))</f>
        <v/>
      </c>
      <c r="AB119" s="2223" t="str" cm="1">
        <f t="array" ref="AB119">IF($D119&lt;COLUMNS($F$7:AB$7),"",INDEX(TableDiv[[GASB]:[GASB]],_xlfn.AGGREGATE(15,3,(TableDiv[[Agency]:[Agency]]=$E119)/(TableDiv[[Agency]:[Agency]]=$E119)*(ROW(TableDiv[Agency])-ROW(TableDiv[[#Headers],[Agency]])),COLUMNS($F$7:AB$7))))</f>
        <v/>
      </c>
      <c r="AC119" s="2223" t="str" cm="1">
        <f t="array" ref="AC119">IF($D119&lt;COLUMNS($F$7:AC$7),"",INDEX(TableDiv[[GASB]:[GASB]],_xlfn.AGGREGATE(15,3,(TableDiv[[Agency]:[Agency]]=$E119)/(TableDiv[[Agency]:[Agency]]=$E119)*(ROW(TableDiv[Agency])-ROW(TableDiv[[#Headers],[Agency]])),COLUMNS($F$7:AC$7))))</f>
        <v/>
      </c>
      <c r="AD119" s="2223" t="str" cm="1">
        <f t="array" ref="AD119">IF($D119&lt;COLUMNS($F$7:AD$7),"",INDEX(TableDiv[[GASB]:[GASB]],_xlfn.AGGREGATE(15,3,(TableDiv[[Agency]:[Agency]]=$E119)/(TableDiv[[Agency]:[Agency]]=$E119)*(ROW(TableDiv[Agency])-ROW(TableDiv[[#Headers],[Agency]])),COLUMNS($F$7:AD$7))))</f>
        <v/>
      </c>
      <c r="AE119" s="2223" t="str" cm="1">
        <f t="array" ref="AE119">IF($D119&lt;COLUMNS($F$7:AE$7),"",INDEX(TableDiv[[GASB]:[GASB]],_xlfn.AGGREGATE(15,3,(TableDiv[[Agency]:[Agency]]=$E119)/(TableDiv[[Agency]:[Agency]]=$E119)*(ROW(TableDiv[Agency])-ROW(TableDiv[[#Headers],[Agency]])),COLUMNS($F$7:AE$7))))</f>
        <v/>
      </c>
      <c r="AF119" s="2223" t="str" cm="1">
        <f t="array" ref="AF119">IF($D119&lt;COLUMNS($F$7:AF$7),"",INDEX(TableDiv[[GASB]:[GASB]],_xlfn.AGGREGATE(15,3,(TableDiv[[Agency]:[Agency]]=$E119)/(TableDiv[[Agency]:[Agency]]=$E119)*(ROW(TableDiv[Agency])-ROW(TableDiv[[#Headers],[Agency]])),COLUMNS($F$7:AF$7))))</f>
        <v/>
      </c>
      <c r="AG119" s="2223" t="str" cm="1">
        <f t="array" ref="AG119">IF($D119&lt;COLUMNS($F$7:AG$7),"",INDEX(TableDiv[[GASB]:[GASB]],_xlfn.AGGREGATE(15,3,(TableDiv[[Agency]:[Agency]]=$E119)/(TableDiv[[Agency]:[Agency]]=$E119)*(ROW(TableDiv[Agency])-ROW(TableDiv[[#Headers],[Agency]])),COLUMNS($F$7:AG$7))))</f>
        <v/>
      </c>
      <c r="AH119" s="2223" t="str" cm="1">
        <f t="array" ref="AH119">IF($D119&lt;COLUMNS($F$7:AH$7),"",INDEX(TableDiv[[GASB]:[GASB]],_xlfn.AGGREGATE(15,3,(TableDiv[[Agency]:[Agency]]=$E119)/(TableDiv[[Agency]:[Agency]]=$E119)*(ROW(TableDiv[Agency])-ROW(TableDiv[[#Headers],[Agency]])),COLUMNS($F$7:AH$7))))</f>
        <v/>
      </c>
      <c r="AI119" s="2223" t="str" cm="1">
        <f t="array" ref="AI119">IF($D119&lt;COLUMNS($F$7:AI$7),"",INDEX(TableDiv[[GASB]:[GASB]],_xlfn.AGGREGATE(15,3,(TableDiv[[Agency]:[Agency]]=$E119)/(TableDiv[[Agency]:[Agency]]=$E119)*(ROW(TableDiv[Agency])-ROW(TableDiv[[#Headers],[Agency]])),COLUMNS($F$7:AI$7))))</f>
        <v/>
      </c>
      <c r="AJ119" s="2223" t="str" cm="1">
        <f t="array" ref="AJ119">IF($D119&lt;COLUMNS($F$7:AJ$7),"",INDEX(TableDiv[[GASB]:[GASB]],_xlfn.AGGREGATE(15,3,(TableDiv[[Agency]:[Agency]]=$E119)/(TableDiv[[Agency]:[Agency]]=$E119)*(ROW(TableDiv[Agency])-ROW(TableDiv[[#Headers],[Agency]])),COLUMNS($F$7:AJ$7))))</f>
        <v/>
      </c>
      <c r="AK119" s="2223" t="str" cm="1">
        <f t="array" ref="AK119">IF($D119&lt;COLUMNS($F$7:AK$7),"",INDEX(TableDiv[[GASB]:[GASB]],_xlfn.AGGREGATE(15,3,(TableDiv[[Agency]:[Agency]]=$E119)/(TableDiv[[Agency]:[Agency]]=$E119)*(ROW(TableDiv[Agency])-ROW(TableDiv[[#Headers],[Agency]])),COLUMNS($F$7:AK$7))))</f>
        <v/>
      </c>
      <c r="AL119" s="2223" t="str" cm="1">
        <f t="array" ref="AL119">IF($D119&lt;COLUMNS($F$7:AL$7),"",INDEX(TableDiv[[GASB]:[GASB]],_xlfn.AGGREGATE(15,3,(TableDiv[[Agency]:[Agency]]=$E119)/(TableDiv[[Agency]:[Agency]]=$E119)*(ROW(TableDiv[Agency])-ROW(TableDiv[[#Headers],[Agency]])),COLUMNS($F$7:AL$7))))</f>
        <v/>
      </c>
      <c r="AM119" s="2223" t="str" cm="1">
        <f t="array" ref="AM119">IF($D119&lt;COLUMNS($F$7:AM$7),"",INDEX(TableDiv[[GASB]:[GASB]],_xlfn.AGGREGATE(15,3,(TableDiv[[Agency]:[Agency]]=$E119)/(TableDiv[[Agency]:[Agency]]=$E119)*(ROW(TableDiv[Agency])-ROW(TableDiv[[#Headers],[Agency]])),COLUMNS($F$7:AM$7))))</f>
        <v/>
      </c>
      <c r="AN119" s="2223"/>
      <c r="AO119" s="2223"/>
      <c r="AP119" s="2223"/>
      <c r="AQ119" s="2223"/>
      <c r="AR119" s="2223"/>
      <c r="AS119" s="2223"/>
    </row>
    <row r="120" spans="1:45" ht="15" x14ac:dyDescent="0.25">
      <c r="A120" s="2219" t="s">
        <v>5107</v>
      </c>
      <c r="B120" s="2219" t="s">
        <v>6421</v>
      </c>
      <c r="C120" s="2223"/>
      <c r="D120" s="2223">
        <f>COUNTIF(TableDiv[Agency],E120)</f>
        <v>1</v>
      </c>
      <c r="E120" s="2230" t="str" cm="1">
        <f t="array" ref="E120">IFERROR(INDEX(TableDiv[Agency],MATCH(0,INDEX(COUNTIF($E$7:E119,TableDiv[Agency]),),0)),"")</f>
        <v>DGF</v>
      </c>
      <c r="F120" s="2223" t="str" cm="1">
        <f t="array" ref="F120">IF($D120&lt;COLUMNS($F$7:F$7),"",INDEX(TableDiv[[GASB]:[GASB]],_xlfn.AGGREGATE(15,3,(TableDiv[[Agency]:[Agency]]=$E120)/(TableDiv[[Agency]:[Agency]]=$E120)*(ROW(TableDiv[Agency])-ROW(TableDiv[[#Headers],[Agency]])),COLUMNS($F$7:F$7))))</f>
        <v>48200G</v>
      </c>
      <c r="G120" s="2223" t="str" cm="1">
        <f t="array" ref="G120">IF($D120&lt;COLUMNS($F$7:G$7),"",INDEX(TableDiv[[GASB]:[GASB]],_xlfn.AGGREGATE(15,3,(TableDiv[[Agency]:[Agency]]=$E120)/(TableDiv[[Agency]:[Agency]]=$E120)*(ROW(TableDiv[Agency])-ROW(TableDiv[[#Headers],[Agency]])),COLUMNS($F$7:G$7))))</f>
        <v/>
      </c>
      <c r="H120" s="2223" t="str" cm="1">
        <f t="array" ref="H120">IF($D120&lt;COLUMNS($F$7:H$7),"",INDEX(TableDiv[[GASB]:[GASB]],_xlfn.AGGREGATE(15,3,(TableDiv[[Agency]:[Agency]]=$E120)/(TableDiv[[Agency]:[Agency]]=$E120)*(ROW(TableDiv[Agency])-ROW(TableDiv[[#Headers],[Agency]])),COLUMNS($F$7:H$7))))</f>
        <v/>
      </c>
      <c r="I120" s="2223" t="str" cm="1">
        <f t="array" ref="I120">IF($D120&lt;COLUMNS($F$7:I$7),"",INDEX(TableDiv[[GASB]:[GASB]],_xlfn.AGGREGATE(15,3,(TableDiv[[Agency]:[Agency]]=$E120)/(TableDiv[[Agency]:[Agency]]=$E120)*(ROW(TableDiv[Agency])-ROW(TableDiv[[#Headers],[Agency]])),COLUMNS($F$7:I$7))))</f>
        <v/>
      </c>
      <c r="J120" s="2223" t="str" cm="1">
        <f t="array" ref="J120">IF($D120&lt;COLUMNS($F$7:J$7),"",INDEX(TableDiv[[GASB]:[GASB]],_xlfn.AGGREGATE(15,3,(TableDiv[[Agency]:[Agency]]=$E120)/(TableDiv[[Agency]:[Agency]]=$E120)*(ROW(TableDiv[Agency])-ROW(TableDiv[[#Headers],[Agency]])),COLUMNS($F$7:J$7))))</f>
        <v/>
      </c>
      <c r="K120" s="2223" t="str" cm="1">
        <f t="array" ref="K120">IF($D120&lt;COLUMNS($F$7:K$7),"",INDEX(TableDiv[[GASB]:[GASB]],_xlfn.AGGREGATE(15,3,(TableDiv[[Agency]:[Agency]]=$E120)/(TableDiv[[Agency]:[Agency]]=$E120)*(ROW(TableDiv[Agency])-ROW(TableDiv[[#Headers],[Agency]])),COLUMNS($F$7:K$7))))</f>
        <v/>
      </c>
      <c r="L120" s="2223" t="str" cm="1">
        <f t="array" ref="L120">IF($D120&lt;COLUMNS($F$7:L$7),"",INDEX(TableDiv[[GASB]:[GASB]],_xlfn.AGGREGATE(15,3,(TableDiv[[Agency]:[Agency]]=$E120)/(TableDiv[[Agency]:[Agency]]=$E120)*(ROW(TableDiv[Agency])-ROW(TableDiv[[#Headers],[Agency]])),COLUMNS($F$7:L$7))))</f>
        <v/>
      </c>
      <c r="M120" s="2223" t="str" cm="1">
        <f t="array" ref="M120">IF($D120&lt;COLUMNS($F$7:M$7),"",INDEX(TableDiv[[GASB]:[GASB]],_xlfn.AGGREGATE(15,3,(TableDiv[[Agency]:[Agency]]=$E120)/(TableDiv[[Agency]:[Agency]]=$E120)*(ROW(TableDiv[Agency])-ROW(TableDiv[[#Headers],[Agency]])),COLUMNS($F$7:M$7))))</f>
        <v/>
      </c>
      <c r="N120" s="2223" t="str" cm="1">
        <f t="array" ref="N120">IF($D120&lt;COLUMNS($F$7:N$7),"",INDEX(TableDiv[[GASB]:[GASB]],_xlfn.AGGREGATE(15,3,(TableDiv[[Agency]:[Agency]]=$E120)/(TableDiv[[Agency]:[Agency]]=$E120)*(ROW(TableDiv[Agency])-ROW(TableDiv[[#Headers],[Agency]])),COLUMNS($F$7:N$7))))</f>
        <v/>
      </c>
      <c r="O120" s="2223" t="str" cm="1">
        <f t="array" ref="O120">IF($D120&lt;COLUMNS($F$7:O$7),"",INDEX(TableDiv[[GASB]:[GASB]],_xlfn.AGGREGATE(15,3,(TableDiv[[Agency]:[Agency]]=$E120)/(TableDiv[[Agency]:[Agency]]=$E120)*(ROW(TableDiv[Agency])-ROW(TableDiv[[#Headers],[Agency]])),COLUMNS($F$7:O$7))))</f>
        <v/>
      </c>
      <c r="P120" s="2223" t="str" cm="1">
        <f t="array" ref="P120">IF($D120&lt;COLUMNS($F$7:P$7),"",INDEX(TableDiv[[GASB]:[GASB]],_xlfn.AGGREGATE(15,3,(TableDiv[[Agency]:[Agency]]=$E120)/(TableDiv[[Agency]:[Agency]]=$E120)*(ROW(TableDiv[Agency])-ROW(TableDiv[[#Headers],[Agency]])),COLUMNS($F$7:P$7))))</f>
        <v/>
      </c>
      <c r="Q120" s="2223" t="str" cm="1">
        <f t="array" ref="Q120">IF($D120&lt;COLUMNS($F$7:Q$7),"",INDEX(TableDiv[[GASB]:[GASB]],_xlfn.AGGREGATE(15,3,(TableDiv[[Agency]:[Agency]]=$E120)/(TableDiv[[Agency]:[Agency]]=$E120)*(ROW(TableDiv[Agency])-ROW(TableDiv[[#Headers],[Agency]])),COLUMNS($F$7:Q$7))))</f>
        <v/>
      </c>
      <c r="R120" s="2223" t="str" cm="1">
        <f t="array" ref="R120">IF($D120&lt;COLUMNS($F$7:R$7),"",INDEX(TableDiv[[GASB]:[GASB]],_xlfn.AGGREGATE(15,3,(TableDiv[[Agency]:[Agency]]=$E120)/(TableDiv[[Agency]:[Agency]]=$E120)*(ROW(TableDiv[Agency])-ROW(TableDiv[[#Headers],[Agency]])),COLUMNS($F$7:R$7))))</f>
        <v/>
      </c>
      <c r="S120" s="2223" t="str" cm="1">
        <f t="array" ref="S120">IF($D120&lt;COLUMNS($F$7:S$7),"",INDEX(TableDiv[[GASB]:[GASB]],_xlfn.AGGREGATE(15,3,(TableDiv[[Agency]:[Agency]]=$E120)/(TableDiv[[Agency]:[Agency]]=$E120)*(ROW(TableDiv[Agency])-ROW(TableDiv[[#Headers],[Agency]])),COLUMNS($F$7:S$7))))</f>
        <v/>
      </c>
      <c r="T120" s="2223" t="str" cm="1">
        <f t="array" ref="T120">IF($D120&lt;COLUMNS($F$7:T$7),"",INDEX(TableDiv[[GASB]:[GASB]],_xlfn.AGGREGATE(15,3,(TableDiv[[Agency]:[Agency]]=$E120)/(TableDiv[[Agency]:[Agency]]=$E120)*(ROW(TableDiv[Agency])-ROW(TableDiv[[#Headers],[Agency]])),COLUMNS($F$7:T$7))))</f>
        <v/>
      </c>
      <c r="U120" s="2223" t="str" cm="1">
        <f t="array" ref="U120">IF($D120&lt;COLUMNS($F$7:U$7),"",INDEX(TableDiv[[GASB]:[GASB]],_xlfn.AGGREGATE(15,3,(TableDiv[[Agency]:[Agency]]=$E120)/(TableDiv[[Agency]:[Agency]]=$E120)*(ROW(TableDiv[Agency])-ROW(TableDiv[[#Headers],[Agency]])),COLUMNS($F$7:U$7))))</f>
        <v/>
      </c>
      <c r="V120" s="2223" t="str" cm="1">
        <f t="array" ref="V120">IF($D120&lt;COLUMNS($F$7:V$7),"",INDEX(TableDiv[[GASB]:[GASB]],_xlfn.AGGREGATE(15,3,(TableDiv[[Agency]:[Agency]]=$E120)/(TableDiv[[Agency]:[Agency]]=$E120)*(ROW(TableDiv[Agency])-ROW(TableDiv[[#Headers],[Agency]])),COLUMNS($F$7:V$7))))</f>
        <v/>
      </c>
      <c r="W120" s="2223" t="str" cm="1">
        <f t="array" ref="W120">IF($D120&lt;COLUMNS($F$7:W$7),"",INDEX(TableDiv[[GASB]:[GASB]],_xlfn.AGGREGATE(15,3,(TableDiv[[Agency]:[Agency]]=$E120)/(TableDiv[[Agency]:[Agency]]=$E120)*(ROW(TableDiv[Agency])-ROW(TableDiv[[#Headers],[Agency]])),COLUMNS($F$7:W$7))))</f>
        <v/>
      </c>
      <c r="X120" s="2223" t="str" cm="1">
        <f t="array" ref="X120">IF($D120&lt;COLUMNS($F$7:X$7),"",INDEX(TableDiv[[GASB]:[GASB]],_xlfn.AGGREGATE(15,3,(TableDiv[[Agency]:[Agency]]=$E120)/(TableDiv[[Agency]:[Agency]]=$E120)*(ROW(TableDiv[Agency])-ROW(TableDiv[[#Headers],[Agency]])),COLUMNS($F$7:X$7))))</f>
        <v/>
      </c>
      <c r="Y120" s="2223" t="str" cm="1">
        <f t="array" ref="Y120">IF($D120&lt;COLUMNS($F$7:Y$7),"",INDEX(TableDiv[[GASB]:[GASB]],_xlfn.AGGREGATE(15,3,(TableDiv[[Agency]:[Agency]]=$E120)/(TableDiv[[Agency]:[Agency]]=$E120)*(ROW(TableDiv[Agency])-ROW(TableDiv[[#Headers],[Agency]])),COLUMNS($F$7:Y$7))))</f>
        <v/>
      </c>
      <c r="Z120" s="2223" t="str" cm="1">
        <f t="array" ref="Z120">IF($D120&lt;COLUMNS($F$7:Z$7),"",INDEX(TableDiv[[GASB]:[GASB]],_xlfn.AGGREGATE(15,3,(TableDiv[[Agency]:[Agency]]=$E120)/(TableDiv[[Agency]:[Agency]]=$E120)*(ROW(TableDiv[Agency])-ROW(TableDiv[[#Headers],[Agency]])),COLUMNS($F$7:Z$7))))</f>
        <v/>
      </c>
      <c r="AA120" s="2223" t="str" cm="1">
        <f t="array" ref="AA120">IF($D120&lt;COLUMNS($F$7:AA$7),"",INDEX(TableDiv[[GASB]:[GASB]],_xlfn.AGGREGATE(15,3,(TableDiv[[Agency]:[Agency]]=$E120)/(TableDiv[[Agency]:[Agency]]=$E120)*(ROW(TableDiv[Agency])-ROW(TableDiv[[#Headers],[Agency]])),COLUMNS($F$7:AA$7))))</f>
        <v/>
      </c>
      <c r="AB120" s="2223" t="str" cm="1">
        <f t="array" ref="AB120">IF($D120&lt;COLUMNS($F$7:AB$7),"",INDEX(TableDiv[[GASB]:[GASB]],_xlfn.AGGREGATE(15,3,(TableDiv[[Agency]:[Agency]]=$E120)/(TableDiv[[Agency]:[Agency]]=$E120)*(ROW(TableDiv[Agency])-ROW(TableDiv[[#Headers],[Agency]])),COLUMNS($F$7:AB$7))))</f>
        <v/>
      </c>
      <c r="AC120" s="2223" t="str" cm="1">
        <f t="array" ref="AC120">IF($D120&lt;COLUMNS($F$7:AC$7),"",INDEX(TableDiv[[GASB]:[GASB]],_xlfn.AGGREGATE(15,3,(TableDiv[[Agency]:[Agency]]=$E120)/(TableDiv[[Agency]:[Agency]]=$E120)*(ROW(TableDiv[Agency])-ROW(TableDiv[[#Headers],[Agency]])),COLUMNS($F$7:AC$7))))</f>
        <v/>
      </c>
      <c r="AD120" s="2223" t="str" cm="1">
        <f t="array" ref="AD120">IF($D120&lt;COLUMNS($F$7:AD$7),"",INDEX(TableDiv[[GASB]:[GASB]],_xlfn.AGGREGATE(15,3,(TableDiv[[Agency]:[Agency]]=$E120)/(TableDiv[[Agency]:[Agency]]=$E120)*(ROW(TableDiv[Agency])-ROW(TableDiv[[#Headers],[Agency]])),COLUMNS($F$7:AD$7))))</f>
        <v/>
      </c>
      <c r="AE120" s="2223" t="str" cm="1">
        <f t="array" ref="AE120">IF($D120&lt;COLUMNS($F$7:AE$7),"",INDEX(TableDiv[[GASB]:[GASB]],_xlfn.AGGREGATE(15,3,(TableDiv[[Agency]:[Agency]]=$E120)/(TableDiv[[Agency]:[Agency]]=$E120)*(ROW(TableDiv[Agency])-ROW(TableDiv[[#Headers],[Agency]])),COLUMNS($F$7:AE$7))))</f>
        <v/>
      </c>
      <c r="AF120" s="2223" t="str" cm="1">
        <f t="array" ref="AF120">IF($D120&lt;COLUMNS($F$7:AF$7),"",INDEX(TableDiv[[GASB]:[GASB]],_xlfn.AGGREGATE(15,3,(TableDiv[[Agency]:[Agency]]=$E120)/(TableDiv[[Agency]:[Agency]]=$E120)*(ROW(TableDiv[Agency])-ROW(TableDiv[[#Headers],[Agency]])),COLUMNS($F$7:AF$7))))</f>
        <v/>
      </c>
      <c r="AG120" s="2223" t="str" cm="1">
        <f t="array" ref="AG120">IF($D120&lt;COLUMNS($F$7:AG$7),"",INDEX(TableDiv[[GASB]:[GASB]],_xlfn.AGGREGATE(15,3,(TableDiv[[Agency]:[Agency]]=$E120)/(TableDiv[[Agency]:[Agency]]=$E120)*(ROW(TableDiv[Agency])-ROW(TableDiv[[#Headers],[Agency]])),COLUMNS($F$7:AG$7))))</f>
        <v/>
      </c>
      <c r="AH120" s="2223" t="str" cm="1">
        <f t="array" ref="AH120">IF($D120&lt;COLUMNS($F$7:AH$7),"",INDEX(TableDiv[[GASB]:[GASB]],_xlfn.AGGREGATE(15,3,(TableDiv[[Agency]:[Agency]]=$E120)/(TableDiv[[Agency]:[Agency]]=$E120)*(ROW(TableDiv[Agency])-ROW(TableDiv[[#Headers],[Agency]])),COLUMNS($F$7:AH$7))))</f>
        <v/>
      </c>
      <c r="AI120" s="2223" t="str" cm="1">
        <f t="array" ref="AI120">IF($D120&lt;COLUMNS($F$7:AI$7),"",INDEX(TableDiv[[GASB]:[GASB]],_xlfn.AGGREGATE(15,3,(TableDiv[[Agency]:[Agency]]=$E120)/(TableDiv[[Agency]:[Agency]]=$E120)*(ROW(TableDiv[Agency])-ROW(TableDiv[[#Headers],[Agency]])),COLUMNS($F$7:AI$7))))</f>
        <v/>
      </c>
      <c r="AJ120" s="2223" t="str" cm="1">
        <f t="array" ref="AJ120">IF($D120&lt;COLUMNS($F$7:AJ$7),"",INDEX(TableDiv[[GASB]:[GASB]],_xlfn.AGGREGATE(15,3,(TableDiv[[Agency]:[Agency]]=$E120)/(TableDiv[[Agency]:[Agency]]=$E120)*(ROW(TableDiv[Agency])-ROW(TableDiv[[#Headers],[Agency]])),COLUMNS($F$7:AJ$7))))</f>
        <v/>
      </c>
      <c r="AK120" s="2223" t="str" cm="1">
        <f t="array" ref="AK120">IF($D120&lt;COLUMNS($F$7:AK$7),"",INDEX(TableDiv[[GASB]:[GASB]],_xlfn.AGGREGATE(15,3,(TableDiv[[Agency]:[Agency]]=$E120)/(TableDiv[[Agency]:[Agency]]=$E120)*(ROW(TableDiv[Agency])-ROW(TableDiv[[#Headers],[Agency]])),COLUMNS($F$7:AK$7))))</f>
        <v/>
      </c>
      <c r="AL120" s="2223" t="str" cm="1">
        <f t="array" ref="AL120">IF($D120&lt;COLUMNS($F$7:AL$7),"",INDEX(TableDiv[[GASB]:[GASB]],_xlfn.AGGREGATE(15,3,(TableDiv[[Agency]:[Agency]]=$E120)/(TableDiv[[Agency]:[Agency]]=$E120)*(ROW(TableDiv[Agency])-ROW(TableDiv[[#Headers],[Agency]])),COLUMNS($F$7:AL$7))))</f>
        <v/>
      </c>
      <c r="AM120" s="2223" t="str" cm="1">
        <f t="array" ref="AM120">IF($D120&lt;COLUMNS($F$7:AM$7),"",INDEX(TableDiv[[GASB]:[GASB]],_xlfn.AGGREGATE(15,3,(TableDiv[[Agency]:[Agency]]=$E120)/(TableDiv[[Agency]:[Agency]]=$E120)*(ROW(TableDiv[Agency])-ROW(TableDiv[[#Headers],[Agency]])),COLUMNS($F$7:AM$7))))</f>
        <v/>
      </c>
      <c r="AN120" s="2223"/>
      <c r="AO120" s="2223"/>
      <c r="AP120" s="2223"/>
      <c r="AQ120" s="2223"/>
      <c r="AR120" s="2223"/>
      <c r="AS120" s="2223"/>
    </row>
    <row r="121" spans="1:45" ht="15" x14ac:dyDescent="0.25">
      <c r="A121" s="2219" t="s">
        <v>5108</v>
      </c>
      <c r="B121" s="2219" t="s">
        <v>6357</v>
      </c>
      <c r="C121" s="2223"/>
      <c r="D121" s="2223">
        <f>COUNTIF(TableDiv[Agency],E121)</f>
        <v>1</v>
      </c>
      <c r="E121" s="2230" t="str" cm="1">
        <f t="array" ref="E121">IFERROR(INDEX(TableDiv[Agency],MATCH(0,INDEX(COUNTIF($E$7:E120,TableDiv[Agency]),),0)),"")</f>
        <v>DHF</v>
      </c>
      <c r="F121" s="2223" t="str" cm="1">
        <f t="array" ref="F121">IF($D121&lt;COLUMNS($F$7:F$7),"",INDEX(TableDiv[[GASB]:[GASB]],_xlfn.AGGREGATE(15,3,(TableDiv[[Agency]:[Agency]]=$E121)/(TableDiv[[Agency]:[Agency]]=$E121)*(ROW(TableDiv[Agency])-ROW(TableDiv[[#Headers],[Agency]])),COLUMNS($F$7:F$7))))</f>
        <v>48200G</v>
      </c>
      <c r="G121" s="2223" t="str" cm="1">
        <f t="array" ref="G121">IF($D121&lt;COLUMNS($F$7:G$7),"",INDEX(TableDiv[[GASB]:[GASB]],_xlfn.AGGREGATE(15,3,(TableDiv[[Agency]:[Agency]]=$E121)/(TableDiv[[Agency]:[Agency]]=$E121)*(ROW(TableDiv[Agency])-ROW(TableDiv[[#Headers],[Agency]])),COLUMNS($F$7:G$7))))</f>
        <v/>
      </c>
      <c r="H121" s="2223" t="str" cm="1">
        <f t="array" ref="H121">IF($D121&lt;COLUMNS($F$7:H$7),"",INDEX(TableDiv[[GASB]:[GASB]],_xlfn.AGGREGATE(15,3,(TableDiv[[Agency]:[Agency]]=$E121)/(TableDiv[[Agency]:[Agency]]=$E121)*(ROW(TableDiv[Agency])-ROW(TableDiv[[#Headers],[Agency]])),COLUMNS($F$7:H$7))))</f>
        <v/>
      </c>
      <c r="I121" s="2223" t="str" cm="1">
        <f t="array" ref="I121">IF($D121&lt;COLUMNS($F$7:I$7),"",INDEX(TableDiv[[GASB]:[GASB]],_xlfn.AGGREGATE(15,3,(TableDiv[[Agency]:[Agency]]=$E121)/(TableDiv[[Agency]:[Agency]]=$E121)*(ROW(TableDiv[Agency])-ROW(TableDiv[[#Headers],[Agency]])),COLUMNS($F$7:I$7))))</f>
        <v/>
      </c>
      <c r="J121" s="2223" t="str" cm="1">
        <f t="array" ref="J121">IF($D121&lt;COLUMNS($F$7:J$7),"",INDEX(TableDiv[[GASB]:[GASB]],_xlfn.AGGREGATE(15,3,(TableDiv[[Agency]:[Agency]]=$E121)/(TableDiv[[Agency]:[Agency]]=$E121)*(ROW(TableDiv[Agency])-ROW(TableDiv[[#Headers],[Agency]])),COLUMNS($F$7:J$7))))</f>
        <v/>
      </c>
      <c r="K121" s="2223" t="str" cm="1">
        <f t="array" ref="K121">IF($D121&lt;COLUMNS($F$7:K$7),"",INDEX(TableDiv[[GASB]:[GASB]],_xlfn.AGGREGATE(15,3,(TableDiv[[Agency]:[Agency]]=$E121)/(TableDiv[[Agency]:[Agency]]=$E121)*(ROW(TableDiv[Agency])-ROW(TableDiv[[#Headers],[Agency]])),COLUMNS($F$7:K$7))))</f>
        <v/>
      </c>
      <c r="L121" s="2223" t="str" cm="1">
        <f t="array" ref="L121">IF($D121&lt;COLUMNS($F$7:L$7),"",INDEX(TableDiv[[GASB]:[GASB]],_xlfn.AGGREGATE(15,3,(TableDiv[[Agency]:[Agency]]=$E121)/(TableDiv[[Agency]:[Agency]]=$E121)*(ROW(TableDiv[Agency])-ROW(TableDiv[[#Headers],[Agency]])),COLUMNS($F$7:L$7))))</f>
        <v/>
      </c>
      <c r="M121" s="2223" t="str" cm="1">
        <f t="array" ref="M121">IF($D121&lt;COLUMNS($F$7:M$7),"",INDEX(TableDiv[[GASB]:[GASB]],_xlfn.AGGREGATE(15,3,(TableDiv[[Agency]:[Agency]]=$E121)/(TableDiv[[Agency]:[Agency]]=$E121)*(ROW(TableDiv[Agency])-ROW(TableDiv[[#Headers],[Agency]])),COLUMNS($F$7:M$7))))</f>
        <v/>
      </c>
      <c r="N121" s="2223" t="str" cm="1">
        <f t="array" ref="N121">IF($D121&lt;COLUMNS($F$7:N$7),"",INDEX(TableDiv[[GASB]:[GASB]],_xlfn.AGGREGATE(15,3,(TableDiv[[Agency]:[Agency]]=$E121)/(TableDiv[[Agency]:[Agency]]=$E121)*(ROW(TableDiv[Agency])-ROW(TableDiv[[#Headers],[Agency]])),COLUMNS($F$7:N$7))))</f>
        <v/>
      </c>
      <c r="O121" s="2223" t="str" cm="1">
        <f t="array" ref="O121">IF($D121&lt;COLUMNS($F$7:O$7),"",INDEX(TableDiv[[GASB]:[GASB]],_xlfn.AGGREGATE(15,3,(TableDiv[[Agency]:[Agency]]=$E121)/(TableDiv[[Agency]:[Agency]]=$E121)*(ROW(TableDiv[Agency])-ROW(TableDiv[[#Headers],[Agency]])),COLUMNS($F$7:O$7))))</f>
        <v/>
      </c>
      <c r="P121" s="2223" t="str" cm="1">
        <f t="array" ref="P121">IF($D121&lt;COLUMNS($F$7:P$7),"",INDEX(TableDiv[[GASB]:[GASB]],_xlfn.AGGREGATE(15,3,(TableDiv[[Agency]:[Agency]]=$E121)/(TableDiv[[Agency]:[Agency]]=$E121)*(ROW(TableDiv[Agency])-ROW(TableDiv[[#Headers],[Agency]])),COLUMNS($F$7:P$7))))</f>
        <v/>
      </c>
      <c r="Q121" s="2223" t="str" cm="1">
        <f t="array" ref="Q121">IF($D121&lt;COLUMNS($F$7:Q$7),"",INDEX(TableDiv[[GASB]:[GASB]],_xlfn.AGGREGATE(15,3,(TableDiv[[Agency]:[Agency]]=$E121)/(TableDiv[[Agency]:[Agency]]=$E121)*(ROW(TableDiv[Agency])-ROW(TableDiv[[#Headers],[Agency]])),COLUMNS($F$7:Q$7))))</f>
        <v/>
      </c>
      <c r="R121" s="2223" t="str" cm="1">
        <f t="array" ref="R121">IF($D121&lt;COLUMNS($F$7:R$7),"",INDEX(TableDiv[[GASB]:[GASB]],_xlfn.AGGREGATE(15,3,(TableDiv[[Agency]:[Agency]]=$E121)/(TableDiv[[Agency]:[Agency]]=$E121)*(ROW(TableDiv[Agency])-ROW(TableDiv[[#Headers],[Agency]])),COLUMNS($F$7:R$7))))</f>
        <v/>
      </c>
      <c r="S121" s="2223" t="str" cm="1">
        <f t="array" ref="S121">IF($D121&lt;COLUMNS($F$7:S$7),"",INDEX(TableDiv[[GASB]:[GASB]],_xlfn.AGGREGATE(15,3,(TableDiv[[Agency]:[Agency]]=$E121)/(TableDiv[[Agency]:[Agency]]=$E121)*(ROW(TableDiv[Agency])-ROW(TableDiv[[#Headers],[Agency]])),COLUMNS($F$7:S$7))))</f>
        <v/>
      </c>
      <c r="T121" s="2223" t="str" cm="1">
        <f t="array" ref="T121">IF($D121&lt;COLUMNS($F$7:T$7),"",INDEX(TableDiv[[GASB]:[GASB]],_xlfn.AGGREGATE(15,3,(TableDiv[[Agency]:[Agency]]=$E121)/(TableDiv[[Agency]:[Agency]]=$E121)*(ROW(TableDiv[Agency])-ROW(TableDiv[[#Headers],[Agency]])),COLUMNS($F$7:T$7))))</f>
        <v/>
      </c>
      <c r="U121" s="2223" t="str" cm="1">
        <f t="array" ref="U121">IF($D121&lt;COLUMNS($F$7:U$7),"",INDEX(TableDiv[[GASB]:[GASB]],_xlfn.AGGREGATE(15,3,(TableDiv[[Agency]:[Agency]]=$E121)/(TableDiv[[Agency]:[Agency]]=$E121)*(ROW(TableDiv[Agency])-ROW(TableDiv[[#Headers],[Agency]])),COLUMNS($F$7:U$7))))</f>
        <v/>
      </c>
      <c r="V121" s="2223" t="str" cm="1">
        <f t="array" ref="V121">IF($D121&lt;COLUMNS($F$7:V$7),"",INDEX(TableDiv[[GASB]:[GASB]],_xlfn.AGGREGATE(15,3,(TableDiv[[Agency]:[Agency]]=$E121)/(TableDiv[[Agency]:[Agency]]=$E121)*(ROW(TableDiv[Agency])-ROW(TableDiv[[#Headers],[Agency]])),COLUMNS($F$7:V$7))))</f>
        <v/>
      </c>
      <c r="W121" s="2223" t="str" cm="1">
        <f t="array" ref="W121">IF($D121&lt;COLUMNS($F$7:W$7),"",INDEX(TableDiv[[GASB]:[GASB]],_xlfn.AGGREGATE(15,3,(TableDiv[[Agency]:[Agency]]=$E121)/(TableDiv[[Agency]:[Agency]]=$E121)*(ROW(TableDiv[Agency])-ROW(TableDiv[[#Headers],[Agency]])),COLUMNS($F$7:W$7))))</f>
        <v/>
      </c>
      <c r="X121" s="2223" t="str" cm="1">
        <f t="array" ref="X121">IF($D121&lt;COLUMNS($F$7:X$7),"",INDEX(TableDiv[[GASB]:[GASB]],_xlfn.AGGREGATE(15,3,(TableDiv[[Agency]:[Agency]]=$E121)/(TableDiv[[Agency]:[Agency]]=$E121)*(ROW(TableDiv[Agency])-ROW(TableDiv[[#Headers],[Agency]])),COLUMNS($F$7:X$7))))</f>
        <v/>
      </c>
      <c r="Y121" s="2223" t="str" cm="1">
        <f t="array" ref="Y121">IF($D121&lt;COLUMNS($F$7:Y$7),"",INDEX(TableDiv[[GASB]:[GASB]],_xlfn.AGGREGATE(15,3,(TableDiv[[Agency]:[Agency]]=$E121)/(TableDiv[[Agency]:[Agency]]=$E121)*(ROW(TableDiv[Agency])-ROW(TableDiv[[#Headers],[Agency]])),COLUMNS($F$7:Y$7))))</f>
        <v/>
      </c>
      <c r="Z121" s="2223" t="str" cm="1">
        <f t="array" ref="Z121">IF($D121&lt;COLUMNS($F$7:Z$7),"",INDEX(TableDiv[[GASB]:[GASB]],_xlfn.AGGREGATE(15,3,(TableDiv[[Agency]:[Agency]]=$E121)/(TableDiv[[Agency]:[Agency]]=$E121)*(ROW(TableDiv[Agency])-ROW(TableDiv[[#Headers],[Agency]])),COLUMNS($F$7:Z$7))))</f>
        <v/>
      </c>
      <c r="AA121" s="2223" t="str" cm="1">
        <f t="array" ref="AA121">IF($D121&lt;COLUMNS($F$7:AA$7),"",INDEX(TableDiv[[GASB]:[GASB]],_xlfn.AGGREGATE(15,3,(TableDiv[[Agency]:[Agency]]=$E121)/(TableDiv[[Agency]:[Agency]]=$E121)*(ROW(TableDiv[Agency])-ROW(TableDiv[[#Headers],[Agency]])),COLUMNS($F$7:AA$7))))</f>
        <v/>
      </c>
      <c r="AB121" s="2223" t="str" cm="1">
        <f t="array" ref="AB121">IF($D121&lt;COLUMNS($F$7:AB$7),"",INDEX(TableDiv[[GASB]:[GASB]],_xlfn.AGGREGATE(15,3,(TableDiv[[Agency]:[Agency]]=$E121)/(TableDiv[[Agency]:[Agency]]=$E121)*(ROW(TableDiv[Agency])-ROW(TableDiv[[#Headers],[Agency]])),COLUMNS($F$7:AB$7))))</f>
        <v/>
      </c>
      <c r="AC121" s="2223" t="str" cm="1">
        <f t="array" ref="AC121">IF($D121&lt;COLUMNS($F$7:AC$7),"",INDEX(TableDiv[[GASB]:[GASB]],_xlfn.AGGREGATE(15,3,(TableDiv[[Agency]:[Agency]]=$E121)/(TableDiv[[Agency]:[Agency]]=$E121)*(ROW(TableDiv[Agency])-ROW(TableDiv[[#Headers],[Agency]])),COLUMNS($F$7:AC$7))))</f>
        <v/>
      </c>
      <c r="AD121" s="2223" t="str" cm="1">
        <f t="array" ref="AD121">IF($D121&lt;COLUMNS($F$7:AD$7),"",INDEX(TableDiv[[GASB]:[GASB]],_xlfn.AGGREGATE(15,3,(TableDiv[[Agency]:[Agency]]=$E121)/(TableDiv[[Agency]:[Agency]]=$E121)*(ROW(TableDiv[Agency])-ROW(TableDiv[[#Headers],[Agency]])),COLUMNS($F$7:AD$7))))</f>
        <v/>
      </c>
      <c r="AE121" s="2223" t="str" cm="1">
        <f t="array" ref="AE121">IF($D121&lt;COLUMNS($F$7:AE$7),"",INDEX(TableDiv[[GASB]:[GASB]],_xlfn.AGGREGATE(15,3,(TableDiv[[Agency]:[Agency]]=$E121)/(TableDiv[[Agency]:[Agency]]=$E121)*(ROW(TableDiv[Agency])-ROW(TableDiv[[#Headers],[Agency]])),COLUMNS($F$7:AE$7))))</f>
        <v/>
      </c>
      <c r="AF121" s="2223" t="str" cm="1">
        <f t="array" ref="AF121">IF($D121&lt;COLUMNS($F$7:AF$7),"",INDEX(TableDiv[[GASB]:[GASB]],_xlfn.AGGREGATE(15,3,(TableDiv[[Agency]:[Agency]]=$E121)/(TableDiv[[Agency]:[Agency]]=$E121)*(ROW(TableDiv[Agency])-ROW(TableDiv[[#Headers],[Agency]])),COLUMNS($F$7:AF$7))))</f>
        <v/>
      </c>
      <c r="AG121" s="2223" t="str" cm="1">
        <f t="array" ref="AG121">IF($D121&lt;COLUMNS($F$7:AG$7),"",INDEX(TableDiv[[GASB]:[GASB]],_xlfn.AGGREGATE(15,3,(TableDiv[[Agency]:[Agency]]=$E121)/(TableDiv[[Agency]:[Agency]]=$E121)*(ROW(TableDiv[Agency])-ROW(TableDiv[[#Headers],[Agency]])),COLUMNS($F$7:AG$7))))</f>
        <v/>
      </c>
      <c r="AH121" s="2223" t="str" cm="1">
        <f t="array" ref="AH121">IF($D121&lt;COLUMNS($F$7:AH$7),"",INDEX(TableDiv[[GASB]:[GASB]],_xlfn.AGGREGATE(15,3,(TableDiv[[Agency]:[Agency]]=$E121)/(TableDiv[[Agency]:[Agency]]=$E121)*(ROW(TableDiv[Agency])-ROW(TableDiv[[#Headers],[Agency]])),COLUMNS($F$7:AH$7))))</f>
        <v/>
      </c>
      <c r="AI121" s="2223" t="str" cm="1">
        <f t="array" ref="AI121">IF($D121&lt;COLUMNS($F$7:AI$7),"",INDEX(TableDiv[[GASB]:[GASB]],_xlfn.AGGREGATE(15,3,(TableDiv[[Agency]:[Agency]]=$E121)/(TableDiv[[Agency]:[Agency]]=$E121)*(ROW(TableDiv[Agency])-ROW(TableDiv[[#Headers],[Agency]])),COLUMNS($F$7:AI$7))))</f>
        <v/>
      </c>
      <c r="AJ121" s="2223" t="str" cm="1">
        <f t="array" ref="AJ121">IF($D121&lt;COLUMNS($F$7:AJ$7),"",INDEX(TableDiv[[GASB]:[GASB]],_xlfn.AGGREGATE(15,3,(TableDiv[[Agency]:[Agency]]=$E121)/(TableDiv[[Agency]:[Agency]]=$E121)*(ROW(TableDiv[Agency])-ROW(TableDiv[[#Headers],[Agency]])),COLUMNS($F$7:AJ$7))))</f>
        <v/>
      </c>
      <c r="AK121" s="2223" t="str" cm="1">
        <f t="array" ref="AK121">IF($D121&lt;COLUMNS($F$7:AK$7),"",INDEX(TableDiv[[GASB]:[GASB]],_xlfn.AGGREGATE(15,3,(TableDiv[[Agency]:[Agency]]=$E121)/(TableDiv[[Agency]:[Agency]]=$E121)*(ROW(TableDiv[Agency])-ROW(TableDiv[[#Headers],[Agency]])),COLUMNS($F$7:AK$7))))</f>
        <v/>
      </c>
      <c r="AL121" s="2223" t="str" cm="1">
        <f t="array" ref="AL121">IF($D121&lt;COLUMNS($F$7:AL$7),"",INDEX(TableDiv[[GASB]:[GASB]],_xlfn.AGGREGATE(15,3,(TableDiv[[Agency]:[Agency]]=$E121)/(TableDiv[[Agency]:[Agency]]=$E121)*(ROW(TableDiv[Agency])-ROW(TableDiv[[#Headers],[Agency]])),COLUMNS($F$7:AL$7))))</f>
        <v/>
      </c>
      <c r="AM121" s="2223" t="str" cm="1">
        <f t="array" ref="AM121">IF($D121&lt;COLUMNS($F$7:AM$7),"",INDEX(TableDiv[[GASB]:[GASB]],_xlfn.AGGREGATE(15,3,(TableDiv[[Agency]:[Agency]]=$E121)/(TableDiv[[Agency]:[Agency]]=$E121)*(ROW(TableDiv[Agency])-ROW(TableDiv[[#Headers],[Agency]])),COLUMNS($F$7:AM$7))))</f>
        <v/>
      </c>
      <c r="AN121" s="2223"/>
      <c r="AO121" s="2223"/>
      <c r="AP121" s="2223"/>
      <c r="AQ121" s="2223"/>
      <c r="AR121" s="2223"/>
      <c r="AS121" s="2223"/>
    </row>
    <row r="122" spans="1:45" ht="15" x14ac:dyDescent="0.25">
      <c r="A122" s="2219" t="s">
        <v>5108</v>
      </c>
      <c r="B122" s="2219" t="s">
        <v>1878</v>
      </c>
      <c r="C122" s="2223"/>
      <c r="D122" s="2223">
        <f>COUNTIF(TableDiv[Agency],E122)</f>
        <v>1</v>
      </c>
      <c r="E122" s="2230" t="str" cm="1">
        <f t="array" ref="E122">IFERROR(INDEX(TableDiv[Agency],MATCH(0,INDEX(COUNTIF($E$7:E121,TableDiv[Agency]),),0)),"")</f>
        <v>DJF</v>
      </c>
      <c r="F122" s="2223" t="str" cm="1">
        <f t="array" ref="F122">IF($D122&lt;COLUMNS($F$7:F$7),"",INDEX(TableDiv[[GASB]:[GASB]],_xlfn.AGGREGATE(15,3,(TableDiv[[Agency]:[Agency]]=$E122)/(TableDiv[[Agency]:[Agency]]=$E122)*(ROW(TableDiv[Agency])-ROW(TableDiv[[#Headers],[Agency]])),COLUMNS($F$7:F$7))))</f>
        <v>48200G</v>
      </c>
      <c r="G122" s="2223" t="str" cm="1">
        <f t="array" ref="G122">IF($D122&lt;COLUMNS($F$7:G$7),"",INDEX(TableDiv[[GASB]:[GASB]],_xlfn.AGGREGATE(15,3,(TableDiv[[Agency]:[Agency]]=$E122)/(TableDiv[[Agency]:[Agency]]=$E122)*(ROW(TableDiv[Agency])-ROW(TableDiv[[#Headers],[Agency]])),COLUMNS($F$7:G$7))))</f>
        <v/>
      </c>
      <c r="H122" s="2223" t="str" cm="1">
        <f t="array" ref="H122">IF($D122&lt;COLUMNS($F$7:H$7),"",INDEX(TableDiv[[GASB]:[GASB]],_xlfn.AGGREGATE(15,3,(TableDiv[[Agency]:[Agency]]=$E122)/(TableDiv[[Agency]:[Agency]]=$E122)*(ROW(TableDiv[Agency])-ROW(TableDiv[[#Headers],[Agency]])),COLUMNS($F$7:H$7))))</f>
        <v/>
      </c>
      <c r="I122" s="2223" t="str" cm="1">
        <f t="array" ref="I122">IF($D122&lt;COLUMNS($F$7:I$7),"",INDEX(TableDiv[[GASB]:[GASB]],_xlfn.AGGREGATE(15,3,(TableDiv[[Agency]:[Agency]]=$E122)/(TableDiv[[Agency]:[Agency]]=$E122)*(ROW(TableDiv[Agency])-ROW(TableDiv[[#Headers],[Agency]])),COLUMNS($F$7:I$7))))</f>
        <v/>
      </c>
      <c r="J122" s="2223" t="str" cm="1">
        <f t="array" ref="J122">IF($D122&lt;COLUMNS($F$7:J$7),"",INDEX(TableDiv[[GASB]:[GASB]],_xlfn.AGGREGATE(15,3,(TableDiv[[Agency]:[Agency]]=$E122)/(TableDiv[[Agency]:[Agency]]=$E122)*(ROW(TableDiv[Agency])-ROW(TableDiv[[#Headers],[Agency]])),COLUMNS($F$7:J$7))))</f>
        <v/>
      </c>
      <c r="K122" s="2223" t="str" cm="1">
        <f t="array" ref="K122">IF($D122&lt;COLUMNS($F$7:K$7),"",INDEX(TableDiv[[GASB]:[GASB]],_xlfn.AGGREGATE(15,3,(TableDiv[[Agency]:[Agency]]=$E122)/(TableDiv[[Agency]:[Agency]]=$E122)*(ROW(TableDiv[Agency])-ROW(TableDiv[[#Headers],[Agency]])),COLUMNS($F$7:K$7))))</f>
        <v/>
      </c>
      <c r="L122" s="2223" t="str" cm="1">
        <f t="array" ref="L122">IF($D122&lt;COLUMNS($F$7:L$7),"",INDEX(TableDiv[[GASB]:[GASB]],_xlfn.AGGREGATE(15,3,(TableDiv[[Agency]:[Agency]]=$E122)/(TableDiv[[Agency]:[Agency]]=$E122)*(ROW(TableDiv[Agency])-ROW(TableDiv[[#Headers],[Agency]])),COLUMNS($F$7:L$7))))</f>
        <v/>
      </c>
      <c r="M122" s="2223" t="str" cm="1">
        <f t="array" ref="M122">IF($D122&lt;COLUMNS($F$7:M$7),"",INDEX(TableDiv[[GASB]:[GASB]],_xlfn.AGGREGATE(15,3,(TableDiv[[Agency]:[Agency]]=$E122)/(TableDiv[[Agency]:[Agency]]=$E122)*(ROW(TableDiv[Agency])-ROW(TableDiv[[#Headers],[Agency]])),COLUMNS($F$7:M$7))))</f>
        <v/>
      </c>
      <c r="N122" s="2223" t="str" cm="1">
        <f t="array" ref="N122">IF($D122&lt;COLUMNS($F$7:N$7),"",INDEX(TableDiv[[GASB]:[GASB]],_xlfn.AGGREGATE(15,3,(TableDiv[[Agency]:[Agency]]=$E122)/(TableDiv[[Agency]:[Agency]]=$E122)*(ROW(TableDiv[Agency])-ROW(TableDiv[[#Headers],[Agency]])),COLUMNS($F$7:N$7))))</f>
        <v/>
      </c>
      <c r="O122" s="2223" t="str" cm="1">
        <f t="array" ref="O122">IF($D122&lt;COLUMNS($F$7:O$7),"",INDEX(TableDiv[[GASB]:[GASB]],_xlfn.AGGREGATE(15,3,(TableDiv[[Agency]:[Agency]]=$E122)/(TableDiv[[Agency]:[Agency]]=$E122)*(ROW(TableDiv[Agency])-ROW(TableDiv[[#Headers],[Agency]])),COLUMNS($F$7:O$7))))</f>
        <v/>
      </c>
      <c r="P122" s="2223" t="str" cm="1">
        <f t="array" ref="P122">IF($D122&lt;COLUMNS($F$7:P$7),"",INDEX(TableDiv[[GASB]:[GASB]],_xlfn.AGGREGATE(15,3,(TableDiv[[Agency]:[Agency]]=$E122)/(TableDiv[[Agency]:[Agency]]=$E122)*(ROW(TableDiv[Agency])-ROW(TableDiv[[#Headers],[Agency]])),COLUMNS($F$7:P$7))))</f>
        <v/>
      </c>
      <c r="Q122" s="2223" t="str" cm="1">
        <f t="array" ref="Q122">IF($D122&lt;COLUMNS($F$7:Q$7),"",INDEX(TableDiv[[GASB]:[GASB]],_xlfn.AGGREGATE(15,3,(TableDiv[[Agency]:[Agency]]=$E122)/(TableDiv[[Agency]:[Agency]]=$E122)*(ROW(TableDiv[Agency])-ROW(TableDiv[[#Headers],[Agency]])),COLUMNS($F$7:Q$7))))</f>
        <v/>
      </c>
      <c r="R122" s="2223" t="str" cm="1">
        <f t="array" ref="R122">IF($D122&lt;COLUMNS($F$7:R$7),"",INDEX(TableDiv[[GASB]:[GASB]],_xlfn.AGGREGATE(15,3,(TableDiv[[Agency]:[Agency]]=$E122)/(TableDiv[[Agency]:[Agency]]=$E122)*(ROW(TableDiv[Agency])-ROW(TableDiv[[#Headers],[Agency]])),COLUMNS($F$7:R$7))))</f>
        <v/>
      </c>
      <c r="S122" s="2223" t="str" cm="1">
        <f t="array" ref="S122">IF($D122&lt;COLUMNS($F$7:S$7),"",INDEX(TableDiv[[GASB]:[GASB]],_xlfn.AGGREGATE(15,3,(TableDiv[[Agency]:[Agency]]=$E122)/(TableDiv[[Agency]:[Agency]]=$E122)*(ROW(TableDiv[Agency])-ROW(TableDiv[[#Headers],[Agency]])),COLUMNS($F$7:S$7))))</f>
        <v/>
      </c>
      <c r="T122" s="2223" t="str" cm="1">
        <f t="array" ref="T122">IF($D122&lt;COLUMNS($F$7:T$7),"",INDEX(TableDiv[[GASB]:[GASB]],_xlfn.AGGREGATE(15,3,(TableDiv[[Agency]:[Agency]]=$E122)/(TableDiv[[Agency]:[Agency]]=$E122)*(ROW(TableDiv[Agency])-ROW(TableDiv[[#Headers],[Agency]])),COLUMNS($F$7:T$7))))</f>
        <v/>
      </c>
      <c r="U122" s="2223" t="str" cm="1">
        <f t="array" ref="U122">IF($D122&lt;COLUMNS($F$7:U$7),"",INDEX(TableDiv[[GASB]:[GASB]],_xlfn.AGGREGATE(15,3,(TableDiv[[Agency]:[Agency]]=$E122)/(TableDiv[[Agency]:[Agency]]=$E122)*(ROW(TableDiv[Agency])-ROW(TableDiv[[#Headers],[Agency]])),COLUMNS($F$7:U$7))))</f>
        <v/>
      </c>
      <c r="V122" s="2223" t="str" cm="1">
        <f t="array" ref="V122">IF($D122&lt;COLUMNS($F$7:V$7),"",INDEX(TableDiv[[GASB]:[GASB]],_xlfn.AGGREGATE(15,3,(TableDiv[[Agency]:[Agency]]=$E122)/(TableDiv[[Agency]:[Agency]]=$E122)*(ROW(TableDiv[Agency])-ROW(TableDiv[[#Headers],[Agency]])),COLUMNS($F$7:V$7))))</f>
        <v/>
      </c>
      <c r="W122" s="2223" t="str" cm="1">
        <f t="array" ref="W122">IF($D122&lt;COLUMNS($F$7:W$7),"",INDEX(TableDiv[[GASB]:[GASB]],_xlfn.AGGREGATE(15,3,(TableDiv[[Agency]:[Agency]]=$E122)/(TableDiv[[Agency]:[Agency]]=$E122)*(ROW(TableDiv[Agency])-ROW(TableDiv[[#Headers],[Agency]])),COLUMNS($F$7:W$7))))</f>
        <v/>
      </c>
      <c r="X122" s="2223" t="str" cm="1">
        <f t="array" ref="X122">IF($D122&lt;COLUMNS($F$7:X$7),"",INDEX(TableDiv[[GASB]:[GASB]],_xlfn.AGGREGATE(15,3,(TableDiv[[Agency]:[Agency]]=$E122)/(TableDiv[[Agency]:[Agency]]=$E122)*(ROW(TableDiv[Agency])-ROW(TableDiv[[#Headers],[Agency]])),COLUMNS($F$7:X$7))))</f>
        <v/>
      </c>
      <c r="Y122" s="2223" t="str" cm="1">
        <f t="array" ref="Y122">IF($D122&lt;COLUMNS($F$7:Y$7),"",INDEX(TableDiv[[GASB]:[GASB]],_xlfn.AGGREGATE(15,3,(TableDiv[[Agency]:[Agency]]=$E122)/(TableDiv[[Agency]:[Agency]]=$E122)*(ROW(TableDiv[Agency])-ROW(TableDiv[[#Headers],[Agency]])),COLUMNS($F$7:Y$7))))</f>
        <v/>
      </c>
      <c r="Z122" s="2223" t="str" cm="1">
        <f t="array" ref="Z122">IF($D122&lt;COLUMNS($F$7:Z$7),"",INDEX(TableDiv[[GASB]:[GASB]],_xlfn.AGGREGATE(15,3,(TableDiv[[Agency]:[Agency]]=$E122)/(TableDiv[[Agency]:[Agency]]=$E122)*(ROW(TableDiv[Agency])-ROW(TableDiv[[#Headers],[Agency]])),COLUMNS($F$7:Z$7))))</f>
        <v/>
      </c>
      <c r="AA122" s="2223" t="str" cm="1">
        <f t="array" ref="AA122">IF($D122&lt;COLUMNS($F$7:AA$7),"",INDEX(TableDiv[[GASB]:[GASB]],_xlfn.AGGREGATE(15,3,(TableDiv[[Agency]:[Agency]]=$E122)/(TableDiv[[Agency]:[Agency]]=$E122)*(ROW(TableDiv[Agency])-ROW(TableDiv[[#Headers],[Agency]])),COLUMNS($F$7:AA$7))))</f>
        <v/>
      </c>
      <c r="AB122" s="2223" t="str" cm="1">
        <f t="array" ref="AB122">IF($D122&lt;COLUMNS($F$7:AB$7),"",INDEX(TableDiv[[GASB]:[GASB]],_xlfn.AGGREGATE(15,3,(TableDiv[[Agency]:[Agency]]=$E122)/(TableDiv[[Agency]:[Agency]]=$E122)*(ROW(TableDiv[Agency])-ROW(TableDiv[[#Headers],[Agency]])),COLUMNS($F$7:AB$7))))</f>
        <v/>
      </c>
      <c r="AC122" s="2223" t="str" cm="1">
        <f t="array" ref="AC122">IF($D122&lt;COLUMNS($F$7:AC$7),"",INDEX(TableDiv[[GASB]:[GASB]],_xlfn.AGGREGATE(15,3,(TableDiv[[Agency]:[Agency]]=$E122)/(TableDiv[[Agency]:[Agency]]=$E122)*(ROW(TableDiv[Agency])-ROW(TableDiv[[#Headers],[Agency]])),COLUMNS($F$7:AC$7))))</f>
        <v/>
      </c>
      <c r="AD122" s="2223" t="str" cm="1">
        <f t="array" ref="AD122">IF($D122&lt;COLUMNS($F$7:AD$7),"",INDEX(TableDiv[[GASB]:[GASB]],_xlfn.AGGREGATE(15,3,(TableDiv[[Agency]:[Agency]]=$E122)/(TableDiv[[Agency]:[Agency]]=$E122)*(ROW(TableDiv[Agency])-ROW(TableDiv[[#Headers],[Agency]])),COLUMNS($F$7:AD$7))))</f>
        <v/>
      </c>
      <c r="AE122" s="2223" t="str" cm="1">
        <f t="array" ref="AE122">IF($D122&lt;COLUMNS($F$7:AE$7),"",INDEX(TableDiv[[GASB]:[GASB]],_xlfn.AGGREGATE(15,3,(TableDiv[[Agency]:[Agency]]=$E122)/(TableDiv[[Agency]:[Agency]]=$E122)*(ROW(TableDiv[Agency])-ROW(TableDiv[[#Headers],[Agency]])),COLUMNS($F$7:AE$7))))</f>
        <v/>
      </c>
      <c r="AF122" s="2223" t="str" cm="1">
        <f t="array" ref="AF122">IF($D122&lt;COLUMNS($F$7:AF$7),"",INDEX(TableDiv[[GASB]:[GASB]],_xlfn.AGGREGATE(15,3,(TableDiv[[Agency]:[Agency]]=$E122)/(TableDiv[[Agency]:[Agency]]=$E122)*(ROW(TableDiv[Agency])-ROW(TableDiv[[#Headers],[Agency]])),COLUMNS($F$7:AF$7))))</f>
        <v/>
      </c>
      <c r="AG122" s="2223" t="str" cm="1">
        <f t="array" ref="AG122">IF($D122&lt;COLUMNS($F$7:AG$7),"",INDEX(TableDiv[[GASB]:[GASB]],_xlfn.AGGREGATE(15,3,(TableDiv[[Agency]:[Agency]]=$E122)/(TableDiv[[Agency]:[Agency]]=$E122)*(ROW(TableDiv[Agency])-ROW(TableDiv[[#Headers],[Agency]])),COLUMNS($F$7:AG$7))))</f>
        <v/>
      </c>
      <c r="AH122" s="2223" t="str" cm="1">
        <f t="array" ref="AH122">IF($D122&lt;COLUMNS($F$7:AH$7),"",INDEX(TableDiv[[GASB]:[GASB]],_xlfn.AGGREGATE(15,3,(TableDiv[[Agency]:[Agency]]=$E122)/(TableDiv[[Agency]:[Agency]]=$E122)*(ROW(TableDiv[Agency])-ROW(TableDiv[[#Headers],[Agency]])),COLUMNS($F$7:AH$7))))</f>
        <v/>
      </c>
      <c r="AI122" s="2223" t="str" cm="1">
        <f t="array" ref="AI122">IF($D122&lt;COLUMNS($F$7:AI$7),"",INDEX(TableDiv[[GASB]:[GASB]],_xlfn.AGGREGATE(15,3,(TableDiv[[Agency]:[Agency]]=$E122)/(TableDiv[[Agency]:[Agency]]=$E122)*(ROW(TableDiv[Agency])-ROW(TableDiv[[#Headers],[Agency]])),COLUMNS($F$7:AI$7))))</f>
        <v/>
      </c>
      <c r="AJ122" s="2223" t="str" cm="1">
        <f t="array" ref="AJ122">IF($D122&lt;COLUMNS($F$7:AJ$7),"",INDEX(TableDiv[[GASB]:[GASB]],_xlfn.AGGREGATE(15,3,(TableDiv[[Agency]:[Agency]]=$E122)/(TableDiv[[Agency]:[Agency]]=$E122)*(ROW(TableDiv[Agency])-ROW(TableDiv[[#Headers],[Agency]])),COLUMNS($F$7:AJ$7))))</f>
        <v/>
      </c>
      <c r="AK122" s="2223" t="str" cm="1">
        <f t="array" ref="AK122">IF($D122&lt;COLUMNS($F$7:AK$7),"",INDEX(TableDiv[[GASB]:[GASB]],_xlfn.AGGREGATE(15,3,(TableDiv[[Agency]:[Agency]]=$E122)/(TableDiv[[Agency]:[Agency]]=$E122)*(ROW(TableDiv[Agency])-ROW(TableDiv[[#Headers],[Agency]])),COLUMNS($F$7:AK$7))))</f>
        <v/>
      </c>
      <c r="AL122" s="2223" t="str" cm="1">
        <f t="array" ref="AL122">IF($D122&lt;COLUMNS($F$7:AL$7),"",INDEX(TableDiv[[GASB]:[GASB]],_xlfn.AGGREGATE(15,3,(TableDiv[[Agency]:[Agency]]=$E122)/(TableDiv[[Agency]:[Agency]]=$E122)*(ROW(TableDiv[Agency])-ROW(TableDiv[[#Headers],[Agency]])),COLUMNS($F$7:AL$7))))</f>
        <v/>
      </c>
      <c r="AM122" s="2223" t="str" cm="1">
        <f t="array" ref="AM122">IF($D122&lt;COLUMNS($F$7:AM$7),"",INDEX(TableDiv[[GASB]:[GASB]],_xlfn.AGGREGATE(15,3,(TableDiv[[Agency]:[Agency]]=$E122)/(TableDiv[[Agency]:[Agency]]=$E122)*(ROW(TableDiv[Agency])-ROW(TableDiv[[#Headers],[Agency]])),COLUMNS($F$7:AM$7))))</f>
        <v/>
      </c>
      <c r="AN122" s="2223"/>
      <c r="AO122" s="2223"/>
      <c r="AP122" s="2223"/>
      <c r="AQ122" s="2223"/>
      <c r="AR122" s="2223"/>
      <c r="AS122" s="2223"/>
    </row>
    <row r="123" spans="1:45" ht="15" x14ac:dyDescent="0.25">
      <c r="A123" s="2219" t="s">
        <v>1877</v>
      </c>
      <c r="B123" s="2219" t="s">
        <v>6422</v>
      </c>
      <c r="C123" s="2223"/>
      <c r="D123" s="2223">
        <f>COUNTIF(TableDiv[Agency],E123)</f>
        <v>1</v>
      </c>
      <c r="E123" s="2230" t="str" cm="1">
        <f t="array" ref="E123">IFERROR(INDEX(TableDiv[Agency],MATCH(0,INDEX(COUNTIF($E$7:E122,TableDiv[Agency]),),0)),"")</f>
        <v>DLF</v>
      </c>
      <c r="F123" s="2223" t="str" cm="1">
        <f t="array" ref="F123">IF($D123&lt;COLUMNS($F$7:F$7),"",INDEX(TableDiv[[GASB]:[GASB]],_xlfn.AGGREGATE(15,3,(TableDiv[[Agency]:[Agency]]=$E123)/(TableDiv[[Agency]:[Agency]]=$E123)*(ROW(TableDiv[Agency])-ROW(TableDiv[[#Headers],[Agency]])),COLUMNS($F$7:F$7))))</f>
        <v>48200G</v>
      </c>
      <c r="G123" s="2223" t="str" cm="1">
        <f t="array" ref="G123">IF($D123&lt;COLUMNS($F$7:G$7),"",INDEX(TableDiv[[GASB]:[GASB]],_xlfn.AGGREGATE(15,3,(TableDiv[[Agency]:[Agency]]=$E123)/(TableDiv[[Agency]:[Agency]]=$E123)*(ROW(TableDiv[Agency])-ROW(TableDiv[[#Headers],[Agency]])),COLUMNS($F$7:G$7))))</f>
        <v/>
      </c>
      <c r="H123" s="2223" t="str" cm="1">
        <f t="array" ref="H123">IF($D123&lt;COLUMNS($F$7:H$7),"",INDEX(TableDiv[[GASB]:[GASB]],_xlfn.AGGREGATE(15,3,(TableDiv[[Agency]:[Agency]]=$E123)/(TableDiv[[Agency]:[Agency]]=$E123)*(ROW(TableDiv[Agency])-ROW(TableDiv[[#Headers],[Agency]])),COLUMNS($F$7:H$7))))</f>
        <v/>
      </c>
      <c r="I123" s="2223" t="str" cm="1">
        <f t="array" ref="I123">IF($D123&lt;COLUMNS($F$7:I$7),"",INDEX(TableDiv[[GASB]:[GASB]],_xlfn.AGGREGATE(15,3,(TableDiv[[Agency]:[Agency]]=$E123)/(TableDiv[[Agency]:[Agency]]=$E123)*(ROW(TableDiv[Agency])-ROW(TableDiv[[#Headers],[Agency]])),COLUMNS($F$7:I$7))))</f>
        <v/>
      </c>
      <c r="J123" s="2223" t="str" cm="1">
        <f t="array" ref="J123">IF($D123&lt;COLUMNS($F$7:J$7),"",INDEX(TableDiv[[GASB]:[GASB]],_xlfn.AGGREGATE(15,3,(TableDiv[[Agency]:[Agency]]=$E123)/(TableDiv[[Agency]:[Agency]]=$E123)*(ROW(TableDiv[Agency])-ROW(TableDiv[[#Headers],[Agency]])),COLUMNS($F$7:J$7))))</f>
        <v/>
      </c>
      <c r="K123" s="2223" t="str" cm="1">
        <f t="array" ref="K123">IF($D123&lt;COLUMNS($F$7:K$7),"",INDEX(TableDiv[[GASB]:[GASB]],_xlfn.AGGREGATE(15,3,(TableDiv[[Agency]:[Agency]]=$E123)/(TableDiv[[Agency]:[Agency]]=$E123)*(ROW(TableDiv[Agency])-ROW(TableDiv[[#Headers],[Agency]])),COLUMNS($F$7:K$7))))</f>
        <v/>
      </c>
      <c r="L123" s="2223" t="str" cm="1">
        <f t="array" ref="L123">IF($D123&lt;COLUMNS($F$7:L$7),"",INDEX(TableDiv[[GASB]:[GASB]],_xlfn.AGGREGATE(15,3,(TableDiv[[Agency]:[Agency]]=$E123)/(TableDiv[[Agency]:[Agency]]=$E123)*(ROW(TableDiv[Agency])-ROW(TableDiv[[#Headers],[Agency]])),COLUMNS($F$7:L$7))))</f>
        <v/>
      </c>
      <c r="M123" s="2223" t="str" cm="1">
        <f t="array" ref="M123">IF($D123&lt;COLUMNS($F$7:M$7),"",INDEX(TableDiv[[GASB]:[GASB]],_xlfn.AGGREGATE(15,3,(TableDiv[[Agency]:[Agency]]=$E123)/(TableDiv[[Agency]:[Agency]]=$E123)*(ROW(TableDiv[Agency])-ROW(TableDiv[[#Headers],[Agency]])),COLUMNS($F$7:M$7))))</f>
        <v/>
      </c>
      <c r="N123" s="2223" t="str" cm="1">
        <f t="array" ref="N123">IF($D123&lt;COLUMNS($F$7:N$7),"",INDEX(TableDiv[[GASB]:[GASB]],_xlfn.AGGREGATE(15,3,(TableDiv[[Agency]:[Agency]]=$E123)/(TableDiv[[Agency]:[Agency]]=$E123)*(ROW(TableDiv[Agency])-ROW(TableDiv[[#Headers],[Agency]])),COLUMNS($F$7:N$7))))</f>
        <v/>
      </c>
      <c r="O123" s="2223" t="str" cm="1">
        <f t="array" ref="O123">IF($D123&lt;COLUMNS($F$7:O$7),"",INDEX(TableDiv[[GASB]:[GASB]],_xlfn.AGGREGATE(15,3,(TableDiv[[Agency]:[Agency]]=$E123)/(TableDiv[[Agency]:[Agency]]=$E123)*(ROW(TableDiv[Agency])-ROW(TableDiv[[#Headers],[Agency]])),COLUMNS($F$7:O$7))))</f>
        <v/>
      </c>
      <c r="P123" s="2223" t="str" cm="1">
        <f t="array" ref="P123">IF($D123&lt;COLUMNS($F$7:P$7),"",INDEX(TableDiv[[GASB]:[GASB]],_xlfn.AGGREGATE(15,3,(TableDiv[[Agency]:[Agency]]=$E123)/(TableDiv[[Agency]:[Agency]]=$E123)*(ROW(TableDiv[Agency])-ROW(TableDiv[[#Headers],[Agency]])),COLUMNS($F$7:P$7))))</f>
        <v/>
      </c>
      <c r="Q123" s="2223" t="str" cm="1">
        <f t="array" ref="Q123">IF($D123&lt;COLUMNS($F$7:Q$7),"",INDEX(TableDiv[[GASB]:[GASB]],_xlfn.AGGREGATE(15,3,(TableDiv[[Agency]:[Agency]]=$E123)/(TableDiv[[Agency]:[Agency]]=$E123)*(ROW(TableDiv[Agency])-ROW(TableDiv[[#Headers],[Agency]])),COLUMNS($F$7:Q$7))))</f>
        <v/>
      </c>
      <c r="R123" s="2223" t="str" cm="1">
        <f t="array" ref="R123">IF($D123&lt;COLUMNS($F$7:R$7),"",INDEX(TableDiv[[GASB]:[GASB]],_xlfn.AGGREGATE(15,3,(TableDiv[[Agency]:[Agency]]=$E123)/(TableDiv[[Agency]:[Agency]]=$E123)*(ROW(TableDiv[Agency])-ROW(TableDiv[[#Headers],[Agency]])),COLUMNS($F$7:R$7))))</f>
        <v/>
      </c>
      <c r="S123" s="2223" t="str" cm="1">
        <f t="array" ref="S123">IF($D123&lt;COLUMNS($F$7:S$7),"",INDEX(TableDiv[[GASB]:[GASB]],_xlfn.AGGREGATE(15,3,(TableDiv[[Agency]:[Agency]]=$E123)/(TableDiv[[Agency]:[Agency]]=$E123)*(ROW(TableDiv[Agency])-ROW(TableDiv[[#Headers],[Agency]])),COLUMNS($F$7:S$7))))</f>
        <v/>
      </c>
      <c r="T123" s="2223" t="str" cm="1">
        <f t="array" ref="T123">IF($D123&lt;COLUMNS($F$7:T$7),"",INDEX(TableDiv[[GASB]:[GASB]],_xlfn.AGGREGATE(15,3,(TableDiv[[Agency]:[Agency]]=$E123)/(TableDiv[[Agency]:[Agency]]=$E123)*(ROW(TableDiv[Agency])-ROW(TableDiv[[#Headers],[Agency]])),COLUMNS($F$7:T$7))))</f>
        <v/>
      </c>
      <c r="U123" s="2223" t="str" cm="1">
        <f t="array" ref="U123">IF($D123&lt;COLUMNS($F$7:U$7),"",INDEX(TableDiv[[GASB]:[GASB]],_xlfn.AGGREGATE(15,3,(TableDiv[[Agency]:[Agency]]=$E123)/(TableDiv[[Agency]:[Agency]]=$E123)*(ROW(TableDiv[Agency])-ROW(TableDiv[[#Headers],[Agency]])),COLUMNS($F$7:U$7))))</f>
        <v/>
      </c>
      <c r="V123" s="2223" t="str" cm="1">
        <f t="array" ref="V123">IF($D123&lt;COLUMNS($F$7:V$7),"",INDEX(TableDiv[[GASB]:[GASB]],_xlfn.AGGREGATE(15,3,(TableDiv[[Agency]:[Agency]]=$E123)/(TableDiv[[Agency]:[Agency]]=$E123)*(ROW(TableDiv[Agency])-ROW(TableDiv[[#Headers],[Agency]])),COLUMNS($F$7:V$7))))</f>
        <v/>
      </c>
      <c r="W123" s="2223" t="str" cm="1">
        <f t="array" ref="W123">IF($D123&lt;COLUMNS($F$7:W$7),"",INDEX(TableDiv[[GASB]:[GASB]],_xlfn.AGGREGATE(15,3,(TableDiv[[Agency]:[Agency]]=$E123)/(TableDiv[[Agency]:[Agency]]=$E123)*(ROW(TableDiv[Agency])-ROW(TableDiv[[#Headers],[Agency]])),COLUMNS($F$7:W$7))))</f>
        <v/>
      </c>
      <c r="X123" s="2223" t="str" cm="1">
        <f t="array" ref="X123">IF($D123&lt;COLUMNS($F$7:X$7),"",INDEX(TableDiv[[GASB]:[GASB]],_xlfn.AGGREGATE(15,3,(TableDiv[[Agency]:[Agency]]=$E123)/(TableDiv[[Agency]:[Agency]]=$E123)*(ROW(TableDiv[Agency])-ROW(TableDiv[[#Headers],[Agency]])),COLUMNS($F$7:X$7))))</f>
        <v/>
      </c>
      <c r="Y123" s="2223" t="str" cm="1">
        <f t="array" ref="Y123">IF($D123&lt;COLUMNS($F$7:Y$7),"",INDEX(TableDiv[[GASB]:[GASB]],_xlfn.AGGREGATE(15,3,(TableDiv[[Agency]:[Agency]]=$E123)/(TableDiv[[Agency]:[Agency]]=$E123)*(ROW(TableDiv[Agency])-ROW(TableDiv[[#Headers],[Agency]])),COLUMNS($F$7:Y$7))))</f>
        <v/>
      </c>
      <c r="Z123" s="2223" t="str" cm="1">
        <f t="array" ref="Z123">IF($D123&lt;COLUMNS($F$7:Z$7),"",INDEX(TableDiv[[GASB]:[GASB]],_xlfn.AGGREGATE(15,3,(TableDiv[[Agency]:[Agency]]=$E123)/(TableDiv[[Agency]:[Agency]]=$E123)*(ROW(TableDiv[Agency])-ROW(TableDiv[[#Headers],[Agency]])),COLUMNS($F$7:Z$7))))</f>
        <v/>
      </c>
      <c r="AA123" s="2223" t="str" cm="1">
        <f t="array" ref="AA123">IF($D123&lt;COLUMNS($F$7:AA$7),"",INDEX(TableDiv[[GASB]:[GASB]],_xlfn.AGGREGATE(15,3,(TableDiv[[Agency]:[Agency]]=$E123)/(TableDiv[[Agency]:[Agency]]=$E123)*(ROW(TableDiv[Agency])-ROW(TableDiv[[#Headers],[Agency]])),COLUMNS($F$7:AA$7))))</f>
        <v/>
      </c>
      <c r="AB123" s="2223" t="str" cm="1">
        <f t="array" ref="AB123">IF($D123&lt;COLUMNS($F$7:AB$7),"",INDEX(TableDiv[[GASB]:[GASB]],_xlfn.AGGREGATE(15,3,(TableDiv[[Agency]:[Agency]]=$E123)/(TableDiv[[Agency]:[Agency]]=$E123)*(ROW(TableDiv[Agency])-ROW(TableDiv[[#Headers],[Agency]])),COLUMNS($F$7:AB$7))))</f>
        <v/>
      </c>
      <c r="AC123" s="2223" t="str" cm="1">
        <f t="array" ref="AC123">IF($D123&lt;COLUMNS($F$7:AC$7),"",INDEX(TableDiv[[GASB]:[GASB]],_xlfn.AGGREGATE(15,3,(TableDiv[[Agency]:[Agency]]=$E123)/(TableDiv[[Agency]:[Agency]]=$E123)*(ROW(TableDiv[Agency])-ROW(TableDiv[[#Headers],[Agency]])),COLUMNS($F$7:AC$7))))</f>
        <v/>
      </c>
      <c r="AD123" s="2223" t="str" cm="1">
        <f t="array" ref="AD123">IF($D123&lt;COLUMNS($F$7:AD$7),"",INDEX(TableDiv[[GASB]:[GASB]],_xlfn.AGGREGATE(15,3,(TableDiv[[Agency]:[Agency]]=$E123)/(TableDiv[[Agency]:[Agency]]=$E123)*(ROW(TableDiv[Agency])-ROW(TableDiv[[#Headers],[Agency]])),COLUMNS($F$7:AD$7))))</f>
        <v/>
      </c>
      <c r="AE123" s="2223" t="str" cm="1">
        <f t="array" ref="AE123">IF($D123&lt;COLUMNS($F$7:AE$7),"",INDEX(TableDiv[[GASB]:[GASB]],_xlfn.AGGREGATE(15,3,(TableDiv[[Agency]:[Agency]]=$E123)/(TableDiv[[Agency]:[Agency]]=$E123)*(ROW(TableDiv[Agency])-ROW(TableDiv[[#Headers],[Agency]])),COLUMNS($F$7:AE$7))))</f>
        <v/>
      </c>
      <c r="AF123" s="2223" t="str" cm="1">
        <f t="array" ref="AF123">IF($D123&lt;COLUMNS($F$7:AF$7),"",INDEX(TableDiv[[GASB]:[GASB]],_xlfn.AGGREGATE(15,3,(TableDiv[[Agency]:[Agency]]=$E123)/(TableDiv[[Agency]:[Agency]]=$E123)*(ROW(TableDiv[Agency])-ROW(TableDiv[[#Headers],[Agency]])),COLUMNS($F$7:AF$7))))</f>
        <v/>
      </c>
      <c r="AG123" s="2223" t="str" cm="1">
        <f t="array" ref="AG123">IF($D123&lt;COLUMNS($F$7:AG$7),"",INDEX(TableDiv[[GASB]:[GASB]],_xlfn.AGGREGATE(15,3,(TableDiv[[Agency]:[Agency]]=$E123)/(TableDiv[[Agency]:[Agency]]=$E123)*(ROW(TableDiv[Agency])-ROW(TableDiv[[#Headers],[Agency]])),COLUMNS($F$7:AG$7))))</f>
        <v/>
      </c>
      <c r="AH123" s="2223" t="str" cm="1">
        <f t="array" ref="AH123">IF($D123&lt;COLUMNS($F$7:AH$7),"",INDEX(TableDiv[[GASB]:[GASB]],_xlfn.AGGREGATE(15,3,(TableDiv[[Agency]:[Agency]]=$E123)/(TableDiv[[Agency]:[Agency]]=$E123)*(ROW(TableDiv[Agency])-ROW(TableDiv[[#Headers],[Agency]])),COLUMNS($F$7:AH$7))))</f>
        <v/>
      </c>
      <c r="AI123" s="2223" t="str" cm="1">
        <f t="array" ref="AI123">IF($D123&lt;COLUMNS($F$7:AI$7),"",INDEX(TableDiv[[GASB]:[GASB]],_xlfn.AGGREGATE(15,3,(TableDiv[[Agency]:[Agency]]=$E123)/(TableDiv[[Agency]:[Agency]]=$E123)*(ROW(TableDiv[Agency])-ROW(TableDiv[[#Headers],[Agency]])),COLUMNS($F$7:AI$7))))</f>
        <v/>
      </c>
      <c r="AJ123" s="2223" t="str" cm="1">
        <f t="array" ref="AJ123">IF($D123&lt;COLUMNS($F$7:AJ$7),"",INDEX(TableDiv[[GASB]:[GASB]],_xlfn.AGGREGATE(15,3,(TableDiv[[Agency]:[Agency]]=$E123)/(TableDiv[[Agency]:[Agency]]=$E123)*(ROW(TableDiv[Agency])-ROW(TableDiv[[#Headers],[Agency]])),COLUMNS($F$7:AJ$7))))</f>
        <v/>
      </c>
      <c r="AK123" s="2223" t="str" cm="1">
        <f t="array" ref="AK123">IF($D123&lt;COLUMNS($F$7:AK$7),"",INDEX(TableDiv[[GASB]:[GASB]],_xlfn.AGGREGATE(15,3,(TableDiv[[Agency]:[Agency]]=$E123)/(TableDiv[[Agency]:[Agency]]=$E123)*(ROW(TableDiv[Agency])-ROW(TableDiv[[#Headers],[Agency]])),COLUMNS($F$7:AK$7))))</f>
        <v/>
      </c>
      <c r="AL123" s="2223" t="str" cm="1">
        <f t="array" ref="AL123">IF($D123&lt;COLUMNS($F$7:AL$7),"",INDEX(TableDiv[[GASB]:[GASB]],_xlfn.AGGREGATE(15,3,(TableDiv[[Agency]:[Agency]]=$E123)/(TableDiv[[Agency]:[Agency]]=$E123)*(ROW(TableDiv[Agency])-ROW(TableDiv[[#Headers],[Agency]])),COLUMNS($F$7:AL$7))))</f>
        <v/>
      </c>
      <c r="AM123" s="2223" t="str" cm="1">
        <f t="array" ref="AM123">IF($D123&lt;COLUMNS($F$7:AM$7),"",INDEX(TableDiv[[GASB]:[GASB]],_xlfn.AGGREGATE(15,3,(TableDiv[[Agency]:[Agency]]=$E123)/(TableDiv[[Agency]:[Agency]]=$E123)*(ROW(TableDiv[Agency])-ROW(TableDiv[[#Headers],[Agency]])),COLUMNS($F$7:AM$7))))</f>
        <v/>
      </c>
      <c r="AN123" s="2223"/>
      <c r="AO123" s="2223"/>
      <c r="AP123" s="2223"/>
      <c r="AQ123" s="2223"/>
      <c r="AR123" s="2223"/>
      <c r="AS123" s="2223"/>
    </row>
    <row r="124" spans="1:45" ht="15" x14ac:dyDescent="0.25">
      <c r="A124" s="2219" t="s">
        <v>1877</v>
      </c>
      <c r="B124" s="2219" t="s">
        <v>6423</v>
      </c>
      <c r="C124" s="2223"/>
      <c r="D124" s="2223">
        <f>COUNTIF(TableDiv[Agency],E124)</f>
        <v>1</v>
      </c>
      <c r="E124" s="2230" t="str" cm="1">
        <f t="array" ref="E124">IFERROR(INDEX(TableDiv[Agency],MATCH(0,INDEX(COUNTIF($E$7:E123,TableDiv[Agency]),),0)),"")</f>
        <v>DMF</v>
      </c>
      <c r="F124" s="2223" t="str" cm="1">
        <f t="array" ref="F124">IF($D124&lt;COLUMNS($F$7:F$7),"",INDEX(TableDiv[[GASB]:[GASB]],_xlfn.AGGREGATE(15,3,(TableDiv[[Agency]:[Agency]]=$E124)/(TableDiv[[Agency]:[Agency]]=$E124)*(ROW(TableDiv[Agency])-ROW(TableDiv[[#Headers],[Agency]])),COLUMNS($F$7:F$7))))</f>
        <v>48200G</v>
      </c>
      <c r="G124" s="2223" t="str" cm="1">
        <f t="array" ref="G124">IF($D124&lt;COLUMNS($F$7:G$7),"",INDEX(TableDiv[[GASB]:[GASB]],_xlfn.AGGREGATE(15,3,(TableDiv[[Agency]:[Agency]]=$E124)/(TableDiv[[Agency]:[Agency]]=$E124)*(ROW(TableDiv[Agency])-ROW(TableDiv[[#Headers],[Agency]])),COLUMNS($F$7:G$7))))</f>
        <v/>
      </c>
      <c r="H124" s="2223" t="str" cm="1">
        <f t="array" ref="H124">IF($D124&lt;COLUMNS($F$7:H$7),"",INDEX(TableDiv[[GASB]:[GASB]],_xlfn.AGGREGATE(15,3,(TableDiv[[Agency]:[Agency]]=$E124)/(TableDiv[[Agency]:[Agency]]=$E124)*(ROW(TableDiv[Agency])-ROW(TableDiv[[#Headers],[Agency]])),COLUMNS($F$7:H$7))))</f>
        <v/>
      </c>
      <c r="I124" s="2223" t="str" cm="1">
        <f t="array" ref="I124">IF($D124&lt;COLUMNS($F$7:I$7),"",INDEX(TableDiv[[GASB]:[GASB]],_xlfn.AGGREGATE(15,3,(TableDiv[[Agency]:[Agency]]=$E124)/(TableDiv[[Agency]:[Agency]]=$E124)*(ROW(TableDiv[Agency])-ROW(TableDiv[[#Headers],[Agency]])),COLUMNS($F$7:I$7))))</f>
        <v/>
      </c>
      <c r="J124" s="2223" t="str" cm="1">
        <f t="array" ref="J124">IF($D124&lt;COLUMNS($F$7:J$7),"",INDEX(TableDiv[[GASB]:[GASB]],_xlfn.AGGREGATE(15,3,(TableDiv[[Agency]:[Agency]]=$E124)/(TableDiv[[Agency]:[Agency]]=$E124)*(ROW(TableDiv[Agency])-ROW(TableDiv[[#Headers],[Agency]])),COLUMNS($F$7:J$7))))</f>
        <v/>
      </c>
      <c r="K124" s="2223" t="str" cm="1">
        <f t="array" ref="K124">IF($D124&lt;COLUMNS($F$7:K$7),"",INDEX(TableDiv[[GASB]:[GASB]],_xlfn.AGGREGATE(15,3,(TableDiv[[Agency]:[Agency]]=$E124)/(TableDiv[[Agency]:[Agency]]=$E124)*(ROW(TableDiv[Agency])-ROW(TableDiv[[#Headers],[Agency]])),COLUMNS($F$7:K$7))))</f>
        <v/>
      </c>
      <c r="L124" s="2223" t="str" cm="1">
        <f t="array" ref="L124">IF($D124&lt;COLUMNS($F$7:L$7),"",INDEX(TableDiv[[GASB]:[GASB]],_xlfn.AGGREGATE(15,3,(TableDiv[[Agency]:[Agency]]=$E124)/(TableDiv[[Agency]:[Agency]]=$E124)*(ROW(TableDiv[Agency])-ROW(TableDiv[[#Headers],[Agency]])),COLUMNS($F$7:L$7))))</f>
        <v/>
      </c>
      <c r="M124" s="2223" t="str" cm="1">
        <f t="array" ref="M124">IF($D124&lt;COLUMNS($F$7:M$7),"",INDEX(TableDiv[[GASB]:[GASB]],_xlfn.AGGREGATE(15,3,(TableDiv[[Agency]:[Agency]]=$E124)/(TableDiv[[Agency]:[Agency]]=$E124)*(ROW(TableDiv[Agency])-ROW(TableDiv[[#Headers],[Agency]])),COLUMNS($F$7:M$7))))</f>
        <v/>
      </c>
      <c r="N124" s="2223" t="str" cm="1">
        <f t="array" ref="N124">IF($D124&lt;COLUMNS($F$7:N$7),"",INDEX(TableDiv[[GASB]:[GASB]],_xlfn.AGGREGATE(15,3,(TableDiv[[Agency]:[Agency]]=$E124)/(TableDiv[[Agency]:[Agency]]=$E124)*(ROW(TableDiv[Agency])-ROW(TableDiv[[#Headers],[Agency]])),COLUMNS($F$7:N$7))))</f>
        <v/>
      </c>
      <c r="O124" s="2223" t="str" cm="1">
        <f t="array" ref="O124">IF($D124&lt;COLUMNS($F$7:O$7),"",INDEX(TableDiv[[GASB]:[GASB]],_xlfn.AGGREGATE(15,3,(TableDiv[[Agency]:[Agency]]=$E124)/(TableDiv[[Agency]:[Agency]]=$E124)*(ROW(TableDiv[Agency])-ROW(TableDiv[[#Headers],[Agency]])),COLUMNS($F$7:O$7))))</f>
        <v/>
      </c>
      <c r="P124" s="2223" t="str" cm="1">
        <f t="array" ref="P124">IF($D124&lt;COLUMNS($F$7:P$7),"",INDEX(TableDiv[[GASB]:[GASB]],_xlfn.AGGREGATE(15,3,(TableDiv[[Agency]:[Agency]]=$E124)/(TableDiv[[Agency]:[Agency]]=$E124)*(ROW(TableDiv[Agency])-ROW(TableDiv[[#Headers],[Agency]])),COLUMNS($F$7:P$7))))</f>
        <v/>
      </c>
      <c r="Q124" s="2223" t="str" cm="1">
        <f t="array" ref="Q124">IF($D124&lt;COLUMNS($F$7:Q$7),"",INDEX(TableDiv[[GASB]:[GASB]],_xlfn.AGGREGATE(15,3,(TableDiv[[Agency]:[Agency]]=$E124)/(TableDiv[[Agency]:[Agency]]=$E124)*(ROW(TableDiv[Agency])-ROW(TableDiv[[#Headers],[Agency]])),COLUMNS($F$7:Q$7))))</f>
        <v/>
      </c>
      <c r="R124" s="2223" t="str" cm="1">
        <f t="array" ref="R124">IF($D124&lt;COLUMNS($F$7:R$7),"",INDEX(TableDiv[[GASB]:[GASB]],_xlfn.AGGREGATE(15,3,(TableDiv[[Agency]:[Agency]]=$E124)/(TableDiv[[Agency]:[Agency]]=$E124)*(ROW(TableDiv[Agency])-ROW(TableDiv[[#Headers],[Agency]])),COLUMNS($F$7:R$7))))</f>
        <v/>
      </c>
      <c r="S124" s="2223" t="str" cm="1">
        <f t="array" ref="S124">IF($D124&lt;COLUMNS($F$7:S$7),"",INDEX(TableDiv[[GASB]:[GASB]],_xlfn.AGGREGATE(15,3,(TableDiv[[Agency]:[Agency]]=$E124)/(TableDiv[[Agency]:[Agency]]=$E124)*(ROW(TableDiv[Agency])-ROW(TableDiv[[#Headers],[Agency]])),COLUMNS($F$7:S$7))))</f>
        <v/>
      </c>
      <c r="T124" s="2223" t="str" cm="1">
        <f t="array" ref="T124">IF($D124&lt;COLUMNS($F$7:T$7),"",INDEX(TableDiv[[GASB]:[GASB]],_xlfn.AGGREGATE(15,3,(TableDiv[[Agency]:[Agency]]=$E124)/(TableDiv[[Agency]:[Agency]]=$E124)*(ROW(TableDiv[Agency])-ROW(TableDiv[[#Headers],[Agency]])),COLUMNS($F$7:T$7))))</f>
        <v/>
      </c>
      <c r="U124" s="2223" t="str" cm="1">
        <f t="array" ref="U124">IF($D124&lt;COLUMNS($F$7:U$7),"",INDEX(TableDiv[[GASB]:[GASB]],_xlfn.AGGREGATE(15,3,(TableDiv[[Agency]:[Agency]]=$E124)/(TableDiv[[Agency]:[Agency]]=$E124)*(ROW(TableDiv[Agency])-ROW(TableDiv[[#Headers],[Agency]])),COLUMNS($F$7:U$7))))</f>
        <v/>
      </c>
      <c r="V124" s="2223" t="str" cm="1">
        <f t="array" ref="V124">IF($D124&lt;COLUMNS($F$7:V$7),"",INDEX(TableDiv[[GASB]:[GASB]],_xlfn.AGGREGATE(15,3,(TableDiv[[Agency]:[Agency]]=$E124)/(TableDiv[[Agency]:[Agency]]=$E124)*(ROW(TableDiv[Agency])-ROW(TableDiv[[#Headers],[Agency]])),COLUMNS($F$7:V$7))))</f>
        <v/>
      </c>
      <c r="W124" s="2223" t="str" cm="1">
        <f t="array" ref="W124">IF($D124&lt;COLUMNS($F$7:W$7),"",INDEX(TableDiv[[GASB]:[GASB]],_xlfn.AGGREGATE(15,3,(TableDiv[[Agency]:[Agency]]=$E124)/(TableDiv[[Agency]:[Agency]]=$E124)*(ROW(TableDiv[Agency])-ROW(TableDiv[[#Headers],[Agency]])),COLUMNS($F$7:W$7))))</f>
        <v/>
      </c>
      <c r="X124" s="2223" t="str" cm="1">
        <f t="array" ref="X124">IF($D124&lt;COLUMNS($F$7:X$7),"",INDEX(TableDiv[[GASB]:[GASB]],_xlfn.AGGREGATE(15,3,(TableDiv[[Agency]:[Agency]]=$E124)/(TableDiv[[Agency]:[Agency]]=$E124)*(ROW(TableDiv[Agency])-ROW(TableDiv[[#Headers],[Agency]])),COLUMNS($F$7:X$7))))</f>
        <v/>
      </c>
      <c r="Y124" s="2223" t="str" cm="1">
        <f t="array" ref="Y124">IF($D124&lt;COLUMNS($F$7:Y$7),"",INDEX(TableDiv[[GASB]:[GASB]],_xlfn.AGGREGATE(15,3,(TableDiv[[Agency]:[Agency]]=$E124)/(TableDiv[[Agency]:[Agency]]=$E124)*(ROW(TableDiv[Agency])-ROW(TableDiv[[#Headers],[Agency]])),COLUMNS($F$7:Y$7))))</f>
        <v/>
      </c>
      <c r="Z124" s="2223" t="str" cm="1">
        <f t="array" ref="Z124">IF($D124&lt;COLUMNS($F$7:Z$7),"",INDEX(TableDiv[[GASB]:[GASB]],_xlfn.AGGREGATE(15,3,(TableDiv[[Agency]:[Agency]]=$E124)/(TableDiv[[Agency]:[Agency]]=$E124)*(ROW(TableDiv[Agency])-ROW(TableDiv[[#Headers],[Agency]])),COLUMNS($F$7:Z$7))))</f>
        <v/>
      </c>
      <c r="AA124" s="2223" t="str" cm="1">
        <f t="array" ref="AA124">IF($D124&lt;COLUMNS($F$7:AA$7),"",INDEX(TableDiv[[GASB]:[GASB]],_xlfn.AGGREGATE(15,3,(TableDiv[[Agency]:[Agency]]=$E124)/(TableDiv[[Agency]:[Agency]]=$E124)*(ROW(TableDiv[Agency])-ROW(TableDiv[[#Headers],[Agency]])),COLUMNS($F$7:AA$7))))</f>
        <v/>
      </c>
      <c r="AB124" s="2223" t="str" cm="1">
        <f t="array" ref="AB124">IF($D124&lt;COLUMNS($F$7:AB$7),"",INDEX(TableDiv[[GASB]:[GASB]],_xlfn.AGGREGATE(15,3,(TableDiv[[Agency]:[Agency]]=$E124)/(TableDiv[[Agency]:[Agency]]=$E124)*(ROW(TableDiv[Agency])-ROW(TableDiv[[#Headers],[Agency]])),COLUMNS($F$7:AB$7))))</f>
        <v/>
      </c>
      <c r="AC124" s="2223" t="str" cm="1">
        <f t="array" ref="AC124">IF($D124&lt;COLUMNS($F$7:AC$7),"",INDEX(TableDiv[[GASB]:[GASB]],_xlfn.AGGREGATE(15,3,(TableDiv[[Agency]:[Agency]]=$E124)/(TableDiv[[Agency]:[Agency]]=$E124)*(ROW(TableDiv[Agency])-ROW(TableDiv[[#Headers],[Agency]])),COLUMNS($F$7:AC$7))))</f>
        <v/>
      </c>
      <c r="AD124" s="2223" t="str" cm="1">
        <f t="array" ref="AD124">IF($D124&lt;COLUMNS($F$7:AD$7),"",INDEX(TableDiv[[GASB]:[GASB]],_xlfn.AGGREGATE(15,3,(TableDiv[[Agency]:[Agency]]=$E124)/(TableDiv[[Agency]:[Agency]]=$E124)*(ROW(TableDiv[Agency])-ROW(TableDiv[[#Headers],[Agency]])),COLUMNS($F$7:AD$7))))</f>
        <v/>
      </c>
      <c r="AE124" s="2223" t="str" cm="1">
        <f t="array" ref="AE124">IF($D124&lt;COLUMNS($F$7:AE$7),"",INDEX(TableDiv[[GASB]:[GASB]],_xlfn.AGGREGATE(15,3,(TableDiv[[Agency]:[Agency]]=$E124)/(TableDiv[[Agency]:[Agency]]=$E124)*(ROW(TableDiv[Agency])-ROW(TableDiv[[#Headers],[Agency]])),COLUMNS($F$7:AE$7))))</f>
        <v/>
      </c>
      <c r="AF124" s="2223" t="str" cm="1">
        <f t="array" ref="AF124">IF($D124&lt;COLUMNS($F$7:AF$7),"",INDEX(TableDiv[[GASB]:[GASB]],_xlfn.AGGREGATE(15,3,(TableDiv[[Agency]:[Agency]]=$E124)/(TableDiv[[Agency]:[Agency]]=$E124)*(ROW(TableDiv[Agency])-ROW(TableDiv[[#Headers],[Agency]])),COLUMNS($F$7:AF$7))))</f>
        <v/>
      </c>
      <c r="AG124" s="2223" t="str" cm="1">
        <f t="array" ref="AG124">IF($D124&lt;COLUMNS($F$7:AG$7),"",INDEX(TableDiv[[GASB]:[GASB]],_xlfn.AGGREGATE(15,3,(TableDiv[[Agency]:[Agency]]=$E124)/(TableDiv[[Agency]:[Agency]]=$E124)*(ROW(TableDiv[Agency])-ROW(TableDiv[[#Headers],[Agency]])),COLUMNS($F$7:AG$7))))</f>
        <v/>
      </c>
      <c r="AH124" s="2223" t="str" cm="1">
        <f t="array" ref="AH124">IF($D124&lt;COLUMNS($F$7:AH$7),"",INDEX(TableDiv[[GASB]:[GASB]],_xlfn.AGGREGATE(15,3,(TableDiv[[Agency]:[Agency]]=$E124)/(TableDiv[[Agency]:[Agency]]=$E124)*(ROW(TableDiv[Agency])-ROW(TableDiv[[#Headers],[Agency]])),COLUMNS($F$7:AH$7))))</f>
        <v/>
      </c>
      <c r="AI124" s="2223" t="str" cm="1">
        <f t="array" ref="AI124">IF($D124&lt;COLUMNS($F$7:AI$7),"",INDEX(TableDiv[[GASB]:[GASB]],_xlfn.AGGREGATE(15,3,(TableDiv[[Agency]:[Agency]]=$E124)/(TableDiv[[Agency]:[Agency]]=$E124)*(ROW(TableDiv[Agency])-ROW(TableDiv[[#Headers],[Agency]])),COLUMNS($F$7:AI$7))))</f>
        <v/>
      </c>
      <c r="AJ124" s="2223" t="str" cm="1">
        <f t="array" ref="AJ124">IF($D124&lt;COLUMNS($F$7:AJ$7),"",INDEX(TableDiv[[GASB]:[GASB]],_xlfn.AGGREGATE(15,3,(TableDiv[[Agency]:[Agency]]=$E124)/(TableDiv[[Agency]:[Agency]]=$E124)*(ROW(TableDiv[Agency])-ROW(TableDiv[[#Headers],[Agency]])),COLUMNS($F$7:AJ$7))))</f>
        <v/>
      </c>
      <c r="AK124" s="2223" t="str" cm="1">
        <f t="array" ref="AK124">IF($D124&lt;COLUMNS($F$7:AK$7),"",INDEX(TableDiv[[GASB]:[GASB]],_xlfn.AGGREGATE(15,3,(TableDiv[[Agency]:[Agency]]=$E124)/(TableDiv[[Agency]:[Agency]]=$E124)*(ROW(TableDiv[Agency])-ROW(TableDiv[[#Headers],[Agency]])),COLUMNS($F$7:AK$7))))</f>
        <v/>
      </c>
      <c r="AL124" s="2223" t="str" cm="1">
        <f t="array" ref="AL124">IF($D124&lt;COLUMNS($F$7:AL$7),"",INDEX(TableDiv[[GASB]:[GASB]],_xlfn.AGGREGATE(15,3,(TableDiv[[Agency]:[Agency]]=$E124)/(TableDiv[[Agency]:[Agency]]=$E124)*(ROW(TableDiv[Agency])-ROW(TableDiv[[#Headers],[Agency]])),COLUMNS($F$7:AL$7))))</f>
        <v/>
      </c>
      <c r="AM124" s="2223" t="str" cm="1">
        <f t="array" ref="AM124">IF($D124&lt;COLUMNS($F$7:AM$7),"",INDEX(TableDiv[[GASB]:[GASB]],_xlfn.AGGREGATE(15,3,(TableDiv[[Agency]:[Agency]]=$E124)/(TableDiv[[Agency]:[Agency]]=$E124)*(ROW(TableDiv[Agency])-ROW(TableDiv[[#Headers],[Agency]])),COLUMNS($F$7:AM$7))))</f>
        <v/>
      </c>
      <c r="AN124" s="2223"/>
      <c r="AO124" s="2223"/>
      <c r="AP124" s="2223"/>
      <c r="AQ124" s="2223"/>
      <c r="AR124" s="2223"/>
      <c r="AS124" s="2223"/>
    </row>
    <row r="125" spans="1:45" ht="15" x14ac:dyDescent="0.25">
      <c r="A125" s="2219" t="s">
        <v>1877</v>
      </c>
      <c r="B125" s="2219" t="s">
        <v>6424</v>
      </c>
      <c r="C125" s="2223"/>
      <c r="D125" s="2223">
        <f>COUNTIF(TableDiv[Agency],E125)</f>
        <v>1</v>
      </c>
      <c r="E125" s="2230" t="str" cm="1">
        <f t="array" ref="E125">IFERROR(INDEX(TableDiv[Agency],MATCH(0,INDEX(COUNTIF($E$7:E124,TableDiv[Agency]),),0)),"")</f>
        <v>DNF</v>
      </c>
      <c r="F125" s="2223" t="str" cm="1">
        <f t="array" ref="F125">IF($D125&lt;COLUMNS($F$7:F$7),"",INDEX(TableDiv[[GASB]:[GASB]],_xlfn.AGGREGATE(15,3,(TableDiv[[Agency]:[Agency]]=$E125)/(TableDiv[[Agency]:[Agency]]=$E125)*(ROW(TableDiv[Agency])-ROW(TableDiv[[#Headers],[Agency]])),COLUMNS($F$7:F$7))))</f>
        <v>48200G</v>
      </c>
      <c r="G125" s="2223" t="str" cm="1">
        <f t="array" ref="G125">IF($D125&lt;COLUMNS($F$7:G$7),"",INDEX(TableDiv[[GASB]:[GASB]],_xlfn.AGGREGATE(15,3,(TableDiv[[Agency]:[Agency]]=$E125)/(TableDiv[[Agency]:[Agency]]=$E125)*(ROW(TableDiv[Agency])-ROW(TableDiv[[#Headers],[Agency]])),COLUMNS($F$7:G$7))))</f>
        <v/>
      </c>
      <c r="H125" s="2223" t="str" cm="1">
        <f t="array" ref="H125">IF($D125&lt;COLUMNS($F$7:H$7),"",INDEX(TableDiv[[GASB]:[GASB]],_xlfn.AGGREGATE(15,3,(TableDiv[[Agency]:[Agency]]=$E125)/(TableDiv[[Agency]:[Agency]]=$E125)*(ROW(TableDiv[Agency])-ROW(TableDiv[[#Headers],[Agency]])),COLUMNS($F$7:H$7))))</f>
        <v/>
      </c>
      <c r="I125" s="2223" t="str" cm="1">
        <f t="array" ref="I125">IF($D125&lt;COLUMNS($F$7:I$7),"",INDEX(TableDiv[[GASB]:[GASB]],_xlfn.AGGREGATE(15,3,(TableDiv[[Agency]:[Agency]]=$E125)/(TableDiv[[Agency]:[Agency]]=$E125)*(ROW(TableDiv[Agency])-ROW(TableDiv[[#Headers],[Agency]])),COLUMNS($F$7:I$7))))</f>
        <v/>
      </c>
      <c r="J125" s="2223" t="str" cm="1">
        <f t="array" ref="J125">IF($D125&lt;COLUMNS($F$7:J$7),"",INDEX(TableDiv[[GASB]:[GASB]],_xlfn.AGGREGATE(15,3,(TableDiv[[Agency]:[Agency]]=$E125)/(TableDiv[[Agency]:[Agency]]=$E125)*(ROW(TableDiv[Agency])-ROW(TableDiv[[#Headers],[Agency]])),COLUMNS($F$7:J$7))))</f>
        <v/>
      </c>
      <c r="K125" s="2223" t="str" cm="1">
        <f t="array" ref="K125">IF($D125&lt;COLUMNS($F$7:K$7),"",INDEX(TableDiv[[GASB]:[GASB]],_xlfn.AGGREGATE(15,3,(TableDiv[[Agency]:[Agency]]=$E125)/(TableDiv[[Agency]:[Agency]]=$E125)*(ROW(TableDiv[Agency])-ROW(TableDiv[[#Headers],[Agency]])),COLUMNS($F$7:K$7))))</f>
        <v/>
      </c>
      <c r="L125" s="2223" t="str" cm="1">
        <f t="array" ref="L125">IF($D125&lt;COLUMNS($F$7:L$7),"",INDEX(TableDiv[[GASB]:[GASB]],_xlfn.AGGREGATE(15,3,(TableDiv[[Agency]:[Agency]]=$E125)/(TableDiv[[Agency]:[Agency]]=$E125)*(ROW(TableDiv[Agency])-ROW(TableDiv[[#Headers],[Agency]])),COLUMNS($F$7:L$7))))</f>
        <v/>
      </c>
      <c r="M125" s="2223" t="str" cm="1">
        <f t="array" ref="M125">IF($D125&lt;COLUMNS($F$7:M$7),"",INDEX(TableDiv[[GASB]:[GASB]],_xlfn.AGGREGATE(15,3,(TableDiv[[Agency]:[Agency]]=$E125)/(TableDiv[[Agency]:[Agency]]=$E125)*(ROW(TableDiv[Agency])-ROW(TableDiv[[#Headers],[Agency]])),COLUMNS($F$7:M$7))))</f>
        <v/>
      </c>
      <c r="N125" s="2223" t="str" cm="1">
        <f t="array" ref="N125">IF($D125&lt;COLUMNS($F$7:N$7),"",INDEX(TableDiv[[GASB]:[GASB]],_xlfn.AGGREGATE(15,3,(TableDiv[[Agency]:[Agency]]=$E125)/(TableDiv[[Agency]:[Agency]]=$E125)*(ROW(TableDiv[Agency])-ROW(TableDiv[[#Headers],[Agency]])),COLUMNS($F$7:N$7))))</f>
        <v/>
      </c>
      <c r="O125" s="2223" t="str" cm="1">
        <f t="array" ref="O125">IF($D125&lt;COLUMNS($F$7:O$7),"",INDEX(TableDiv[[GASB]:[GASB]],_xlfn.AGGREGATE(15,3,(TableDiv[[Agency]:[Agency]]=$E125)/(TableDiv[[Agency]:[Agency]]=$E125)*(ROW(TableDiv[Agency])-ROW(TableDiv[[#Headers],[Agency]])),COLUMNS($F$7:O$7))))</f>
        <v/>
      </c>
      <c r="P125" s="2223" t="str" cm="1">
        <f t="array" ref="P125">IF($D125&lt;COLUMNS($F$7:P$7),"",INDEX(TableDiv[[GASB]:[GASB]],_xlfn.AGGREGATE(15,3,(TableDiv[[Agency]:[Agency]]=$E125)/(TableDiv[[Agency]:[Agency]]=$E125)*(ROW(TableDiv[Agency])-ROW(TableDiv[[#Headers],[Agency]])),COLUMNS($F$7:P$7))))</f>
        <v/>
      </c>
      <c r="Q125" s="2223" t="str" cm="1">
        <f t="array" ref="Q125">IF($D125&lt;COLUMNS($F$7:Q$7),"",INDEX(TableDiv[[GASB]:[GASB]],_xlfn.AGGREGATE(15,3,(TableDiv[[Agency]:[Agency]]=$E125)/(TableDiv[[Agency]:[Agency]]=$E125)*(ROW(TableDiv[Agency])-ROW(TableDiv[[#Headers],[Agency]])),COLUMNS($F$7:Q$7))))</f>
        <v/>
      </c>
      <c r="R125" s="2223" t="str" cm="1">
        <f t="array" ref="R125">IF($D125&lt;COLUMNS($F$7:R$7),"",INDEX(TableDiv[[GASB]:[GASB]],_xlfn.AGGREGATE(15,3,(TableDiv[[Agency]:[Agency]]=$E125)/(TableDiv[[Agency]:[Agency]]=$E125)*(ROW(TableDiv[Agency])-ROW(TableDiv[[#Headers],[Agency]])),COLUMNS($F$7:R$7))))</f>
        <v/>
      </c>
      <c r="S125" s="2223" t="str" cm="1">
        <f t="array" ref="S125">IF($D125&lt;COLUMNS($F$7:S$7),"",INDEX(TableDiv[[GASB]:[GASB]],_xlfn.AGGREGATE(15,3,(TableDiv[[Agency]:[Agency]]=$E125)/(TableDiv[[Agency]:[Agency]]=$E125)*(ROW(TableDiv[Agency])-ROW(TableDiv[[#Headers],[Agency]])),COLUMNS($F$7:S$7))))</f>
        <v/>
      </c>
      <c r="T125" s="2223" t="str" cm="1">
        <f t="array" ref="T125">IF($D125&lt;COLUMNS($F$7:T$7),"",INDEX(TableDiv[[GASB]:[GASB]],_xlfn.AGGREGATE(15,3,(TableDiv[[Agency]:[Agency]]=$E125)/(TableDiv[[Agency]:[Agency]]=$E125)*(ROW(TableDiv[Agency])-ROW(TableDiv[[#Headers],[Agency]])),COLUMNS($F$7:T$7))))</f>
        <v/>
      </c>
      <c r="U125" s="2223" t="str" cm="1">
        <f t="array" ref="U125">IF($D125&lt;COLUMNS($F$7:U$7),"",INDEX(TableDiv[[GASB]:[GASB]],_xlfn.AGGREGATE(15,3,(TableDiv[[Agency]:[Agency]]=$E125)/(TableDiv[[Agency]:[Agency]]=$E125)*(ROW(TableDiv[Agency])-ROW(TableDiv[[#Headers],[Agency]])),COLUMNS($F$7:U$7))))</f>
        <v/>
      </c>
      <c r="V125" s="2223" t="str" cm="1">
        <f t="array" ref="V125">IF($D125&lt;COLUMNS($F$7:V$7),"",INDEX(TableDiv[[GASB]:[GASB]],_xlfn.AGGREGATE(15,3,(TableDiv[[Agency]:[Agency]]=$E125)/(TableDiv[[Agency]:[Agency]]=$E125)*(ROW(TableDiv[Agency])-ROW(TableDiv[[#Headers],[Agency]])),COLUMNS($F$7:V$7))))</f>
        <v/>
      </c>
      <c r="W125" s="2223" t="str" cm="1">
        <f t="array" ref="W125">IF($D125&lt;COLUMNS($F$7:W$7),"",INDEX(TableDiv[[GASB]:[GASB]],_xlfn.AGGREGATE(15,3,(TableDiv[[Agency]:[Agency]]=$E125)/(TableDiv[[Agency]:[Agency]]=$E125)*(ROW(TableDiv[Agency])-ROW(TableDiv[[#Headers],[Agency]])),COLUMNS($F$7:W$7))))</f>
        <v/>
      </c>
      <c r="X125" s="2223" t="str" cm="1">
        <f t="array" ref="X125">IF($D125&lt;COLUMNS($F$7:X$7),"",INDEX(TableDiv[[GASB]:[GASB]],_xlfn.AGGREGATE(15,3,(TableDiv[[Agency]:[Agency]]=$E125)/(TableDiv[[Agency]:[Agency]]=$E125)*(ROW(TableDiv[Agency])-ROW(TableDiv[[#Headers],[Agency]])),COLUMNS($F$7:X$7))))</f>
        <v/>
      </c>
      <c r="Y125" s="2223" t="str" cm="1">
        <f t="array" ref="Y125">IF($D125&lt;COLUMNS($F$7:Y$7),"",INDEX(TableDiv[[GASB]:[GASB]],_xlfn.AGGREGATE(15,3,(TableDiv[[Agency]:[Agency]]=$E125)/(TableDiv[[Agency]:[Agency]]=$E125)*(ROW(TableDiv[Agency])-ROW(TableDiv[[#Headers],[Agency]])),COLUMNS($F$7:Y$7))))</f>
        <v/>
      </c>
      <c r="Z125" s="2223" t="str" cm="1">
        <f t="array" ref="Z125">IF($D125&lt;COLUMNS($F$7:Z$7),"",INDEX(TableDiv[[GASB]:[GASB]],_xlfn.AGGREGATE(15,3,(TableDiv[[Agency]:[Agency]]=$E125)/(TableDiv[[Agency]:[Agency]]=$E125)*(ROW(TableDiv[Agency])-ROW(TableDiv[[#Headers],[Agency]])),COLUMNS($F$7:Z$7))))</f>
        <v/>
      </c>
      <c r="AA125" s="2223" t="str" cm="1">
        <f t="array" ref="AA125">IF($D125&lt;COLUMNS($F$7:AA$7),"",INDEX(TableDiv[[GASB]:[GASB]],_xlfn.AGGREGATE(15,3,(TableDiv[[Agency]:[Agency]]=$E125)/(TableDiv[[Agency]:[Agency]]=$E125)*(ROW(TableDiv[Agency])-ROW(TableDiv[[#Headers],[Agency]])),COLUMNS($F$7:AA$7))))</f>
        <v/>
      </c>
      <c r="AB125" s="2223" t="str" cm="1">
        <f t="array" ref="AB125">IF($D125&lt;COLUMNS($F$7:AB$7),"",INDEX(TableDiv[[GASB]:[GASB]],_xlfn.AGGREGATE(15,3,(TableDiv[[Agency]:[Agency]]=$E125)/(TableDiv[[Agency]:[Agency]]=$E125)*(ROW(TableDiv[Agency])-ROW(TableDiv[[#Headers],[Agency]])),COLUMNS($F$7:AB$7))))</f>
        <v/>
      </c>
      <c r="AC125" s="2223" t="str" cm="1">
        <f t="array" ref="AC125">IF($D125&lt;COLUMNS($F$7:AC$7),"",INDEX(TableDiv[[GASB]:[GASB]],_xlfn.AGGREGATE(15,3,(TableDiv[[Agency]:[Agency]]=$E125)/(TableDiv[[Agency]:[Agency]]=$E125)*(ROW(TableDiv[Agency])-ROW(TableDiv[[#Headers],[Agency]])),COLUMNS($F$7:AC$7))))</f>
        <v/>
      </c>
      <c r="AD125" s="2223" t="str" cm="1">
        <f t="array" ref="AD125">IF($D125&lt;COLUMNS($F$7:AD$7),"",INDEX(TableDiv[[GASB]:[GASB]],_xlfn.AGGREGATE(15,3,(TableDiv[[Agency]:[Agency]]=$E125)/(TableDiv[[Agency]:[Agency]]=$E125)*(ROW(TableDiv[Agency])-ROW(TableDiv[[#Headers],[Agency]])),COLUMNS($F$7:AD$7))))</f>
        <v/>
      </c>
      <c r="AE125" s="2223" t="str" cm="1">
        <f t="array" ref="AE125">IF($D125&lt;COLUMNS($F$7:AE$7),"",INDEX(TableDiv[[GASB]:[GASB]],_xlfn.AGGREGATE(15,3,(TableDiv[[Agency]:[Agency]]=$E125)/(TableDiv[[Agency]:[Agency]]=$E125)*(ROW(TableDiv[Agency])-ROW(TableDiv[[#Headers],[Agency]])),COLUMNS($F$7:AE$7))))</f>
        <v/>
      </c>
      <c r="AF125" s="2223" t="str" cm="1">
        <f t="array" ref="AF125">IF($D125&lt;COLUMNS($F$7:AF$7),"",INDEX(TableDiv[[GASB]:[GASB]],_xlfn.AGGREGATE(15,3,(TableDiv[[Agency]:[Agency]]=$E125)/(TableDiv[[Agency]:[Agency]]=$E125)*(ROW(TableDiv[Agency])-ROW(TableDiv[[#Headers],[Agency]])),COLUMNS($F$7:AF$7))))</f>
        <v/>
      </c>
      <c r="AG125" s="2223" t="str" cm="1">
        <f t="array" ref="AG125">IF($D125&lt;COLUMNS($F$7:AG$7),"",INDEX(TableDiv[[GASB]:[GASB]],_xlfn.AGGREGATE(15,3,(TableDiv[[Agency]:[Agency]]=$E125)/(TableDiv[[Agency]:[Agency]]=$E125)*(ROW(TableDiv[Agency])-ROW(TableDiv[[#Headers],[Agency]])),COLUMNS($F$7:AG$7))))</f>
        <v/>
      </c>
      <c r="AH125" s="2223" t="str" cm="1">
        <f t="array" ref="AH125">IF($D125&lt;COLUMNS($F$7:AH$7),"",INDEX(TableDiv[[GASB]:[GASB]],_xlfn.AGGREGATE(15,3,(TableDiv[[Agency]:[Agency]]=$E125)/(TableDiv[[Agency]:[Agency]]=$E125)*(ROW(TableDiv[Agency])-ROW(TableDiv[[#Headers],[Agency]])),COLUMNS($F$7:AH$7))))</f>
        <v/>
      </c>
      <c r="AI125" s="2223" t="str" cm="1">
        <f t="array" ref="AI125">IF($D125&lt;COLUMNS($F$7:AI$7),"",INDEX(TableDiv[[GASB]:[GASB]],_xlfn.AGGREGATE(15,3,(TableDiv[[Agency]:[Agency]]=$E125)/(TableDiv[[Agency]:[Agency]]=$E125)*(ROW(TableDiv[Agency])-ROW(TableDiv[[#Headers],[Agency]])),COLUMNS($F$7:AI$7))))</f>
        <v/>
      </c>
      <c r="AJ125" s="2223" t="str" cm="1">
        <f t="array" ref="AJ125">IF($D125&lt;COLUMNS($F$7:AJ$7),"",INDEX(TableDiv[[GASB]:[GASB]],_xlfn.AGGREGATE(15,3,(TableDiv[[Agency]:[Agency]]=$E125)/(TableDiv[[Agency]:[Agency]]=$E125)*(ROW(TableDiv[Agency])-ROW(TableDiv[[#Headers],[Agency]])),COLUMNS($F$7:AJ$7))))</f>
        <v/>
      </c>
      <c r="AK125" s="2223" t="str" cm="1">
        <f t="array" ref="AK125">IF($D125&lt;COLUMNS($F$7:AK$7),"",INDEX(TableDiv[[GASB]:[GASB]],_xlfn.AGGREGATE(15,3,(TableDiv[[Agency]:[Agency]]=$E125)/(TableDiv[[Agency]:[Agency]]=$E125)*(ROW(TableDiv[Agency])-ROW(TableDiv[[#Headers],[Agency]])),COLUMNS($F$7:AK$7))))</f>
        <v/>
      </c>
      <c r="AL125" s="2223" t="str" cm="1">
        <f t="array" ref="AL125">IF($D125&lt;COLUMNS($F$7:AL$7),"",INDEX(TableDiv[[GASB]:[GASB]],_xlfn.AGGREGATE(15,3,(TableDiv[[Agency]:[Agency]]=$E125)/(TableDiv[[Agency]:[Agency]]=$E125)*(ROW(TableDiv[Agency])-ROW(TableDiv[[#Headers],[Agency]])),COLUMNS($F$7:AL$7))))</f>
        <v/>
      </c>
      <c r="AM125" s="2223" t="str" cm="1">
        <f t="array" ref="AM125">IF($D125&lt;COLUMNS($F$7:AM$7),"",INDEX(TableDiv[[GASB]:[GASB]],_xlfn.AGGREGATE(15,3,(TableDiv[[Agency]:[Agency]]=$E125)/(TableDiv[[Agency]:[Agency]]=$E125)*(ROW(TableDiv[Agency])-ROW(TableDiv[[#Headers],[Agency]])),COLUMNS($F$7:AM$7))))</f>
        <v/>
      </c>
      <c r="AN125" s="2223"/>
      <c r="AO125" s="2223"/>
      <c r="AP125" s="2223"/>
      <c r="AQ125" s="2223"/>
      <c r="AR125" s="2223"/>
      <c r="AS125" s="2223"/>
    </row>
    <row r="126" spans="1:45" ht="15" x14ac:dyDescent="0.25">
      <c r="A126" s="2219" t="s">
        <v>1877</v>
      </c>
      <c r="B126" s="2219" t="s">
        <v>6425</v>
      </c>
      <c r="C126" s="2223"/>
      <c r="D126" s="2223">
        <f>COUNTIF(TableDiv[Agency],E126)</f>
        <v>1</v>
      </c>
      <c r="E126" s="2230" t="str" cm="1">
        <f t="array" ref="E126">IFERROR(INDEX(TableDiv[Agency],MATCH(0,INDEX(COUNTIF($E$7:E125,TableDiv[Agency]),),0)),"")</f>
        <v>DPF</v>
      </c>
      <c r="F126" s="2223" t="str" cm="1">
        <f t="array" ref="F126">IF($D126&lt;COLUMNS($F$7:F$7),"",INDEX(TableDiv[[GASB]:[GASB]],_xlfn.AGGREGATE(15,3,(TableDiv[[Agency]:[Agency]]=$E126)/(TableDiv[[Agency]:[Agency]]=$E126)*(ROW(TableDiv[Agency])-ROW(TableDiv[[#Headers],[Agency]])),COLUMNS($F$7:F$7))))</f>
        <v>48200G</v>
      </c>
      <c r="G126" s="2223" t="str" cm="1">
        <f t="array" ref="G126">IF($D126&lt;COLUMNS($F$7:G$7),"",INDEX(TableDiv[[GASB]:[GASB]],_xlfn.AGGREGATE(15,3,(TableDiv[[Agency]:[Agency]]=$E126)/(TableDiv[[Agency]:[Agency]]=$E126)*(ROW(TableDiv[Agency])-ROW(TableDiv[[#Headers],[Agency]])),COLUMNS($F$7:G$7))))</f>
        <v/>
      </c>
      <c r="H126" s="2223" t="str" cm="1">
        <f t="array" ref="H126">IF($D126&lt;COLUMNS($F$7:H$7),"",INDEX(TableDiv[[GASB]:[GASB]],_xlfn.AGGREGATE(15,3,(TableDiv[[Agency]:[Agency]]=$E126)/(TableDiv[[Agency]:[Agency]]=$E126)*(ROW(TableDiv[Agency])-ROW(TableDiv[[#Headers],[Agency]])),COLUMNS($F$7:H$7))))</f>
        <v/>
      </c>
      <c r="I126" s="2223" t="str" cm="1">
        <f t="array" ref="I126">IF($D126&lt;COLUMNS($F$7:I$7),"",INDEX(TableDiv[[GASB]:[GASB]],_xlfn.AGGREGATE(15,3,(TableDiv[[Agency]:[Agency]]=$E126)/(TableDiv[[Agency]:[Agency]]=$E126)*(ROW(TableDiv[Agency])-ROW(TableDiv[[#Headers],[Agency]])),COLUMNS($F$7:I$7))))</f>
        <v/>
      </c>
      <c r="J126" s="2223" t="str" cm="1">
        <f t="array" ref="J126">IF($D126&lt;COLUMNS($F$7:J$7),"",INDEX(TableDiv[[GASB]:[GASB]],_xlfn.AGGREGATE(15,3,(TableDiv[[Agency]:[Agency]]=$E126)/(TableDiv[[Agency]:[Agency]]=$E126)*(ROW(TableDiv[Agency])-ROW(TableDiv[[#Headers],[Agency]])),COLUMNS($F$7:J$7))))</f>
        <v/>
      </c>
      <c r="K126" s="2223" t="str" cm="1">
        <f t="array" ref="K126">IF($D126&lt;COLUMNS($F$7:K$7),"",INDEX(TableDiv[[GASB]:[GASB]],_xlfn.AGGREGATE(15,3,(TableDiv[[Agency]:[Agency]]=$E126)/(TableDiv[[Agency]:[Agency]]=$E126)*(ROW(TableDiv[Agency])-ROW(TableDiv[[#Headers],[Agency]])),COLUMNS($F$7:K$7))))</f>
        <v/>
      </c>
      <c r="L126" s="2223" t="str" cm="1">
        <f t="array" ref="L126">IF($D126&lt;COLUMNS($F$7:L$7),"",INDEX(TableDiv[[GASB]:[GASB]],_xlfn.AGGREGATE(15,3,(TableDiv[[Agency]:[Agency]]=$E126)/(TableDiv[[Agency]:[Agency]]=$E126)*(ROW(TableDiv[Agency])-ROW(TableDiv[[#Headers],[Agency]])),COLUMNS($F$7:L$7))))</f>
        <v/>
      </c>
      <c r="M126" s="2223" t="str" cm="1">
        <f t="array" ref="M126">IF($D126&lt;COLUMNS($F$7:M$7),"",INDEX(TableDiv[[GASB]:[GASB]],_xlfn.AGGREGATE(15,3,(TableDiv[[Agency]:[Agency]]=$E126)/(TableDiv[[Agency]:[Agency]]=$E126)*(ROW(TableDiv[Agency])-ROW(TableDiv[[#Headers],[Agency]])),COLUMNS($F$7:M$7))))</f>
        <v/>
      </c>
      <c r="N126" s="2223" t="str" cm="1">
        <f t="array" ref="N126">IF($D126&lt;COLUMNS($F$7:N$7),"",INDEX(TableDiv[[GASB]:[GASB]],_xlfn.AGGREGATE(15,3,(TableDiv[[Agency]:[Agency]]=$E126)/(TableDiv[[Agency]:[Agency]]=$E126)*(ROW(TableDiv[Agency])-ROW(TableDiv[[#Headers],[Agency]])),COLUMNS($F$7:N$7))))</f>
        <v/>
      </c>
      <c r="O126" s="2223" t="str" cm="1">
        <f t="array" ref="O126">IF($D126&lt;COLUMNS($F$7:O$7),"",INDEX(TableDiv[[GASB]:[GASB]],_xlfn.AGGREGATE(15,3,(TableDiv[[Agency]:[Agency]]=$E126)/(TableDiv[[Agency]:[Agency]]=$E126)*(ROW(TableDiv[Agency])-ROW(TableDiv[[#Headers],[Agency]])),COLUMNS($F$7:O$7))))</f>
        <v/>
      </c>
      <c r="P126" s="2223" t="str" cm="1">
        <f t="array" ref="P126">IF($D126&lt;COLUMNS($F$7:P$7),"",INDEX(TableDiv[[GASB]:[GASB]],_xlfn.AGGREGATE(15,3,(TableDiv[[Agency]:[Agency]]=$E126)/(TableDiv[[Agency]:[Agency]]=$E126)*(ROW(TableDiv[Agency])-ROW(TableDiv[[#Headers],[Agency]])),COLUMNS($F$7:P$7))))</f>
        <v/>
      </c>
      <c r="Q126" s="2223" t="str" cm="1">
        <f t="array" ref="Q126">IF($D126&lt;COLUMNS($F$7:Q$7),"",INDEX(TableDiv[[GASB]:[GASB]],_xlfn.AGGREGATE(15,3,(TableDiv[[Agency]:[Agency]]=$E126)/(TableDiv[[Agency]:[Agency]]=$E126)*(ROW(TableDiv[Agency])-ROW(TableDiv[[#Headers],[Agency]])),COLUMNS($F$7:Q$7))))</f>
        <v/>
      </c>
      <c r="R126" s="2223" t="str" cm="1">
        <f t="array" ref="R126">IF($D126&lt;COLUMNS($F$7:R$7),"",INDEX(TableDiv[[GASB]:[GASB]],_xlfn.AGGREGATE(15,3,(TableDiv[[Agency]:[Agency]]=$E126)/(TableDiv[[Agency]:[Agency]]=$E126)*(ROW(TableDiv[Agency])-ROW(TableDiv[[#Headers],[Agency]])),COLUMNS($F$7:R$7))))</f>
        <v/>
      </c>
      <c r="S126" s="2223" t="str" cm="1">
        <f t="array" ref="S126">IF($D126&lt;COLUMNS($F$7:S$7),"",INDEX(TableDiv[[GASB]:[GASB]],_xlfn.AGGREGATE(15,3,(TableDiv[[Agency]:[Agency]]=$E126)/(TableDiv[[Agency]:[Agency]]=$E126)*(ROW(TableDiv[Agency])-ROW(TableDiv[[#Headers],[Agency]])),COLUMNS($F$7:S$7))))</f>
        <v/>
      </c>
      <c r="T126" s="2223" t="str" cm="1">
        <f t="array" ref="T126">IF($D126&lt;COLUMNS($F$7:T$7),"",INDEX(TableDiv[[GASB]:[GASB]],_xlfn.AGGREGATE(15,3,(TableDiv[[Agency]:[Agency]]=$E126)/(TableDiv[[Agency]:[Agency]]=$E126)*(ROW(TableDiv[Agency])-ROW(TableDiv[[#Headers],[Agency]])),COLUMNS($F$7:T$7))))</f>
        <v/>
      </c>
      <c r="U126" s="2223" t="str" cm="1">
        <f t="array" ref="U126">IF($D126&lt;COLUMNS($F$7:U$7),"",INDEX(TableDiv[[GASB]:[GASB]],_xlfn.AGGREGATE(15,3,(TableDiv[[Agency]:[Agency]]=$E126)/(TableDiv[[Agency]:[Agency]]=$E126)*(ROW(TableDiv[Agency])-ROW(TableDiv[[#Headers],[Agency]])),COLUMNS($F$7:U$7))))</f>
        <v/>
      </c>
      <c r="V126" s="2223" t="str" cm="1">
        <f t="array" ref="V126">IF($D126&lt;COLUMNS($F$7:V$7),"",INDEX(TableDiv[[GASB]:[GASB]],_xlfn.AGGREGATE(15,3,(TableDiv[[Agency]:[Agency]]=$E126)/(TableDiv[[Agency]:[Agency]]=$E126)*(ROW(TableDiv[Agency])-ROW(TableDiv[[#Headers],[Agency]])),COLUMNS($F$7:V$7))))</f>
        <v/>
      </c>
      <c r="W126" s="2223" t="str" cm="1">
        <f t="array" ref="W126">IF($D126&lt;COLUMNS($F$7:W$7),"",INDEX(TableDiv[[GASB]:[GASB]],_xlfn.AGGREGATE(15,3,(TableDiv[[Agency]:[Agency]]=$E126)/(TableDiv[[Agency]:[Agency]]=$E126)*(ROW(TableDiv[Agency])-ROW(TableDiv[[#Headers],[Agency]])),COLUMNS($F$7:W$7))))</f>
        <v/>
      </c>
      <c r="X126" s="2223" t="str" cm="1">
        <f t="array" ref="X126">IF($D126&lt;COLUMNS($F$7:X$7),"",INDEX(TableDiv[[GASB]:[GASB]],_xlfn.AGGREGATE(15,3,(TableDiv[[Agency]:[Agency]]=$E126)/(TableDiv[[Agency]:[Agency]]=$E126)*(ROW(TableDiv[Agency])-ROW(TableDiv[[#Headers],[Agency]])),COLUMNS($F$7:X$7))))</f>
        <v/>
      </c>
      <c r="Y126" s="2223" t="str" cm="1">
        <f t="array" ref="Y126">IF($D126&lt;COLUMNS($F$7:Y$7),"",INDEX(TableDiv[[GASB]:[GASB]],_xlfn.AGGREGATE(15,3,(TableDiv[[Agency]:[Agency]]=$E126)/(TableDiv[[Agency]:[Agency]]=$E126)*(ROW(TableDiv[Agency])-ROW(TableDiv[[#Headers],[Agency]])),COLUMNS($F$7:Y$7))))</f>
        <v/>
      </c>
      <c r="Z126" s="2223" t="str" cm="1">
        <f t="array" ref="Z126">IF($D126&lt;COLUMNS($F$7:Z$7),"",INDEX(TableDiv[[GASB]:[GASB]],_xlfn.AGGREGATE(15,3,(TableDiv[[Agency]:[Agency]]=$E126)/(TableDiv[[Agency]:[Agency]]=$E126)*(ROW(TableDiv[Agency])-ROW(TableDiv[[#Headers],[Agency]])),COLUMNS($F$7:Z$7))))</f>
        <v/>
      </c>
      <c r="AA126" s="2223" t="str" cm="1">
        <f t="array" ref="AA126">IF($D126&lt;COLUMNS($F$7:AA$7),"",INDEX(TableDiv[[GASB]:[GASB]],_xlfn.AGGREGATE(15,3,(TableDiv[[Agency]:[Agency]]=$E126)/(TableDiv[[Agency]:[Agency]]=$E126)*(ROW(TableDiv[Agency])-ROW(TableDiv[[#Headers],[Agency]])),COLUMNS($F$7:AA$7))))</f>
        <v/>
      </c>
      <c r="AB126" s="2223" t="str" cm="1">
        <f t="array" ref="AB126">IF($D126&lt;COLUMNS($F$7:AB$7),"",INDEX(TableDiv[[GASB]:[GASB]],_xlfn.AGGREGATE(15,3,(TableDiv[[Agency]:[Agency]]=$E126)/(TableDiv[[Agency]:[Agency]]=$E126)*(ROW(TableDiv[Agency])-ROW(TableDiv[[#Headers],[Agency]])),COLUMNS($F$7:AB$7))))</f>
        <v/>
      </c>
      <c r="AC126" s="2223" t="str" cm="1">
        <f t="array" ref="AC126">IF($D126&lt;COLUMNS($F$7:AC$7),"",INDEX(TableDiv[[GASB]:[GASB]],_xlfn.AGGREGATE(15,3,(TableDiv[[Agency]:[Agency]]=$E126)/(TableDiv[[Agency]:[Agency]]=$E126)*(ROW(TableDiv[Agency])-ROW(TableDiv[[#Headers],[Agency]])),COLUMNS($F$7:AC$7))))</f>
        <v/>
      </c>
      <c r="AD126" s="2223" t="str" cm="1">
        <f t="array" ref="AD126">IF($D126&lt;COLUMNS($F$7:AD$7),"",INDEX(TableDiv[[GASB]:[GASB]],_xlfn.AGGREGATE(15,3,(TableDiv[[Agency]:[Agency]]=$E126)/(TableDiv[[Agency]:[Agency]]=$E126)*(ROW(TableDiv[Agency])-ROW(TableDiv[[#Headers],[Agency]])),COLUMNS($F$7:AD$7))))</f>
        <v/>
      </c>
      <c r="AE126" s="2223" t="str" cm="1">
        <f t="array" ref="AE126">IF($D126&lt;COLUMNS($F$7:AE$7),"",INDEX(TableDiv[[GASB]:[GASB]],_xlfn.AGGREGATE(15,3,(TableDiv[[Agency]:[Agency]]=$E126)/(TableDiv[[Agency]:[Agency]]=$E126)*(ROW(TableDiv[Agency])-ROW(TableDiv[[#Headers],[Agency]])),COLUMNS($F$7:AE$7))))</f>
        <v/>
      </c>
      <c r="AF126" s="2223" t="str" cm="1">
        <f t="array" ref="AF126">IF($D126&lt;COLUMNS($F$7:AF$7),"",INDEX(TableDiv[[GASB]:[GASB]],_xlfn.AGGREGATE(15,3,(TableDiv[[Agency]:[Agency]]=$E126)/(TableDiv[[Agency]:[Agency]]=$E126)*(ROW(TableDiv[Agency])-ROW(TableDiv[[#Headers],[Agency]])),COLUMNS($F$7:AF$7))))</f>
        <v/>
      </c>
      <c r="AG126" s="2223" t="str" cm="1">
        <f t="array" ref="AG126">IF($D126&lt;COLUMNS($F$7:AG$7),"",INDEX(TableDiv[[GASB]:[GASB]],_xlfn.AGGREGATE(15,3,(TableDiv[[Agency]:[Agency]]=$E126)/(TableDiv[[Agency]:[Agency]]=$E126)*(ROW(TableDiv[Agency])-ROW(TableDiv[[#Headers],[Agency]])),COLUMNS($F$7:AG$7))))</f>
        <v/>
      </c>
      <c r="AH126" s="2223" t="str" cm="1">
        <f t="array" ref="AH126">IF($D126&lt;COLUMNS($F$7:AH$7),"",INDEX(TableDiv[[GASB]:[GASB]],_xlfn.AGGREGATE(15,3,(TableDiv[[Agency]:[Agency]]=$E126)/(TableDiv[[Agency]:[Agency]]=$E126)*(ROW(TableDiv[Agency])-ROW(TableDiv[[#Headers],[Agency]])),COLUMNS($F$7:AH$7))))</f>
        <v/>
      </c>
      <c r="AI126" s="2223" t="str" cm="1">
        <f t="array" ref="AI126">IF($D126&lt;COLUMNS($F$7:AI$7),"",INDEX(TableDiv[[GASB]:[GASB]],_xlfn.AGGREGATE(15,3,(TableDiv[[Agency]:[Agency]]=$E126)/(TableDiv[[Agency]:[Agency]]=$E126)*(ROW(TableDiv[Agency])-ROW(TableDiv[[#Headers],[Agency]])),COLUMNS($F$7:AI$7))))</f>
        <v/>
      </c>
      <c r="AJ126" s="2223" t="str" cm="1">
        <f t="array" ref="AJ126">IF($D126&lt;COLUMNS($F$7:AJ$7),"",INDEX(TableDiv[[GASB]:[GASB]],_xlfn.AGGREGATE(15,3,(TableDiv[[Agency]:[Agency]]=$E126)/(TableDiv[[Agency]:[Agency]]=$E126)*(ROW(TableDiv[Agency])-ROW(TableDiv[[#Headers],[Agency]])),COLUMNS($F$7:AJ$7))))</f>
        <v/>
      </c>
      <c r="AK126" s="2223" t="str" cm="1">
        <f t="array" ref="AK126">IF($D126&lt;COLUMNS($F$7:AK$7),"",INDEX(TableDiv[[GASB]:[GASB]],_xlfn.AGGREGATE(15,3,(TableDiv[[Agency]:[Agency]]=$E126)/(TableDiv[[Agency]:[Agency]]=$E126)*(ROW(TableDiv[Agency])-ROW(TableDiv[[#Headers],[Agency]])),COLUMNS($F$7:AK$7))))</f>
        <v/>
      </c>
      <c r="AL126" s="2223" t="str" cm="1">
        <f t="array" ref="AL126">IF($D126&lt;COLUMNS($F$7:AL$7),"",INDEX(TableDiv[[GASB]:[GASB]],_xlfn.AGGREGATE(15,3,(TableDiv[[Agency]:[Agency]]=$E126)/(TableDiv[[Agency]:[Agency]]=$E126)*(ROW(TableDiv[Agency])-ROW(TableDiv[[#Headers],[Agency]])),COLUMNS($F$7:AL$7))))</f>
        <v/>
      </c>
      <c r="AM126" s="2223" t="str" cm="1">
        <f t="array" ref="AM126">IF($D126&lt;COLUMNS($F$7:AM$7),"",INDEX(TableDiv[[GASB]:[GASB]],_xlfn.AGGREGATE(15,3,(TableDiv[[Agency]:[Agency]]=$E126)/(TableDiv[[Agency]:[Agency]]=$E126)*(ROW(TableDiv[Agency])-ROW(TableDiv[[#Headers],[Agency]])),COLUMNS($F$7:AM$7))))</f>
        <v/>
      </c>
      <c r="AN126" s="2223"/>
      <c r="AO126" s="2223"/>
      <c r="AP126" s="2223"/>
      <c r="AQ126" s="2223"/>
      <c r="AR126" s="2223"/>
      <c r="AS126" s="2223"/>
    </row>
    <row r="127" spans="1:45" ht="15" x14ac:dyDescent="0.25">
      <c r="A127" s="2219" t="s">
        <v>5109</v>
      </c>
      <c r="B127" s="2219" t="s">
        <v>6357</v>
      </c>
      <c r="C127" s="2223"/>
      <c r="D127" s="2223">
        <f>COUNTIF(TableDiv[Agency],E127)</f>
        <v>1</v>
      </c>
      <c r="E127" s="2230" t="str" cm="1">
        <f t="array" ref="E127">IFERROR(INDEX(TableDiv[Agency],MATCH(0,INDEX(COUNTIF($E$7:E126,TableDiv[Agency]),),0)),"")</f>
        <v>C0F</v>
      </c>
      <c r="F127" s="2223" t="str" cm="1">
        <f t="array" ref="F127">IF($D127&lt;COLUMNS($F$7:F$7),"",INDEX(TableDiv[[GASB]:[GASB]],_xlfn.AGGREGATE(15,3,(TableDiv[[Agency]:[Agency]]=$E127)/(TableDiv[[Agency]:[Agency]]=$E127)*(ROW(TableDiv[Agency])-ROW(TableDiv[[#Headers],[Agency]])),COLUMNS($F$7:F$7))))</f>
        <v>48200G</v>
      </c>
      <c r="G127" s="2223" t="str" cm="1">
        <f t="array" ref="G127">IF($D127&lt;COLUMNS($F$7:G$7),"",INDEX(TableDiv[[GASB]:[GASB]],_xlfn.AGGREGATE(15,3,(TableDiv[[Agency]:[Agency]]=$E127)/(TableDiv[[Agency]:[Agency]]=$E127)*(ROW(TableDiv[Agency])-ROW(TableDiv[[#Headers],[Agency]])),COLUMNS($F$7:G$7))))</f>
        <v/>
      </c>
      <c r="H127" s="2223" t="str" cm="1">
        <f t="array" ref="H127">IF($D127&lt;COLUMNS($F$7:H$7),"",INDEX(TableDiv[[GASB]:[GASB]],_xlfn.AGGREGATE(15,3,(TableDiv[[Agency]:[Agency]]=$E127)/(TableDiv[[Agency]:[Agency]]=$E127)*(ROW(TableDiv[Agency])-ROW(TableDiv[[#Headers],[Agency]])),COLUMNS($F$7:H$7))))</f>
        <v/>
      </c>
      <c r="I127" s="2223" t="str" cm="1">
        <f t="array" ref="I127">IF($D127&lt;COLUMNS($F$7:I$7),"",INDEX(TableDiv[[GASB]:[GASB]],_xlfn.AGGREGATE(15,3,(TableDiv[[Agency]:[Agency]]=$E127)/(TableDiv[[Agency]:[Agency]]=$E127)*(ROW(TableDiv[Agency])-ROW(TableDiv[[#Headers],[Agency]])),COLUMNS($F$7:I$7))))</f>
        <v/>
      </c>
      <c r="J127" s="2223" t="str" cm="1">
        <f t="array" ref="J127">IF($D127&lt;COLUMNS($F$7:J$7),"",INDEX(TableDiv[[GASB]:[GASB]],_xlfn.AGGREGATE(15,3,(TableDiv[[Agency]:[Agency]]=$E127)/(TableDiv[[Agency]:[Agency]]=$E127)*(ROW(TableDiv[Agency])-ROW(TableDiv[[#Headers],[Agency]])),COLUMNS($F$7:J$7))))</f>
        <v/>
      </c>
      <c r="K127" s="2223" t="str" cm="1">
        <f t="array" ref="K127">IF($D127&lt;COLUMNS($F$7:K$7),"",INDEX(TableDiv[[GASB]:[GASB]],_xlfn.AGGREGATE(15,3,(TableDiv[[Agency]:[Agency]]=$E127)/(TableDiv[[Agency]:[Agency]]=$E127)*(ROW(TableDiv[Agency])-ROW(TableDiv[[#Headers],[Agency]])),COLUMNS($F$7:K$7))))</f>
        <v/>
      </c>
      <c r="L127" s="2223" t="str" cm="1">
        <f t="array" ref="L127">IF($D127&lt;COLUMNS($F$7:L$7),"",INDEX(TableDiv[[GASB]:[GASB]],_xlfn.AGGREGATE(15,3,(TableDiv[[Agency]:[Agency]]=$E127)/(TableDiv[[Agency]:[Agency]]=$E127)*(ROW(TableDiv[Agency])-ROW(TableDiv[[#Headers],[Agency]])),COLUMNS($F$7:L$7))))</f>
        <v/>
      </c>
      <c r="M127" s="2223" t="str" cm="1">
        <f t="array" ref="M127">IF($D127&lt;COLUMNS($F$7:M$7),"",INDEX(TableDiv[[GASB]:[GASB]],_xlfn.AGGREGATE(15,3,(TableDiv[[Agency]:[Agency]]=$E127)/(TableDiv[[Agency]:[Agency]]=$E127)*(ROW(TableDiv[Agency])-ROW(TableDiv[[#Headers],[Agency]])),COLUMNS($F$7:M$7))))</f>
        <v/>
      </c>
      <c r="N127" s="2223" t="str" cm="1">
        <f t="array" ref="N127">IF($D127&lt;COLUMNS($F$7:N$7),"",INDEX(TableDiv[[GASB]:[GASB]],_xlfn.AGGREGATE(15,3,(TableDiv[[Agency]:[Agency]]=$E127)/(TableDiv[[Agency]:[Agency]]=$E127)*(ROW(TableDiv[Agency])-ROW(TableDiv[[#Headers],[Agency]])),COLUMNS($F$7:N$7))))</f>
        <v/>
      </c>
      <c r="O127" s="2223" t="str" cm="1">
        <f t="array" ref="O127">IF($D127&lt;COLUMNS($F$7:O$7),"",INDEX(TableDiv[[GASB]:[GASB]],_xlfn.AGGREGATE(15,3,(TableDiv[[Agency]:[Agency]]=$E127)/(TableDiv[[Agency]:[Agency]]=$E127)*(ROW(TableDiv[Agency])-ROW(TableDiv[[#Headers],[Agency]])),COLUMNS($F$7:O$7))))</f>
        <v/>
      </c>
      <c r="P127" s="2223" t="str" cm="1">
        <f t="array" ref="P127">IF($D127&lt;COLUMNS($F$7:P$7),"",INDEX(TableDiv[[GASB]:[GASB]],_xlfn.AGGREGATE(15,3,(TableDiv[[Agency]:[Agency]]=$E127)/(TableDiv[[Agency]:[Agency]]=$E127)*(ROW(TableDiv[Agency])-ROW(TableDiv[[#Headers],[Agency]])),COLUMNS($F$7:P$7))))</f>
        <v/>
      </c>
      <c r="Q127" s="2223" t="str" cm="1">
        <f t="array" ref="Q127">IF($D127&lt;COLUMNS($F$7:Q$7),"",INDEX(TableDiv[[GASB]:[GASB]],_xlfn.AGGREGATE(15,3,(TableDiv[[Agency]:[Agency]]=$E127)/(TableDiv[[Agency]:[Agency]]=$E127)*(ROW(TableDiv[Agency])-ROW(TableDiv[[#Headers],[Agency]])),COLUMNS($F$7:Q$7))))</f>
        <v/>
      </c>
      <c r="R127" s="2223" t="str" cm="1">
        <f t="array" ref="R127">IF($D127&lt;COLUMNS($F$7:R$7),"",INDEX(TableDiv[[GASB]:[GASB]],_xlfn.AGGREGATE(15,3,(TableDiv[[Agency]:[Agency]]=$E127)/(TableDiv[[Agency]:[Agency]]=$E127)*(ROW(TableDiv[Agency])-ROW(TableDiv[[#Headers],[Agency]])),COLUMNS($F$7:R$7))))</f>
        <v/>
      </c>
      <c r="S127" s="2223" t="str" cm="1">
        <f t="array" ref="S127">IF($D127&lt;COLUMNS($F$7:S$7),"",INDEX(TableDiv[[GASB]:[GASB]],_xlfn.AGGREGATE(15,3,(TableDiv[[Agency]:[Agency]]=$E127)/(TableDiv[[Agency]:[Agency]]=$E127)*(ROW(TableDiv[Agency])-ROW(TableDiv[[#Headers],[Agency]])),COLUMNS($F$7:S$7))))</f>
        <v/>
      </c>
      <c r="T127" s="2223" t="str" cm="1">
        <f t="array" ref="T127">IF($D127&lt;COLUMNS($F$7:T$7),"",INDEX(TableDiv[[GASB]:[GASB]],_xlfn.AGGREGATE(15,3,(TableDiv[[Agency]:[Agency]]=$E127)/(TableDiv[[Agency]:[Agency]]=$E127)*(ROW(TableDiv[Agency])-ROW(TableDiv[[#Headers],[Agency]])),COLUMNS($F$7:T$7))))</f>
        <v/>
      </c>
      <c r="U127" s="2223" t="str" cm="1">
        <f t="array" ref="U127">IF($D127&lt;COLUMNS($F$7:U$7),"",INDEX(TableDiv[[GASB]:[GASB]],_xlfn.AGGREGATE(15,3,(TableDiv[[Agency]:[Agency]]=$E127)/(TableDiv[[Agency]:[Agency]]=$E127)*(ROW(TableDiv[Agency])-ROW(TableDiv[[#Headers],[Agency]])),COLUMNS($F$7:U$7))))</f>
        <v/>
      </c>
      <c r="V127" s="2223" t="str" cm="1">
        <f t="array" ref="V127">IF($D127&lt;COLUMNS($F$7:V$7),"",INDEX(TableDiv[[GASB]:[GASB]],_xlfn.AGGREGATE(15,3,(TableDiv[[Agency]:[Agency]]=$E127)/(TableDiv[[Agency]:[Agency]]=$E127)*(ROW(TableDiv[Agency])-ROW(TableDiv[[#Headers],[Agency]])),COLUMNS($F$7:V$7))))</f>
        <v/>
      </c>
      <c r="W127" s="2223" t="str" cm="1">
        <f t="array" ref="W127">IF($D127&lt;COLUMNS($F$7:W$7),"",INDEX(TableDiv[[GASB]:[GASB]],_xlfn.AGGREGATE(15,3,(TableDiv[[Agency]:[Agency]]=$E127)/(TableDiv[[Agency]:[Agency]]=$E127)*(ROW(TableDiv[Agency])-ROW(TableDiv[[#Headers],[Agency]])),COLUMNS($F$7:W$7))))</f>
        <v/>
      </c>
      <c r="X127" s="2223" t="str" cm="1">
        <f t="array" ref="X127">IF($D127&lt;COLUMNS($F$7:X$7),"",INDEX(TableDiv[[GASB]:[GASB]],_xlfn.AGGREGATE(15,3,(TableDiv[[Agency]:[Agency]]=$E127)/(TableDiv[[Agency]:[Agency]]=$E127)*(ROW(TableDiv[Agency])-ROW(TableDiv[[#Headers],[Agency]])),COLUMNS($F$7:X$7))))</f>
        <v/>
      </c>
      <c r="Y127" s="2223" t="str" cm="1">
        <f t="array" ref="Y127">IF($D127&lt;COLUMNS($F$7:Y$7),"",INDEX(TableDiv[[GASB]:[GASB]],_xlfn.AGGREGATE(15,3,(TableDiv[[Agency]:[Agency]]=$E127)/(TableDiv[[Agency]:[Agency]]=$E127)*(ROW(TableDiv[Agency])-ROW(TableDiv[[#Headers],[Agency]])),COLUMNS($F$7:Y$7))))</f>
        <v/>
      </c>
      <c r="Z127" s="2223" t="str" cm="1">
        <f t="array" ref="Z127">IF($D127&lt;COLUMNS($F$7:Z$7),"",INDEX(TableDiv[[GASB]:[GASB]],_xlfn.AGGREGATE(15,3,(TableDiv[[Agency]:[Agency]]=$E127)/(TableDiv[[Agency]:[Agency]]=$E127)*(ROW(TableDiv[Agency])-ROW(TableDiv[[#Headers],[Agency]])),COLUMNS($F$7:Z$7))))</f>
        <v/>
      </c>
      <c r="AA127" s="2223" t="str" cm="1">
        <f t="array" ref="AA127">IF($D127&lt;COLUMNS($F$7:AA$7),"",INDEX(TableDiv[[GASB]:[GASB]],_xlfn.AGGREGATE(15,3,(TableDiv[[Agency]:[Agency]]=$E127)/(TableDiv[[Agency]:[Agency]]=$E127)*(ROW(TableDiv[Agency])-ROW(TableDiv[[#Headers],[Agency]])),COLUMNS($F$7:AA$7))))</f>
        <v/>
      </c>
      <c r="AB127" s="2223" t="str" cm="1">
        <f t="array" ref="AB127">IF($D127&lt;COLUMNS($F$7:AB$7),"",INDEX(TableDiv[[GASB]:[GASB]],_xlfn.AGGREGATE(15,3,(TableDiv[[Agency]:[Agency]]=$E127)/(TableDiv[[Agency]:[Agency]]=$E127)*(ROW(TableDiv[Agency])-ROW(TableDiv[[#Headers],[Agency]])),COLUMNS($F$7:AB$7))))</f>
        <v/>
      </c>
      <c r="AC127" s="2223" t="str" cm="1">
        <f t="array" ref="AC127">IF($D127&lt;COLUMNS($F$7:AC$7),"",INDEX(TableDiv[[GASB]:[GASB]],_xlfn.AGGREGATE(15,3,(TableDiv[[Agency]:[Agency]]=$E127)/(TableDiv[[Agency]:[Agency]]=$E127)*(ROW(TableDiv[Agency])-ROW(TableDiv[[#Headers],[Agency]])),COLUMNS($F$7:AC$7))))</f>
        <v/>
      </c>
      <c r="AD127" s="2223" t="str" cm="1">
        <f t="array" ref="AD127">IF($D127&lt;COLUMNS($F$7:AD$7),"",INDEX(TableDiv[[GASB]:[GASB]],_xlfn.AGGREGATE(15,3,(TableDiv[[Agency]:[Agency]]=$E127)/(TableDiv[[Agency]:[Agency]]=$E127)*(ROW(TableDiv[Agency])-ROW(TableDiv[[#Headers],[Agency]])),COLUMNS($F$7:AD$7))))</f>
        <v/>
      </c>
      <c r="AE127" s="2223" t="str" cm="1">
        <f t="array" ref="AE127">IF($D127&lt;COLUMNS($F$7:AE$7),"",INDEX(TableDiv[[GASB]:[GASB]],_xlfn.AGGREGATE(15,3,(TableDiv[[Agency]:[Agency]]=$E127)/(TableDiv[[Agency]:[Agency]]=$E127)*(ROW(TableDiv[Agency])-ROW(TableDiv[[#Headers],[Agency]])),COLUMNS($F$7:AE$7))))</f>
        <v/>
      </c>
      <c r="AF127" s="2223" t="str" cm="1">
        <f t="array" ref="AF127">IF($D127&lt;COLUMNS($F$7:AF$7),"",INDEX(TableDiv[[GASB]:[GASB]],_xlfn.AGGREGATE(15,3,(TableDiv[[Agency]:[Agency]]=$E127)/(TableDiv[[Agency]:[Agency]]=$E127)*(ROW(TableDiv[Agency])-ROW(TableDiv[[#Headers],[Agency]])),COLUMNS($F$7:AF$7))))</f>
        <v/>
      </c>
      <c r="AG127" s="2223" t="str" cm="1">
        <f t="array" ref="AG127">IF($D127&lt;COLUMNS($F$7:AG$7),"",INDEX(TableDiv[[GASB]:[GASB]],_xlfn.AGGREGATE(15,3,(TableDiv[[Agency]:[Agency]]=$E127)/(TableDiv[[Agency]:[Agency]]=$E127)*(ROW(TableDiv[Agency])-ROW(TableDiv[[#Headers],[Agency]])),COLUMNS($F$7:AG$7))))</f>
        <v/>
      </c>
      <c r="AH127" s="2223" t="str" cm="1">
        <f t="array" ref="AH127">IF($D127&lt;COLUMNS($F$7:AH$7),"",INDEX(TableDiv[[GASB]:[GASB]],_xlfn.AGGREGATE(15,3,(TableDiv[[Agency]:[Agency]]=$E127)/(TableDiv[[Agency]:[Agency]]=$E127)*(ROW(TableDiv[Agency])-ROW(TableDiv[[#Headers],[Agency]])),COLUMNS($F$7:AH$7))))</f>
        <v/>
      </c>
      <c r="AI127" s="2223" t="str" cm="1">
        <f t="array" ref="AI127">IF($D127&lt;COLUMNS($F$7:AI$7),"",INDEX(TableDiv[[GASB]:[GASB]],_xlfn.AGGREGATE(15,3,(TableDiv[[Agency]:[Agency]]=$E127)/(TableDiv[[Agency]:[Agency]]=$E127)*(ROW(TableDiv[Agency])-ROW(TableDiv[[#Headers],[Agency]])),COLUMNS($F$7:AI$7))))</f>
        <v/>
      </c>
      <c r="AJ127" s="2223" t="str" cm="1">
        <f t="array" ref="AJ127">IF($D127&lt;COLUMNS($F$7:AJ$7),"",INDEX(TableDiv[[GASB]:[GASB]],_xlfn.AGGREGATE(15,3,(TableDiv[[Agency]:[Agency]]=$E127)/(TableDiv[[Agency]:[Agency]]=$E127)*(ROW(TableDiv[Agency])-ROW(TableDiv[[#Headers],[Agency]])),COLUMNS($F$7:AJ$7))))</f>
        <v/>
      </c>
      <c r="AK127" s="2223" t="str" cm="1">
        <f t="array" ref="AK127">IF($D127&lt;COLUMNS($F$7:AK$7),"",INDEX(TableDiv[[GASB]:[GASB]],_xlfn.AGGREGATE(15,3,(TableDiv[[Agency]:[Agency]]=$E127)/(TableDiv[[Agency]:[Agency]]=$E127)*(ROW(TableDiv[Agency])-ROW(TableDiv[[#Headers],[Agency]])),COLUMNS($F$7:AK$7))))</f>
        <v/>
      </c>
      <c r="AL127" s="2223" t="str" cm="1">
        <f t="array" ref="AL127">IF($D127&lt;COLUMNS($F$7:AL$7),"",INDEX(TableDiv[[GASB]:[GASB]],_xlfn.AGGREGATE(15,3,(TableDiv[[Agency]:[Agency]]=$E127)/(TableDiv[[Agency]:[Agency]]=$E127)*(ROW(TableDiv[Agency])-ROW(TableDiv[[#Headers],[Agency]])),COLUMNS($F$7:AL$7))))</f>
        <v/>
      </c>
      <c r="AM127" s="2223" t="str" cm="1">
        <f t="array" ref="AM127">IF($D127&lt;COLUMNS($F$7:AM$7),"",INDEX(TableDiv[[GASB]:[GASB]],_xlfn.AGGREGATE(15,3,(TableDiv[[Agency]:[Agency]]=$E127)/(TableDiv[[Agency]:[Agency]]=$E127)*(ROW(TableDiv[Agency])-ROW(TableDiv[[#Headers],[Agency]])),COLUMNS($F$7:AM$7))))</f>
        <v/>
      </c>
      <c r="AN127" s="2223"/>
      <c r="AO127" s="2223"/>
      <c r="AP127" s="2223"/>
      <c r="AQ127" s="2223"/>
      <c r="AR127" s="2223"/>
      <c r="AS127" s="2223"/>
    </row>
    <row r="128" spans="1:45" ht="15" x14ac:dyDescent="0.25">
      <c r="A128" s="2219" t="s">
        <v>5109</v>
      </c>
      <c r="B128" s="2219" t="s">
        <v>1878</v>
      </c>
      <c r="C128" s="2223"/>
      <c r="D128" s="2223">
        <f>COUNTIF(TableDiv[Agency],E128)</f>
        <v>1</v>
      </c>
      <c r="E128" s="2230" t="str" cm="1">
        <f t="array" ref="E128">IFERROR(INDEX(TableDiv[Agency],MATCH(0,INDEX(COUNTIF($E$7:E127,TableDiv[Agency]),),0)),"")</f>
        <v>C2F</v>
      </c>
      <c r="F128" s="2223" t="str" cm="1">
        <f t="array" ref="F128">IF($D128&lt;COLUMNS($F$7:F$7),"",INDEX(TableDiv[[GASB]:[GASB]],_xlfn.AGGREGATE(15,3,(TableDiv[[Agency]:[Agency]]=$E128)/(TableDiv[[Agency]:[Agency]]=$E128)*(ROW(TableDiv[Agency])-ROW(TableDiv[[#Headers],[Agency]])),COLUMNS($F$7:F$7))))</f>
        <v>48200G</v>
      </c>
      <c r="G128" s="2223" t="str" cm="1">
        <f t="array" ref="G128">IF($D128&lt;COLUMNS($F$7:G$7),"",INDEX(TableDiv[[GASB]:[GASB]],_xlfn.AGGREGATE(15,3,(TableDiv[[Agency]:[Agency]]=$E128)/(TableDiv[[Agency]:[Agency]]=$E128)*(ROW(TableDiv[Agency])-ROW(TableDiv[[#Headers],[Agency]])),COLUMNS($F$7:G$7))))</f>
        <v/>
      </c>
      <c r="H128" s="2223" t="str" cm="1">
        <f t="array" ref="H128">IF($D128&lt;COLUMNS($F$7:H$7),"",INDEX(TableDiv[[GASB]:[GASB]],_xlfn.AGGREGATE(15,3,(TableDiv[[Agency]:[Agency]]=$E128)/(TableDiv[[Agency]:[Agency]]=$E128)*(ROW(TableDiv[Agency])-ROW(TableDiv[[#Headers],[Agency]])),COLUMNS($F$7:H$7))))</f>
        <v/>
      </c>
      <c r="I128" s="2223" t="str" cm="1">
        <f t="array" ref="I128">IF($D128&lt;COLUMNS($F$7:I$7),"",INDEX(TableDiv[[GASB]:[GASB]],_xlfn.AGGREGATE(15,3,(TableDiv[[Agency]:[Agency]]=$E128)/(TableDiv[[Agency]:[Agency]]=$E128)*(ROW(TableDiv[Agency])-ROW(TableDiv[[#Headers],[Agency]])),COLUMNS($F$7:I$7))))</f>
        <v/>
      </c>
      <c r="J128" s="2223" t="str" cm="1">
        <f t="array" ref="J128">IF($D128&lt;COLUMNS($F$7:J$7),"",INDEX(TableDiv[[GASB]:[GASB]],_xlfn.AGGREGATE(15,3,(TableDiv[[Agency]:[Agency]]=$E128)/(TableDiv[[Agency]:[Agency]]=$E128)*(ROW(TableDiv[Agency])-ROW(TableDiv[[#Headers],[Agency]])),COLUMNS($F$7:J$7))))</f>
        <v/>
      </c>
      <c r="K128" s="2223" t="str" cm="1">
        <f t="array" ref="K128">IF($D128&lt;COLUMNS($F$7:K$7),"",INDEX(TableDiv[[GASB]:[GASB]],_xlfn.AGGREGATE(15,3,(TableDiv[[Agency]:[Agency]]=$E128)/(TableDiv[[Agency]:[Agency]]=$E128)*(ROW(TableDiv[Agency])-ROW(TableDiv[[#Headers],[Agency]])),COLUMNS($F$7:K$7))))</f>
        <v/>
      </c>
      <c r="L128" s="2223" t="str" cm="1">
        <f t="array" ref="L128">IF($D128&lt;COLUMNS($F$7:L$7),"",INDEX(TableDiv[[GASB]:[GASB]],_xlfn.AGGREGATE(15,3,(TableDiv[[Agency]:[Agency]]=$E128)/(TableDiv[[Agency]:[Agency]]=$E128)*(ROW(TableDiv[Agency])-ROW(TableDiv[[#Headers],[Agency]])),COLUMNS($F$7:L$7))))</f>
        <v/>
      </c>
      <c r="M128" s="2223" t="str" cm="1">
        <f t="array" ref="M128">IF($D128&lt;COLUMNS($F$7:M$7),"",INDEX(TableDiv[[GASB]:[GASB]],_xlfn.AGGREGATE(15,3,(TableDiv[[Agency]:[Agency]]=$E128)/(TableDiv[[Agency]:[Agency]]=$E128)*(ROW(TableDiv[Agency])-ROW(TableDiv[[#Headers],[Agency]])),COLUMNS($F$7:M$7))))</f>
        <v/>
      </c>
      <c r="N128" s="2223" t="str" cm="1">
        <f t="array" ref="N128">IF($D128&lt;COLUMNS($F$7:N$7),"",INDEX(TableDiv[[GASB]:[GASB]],_xlfn.AGGREGATE(15,3,(TableDiv[[Agency]:[Agency]]=$E128)/(TableDiv[[Agency]:[Agency]]=$E128)*(ROW(TableDiv[Agency])-ROW(TableDiv[[#Headers],[Agency]])),COLUMNS($F$7:N$7))))</f>
        <v/>
      </c>
      <c r="O128" s="2223" t="str" cm="1">
        <f t="array" ref="O128">IF($D128&lt;COLUMNS($F$7:O$7),"",INDEX(TableDiv[[GASB]:[GASB]],_xlfn.AGGREGATE(15,3,(TableDiv[[Agency]:[Agency]]=$E128)/(TableDiv[[Agency]:[Agency]]=$E128)*(ROW(TableDiv[Agency])-ROW(TableDiv[[#Headers],[Agency]])),COLUMNS($F$7:O$7))))</f>
        <v/>
      </c>
      <c r="P128" s="2223" t="str" cm="1">
        <f t="array" ref="P128">IF($D128&lt;COLUMNS($F$7:P$7),"",INDEX(TableDiv[[GASB]:[GASB]],_xlfn.AGGREGATE(15,3,(TableDiv[[Agency]:[Agency]]=$E128)/(TableDiv[[Agency]:[Agency]]=$E128)*(ROW(TableDiv[Agency])-ROW(TableDiv[[#Headers],[Agency]])),COLUMNS($F$7:P$7))))</f>
        <v/>
      </c>
      <c r="Q128" s="2223" t="str" cm="1">
        <f t="array" ref="Q128">IF($D128&lt;COLUMNS($F$7:Q$7),"",INDEX(TableDiv[[GASB]:[GASB]],_xlfn.AGGREGATE(15,3,(TableDiv[[Agency]:[Agency]]=$E128)/(TableDiv[[Agency]:[Agency]]=$E128)*(ROW(TableDiv[Agency])-ROW(TableDiv[[#Headers],[Agency]])),COLUMNS($F$7:Q$7))))</f>
        <v/>
      </c>
      <c r="R128" s="2223" t="str" cm="1">
        <f t="array" ref="R128">IF($D128&lt;COLUMNS($F$7:R$7),"",INDEX(TableDiv[[GASB]:[GASB]],_xlfn.AGGREGATE(15,3,(TableDiv[[Agency]:[Agency]]=$E128)/(TableDiv[[Agency]:[Agency]]=$E128)*(ROW(TableDiv[Agency])-ROW(TableDiv[[#Headers],[Agency]])),COLUMNS($F$7:R$7))))</f>
        <v/>
      </c>
      <c r="S128" s="2223" t="str" cm="1">
        <f t="array" ref="S128">IF($D128&lt;COLUMNS($F$7:S$7),"",INDEX(TableDiv[[GASB]:[GASB]],_xlfn.AGGREGATE(15,3,(TableDiv[[Agency]:[Agency]]=$E128)/(TableDiv[[Agency]:[Agency]]=$E128)*(ROW(TableDiv[Agency])-ROW(TableDiv[[#Headers],[Agency]])),COLUMNS($F$7:S$7))))</f>
        <v/>
      </c>
      <c r="T128" s="2223" t="str" cm="1">
        <f t="array" ref="T128">IF($D128&lt;COLUMNS($F$7:T$7),"",INDEX(TableDiv[[GASB]:[GASB]],_xlfn.AGGREGATE(15,3,(TableDiv[[Agency]:[Agency]]=$E128)/(TableDiv[[Agency]:[Agency]]=$E128)*(ROW(TableDiv[Agency])-ROW(TableDiv[[#Headers],[Agency]])),COLUMNS($F$7:T$7))))</f>
        <v/>
      </c>
      <c r="U128" s="2223" t="str" cm="1">
        <f t="array" ref="U128">IF($D128&lt;COLUMNS($F$7:U$7),"",INDEX(TableDiv[[GASB]:[GASB]],_xlfn.AGGREGATE(15,3,(TableDiv[[Agency]:[Agency]]=$E128)/(TableDiv[[Agency]:[Agency]]=$E128)*(ROW(TableDiv[Agency])-ROW(TableDiv[[#Headers],[Agency]])),COLUMNS($F$7:U$7))))</f>
        <v/>
      </c>
      <c r="V128" s="2223" t="str" cm="1">
        <f t="array" ref="V128">IF($D128&lt;COLUMNS($F$7:V$7),"",INDEX(TableDiv[[GASB]:[GASB]],_xlfn.AGGREGATE(15,3,(TableDiv[[Agency]:[Agency]]=$E128)/(TableDiv[[Agency]:[Agency]]=$E128)*(ROW(TableDiv[Agency])-ROW(TableDiv[[#Headers],[Agency]])),COLUMNS($F$7:V$7))))</f>
        <v/>
      </c>
      <c r="W128" s="2223" t="str" cm="1">
        <f t="array" ref="W128">IF($D128&lt;COLUMNS($F$7:W$7),"",INDEX(TableDiv[[GASB]:[GASB]],_xlfn.AGGREGATE(15,3,(TableDiv[[Agency]:[Agency]]=$E128)/(TableDiv[[Agency]:[Agency]]=$E128)*(ROW(TableDiv[Agency])-ROW(TableDiv[[#Headers],[Agency]])),COLUMNS($F$7:W$7))))</f>
        <v/>
      </c>
      <c r="X128" s="2223" t="str" cm="1">
        <f t="array" ref="X128">IF($D128&lt;COLUMNS($F$7:X$7),"",INDEX(TableDiv[[GASB]:[GASB]],_xlfn.AGGREGATE(15,3,(TableDiv[[Agency]:[Agency]]=$E128)/(TableDiv[[Agency]:[Agency]]=$E128)*(ROW(TableDiv[Agency])-ROW(TableDiv[[#Headers],[Agency]])),COLUMNS($F$7:X$7))))</f>
        <v/>
      </c>
      <c r="Y128" s="2223" t="str" cm="1">
        <f t="array" ref="Y128">IF($D128&lt;COLUMNS($F$7:Y$7),"",INDEX(TableDiv[[GASB]:[GASB]],_xlfn.AGGREGATE(15,3,(TableDiv[[Agency]:[Agency]]=$E128)/(TableDiv[[Agency]:[Agency]]=$E128)*(ROW(TableDiv[Agency])-ROW(TableDiv[[#Headers],[Agency]])),COLUMNS($F$7:Y$7))))</f>
        <v/>
      </c>
      <c r="Z128" s="2223" t="str" cm="1">
        <f t="array" ref="Z128">IF($D128&lt;COLUMNS($F$7:Z$7),"",INDEX(TableDiv[[GASB]:[GASB]],_xlfn.AGGREGATE(15,3,(TableDiv[[Agency]:[Agency]]=$E128)/(TableDiv[[Agency]:[Agency]]=$E128)*(ROW(TableDiv[Agency])-ROW(TableDiv[[#Headers],[Agency]])),COLUMNS($F$7:Z$7))))</f>
        <v/>
      </c>
      <c r="AA128" s="2223" t="str" cm="1">
        <f t="array" ref="AA128">IF($D128&lt;COLUMNS($F$7:AA$7),"",INDEX(TableDiv[[GASB]:[GASB]],_xlfn.AGGREGATE(15,3,(TableDiv[[Agency]:[Agency]]=$E128)/(TableDiv[[Agency]:[Agency]]=$E128)*(ROW(TableDiv[Agency])-ROW(TableDiv[[#Headers],[Agency]])),COLUMNS($F$7:AA$7))))</f>
        <v/>
      </c>
      <c r="AB128" s="2223" t="str" cm="1">
        <f t="array" ref="AB128">IF($D128&lt;COLUMNS($F$7:AB$7),"",INDEX(TableDiv[[GASB]:[GASB]],_xlfn.AGGREGATE(15,3,(TableDiv[[Agency]:[Agency]]=$E128)/(TableDiv[[Agency]:[Agency]]=$E128)*(ROW(TableDiv[Agency])-ROW(TableDiv[[#Headers],[Agency]])),COLUMNS($F$7:AB$7))))</f>
        <v/>
      </c>
      <c r="AC128" s="2223" t="str" cm="1">
        <f t="array" ref="AC128">IF($D128&lt;COLUMNS($F$7:AC$7),"",INDEX(TableDiv[[GASB]:[GASB]],_xlfn.AGGREGATE(15,3,(TableDiv[[Agency]:[Agency]]=$E128)/(TableDiv[[Agency]:[Agency]]=$E128)*(ROW(TableDiv[Agency])-ROW(TableDiv[[#Headers],[Agency]])),COLUMNS($F$7:AC$7))))</f>
        <v/>
      </c>
      <c r="AD128" s="2223" t="str" cm="1">
        <f t="array" ref="AD128">IF($D128&lt;COLUMNS($F$7:AD$7),"",INDEX(TableDiv[[GASB]:[GASB]],_xlfn.AGGREGATE(15,3,(TableDiv[[Agency]:[Agency]]=$E128)/(TableDiv[[Agency]:[Agency]]=$E128)*(ROW(TableDiv[Agency])-ROW(TableDiv[[#Headers],[Agency]])),COLUMNS($F$7:AD$7))))</f>
        <v/>
      </c>
      <c r="AE128" s="2223" t="str" cm="1">
        <f t="array" ref="AE128">IF($D128&lt;COLUMNS($F$7:AE$7),"",INDEX(TableDiv[[GASB]:[GASB]],_xlfn.AGGREGATE(15,3,(TableDiv[[Agency]:[Agency]]=$E128)/(TableDiv[[Agency]:[Agency]]=$E128)*(ROW(TableDiv[Agency])-ROW(TableDiv[[#Headers],[Agency]])),COLUMNS($F$7:AE$7))))</f>
        <v/>
      </c>
      <c r="AF128" s="2223" t="str" cm="1">
        <f t="array" ref="AF128">IF($D128&lt;COLUMNS($F$7:AF$7),"",INDEX(TableDiv[[GASB]:[GASB]],_xlfn.AGGREGATE(15,3,(TableDiv[[Agency]:[Agency]]=$E128)/(TableDiv[[Agency]:[Agency]]=$E128)*(ROW(TableDiv[Agency])-ROW(TableDiv[[#Headers],[Agency]])),COLUMNS($F$7:AF$7))))</f>
        <v/>
      </c>
      <c r="AG128" s="2223" t="str" cm="1">
        <f t="array" ref="AG128">IF($D128&lt;COLUMNS($F$7:AG$7),"",INDEX(TableDiv[[GASB]:[GASB]],_xlfn.AGGREGATE(15,3,(TableDiv[[Agency]:[Agency]]=$E128)/(TableDiv[[Agency]:[Agency]]=$E128)*(ROW(TableDiv[Agency])-ROW(TableDiv[[#Headers],[Agency]])),COLUMNS($F$7:AG$7))))</f>
        <v/>
      </c>
      <c r="AH128" s="2223" t="str" cm="1">
        <f t="array" ref="AH128">IF($D128&lt;COLUMNS($F$7:AH$7),"",INDEX(TableDiv[[GASB]:[GASB]],_xlfn.AGGREGATE(15,3,(TableDiv[[Agency]:[Agency]]=$E128)/(TableDiv[[Agency]:[Agency]]=$E128)*(ROW(TableDiv[Agency])-ROW(TableDiv[[#Headers],[Agency]])),COLUMNS($F$7:AH$7))))</f>
        <v/>
      </c>
      <c r="AI128" s="2223" t="str" cm="1">
        <f t="array" ref="AI128">IF($D128&lt;COLUMNS($F$7:AI$7),"",INDEX(TableDiv[[GASB]:[GASB]],_xlfn.AGGREGATE(15,3,(TableDiv[[Agency]:[Agency]]=$E128)/(TableDiv[[Agency]:[Agency]]=$E128)*(ROW(TableDiv[Agency])-ROW(TableDiv[[#Headers],[Agency]])),COLUMNS($F$7:AI$7))))</f>
        <v/>
      </c>
      <c r="AJ128" s="2223" t="str" cm="1">
        <f t="array" ref="AJ128">IF($D128&lt;COLUMNS($F$7:AJ$7),"",INDEX(TableDiv[[GASB]:[GASB]],_xlfn.AGGREGATE(15,3,(TableDiv[[Agency]:[Agency]]=$E128)/(TableDiv[[Agency]:[Agency]]=$E128)*(ROW(TableDiv[Agency])-ROW(TableDiv[[#Headers],[Agency]])),COLUMNS($F$7:AJ$7))))</f>
        <v/>
      </c>
      <c r="AK128" s="2223" t="str" cm="1">
        <f t="array" ref="AK128">IF($D128&lt;COLUMNS($F$7:AK$7),"",INDEX(TableDiv[[GASB]:[GASB]],_xlfn.AGGREGATE(15,3,(TableDiv[[Agency]:[Agency]]=$E128)/(TableDiv[[Agency]:[Agency]]=$E128)*(ROW(TableDiv[Agency])-ROW(TableDiv[[#Headers],[Agency]])),COLUMNS($F$7:AK$7))))</f>
        <v/>
      </c>
      <c r="AL128" s="2223" t="str" cm="1">
        <f t="array" ref="AL128">IF($D128&lt;COLUMNS($F$7:AL$7),"",INDEX(TableDiv[[GASB]:[GASB]],_xlfn.AGGREGATE(15,3,(TableDiv[[Agency]:[Agency]]=$E128)/(TableDiv[[Agency]:[Agency]]=$E128)*(ROW(TableDiv[Agency])-ROW(TableDiv[[#Headers],[Agency]])),COLUMNS($F$7:AL$7))))</f>
        <v/>
      </c>
      <c r="AM128" s="2223" t="str" cm="1">
        <f t="array" ref="AM128">IF($D128&lt;COLUMNS($F$7:AM$7),"",INDEX(TableDiv[[GASB]:[GASB]],_xlfn.AGGREGATE(15,3,(TableDiv[[Agency]:[Agency]]=$E128)/(TableDiv[[Agency]:[Agency]]=$E128)*(ROW(TableDiv[Agency])-ROW(TableDiv[[#Headers],[Agency]])),COLUMNS($F$7:AM$7))))</f>
        <v/>
      </c>
      <c r="AN128" s="2223"/>
      <c r="AO128" s="2223"/>
      <c r="AP128" s="2223"/>
      <c r="AQ128" s="2223"/>
      <c r="AR128" s="2223"/>
      <c r="AS128" s="2223"/>
    </row>
    <row r="129" spans="1:45" ht="15" x14ac:dyDescent="0.25">
      <c r="A129" s="2219" t="s">
        <v>5109</v>
      </c>
      <c r="B129" s="2219" t="s">
        <v>6365</v>
      </c>
      <c r="C129" s="2223"/>
      <c r="D129" s="2223">
        <f>COUNTIF(TableDiv[Agency],E129)</f>
        <v>1</v>
      </c>
      <c r="E129" s="2230" t="str" cm="1">
        <f t="array" ref="E129">IFERROR(INDEX(TableDiv[Agency],MATCH(0,INDEX(COUNTIF($E$7:E128,TableDiv[Agency]),),0)),"")</f>
        <v>C4F</v>
      </c>
      <c r="F129" s="2223" t="str" cm="1">
        <f t="array" ref="F129">IF($D129&lt;COLUMNS($F$7:F$7),"",INDEX(TableDiv[[GASB]:[GASB]],_xlfn.AGGREGATE(15,3,(TableDiv[[Agency]:[Agency]]=$E129)/(TableDiv[[Agency]:[Agency]]=$E129)*(ROW(TableDiv[Agency])-ROW(TableDiv[[#Headers],[Agency]])),COLUMNS($F$7:F$7))))</f>
        <v>48200G</v>
      </c>
      <c r="G129" s="2223" t="str" cm="1">
        <f t="array" ref="G129">IF($D129&lt;COLUMNS($F$7:G$7),"",INDEX(TableDiv[[GASB]:[GASB]],_xlfn.AGGREGATE(15,3,(TableDiv[[Agency]:[Agency]]=$E129)/(TableDiv[[Agency]:[Agency]]=$E129)*(ROW(TableDiv[Agency])-ROW(TableDiv[[#Headers],[Agency]])),COLUMNS($F$7:G$7))))</f>
        <v/>
      </c>
      <c r="H129" s="2223" t="str" cm="1">
        <f t="array" ref="H129">IF($D129&lt;COLUMNS($F$7:H$7),"",INDEX(TableDiv[[GASB]:[GASB]],_xlfn.AGGREGATE(15,3,(TableDiv[[Agency]:[Agency]]=$E129)/(TableDiv[[Agency]:[Agency]]=$E129)*(ROW(TableDiv[Agency])-ROW(TableDiv[[#Headers],[Agency]])),COLUMNS($F$7:H$7))))</f>
        <v/>
      </c>
      <c r="I129" s="2223" t="str" cm="1">
        <f t="array" ref="I129">IF($D129&lt;COLUMNS($F$7:I$7),"",INDEX(TableDiv[[GASB]:[GASB]],_xlfn.AGGREGATE(15,3,(TableDiv[[Agency]:[Agency]]=$E129)/(TableDiv[[Agency]:[Agency]]=$E129)*(ROW(TableDiv[Agency])-ROW(TableDiv[[#Headers],[Agency]])),COLUMNS($F$7:I$7))))</f>
        <v/>
      </c>
      <c r="J129" s="2223" t="str" cm="1">
        <f t="array" ref="J129">IF($D129&lt;COLUMNS($F$7:J$7),"",INDEX(TableDiv[[GASB]:[GASB]],_xlfn.AGGREGATE(15,3,(TableDiv[[Agency]:[Agency]]=$E129)/(TableDiv[[Agency]:[Agency]]=$E129)*(ROW(TableDiv[Agency])-ROW(TableDiv[[#Headers],[Agency]])),COLUMNS($F$7:J$7))))</f>
        <v/>
      </c>
      <c r="K129" s="2223" t="str" cm="1">
        <f t="array" ref="K129">IF($D129&lt;COLUMNS($F$7:K$7),"",INDEX(TableDiv[[GASB]:[GASB]],_xlfn.AGGREGATE(15,3,(TableDiv[[Agency]:[Agency]]=$E129)/(TableDiv[[Agency]:[Agency]]=$E129)*(ROW(TableDiv[Agency])-ROW(TableDiv[[#Headers],[Agency]])),COLUMNS($F$7:K$7))))</f>
        <v/>
      </c>
      <c r="L129" s="2223" t="str" cm="1">
        <f t="array" ref="L129">IF($D129&lt;COLUMNS($F$7:L$7),"",INDEX(TableDiv[[GASB]:[GASB]],_xlfn.AGGREGATE(15,3,(TableDiv[[Agency]:[Agency]]=$E129)/(TableDiv[[Agency]:[Agency]]=$E129)*(ROW(TableDiv[Agency])-ROW(TableDiv[[#Headers],[Agency]])),COLUMNS($F$7:L$7))))</f>
        <v/>
      </c>
      <c r="M129" s="2223" t="str" cm="1">
        <f t="array" ref="M129">IF($D129&lt;COLUMNS($F$7:M$7),"",INDEX(TableDiv[[GASB]:[GASB]],_xlfn.AGGREGATE(15,3,(TableDiv[[Agency]:[Agency]]=$E129)/(TableDiv[[Agency]:[Agency]]=$E129)*(ROW(TableDiv[Agency])-ROW(TableDiv[[#Headers],[Agency]])),COLUMNS($F$7:M$7))))</f>
        <v/>
      </c>
      <c r="N129" s="2223" t="str" cm="1">
        <f t="array" ref="N129">IF($D129&lt;COLUMNS($F$7:N$7),"",INDEX(TableDiv[[GASB]:[GASB]],_xlfn.AGGREGATE(15,3,(TableDiv[[Agency]:[Agency]]=$E129)/(TableDiv[[Agency]:[Agency]]=$E129)*(ROW(TableDiv[Agency])-ROW(TableDiv[[#Headers],[Agency]])),COLUMNS($F$7:N$7))))</f>
        <v/>
      </c>
      <c r="O129" s="2223" t="str" cm="1">
        <f t="array" ref="O129">IF($D129&lt;COLUMNS($F$7:O$7),"",INDEX(TableDiv[[GASB]:[GASB]],_xlfn.AGGREGATE(15,3,(TableDiv[[Agency]:[Agency]]=$E129)/(TableDiv[[Agency]:[Agency]]=$E129)*(ROW(TableDiv[Agency])-ROW(TableDiv[[#Headers],[Agency]])),COLUMNS($F$7:O$7))))</f>
        <v/>
      </c>
      <c r="P129" s="2223" t="str" cm="1">
        <f t="array" ref="P129">IF($D129&lt;COLUMNS($F$7:P$7),"",INDEX(TableDiv[[GASB]:[GASB]],_xlfn.AGGREGATE(15,3,(TableDiv[[Agency]:[Agency]]=$E129)/(TableDiv[[Agency]:[Agency]]=$E129)*(ROW(TableDiv[Agency])-ROW(TableDiv[[#Headers],[Agency]])),COLUMNS($F$7:P$7))))</f>
        <v/>
      </c>
      <c r="Q129" s="2223" t="str" cm="1">
        <f t="array" ref="Q129">IF($D129&lt;COLUMNS($F$7:Q$7),"",INDEX(TableDiv[[GASB]:[GASB]],_xlfn.AGGREGATE(15,3,(TableDiv[[Agency]:[Agency]]=$E129)/(TableDiv[[Agency]:[Agency]]=$E129)*(ROW(TableDiv[Agency])-ROW(TableDiv[[#Headers],[Agency]])),COLUMNS($F$7:Q$7))))</f>
        <v/>
      </c>
      <c r="R129" s="2223" t="str" cm="1">
        <f t="array" ref="R129">IF($D129&lt;COLUMNS($F$7:R$7),"",INDEX(TableDiv[[GASB]:[GASB]],_xlfn.AGGREGATE(15,3,(TableDiv[[Agency]:[Agency]]=$E129)/(TableDiv[[Agency]:[Agency]]=$E129)*(ROW(TableDiv[Agency])-ROW(TableDiv[[#Headers],[Agency]])),COLUMNS($F$7:R$7))))</f>
        <v/>
      </c>
      <c r="S129" s="2223" t="str" cm="1">
        <f t="array" ref="S129">IF($D129&lt;COLUMNS($F$7:S$7),"",INDEX(TableDiv[[GASB]:[GASB]],_xlfn.AGGREGATE(15,3,(TableDiv[[Agency]:[Agency]]=$E129)/(TableDiv[[Agency]:[Agency]]=$E129)*(ROW(TableDiv[Agency])-ROW(TableDiv[[#Headers],[Agency]])),COLUMNS($F$7:S$7))))</f>
        <v/>
      </c>
      <c r="T129" s="2223" t="str" cm="1">
        <f t="array" ref="T129">IF($D129&lt;COLUMNS($F$7:T$7),"",INDEX(TableDiv[[GASB]:[GASB]],_xlfn.AGGREGATE(15,3,(TableDiv[[Agency]:[Agency]]=$E129)/(TableDiv[[Agency]:[Agency]]=$E129)*(ROW(TableDiv[Agency])-ROW(TableDiv[[#Headers],[Agency]])),COLUMNS($F$7:T$7))))</f>
        <v/>
      </c>
      <c r="U129" s="2223" t="str" cm="1">
        <f t="array" ref="U129">IF($D129&lt;COLUMNS($F$7:U$7),"",INDEX(TableDiv[[GASB]:[GASB]],_xlfn.AGGREGATE(15,3,(TableDiv[[Agency]:[Agency]]=$E129)/(TableDiv[[Agency]:[Agency]]=$E129)*(ROW(TableDiv[Agency])-ROW(TableDiv[[#Headers],[Agency]])),COLUMNS($F$7:U$7))))</f>
        <v/>
      </c>
      <c r="V129" s="2223" t="str" cm="1">
        <f t="array" ref="V129">IF($D129&lt;COLUMNS($F$7:V$7),"",INDEX(TableDiv[[GASB]:[GASB]],_xlfn.AGGREGATE(15,3,(TableDiv[[Agency]:[Agency]]=$E129)/(TableDiv[[Agency]:[Agency]]=$E129)*(ROW(TableDiv[Agency])-ROW(TableDiv[[#Headers],[Agency]])),COLUMNS($F$7:V$7))))</f>
        <v/>
      </c>
      <c r="W129" s="2223" t="str" cm="1">
        <f t="array" ref="W129">IF($D129&lt;COLUMNS($F$7:W$7),"",INDEX(TableDiv[[GASB]:[GASB]],_xlfn.AGGREGATE(15,3,(TableDiv[[Agency]:[Agency]]=$E129)/(TableDiv[[Agency]:[Agency]]=$E129)*(ROW(TableDiv[Agency])-ROW(TableDiv[[#Headers],[Agency]])),COLUMNS($F$7:W$7))))</f>
        <v/>
      </c>
      <c r="X129" s="2223" t="str" cm="1">
        <f t="array" ref="X129">IF($D129&lt;COLUMNS($F$7:X$7),"",INDEX(TableDiv[[GASB]:[GASB]],_xlfn.AGGREGATE(15,3,(TableDiv[[Agency]:[Agency]]=$E129)/(TableDiv[[Agency]:[Agency]]=$E129)*(ROW(TableDiv[Agency])-ROW(TableDiv[[#Headers],[Agency]])),COLUMNS($F$7:X$7))))</f>
        <v/>
      </c>
      <c r="Y129" s="2223" t="str" cm="1">
        <f t="array" ref="Y129">IF($D129&lt;COLUMNS($F$7:Y$7),"",INDEX(TableDiv[[GASB]:[GASB]],_xlfn.AGGREGATE(15,3,(TableDiv[[Agency]:[Agency]]=$E129)/(TableDiv[[Agency]:[Agency]]=$E129)*(ROW(TableDiv[Agency])-ROW(TableDiv[[#Headers],[Agency]])),COLUMNS($F$7:Y$7))))</f>
        <v/>
      </c>
      <c r="Z129" s="2223" t="str" cm="1">
        <f t="array" ref="Z129">IF($D129&lt;COLUMNS($F$7:Z$7),"",INDEX(TableDiv[[GASB]:[GASB]],_xlfn.AGGREGATE(15,3,(TableDiv[[Agency]:[Agency]]=$E129)/(TableDiv[[Agency]:[Agency]]=$E129)*(ROW(TableDiv[Agency])-ROW(TableDiv[[#Headers],[Agency]])),COLUMNS($F$7:Z$7))))</f>
        <v/>
      </c>
      <c r="AA129" s="2223" t="str" cm="1">
        <f t="array" ref="AA129">IF($D129&lt;COLUMNS($F$7:AA$7),"",INDEX(TableDiv[[GASB]:[GASB]],_xlfn.AGGREGATE(15,3,(TableDiv[[Agency]:[Agency]]=$E129)/(TableDiv[[Agency]:[Agency]]=$E129)*(ROW(TableDiv[Agency])-ROW(TableDiv[[#Headers],[Agency]])),COLUMNS($F$7:AA$7))))</f>
        <v/>
      </c>
      <c r="AB129" s="2223" t="str" cm="1">
        <f t="array" ref="AB129">IF($D129&lt;COLUMNS($F$7:AB$7),"",INDEX(TableDiv[[GASB]:[GASB]],_xlfn.AGGREGATE(15,3,(TableDiv[[Agency]:[Agency]]=$E129)/(TableDiv[[Agency]:[Agency]]=$E129)*(ROW(TableDiv[Agency])-ROW(TableDiv[[#Headers],[Agency]])),COLUMNS($F$7:AB$7))))</f>
        <v/>
      </c>
      <c r="AC129" s="2223" t="str" cm="1">
        <f t="array" ref="AC129">IF($D129&lt;COLUMNS($F$7:AC$7),"",INDEX(TableDiv[[GASB]:[GASB]],_xlfn.AGGREGATE(15,3,(TableDiv[[Agency]:[Agency]]=$E129)/(TableDiv[[Agency]:[Agency]]=$E129)*(ROW(TableDiv[Agency])-ROW(TableDiv[[#Headers],[Agency]])),COLUMNS($F$7:AC$7))))</f>
        <v/>
      </c>
      <c r="AD129" s="2223" t="str" cm="1">
        <f t="array" ref="AD129">IF($D129&lt;COLUMNS($F$7:AD$7),"",INDEX(TableDiv[[GASB]:[GASB]],_xlfn.AGGREGATE(15,3,(TableDiv[[Agency]:[Agency]]=$E129)/(TableDiv[[Agency]:[Agency]]=$E129)*(ROW(TableDiv[Agency])-ROW(TableDiv[[#Headers],[Agency]])),COLUMNS($F$7:AD$7))))</f>
        <v/>
      </c>
      <c r="AE129" s="2223" t="str" cm="1">
        <f t="array" ref="AE129">IF($D129&lt;COLUMNS($F$7:AE$7),"",INDEX(TableDiv[[GASB]:[GASB]],_xlfn.AGGREGATE(15,3,(TableDiv[[Agency]:[Agency]]=$E129)/(TableDiv[[Agency]:[Agency]]=$E129)*(ROW(TableDiv[Agency])-ROW(TableDiv[[#Headers],[Agency]])),COLUMNS($F$7:AE$7))))</f>
        <v/>
      </c>
      <c r="AF129" s="2223" t="str" cm="1">
        <f t="array" ref="AF129">IF($D129&lt;COLUMNS($F$7:AF$7),"",INDEX(TableDiv[[GASB]:[GASB]],_xlfn.AGGREGATE(15,3,(TableDiv[[Agency]:[Agency]]=$E129)/(TableDiv[[Agency]:[Agency]]=$E129)*(ROW(TableDiv[Agency])-ROW(TableDiv[[#Headers],[Agency]])),COLUMNS($F$7:AF$7))))</f>
        <v/>
      </c>
      <c r="AG129" s="2223" t="str" cm="1">
        <f t="array" ref="AG129">IF($D129&lt;COLUMNS($F$7:AG$7),"",INDEX(TableDiv[[GASB]:[GASB]],_xlfn.AGGREGATE(15,3,(TableDiv[[Agency]:[Agency]]=$E129)/(TableDiv[[Agency]:[Agency]]=$E129)*(ROW(TableDiv[Agency])-ROW(TableDiv[[#Headers],[Agency]])),COLUMNS($F$7:AG$7))))</f>
        <v/>
      </c>
      <c r="AH129" s="2223" t="str" cm="1">
        <f t="array" ref="AH129">IF($D129&lt;COLUMNS($F$7:AH$7),"",INDEX(TableDiv[[GASB]:[GASB]],_xlfn.AGGREGATE(15,3,(TableDiv[[Agency]:[Agency]]=$E129)/(TableDiv[[Agency]:[Agency]]=$E129)*(ROW(TableDiv[Agency])-ROW(TableDiv[[#Headers],[Agency]])),COLUMNS($F$7:AH$7))))</f>
        <v/>
      </c>
      <c r="AI129" s="2223" t="str" cm="1">
        <f t="array" ref="AI129">IF($D129&lt;COLUMNS($F$7:AI$7),"",INDEX(TableDiv[[GASB]:[GASB]],_xlfn.AGGREGATE(15,3,(TableDiv[[Agency]:[Agency]]=$E129)/(TableDiv[[Agency]:[Agency]]=$E129)*(ROW(TableDiv[Agency])-ROW(TableDiv[[#Headers],[Agency]])),COLUMNS($F$7:AI$7))))</f>
        <v/>
      </c>
      <c r="AJ129" s="2223" t="str" cm="1">
        <f t="array" ref="AJ129">IF($D129&lt;COLUMNS($F$7:AJ$7),"",INDEX(TableDiv[[GASB]:[GASB]],_xlfn.AGGREGATE(15,3,(TableDiv[[Agency]:[Agency]]=$E129)/(TableDiv[[Agency]:[Agency]]=$E129)*(ROW(TableDiv[Agency])-ROW(TableDiv[[#Headers],[Agency]])),COLUMNS($F$7:AJ$7))))</f>
        <v/>
      </c>
      <c r="AK129" s="2223" t="str" cm="1">
        <f t="array" ref="AK129">IF($D129&lt;COLUMNS($F$7:AK$7),"",INDEX(TableDiv[[GASB]:[GASB]],_xlfn.AGGREGATE(15,3,(TableDiv[[Agency]:[Agency]]=$E129)/(TableDiv[[Agency]:[Agency]]=$E129)*(ROW(TableDiv[Agency])-ROW(TableDiv[[#Headers],[Agency]])),COLUMNS($F$7:AK$7))))</f>
        <v/>
      </c>
      <c r="AL129" s="2223" t="str" cm="1">
        <f t="array" ref="AL129">IF($D129&lt;COLUMNS($F$7:AL$7),"",INDEX(TableDiv[[GASB]:[GASB]],_xlfn.AGGREGATE(15,3,(TableDiv[[Agency]:[Agency]]=$E129)/(TableDiv[[Agency]:[Agency]]=$E129)*(ROW(TableDiv[Agency])-ROW(TableDiv[[#Headers],[Agency]])),COLUMNS($F$7:AL$7))))</f>
        <v/>
      </c>
      <c r="AM129" s="2223" t="str" cm="1">
        <f t="array" ref="AM129">IF($D129&lt;COLUMNS($F$7:AM$7),"",INDEX(TableDiv[[GASB]:[GASB]],_xlfn.AGGREGATE(15,3,(TableDiv[[Agency]:[Agency]]=$E129)/(TableDiv[[Agency]:[Agency]]=$E129)*(ROW(TableDiv[Agency])-ROW(TableDiv[[#Headers],[Agency]])),COLUMNS($F$7:AM$7))))</f>
        <v/>
      </c>
      <c r="AN129" s="2223"/>
      <c r="AO129" s="2223"/>
      <c r="AP129" s="2223"/>
      <c r="AQ129" s="2223"/>
      <c r="AR129" s="2223"/>
      <c r="AS129" s="2223"/>
    </row>
    <row r="130" spans="1:45" ht="15" x14ac:dyDescent="0.25">
      <c r="A130" s="2219" t="s">
        <v>5109</v>
      </c>
      <c r="B130" s="2219" t="s">
        <v>6426</v>
      </c>
      <c r="C130" s="2223"/>
      <c r="D130" s="2223">
        <f>COUNTIF(TableDiv[Agency],E130)</f>
        <v>1</v>
      </c>
      <c r="E130" s="2230" t="str" cm="1">
        <f t="array" ref="E130">IFERROR(INDEX(TableDiv[Agency],MATCH(0,INDEX(COUNTIF($E$7:E129,TableDiv[Agency]),),0)),"")</f>
        <v>C5F</v>
      </c>
      <c r="F130" s="2223" t="str" cm="1">
        <f t="array" ref="F130">IF($D130&lt;COLUMNS($F$7:F$7),"",INDEX(TableDiv[[GASB]:[GASB]],_xlfn.AGGREGATE(15,3,(TableDiv[[Agency]:[Agency]]=$E130)/(TableDiv[[Agency]:[Agency]]=$E130)*(ROW(TableDiv[Agency])-ROW(TableDiv[[#Headers],[Agency]])),COLUMNS($F$7:F$7))))</f>
        <v>48200G</v>
      </c>
      <c r="G130" s="2223" t="str" cm="1">
        <f t="array" ref="G130">IF($D130&lt;COLUMNS($F$7:G$7),"",INDEX(TableDiv[[GASB]:[GASB]],_xlfn.AGGREGATE(15,3,(TableDiv[[Agency]:[Agency]]=$E130)/(TableDiv[[Agency]:[Agency]]=$E130)*(ROW(TableDiv[Agency])-ROW(TableDiv[[#Headers],[Agency]])),COLUMNS($F$7:G$7))))</f>
        <v/>
      </c>
      <c r="H130" s="2223" t="str" cm="1">
        <f t="array" ref="H130">IF($D130&lt;COLUMNS($F$7:H$7),"",INDEX(TableDiv[[GASB]:[GASB]],_xlfn.AGGREGATE(15,3,(TableDiv[[Agency]:[Agency]]=$E130)/(TableDiv[[Agency]:[Agency]]=$E130)*(ROW(TableDiv[Agency])-ROW(TableDiv[[#Headers],[Agency]])),COLUMNS($F$7:H$7))))</f>
        <v/>
      </c>
      <c r="I130" s="2223" t="str" cm="1">
        <f t="array" ref="I130">IF($D130&lt;COLUMNS($F$7:I$7),"",INDEX(TableDiv[[GASB]:[GASB]],_xlfn.AGGREGATE(15,3,(TableDiv[[Agency]:[Agency]]=$E130)/(TableDiv[[Agency]:[Agency]]=$E130)*(ROW(TableDiv[Agency])-ROW(TableDiv[[#Headers],[Agency]])),COLUMNS($F$7:I$7))))</f>
        <v/>
      </c>
      <c r="J130" s="2223" t="str" cm="1">
        <f t="array" ref="J130">IF($D130&lt;COLUMNS($F$7:J$7),"",INDEX(TableDiv[[GASB]:[GASB]],_xlfn.AGGREGATE(15,3,(TableDiv[[Agency]:[Agency]]=$E130)/(TableDiv[[Agency]:[Agency]]=$E130)*(ROW(TableDiv[Agency])-ROW(TableDiv[[#Headers],[Agency]])),COLUMNS($F$7:J$7))))</f>
        <v/>
      </c>
      <c r="K130" s="2223" t="str" cm="1">
        <f t="array" ref="K130">IF($D130&lt;COLUMNS($F$7:K$7),"",INDEX(TableDiv[[GASB]:[GASB]],_xlfn.AGGREGATE(15,3,(TableDiv[[Agency]:[Agency]]=$E130)/(TableDiv[[Agency]:[Agency]]=$E130)*(ROW(TableDiv[Agency])-ROW(TableDiv[[#Headers],[Agency]])),COLUMNS($F$7:K$7))))</f>
        <v/>
      </c>
      <c r="L130" s="2223" t="str" cm="1">
        <f t="array" ref="L130">IF($D130&lt;COLUMNS($F$7:L$7),"",INDEX(TableDiv[[GASB]:[GASB]],_xlfn.AGGREGATE(15,3,(TableDiv[[Agency]:[Agency]]=$E130)/(TableDiv[[Agency]:[Agency]]=$E130)*(ROW(TableDiv[Agency])-ROW(TableDiv[[#Headers],[Agency]])),COLUMNS($F$7:L$7))))</f>
        <v/>
      </c>
      <c r="M130" s="2223" t="str" cm="1">
        <f t="array" ref="M130">IF($D130&lt;COLUMNS($F$7:M$7),"",INDEX(TableDiv[[GASB]:[GASB]],_xlfn.AGGREGATE(15,3,(TableDiv[[Agency]:[Agency]]=$E130)/(TableDiv[[Agency]:[Agency]]=$E130)*(ROW(TableDiv[Agency])-ROW(TableDiv[[#Headers],[Agency]])),COLUMNS($F$7:M$7))))</f>
        <v/>
      </c>
      <c r="N130" s="2223" t="str" cm="1">
        <f t="array" ref="N130">IF($D130&lt;COLUMNS($F$7:N$7),"",INDEX(TableDiv[[GASB]:[GASB]],_xlfn.AGGREGATE(15,3,(TableDiv[[Agency]:[Agency]]=$E130)/(TableDiv[[Agency]:[Agency]]=$E130)*(ROW(TableDiv[Agency])-ROW(TableDiv[[#Headers],[Agency]])),COLUMNS($F$7:N$7))))</f>
        <v/>
      </c>
      <c r="O130" s="2223" t="str" cm="1">
        <f t="array" ref="O130">IF($D130&lt;COLUMNS($F$7:O$7),"",INDEX(TableDiv[[GASB]:[GASB]],_xlfn.AGGREGATE(15,3,(TableDiv[[Agency]:[Agency]]=$E130)/(TableDiv[[Agency]:[Agency]]=$E130)*(ROW(TableDiv[Agency])-ROW(TableDiv[[#Headers],[Agency]])),COLUMNS($F$7:O$7))))</f>
        <v/>
      </c>
      <c r="P130" s="2223" t="str" cm="1">
        <f t="array" ref="P130">IF($D130&lt;COLUMNS($F$7:P$7),"",INDEX(TableDiv[[GASB]:[GASB]],_xlfn.AGGREGATE(15,3,(TableDiv[[Agency]:[Agency]]=$E130)/(TableDiv[[Agency]:[Agency]]=$E130)*(ROW(TableDiv[Agency])-ROW(TableDiv[[#Headers],[Agency]])),COLUMNS($F$7:P$7))))</f>
        <v/>
      </c>
      <c r="Q130" s="2223" t="str" cm="1">
        <f t="array" ref="Q130">IF($D130&lt;COLUMNS($F$7:Q$7),"",INDEX(TableDiv[[GASB]:[GASB]],_xlfn.AGGREGATE(15,3,(TableDiv[[Agency]:[Agency]]=$E130)/(TableDiv[[Agency]:[Agency]]=$E130)*(ROW(TableDiv[Agency])-ROW(TableDiv[[#Headers],[Agency]])),COLUMNS($F$7:Q$7))))</f>
        <v/>
      </c>
      <c r="R130" s="2223" t="str" cm="1">
        <f t="array" ref="R130">IF($D130&lt;COLUMNS($F$7:R$7),"",INDEX(TableDiv[[GASB]:[GASB]],_xlfn.AGGREGATE(15,3,(TableDiv[[Agency]:[Agency]]=$E130)/(TableDiv[[Agency]:[Agency]]=$E130)*(ROW(TableDiv[Agency])-ROW(TableDiv[[#Headers],[Agency]])),COLUMNS($F$7:R$7))))</f>
        <v/>
      </c>
      <c r="S130" s="2223" t="str" cm="1">
        <f t="array" ref="S130">IF($D130&lt;COLUMNS($F$7:S$7),"",INDEX(TableDiv[[GASB]:[GASB]],_xlfn.AGGREGATE(15,3,(TableDiv[[Agency]:[Agency]]=$E130)/(TableDiv[[Agency]:[Agency]]=$E130)*(ROW(TableDiv[Agency])-ROW(TableDiv[[#Headers],[Agency]])),COLUMNS($F$7:S$7))))</f>
        <v/>
      </c>
      <c r="T130" s="2223" t="str" cm="1">
        <f t="array" ref="T130">IF($D130&lt;COLUMNS($F$7:T$7),"",INDEX(TableDiv[[GASB]:[GASB]],_xlfn.AGGREGATE(15,3,(TableDiv[[Agency]:[Agency]]=$E130)/(TableDiv[[Agency]:[Agency]]=$E130)*(ROW(TableDiv[Agency])-ROW(TableDiv[[#Headers],[Agency]])),COLUMNS($F$7:T$7))))</f>
        <v/>
      </c>
      <c r="U130" s="2223" t="str" cm="1">
        <f t="array" ref="U130">IF($D130&lt;COLUMNS($F$7:U$7),"",INDEX(TableDiv[[GASB]:[GASB]],_xlfn.AGGREGATE(15,3,(TableDiv[[Agency]:[Agency]]=$E130)/(TableDiv[[Agency]:[Agency]]=$E130)*(ROW(TableDiv[Agency])-ROW(TableDiv[[#Headers],[Agency]])),COLUMNS($F$7:U$7))))</f>
        <v/>
      </c>
      <c r="V130" s="2223" t="str" cm="1">
        <f t="array" ref="V130">IF($D130&lt;COLUMNS($F$7:V$7),"",INDEX(TableDiv[[GASB]:[GASB]],_xlfn.AGGREGATE(15,3,(TableDiv[[Agency]:[Agency]]=$E130)/(TableDiv[[Agency]:[Agency]]=$E130)*(ROW(TableDiv[Agency])-ROW(TableDiv[[#Headers],[Agency]])),COLUMNS($F$7:V$7))))</f>
        <v/>
      </c>
      <c r="W130" s="2223" t="str" cm="1">
        <f t="array" ref="W130">IF($D130&lt;COLUMNS($F$7:W$7),"",INDEX(TableDiv[[GASB]:[GASB]],_xlfn.AGGREGATE(15,3,(TableDiv[[Agency]:[Agency]]=$E130)/(TableDiv[[Agency]:[Agency]]=$E130)*(ROW(TableDiv[Agency])-ROW(TableDiv[[#Headers],[Agency]])),COLUMNS($F$7:W$7))))</f>
        <v/>
      </c>
      <c r="X130" s="2223" t="str" cm="1">
        <f t="array" ref="X130">IF($D130&lt;COLUMNS($F$7:X$7),"",INDEX(TableDiv[[GASB]:[GASB]],_xlfn.AGGREGATE(15,3,(TableDiv[[Agency]:[Agency]]=$E130)/(TableDiv[[Agency]:[Agency]]=$E130)*(ROW(TableDiv[Agency])-ROW(TableDiv[[#Headers],[Agency]])),COLUMNS($F$7:X$7))))</f>
        <v/>
      </c>
      <c r="Y130" s="2223" t="str" cm="1">
        <f t="array" ref="Y130">IF($D130&lt;COLUMNS($F$7:Y$7),"",INDEX(TableDiv[[GASB]:[GASB]],_xlfn.AGGREGATE(15,3,(TableDiv[[Agency]:[Agency]]=$E130)/(TableDiv[[Agency]:[Agency]]=$E130)*(ROW(TableDiv[Agency])-ROW(TableDiv[[#Headers],[Agency]])),COLUMNS($F$7:Y$7))))</f>
        <v/>
      </c>
      <c r="Z130" s="2223" t="str" cm="1">
        <f t="array" ref="Z130">IF($D130&lt;COLUMNS($F$7:Z$7),"",INDEX(TableDiv[[GASB]:[GASB]],_xlfn.AGGREGATE(15,3,(TableDiv[[Agency]:[Agency]]=$E130)/(TableDiv[[Agency]:[Agency]]=$E130)*(ROW(TableDiv[Agency])-ROW(TableDiv[[#Headers],[Agency]])),COLUMNS($F$7:Z$7))))</f>
        <v/>
      </c>
      <c r="AA130" s="2223" t="str" cm="1">
        <f t="array" ref="AA130">IF($D130&lt;COLUMNS($F$7:AA$7),"",INDEX(TableDiv[[GASB]:[GASB]],_xlfn.AGGREGATE(15,3,(TableDiv[[Agency]:[Agency]]=$E130)/(TableDiv[[Agency]:[Agency]]=$E130)*(ROW(TableDiv[Agency])-ROW(TableDiv[[#Headers],[Agency]])),COLUMNS($F$7:AA$7))))</f>
        <v/>
      </c>
      <c r="AB130" s="2223" t="str" cm="1">
        <f t="array" ref="AB130">IF($D130&lt;COLUMNS($F$7:AB$7),"",INDEX(TableDiv[[GASB]:[GASB]],_xlfn.AGGREGATE(15,3,(TableDiv[[Agency]:[Agency]]=$E130)/(TableDiv[[Agency]:[Agency]]=$E130)*(ROW(TableDiv[Agency])-ROW(TableDiv[[#Headers],[Agency]])),COLUMNS($F$7:AB$7))))</f>
        <v/>
      </c>
      <c r="AC130" s="2223" t="str" cm="1">
        <f t="array" ref="AC130">IF($D130&lt;COLUMNS($F$7:AC$7),"",INDEX(TableDiv[[GASB]:[GASB]],_xlfn.AGGREGATE(15,3,(TableDiv[[Agency]:[Agency]]=$E130)/(TableDiv[[Agency]:[Agency]]=$E130)*(ROW(TableDiv[Agency])-ROW(TableDiv[[#Headers],[Agency]])),COLUMNS($F$7:AC$7))))</f>
        <v/>
      </c>
      <c r="AD130" s="2223" t="str" cm="1">
        <f t="array" ref="AD130">IF($D130&lt;COLUMNS($F$7:AD$7),"",INDEX(TableDiv[[GASB]:[GASB]],_xlfn.AGGREGATE(15,3,(TableDiv[[Agency]:[Agency]]=$E130)/(TableDiv[[Agency]:[Agency]]=$E130)*(ROW(TableDiv[Agency])-ROW(TableDiv[[#Headers],[Agency]])),COLUMNS($F$7:AD$7))))</f>
        <v/>
      </c>
      <c r="AE130" s="2223" t="str" cm="1">
        <f t="array" ref="AE130">IF($D130&lt;COLUMNS($F$7:AE$7),"",INDEX(TableDiv[[GASB]:[GASB]],_xlfn.AGGREGATE(15,3,(TableDiv[[Agency]:[Agency]]=$E130)/(TableDiv[[Agency]:[Agency]]=$E130)*(ROW(TableDiv[Agency])-ROW(TableDiv[[#Headers],[Agency]])),COLUMNS($F$7:AE$7))))</f>
        <v/>
      </c>
      <c r="AF130" s="2223" t="str" cm="1">
        <f t="array" ref="AF130">IF($D130&lt;COLUMNS($F$7:AF$7),"",INDEX(TableDiv[[GASB]:[GASB]],_xlfn.AGGREGATE(15,3,(TableDiv[[Agency]:[Agency]]=$E130)/(TableDiv[[Agency]:[Agency]]=$E130)*(ROW(TableDiv[Agency])-ROW(TableDiv[[#Headers],[Agency]])),COLUMNS($F$7:AF$7))))</f>
        <v/>
      </c>
      <c r="AG130" s="2223" t="str" cm="1">
        <f t="array" ref="AG130">IF($D130&lt;COLUMNS($F$7:AG$7),"",INDEX(TableDiv[[GASB]:[GASB]],_xlfn.AGGREGATE(15,3,(TableDiv[[Agency]:[Agency]]=$E130)/(TableDiv[[Agency]:[Agency]]=$E130)*(ROW(TableDiv[Agency])-ROW(TableDiv[[#Headers],[Agency]])),COLUMNS($F$7:AG$7))))</f>
        <v/>
      </c>
      <c r="AH130" s="2223" t="str" cm="1">
        <f t="array" ref="AH130">IF($D130&lt;COLUMNS($F$7:AH$7),"",INDEX(TableDiv[[GASB]:[GASB]],_xlfn.AGGREGATE(15,3,(TableDiv[[Agency]:[Agency]]=$E130)/(TableDiv[[Agency]:[Agency]]=$E130)*(ROW(TableDiv[Agency])-ROW(TableDiv[[#Headers],[Agency]])),COLUMNS($F$7:AH$7))))</f>
        <v/>
      </c>
      <c r="AI130" s="2223" t="str" cm="1">
        <f t="array" ref="AI130">IF($D130&lt;COLUMNS($F$7:AI$7),"",INDEX(TableDiv[[GASB]:[GASB]],_xlfn.AGGREGATE(15,3,(TableDiv[[Agency]:[Agency]]=$E130)/(TableDiv[[Agency]:[Agency]]=$E130)*(ROW(TableDiv[Agency])-ROW(TableDiv[[#Headers],[Agency]])),COLUMNS($F$7:AI$7))))</f>
        <v/>
      </c>
      <c r="AJ130" s="2223" t="str" cm="1">
        <f t="array" ref="AJ130">IF($D130&lt;COLUMNS($F$7:AJ$7),"",INDEX(TableDiv[[GASB]:[GASB]],_xlfn.AGGREGATE(15,3,(TableDiv[[Agency]:[Agency]]=$E130)/(TableDiv[[Agency]:[Agency]]=$E130)*(ROW(TableDiv[Agency])-ROW(TableDiv[[#Headers],[Agency]])),COLUMNS($F$7:AJ$7))))</f>
        <v/>
      </c>
      <c r="AK130" s="2223" t="str" cm="1">
        <f t="array" ref="AK130">IF($D130&lt;COLUMNS($F$7:AK$7),"",INDEX(TableDiv[[GASB]:[GASB]],_xlfn.AGGREGATE(15,3,(TableDiv[[Agency]:[Agency]]=$E130)/(TableDiv[[Agency]:[Agency]]=$E130)*(ROW(TableDiv[Agency])-ROW(TableDiv[[#Headers],[Agency]])),COLUMNS($F$7:AK$7))))</f>
        <v/>
      </c>
      <c r="AL130" s="2223" t="str" cm="1">
        <f t="array" ref="AL130">IF($D130&lt;COLUMNS($F$7:AL$7),"",INDEX(TableDiv[[GASB]:[GASB]],_xlfn.AGGREGATE(15,3,(TableDiv[[Agency]:[Agency]]=$E130)/(TableDiv[[Agency]:[Agency]]=$E130)*(ROW(TableDiv[Agency])-ROW(TableDiv[[#Headers],[Agency]])),COLUMNS($F$7:AL$7))))</f>
        <v/>
      </c>
      <c r="AM130" s="2223" t="str" cm="1">
        <f t="array" ref="AM130">IF($D130&lt;COLUMNS($F$7:AM$7),"",INDEX(TableDiv[[GASB]:[GASB]],_xlfn.AGGREGATE(15,3,(TableDiv[[Agency]:[Agency]]=$E130)/(TableDiv[[Agency]:[Agency]]=$E130)*(ROW(TableDiv[Agency])-ROW(TableDiv[[#Headers],[Agency]])),COLUMNS($F$7:AM$7))))</f>
        <v/>
      </c>
      <c r="AN130" s="2223"/>
      <c r="AO130" s="2223"/>
      <c r="AP130" s="2223"/>
      <c r="AQ130" s="2223"/>
      <c r="AR130" s="2223"/>
      <c r="AS130" s="2223"/>
    </row>
    <row r="131" spans="1:45" ht="15" x14ac:dyDescent="0.25">
      <c r="A131" s="2219" t="s">
        <v>5109</v>
      </c>
      <c r="B131" s="2219" t="s">
        <v>6374</v>
      </c>
      <c r="C131" s="2223"/>
      <c r="D131" s="2223">
        <f>COUNTIF(TableDiv[Agency],E131)</f>
        <v>1</v>
      </c>
      <c r="E131" s="2230" t="str" cm="1">
        <f t="array" ref="E131">IFERROR(INDEX(TableDiv[Agency],MATCH(0,INDEX(COUNTIF($E$7:E130,TableDiv[Agency]),),0)),"")</f>
        <v>C6F</v>
      </c>
      <c r="F131" s="2223" t="str" cm="1">
        <f t="array" ref="F131">IF($D131&lt;COLUMNS($F$7:F$7),"",INDEX(TableDiv[[GASB]:[GASB]],_xlfn.AGGREGATE(15,3,(TableDiv[[Agency]:[Agency]]=$E131)/(TableDiv[[Agency]:[Agency]]=$E131)*(ROW(TableDiv[Agency])-ROW(TableDiv[[#Headers],[Agency]])),COLUMNS($F$7:F$7))))</f>
        <v>48200G</v>
      </c>
      <c r="G131" s="2223" t="str" cm="1">
        <f t="array" ref="G131">IF($D131&lt;COLUMNS($F$7:G$7),"",INDEX(TableDiv[[GASB]:[GASB]],_xlfn.AGGREGATE(15,3,(TableDiv[[Agency]:[Agency]]=$E131)/(TableDiv[[Agency]:[Agency]]=$E131)*(ROW(TableDiv[Agency])-ROW(TableDiv[[#Headers],[Agency]])),COLUMNS($F$7:G$7))))</f>
        <v/>
      </c>
      <c r="H131" s="2223" t="str" cm="1">
        <f t="array" ref="H131">IF($D131&lt;COLUMNS($F$7:H$7),"",INDEX(TableDiv[[GASB]:[GASB]],_xlfn.AGGREGATE(15,3,(TableDiv[[Agency]:[Agency]]=$E131)/(TableDiv[[Agency]:[Agency]]=$E131)*(ROW(TableDiv[Agency])-ROW(TableDiv[[#Headers],[Agency]])),COLUMNS($F$7:H$7))))</f>
        <v/>
      </c>
      <c r="I131" s="2223" t="str" cm="1">
        <f t="array" ref="I131">IF($D131&lt;COLUMNS($F$7:I$7),"",INDEX(TableDiv[[GASB]:[GASB]],_xlfn.AGGREGATE(15,3,(TableDiv[[Agency]:[Agency]]=$E131)/(TableDiv[[Agency]:[Agency]]=$E131)*(ROW(TableDiv[Agency])-ROW(TableDiv[[#Headers],[Agency]])),COLUMNS($F$7:I$7))))</f>
        <v/>
      </c>
      <c r="J131" s="2223" t="str" cm="1">
        <f t="array" ref="J131">IF($D131&lt;COLUMNS($F$7:J$7),"",INDEX(TableDiv[[GASB]:[GASB]],_xlfn.AGGREGATE(15,3,(TableDiv[[Agency]:[Agency]]=$E131)/(TableDiv[[Agency]:[Agency]]=$E131)*(ROW(TableDiv[Agency])-ROW(TableDiv[[#Headers],[Agency]])),COLUMNS($F$7:J$7))))</f>
        <v/>
      </c>
      <c r="K131" s="2223" t="str" cm="1">
        <f t="array" ref="K131">IF($D131&lt;COLUMNS($F$7:K$7),"",INDEX(TableDiv[[GASB]:[GASB]],_xlfn.AGGREGATE(15,3,(TableDiv[[Agency]:[Agency]]=$E131)/(TableDiv[[Agency]:[Agency]]=$E131)*(ROW(TableDiv[Agency])-ROW(TableDiv[[#Headers],[Agency]])),COLUMNS($F$7:K$7))))</f>
        <v/>
      </c>
      <c r="L131" s="2223" t="str" cm="1">
        <f t="array" ref="L131">IF($D131&lt;COLUMNS($F$7:L$7),"",INDEX(TableDiv[[GASB]:[GASB]],_xlfn.AGGREGATE(15,3,(TableDiv[[Agency]:[Agency]]=$E131)/(TableDiv[[Agency]:[Agency]]=$E131)*(ROW(TableDiv[Agency])-ROW(TableDiv[[#Headers],[Agency]])),COLUMNS($F$7:L$7))))</f>
        <v/>
      </c>
      <c r="M131" s="2223" t="str" cm="1">
        <f t="array" ref="M131">IF($D131&lt;COLUMNS($F$7:M$7),"",INDEX(TableDiv[[GASB]:[GASB]],_xlfn.AGGREGATE(15,3,(TableDiv[[Agency]:[Agency]]=$E131)/(TableDiv[[Agency]:[Agency]]=$E131)*(ROW(TableDiv[Agency])-ROW(TableDiv[[#Headers],[Agency]])),COLUMNS($F$7:M$7))))</f>
        <v/>
      </c>
      <c r="N131" s="2223" t="str" cm="1">
        <f t="array" ref="N131">IF($D131&lt;COLUMNS($F$7:N$7),"",INDEX(TableDiv[[GASB]:[GASB]],_xlfn.AGGREGATE(15,3,(TableDiv[[Agency]:[Agency]]=$E131)/(TableDiv[[Agency]:[Agency]]=$E131)*(ROW(TableDiv[Agency])-ROW(TableDiv[[#Headers],[Agency]])),COLUMNS($F$7:N$7))))</f>
        <v/>
      </c>
      <c r="O131" s="2223" t="str" cm="1">
        <f t="array" ref="O131">IF($D131&lt;COLUMNS($F$7:O$7),"",INDEX(TableDiv[[GASB]:[GASB]],_xlfn.AGGREGATE(15,3,(TableDiv[[Agency]:[Agency]]=$E131)/(TableDiv[[Agency]:[Agency]]=$E131)*(ROW(TableDiv[Agency])-ROW(TableDiv[[#Headers],[Agency]])),COLUMNS($F$7:O$7))))</f>
        <v/>
      </c>
      <c r="P131" s="2223" t="str" cm="1">
        <f t="array" ref="P131">IF($D131&lt;COLUMNS($F$7:P$7),"",INDEX(TableDiv[[GASB]:[GASB]],_xlfn.AGGREGATE(15,3,(TableDiv[[Agency]:[Agency]]=$E131)/(TableDiv[[Agency]:[Agency]]=$E131)*(ROW(TableDiv[Agency])-ROW(TableDiv[[#Headers],[Agency]])),COLUMNS($F$7:P$7))))</f>
        <v/>
      </c>
      <c r="Q131" s="2223" t="str" cm="1">
        <f t="array" ref="Q131">IF($D131&lt;COLUMNS($F$7:Q$7),"",INDEX(TableDiv[[GASB]:[GASB]],_xlfn.AGGREGATE(15,3,(TableDiv[[Agency]:[Agency]]=$E131)/(TableDiv[[Agency]:[Agency]]=$E131)*(ROW(TableDiv[Agency])-ROW(TableDiv[[#Headers],[Agency]])),COLUMNS($F$7:Q$7))))</f>
        <v/>
      </c>
      <c r="R131" s="2223" t="str" cm="1">
        <f t="array" ref="R131">IF($D131&lt;COLUMNS($F$7:R$7),"",INDEX(TableDiv[[GASB]:[GASB]],_xlfn.AGGREGATE(15,3,(TableDiv[[Agency]:[Agency]]=$E131)/(TableDiv[[Agency]:[Agency]]=$E131)*(ROW(TableDiv[Agency])-ROW(TableDiv[[#Headers],[Agency]])),COLUMNS($F$7:R$7))))</f>
        <v/>
      </c>
      <c r="S131" s="2223" t="str" cm="1">
        <f t="array" ref="S131">IF($D131&lt;COLUMNS($F$7:S$7),"",INDEX(TableDiv[[GASB]:[GASB]],_xlfn.AGGREGATE(15,3,(TableDiv[[Agency]:[Agency]]=$E131)/(TableDiv[[Agency]:[Agency]]=$E131)*(ROW(TableDiv[Agency])-ROW(TableDiv[[#Headers],[Agency]])),COLUMNS($F$7:S$7))))</f>
        <v/>
      </c>
      <c r="T131" s="2223" t="str" cm="1">
        <f t="array" ref="T131">IF($D131&lt;COLUMNS($F$7:T$7),"",INDEX(TableDiv[[GASB]:[GASB]],_xlfn.AGGREGATE(15,3,(TableDiv[[Agency]:[Agency]]=$E131)/(TableDiv[[Agency]:[Agency]]=$E131)*(ROW(TableDiv[Agency])-ROW(TableDiv[[#Headers],[Agency]])),COLUMNS($F$7:T$7))))</f>
        <v/>
      </c>
      <c r="U131" s="2223" t="str" cm="1">
        <f t="array" ref="U131">IF($D131&lt;COLUMNS($F$7:U$7),"",INDEX(TableDiv[[GASB]:[GASB]],_xlfn.AGGREGATE(15,3,(TableDiv[[Agency]:[Agency]]=$E131)/(TableDiv[[Agency]:[Agency]]=$E131)*(ROW(TableDiv[Agency])-ROW(TableDiv[[#Headers],[Agency]])),COLUMNS($F$7:U$7))))</f>
        <v/>
      </c>
      <c r="V131" s="2223" t="str" cm="1">
        <f t="array" ref="V131">IF($D131&lt;COLUMNS($F$7:V$7),"",INDEX(TableDiv[[GASB]:[GASB]],_xlfn.AGGREGATE(15,3,(TableDiv[[Agency]:[Agency]]=$E131)/(TableDiv[[Agency]:[Agency]]=$E131)*(ROW(TableDiv[Agency])-ROW(TableDiv[[#Headers],[Agency]])),COLUMNS($F$7:V$7))))</f>
        <v/>
      </c>
      <c r="W131" s="2223" t="str" cm="1">
        <f t="array" ref="W131">IF($D131&lt;COLUMNS($F$7:W$7),"",INDEX(TableDiv[[GASB]:[GASB]],_xlfn.AGGREGATE(15,3,(TableDiv[[Agency]:[Agency]]=$E131)/(TableDiv[[Agency]:[Agency]]=$E131)*(ROW(TableDiv[Agency])-ROW(TableDiv[[#Headers],[Agency]])),COLUMNS($F$7:W$7))))</f>
        <v/>
      </c>
      <c r="X131" s="2223" t="str" cm="1">
        <f t="array" ref="X131">IF($D131&lt;COLUMNS($F$7:X$7),"",INDEX(TableDiv[[GASB]:[GASB]],_xlfn.AGGREGATE(15,3,(TableDiv[[Agency]:[Agency]]=$E131)/(TableDiv[[Agency]:[Agency]]=$E131)*(ROW(TableDiv[Agency])-ROW(TableDiv[[#Headers],[Agency]])),COLUMNS($F$7:X$7))))</f>
        <v/>
      </c>
      <c r="Y131" s="2223" t="str" cm="1">
        <f t="array" ref="Y131">IF($D131&lt;COLUMNS($F$7:Y$7),"",INDEX(TableDiv[[GASB]:[GASB]],_xlfn.AGGREGATE(15,3,(TableDiv[[Agency]:[Agency]]=$E131)/(TableDiv[[Agency]:[Agency]]=$E131)*(ROW(TableDiv[Agency])-ROW(TableDiv[[#Headers],[Agency]])),COLUMNS($F$7:Y$7))))</f>
        <v/>
      </c>
      <c r="Z131" s="2223" t="str" cm="1">
        <f t="array" ref="Z131">IF($D131&lt;COLUMNS($F$7:Z$7),"",INDEX(TableDiv[[GASB]:[GASB]],_xlfn.AGGREGATE(15,3,(TableDiv[[Agency]:[Agency]]=$E131)/(TableDiv[[Agency]:[Agency]]=$E131)*(ROW(TableDiv[Agency])-ROW(TableDiv[[#Headers],[Agency]])),COLUMNS($F$7:Z$7))))</f>
        <v/>
      </c>
      <c r="AA131" s="2223" t="str" cm="1">
        <f t="array" ref="AA131">IF($D131&lt;COLUMNS($F$7:AA$7),"",INDEX(TableDiv[[GASB]:[GASB]],_xlfn.AGGREGATE(15,3,(TableDiv[[Agency]:[Agency]]=$E131)/(TableDiv[[Agency]:[Agency]]=$E131)*(ROW(TableDiv[Agency])-ROW(TableDiv[[#Headers],[Agency]])),COLUMNS($F$7:AA$7))))</f>
        <v/>
      </c>
      <c r="AB131" s="2223" t="str" cm="1">
        <f t="array" ref="AB131">IF($D131&lt;COLUMNS($F$7:AB$7),"",INDEX(TableDiv[[GASB]:[GASB]],_xlfn.AGGREGATE(15,3,(TableDiv[[Agency]:[Agency]]=$E131)/(TableDiv[[Agency]:[Agency]]=$E131)*(ROW(TableDiv[Agency])-ROW(TableDiv[[#Headers],[Agency]])),COLUMNS($F$7:AB$7))))</f>
        <v/>
      </c>
      <c r="AC131" s="2223" t="str" cm="1">
        <f t="array" ref="AC131">IF($D131&lt;COLUMNS($F$7:AC$7),"",INDEX(TableDiv[[GASB]:[GASB]],_xlfn.AGGREGATE(15,3,(TableDiv[[Agency]:[Agency]]=$E131)/(TableDiv[[Agency]:[Agency]]=$E131)*(ROW(TableDiv[Agency])-ROW(TableDiv[[#Headers],[Agency]])),COLUMNS($F$7:AC$7))))</f>
        <v/>
      </c>
      <c r="AD131" s="2223" t="str" cm="1">
        <f t="array" ref="AD131">IF($D131&lt;COLUMNS($F$7:AD$7),"",INDEX(TableDiv[[GASB]:[GASB]],_xlfn.AGGREGATE(15,3,(TableDiv[[Agency]:[Agency]]=$E131)/(TableDiv[[Agency]:[Agency]]=$E131)*(ROW(TableDiv[Agency])-ROW(TableDiv[[#Headers],[Agency]])),COLUMNS($F$7:AD$7))))</f>
        <v/>
      </c>
      <c r="AE131" s="2223" t="str" cm="1">
        <f t="array" ref="AE131">IF($D131&lt;COLUMNS($F$7:AE$7),"",INDEX(TableDiv[[GASB]:[GASB]],_xlfn.AGGREGATE(15,3,(TableDiv[[Agency]:[Agency]]=$E131)/(TableDiv[[Agency]:[Agency]]=$E131)*(ROW(TableDiv[Agency])-ROW(TableDiv[[#Headers],[Agency]])),COLUMNS($F$7:AE$7))))</f>
        <v/>
      </c>
      <c r="AF131" s="2223" t="str" cm="1">
        <f t="array" ref="AF131">IF($D131&lt;COLUMNS($F$7:AF$7),"",INDEX(TableDiv[[GASB]:[GASB]],_xlfn.AGGREGATE(15,3,(TableDiv[[Agency]:[Agency]]=$E131)/(TableDiv[[Agency]:[Agency]]=$E131)*(ROW(TableDiv[Agency])-ROW(TableDiv[[#Headers],[Agency]])),COLUMNS($F$7:AF$7))))</f>
        <v/>
      </c>
      <c r="AG131" s="2223" t="str" cm="1">
        <f t="array" ref="AG131">IF($D131&lt;COLUMNS($F$7:AG$7),"",INDEX(TableDiv[[GASB]:[GASB]],_xlfn.AGGREGATE(15,3,(TableDiv[[Agency]:[Agency]]=$E131)/(TableDiv[[Agency]:[Agency]]=$E131)*(ROW(TableDiv[Agency])-ROW(TableDiv[[#Headers],[Agency]])),COLUMNS($F$7:AG$7))))</f>
        <v/>
      </c>
      <c r="AH131" s="2223" t="str" cm="1">
        <f t="array" ref="AH131">IF($D131&lt;COLUMNS($F$7:AH$7),"",INDEX(TableDiv[[GASB]:[GASB]],_xlfn.AGGREGATE(15,3,(TableDiv[[Agency]:[Agency]]=$E131)/(TableDiv[[Agency]:[Agency]]=$E131)*(ROW(TableDiv[Agency])-ROW(TableDiv[[#Headers],[Agency]])),COLUMNS($F$7:AH$7))))</f>
        <v/>
      </c>
      <c r="AI131" s="2223" t="str" cm="1">
        <f t="array" ref="AI131">IF($D131&lt;COLUMNS($F$7:AI$7),"",INDEX(TableDiv[[GASB]:[GASB]],_xlfn.AGGREGATE(15,3,(TableDiv[[Agency]:[Agency]]=$E131)/(TableDiv[[Agency]:[Agency]]=$E131)*(ROW(TableDiv[Agency])-ROW(TableDiv[[#Headers],[Agency]])),COLUMNS($F$7:AI$7))))</f>
        <v/>
      </c>
      <c r="AJ131" s="2223" t="str" cm="1">
        <f t="array" ref="AJ131">IF($D131&lt;COLUMNS($F$7:AJ$7),"",INDEX(TableDiv[[GASB]:[GASB]],_xlfn.AGGREGATE(15,3,(TableDiv[[Agency]:[Agency]]=$E131)/(TableDiv[[Agency]:[Agency]]=$E131)*(ROW(TableDiv[Agency])-ROW(TableDiv[[#Headers],[Agency]])),COLUMNS($F$7:AJ$7))))</f>
        <v/>
      </c>
      <c r="AK131" s="2223" t="str" cm="1">
        <f t="array" ref="AK131">IF($D131&lt;COLUMNS($F$7:AK$7),"",INDEX(TableDiv[[GASB]:[GASB]],_xlfn.AGGREGATE(15,3,(TableDiv[[Agency]:[Agency]]=$E131)/(TableDiv[[Agency]:[Agency]]=$E131)*(ROW(TableDiv[Agency])-ROW(TableDiv[[#Headers],[Agency]])),COLUMNS($F$7:AK$7))))</f>
        <v/>
      </c>
      <c r="AL131" s="2223" t="str" cm="1">
        <f t="array" ref="AL131">IF($D131&lt;COLUMNS($F$7:AL$7),"",INDEX(TableDiv[[GASB]:[GASB]],_xlfn.AGGREGATE(15,3,(TableDiv[[Agency]:[Agency]]=$E131)/(TableDiv[[Agency]:[Agency]]=$E131)*(ROW(TableDiv[Agency])-ROW(TableDiv[[#Headers],[Agency]])),COLUMNS($F$7:AL$7))))</f>
        <v/>
      </c>
      <c r="AM131" s="2223" t="str" cm="1">
        <f t="array" ref="AM131">IF($D131&lt;COLUMNS($F$7:AM$7),"",INDEX(TableDiv[[GASB]:[GASB]],_xlfn.AGGREGATE(15,3,(TableDiv[[Agency]:[Agency]]=$E131)/(TableDiv[[Agency]:[Agency]]=$E131)*(ROW(TableDiv[Agency])-ROW(TableDiv[[#Headers],[Agency]])),COLUMNS($F$7:AM$7))))</f>
        <v/>
      </c>
      <c r="AN131" s="2223"/>
      <c r="AO131" s="2223"/>
      <c r="AP131" s="2223"/>
      <c r="AQ131" s="2223"/>
      <c r="AR131" s="2223"/>
      <c r="AS131" s="2223"/>
    </row>
    <row r="132" spans="1:45" ht="15" x14ac:dyDescent="0.25">
      <c r="A132" s="2219" t="s">
        <v>5109</v>
      </c>
      <c r="B132" s="2219" t="s">
        <v>6427</v>
      </c>
      <c r="C132" s="2223"/>
      <c r="D132" s="2223">
        <f>COUNTIF(TableDiv[Agency],E132)</f>
        <v>1</v>
      </c>
      <c r="E132" s="2230" t="str" cm="1">
        <f t="array" ref="E132">IFERROR(INDEX(TableDiv[Agency],MATCH(0,INDEX(COUNTIF($E$7:E131,TableDiv[Agency]),),0)),"")</f>
        <v>C7F</v>
      </c>
      <c r="F132" s="2223" t="str" cm="1">
        <f t="array" ref="F132">IF($D132&lt;COLUMNS($F$7:F$7),"",INDEX(TableDiv[[GASB]:[GASB]],_xlfn.AGGREGATE(15,3,(TableDiv[[Agency]:[Agency]]=$E132)/(TableDiv[[Agency]:[Agency]]=$E132)*(ROW(TableDiv[Agency])-ROW(TableDiv[[#Headers],[Agency]])),COLUMNS($F$7:F$7))))</f>
        <v>48200G</v>
      </c>
      <c r="G132" s="2223" t="str" cm="1">
        <f t="array" ref="G132">IF($D132&lt;COLUMNS($F$7:G$7),"",INDEX(TableDiv[[GASB]:[GASB]],_xlfn.AGGREGATE(15,3,(TableDiv[[Agency]:[Agency]]=$E132)/(TableDiv[[Agency]:[Agency]]=$E132)*(ROW(TableDiv[Agency])-ROW(TableDiv[[#Headers],[Agency]])),COLUMNS($F$7:G$7))))</f>
        <v/>
      </c>
      <c r="H132" s="2223" t="str" cm="1">
        <f t="array" ref="H132">IF($D132&lt;COLUMNS($F$7:H$7),"",INDEX(TableDiv[[GASB]:[GASB]],_xlfn.AGGREGATE(15,3,(TableDiv[[Agency]:[Agency]]=$E132)/(TableDiv[[Agency]:[Agency]]=$E132)*(ROW(TableDiv[Agency])-ROW(TableDiv[[#Headers],[Agency]])),COLUMNS($F$7:H$7))))</f>
        <v/>
      </c>
      <c r="I132" s="2223" t="str" cm="1">
        <f t="array" ref="I132">IF($D132&lt;COLUMNS($F$7:I$7),"",INDEX(TableDiv[[GASB]:[GASB]],_xlfn.AGGREGATE(15,3,(TableDiv[[Agency]:[Agency]]=$E132)/(TableDiv[[Agency]:[Agency]]=$E132)*(ROW(TableDiv[Agency])-ROW(TableDiv[[#Headers],[Agency]])),COLUMNS($F$7:I$7))))</f>
        <v/>
      </c>
      <c r="J132" s="2223" t="str" cm="1">
        <f t="array" ref="J132">IF($D132&lt;COLUMNS($F$7:J$7),"",INDEX(TableDiv[[GASB]:[GASB]],_xlfn.AGGREGATE(15,3,(TableDiv[[Agency]:[Agency]]=$E132)/(TableDiv[[Agency]:[Agency]]=$E132)*(ROW(TableDiv[Agency])-ROW(TableDiv[[#Headers],[Agency]])),COLUMNS($F$7:J$7))))</f>
        <v/>
      </c>
      <c r="K132" s="2223" t="str" cm="1">
        <f t="array" ref="K132">IF($D132&lt;COLUMNS($F$7:K$7),"",INDEX(TableDiv[[GASB]:[GASB]],_xlfn.AGGREGATE(15,3,(TableDiv[[Agency]:[Agency]]=$E132)/(TableDiv[[Agency]:[Agency]]=$E132)*(ROW(TableDiv[Agency])-ROW(TableDiv[[#Headers],[Agency]])),COLUMNS($F$7:K$7))))</f>
        <v/>
      </c>
      <c r="L132" s="2223" t="str" cm="1">
        <f t="array" ref="L132">IF($D132&lt;COLUMNS($F$7:L$7),"",INDEX(TableDiv[[GASB]:[GASB]],_xlfn.AGGREGATE(15,3,(TableDiv[[Agency]:[Agency]]=$E132)/(TableDiv[[Agency]:[Agency]]=$E132)*(ROW(TableDiv[Agency])-ROW(TableDiv[[#Headers],[Agency]])),COLUMNS($F$7:L$7))))</f>
        <v/>
      </c>
      <c r="M132" s="2223" t="str" cm="1">
        <f t="array" ref="M132">IF($D132&lt;COLUMNS($F$7:M$7),"",INDEX(TableDiv[[GASB]:[GASB]],_xlfn.AGGREGATE(15,3,(TableDiv[[Agency]:[Agency]]=$E132)/(TableDiv[[Agency]:[Agency]]=$E132)*(ROW(TableDiv[Agency])-ROW(TableDiv[[#Headers],[Agency]])),COLUMNS($F$7:M$7))))</f>
        <v/>
      </c>
      <c r="N132" s="2223" t="str" cm="1">
        <f t="array" ref="N132">IF($D132&lt;COLUMNS($F$7:N$7),"",INDEX(TableDiv[[GASB]:[GASB]],_xlfn.AGGREGATE(15,3,(TableDiv[[Agency]:[Agency]]=$E132)/(TableDiv[[Agency]:[Agency]]=$E132)*(ROW(TableDiv[Agency])-ROW(TableDiv[[#Headers],[Agency]])),COLUMNS($F$7:N$7))))</f>
        <v/>
      </c>
      <c r="O132" s="2223" t="str" cm="1">
        <f t="array" ref="O132">IF($D132&lt;COLUMNS($F$7:O$7),"",INDEX(TableDiv[[GASB]:[GASB]],_xlfn.AGGREGATE(15,3,(TableDiv[[Agency]:[Agency]]=$E132)/(TableDiv[[Agency]:[Agency]]=$E132)*(ROW(TableDiv[Agency])-ROW(TableDiv[[#Headers],[Agency]])),COLUMNS($F$7:O$7))))</f>
        <v/>
      </c>
      <c r="P132" s="2223" t="str" cm="1">
        <f t="array" ref="P132">IF($D132&lt;COLUMNS($F$7:P$7),"",INDEX(TableDiv[[GASB]:[GASB]],_xlfn.AGGREGATE(15,3,(TableDiv[[Agency]:[Agency]]=$E132)/(TableDiv[[Agency]:[Agency]]=$E132)*(ROW(TableDiv[Agency])-ROW(TableDiv[[#Headers],[Agency]])),COLUMNS($F$7:P$7))))</f>
        <v/>
      </c>
      <c r="Q132" s="2223" t="str" cm="1">
        <f t="array" ref="Q132">IF($D132&lt;COLUMNS($F$7:Q$7),"",INDEX(TableDiv[[GASB]:[GASB]],_xlfn.AGGREGATE(15,3,(TableDiv[[Agency]:[Agency]]=$E132)/(TableDiv[[Agency]:[Agency]]=$E132)*(ROW(TableDiv[Agency])-ROW(TableDiv[[#Headers],[Agency]])),COLUMNS($F$7:Q$7))))</f>
        <v/>
      </c>
      <c r="R132" s="2223" t="str" cm="1">
        <f t="array" ref="R132">IF($D132&lt;COLUMNS($F$7:R$7),"",INDEX(TableDiv[[GASB]:[GASB]],_xlfn.AGGREGATE(15,3,(TableDiv[[Agency]:[Agency]]=$E132)/(TableDiv[[Agency]:[Agency]]=$E132)*(ROW(TableDiv[Agency])-ROW(TableDiv[[#Headers],[Agency]])),COLUMNS($F$7:R$7))))</f>
        <v/>
      </c>
      <c r="S132" s="2223" t="str" cm="1">
        <f t="array" ref="S132">IF($D132&lt;COLUMNS($F$7:S$7),"",INDEX(TableDiv[[GASB]:[GASB]],_xlfn.AGGREGATE(15,3,(TableDiv[[Agency]:[Agency]]=$E132)/(TableDiv[[Agency]:[Agency]]=$E132)*(ROW(TableDiv[Agency])-ROW(TableDiv[[#Headers],[Agency]])),COLUMNS($F$7:S$7))))</f>
        <v/>
      </c>
      <c r="T132" s="2223" t="str" cm="1">
        <f t="array" ref="T132">IF($D132&lt;COLUMNS($F$7:T$7),"",INDEX(TableDiv[[GASB]:[GASB]],_xlfn.AGGREGATE(15,3,(TableDiv[[Agency]:[Agency]]=$E132)/(TableDiv[[Agency]:[Agency]]=$E132)*(ROW(TableDiv[Agency])-ROW(TableDiv[[#Headers],[Agency]])),COLUMNS($F$7:T$7))))</f>
        <v/>
      </c>
      <c r="U132" s="2223" t="str" cm="1">
        <f t="array" ref="U132">IF($D132&lt;COLUMNS($F$7:U$7),"",INDEX(TableDiv[[GASB]:[GASB]],_xlfn.AGGREGATE(15,3,(TableDiv[[Agency]:[Agency]]=$E132)/(TableDiv[[Agency]:[Agency]]=$E132)*(ROW(TableDiv[Agency])-ROW(TableDiv[[#Headers],[Agency]])),COLUMNS($F$7:U$7))))</f>
        <v/>
      </c>
      <c r="V132" s="2223" t="str" cm="1">
        <f t="array" ref="V132">IF($D132&lt;COLUMNS($F$7:V$7),"",INDEX(TableDiv[[GASB]:[GASB]],_xlfn.AGGREGATE(15,3,(TableDiv[[Agency]:[Agency]]=$E132)/(TableDiv[[Agency]:[Agency]]=$E132)*(ROW(TableDiv[Agency])-ROW(TableDiv[[#Headers],[Agency]])),COLUMNS($F$7:V$7))))</f>
        <v/>
      </c>
      <c r="W132" s="2223" t="str" cm="1">
        <f t="array" ref="W132">IF($D132&lt;COLUMNS($F$7:W$7),"",INDEX(TableDiv[[GASB]:[GASB]],_xlfn.AGGREGATE(15,3,(TableDiv[[Agency]:[Agency]]=$E132)/(TableDiv[[Agency]:[Agency]]=$E132)*(ROW(TableDiv[Agency])-ROW(TableDiv[[#Headers],[Agency]])),COLUMNS($F$7:W$7))))</f>
        <v/>
      </c>
      <c r="X132" s="2223" t="str" cm="1">
        <f t="array" ref="X132">IF($D132&lt;COLUMNS($F$7:X$7),"",INDEX(TableDiv[[GASB]:[GASB]],_xlfn.AGGREGATE(15,3,(TableDiv[[Agency]:[Agency]]=$E132)/(TableDiv[[Agency]:[Agency]]=$E132)*(ROW(TableDiv[Agency])-ROW(TableDiv[[#Headers],[Agency]])),COLUMNS($F$7:X$7))))</f>
        <v/>
      </c>
      <c r="Y132" s="2223" t="str" cm="1">
        <f t="array" ref="Y132">IF($D132&lt;COLUMNS($F$7:Y$7),"",INDEX(TableDiv[[GASB]:[GASB]],_xlfn.AGGREGATE(15,3,(TableDiv[[Agency]:[Agency]]=$E132)/(TableDiv[[Agency]:[Agency]]=$E132)*(ROW(TableDiv[Agency])-ROW(TableDiv[[#Headers],[Agency]])),COLUMNS($F$7:Y$7))))</f>
        <v/>
      </c>
      <c r="Z132" s="2223" t="str" cm="1">
        <f t="array" ref="Z132">IF($D132&lt;COLUMNS($F$7:Z$7),"",INDEX(TableDiv[[GASB]:[GASB]],_xlfn.AGGREGATE(15,3,(TableDiv[[Agency]:[Agency]]=$E132)/(TableDiv[[Agency]:[Agency]]=$E132)*(ROW(TableDiv[Agency])-ROW(TableDiv[[#Headers],[Agency]])),COLUMNS($F$7:Z$7))))</f>
        <v/>
      </c>
      <c r="AA132" s="2223" t="str" cm="1">
        <f t="array" ref="AA132">IF($D132&lt;COLUMNS($F$7:AA$7),"",INDEX(TableDiv[[GASB]:[GASB]],_xlfn.AGGREGATE(15,3,(TableDiv[[Agency]:[Agency]]=$E132)/(TableDiv[[Agency]:[Agency]]=$E132)*(ROW(TableDiv[Agency])-ROW(TableDiv[[#Headers],[Agency]])),COLUMNS($F$7:AA$7))))</f>
        <v/>
      </c>
      <c r="AB132" s="2223" t="str" cm="1">
        <f t="array" ref="AB132">IF($D132&lt;COLUMNS($F$7:AB$7),"",INDEX(TableDiv[[GASB]:[GASB]],_xlfn.AGGREGATE(15,3,(TableDiv[[Agency]:[Agency]]=$E132)/(TableDiv[[Agency]:[Agency]]=$E132)*(ROW(TableDiv[Agency])-ROW(TableDiv[[#Headers],[Agency]])),COLUMNS($F$7:AB$7))))</f>
        <v/>
      </c>
      <c r="AC132" s="2223" t="str" cm="1">
        <f t="array" ref="AC132">IF($D132&lt;COLUMNS($F$7:AC$7),"",INDEX(TableDiv[[GASB]:[GASB]],_xlfn.AGGREGATE(15,3,(TableDiv[[Agency]:[Agency]]=$E132)/(TableDiv[[Agency]:[Agency]]=$E132)*(ROW(TableDiv[Agency])-ROW(TableDiv[[#Headers],[Agency]])),COLUMNS($F$7:AC$7))))</f>
        <v/>
      </c>
      <c r="AD132" s="2223" t="str" cm="1">
        <f t="array" ref="AD132">IF($D132&lt;COLUMNS($F$7:AD$7),"",INDEX(TableDiv[[GASB]:[GASB]],_xlfn.AGGREGATE(15,3,(TableDiv[[Agency]:[Agency]]=$E132)/(TableDiv[[Agency]:[Agency]]=$E132)*(ROW(TableDiv[Agency])-ROW(TableDiv[[#Headers],[Agency]])),COLUMNS($F$7:AD$7))))</f>
        <v/>
      </c>
      <c r="AE132" s="2223" t="str" cm="1">
        <f t="array" ref="AE132">IF($D132&lt;COLUMNS($F$7:AE$7),"",INDEX(TableDiv[[GASB]:[GASB]],_xlfn.AGGREGATE(15,3,(TableDiv[[Agency]:[Agency]]=$E132)/(TableDiv[[Agency]:[Agency]]=$E132)*(ROW(TableDiv[Agency])-ROW(TableDiv[[#Headers],[Agency]])),COLUMNS($F$7:AE$7))))</f>
        <v/>
      </c>
      <c r="AF132" s="2223" t="str" cm="1">
        <f t="array" ref="AF132">IF($D132&lt;COLUMNS($F$7:AF$7),"",INDEX(TableDiv[[GASB]:[GASB]],_xlfn.AGGREGATE(15,3,(TableDiv[[Agency]:[Agency]]=$E132)/(TableDiv[[Agency]:[Agency]]=$E132)*(ROW(TableDiv[Agency])-ROW(TableDiv[[#Headers],[Agency]])),COLUMNS($F$7:AF$7))))</f>
        <v/>
      </c>
      <c r="AG132" s="2223" t="str" cm="1">
        <f t="array" ref="AG132">IF($D132&lt;COLUMNS($F$7:AG$7),"",INDEX(TableDiv[[GASB]:[GASB]],_xlfn.AGGREGATE(15,3,(TableDiv[[Agency]:[Agency]]=$E132)/(TableDiv[[Agency]:[Agency]]=$E132)*(ROW(TableDiv[Agency])-ROW(TableDiv[[#Headers],[Agency]])),COLUMNS($F$7:AG$7))))</f>
        <v/>
      </c>
      <c r="AH132" s="2223" t="str" cm="1">
        <f t="array" ref="AH132">IF($D132&lt;COLUMNS($F$7:AH$7),"",INDEX(TableDiv[[GASB]:[GASB]],_xlfn.AGGREGATE(15,3,(TableDiv[[Agency]:[Agency]]=$E132)/(TableDiv[[Agency]:[Agency]]=$E132)*(ROW(TableDiv[Agency])-ROW(TableDiv[[#Headers],[Agency]])),COLUMNS($F$7:AH$7))))</f>
        <v/>
      </c>
      <c r="AI132" s="2223" t="str" cm="1">
        <f t="array" ref="AI132">IF($D132&lt;COLUMNS($F$7:AI$7),"",INDEX(TableDiv[[GASB]:[GASB]],_xlfn.AGGREGATE(15,3,(TableDiv[[Agency]:[Agency]]=$E132)/(TableDiv[[Agency]:[Agency]]=$E132)*(ROW(TableDiv[Agency])-ROW(TableDiv[[#Headers],[Agency]])),COLUMNS($F$7:AI$7))))</f>
        <v/>
      </c>
      <c r="AJ132" s="2223" t="str" cm="1">
        <f t="array" ref="AJ132">IF($D132&lt;COLUMNS($F$7:AJ$7),"",INDEX(TableDiv[[GASB]:[GASB]],_xlfn.AGGREGATE(15,3,(TableDiv[[Agency]:[Agency]]=$E132)/(TableDiv[[Agency]:[Agency]]=$E132)*(ROW(TableDiv[Agency])-ROW(TableDiv[[#Headers],[Agency]])),COLUMNS($F$7:AJ$7))))</f>
        <v/>
      </c>
      <c r="AK132" s="2223" t="str" cm="1">
        <f t="array" ref="AK132">IF($D132&lt;COLUMNS($F$7:AK$7),"",INDEX(TableDiv[[GASB]:[GASB]],_xlfn.AGGREGATE(15,3,(TableDiv[[Agency]:[Agency]]=$E132)/(TableDiv[[Agency]:[Agency]]=$E132)*(ROW(TableDiv[Agency])-ROW(TableDiv[[#Headers],[Agency]])),COLUMNS($F$7:AK$7))))</f>
        <v/>
      </c>
      <c r="AL132" s="2223" t="str" cm="1">
        <f t="array" ref="AL132">IF($D132&lt;COLUMNS($F$7:AL$7),"",INDEX(TableDiv[[GASB]:[GASB]],_xlfn.AGGREGATE(15,3,(TableDiv[[Agency]:[Agency]]=$E132)/(TableDiv[[Agency]:[Agency]]=$E132)*(ROW(TableDiv[Agency])-ROW(TableDiv[[#Headers],[Agency]])),COLUMNS($F$7:AL$7))))</f>
        <v/>
      </c>
      <c r="AM132" s="2223" t="str" cm="1">
        <f t="array" ref="AM132">IF($D132&lt;COLUMNS($F$7:AM$7),"",INDEX(TableDiv[[GASB]:[GASB]],_xlfn.AGGREGATE(15,3,(TableDiv[[Agency]:[Agency]]=$E132)/(TableDiv[[Agency]:[Agency]]=$E132)*(ROW(TableDiv[Agency])-ROW(TableDiv[[#Headers],[Agency]])),COLUMNS($F$7:AM$7))))</f>
        <v/>
      </c>
      <c r="AN132" s="2223"/>
      <c r="AO132" s="2223"/>
      <c r="AP132" s="2223"/>
      <c r="AQ132" s="2223"/>
      <c r="AR132" s="2223"/>
      <c r="AS132" s="2223"/>
    </row>
    <row r="133" spans="1:45" ht="15" x14ac:dyDescent="0.25">
      <c r="A133" s="2219" t="s">
        <v>5109</v>
      </c>
      <c r="B133" s="2219" t="s">
        <v>6428</v>
      </c>
      <c r="C133" s="2223"/>
      <c r="D133" s="2223">
        <f>COUNTIF(TableDiv[Agency],E133)</f>
        <v>1</v>
      </c>
      <c r="E133" s="2230" t="str" cm="1">
        <f t="array" ref="E133">IFERROR(INDEX(TableDiv[Agency],MATCH(0,INDEX(COUNTIF($E$7:E132,TableDiv[Agency]),),0)),"")</f>
        <v>C8F</v>
      </c>
      <c r="F133" s="2223" t="str" cm="1">
        <f t="array" ref="F133">IF($D133&lt;COLUMNS($F$7:F$7),"",INDEX(TableDiv[[GASB]:[GASB]],_xlfn.AGGREGATE(15,3,(TableDiv[[Agency]:[Agency]]=$E133)/(TableDiv[[Agency]:[Agency]]=$E133)*(ROW(TableDiv[Agency])-ROW(TableDiv[[#Headers],[Agency]])),COLUMNS($F$7:F$7))))</f>
        <v>48200G</v>
      </c>
      <c r="G133" s="2223" t="str" cm="1">
        <f t="array" ref="G133">IF($D133&lt;COLUMNS($F$7:G$7),"",INDEX(TableDiv[[GASB]:[GASB]],_xlfn.AGGREGATE(15,3,(TableDiv[[Agency]:[Agency]]=$E133)/(TableDiv[[Agency]:[Agency]]=$E133)*(ROW(TableDiv[Agency])-ROW(TableDiv[[#Headers],[Agency]])),COLUMNS($F$7:G$7))))</f>
        <v/>
      </c>
      <c r="H133" s="2223" t="str" cm="1">
        <f t="array" ref="H133">IF($D133&lt;COLUMNS($F$7:H$7),"",INDEX(TableDiv[[GASB]:[GASB]],_xlfn.AGGREGATE(15,3,(TableDiv[[Agency]:[Agency]]=$E133)/(TableDiv[[Agency]:[Agency]]=$E133)*(ROW(TableDiv[Agency])-ROW(TableDiv[[#Headers],[Agency]])),COLUMNS($F$7:H$7))))</f>
        <v/>
      </c>
      <c r="I133" s="2223" t="str" cm="1">
        <f t="array" ref="I133">IF($D133&lt;COLUMNS($F$7:I$7),"",INDEX(TableDiv[[GASB]:[GASB]],_xlfn.AGGREGATE(15,3,(TableDiv[[Agency]:[Agency]]=$E133)/(TableDiv[[Agency]:[Agency]]=$E133)*(ROW(TableDiv[Agency])-ROW(TableDiv[[#Headers],[Agency]])),COLUMNS($F$7:I$7))))</f>
        <v/>
      </c>
      <c r="J133" s="2223" t="str" cm="1">
        <f t="array" ref="J133">IF($D133&lt;COLUMNS($F$7:J$7),"",INDEX(TableDiv[[GASB]:[GASB]],_xlfn.AGGREGATE(15,3,(TableDiv[[Agency]:[Agency]]=$E133)/(TableDiv[[Agency]:[Agency]]=$E133)*(ROW(TableDiv[Agency])-ROW(TableDiv[[#Headers],[Agency]])),COLUMNS($F$7:J$7))))</f>
        <v/>
      </c>
      <c r="K133" s="2223" t="str" cm="1">
        <f t="array" ref="K133">IF($D133&lt;COLUMNS($F$7:K$7),"",INDEX(TableDiv[[GASB]:[GASB]],_xlfn.AGGREGATE(15,3,(TableDiv[[Agency]:[Agency]]=$E133)/(TableDiv[[Agency]:[Agency]]=$E133)*(ROW(TableDiv[Agency])-ROW(TableDiv[[#Headers],[Agency]])),COLUMNS($F$7:K$7))))</f>
        <v/>
      </c>
      <c r="L133" s="2223" t="str" cm="1">
        <f t="array" ref="L133">IF($D133&lt;COLUMNS($F$7:L$7),"",INDEX(TableDiv[[GASB]:[GASB]],_xlfn.AGGREGATE(15,3,(TableDiv[[Agency]:[Agency]]=$E133)/(TableDiv[[Agency]:[Agency]]=$E133)*(ROW(TableDiv[Agency])-ROW(TableDiv[[#Headers],[Agency]])),COLUMNS($F$7:L$7))))</f>
        <v/>
      </c>
      <c r="M133" s="2223" t="str" cm="1">
        <f t="array" ref="M133">IF($D133&lt;COLUMNS($F$7:M$7),"",INDEX(TableDiv[[GASB]:[GASB]],_xlfn.AGGREGATE(15,3,(TableDiv[[Agency]:[Agency]]=$E133)/(TableDiv[[Agency]:[Agency]]=$E133)*(ROW(TableDiv[Agency])-ROW(TableDiv[[#Headers],[Agency]])),COLUMNS($F$7:M$7))))</f>
        <v/>
      </c>
      <c r="N133" s="2223" t="str" cm="1">
        <f t="array" ref="N133">IF($D133&lt;COLUMNS($F$7:N$7),"",INDEX(TableDiv[[GASB]:[GASB]],_xlfn.AGGREGATE(15,3,(TableDiv[[Agency]:[Agency]]=$E133)/(TableDiv[[Agency]:[Agency]]=$E133)*(ROW(TableDiv[Agency])-ROW(TableDiv[[#Headers],[Agency]])),COLUMNS($F$7:N$7))))</f>
        <v/>
      </c>
      <c r="O133" s="2223" t="str" cm="1">
        <f t="array" ref="O133">IF($D133&lt;COLUMNS($F$7:O$7),"",INDEX(TableDiv[[GASB]:[GASB]],_xlfn.AGGREGATE(15,3,(TableDiv[[Agency]:[Agency]]=$E133)/(TableDiv[[Agency]:[Agency]]=$E133)*(ROW(TableDiv[Agency])-ROW(TableDiv[[#Headers],[Agency]])),COLUMNS($F$7:O$7))))</f>
        <v/>
      </c>
      <c r="P133" s="2223" t="str" cm="1">
        <f t="array" ref="P133">IF($D133&lt;COLUMNS($F$7:P$7),"",INDEX(TableDiv[[GASB]:[GASB]],_xlfn.AGGREGATE(15,3,(TableDiv[[Agency]:[Agency]]=$E133)/(TableDiv[[Agency]:[Agency]]=$E133)*(ROW(TableDiv[Agency])-ROW(TableDiv[[#Headers],[Agency]])),COLUMNS($F$7:P$7))))</f>
        <v/>
      </c>
      <c r="Q133" s="2223" t="str" cm="1">
        <f t="array" ref="Q133">IF($D133&lt;COLUMNS($F$7:Q$7),"",INDEX(TableDiv[[GASB]:[GASB]],_xlfn.AGGREGATE(15,3,(TableDiv[[Agency]:[Agency]]=$E133)/(TableDiv[[Agency]:[Agency]]=$E133)*(ROW(TableDiv[Agency])-ROW(TableDiv[[#Headers],[Agency]])),COLUMNS($F$7:Q$7))))</f>
        <v/>
      </c>
      <c r="R133" s="2223" t="str" cm="1">
        <f t="array" ref="R133">IF($D133&lt;COLUMNS($F$7:R$7),"",INDEX(TableDiv[[GASB]:[GASB]],_xlfn.AGGREGATE(15,3,(TableDiv[[Agency]:[Agency]]=$E133)/(TableDiv[[Agency]:[Agency]]=$E133)*(ROW(TableDiv[Agency])-ROW(TableDiv[[#Headers],[Agency]])),COLUMNS($F$7:R$7))))</f>
        <v/>
      </c>
      <c r="S133" s="2223" t="str" cm="1">
        <f t="array" ref="S133">IF($D133&lt;COLUMNS($F$7:S$7),"",INDEX(TableDiv[[GASB]:[GASB]],_xlfn.AGGREGATE(15,3,(TableDiv[[Agency]:[Agency]]=$E133)/(TableDiv[[Agency]:[Agency]]=$E133)*(ROW(TableDiv[Agency])-ROW(TableDiv[[#Headers],[Agency]])),COLUMNS($F$7:S$7))))</f>
        <v/>
      </c>
      <c r="T133" s="2223" t="str" cm="1">
        <f t="array" ref="T133">IF($D133&lt;COLUMNS($F$7:T$7),"",INDEX(TableDiv[[GASB]:[GASB]],_xlfn.AGGREGATE(15,3,(TableDiv[[Agency]:[Agency]]=$E133)/(TableDiv[[Agency]:[Agency]]=$E133)*(ROW(TableDiv[Agency])-ROW(TableDiv[[#Headers],[Agency]])),COLUMNS($F$7:T$7))))</f>
        <v/>
      </c>
      <c r="U133" s="2223" t="str" cm="1">
        <f t="array" ref="U133">IF($D133&lt;COLUMNS($F$7:U$7),"",INDEX(TableDiv[[GASB]:[GASB]],_xlfn.AGGREGATE(15,3,(TableDiv[[Agency]:[Agency]]=$E133)/(TableDiv[[Agency]:[Agency]]=$E133)*(ROW(TableDiv[Agency])-ROW(TableDiv[[#Headers],[Agency]])),COLUMNS($F$7:U$7))))</f>
        <v/>
      </c>
      <c r="V133" s="2223" t="str" cm="1">
        <f t="array" ref="V133">IF($D133&lt;COLUMNS($F$7:V$7),"",INDEX(TableDiv[[GASB]:[GASB]],_xlfn.AGGREGATE(15,3,(TableDiv[[Agency]:[Agency]]=$E133)/(TableDiv[[Agency]:[Agency]]=$E133)*(ROW(TableDiv[Agency])-ROW(TableDiv[[#Headers],[Agency]])),COLUMNS($F$7:V$7))))</f>
        <v/>
      </c>
      <c r="W133" s="2223" t="str" cm="1">
        <f t="array" ref="W133">IF($D133&lt;COLUMNS($F$7:W$7),"",INDEX(TableDiv[[GASB]:[GASB]],_xlfn.AGGREGATE(15,3,(TableDiv[[Agency]:[Agency]]=$E133)/(TableDiv[[Agency]:[Agency]]=$E133)*(ROW(TableDiv[Agency])-ROW(TableDiv[[#Headers],[Agency]])),COLUMNS($F$7:W$7))))</f>
        <v/>
      </c>
      <c r="X133" s="2223" t="str" cm="1">
        <f t="array" ref="X133">IF($D133&lt;COLUMNS($F$7:X$7),"",INDEX(TableDiv[[GASB]:[GASB]],_xlfn.AGGREGATE(15,3,(TableDiv[[Agency]:[Agency]]=$E133)/(TableDiv[[Agency]:[Agency]]=$E133)*(ROW(TableDiv[Agency])-ROW(TableDiv[[#Headers],[Agency]])),COLUMNS($F$7:X$7))))</f>
        <v/>
      </c>
      <c r="Y133" s="2223" t="str" cm="1">
        <f t="array" ref="Y133">IF($D133&lt;COLUMNS($F$7:Y$7),"",INDEX(TableDiv[[GASB]:[GASB]],_xlfn.AGGREGATE(15,3,(TableDiv[[Agency]:[Agency]]=$E133)/(TableDiv[[Agency]:[Agency]]=$E133)*(ROW(TableDiv[Agency])-ROW(TableDiv[[#Headers],[Agency]])),COLUMNS($F$7:Y$7))))</f>
        <v/>
      </c>
      <c r="Z133" s="2223" t="str" cm="1">
        <f t="array" ref="Z133">IF($D133&lt;COLUMNS($F$7:Z$7),"",INDEX(TableDiv[[GASB]:[GASB]],_xlfn.AGGREGATE(15,3,(TableDiv[[Agency]:[Agency]]=$E133)/(TableDiv[[Agency]:[Agency]]=$E133)*(ROW(TableDiv[Agency])-ROW(TableDiv[[#Headers],[Agency]])),COLUMNS($F$7:Z$7))))</f>
        <v/>
      </c>
      <c r="AA133" s="2223" t="str" cm="1">
        <f t="array" ref="AA133">IF($D133&lt;COLUMNS($F$7:AA$7),"",INDEX(TableDiv[[GASB]:[GASB]],_xlfn.AGGREGATE(15,3,(TableDiv[[Agency]:[Agency]]=$E133)/(TableDiv[[Agency]:[Agency]]=$E133)*(ROW(TableDiv[Agency])-ROW(TableDiv[[#Headers],[Agency]])),COLUMNS($F$7:AA$7))))</f>
        <v/>
      </c>
      <c r="AB133" s="2223" t="str" cm="1">
        <f t="array" ref="AB133">IF($D133&lt;COLUMNS($F$7:AB$7),"",INDEX(TableDiv[[GASB]:[GASB]],_xlfn.AGGREGATE(15,3,(TableDiv[[Agency]:[Agency]]=$E133)/(TableDiv[[Agency]:[Agency]]=$E133)*(ROW(TableDiv[Agency])-ROW(TableDiv[[#Headers],[Agency]])),COLUMNS($F$7:AB$7))))</f>
        <v/>
      </c>
      <c r="AC133" s="2223" t="str" cm="1">
        <f t="array" ref="AC133">IF($D133&lt;COLUMNS($F$7:AC$7),"",INDEX(TableDiv[[GASB]:[GASB]],_xlfn.AGGREGATE(15,3,(TableDiv[[Agency]:[Agency]]=$E133)/(TableDiv[[Agency]:[Agency]]=$E133)*(ROW(TableDiv[Agency])-ROW(TableDiv[[#Headers],[Agency]])),COLUMNS($F$7:AC$7))))</f>
        <v/>
      </c>
      <c r="AD133" s="2223" t="str" cm="1">
        <f t="array" ref="AD133">IF($D133&lt;COLUMNS($F$7:AD$7),"",INDEX(TableDiv[[GASB]:[GASB]],_xlfn.AGGREGATE(15,3,(TableDiv[[Agency]:[Agency]]=$E133)/(TableDiv[[Agency]:[Agency]]=$E133)*(ROW(TableDiv[Agency])-ROW(TableDiv[[#Headers],[Agency]])),COLUMNS($F$7:AD$7))))</f>
        <v/>
      </c>
      <c r="AE133" s="2223" t="str" cm="1">
        <f t="array" ref="AE133">IF($D133&lt;COLUMNS($F$7:AE$7),"",INDEX(TableDiv[[GASB]:[GASB]],_xlfn.AGGREGATE(15,3,(TableDiv[[Agency]:[Agency]]=$E133)/(TableDiv[[Agency]:[Agency]]=$E133)*(ROW(TableDiv[Agency])-ROW(TableDiv[[#Headers],[Agency]])),COLUMNS($F$7:AE$7))))</f>
        <v/>
      </c>
      <c r="AF133" s="2223" t="str" cm="1">
        <f t="array" ref="AF133">IF($D133&lt;COLUMNS($F$7:AF$7),"",INDEX(TableDiv[[GASB]:[GASB]],_xlfn.AGGREGATE(15,3,(TableDiv[[Agency]:[Agency]]=$E133)/(TableDiv[[Agency]:[Agency]]=$E133)*(ROW(TableDiv[Agency])-ROW(TableDiv[[#Headers],[Agency]])),COLUMNS($F$7:AF$7))))</f>
        <v/>
      </c>
      <c r="AG133" s="2223" t="str" cm="1">
        <f t="array" ref="AG133">IF($D133&lt;COLUMNS($F$7:AG$7),"",INDEX(TableDiv[[GASB]:[GASB]],_xlfn.AGGREGATE(15,3,(TableDiv[[Agency]:[Agency]]=$E133)/(TableDiv[[Agency]:[Agency]]=$E133)*(ROW(TableDiv[Agency])-ROW(TableDiv[[#Headers],[Agency]])),COLUMNS($F$7:AG$7))))</f>
        <v/>
      </c>
      <c r="AH133" s="2223" t="str" cm="1">
        <f t="array" ref="AH133">IF($D133&lt;COLUMNS($F$7:AH$7),"",INDEX(TableDiv[[GASB]:[GASB]],_xlfn.AGGREGATE(15,3,(TableDiv[[Agency]:[Agency]]=$E133)/(TableDiv[[Agency]:[Agency]]=$E133)*(ROW(TableDiv[Agency])-ROW(TableDiv[[#Headers],[Agency]])),COLUMNS($F$7:AH$7))))</f>
        <v/>
      </c>
      <c r="AI133" s="2223" t="str" cm="1">
        <f t="array" ref="AI133">IF($D133&lt;COLUMNS($F$7:AI$7),"",INDEX(TableDiv[[GASB]:[GASB]],_xlfn.AGGREGATE(15,3,(TableDiv[[Agency]:[Agency]]=$E133)/(TableDiv[[Agency]:[Agency]]=$E133)*(ROW(TableDiv[Agency])-ROW(TableDiv[[#Headers],[Agency]])),COLUMNS($F$7:AI$7))))</f>
        <v/>
      </c>
      <c r="AJ133" s="2223" t="str" cm="1">
        <f t="array" ref="AJ133">IF($D133&lt;COLUMNS($F$7:AJ$7),"",INDEX(TableDiv[[GASB]:[GASB]],_xlfn.AGGREGATE(15,3,(TableDiv[[Agency]:[Agency]]=$E133)/(TableDiv[[Agency]:[Agency]]=$E133)*(ROW(TableDiv[Agency])-ROW(TableDiv[[#Headers],[Agency]])),COLUMNS($F$7:AJ$7))))</f>
        <v/>
      </c>
      <c r="AK133" s="2223" t="str" cm="1">
        <f t="array" ref="AK133">IF($D133&lt;COLUMNS($F$7:AK$7),"",INDEX(TableDiv[[GASB]:[GASB]],_xlfn.AGGREGATE(15,3,(TableDiv[[Agency]:[Agency]]=$E133)/(TableDiv[[Agency]:[Agency]]=$E133)*(ROW(TableDiv[Agency])-ROW(TableDiv[[#Headers],[Agency]])),COLUMNS($F$7:AK$7))))</f>
        <v/>
      </c>
      <c r="AL133" s="2223" t="str" cm="1">
        <f t="array" ref="AL133">IF($D133&lt;COLUMNS($F$7:AL$7),"",INDEX(TableDiv[[GASB]:[GASB]],_xlfn.AGGREGATE(15,3,(TableDiv[[Agency]:[Agency]]=$E133)/(TableDiv[[Agency]:[Agency]]=$E133)*(ROW(TableDiv[Agency])-ROW(TableDiv[[#Headers],[Agency]])),COLUMNS($F$7:AL$7))))</f>
        <v/>
      </c>
      <c r="AM133" s="2223" t="str" cm="1">
        <f t="array" ref="AM133">IF($D133&lt;COLUMNS($F$7:AM$7),"",INDEX(TableDiv[[GASB]:[GASB]],_xlfn.AGGREGATE(15,3,(TableDiv[[Agency]:[Agency]]=$E133)/(TableDiv[[Agency]:[Agency]]=$E133)*(ROW(TableDiv[Agency])-ROW(TableDiv[[#Headers],[Agency]])),COLUMNS($F$7:AM$7))))</f>
        <v/>
      </c>
      <c r="AN133" s="2223"/>
      <c r="AO133" s="2223"/>
      <c r="AP133" s="2223"/>
      <c r="AQ133" s="2223"/>
      <c r="AR133" s="2223"/>
      <c r="AS133" s="2223"/>
    </row>
    <row r="134" spans="1:45" ht="15" x14ac:dyDescent="0.25">
      <c r="A134" s="2219" t="s">
        <v>5109</v>
      </c>
      <c r="B134" s="2219" t="s">
        <v>6429</v>
      </c>
      <c r="C134" s="2223"/>
      <c r="D134" s="2223">
        <f>COUNTIF(TableDiv[Agency],E134)</f>
        <v>1</v>
      </c>
      <c r="E134" s="2230" t="str" cm="1">
        <f t="array" ref="E134">IFERROR(INDEX(TableDiv[Agency],MATCH(0,INDEX(COUNTIF($E$7:E133,TableDiv[Agency]),),0)),"")</f>
        <v>C9F</v>
      </c>
      <c r="F134" s="2223" t="str" cm="1">
        <f t="array" ref="F134">IF($D134&lt;COLUMNS($F$7:F$7),"",INDEX(TableDiv[[GASB]:[GASB]],_xlfn.AGGREGATE(15,3,(TableDiv[[Agency]:[Agency]]=$E134)/(TableDiv[[Agency]:[Agency]]=$E134)*(ROW(TableDiv[Agency])-ROW(TableDiv[[#Headers],[Agency]])),COLUMNS($F$7:F$7))))</f>
        <v>48200G</v>
      </c>
      <c r="G134" s="2223" t="str" cm="1">
        <f t="array" ref="G134">IF($D134&lt;COLUMNS($F$7:G$7),"",INDEX(TableDiv[[GASB]:[GASB]],_xlfn.AGGREGATE(15,3,(TableDiv[[Agency]:[Agency]]=$E134)/(TableDiv[[Agency]:[Agency]]=$E134)*(ROW(TableDiv[Agency])-ROW(TableDiv[[#Headers],[Agency]])),COLUMNS($F$7:G$7))))</f>
        <v/>
      </c>
      <c r="H134" s="2223" t="str" cm="1">
        <f t="array" ref="H134">IF($D134&lt;COLUMNS($F$7:H$7),"",INDEX(TableDiv[[GASB]:[GASB]],_xlfn.AGGREGATE(15,3,(TableDiv[[Agency]:[Agency]]=$E134)/(TableDiv[[Agency]:[Agency]]=$E134)*(ROW(TableDiv[Agency])-ROW(TableDiv[[#Headers],[Agency]])),COLUMNS($F$7:H$7))))</f>
        <v/>
      </c>
      <c r="I134" s="2223" t="str" cm="1">
        <f t="array" ref="I134">IF($D134&lt;COLUMNS($F$7:I$7),"",INDEX(TableDiv[[GASB]:[GASB]],_xlfn.AGGREGATE(15,3,(TableDiv[[Agency]:[Agency]]=$E134)/(TableDiv[[Agency]:[Agency]]=$E134)*(ROW(TableDiv[Agency])-ROW(TableDiv[[#Headers],[Agency]])),COLUMNS($F$7:I$7))))</f>
        <v/>
      </c>
      <c r="J134" s="2223" t="str" cm="1">
        <f t="array" ref="J134">IF($D134&lt;COLUMNS($F$7:J$7),"",INDEX(TableDiv[[GASB]:[GASB]],_xlfn.AGGREGATE(15,3,(TableDiv[[Agency]:[Agency]]=$E134)/(TableDiv[[Agency]:[Agency]]=$E134)*(ROW(TableDiv[Agency])-ROW(TableDiv[[#Headers],[Agency]])),COLUMNS($F$7:J$7))))</f>
        <v/>
      </c>
      <c r="K134" s="2223" t="str" cm="1">
        <f t="array" ref="K134">IF($D134&lt;COLUMNS($F$7:K$7),"",INDEX(TableDiv[[GASB]:[GASB]],_xlfn.AGGREGATE(15,3,(TableDiv[[Agency]:[Agency]]=$E134)/(TableDiv[[Agency]:[Agency]]=$E134)*(ROW(TableDiv[Agency])-ROW(TableDiv[[#Headers],[Agency]])),COLUMNS($F$7:K$7))))</f>
        <v/>
      </c>
      <c r="L134" s="2223" t="str" cm="1">
        <f t="array" ref="L134">IF($D134&lt;COLUMNS($F$7:L$7),"",INDEX(TableDiv[[GASB]:[GASB]],_xlfn.AGGREGATE(15,3,(TableDiv[[Agency]:[Agency]]=$E134)/(TableDiv[[Agency]:[Agency]]=$E134)*(ROW(TableDiv[Agency])-ROW(TableDiv[[#Headers],[Agency]])),COLUMNS($F$7:L$7))))</f>
        <v/>
      </c>
      <c r="M134" s="2223" t="str" cm="1">
        <f t="array" ref="M134">IF($D134&lt;COLUMNS($F$7:M$7),"",INDEX(TableDiv[[GASB]:[GASB]],_xlfn.AGGREGATE(15,3,(TableDiv[[Agency]:[Agency]]=$E134)/(TableDiv[[Agency]:[Agency]]=$E134)*(ROW(TableDiv[Agency])-ROW(TableDiv[[#Headers],[Agency]])),COLUMNS($F$7:M$7))))</f>
        <v/>
      </c>
      <c r="N134" s="2223" t="str" cm="1">
        <f t="array" ref="N134">IF($D134&lt;COLUMNS($F$7:N$7),"",INDEX(TableDiv[[GASB]:[GASB]],_xlfn.AGGREGATE(15,3,(TableDiv[[Agency]:[Agency]]=$E134)/(TableDiv[[Agency]:[Agency]]=$E134)*(ROW(TableDiv[Agency])-ROW(TableDiv[[#Headers],[Agency]])),COLUMNS($F$7:N$7))))</f>
        <v/>
      </c>
      <c r="O134" s="2223" t="str" cm="1">
        <f t="array" ref="O134">IF($D134&lt;COLUMNS($F$7:O$7),"",INDEX(TableDiv[[GASB]:[GASB]],_xlfn.AGGREGATE(15,3,(TableDiv[[Agency]:[Agency]]=$E134)/(TableDiv[[Agency]:[Agency]]=$E134)*(ROW(TableDiv[Agency])-ROW(TableDiv[[#Headers],[Agency]])),COLUMNS($F$7:O$7))))</f>
        <v/>
      </c>
      <c r="P134" s="2223" t="str" cm="1">
        <f t="array" ref="P134">IF($D134&lt;COLUMNS($F$7:P$7),"",INDEX(TableDiv[[GASB]:[GASB]],_xlfn.AGGREGATE(15,3,(TableDiv[[Agency]:[Agency]]=$E134)/(TableDiv[[Agency]:[Agency]]=$E134)*(ROW(TableDiv[Agency])-ROW(TableDiv[[#Headers],[Agency]])),COLUMNS($F$7:P$7))))</f>
        <v/>
      </c>
      <c r="Q134" s="2223" t="str" cm="1">
        <f t="array" ref="Q134">IF($D134&lt;COLUMNS($F$7:Q$7),"",INDEX(TableDiv[[GASB]:[GASB]],_xlfn.AGGREGATE(15,3,(TableDiv[[Agency]:[Agency]]=$E134)/(TableDiv[[Agency]:[Agency]]=$E134)*(ROW(TableDiv[Agency])-ROW(TableDiv[[#Headers],[Agency]])),COLUMNS($F$7:Q$7))))</f>
        <v/>
      </c>
      <c r="R134" s="2223" t="str" cm="1">
        <f t="array" ref="R134">IF($D134&lt;COLUMNS($F$7:R$7),"",INDEX(TableDiv[[GASB]:[GASB]],_xlfn.AGGREGATE(15,3,(TableDiv[[Agency]:[Agency]]=$E134)/(TableDiv[[Agency]:[Agency]]=$E134)*(ROW(TableDiv[Agency])-ROW(TableDiv[[#Headers],[Agency]])),COLUMNS($F$7:R$7))))</f>
        <v/>
      </c>
      <c r="S134" s="2223" t="str" cm="1">
        <f t="array" ref="S134">IF($D134&lt;COLUMNS($F$7:S$7),"",INDEX(TableDiv[[GASB]:[GASB]],_xlfn.AGGREGATE(15,3,(TableDiv[[Agency]:[Agency]]=$E134)/(TableDiv[[Agency]:[Agency]]=$E134)*(ROW(TableDiv[Agency])-ROW(TableDiv[[#Headers],[Agency]])),COLUMNS($F$7:S$7))))</f>
        <v/>
      </c>
      <c r="T134" s="2223" t="str" cm="1">
        <f t="array" ref="T134">IF($D134&lt;COLUMNS($F$7:T$7),"",INDEX(TableDiv[[GASB]:[GASB]],_xlfn.AGGREGATE(15,3,(TableDiv[[Agency]:[Agency]]=$E134)/(TableDiv[[Agency]:[Agency]]=$E134)*(ROW(TableDiv[Agency])-ROW(TableDiv[[#Headers],[Agency]])),COLUMNS($F$7:T$7))))</f>
        <v/>
      </c>
      <c r="U134" s="2223" t="str" cm="1">
        <f t="array" ref="U134">IF($D134&lt;COLUMNS($F$7:U$7),"",INDEX(TableDiv[[GASB]:[GASB]],_xlfn.AGGREGATE(15,3,(TableDiv[[Agency]:[Agency]]=$E134)/(TableDiv[[Agency]:[Agency]]=$E134)*(ROW(TableDiv[Agency])-ROW(TableDiv[[#Headers],[Agency]])),COLUMNS($F$7:U$7))))</f>
        <v/>
      </c>
      <c r="V134" s="2223" t="str" cm="1">
        <f t="array" ref="V134">IF($D134&lt;COLUMNS($F$7:V$7),"",INDEX(TableDiv[[GASB]:[GASB]],_xlfn.AGGREGATE(15,3,(TableDiv[[Agency]:[Agency]]=$E134)/(TableDiv[[Agency]:[Agency]]=$E134)*(ROW(TableDiv[Agency])-ROW(TableDiv[[#Headers],[Agency]])),COLUMNS($F$7:V$7))))</f>
        <v/>
      </c>
      <c r="W134" s="2223" t="str" cm="1">
        <f t="array" ref="W134">IF($D134&lt;COLUMNS($F$7:W$7),"",INDEX(TableDiv[[GASB]:[GASB]],_xlfn.AGGREGATE(15,3,(TableDiv[[Agency]:[Agency]]=$E134)/(TableDiv[[Agency]:[Agency]]=$E134)*(ROW(TableDiv[Agency])-ROW(TableDiv[[#Headers],[Agency]])),COLUMNS($F$7:W$7))))</f>
        <v/>
      </c>
      <c r="X134" s="2223" t="str" cm="1">
        <f t="array" ref="X134">IF($D134&lt;COLUMNS($F$7:X$7),"",INDEX(TableDiv[[GASB]:[GASB]],_xlfn.AGGREGATE(15,3,(TableDiv[[Agency]:[Agency]]=$E134)/(TableDiv[[Agency]:[Agency]]=$E134)*(ROW(TableDiv[Agency])-ROW(TableDiv[[#Headers],[Agency]])),COLUMNS($F$7:X$7))))</f>
        <v/>
      </c>
      <c r="Y134" s="2223" t="str" cm="1">
        <f t="array" ref="Y134">IF($D134&lt;COLUMNS($F$7:Y$7),"",INDEX(TableDiv[[GASB]:[GASB]],_xlfn.AGGREGATE(15,3,(TableDiv[[Agency]:[Agency]]=$E134)/(TableDiv[[Agency]:[Agency]]=$E134)*(ROW(TableDiv[Agency])-ROW(TableDiv[[#Headers],[Agency]])),COLUMNS($F$7:Y$7))))</f>
        <v/>
      </c>
      <c r="Z134" s="2223" t="str" cm="1">
        <f t="array" ref="Z134">IF($D134&lt;COLUMNS($F$7:Z$7),"",INDEX(TableDiv[[GASB]:[GASB]],_xlfn.AGGREGATE(15,3,(TableDiv[[Agency]:[Agency]]=$E134)/(TableDiv[[Agency]:[Agency]]=$E134)*(ROW(TableDiv[Agency])-ROW(TableDiv[[#Headers],[Agency]])),COLUMNS($F$7:Z$7))))</f>
        <v/>
      </c>
      <c r="AA134" s="2223" t="str" cm="1">
        <f t="array" ref="AA134">IF($D134&lt;COLUMNS($F$7:AA$7),"",INDEX(TableDiv[[GASB]:[GASB]],_xlfn.AGGREGATE(15,3,(TableDiv[[Agency]:[Agency]]=$E134)/(TableDiv[[Agency]:[Agency]]=$E134)*(ROW(TableDiv[Agency])-ROW(TableDiv[[#Headers],[Agency]])),COLUMNS($F$7:AA$7))))</f>
        <v/>
      </c>
      <c r="AB134" s="2223" t="str" cm="1">
        <f t="array" ref="AB134">IF($D134&lt;COLUMNS($F$7:AB$7),"",INDEX(TableDiv[[GASB]:[GASB]],_xlfn.AGGREGATE(15,3,(TableDiv[[Agency]:[Agency]]=$E134)/(TableDiv[[Agency]:[Agency]]=$E134)*(ROW(TableDiv[Agency])-ROW(TableDiv[[#Headers],[Agency]])),COLUMNS($F$7:AB$7))))</f>
        <v/>
      </c>
      <c r="AC134" s="2223" t="str" cm="1">
        <f t="array" ref="AC134">IF($D134&lt;COLUMNS($F$7:AC$7),"",INDEX(TableDiv[[GASB]:[GASB]],_xlfn.AGGREGATE(15,3,(TableDiv[[Agency]:[Agency]]=$E134)/(TableDiv[[Agency]:[Agency]]=$E134)*(ROW(TableDiv[Agency])-ROW(TableDiv[[#Headers],[Agency]])),COLUMNS($F$7:AC$7))))</f>
        <v/>
      </c>
      <c r="AD134" s="2223" t="str" cm="1">
        <f t="array" ref="AD134">IF($D134&lt;COLUMNS($F$7:AD$7),"",INDEX(TableDiv[[GASB]:[GASB]],_xlfn.AGGREGATE(15,3,(TableDiv[[Agency]:[Agency]]=$E134)/(TableDiv[[Agency]:[Agency]]=$E134)*(ROW(TableDiv[Agency])-ROW(TableDiv[[#Headers],[Agency]])),COLUMNS($F$7:AD$7))))</f>
        <v/>
      </c>
      <c r="AE134" s="2223" t="str" cm="1">
        <f t="array" ref="AE134">IF($D134&lt;COLUMNS($F$7:AE$7),"",INDEX(TableDiv[[GASB]:[GASB]],_xlfn.AGGREGATE(15,3,(TableDiv[[Agency]:[Agency]]=$E134)/(TableDiv[[Agency]:[Agency]]=$E134)*(ROW(TableDiv[Agency])-ROW(TableDiv[[#Headers],[Agency]])),COLUMNS($F$7:AE$7))))</f>
        <v/>
      </c>
      <c r="AF134" s="2223" t="str" cm="1">
        <f t="array" ref="AF134">IF($D134&lt;COLUMNS($F$7:AF$7),"",INDEX(TableDiv[[GASB]:[GASB]],_xlfn.AGGREGATE(15,3,(TableDiv[[Agency]:[Agency]]=$E134)/(TableDiv[[Agency]:[Agency]]=$E134)*(ROW(TableDiv[Agency])-ROW(TableDiv[[#Headers],[Agency]])),COLUMNS($F$7:AF$7))))</f>
        <v/>
      </c>
      <c r="AG134" s="2223" t="str" cm="1">
        <f t="array" ref="AG134">IF($D134&lt;COLUMNS($F$7:AG$7),"",INDEX(TableDiv[[GASB]:[GASB]],_xlfn.AGGREGATE(15,3,(TableDiv[[Agency]:[Agency]]=$E134)/(TableDiv[[Agency]:[Agency]]=$E134)*(ROW(TableDiv[Agency])-ROW(TableDiv[[#Headers],[Agency]])),COLUMNS($F$7:AG$7))))</f>
        <v/>
      </c>
      <c r="AH134" s="2223" t="str" cm="1">
        <f t="array" ref="AH134">IF($D134&lt;COLUMNS($F$7:AH$7),"",INDEX(TableDiv[[GASB]:[GASB]],_xlfn.AGGREGATE(15,3,(TableDiv[[Agency]:[Agency]]=$E134)/(TableDiv[[Agency]:[Agency]]=$E134)*(ROW(TableDiv[Agency])-ROW(TableDiv[[#Headers],[Agency]])),COLUMNS($F$7:AH$7))))</f>
        <v/>
      </c>
      <c r="AI134" s="2223" t="str" cm="1">
        <f t="array" ref="AI134">IF($D134&lt;COLUMNS($F$7:AI$7),"",INDEX(TableDiv[[GASB]:[GASB]],_xlfn.AGGREGATE(15,3,(TableDiv[[Agency]:[Agency]]=$E134)/(TableDiv[[Agency]:[Agency]]=$E134)*(ROW(TableDiv[Agency])-ROW(TableDiv[[#Headers],[Agency]])),COLUMNS($F$7:AI$7))))</f>
        <v/>
      </c>
      <c r="AJ134" s="2223" t="str" cm="1">
        <f t="array" ref="AJ134">IF($D134&lt;COLUMNS($F$7:AJ$7),"",INDEX(TableDiv[[GASB]:[GASB]],_xlfn.AGGREGATE(15,3,(TableDiv[[Agency]:[Agency]]=$E134)/(TableDiv[[Agency]:[Agency]]=$E134)*(ROW(TableDiv[Agency])-ROW(TableDiv[[#Headers],[Agency]])),COLUMNS($F$7:AJ$7))))</f>
        <v/>
      </c>
      <c r="AK134" s="2223" t="str" cm="1">
        <f t="array" ref="AK134">IF($D134&lt;COLUMNS($F$7:AK$7),"",INDEX(TableDiv[[GASB]:[GASB]],_xlfn.AGGREGATE(15,3,(TableDiv[[Agency]:[Agency]]=$E134)/(TableDiv[[Agency]:[Agency]]=$E134)*(ROW(TableDiv[Agency])-ROW(TableDiv[[#Headers],[Agency]])),COLUMNS($F$7:AK$7))))</f>
        <v/>
      </c>
      <c r="AL134" s="2223" t="str" cm="1">
        <f t="array" ref="AL134">IF($D134&lt;COLUMNS($F$7:AL$7),"",INDEX(TableDiv[[GASB]:[GASB]],_xlfn.AGGREGATE(15,3,(TableDiv[[Agency]:[Agency]]=$E134)/(TableDiv[[Agency]:[Agency]]=$E134)*(ROW(TableDiv[Agency])-ROW(TableDiv[[#Headers],[Agency]])),COLUMNS($F$7:AL$7))))</f>
        <v/>
      </c>
      <c r="AM134" s="2223" t="str" cm="1">
        <f t="array" ref="AM134">IF($D134&lt;COLUMNS($F$7:AM$7),"",INDEX(TableDiv[[GASB]:[GASB]],_xlfn.AGGREGATE(15,3,(TableDiv[[Agency]:[Agency]]=$E134)/(TableDiv[[Agency]:[Agency]]=$E134)*(ROW(TableDiv[Agency])-ROW(TableDiv[[#Headers],[Agency]])),COLUMNS($F$7:AM$7))))</f>
        <v/>
      </c>
      <c r="AN134" s="2223"/>
      <c r="AO134" s="2223"/>
      <c r="AP134" s="2223"/>
      <c r="AQ134" s="2223"/>
      <c r="AR134" s="2223"/>
      <c r="AS134" s="2223"/>
    </row>
    <row r="135" spans="1:45" ht="15" x14ac:dyDescent="0.25">
      <c r="A135" s="2219" t="s">
        <v>5109</v>
      </c>
      <c r="B135" s="2219" t="s">
        <v>6430</v>
      </c>
      <c r="C135" s="2223"/>
      <c r="D135" s="2223">
        <f>COUNTIF(TableDiv[Agency],E135)</f>
        <v>1</v>
      </c>
      <c r="E135" s="2230" t="str" cm="1">
        <f t="array" ref="E135">IFERROR(INDEX(TableDiv[Agency],MATCH(0,INDEX(COUNTIF($E$7:E134,TableDiv[Agency]),),0)),"")</f>
        <v>CAF</v>
      </c>
      <c r="F135" s="2223" t="str" cm="1">
        <f t="array" ref="F135">IF($D135&lt;COLUMNS($F$7:F$7),"",INDEX(TableDiv[[GASB]:[GASB]],_xlfn.AGGREGATE(15,3,(TableDiv[[Agency]:[Agency]]=$E135)/(TableDiv[[Agency]:[Agency]]=$E135)*(ROW(TableDiv[Agency])-ROW(TableDiv[[#Headers],[Agency]])),COLUMNS($F$7:F$7))))</f>
        <v>48200G</v>
      </c>
      <c r="G135" s="2223" t="str" cm="1">
        <f t="array" ref="G135">IF($D135&lt;COLUMNS($F$7:G$7),"",INDEX(TableDiv[[GASB]:[GASB]],_xlfn.AGGREGATE(15,3,(TableDiv[[Agency]:[Agency]]=$E135)/(TableDiv[[Agency]:[Agency]]=$E135)*(ROW(TableDiv[Agency])-ROW(TableDiv[[#Headers],[Agency]])),COLUMNS($F$7:G$7))))</f>
        <v/>
      </c>
      <c r="H135" s="2223" t="str" cm="1">
        <f t="array" ref="H135">IF($D135&lt;COLUMNS($F$7:H$7),"",INDEX(TableDiv[[GASB]:[GASB]],_xlfn.AGGREGATE(15,3,(TableDiv[[Agency]:[Agency]]=$E135)/(TableDiv[[Agency]:[Agency]]=$E135)*(ROW(TableDiv[Agency])-ROW(TableDiv[[#Headers],[Agency]])),COLUMNS($F$7:H$7))))</f>
        <v/>
      </c>
      <c r="I135" s="2223" t="str" cm="1">
        <f t="array" ref="I135">IF($D135&lt;COLUMNS($F$7:I$7),"",INDEX(TableDiv[[GASB]:[GASB]],_xlfn.AGGREGATE(15,3,(TableDiv[[Agency]:[Agency]]=$E135)/(TableDiv[[Agency]:[Agency]]=$E135)*(ROW(TableDiv[Agency])-ROW(TableDiv[[#Headers],[Agency]])),COLUMNS($F$7:I$7))))</f>
        <v/>
      </c>
      <c r="J135" s="2223" t="str" cm="1">
        <f t="array" ref="J135">IF($D135&lt;COLUMNS($F$7:J$7),"",INDEX(TableDiv[[GASB]:[GASB]],_xlfn.AGGREGATE(15,3,(TableDiv[[Agency]:[Agency]]=$E135)/(TableDiv[[Agency]:[Agency]]=$E135)*(ROW(TableDiv[Agency])-ROW(TableDiv[[#Headers],[Agency]])),COLUMNS($F$7:J$7))))</f>
        <v/>
      </c>
      <c r="K135" s="2223" t="str" cm="1">
        <f t="array" ref="K135">IF($D135&lt;COLUMNS($F$7:K$7),"",INDEX(TableDiv[[GASB]:[GASB]],_xlfn.AGGREGATE(15,3,(TableDiv[[Agency]:[Agency]]=$E135)/(TableDiv[[Agency]:[Agency]]=$E135)*(ROW(TableDiv[Agency])-ROW(TableDiv[[#Headers],[Agency]])),COLUMNS($F$7:K$7))))</f>
        <v/>
      </c>
      <c r="L135" s="2223" t="str" cm="1">
        <f t="array" ref="L135">IF($D135&lt;COLUMNS($F$7:L$7),"",INDEX(TableDiv[[GASB]:[GASB]],_xlfn.AGGREGATE(15,3,(TableDiv[[Agency]:[Agency]]=$E135)/(TableDiv[[Agency]:[Agency]]=$E135)*(ROW(TableDiv[Agency])-ROW(TableDiv[[#Headers],[Agency]])),COLUMNS($F$7:L$7))))</f>
        <v/>
      </c>
      <c r="M135" s="2223" t="str" cm="1">
        <f t="array" ref="M135">IF($D135&lt;COLUMNS($F$7:M$7),"",INDEX(TableDiv[[GASB]:[GASB]],_xlfn.AGGREGATE(15,3,(TableDiv[[Agency]:[Agency]]=$E135)/(TableDiv[[Agency]:[Agency]]=$E135)*(ROW(TableDiv[Agency])-ROW(TableDiv[[#Headers],[Agency]])),COLUMNS($F$7:M$7))))</f>
        <v/>
      </c>
      <c r="N135" s="2223" t="str" cm="1">
        <f t="array" ref="N135">IF($D135&lt;COLUMNS($F$7:N$7),"",INDEX(TableDiv[[GASB]:[GASB]],_xlfn.AGGREGATE(15,3,(TableDiv[[Agency]:[Agency]]=$E135)/(TableDiv[[Agency]:[Agency]]=$E135)*(ROW(TableDiv[Agency])-ROW(TableDiv[[#Headers],[Agency]])),COLUMNS($F$7:N$7))))</f>
        <v/>
      </c>
      <c r="O135" s="2223" t="str" cm="1">
        <f t="array" ref="O135">IF($D135&lt;COLUMNS($F$7:O$7),"",INDEX(TableDiv[[GASB]:[GASB]],_xlfn.AGGREGATE(15,3,(TableDiv[[Agency]:[Agency]]=$E135)/(TableDiv[[Agency]:[Agency]]=$E135)*(ROW(TableDiv[Agency])-ROW(TableDiv[[#Headers],[Agency]])),COLUMNS($F$7:O$7))))</f>
        <v/>
      </c>
      <c r="P135" s="2223" t="str" cm="1">
        <f t="array" ref="P135">IF($D135&lt;COLUMNS($F$7:P$7),"",INDEX(TableDiv[[GASB]:[GASB]],_xlfn.AGGREGATE(15,3,(TableDiv[[Agency]:[Agency]]=$E135)/(TableDiv[[Agency]:[Agency]]=$E135)*(ROW(TableDiv[Agency])-ROW(TableDiv[[#Headers],[Agency]])),COLUMNS($F$7:P$7))))</f>
        <v/>
      </c>
      <c r="Q135" s="2223" t="str" cm="1">
        <f t="array" ref="Q135">IF($D135&lt;COLUMNS($F$7:Q$7),"",INDEX(TableDiv[[GASB]:[GASB]],_xlfn.AGGREGATE(15,3,(TableDiv[[Agency]:[Agency]]=$E135)/(TableDiv[[Agency]:[Agency]]=$E135)*(ROW(TableDiv[Agency])-ROW(TableDiv[[#Headers],[Agency]])),COLUMNS($F$7:Q$7))))</f>
        <v/>
      </c>
      <c r="R135" s="2223" t="str" cm="1">
        <f t="array" ref="R135">IF($D135&lt;COLUMNS($F$7:R$7),"",INDEX(TableDiv[[GASB]:[GASB]],_xlfn.AGGREGATE(15,3,(TableDiv[[Agency]:[Agency]]=$E135)/(TableDiv[[Agency]:[Agency]]=$E135)*(ROW(TableDiv[Agency])-ROW(TableDiv[[#Headers],[Agency]])),COLUMNS($F$7:R$7))))</f>
        <v/>
      </c>
      <c r="S135" s="2223" t="str" cm="1">
        <f t="array" ref="S135">IF($D135&lt;COLUMNS($F$7:S$7),"",INDEX(TableDiv[[GASB]:[GASB]],_xlfn.AGGREGATE(15,3,(TableDiv[[Agency]:[Agency]]=$E135)/(TableDiv[[Agency]:[Agency]]=$E135)*(ROW(TableDiv[Agency])-ROW(TableDiv[[#Headers],[Agency]])),COLUMNS($F$7:S$7))))</f>
        <v/>
      </c>
      <c r="T135" s="2223" t="str" cm="1">
        <f t="array" ref="T135">IF($D135&lt;COLUMNS($F$7:T$7),"",INDEX(TableDiv[[GASB]:[GASB]],_xlfn.AGGREGATE(15,3,(TableDiv[[Agency]:[Agency]]=$E135)/(TableDiv[[Agency]:[Agency]]=$E135)*(ROW(TableDiv[Agency])-ROW(TableDiv[[#Headers],[Agency]])),COLUMNS($F$7:T$7))))</f>
        <v/>
      </c>
      <c r="U135" s="2223" t="str" cm="1">
        <f t="array" ref="U135">IF($D135&lt;COLUMNS($F$7:U$7),"",INDEX(TableDiv[[GASB]:[GASB]],_xlfn.AGGREGATE(15,3,(TableDiv[[Agency]:[Agency]]=$E135)/(TableDiv[[Agency]:[Agency]]=$E135)*(ROW(TableDiv[Agency])-ROW(TableDiv[[#Headers],[Agency]])),COLUMNS($F$7:U$7))))</f>
        <v/>
      </c>
      <c r="V135" s="2223" t="str" cm="1">
        <f t="array" ref="V135">IF($D135&lt;COLUMNS($F$7:V$7),"",INDEX(TableDiv[[GASB]:[GASB]],_xlfn.AGGREGATE(15,3,(TableDiv[[Agency]:[Agency]]=$E135)/(TableDiv[[Agency]:[Agency]]=$E135)*(ROW(TableDiv[Agency])-ROW(TableDiv[[#Headers],[Agency]])),COLUMNS($F$7:V$7))))</f>
        <v/>
      </c>
      <c r="W135" s="2223" t="str" cm="1">
        <f t="array" ref="W135">IF($D135&lt;COLUMNS($F$7:W$7),"",INDEX(TableDiv[[GASB]:[GASB]],_xlfn.AGGREGATE(15,3,(TableDiv[[Agency]:[Agency]]=$E135)/(TableDiv[[Agency]:[Agency]]=$E135)*(ROW(TableDiv[Agency])-ROW(TableDiv[[#Headers],[Agency]])),COLUMNS($F$7:W$7))))</f>
        <v/>
      </c>
      <c r="X135" s="2223" t="str" cm="1">
        <f t="array" ref="X135">IF($D135&lt;COLUMNS($F$7:X$7),"",INDEX(TableDiv[[GASB]:[GASB]],_xlfn.AGGREGATE(15,3,(TableDiv[[Agency]:[Agency]]=$E135)/(TableDiv[[Agency]:[Agency]]=$E135)*(ROW(TableDiv[Agency])-ROW(TableDiv[[#Headers],[Agency]])),COLUMNS($F$7:X$7))))</f>
        <v/>
      </c>
      <c r="Y135" s="2223" t="str" cm="1">
        <f t="array" ref="Y135">IF($D135&lt;COLUMNS($F$7:Y$7),"",INDEX(TableDiv[[GASB]:[GASB]],_xlfn.AGGREGATE(15,3,(TableDiv[[Agency]:[Agency]]=$E135)/(TableDiv[[Agency]:[Agency]]=$E135)*(ROW(TableDiv[Agency])-ROW(TableDiv[[#Headers],[Agency]])),COLUMNS($F$7:Y$7))))</f>
        <v/>
      </c>
      <c r="Z135" s="2223" t="str" cm="1">
        <f t="array" ref="Z135">IF($D135&lt;COLUMNS($F$7:Z$7),"",INDEX(TableDiv[[GASB]:[GASB]],_xlfn.AGGREGATE(15,3,(TableDiv[[Agency]:[Agency]]=$E135)/(TableDiv[[Agency]:[Agency]]=$E135)*(ROW(TableDiv[Agency])-ROW(TableDiv[[#Headers],[Agency]])),COLUMNS($F$7:Z$7))))</f>
        <v/>
      </c>
      <c r="AA135" s="2223" t="str" cm="1">
        <f t="array" ref="AA135">IF($D135&lt;COLUMNS($F$7:AA$7),"",INDEX(TableDiv[[GASB]:[GASB]],_xlfn.AGGREGATE(15,3,(TableDiv[[Agency]:[Agency]]=$E135)/(TableDiv[[Agency]:[Agency]]=$E135)*(ROW(TableDiv[Agency])-ROW(TableDiv[[#Headers],[Agency]])),COLUMNS($F$7:AA$7))))</f>
        <v/>
      </c>
      <c r="AB135" s="2223" t="str" cm="1">
        <f t="array" ref="AB135">IF($D135&lt;COLUMNS($F$7:AB$7),"",INDEX(TableDiv[[GASB]:[GASB]],_xlfn.AGGREGATE(15,3,(TableDiv[[Agency]:[Agency]]=$E135)/(TableDiv[[Agency]:[Agency]]=$E135)*(ROW(TableDiv[Agency])-ROW(TableDiv[[#Headers],[Agency]])),COLUMNS($F$7:AB$7))))</f>
        <v/>
      </c>
      <c r="AC135" s="2223" t="str" cm="1">
        <f t="array" ref="AC135">IF($D135&lt;COLUMNS($F$7:AC$7),"",INDEX(TableDiv[[GASB]:[GASB]],_xlfn.AGGREGATE(15,3,(TableDiv[[Agency]:[Agency]]=$E135)/(TableDiv[[Agency]:[Agency]]=$E135)*(ROW(TableDiv[Agency])-ROW(TableDiv[[#Headers],[Agency]])),COLUMNS($F$7:AC$7))))</f>
        <v/>
      </c>
      <c r="AD135" s="2223" t="str" cm="1">
        <f t="array" ref="AD135">IF($D135&lt;COLUMNS($F$7:AD$7),"",INDEX(TableDiv[[GASB]:[GASB]],_xlfn.AGGREGATE(15,3,(TableDiv[[Agency]:[Agency]]=$E135)/(TableDiv[[Agency]:[Agency]]=$E135)*(ROW(TableDiv[Agency])-ROW(TableDiv[[#Headers],[Agency]])),COLUMNS($F$7:AD$7))))</f>
        <v/>
      </c>
      <c r="AE135" s="2223" t="str" cm="1">
        <f t="array" ref="AE135">IF($D135&lt;COLUMNS($F$7:AE$7),"",INDEX(TableDiv[[GASB]:[GASB]],_xlfn.AGGREGATE(15,3,(TableDiv[[Agency]:[Agency]]=$E135)/(TableDiv[[Agency]:[Agency]]=$E135)*(ROW(TableDiv[Agency])-ROW(TableDiv[[#Headers],[Agency]])),COLUMNS($F$7:AE$7))))</f>
        <v/>
      </c>
      <c r="AF135" s="2223" t="str" cm="1">
        <f t="array" ref="AF135">IF($D135&lt;COLUMNS($F$7:AF$7),"",INDEX(TableDiv[[GASB]:[GASB]],_xlfn.AGGREGATE(15,3,(TableDiv[[Agency]:[Agency]]=$E135)/(TableDiv[[Agency]:[Agency]]=$E135)*(ROW(TableDiv[Agency])-ROW(TableDiv[[#Headers],[Agency]])),COLUMNS($F$7:AF$7))))</f>
        <v/>
      </c>
      <c r="AG135" s="2223" t="str" cm="1">
        <f t="array" ref="AG135">IF($D135&lt;COLUMNS($F$7:AG$7),"",INDEX(TableDiv[[GASB]:[GASB]],_xlfn.AGGREGATE(15,3,(TableDiv[[Agency]:[Agency]]=$E135)/(TableDiv[[Agency]:[Agency]]=$E135)*(ROW(TableDiv[Agency])-ROW(TableDiv[[#Headers],[Agency]])),COLUMNS($F$7:AG$7))))</f>
        <v/>
      </c>
      <c r="AH135" s="2223" t="str" cm="1">
        <f t="array" ref="AH135">IF($D135&lt;COLUMNS($F$7:AH$7),"",INDEX(TableDiv[[GASB]:[GASB]],_xlfn.AGGREGATE(15,3,(TableDiv[[Agency]:[Agency]]=$E135)/(TableDiv[[Agency]:[Agency]]=$E135)*(ROW(TableDiv[Agency])-ROW(TableDiv[[#Headers],[Agency]])),COLUMNS($F$7:AH$7))))</f>
        <v/>
      </c>
      <c r="AI135" s="2223" t="str" cm="1">
        <f t="array" ref="AI135">IF($D135&lt;COLUMNS($F$7:AI$7),"",INDEX(TableDiv[[GASB]:[GASB]],_xlfn.AGGREGATE(15,3,(TableDiv[[Agency]:[Agency]]=$E135)/(TableDiv[[Agency]:[Agency]]=$E135)*(ROW(TableDiv[Agency])-ROW(TableDiv[[#Headers],[Agency]])),COLUMNS($F$7:AI$7))))</f>
        <v/>
      </c>
      <c r="AJ135" s="2223" t="str" cm="1">
        <f t="array" ref="AJ135">IF($D135&lt;COLUMNS($F$7:AJ$7),"",INDEX(TableDiv[[GASB]:[GASB]],_xlfn.AGGREGATE(15,3,(TableDiv[[Agency]:[Agency]]=$E135)/(TableDiv[[Agency]:[Agency]]=$E135)*(ROW(TableDiv[Agency])-ROW(TableDiv[[#Headers],[Agency]])),COLUMNS($F$7:AJ$7))))</f>
        <v/>
      </c>
      <c r="AK135" s="2223" t="str" cm="1">
        <f t="array" ref="AK135">IF($D135&lt;COLUMNS($F$7:AK$7),"",INDEX(TableDiv[[GASB]:[GASB]],_xlfn.AGGREGATE(15,3,(TableDiv[[Agency]:[Agency]]=$E135)/(TableDiv[[Agency]:[Agency]]=$E135)*(ROW(TableDiv[Agency])-ROW(TableDiv[[#Headers],[Agency]])),COLUMNS($F$7:AK$7))))</f>
        <v/>
      </c>
      <c r="AL135" s="2223" t="str" cm="1">
        <f t="array" ref="AL135">IF($D135&lt;COLUMNS($F$7:AL$7),"",INDEX(TableDiv[[GASB]:[GASB]],_xlfn.AGGREGATE(15,3,(TableDiv[[Agency]:[Agency]]=$E135)/(TableDiv[[Agency]:[Agency]]=$E135)*(ROW(TableDiv[Agency])-ROW(TableDiv[[#Headers],[Agency]])),COLUMNS($F$7:AL$7))))</f>
        <v/>
      </c>
      <c r="AM135" s="2223" t="str" cm="1">
        <f t="array" ref="AM135">IF($D135&lt;COLUMNS($F$7:AM$7),"",INDEX(TableDiv[[GASB]:[GASB]],_xlfn.AGGREGATE(15,3,(TableDiv[[Agency]:[Agency]]=$E135)/(TableDiv[[Agency]:[Agency]]=$E135)*(ROW(TableDiv[Agency])-ROW(TableDiv[[#Headers],[Agency]])),COLUMNS($F$7:AM$7))))</f>
        <v/>
      </c>
      <c r="AN135" s="2223"/>
      <c r="AO135" s="2223"/>
      <c r="AP135" s="2223"/>
      <c r="AQ135" s="2223"/>
      <c r="AR135" s="2223"/>
      <c r="AS135" s="2223"/>
    </row>
    <row r="136" spans="1:45" ht="15" x14ac:dyDescent="0.25">
      <c r="A136" s="2219" t="s">
        <v>5109</v>
      </c>
      <c r="B136" s="2219" t="s">
        <v>6431</v>
      </c>
      <c r="C136" s="2223"/>
      <c r="D136" s="2223">
        <f>COUNTIF(TableDiv[Agency],E136)</f>
        <v>1</v>
      </c>
      <c r="E136" s="2230" t="str" cm="1">
        <f t="array" ref="E136">IFERROR(INDEX(TableDiv[Agency],MATCH(0,INDEX(COUNTIF($E$7:E135,TableDiv[Agency]),),0)),"")</f>
        <v>CBF</v>
      </c>
      <c r="F136" s="2223" t="str" cm="1">
        <f t="array" ref="F136">IF($D136&lt;COLUMNS($F$7:F$7),"",INDEX(TableDiv[[GASB]:[GASB]],_xlfn.AGGREGATE(15,3,(TableDiv[[Agency]:[Agency]]=$E136)/(TableDiv[[Agency]:[Agency]]=$E136)*(ROW(TableDiv[Agency])-ROW(TableDiv[[#Headers],[Agency]])),COLUMNS($F$7:F$7))))</f>
        <v>48200G</v>
      </c>
      <c r="G136" s="2223" t="str" cm="1">
        <f t="array" ref="G136">IF($D136&lt;COLUMNS($F$7:G$7),"",INDEX(TableDiv[[GASB]:[GASB]],_xlfn.AGGREGATE(15,3,(TableDiv[[Agency]:[Agency]]=$E136)/(TableDiv[[Agency]:[Agency]]=$E136)*(ROW(TableDiv[Agency])-ROW(TableDiv[[#Headers],[Agency]])),COLUMNS($F$7:G$7))))</f>
        <v/>
      </c>
      <c r="H136" s="2223" t="str" cm="1">
        <f t="array" ref="H136">IF($D136&lt;COLUMNS($F$7:H$7),"",INDEX(TableDiv[[GASB]:[GASB]],_xlfn.AGGREGATE(15,3,(TableDiv[[Agency]:[Agency]]=$E136)/(TableDiv[[Agency]:[Agency]]=$E136)*(ROW(TableDiv[Agency])-ROW(TableDiv[[#Headers],[Agency]])),COLUMNS($F$7:H$7))))</f>
        <v/>
      </c>
      <c r="I136" s="2223" t="str" cm="1">
        <f t="array" ref="I136">IF($D136&lt;COLUMNS($F$7:I$7),"",INDEX(TableDiv[[GASB]:[GASB]],_xlfn.AGGREGATE(15,3,(TableDiv[[Agency]:[Agency]]=$E136)/(TableDiv[[Agency]:[Agency]]=$E136)*(ROW(TableDiv[Agency])-ROW(TableDiv[[#Headers],[Agency]])),COLUMNS($F$7:I$7))))</f>
        <v/>
      </c>
      <c r="J136" s="2223" t="str" cm="1">
        <f t="array" ref="J136">IF($D136&lt;COLUMNS($F$7:J$7),"",INDEX(TableDiv[[GASB]:[GASB]],_xlfn.AGGREGATE(15,3,(TableDiv[[Agency]:[Agency]]=$E136)/(TableDiv[[Agency]:[Agency]]=$E136)*(ROW(TableDiv[Agency])-ROW(TableDiv[[#Headers],[Agency]])),COLUMNS($F$7:J$7))))</f>
        <v/>
      </c>
      <c r="K136" s="2223" t="str" cm="1">
        <f t="array" ref="K136">IF($D136&lt;COLUMNS($F$7:K$7),"",INDEX(TableDiv[[GASB]:[GASB]],_xlfn.AGGREGATE(15,3,(TableDiv[[Agency]:[Agency]]=$E136)/(TableDiv[[Agency]:[Agency]]=$E136)*(ROW(TableDiv[Agency])-ROW(TableDiv[[#Headers],[Agency]])),COLUMNS($F$7:K$7))))</f>
        <v/>
      </c>
      <c r="L136" s="2223" t="str" cm="1">
        <f t="array" ref="L136">IF($D136&lt;COLUMNS($F$7:L$7),"",INDEX(TableDiv[[GASB]:[GASB]],_xlfn.AGGREGATE(15,3,(TableDiv[[Agency]:[Agency]]=$E136)/(TableDiv[[Agency]:[Agency]]=$E136)*(ROW(TableDiv[Agency])-ROW(TableDiv[[#Headers],[Agency]])),COLUMNS($F$7:L$7))))</f>
        <v/>
      </c>
      <c r="M136" s="2223" t="str" cm="1">
        <f t="array" ref="M136">IF($D136&lt;COLUMNS($F$7:M$7),"",INDEX(TableDiv[[GASB]:[GASB]],_xlfn.AGGREGATE(15,3,(TableDiv[[Agency]:[Agency]]=$E136)/(TableDiv[[Agency]:[Agency]]=$E136)*(ROW(TableDiv[Agency])-ROW(TableDiv[[#Headers],[Agency]])),COLUMNS($F$7:M$7))))</f>
        <v/>
      </c>
      <c r="N136" s="2223" t="str" cm="1">
        <f t="array" ref="N136">IF($D136&lt;COLUMNS($F$7:N$7),"",INDEX(TableDiv[[GASB]:[GASB]],_xlfn.AGGREGATE(15,3,(TableDiv[[Agency]:[Agency]]=$E136)/(TableDiv[[Agency]:[Agency]]=$E136)*(ROW(TableDiv[Agency])-ROW(TableDiv[[#Headers],[Agency]])),COLUMNS($F$7:N$7))))</f>
        <v/>
      </c>
      <c r="O136" s="2223" t="str" cm="1">
        <f t="array" ref="O136">IF($D136&lt;COLUMNS($F$7:O$7),"",INDEX(TableDiv[[GASB]:[GASB]],_xlfn.AGGREGATE(15,3,(TableDiv[[Agency]:[Agency]]=$E136)/(TableDiv[[Agency]:[Agency]]=$E136)*(ROW(TableDiv[Agency])-ROW(TableDiv[[#Headers],[Agency]])),COLUMNS($F$7:O$7))))</f>
        <v/>
      </c>
      <c r="P136" s="2223" t="str" cm="1">
        <f t="array" ref="P136">IF($D136&lt;COLUMNS($F$7:P$7),"",INDEX(TableDiv[[GASB]:[GASB]],_xlfn.AGGREGATE(15,3,(TableDiv[[Agency]:[Agency]]=$E136)/(TableDiv[[Agency]:[Agency]]=$E136)*(ROW(TableDiv[Agency])-ROW(TableDiv[[#Headers],[Agency]])),COLUMNS($F$7:P$7))))</f>
        <v/>
      </c>
      <c r="Q136" s="2223" t="str" cm="1">
        <f t="array" ref="Q136">IF($D136&lt;COLUMNS($F$7:Q$7),"",INDEX(TableDiv[[GASB]:[GASB]],_xlfn.AGGREGATE(15,3,(TableDiv[[Agency]:[Agency]]=$E136)/(TableDiv[[Agency]:[Agency]]=$E136)*(ROW(TableDiv[Agency])-ROW(TableDiv[[#Headers],[Agency]])),COLUMNS($F$7:Q$7))))</f>
        <v/>
      </c>
      <c r="R136" s="2223" t="str" cm="1">
        <f t="array" ref="R136">IF($D136&lt;COLUMNS($F$7:R$7),"",INDEX(TableDiv[[GASB]:[GASB]],_xlfn.AGGREGATE(15,3,(TableDiv[[Agency]:[Agency]]=$E136)/(TableDiv[[Agency]:[Agency]]=$E136)*(ROW(TableDiv[Agency])-ROW(TableDiv[[#Headers],[Agency]])),COLUMNS($F$7:R$7))))</f>
        <v/>
      </c>
      <c r="S136" s="2223" t="str" cm="1">
        <f t="array" ref="S136">IF($D136&lt;COLUMNS($F$7:S$7),"",INDEX(TableDiv[[GASB]:[GASB]],_xlfn.AGGREGATE(15,3,(TableDiv[[Agency]:[Agency]]=$E136)/(TableDiv[[Agency]:[Agency]]=$E136)*(ROW(TableDiv[Agency])-ROW(TableDiv[[#Headers],[Agency]])),COLUMNS($F$7:S$7))))</f>
        <v/>
      </c>
      <c r="T136" s="2223" t="str" cm="1">
        <f t="array" ref="T136">IF($D136&lt;COLUMNS($F$7:T$7),"",INDEX(TableDiv[[GASB]:[GASB]],_xlfn.AGGREGATE(15,3,(TableDiv[[Agency]:[Agency]]=$E136)/(TableDiv[[Agency]:[Agency]]=$E136)*(ROW(TableDiv[Agency])-ROW(TableDiv[[#Headers],[Agency]])),COLUMNS($F$7:T$7))))</f>
        <v/>
      </c>
      <c r="U136" s="2223" t="str" cm="1">
        <f t="array" ref="U136">IF($D136&lt;COLUMNS($F$7:U$7),"",INDEX(TableDiv[[GASB]:[GASB]],_xlfn.AGGREGATE(15,3,(TableDiv[[Agency]:[Agency]]=$E136)/(TableDiv[[Agency]:[Agency]]=$E136)*(ROW(TableDiv[Agency])-ROW(TableDiv[[#Headers],[Agency]])),COLUMNS($F$7:U$7))))</f>
        <v/>
      </c>
      <c r="V136" s="2223" t="str" cm="1">
        <f t="array" ref="V136">IF($D136&lt;COLUMNS($F$7:V$7),"",INDEX(TableDiv[[GASB]:[GASB]],_xlfn.AGGREGATE(15,3,(TableDiv[[Agency]:[Agency]]=$E136)/(TableDiv[[Agency]:[Agency]]=$E136)*(ROW(TableDiv[Agency])-ROW(TableDiv[[#Headers],[Agency]])),COLUMNS($F$7:V$7))))</f>
        <v/>
      </c>
      <c r="W136" s="2223" t="str" cm="1">
        <f t="array" ref="W136">IF($D136&lt;COLUMNS($F$7:W$7),"",INDEX(TableDiv[[GASB]:[GASB]],_xlfn.AGGREGATE(15,3,(TableDiv[[Agency]:[Agency]]=$E136)/(TableDiv[[Agency]:[Agency]]=$E136)*(ROW(TableDiv[Agency])-ROW(TableDiv[[#Headers],[Agency]])),COLUMNS($F$7:W$7))))</f>
        <v/>
      </c>
      <c r="X136" s="2223" t="str" cm="1">
        <f t="array" ref="X136">IF($D136&lt;COLUMNS($F$7:X$7),"",INDEX(TableDiv[[GASB]:[GASB]],_xlfn.AGGREGATE(15,3,(TableDiv[[Agency]:[Agency]]=$E136)/(TableDiv[[Agency]:[Agency]]=$E136)*(ROW(TableDiv[Agency])-ROW(TableDiv[[#Headers],[Agency]])),COLUMNS($F$7:X$7))))</f>
        <v/>
      </c>
      <c r="Y136" s="2223" t="str" cm="1">
        <f t="array" ref="Y136">IF($D136&lt;COLUMNS($F$7:Y$7),"",INDEX(TableDiv[[GASB]:[GASB]],_xlfn.AGGREGATE(15,3,(TableDiv[[Agency]:[Agency]]=$E136)/(TableDiv[[Agency]:[Agency]]=$E136)*(ROW(TableDiv[Agency])-ROW(TableDiv[[#Headers],[Agency]])),COLUMNS($F$7:Y$7))))</f>
        <v/>
      </c>
      <c r="Z136" s="2223" t="str" cm="1">
        <f t="array" ref="Z136">IF($D136&lt;COLUMNS($F$7:Z$7),"",INDEX(TableDiv[[GASB]:[GASB]],_xlfn.AGGREGATE(15,3,(TableDiv[[Agency]:[Agency]]=$E136)/(TableDiv[[Agency]:[Agency]]=$E136)*(ROW(TableDiv[Agency])-ROW(TableDiv[[#Headers],[Agency]])),COLUMNS($F$7:Z$7))))</f>
        <v/>
      </c>
      <c r="AA136" s="2223" t="str" cm="1">
        <f t="array" ref="AA136">IF($D136&lt;COLUMNS($F$7:AA$7),"",INDEX(TableDiv[[GASB]:[GASB]],_xlfn.AGGREGATE(15,3,(TableDiv[[Agency]:[Agency]]=$E136)/(TableDiv[[Agency]:[Agency]]=$E136)*(ROW(TableDiv[Agency])-ROW(TableDiv[[#Headers],[Agency]])),COLUMNS($F$7:AA$7))))</f>
        <v/>
      </c>
      <c r="AB136" s="2223" t="str" cm="1">
        <f t="array" ref="AB136">IF($D136&lt;COLUMNS($F$7:AB$7),"",INDEX(TableDiv[[GASB]:[GASB]],_xlfn.AGGREGATE(15,3,(TableDiv[[Agency]:[Agency]]=$E136)/(TableDiv[[Agency]:[Agency]]=$E136)*(ROW(TableDiv[Agency])-ROW(TableDiv[[#Headers],[Agency]])),COLUMNS($F$7:AB$7))))</f>
        <v/>
      </c>
      <c r="AC136" s="2223" t="str" cm="1">
        <f t="array" ref="AC136">IF($D136&lt;COLUMNS($F$7:AC$7),"",INDEX(TableDiv[[GASB]:[GASB]],_xlfn.AGGREGATE(15,3,(TableDiv[[Agency]:[Agency]]=$E136)/(TableDiv[[Agency]:[Agency]]=$E136)*(ROW(TableDiv[Agency])-ROW(TableDiv[[#Headers],[Agency]])),COLUMNS($F$7:AC$7))))</f>
        <v/>
      </c>
      <c r="AD136" s="2223" t="str" cm="1">
        <f t="array" ref="AD136">IF($D136&lt;COLUMNS($F$7:AD$7),"",INDEX(TableDiv[[GASB]:[GASB]],_xlfn.AGGREGATE(15,3,(TableDiv[[Agency]:[Agency]]=$E136)/(TableDiv[[Agency]:[Agency]]=$E136)*(ROW(TableDiv[Agency])-ROW(TableDiv[[#Headers],[Agency]])),COLUMNS($F$7:AD$7))))</f>
        <v/>
      </c>
      <c r="AE136" s="2223" t="str" cm="1">
        <f t="array" ref="AE136">IF($D136&lt;COLUMNS($F$7:AE$7),"",INDEX(TableDiv[[GASB]:[GASB]],_xlfn.AGGREGATE(15,3,(TableDiv[[Agency]:[Agency]]=$E136)/(TableDiv[[Agency]:[Agency]]=$E136)*(ROW(TableDiv[Agency])-ROW(TableDiv[[#Headers],[Agency]])),COLUMNS($F$7:AE$7))))</f>
        <v/>
      </c>
      <c r="AF136" s="2223" t="str" cm="1">
        <f t="array" ref="AF136">IF($D136&lt;COLUMNS($F$7:AF$7),"",INDEX(TableDiv[[GASB]:[GASB]],_xlfn.AGGREGATE(15,3,(TableDiv[[Agency]:[Agency]]=$E136)/(TableDiv[[Agency]:[Agency]]=$E136)*(ROW(TableDiv[Agency])-ROW(TableDiv[[#Headers],[Agency]])),COLUMNS($F$7:AF$7))))</f>
        <v/>
      </c>
      <c r="AG136" s="2223" t="str" cm="1">
        <f t="array" ref="AG136">IF($D136&lt;COLUMNS($F$7:AG$7),"",INDEX(TableDiv[[GASB]:[GASB]],_xlfn.AGGREGATE(15,3,(TableDiv[[Agency]:[Agency]]=$E136)/(TableDiv[[Agency]:[Agency]]=$E136)*(ROW(TableDiv[Agency])-ROW(TableDiv[[#Headers],[Agency]])),COLUMNS($F$7:AG$7))))</f>
        <v/>
      </c>
      <c r="AH136" s="2223" t="str" cm="1">
        <f t="array" ref="AH136">IF($D136&lt;COLUMNS($F$7:AH$7),"",INDEX(TableDiv[[GASB]:[GASB]],_xlfn.AGGREGATE(15,3,(TableDiv[[Agency]:[Agency]]=$E136)/(TableDiv[[Agency]:[Agency]]=$E136)*(ROW(TableDiv[Agency])-ROW(TableDiv[[#Headers],[Agency]])),COLUMNS($F$7:AH$7))))</f>
        <v/>
      </c>
      <c r="AI136" s="2223" t="str" cm="1">
        <f t="array" ref="AI136">IF($D136&lt;COLUMNS($F$7:AI$7),"",INDEX(TableDiv[[GASB]:[GASB]],_xlfn.AGGREGATE(15,3,(TableDiv[[Agency]:[Agency]]=$E136)/(TableDiv[[Agency]:[Agency]]=$E136)*(ROW(TableDiv[Agency])-ROW(TableDiv[[#Headers],[Agency]])),COLUMNS($F$7:AI$7))))</f>
        <v/>
      </c>
      <c r="AJ136" s="2223" t="str" cm="1">
        <f t="array" ref="AJ136">IF($D136&lt;COLUMNS($F$7:AJ$7),"",INDEX(TableDiv[[GASB]:[GASB]],_xlfn.AGGREGATE(15,3,(TableDiv[[Agency]:[Agency]]=$E136)/(TableDiv[[Agency]:[Agency]]=$E136)*(ROW(TableDiv[Agency])-ROW(TableDiv[[#Headers],[Agency]])),COLUMNS($F$7:AJ$7))))</f>
        <v/>
      </c>
      <c r="AK136" s="2223" t="str" cm="1">
        <f t="array" ref="AK136">IF($D136&lt;COLUMNS($F$7:AK$7),"",INDEX(TableDiv[[GASB]:[GASB]],_xlfn.AGGREGATE(15,3,(TableDiv[[Agency]:[Agency]]=$E136)/(TableDiv[[Agency]:[Agency]]=$E136)*(ROW(TableDiv[Agency])-ROW(TableDiv[[#Headers],[Agency]])),COLUMNS($F$7:AK$7))))</f>
        <v/>
      </c>
      <c r="AL136" s="2223" t="str" cm="1">
        <f t="array" ref="AL136">IF($D136&lt;COLUMNS($F$7:AL$7),"",INDEX(TableDiv[[GASB]:[GASB]],_xlfn.AGGREGATE(15,3,(TableDiv[[Agency]:[Agency]]=$E136)/(TableDiv[[Agency]:[Agency]]=$E136)*(ROW(TableDiv[Agency])-ROW(TableDiv[[#Headers],[Agency]])),COLUMNS($F$7:AL$7))))</f>
        <v/>
      </c>
      <c r="AM136" s="2223" t="str" cm="1">
        <f t="array" ref="AM136">IF($D136&lt;COLUMNS($F$7:AM$7),"",INDEX(TableDiv[[GASB]:[GASB]],_xlfn.AGGREGATE(15,3,(TableDiv[[Agency]:[Agency]]=$E136)/(TableDiv[[Agency]:[Agency]]=$E136)*(ROW(TableDiv[Agency])-ROW(TableDiv[[#Headers],[Agency]])),COLUMNS($F$7:AM$7))))</f>
        <v/>
      </c>
      <c r="AN136" s="2223"/>
      <c r="AO136" s="2223"/>
      <c r="AP136" s="2223"/>
      <c r="AQ136" s="2223"/>
      <c r="AR136" s="2223"/>
      <c r="AS136" s="2223"/>
    </row>
    <row r="137" spans="1:45" ht="15" x14ac:dyDescent="0.25">
      <c r="A137" s="2219" t="s">
        <v>5109</v>
      </c>
      <c r="B137" s="2219" t="s">
        <v>6432</v>
      </c>
      <c r="C137" s="2223"/>
      <c r="D137" s="2223">
        <f>COUNTIF(TableDiv[Agency],E137)</f>
        <v>1</v>
      </c>
      <c r="E137" s="2230" t="str" cm="1">
        <f t="array" ref="E137">IFERROR(INDEX(TableDiv[Agency],MATCH(0,INDEX(COUNTIF($E$7:E136,TableDiv[Agency]),),0)),"")</f>
        <v>C0</v>
      </c>
      <c r="F137" s="2223" t="str" cm="1">
        <f t="array" ref="F137">IF($D137&lt;COLUMNS($F$7:F$7),"",INDEX(TableDiv[[GASB]:[GASB]],_xlfn.AGGREGATE(15,3,(TableDiv[[Agency]:[Agency]]=$E137)/(TableDiv[[Agency]:[Agency]]=$E137)*(ROW(TableDiv[Agency])-ROW(TableDiv[[#Headers],[Agency]])),COLUMNS($F$7:F$7))))</f>
        <v>48100G</v>
      </c>
      <c r="G137" s="2223" t="str" cm="1">
        <f t="array" ref="G137">IF($D137&lt;COLUMNS($F$7:G$7),"",INDEX(TableDiv[[GASB]:[GASB]],_xlfn.AGGREGATE(15,3,(TableDiv[[Agency]:[Agency]]=$E137)/(TableDiv[[Agency]:[Agency]]=$E137)*(ROW(TableDiv[Agency])-ROW(TableDiv[[#Headers],[Agency]])),COLUMNS($F$7:G$7))))</f>
        <v/>
      </c>
      <c r="H137" s="2223" t="str" cm="1">
        <f t="array" ref="H137">IF($D137&lt;COLUMNS($F$7:H$7),"",INDEX(TableDiv[[GASB]:[GASB]],_xlfn.AGGREGATE(15,3,(TableDiv[[Agency]:[Agency]]=$E137)/(TableDiv[[Agency]:[Agency]]=$E137)*(ROW(TableDiv[Agency])-ROW(TableDiv[[#Headers],[Agency]])),COLUMNS($F$7:H$7))))</f>
        <v/>
      </c>
      <c r="I137" s="2223" t="str" cm="1">
        <f t="array" ref="I137">IF($D137&lt;COLUMNS($F$7:I$7),"",INDEX(TableDiv[[GASB]:[GASB]],_xlfn.AGGREGATE(15,3,(TableDiv[[Agency]:[Agency]]=$E137)/(TableDiv[[Agency]:[Agency]]=$E137)*(ROW(TableDiv[Agency])-ROW(TableDiv[[#Headers],[Agency]])),COLUMNS($F$7:I$7))))</f>
        <v/>
      </c>
      <c r="J137" s="2223" t="str" cm="1">
        <f t="array" ref="J137">IF($D137&lt;COLUMNS($F$7:J$7),"",INDEX(TableDiv[[GASB]:[GASB]],_xlfn.AGGREGATE(15,3,(TableDiv[[Agency]:[Agency]]=$E137)/(TableDiv[[Agency]:[Agency]]=$E137)*(ROW(TableDiv[Agency])-ROW(TableDiv[[#Headers],[Agency]])),COLUMNS($F$7:J$7))))</f>
        <v/>
      </c>
      <c r="K137" s="2223" t="str" cm="1">
        <f t="array" ref="K137">IF($D137&lt;COLUMNS($F$7:K$7),"",INDEX(TableDiv[[GASB]:[GASB]],_xlfn.AGGREGATE(15,3,(TableDiv[[Agency]:[Agency]]=$E137)/(TableDiv[[Agency]:[Agency]]=$E137)*(ROW(TableDiv[Agency])-ROW(TableDiv[[#Headers],[Agency]])),COLUMNS($F$7:K$7))))</f>
        <v/>
      </c>
      <c r="L137" s="2223" t="str" cm="1">
        <f t="array" ref="L137">IF($D137&lt;COLUMNS($F$7:L$7),"",INDEX(TableDiv[[GASB]:[GASB]],_xlfn.AGGREGATE(15,3,(TableDiv[[Agency]:[Agency]]=$E137)/(TableDiv[[Agency]:[Agency]]=$E137)*(ROW(TableDiv[Agency])-ROW(TableDiv[[#Headers],[Agency]])),COLUMNS($F$7:L$7))))</f>
        <v/>
      </c>
      <c r="M137" s="2223" t="str" cm="1">
        <f t="array" ref="M137">IF($D137&lt;COLUMNS($F$7:M$7),"",INDEX(TableDiv[[GASB]:[GASB]],_xlfn.AGGREGATE(15,3,(TableDiv[[Agency]:[Agency]]=$E137)/(TableDiv[[Agency]:[Agency]]=$E137)*(ROW(TableDiv[Agency])-ROW(TableDiv[[#Headers],[Agency]])),COLUMNS($F$7:M$7))))</f>
        <v/>
      </c>
      <c r="N137" s="2223" t="str" cm="1">
        <f t="array" ref="N137">IF($D137&lt;COLUMNS($F$7:N$7),"",INDEX(TableDiv[[GASB]:[GASB]],_xlfn.AGGREGATE(15,3,(TableDiv[[Agency]:[Agency]]=$E137)/(TableDiv[[Agency]:[Agency]]=$E137)*(ROW(TableDiv[Agency])-ROW(TableDiv[[#Headers],[Agency]])),COLUMNS($F$7:N$7))))</f>
        <v/>
      </c>
      <c r="O137" s="2223" t="str" cm="1">
        <f t="array" ref="O137">IF($D137&lt;COLUMNS($F$7:O$7),"",INDEX(TableDiv[[GASB]:[GASB]],_xlfn.AGGREGATE(15,3,(TableDiv[[Agency]:[Agency]]=$E137)/(TableDiv[[Agency]:[Agency]]=$E137)*(ROW(TableDiv[Agency])-ROW(TableDiv[[#Headers],[Agency]])),COLUMNS($F$7:O$7))))</f>
        <v/>
      </c>
      <c r="P137" s="2223" t="str" cm="1">
        <f t="array" ref="P137">IF($D137&lt;COLUMNS($F$7:P$7),"",INDEX(TableDiv[[GASB]:[GASB]],_xlfn.AGGREGATE(15,3,(TableDiv[[Agency]:[Agency]]=$E137)/(TableDiv[[Agency]:[Agency]]=$E137)*(ROW(TableDiv[Agency])-ROW(TableDiv[[#Headers],[Agency]])),COLUMNS($F$7:P$7))))</f>
        <v/>
      </c>
      <c r="Q137" s="2223" t="str" cm="1">
        <f t="array" ref="Q137">IF($D137&lt;COLUMNS($F$7:Q$7),"",INDEX(TableDiv[[GASB]:[GASB]],_xlfn.AGGREGATE(15,3,(TableDiv[[Agency]:[Agency]]=$E137)/(TableDiv[[Agency]:[Agency]]=$E137)*(ROW(TableDiv[Agency])-ROW(TableDiv[[#Headers],[Agency]])),COLUMNS($F$7:Q$7))))</f>
        <v/>
      </c>
      <c r="R137" s="2223" t="str" cm="1">
        <f t="array" ref="R137">IF($D137&lt;COLUMNS($F$7:R$7),"",INDEX(TableDiv[[GASB]:[GASB]],_xlfn.AGGREGATE(15,3,(TableDiv[[Agency]:[Agency]]=$E137)/(TableDiv[[Agency]:[Agency]]=$E137)*(ROW(TableDiv[Agency])-ROW(TableDiv[[#Headers],[Agency]])),COLUMNS($F$7:R$7))))</f>
        <v/>
      </c>
      <c r="S137" s="2223" t="str" cm="1">
        <f t="array" ref="S137">IF($D137&lt;COLUMNS($F$7:S$7),"",INDEX(TableDiv[[GASB]:[GASB]],_xlfn.AGGREGATE(15,3,(TableDiv[[Agency]:[Agency]]=$E137)/(TableDiv[[Agency]:[Agency]]=$E137)*(ROW(TableDiv[Agency])-ROW(TableDiv[[#Headers],[Agency]])),COLUMNS($F$7:S$7))))</f>
        <v/>
      </c>
      <c r="T137" s="2223" t="str" cm="1">
        <f t="array" ref="T137">IF($D137&lt;COLUMNS($F$7:T$7),"",INDEX(TableDiv[[GASB]:[GASB]],_xlfn.AGGREGATE(15,3,(TableDiv[[Agency]:[Agency]]=$E137)/(TableDiv[[Agency]:[Agency]]=$E137)*(ROW(TableDiv[Agency])-ROW(TableDiv[[#Headers],[Agency]])),COLUMNS($F$7:T$7))))</f>
        <v/>
      </c>
      <c r="U137" s="2223" t="str" cm="1">
        <f t="array" ref="U137">IF($D137&lt;COLUMNS($F$7:U$7),"",INDEX(TableDiv[[GASB]:[GASB]],_xlfn.AGGREGATE(15,3,(TableDiv[[Agency]:[Agency]]=$E137)/(TableDiv[[Agency]:[Agency]]=$E137)*(ROW(TableDiv[Agency])-ROW(TableDiv[[#Headers],[Agency]])),COLUMNS($F$7:U$7))))</f>
        <v/>
      </c>
      <c r="V137" s="2223" t="str" cm="1">
        <f t="array" ref="V137">IF($D137&lt;COLUMNS($F$7:V$7),"",INDEX(TableDiv[[GASB]:[GASB]],_xlfn.AGGREGATE(15,3,(TableDiv[[Agency]:[Agency]]=$E137)/(TableDiv[[Agency]:[Agency]]=$E137)*(ROW(TableDiv[Agency])-ROW(TableDiv[[#Headers],[Agency]])),COLUMNS($F$7:V$7))))</f>
        <v/>
      </c>
      <c r="W137" s="2223" t="str" cm="1">
        <f t="array" ref="W137">IF($D137&lt;COLUMNS($F$7:W$7),"",INDEX(TableDiv[[GASB]:[GASB]],_xlfn.AGGREGATE(15,3,(TableDiv[[Agency]:[Agency]]=$E137)/(TableDiv[[Agency]:[Agency]]=$E137)*(ROW(TableDiv[Agency])-ROW(TableDiv[[#Headers],[Agency]])),COLUMNS($F$7:W$7))))</f>
        <v/>
      </c>
      <c r="X137" s="2223" t="str" cm="1">
        <f t="array" ref="X137">IF($D137&lt;COLUMNS($F$7:X$7),"",INDEX(TableDiv[[GASB]:[GASB]],_xlfn.AGGREGATE(15,3,(TableDiv[[Agency]:[Agency]]=$E137)/(TableDiv[[Agency]:[Agency]]=$E137)*(ROW(TableDiv[Agency])-ROW(TableDiv[[#Headers],[Agency]])),COLUMNS($F$7:X$7))))</f>
        <v/>
      </c>
      <c r="Y137" s="2223" t="str" cm="1">
        <f t="array" ref="Y137">IF($D137&lt;COLUMNS($F$7:Y$7),"",INDEX(TableDiv[[GASB]:[GASB]],_xlfn.AGGREGATE(15,3,(TableDiv[[Agency]:[Agency]]=$E137)/(TableDiv[[Agency]:[Agency]]=$E137)*(ROW(TableDiv[Agency])-ROW(TableDiv[[#Headers],[Agency]])),COLUMNS($F$7:Y$7))))</f>
        <v/>
      </c>
      <c r="Z137" s="2223" t="str" cm="1">
        <f t="array" ref="Z137">IF($D137&lt;COLUMNS($F$7:Z$7),"",INDEX(TableDiv[[GASB]:[GASB]],_xlfn.AGGREGATE(15,3,(TableDiv[[Agency]:[Agency]]=$E137)/(TableDiv[[Agency]:[Agency]]=$E137)*(ROW(TableDiv[Agency])-ROW(TableDiv[[#Headers],[Agency]])),COLUMNS($F$7:Z$7))))</f>
        <v/>
      </c>
      <c r="AA137" s="2223" t="str" cm="1">
        <f t="array" ref="AA137">IF($D137&lt;COLUMNS($F$7:AA$7),"",INDEX(TableDiv[[GASB]:[GASB]],_xlfn.AGGREGATE(15,3,(TableDiv[[Agency]:[Agency]]=$E137)/(TableDiv[[Agency]:[Agency]]=$E137)*(ROW(TableDiv[Agency])-ROW(TableDiv[[#Headers],[Agency]])),COLUMNS($F$7:AA$7))))</f>
        <v/>
      </c>
      <c r="AB137" s="2223" t="str" cm="1">
        <f t="array" ref="AB137">IF($D137&lt;COLUMNS($F$7:AB$7),"",INDEX(TableDiv[[GASB]:[GASB]],_xlfn.AGGREGATE(15,3,(TableDiv[[Agency]:[Agency]]=$E137)/(TableDiv[[Agency]:[Agency]]=$E137)*(ROW(TableDiv[Agency])-ROW(TableDiv[[#Headers],[Agency]])),COLUMNS($F$7:AB$7))))</f>
        <v/>
      </c>
      <c r="AC137" s="2223" t="str" cm="1">
        <f t="array" ref="AC137">IF($D137&lt;COLUMNS($F$7:AC$7),"",INDEX(TableDiv[[GASB]:[GASB]],_xlfn.AGGREGATE(15,3,(TableDiv[[Agency]:[Agency]]=$E137)/(TableDiv[[Agency]:[Agency]]=$E137)*(ROW(TableDiv[Agency])-ROW(TableDiv[[#Headers],[Agency]])),COLUMNS($F$7:AC$7))))</f>
        <v/>
      </c>
      <c r="AD137" s="2223" t="str" cm="1">
        <f t="array" ref="AD137">IF($D137&lt;COLUMNS($F$7:AD$7),"",INDEX(TableDiv[[GASB]:[GASB]],_xlfn.AGGREGATE(15,3,(TableDiv[[Agency]:[Agency]]=$E137)/(TableDiv[[Agency]:[Agency]]=$E137)*(ROW(TableDiv[Agency])-ROW(TableDiv[[#Headers],[Agency]])),COLUMNS($F$7:AD$7))))</f>
        <v/>
      </c>
      <c r="AE137" s="2223" t="str" cm="1">
        <f t="array" ref="AE137">IF($D137&lt;COLUMNS($F$7:AE$7),"",INDEX(TableDiv[[GASB]:[GASB]],_xlfn.AGGREGATE(15,3,(TableDiv[[Agency]:[Agency]]=$E137)/(TableDiv[[Agency]:[Agency]]=$E137)*(ROW(TableDiv[Agency])-ROW(TableDiv[[#Headers],[Agency]])),COLUMNS($F$7:AE$7))))</f>
        <v/>
      </c>
      <c r="AF137" s="2223" t="str" cm="1">
        <f t="array" ref="AF137">IF($D137&lt;COLUMNS($F$7:AF$7),"",INDEX(TableDiv[[GASB]:[GASB]],_xlfn.AGGREGATE(15,3,(TableDiv[[Agency]:[Agency]]=$E137)/(TableDiv[[Agency]:[Agency]]=$E137)*(ROW(TableDiv[Agency])-ROW(TableDiv[[#Headers],[Agency]])),COLUMNS($F$7:AF$7))))</f>
        <v/>
      </c>
      <c r="AG137" s="2223" t="str" cm="1">
        <f t="array" ref="AG137">IF($D137&lt;COLUMNS($F$7:AG$7),"",INDEX(TableDiv[[GASB]:[GASB]],_xlfn.AGGREGATE(15,3,(TableDiv[[Agency]:[Agency]]=$E137)/(TableDiv[[Agency]:[Agency]]=$E137)*(ROW(TableDiv[Agency])-ROW(TableDiv[[#Headers],[Agency]])),COLUMNS($F$7:AG$7))))</f>
        <v/>
      </c>
      <c r="AH137" s="2223" t="str" cm="1">
        <f t="array" ref="AH137">IF($D137&lt;COLUMNS($F$7:AH$7),"",INDEX(TableDiv[[GASB]:[GASB]],_xlfn.AGGREGATE(15,3,(TableDiv[[Agency]:[Agency]]=$E137)/(TableDiv[[Agency]:[Agency]]=$E137)*(ROW(TableDiv[Agency])-ROW(TableDiv[[#Headers],[Agency]])),COLUMNS($F$7:AH$7))))</f>
        <v/>
      </c>
      <c r="AI137" s="2223" t="str" cm="1">
        <f t="array" ref="AI137">IF($D137&lt;COLUMNS($F$7:AI$7),"",INDEX(TableDiv[[GASB]:[GASB]],_xlfn.AGGREGATE(15,3,(TableDiv[[Agency]:[Agency]]=$E137)/(TableDiv[[Agency]:[Agency]]=$E137)*(ROW(TableDiv[Agency])-ROW(TableDiv[[#Headers],[Agency]])),COLUMNS($F$7:AI$7))))</f>
        <v/>
      </c>
      <c r="AJ137" s="2223" t="str" cm="1">
        <f t="array" ref="AJ137">IF($D137&lt;COLUMNS($F$7:AJ$7),"",INDEX(TableDiv[[GASB]:[GASB]],_xlfn.AGGREGATE(15,3,(TableDiv[[Agency]:[Agency]]=$E137)/(TableDiv[[Agency]:[Agency]]=$E137)*(ROW(TableDiv[Agency])-ROW(TableDiv[[#Headers],[Agency]])),COLUMNS($F$7:AJ$7))))</f>
        <v/>
      </c>
      <c r="AK137" s="2223" t="str" cm="1">
        <f t="array" ref="AK137">IF($D137&lt;COLUMNS($F$7:AK$7),"",INDEX(TableDiv[[GASB]:[GASB]],_xlfn.AGGREGATE(15,3,(TableDiv[[Agency]:[Agency]]=$E137)/(TableDiv[[Agency]:[Agency]]=$E137)*(ROW(TableDiv[Agency])-ROW(TableDiv[[#Headers],[Agency]])),COLUMNS($F$7:AK$7))))</f>
        <v/>
      </c>
      <c r="AL137" s="2223" t="str" cm="1">
        <f t="array" ref="AL137">IF($D137&lt;COLUMNS($F$7:AL$7),"",INDEX(TableDiv[[GASB]:[GASB]],_xlfn.AGGREGATE(15,3,(TableDiv[[Agency]:[Agency]]=$E137)/(TableDiv[[Agency]:[Agency]]=$E137)*(ROW(TableDiv[Agency])-ROW(TableDiv[[#Headers],[Agency]])),COLUMNS($F$7:AL$7))))</f>
        <v/>
      </c>
      <c r="AM137" s="2223" t="str" cm="1">
        <f t="array" ref="AM137">IF($D137&lt;COLUMNS($F$7:AM$7),"",INDEX(TableDiv[[GASB]:[GASB]],_xlfn.AGGREGATE(15,3,(TableDiv[[Agency]:[Agency]]=$E137)/(TableDiv[[Agency]:[Agency]]=$E137)*(ROW(TableDiv[Agency])-ROW(TableDiv[[#Headers],[Agency]])),COLUMNS($F$7:AM$7))))</f>
        <v/>
      </c>
      <c r="AN137" s="2223"/>
      <c r="AO137" s="2223"/>
      <c r="AP137" s="2223"/>
      <c r="AQ137" s="2223"/>
      <c r="AR137" s="2223"/>
      <c r="AS137" s="2223"/>
    </row>
    <row r="138" spans="1:45" ht="15" x14ac:dyDescent="0.25">
      <c r="A138" s="2219" t="s">
        <v>5109</v>
      </c>
      <c r="B138" s="2219" t="s">
        <v>6358</v>
      </c>
      <c r="C138" s="2223"/>
      <c r="D138" s="2223">
        <f>COUNTIF(TableDiv[Agency],E138)</f>
        <v>1</v>
      </c>
      <c r="E138" s="2230" t="str" cm="1">
        <f t="array" ref="E138">IFERROR(INDEX(TableDiv[Agency],MATCH(0,INDEX(COUNTIF($E$7:E137,TableDiv[Agency]),),0)),"")</f>
        <v>C1</v>
      </c>
      <c r="F138" s="2223" t="str" cm="1">
        <f t="array" ref="F138">IF($D138&lt;COLUMNS($F$7:F$7),"",INDEX(TableDiv[[GASB]:[GASB]],_xlfn.AGGREGATE(15,3,(TableDiv[[Agency]:[Agency]]=$E138)/(TableDiv[[Agency]:[Agency]]=$E138)*(ROW(TableDiv[Agency])-ROW(TableDiv[[#Headers],[Agency]])),COLUMNS($F$7:F$7))))</f>
        <v>48100G</v>
      </c>
      <c r="G138" s="2223" t="str" cm="1">
        <f t="array" ref="G138">IF($D138&lt;COLUMNS($F$7:G$7),"",INDEX(TableDiv[[GASB]:[GASB]],_xlfn.AGGREGATE(15,3,(TableDiv[[Agency]:[Agency]]=$E138)/(TableDiv[[Agency]:[Agency]]=$E138)*(ROW(TableDiv[Agency])-ROW(TableDiv[[#Headers],[Agency]])),COLUMNS($F$7:G$7))))</f>
        <v/>
      </c>
      <c r="H138" s="2223" t="str" cm="1">
        <f t="array" ref="H138">IF($D138&lt;COLUMNS($F$7:H$7),"",INDEX(TableDiv[[GASB]:[GASB]],_xlfn.AGGREGATE(15,3,(TableDiv[[Agency]:[Agency]]=$E138)/(TableDiv[[Agency]:[Agency]]=$E138)*(ROW(TableDiv[Agency])-ROW(TableDiv[[#Headers],[Agency]])),COLUMNS($F$7:H$7))))</f>
        <v/>
      </c>
      <c r="I138" s="2223" t="str" cm="1">
        <f t="array" ref="I138">IF($D138&lt;COLUMNS($F$7:I$7),"",INDEX(TableDiv[[GASB]:[GASB]],_xlfn.AGGREGATE(15,3,(TableDiv[[Agency]:[Agency]]=$E138)/(TableDiv[[Agency]:[Agency]]=$E138)*(ROW(TableDiv[Agency])-ROW(TableDiv[[#Headers],[Agency]])),COLUMNS($F$7:I$7))))</f>
        <v/>
      </c>
      <c r="J138" s="2223" t="str" cm="1">
        <f t="array" ref="J138">IF($D138&lt;COLUMNS($F$7:J$7),"",INDEX(TableDiv[[GASB]:[GASB]],_xlfn.AGGREGATE(15,3,(TableDiv[[Agency]:[Agency]]=$E138)/(TableDiv[[Agency]:[Agency]]=$E138)*(ROW(TableDiv[Agency])-ROW(TableDiv[[#Headers],[Agency]])),COLUMNS($F$7:J$7))))</f>
        <v/>
      </c>
      <c r="K138" s="2223" t="str" cm="1">
        <f t="array" ref="K138">IF($D138&lt;COLUMNS($F$7:K$7),"",INDEX(TableDiv[[GASB]:[GASB]],_xlfn.AGGREGATE(15,3,(TableDiv[[Agency]:[Agency]]=$E138)/(TableDiv[[Agency]:[Agency]]=$E138)*(ROW(TableDiv[Agency])-ROW(TableDiv[[#Headers],[Agency]])),COLUMNS($F$7:K$7))))</f>
        <v/>
      </c>
      <c r="L138" s="2223" t="str" cm="1">
        <f t="array" ref="L138">IF($D138&lt;COLUMNS($F$7:L$7),"",INDEX(TableDiv[[GASB]:[GASB]],_xlfn.AGGREGATE(15,3,(TableDiv[[Agency]:[Agency]]=$E138)/(TableDiv[[Agency]:[Agency]]=$E138)*(ROW(TableDiv[Agency])-ROW(TableDiv[[#Headers],[Agency]])),COLUMNS($F$7:L$7))))</f>
        <v/>
      </c>
      <c r="M138" s="2223" t="str" cm="1">
        <f t="array" ref="M138">IF($D138&lt;COLUMNS($F$7:M$7),"",INDEX(TableDiv[[GASB]:[GASB]],_xlfn.AGGREGATE(15,3,(TableDiv[[Agency]:[Agency]]=$E138)/(TableDiv[[Agency]:[Agency]]=$E138)*(ROW(TableDiv[Agency])-ROW(TableDiv[[#Headers],[Agency]])),COLUMNS($F$7:M$7))))</f>
        <v/>
      </c>
      <c r="N138" s="2223" t="str" cm="1">
        <f t="array" ref="N138">IF($D138&lt;COLUMNS($F$7:N$7),"",INDEX(TableDiv[[GASB]:[GASB]],_xlfn.AGGREGATE(15,3,(TableDiv[[Agency]:[Agency]]=$E138)/(TableDiv[[Agency]:[Agency]]=$E138)*(ROW(TableDiv[Agency])-ROW(TableDiv[[#Headers],[Agency]])),COLUMNS($F$7:N$7))))</f>
        <v/>
      </c>
      <c r="O138" s="2223" t="str" cm="1">
        <f t="array" ref="O138">IF($D138&lt;COLUMNS($F$7:O$7),"",INDEX(TableDiv[[GASB]:[GASB]],_xlfn.AGGREGATE(15,3,(TableDiv[[Agency]:[Agency]]=$E138)/(TableDiv[[Agency]:[Agency]]=$E138)*(ROW(TableDiv[Agency])-ROW(TableDiv[[#Headers],[Agency]])),COLUMNS($F$7:O$7))))</f>
        <v/>
      </c>
      <c r="P138" s="2223" t="str" cm="1">
        <f t="array" ref="P138">IF($D138&lt;COLUMNS($F$7:P$7),"",INDEX(TableDiv[[GASB]:[GASB]],_xlfn.AGGREGATE(15,3,(TableDiv[[Agency]:[Agency]]=$E138)/(TableDiv[[Agency]:[Agency]]=$E138)*(ROW(TableDiv[Agency])-ROW(TableDiv[[#Headers],[Agency]])),COLUMNS($F$7:P$7))))</f>
        <v/>
      </c>
      <c r="Q138" s="2223" t="str" cm="1">
        <f t="array" ref="Q138">IF($D138&lt;COLUMNS($F$7:Q$7),"",INDEX(TableDiv[[GASB]:[GASB]],_xlfn.AGGREGATE(15,3,(TableDiv[[Agency]:[Agency]]=$E138)/(TableDiv[[Agency]:[Agency]]=$E138)*(ROW(TableDiv[Agency])-ROW(TableDiv[[#Headers],[Agency]])),COLUMNS($F$7:Q$7))))</f>
        <v/>
      </c>
      <c r="R138" s="2223" t="str" cm="1">
        <f t="array" ref="R138">IF($D138&lt;COLUMNS($F$7:R$7),"",INDEX(TableDiv[[GASB]:[GASB]],_xlfn.AGGREGATE(15,3,(TableDiv[[Agency]:[Agency]]=$E138)/(TableDiv[[Agency]:[Agency]]=$E138)*(ROW(TableDiv[Agency])-ROW(TableDiv[[#Headers],[Agency]])),COLUMNS($F$7:R$7))))</f>
        <v/>
      </c>
      <c r="S138" s="2223" t="str" cm="1">
        <f t="array" ref="S138">IF($D138&lt;COLUMNS($F$7:S$7),"",INDEX(TableDiv[[GASB]:[GASB]],_xlfn.AGGREGATE(15,3,(TableDiv[[Agency]:[Agency]]=$E138)/(TableDiv[[Agency]:[Agency]]=$E138)*(ROW(TableDiv[Agency])-ROW(TableDiv[[#Headers],[Agency]])),COLUMNS($F$7:S$7))))</f>
        <v/>
      </c>
      <c r="T138" s="2223" t="str" cm="1">
        <f t="array" ref="T138">IF($D138&lt;COLUMNS($F$7:T$7),"",INDEX(TableDiv[[GASB]:[GASB]],_xlfn.AGGREGATE(15,3,(TableDiv[[Agency]:[Agency]]=$E138)/(TableDiv[[Agency]:[Agency]]=$E138)*(ROW(TableDiv[Agency])-ROW(TableDiv[[#Headers],[Agency]])),COLUMNS($F$7:T$7))))</f>
        <v/>
      </c>
      <c r="U138" s="2223" t="str" cm="1">
        <f t="array" ref="U138">IF($D138&lt;COLUMNS($F$7:U$7),"",INDEX(TableDiv[[GASB]:[GASB]],_xlfn.AGGREGATE(15,3,(TableDiv[[Agency]:[Agency]]=$E138)/(TableDiv[[Agency]:[Agency]]=$E138)*(ROW(TableDiv[Agency])-ROW(TableDiv[[#Headers],[Agency]])),COLUMNS($F$7:U$7))))</f>
        <v/>
      </c>
      <c r="V138" s="2223" t="str" cm="1">
        <f t="array" ref="V138">IF($D138&lt;COLUMNS($F$7:V$7),"",INDEX(TableDiv[[GASB]:[GASB]],_xlfn.AGGREGATE(15,3,(TableDiv[[Agency]:[Agency]]=$E138)/(TableDiv[[Agency]:[Agency]]=$E138)*(ROW(TableDiv[Agency])-ROW(TableDiv[[#Headers],[Agency]])),COLUMNS($F$7:V$7))))</f>
        <v/>
      </c>
      <c r="W138" s="2223" t="str" cm="1">
        <f t="array" ref="W138">IF($D138&lt;COLUMNS($F$7:W$7),"",INDEX(TableDiv[[GASB]:[GASB]],_xlfn.AGGREGATE(15,3,(TableDiv[[Agency]:[Agency]]=$E138)/(TableDiv[[Agency]:[Agency]]=$E138)*(ROW(TableDiv[Agency])-ROW(TableDiv[[#Headers],[Agency]])),COLUMNS($F$7:W$7))))</f>
        <v/>
      </c>
      <c r="X138" s="2223" t="str" cm="1">
        <f t="array" ref="X138">IF($D138&lt;COLUMNS($F$7:X$7),"",INDEX(TableDiv[[GASB]:[GASB]],_xlfn.AGGREGATE(15,3,(TableDiv[[Agency]:[Agency]]=$E138)/(TableDiv[[Agency]:[Agency]]=$E138)*(ROW(TableDiv[Agency])-ROW(TableDiv[[#Headers],[Agency]])),COLUMNS($F$7:X$7))))</f>
        <v/>
      </c>
      <c r="Y138" s="2223" t="str" cm="1">
        <f t="array" ref="Y138">IF($D138&lt;COLUMNS($F$7:Y$7),"",INDEX(TableDiv[[GASB]:[GASB]],_xlfn.AGGREGATE(15,3,(TableDiv[[Agency]:[Agency]]=$E138)/(TableDiv[[Agency]:[Agency]]=$E138)*(ROW(TableDiv[Agency])-ROW(TableDiv[[#Headers],[Agency]])),COLUMNS($F$7:Y$7))))</f>
        <v/>
      </c>
      <c r="Z138" s="2223" t="str" cm="1">
        <f t="array" ref="Z138">IF($D138&lt;COLUMNS($F$7:Z$7),"",INDEX(TableDiv[[GASB]:[GASB]],_xlfn.AGGREGATE(15,3,(TableDiv[[Agency]:[Agency]]=$E138)/(TableDiv[[Agency]:[Agency]]=$E138)*(ROW(TableDiv[Agency])-ROW(TableDiv[[#Headers],[Agency]])),COLUMNS($F$7:Z$7))))</f>
        <v/>
      </c>
      <c r="AA138" s="2223" t="str" cm="1">
        <f t="array" ref="AA138">IF($D138&lt;COLUMNS($F$7:AA$7),"",INDEX(TableDiv[[GASB]:[GASB]],_xlfn.AGGREGATE(15,3,(TableDiv[[Agency]:[Agency]]=$E138)/(TableDiv[[Agency]:[Agency]]=$E138)*(ROW(TableDiv[Agency])-ROW(TableDiv[[#Headers],[Agency]])),COLUMNS($F$7:AA$7))))</f>
        <v/>
      </c>
      <c r="AB138" s="2223" t="str" cm="1">
        <f t="array" ref="AB138">IF($D138&lt;COLUMNS($F$7:AB$7),"",INDEX(TableDiv[[GASB]:[GASB]],_xlfn.AGGREGATE(15,3,(TableDiv[[Agency]:[Agency]]=$E138)/(TableDiv[[Agency]:[Agency]]=$E138)*(ROW(TableDiv[Agency])-ROW(TableDiv[[#Headers],[Agency]])),COLUMNS($F$7:AB$7))))</f>
        <v/>
      </c>
      <c r="AC138" s="2223" t="str" cm="1">
        <f t="array" ref="AC138">IF($D138&lt;COLUMNS($F$7:AC$7),"",INDEX(TableDiv[[GASB]:[GASB]],_xlfn.AGGREGATE(15,3,(TableDiv[[Agency]:[Agency]]=$E138)/(TableDiv[[Agency]:[Agency]]=$E138)*(ROW(TableDiv[Agency])-ROW(TableDiv[[#Headers],[Agency]])),COLUMNS($F$7:AC$7))))</f>
        <v/>
      </c>
      <c r="AD138" s="2223" t="str" cm="1">
        <f t="array" ref="AD138">IF($D138&lt;COLUMNS($F$7:AD$7),"",INDEX(TableDiv[[GASB]:[GASB]],_xlfn.AGGREGATE(15,3,(TableDiv[[Agency]:[Agency]]=$E138)/(TableDiv[[Agency]:[Agency]]=$E138)*(ROW(TableDiv[Agency])-ROW(TableDiv[[#Headers],[Agency]])),COLUMNS($F$7:AD$7))))</f>
        <v/>
      </c>
      <c r="AE138" s="2223" t="str" cm="1">
        <f t="array" ref="AE138">IF($D138&lt;COLUMNS($F$7:AE$7),"",INDEX(TableDiv[[GASB]:[GASB]],_xlfn.AGGREGATE(15,3,(TableDiv[[Agency]:[Agency]]=$E138)/(TableDiv[[Agency]:[Agency]]=$E138)*(ROW(TableDiv[Agency])-ROW(TableDiv[[#Headers],[Agency]])),COLUMNS($F$7:AE$7))))</f>
        <v/>
      </c>
      <c r="AF138" s="2223" t="str" cm="1">
        <f t="array" ref="AF138">IF($D138&lt;COLUMNS($F$7:AF$7),"",INDEX(TableDiv[[GASB]:[GASB]],_xlfn.AGGREGATE(15,3,(TableDiv[[Agency]:[Agency]]=$E138)/(TableDiv[[Agency]:[Agency]]=$E138)*(ROW(TableDiv[Agency])-ROW(TableDiv[[#Headers],[Agency]])),COLUMNS($F$7:AF$7))))</f>
        <v/>
      </c>
      <c r="AG138" s="2223" t="str" cm="1">
        <f t="array" ref="AG138">IF($D138&lt;COLUMNS($F$7:AG$7),"",INDEX(TableDiv[[GASB]:[GASB]],_xlfn.AGGREGATE(15,3,(TableDiv[[Agency]:[Agency]]=$E138)/(TableDiv[[Agency]:[Agency]]=$E138)*(ROW(TableDiv[Agency])-ROW(TableDiv[[#Headers],[Agency]])),COLUMNS($F$7:AG$7))))</f>
        <v/>
      </c>
      <c r="AH138" s="2223" t="str" cm="1">
        <f t="array" ref="AH138">IF($D138&lt;COLUMNS($F$7:AH$7),"",INDEX(TableDiv[[GASB]:[GASB]],_xlfn.AGGREGATE(15,3,(TableDiv[[Agency]:[Agency]]=$E138)/(TableDiv[[Agency]:[Agency]]=$E138)*(ROW(TableDiv[Agency])-ROW(TableDiv[[#Headers],[Agency]])),COLUMNS($F$7:AH$7))))</f>
        <v/>
      </c>
      <c r="AI138" s="2223" t="str" cm="1">
        <f t="array" ref="AI138">IF($D138&lt;COLUMNS($F$7:AI$7),"",INDEX(TableDiv[[GASB]:[GASB]],_xlfn.AGGREGATE(15,3,(TableDiv[[Agency]:[Agency]]=$E138)/(TableDiv[[Agency]:[Agency]]=$E138)*(ROW(TableDiv[Agency])-ROW(TableDiv[[#Headers],[Agency]])),COLUMNS($F$7:AI$7))))</f>
        <v/>
      </c>
      <c r="AJ138" s="2223" t="str" cm="1">
        <f t="array" ref="AJ138">IF($D138&lt;COLUMNS($F$7:AJ$7),"",INDEX(TableDiv[[GASB]:[GASB]],_xlfn.AGGREGATE(15,3,(TableDiv[[Agency]:[Agency]]=$E138)/(TableDiv[[Agency]:[Agency]]=$E138)*(ROW(TableDiv[Agency])-ROW(TableDiv[[#Headers],[Agency]])),COLUMNS($F$7:AJ$7))))</f>
        <v/>
      </c>
      <c r="AK138" s="2223" t="str" cm="1">
        <f t="array" ref="AK138">IF($D138&lt;COLUMNS($F$7:AK$7),"",INDEX(TableDiv[[GASB]:[GASB]],_xlfn.AGGREGATE(15,3,(TableDiv[[Agency]:[Agency]]=$E138)/(TableDiv[[Agency]:[Agency]]=$E138)*(ROW(TableDiv[Agency])-ROW(TableDiv[[#Headers],[Agency]])),COLUMNS($F$7:AK$7))))</f>
        <v/>
      </c>
      <c r="AL138" s="2223" t="str" cm="1">
        <f t="array" ref="AL138">IF($D138&lt;COLUMNS($F$7:AL$7),"",INDEX(TableDiv[[GASB]:[GASB]],_xlfn.AGGREGATE(15,3,(TableDiv[[Agency]:[Agency]]=$E138)/(TableDiv[[Agency]:[Agency]]=$E138)*(ROW(TableDiv[Agency])-ROW(TableDiv[[#Headers],[Agency]])),COLUMNS($F$7:AL$7))))</f>
        <v/>
      </c>
      <c r="AM138" s="2223" t="str" cm="1">
        <f t="array" ref="AM138">IF($D138&lt;COLUMNS($F$7:AM$7),"",INDEX(TableDiv[[GASB]:[GASB]],_xlfn.AGGREGATE(15,3,(TableDiv[[Agency]:[Agency]]=$E138)/(TableDiv[[Agency]:[Agency]]=$E138)*(ROW(TableDiv[Agency])-ROW(TableDiv[[#Headers],[Agency]])),COLUMNS($F$7:AM$7))))</f>
        <v/>
      </c>
      <c r="AN138" s="2223"/>
      <c r="AO138" s="2223"/>
      <c r="AP138" s="2223"/>
      <c r="AQ138" s="2223"/>
      <c r="AR138" s="2223"/>
      <c r="AS138" s="2223"/>
    </row>
    <row r="139" spans="1:45" ht="15" x14ac:dyDescent="0.25">
      <c r="A139" s="2219" t="s">
        <v>5109</v>
      </c>
      <c r="B139" s="2219" t="s">
        <v>6368</v>
      </c>
      <c r="C139" s="2223"/>
      <c r="D139" s="2223">
        <f>COUNTIF(TableDiv[Agency],E139)</f>
        <v>1</v>
      </c>
      <c r="E139" s="2230" t="str" cm="1">
        <f t="array" ref="E139">IFERROR(INDEX(TableDiv[Agency],MATCH(0,INDEX(COUNTIF($E$7:E138,TableDiv[Agency]),),0)),"")</f>
        <v>C2</v>
      </c>
      <c r="F139" s="2223" t="str" cm="1">
        <f t="array" ref="F139">IF($D139&lt;COLUMNS($F$7:F$7),"",INDEX(TableDiv[[GASB]:[GASB]],_xlfn.AGGREGATE(15,3,(TableDiv[[Agency]:[Agency]]=$E139)/(TableDiv[[Agency]:[Agency]]=$E139)*(ROW(TableDiv[Agency])-ROW(TableDiv[[#Headers],[Agency]])),COLUMNS($F$7:F$7))))</f>
        <v>48100G</v>
      </c>
      <c r="G139" s="2223" t="str" cm="1">
        <f t="array" ref="G139">IF($D139&lt;COLUMNS($F$7:G$7),"",INDEX(TableDiv[[GASB]:[GASB]],_xlfn.AGGREGATE(15,3,(TableDiv[[Agency]:[Agency]]=$E139)/(TableDiv[[Agency]:[Agency]]=$E139)*(ROW(TableDiv[Agency])-ROW(TableDiv[[#Headers],[Agency]])),COLUMNS($F$7:G$7))))</f>
        <v/>
      </c>
      <c r="H139" s="2223" t="str" cm="1">
        <f t="array" ref="H139">IF($D139&lt;COLUMNS($F$7:H$7),"",INDEX(TableDiv[[GASB]:[GASB]],_xlfn.AGGREGATE(15,3,(TableDiv[[Agency]:[Agency]]=$E139)/(TableDiv[[Agency]:[Agency]]=$E139)*(ROW(TableDiv[Agency])-ROW(TableDiv[[#Headers],[Agency]])),COLUMNS($F$7:H$7))))</f>
        <v/>
      </c>
      <c r="I139" s="2223" t="str" cm="1">
        <f t="array" ref="I139">IF($D139&lt;COLUMNS($F$7:I$7),"",INDEX(TableDiv[[GASB]:[GASB]],_xlfn.AGGREGATE(15,3,(TableDiv[[Agency]:[Agency]]=$E139)/(TableDiv[[Agency]:[Agency]]=$E139)*(ROW(TableDiv[Agency])-ROW(TableDiv[[#Headers],[Agency]])),COLUMNS($F$7:I$7))))</f>
        <v/>
      </c>
      <c r="J139" s="2223" t="str" cm="1">
        <f t="array" ref="J139">IF($D139&lt;COLUMNS($F$7:J$7),"",INDEX(TableDiv[[GASB]:[GASB]],_xlfn.AGGREGATE(15,3,(TableDiv[[Agency]:[Agency]]=$E139)/(TableDiv[[Agency]:[Agency]]=$E139)*(ROW(TableDiv[Agency])-ROW(TableDiv[[#Headers],[Agency]])),COLUMNS($F$7:J$7))))</f>
        <v/>
      </c>
      <c r="K139" s="2223" t="str" cm="1">
        <f t="array" ref="K139">IF($D139&lt;COLUMNS($F$7:K$7),"",INDEX(TableDiv[[GASB]:[GASB]],_xlfn.AGGREGATE(15,3,(TableDiv[[Agency]:[Agency]]=$E139)/(TableDiv[[Agency]:[Agency]]=$E139)*(ROW(TableDiv[Agency])-ROW(TableDiv[[#Headers],[Agency]])),COLUMNS($F$7:K$7))))</f>
        <v/>
      </c>
      <c r="L139" s="2223" t="str" cm="1">
        <f t="array" ref="L139">IF($D139&lt;COLUMNS($F$7:L$7),"",INDEX(TableDiv[[GASB]:[GASB]],_xlfn.AGGREGATE(15,3,(TableDiv[[Agency]:[Agency]]=$E139)/(TableDiv[[Agency]:[Agency]]=$E139)*(ROW(TableDiv[Agency])-ROW(TableDiv[[#Headers],[Agency]])),COLUMNS($F$7:L$7))))</f>
        <v/>
      </c>
      <c r="M139" s="2223" t="str" cm="1">
        <f t="array" ref="M139">IF($D139&lt;COLUMNS($F$7:M$7),"",INDEX(TableDiv[[GASB]:[GASB]],_xlfn.AGGREGATE(15,3,(TableDiv[[Agency]:[Agency]]=$E139)/(TableDiv[[Agency]:[Agency]]=$E139)*(ROW(TableDiv[Agency])-ROW(TableDiv[[#Headers],[Agency]])),COLUMNS($F$7:M$7))))</f>
        <v/>
      </c>
      <c r="N139" s="2223" t="str" cm="1">
        <f t="array" ref="N139">IF($D139&lt;COLUMNS($F$7:N$7),"",INDEX(TableDiv[[GASB]:[GASB]],_xlfn.AGGREGATE(15,3,(TableDiv[[Agency]:[Agency]]=$E139)/(TableDiv[[Agency]:[Agency]]=$E139)*(ROW(TableDiv[Agency])-ROW(TableDiv[[#Headers],[Agency]])),COLUMNS($F$7:N$7))))</f>
        <v/>
      </c>
      <c r="O139" s="2223" t="str" cm="1">
        <f t="array" ref="O139">IF($D139&lt;COLUMNS($F$7:O$7),"",INDEX(TableDiv[[GASB]:[GASB]],_xlfn.AGGREGATE(15,3,(TableDiv[[Agency]:[Agency]]=$E139)/(TableDiv[[Agency]:[Agency]]=$E139)*(ROW(TableDiv[Agency])-ROW(TableDiv[[#Headers],[Agency]])),COLUMNS($F$7:O$7))))</f>
        <v/>
      </c>
      <c r="P139" s="2223" t="str" cm="1">
        <f t="array" ref="P139">IF($D139&lt;COLUMNS($F$7:P$7),"",INDEX(TableDiv[[GASB]:[GASB]],_xlfn.AGGREGATE(15,3,(TableDiv[[Agency]:[Agency]]=$E139)/(TableDiv[[Agency]:[Agency]]=$E139)*(ROW(TableDiv[Agency])-ROW(TableDiv[[#Headers],[Agency]])),COLUMNS($F$7:P$7))))</f>
        <v/>
      </c>
      <c r="Q139" s="2223" t="str" cm="1">
        <f t="array" ref="Q139">IF($D139&lt;COLUMNS($F$7:Q$7),"",INDEX(TableDiv[[GASB]:[GASB]],_xlfn.AGGREGATE(15,3,(TableDiv[[Agency]:[Agency]]=$E139)/(TableDiv[[Agency]:[Agency]]=$E139)*(ROW(TableDiv[Agency])-ROW(TableDiv[[#Headers],[Agency]])),COLUMNS($F$7:Q$7))))</f>
        <v/>
      </c>
      <c r="R139" s="2223" t="str" cm="1">
        <f t="array" ref="R139">IF($D139&lt;COLUMNS($F$7:R$7),"",INDEX(TableDiv[[GASB]:[GASB]],_xlfn.AGGREGATE(15,3,(TableDiv[[Agency]:[Agency]]=$E139)/(TableDiv[[Agency]:[Agency]]=$E139)*(ROW(TableDiv[Agency])-ROW(TableDiv[[#Headers],[Agency]])),COLUMNS($F$7:R$7))))</f>
        <v/>
      </c>
      <c r="S139" s="2223" t="str" cm="1">
        <f t="array" ref="S139">IF($D139&lt;COLUMNS($F$7:S$7),"",INDEX(TableDiv[[GASB]:[GASB]],_xlfn.AGGREGATE(15,3,(TableDiv[[Agency]:[Agency]]=$E139)/(TableDiv[[Agency]:[Agency]]=$E139)*(ROW(TableDiv[Agency])-ROW(TableDiv[[#Headers],[Agency]])),COLUMNS($F$7:S$7))))</f>
        <v/>
      </c>
      <c r="T139" s="2223" t="str" cm="1">
        <f t="array" ref="T139">IF($D139&lt;COLUMNS($F$7:T$7),"",INDEX(TableDiv[[GASB]:[GASB]],_xlfn.AGGREGATE(15,3,(TableDiv[[Agency]:[Agency]]=$E139)/(TableDiv[[Agency]:[Agency]]=$E139)*(ROW(TableDiv[Agency])-ROW(TableDiv[[#Headers],[Agency]])),COLUMNS($F$7:T$7))))</f>
        <v/>
      </c>
      <c r="U139" s="2223" t="str" cm="1">
        <f t="array" ref="U139">IF($D139&lt;COLUMNS($F$7:U$7),"",INDEX(TableDiv[[GASB]:[GASB]],_xlfn.AGGREGATE(15,3,(TableDiv[[Agency]:[Agency]]=$E139)/(TableDiv[[Agency]:[Agency]]=$E139)*(ROW(TableDiv[Agency])-ROW(TableDiv[[#Headers],[Agency]])),COLUMNS($F$7:U$7))))</f>
        <v/>
      </c>
      <c r="V139" s="2223" t="str" cm="1">
        <f t="array" ref="V139">IF($D139&lt;COLUMNS($F$7:V$7),"",INDEX(TableDiv[[GASB]:[GASB]],_xlfn.AGGREGATE(15,3,(TableDiv[[Agency]:[Agency]]=$E139)/(TableDiv[[Agency]:[Agency]]=$E139)*(ROW(TableDiv[Agency])-ROW(TableDiv[[#Headers],[Agency]])),COLUMNS($F$7:V$7))))</f>
        <v/>
      </c>
      <c r="W139" s="2223" t="str" cm="1">
        <f t="array" ref="W139">IF($D139&lt;COLUMNS($F$7:W$7),"",INDEX(TableDiv[[GASB]:[GASB]],_xlfn.AGGREGATE(15,3,(TableDiv[[Agency]:[Agency]]=$E139)/(TableDiv[[Agency]:[Agency]]=$E139)*(ROW(TableDiv[Agency])-ROW(TableDiv[[#Headers],[Agency]])),COLUMNS($F$7:W$7))))</f>
        <v/>
      </c>
      <c r="X139" s="2223" t="str" cm="1">
        <f t="array" ref="X139">IF($D139&lt;COLUMNS($F$7:X$7),"",INDEX(TableDiv[[GASB]:[GASB]],_xlfn.AGGREGATE(15,3,(TableDiv[[Agency]:[Agency]]=$E139)/(TableDiv[[Agency]:[Agency]]=$E139)*(ROW(TableDiv[Agency])-ROW(TableDiv[[#Headers],[Agency]])),COLUMNS($F$7:X$7))))</f>
        <v/>
      </c>
      <c r="Y139" s="2223" t="str" cm="1">
        <f t="array" ref="Y139">IF($D139&lt;COLUMNS($F$7:Y$7),"",INDEX(TableDiv[[GASB]:[GASB]],_xlfn.AGGREGATE(15,3,(TableDiv[[Agency]:[Agency]]=$E139)/(TableDiv[[Agency]:[Agency]]=$E139)*(ROW(TableDiv[Agency])-ROW(TableDiv[[#Headers],[Agency]])),COLUMNS($F$7:Y$7))))</f>
        <v/>
      </c>
      <c r="Z139" s="2223" t="str" cm="1">
        <f t="array" ref="Z139">IF($D139&lt;COLUMNS($F$7:Z$7),"",INDEX(TableDiv[[GASB]:[GASB]],_xlfn.AGGREGATE(15,3,(TableDiv[[Agency]:[Agency]]=$E139)/(TableDiv[[Agency]:[Agency]]=$E139)*(ROW(TableDiv[Agency])-ROW(TableDiv[[#Headers],[Agency]])),COLUMNS($F$7:Z$7))))</f>
        <v/>
      </c>
      <c r="AA139" s="2223" t="str" cm="1">
        <f t="array" ref="AA139">IF($D139&lt;COLUMNS($F$7:AA$7),"",INDEX(TableDiv[[GASB]:[GASB]],_xlfn.AGGREGATE(15,3,(TableDiv[[Agency]:[Agency]]=$E139)/(TableDiv[[Agency]:[Agency]]=$E139)*(ROW(TableDiv[Agency])-ROW(TableDiv[[#Headers],[Agency]])),COLUMNS($F$7:AA$7))))</f>
        <v/>
      </c>
      <c r="AB139" s="2223" t="str" cm="1">
        <f t="array" ref="AB139">IF($D139&lt;COLUMNS($F$7:AB$7),"",INDEX(TableDiv[[GASB]:[GASB]],_xlfn.AGGREGATE(15,3,(TableDiv[[Agency]:[Agency]]=$E139)/(TableDiv[[Agency]:[Agency]]=$E139)*(ROW(TableDiv[Agency])-ROW(TableDiv[[#Headers],[Agency]])),COLUMNS($F$7:AB$7))))</f>
        <v/>
      </c>
      <c r="AC139" s="2223" t="str" cm="1">
        <f t="array" ref="AC139">IF($D139&lt;COLUMNS($F$7:AC$7),"",INDEX(TableDiv[[GASB]:[GASB]],_xlfn.AGGREGATE(15,3,(TableDiv[[Agency]:[Agency]]=$E139)/(TableDiv[[Agency]:[Agency]]=$E139)*(ROW(TableDiv[Agency])-ROW(TableDiv[[#Headers],[Agency]])),COLUMNS($F$7:AC$7))))</f>
        <v/>
      </c>
      <c r="AD139" s="2223" t="str" cm="1">
        <f t="array" ref="AD139">IF($D139&lt;COLUMNS($F$7:AD$7),"",INDEX(TableDiv[[GASB]:[GASB]],_xlfn.AGGREGATE(15,3,(TableDiv[[Agency]:[Agency]]=$E139)/(TableDiv[[Agency]:[Agency]]=$E139)*(ROW(TableDiv[Agency])-ROW(TableDiv[[#Headers],[Agency]])),COLUMNS($F$7:AD$7))))</f>
        <v/>
      </c>
      <c r="AE139" s="2223" t="str" cm="1">
        <f t="array" ref="AE139">IF($D139&lt;COLUMNS($F$7:AE$7),"",INDEX(TableDiv[[GASB]:[GASB]],_xlfn.AGGREGATE(15,3,(TableDiv[[Agency]:[Agency]]=$E139)/(TableDiv[[Agency]:[Agency]]=$E139)*(ROW(TableDiv[Agency])-ROW(TableDiv[[#Headers],[Agency]])),COLUMNS($F$7:AE$7))))</f>
        <v/>
      </c>
      <c r="AF139" s="2223" t="str" cm="1">
        <f t="array" ref="AF139">IF($D139&lt;COLUMNS($F$7:AF$7),"",INDEX(TableDiv[[GASB]:[GASB]],_xlfn.AGGREGATE(15,3,(TableDiv[[Agency]:[Agency]]=$E139)/(TableDiv[[Agency]:[Agency]]=$E139)*(ROW(TableDiv[Agency])-ROW(TableDiv[[#Headers],[Agency]])),COLUMNS($F$7:AF$7))))</f>
        <v/>
      </c>
      <c r="AG139" s="2223" t="str" cm="1">
        <f t="array" ref="AG139">IF($D139&lt;COLUMNS($F$7:AG$7),"",INDEX(TableDiv[[GASB]:[GASB]],_xlfn.AGGREGATE(15,3,(TableDiv[[Agency]:[Agency]]=$E139)/(TableDiv[[Agency]:[Agency]]=$E139)*(ROW(TableDiv[Agency])-ROW(TableDiv[[#Headers],[Agency]])),COLUMNS($F$7:AG$7))))</f>
        <v/>
      </c>
      <c r="AH139" s="2223" t="str" cm="1">
        <f t="array" ref="AH139">IF($D139&lt;COLUMNS($F$7:AH$7),"",INDEX(TableDiv[[GASB]:[GASB]],_xlfn.AGGREGATE(15,3,(TableDiv[[Agency]:[Agency]]=$E139)/(TableDiv[[Agency]:[Agency]]=$E139)*(ROW(TableDiv[Agency])-ROW(TableDiv[[#Headers],[Agency]])),COLUMNS($F$7:AH$7))))</f>
        <v/>
      </c>
      <c r="AI139" s="2223" t="str" cm="1">
        <f t="array" ref="AI139">IF($D139&lt;COLUMNS($F$7:AI$7),"",INDEX(TableDiv[[GASB]:[GASB]],_xlfn.AGGREGATE(15,3,(TableDiv[[Agency]:[Agency]]=$E139)/(TableDiv[[Agency]:[Agency]]=$E139)*(ROW(TableDiv[Agency])-ROW(TableDiv[[#Headers],[Agency]])),COLUMNS($F$7:AI$7))))</f>
        <v/>
      </c>
      <c r="AJ139" s="2223" t="str" cm="1">
        <f t="array" ref="AJ139">IF($D139&lt;COLUMNS($F$7:AJ$7),"",INDEX(TableDiv[[GASB]:[GASB]],_xlfn.AGGREGATE(15,3,(TableDiv[[Agency]:[Agency]]=$E139)/(TableDiv[[Agency]:[Agency]]=$E139)*(ROW(TableDiv[Agency])-ROW(TableDiv[[#Headers],[Agency]])),COLUMNS($F$7:AJ$7))))</f>
        <v/>
      </c>
      <c r="AK139" s="2223" t="str" cm="1">
        <f t="array" ref="AK139">IF($D139&lt;COLUMNS($F$7:AK$7),"",INDEX(TableDiv[[GASB]:[GASB]],_xlfn.AGGREGATE(15,3,(TableDiv[[Agency]:[Agency]]=$E139)/(TableDiv[[Agency]:[Agency]]=$E139)*(ROW(TableDiv[Agency])-ROW(TableDiv[[#Headers],[Agency]])),COLUMNS($F$7:AK$7))))</f>
        <v/>
      </c>
      <c r="AL139" s="2223" t="str" cm="1">
        <f t="array" ref="AL139">IF($D139&lt;COLUMNS($F$7:AL$7),"",INDEX(TableDiv[[GASB]:[GASB]],_xlfn.AGGREGATE(15,3,(TableDiv[[Agency]:[Agency]]=$E139)/(TableDiv[[Agency]:[Agency]]=$E139)*(ROW(TableDiv[Agency])-ROW(TableDiv[[#Headers],[Agency]])),COLUMNS($F$7:AL$7))))</f>
        <v/>
      </c>
      <c r="AM139" s="2223" t="str" cm="1">
        <f t="array" ref="AM139">IF($D139&lt;COLUMNS($F$7:AM$7),"",INDEX(TableDiv[[GASB]:[GASB]],_xlfn.AGGREGATE(15,3,(TableDiv[[Agency]:[Agency]]=$E139)/(TableDiv[[Agency]:[Agency]]=$E139)*(ROW(TableDiv[Agency])-ROW(TableDiv[[#Headers],[Agency]])),COLUMNS($F$7:AM$7))))</f>
        <v/>
      </c>
      <c r="AN139" s="2223"/>
      <c r="AO139" s="2223"/>
      <c r="AP139" s="2223"/>
      <c r="AQ139" s="2223"/>
      <c r="AR139" s="2223"/>
      <c r="AS139" s="2223"/>
    </row>
    <row r="140" spans="1:45" ht="15" x14ac:dyDescent="0.25">
      <c r="A140" s="2219" t="s">
        <v>5109</v>
      </c>
      <c r="B140" s="2219" t="s">
        <v>6402</v>
      </c>
      <c r="C140" s="2223"/>
      <c r="D140" s="2223">
        <f>COUNTIF(TableDiv[Agency],E140)</f>
        <v>1</v>
      </c>
      <c r="E140" s="2230" t="str" cm="1">
        <f t="array" ref="E140">IFERROR(INDEX(TableDiv[Agency],MATCH(0,INDEX(COUNTIF($E$7:E139,TableDiv[Agency]),),0)),"")</f>
        <v>C3</v>
      </c>
      <c r="F140" s="2223" t="str" cm="1">
        <f t="array" ref="F140">IF($D140&lt;COLUMNS($F$7:F$7),"",INDEX(TableDiv[[GASB]:[GASB]],_xlfn.AGGREGATE(15,3,(TableDiv[[Agency]:[Agency]]=$E140)/(TableDiv[[Agency]:[Agency]]=$E140)*(ROW(TableDiv[Agency])-ROW(TableDiv[[#Headers],[Agency]])),COLUMNS($F$7:F$7))))</f>
        <v>48100G</v>
      </c>
      <c r="G140" s="2223" t="str" cm="1">
        <f t="array" ref="G140">IF($D140&lt;COLUMNS($F$7:G$7),"",INDEX(TableDiv[[GASB]:[GASB]],_xlfn.AGGREGATE(15,3,(TableDiv[[Agency]:[Agency]]=$E140)/(TableDiv[[Agency]:[Agency]]=$E140)*(ROW(TableDiv[Agency])-ROW(TableDiv[[#Headers],[Agency]])),COLUMNS($F$7:G$7))))</f>
        <v/>
      </c>
      <c r="H140" s="2223" t="str" cm="1">
        <f t="array" ref="H140">IF($D140&lt;COLUMNS($F$7:H$7),"",INDEX(TableDiv[[GASB]:[GASB]],_xlfn.AGGREGATE(15,3,(TableDiv[[Agency]:[Agency]]=$E140)/(TableDiv[[Agency]:[Agency]]=$E140)*(ROW(TableDiv[Agency])-ROW(TableDiv[[#Headers],[Agency]])),COLUMNS($F$7:H$7))))</f>
        <v/>
      </c>
      <c r="I140" s="2223" t="str" cm="1">
        <f t="array" ref="I140">IF($D140&lt;COLUMNS($F$7:I$7),"",INDEX(TableDiv[[GASB]:[GASB]],_xlfn.AGGREGATE(15,3,(TableDiv[[Agency]:[Agency]]=$E140)/(TableDiv[[Agency]:[Agency]]=$E140)*(ROW(TableDiv[Agency])-ROW(TableDiv[[#Headers],[Agency]])),COLUMNS($F$7:I$7))))</f>
        <v/>
      </c>
      <c r="J140" s="2223" t="str" cm="1">
        <f t="array" ref="J140">IF($D140&lt;COLUMNS($F$7:J$7),"",INDEX(TableDiv[[GASB]:[GASB]],_xlfn.AGGREGATE(15,3,(TableDiv[[Agency]:[Agency]]=$E140)/(TableDiv[[Agency]:[Agency]]=$E140)*(ROW(TableDiv[Agency])-ROW(TableDiv[[#Headers],[Agency]])),COLUMNS($F$7:J$7))))</f>
        <v/>
      </c>
      <c r="K140" s="2223" t="str" cm="1">
        <f t="array" ref="K140">IF($D140&lt;COLUMNS($F$7:K$7),"",INDEX(TableDiv[[GASB]:[GASB]],_xlfn.AGGREGATE(15,3,(TableDiv[[Agency]:[Agency]]=$E140)/(TableDiv[[Agency]:[Agency]]=$E140)*(ROW(TableDiv[Agency])-ROW(TableDiv[[#Headers],[Agency]])),COLUMNS($F$7:K$7))))</f>
        <v/>
      </c>
      <c r="L140" s="2223" t="str" cm="1">
        <f t="array" ref="L140">IF($D140&lt;COLUMNS($F$7:L$7),"",INDEX(TableDiv[[GASB]:[GASB]],_xlfn.AGGREGATE(15,3,(TableDiv[[Agency]:[Agency]]=$E140)/(TableDiv[[Agency]:[Agency]]=$E140)*(ROW(TableDiv[Agency])-ROW(TableDiv[[#Headers],[Agency]])),COLUMNS($F$7:L$7))))</f>
        <v/>
      </c>
      <c r="M140" s="2223" t="str" cm="1">
        <f t="array" ref="M140">IF($D140&lt;COLUMNS($F$7:M$7),"",INDEX(TableDiv[[GASB]:[GASB]],_xlfn.AGGREGATE(15,3,(TableDiv[[Agency]:[Agency]]=$E140)/(TableDiv[[Agency]:[Agency]]=$E140)*(ROW(TableDiv[Agency])-ROW(TableDiv[[#Headers],[Agency]])),COLUMNS($F$7:M$7))))</f>
        <v/>
      </c>
      <c r="N140" s="2223" t="str" cm="1">
        <f t="array" ref="N140">IF($D140&lt;COLUMNS($F$7:N$7),"",INDEX(TableDiv[[GASB]:[GASB]],_xlfn.AGGREGATE(15,3,(TableDiv[[Agency]:[Agency]]=$E140)/(TableDiv[[Agency]:[Agency]]=$E140)*(ROW(TableDiv[Agency])-ROW(TableDiv[[#Headers],[Agency]])),COLUMNS($F$7:N$7))))</f>
        <v/>
      </c>
      <c r="O140" s="2223" t="str" cm="1">
        <f t="array" ref="O140">IF($D140&lt;COLUMNS($F$7:O$7),"",INDEX(TableDiv[[GASB]:[GASB]],_xlfn.AGGREGATE(15,3,(TableDiv[[Agency]:[Agency]]=$E140)/(TableDiv[[Agency]:[Agency]]=$E140)*(ROW(TableDiv[Agency])-ROW(TableDiv[[#Headers],[Agency]])),COLUMNS($F$7:O$7))))</f>
        <v/>
      </c>
      <c r="P140" s="2223" t="str" cm="1">
        <f t="array" ref="P140">IF($D140&lt;COLUMNS($F$7:P$7),"",INDEX(TableDiv[[GASB]:[GASB]],_xlfn.AGGREGATE(15,3,(TableDiv[[Agency]:[Agency]]=$E140)/(TableDiv[[Agency]:[Agency]]=$E140)*(ROW(TableDiv[Agency])-ROW(TableDiv[[#Headers],[Agency]])),COLUMNS($F$7:P$7))))</f>
        <v/>
      </c>
      <c r="Q140" s="2223" t="str" cm="1">
        <f t="array" ref="Q140">IF($D140&lt;COLUMNS($F$7:Q$7),"",INDEX(TableDiv[[GASB]:[GASB]],_xlfn.AGGREGATE(15,3,(TableDiv[[Agency]:[Agency]]=$E140)/(TableDiv[[Agency]:[Agency]]=$E140)*(ROW(TableDiv[Agency])-ROW(TableDiv[[#Headers],[Agency]])),COLUMNS($F$7:Q$7))))</f>
        <v/>
      </c>
      <c r="R140" s="2223" t="str" cm="1">
        <f t="array" ref="R140">IF($D140&lt;COLUMNS($F$7:R$7),"",INDEX(TableDiv[[GASB]:[GASB]],_xlfn.AGGREGATE(15,3,(TableDiv[[Agency]:[Agency]]=$E140)/(TableDiv[[Agency]:[Agency]]=$E140)*(ROW(TableDiv[Agency])-ROW(TableDiv[[#Headers],[Agency]])),COLUMNS($F$7:R$7))))</f>
        <v/>
      </c>
      <c r="S140" s="2223" t="str" cm="1">
        <f t="array" ref="S140">IF($D140&lt;COLUMNS($F$7:S$7),"",INDEX(TableDiv[[GASB]:[GASB]],_xlfn.AGGREGATE(15,3,(TableDiv[[Agency]:[Agency]]=$E140)/(TableDiv[[Agency]:[Agency]]=$E140)*(ROW(TableDiv[Agency])-ROW(TableDiv[[#Headers],[Agency]])),COLUMNS($F$7:S$7))))</f>
        <v/>
      </c>
      <c r="T140" s="2223" t="str" cm="1">
        <f t="array" ref="T140">IF($D140&lt;COLUMNS($F$7:T$7),"",INDEX(TableDiv[[GASB]:[GASB]],_xlfn.AGGREGATE(15,3,(TableDiv[[Agency]:[Agency]]=$E140)/(TableDiv[[Agency]:[Agency]]=$E140)*(ROW(TableDiv[Agency])-ROW(TableDiv[[#Headers],[Agency]])),COLUMNS($F$7:T$7))))</f>
        <v/>
      </c>
      <c r="U140" s="2223" t="str" cm="1">
        <f t="array" ref="U140">IF($D140&lt;COLUMNS($F$7:U$7),"",INDEX(TableDiv[[GASB]:[GASB]],_xlfn.AGGREGATE(15,3,(TableDiv[[Agency]:[Agency]]=$E140)/(TableDiv[[Agency]:[Agency]]=$E140)*(ROW(TableDiv[Agency])-ROW(TableDiv[[#Headers],[Agency]])),COLUMNS($F$7:U$7))))</f>
        <v/>
      </c>
      <c r="V140" s="2223" t="str" cm="1">
        <f t="array" ref="V140">IF($D140&lt;COLUMNS($F$7:V$7),"",INDEX(TableDiv[[GASB]:[GASB]],_xlfn.AGGREGATE(15,3,(TableDiv[[Agency]:[Agency]]=$E140)/(TableDiv[[Agency]:[Agency]]=$E140)*(ROW(TableDiv[Agency])-ROW(TableDiv[[#Headers],[Agency]])),COLUMNS($F$7:V$7))))</f>
        <v/>
      </c>
      <c r="W140" s="2223" t="str" cm="1">
        <f t="array" ref="W140">IF($D140&lt;COLUMNS($F$7:W$7),"",INDEX(TableDiv[[GASB]:[GASB]],_xlfn.AGGREGATE(15,3,(TableDiv[[Agency]:[Agency]]=$E140)/(TableDiv[[Agency]:[Agency]]=$E140)*(ROW(TableDiv[Agency])-ROW(TableDiv[[#Headers],[Agency]])),COLUMNS($F$7:W$7))))</f>
        <v/>
      </c>
      <c r="X140" s="2223" t="str" cm="1">
        <f t="array" ref="X140">IF($D140&lt;COLUMNS($F$7:X$7),"",INDEX(TableDiv[[GASB]:[GASB]],_xlfn.AGGREGATE(15,3,(TableDiv[[Agency]:[Agency]]=$E140)/(TableDiv[[Agency]:[Agency]]=$E140)*(ROW(TableDiv[Agency])-ROW(TableDiv[[#Headers],[Agency]])),COLUMNS($F$7:X$7))))</f>
        <v/>
      </c>
      <c r="Y140" s="2223" t="str" cm="1">
        <f t="array" ref="Y140">IF($D140&lt;COLUMNS($F$7:Y$7),"",INDEX(TableDiv[[GASB]:[GASB]],_xlfn.AGGREGATE(15,3,(TableDiv[[Agency]:[Agency]]=$E140)/(TableDiv[[Agency]:[Agency]]=$E140)*(ROW(TableDiv[Agency])-ROW(TableDiv[[#Headers],[Agency]])),COLUMNS($F$7:Y$7))))</f>
        <v/>
      </c>
      <c r="Z140" s="2223" t="str" cm="1">
        <f t="array" ref="Z140">IF($D140&lt;COLUMNS($F$7:Z$7),"",INDEX(TableDiv[[GASB]:[GASB]],_xlfn.AGGREGATE(15,3,(TableDiv[[Agency]:[Agency]]=$E140)/(TableDiv[[Agency]:[Agency]]=$E140)*(ROW(TableDiv[Agency])-ROW(TableDiv[[#Headers],[Agency]])),COLUMNS($F$7:Z$7))))</f>
        <v/>
      </c>
      <c r="AA140" s="2223" t="str" cm="1">
        <f t="array" ref="AA140">IF($D140&lt;COLUMNS($F$7:AA$7),"",INDEX(TableDiv[[GASB]:[GASB]],_xlfn.AGGREGATE(15,3,(TableDiv[[Agency]:[Agency]]=$E140)/(TableDiv[[Agency]:[Agency]]=$E140)*(ROW(TableDiv[Agency])-ROW(TableDiv[[#Headers],[Agency]])),COLUMNS($F$7:AA$7))))</f>
        <v/>
      </c>
      <c r="AB140" s="2223" t="str" cm="1">
        <f t="array" ref="AB140">IF($D140&lt;COLUMNS($F$7:AB$7),"",INDEX(TableDiv[[GASB]:[GASB]],_xlfn.AGGREGATE(15,3,(TableDiv[[Agency]:[Agency]]=$E140)/(TableDiv[[Agency]:[Agency]]=$E140)*(ROW(TableDiv[Agency])-ROW(TableDiv[[#Headers],[Agency]])),COLUMNS($F$7:AB$7))))</f>
        <v/>
      </c>
      <c r="AC140" s="2223" t="str" cm="1">
        <f t="array" ref="AC140">IF($D140&lt;COLUMNS($F$7:AC$7),"",INDEX(TableDiv[[GASB]:[GASB]],_xlfn.AGGREGATE(15,3,(TableDiv[[Agency]:[Agency]]=$E140)/(TableDiv[[Agency]:[Agency]]=$E140)*(ROW(TableDiv[Agency])-ROW(TableDiv[[#Headers],[Agency]])),COLUMNS($F$7:AC$7))))</f>
        <v/>
      </c>
      <c r="AD140" s="2223" t="str" cm="1">
        <f t="array" ref="AD140">IF($D140&lt;COLUMNS($F$7:AD$7),"",INDEX(TableDiv[[GASB]:[GASB]],_xlfn.AGGREGATE(15,3,(TableDiv[[Agency]:[Agency]]=$E140)/(TableDiv[[Agency]:[Agency]]=$E140)*(ROW(TableDiv[Agency])-ROW(TableDiv[[#Headers],[Agency]])),COLUMNS($F$7:AD$7))))</f>
        <v/>
      </c>
      <c r="AE140" s="2223" t="str" cm="1">
        <f t="array" ref="AE140">IF($D140&lt;COLUMNS($F$7:AE$7),"",INDEX(TableDiv[[GASB]:[GASB]],_xlfn.AGGREGATE(15,3,(TableDiv[[Agency]:[Agency]]=$E140)/(TableDiv[[Agency]:[Agency]]=$E140)*(ROW(TableDiv[Agency])-ROW(TableDiv[[#Headers],[Agency]])),COLUMNS($F$7:AE$7))))</f>
        <v/>
      </c>
      <c r="AF140" s="2223" t="str" cm="1">
        <f t="array" ref="AF140">IF($D140&lt;COLUMNS($F$7:AF$7),"",INDEX(TableDiv[[GASB]:[GASB]],_xlfn.AGGREGATE(15,3,(TableDiv[[Agency]:[Agency]]=$E140)/(TableDiv[[Agency]:[Agency]]=$E140)*(ROW(TableDiv[Agency])-ROW(TableDiv[[#Headers],[Agency]])),COLUMNS($F$7:AF$7))))</f>
        <v/>
      </c>
      <c r="AG140" s="2223" t="str" cm="1">
        <f t="array" ref="AG140">IF($D140&lt;COLUMNS($F$7:AG$7),"",INDEX(TableDiv[[GASB]:[GASB]],_xlfn.AGGREGATE(15,3,(TableDiv[[Agency]:[Agency]]=$E140)/(TableDiv[[Agency]:[Agency]]=$E140)*(ROW(TableDiv[Agency])-ROW(TableDiv[[#Headers],[Agency]])),COLUMNS($F$7:AG$7))))</f>
        <v/>
      </c>
      <c r="AH140" s="2223" t="str" cm="1">
        <f t="array" ref="AH140">IF($D140&lt;COLUMNS($F$7:AH$7),"",INDEX(TableDiv[[GASB]:[GASB]],_xlfn.AGGREGATE(15,3,(TableDiv[[Agency]:[Agency]]=$E140)/(TableDiv[[Agency]:[Agency]]=$E140)*(ROW(TableDiv[Agency])-ROW(TableDiv[[#Headers],[Agency]])),COLUMNS($F$7:AH$7))))</f>
        <v/>
      </c>
      <c r="AI140" s="2223" t="str" cm="1">
        <f t="array" ref="AI140">IF($D140&lt;COLUMNS($F$7:AI$7),"",INDEX(TableDiv[[GASB]:[GASB]],_xlfn.AGGREGATE(15,3,(TableDiv[[Agency]:[Agency]]=$E140)/(TableDiv[[Agency]:[Agency]]=$E140)*(ROW(TableDiv[Agency])-ROW(TableDiv[[#Headers],[Agency]])),COLUMNS($F$7:AI$7))))</f>
        <v/>
      </c>
      <c r="AJ140" s="2223" t="str" cm="1">
        <f t="array" ref="AJ140">IF($D140&lt;COLUMNS($F$7:AJ$7),"",INDEX(TableDiv[[GASB]:[GASB]],_xlfn.AGGREGATE(15,3,(TableDiv[[Agency]:[Agency]]=$E140)/(TableDiv[[Agency]:[Agency]]=$E140)*(ROW(TableDiv[Agency])-ROW(TableDiv[[#Headers],[Agency]])),COLUMNS($F$7:AJ$7))))</f>
        <v/>
      </c>
      <c r="AK140" s="2223" t="str" cm="1">
        <f t="array" ref="AK140">IF($D140&lt;COLUMNS($F$7:AK$7),"",INDEX(TableDiv[[GASB]:[GASB]],_xlfn.AGGREGATE(15,3,(TableDiv[[Agency]:[Agency]]=$E140)/(TableDiv[[Agency]:[Agency]]=$E140)*(ROW(TableDiv[Agency])-ROW(TableDiv[[#Headers],[Agency]])),COLUMNS($F$7:AK$7))))</f>
        <v/>
      </c>
      <c r="AL140" s="2223" t="str" cm="1">
        <f t="array" ref="AL140">IF($D140&lt;COLUMNS($F$7:AL$7),"",INDEX(TableDiv[[GASB]:[GASB]],_xlfn.AGGREGATE(15,3,(TableDiv[[Agency]:[Agency]]=$E140)/(TableDiv[[Agency]:[Agency]]=$E140)*(ROW(TableDiv[Agency])-ROW(TableDiv[[#Headers],[Agency]])),COLUMNS($F$7:AL$7))))</f>
        <v/>
      </c>
      <c r="AM140" s="2223" t="str" cm="1">
        <f t="array" ref="AM140">IF($D140&lt;COLUMNS($F$7:AM$7),"",INDEX(TableDiv[[GASB]:[GASB]],_xlfn.AGGREGATE(15,3,(TableDiv[[Agency]:[Agency]]=$E140)/(TableDiv[[Agency]:[Agency]]=$E140)*(ROW(TableDiv[Agency])-ROW(TableDiv[[#Headers],[Agency]])),COLUMNS($F$7:AM$7))))</f>
        <v/>
      </c>
      <c r="AN140" s="2223"/>
      <c r="AO140" s="2223"/>
      <c r="AP140" s="2223"/>
      <c r="AQ140" s="2223"/>
      <c r="AR140" s="2223"/>
      <c r="AS140" s="2223"/>
    </row>
    <row r="141" spans="1:45" ht="15" x14ac:dyDescent="0.25">
      <c r="A141" s="2219" t="s">
        <v>5109</v>
      </c>
      <c r="B141" s="2219" t="s">
        <v>6369</v>
      </c>
      <c r="C141" s="2223"/>
      <c r="D141" s="2223">
        <f>COUNTIF(TableDiv[Agency],E141)</f>
        <v>1</v>
      </c>
      <c r="E141" s="2230" t="str" cm="1">
        <f t="array" ref="E141">IFERROR(INDEX(TableDiv[Agency],MATCH(0,INDEX(COUNTIF($E$7:E140,TableDiv[Agency]),),0)),"")</f>
        <v>C4</v>
      </c>
      <c r="F141" s="2223" t="str" cm="1">
        <f t="array" ref="F141">IF($D141&lt;COLUMNS($F$7:F$7),"",INDEX(TableDiv[[GASB]:[GASB]],_xlfn.AGGREGATE(15,3,(TableDiv[[Agency]:[Agency]]=$E141)/(TableDiv[[Agency]:[Agency]]=$E141)*(ROW(TableDiv[Agency])-ROW(TableDiv[[#Headers],[Agency]])),COLUMNS($F$7:F$7))))</f>
        <v>48100G</v>
      </c>
      <c r="G141" s="2223" t="str" cm="1">
        <f t="array" ref="G141">IF($D141&lt;COLUMNS($F$7:G$7),"",INDEX(TableDiv[[GASB]:[GASB]],_xlfn.AGGREGATE(15,3,(TableDiv[[Agency]:[Agency]]=$E141)/(TableDiv[[Agency]:[Agency]]=$E141)*(ROW(TableDiv[Agency])-ROW(TableDiv[[#Headers],[Agency]])),COLUMNS($F$7:G$7))))</f>
        <v/>
      </c>
      <c r="H141" s="2223" t="str" cm="1">
        <f t="array" ref="H141">IF($D141&lt;COLUMNS($F$7:H$7),"",INDEX(TableDiv[[GASB]:[GASB]],_xlfn.AGGREGATE(15,3,(TableDiv[[Agency]:[Agency]]=$E141)/(TableDiv[[Agency]:[Agency]]=$E141)*(ROW(TableDiv[Agency])-ROW(TableDiv[[#Headers],[Agency]])),COLUMNS($F$7:H$7))))</f>
        <v/>
      </c>
      <c r="I141" s="2223" t="str" cm="1">
        <f t="array" ref="I141">IF($D141&lt;COLUMNS($F$7:I$7),"",INDEX(TableDiv[[GASB]:[GASB]],_xlfn.AGGREGATE(15,3,(TableDiv[[Agency]:[Agency]]=$E141)/(TableDiv[[Agency]:[Agency]]=$E141)*(ROW(TableDiv[Agency])-ROW(TableDiv[[#Headers],[Agency]])),COLUMNS($F$7:I$7))))</f>
        <v/>
      </c>
      <c r="J141" s="2223" t="str" cm="1">
        <f t="array" ref="J141">IF($D141&lt;COLUMNS($F$7:J$7),"",INDEX(TableDiv[[GASB]:[GASB]],_xlfn.AGGREGATE(15,3,(TableDiv[[Agency]:[Agency]]=$E141)/(TableDiv[[Agency]:[Agency]]=$E141)*(ROW(TableDiv[Agency])-ROW(TableDiv[[#Headers],[Agency]])),COLUMNS($F$7:J$7))))</f>
        <v/>
      </c>
      <c r="K141" s="2223" t="str" cm="1">
        <f t="array" ref="K141">IF($D141&lt;COLUMNS($F$7:K$7),"",INDEX(TableDiv[[GASB]:[GASB]],_xlfn.AGGREGATE(15,3,(TableDiv[[Agency]:[Agency]]=$E141)/(TableDiv[[Agency]:[Agency]]=$E141)*(ROW(TableDiv[Agency])-ROW(TableDiv[[#Headers],[Agency]])),COLUMNS($F$7:K$7))))</f>
        <v/>
      </c>
      <c r="L141" s="2223" t="str" cm="1">
        <f t="array" ref="L141">IF($D141&lt;COLUMNS($F$7:L$7),"",INDEX(TableDiv[[GASB]:[GASB]],_xlfn.AGGREGATE(15,3,(TableDiv[[Agency]:[Agency]]=$E141)/(TableDiv[[Agency]:[Agency]]=$E141)*(ROW(TableDiv[Agency])-ROW(TableDiv[[#Headers],[Agency]])),COLUMNS($F$7:L$7))))</f>
        <v/>
      </c>
      <c r="M141" s="2223" t="str" cm="1">
        <f t="array" ref="M141">IF($D141&lt;COLUMNS($F$7:M$7),"",INDEX(TableDiv[[GASB]:[GASB]],_xlfn.AGGREGATE(15,3,(TableDiv[[Agency]:[Agency]]=$E141)/(TableDiv[[Agency]:[Agency]]=$E141)*(ROW(TableDiv[Agency])-ROW(TableDiv[[#Headers],[Agency]])),COLUMNS($F$7:M$7))))</f>
        <v/>
      </c>
      <c r="N141" s="2223" t="str" cm="1">
        <f t="array" ref="N141">IF($D141&lt;COLUMNS($F$7:N$7),"",INDEX(TableDiv[[GASB]:[GASB]],_xlfn.AGGREGATE(15,3,(TableDiv[[Agency]:[Agency]]=$E141)/(TableDiv[[Agency]:[Agency]]=$E141)*(ROW(TableDiv[Agency])-ROW(TableDiv[[#Headers],[Agency]])),COLUMNS($F$7:N$7))))</f>
        <v/>
      </c>
      <c r="O141" s="2223" t="str" cm="1">
        <f t="array" ref="O141">IF($D141&lt;COLUMNS($F$7:O$7),"",INDEX(TableDiv[[GASB]:[GASB]],_xlfn.AGGREGATE(15,3,(TableDiv[[Agency]:[Agency]]=$E141)/(TableDiv[[Agency]:[Agency]]=$E141)*(ROW(TableDiv[Agency])-ROW(TableDiv[[#Headers],[Agency]])),COLUMNS($F$7:O$7))))</f>
        <v/>
      </c>
      <c r="P141" s="2223" t="str" cm="1">
        <f t="array" ref="P141">IF($D141&lt;COLUMNS($F$7:P$7),"",INDEX(TableDiv[[GASB]:[GASB]],_xlfn.AGGREGATE(15,3,(TableDiv[[Agency]:[Agency]]=$E141)/(TableDiv[[Agency]:[Agency]]=$E141)*(ROW(TableDiv[Agency])-ROW(TableDiv[[#Headers],[Agency]])),COLUMNS($F$7:P$7))))</f>
        <v/>
      </c>
      <c r="Q141" s="2223" t="str" cm="1">
        <f t="array" ref="Q141">IF($D141&lt;COLUMNS($F$7:Q$7),"",INDEX(TableDiv[[GASB]:[GASB]],_xlfn.AGGREGATE(15,3,(TableDiv[[Agency]:[Agency]]=$E141)/(TableDiv[[Agency]:[Agency]]=$E141)*(ROW(TableDiv[Agency])-ROW(TableDiv[[#Headers],[Agency]])),COLUMNS($F$7:Q$7))))</f>
        <v/>
      </c>
      <c r="R141" s="2223" t="str" cm="1">
        <f t="array" ref="R141">IF($D141&lt;COLUMNS($F$7:R$7),"",INDEX(TableDiv[[GASB]:[GASB]],_xlfn.AGGREGATE(15,3,(TableDiv[[Agency]:[Agency]]=$E141)/(TableDiv[[Agency]:[Agency]]=$E141)*(ROW(TableDiv[Agency])-ROW(TableDiv[[#Headers],[Agency]])),COLUMNS($F$7:R$7))))</f>
        <v/>
      </c>
      <c r="S141" s="2223" t="str" cm="1">
        <f t="array" ref="S141">IF($D141&lt;COLUMNS($F$7:S$7),"",INDEX(TableDiv[[GASB]:[GASB]],_xlfn.AGGREGATE(15,3,(TableDiv[[Agency]:[Agency]]=$E141)/(TableDiv[[Agency]:[Agency]]=$E141)*(ROW(TableDiv[Agency])-ROW(TableDiv[[#Headers],[Agency]])),COLUMNS($F$7:S$7))))</f>
        <v/>
      </c>
      <c r="T141" s="2223" t="str" cm="1">
        <f t="array" ref="T141">IF($D141&lt;COLUMNS($F$7:T$7),"",INDEX(TableDiv[[GASB]:[GASB]],_xlfn.AGGREGATE(15,3,(TableDiv[[Agency]:[Agency]]=$E141)/(TableDiv[[Agency]:[Agency]]=$E141)*(ROW(TableDiv[Agency])-ROW(TableDiv[[#Headers],[Agency]])),COLUMNS($F$7:T$7))))</f>
        <v/>
      </c>
      <c r="U141" s="2223" t="str" cm="1">
        <f t="array" ref="U141">IF($D141&lt;COLUMNS($F$7:U$7),"",INDEX(TableDiv[[GASB]:[GASB]],_xlfn.AGGREGATE(15,3,(TableDiv[[Agency]:[Agency]]=$E141)/(TableDiv[[Agency]:[Agency]]=$E141)*(ROW(TableDiv[Agency])-ROW(TableDiv[[#Headers],[Agency]])),COLUMNS($F$7:U$7))))</f>
        <v/>
      </c>
      <c r="V141" s="2223" t="str" cm="1">
        <f t="array" ref="V141">IF($D141&lt;COLUMNS($F$7:V$7),"",INDEX(TableDiv[[GASB]:[GASB]],_xlfn.AGGREGATE(15,3,(TableDiv[[Agency]:[Agency]]=$E141)/(TableDiv[[Agency]:[Agency]]=$E141)*(ROW(TableDiv[Agency])-ROW(TableDiv[[#Headers],[Agency]])),COLUMNS($F$7:V$7))))</f>
        <v/>
      </c>
      <c r="W141" s="2223" t="str" cm="1">
        <f t="array" ref="W141">IF($D141&lt;COLUMNS($F$7:W$7),"",INDEX(TableDiv[[GASB]:[GASB]],_xlfn.AGGREGATE(15,3,(TableDiv[[Agency]:[Agency]]=$E141)/(TableDiv[[Agency]:[Agency]]=$E141)*(ROW(TableDiv[Agency])-ROW(TableDiv[[#Headers],[Agency]])),COLUMNS($F$7:W$7))))</f>
        <v/>
      </c>
      <c r="X141" s="2223" t="str" cm="1">
        <f t="array" ref="X141">IF($D141&lt;COLUMNS($F$7:X$7),"",INDEX(TableDiv[[GASB]:[GASB]],_xlfn.AGGREGATE(15,3,(TableDiv[[Agency]:[Agency]]=$E141)/(TableDiv[[Agency]:[Agency]]=$E141)*(ROW(TableDiv[Agency])-ROW(TableDiv[[#Headers],[Agency]])),COLUMNS($F$7:X$7))))</f>
        <v/>
      </c>
      <c r="Y141" s="2223" t="str" cm="1">
        <f t="array" ref="Y141">IF($D141&lt;COLUMNS($F$7:Y$7),"",INDEX(TableDiv[[GASB]:[GASB]],_xlfn.AGGREGATE(15,3,(TableDiv[[Agency]:[Agency]]=$E141)/(TableDiv[[Agency]:[Agency]]=$E141)*(ROW(TableDiv[Agency])-ROW(TableDiv[[#Headers],[Agency]])),COLUMNS($F$7:Y$7))))</f>
        <v/>
      </c>
      <c r="Z141" s="2223" t="str" cm="1">
        <f t="array" ref="Z141">IF($D141&lt;COLUMNS($F$7:Z$7),"",INDEX(TableDiv[[GASB]:[GASB]],_xlfn.AGGREGATE(15,3,(TableDiv[[Agency]:[Agency]]=$E141)/(TableDiv[[Agency]:[Agency]]=$E141)*(ROW(TableDiv[Agency])-ROW(TableDiv[[#Headers],[Agency]])),COLUMNS($F$7:Z$7))))</f>
        <v/>
      </c>
      <c r="AA141" s="2223" t="str" cm="1">
        <f t="array" ref="AA141">IF($D141&lt;COLUMNS($F$7:AA$7),"",INDEX(TableDiv[[GASB]:[GASB]],_xlfn.AGGREGATE(15,3,(TableDiv[[Agency]:[Agency]]=$E141)/(TableDiv[[Agency]:[Agency]]=$E141)*(ROW(TableDiv[Agency])-ROW(TableDiv[[#Headers],[Agency]])),COLUMNS($F$7:AA$7))))</f>
        <v/>
      </c>
      <c r="AB141" s="2223" t="str" cm="1">
        <f t="array" ref="AB141">IF($D141&lt;COLUMNS($F$7:AB$7),"",INDEX(TableDiv[[GASB]:[GASB]],_xlfn.AGGREGATE(15,3,(TableDiv[[Agency]:[Agency]]=$E141)/(TableDiv[[Agency]:[Agency]]=$E141)*(ROW(TableDiv[Agency])-ROW(TableDiv[[#Headers],[Agency]])),COLUMNS($F$7:AB$7))))</f>
        <v/>
      </c>
      <c r="AC141" s="2223" t="str" cm="1">
        <f t="array" ref="AC141">IF($D141&lt;COLUMNS($F$7:AC$7),"",INDEX(TableDiv[[GASB]:[GASB]],_xlfn.AGGREGATE(15,3,(TableDiv[[Agency]:[Agency]]=$E141)/(TableDiv[[Agency]:[Agency]]=$E141)*(ROW(TableDiv[Agency])-ROW(TableDiv[[#Headers],[Agency]])),COLUMNS($F$7:AC$7))))</f>
        <v/>
      </c>
      <c r="AD141" s="2223" t="str" cm="1">
        <f t="array" ref="AD141">IF($D141&lt;COLUMNS($F$7:AD$7),"",INDEX(TableDiv[[GASB]:[GASB]],_xlfn.AGGREGATE(15,3,(TableDiv[[Agency]:[Agency]]=$E141)/(TableDiv[[Agency]:[Agency]]=$E141)*(ROW(TableDiv[Agency])-ROW(TableDiv[[#Headers],[Agency]])),COLUMNS($F$7:AD$7))))</f>
        <v/>
      </c>
      <c r="AE141" s="2223" t="str" cm="1">
        <f t="array" ref="AE141">IF($D141&lt;COLUMNS($F$7:AE$7),"",INDEX(TableDiv[[GASB]:[GASB]],_xlfn.AGGREGATE(15,3,(TableDiv[[Agency]:[Agency]]=$E141)/(TableDiv[[Agency]:[Agency]]=$E141)*(ROW(TableDiv[Agency])-ROW(TableDiv[[#Headers],[Agency]])),COLUMNS($F$7:AE$7))))</f>
        <v/>
      </c>
      <c r="AF141" s="2223" t="str" cm="1">
        <f t="array" ref="AF141">IF($D141&lt;COLUMNS($F$7:AF$7),"",INDEX(TableDiv[[GASB]:[GASB]],_xlfn.AGGREGATE(15,3,(TableDiv[[Agency]:[Agency]]=$E141)/(TableDiv[[Agency]:[Agency]]=$E141)*(ROW(TableDiv[Agency])-ROW(TableDiv[[#Headers],[Agency]])),COLUMNS($F$7:AF$7))))</f>
        <v/>
      </c>
      <c r="AG141" s="2223" t="str" cm="1">
        <f t="array" ref="AG141">IF($D141&lt;COLUMNS($F$7:AG$7),"",INDEX(TableDiv[[GASB]:[GASB]],_xlfn.AGGREGATE(15,3,(TableDiv[[Agency]:[Agency]]=$E141)/(TableDiv[[Agency]:[Agency]]=$E141)*(ROW(TableDiv[Agency])-ROW(TableDiv[[#Headers],[Agency]])),COLUMNS($F$7:AG$7))))</f>
        <v/>
      </c>
      <c r="AH141" s="2223" t="str" cm="1">
        <f t="array" ref="AH141">IF($D141&lt;COLUMNS($F$7:AH$7),"",INDEX(TableDiv[[GASB]:[GASB]],_xlfn.AGGREGATE(15,3,(TableDiv[[Agency]:[Agency]]=$E141)/(TableDiv[[Agency]:[Agency]]=$E141)*(ROW(TableDiv[Agency])-ROW(TableDiv[[#Headers],[Agency]])),COLUMNS($F$7:AH$7))))</f>
        <v/>
      </c>
      <c r="AI141" s="2223" t="str" cm="1">
        <f t="array" ref="AI141">IF($D141&lt;COLUMNS($F$7:AI$7),"",INDEX(TableDiv[[GASB]:[GASB]],_xlfn.AGGREGATE(15,3,(TableDiv[[Agency]:[Agency]]=$E141)/(TableDiv[[Agency]:[Agency]]=$E141)*(ROW(TableDiv[Agency])-ROW(TableDiv[[#Headers],[Agency]])),COLUMNS($F$7:AI$7))))</f>
        <v/>
      </c>
      <c r="AJ141" s="2223" t="str" cm="1">
        <f t="array" ref="AJ141">IF($D141&lt;COLUMNS($F$7:AJ$7),"",INDEX(TableDiv[[GASB]:[GASB]],_xlfn.AGGREGATE(15,3,(TableDiv[[Agency]:[Agency]]=$E141)/(TableDiv[[Agency]:[Agency]]=$E141)*(ROW(TableDiv[Agency])-ROW(TableDiv[[#Headers],[Agency]])),COLUMNS($F$7:AJ$7))))</f>
        <v/>
      </c>
      <c r="AK141" s="2223" t="str" cm="1">
        <f t="array" ref="AK141">IF($D141&lt;COLUMNS($F$7:AK$7),"",INDEX(TableDiv[[GASB]:[GASB]],_xlfn.AGGREGATE(15,3,(TableDiv[[Agency]:[Agency]]=$E141)/(TableDiv[[Agency]:[Agency]]=$E141)*(ROW(TableDiv[Agency])-ROW(TableDiv[[#Headers],[Agency]])),COLUMNS($F$7:AK$7))))</f>
        <v/>
      </c>
      <c r="AL141" s="2223" t="str" cm="1">
        <f t="array" ref="AL141">IF($D141&lt;COLUMNS($F$7:AL$7),"",INDEX(TableDiv[[GASB]:[GASB]],_xlfn.AGGREGATE(15,3,(TableDiv[[Agency]:[Agency]]=$E141)/(TableDiv[[Agency]:[Agency]]=$E141)*(ROW(TableDiv[Agency])-ROW(TableDiv[[#Headers],[Agency]])),COLUMNS($F$7:AL$7))))</f>
        <v/>
      </c>
      <c r="AM141" s="2223" t="str" cm="1">
        <f t="array" ref="AM141">IF($D141&lt;COLUMNS($F$7:AM$7),"",INDEX(TableDiv[[GASB]:[GASB]],_xlfn.AGGREGATE(15,3,(TableDiv[[Agency]:[Agency]]=$E141)/(TableDiv[[Agency]:[Agency]]=$E141)*(ROW(TableDiv[Agency])-ROW(TableDiv[[#Headers],[Agency]])),COLUMNS($F$7:AM$7))))</f>
        <v/>
      </c>
      <c r="AN141" s="2223"/>
      <c r="AO141" s="2223"/>
      <c r="AP141" s="2223"/>
      <c r="AQ141" s="2223"/>
      <c r="AR141" s="2223"/>
      <c r="AS141" s="2223"/>
    </row>
    <row r="142" spans="1:45" ht="15" x14ac:dyDescent="0.25">
      <c r="A142" s="2219" t="s">
        <v>5109</v>
      </c>
      <c r="B142" s="2219" t="s">
        <v>6433</v>
      </c>
      <c r="C142" s="2223"/>
      <c r="D142" s="2223">
        <f>COUNTIF(TableDiv[Agency],E142)</f>
        <v>1</v>
      </c>
      <c r="E142" s="2230" t="str" cm="1">
        <f t="array" ref="E142">IFERROR(INDEX(TableDiv[Agency],MATCH(0,INDEX(COUNTIF($E$7:E141,TableDiv[Agency]),),0)),"")</f>
        <v>C5</v>
      </c>
      <c r="F142" s="2223" t="str" cm="1">
        <f t="array" ref="F142">IF($D142&lt;COLUMNS($F$7:F$7),"",INDEX(TableDiv[[GASB]:[GASB]],_xlfn.AGGREGATE(15,3,(TableDiv[[Agency]:[Agency]]=$E142)/(TableDiv[[Agency]:[Agency]]=$E142)*(ROW(TableDiv[Agency])-ROW(TableDiv[[#Headers],[Agency]])),COLUMNS($F$7:F$7))))</f>
        <v>48100G</v>
      </c>
      <c r="G142" s="2223" t="str" cm="1">
        <f t="array" ref="G142">IF($D142&lt;COLUMNS($F$7:G$7),"",INDEX(TableDiv[[GASB]:[GASB]],_xlfn.AGGREGATE(15,3,(TableDiv[[Agency]:[Agency]]=$E142)/(TableDiv[[Agency]:[Agency]]=$E142)*(ROW(TableDiv[Agency])-ROW(TableDiv[[#Headers],[Agency]])),COLUMNS($F$7:G$7))))</f>
        <v/>
      </c>
      <c r="H142" s="2223" t="str" cm="1">
        <f t="array" ref="H142">IF($D142&lt;COLUMNS($F$7:H$7),"",INDEX(TableDiv[[GASB]:[GASB]],_xlfn.AGGREGATE(15,3,(TableDiv[[Agency]:[Agency]]=$E142)/(TableDiv[[Agency]:[Agency]]=$E142)*(ROW(TableDiv[Agency])-ROW(TableDiv[[#Headers],[Agency]])),COLUMNS($F$7:H$7))))</f>
        <v/>
      </c>
      <c r="I142" s="2223" t="str" cm="1">
        <f t="array" ref="I142">IF($D142&lt;COLUMNS($F$7:I$7),"",INDEX(TableDiv[[GASB]:[GASB]],_xlfn.AGGREGATE(15,3,(TableDiv[[Agency]:[Agency]]=$E142)/(TableDiv[[Agency]:[Agency]]=$E142)*(ROW(TableDiv[Agency])-ROW(TableDiv[[#Headers],[Agency]])),COLUMNS($F$7:I$7))))</f>
        <v/>
      </c>
      <c r="J142" s="2223" t="str" cm="1">
        <f t="array" ref="J142">IF($D142&lt;COLUMNS($F$7:J$7),"",INDEX(TableDiv[[GASB]:[GASB]],_xlfn.AGGREGATE(15,3,(TableDiv[[Agency]:[Agency]]=$E142)/(TableDiv[[Agency]:[Agency]]=$E142)*(ROW(TableDiv[Agency])-ROW(TableDiv[[#Headers],[Agency]])),COLUMNS($F$7:J$7))))</f>
        <v/>
      </c>
      <c r="K142" s="2223" t="str" cm="1">
        <f t="array" ref="K142">IF($D142&lt;COLUMNS($F$7:K$7),"",INDEX(TableDiv[[GASB]:[GASB]],_xlfn.AGGREGATE(15,3,(TableDiv[[Agency]:[Agency]]=$E142)/(TableDiv[[Agency]:[Agency]]=$E142)*(ROW(TableDiv[Agency])-ROW(TableDiv[[#Headers],[Agency]])),COLUMNS($F$7:K$7))))</f>
        <v/>
      </c>
      <c r="L142" s="2223" t="str" cm="1">
        <f t="array" ref="L142">IF($D142&lt;COLUMNS($F$7:L$7),"",INDEX(TableDiv[[GASB]:[GASB]],_xlfn.AGGREGATE(15,3,(TableDiv[[Agency]:[Agency]]=$E142)/(TableDiv[[Agency]:[Agency]]=$E142)*(ROW(TableDiv[Agency])-ROW(TableDiv[[#Headers],[Agency]])),COLUMNS($F$7:L$7))))</f>
        <v/>
      </c>
      <c r="M142" s="2223" t="str" cm="1">
        <f t="array" ref="M142">IF($D142&lt;COLUMNS($F$7:M$7),"",INDEX(TableDiv[[GASB]:[GASB]],_xlfn.AGGREGATE(15,3,(TableDiv[[Agency]:[Agency]]=$E142)/(TableDiv[[Agency]:[Agency]]=$E142)*(ROW(TableDiv[Agency])-ROW(TableDiv[[#Headers],[Agency]])),COLUMNS($F$7:M$7))))</f>
        <v/>
      </c>
      <c r="N142" s="2223" t="str" cm="1">
        <f t="array" ref="N142">IF($D142&lt;COLUMNS($F$7:N$7),"",INDEX(TableDiv[[GASB]:[GASB]],_xlfn.AGGREGATE(15,3,(TableDiv[[Agency]:[Agency]]=$E142)/(TableDiv[[Agency]:[Agency]]=$E142)*(ROW(TableDiv[Agency])-ROW(TableDiv[[#Headers],[Agency]])),COLUMNS($F$7:N$7))))</f>
        <v/>
      </c>
      <c r="O142" s="2223" t="str" cm="1">
        <f t="array" ref="O142">IF($D142&lt;COLUMNS($F$7:O$7),"",INDEX(TableDiv[[GASB]:[GASB]],_xlfn.AGGREGATE(15,3,(TableDiv[[Agency]:[Agency]]=$E142)/(TableDiv[[Agency]:[Agency]]=$E142)*(ROW(TableDiv[Agency])-ROW(TableDiv[[#Headers],[Agency]])),COLUMNS($F$7:O$7))))</f>
        <v/>
      </c>
      <c r="P142" s="2223" t="str" cm="1">
        <f t="array" ref="P142">IF($D142&lt;COLUMNS($F$7:P$7),"",INDEX(TableDiv[[GASB]:[GASB]],_xlfn.AGGREGATE(15,3,(TableDiv[[Agency]:[Agency]]=$E142)/(TableDiv[[Agency]:[Agency]]=$E142)*(ROW(TableDiv[Agency])-ROW(TableDiv[[#Headers],[Agency]])),COLUMNS($F$7:P$7))))</f>
        <v/>
      </c>
      <c r="Q142" s="2223" t="str" cm="1">
        <f t="array" ref="Q142">IF($D142&lt;COLUMNS($F$7:Q$7),"",INDEX(TableDiv[[GASB]:[GASB]],_xlfn.AGGREGATE(15,3,(TableDiv[[Agency]:[Agency]]=$E142)/(TableDiv[[Agency]:[Agency]]=$E142)*(ROW(TableDiv[Agency])-ROW(TableDiv[[#Headers],[Agency]])),COLUMNS($F$7:Q$7))))</f>
        <v/>
      </c>
      <c r="R142" s="2223" t="str" cm="1">
        <f t="array" ref="R142">IF($D142&lt;COLUMNS($F$7:R$7),"",INDEX(TableDiv[[GASB]:[GASB]],_xlfn.AGGREGATE(15,3,(TableDiv[[Agency]:[Agency]]=$E142)/(TableDiv[[Agency]:[Agency]]=$E142)*(ROW(TableDiv[Agency])-ROW(TableDiv[[#Headers],[Agency]])),COLUMNS($F$7:R$7))))</f>
        <v/>
      </c>
      <c r="S142" s="2223" t="str" cm="1">
        <f t="array" ref="S142">IF($D142&lt;COLUMNS($F$7:S$7),"",INDEX(TableDiv[[GASB]:[GASB]],_xlfn.AGGREGATE(15,3,(TableDiv[[Agency]:[Agency]]=$E142)/(TableDiv[[Agency]:[Agency]]=$E142)*(ROW(TableDiv[Agency])-ROW(TableDiv[[#Headers],[Agency]])),COLUMNS($F$7:S$7))))</f>
        <v/>
      </c>
      <c r="T142" s="2223" t="str" cm="1">
        <f t="array" ref="T142">IF($D142&lt;COLUMNS($F$7:T$7),"",INDEX(TableDiv[[GASB]:[GASB]],_xlfn.AGGREGATE(15,3,(TableDiv[[Agency]:[Agency]]=$E142)/(TableDiv[[Agency]:[Agency]]=$E142)*(ROW(TableDiv[Agency])-ROW(TableDiv[[#Headers],[Agency]])),COLUMNS($F$7:T$7))))</f>
        <v/>
      </c>
      <c r="U142" s="2223" t="str" cm="1">
        <f t="array" ref="U142">IF($D142&lt;COLUMNS($F$7:U$7),"",INDEX(TableDiv[[GASB]:[GASB]],_xlfn.AGGREGATE(15,3,(TableDiv[[Agency]:[Agency]]=$E142)/(TableDiv[[Agency]:[Agency]]=$E142)*(ROW(TableDiv[Agency])-ROW(TableDiv[[#Headers],[Agency]])),COLUMNS($F$7:U$7))))</f>
        <v/>
      </c>
      <c r="V142" s="2223" t="str" cm="1">
        <f t="array" ref="V142">IF($D142&lt;COLUMNS($F$7:V$7),"",INDEX(TableDiv[[GASB]:[GASB]],_xlfn.AGGREGATE(15,3,(TableDiv[[Agency]:[Agency]]=$E142)/(TableDiv[[Agency]:[Agency]]=$E142)*(ROW(TableDiv[Agency])-ROW(TableDiv[[#Headers],[Agency]])),COLUMNS($F$7:V$7))))</f>
        <v/>
      </c>
      <c r="W142" s="2223" t="str" cm="1">
        <f t="array" ref="W142">IF($D142&lt;COLUMNS($F$7:W$7),"",INDEX(TableDiv[[GASB]:[GASB]],_xlfn.AGGREGATE(15,3,(TableDiv[[Agency]:[Agency]]=$E142)/(TableDiv[[Agency]:[Agency]]=$E142)*(ROW(TableDiv[Agency])-ROW(TableDiv[[#Headers],[Agency]])),COLUMNS($F$7:W$7))))</f>
        <v/>
      </c>
      <c r="X142" s="2223" t="str" cm="1">
        <f t="array" ref="X142">IF($D142&lt;COLUMNS($F$7:X$7),"",INDEX(TableDiv[[GASB]:[GASB]],_xlfn.AGGREGATE(15,3,(TableDiv[[Agency]:[Agency]]=$E142)/(TableDiv[[Agency]:[Agency]]=$E142)*(ROW(TableDiv[Agency])-ROW(TableDiv[[#Headers],[Agency]])),COLUMNS($F$7:X$7))))</f>
        <v/>
      </c>
      <c r="Y142" s="2223" t="str" cm="1">
        <f t="array" ref="Y142">IF($D142&lt;COLUMNS($F$7:Y$7),"",INDEX(TableDiv[[GASB]:[GASB]],_xlfn.AGGREGATE(15,3,(TableDiv[[Agency]:[Agency]]=$E142)/(TableDiv[[Agency]:[Agency]]=$E142)*(ROW(TableDiv[Agency])-ROW(TableDiv[[#Headers],[Agency]])),COLUMNS($F$7:Y$7))))</f>
        <v/>
      </c>
      <c r="Z142" s="2223" t="str" cm="1">
        <f t="array" ref="Z142">IF($D142&lt;COLUMNS($F$7:Z$7),"",INDEX(TableDiv[[GASB]:[GASB]],_xlfn.AGGREGATE(15,3,(TableDiv[[Agency]:[Agency]]=$E142)/(TableDiv[[Agency]:[Agency]]=$E142)*(ROW(TableDiv[Agency])-ROW(TableDiv[[#Headers],[Agency]])),COLUMNS($F$7:Z$7))))</f>
        <v/>
      </c>
      <c r="AA142" s="2223" t="str" cm="1">
        <f t="array" ref="AA142">IF($D142&lt;COLUMNS($F$7:AA$7),"",INDEX(TableDiv[[GASB]:[GASB]],_xlfn.AGGREGATE(15,3,(TableDiv[[Agency]:[Agency]]=$E142)/(TableDiv[[Agency]:[Agency]]=$E142)*(ROW(TableDiv[Agency])-ROW(TableDiv[[#Headers],[Agency]])),COLUMNS($F$7:AA$7))))</f>
        <v/>
      </c>
      <c r="AB142" s="2223" t="str" cm="1">
        <f t="array" ref="AB142">IF($D142&lt;COLUMNS($F$7:AB$7),"",INDEX(TableDiv[[GASB]:[GASB]],_xlfn.AGGREGATE(15,3,(TableDiv[[Agency]:[Agency]]=$E142)/(TableDiv[[Agency]:[Agency]]=$E142)*(ROW(TableDiv[Agency])-ROW(TableDiv[[#Headers],[Agency]])),COLUMNS($F$7:AB$7))))</f>
        <v/>
      </c>
      <c r="AC142" s="2223" t="str" cm="1">
        <f t="array" ref="AC142">IF($D142&lt;COLUMNS($F$7:AC$7),"",INDEX(TableDiv[[GASB]:[GASB]],_xlfn.AGGREGATE(15,3,(TableDiv[[Agency]:[Agency]]=$E142)/(TableDiv[[Agency]:[Agency]]=$E142)*(ROW(TableDiv[Agency])-ROW(TableDiv[[#Headers],[Agency]])),COLUMNS($F$7:AC$7))))</f>
        <v/>
      </c>
      <c r="AD142" s="2223" t="str" cm="1">
        <f t="array" ref="AD142">IF($D142&lt;COLUMNS($F$7:AD$7),"",INDEX(TableDiv[[GASB]:[GASB]],_xlfn.AGGREGATE(15,3,(TableDiv[[Agency]:[Agency]]=$E142)/(TableDiv[[Agency]:[Agency]]=$E142)*(ROW(TableDiv[Agency])-ROW(TableDiv[[#Headers],[Agency]])),COLUMNS($F$7:AD$7))))</f>
        <v/>
      </c>
      <c r="AE142" s="2223" t="str" cm="1">
        <f t="array" ref="AE142">IF($D142&lt;COLUMNS($F$7:AE$7),"",INDEX(TableDiv[[GASB]:[GASB]],_xlfn.AGGREGATE(15,3,(TableDiv[[Agency]:[Agency]]=$E142)/(TableDiv[[Agency]:[Agency]]=$E142)*(ROW(TableDiv[Agency])-ROW(TableDiv[[#Headers],[Agency]])),COLUMNS($F$7:AE$7))))</f>
        <v/>
      </c>
      <c r="AF142" s="2223" t="str" cm="1">
        <f t="array" ref="AF142">IF($D142&lt;COLUMNS($F$7:AF$7),"",INDEX(TableDiv[[GASB]:[GASB]],_xlfn.AGGREGATE(15,3,(TableDiv[[Agency]:[Agency]]=$E142)/(TableDiv[[Agency]:[Agency]]=$E142)*(ROW(TableDiv[Agency])-ROW(TableDiv[[#Headers],[Agency]])),COLUMNS($F$7:AF$7))))</f>
        <v/>
      </c>
      <c r="AG142" s="2223" t="str" cm="1">
        <f t="array" ref="AG142">IF($D142&lt;COLUMNS($F$7:AG$7),"",INDEX(TableDiv[[GASB]:[GASB]],_xlfn.AGGREGATE(15,3,(TableDiv[[Agency]:[Agency]]=$E142)/(TableDiv[[Agency]:[Agency]]=$E142)*(ROW(TableDiv[Agency])-ROW(TableDiv[[#Headers],[Agency]])),COLUMNS($F$7:AG$7))))</f>
        <v/>
      </c>
      <c r="AH142" s="2223" t="str" cm="1">
        <f t="array" ref="AH142">IF($D142&lt;COLUMNS($F$7:AH$7),"",INDEX(TableDiv[[GASB]:[GASB]],_xlfn.AGGREGATE(15,3,(TableDiv[[Agency]:[Agency]]=$E142)/(TableDiv[[Agency]:[Agency]]=$E142)*(ROW(TableDiv[Agency])-ROW(TableDiv[[#Headers],[Agency]])),COLUMNS($F$7:AH$7))))</f>
        <v/>
      </c>
      <c r="AI142" s="2223" t="str" cm="1">
        <f t="array" ref="AI142">IF($D142&lt;COLUMNS($F$7:AI$7),"",INDEX(TableDiv[[GASB]:[GASB]],_xlfn.AGGREGATE(15,3,(TableDiv[[Agency]:[Agency]]=$E142)/(TableDiv[[Agency]:[Agency]]=$E142)*(ROW(TableDiv[Agency])-ROW(TableDiv[[#Headers],[Agency]])),COLUMNS($F$7:AI$7))))</f>
        <v/>
      </c>
      <c r="AJ142" s="2223" t="str" cm="1">
        <f t="array" ref="AJ142">IF($D142&lt;COLUMNS($F$7:AJ$7),"",INDEX(TableDiv[[GASB]:[GASB]],_xlfn.AGGREGATE(15,3,(TableDiv[[Agency]:[Agency]]=$E142)/(TableDiv[[Agency]:[Agency]]=$E142)*(ROW(TableDiv[Agency])-ROW(TableDiv[[#Headers],[Agency]])),COLUMNS($F$7:AJ$7))))</f>
        <v/>
      </c>
      <c r="AK142" s="2223" t="str" cm="1">
        <f t="array" ref="AK142">IF($D142&lt;COLUMNS($F$7:AK$7),"",INDEX(TableDiv[[GASB]:[GASB]],_xlfn.AGGREGATE(15,3,(TableDiv[[Agency]:[Agency]]=$E142)/(TableDiv[[Agency]:[Agency]]=$E142)*(ROW(TableDiv[Agency])-ROW(TableDiv[[#Headers],[Agency]])),COLUMNS($F$7:AK$7))))</f>
        <v/>
      </c>
      <c r="AL142" s="2223" t="str" cm="1">
        <f t="array" ref="AL142">IF($D142&lt;COLUMNS($F$7:AL$7),"",INDEX(TableDiv[[GASB]:[GASB]],_xlfn.AGGREGATE(15,3,(TableDiv[[Agency]:[Agency]]=$E142)/(TableDiv[[Agency]:[Agency]]=$E142)*(ROW(TableDiv[Agency])-ROW(TableDiv[[#Headers],[Agency]])),COLUMNS($F$7:AL$7))))</f>
        <v/>
      </c>
      <c r="AM142" s="2223" t="str" cm="1">
        <f t="array" ref="AM142">IF($D142&lt;COLUMNS($F$7:AM$7),"",INDEX(TableDiv[[GASB]:[GASB]],_xlfn.AGGREGATE(15,3,(TableDiv[[Agency]:[Agency]]=$E142)/(TableDiv[[Agency]:[Agency]]=$E142)*(ROW(TableDiv[Agency])-ROW(TableDiv[[#Headers],[Agency]])),COLUMNS($F$7:AM$7))))</f>
        <v/>
      </c>
      <c r="AN142" s="2223"/>
      <c r="AO142" s="2223"/>
      <c r="AP142" s="2223"/>
      <c r="AQ142" s="2223"/>
      <c r="AR142" s="2223"/>
      <c r="AS142" s="2223"/>
    </row>
    <row r="143" spans="1:45" ht="15" x14ac:dyDescent="0.25">
      <c r="A143" s="2219" t="s">
        <v>5109</v>
      </c>
      <c r="B143" s="2219" t="s">
        <v>6378</v>
      </c>
      <c r="C143" s="2223"/>
      <c r="D143" s="2223">
        <f>COUNTIF(TableDiv[Agency],E143)</f>
        <v>1</v>
      </c>
      <c r="E143" s="2230" t="str" cm="1">
        <f t="array" ref="E143">IFERROR(INDEX(TableDiv[Agency],MATCH(0,INDEX(COUNTIF($E$7:E142,TableDiv[Agency]),),0)),"")</f>
        <v>C6</v>
      </c>
      <c r="F143" s="2223" t="str" cm="1">
        <f t="array" ref="F143">IF($D143&lt;COLUMNS($F$7:F$7),"",INDEX(TableDiv[[GASB]:[GASB]],_xlfn.AGGREGATE(15,3,(TableDiv[[Agency]:[Agency]]=$E143)/(TableDiv[[Agency]:[Agency]]=$E143)*(ROW(TableDiv[Agency])-ROW(TableDiv[[#Headers],[Agency]])),COLUMNS($F$7:F$7))))</f>
        <v>48100G</v>
      </c>
      <c r="G143" s="2223" t="str" cm="1">
        <f t="array" ref="G143">IF($D143&lt;COLUMNS($F$7:G$7),"",INDEX(TableDiv[[GASB]:[GASB]],_xlfn.AGGREGATE(15,3,(TableDiv[[Agency]:[Agency]]=$E143)/(TableDiv[[Agency]:[Agency]]=$E143)*(ROW(TableDiv[Agency])-ROW(TableDiv[[#Headers],[Agency]])),COLUMNS($F$7:G$7))))</f>
        <v/>
      </c>
      <c r="H143" s="2223" t="str" cm="1">
        <f t="array" ref="H143">IF($D143&lt;COLUMNS($F$7:H$7),"",INDEX(TableDiv[[GASB]:[GASB]],_xlfn.AGGREGATE(15,3,(TableDiv[[Agency]:[Agency]]=$E143)/(TableDiv[[Agency]:[Agency]]=$E143)*(ROW(TableDiv[Agency])-ROW(TableDiv[[#Headers],[Agency]])),COLUMNS($F$7:H$7))))</f>
        <v/>
      </c>
      <c r="I143" s="2223" t="str" cm="1">
        <f t="array" ref="I143">IF($D143&lt;COLUMNS($F$7:I$7),"",INDEX(TableDiv[[GASB]:[GASB]],_xlfn.AGGREGATE(15,3,(TableDiv[[Agency]:[Agency]]=$E143)/(TableDiv[[Agency]:[Agency]]=$E143)*(ROW(TableDiv[Agency])-ROW(TableDiv[[#Headers],[Agency]])),COLUMNS($F$7:I$7))))</f>
        <v/>
      </c>
      <c r="J143" s="2223" t="str" cm="1">
        <f t="array" ref="J143">IF($D143&lt;COLUMNS($F$7:J$7),"",INDEX(TableDiv[[GASB]:[GASB]],_xlfn.AGGREGATE(15,3,(TableDiv[[Agency]:[Agency]]=$E143)/(TableDiv[[Agency]:[Agency]]=$E143)*(ROW(TableDiv[Agency])-ROW(TableDiv[[#Headers],[Agency]])),COLUMNS($F$7:J$7))))</f>
        <v/>
      </c>
      <c r="K143" s="2223" t="str" cm="1">
        <f t="array" ref="K143">IF($D143&lt;COLUMNS($F$7:K$7),"",INDEX(TableDiv[[GASB]:[GASB]],_xlfn.AGGREGATE(15,3,(TableDiv[[Agency]:[Agency]]=$E143)/(TableDiv[[Agency]:[Agency]]=$E143)*(ROW(TableDiv[Agency])-ROW(TableDiv[[#Headers],[Agency]])),COLUMNS($F$7:K$7))))</f>
        <v/>
      </c>
      <c r="L143" s="2223" t="str" cm="1">
        <f t="array" ref="L143">IF($D143&lt;COLUMNS($F$7:L$7),"",INDEX(TableDiv[[GASB]:[GASB]],_xlfn.AGGREGATE(15,3,(TableDiv[[Agency]:[Agency]]=$E143)/(TableDiv[[Agency]:[Agency]]=$E143)*(ROW(TableDiv[Agency])-ROW(TableDiv[[#Headers],[Agency]])),COLUMNS($F$7:L$7))))</f>
        <v/>
      </c>
      <c r="M143" s="2223" t="str" cm="1">
        <f t="array" ref="M143">IF($D143&lt;COLUMNS($F$7:M$7),"",INDEX(TableDiv[[GASB]:[GASB]],_xlfn.AGGREGATE(15,3,(TableDiv[[Agency]:[Agency]]=$E143)/(TableDiv[[Agency]:[Agency]]=$E143)*(ROW(TableDiv[Agency])-ROW(TableDiv[[#Headers],[Agency]])),COLUMNS($F$7:M$7))))</f>
        <v/>
      </c>
      <c r="N143" s="2223" t="str" cm="1">
        <f t="array" ref="N143">IF($D143&lt;COLUMNS($F$7:N$7),"",INDEX(TableDiv[[GASB]:[GASB]],_xlfn.AGGREGATE(15,3,(TableDiv[[Agency]:[Agency]]=$E143)/(TableDiv[[Agency]:[Agency]]=$E143)*(ROW(TableDiv[Agency])-ROW(TableDiv[[#Headers],[Agency]])),COLUMNS($F$7:N$7))))</f>
        <v/>
      </c>
      <c r="O143" s="2223" t="str" cm="1">
        <f t="array" ref="O143">IF($D143&lt;COLUMNS($F$7:O$7),"",INDEX(TableDiv[[GASB]:[GASB]],_xlfn.AGGREGATE(15,3,(TableDiv[[Agency]:[Agency]]=$E143)/(TableDiv[[Agency]:[Agency]]=$E143)*(ROW(TableDiv[Agency])-ROW(TableDiv[[#Headers],[Agency]])),COLUMNS($F$7:O$7))))</f>
        <v/>
      </c>
      <c r="P143" s="2223" t="str" cm="1">
        <f t="array" ref="P143">IF($D143&lt;COLUMNS($F$7:P$7),"",INDEX(TableDiv[[GASB]:[GASB]],_xlfn.AGGREGATE(15,3,(TableDiv[[Agency]:[Agency]]=$E143)/(TableDiv[[Agency]:[Agency]]=$E143)*(ROW(TableDiv[Agency])-ROW(TableDiv[[#Headers],[Agency]])),COLUMNS($F$7:P$7))))</f>
        <v/>
      </c>
      <c r="Q143" s="2223" t="str" cm="1">
        <f t="array" ref="Q143">IF($D143&lt;COLUMNS($F$7:Q$7),"",INDEX(TableDiv[[GASB]:[GASB]],_xlfn.AGGREGATE(15,3,(TableDiv[[Agency]:[Agency]]=$E143)/(TableDiv[[Agency]:[Agency]]=$E143)*(ROW(TableDiv[Agency])-ROW(TableDiv[[#Headers],[Agency]])),COLUMNS($F$7:Q$7))))</f>
        <v/>
      </c>
      <c r="R143" s="2223" t="str" cm="1">
        <f t="array" ref="R143">IF($D143&lt;COLUMNS($F$7:R$7),"",INDEX(TableDiv[[GASB]:[GASB]],_xlfn.AGGREGATE(15,3,(TableDiv[[Agency]:[Agency]]=$E143)/(TableDiv[[Agency]:[Agency]]=$E143)*(ROW(TableDiv[Agency])-ROW(TableDiv[[#Headers],[Agency]])),COLUMNS($F$7:R$7))))</f>
        <v/>
      </c>
      <c r="S143" s="2223" t="str" cm="1">
        <f t="array" ref="S143">IF($D143&lt;COLUMNS($F$7:S$7),"",INDEX(TableDiv[[GASB]:[GASB]],_xlfn.AGGREGATE(15,3,(TableDiv[[Agency]:[Agency]]=$E143)/(TableDiv[[Agency]:[Agency]]=$E143)*(ROW(TableDiv[Agency])-ROW(TableDiv[[#Headers],[Agency]])),COLUMNS($F$7:S$7))))</f>
        <v/>
      </c>
      <c r="T143" s="2223" t="str" cm="1">
        <f t="array" ref="T143">IF($D143&lt;COLUMNS($F$7:T$7),"",INDEX(TableDiv[[GASB]:[GASB]],_xlfn.AGGREGATE(15,3,(TableDiv[[Agency]:[Agency]]=$E143)/(TableDiv[[Agency]:[Agency]]=$E143)*(ROW(TableDiv[Agency])-ROW(TableDiv[[#Headers],[Agency]])),COLUMNS($F$7:T$7))))</f>
        <v/>
      </c>
      <c r="U143" s="2223" t="str" cm="1">
        <f t="array" ref="U143">IF($D143&lt;COLUMNS($F$7:U$7),"",INDEX(TableDiv[[GASB]:[GASB]],_xlfn.AGGREGATE(15,3,(TableDiv[[Agency]:[Agency]]=$E143)/(TableDiv[[Agency]:[Agency]]=$E143)*(ROW(TableDiv[Agency])-ROW(TableDiv[[#Headers],[Agency]])),COLUMNS($F$7:U$7))))</f>
        <v/>
      </c>
      <c r="V143" s="2223" t="str" cm="1">
        <f t="array" ref="V143">IF($D143&lt;COLUMNS($F$7:V$7),"",INDEX(TableDiv[[GASB]:[GASB]],_xlfn.AGGREGATE(15,3,(TableDiv[[Agency]:[Agency]]=$E143)/(TableDiv[[Agency]:[Agency]]=$E143)*(ROW(TableDiv[Agency])-ROW(TableDiv[[#Headers],[Agency]])),COLUMNS($F$7:V$7))))</f>
        <v/>
      </c>
      <c r="W143" s="2223" t="str" cm="1">
        <f t="array" ref="W143">IF($D143&lt;COLUMNS($F$7:W$7),"",INDEX(TableDiv[[GASB]:[GASB]],_xlfn.AGGREGATE(15,3,(TableDiv[[Agency]:[Agency]]=$E143)/(TableDiv[[Agency]:[Agency]]=$E143)*(ROW(TableDiv[Agency])-ROW(TableDiv[[#Headers],[Agency]])),COLUMNS($F$7:W$7))))</f>
        <v/>
      </c>
      <c r="X143" s="2223" t="str" cm="1">
        <f t="array" ref="X143">IF($D143&lt;COLUMNS($F$7:X$7),"",INDEX(TableDiv[[GASB]:[GASB]],_xlfn.AGGREGATE(15,3,(TableDiv[[Agency]:[Agency]]=$E143)/(TableDiv[[Agency]:[Agency]]=$E143)*(ROW(TableDiv[Agency])-ROW(TableDiv[[#Headers],[Agency]])),COLUMNS($F$7:X$7))))</f>
        <v/>
      </c>
      <c r="Y143" s="2223" t="str" cm="1">
        <f t="array" ref="Y143">IF($D143&lt;COLUMNS($F$7:Y$7),"",INDEX(TableDiv[[GASB]:[GASB]],_xlfn.AGGREGATE(15,3,(TableDiv[[Agency]:[Agency]]=$E143)/(TableDiv[[Agency]:[Agency]]=$E143)*(ROW(TableDiv[Agency])-ROW(TableDiv[[#Headers],[Agency]])),COLUMNS($F$7:Y$7))))</f>
        <v/>
      </c>
      <c r="Z143" s="2223" t="str" cm="1">
        <f t="array" ref="Z143">IF($D143&lt;COLUMNS($F$7:Z$7),"",INDEX(TableDiv[[GASB]:[GASB]],_xlfn.AGGREGATE(15,3,(TableDiv[[Agency]:[Agency]]=$E143)/(TableDiv[[Agency]:[Agency]]=$E143)*(ROW(TableDiv[Agency])-ROW(TableDiv[[#Headers],[Agency]])),COLUMNS($F$7:Z$7))))</f>
        <v/>
      </c>
      <c r="AA143" s="2223" t="str" cm="1">
        <f t="array" ref="AA143">IF($D143&lt;COLUMNS($F$7:AA$7),"",INDEX(TableDiv[[GASB]:[GASB]],_xlfn.AGGREGATE(15,3,(TableDiv[[Agency]:[Agency]]=$E143)/(TableDiv[[Agency]:[Agency]]=$E143)*(ROW(TableDiv[Agency])-ROW(TableDiv[[#Headers],[Agency]])),COLUMNS($F$7:AA$7))))</f>
        <v/>
      </c>
      <c r="AB143" s="2223" t="str" cm="1">
        <f t="array" ref="AB143">IF($D143&lt;COLUMNS($F$7:AB$7),"",INDEX(TableDiv[[GASB]:[GASB]],_xlfn.AGGREGATE(15,3,(TableDiv[[Agency]:[Agency]]=$E143)/(TableDiv[[Agency]:[Agency]]=$E143)*(ROW(TableDiv[Agency])-ROW(TableDiv[[#Headers],[Agency]])),COLUMNS($F$7:AB$7))))</f>
        <v/>
      </c>
      <c r="AC143" s="2223" t="str" cm="1">
        <f t="array" ref="AC143">IF($D143&lt;COLUMNS($F$7:AC$7),"",INDEX(TableDiv[[GASB]:[GASB]],_xlfn.AGGREGATE(15,3,(TableDiv[[Agency]:[Agency]]=$E143)/(TableDiv[[Agency]:[Agency]]=$E143)*(ROW(TableDiv[Agency])-ROW(TableDiv[[#Headers],[Agency]])),COLUMNS($F$7:AC$7))))</f>
        <v/>
      </c>
      <c r="AD143" s="2223" t="str" cm="1">
        <f t="array" ref="AD143">IF($D143&lt;COLUMNS($F$7:AD$7),"",INDEX(TableDiv[[GASB]:[GASB]],_xlfn.AGGREGATE(15,3,(TableDiv[[Agency]:[Agency]]=$E143)/(TableDiv[[Agency]:[Agency]]=$E143)*(ROW(TableDiv[Agency])-ROW(TableDiv[[#Headers],[Agency]])),COLUMNS($F$7:AD$7))))</f>
        <v/>
      </c>
      <c r="AE143" s="2223" t="str" cm="1">
        <f t="array" ref="AE143">IF($D143&lt;COLUMNS($F$7:AE$7),"",INDEX(TableDiv[[GASB]:[GASB]],_xlfn.AGGREGATE(15,3,(TableDiv[[Agency]:[Agency]]=$E143)/(TableDiv[[Agency]:[Agency]]=$E143)*(ROW(TableDiv[Agency])-ROW(TableDiv[[#Headers],[Agency]])),COLUMNS($F$7:AE$7))))</f>
        <v/>
      </c>
      <c r="AF143" s="2223" t="str" cm="1">
        <f t="array" ref="AF143">IF($D143&lt;COLUMNS($F$7:AF$7),"",INDEX(TableDiv[[GASB]:[GASB]],_xlfn.AGGREGATE(15,3,(TableDiv[[Agency]:[Agency]]=$E143)/(TableDiv[[Agency]:[Agency]]=$E143)*(ROW(TableDiv[Agency])-ROW(TableDiv[[#Headers],[Agency]])),COLUMNS($F$7:AF$7))))</f>
        <v/>
      </c>
      <c r="AG143" s="2223" t="str" cm="1">
        <f t="array" ref="AG143">IF($D143&lt;COLUMNS($F$7:AG$7),"",INDEX(TableDiv[[GASB]:[GASB]],_xlfn.AGGREGATE(15,3,(TableDiv[[Agency]:[Agency]]=$E143)/(TableDiv[[Agency]:[Agency]]=$E143)*(ROW(TableDiv[Agency])-ROW(TableDiv[[#Headers],[Agency]])),COLUMNS($F$7:AG$7))))</f>
        <v/>
      </c>
      <c r="AH143" s="2223" t="str" cm="1">
        <f t="array" ref="AH143">IF($D143&lt;COLUMNS($F$7:AH$7),"",INDEX(TableDiv[[GASB]:[GASB]],_xlfn.AGGREGATE(15,3,(TableDiv[[Agency]:[Agency]]=$E143)/(TableDiv[[Agency]:[Agency]]=$E143)*(ROW(TableDiv[Agency])-ROW(TableDiv[[#Headers],[Agency]])),COLUMNS($F$7:AH$7))))</f>
        <v/>
      </c>
      <c r="AI143" s="2223" t="str" cm="1">
        <f t="array" ref="AI143">IF($D143&lt;COLUMNS($F$7:AI$7),"",INDEX(TableDiv[[GASB]:[GASB]],_xlfn.AGGREGATE(15,3,(TableDiv[[Agency]:[Agency]]=$E143)/(TableDiv[[Agency]:[Agency]]=$E143)*(ROW(TableDiv[Agency])-ROW(TableDiv[[#Headers],[Agency]])),COLUMNS($F$7:AI$7))))</f>
        <v/>
      </c>
      <c r="AJ143" s="2223" t="str" cm="1">
        <f t="array" ref="AJ143">IF($D143&lt;COLUMNS($F$7:AJ$7),"",INDEX(TableDiv[[GASB]:[GASB]],_xlfn.AGGREGATE(15,3,(TableDiv[[Agency]:[Agency]]=$E143)/(TableDiv[[Agency]:[Agency]]=$E143)*(ROW(TableDiv[Agency])-ROW(TableDiv[[#Headers],[Agency]])),COLUMNS($F$7:AJ$7))))</f>
        <v/>
      </c>
      <c r="AK143" s="2223" t="str" cm="1">
        <f t="array" ref="AK143">IF($D143&lt;COLUMNS($F$7:AK$7),"",INDEX(TableDiv[[GASB]:[GASB]],_xlfn.AGGREGATE(15,3,(TableDiv[[Agency]:[Agency]]=$E143)/(TableDiv[[Agency]:[Agency]]=$E143)*(ROW(TableDiv[Agency])-ROW(TableDiv[[#Headers],[Agency]])),COLUMNS($F$7:AK$7))))</f>
        <v/>
      </c>
      <c r="AL143" s="2223" t="str" cm="1">
        <f t="array" ref="AL143">IF($D143&lt;COLUMNS($F$7:AL$7),"",INDEX(TableDiv[[GASB]:[GASB]],_xlfn.AGGREGATE(15,3,(TableDiv[[Agency]:[Agency]]=$E143)/(TableDiv[[Agency]:[Agency]]=$E143)*(ROW(TableDiv[Agency])-ROW(TableDiv[[#Headers],[Agency]])),COLUMNS($F$7:AL$7))))</f>
        <v/>
      </c>
      <c r="AM143" s="2223" t="str" cm="1">
        <f t="array" ref="AM143">IF($D143&lt;COLUMNS($F$7:AM$7),"",INDEX(TableDiv[[GASB]:[GASB]],_xlfn.AGGREGATE(15,3,(TableDiv[[Agency]:[Agency]]=$E143)/(TableDiv[[Agency]:[Agency]]=$E143)*(ROW(TableDiv[Agency])-ROW(TableDiv[[#Headers],[Agency]])),COLUMNS($F$7:AM$7))))</f>
        <v/>
      </c>
      <c r="AN143" s="2223"/>
      <c r="AO143" s="2223"/>
      <c r="AP143" s="2223"/>
      <c r="AQ143" s="2223"/>
      <c r="AR143" s="2223"/>
      <c r="AS143" s="2223"/>
    </row>
    <row r="144" spans="1:45" ht="15" x14ac:dyDescent="0.25">
      <c r="A144" s="2219" t="s">
        <v>5109</v>
      </c>
      <c r="B144" s="2219" t="s">
        <v>6379</v>
      </c>
      <c r="C144" s="2223"/>
      <c r="D144" s="2223">
        <f>COUNTIF(TableDiv[Agency],E144)</f>
        <v>1</v>
      </c>
      <c r="E144" s="2230" t="str" cm="1">
        <f t="array" ref="E144">IFERROR(INDEX(TableDiv[Agency],MATCH(0,INDEX(COUNTIF($E$7:E143,TableDiv[Agency]),),0)),"")</f>
        <v>C7</v>
      </c>
      <c r="F144" s="2223" t="str" cm="1">
        <f t="array" ref="F144">IF($D144&lt;COLUMNS($F$7:F$7),"",INDEX(TableDiv[[GASB]:[GASB]],_xlfn.AGGREGATE(15,3,(TableDiv[[Agency]:[Agency]]=$E144)/(TableDiv[[Agency]:[Agency]]=$E144)*(ROW(TableDiv[Agency])-ROW(TableDiv[[#Headers],[Agency]])),COLUMNS($F$7:F$7))))</f>
        <v>48100G</v>
      </c>
      <c r="G144" s="2223" t="str" cm="1">
        <f t="array" ref="G144">IF($D144&lt;COLUMNS($F$7:G$7),"",INDEX(TableDiv[[GASB]:[GASB]],_xlfn.AGGREGATE(15,3,(TableDiv[[Agency]:[Agency]]=$E144)/(TableDiv[[Agency]:[Agency]]=$E144)*(ROW(TableDiv[Agency])-ROW(TableDiv[[#Headers],[Agency]])),COLUMNS($F$7:G$7))))</f>
        <v/>
      </c>
      <c r="H144" s="2223" t="str" cm="1">
        <f t="array" ref="H144">IF($D144&lt;COLUMNS($F$7:H$7),"",INDEX(TableDiv[[GASB]:[GASB]],_xlfn.AGGREGATE(15,3,(TableDiv[[Agency]:[Agency]]=$E144)/(TableDiv[[Agency]:[Agency]]=$E144)*(ROW(TableDiv[Agency])-ROW(TableDiv[[#Headers],[Agency]])),COLUMNS($F$7:H$7))))</f>
        <v/>
      </c>
      <c r="I144" s="2223" t="str" cm="1">
        <f t="array" ref="I144">IF($D144&lt;COLUMNS($F$7:I$7),"",INDEX(TableDiv[[GASB]:[GASB]],_xlfn.AGGREGATE(15,3,(TableDiv[[Agency]:[Agency]]=$E144)/(TableDiv[[Agency]:[Agency]]=$E144)*(ROW(TableDiv[Agency])-ROW(TableDiv[[#Headers],[Agency]])),COLUMNS($F$7:I$7))))</f>
        <v/>
      </c>
      <c r="J144" s="2223" t="str" cm="1">
        <f t="array" ref="J144">IF($D144&lt;COLUMNS($F$7:J$7),"",INDEX(TableDiv[[GASB]:[GASB]],_xlfn.AGGREGATE(15,3,(TableDiv[[Agency]:[Agency]]=$E144)/(TableDiv[[Agency]:[Agency]]=$E144)*(ROW(TableDiv[Agency])-ROW(TableDiv[[#Headers],[Agency]])),COLUMNS($F$7:J$7))))</f>
        <v/>
      </c>
      <c r="K144" s="2223" t="str" cm="1">
        <f t="array" ref="K144">IF($D144&lt;COLUMNS($F$7:K$7),"",INDEX(TableDiv[[GASB]:[GASB]],_xlfn.AGGREGATE(15,3,(TableDiv[[Agency]:[Agency]]=$E144)/(TableDiv[[Agency]:[Agency]]=$E144)*(ROW(TableDiv[Agency])-ROW(TableDiv[[#Headers],[Agency]])),COLUMNS($F$7:K$7))))</f>
        <v/>
      </c>
      <c r="L144" s="2223" t="str" cm="1">
        <f t="array" ref="L144">IF($D144&lt;COLUMNS($F$7:L$7),"",INDEX(TableDiv[[GASB]:[GASB]],_xlfn.AGGREGATE(15,3,(TableDiv[[Agency]:[Agency]]=$E144)/(TableDiv[[Agency]:[Agency]]=$E144)*(ROW(TableDiv[Agency])-ROW(TableDiv[[#Headers],[Agency]])),COLUMNS($F$7:L$7))))</f>
        <v/>
      </c>
      <c r="M144" s="2223" t="str" cm="1">
        <f t="array" ref="M144">IF($D144&lt;COLUMNS($F$7:M$7),"",INDEX(TableDiv[[GASB]:[GASB]],_xlfn.AGGREGATE(15,3,(TableDiv[[Agency]:[Agency]]=$E144)/(TableDiv[[Agency]:[Agency]]=$E144)*(ROW(TableDiv[Agency])-ROW(TableDiv[[#Headers],[Agency]])),COLUMNS($F$7:M$7))))</f>
        <v/>
      </c>
      <c r="N144" s="2223" t="str" cm="1">
        <f t="array" ref="N144">IF($D144&lt;COLUMNS($F$7:N$7),"",INDEX(TableDiv[[GASB]:[GASB]],_xlfn.AGGREGATE(15,3,(TableDiv[[Agency]:[Agency]]=$E144)/(TableDiv[[Agency]:[Agency]]=$E144)*(ROW(TableDiv[Agency])-ROW(TableDiv[[#Headers],[Agency]])),COLUMNS($F$7:N$7))))</f>
        <v/>
      </c>
      <c r="O144" s="2223" t="str" cm="1">
        <f t="array" ref="O144">IF($D144&lt;COLUMNS($F$7:O$7),"",INDEX(TableDiv[[GASB]:[GASB]],_xlfn.AGGREGATE(15,3,(TableDiv[[Agency]:[Agency]]=$E144)/(TableDiv[[Agency]:[Agency]]=$E144)*(ROW(TableDiv[Agency])-ROW(TableDiv[[#Headers],[Agency]])),COLUMNS($F$7:O$7))))</f>
        <v/>
      </c>
      <c r="P144" s="2223" t="str" cm="1">
        <f t="array" ref="P144">IF($D144&lt;COLUMNS($F$7:P$7),"",INDEX(TableDiv[[GASB]:[GASB]],_xlfn.AGGREGATE(15,3,(TableDiv[[Agency]:[Agency]]=$E144)/(TableDiv[[Agency]:[Agency]]=$E144)*(ROW(TableDiv[Agency])-ROW(TableDiv[[#Headers],[Agency]])),COLUMNS($F$7:P$7))))</f>
        <v/>
      </c>
      <c r="Q144" s="2223" t="str" cm="1">
        <f t="array" ref="Q144">IF($D144&lt;COLUMNS($F$7:Q$7),"",INDEX(TableDiv[[GASB]:[GASB]],_xlfn.AGGREGATE(15,3,(TableDiv[[Agency]:[Agency]]=$E144)/(TableDiv[[Agency]:[Agency]]=$E144)*(ROW(TableDiv[Agency])-ROW(TableDiv[[#Headers],[Agency]])),COLUMNS($F$7:Q$7))))</f>
        <v/>
      </c>
      <c r="R144" s="2223" t="str" cm="1">
        <f t="array" ref="R144">IF($D144&lt;COLUMNS($F$7:R$7),"",INDEX(TableDiv[[GASB]:[GASB]],_xlfn.AGGREGATE(15,3,(TableDiv[[Agency]:[Agency]]=$E144)/(TableDiv[[Agency]:[Agency]]=$E144)*(ROW(TableDiv[Agency])-ROW(TableDiv[[#Headers],[Agency]])),COLUMNS($F$7:R$7))))</f>
        <v/>
      </c>
      <c r="S144" s="2223" t="str" cm="1">
        <f t="array" ref="S144">IF($D144&lt;COLUMNS($F$7:S$7),"",INDEX(TableDiv[[GASB]:[GASB]],_xlfn.AGGREGATE(15,3,(TableDiv[[Agency]:[Agency]]=$E144)/(TableDiv[[Agency]:[Agency]]=$E144)*(ROW(TableDiv[Agency])-ROW(TableDiv[[#Headers],[Agency]])),COLUMNS($F$7:S$7))))</f>
        <v/>
      </c>
      <c r="T144" s="2223" t="str" cm="1">
        <f t="array" ref="T144">IF($D144&lt;COLUMNS($F$7:T$7),"",INDEX(TableDiv[[GASB]:[GASB]],_xlfn.AGGREGATE(15,3,(TableDiv[[Agency]:[Agency]]=$E144)/(TableDiv[[Agency]:[Agency]]=$E144)*(ROW(TableDiv[Agency])-ROW(TableDiv[[#Headers],[Agency]])),COLUMNS($F$7:T$7))))</f>
        <v/>
      </c>
      <c r="U144" s="2223" t="str" cm="1">
        <f t="array" ref="U144">IF($D144&lt;COLUMNS($F$7:U$7),"",INDEX(TableDiv[[GASB]:[GASB]],_xlfn.AGGREGATE(15,3,(TableDiv[[Agency]:[Agency]]=$E144)/(TableDiv[[Agency]:[Agency]]=$E144)*(ROW(TableDiv[Agency])-ROW(TableDiv[[#Headers],[Agency]])),COLUMNS($F$7:U$7))))</f>
        <v/>
      </c>
      <c r="V144" s="2223" t="str" cm="1">
        <f t="array" ref="V144">IF($D144&lt;COLUMNS($F$7:V$7),"",INDEX(TableDiv[[GASB]:[GASB]],_xlfn.AGGREGATE(15,3,(TableDiv[[Agency]:[Agency]]=$E144)/(TableDiv[[Agency]:[Agency]]=$E144)*(ROW(TableDiv[Agency])-ROW(TableDiv[[#Headers],[Agency]])),COLUMNS($F$7:V$7))))</f>
        <v/>
      </c>
      <c r="W144" s="2223" t="str" cm="1">
        <f t="array" ref="W144">IF($D144&lt;COLUMNS($F$7:W$7),"",INDEX(TableDiv[[GASB]:[GASB]],_xlfn.AGGREGATE(15,3,(TableDiv[[Agency]:[Agency]]=$E144)/(TableDiv[[Agency]:[Agency]]=$E144)*(ROW(TableDiv[Agency])-ROW(TableDiv[[#Headers],[Agency]])),COLUMNS($F$7:W$7))))</f>
        <v/>
      </c>
      <c r="X144" s="2223" t="str" cm="1">
        <f t="array" ref="X144">IF($D144&lt;COLUMNS($F$7:X$7),"",INDEX(TableDiv[[GASB]:[GASB]],_xlfn.AGGREGATE(15,3,(TableDiv[[Agency]:[Agency]]=$E144)/(TableDiv[[Agency]:[Agency]]=$E144)*(ROW(TableDiv[Agency])-ROW(TableDiv[[#Headers],[Agency]])),COLUMNS($F$7:X$7))))</f>
        <v/>
      </c>
      <c r="Y144" s="2223" t="str" cm="1">
        <f t="array" ref="Y144">IF($D144&lt;COLUMNS($F$7:Y$7),"",INDEX(TableDiv[[GASB]:[GASB]],_xlfn.AGGREGATE(15,3,(TableDiv[[Agency]:[Agency]]=$E144)/(TableDiv[[Agency]:[Agency]]=$E144)*(ROW(TableDiv[Agency])-ROW(TableDiv[[#Headers],[Agency]])),COLUMNS($F$7:Y$7))))</f>
        <v/>
      </c>
      <c r="Z144" s="2223" t="str" cm="1">
        <f t="array" ref="Z144">IF($D144&lt;COLUMNS($F$7:Z$7),"",INDEX(TableDiv[[GASB]:[GASB]],_xlfn.AGGREGATE(15,3,(TableDiv[[Agency]:[Agency]]=$E144)/(TableDiv[[Agency]:[Agency]]=$E144)*(ROW(TableDiv[Agency])-ROW(TableDiv[[#Headers],[Agency]])),COLUMNS($F$7:Z$7))))</f>
        <v/>
      </c>
      <c r="AA144" s="2223" t="str" cm="1">
        <f t="array" ref="AA144">IF($D144&lt;COLUMNS($F$7:AA$7),"",INDEX(TableDiv[[GASB]:[GASB]],_xlfn.AGGREGATE(15,3,(TableDiv[[Agency]:[Agency]]=$E144)/(TableDiv[[Agency]:[Agency]]=$E144)*(ROW(TableDiv[Agency])-ROW(TableDiv[[#Headers],[Agency]])),COLUMNS($F$7:AA$7))))</f>
        <v/>
      </c>
      <c r="AB144" s="2223" t="str" cm="1">
        <f t="array" ref="AB144">IF($D144&lt;COLUMNS($F$7:AB$7),"",INDEX(TableDiv[[GASB]:[GASB]],_xlfn.AGGREGATE(15,3,(TableDiv[[Agency]:[Agency]]=$E144)/(TableDiv[[Agency]:[Agency]]=$E144)*(ROW(TableDiv[Agency])-ROW(TableDiv[[#Headers],[Agency]])),COLUMNS($F$7:AB$7))))</f>
        <v/>
      </c>
      <c r="AC144" s="2223" t="str" cm="1">
        <f t="array" ref="AC144">IF($D144&lt;COLUMNS($F$7:AC$7),"",INDEX(TableDiv[[GASB]:[GASB]],_xlfn.AGGREGATE(15,3,(TableDiv[[Agency]:[Agency]]=$E144)/(TableDiv[[Agency]:[Agency]]=$E144)*(ROW(TableDiv[Agency])-ROW(TableDiv[[#Headers],[Agency]])),COLUMNS($F$7:AC$7))))</f>
        <v/>
      </c>
      <c r="AD144" s="2223" t="str" cm="1">
        <f t="array" ref="AD144">IF($D144&lt;COLUMNS($F$7:AD$7),"",INDEX(TableDiv[[GASB]:[GASB]],_xlfn.AGGREGATE(15,3,(TableDiv[[Agency]:[Agency]]=$E144)/(TableDiv[[Agency]:[Agency]]=$E144)*(ROW(TableDiv[Agency])-ROW(TableDiv[[#Headers],[Agency]])),COLUMNS($F$7:AD$7))))</f>
        <v/>
      </c>
      <c r="AE144" s="2223" t="str" cm="1">
        <f t="array" ref="AE144">IF($D144&lt;COLUMNS($F$7:AE$7),"",INDEX(TableDiv[[GASB]:[GASB]],_xlfn.AGGREGATE(15,3,(TableDiv[[Agency]:[Agency]]=$E144)/(TableDiv[[Agency]:[Agency]]=$E144)*(ROW(TableDiv[Agency])-ROW(TableDiv[[#Headers],[Agency]])),COLUMNS($F$7:AE$7))))</f>
        <v/>
      </c>
      <c r="AF144" s="2223" t="str" cm="1">
        <f t="array" ref="AF144">IF($D144&lt;COLUMNS($F$7:AF$7),"",INDEX(TableDiv[[GASB]:[GASB]],_xlfn.AGGREGATE(15,3,(TableDiv[[Agency]:[Agency]]=$E144)/(TableDiv[[Agency]:[Agency]]=$E144)*(ROW(TableDiv[Agency])-ROW(TableDiv[[#Headers],[Agency]])),COLUMNS($F$7:AF$7))))</f>
        <v/>
      </c>
      <c r="AG144" s="2223" t="str" cm="1">
        <f t="array" ref="AG144">IF($D144&lt;COLUMNS($F$7:AG$7),"",INDEX(TableDiv[[GASB]:[GASB]],_xlfn.AGGREGATE(15,3,(TableDiv[[Agency]:[Agency]]=$E144)/(TableDiv[[Agency]:[Agency]]=$E144)*(ROW(TableDiv[Agency])-ROW(TableDiv[[#Headers],[Agency]])),COLUMNS($F$7:AG$7))))</f>
        <v/>
      </c>
      <c r="AH144" s="2223" t="str" cm="1">
        <f t="array" ref="AH144">IF($D144&lt;COLUMNS($F$7:AH$7),"",INDEX(TableDiv[[GASB]:[GASB]],_xlfn.AGGREGATE(15,3,(TableDiv[[Agency]:[Agency]]=$E144)/(TableDiv[[Agency]:[Agency]]=$E144)*(ROW(TableDiv[Agency])-ROW(TableDiv[[#Headers],[Agency]])),COLUMNS($F$7:AH$7))))</f>
        <v/>
      </c>
      <c r="AI144" s="2223" t="str" cm="1">
        <f t="array" ref="AI144">IF($D144&lt;COLUMNS($F$7:AI$7),"",INDEX(TableDiv[[GASB]:[GASB]],_xlfn.AGGREGATE(15,3,(TableDiv[[Agency]:[Agency]]=$E144)/(TableDiv[[Agency]:[Agency]]=$E144)*(ROW(TableDiv[Agency])-ROW(TableDiv[[#Headers],[Agency]])),COLUMNS($F$7:AI$7))))</f>
        <v/>
      </c>
      <c r="AJ144" s="2223" t="str" cm="1">
        <f t="array" ref="AJ144">IF($D144&lt;COLUMNS($F$7:AJ$7),"",INDEX(TableDiv[[GASB]:[GASB]],_xlfn.AGGREGATE(15,3,(TableDiv[[Agency]:[Agency]]=$E144)/(TableDiv[[Agency]:[Agency]]=$E144)*(ROW(TableDiv[Agency])-ROW(TableDiv[[#Headers],[Agency]])),COLUMNS($F$7:AJ$7))))</f>
        <v/>
      </c>
      <c r="AK144" s="2223" t="str" cm="1">
        <f t="array" ref="AK144">IF($D144&lt;COLUMNS($F$7:AK$7),"",INDEX(TableDiv[[GASB]:[GASB]],_xlfn.AGGREGATE(15,3,(TableDiv[[Agency]:[Agency]]=$E144)/(TableDiv[[Agency]:[Agency]]=$E144)*(ROW(TableDiv[Agency])-ROW(TableDiv[[#Headers],[Agency]])),COLUMNS($F$7:AK$7))))</f>
        <v/>
      </c>
      <c r="AL144" s="2223" t="str" cm="1">
        <f t="array" ref="AL144">IF($D144&lt;COLUMNS($F$7:AL$7),"",INDEX(TableDiv[[GASB]:[GASB]],_xlfn.AGGREGATE(15,3,(TableDiv[[Agency]:[Agency]]=$E144)/(TableDiv[[Agency]:[Agency]]=$E144)*(ROW(TableDiv[Agency])-ROW(TableDiv[[#Headers],[Agency]])),COLUMNS($F$7:AL$7))))</f>
        <v/>
      </c>
      <c r="AM144" s="2223" t="str" cm="1">
        <f t="array" ref="AM144">IF($D144&lt;COLUMNS($F$7:AM$7),"",INDEX(TableDiv[[GASB]:[GASB]],_xlfn.AGGREGATE(15,3,(TableDiv[[Agency]:[Agency]]=$E144)/(TableDiv[[Agency]:[Agency]]=$E144)*(ROW(TableDiv[Agency])-ROW(TableDiv[[#Headers],[Agency]])),COLUMNS($F$7:AM$7))))</f>
        <v/>
      </c>
      <c r="AN144" s="2223"/>
      <c r="AO144" s="2223"/>
      <c r="AP144" s="2223"/>
      <c r="AQ144" s="2223"/>
      <c r="AR144" s="2223"/>
      <c r="AS144" s="2223"/>
    </row>
    <row r="145" spans="1:45" ht="15" x14ac:dyDescent="0.25">
      <c r="A145" s="2219" t="s">
        <v>5110</v>
      </c>
      <c r="B145" s="2219" t="s">
        <v>6434</v>
      </c>
      <c r="C145" s="2223"/>
      <c r="D145" s="2223">
        <f>COUNTIF(TableDiv[Agency],E145)</f>
        <v>1</v>
      </c>
      <c r="E145" s="2230" t="str" cm="1">
        <f t="array" ref="E145">IFERROR(INDEX(TableDiv[Agency],MATCH(0,INDEX(COUNTIF($E$7:E144,TableDiv[Agency]),),0)),"")</f>
        <v>C8</v>
      </c>
      <c r="F145" s="2223" t="str" cm="1">
        <f t="array" ref="F145">IF($D145&lt;COLUMNS($F$7:F$7),"",INDEX(TableDiv[[GASB]:[GASB]],_xlfn.AGGREGATE(15,3,(TableDiv[[Agency]:[Agency]]=$E145)/(TableDiv[[Agency]:[Agency]]=$E145)*(ROW(TableDiv[Agency])-ROW(TableDiv[[#Headers],[Agency]])),COLUMNS($F$7:F$7))))</f>
        <v>48100G</v>
      </c>
      <c r="G145" s="2223" t="str" cm="1">
        <f t="array" ref="G145">IF($D145&lt;COLUMNS($F$7:G$7),"",INDEX(TableDiv[[GASB]:[GASB]],_xlfn.AGGREGATE(15,3,(TableDiv[[Agency]:[Agency]]=$E145)/(TableDiv[[Agency]:[Agency]]=$E145)*(ROW(TableDiv[Agency])-ROW(TableDiv[[#Headers],[Agency]])),COLUMNS($F$7:G$7))))</f>
        <v/>
      </c>
      <c r="H145" s="2223" t="str" cm="1">
        <f t="array" ref="H145">IF($D145&lt;COLUMNS($F$7:H$7),"",INDEX(TableDiv[[GASB]:[GASB]],_xlfn.AGGREGATE(15,3,(TableDiv[[Agency]:[Agency]]=$E145)/(TableDiv[[Agency]:[Agency]]=$E145)*(ROW(TableDiv[Agency])-ROW(TableDiv[[#Headers],[Agency]])),COLUMNS($F$7:H$7))))</f>
        <v/>
      </c>
      <c r="I145" s="2223" t="str" cm="1">
        <f t="array" ref="I145">IF($D145&lt;COLUMNS($F$7:I$7),"",INDEX(TableDiv[[GASB]:[GASB]],_xlfn.AGGREGATE(15,3,(TableDiv[[Agency]:[Agency]]=$E145)/(TableDiv[[Agency]:[Agency]]=$E145)*(ROW(TableDiv[Agency])-ROW(TableDiv[[#Headers],[Agency]])),COLUMNS($F$7:I$7))))</f>
        <v/>
      </c>
      <c r="J145" s="2223" t="str" cm="1">
        <f t="array" ref="J145">IF($D145&lt;COLUMNS($F$7:J$7),"",INDEX(TableDiv[[GASB]:[GASB]],_xlfn.AGGREGATE(15,3,(TableDiv[[Agency]:[Agency]]=$E145)/(TableDiv[[Agency]:[Agency]]=$E145)*(ROW(TableDiv[Agency])-ROW(TableDiv[[#Headers],[Agency]])),COLUMNS($F$7:J$7))))</f>
        <v/>
      </c>
      <c r="K145" s="2223" t="str" cm="1">
        <f t="array" ref="K145">IF($D145&lt;COLUMNS($F$7:K$7),"",INDEX(TableDiv[[GASB]:[GASB]],_xlfn.AGGREGATE(15,3,(TableDiv[[Agency]:[Agency]]=$E145)/(TableDiv[[Agency]:[Agency]]=$E145)*(ROW(TableDiv[Agency])-ROW(TableDiv[[#Headers],[Agency]])),COLUMNS($F$7:K$7))))</f>
        <v/>
      </c>
      <c r="L145" s="2223" t="str" cm="1">
        <f t="array" ref="L145">IF($D145&lt;COLUMNS($F$7:L$7),"",INDEX(TableDiv[[GASB]:[GASB]],_xlfn.AGGREGATE(15,3,(TableDiv[[Agency]:[Agency]]=$E145)/(TableDiv[[Agency]:[Agency]]=$E145)*(ROW(TableDiv[Agency])-ROW(TableDiv[[#Headers],[Agency]])),COLUMNS($F$7:L$7))))</f>
        <v/>
      </c>
      <c r="M145" s="2223" t="str" cm="1">
        <f t="array" ref="M145">IF($D145&lt;COLUMNS($F$7:M$7),"",INDEX(TableDiv[[GASB]:[GASB]],_xlfn.AGGREGATE(15,3,(TableDiv[[Agency]:[Agency]]=$E145)/(TableDiv[[Agency]:[Agency]]=$E145)*(ROW(TableDiv[Agency])-ROW(TableDiv[[#Headers],[Agency]])),COLUMNS($F$7:M$7))))</f>
        <v/>
      </c>
      <c r="N145" s="2223" t="str" cm="1">
        <f t="array" ref="N145">IF($D145&lt;COLUMNS($F$7:N$7),"",INDEX(TableDiv[[GASB]:[GASB]],_xlfn.AGGREGATE(15,3,(TableDiv[[Agency]:[Agency]]=$E145)/(TableDiv[[Agency]:[Agency]]=$E145)*(ROW(TableDiv[Agency])-ROW(TableDiv[[#Headers],[Agency]])),COLUMNS($F$7:N$7))))</f>
        <v/>
      </c>
      <c r="O145" s="2223" t="str" cm="1">
        <f t="array" ref="O145">IF($D145&lt;COLUMNS($F$7:O$7),"",INDEX(TableDiv[[GASB]:[GASB]],_xlfn.AGGREGATE(15,3,(TableDiv[[Agency]:[Agency]]=$E145)/(TableDiv[[Agency]:[Agency]]=$E145)*(ROW(TableDiv[Agency])-ROW(TableDiv[[#Headers],[Agency]])),COLUMNS($F$7:O$7))))</f>
        <v/>
      </c>
      <c r="P145" s="2223" t="str" cm="1">
        <f t="array" ref="P145">IF($D145&lt;COLUMNS($F$7:P$7),"",INDEX(TableDiv[[GASB]:[GASB]],_xlfn.AGGREGATE(15,3,(TableDiv[[Agency]:[Agency]]=$E145)/(TableDiv[[Agency]:[Agency]]=$E145)*(ROW(TableDiv[Agency])-ROW(TableDiv[[#Headers],[Agency]])),COLUMNS($F$7:P$7))))</f>
        <v/>
      </c>
      <c r="Q145" s="2223" t="str" cm="1">
        <f t="array" ref="Q145">IF($D145&lt;COLUMNS($F$7:Q$7),"",INDEX(TableDiv[[GASB]:[GASB]],_xlfn.AGGREGATE(15,3,(TableDiv[[Agency]:[Agency]]=$E145)/(TableDiv[[Agency]:[Agency]]=$E145)*(ROW(TableDiv[Agency])-ROW(TableDiv[[#Headers],[Agency]])),COLUMNS($F$7:Q$7))))</f>
        <v/>
      </c>
      <c r="R145" s="2223" t="str" cm="1">
        <f t="array" ref="R145">IF($D145&lt;COLUMNS($F$7:R$7),"",INDEX(TableDiv[[GASB]:[GASB]],_xlfn.AGGREGATE(15,3,(TableDiv[[Agency]:[Agency]]=$E145)/(TableDiv[[Agency]:[Agency]]=$E145)*(ROW(TableDiv[Agency])-ROW(TableDiv[[#Headers],[Agency]])),COLUMNS($F$7:R$7))))</f>
        <v/>
      </c>
      <c r="S145" s="2223" t="str" cm="1">
        <f t="array" ref="S145">IF($D145&lt;COLUMNS($F$7:S$7),"",INDEX(TableDiv[[GASB]:[GASB]],_xlfn.AGGREGATE(15,3,(TableDiv[[Agency]:[Agency]]=$E145)/(TableDiv[[Agency]:[Agency]]=$E145)*(ROW(TableDiv[Agency])-ROW(TableDiv[[#Headers],[Agency]])),COLUMNS($F$7:S$7))))</f>
        <v/>
      </c>
      <c r="T145" s="2223" t="str" cm="1">
        <f t="array" ref="T145">IF($D145&lt;COLUMNS($F$7:T$7),"",INDEX(TableDiv[[GASB]:[GASB]],_xlfn.AGGREGATE(15,3,(TableDiv[[Agency]:[Agency]]=$E145)/(TableDiv[[Agency]:[Agency]]=$E145)*(ROW(TableDiv[Agency])-ROW(TableDiv[[#Headers],[Agency]])),COLUMNS($F$7:T$7))))</f>
        <v/>
      </c>
      <c r="U145" s="2223" t="str" cm="1">
        <f t="array" ref="U145">IF($D145&lt;COLUMNS($F$7:U$7),"",INDEX(TableDiv[[GASB]:[GASB]],_xlfn.AGGREGATE(15,3,(TableDiv[[Agency]:[Agency]]=$E145)/(TableDiv[[Agency]:[Agency]]=$E145)*(ROW(TableDiv[Agency])-ROW(TableDiv[[#Headers],[Agency]])),COLUMNS($F$7:U$7))))</f>
        <v/>
      </c>
      <c r="V145" s="2223" t="str" cm="1">
        <f t="array" ref="V145">IF($D145&lt;COLUMNS($F$7:V$7),"",INDEX(TableDiv[[GASB]:[GASB]],_xlfn.AGGREGATE(15,3,(TableDiv[[Agency]:[Agency]]=$E145)/(TableDiv[[Agency]:[Agency]]=$E145)*(ROW(TableDiv[Agency])-ROW(TableDiv[[#Headers],[Agency]])),COLUMNS($F$7:V$7))))</f>
        <v/>
      </c>
      <c r="W145" s="2223" t="str" cm="1">
        <f t="array" ref="W145">IF($D145&lt;COLUMNS($F$7:W$7),"",INDEX(TableDiv[[GASB]:[GASB]],_xlfn.AGGREGATE(15,3,(TableDiv[[Agency]:[Agency]]=$E145)/(TableDiv[[Agency]:[Agency]]=$E145)*(ROW(TableDiv[Agency])-ROW(TableDiv[[#Headers],[Agency]])),COLUMNS($F$7:W$7))))</f>
        <v/>
      </c>
      <c r="X145" s="2223" t="str" cm="1">
        <f t="array" ref="X145">IF($D145&lt;COLUMNS($F$7:X$7),"",INDEX(TableDiv[[GASB]:[GASB]],_xlfn.AGGREGATE(15,3,(TableDiv[[Agency]:[Agency]]=$E145)/(TableDiv[[Agency]:[Agency]]=$E145)*(ROW(TableDiv[Agency])-ROW(TableDiv[[#Headers],[Agency]])),COLUMNS($F$7:X$7))))</f>
        <v/>
      </c>
      <c r="Y145" s="2223" t="str" cm="1">
        <f t="array" ref="Y145">IF($D145&lt;COLUMNS($F$7:Y$7),"",INDEX(TableDiv[[GASB]:[GASB]],_xlfn.AGGREGATE(15,3,(TableDiv[[Agency]:[Agency]]=$E145)/(TableDiv[[Agency]:[Agency]]=$E145)*(ROW(TableDiv[Agency])-ROW(TableDiv[[#Headers],[Agency]])),COLUMNS($F$7:Y$7))))</f>
        <v/>
      </c>
      <c r="Z145" s="2223" t="str" cm="1">
        <f t="array" ref="Z145">IF($D145&lt;COLUMNS($F$7:Z$7),"",INDEX(TableDiv[[GASB]:[GASB]],_xlfn.AGGREGATE(15,3,(TableDiv[[Agency]:[Agency]]=$E145)/(TableDiv[[Agency]:[Agency]]=$E145)*(ROW(TableDiv[Agency])-ROW(TableDiv[[#Headers],[Agency]])),COLUMNS($F$7:Z$7))))</f>
        <v/>
      </c>
      <c r="AA145" s="2223" t="str" cm="1">
        <f t="array" ref="AA145">IF($D145&lt;COLUMNS($F$7:AA$7),"",INDEX(TableDiv[[GASB]:[GASB]],_xlfn.AGGREGATE(15,3,(TableDiv[[Agency]:[Agency]]=$E145)/(TableDiv[[Agency]:[Agency]]=$E145)*(ROW(TableDiv[Agency])-ROW(TableDiv[[#Headers],[Agency]])),COLUMNS($F$7:AA$7))))</f>
        <v/>
      </c>
      <c r="AB145" s="2223" t="str" cm="1">
        <f t="array" ref="AB145">IF($D145&lt;COLUMNS($F$7:AB$7),"",INDEX(TableDiv[[GASB]:[GASB]],_xlfn.AGGREGATE(15,3,(TableDiv[[Agency]:[Agency]]=$E145)/(TableDiv[[Agency]:[Agency]]=$E145)*(ROW(TableDiv[Agency])-ROW(TableDiv[[#Headers],[Agency]])),COLUMNS($F$7:AB$7))))</f>
        <v/>
      </c>
      <c r="AC145" s="2223" t="str" cm="1">
        <f t="array" ref="AC145">IF($D145&lt;COLUMNS($F$7:AC$7),"",INDEX(TableDiv[[GASB]:[GASB]],_xlfn.AGGREGATE(15,3,(TableDiv[[Agency]:[Agency]]=$E145)/(TableDiv[[Agency]:[Agency]]=$E145)*(ROW(TableDiv[Agency])-ROW(TableDiv[[#Headers],[Agency]])),COLUMNS($F$7:AC$7))))</f>
        <v/>
      </c>
      <c r="AD145" s="2223" t="str" cm="1">
        <f t="array" ref="AD145">IF($D145&lt;COLUMNS($F$7:AD$7),"",INDEX(TableDiv[[GASB]:[GASB]],_xlfn.AGGREGATE(15,3,(TableDiv[[Agency]:[Agency]]=$E145)/(TableDiv[[Agency]:[Agency]]=$E145)*(ROW(TableDiv[Agency])-ROW(TableDiv[[#Headers],[Agency]])),COLUMNS($F$7:AD$7))))</f>
        <v/>
      </c>
      <c r="AE145" s="2223" t="str" cm="1">
        <f t="array" ref="AE145">IF($D145&lt;COLUMNS($F$7:AE$7),"",INDEX(TableDiv[[GASB]:[GASB]],_xlfn.AGGREGATE(15,3,(TableDiv[[Agency]:[Agency]]=$E145)/(TableDiv[[Agency]:[Agency]]=$E145)*(ROW(TableDiv[Agency])-ROW(TableDiv[[#Headers],[Agency]])),COLUMNS($F$7:AE$7))))</f>
        <v/>
      </c>
      <c r="AF145" s="2223" t="str" cm="1">
        <f t="array" ref="AF145">IF($D145&lt;COLUMNS($F$7:AF$7),"",INDEX(TableDiv[[GASB]:[GASB]],_xlfn.AGGREGATE(15,3,(TableDiv[[Agency]:[Agency]]=$E145)/(TableDiv[[Agency]:[Agency]]=$E145)*(ROW(TableDiv[Agency])-ROW(TableDiv[[#Headers],[Agency]])),COLUMNS($F$7:AF$7))))</f>
        <v/>
      </c>
      <c r="AG145" s="2223" t="str" cm="1">
        <f t="array" ref="AG145">IF($D145&lt;COLUMNS($F$7:AG$7),"",INDEX(TableDiv[[GASB]:[GASB]],_xlfn.AGGREGATE(15,3,(TableDiv[[Agency]:[Agency]]=$E145)/(TableDiv[[Agency]:[Agency]]=$E145)*(ROW(TableDiv[Agency])-ROW(TableDiv[[#Headers],[Agency]])),COLUMNS($F$7:AG$7))))</f>
        <v/>
      </c>
      <c r="AH145" s="2223" t="str" cm="1">
        <f t="array" ref="AH145">IF($D145&lt;COLUMNS($F$7:AH$7),"",INDEX(TableDiv[[GASB]:[GASB]],_xlfn.AGGREGATE(15,3,(TableDiv[[Agency]:[Agency]]=$E145)/(TableDiv[[Agency]:[Agency]]=$E145)*(ROW(TableDiv[Agency])-ROW(TableDiv[[#Headers],[Agency]])),COLUMNS($F$7:AH$7))))</f>
        <v/>
      </c>
      <c r="AI145" s="2223" t="str" cm="1">
        <f t="array" ref="AI145">IF($D145&lt;COLUMNS($F$7:AI$7),"",INDEX(TableDiv[[GASB]:[GASB]],_xlfn.AGGREGATE(15,3,(TableDiv[[Agency]:[Agency]]=$E145)/(TableDiv[[Agency]:[Agency]]=$E145)*(ROW(TableDiv[Agency])-ROW(TableDiv[[#Headers],[Agency]])),COLUMNS($F$7:AI$7))))</f>
        <v/>
      </c>
      <c r="AJ145" s="2223" t="str" cm="1">
        <f t="array" ref="AJ145">IF($D145&lt;COLUMNS($F$7:AJ$7),"",INDEX(TableDiv[[GASB]:[GASB]],_xlfn.AGGREGATE(15,3,(TableDiv[[Agency]:[Agency]]=$E145)/(TableDiv[[Agency]:[Agency]]=$E145)*(ROW(TableDiv[Agency])-ROW(TableDiv[[#Headers],[Agency]])),COLUMNS($F$7:AJ$7))))</f>
        <v/>
      </c>
      <c r="AK145" s="2223" t="str" cm="1">
        <f t="array" ref="AK145">IF($D145&lt;COLUMNS($F$7:AK$7),"",INDEX(TableDiv[[GASB]:[GASB]],_xlfn.AGGREGATE(15,3,(TableDiv[[Agency]:[Agency]]=$E145)/(TableDiv[[Agency]:[Agency]]=$E145)*(ROW(TableDiv[Agency])-ROW(TableDiv[[#Headers],[Agency]])),COLUMNS($F$7:AK$7))))</f>
        <v/>
      </c>
      <c r="AL145" s="2223" t="str" cm="1">
        <f t="array" ref="AL145">IF($D145&lt;COLUMNS($F$7:AL$7),"",INDEX(TableDiv[[GASB]:[GASB]],_xlfn.AGGREGATE(15,3,(TableDiv[[Agency]:[Agency]]=$E145)/(TableDiv[[Agency]:[Agency]]=$E145)*(ROW(TableDiv[Agency])-ROW(TableDiv[[#Headers],[Agency]])),COLUMNS($F$7:AL$7))))</f>
        <v/>
      </c>
      <c r="AM145" s="2223" t="str" cm="1">
        <f t="array" ref="AM145">IF($D145&lt;COLUMNS($F$7:AM$7),"",INDEX(TableDiv[[GASB]:[GASB]],_xlfn.AGGREGATE(15,3,(TableDiv[[Agency]:[Agency]]=$E145)/(TableDiv[[Agency]:[Agency]]=$E145)*(ROW(TableDiv[Agency])-ROW(TableDiv[[#Headers],[Agency]])),COLUMNS($F$7:AM$7))))</f>
        <v/>
      </c>
      <c r="AN145" s="2223"/>
      <c r="AO145" s="2223"/>
      <c r="AP145" s="2223"/>
      <c r="AQ145" s="2223"/>
      <c r="AR145" s="2223"/>
      <c r="AS145" s="2223"/>
    </row>
    <row r="146" spans="1:45" ht="15" x14ac:dyDescent="0.25">
      <c r="A146" s="2219" t="s">
        <v>5110</v>
      </c>
      <c r="B146" s="2219" t="s">
        <v>6358</v>
      </c>
      <c r="C146" s="2223"/>
      <c r="D146" s="2223">
        <f>COUNTIF(TableDiv[Agency],E146)</f>
        <v>1</v>
      </c>
      <c r="E146" s="2230" t="str" cm="1">
        <f t="array" ref="E146">IFERROR(INDEX(TableDiv[Agency],MATCH(0,INDEX(COUNTIF($E$7:E145,TableDiv[Agency]),),0)),"")</f>
        <v>C9</v>
      </c>
      <c r="F146" s="2223" t="str" cm="1">
        <f t="array" ref="F146">IF($D146&lt;COLUMNS($F$7:F$7),"",INDEX(TableDiv[[GASB]:[GASB]],_xlfn.AGGREGATE(15,3,(TableDiv[[Agency]:[Agency]]=$E146)/(TableDiv[[Agency]:[Agency]]=$E146)*(ROW(TableDiv[Agency])-ROW(TableDiv[[#Headers],[Agency]])),COLUMNS($F$7:F$7))))</f>
        <v>48100G</v>
      </c>
      <c r="G146" s="2223" t="str" cm="1">
        <f t="array" ref="G146">IF($D146&lt;COLUMNS($F$7:G$7),"",INDEX(TableDiv[[GASB]:[GASB]],_xlfn.AGGREGATE(15,3,(TableDiv[[Agency]:[Agency]]=$E146)/(TableDiv[[Agency]:[Agency]]=$E146)*(ROW(TableDiv[Agency])-ROW(TableDiv[[#Headers],[Agency]])),COLUMNS($F$7:G$7))))</f>
        <v/>
      </c>
      <c r="H146" s="2223" t="str" cm="1">
        <f t="array" ref="H146">IF($D146&lt;COLUMNS($F$7:H$7),"",INDEX(TableDiv[[GASB]:[GASB]],_xlfn.AGGREGATE(15,3,(TableDiv[[Agency]:[Agency]]=$E146)/(TableDiv[[Agency]:[Agency]]=$E146)*(ROW(TableDiv[Agency])-ROW(TableDiv[[#Headers],[Agency]])),COLUMNS($F$7:H$7))))</f>
        <v/>
      </c>
      <c r="I146" s="2223" t="str" cm="1">
        <f t="array" ref="I146">IF($D146&lt;COLUMNS($F$7:I$7),"",INDEX(TableDiv[[GASB]:[GASB]],_xlfn.AGGREGATE(15,3,(TableDiv[[Agency]:[Agency]]=$E146)/(TableDiv[[Agency]:[Agency]]=$E146)*(ROW(TableDiv[Agency])-ROW(TableDiv[[#Headers],[Agency]])),COLUMNS($F$7:I$7))))</f>
        <v/>
      </c>
      <c r="J146" s="2223" t="str" cm="1">
        <f t="array" ref="J146">IF($D146&lt;COLUMNS($F$7:J$7),"",INDEX(TableDiv[[GASB]:[GASB]],_xlfn.AGGREGATE(15,3,(TableDiv[[Agency]:[Agency]]=$E146)/(TableDiv[[Agency]:[Agency]]=$E146)*(ROW(TableDiv[Agency])-ROW(TableDiv[[#Headers],[Agency]])),COLUMNS($F$7:J$7))))</f>
        <v/>
      </c>
      <c r="K146" s="2223" t="str" cm="1">
        <f t="array" ref="K146">IF($D146&lt;COLUMNS($F$7:K$7),"",INDEX(TableDiv[[GASB]:[GASB]],_xlfn.AGGREGATE(15,3,(TableDiv[[Agency]:[Agency]]=$E146)/(TableDiv[[Agency]:[Agency]]=$E146)*(ROW(TableDiv[Agency])-ROW(TableDiv[[#Headers],[Agency]])),COLUMNS($F$7:K$7))))</f>
        <v/>
      </c>
      <c r="L146" s="2223" t="str" cm="1">
        <f t="array" ref="L146">IF($D146&lt;COLUMNS($F$7:L$7),"",INDEX(TableDiv[[GASB]:[GASB]],_xlfn.AGGREGATE(15,3,(TableDiv[[Agency]:[Agency]]=$E146)/(TableDiv[[Agency]:[Agency]]=$E146)*(ROW(TableDiv[Agency])-ROW(TableDiv[[#Headers],[Agency]])),COLUMNS($F$7:L$7))))</f>
        <v/>
      </c>
      <c r="M146" s="2223" t="str" cm="1">
        <f t="array" ref="M146">IF($D146&lt;COLUMNS($F$7:M$7),"",INDEX(TableDiv[[GASB]:[GASB]],_xlfn.AGGREGATE(15,3,(TableDiv[[Agency]:[Agency]]=$E146)/(TableDiv[[Agency]:[Agency]]=$E146)*(ROW(TableDiv[Agency])-ROW(TableDiv[[#Headers],[Agency]])),COLUMNS($F$7:M$7))))</f>
        <v/>
      </c>
      <c r="N146" s="2223" t="str" cm="1">
        <f t="array" ref="N146">IF($D146&lt;COLUMNS($F$7:N$7),"",INDEX(TableDiv[[GASB]:[GASB]],_xlfn.AGGREGATE(15,3,(TableDiv[[Agency]:[Agency]]=$E146)/(TableDiv[[Agency]:[Agency]]=$E146)*(ROW(TableDiv[Agency])-ROW(TableDiv[[#Headers],[Agency]])),COLUMNS($F$7:N$7))))</f>
        <v/>
      </c>
      <c r="O146" s="2223" t="str" cm="1">
        <f t="array" ref="O146">IF($D146&lt;COLUMNS($F$7:O$7),"",INDEX(TableDiv[[GASB]:[GASB]],_xlfn.AGGREGATE(15,3,(TableDiv[[Agency]:[Agency]]=$E146)/(TableDiv[[Agency]:[Agency]]=$E146)*(ROW(TableDiv[Agency])-ROW(TableDiv[[#Headers],[Agency]])),COLUMNS($F$7:O$7))))</f>
        <v/>
      </c>
      <c r="P146" s="2223" t="str" cm="1">
        <f t="array" ref="P146">IF($D146&lt;COLUMNS($F$7:P$7),"",INDEX(TableDiv[[GASB]:[GASB]],_xlfn.AGGREGATE(15,3,(TableDiv[[Agency]:[Agency]]=$E146)/(TableDiv[[Agency]:[Agency]]=$E146)*(ROW(TableDiv[Agency])-ROW(TableDiv[[#Headers],[Agency]])),COLUMNS($F$7:P$7))))</f>
        <v/>
      </c>
      <c r="Q146" s="2223" t="str" cm="1">
        <f t="array" ref="Q146">IF($D146&lt;COLUMNS($F$7:Q$7),"",INDEX(TableDiv[[GASB]:[GASB]],_xlfn.AGGREGATE(15,3,(TableDiv[[Agency]:[Agency]]=$E146)/(TableDiv[[Agency]:[Agency]]=$E146)*(ROW(TableDiv[Agency])-ROW(TableDiv[[#Headers],[Agency]])),COLUMNS($F$7:Q$7))))</f>
        <v/>
      </c>
      <c r="R146" s="2223" t="str" cm="1">
        <f t="array" ref="R146">IF($D146&lt;COLUMNS($F$7:R$7),"",INDEX(TableDiv[[GASB]:[GASB]],_xlfn.AGGREGATE(15,3,(TableDiv[[Agency]:[Agency]]=$E146)/(TableDiv[[Agency]:[Agency]]=$E146)*(ROW(TableDiv[Agency])-ROW(TableDiv[[#Headers],[Agency]])),COLUMNS($F$7:R$7))))</f>
        <v/>
      </c>
      <c r="S146" s="2223" t="str" cm="1">
        <f t="array" ref="S146">IF($D146&lt;COLUMNS($F$7:S$7),"",INDEX(TableDiv[[GASB]:[GASB]],_xlfn.AGGREGATE(15,3,(TableDiv[[Agency]:[Agency]]=$E146)/(TableDiv[[Agency]:[Agency]]=$E146)*(ROW(TableDiv[Agency])-ROW(TableDiv[[#Headers],[Agency]])),COLUMNS($F$7:S$7))))</f>
        <v/>
      </c>
      <c r="T146" s="2223" t="str" cm="1">
        <f t="array" ref="T146">IF($D146&lt;COLUMNS($F$7:T$7),"",INDEX(TableDiv[[GASB]:[GASB]],_xlfn.AGGREGATE(15,3,(TableDiv[[Agency]:[Agency]]=$E146)/(TableDiv[[Agency]:[Agency]]=$E146)*(ROW(TableDiv[Agency])-ROW(TableDiv[[#Headers],[Agency]])),COLUMNS($F$7:T$7))))</f>
        <v/>
      </c>
      <c r="U146" s="2223" t="str" cm="1">
        <f t="array" ref="U146">IF($D146&lt;COLUMNS($F$7:U$7),"",INDEX(TableDiv[[GASB]:[GASB]],_xlfn.AGGREGATE(15,3,(TableDiv[[Agency]:[Agency]]=$E146)/(TableDiv[[Agency]:[Agency]]=$E146)*(ROW(TableDiv[Agency])-ROW(TableDiv[[#Headers],[Agency]])),COLUMNS($F$7:U$7))))</f>
        <v/>
      </c>
      <c r="V146" s="2223" t="str" cm="1">
        <f t="array" ref="V146">IF($D146&lt;COLUMNS($F$7:V$7),"",INDEX(TableDiv[[GASB]:[GASB]],_xlfn.AGGREGATE(15,3,(TableDiv[[Agency]:[Agency]]=$E146)/(TableDiv[[Agency]:[Agency]]=$E146)*(ROW(TableDiv[Agency])-ROW(TableDiv[[#Headers],[Agency]])),COLUMNS($F$7:V$7))))</f>
        <v/>
      </c>
      <c r="W146" s="2223" t="str" cm="1">
        <f t="array" ref="W146">IF($D146&lt;COLUMNS($F$7:W$7),"",INDEX(TableDiv[[GASB]:[GASB]],_xlfn.AGGREGATE(15,3,(TableDiv[[Agency]:[Agency]]=$E146)/(TableDiv[[Agency]:[Agency]]=$E146)*(ROW(TableDiv[Agency])-ROW(TableDiv[[#Headers],[Agency]])),COLUMNS($F$7:W$7))))</f>
        <v/>
      </c>
      <c r="X146" s="2223" t="str" cm="1">
        <f t="array" ref="X146">IF($D146&lt;COLUMNS($F$7:X$7),"",INDEX(TableDiv[[GASB]:[GASB]],_xlfn.AGGREGATE(15,3,(TableDiv[[Agency]:[Agency]]=$E146)/(TableDiv[[Agency]:[Agency]]=$E146)*(ROW(TableDiv[Agency])-ROW(TableDiv[[#Headers],[Agency]])),COLUMNS($F$7:X$7))))</f>
        <v/>
      </c>
      <c r="Y146" s="2223" t="str" cm="1">
        <f t="array" ref="Y146">IF($D146&lt;COLUMNS($F$7:Y$7),"",INDEX(TableDiv[[GASB]:[GASB]],_xlfn.AGGREGATE(15,3,(TableDiv[[Agency]:[Agency]]=$E146)/(TableDiv[[Agency]:[Agency]]=$E146)*(ROW(TableDiv[Agency])-ROW(TableDiv[[#Headers],[Agency]])),COLUMNS($F$7:Y$7))))</f>
        <v/>
      </c>
      <c r="Z146" s="2223" t="str" cm="1">
        <f t="array" ref="Z146">IF($D146&lt;COLUMNS($F$7:Z$7),"",INDEX(TableDiv[[GASB]:[GASB]],_xlfn.AGGREGATE(15,3,(TableDiv[[Agency]:[Agency]]=$E146)/(TableDiv[[Agency]:[Agency]]=$E146)*(ROW(TableDiv[Agency])-ROW(TableDiv[[#Headers],[Agency]])),COLUMNS($F$7:Z$7))))</f>
        <v/>
      </c>
      <c r="AA146" s="2223" t="str" cm="1">
        <f t="array" ref="AA146">IF($D146&lt;COLUMNS($F$7:AA$7),"",INDEX(TableDiv[[GASB]:[GASB]],_xlfn.AGGREGATE(15,3,(TableDiv[[Agency]:[Agency]]=$E146)/(TableDiv[[Agency]:[Agency]]=$E146)*(ROW(TableDiv[Agency])-ROW(TableDiv[[#Headers],[Agency]])),COLUMNS($F$7:AA$7))))</f>
        <v/>
      </c>
      <c r="AB146" s="2223" t="str" cm="1">
        <f t="array" ref="AB146">IF($D146&lt;COLUMNS($F$7:AB$7),"",INDEX(TableDiv[[GASB]:[GASB]],_xlfn.AGGREGATE(15,3,(TableDiv[[Agency]:[Agency]]=$E146)/(TableDiv[[Agency]:[Agency]]=$E146)*(ROW(TableDiv[Agency])-ROW(TableDiv[[#Headers],[Agency]])),COLUMNS($F$7:AB$7))))</f>
        <v/>
      </c>
      <c r="AC146" s="2223" t="str" cm="1">
        <f t="array" ref="AC146">IF($D146&lt;COLUMNS($F$7:AC$7),"",INDEX(TableDiv[[GASB]:[GASB]],_xlfn.AGGREGATE(15,3,(TableDiv[[Agency]:[Agency]]=$E146)/(TableDiv[[Agency]:[Agency]]=$E146)*(ROW(TableDiv[Agency])-ROW(TableDiv[[#Headers],[Agency]])),COLUMNS($F$7:AC$7))))</f>
        <v/>
      </c>
      <c r="AD146" s="2223" t="str" cm="1">
        <f t="array" ref="AD146">IF($D146&lt;COLUMNS($F$7:AD$7),"",INDEX(TableDiv[[GASB]:[GASB]],_xlfn.AGGREGATE(15,3,(TableDiv[[Agency]:[Agency]]=$E146)/(TableDiv[[Agency]:[Agency]]=$E146)*(ROW(TableDiv[Agency])-ROW(TableDiv[[#Headers],[Agency]])),COLUMNS($F$7:AD$7))))</f>
        <v/>
      </c>
      <c r="AE146" s="2223" t="str" cm="1">
        <f t="array" ref="AE146">IF($D146&lt;COLUMNS($F$7:AE$7),"",INDEX(TableDiv[[GASB]:[GASB]],_xlfn.AGGREGATE(15,3,(TableDiv[[Agency]:[Agency]]=$E146)/(TableDiv[[Agency]:[Agency]]=$E146)*(ROW(TableDiv[Agency])-ROW(TableDiv[[#Headers],[Agency]])),COLUMNS($F$7:AE$7))))</f>
        <v/>
      </c>
      <c r="AF146" s="2223" t="str" cm="1">
        <f t="array" ref="AF146">IF($D146&lt;COLUMNS($F$7:AF$7),"",INDEX(TableDiv[[GASB]:[GASB]],_xlfn.AGGREGATE(15,3,(TableDiv[[Agency]:[Agency]]=$E146)/(TableDiv[[Agency]:[Agency]]=$E146)*(ROW(TableDiv[Agency])-ROW(TableDiv[[#Headers],[Agency]])),COLUMNS($F$7:AF$7))))</f>
        <v/>
      </c>
      <c r="AG146" s="2223" t="str" cm="1">
        <f t="array" ref="AG146">IF($D146&lt;COLUMNS($F$7:AG$7),"",INDEX(TableDiv[[GASB]:[GASB]],_xlfn.AGGREGATE(15,3,(TableDiv[[Agency]:[Agency]]=$E146)/(TableDiv[[Agency]:[Agency]]=$E146)*(ROW(TableDiv[Agency])-ROW(TableDiv[[#Headers],[Agency]])),COLUMNS($F$7:AG$7))))</f>
        <v/>
      </c>
      <c r="AH146" s="2223" t="str" cm="1">
        <f t="array" ref="AH146">IF($D146&lt;COLUMNS($F$7:AH$7),"",INDEX(TableDiv[[GASB]:[GASB]],_xlfn.AGGREGATE(15,3,(TableDiv[[Agency]:[Agency]]=$E146)/(TableDiv[[Agency]:[Agency]]=$E146)*(ROW(TableDiv[Agency])-ROW(TableDiv[[#Headers],[Agency]])),COLUMNS($F$7:AH$7))))</f>
        <v/>
      </c>
      <c r="AI146" s="2223" t="str" cm="1">
        <f t="array" ref="AI146">IF($D146&lt;COLUMNS($F$7:AI$7),"",INDEX(TableDiv[[GASB]:[GASB]],_xlfn.AGGREGATE(15,3,(TableDiv[[Agency]:[Agency]]=$E146)/(TableDiv[[Agency]:[Agency]]=$E146)*(ROW(TableDiv[Agency])-ROW(TableDiv[[#Headers],[Agency]])),COLUMNS($F$7:AI$7))))</f>
        <v/>
      </c>
      <c r="AJ146" s="2223" t="str" cm="1">
        <f t="array" ref="AJ146">IF($D146&lt;COLUMNS($F$7:AJ$7),"",INDEX(TableDiv[[GASB]:[GASB]],_xlfn.AGGREGATE(15,3,(TableDiv[[Agency]:[Agency]]=$E146)/(TableDiv[[Agency]:[Agency]]=$E146)*(ROW(TableDiv[Agency])-ROW(TableDiv[[#Headers],[Agency]])),COLUMNS($F$7:AJ$7))))</f>
        <v/>
      </c>
      <c r="AK146" s="2223" t="str" cm="1">
        <f t="array" ref="AK146">IF($D146&lt;COLUMNS($F$7:AK$7),"",INDEX(TableDiv[[GASB]:[GASB]],_xlfn.AGGREGATE(15,3,(TableDiv[[Agency]:[Agency]]=$E146)/(TableDiv[[Agency]:[Agency]]=$E146)*(ROW(TableDiv[Agency])-ROW(TableDiv[[#Headers],[Agency]])),COLUMNS($F$7:AK$7))))</f>
        <v/>
      </c>
      <c r="AL146" s="2223" t="str" cm="1">
        <f t="array" ref="AL146">IF($D146&lt;COLUMNS($F$7:AL$7),"",INDEX(TableDiv[[GASB]:[GASB]],_xlfn.AGGREGATE(15,3,(TableDiv[[Agency]:[Agency]]=$E146)/(TableDiv[[Agency]:[Agency]]=$E146)*(ROW(TableDiv[Agency])-ROW(TableDiv[[#Headers],[Agency]])),COLUMNS($F$7:AL$7))))</f>
        <v/>
      </c>
      <c r="AM146" s="2223" t="str" cm="1">
        <f t="array" ref="AM146">IF($D146&lt;COLUMNS($F$7:AM$7),"",INDEX(TableDiv[[GASB]:[GASB]],_xlfn.AGGREGATE(15,3,(TableDiv[[Agency]:[Agency]]=$E146)/(TableDiv[[Agency]:[Agency]]=$E146)*(ROW(TableDiv[Agency])-ROW(TableDiv[[#Headers],[Agency]])),COLUMNS($F$7:AM$7))))</f>
        <v/>
      </c>
      <c r="AN146" s="2223"/>
      <c r="AO146" s="2223"/>
      <c r="AP146" s="2223"/>
      <c r="AQ146" s="2223"/>
      <c r="AR146" s="2223"/>
      <c r="AS146" s="2223"/>
    </row>
    <row r="147" spans="1:45" ht="15" x14ac:dyDescent="0.25">
      <c r="A147" s="2219" t="s">
        <v>5110</v>
      </c>
      <c r="B147" s="2219" t="s">
        <v>6402</v>
      </c>
      <c r="C147" s="2223"/>
      <c r="D147" s="2223">
        <f>COUNTIF(TableDiv[Agency],E147)</f>
        <v>1</v>
      </c>
      <c r="E147" s="2230" t="str" cm="1">
        <f t="array" ref="E147">IFERROR(INDEX(TableDiv[Agency],MATCH(0,INDEX(COUNTIF($E$7:E146,TableDiv[Agency]),),0)),"")</f>
        <v>CA</v>
      </c>
      <c r="F147" s="2223" t="str" cm="1">
        <f t="array" ref="F147">IF($D147&lt;COLUMNS($F$7:F$7),"",INDEX(TableDiv[[GASB]:[GASB]],_xlfn.AGGREGATE(15,3,(TableDiv[[Agency]:[Agency]]=$E147)/(TableDiv[[Agency]:[Agency]]=$E147)*(ROW(TableDiv[Agency])-ROW(TableDiv[[#Headers],[Agency]])),COLUMNS($F$7:F$7))))</f>
        <v>48100G</v>
      </c>
      <c r="G147" s="2223" t="str" cm="1">
        <f t="array" ref="G147">IF($D147&lt;COLUMNS($F$7:G$7),"",INDEX(TableDiv[[GASB]:[GASB]],_xlfn.AGGREGATE(15,3,(TableDiv[[Agency]:[Agency]]=$E147)/(TableDiv[[Agency]:[Agency]]=$E147)*(ROW(TableDiv[Agency])-ROW(TableDiv[[#Headers],[Agency]])),COLUMNS($F$7:G$7))))</f>
        <v/>
      </c>
      <c r="H147" s="2223" t="str" cm="1">
        <f t="array" ref="H147">IF($D147&lt;COLUMNS($F$7:H$7),"",INDEX(TableDiv[[GASB]:[GASB]],_xlfn.AGGREGATE(15,3,(TableDiv[[Agency]:[Agency]]=$E147)/(TableDiv[[Agency]:[Agency]]=$E147)*(ROW(TableDiv[Agency])-ROW(TableDiv[[#Headers],[Agency]])),COLUMNS($F$7:H$7))))</f>
        <v/>
      </c>
      <c r="I147" s="2223" t="str" cm="1">
        <f t="array" ref="I147">IF($D147&lt;COLUMNS($F$7:I$7),"",INDEX(TableDiv[[GASB]:[GASB]],_xlfn.AGGREGATE(15,3,(TableDiv[[Agency]:[Agency]]=$E147)/(TableDiv[[Agency]:[Agency]]=$E147)*(ROW(TableDiv[Agency])-ROW(TableDiv[[#Headers],[Agency]])),COLUMNS($F$7:I$7))))</f>
        <v/>
      </c>
      <c r="J147" s="2223" t="str" cm="1">
        <f t="array" ref="J147">IF($D147&lt;COLUMNS($F$7:J$7),"",INDEX(TableDiv[[GASB]:[GASB]],_xlfn.AGGREGATE(15,3,(TableDiv[[Agency]:[Agency]]=$E147)/(TableDiv[[Agency]:[Agency]]=$E147)*(ROW(TableDiv[Agency])-ROW(TableDiv[[#Headers],[Agency]])),COLUMNS($F$7:J$7))))</f>
        <v/>
      </c>
      <c r="K147" s="2223" t="str" cm="1">
        <f t="array" ref="K147">IF($D147&lt;COLUMNS($F$7:K$7),"",INDEX(TableDiv[[GASB]:[GASB]],_xlfn.AGGREGATE(15,3,(TableDiv[[Agency]:[Agency]]=$E147)/(TableDiv[[Agency]:[Agency]]=$E147)*(ROW(TableDiv[Agency])-ROW(TableDiv[[#Headers],[Agency]])),COLUMNS($F$7:K$7))))</f>
        <v/>
      </c>
      <c r="L147" s="2223" t="str" cm="1">
        <f t="array" ref="L147">IF($D147&lt;COLUMNS($F$7:L$7),"",INDEX(TableDiv[[GASB]:[GASB]],_xlfn.AGGREGATE(15,3,(TableDiv[[Agency]:[Agency]]=$E147)/(TableDiv[[Agency]:[Agency]]=$E147)*(ROW(TableDiv[Agency])-ROW(TableDiv[[#Headers],[Agency]])),COLUMNS($F$7:L$7))))</f>
        <v/>
      </c>
      <c r="M147" s="2223" t="str" cm="1">
        <f t="array" ref="M147">IF($D147&lt;COLUMNS($F$7:M$7),"",INDEX(TableDiv[[GASB]:[GASB]],_xlfn.AGGREGATE(15,3,(TableDiv[[Agency]:[Agency]]=$E147)/(TableDiv[[Agency]:[Agency]]=$E147)*(ROW(TableDiv[Agency])-ROW(TableDiv[[#Headers],[Agency]])),COLUMNS($F$7:M$7))))</f>
        <v/>
      </c>
      <c r="N147" s="2223" t="str" cm="1">
        <f t="array" ref="N147">IF($D147&lt;COLUMNS($F$7:N$7),"",INDEX(TableDiv[[GASB]:[GASB]],_xlfn.AGGREGATE(15,3,(TableDiv[[Agency]:[Agency]]=$E147)/(TableDiv[[Agency]:[Agency]]=$E147)*(ROW(TableDiv[Agency])-ROW(TableDiv[[#Headers],[Agency]])),COLUMNS($F$7:N$7))))</f>
        <v/>
      </c>
      <c r="O147" s="2223" t="str" cm="1">
        <f t="array" ref="O147">IF($D147&lt;COLUMNS($F$7:O$7),"",INDEX(TableDiv[[GASB]:[GASB]],_xlfn.AGGREGATE(15,3,(TableDiv[[Agency]:[Agency]]=$E147)/(TableDiv[[Agency]:[Agency]]=$E147)*(ROW(TableDiv[Agency])-ROW(TableDiv[[#Headers],[Agency]])),COLUMNS($F$7:O$7))))</f>
        <v/>
      </c>
      <c r="P147" s="2223" t="str" cm="1">
        <f t="array" ref="P147">IF($D147&lt;COLUMNS($F$7:P$7),"",INDEX(TableDiv[[GASB]:[GASB]],_xlfn.AGGREGATE(15,3,(TableDiv[[Agency]:[Agency]]=$E147)/(TableDiv[[Agency]:[Agency]]=$E147)*(ROW(TableDiv[Agency])-ROW(TableDiv[[#Headers],[Agency]])),COLUMNS($F$7:P$7))))</f>
        <v/>
      </c>
      <c r="Q147" s="2223" t="str" cm="1">
        <f t="array" ref="Q147">IF($D147&lt;COLUMNS($F$7:Q$7),"",INDEX(TableDiv[[GASB]:[GASB]],_xlfn.AGGREGATE(15,3,(TableDiv[[Agency]:[Agency]]=$E147)/(TableDiv[[Agency]:[Agency]]=$E147)*(ROW(TableDiv[Agency])-ROW(TableDiv[[#Headers],[Agency]])),COLUMNS($F$7:Q$7))))</f>
        <v/>
      </c>
      <c r="R147" s="2223" t="str" cm="1">
        <f t="array" ref="R147">IF($D147&lt;COLUMNS($F$7:R$7),"",INDEX(TableDiv[[GASB]:[GASB]],_xlfn.AGGREGATE(15,3,(TableDiv[[Agency]:[Agency]]=$E147)/(TableDiv[[Agency]:[Agency]]=$E147)*(ROW(TableDiv[Agency])-ROW(TableDiv[[#Headers],[Agency]])),COLUMNS($F$7:R$7))))</f>
        <v/>
      </c>
      <c r="S147" s="2223" t="str" cm="1">
        <f t="array" ref="S147">IF($D147&lt;COLUMNS($F$7:S$7),"",INDEX(TableDiv[[GASB]:[GASB]],_xlfn.AGGREGATE(15,3,(TableDiv[[Agency]:[Agency]]=$E147)/(TableDiv[[Agency]:[Agency]]=$E147)*(ROW(TableDiv[Agency])-ROW(TableDiv[[#Headers],[Agency]])),COLUMNS($F$7:S$7))))</f>
        <v/>
      </c>
      <c r="T147" s="2223" t="str" cm="1">
        <f t="array" ref="T147">IF($D147&lt;COLUMNS($F$7:T$7),"",INDEX(TableDiv[[GASB]:[GASB]],_xlfn.AGGREGATE(15,3,(TableDiv[[Agency]:[Agency]]=$E147)/(TableDiv[[Agency]:[Agency]]=$E147)*(ROW(TableDiv[Agency])-ROW(TableDiv[[#Headers],[Agency]])),COLUMNS($F$7:T$7))))</f>
        <v/>
      </c>
      <c r="U147" s="2223" t="str" cm="1">
        <f t="array" ref="U147">IF($D147&lt;COLUMNS($F$7:U$7),"",INDEX(TableDiv[[GASB]:[GASB]],_xlfn.AGGREGATE(15,3,(TableDiv[[Agency]:[Agency]]=$E147)/(TableDiv[[Agency]:[Agency]]=$E147)*(ROW(TableDiv[Agency])-ROW(TableDiv[[#Headers],[Agency]])),COLUMNS($F$7:U$7))))</f>
        <v/>
      </c>
      <c r="V147" s="2223" t="str" cm="1">
        <f t="array" ref="V147">IF($D147&lt;COLUMNS($F$7:V$7),"",INDEX(TableDiv[[GASB]:[GASB]],_xlfn.AGGREGATE(15,3,(TableDiv[[Agency]:[Agency]]=$E147)/(TableDiv[[Agency]:[Agency]]=$E147)*(ROW(TableDiv[Agency])-ROW(TableDiv[[#Headers],[Agency]])),COLUMNS($F$7:V$7))))</f>
        <v/>
      </c>
      <c r="W147" s="2223" t="str" cm="1">
        <f t="array" ref="W147">IF($D147&lt;COLUMNS($F$7:W$7),"",INDEX(TableDiv[[GASB]:[GASB]],_xlfn.AGGREGATE(15,3,(TableDiv[[Agency]:[Agency]]=$E147)/(TableDiv[[Agency]:[Agency]]=$E147)*(ROW(TableDiv[Agency])-ROW(TableDiv[[#Headers],[Agency]])),COLUMNS($F$7:W$7))))</f>
        <v/>
      </c>
      <c r="X147" s="2223" t="str" cm="1">
        <f t="array" ref="X147">IF($D147&lt;COLUMNS($F$7:X$7),"",INDEX(TableDiv[[GASB]:[GASB]],_xlfn.AGGREGATE(15,3,(TableDiv[[Agency]:[Agency]]=$E147)/(TableDiv[[Agency]:[Agency]]=$E147)*(ROW(TableDiv[Agency])-ROW(TableDiv[[#Headers],[Agency]])),COLUMNS($F$7:X$7))))</f>
        <v/>
      </c>
      <c r="Y147" s="2223" t="str" cm="1">
        <f t="array" ref="Y147">IF($D147&lt;COLUMNS($F$7:Y$7),"",INDEX(TableDiv[[GASB]:[GASB]],_xlfn.AGGREGATE(15,3,(TableDiv[[Agency]:[Agency]]=$E147)/(TableDiv[[Agency]:[Agency]]=$E147)*(ROW(TableDiv[Agency])-ROW(TableDiv[[#Headers],[Agency]])),COLUMNS($F$7:Y$7))))</f>
        <v/>
      </c>
      <c r="Z147" s="2223" t="str" cm="1">
        <f t="array" ref="Z147">IF($D147&lt;COLUMNS($F$7:Z$7),"",INDEX(TableDiv[[GASB]:[GASB]],_xlfn.AGGREGATE(15,3,(TableDiv[[Agency]:[Agency]]=$E147)/(TableDiv[[Agency]:[Agency]]=$E147)*(ROW(TableDiv[Agency])-ROW(TableDiv[[#Headers],[Agency]])),COLUMNS($F$7:Z$7))))</f>
        <v/>
      </c>
      <c r="AA147" s="2223" t="str" cm="1">
        <f t="array" ref="AA147">IF($D147&lt;COLUMNS($F$7:AA$7),"",INDEX(TableDiv[[GASB]:[GASB]],_xlfn.AGGREGATE(15,3,(TableDiv[[Agency]:[Agency]]=$E147)/(TableDiv[[Agency]:[Agency]]=$E147)*(ROW(TableDiv[Agency])-ROW(TableDiv[[#Headers],[Agency]])),COLUMNS($F$7:AA$7))))</f>
        <v/>
      </c>
      <c r="AB147" s="2223" t="str" cm="1">
        <f t="array" ref="AB147">IF($D147&lt;COLUMNS($F$7:AB$7),"",INDEX(TableDiv[[GASB]:[GASB]],_xlfn.AGGREGATE(15,3,(TableDiv[[Agency]:[Agency]]=$E147)/(TableDiv[[Agency]:[Agency]]=$E147)*(ROW(TableDiv[Agency])-ROW(TableDiv[[#Headers],[Agency]])),COLUMNS($F$7:AB$7))))</f>
        <v/>
      </c>
      <c r="AC147" s="2223" t="str" cm="1">
        <f t="array" ref="AC147">IF($D147&lt;COLUMNS($F$7:AC$7),"",INDEX(TableDiv[[GASB]:[GASB]],_xlfn.AGGREGATE(15,3,(TableDiv[[Agency]:[Agency]]=$E147)/(TableDiv[[Agency]:[Agency]]=$E147)*(ROW(TableDiv[Agency])-ROW(TableDiv[[#Headers],[Agency]])),COLUMNS($F$7:AC$7))))</f>
        <v/>
      </c>
      <c r="AD147" s="2223" t="str" cm="1">
        <f t="array" ref="AD147">IF($D147&lt;COLUMNS($F$7:AD$7),"",INDEX(TableDiv[[GASB]:[GASB]],_xlfn.AGGREGATE(15,3,(TableDiv[[Agency]:[Agency]]=$E147)/(TableDiv[[Agency]:[Agency]]=$E147)*(ROW(TableDiv[Agency])-ROW(TableDiv[[#Headers],[Agency]])),COLUMNS($F$7:AD$7))))</f>
        <v/>
      </c>
      <c r="AE147" s="2223" t="str" cm="1">
        <f t="array" ref="AE147">IF($D147&lt;COLUMNS($F$7:AE$7),"",INDEX(TableDiv[[GASB]:[GASB]],_xlfn.AGGREGATE(15,3,(TableDiv[[Agency]:[Agency]]=$E147)/(TableDiv[[Agency]:[Agency]]=$E147)*(ROW(TableDiv[Agency])-ROW(TableDiv[[#Headers],[Agency]])),COLUMNS($F$7:AE$7))))</f>
        <v/>
      </c>
      <c r="AF147" s="2223" t="str" cm="1">
        <f t="array" ref="AF147">IF($D147&lt;COLUMNS($F$7:AF$7),"",INDEX(TableDiv[[GASB]:[GASB]],_xlfn.AGGREGATE(15,3,(TableDiv[[Agency]:[Agency]]=$E147)/(TableDiv[[Agency]:[Agency]]=$E147)*(ROW(TableDiv[Agency])-ROW(TableDiv[[#Headers],[Agency]])),COLUMNS($F$7:AF$7))))</f>
        <v/>
      </c>
      <c r="AG147" s="2223" t="str" cm="1">
        <f t="array" ref="AG147">IF($D147&lt;COLUMNS($F$7:AG$7),"",INDEX(TableDiv[[GASB]:[GASB]],_xlfn.AGGREGATE(15,3,(TableDiv[[Agency]:[Agency]]=$E147)/(TableDiv[[Agency]:[Agency]]=$E147)*(ROW(TableDiv[Agency])-ROW(TableDiv[[#Headers],[Agency]])),COLUMNS($F$7:AG$7))))</f>
        <v/>
      </c>
      <c r="AH147" s="2223" t="str" cm="1">
        <f t="array" ref="AH147">IF($D147&lt;COLUMNS($F$7:AH$7),"",INDEX(TableDiv[[GASB]:[GASB]],_xlfn.AGGREGATE(15,3,(TableDiv[[Agency]:[Agency]]=$E147)/(TableDiv[[Agency]:[Agency]]=$E147)*(ROW(TableDiv[Agency])-ROW(TableDiv[[#Headers],[Agency]])),COLUMNS($F$7:AH$7))))</f>
        <v/>
      </c>
      <c r="AI147" s="2223" t="str" cm="1">
        <f t="array" ref="AI147">IF($D147&lt;COLUMNS($F$7:AI$7),"",INDEX(TableDiv[[GASB]:[GASB]],_xlfn.AGGREGATE(15,3,(TableDiv[[Agency]:[Agency]]=$E147)/(TableDiv[[Agency]:[Agency]]=$E147)*(ROW(TableDiv[Agency])-ROW(TableDiv[[#Headers],[Agency]])),COLUMNS($F$7:AI$7))))</f>
        <v/>
      </c>
      <c r="AJ147" s="2223" t="str" cm="1">
        <f t="array" ref="AJ147">IF($D147&lt;COLUMNS($F$7:AJ$7),"",INDEX(TableDiv[[GASB]:[GASB]],_xlfn.AGGREGATE(15,3,(TableDiv[[Agency]:[Agency]]=$E147)/(TableDiv[[Agency]:[Agency]]=$E147)*(ROW(TableDiv[Agency])-ROW(TableDiv[[#Headers],[Agency]])),COLUMNS($F$7:AJ$7))))</f>
        <v/>
      </c>
      <c r="AK147" s="2223" t="str" cm="1">
        <f t="array" ref="AK147">IF($D147&lt;COLUMNS($F$7:AK$7),"",INDEX(TableDiv[[GASB]:[GASB]],_xlfn.AGGREGATE(15,3,(TableDiv[[Agency]:[Agency]]=$E147)/(TableDiv[[Agency]:[Agency]]=$E147)*(ROW(TableDiv[Agency])-ROW(TableDiv[[#Headers],[Agency]])),COLUMNS($F$7:AK$7))))</f>
        <v/>
      </c>
      <c r="AL147" s="2223" t="str" cm="1">
        <f t="array" ref="AL147">IF($D147&lt;COLUMNS($F$7:AL$7),"",INDEX(TableDiv[[GASB]:[GASB]],_xlfn.AGGREGATE(15,3,(TableDiv[[Agency]:[Agency]]=$E147)/(TableDiv[[Agency]:[Agency]]=$E147)*(ROW(TableDiv[Agency])-ROW(TableDiv[[#Headers],[Agency]])),COLUMNS($F$7:AL$7))))</f>
        <v/>
      </c>
      <c r="AM147" s="2223" t="str" cm="1">
        <f t="array" ref="AM147">IF($D147&lt;COLUMNS($F$7:AM$7),"",INDEX(TableDiv[[GASB]:[GASB]],_xlfn.AGGREGATE(15,3,(TableDiv[[Agency]:[Agency]]=$E147)/(TableDiv[[Agency]:[Agency]]=$E147)*(ROW(TableDiv[Agency])-ROW(TableDiv[[#Headers],[Agency]])),COLUMNS($F$7:AM$7))))</f>
        <v/>
      </c>
      <c r="AN147" s="2223"/>
      <c r="AO147" s="2223"/>
      <c r="AP147" s="2223"/>
      <c r="AQ147" s="2223"/>
      <c r="AR147" s="2223"/>
      <c r="AS147" s="2223"/>
    </row>
    <row r="148" spans="1:45" ht="15" x14ac:dyDescent="0.25">
      <c r="A148" s="2219" t="s">
        <v>5110</v>
      </c>
      <c r="B148" s="2219" t="s">
        <v>6435</v>
      </c>
      <c r="C148" s="2223"/>
      <c r="D148" s="2223">
        <f>COUNTIF(TableDiv[Agency],E148)</f>
        <v>1</v>
      </c>
      <c r="E148" s="2230" t="str" cm="1">
        <f t="array" ref="E148">IFERROR(INDEX(TableDiv[Agency],MATCH(0,INDEX(COUNTIF($E$7:E147,TableDiv[Agency]),),0)),"")</f>
        <v>CB</v>
      </c>
      <c r="F148" s="2223" t="str" cm="1">
        <f t="array" ref="F148">IF($D148&lt;COLUMNS($F$7:F$7),"",INDEX(TableDiv[[GASB]:[GASB]],_xlfn.AGGREGATE(15,3,(TableDiv[[Agency]:[Agency]]=$E148)/(TableDiv[[Agency]:[Agency]]=$E148)*(ROW(TableDiv[Agency])-ROW(TableDiv[[#Headers],[Agency]])),COLUMNS($F$7:F$7))))</f>
        <v>48100G</v>
      </c>
      <c r="G148" s="2223" t="str" cm="1">
        <f t="array" ref="G148">IF($D148&lt;COLUMNS($F$7:G$7),"",INDEX(TableDiv[[GASB]:[GASB]],_xlfn.AGGREGATE(15,3,(TableDiv[[Agency]:[Agency]]=$E148)/(TableDiv[[Agency]:[Agency]]=$E148)*(ROW(TableDiv[Agency])-ROW(TableDiv[[#Headers],[Agency]])),COLUMNS($F$7:G$7))))</f>
        <v/>
      </c>
      <c r="H148" s="2223" t="str" cm="1">
        <f t="array" ref="H148">IF($D148&lt;COLUMNS($F$7:H$7),"",INDEX(TableDiv[[GASB]:[GASB]],_xlfn.AGGREGATE(15,3,(TableDiv[[Agency]:[Agency]]=$E148)/(TableDiv[[Agency]:[Agency]]=$E148)*(ROW(TableDiv[Agency])-ROW(TableDiv[[#Headers],[Agency]])),COLUMNS($F$7:H$7))))</f>
        <v/>
      </c>
      <c r="I148" s="2223" t="str" cm="1">
        <f t="array" ref="I148">IF($D148&lt;COLUMNS($F$7:I$7),"",INDEX(TableDiv[[GASB]:[GASB]],_xlfn.AGGREGATE(15,3,(TableDiv[[Agency]:[Agency]]=$E148)/(TableDiv[[Agency]:[Agency]]=$E148)*(ROW(TableDiv[Agency])-ROW(TableDiv[[#Headers],[Agency]])),COLUMNS($F$7:I$7))))</f>
        <v/>
      </c>
      <c r="J148" s="2223" t="str" cm="1">
        <f t="array" ref="J148">IF($D148&lt;COLUMNS($F$7:J$7),"",INDEX(TableDiv[[GASB]:[GASB]],_xlfn.AGGREGATE(15,3,(TableDiv[[Agency]:[Agency]]=$E148)/(TableDiv[[Agency]:[Agency]]=$E148)*(ROW(TableDiv[Agency])-ROW(TableDiv[[#Headers],[Agency]])),COLUMNS($F$7:J$7))))</f>
        <v/>
      </c>
      <c r="K148" s="2223" t="str" cm="1">
        <f t="array" ref="K148">IF($D148&lt;COLUMNS($F$7:K$7),"",INDEX(TableDiv[[GASB]:[GASB]],_xlfn.AGGREGATE(15,3,(TableDiv[[Agency]:[Agency]]=$E148)/(TableDiv[[Agency]:[Agency]]=$E148)*(ROW(TableDiv[Agency])-ROW(TableDiv[[#Headers],[Agency]])),COLUMNS($F$7:K$7))))</f>
        <v/>
      </c>
      <c r="L148" s="2223" t="str" cm="1">
        <f t="array" ref="L148">IF($D148&lt;COLUMNS($F$7:L$7),"",INDEX(TableDiv[[GASB]:[GASB]],_xlfn.AGGREGATE(15,3,(TableDiv[[Agency]:[Agency]]=$E148)/(TableDiv[[Agency]:[Agency]]=$E148)*(ROW(TableDiv[Agency])-ROW(TableDiv[[#Headers],[Agency]])),COLUMNS($F$7:L$7))))</f>
        <v/>
      </c>
      <c r="M148" s="2223" t="str" cm="1">
        <f t="array" ref="M148">IF($D148&lt;COLUMNS($F$7:M$7),"",INDEX(TableDiv[[GASB]:[GASB]],_xlfn.AGGREGATE(15,3,(TableDiv[[Agency]:[Agency]]=$E148)/(TableDiv[[Agency]:[Agency]]=$E148)*(ROW(TableDiv[Agency])-ROW(TableDiv[[#Headers],[Agency]])),COLUMNS($F$7:M$7))))</f>
        <v/>
      </c>
      <c r="N148" s="2223" t="str" cm="1">
        <f t="array" ref="N148">IF($D148&lt;COLUMNS($F$7:N$7),"",INDEX(TableDiv[[GASB]:[GASB]],_xlfn.AGGREGATE(15,3,(TableDiv[[Agency]:[Agency]]=$E148)/(TableDiv[[Agency]:[Agency]]=$E148)*(ROW(TableDiv[Agency])-ROW(TableDiv[[#Headers],[Agency]])),COLUMNS($F$7:N$7))))</f>
        <v/>
      </c>
      <c r="O148" s="2223" t="str" cm="1">
        <f t="array" ref="O148">IF($D148&lt;COLUMNS($F$7:O$7),"",INDEX(TableDiv[[GASB]:[GASB]],_xlfn.AGGREGATE(15,3,(TableDiv[[Agency]:[Agency]]=$E148)/(TableDiv[[Agency]:[Agency]]=$E148)*(ROW(TableDiv[Agency])-ROW(TableDiv[[#Headers],[Agency]])),COLUMNS($F$7:O$7))))</f>
        <v/>
      </c>
      <c r="P148" s="2223" t="str" cm="1">
        <f t="array" ref="P148">IF($D148&lt;COLUMNS($F$7:P$7),"",INDEX(TableDiv[[GASB]:[GASB]],_xlfn.AGGREGATE(15,3,(TableDiv[[Agency]:[Agency]]=$E148)/(TableDiv[[Agency]:[Agency]]=$E148)*(ROW(TableDiv[Agency])-ROW(TableDiv[[#Headers],[Agency]])),COLUMNS($F$7:P$7))))</f>
        <v/>
      </c>
      <c r="Q148" s="2223" t="str" cm="1">
        <f t="array" ref="Q148">IF($D148&lt;COLUMNS($F$7:Q$7),"",INDEX(TableDiv[[GASB]:[GASB]],_xlfn.AGGREGATE(15,3,(TableDiv[[Agency]:[Agency]]=$E148)/(TableDiv[[Agency]:[Agency]]=$E148)*(ROW(TableDiv[Agency])-ROW(TableDiv[[#Headers],[Agency]])),COLUMNS($F$7:Q$7))))</f>
        <v/>
      </c>
      <c r="R148" s="2223" t="str" cm="1">
        <f t="array" ref="R148">IF($D148&lt;COLUMNS($F$7:R$7),"",INDEX(TableDiv[[GASB]:[GASB]],_xlfn.AGGREGATE(15,3,(TableDiv[[Agency]:[Agency]]=$E148)/(TableDiv[[Agency]:[Agency]]=$E148)*(ROW(TableDiv[Agency])-ROW(TableDiv[[#Headers],[Agency]])),COLUMNS($F$7:R$7))))</f>
        <v/>
      </c>
      <c r="S148" s="2223" t="str" cm="1">
        <f t="array" ref="S148">IF($D148&lt;COLUMNS($F$7:S$7),"",INDEX(TableDiv[[GASB]:[GASB]],_xlfn.AGGREGATE(15,3,(TableDiv[[Agency]:[Agency]]=$E148)/(TableDiv[[Agency]:[Agency]]=$E148)*(ROW(TableDiv[Agency])-ROW(TableDiv[[#Headers],[Agency]])),COLUMNS($F$7:S$7))))</f>
        <v/>
      </c>
      <c r="T148" s="2223" t="str" cm="1">
        <f t="array" ref="T148">IF($D148&lt;COLUMNS($F$7:T$7),"",INDEX(TableDiv[[GASB]:[GASB]],_xlfn.AGGREGATE(15,3,(TableDiv[[Agency]:[Agency]]=$E148)/(TableDiv[[Agency]:[Agency]]=$E148)*(ROW(TableDiv[Agency])-ROW(TableDiv[[#Headers],[Agency]])),COLUMNS($F$7:T$7))))</f>
        <v/>
      </c>
      <c r="U148" s="2223" t="str" cm="1">
        <f t="array" ref="U148">IF($D148&lt;COLUMNS($F$7:U$7),"",INDEX(TableDiv[[GASB]:[GASB]],_xlfn.AGGREGATE(15,3,(TableDiv[[Agency]:[Agency]]=$E148)/(TableDiv[[Agency]:[Agency]]=$E148)*(ROW(TableDiv[Agency])-ROW(TableDiv[[#Headers],[Agency]])),COLUMNS($F$7:U$7))))</f>
        <v/>
      </c>
      <c r="V148" s="2223" t="str" cm="1">
        <f t="array" ref="V148">IF($D148&lt;COLUMNS($F$7:V$7),"",INDEX(TableDiv[[GASB]:[GASB]],_xlfn.AGGREGATE(15,3,(TableDiv[[Agency]:[Agency]]=$E148)/(TableDiv[[Agency]:[Agency]]=$E148)*(ROW(TableDiv[Agency])-ROW(TableDiv[[#Headers],[Agency]])),COLUMNS($F$7:V$7))))</f>
        <v/>
      </c>
      <c r="W148" s="2223" t="str" cm="1">
        <f t="array" ref="W148">IF($D148&lt;COLUMNS($F$7:W$7),"",INDEX(TableDiv[[GASB]:[GASB]],_xlfn.AGGREGATE(15,3,(TableDiv[[Agency]:[Agency]]=$E148)/(TableDiv[[Agency]:[Agency]]=$E148)*(ROW(TableDiv[Agency])-ROW(TableDiv[[#Headers],[Agency]])),COLUMNS($F$7:W$7))))</f>
        <v/>
      </c>
      <c r="X148" s="2223" t="str" cm="1">
        <f t="array" ref="X148">IF($D148&lt;COLUMNS($F$7:X$7),"",INDEX(TableDiv[[GASB]:[GASB]],_xlfn.AGGREGATE(15,3,(TableDiv[[Agency]:[Agency]]=$E148)/(TableDiv[[Agency]:[Agency]]=$E148)*(ROW(TableDiv[Agency])-ROW(TableDiv[[#Headers],[Agency]])),COLUMNS($F$7:X$7))))</f>
        <v/>
      </c>
      <c r="Y148" s="2223" t="str" cm="1">
        <f t="array" ref="Y148">IF($D148&lt;COLUMNS($F$7:Y$7),"",INDEX(TableDiv[[GASB]:[GASB]],_xlfn.AGGREGATE(15,3,(TableDiv[[Agency]:[Agency]]=$E148)/(TableDiv[[Agency]:[Agency]]=$E148)*(ROW(TableDiv[Agency])-ROW(TableDiv[[#Headers],[Agency]])),COLUMNS($F$7:Y$7))))</f>
        <v/>
      </c>
      <c r="Z148" s="2223" t="str" cm="1">
        <f t="array" ref="Z148">IF($D148&lt;COLUMNS($F$7:Z$7),"",INDEX(TableDiv[[GASB]:[GASB]],_xlfn.AGGREGATE(15,3,(TableDiv[[Agency]:[Agency]]=$E148)/(TableDiv[[Agency]:[Agency]]=$E148)*(ROW(TableDiv[Agency])-ROW(TableDiv[[#Headers],[Agency]])),COLUMNS($F$7:Z$7))))</f>
        <v/>
      </c>
      <c r="AA148" s="2223" t="str" cm="1">
        <f t="array" ref="AA148">IF($D148&lt;COLUMNS($F$7:AA$7),"",INDEX(TableDiv[[GASB]:[GASB]],_xlfn.AGGREGATE(15,3,(TableDiv[[Agency]:[Agency]]=$E148)/(TableDiv[[Agency]:[Agency]]=$E148)*(ROW(TableDiv[Agency])-ROW(TableDiv[[#Headers],[Agency]])),COLUMNS($F$7:AA$7))))</f>
        <v/>
      </c>
      <c r="AB148" s="2223" t="str" cm="1">
        <f t="array" ref="AB148">IF($D148&lt;COLUMNS($F$7:AB$7),"",INDEX(TableDiv[[GASB]:[GASB]],_xlfn.AGGREGATE(15,3,(TableDiv[[Agency]:[Agency]]=$E148)/(TableDiv[[Agency]:[Agency]]=$E148)*(ROW(TableDiv[Agency])-ROW(TableDiv[[#Headers],[Agency]])),COLUMNS($F$7:AB$7))))</f>
        <v/>
      </c>
      <c r="AC148" s="2223" t="str" cm="1">
        <f t="array" ref="AC148">IF($D148&lt;COLUMNS($F$7:AC$7),"",INDEX(TableDiv[[GASB]:[GASB]],_xlfn.AGGREGATE(15,3,(TableDiv[[Agency]:[Agency]]=$E148)/(TableDiv[[Agency]:[Agency]]=$E148)*(ROW(TableDiv[Agency])-ROW(TableDiv[[#Headers],[Agency]])),COLUMNS($F$7:AC$7))))</f>
        <v/>
      </c>
      <c r="AD148" s="2223" t="str" cm="1">
        <f t="array" ref="AD148">IF($D148&lt;COLUMNS($F$7:AD$7),"",INDEX(TableDiv[[GASB]:[GASB]],_xlfn.AGGREGATE(15,3,(TableDiv[[Agency]:[Agency]]=$E148)/(TableDiv[[Agency]:[Agency]]=$E148)*(ROW(TableDiv[Agency])-ROW(TableDiv[[#Headers],[Agency]])),COLUMNS($F$7:AD$7))))</f>
        <v/>
      </c>
      <c r="AE148" s="2223" t="str" cm="1">
        <f t="array" ref="AE148">IF($D148&lt;COLUMNS($F$7:AE$7),"",INDEX(TableDiv[[GASB]:[GASB]],_xlfn.AGGREGATE(15,3,(TableDiv[[Agency]:[Agency]]=$E148)/(TableDiv[[Agency]:[Agency]]=$E148)*(ROW(TableDiv[Agency])-ROW(TableDiv[[#Headers],[Agency]])),COLUMNS($F$7:AE$7))))</f>
        <v/>
      </c>
      <c r="AF148" s="2223" t="str" cm="1">
        <f t="array" ref="AF148">IF($D148&lt;COLUMNS($F$7:AF$7),"",INDEX(TableDiv[[GASB]:[GASB]],_xlfn.AGGREGATE(15,3,(TableDiv[[Agency]:[Agency]]=$E148)/(TableDiv[[Agency]:[Agency]]=$E148)*(ROW(TableDiv[Agency])-ROW(TableDiv[[#Headers],[Agency]])),COLUMNS($F$7:AF$7))))</f>
        <v/>
      </c>
      <c r="AG148" s="2223" t="str" cm="1">
        <f t="array" ref="AG148">IF($D148&lt;COLUMNS($F$7:AG$7),"",INDEX(TableDiv[[GASB]:[GASB]],_xlfn.AGGREGATE(15,3,(TableDiv[[Agency]:[Agency]]=$E148)/(TableDiv[[Agency]:[Agency]]=$E148)*(ROW(TableDiv[Agency])-ROW(TableDiv[[#Headers],[Agency]])),COLUMNS($F$7:AG$7))))</f>
        <v/>
      </c>
      <c r="AH148" s="2223" t="str" cm="1">
        <f t="array" ref="AH148">IF($D148&lt;COLUMNS($F$7:AH$7),"",INDEX(TableDiv[[GASB]:[GASB]],_xlfn.AGGREGATE(15,3,(TableDiv[[Agency]:[Agency]]=$E148)/(TableDiv[[Agency]:[Agency]]=$E148)*(ROW(TableDiv[Agency])-ROW(TableDiv[[#Headers],[Agency]])),COLUMNS($F$7:AH$7))))</f>
        <v/>
      </c>
      <c r="AI148" s="2223" t="str" cm="1">
        <f t="array" ref="AI148">IF($D148&lt;COLUMNS($F$7:AI$7),"",INDEX(TableDiv[[GASB]:[GASB]],_xlfn.AGGREGATE(15,3,(TableDiv[[Agency]:[Agency]]=$E148)/(TableDiv[[Agency]:[Agency]]=$E148)*(ROW(TableDiv[Agency])-ROW(TableDiv[[#Headers],[Agency]])),COLUMNS($F$7:AI$7))))</f>
        <v/>
      </c>
      <c r="AJ148" s="2223" t="str" cm="1">
        <f t="array" ref="AJ148">IF($D148&lt;COLUMNS($F$7:AJ$7),"",INDEX(TableDiv[[GASB]:[GASB]],_xlfn.AGGREGATE(15,3,(TableDiv[[Agency]:[Agency]]=$E148)/(TableDiv[[Agency]:[Agency]]=$E148)*(ROW(TableDiv[Agency])-ROW(TableDiv[[#Headers],[Agency]])),COLUMNS($F$7:AJ$7))))</f>
        <v/>
      </c>
      <c r="AK148" s="2223" t="str" cm="1">
        <f t="array" ref="AK148">IF($D148&lt;COLUMNS($F$7:AK$7),"",INDEX(TableDiv[[GASB]:[GASB]],_xlfn.AGGREGATE(15,3,(TableDiv[[Agency]:[Agency]]=$E148)/(TableDiv[[Agency]:[Agency]]=$E148)*(ROW(TableDiv[Agency])-ROW(TableDiv[[#Headers],[Agency]])),COLUMNS($F$7:AK$7))))</f>
        <v/>
      </c>
      <c r="AL148" s="2223" t="str" cm="1">
        <f t="array" ref="AL148">IF($D148&lt;COLUMNS($F$7:AL$7),"",INDEX(TableDiv[[GASB]:[GASB]],_xlfn.AGGREGATE(15,3,(TableDiv[[Agency]:[Agency]]=$E148)/(TableDiv[[Agency]:[Agency]]=$E148)*(ROW(TableDiv[Agency])-ROW(TableDiv[[#Headers],[Agency]])),COLUMNS($F$7:AL$7))))</f>
        <v/>
      </c>
      <c r="AM148" s="2223" t="str" cm="1">
        <f t="array" ref="AM148">IF($D148&lt;COLUMNS($F$7:AM$7),"",INDEX(TableDiv[[GASB]:[GASB]],_xlfn.AGGREGATE(15,3,(TableDiv[[Agency]:[Agency]]=$E148)/(TableDiv[[Agency]:[Agency]]=$E148)*(ROW(TableDiv[Agency])-ROW(TableDiv[[#Headers],[Agency]])),COLUMNS($F$7:AM$7))))</f>
        <v/>
      </c>
      <c r="AN148" s="2223"/>
      <c r="AO148" s="2223"/>
      <c r="AP148" s="2223"/>
      <c r="AQ148" s="2223"/>
      <c r="AR148" s="2223"/>
      <c r="AS148" s="2223"/>
    </row>
    <row r="149" spans="1:45" ht="15" x14ac:dyDescent="0.25">
      <c r="A149" s="2219" t="s">
        <v>5111</v>
      </c>
      <c r="B149" s="2219" t="s">
        <v>6357</v>
      </c>
      <c r="C149" s="2223"/>
      <c r="D149" s="2223">
        <f>COUNTIF(TableDiv[Agency],E149)</f>
        <v>1</v>
      </c>
      <c r="E149" s="2230" t="str" cm="1">
        <f t="array" ref="E149">IFERROR(INDEX(TableDiv[Agency],MATCH(0,INDEX(COUNTIF($E$7:E148,TableDiv[Agency]),),0)),"")</f>
        <v>CC</v>
      </c>
      <c r="F149" s="2223" t="str" cm="1">
        <f t="array" ref="F149">IF($D149&lt;COLUMNS($F$7:F$7),"",INDEX(TableDiv[[GASB]:[GASB]],_xlfn.AGGREGATE(15,3,(TableDiv[[Agency]:[Agency]]=$E149)/(TableDiv[[Agency]:[Agency]]=$E149)*(ROW(TableDiv[Agency])-ROW(TableDiv[[#Headers],[Agency]])),COLUMNS($F$7:F$7))))</f>
        <v>48100G</v>
      </c>
      <c r="G149" s="2223" t="str" cm="1">
        <f t="array" ref="G149">IF($D149&lt;COLUMNS($F$7:G$7),"",INDEX(TableDiv[[GASB]:[GASB]],_xlfn.AGGREGATE(15,3,(TableDiv[[Agency]:[Agency]]=$E149)/(TableDiv[[Agency]:[Agency]]=$E149)*(ROW(TableDiv[Agency])-ROW(TableDiv[[#Headers],[Agency]])),COLUMNS($F$7:G$7))))</f>
        <v/>
      </c>
      <c r="H149" s="2223" t="str" cm="1">
        <f t="array" ref="H149">IF($D149&lt;COLUMNS($F$7:H$7),"",INDEX(TableDiv[[GASB]:[GASB]],_xlfn.AGGREGATE(15,3,(TableDiv[[Agency]:[Agency]]=$E149)/(TableDiv[[Agency]:[Agency]]=$E149)*(ROW(TableDiv[Agency])-ROW(TableDiv[[#Headers],[Agency]])),COLUMNS($F$7:H$7))))</f>
        <v/>
      </c>
      <c r="I149" s="2223" t="str" cm="1">
        <f t="array" ref="I149">IF($D149&lt;COLUMNS($F$7:I$7),"",INDEX(TableDiv[[GASB]:[GASB]],_xlfn.AGGREGATE(15,3,(TableDiv[[Agency]:[Agency]]=$E149)/(TableDiv[[Agency]:[Agency]]=$E149)*(ROW(TableDiv[Agency])-ROW(TableDiv[[#Headers],[Agency]])),COLUMNS($F$7:I$7))))</f>
        <v/>
      </c>
      <c r="J149" s="2223" t="str" cm="1">
        <f t="array" ref="J149">IF($D149&lt;COLUMNS($F$7:J$7),"",INDEX(TableDiv[[GASB]:[GASB]],_xlfn.AGGREGATE(15,3,(TableDiv[[Agency]:[Agency]]=$E149)/(TableDiv[[Agency]:[Agency]]=$E149)*(ROW(TableDiv[Agency])-ROW(TableDiv[[#Headers],[Agency]])),COLUMNS($F$7:J$7))))</f>
        <v/>
      </c>
      <c r="K149" s="2223" t="str" cm="1">
        <f t="array" ref="K149">IF($D149&lt;COLUMNS($F$7:K$7),"",INDEX(TableDiv[[GASB]:[GASB]],_xlfn.AGGREGATE(15,3,(TableDiv[[Agency]:[Agency]]=$E149)/(TableDiv[[Agency]:[Agency]]=$E149)*(ROW(TableDiv[Agency])-ROW(TableDiv[[#Headers],[Agency]])),COLUMNS($F$7:K$7))))</f>
        <v/>
      </c>
      <c r="L149" s="2223" t="str" cm="1">
        <f t="array" ref="L149">IF($D149&lt;COLUMNS($F$7:L$7),"",INDEX(TableDiv[[GASB]:[GASB]],_xlfn.AGGREGATE(15,3,(TableDiv[[Agency]:[Agency]]=$E149)/(TableDiv[[Agency]:[Agency]]=$E149)*(ROW(TableDiv[Agency])-ROW(TableDiv[[#Headers],[Agency]])),COLUMNS($F$7:L$7))))</f>
        <v/>
      </c>
      <c r="M149" s="2223" t="str" cm="1">
        <f t="array" ref="M149">IF($D149&lt;COLUMNS($F$7:M$7),"",INDEX(TableDiv[[GASB]:[GASB]],_xlfn.AGGREGATE(15,3,(TableDiv[[Agency]:[Agency]]=$E149)/(TableDiv[[Agency]:[Agency]]=$E149)*(ROW(TableDiv[Agency])-ROW(TableDiv[[#Headers],[Agency]])),COLUMNS($F$7:M$7))))</f>
        <v/>
      </c>
      <c r="N149" s="2223" t="str" cm="1">
        <f t="array" ref="N149">IF($D149&lt;COLUMNS($F$7:N$7),"",INDEX(TableDiv[[GASB]:[GASB]],_xlfn.AGGREGATE(15,3,(TableDiv[[Agency]:[Agency]]=$E149)/(TableDiv[[Agency]:[Agency]]=$E149)*(ROW(TableDiv[Agency])-ROW(TableDiv[[#Headers],[Agency]])),COLUMNS($F$7:N$7))))</f>
        <v/>
      </c>
      <c r="O149" s="2223" t="str" cm="1">
        <f t="array" ref="O149">IF($D149&lt;COLUMNS($F$7:O$7),"",INDEX(TableDiv[[GASB]:[GASB]],_xlfn.AGGREGATE(15,3,(TableDiv[[Agency]:[Agency]]=$E149)/(TableDiv[[Agency]:[Agency]]=$E149)*(ROW(TableDiv[Agency])-ROW(TableDiv[[#Headers],[Agency]])),COLUMNS($F$7:O$7))))</f>
        <v/>
      </c>
      <c r="P149" s="2223" t="str" cm="1">
        <f t="array" ref="P149">IF($D149&lt;COLUMNS($F$7:P$7),"",INDEX(TableDiv[[GASB]:[GASB]],_xlfn.AGGREGATE(15,3,(TableDiv[[Agency]:[Agency]]=$E149)/(TableDiv[[Agency]:[Agency]]=$E149)*(ROW(TableDiv[Agency])-ROW(TableDiv[[#Headers],[Agency]])),COLUMNS($F$7:P$7))))</f>
        <v/>
      </c>
      <c r="Q149" s="2223" t="str" cm="1">
        <f t="array" ref="Q149">IF($D149&lt;COLUMNS($F$7:Q$7),"",INDEX(TableDiv[[GASB]:[GASB]],_xlfn.AGGREGATE(15,3,(TableDiv[[Agency]:[Agency]]=$E149)/(TableDiv[[Agency]:[Agency]]=$E149)*(ROW(TableDiv[Agency])-ROW(TableDiv[[#Headers],[Agency]])),COLUMNS($F$7:Q$7))))</f>
        <v/>
      </c>
      <c r="R149" s="2223" t="str" cm="1">
        <f t="array" ref="R149">IF($D149&lt;COLUMNS($F$7:R$7),"",INDEX(TableDiv[[GASB]:[GASB]],_xlfn.AGGREGATE(15,3,(TableDiv[[Agency]:[Agency]]=$E149)/(TableDiv[[Agency]:[Agency]]=$E149)*(ROW(TableDiv[Agency])-ROW(TableDiv[[#Headers],[Agency]])),COLUMNS($F$7:R$7))))</f>
        <v/>
      </c>
      <c r="S149" s="2223" t="str" cm="1">
        <f t="array" ref="S149">IF($D149&lt;COLUMNS($F$7:S$7),"",INDEX(TableDiv[[GASB]:[GASB]],_xlfn.AGGREGATE(15,3,(TableDiv[[Agency]:[Agency]]=$E149)/(TableDiv[[Agency]:[Agency]]=$E149)*(ROW(TableDiv[Agency])-ROW(TableDiv[[#Headers],[Agency]])),COLUMNS($F$7:S$7))))</f>
        <v/>
      </c>
      <c r="T149" s="2223" t="str" cm="1">
        <f t="array" ref="T149">IF($D149&lt;COLUMNS($F$7:T$7),"",INDEX(TableDiv[[GASB]:[GASB]],_xlfn.AGGREGATE(15,3,(TableDiv[[Agency]:[Agency]]=$E149)/(TableDiv[[Agency]:[Agency]]=$E149)*(ROW(TableDiv[Agency])-ROW(TableDiv[[#Headers],[Agency]])),COLUMNS($F$7:T$7))))</f>
        <v/>
      </c>
      <c r="U149" s="2223" t="str" cm="1">
        <f t="array" ref="U149">IF($D149&lt;COLUMNS($F$7:U$7),"",INDEX(TableDiv[[GASB]:[GASB]],_xlfn.AGGREGATE(15,3,(TableDiv[[Agency]:[Agency]]=$E149)/(TableDiv[[Agency]:[Agency]]=$E149)*(ROW(TableDiv[Agency])-ROW(TableDiv[[#Headers],[Agency]])),COLUMNS($F$7:U$7))))</f>
        <v/>
      </c>
      <c r="V149" s="2223" t="str" cm="1">
        <f t="array" ref="V149">IF($D149&lt;COLUMNS($F$7:V$7),"",INDEX(TableDiv[[GASB]:[GASB]],_xlfn.AGGREGATE(15,3,(TableDiv[[Agency]:[Agency]]=$E149)/(TableDiv[[Agency]:[Agency]]=$E149)*(ROW(TableDiv[Agency])-ROW(TableDiv[[#Headers],[Agency]])),COLUMNS($F$7:V$7))))</f>
        <v/>
      </c>
      <c r="W149" s="2223" t="str" cm="1">
        <f t="array" ref="W149">IF($D149&lt;COLUMNS($F$7:W$7),"",INDEX(TableDiv[[GASB]:[GASB]],_xlfn.AGGREGATE(15,3,(TableDiv[[Agency]:[Agency]]=$E149)/(TableDiv[[Agency]:[Agency]]=$E149)*(ROW(TableDiv[Agency])-ROW(TableDiv[[#Headers],[Agency]])),COLUMNS($F$7:W$7))))</f>
        <v/>
      </c>
      <c r="X149" s="2223" t="str" cm="1">
        <f t="array" ref="X149">IF($D149&lt;COLUMNS($F$7:X$7),"",INDEX(TableDiv[[GASB]:[GASB]],_xlfn.AGGREGATE(15,3,(TableDiv[[Agency]:[Agency]]=$E149)/(TableDiv[[Agency]:[Agency]]=$E149)*(ROW(TableDiv[Agency])-ROW(TableDiv[[#Headers],[Agency]])),COLUMNS($F$7:X$7))))</f>
        <v/>
      </c>
      <c r="Y149" s="2223" t="str" cm="1">
        <f t="array" ref="Y149">IF($D149&lt;COLUMNS($F$7:Y$7),"",INDEX(TableDiv[[GASB]:[GASB]],_xlfn.AGGREGATE(15,3,(TableDiv[[Agency]:[Agency]]=$E149)/(TableDiv[[Agency]:[Agency]]=$E149)*(ROW(TableDiv[Agency])-ROW(TableDiv[[#Headers],[Agency]])),COLUMNS($F$7:Y$7))))</f>
        <v/>
      </c>
      <c r="Z149" s="2223" t="str" cm="1">
        <f t="array" ref="Z149">IF($D149&lt;COLUMNS($F$7:Z$7),"",INDEX(TableDiv[[GASB]:[GASB]],_xlfn.AGGREGATE(15,3,(TableDiv[[Agency]:[Agency]]=$E149)/(TableDiv[[Agency]:[Agency]]=$E149)*(ROW(TableDiv[Agency])-ROW(TableDiv[[#Headers],[Agency]])),COLUMNS($F$7:Z$7))))</f>
        <v/>
      </c>
      <c r="AA149" s="2223" t="str" cm="1">
        <f t="array" ref="AA149">IF($D149&lt;COLUMNS($F$7:AA$7),"",INDEX(TableDiv[[GASB]:[GASB]],_xlfn.AGGREGATE(15,3,(TableDiv[[Agency]:[Agency]]=$E149)/(TableDiv[[Agency]:[Agency]]=$E149)*(ROW(TableDiv[Agency])-ROW(TableDiv[[#Headers],[Agency]])),COLUMNS($F$7:AA$7))))</f>
        <v/>
      </c>
      <c r="AB149" s="2223" t="str" cm="1">
        <f t="array" ref="AB149">IF($D149&lt;COLUMNS($F$7:AB$7),"",INDEX(TableDiv[[GASB]:[GASB]],_xlfn.AGGREGATE(15,3,(TableDiv[[Agency]:[Agency]]=$E149)/(TableDiv[[Agency]:[Agency]]=$E149)*(ROW(TableDiv[Agency])-ROW(TableDiv[[#Headers],[Agency]])),COLUMNS($F$7:AB$7))))</f>
        <v/>
      </c>
      <c r="AC149" s="2223" t="str" cm="1">
        <f t="array" ref="AC149">IF($D149&lt;COLUMNS($F$7:AC$7),"",INDEX(TableDiv[[GASB]:[GASB]],_xlfn.AGGREGATE(15,3,(TableDiv[[Agency]:[Agency]]=$E149)/(TableDiv[[Agency]:[Agency]]=$E149)*(ROW(TableDiv[Agency])-ROW(TableDiv[[#Headers],[Agency]])),COLUMNS($F$7:AC$7))))</f>
        <v/>
      </c>
      <c r="AD149" s="2223" t="str" cm="1">
        <f t="array" ref="AD149">IF($D149&lt;COLUMNS($F$7:AD$7),"",INDEX(TableDiv[[GASB]:[GASB]],_xlfn.AGGREGATE(15,3,(TableDiv[[Agency]:[Agency]]=$E149)/(TableDiv[[Agency]:[Agency]]=$E149)*(ROW(TableDiv[Agency])-ROW(TableDiv[[#Headers],[Agency]])),COLUMNS($F$7:AD$7))))</f>
        <v/>
      </c>
      <c r="AE149" s="2223" t="str" cm="1">
        <f t="array" ref="AE149">IF($D149&lt;COLUMNS($F$7:AE$7),"",INDEX(TableDiv[[GASB]:[GASB]],_xlfn.AGGREGATE(15,3,(TableDiv[[Agency]:[Agency]]=$E149)/(TableDiv[[Agency]:[Agency]]=$E149)*(ROW(TableDiv[Agency])-ROW(TableDiv[[#Headers],[Agency]])),COLUMNS($F$7:AE$7))))</f>
        <v/>
      </c>
      <c r="AF149" s="2223" t="str" cm="1">
        <f t="array" ref="AF149">IF($D149&lt;COLUMNS($F$7:AF$7),"",INDEX(TableDiv[[GASB]:[GASB]],_xlfn.AGGREGATE(15,3,(TableDiv[[Agency]:[Agency]]=$E149)/(TableDiv[[Agency]:[Agency]]=$E149)*(ROW(TableDiv[Agency])-ROW(TableDiv[[#Headers],[Agency]])),COLUMNS($F$7:AF$7))))</f>
        <v/>
      </c>
      <c r="AG149" s="2223" t="str" cm="1">
        <f t="array" ref="AG149">IF($D149&lt;COLUMNS($F$7:AG$7),"",INDEX(TableDiv[[GASB]:[GASB]],_xlfn.AGGREGATE(15,3,(TableDiv[[Agency]:[Agency]]=$E149)/(TableDiv[[Agency]:[Agency]]=$E149)*(ROW(TableDiv[Agency])-ROW(TableDiv[[#Headers],[Agency]])),COLUMNS($F$7:AG$7))))</f>
        <v/>
      </c>
      <c r="AH149" s="2223" t="str" cm="1">
        <f t="array" ref="AH149">IF($D149&lt;COLUMNS($F$7:AH$7),"",INDEX(TableDiv[[GASB]:[GASB]],_xlfn.AGGREGATE(15,3,(TableDiv[[Agency]:[Agency]]=$E149)/(TableDiv[[Agency]:[Agency]]=$E149)*(ROW(TableDiv[Agency])-ROW(TableDiv[[#Headers],[Agency]])),COLUMNS($F$7:AH$7))))</f>
        <v/>
      </c>
      <c r="AI149" s="2223" t="str" cm="1">
        <f t="array" ref="AI149">IF($D149&lt;COLUMNS($F$7:AI$7),"",INDEX(TableDiv[[GASB]:[GASB]],_xlfn.AGGREGATE(15,3,(TableDiv[[Agency]:[Agency]]=$E149)/(TableDiv[[Agency]:[Agency]]=$E149)*(ROW(TableDiv[Agency])-ROW(TableDiv[[#Headers],[Agency]])),COLUMNS($F$7:AI$7))))</f>
        <v/>
      </c>
      <c r="AJ149" s="2223" t="str" cm="1">
        <f t="array" ref="AJ149">IF($D149&lt;COLUMNS($F$7:AJ$7),"",INDEX(TableDiv[[GASB]:[GASB]],_xlfn.AGGREGATE(15,3,(TableDiv[[Agency]:[Agency]]=$E149)/(TableDiv[[Agency]:[Agency]]=$E149)*(ROW(TableDiv[Agency])-ROW(TableDiv[[#Headers],[Agency]])),COLUMNS($F$7:AJ$7))))</f>
        <v/>
      </c>
      <c r="AK149" s="2223" t="str" cm="1">
        <f t="array" ref="AK149">IF($D149&lt;COLUMNS($F$7:AK$7),"",INDEX(TableDiv[[GASB]:[GASB]],_xlfn.AGGREGATE(15,3,(TableDiv[[Agency]:[Agency]]=$E149)/(TableDiv[[Agency]:[Agency]]=$E149)*(ROW(TableDiv[Agency])-ROW(TableDiv[[#Headers],[Agency]])),COLUMNS($F$7:AK$7))))</f>
        <v/>
      </c>
      <c r="AL149" s="2223" t="str" cm="1">
        <f t="array" ref="AL149">IF($D149&lt;COLUMNS($F$7:AL$7),"",INDEX(TableDiv[[GASB]:[GASB]],_xlfn.AGGREGATE(15,3,(TableDiv[[Agency]:[Agency]]=$E149)/(TableDiv[[Agency]:[Agency]]=$E149)*(ROW(TableDiv[Agency])-ROW(TableDiv[[#Headers],[Agency]])),COLUMNS($F$7:AL$7))))</f>
        <v/>
      </c>
      <c r="AM149" s="2223" t="str" cm="1">
        <f t="array" ref="AM149">IF($D149&lt;COLUMNS($F$7:AM$7),"",INDEX(TableDiv[[GASB]:[GASB]],_xlfn.AGGREGATE(15,3,(TableDiv[[Agency]:[Agency]]=$E149)/(TableDiv[[Agency]:[Agency]]=$E149)*(ROW(TableDiv[Agency])-ROW(TableDiv[[#Headers],[Agency]])),COLUMNS($F$7:AM$7))))</f>
        <v/>
      </c>
      <c r="AN149" s="2223"/>
      <c r="AO149" s="2223"/>
      <c r="AP149" s="2223"/>
      <c r="AQ149" s="2223"/>
      <c r="AR149" s="2223"/>
      <c r="AS149" s="2223"/>
    </row>
    <row r="150" spans="1:45" ht="15" x14ac:dyDescent="0.25">
      <c r="A150" s="2219" t="s">
        <v>5111</v>
      </c>
      <c r="B150" s="2219" t="s">
        <v>1878</v>
      </c>
      <c r="C150" s="2223"/>
      <c r="D150" s="2223">
        <f>COUNTIF(TableDiv[Agency],E150)</f>
        <v>1</v>
      </c>
      <c r="E150" s="2230" t="str" cm="1">
        <f t="array" ref="E150">IFERROR(INDEX(TableDiv[Agency],MATCH(0,INDEX(COUNTIF($E$7:E149,TableDiv[Agency]),),0)),"")</f>
        <v>CD</v>
      </c>
      <c r="F150" s="2223" t="str" cm="1">
        <f t="array" ref="F150">IF($D150&lt;COLUMNS($F$7:F$7),"",INDEX(TableDiv[[GASB]:[GASB]],_xlfn.AGGREGATE(15,3,(TableDiv[[Agency]:[Agency]]=$E150)/(TableDiv[[Agency]:[Agency]]=$E150)*(ROW(TableDiv[Agency])-ROW(TableDiv[[#Headers],[Agency]])),COLUMNS($F$7:F$7))))</f>
        <v>48100G</v>
      </c>
      <c r="G150" s="2223" t="str" cm="1">
        <f t="array" ref="G150">IF($D150&lt;COLUMNS($F$7:G$7),"",INDEX(TableDiv[[GASB]:[GASB]],_xlfn.AGGREGATE(15,3,(TableDiv[[Agency]:[Agency]]=$E150)/(TableDiv[[Agency]:[Agency]]=$E150)*(ROW(TableDiv[Agency])-ROW(TableDiv[[#Headers],[Agency]])),COLUMNS($F$7:G$7))))</f>
        <v/>
      </c>
      <c r="H150" s="2223" t="str" cm="1">
        <f t="array" ref="H150">IF($D150&lt;COLUMNS($F$7:H$7),"",INDEX(TableDiv[[GASB]:[GASB]],_xlfn.AGGREGATE(15,3,(TableDiv[[Agency]:[Agency]]=$E150)/(TableDiv[[Agency]:[Agency]]=$E150)*(ROW(TableDiv[Agency])-ROW(TableDiv[[#Headers],[Agency]])),COLUMNS($F$7:H$7))))</f>
        <v/>
      </c>
      <c r="I150" s="2223" t="str" cm="1">
        <f t="array" ref="I150">IF($D150&lt;COLUMNS($F$7:I$7),"",INDEX(TableDiv[[GASB]:[GASB]],_xlfn.AGGREGATE(15,3,(TableDiv[[Agency]:[Agency]]=$E150)/(TableDiv[[Agency]:[Agency]]=$E150)*(ROW(TableDiv[Agency])-ROW(TableDiv[[#Headers],[Agency]])),COLUMNS($F$7:I$7))))</f>
        <v/>
      </c>
      <c r="J150" s="2223" t="str" cm="1">
        <f t="array" ref="J150">IF($D150&lt;COLUMNS($F$7:J$7),"",INDEX(TableDiv[[GASB]:[GASB]],_xlfn.AGGREGATE(15,3,(TableDiv[[Agency]:[Agency]]=$E150)/(TableDiv[[Agency]:[Agency]]=$E150)*(ROW(TableDiv[Agency])-ROW(TableDiv[[#Headers],[Agency]])),COLUMNS($F$7:J$7))))</f>
        <v/>
      </c>
      <c r="K150" s="2223" t="str" cm="1">
        <f t="array" ref="K150">IF($D150&lt;COLUMNS($F$7:K$7),"",INDEX(TableDiv[[GASB]:[GASB]],_xlfn.AGGREGATE(15,3,(TableDiv[[Agency]:[Agency]]=$E150)/(TableDiv[[Agency]:[Agency]]=$E150)*(ROW(TableDiv[Agency])-ROW(TableDiv[[#Headers],[Agency]])),COLUMNS($F$7:K$7))))</f>
        <v/>
      </c>
      <c r="L150" s="2223" t="str" cm="1">
        <f t="array" ref="L150">IF($D150&lt;COLUMNS($F$7:L$7),"",INDEX(TableDiv[[GASB]:[GASB]],_xlfn.AGGREGATE(15,3,(TableDiv[[Agency]:[Agency]]=$E150)/(TableDiv[[Agency]:[Agency]]=$E150)*(ROW(TableDiv[Agency])-ROW(TableDiv[[#Headers],[Agency]])),COLUMNS($F$7:L$7))))</f>
        <v/>
      </c>
      <c r="M150" s="2223" t="str" cm="1">
        <f t="array" ref="M150">IF($D150&lt;COLUMNS($F$7:M$7),"",INDEX(TableDiv[[GASB]:[GASB]],_xlfn.AGGREGATE(15,3,(TableDiv[[Agency]:[Agency]]=$E150)/(TableDiv[[Agency]:[Agency]]=$E150)*(ROW(TableDiv[Agency])-ROW(TableDiv[[#Headers],[Agency]])),COLUMNS($F$7:M$7))))</f>
        <v/>
      </c>
      <c r="N150" s="2223" t="str" cm="1">
        <f t="array" ref="N150">IF($D150&lt;COLUMNS($F$7:N$7),"",INDEX(TableDiv[[GASB]:[GASB]],_xlfn.AGGREGATE(15,3,(TableDiv[[Agency]:[Agency]]=$E150)/(TableDiv[[Agency]:[Agency]]=$E150)*(ROW(TableDiv[Agency])-ROW(TableDiv[[#Headers],[Agency]])),COLUMNS($F$7:N$7))))</f>
        <v/>
      </c>
      <c r="O150" s="2223" t="str" cm="1">
        <f t="array" ref="O150">IF($D150&lt;COLUMNS($F$7:O$7),"",INDEX(TableDiv[[GASB]:[GASB]],_xlfn.AGGREGATE(15,3,(TableDiv[[Agency]:[Agency]]=$E150)/(TableDiv[[Agency]:[Agency]]=$E150)*(ROW(TableDiv[Agency])-ROW(TableDiv[[#Headers],[Agency]])),COLUMNS($F$7:O$7))))</f>
        <v/>
      </c>
      <c r="P150" s="2223" t="str" cm="1">
        <f t="array" ref="P150">IF($D150&lt;COLUMNS($F$7:P$7),"",INDEX(TableDiv[[GASB]:[GASB]],_xlfn.AGGREGATE(15,3,(TableDiv[[Agency]:[Agency]]=$E150)/(TableDiv[[Agency]:[Agency]]=$E150)*(ROW(TableDiv[Agency])-ROW(TableDiv[[#Headers],[Agency]])),COLUMNS($F$7:P$7))))</f>
        <v/>
      </c>
      <c r="Q150" s="2223" t="str" cm="1">
        <f t="array" ref="Q150">IF($D150&lt;COLUMNS($F$7:Q$7),"",INDEX(TableDiv[[GASB]:[GASB]],_xlfn.AGGREGATE(15,3,(TableDiv[[Agency]:[Agency]]=$E150)/(TableDiv[[Agency]:[Agency]]=$E150)*(ROW(TableDiv[Agency])-ROW(TableDiv[[#Headers],[Agency]])),COLUMNS($F$7:Q$7))))</f>
        <v/>
      </c>
      <c r="R150" s="2223" t="str" cm="1">
        <f t="array" ref="R150">IF($D150&lt;COLUMNS($F$7:R$7),"",INDEX(TableDiv[[GASB]:[GASB]],_xlfn.AGGREGATE(15,3,(TableDiv[[Agency]:[Agency]]=$E150)/(TableDiv[[Agency]:[Agency]]=$E150)*(ROW(TableDiv[Agency])-ROW(TableDiv[[#Headers],[Agency]])),COLUMNS($F$7:R$7))))</f>
        <v/>
      </c>
      <c r="S150" s="2223" t="str" cm="1">
        <f t="array" ref="S150">IF($D150&lt;COLUMNS($F$7:S$7),"",INDEX(TableDiv[[GASB]:[GASB]],_xlfn.AGGREGATE(15,3,(TableDiv[[Agency]:[Agency]]=$E150)/(TableDiv[[Agency]:[Agency]]=$E150)*(ROW(TableDiv[Agency])-ROW(TableDiv[[#Headers],[Agency]])),COLUMNS($F$7:S$7))))</f>
        <v/>
      </c>
      <c r="T150" s="2223" t="str" cm="1">
        <f t="array" ref="T150">IF($D150&lt;COLUMNS($F$7:T$7),"",INDEX(TableDiv[[GASB]:[GASB]],_xlfn.AGGREGATE(15,3,(TableDiv[[Agency]:[Agency]]=$E150)/(TableDiv[[Agency]:[Agency]]=$E150)*(ROW(TableDiv[Agency])-ROW(TableDiv[[#Headers],[Agency]])),COLUMNS($F$7:T$7))))</f>
        <v/>
      </c>
      <c r="U150" s="2223" t="str" cm="1">
        <f t="array" ref="U150">IF($D150&lt;COLUMNS($F$7:U$7),"",INDEX(TableDiv[[GASB]:[GASB]],_xlfn.AGGREGATE(15,3,(TableDiv[[Agency]:[Agency]]=$E150)/(TableDiv[[Agency]:[Agency]]=$E150)*(ROW(TableDiv[Agency])-ROW(TableDiv[[#Headers],[Agency]])),COLUMNS($F$7:U$7))))</f>
        <v/>
      </c>
      <c r="V150" s="2223" t="str" cm="1">
        <f t="array" ref="V150">IF($D150&lt;COLUMNS($F$7:V$7),"",INDEX(TableDiv[[GASB]:[GASB]],_xlfn.AGGREGATE(15,3,(TableDiv[[Agency]:[Agency]]=$E150)/(TableDiv[[Agency]:[Agency]]=$E150)*(ROW(TableDiv[Agency])-ROW(TableDiv[[#Headers],[Agency]])),COLUMNS($F$7:V$7))))</f>
        <v/>
      </c>
      <c r="W150" s="2223" t="str" cm="1">
        <f t="array" ref="W150">IF($D150&lt;COLUMNS($F$7:W$7),"",INDEX(TableDiv[[GASB]:[GASB]],_xlfn.AGGREGATE(15,3,(TableDiv[[Agency]:[Agency]]=$E150)/(TableDiv[[Agency]:[Agency]]=$E150)*(ROW(TableDiv[Agency])-ROW(TableDiv[[#Headers],[Agency]])),COLUMNS($F$7:W$7))))</f>
        <v/>
      </c>
      <c r="X150" s="2223" t="str" cm="1">
        <f t="array" ref="X150">IF($D150&lt;COLUMNS($F$7:X$7),"",INDEX(TableDiv[[GASB]:[GASB]],_xlfn.AGGREGATE(15,3,(TableDiv[[Agency]:[Agency]]=$E150)/(TableDiv[[Agency]:[Agency]]=$E150)*(ROW(TableDiv[Agency])-ROW(TableDiv[[#Headers],[Agency]])),COLUMNS($F$7:X$7))))</f>
        <v/>
      </c>
      <c r="Y150" s="2223" t="str" cm="1">
        <f t="array" ref="Y150">IF($D150&lt;COLUMNS($F$7:Y$7),"",INDEX(TableDiv[[GASB]:[GASB]],_xlfn.AGGREGATE(15,3,(TableDiv[[Agency]:[Agency]]=$E150)/(TableDiv[[Agency]:[Agency]]=$E150)*(ROW(TableDiv[Agency])-ROW(TableDiv[[#Headers],[Agency]])),COLUMNS($F$7:Y$7))))</f>
        <v/>
      </c>
      <c r="Z150" s="2223" t="str" cm="1">
        <f t="array" ref="Z150">IF($D150&lt;COLUMNS($F$7:Z$7),"",INDEX(TableDiv[[GASB]:[GASB]],_xlfn.AGGREGATE(15,3,(TableDiv[[Agency]:[Agency]]=$E150)/(TableDiv[[Agency]:[Agency]]=$E150)*(ROW(TableDiv[Agency])-ROW(TableDiv[[#Headers],[Agency]])),COLUMNS($F$7:Z$7))))</f>
        <v/>
      </c>
      <c r="AA150" s="2223" t="str" cm="1">
        <f t="array" ref="AA150">IF($D150&lt;COLUMNS($F$7:AA$7),"",INDEX(TableDiv[[GASB]:[GASB]],_xlfn.AGGREGATE(15,3,(TableDiv[[Agency]:[Agency]]=$E150)/(TableDiv[[Agency]:[Agency]]=$E150)*(ROW(TableDiv[Agency])-ROW(TableDiv[[#Headers],[Agency]])),COLUMNS($F$7:AA$7))))</f>
        <v/>
      </c>
      <c r="AB150" s="2223" t="str" cm="1">
        <f t="array" ref="AB150">IF($D150&lt;COLUMNS($F$7:AB$7),"",INDEX(TableDiv[[GASB]:[GASB]],_xlfn.AGGREGATE(15,3,(TableDiv[[Agency]:[Agency]]=$E150)/(TableDiv[[Agency]:[Agency]]=$E150)*(ROW(TableDiv[Agency])-ROW(TableDiv[[#Headers],[Agency]])),COLUMNS($F$7:AB$7))))</f>
        <v/>
      </c>
      <c r="AC150" s="2223" t="str" cm="1">
        <f t="array" ref="AC150">IF($D150&lt;COLUMNS($F$7:AC$7),"",INDEX(TableDiv[[GASB]:[GASB]],_xlfn.AGGREGATE(15,3,(TableDiv[[Agency]:[Agency]]=$E150)/(TableDiv[[Agency]:[Agency]]=$E150)*(ROW(TableDiv[Agency])-ROW(TableDiv[[#Headers],[Agency]])),COLUMNS($F$7:AC$7))))</f>
        <v/>
      </c>
      <c r="AD150" s="2223" t="str" cm="1">
        <f t="array" ref="AD150">IF($D150&lt;COLUMNS($F$7:AD$7),"",INDEX(TableDiv[[GASB]:[GASB]],_xlfn.AGGREGATE(15,3,(TableDiv[[Agency]:[Agency]]=$E150)/(TableDiv[[Agency]:[Agency]]=$E150)*(ROW(TableDiv[Agency])-ROW(TableDiv[[#Headers],[Agency]])),COLUMNS($F$7:AD$7))))</f>
        <v/>
      </c>
      <c r="AE150" s="2223" t="str" cm="1">
        <f t="array" ref="AE150">IF($D150&lt;COLUMNS($F$7:AE$7),"",INDEX(TableDiv[[GASB]:[GASB]],_xlfn.AGGREGATE(15,3,(TableDiv[[Agency]:[Agency]]=$E150)/(TableDiv[[Agency]:[Agency]]=$E150)*(ROW(TableDiv[Agency])-ROW(TableDiv[[#Headers],[Agency]])),COLUMNS($F$7:AE$7))))</f>
        <v/>
      </c>
      <c r="AF150" s="2223" t="str" cm="1">
        <f t="array" ref="AF150">IF($D150&lt;COLUMNS($F$7:AF$7),"",INDEX(TableDiv[[GASB]:[GASB]],_xlfn.AGGREGATE(15,3,(TableDiv[[Agency]:[Agency]]=$E150)/(TableDiv[[Agency]:[Agency]]=$E150)*(ROW(TableDiv[Agency])-ROW(TableDiv[[#Headers],[Agency]])),COLUMNS($F$7:AF$7))))</f>
        <v/>
      </c>
      <c r="AG150" s="2223" t="str" cm="1">
        <f t="array" ref="AG150">IF($D150&lt;COLUMNS($F$7:AG$7),"",INDEX(TableDiv[[GASB]:[GASB]],_xlfn.AGGREGATE(15,3,(TableDiv[[Agency]:[Agency]]=$E150)/(TableDiv[[Agency]:[Agency]]=$E150)*(ROW(TableDiv[Agency])-ROW(TableDiv[[#Headers],[Agency]])),COLUMNS($F$7:AG$7))))</f>
        <v/>
      </c>
      <c r="AH150" s="2223" t="str" cm="1">
        <f t="array" ref="AH150">IF($D150&lt;COLUMNS($F$7:AH$7),"",INDEX(TableDiv[[GASB]:[GASB]],_xlfn.AGGREGATE(15,3,(TableDiv[[Agency]:[Agency]]=$E150)/(TableDiv[[Agency]:[Agency]]=$E150)*(ROW(TableDiv[Agency])-ROW(TableDiv[[#Headers],[Agency]])),COLUMNS($F$7:AH$7))))</f>
        <v/>
      </c>
      <c r="AI150" s="2223" t="str" cm="1">
        <f t="array" ref="AI150">IF($D150&lt;COLUMNS($F$7:AI$7),"",INDEX(TableDiv[[GASB]:[GASB]],_xlfn.AGGREGATE(15,3,(TableDiv[[Agency]:[Agency]]=$E150)/(TableDiv[[Agency]:[Agency]]=$E150)*(ROW(TableDiv[Agency])-ROW(TableDiv[[#Headers],[Agency]])),COLUMNS($F$7:AI$7))))</f>
        <v/>
      </c>
      <c r="AJ150" s="2223" t="str" cm="1">
        <f t="array" ref="AJ150">IF($D150&lt;COLUMNS($F$7:AJ$7),"",INDEX(TableDiv[[GASB]:[GASB]],_xlfn.AGGREGATE(15,3,(TableDiv[[Agency]:[Agency]]=$E150)/(TableDiv[[Agency]:[Agency]]=$E150)*(ROW(TableDiv[Agency])-ROW(TableDiv[[#Headers],[Agency]])),COLUMNS($F$7:AJ$7))))</f>
        <v/>
      </c>
      <c r="AK150" s="2223" t="str" cm="1">
        <f t="array" ref="AK150">IF($D150&lt;COLUMNS($F$7:AK$7),"",INDEX(TableDiv[[GASB]:[GASB]],_xlfn.AGGREGATE(15,3,(TableDiv[[Agency]:[Agency]]=$E150)/(TableDiv[[Agency]:[Agency]]=$E150)*(ROW(TableDiv[Agency])-ROW(TableDiv[[#Headers],[Agency]])),COLUMNS($F$7:AK$7))))</f>
        <v/>
      </c>
      <c r="AL150" s="2223" t="str" cm="1">
        <f t="array" ref="AL150">IF($D150&lt;COLUMNS($F$7:AL$7),"",INDEX(TableDiv[[GASB]:[GASB]],_xlfn.AGGREGATE(15,3,(TableDiv[[Agency]:[Agency]]=$E150)/(TableDiv[[Agency]:[Agency]]=$E150)*(ROW(TableDiv[Agency])-ROW(TableDiv[[#Headers],[Agency]])),COLUMNS($F$7:AL$7))))</f>
        <v/>
      </c>
      <c r="AM150" s="2223" t="str" cm="1">
        <f t="array" ref="AM150">IF($D150&lt;COLUMNS($F$7:AM$7),"",INDEX(TableDiv[[GASB]:[GASB]],_xlfn.AGGREGATE(15,3,(TableDiv[[Agency]:[Agency]]=$E150)/(TableDiv[[Agency]:[Agency]]=$E150)*(ROW(TableDiv[Agency])-ROW(TableDiv[[#Headers],[Agency]])),COLUMNS($F$7:AM$7))))</f>
        <v/>
      </c>
      <c r="AN150" s="2223"/>
      <c r="AO150" s="2223"/>
      <c r="AP150" s="2223"/>
      <c r="AQ150" s="2223"/>
      <c r="AR150" s="2223"/>
      <c r="AS150" s="2223"/>
    </row>
    <row r="151" spans="1:45" ht="15" x14ac:dyDescent="0.25">
      <c r="A151" s="2219" t="s">
        <v>5111</v>
      </c>
      <c r="B151" s="2219" t="s">
        <v>6365</v>
      </c>
      <c r="C151" s="2223"/>
      <c r="D151" s="2223">
        <f>COUNTIF(TableDiv[Agency],E151)</f>
        <v>1</v>
      </c>
      <c r="E151" s="2230" t="str" cm="1">
        <f t="array" ref="E151">IFERROR(INDEX(TableDiv[Agency],MATCH(0,INDEX(COUNTIF($E$7:E150,TableDiv[Agency]),),0)),"")</f>
        <v>CE</v>
      </c>
      <c r="F151" s="2223" t="str" cm="1">
        <f t="array" ref="F151">IF($D151&lt;COLUMNS($F$7:F$7),"",INDEX(TableDiv[[GASB]:[GASB]],_xlfn.AGGREGATE(15,3,(TableDiv[[Agency]:[Agency]]=$E151)/(TableDiv[[Agency]:[Agency]]=$E151)*(ROW(TableDiv[Agency])-ROW(TableDiv[[#Headers],[Agency]])),COLUMNS($F$7:F$7))))</f>
        <v>48100G</v>
      </c>
      <c r="G151" s="2223" t="str" cm="1">
        <f t="array" ref="G151">IF($D151&lt;COLUMNS($F$7:G$7),"",INDEX(TableDiv[[GASB]:[GASB]],_xlfn.AGGREGATE(15,3,(TableDiv[[Agency]:[Agency]]=$E151)/(TableDiv[[Agency]:[Agency]]=$E151)*(ROW(TableDiv[Agency])-ROW(TableDiv[[#Headers],[Agency]])),COLUMNS($F$7:G$7))))</f>
        <v/>
      </c>
      <c r="H151" s="2223" t="str" cm="1">
        <f t="array" ref="H151">IF($D151&lt;COLUMNS($F$7:H$7),"",INDEX(TableDiv[[GASB]:[GASB]],_xlfn.AGGREGATE(15,3,(TableDiv[[Agency]:[Agency]]=$E151)/(TableDiv[[Agency]:[Agency]]=$E151)*(ROW(TableDiv[Agency])-ROW(TableDiv[[#Headers],[Agency]])),COLUMNS($F$7:H$7))))</f>
        <v/>
      </c>
      <c r="I151" s="2223" t="str" cm="1">
        <f t="array" ref="I151">IF($D151&lt;COLUMNS($F$7:I$7),"",INDEX(TableDiv[[GASB]:[GASB]],_xlfn.AGGREGATE(15,3,(TableDiv[[Agency]:[Agency]]=$E151)/(TableDiv[[Agency]:[Agency]]=$E151)*(ROW(TableDiv[Agency])-ROW(TableDiv[[#Headers],[Agency]])),COLUMNS($F$7:I$7))))</f>
        <v/>
      </c>
      <c r="J151" s="2223" t="str" cm="1">
        <f t="array" ref="J151">IF($D151&lt;COLUMNS($F$7:J$7),"",INDEX(TableDiv[[GASB]:[GASB]],_xlfn.AGGREGATE(15,3,(TableDiv[[Agency]:[Agency]]=$E151)/(TableDiv[[Agency]:[Agency]]=$E151)*(ROW(TableDiv[Agency])-ROW(TableDiv[[#Headers],[Agency]])),COLUMNS($F$7:J$7))))</f>
        <v/>
      </c>
      <c r="K151" s="2223" t="str" cm="1">
        <f t="array" ref="K151">IF($D151&lt;COLUMNS($F$7:K$7),"",INDEX(TableDiv[[GASB]:[GASB]],_xlfn.AGGREGATE(15,3,(TableDiv[[Agency]:[Agency]]=$E151)/(TableDiv[[Agency]:[Agency]]=$E151)*(ROW(TableDiv[Agency])-ROW(TableDiv[[#Headers],[Agency]])),COLUMNS($F$7:K$7))))</f>
        <v/>
      </c>
      <c r="L151" s="2223" t="str" cm="1">
        <f t="array" ref="L151">IF($D151&lt;COLUMNS($F$7:L$7),"",INDEX(TableDiv[[GASB]:[GASB]],_xlfn.AGGREGATE(15,3,(TableDiv[[Agency]:[Agency]]=$E151)/(TableDiv[[Agency]:[Agency]]=$E151)*(ROW(TableDiv[Agency])-ROW(TableDiv[[#Headers],[Agency]])),COLUMNS($F$7:L$7))))</f>
        <v/>
      </c>
      <c r="M151" s="2223" t="str" cm="1">
        <f t="array" ref="M151">IF($D151&lt;COLUMNS($F$7:M$7),"",INDEX(TableDiv[[GASB]:[GASB]],_xlfn.AGGREGATE(15,3,(TableDiv[[Agency]:[Agency]]=$E151)/(TableDiv[[Agency]:[Agency]]=$E151)*(ROW(TableDiv[Agency])-ROW(TableDiv[[#Headers],[Agency]])),COLUMNS($F$7:M$7))))</f>
        <v/>
      </c>
      <c r="N151" s="2223" t="str" cm="1">
        <f t="array" ref="N151">IF($D151&lt;COLUMNS($F$7:N$7),"",INDEX(TableDiv[[GASB]:[GASB]],_xlfn.AGGREGATE(15,3,(TableDiv[[Agency]:[Agency]]=$E151)/(TableDiv[[Agency]:[Agency]]=$E151)*(ROW(TableDiv[Agency])-ROW(TableDiv[[#Headers],[Agency]])),COLUMNS($F$7:N$7))))</f>
        <v/>
      </c>
      <c r="O151" s="2223" t="str" cm="1">
        <f t="array" ref="O151">IF($D151&lt;COLUMNS($F$7:O$7),"",INDEX(TableDiv[[GASB]:[GASB]],_xlfn.AGGREGATE(15,3,(TableDiv[[Agency]:[Agency]]=$E151)/(TableDiv[[Agency]:[Agency]]=$E151)*(ROW(TableDiv[Agency])-ROW(TableDiv[[#Headers],[Agency]])),COLUMNS($F$7:O$7))))</f>
        <v/>
      </c>
      <c r="P151" s="2223" t="str" cm="1">
        <f t="array" ref="P151">IF($D151&lt;COLUMNS($F$7:P$7),"",INDEX(TableDiv[[GASB]:[GASB]],_xlfn.AGGREGATE(15,3,(TableDiv[[Agency]:[Agency]]=$E151)/(TableDiv[[Agency]:[Agency]]=$E151)*(ROW(TableDiv[Agency])-ROW(TableDiv[[#Headers],[Agency]])),COLUMNS($F$7:P$7))))</f>
        <v/>
      </c>
      <c r="Q151" s="2223" t="str" cm="1">
        <f t="array" ref="Q151">IF($D151&lt;COLUMNS($F$7:Q$7),"",INDEX(TableDiv[[GASB]:[GASB]],_xlfn.AGGREGATE(15,3,(TableDiv[[Agency]:[Agency]]=$E151)/(TableDiv[[Agency]:[Agency]]=$E151)*(ROW(TableDiv[Agency])-ROW(TableDiv[[#Headers],[Agency]])),COLUMNS($F$7:Q$7))))</f>
        <v/>
      </c>
      <c r="R151" s="2223" t="str" cm="1">
        <f t="array" ref="R151">IF($D151&lt;COLUMNS($F$7:R$7),"",INDEX(TableDiv[[GASB]:[GASB]],_xlfn.AGGREGATE(15,3,(TableDiv[[Agency]:[Agency]]=$E151)/(TableDiv[[Agency]:[Agency]]=$E151)*(ROW(TableDiv[Agency])-ROW(TableDiv[[#Headers],[Agency]])),COLUMNS($F$7:R$7))))</f>
        <v/>
      </c>
      <c r="S151" s="2223" t="str" cm="1">
        <f t="array" ref="S151">IF($D151&lt;COLUMNS($F$7:S$7),"",INDEX(TableDiv[[GASB]:[GASB]],_xlfn.AGGREGATE(15,3,(TableDiv[[Agency]:[Agency]]=$E151)/(TableDiv[[Agency]:[Agency]]=$E151)*(ROW(TableDiv[Agency])-ROW(TableDiv[[#Headers],[Agency]])),COLUMNS($F$7:S$7))))</f>
        <v/>
      </c>
      <c r="T151" s="2223" t="str" cm="1">
        <f t="array" ref="T151">IF($D151&lt;COLUMNS($F$7:T$7),"",INDEX(TableDiv[[GASB]:[GASB]],_xlfn.AGGREGATE(15,3,(TableDiv[[Agency]:[Agency]]=$E151)/(TableDiv[[Agency]:[Agency]]=$E151)*(ROW(TableDiv[Agency])-ROW(TableDiv[[#Headers],[Agency]])),COLUMNS($F$7:T$7))))</f>
        <v/>
      </c>
      <c r="U151" s="2223" t="str" cm="1">
        <f t="array" ref="U151">IF($D151&lt;COLUMNS($F$7:U$7),"",INDEX(TableDiv[[GASB]:[GASB]],_xlfn.AGGREGATE(15,3,(TableDiv[[Agency]:[Agency]]=$E151)/(TableDiv[[Agency]:[Agency]]=$E151)*(ROW(TableDiv[Agency])-ROW(TableDiv[[#Headers],[Agency]])),COLUMNS($F$7:U$7))))</f>
        <v/>
      </c>
      <c r="V151" s="2223" t="str" cm="1">
        <f t="array" ref="V151">IF($D151&lt;COLUMNS($F$7:V$7),"",INDEX(TableDiv[[GASB]:[GASB]],_xlfn.AGGREGATE(15,3,(TableDiv[[Agency]:[Agency]]=$E151)/(TableDiv[[Agency]:[Agency]]=$E151)*(ROW(TableDiv[Agency])-ROW(TableDiv[[#Headers],[Agency]])),COLUMNS($F$7:V$7))))</f>
        <v/>
      </c>
      <c r="W151" s="2223" t="str" cm="1">
        <f t="array" ref="W151">IF($D151&lt;COLUMNS($F$7:W$7),"",INDEX(TableDiv[[GASB]:[GASB]],_xlfn.AGGREGATE(15,3,(TableDiv[[Agency]:[Agency]]=$E151)/(TableDiv[[Agency]:[Agency]]=$E151)*(ROW(TableDiv[Agency])-ROW(TableDiv[[#Headers],[Agency]])),COLUMNS($F$7:W$7))))</f>
        <v/>
      </c>
      <c r="X151" s="2223" t="str" cm="1">
        <f t="array" ref="X151">IF($D151&lt;COLUMNS($F$7:X$7),"",INDEX(TableDiv[[GASB]:[GASB]],_xlfn.AGGREGATE(15,3,(TableDiv[[Agency]:[Agency]]=$E151)/(TableDiv[[Agency]:[Agency]]=$E151)*(ROW(TableDiv[Agency])-ROW(TableDiv[[#Headers],[Agency]])),COLUMNS($F$7:X$7))))</f>
        <v/>
      </c>
      <c r="Y151" s="2223" t="str" cm="1">
        <f t="array" ref="Y151">IF($D151&lt;COLUMNS($F$7:Y$7),"",INDEX(TableDiv[[GASB]:[GASB]],_xlfn.AGGREGATE(15,3,(TableDiv[[Agency]:[Agency]]=$E151)/(TableDiv[[Agency]:[Agency]]=$E151)*(ROW(TableDiv[Agency])-ROW(TableDiv[[#Headers],[Agency]])),COLUMNS($F$7:Y$7))))</f>
        <v/>
      </c>
      <c r="Z151" s="2223" t="str" cm="1">
        <f t="array" ref="Z151">IF($D151&lt;COLUMNS($F$7:Z$7),"",INDEX(TableDiv[[GASB]:[GASB]],_xlfn.AGGREGATE(15,3,(TableDiv[[Agency]:[Agency]]=$E151)/(TableDiv[[Agency]:[Agency]]=$E151)*(ROW(TableDiv[Agency])-ROW(TableDiv[[#Headers],[Agency]])),COLUMNS($F$7:Z$7))))</f>
        <v/>
      </c>
      <c r="AA151" s="2223" t="str" cm="1">
        <f t="array" ref="AA151">IF($D151&lt;COLUMNS($F$7:AA$7),"",INDEX(TableDiv[[GASB]:[GASB]],_xlfn.AGGREGATE(15,3,(TableDiv[[Agency]:[Agency]]=$E151)/(TableDiv[[Agency]:[Agency]]=$E151)*(ROW(TableDiv[Agency])-ROW(TableDiv[[#Headers],[Agency]])),COLUMNS($F$7:AA$7))))</f>
        <v/>
      </c>
      <c r="AB151" s="2223" t="str" cm="1">
        <f t="array" ref="AB151">IF($D151&lt;COLUMNS($F$7:AB$7),"",INDEX(TableDiv[[GASB]:[GASB]],_xlfn.AGGREGATE(15,3,(TableDiv[[Agency]:[Agency]]=$E151)/(TableDiv[[Agency]:[Agency]]=$E151)*(ROW(TableDiv[Agency])-ROW(TableDiv[[#Headers],[Agency]])),COLUMNS($F$7:AB$7))))</f>
        <v/>
      </c>
      <c r="AC151" s="2223" t="str" cm="1">
        <f t="array" ref="AC151">IF($D151&lt;COLUMNS($F$7:AC$7),"",INDEX(TableDiv[[GASB]:[GASB]],_xlfn.AGGREGATE(15,3,(TableDiv[[Agency]:[Agency]]=$E151)/(TableDiv[[Agency]:[Agency]]=$E151)*(ROW(TableDiv[Agency])-ROW(TableDiv[[#Headers],[Agency]])),COLUMNS($F$7:AC$7))))</f>
        <v/>
      </c>
      <c r="AD151" s="2223" t="str" cm="1">
        <f t="array" ref="AD151">IF($D151&lt;COLUMNS($F$7:AD$7),"",INDEX(TableDiv[[GASB]:[GASB]],_xlfn.AGGREGATE(15,3,(TableDiv[[Agency]:[Agency]]=$E151)/(TableDiv[[Agency]:[Agency]]=$E151)*(ROW(TableDiv[Agency])-ROW(TableDiv[[#Headers],[Agency]])),COLUMNS($F$7:AD$7))))</f>
        <v/>
      </c>
      <c r="AE151" s="2223" t="str" cm="1">
        <f t="array" ref="AE151">IF($D151&lt;COLUMNS($F$7:AE$7),"",INDEX(TableDiv[[GASB]:[GASB]],_xlfn.AGGREGATE(15,3,(TableDiv[[Agency]:[Agency]]=$E151)/(TableDiv[[Agency]:[Agency]]=$E151)*(ROW(TableDiv[Agency])-ROW(TableDiv[[#Headers],[Agency]])),COLUMNS($F$7:AE$7))))</f>
        <v/>
      </c>
      <c r="AF151" s="2223" t="str" cm="1">
        <f t="array" ref="AF151">IF($D151&lt;COLUMNS($F$7:AF$7),"",INDEX(TableDiv[[GASB]:[GASB]],_xlfn.AGGREGATE(15,3,(TableDiv[[Agency]:[Agency]]=$E151)/(TableDiv[[Agency]:[Agency]]=$E151)*(ROW(TableDiv[Agency])-ROW(TableDiv[[#Headers],[Agency]])),COLUMNS($F$7:AF$7))))</f>
        <v/>
      </c>
      <c r="AG151" s="2223" t="str" cm="1">
        <f t="array" ref="AG151">IF($D151&lt;COLUMNS($F$7:AG$7),"",INDEX(TableDiv[[GASB]:[GASB]],_xlfn.AGGREGATE(15,3,(TableDiv[[Agency]:[Agency]]=$E151)/(TableDiv[[Agency]:[Agency]]=$E151)*(ROW(TableDiv[Agency])-ROW(TableDiv[[#Headers],[Agency]])),COLUMNS($F$7:AG$7))))</f>
        <v/>
      </c>
      <c r="AH151" s="2223" t="str" cm="1">
        <f t="array" ref="AH151">IF($D151&lt;COLUMNS($F$7:AH$7),"",INDEX(TableDiv[[GASB]:[GASB]],_xlfn.AGGREGATE(15,3,(TableDiv[[Agency]:[Agency]]=$E151)/(TableDiv[[Agency]:[Agency]]=$E151)*(ROW(TableDiv[Agency])-ROW(TableDiv[[#Headers],[Agency]])),COLUMNS($F$7:AH$7))))</f>
        <v/>
      </c>
      <c r="AI151" s="2223" t="str" cm="1">
        <f t="array" ref="AI151">IF($D151&lt;COLUMNS($F$7:AI$7),"",INDEX(TableDiv[[GASB]:[GASB]],_xlfn.AGGREGATE(15,3,(TableDiv[[Agency]:[Agency]]=$E151)/(TableDiv[[Agency]:[Agency]]=$E151)*(ROW(TableDiv[Agency])-ROW(TableDiv[[#Headers],[Agency]])),COLUMNS($F$7:AI$7))))</f>
        <v/>
      </c>
      <c r="AJ151" s="2223" t="str" cm="1">
        <f t="array" ref="AJ151">IF($D151&lt;COLUMNS($F$7:AJ$7),"",INDEX(TableDiv[[GASB]:[GASB]],_xlfn.AGGREGATE(15,3,(TableDiv[[Agency]:[Agency]]=$E151)/(TableDiv[[Agency]:[Agency]]=$E151)*(ROW(TableDiv[Agency])-ROW(TableDiv[[#Headers],[Agency]])),COLUMNS($F$7:AJ$7))))</f>
        <v/>
      </c>
      <c r="AK151" s="2223" t="str" cm="1">
        <f t="array" ref="AK151">IF($D151&lt;COLUMNS($F$7:AK$7),"",INDEX(TableDiv[[GASB]:[GASB]],_xlfn.AGGREGATE(15,3,(TableDiv[[Agency]:[Agency]]=$E151)/(TableDiv[[Agency]:[Agency]]=$E151)*(ROW(TableDiv[Agency])-ROW(TableDiv[[#Headers],[Agency]])),COLUMNS($F$7:AK$7))))</f>
        <v/>
      </c>
      <c r="AL151" s="2223" t="str" cm="1">
        <f t="array" ref="AL151">IF($D151&lt;COLUMNS($F$7:AL$7),"",INDEX(TableDiv[[GASB]:[GASB]],_xlfn.AGGREGATE(15,3,(TableDiv[[Agency]:[Agency]]=$E151)/(TableDiv[[Agency]:[Agency]]=$E151)*(ROW(TableDiv[Agency])-ROW(TableDiv[[#Headers],[Agency]])),COLUMNS($F$7:AL$7))))</f>
        <v/>
      </c>
      <c r="AM151" s="2223" t="str" cm="1">
        <f t="array" ref="AM151">IF($D151&lt;COLUMNS($F$7:AM$7),"",INDEX(TableDiv[[GASB]:[GASB]],_xlfn.AGGREGATE(15,3,(TableDiv[[Agency]:[Agency]]=$E151)/(TableDiv[[Agency]:[Agency]]=$E151)*(ROW(TableDiv[Agency])-ROW(TableDiv[[#Headers],[Agency]])),COLUMNS($F$7:AM$7))))</f>
        <v/>
      </c>
      <c r="AN151" s="2223"/>
      <c r="AO151" s="2223"/>
      <c r="AP151" s="2223"/>
      <c r="AQ151" s="2223"/>
      <c r="AR151" s="2223"/>
      <c r="AS151" s="2223"/>
    </row>
    <row r="152" spans="1:45" ht="15" x14ac:dyDescent="0.25">
      <c r="A152" s="2219" t="s">
        <v>5111</v>
      </c>
      <c r="B152" s="2219" t="s">
        <v>6372</v>
      </c>
      <c r="C152" s="2223"/>
      <c r="D152" s="2223">
        <f>COUNTIF(TableDiv[Agency],E152)</f>
        <v>1</v>
      </c>
      <c r="E152" s="2230" t="str" cm="1">
        <f t="array" ref="E152">IFERROR(INDEX(TableDiv[Agency],MATCH(0,INDEX(COUNTIF($E$7:E151,TableDiv[Agency]),),0)),"")</f>
        <v>CF</v>
      </c>
      <c r="F152" s="2223" t="str" cm="1">
        <f t="array" ref="F152">IF($D152&lt;COLUMNS($F$7:F$7),"",INDEX(TableDiv[[GASB]:[GASB]],_xlfn.AGGREGATE(15,3,(TableDiv[[Agency]:[Agency]]=$E152)/(TableDiv[[Agency]:[Agency]]=$E152)*(ROW(TableDiv[Agency])-ROW(TableDiv[[#Headers],[Agency]])),COLUMNS($F$7:F$7))))</f>
        <v>48100G</v>
      </c>
      <c r="G152" s="2223" t="str" cm="1">
        <f t="array" ref="G152">IF($D152&lt;COLUMNS($F$7:G$7),"",INDEX(TableDiv[[GASB]:[GASB]],_xlfn.AGGREGATE(15,3,(TableDiv[[Agency]:[Agency]]=$E152)/(TableDiv[[Agency]:[Agency]]=$E152)*(ROW(TableDiv[Agency])-ROW(TableDiv[[#Headers],[Agency]])),COLUMNS($F$7:G$7))))</f>
        <v/>
      </c>
      <c r="H152" s="2223" t="str" cm="1">
        <f t="array" ref="H152">IF($D152&lt;COLUMNS($F$7:H$7),"",INDEX(TableDiv[[GASB]:[GASB]],_xlfn.AGGREGATE(15,3,(TableDiv[[Agency]:[Agency]]=$E152)/(TableDiv[[Agency]:[Agency]]=$E152)*(ROW(TableDiv[Agency])-ROW(TableDiv[[#Headers],[Agency]])),COLUMNS($F$7:H$7))))</f>
        <v/>
      </c>
      <c r="I152" s="2223" t="str" cm="1">
        <f t="array" ref="I152">IF($D152&lt;COLUMNS($F$7:I$7),"",INDEX(TableDiv[[GASB]:[GASB]],_xlfn.AGGREGATE(15,3,(TableDiv[[Agency]:[Agency]]=$E152)/(TableDiv[[Agency]:[Agency]]=$E152)*(ROW(TableDiv[Agency])-ROW(TableDiv[[#Headers],[Agency]])),COLUMNS($F$7:I$7))))</f>
        <v/>
      </c>
      <c r="J152" s="2223" t="str" cm="1">
        <f t="array" ref="J152">IF($D152&lt;COLUMNS($F$7:J$7),"",INDEX(TableDiv[[GASB]:[GASB]],_xlfn.AGGREGATE(15,3,(TableDiv[[Agency]:[Agency]]=$E152)/(TableDiv[[Agency]:[Agency]]=$E152)*(ROW(TableDiv[Agency])-ROW(TableDiv[[#Headers],[Agency]])),COLUMNS($F$7:J$7))))</f>
        <v/>
      </c>
      <c r="K152" s="2223" t="str" cm="1">
        <f t="array" ref="K152">IF($D152&lt;COLUMNS($F$7:K$7),"",INDEX(TableDiv[[GASB]:[GASB]],_xlfn.AGGREGATE(15,3,(TableDiv[[Agency]:[Agency]]=$E152)/(TableDiv[[Agency]:[Agency]]=$E152)*(ROW(TableDiv[Agency])-ROW(TableDiv[[#Headers],[Agency]])),COLUMNS($F$7:K$7))))</f>
        <v/>
      </c>
      <c r="L152" s="2223" t="str" cm="1">
        <f t="array" ref="L152">IF($D152&lt;COLUMNS($F$7:L$7),"",INDEX(TableDiv[[GASB]:[GASB]],_xlfn.AGGREGATE(15,3,(TableDiv[[Agency]:[Agency]]=$E152)/(TableDiv[[Agency]:[Agency]]=$E152)*(ROW(TableDiv[Agency])-ROW(TableDiv[[#Headers],[Agency]])),COLUMNS($F$7:L$7))))</f>
        <v/>
      </c>
      <c r="M152" s="2223" t="str" cm="1">
        <f t="array" ref="M152">IF($D152&lt;COLUMNS($F$7:M$7),"",INDEX(TableDiv[[GASB]:[GASB]],_xlfn.AGGREGATE(15,3,(TableDiv[[Agency]:[Agency]]=$E152)/(TableDiv[[Agency]:[Agency]]=$E152)*(ROW(TableDiv[Agency])-ROW(TableDiv[[#Headers],[Agency]])),COLUMNS($F$7:M$7))))</f>
        <v/>
      </c>
      <c r="N152" s="2223" t="str" cm="1">
        <f t="array" ref="N152">IF($D152&lt;COLUMNS($F$7:N$7),"",INDEX(TableDiv[[GASB]:[GASB]],_xlfn.AGGREGATE(15,3,(TableDiv[[Agency]:[Agency]]=$E152)/(TableDiv[[Agency]:[Agency]]=$E152)*(ROW(TableDiv[Agency])-ROW(TableDiv[[#Headers],[Agency]])),COLUMNS($F$7:N$7))))</f>
        <v/>
      </c>
      <c r="O152" s="2223" t="str" cm="1">
        <f t="array" ref="O152">IF($D152&lt;COLUMNS($F$7:O$7),"",INDEX(TableDiv[[GASB]:[GASB]],_xlfn.AGGREGATE(15,3,(TableDiv[[Agency]:[Agency]]=$E152)/(TableDiv[[Agency]:[Agency]]=$E152)*(ROW(TableDiv[Agency])-ROW(TableDiv[[#Headers],[Agency]])),COLUMNS($F$7:O$7))))</f>
        <v/>
      </c>
      <c r="P152" s="2223" t="str" cm="1">
        <f t="array" ref="P152">IF($D152&lt;COLUMNS($F$7:P$7),"",INDEX(TableDiv[[GASB]:[GASB]],_xlfn.AGGREGATE(15,3,(TableDiv[[Agency]:[Agency]]=$E152)/(TableDiv[[Agency]:[Agency]]=$E152)*(ROW(TableDiv[Agency])-ROW(TableDiv[[#Headers],[Agency]])),COLUMNS($F$7:P$7))))</f>
        <v/>
      </c>
      <c r="Q152" s="2223" t="str" cm="1">
        <f t="array" ref="Q152">IF($D152&lt;COLUMNS($F$7:Q$7),"",INDEX(TableDiv[[GASB]:[GASB]],_xlfn.AGGREGATE(15,3,(TableDiv[[Agency]:[Agency]]=$E152)/(TableDiv[[Agency]:[Agency]]=$E152)*(ROW(TableDiv[Agency])-ROW(TableDiv[[#Headers],[Agency]])),COLUMNS($F$7:Q$7))))</f>
        <v/>
      </c>
      <c r="R152" s="2223" t="str" cm="1">
        <f t="array" ref="R152">IF($D152&lt;COLUMNS($F$7:R$7),"",INDEX(TableDiv[[GASB]:[GASB]],_xlfn.AGGREGATE(15,3,(TableDiv[[Agency]:[Agency]]=$E152)/(TableDiv[[Agency]:[Agency]]=$E152)*(ROW(TableDiv[Agency])-ROW(TableDiv[[#Headers],[Agency]])),COLUMNS($F$7:R$7))))</f>
        <v/>
      </c>
      <c r="S152" s="2223" t="str" cm="1">
        <f t="array" ref="S152">IF($D152&lt;COLUMNS($F$7:S$7),"",INDEX(TableDiv[[GASB]:[GASB]],_xlfn.AGGREGATE(15,3,(TableDiv[[Agency]:[Agency]]=$E152)/(TableDiv[[Agency]:[Agency]]=$E152)*(ROW(TableDiv[Agency])-ROW(TableDiv[[#Headers],[Agency]])),COLUMNS($F$7:S$7))))</f>
        <v/>
      </c>
      <c r="T152" s="2223" t="str" cm="1">
        <f t="array" ref="T152">IF($D152&lt;COLUMNS($F$7:T$7),"",INDEX(TableDiv[[GASB]:[GASB]],_xlfn.AGGREGATE(15,3,(TableDiv[[Agency]:[Agency]]=$E152)/(TableDiv[[Agency]:[Agency]]=$E152)*(ROW(TableDiv[Agency])-ROW(TableDiv[[#Headers],[Agency]])),COLUMNS($F$7:T$7))))</f>
        <v/>
      </c>
      <c r="U152" s="2223" t="str" cm="1">
        <f t="array" ref="U152">IF($D152&lt;COLUMNS($F$7:U$7),"",INDEX(TableDiv[[GASB]:[GASB]],_xlfn.AGGREGATE(15,3,(TableDiv[[Agency]:[Agency]]=$E152)/(TableDiv[[Agency]:[Agency]]=$E152)*(ROW(TableDiv[Agency])-ROW(TableDiv[[#Headers],[Agency]])),COLUMNS($F$7:U$7))))</f>
        <v/>
      </c>
      <c r="V152" s="2223" t="str" cm="1">
        <f t="array" ref="V152">IF($D152&lt;COLUMNS($F$7:V$7),"",INDEX(TableDiv[[GASB]:[GASB]],_xlfn.AGGREGATE(15,3,(TableDiv[[Agency]:[Agency]]=$E152)/(TableDiv[[Agency]:[Agency]]=$E152)*(ROW(TableDiv[Agency])-ROW(TableDiv[[#Headers],[Agency]])),COLUMNS($F$7:V$7))))</f>
        <v/>
      </c>
      <c r="W152" s="2223" t="str" cm="1">
        <f t="array" ref="W152">IF($D152&lt;COLUMNS($F$7:W$7),"",INDEX(TableDiv[[GASB]:[GASB]],_xlfn.AGGREGATE(15,3,(TableDiv[[Agency]:[Agency]]=$E152)/(TableDiv[[Agency]:[Agency]]=$E152)*(ROW(TableDiv[Agency])-ROW(TableDiv[[#Headers],[Agency]])),COLUMNS($F$7:W$7))))</f>
        <v/>
      </c>
      <c r="X152" s="2223" t="str" cm="1">
        <f t="array" ref="X152">IF($D152&lt;COLUMNS($F$7:X$7),"",INDEX(TableDiv[[GASB]:[GASB]],_xlfn.AGGREGATE(15,3,(TableDiv[[Agency]:[Agency]]=$E152)/(TableDiv[[Agency]:[Agency]]=$E152)*(ROW(TableDiv[Agency])-ROW(TableDiv[[#Headers],[Agency]])),COLUMNS($F$7:X$7))))</f>
        <v/>
      </c>
      <c r="Y152" s="2223" t="str" cm="1">
        <f t="array" ref="Y152">IF($D152&lt;COLUMNS($F$7:Y$7),"",INDEX(TableDiv[[GASB]:[GASB]],_xlfn.AGGREGATE(15,3,(TableDiv[[Agency]:[Agency]]=$E152)/(TableDiv[[Agency]:[Agency]]=$E152)*(ROW(TableDiv[Agency])-ROW(TableDiv[[#Headers],[Agency]])),COLUMNS($F$7:Y$7))))</f>
        <v/>
      </c>
      <c r="Z152" s="2223" t="str" cm="1">
        <f t="array" ref="Z152">IF($D152&lt;COLUMNS($F$7:Z$7),"",INDEX(TableDiv[[GASB]:[GASB]],_xlfn.AGGREGATE(15,3,(TableDiv[[Agency]:[Agency]]=$E152)/(TableDiv[[Agency]:[Agency]]=$E152)*(ROW(TableDiv[Agency])-ROW(TableDiv[[#Headers],[Agency]])),COLUMNS($F$7:Z$7))))</f>
        <v/>
      </c>
      <c r="AA152" s="2223" t="str" cm="1">
        <f t="array" ref="AA152">IF($D152&lt;COLUMNS($F$7:AA$7),"",INDEX(TableDiv[[GASB]:[GASB]],_xlfn.AGGREGATE(15,3,(TableDiv[[Agency]:[Agency]]=$E152)/(TableDiv[[Agency]:[Agency]]=$E152)*(ROW(TableDiv[Agency])-ROW(TableDiv[[#Headers],[Agency]])),COLUMNS($F$7:AA$7))))</f>
        <v/>
      </c>
      <c r="AB152" s="2223" t="str" cm="1">
        <f t="array" ref="AB152">IF($D152&lt;COLUMNS($F$7:AB$7),"",INDEX(TableDiv[[GASB]:[GASB]],_xlfn.AGGREGATE(15,3,(TableDiv[[Agency]:[Agency]]=$E152)/(TableDiv[[Agency]:[Agency]]=$E152)*(ROW(TableDiv[Agency])-ROW(TableDiv[[#Headers],[Agency]])),COLUMNS($F$7:AB$7))))</f>
        <v/>
      </c>
      <c r="AC152" s="2223" t="str" cm="1">
        <f t="array" ref="AC152">IF($D152&lt;COLUMNS($F$7:AC$7),"",INDEX(TableDiv[[GASB]:[GASB]],_xlfn.AGGREGATE(15,3,(TableDiv[[Agency]:[Agency]]=$E152)/(TableDiv[[Agency]:[Agency]]=$E152)*(ROW(TableDiv[Agency])-ROW(TableDiv[[#Headers],[Agency]])),COLUMNS($F$7:AC$7))))</f>
        <v/>
      </c>
      <c r="AD152" s="2223" t="str" cm="1">
        <f t="array" ref="AD152">IF($D152&lt;COLUMNS($F$7:AD$7),"",INDEX(TableDiv[[GASB]:[GASB]],_xlfn.AGGREGATE(15,3,(TableDiv[[Agency]:[Agency]]=$E152)/(TableDiv[[Agency]:[Agency]]=$E152)*(ROW(TableDiv[Agency])-ROW(TableDiv[[#Headers],[Agency]])),COLUMNS($F$7:AD$7))))</f>
        <v/>
      </c>
      <c r="AE152" s="2223" t="str" cm="1">
        <f t="array" ref="AE152">IF($D152&lt;COLUMNS($F$7:AE$7),"",INDEX(TableDiv[[GASB]:[GASB]],_xlfn.AGGREGATE(15,3,(TableDiv[[Agency]:[Agency]]=$E152)/(TableDiv[[Agency]:[Agency]]=$E152)*(ROW(TableDiv[Agency])-ROW(TableDiv[[#Headers],[Agency]])),COLUMNS($F$7:AE$7))))</f>
        <v/>
      </c>
      <c r="AF152" s="2223" t="str" cm="1">
        <f t="array" ref="AF152">IF($D152&lt;COLUMNS($F$7:AF$7),"",INDEX(TableDiv[[GASB]:[GASB]],_xlfn.AGGREGATE(15,3,(TableDiv[[Agency]:[Agency]]=$E152)/(TableDiv[[Agency]:[Agency]]=$E152)*(ROW(TableDiv[Agency])-ROW(TableDiv[[#Headers],[Agency]])),COLUMNS($F$7:AF$7))))</f>
        <v/>
      </c>
      <c r="AG152" s="2223" t="str" cm="1">
        <f t="array" ref="AG152">IF($D152&lt;COLUMNS($F$7:AG$7),"",INDEX(TableDiv[[GASB]:[GASB]],_xlfn.AGGREGATE(15,3,(TableDiv[[Agency]:[Agency]]=$E152)/(TableDiv[[Agency]:[Agency]]=$E152)*(ROW(TableDiv[Agency])-ROW(TableDiv[[#Headers],[Agency]])),COLUMNS($F$7:AG$7))))</f>
        <v/>
      </c>
      <c r="AH152" s="2223" t="str" cm="1">
        <f t="array" ref="AH152">IF($D152&lt;COLUMNS($F$7:AH$7),"",INDEX(TableDiv[[GASB]:[GASB]],_xlfn.AGGREGATE(15,3,(TableDiv[[Agency]:[Agency]]=$E152)/(TableDiv[[Agency]:[Agency]]=$E152)*(ROW(TableDiv[Agency])-ROW(TableDiv[[#Headers],[Agency]])),COLUMNS($F$7:AH$7))))</f>
        <v/>
      </c>
      <c r="AI152" s="2223" t="str" cm="1">
        <f t="array" ref="AI152">IF($D152&lt;COLUMNS($F$7:AI$7),"",INDEX(TableDiv[[GASB]:[GASB]],_xlfn.AGGREGATE(15,3,(TableDiv[[Agency]:[Agency]]=$E152)/(TableDiv[[Agency]:[Agency]]=$E152)*(ROW(TableDiv[Agency])-ROW(TableDiv[[#Headers],[Agency]])),COLUMNS($F$7:AI$7))))</f>
        <v/>
      </c>
      <c r="AJ152" s="2223" t="str" cm="1">
        <f t="array" ref="AJ152">IF($D152&lt;COLUMNS($F$7:AJ$7),"",INDEX(TableDiv[[GASB]:[GASB]],_xlfn.AGGREGATE(15,3,(TableDiv[[Agency]:[Agency]]=$E152)/(TableDiv[[Agency]:[Agency]]=$E152)*(ROW(TableDiv[Agency])-ROW(TableDiv[[#Headers],[Agency]])),COLUMNS($F$7:AJ$7))))</f>
        <v/>
      </c>
      <c r="AK152" s="2223" t="str" cm="1">
        <f t="array" ref="AK152">IF($D152&lt;COLUMNS($F$7:AK$7),"",INDEX(TableDiv[[GASB]:[GASB]],_xlfn.AGGREGATE(15,3,(TableDiv[[Agency]:[Agency]]=$E152)/(TableDiv[[Agency]:[Agency]]=$E152)*(ROW(TableDiv[Agency])-ROW(TableDiv[[#Headers],[Agency]])),COLUMNS($F$7:AK$7))))</f>
        <v/>
      </c>
      <c r="AL152" s="2223" t="str" cm="1">
        <f t="array" ref="AL152">IF($D152&lt;COLUMNS($F$7:AL$7),"",INDEX(TableDiv[[GASB]:[GASB]],_xlfn.AGGREGATE(15,3,(TableDiv[[Agency]:[Agency]]=$E152)/(TableDiv[[Agency]:[Agency]]=$E152)*(ROW(TableDiv[Agency])-ROW(TableDiv[[#Headers],[Agency]])),COLUMNS($F$7:AL$7))))</f>
        <v/>
      </c>
      <c r="AM152" s="2223" t="str" cm="1">
        <f t="array" ref="AM152">IF($D152&lt;COLUMNS($F$7:AM$7),"",INDEX(TableDiv[[GASB]:[GASB]],_xlfn.AGGREGATE(15,3,(TableDiv[[Agency]:[Agency]]=$E152)/(TableDiv[[Agency]:[Agency]]=$E152)*(ROW(TableDiv[Agency])-ROW(TableDiv[[#Headers],[Agency]])),COLUMNS($F$7:AM$7))))</f>
        <v/>
      </c>
      <c r="AN152" s="2223"/>
      <c r="AO152" s="2223"/>
      <c r="AP152" s="2223"/>
      <c r="AQ152" s="2223"/>
      <c r="AR152" s="2223"/>
      <c r="AS152" s="2223"/>
    </row>
    <row r="153" spans="1:45" ht="15" x14ac:dyDescent="0.25">
      <c r="A153" s="2219" t="s">
        <v>5111</v>
      </c>
      <c r="B153" s="2219" t="s">
        <v>6361</v>
      </c>
      <c r="C153" s="2223"/>
      <c r="D153" s="2223">
        <f>COUNTIF(TableDiv[Agency],E153)</f>
        <v>1</v>
      </c>
      <c r="E153" s="2230" t="str" cm="1">
        <f t="array" ref="E153">IFERROR(INDEX(TableDiv[Agency],MATCH(0,INDEX(COUNTIF($E$7:E152,TableDiv[Agency]),),0)),"")</f>
        <v>CG</v>
      </c>
      <c r="F153" s="2223" t="str" cm="1">
        <f t="array" ref="F153">IF($D153&lt;COLUMNS($F$7:F$7),"",INDEX(TableDiv[[GASB]:[GASB]],_xlfn.AGGREGATE(15,3,(TableDiv[[Agency]:[Agency]]=$E153)/(TableDiv[[Agency]:[Agency]]=$E153)*(ROW(TableDiv[Agency])-ROW(TableDiv[[#Headers],[Agency]])),COLUMNS($F$7:F$7))))</f>
        <v>48100G</v>
      </c>
      <c r="G153" s="2223" t="str" cm="1">
        <f t="array" ref="G153">IF($D153&lt;COLUMNS($F$7:G$7),"",INDEX(TableDiv[[GASB]:[GASB]],_xlfn.AGGREGATE(15,3,(TableDiv[[Agency]:[Agency]]=$E153)/(TableDiv[[Agency]:[Agency]]=$E153)*(ROW(TableDiv[Agency])-ROW(TableDiv[[#Headers],[Agency]])),COLUMNS($F$7:G$7))))</f>
        <v/>
      </c>
      <c r="H153" s="2223" t="str" cm="1">
        <f t="array" ref="H153">IF($D153&lt;COLUMNS($F$7:H$7),"",INDEX(TableDiv[[GASB]:[GASB]],_xlfn.AGGREGATE(15,3,(TableDiv[[Agency]:[Agency]]=$E153)/(TableDiv[[Agency]:[Agency]]=$E153)*(ROW(TableDiv[Agency])-ROW(TableDiv[[#Headers],[Agency]])),COLUMNS($F$7:H$7))))</f>
        <v/>
      </c>
      <c r="I153" s="2223" t="str" cm="1">
        <f t="array" ref="I153">IF($D153&lt;COLUMNS($F$7:I$7),"",INDEX(TableDiv[[GASB]:[GASB]],_xlfn.AGGREGATE(15,3,(TableDiv[[Agency]:[Agency]]=$E153)/(TableDiv[[Agency]:[Agency]]=$E153)*(ROW(TableDiv[Agency])-ROW(TableDiv[[#Headers],[Agency]])),COLUMNS($F$7:I$7))))</f>
        <v/>
      </c>
      <c r="J153" s="2223" t="str" cm="1">
        <f t="array" ref="J153">IF($D153&lt;COLUMNS($F$7:J$7),"",INDEX(TableDiv[[GASB]:[GASB]],_xlfn.AGGREGATE(15,3,(TableDiv[[Agency]:[Agency]]=$E153)/(TableDiv[[Agency]:[Agency]]=$E153)*(ROW(TableDiv[Agency])-ROW(TableDiv[[#Headers],[Agency]])),COLUMNS($F$7:J$7))))</f>
        <v/>
      </c>
      <c r="K153" s="2223" t="str" cm="1">
        <f t="array" ref="K153">IF($D153&lt;COLUMNS($F$7:K$7),"",INDEX(TableDiv[[GASB]:[GASB]],_xlfn.AGGREGATE(15,3,(TableDiv[[Agency]:[Agency]]=$E153)/(TableDiv[[Agency]:[Agency]]=$E153)*(ROW(TableDiv[Agency])-ROW(TableDiv[[#Headers],[Agency]])),COLUMNS($F$7:K$7))))</f>
        <v/>
      </c>
      <c r="L153" s="2223" t="str" cm="1">
        <f t="array" ref="L153">IF($D153&lt;COLUMNS($F$7:L$7),"",INDEX(TableDiv[[GASB]:[GASB]],_xlfn.AGGREGATE(15,3,(TableDiv[[Agency]:[Agency]]=$E153)/(TableDiv[[Agency]:[Agency]]=$E153)*(ROW(TableDiv[Agency])-ROW(TableDiv[[#Headers],[Agency]])),COLUMNS($F$7:L$7))))</f>
        <v/>
      </c>
      <c r="M153" s="2223" t="str" cm="1">
        <f t="array" ref="M153">IF($D153&lt;COLUMNS($F$7:M$7),"",INDEX(TableDiv[[GASB]:[GASB]],_xlfn.AGGREGATE(15,3,(TableDiv[[Agency]:[Agency]]=$E153)/(TableDiv[[Agency]:[Agency]]=$E153)*(ROW(TableDiv[Agency])-ROW(TableDiv[[#Headers],[Agency]])),COLUMNS($F$7:M$7))))</f>
        <v/>
      </c>
      <c r="N153" s="2223" t="str" cm="1">
        <f t="array" ref="N153">IF($D153&lt;COLUMNS($F$7:N$7),"",INDEX(TableDiv[[GASB]:[GASB]],_xlfn.AGGREGATE(15,3,(TableDiv[[Agency]:[Agency]]=$E153)/(TableDiv[[Agency]:[Agency]]=$E153)*(ROW(TableDiv[Agency])-ROW(TableDiv[[#Headers],[Agency]])),COLUMNS($F$7:N$7))))</f>
        <v/>
      </c>
      <c r="O153" s="2223" t="str" cm="1">
        <f t="array" ref="O153">IF($D153&lt;COLUMNS($F$7:O$7),"",INDEX(TableDiv[[GASB]:[GASB]],_xlfn.AGGREGATE(15,3,(TableDiv[[Agency]:[Agency]]=$E153)/(TableDiv[[Agency]:[Agency]]=$E153)*(ROW(TableDiv[Agency])-ROW(TableDiv[[#Headers],[Agency]])),COLUMNS($F$7:O$7))))</f>
        <v/>
      </c>
      <c r="P153" s="2223" t="str" cm="1">
        <f t="array" ref="P153">IF($D153&lt;COLUMNS($F$7:P$7),"",INDEX(TableDiv[[GASB]:[GASB]],_xlfn.AGGREGATE(15,3,(TableDiv[[Agency]:[Agency]]=$E153)/(TableDiv[[Agency]:[Agency]]=$E153)*(ROW(TableDiv[Agency])-ROW(TableDiv[[#Headers],[Agency]])),COLUMNS($F$7:P$7))))</f>
        <v/>
      </c>
      <c r="Q153" s="2223" t="str" cm="1">
        <f t="array" ref="Q153">IF($D153&lt;COLUMNS($F$7:Q$7),"",INDEX(TableDiv[[GASB]:[GASB]],_xlfn.AGGREGATE(15,3,(TableDiv[[Agency]:[Agency]]=$E153)/(TableDiv[[Agency]:[Agency]]=$E153)*(ROW(TableDiv[Agency])-ROW(TableDiv[[#Headers],[Agency]])),COLUMNS($F$7:Q$7))))</f>
        <v/>
      </c>
      <c r="R153" s="2223" t="str" cm="1">
        <f t="array" ref="R153">IF($D153&lt;COLUMNS($F$7:R$7),"",INDEX(TableDiv[[GASB]:[GASB]],_xlfn.AGGREGATE(15,3,(TableDiv[[Agency]:[Agency]]=$E153)/(TableDiv[[Agency]:[Agency]]=$E153)*(ROW(TableDiv[Agency])-ROW(TableDiv[[#Headers],[Agency]])),COLUMNS($F$7:R$7))))</f>
        <v/>
      </c>
      <c r="S153" s="2223" t="str" cm="1">
        <f t="array" ref="S153">IF($D153&lt;COLUMNS($F$7:S$7),"",INDEX(TableDiv[[GASB]:[GASB]],_xlfn.AGGREGATE(15,3,(TableDiv[[Agency]:[Agency]]=$E153)/(TableDiv[[Agency]:[Agency]]=$E153)*(ROW(TableDiv[Agency])-ROW(TableDiv[[#Headers],[Agency]])),COLUMNS($F$7:S$7))))</f>
        <v/>
      </c>
      <c r="T153" s="2223" t="str" cm="1">
        <f t="array" ref="T153">IF($D153&lt;COLUMNS($F$7:T$7),"",INDEX(TableDiv[[GASB]:[GASB]],_xlfn.AGGREGATE(15,3,(TableDiv[[Agency]:[Agency]]=$E153)/(TableDiv[[Agency]:[Agency]]=$E153)*(ROW(TableDiv[Agency])-ROW(TableDiv[[#Headers],[Agency]])),COLUMNS($F$7:T$7))))</f>
        <v/>
      </c>
      <c r="U153" s="2223" t="str" cm="1">
        <f t="array" ref="U153">IF($D153&lt;COLUMNS($F$7:U$7),"",INDEX(TableDiv[[GASB]:[GASB]],_xlfn.AGGREGATE(15,3,(TableDiv[[Agency]:[Agency]]=$E153)/(TableDiv[[Agency]:[Agency]]=$E153)*(ROW(TableDiv[Agency])-ROW(TableDiv[[#Headers],[Agency]])),COLUMNS($F$7:U$7))))</f>
        <v/>
      </c>
      <c r="V153" s="2223" t="str" cm="1">
        <f t="array" ref="V153">IF($D153&lt;COLUMNS($F$7:V$7),"",INDEX(TableDiv[[GASB]:[GASB]],_xlfn.AGGREGATE(15,3,(TableDiv[[Agency]:[Agency]]=$E153)/(TableDiv[[Agency]:[Agency]]=$E153)*(ROW(TableDiv[Agency])-ROW(TableDiv[[#Headers],[Agency]])),COLUMNS($F$7:V$7))))</f>
        <v/>
      </c>
      <c r="W153" s="2223" t="str" cm="1">
        <f t="array" ref="W153">IF($D153&lt;COLUMNS($F$7:W$7),"",INDEX(TableDiv[[GASB]:[GASB]],_xlfn.AGGREGATE(15,3,(TableDiv[[Agency]:[Agency]]=$E153)/(TableDiv[[Agency]:[Agency]]=$E153)*(ROW(TableDiv[Agency])-ROW(TableDiv[[#Headers],[Agency]])),COLUMNS($F$7:W$7))))</f>
        <v/>
      </c>
      <c r="X153" s="2223" t="str" cm="1">
        <f t="array" ref="X153">IF($D153&lt;COLUMNS($F$7:X$7),"",INDEX(TableDiv[[GASB]:[GASB]],_xlfn.AGGREGATE(15,3,(TableDiv[[Agency]:[Agency]]=$E153)/(TableDiv[[Agency]:[Agency]]=$E153)*(ROW(TableDiv[Agency])-ROW(TableDiv[[#Headers],[Agency]])),COLUMNS($F$7:X$7))))</f>
        <v/>
      </c>
      <c r="Y153" s="2223" t="str" cm="1">
        <f t="array" ref="Y153">IF($D153&lt;COLUMNS($F$7:Y$7),"",INDEX(TableDiv[[GASB]:[GASB]],_xlfn.AGGREGATE(15,3,(TableDiv[[Agency]:[Agency]]=$E153)/(TableDiv[[Agency]:[Agency]]=$E153)*(ROW(TableDiv[Agency])-ROW(TableDiv[[#Headers],[Agency]])),COLUMNS($F$7:Y$7))))</f>
        <v/>
      </c>
      <c r="Z153" s="2223" t="str" cm="1">
        <f t="array" ref="Z153">IF($D153&lt;COLUMNS($F$7:Z$7),"",INDEX(TableDiv[[GASB]:[GASB]],_xlfn.AGGREGATE(15,3,(TableDiv[[Agency]:[Agency]]=$E153)/(TableDiv[[Agency]:[Agency]]=$E153)*(ROW(TableDiv[Agency])-ROW(TableDiv[[#Headers],[Agency]])),COLUMNS($F$7:Z$7))))</f>
        <v/>
      </c>
      <c r="AA153" s="2223" t="str" cm="1">
        <f t="array" ref="AA153">IF($D153&lt;COLUMNS($F$7:AA$7),"",INDEX(TableDiv[[GASB]:[GASB]],_xlfn.AGGREGATE(15,3,(TableDiv[[Agency]:[Agency]]=$E153)/(TableDiv[[Agency]:[Agency]]=$E153)*(ROW(TableDiv[Agency])-ROW(TableDiv[[#Headers],[Agency]])),COLUMNS($F$7:AA$7))))</f>
        <v/>
      </c>
      <c r="AB153" s="2223" t="str" cm="1">
        <f t="array" ref="AB153">IF($D153&lt;COLUMNS($F$7:AB$7),"",INDEX(TableDiv[[GASB]:[GASB]],_xlfn.AGGREGATE(15,3,(TableDiv[[Agency]:[Agency]]=$E153)/(TableDiv[[Agency]:[Agency]]=$E153)*(ROW(TableDiv[Agency])-ROW(TableDiv[[#Headers],[Agency]])),COLUMNS($F$7:AB$7))))</f>
        <v/>
      </c>
      <c r="AC153" s="2223" t="str" cm="1">
        <f t="array" ref="AC153">IF($D153&lt;COLUMNS($F$7:AC$7),"",INDEX(TableDiv[[GASB]:[GASB]],_xlfn.AGGREGATE(15,3,(TableDiv[[Agency]:[Agency]]=$E153)/(TableDiv[[Agency]:[Agency]]=$E153)*(ROW(TableDiv[Agency])-ROW(TableDiv[[#Headers],[Agency]])),COLUMNS($F$7:AC$7))))</f>
        <v/>
      </c>
      <c r="AD153" s="2223" t="str" cm="1">
        <f t="array" ref="AD153">IF($D153&lt;COLUMNS($F$7:AD$7),"",INDEX(TableDiv[[GASB]:[GASB]],_xlfn.AGGREGATE(15,3,(TableDiv[[Agency]:[Agency]]=$E153)/(TableDiv[[Agency]:[Agency]]=$E153)*(ROW(TableDiv[Agency])-ROW(TableDiv[[#Headers],[Agency]])),COLUMNS($F$7:AD$7))))</f>
        <v/>
      </c>
      <c r="AE153" s="2223" t="str" cm="1">
        <f t="array" ref="AE153">IF($D153&lt;COLUMNS($F$7:AE$7),"",INDEX(TableDiv[[GASB]:[GASB]],_xlfn.AGGREGATE(15,3,(TableDiv[[Agency]:[Agency]]=$E153)/(TableDiv[[Agency]:[Agency]]=$E153)*(ROW(TableDiv[Agency])-ROW(TableDiv[[#Headers],[Agency]])),COLUMNS($F$7:AE$7))))</f>
        <v/>
      </c>
      <c r="AF153" s="2223" t="str" cm="1">
        <f t="array" ref="AF153">IF($D153&lt;COLUMNS($F$7:AF$7),"",INDEX(TableDiv[[GASB]:[GASB]],_xlfn.AGGREGATE(15,3,(TableDiv[[Agency]:[Agency]]=$E153)/(TableDiv[[Agency]:[Agency]]=$E153)*(ROW(TableDiv[Agency])-ROW(TableDiv[[#Headers],[Agency]])),COLUMNS($F$7:AF$7))))</f>
        <v/>
      </c>
      <c r="AG153" s="2223" t="str" cm="1">
        <f t="array" ref="AG153">IF($D153&lt;COLUMNS($F$7:AG$7),"",INDEX(TableDiv[[GASB]:[GASB]],_xlfn.AGGREGATE(15,3,(TableDiv[[Agency]:[Agency]]=$E153)/(TableDiv[[Agency]:[Agency]]=$E153)*(ROW(TableDiv[Agency])-ROW(TableDiv[[#Headers],[Agency]])),COLUMNS($F$7:AG$7))))</f>
        <v/>
      </c>
      <c r="AH153" s="2223" t="str" cm="1">
        <f t="array" ref="AH153">IF($D153&lt;COLUMNS($F$7:AH$7),"",INDEX(TableDiv[[GASB]:[GASB]],_xlfn.AGGREGATE(15,3,(TableDiv[[Agency]:[Agency]]=$E153)/(TableDiv[[Agency]:[Agency]]=$E153)*(ROW(TableDiv[Agency])-ROW(TableDiv[[#Headers],[Agency]])),COLUMNS($F$7:AH$7))))</f>
        <v/>
      </c>
      <c r="AI153" s="2223" t="str" cm="1">
        <f t="array" ref="AI153">IF($D153&lt;COLUMNS($F$7:AI$7),"",INDEX(TableDiv[[GASB]:[GASB]],_xlfn.AGGREGATE(15,3,(TableDiv[[Agency]:[Agency]]=$E153)/(TableDiv[[Agency]:[Agency]]=$E153)*(ROW(TableDiv[Agency])-ROW(TableDiv[[#Headers],[Agency]])),COLUMNS($F$7:AI$7))))</f>
        <v/>
      </c>
      <c r="AJ153" s="2223" t="str" cm="1">
        <f t="array" ref="AJ153">IF($D153&lt;COLUMNS($F$7:AJ$7),"",INDEX(TableDiv[[GASB]:[GASB]],_xlfn.AGGREGATE(15,3,(TableDiv[[Agency]:[Agency]]=$E153)/(TableDiv[[Agency]:[Agency]]=$E153)*(ROW(TableDiv[Agency])-ROW(TableDiv[[#Headers],[Agency]])),COLUMNS($F$7:AJ$7))))</f>
        <v/>
      </c>
      <c r="AK153" s="2223" t="str" cm="1">
        <f t="array" ref="AK153">IF($D153&lt;COLUMNS($F$7:AK$7),"",INDEX(TableDiv[[GASB]:[GASB]],_xlfn.AGGREGATE(15,3,(TableDiv[[Agency]:[Agency]]=$E153)/(TableDiv[[Agency]:[Agency]]=$E153)*(ROW(TableDiv[Agency])-ROW(TableDiv[[#Headers],[Agency]])),COLUMNS($F$7:AK$7))))</f>
        <v/>
      </c>
      <c r="AL153" s="2223" t="str" cm="1">
        <f t="array" ref="AL153">IF($D153&lt;COLUMNS($F$7:AL$7),"",INDEX(TableDiv[[GASB]:[GASB]],_xlfn.AGGREGATE(15,3,(TableDiv[[Agency]:[Agency]]=$E153)/(TableDiv[[Agency]:[Agency]]=$E153)*(ROW(TableDiv[Agency])-ROW(TableDiv[[#Headers],[Agency]])),COLUMNS($F$7:AL$7))))</f>
        <v/>
      </c>
      <c r="AM153" s="2223" t="str" cm="1">
        <f t="array" ref="AM153">IF($D153&lt;COLUMNS($F$7:AM$7),"",INDEX(TableDiv[[GASB]:[GASB]],_xlfn.AGGREGATE(15,3,(TableDiv[[Agency]:[Agency]]=$E153)/(TableDiv[[Agency]:[Agency]]=$E153)*(ROW(TableDiv[Agency])-ROW(TableDiv[[#Headers],[Agency]])),COLUMNS($F$7:AM$7))))</f>
        <v/>
      </c>
      <c r="AN153" s="2223"/>
      <c r="AO153" s="2223"/>
      <c r="AP153" s="2223"/>
      <c r="AQ153" s="2223"/>
      <c r="AR153" s="2223"/>
      <c r="AS153" s="2223"/>
    </row>
    <row r="154" spans="1:45" ht="15" x14ac:dyDescent="0.25">
      <c r="A154" s="2219" t="s">
        <v>5111</v>
      </c>
      <c r="B154" s="2219" t="s">
        <v>6436</v>
      </c>
      <c r="C154" s="2223"/>
      <c r="D154" s="2223">
        <f>COUNTIF(TableDiv[Agency],E154)</f>
        <v>1</v>
      </c>
      <c r="E154" s="2230" t="str" cm="1">
        <f t="array" ref="E154">IFERROR(INDEX(TableDiv[Agency],MATCH(0,INDEX(COUNTIF($E$7:E153,TableDiv[Agency]),),0)),"")</f>
        <v>CH</v>
      </c>
      <c r="F154" s="2223" t="str" cm="1">
        <f t="array" ref="F154">IF($D154&lt;COLUMNS($F$7:F$7),"",INDEX(TableDiv[[GASB]:[GASB]],_xlfn.AGGREGATE(15,3,(TableDiv[[Agency]:[Agency]]=$E154)/(TableDiv[[Agency]:[Agency]]=$E154)*(ROW(TableDiv[Agency])-ROW(TableDiv[[#Headers],[Agency]])),COLUMNS($F$7:F$7))))</f>
        <v>48100G</v>
      </c>
      <c r="G154" s="2223" t="str" cm="1">
        <f t="array" ref="G154">IF($D154&lt;COLUMNS($F$7:G$7),"",INDEX(TableDiv[[GASB]:[GASB]],_xlfn.AGGREGATE(15,3,(TableDiv[[Agency]:[Agency]]=$E154)/(TableDiv[[Agency]:[Agency]]=$E154)*(ROW(TableDiv[Agency])-ROW(TableDiv[[#Headers],[Agency]])),COLUMNS($F$7:G$7))))</f>
        <v/>
      </c>
      <c r="H154" s="2223" t="str" cm="1">
        <f t="array" ref="H154">IF($D154&lt;COLUMNS($F$7:H$7),"",INDEX(TableDiv[[GASB]:[GASB]],_xlfn.AGGREGATE(15,3,(TableDiv[[Agency]:[Agency]]=$E154)/(TableDiv[[Agency]:[Agency]]=$E154)*(ROW(TableDiv[Agency])-ROW(TableDiv[[#Headers],[Agency]])),COLUMNS($F$7:H$7))))</f>
        <v/>
      </c>
      <c r="I154" s="2223" t="str" cm="1">
        <f t="array" ref="I154">IF($D154&lt;COLUMNS($F$7:I$7),"",INDEX(TableDiv[[GASB]:[GASB]],_xlfn.AGGREGATE(15,3,(TableDiv[[Agency]:[Agency]]=$E154)/(TableDiv[[Agency]:[Agency]]=$E154)*(ROW(TableDiv[Agency])-ROW(TableDiv[[#Headers],[Agency]])),COLUMNS($F$7:I$7))))</f>
        <v/>
      </c>
      <c r="J154" s="2223" t="str" cm="1">
        <f t="array" ref="J154">IF($D154&lt;COLUMNS($F$7:J$7),"",INDEX(TableDiv[[GASB]:[GASB]],_xlfn.AGGREGATE(15,3,(TableDiv[[Agency]:[Agency]]=$E154)/(TableDiv[[Agency]:[Agency]]=$E154)*(ROW(TableDiv[Agency])-ROW(TableDiv[[#Headers],[Agency]])),COLUMNS($F$7:J$7))))</f>
        <v/>
      </c>
      <c r="K154" s="2223" t="str" cm="1">
        <f t="array" ref="K154">IF($D154&lt;COLUMNS($F$7:K$7),"",INDEX(TableDiv[[GASB]:[GASB]],_xlfn.AGGREGATE(15,3,(TableDiv[[Agency]:[Agency]]=$E154)/(TableDiv[[Agency]:[Agency]]=$E154)*(ROW(TableDiv[Agency])-ROW(TableDiv[[#Headers],[Agency]])),COLUMNS($F$7:K$7))))</f>
        <v/>
      </c>
      <c r="L154" s="2223" t="str" cm="1">
        <f t="array" ref="L154">IF($D154&lt;COLUMNS($F$7:L$7),"",INDEX(TableDiv[[GASB]:[GASB]],_xlfn.AGGREGATE(15,3,(TableDiv[[Agency]:[Agency]]=$E154)/(TableDiv[[Agency]:[Agency]]=$E154)*(ROW(TableDiv[Agency])-ROW(TableDiv[[#Headers],[Agency]])),COLUMNS($F$7:L$7))))</f>
        <v/>
      </c>
      <c r="M154" s="2223" t="str" cm="1">
        <f t="array" ref="M154">IF($D154&lt;COLUMNS($F$7:M$7),"",INDEX(TableDiv[[GASB]:[GASB]],_xlfn.AGGREGATE(15,3,(TableDiv[[Agency]:[Agency]]=$E154)/(TableDiv[[Agency]:[Agency]]=$E154)*(ROW(TableDiv[Agency])-ROW(TableDiv[[#Headers],[Agency]])),COLUMNS($F$7:M$7))))</f>
        <v/>
      </c>
      <c r="N154" s="2223" t="str" cm="1">
        <f t="array" ref="N154">IF($D154&lt;COLUMNS($F$7:N$7),"",INDEX(TableDiv[[GASB]:[GASB]],_xlfn.AGGREGATE(15,3,(TableDiv[[Agency]:[Agency]]=$E154)/(TableDiv[[Agency]:[Agency]]=$E154)*(ROW(TableDiv[Agency])-ROW(TableDiv[[#Headers],[Agency]])),COLUMNS($F$7:N$7))))</f>
        <v/>
      </c>
      <c r="O154" s="2223" t="str" cm="1">
        <f t="array" ref="O154">IF($D154&lt;COLUMNS($F$7:O$7),"",INDEX(TableDiv[[GASB]:[GASB]],_xlfn.AGGREGATE(15,3,(TableDiv[[Agency]:[Agency]]=$E154)/(TableDiv[[Agency]:[Agency]]=$E154)*(ROW(TableDiv[Agency])-ROW(TableDiv[[#Headers],[Agency]])),COLUMNS($F$7:O$7))))</f>
        <v/>
      </c>
      <c r="P154" s="2223" t="str" cm="1">
        <f t="array" ref="P154">IF($D154&lt;COLUMNS($F$7:P$7),"",INDEX(TableDiv[[GASB]:[GASB]],_xlfn.AGGREGATE(15,3,(TableDiv[[Agency]:[Agency]]=$E154)/(TableDiv[[Agency]:[Agency]]=$E154)*(ROW(TableDiv[Agency])-ROW(TableDiv[[#Headers],[Agency]])),COLUMNS($F$7:P$7))))</f>
        <v/>
      </c>
      <c r="Q154" s="2223" t="str" cm="1">
        <f t="array" ref="Q154">IF($D154&lt;COLUMNS($F$7:Q$7),"",INDEX(TableDiv[[GASB]:[GASB]],_xlfn.AGGREGATE(15,3,(TableDiv[[Agency]:[Agency]]=$E154)/(TableDiv[[Agency]:[Agency]]=$E154)*(ROW(TableDiv[Agency])-ROW(TableDiv[[#Headers],[Agency]])),COLUMNS($F$7:Q$7))))</f>
        <v/>
      </c>
      <c r="R154" s="2223" t="str" cm="1">
        <f t="array" ref="R154">IF($D154&lt;COLUMNS($F$7:R$7),"",INDEX(TableDiv[[GASB]:[GASB]],_xlfn.AGGREGATE(15,3,(TableDiv[[Agency]:[Agency]]=$E154)/(TableDiv[[Agency]:[Agency]]=$E154)*(ROW(TableDiv[Agency])-ROW(TableDiv[[#Headers],[Agency]])),COLUMNS($F$7:R$7))))</f>
        <v/>
      </c>
      <c r="S154" s="2223" t="str" cm="1">
        <f t="array" ref="S154">IF($D154&lt;COLUMNS($F$7:S$7),"",INDEX(TableDiv[[GASB]:[GASB]],_xlfn.AGGREGATE(15,3,(TableDiv[[Agency]:[Agency]]=$E154)/(TableDiv[[Agency]:[Agency]]=$E154)*(ROW(TableDiv[Agency])-ROW(TableDiv[[#Headers],[Agency]])),COLUMNS($F$7:S$7))))</f>
        <v/>
      </c>
      <c r="T154" s="2223" t="str" cm="1">
        <f t="array" ref="T154">IF($D154&lt;COLUMNS($F$7:T$7),"",INDEX(TableDiv[[GASB]:[GASB]],_xlfn.AGGREGATE(15,3,(TableDiv[[Agency]:[Agency]]=$E154)/(TableDiv[[Agency]:[Agency]]=$E154)*(ROW(TableDiv[Agency])-ROW(TableDiv[[#Headers],[Agency]])),COLUMNS($F$7:T$7))))</f>
        <v/>
      </c>
      <c r="U154" s="2223" t="str" cm="1">
        <f t="array" ref="U154">IF($D154&lt;COLUMNS($F$7:U$7),"",INDEX(TableDiv[[GASB]:[GASB]],_xlfn.AGGREGATE(15,3,(TableDiv[[Agency]:[Agency]]=$E154)/(TableDiv[[Agency]:[Agency]]=$E154)*(ROW(TableDiv[Agency])-ROW(TableDiv[[#Headers],[Agency]])),COLUMNS($F$7:U$7))))</f>
        <v/>
      </c>
      <c r="V154" s="2223" t="str" cm="1">
        <f t="array" ref="V154">IF($D154&lt;COLUMNS($F$7:V$7),"",INDEX(TableDiv[[GASB]:[GASB]],_xlfn.AGGREGATE(15,3,(TableDiv[[Agency]:[Agency]]=$E154)/(TableDiv[[Agency]:[Agency]]=$E154)*(ROW(TableDiv[Agency])-ROW(TableDiv[[#Headers],[Agency]])),COLUMNS($F$7:V$7))))</f>
        <v/>
      </c>
      <c r="W154" s="2223" t="str" cm="1">
        <f t="array" ref="W154">IF($D154&lt;COLUMNS($F$7:W$7),"",INDEX(TableDiv[[GASB]:[GASB]],_xlfn.AGGREGATE(15,3,(TableDiv[[Agency]:[Agency]]=$E154)/(TableDiv[[Agency]:[Agency]]=$E154)*(ROW(TableDiv[Agency])-ROW(TableDiv[[#Headers],[Agency]])),COLUMNS($F$7:W$7))))</f>
        <v/>
      </c>
      <c r="X154" s="2223" t="str" cm="1">
        <f t="array" ref="X154">IF($D154&lt;COLUMNS($F$7:X$7),"",INDEX(TableDiv[[GASB]:[GASB]],_xlfn.AGGREGATE(15,3,(TableDiv[[Agency]:[Agency]]=$E154)/(TableDiv[[Agency]:[Agency]]=$E154)*(ROW(TableDiv[Agency])-ROW(TableDiv[[#Headers],[Agency]])),COLUMNS($F$7:X$7))))</f>
        <v/>
      </c>
      <c r="Y154" s="2223" t="str" cm="1">
        <f t="array" ref="Y154">IF($D154&lt;COLUMNS($F$7:Y$7),"",INDEX(TableDiv[[GASB]:[GASB]],_xlfn.AGGREGATE(15,3,(TableDiv[[Agency]:[Agency]]=$E154)/(TableDiv[[Agency]:[Agency]]=$E154)*(ROW(TableDiv[Agency])-ROW(TableDiv[[#Headers],[Agency]])),COLUMNS($F$7:Y$7))))</f>
        <v/>
      </c>
      <c r="Z154" s="2223" t="str" cm="1">
        <f t="array" ref="Z154">IF($D154&lt;COLUMNS($F$7:Z$7),"",INDEX(TableDiv[[GASB]:[GASB]],_xlfn.AGGREGATE(15,3,(TableDiv[[Agency]:[Agency]]=$E154)/(TableDiv[[Agency]:[Agency]]=$E154)*(ROW(TableDiv[Agency])-ROW(TableDiv[[#Headers],[Agency]])),COLUMNS($F$7:Z$7))))</f>
        <v/>
      </c>
      <c r="AA154" s="2223" t="str" cm="1">
        <f t="array" ref="AA154">IF($D154&lt;COLUMNS($F$7:AA$7),"",INDEX(TableDiv[[GASB]:[GASB]],_xlfn.AGGREGATE(15,3,(TableDiv[[Agency]:[Agency]]=$E154)/(TableDiv[[Agency]:[Agency]]=$E154)*(ROW(TableDiv[Agency])-ROW(TableDiv[[#Headers],[Agency]])),COLUMNS($F$7:AA$7))))</f>
        <v/>
      </c>
      <c r="AB154" s="2223" t="str" cm="1">
        <f t="array" ref="AB154">IF($D154&lt;COLUMNS($F$7:AB$7),"",INDEX(TableDiv[[GASB]:[GASB]],_xlfn.AGGREGATE(15,3,(TableDiv[[Agency]:[Agency]]=$E154)/(TableDiv[[Agency]:[Agency]]=$E154)*(ROW(TableDiv[Agency])-ROW(TableDiv[[#Headers],[Agency]])),COLUMNS($F$7:AB$7))))</f>
        <v/>
      </c>
      <c r="AC154" s="2223" t="str" cm="1">
        <f t="array" ref="AC154">IF($D154&lt;COLUMNS($F$7:AC$7),"",INDEX(TableDiv[[GASB]:[GASB]],_xlfn.AGGREGATE(15,3,(TableDiv[[Agency]:[Agency]]=$E154)/(TableDiv[[Agency]:[Agency]]=$E154)*(ROW(TableDiv[Agency])-ROW(TableDiv[[#Headers],[Agency]])),COLUMNS($F$7:AC$7))))</f>
        <v/>
      </c>
      <c r="AD154" s="2223" t="str" cm="1">
        <f t="array" ref="AD154">IF($D154&lt;COLUMNS($F$7:AD$7),"",INDEX(TableDiv[[GASB]:[GASB]],_xlfn.AGGREGATE(15,3,(TableDiv[[Agency]:[Agency]]=$E154)/(TableDiv[[Agency]:[Agency]]=$E154)*(ROW(TableDiv[Agency])-ROW(TableDiv[[#Headers],[Agency]])),COLUMNS($F$7:AD$7))))</f>
        <v/>
      </c>
      <c r="AE154" s="2223" t="str" cm="1">
        <f t="array" ref="AE154">IF($D154&lt;COLUMNS($F$7:AE$7),"",INDEX(TableDiv[[GASB]:[GASB]],_xlfn.AGGREGATE(15,3,(TableDiv[[Agency]:[Agency]]=$E154)/(TableDiv[[Agency]:[Agency]]=$E154)*(ROW(TableDiv[Agency])-ROW(TableDiv[[#Headers],[Agency]])),COLUMNS($F$7:AE$7))))</f>
        <v/>
      </c>
      <c r="AF154" s="2223" t="str" cm="1">
        <f t="array" ref="AF154">IF($D154&lt;COLUMNS($F$7:AF$7),"",INDEX(TableDiv[[GASB]:[GASB]],_xlfn.AGGREGATE(15,3,(TableDiv[[Agency]:[Agency]]=$E154)/(TableDiv[[Agency]:[Agency]]=$E154)*(ROW(TableDiv[Agency])-ROW(TableDiv[[#Headers],[Agency]])),COLUMNS($F$7:AF$7))))</f>
        <v/>
      </c>
      <c r="AG154" s="2223" t="str" cm="1">
        <f t="array" ref="AG154">IF($D154&lt;COLUMNS($F$7:AG$7),"",INDEX(TableDiv[[GASB]:[GASB]],_xlfn.AGGREGATE(15,3,(TableDiv[[Agency]:[Agency]]=$E154)/(TableDiv[[Agency]:[Agency]]=$E154)*(ROW(TableDiv[Agency])-ROW(TableDiv[[#Headers],[Agency]])),COLUMNS($F$7:AG$7))))</f>
        <v/>
      </c>
      <c r="AH154" s="2223" t="str" cm="1">
        <f t="array" ref="AH154">IF($D154&lt;COLUMNS($F$7:AH$7),"",INDEX(TableDiv[[GASB]:[GASB]],_xlfn.AGGREGATE(15,3,(TableDiv[[Agency]:[Agency]]=$E154)/(TableDiv[[Agency]:[Agency]]=$E154)*(ROW(TableDiv[Agency])-ROW(TableDiv[[#Headers],[Agency]])),COLUMNS($F$7:AH$7))))</f>
        <v/>
      </c>
      <c r="AI154" s="2223" t="str" cm="1">
        <f t="array" ref="AI154">IF($D154&lt;COLUMNS($F$7:AI$7),"",INDEX(TableDiv[[GASB]:[GASB]],_xlfn.AGGREGATE(15,3,(TableDiv[[Agency]:[Agency]]=$E154)/(TableDiv[[Agency]:[Agency]]=$E154)*(ROW(TableDiv[Agency])-ROW(TableDiv[[#Headers],[Agency]])),COLUMNS($F$7:AI$7))))</f>
        <v/>
      </c>
      <c r="AJ154" s="2223" t="str" cm="1">
        <f t="array" ref="AJ154">IF($D154&lt;COLUMNS($F$7:AJ$7),"",INDEX(TableDiv[[GASB]:[GASB]],_xlfn.AGGREGATE(15,3,(TableDiv[[Agency]:[Agency]]=$E154)/(TableDiv[[Agency]:[Agency]]=$E154)*(ROW(TableDiv[Agency])-ROW(TableDiv[[#Headers],[Agency]])),COLUMNS($F$7:AJ$7))))</f>
        <v/>
      </c>
      <c r="AK154" s="2223" t="str" cm="1">
        <f t="array" ref="AK154">IF($D154&lt;COLUMNS($F$7:AK$7),"",INDEX(TableDiv[[GASB]:[GASB]],_xlfn.AGGREGATE(15,3,(TableDiv[[Agency]:[Agency]]=$E154)/(TableDiv[[Agency]:[Agency]]=$E154)*(ROW(TableDiv[Agency])-ROW(TableDiv[[#Headers],[Agency]])),COLUMNS($F$7:AK$7))))</f>
        <v/>
      </c>
      <c r="AL154" s="2223" t="str" cm="1">
        <f t="array" ref="AL154">IF($D154&lt;COLUMNS($F$7:AL$7),"",INDEX(TableDiv[[GASB]:[GASB]],_xlfn.AGGREGATE(15,3,(TableDiv[[Agency]:[Agency]]=$E154)/(TableDiv[[Agency]:[Agency]]=$E154)*(ROW(TableDiv[Agency])-ROW(TableDiv[[#Headers],[Agency]])),COLUMNS($F$7:AL$7))))</f>
        <v/>
      </c>
      <c r="AM154" s="2223" t="str" cm="1">
        <f t="array" ref="AM154">IF($D154&lt;COLUMNS($F$7:AM$7),"",INDEX(TableDiv[[GASB]:[GASB]],_xlfn.AGGREGATE(15,3,(TableDiv[[Agency]:[Agency]]=$E154)/(TableDiv[[Agency]:[Agency]]=$E154)*(ROW(TableDiv[Agency])-ROW(TableDiv[[#Headers],[Agency]])),COLUMNS($F$7:AM$7))))</f>
        <v/>
      </c>
      <c r="AN154" s="2223"/>
      <c r="AO154" s="2223"/>
      <c r="AP154" s="2223"/>
      <c r="AQ154" s="2223"/>
      <c r="AR154" s="2223"/>
      <c r="AS154" s="2223"/>
    </row>
    <row r="155" spans="1:45" ht="15" x14ac:dyDescent="0.25">
      <c r="A155" s="2219" t="s">
        <v>5111</v>
      </c>
      <c r="B155" s="2219" t="s">
        <v>6358</v>
      </c>
      <c r="C155" s="2223"/>
      <c r="D155" s="2223">
        <f>COUNTIF(TableDiv[Agency],E155)</f>
        <v>1</v>
      </c>
      <c r="E155" s="2230" t="str" cm="1">
        <f t="array" ref="E155">IFERROR(INDEX(TableDiv[Agency],MATCH(0,INDEX(COUNTIF($E$7:E154,TableDiv[Agency]),),0)),"")</f>
        <v>CJ</v>
      </c>
      <c r="F155" s="2223" t="str" cm="1">
        <f t="array" ref="F155">IF($D155&lt;COLUMNS($F$7:F$7),"",INDEX(TableDiv[[GASB]:[GASB]],_xlfn.AGGREGATE(15,3,(TableDiv[[Agency]:[Agency]]=$E155)/(TableDiv[[Agency]:[Agency]]=$E155)*(ROW(TableDiv[Agency])-ROW(TableDiv[[#Headers],[Agency]])),COLUMNS($F$7:F$7))))</f>
        <v>48100G</v>
      </c>
      <c r="G155" s="2223" t="str" cm="1">
        <f t="array" ref="G155">IF($D155&lt;COLUMNS($F$7:G$7),"",INDEX(TableDiv[[GASB]:[GASB]],_xlfn.AGGREGATE(15,3,(TableDiv[[Agency]:[Agency]]=$E155)/(TableDiv[[Agency]:[Agency]]=$E155)*(ROW(TableDiv[Agency])-ROW(TableDiv[[#Headers],[Agency]])),COLUMNS($F$7:G$7))))</f>
        <v/>
      </c>
      <c r="H155" s="2223" t="str" cm="1">
        <f t="array" ref="H155">IF($D155&lt;COLUMNS($F$7:H$7),"",INDEX(TableDiv[[GASB]:[GASB]],_xlfn.AGGREGATE(15,3,(TableDiv[[Agency]:[Agency]]=$E155)/(TableDiv[[Agency]:[Agency]]=$E155)*(ROW(TableDiv[Agency])-ROW(TableDiv[[#Headers],[Agency]])),COLUMNS($F$7:H$7))))</f>
        <v/>
      </c>
      <c r="I155" s="2223" t="str" cm="1">
        <f t="array" ref="I155">IF($D155&lt;COLUMNS($F$7:I$7),"",INDEX(TableDiv[[GASB]:[GASB]],_xlfn.AGGREGATE(15,3,(TableDiv[[Agency]:[Agency]]=$E155)/(TableDiv[[Agency]:[Agency]]=$E155)*(ROW(TableDiv[Agency])-ROW(TableDiv[[#Headers],[Agency]])),COLUMNS($F$7:I$7))))</f>
        <v/>
      </c>
      <c r="J155" s="2223" t="str" cm="1">
        <f t="array" ref="J155">IF($D155&lt;COLUMNS($F$7:J$7),"",INDEX(TableDiv[[GASB]:[GASB]],_xlfn.AGGREGATE(15,3,(TableDiv[[Agency]:[Agency]]=$E155)/(TableDiv[[Agency]:[Agency]]=$E155)*(ROW(TableDiv[Agency])-ROW(TableDiv[[#Headers],[Agency]])),COLUMNS($F$7:J$7))))</f>
        <v/>
      </c>
      <c r="K155" s="2223" t="str" cm="1">
        <f t="array" ref="K155">IF($D155&lt;COLUMNS($F$7:K$7),"",INDEX(TableDiv[[GASB]:[GASB]],_xlfn.AGGREGATE(15,3,(TableDiv[[Agency]:[Agency]]=$E155)/(TableDiv[[Agency]:[Agency]]=$E155)*(ROW(TableDiv[Agency])-ROW(TableDiv[[#Headers],[Agency]])),COLUMNS($F$7:K$7))))</f>
        <v/>
      </c>
      <c r="L155" s="2223" t="str" cm="1">
        <f t="array" ref="L155">IF($D155&lt;COLUMNS($F$7:L$7),"",INDEX(TableDiv[[GASB]:[GASB]],_xlfn.AGGREGATE(15,3,(TableDiv[[Agency]:[Agency]]=$E155)/(TableDiv[[Agency]:[Agency]]=$E155)*(ROW(TableDiv[Agency])-ROW(TableDiv[[#Headers],[Agency]])),COLUMNS($F$7:L$7))))</f>
        <v/>
      </c>
      <c r="M155" s="2223" t="str" cm="1">
        <f t="array" ref="M155">IF($D155&lt;COLUMNS($F$7:M$7),"",INDEX(TableDiv[[GASB]:[GASB]],_xlfn.AGGREGATE(15,3,(TableDiv[[Agency]:[Agency]]=$E155)/(TableDiv[[Agency]:[Agency]]=$E155)*(ROW(TableDiv[Agency])-ROW(TableDiv[[#Headers],[Agency]])),COLUMNS($F$7:M$7))))</f>
        <v/>
      </c>
      <c r="N155" s="2223" t="str" cm="1">
        <f t="array" ref="N155">IF($D155&lt;COLUMNS($F$7:N$7),"",INDEX(TableDiv[[GASB]:[GASB]],_xlfn.AGGREGATE(15,3,(TableDiv[[Agency]:[Agency]]=$E155)/(TableDiv[[Agency]:[Agency]]=$E155)*(ROW(TableDiv[Agency])-ROW(TableDiv[[#Headers],[Agency]])),COLUMNS($F$7:N$7))))</f>
        <v/>
      </c>
      <c r="O155" s="2223" t="str" cm="1">
        <f t="array" ref="O155">IF($D155&lt;COLUMNS($F$7:O$7),"",INDEX(TableDiv[[GASB]:[GASB]],_xlfn.AGGREGATE(15,3,(TableDiv[[Agency]:[Agency]]=$E155)/(TableDiv[[Agency]:[Agency]]=$E155)*(ROW(TableDiv[Agency])-ROW(TableDiv[[#Headers],[Agency]])),COLUMNS($F$7:O$7))))</f>
        <v/>
      </c>
      <c r="P155" s="2223" t="str" cm="1">
        <f t="array" ref="P155">IF($D155&lt;COLUMNS($F$7:P$7),"",INDEX(TableDiv[[GASB]:[GASB]],_xlfn.AGGREGATE(15,3,(TableDiv[[Agency]:[Agency]]=$E155)/(TableDiv[[Agency]:[Agency]]=$E155)*(ROW(TableDiv[Agency])-ROW(TableDiv[[#Headers],[Agency]])),COLUMNS($F$7:P$7))))</f>
        <v/>
      </c>
      <c r="Q155" s="2223" t="str" cm="1">
        <f t="array" ref="Q155">IF($D155&lt;COLUMNS($F$7:Q$7),"",INDEX(TableDiv[[GASB]:[GASB]],_xlfn.AGGREGATE(15,3,(TableDiv[[Agency]:[Agency]]=$E155)/(TableDiv[[Agency]:[Agency]]=$E155)*(ROW(TableDiv[Agency])-ROW(TableDiv[[#Headers],[Agency]])),COLUMNS($F$7:Q$7))))</f>
        <v/>
      </c>
      <c r="R155" s="2223" t="str" cm="1">
        <f t="array" ref="R155">IF($D155&lt;COLUMNS($F$7:R$7),"",INDEX(TableDiv[[GASB]:[GASB]],_xlfn.AGGREGATE(15,3,(TableDiv[[Agency]:[Agency]]=$E155)/(TableDiv[[Agency]:[Agency]]=$E155)*(ROW(TableDiv[Agency])-ROW(TableDiv[[#Headers],[Agency]])),COLUMNS($F$7:R$7))))</f>
        <v/>
      </c>
      <c r="S155" s="2223" t="str" cm="1">
        <f t="array" ref="S155">IF($D155&lt;COLUMNS($F$7:S$7),"",INDEX(TableDiv[[GASB]:[GASB]],_xlfn.AGGREGATE(15,3,(TableDiv[[Agency]:[Agency]]=$E155)/(TableDiv[[Agency]:[Agency]]=$E155)*(ROW(TableDiv[Agency])-ROW(TableDiv[[#Headers],[Agency]])),COLUMNS($F$7:S$7))))</f>
        <v/>
      </c>
      <c r="T155" s="2223" t="str" cm="1">
        <f t="array" ref="T155">IF($D155&lt;COLUMNS($F$7:T$7),"",INDEX(TableDiv[[GASB]:[GASB]],_xlfn.AGGREGATE(15,3,(TableDiv[[Agency]:[Agency]]=$E155)/(TableDiv[[Agency]:[Agency]]=$E155)*(ROW(TableDiv[Agency])-ROW(TableDiv[[#Headers],[Agency]])),COLUMNS($F$7:T$7))))</f>
        <v/>
      </c>
      <c r="U155" s="2223" t="str" cm="1">
        <f t="array" ref="U155">IF($D155&lt;COLUMNS($F$7:U$7),"",INDEX(TableDiv[[GASB]:[GASB]],_xlfn.AGGREGATE(15,3,(TableDiv[[Agency]:[Agency]]=$E155)/(TableDiv[[Agency]:[Agency]]=$E155)*(ROW(TableDiv[Agency])-ROW(TableDiv[[#Headers],[Agency]])),COLUMNS($F$7:U$7))))</f>
        <v/>
      </c>
      <c r="V155" s="2223" t="str" cm="1">
        <f t="array" ref="V155">IF($D155&lt;COLUMNS($F$7:V$7),"",INDEX(TableDiv[[GASB]:[GASB]],_xlfn.AGGREGATE(15,3,(TableDiv[[Agency]:[Agency]]=$E155)/(TableDiv[[Agency]:[Agency]]=$E155)*(ROW(TableDiv[Agency])-ROW(TableDiv[[#Headers],[Agency]])),COLUMNS($F$7:V$7))))</f>
        <v/>
      </c>
      <c r="W155" s="2223" t="str" cm="1">
        <f t="array" ref="W155">IF($D155&lt;COLUMNS($F$7:W$7),"",INDEX(TableDiv[[GASB]:[GASB]],_xlfn.AGGREGATE(15,3,(TableDiv[[Agency]:[Agency]]=$E155)/(TableDiv[[Agency]:[Agency]]=$E155)*(ROW(TableDiv[Agency])-ROW(TableDiv[[#Headers],[Agency]])),COLUMNS($F$7:W$7))))</f>
        <v/>
      </c>
      <c r="X155" s="2223" t="str" cm="1">
        <f t="array" ref="X155">IF($D155&lt;COLUMNS($F$7:X$7),"",INDEX(TableDiv[[GASB]:[GASB]],_xlfn.AGGREGATE(15,3,(TableDiv[[Agency]:[Agency]]=$E155)/(TableDiv[[Agency]:[Agency]]=$E155)*(ROW(TableDiv[Agency])-ROW(TableDiv[[#Headers],[Agency]])),COLUMNS($F$7:X$7))))</f>
        <v/>
      </c>
      <c r="Y155" s="2223" t="str" cm="1">
        <f t="array" ref="Y155">IF($D155&lt;COLUMNS($F$7:Y$7),"",INDEX(TableDiv[[GASB]:[GASB]],_xlfn.AGGREGATE(15,3,(TableDiv[[Agency]:[Agency]]=$E155)/(TableDiv[[Agency]:[Agency]]=$E155)*(ROW(TableDiv[Agency])-ROW(TableDiv[[#Headers],[Agency]])),COLUMNS($F$7:Y$7))))</f>
        <v/>
      </c>
      <c r="Z155" s="2223" t="str" cm="1">
        <f t="array" ref="Z155">IF($D155&lt;COLUMNS($F$7:Z$7),"",INDEX(TableDiv[[GASB]:[GASB]],_xlfn.AGGREGATE(15,3,(TableDiv[[Agency]:[Agency]]=$E155)/(TableDiv[[Agency]:[Agency]]=$E155)*(ROW(TableDiv[Agency])-ROW(TableDiv[[#Headers],[Agency]])),COLUMNS($F$7:Z$7))))</f>
        <v/>
      </c>
      <c r="AA155" s="2223" t="str" cm="1">
        <f t="array" ref="AA155">IF($D155&lt;COLUMNS($F$7:AA$7),"",INDEX(TableDiv[[GASB]:[GASB]],_xlfn.AGGREGATE(15,3,(TableDiv[[Agency]:[Agency]]=$E155)/(TableDiv[[Agency]:[Agency]]=$E155)*(ROW(TableDiv[Agency])-ROW(TableDiv[[#Headers],[Agency]])),COLUMNS($F$7:AA$7))))</f>
        <v/>
      </c>
      <c r="AB155" s="2223" t="str" cm="1">
        <f t="array" ref="AB155">IF($D155&lt;COLUMNS($F$7:AB$7),"",INDEX(TableDiv[[GASB]:[GASB]],_xlfn.AGGREGATE(15,3,(TableDiv[[Agency]:[Agency]]=$E155)/(TableDiv[[Agency]:[Agency]]=$E155)*(ROW(TableDiv[Agency])-ROW(TableDiv[[#Headers],[Agency]])),COLUMNS($F$7:AB$7))))</f>
        <v/>
      </c>
      <c r="AC155" s="2223" t="str" cm="1">
        <f t="array" ref="AC155">IF($D155&lt;COLUMNS($F$7:AC$7),"",INDEX(TableDiv[[GASB]:[GASB]],_xlfn.AGGREGATE(15,3,(TableDiv[[Agency]:[Agency]]=$E155)/(TableDiv[[Agency]:[Agency]]=$E155)*(ROW(TableDiv[Agency])-ROW(TableDiv[[#Headers],[Agency]])),COLUMNS($F$7:AC$7))))</f>
        <v/>
      </c>
      <c r="AD155" s="2223" t="str" cm="1">
        <f t="array" ref="AD155">IF($D155&lt;COLUMNS($F$7:AD$7),"",INDEX(TableDiv[[GASB]:[GASB]],_xlfn.AGGREGATE(15,3,(TableDiv[[Agency]:[Agency]]=$E155)/(TableDiv[[Agency]:[Agency]]=$E155)*(ROW(TableDiv[Agency])-ROW(TableDiv[[#Headers],[Agency]])),COLUMNS($F$7:AD$7))))</f>
        <v/>
      </c>
      <c r="AE155" s="2223" t="str" cm="1">
        <f t="array" ref="AE155">IF($D155&lt;COLUMNS($F$7:AE$7),"",INDEX(TableDiv[[GASB]:[GASB]],_xlfn.AGGREGATE(15,3,(TableDiv[[Agency]:[Agency]]=$E155)/(TableDiv[[Agency]:[Agency]]=$E155)*(ROW(TableDiv[Agency])-ROW(TableDiv[[#Headers],[Agency]])),COLUMNS($F$7:AE$7))))</f>
        <v/>
      </c>
      <c r="AF155" s="2223" t="str" cm="1">
        <f t="array" ref="AF155">IF($D155&lt;COLUMNS($F$7:AF$7),"",INDEX(TableDiv[[GASB]:[GASB]],_xlfn.AGGREGATE(15,3,(TableDiv[[Agency]:[Agency]]=$E155)/(TableDiv[[Agency]:[Agency]]=$E155)*(ROW(TableDiv[Agency])-ROW(TableDiv[[#Headers],[Agency]])),COLUMNS($F$7:AF$7))))</f>
        <v/>
      </c>
      <c r="AG155" s="2223" t="str" cm="1">
        <f t="array" ref="AG155">IF($D155&lt;COLUMNS($F$7:AG$7),"",INDEX(TableDiv[[GASB]:[GASB]],_xlfn.AGGREGATE(15,3,(TableDiv[[Agency]:[Agency]]=$E155)/(TableDiv[[Agency]:[Agency]]=$E155)*(ROW(TableDiv[Agency])-ROW(TableDiv[[#Headers],[Agency]])),COLUMNS($F$7:AG$7))))</f>
        <v/>
      </c>
      <c r="AH155" s="2223" t="str" cm="1">
        <f t="array" ref="AH155">IF($D155&lt;COLUMNS($F$7:AH$7),"",INDEX(TableDiv[[GASB]:[GASB]],_xlfn.AGGREGATE(15,3,(TableDiv[[Agency]:[Agency]]=$E155)/(TableDiv[[Agency]:[Agency]]=$E155)*(ROW(TableDiv[Agency])-ROW(TableDiv[[#Headers],[Agency]])),COLUMNS($F$7:AH$7))))</f>
        <v/>
      </c>
      <c r="AI155" s="2223" t="str" cm="1">
        <f t="array" ref="AI155">IF($D155&lt;COLUMNS($F$7:AI$7),"",INDEX(TableDiv[[GASB]:[GASB]],_xlfn.AGGREGATE(15,3,(TableDiv[[Agency]:[Agency]]=$E155)/(TableDiv[[Agency]:[Agency]]=$E155)*(ROW(TableDiv[Agency])-ROW(TableDiv[[#Headers],[Agency]])),COLUMNS($F$7:AI$7))))</f>
        <v/>
      </c>
      <c r="AJ155" s="2223" t="str" cm="1">
        <f t="array" ref="AJ155">IF($D155&lt;COLUMNS($F$7:AJ$7),"",INDEX(TableDiv[[GASB]:[GASB]],_xlfn.AGGREGATE(15,3,(TableDiv[[Agency]:[Agency]]=$E155)/(TableDiv[[Agency]:[Agency]]=$E155)*(ROW(TableDiv[Agency])-ROW(TableDiv[[#Headers],[Agency]])),COLUMNS($F$7:AJ$7))))</f>
        <v/>
      </c>
      <c r="AK155" s="2223" t="str" cm="1">
        <f t="array" ref="AK155">IF($D155&lt;COLUMNS($F$7:AK$7),"",INDEX(TableDiv[[GASB]:[GASB]],_xlfn.AGGREGATE(15,3,(TableDiv[[Agency]:[Agency]]=$E155)/(TableDiv[[Agency]:[Agency]]=$E155)*(ROW(TableDiv[Agency])-ROW(TableDiv[[#Headers],[Agency]])),COLUMNS($F$7:AK$7))))</f>
        <v/>
      </c>
      <c r="AL155" s="2223" t="str" cm="1">
        <f t="array" ref="AL155">IF($D155&lt;COLUMNS($F$7:AL$7),"",INDEX(TableDiv[[GASB]:[GASB]],_xlfn.AGGREGATE(15,3,(TableDiv[[Agency]:[Agency]]=$E155)/(TableDiv[[Agency]:[Agency]]=$E155)*(ROW(TableDiv[Agency])-ROW(TableDiv[[#Headers],[Agency]])),COLUMNS($F$7:AL$7))))</f>
        <v/>
      </c>
      <c r="AM155" s="2223" t="str" cm="1">
        <f t="array" ref="AM155">IF($D155&lt;COLUMNS($F$7:AM$7),"",INDEX(TableDiv[[GASB]:[GASB]],_xlfn.AGGREGATE(15,3,(TableDiv[[Agency]:[Agency]]=$E155)/(TableDiv[[Agency]:[Agency]]=$E155)*(ROW(TableDiv[Agency])-ROW(TableDiv[[#Headers],[Agency]])),COLUMNS($F$7:AM$7))))</f>
        <v/>
      </c>
      <c r="AN155" s="2223"/>
      <c r="AO155" s="2223"/>
      <c r="AP155" s="2223"/>
      <c r="AQ155" s="2223"/>
      <c r="AR155" s="2223"/>
      <c r="AS155" s="2223"/>
    </row>
    <row r="156" spans="1:45" ht="15" x14ac:dyDescent="0.25">
      <c r="A156" s="2219" t="s">
        <v>5111</v>
      </c>
      <c r="B156" s="2219" t="s">
        <v>6368</v>
      </c>
      <c r="C156" s="2223"/>
      <c r="D156" s="2223">
        <f>COUNTIF(TableDiv[Agency],E156)</f>
        <v>1</v>
      </c>
      <c r="E156" s="2230" t="str" cm="1">
        <f t="array" ref="E156">IFERROR(INDEX(TableDiv[Agency],MATCH(0,INDEX(COUNTIF($E$7:E155,TableDiv[Agency]),),0)),"")</f>
        <v>CK</v>
      </c>
      <c r="F156" s="2223" t="str" cm="1">
        <f t="array" ref="F156">IF($D156&lt;COLUMNS($F$7:F$7),"",INDEX(TableDiv[[GASB]:[GASB]],_xlfn.AGGREGATE(15,3,(TableDiv[[Agency]:[Agency]]=$E156)/(TableDiv[[Agency]:[Agency]]=$E156)*(ROW(TableDiv[Agency])-ROW(TableDiv[[#Headers],[Agency]])),COLUMNS($F$7:F$7))))</f>
        <v>48100G</v>
      </c>
      <c r="G156" s="2223" t="str" cm="1">
        <f t="array" ref="G156">IF($D156&lt;COLUMNS($F$7:G$7),"",INDEX(TableDiv[[GASB]:[GASB]],_xlfn.AGGREGATE(15,3,(TableDiv[[Agency]:[Agency]]=$E156)/(TableDiv[[Agency]:[Agency]]=$E156)*(ROW(TableDiv[Agency])-ROW(TableDiv[[#Headers],[Agency]])),COLUMNS($F$7:G$7))))</f>
        <v/>
      </c>
      <c r="H156" s="2223" t="str" cm="1">
        <f t="array" ref="H156">IF($D156&lt;COLUMNS($F$7:H$7),"",INDEX(TableDiv[[GASB]:[GASB]],_xlfn.AGGREGATE(15,3,(TableDiv[[Agency]:[Agency]]=$E156)/(TableDiv[[Agency]:[Agency]]=$E156)*(ROW(TableDiv[Agency])-ROW(TableDiv[[#Headers],[Agency]])),COLUMNS($F$7:H$7))))</f>
        <v/>
      </c>
      <c r="I156" s="2223" t="str" cm="1">
        <f t="array" ref="I156">IF($D156&lt;COLUMNS($F$7:I$7),"",INDEX(TableDiv[[GASB]:[GASB]],_xlfn.AGGREGATE(15,3,(TableDiv[[Agency]:[Agency]]=$E156)/(TableDiv[[Agency]:[Agency]]=$E156)*(ROW(TableDiv[Agency])-ROW(TableDiv[[#Headers],[Agency]])),COLUMNS($F$7:I$7))))</f>
        <v/>
      </c>
      <c r="J156" s="2223" t="str" cm="1">
        <f t="array" ref="J156">IF($D156&lt;COLUMNS($F$7:J$7),"",INDEX(TableDiv[[GASB]:[GASB]],_xlfn.AGGREGATE(15,3,(TableDiv[[Agency]:[Agency]]=$E156)/(TableDiv[[Agency]:[Agency]]=$E156)*(ROW(TableDiv[Agency])-ROW(TableDiv[[#Headers],[Agency]])),COLUMNS($F$7:J$7))))</f>
        <v/>
      </c>
      <c r="K156" s="2223" t="str" cm="1">
        <f t="array" ref="K156">IF($D156&lt;COLUMNS($F$7:K$7),"",INDEX(TableDiv[[GASB]:[GASB]],_xlfn.AGGREGATE(15,3,(TableDiv[[Agency]:[Agency]]=$E156)/(TableDiv[[Agency]:[Agency]]=$E156)*(ROW(TableDiv[Agency])-ROW(TableDiv[[#Headers],[Agency]])),COLUMNS($F$7:K$7))))</f>
        <v/>
      </c>
      <c r="L156" s="2223" t="str" cm="1">
        <f t="array" ref="L156">IF($D156&lt;COLUMNS($F$7:L$7),"",INDEX(TableDiv[[GASB]:[GASB]],_xlfn.AGGREGATE(15,3,(TableDiv[[Agency]:[Agency]]=$E156)/(TableDiv[[Agency]:[Agency]]=$E156)*(ROW(TableDiv[Agency])-ROW(TableDiv[[#Headers],[Agency]])),COLUMNS($F$7:L$7))))</f>
        <v/>
      </c>
      <c r="M156" s="2223" t="str" cm="1">
        <f t="array" ref="M156">IF($D156&lt;COLUMNS($F$7:M$7),"",INDEX(TableDiv[[GASB]:[GASB]],_xlfn.AGGREGATE(15,3,(TableDiv[[Agency]:[Agency]]=$E156)/(TableDiv[[Agency]:[Agency]]=$E156)*(ROW(TableDiv[Agency])-ROW(TableDiv[[#Headers],[Agency]])),COLUMNS($F$7:M$7))))</f>
        <v/>
      </c>
      <c r="N156" s="2223" t="str" cm="1">
        <f t="array" ref="N156">IF($D156&lt;COLUMNS($F$7:N$7),"",INDEX(TableDiv[[GASB]:[GASB]],_xlfn.AGGREGATE(15,3,(TableDiv[[Agency]:[Agency]]=$E156)/(TableDiv[[Agency]:[Agency]]=$E156)*(ROW(TableDiv[Agency])-ROW(TableDiv[[#Headers],[Agency]])),COLUMNS($F$7:N$7))))</f>
        <v/>
      </c>
      <c r="O156" s="2223" t="str" cm="1">
        <f t="array" ref="O156">IF($D156&lt;COLUMNS($F$7:O$7),"",INDEX(TableDiv[[GASB]:[GASB]],_xlfn.AGGREGATE(15,3,(TableDiv[[Agency]:[Agency]]=$E156)/(TableDiv[[Agency]:[Agency]]=$E156)*(ROW(TableDiv[Agency])-ROW(TableDiv[[#Headers],[Agency]])),COLUMNS($F$7:O$7))))</f>
        <v/>
      </c>
      <c r="P156" s="2223" t="str" cm="1">
        <f t="array" ref="P156">IF($D156&lt;COLUMNS($F$7:P$7),"",INDEX(TableDiv[[GASB]:[GASB]],_xlfn.AGGREGATE(15,3,(TableDiv[[Agency]:[Agency]]=$E156)/(TableDiv[[Agency]:[Agency]]=$E156)*(ROW(TableDiv[Agency])-ROW(TableDiv[[#Headers],[Agency]])),COLUMNS($F$7:P$7))))</f>
        <v/>
      </c>
      <c r="Q156" s="2223" t="str" cm="1">
        <f t="array" ref="Q156">IF($D156&lt;COLUMNS($F$7:Q$7),"",INDEX(TableDiv[[GASB]:[GASB]],_xlfn.AGGREGATE(15,3,(TableDiv[[Agency]:[Agency]]=$E156)/(TableDiv[[Agency]:[Agency]]=$E156)*(ROW(TableDiv[Agency])-ROW(TableDiv[[#Headers],[Agency]])),COLUMNS($F$7:Q$7))))</f>
        <v/>
      </c>
      <c r="R156" s="2223" t="str" cm="1">
        <f t="array" ref="R156">IF($D156&lt;COLUMNS($F$7:R$7),"",INDEX(TableDiv[[GASB]:[GASB]],_xlfn.AGGREGATE(15,3,(TableDiv[[Agency]:[Agency]]=$E156)/(TableDiv[[Agency]:[Agency]]=$E156)*(ROW(TableDiv[Agency])-ROW(TableDiv[[#Headers],[Agency]])),COLUMNS($F$7:R$7))))</f>
        <v/>
      </c>
      <c r="S156" s="2223" t="str" cm="1">
        <f t="array" ref="S156">IF($D156&lt;COLUMNS($F$7:S$7),"",INDEX(TableDiv[[GASB]:[GASB]],_xlfn.AGGREGATE(15,3,(TableDiv[[Agency]:[Agency]]=$E156)/(TableDiv[[Agency]:[Agency]]=$E156)*(ROW(TableDiv[Agency])-ROW(TableDiv[[#Headers],[Agency]])),COLUMNS($F$7:S$7))))</f>
        <v/>
      </c>
      <c r="T156" s="2223" t="str" cm="1">
        <f t="array" ref="T156">IF($D156&lt;COLUMNS($F$7:T$7),"",INDEX(TableDiv[[GASB]:[GASB]],_xlfn.AGGREGATE(15,3,(TableDiv[[Agency]:[Agency]]=$E156)/(TableDiv[[Agency]:[Agency]]=$E156)*(ROW(TableDiv[Agency])-ROW(TableDiv[[#Headers],[Agency]])),COLUMNS($F$7:T$7))))</f>
        <v/>
      </c>
      <c r="U156" s="2223" t="str" cm="1">
        <f t="array" ref="U156">IF($D156&lt;COLUMNS($F$7:U$7),"",INDEX(TableDiv[[GASB]:[GASB]],_xlfn.AGGREGATE(15,3,(TableDiv[[Agency]:[Agency]]=$E156)/(TableDiv[[Agency]:[Agency]]=$E156)*(ROW(TableDiv[Agency])-ROW(TableDiv[[#Headers],[Agency]])),COLUMNS($F$7:U$7))))</f>
        <v/>
      </c>
      <c r="V156" s="2223" t="str" cm="1">
        <f t="array" ref="V156">IF($D156&lt;COLUMNS($F$7:V$7),"",INDEX(TableDiv[[GASB]:[GASB]],_xlfn.AGGREGATE(15,3,(TableDiv[[Agency]:[Agency]]=$E156)/(TableDiv[[Agency]:[Agency]]=$E156)*(ROW(TableDiv[Agency])-ROW(TableDiv[[#Headers],[Agency]])),COLUMNS($F$7:V$7))))</f>
        <v/>
      </c>
      <c r="W156" s="2223" t="str" cm="1">
        <f t="array" ref="W156">IF($D156&lt;COLUMNS($F$7:W$7),"",INDEX(TableDiv[[GASB]:[GASB]],_xlfn.AGGREGATE(15,3,(TableDiv[[Agency]:[Agency]]=$E156)/(TableDiv[[Agency]:[Agency]]=$E156)*(ROW(TableDiv[Agency])-ROW(TableDiv[[#Headers],[Agency]])),COLUMNS($F$7:W$7))))</f>
        <v/>
      </c>
      <c r="X156" s="2223" t="str" cm="1">
        <f t="array" ref="X156">IF($D156&lt;COLUMNS($F$7:X$7),"",INDEX(TableDiv[[GASB]:[GASB]],_xlfn.AGGREGATE(15,3,(TableDiv[[Agency]:[Agency]]=$E156)/(TableDiv[[Agency]:[Agency]]=$E156)*(ROW(TableDiv[Agency])-ROW(TableDiv[[#Headers],[Agency]])),COLUMNS($F$7:X$7))))</f>
        <v/>
      </c>
      <c r="Y156" s="2223" t="str" cm="1">
        <f t="array" ref="Y156">IF($D156&lt;COLUMNS($F$7:Y$7),"",INDEX(TableDiv[[GASB]:[GASB]],_xlfn.AGGREGATE(15,3,(TableDiv[[Agency]:[Agency]]=$E156)/(TableDiv[[Agency]:[Agency]]=$E156)*(ROW(TableDiv[Agency])-ROW(TableDiv[[#Headers],[Agency]])),COLUMNS($F$7:Y$7))))</f>
        <v/>
      </c>
      <c r="Z156" s="2223" t="str" cm="1">
        <f t="array" ref="Z156">IF($D156&lt;COLUMNS($F$7:Z$7),"",INDEX(TableDiv[[GASB]:[GASB]],_xlfn.AGGREGATE(15,3,(TableDiv[[Agency]:[Agency]]=$E156)/(TableDiv[[Agency]:[Agency]]=$E156)*(ROW(TableDiv[Agency])-ROW(TableDiv[[#Headers],[Agency]])),COLUMNS($F$7:Z$7))))</f>
        <v/>
      </c>
      <c r="AA156" s="2223" t="str" cm="1">
        <f t="array" ref="AA156">IF($D156&lt;COLUMNS($F$7:AA$7),"",INDEX(TableDiv[[GASB]:[GASB]],_xlfn.AGGREGATE(15,3,(TableDiv[[Agency]:[Agency]]=$E156)/(TableDiv[[Agency]:[Agency]]=$E156)*(ROW(TableDiv[Agency])-ROW(TableDiv[[#Headers],[Agency]])),COLUMNS($F$7:AA$7))))</f>
        <v/>
      </c>
      <c r="AB156" s="2223" t="str" cm="1">
        <f t="array" ref="AB156">IF($D156&lt;COLUMNS($F$7:AB$7),"",INDEX(TableDiv[[GASB]:[GASB]],_xlfn.AGGREGATE(15,3,(TableDiv[[Agency]:[Agency]]=$E156)/(TableDiv[[Agency]:[Agency]]=$E156)*(ROW(TableDiv[Agency])-ROW(TableDiv[[#Headers],[Agency]])),COLUMNS($F$7:AB$7))))</f>
        <v/>
      </c>
      <c r="AC156" s="2223" t="str" cm="1">
        <f t="array" ref="AC156">IF($D156&lt;COLUMNS($F$7:AC$7),"",INDEX(TableDiv[[GASB]:[GASB]],_xlfn.AGGREGATE(15,3,(TableDiv[[Agency]:[Agency]]=$E156)/(TableDiv[[Agency]:[Agency]]=$E156)*(ROW(TableDiv[Agency])-ROW(TableDiv[[#Headers],[Agency]])),COLUMNS($F$7:AC$7))))</f>
        <v/>
      </c>
      <c r="AD156" s="2223" t="str" cm="1">
        <f t="array" ref="AD156">IF($D156&lt;COLUMNS($F$7:AD$7),"",INDEX(TableDiv[[GASB]:[GASB]],_xlfn.AGGREGATE(15,3,(TableDiv[[Agency]:[Agency]]=$E156)/(TableDiv[[Agency]:[Agency]]=$E156)*(ROW(TableDiv[Agency])-ROW(TableDiv[[#Headers],[Agency]])),COLUMNS($F$7:AD$7))))</f>
        <v/>
      </c>
      <c r="AE156" s="2223" t="str" cm="1">
        <f t="array" ref="AE156">IF($D156&lt;COLUMNS($F$7:AE$7),"",INDEX(TableDiv[[GASB]:[GASB]],_xlfn.AGGREGATE(15,3,(TableDiv[[Agency]:[Agency]]=$E156)/(TableDiv[[Agency]:[Agency]]=$E156)*(ROW(TableDiv[Agency])-ROW(TableDiv[[#Headers],[Agency]])),COLUMNS($F$7:AE$7))))</f>
        <v/>
      </c>
      <c r="AF156" s="2223" t="str" cm="1">
        <f t="array" ref="AF156">IF($D156&lt;COLUMNS($F$7:AF$7),"",INDEX(TableDiv[[GASB]:[GASB]],_xlfn.AGGREGATE(15,3,(TableDiv[[Agency]:[Agency]]=$E156)/(TableDiv[[Agency]:[Agency]]=$E156)*(ROW(TableDiv[Agency])-ROW(TableDiv[[#Headers],[Agency]])),COLUMNS($F$7:AF$7))))</f>
        <v/>
      </c>
      <c r="AG156" s="2223" t="str" cm="1">
        <f t="array" ref="AG156">IF($D156&lt;COLUMNS($F$7:AG$7),"",INDEX(TableDiv[[GASB]:[GASB]],_xlfn.AGGREGATE(15,3,(TableDiv[[Agency]:[Agency]]=$E156)/(TableDiv[[Agency]:[Agency]]=$E156)*(ROW(TableDiv[Agency])-ROW(TableDiv[[#Headers],[Agency]])),COLUMNS($F$7:AG$7))))</f>
        <v/>
      </c>
      <c r="AH156" s="2223" t="str" cm="1">
        <f t="array" ref="AH156">IF($D156&lt;COLUMNS($F$7:AH$7),"",INDEX(TableDiv[[GASB]:[GASB]],_xlfn.AGGREGATE(15,3,(TableDiv[[Agency]:[Agency]]=$E156)/(TableDiv[[Agency]:[Agency]]=$E156)*(ROW(TableDiv[Agency])-ROW(TableDiv[[#Headers],[Agency]])),COLUMNS($F$7:AH$7))))</f>
        <v/>
      </c>
      <c r="AI156" s="2223" t="str" cm="1">
        <f t="array" ref="AI156">IF($D156&lt;COLUMNS($F$7:AI$7),"",INDEX(TableDiv[[GASB]:[GASB]],_xlfn.AGGREGATE(15,3,(TableDiv[[Agency]:[Agency]]=$E156)/(TableDiv[[Agency]:[Agency]]=$E156)*(ROW(TableDiv[Agency])-ROW(TableDiv[[#Headers],[Agency]])),COLUMNS($F$7:AI$7))))</f>
        <v/>
      </c>
      <c r="AJ156" s="2223" t="str" cm="1">
        <f t="array" ref="AJ156">IF($D156&lt;COLUMNS($F$7:AJ$7),"",INDEX(TableDiv[[GASB]:[GASB]],_xlfn.AGGREGATE(15,3,(TableDiv[[Agency]:[Agency]]=$E156)/(TableDiv[[Agency]:[Agency]]=$E156)*(ROW(TableDiv[Agency])-ROW(TableDiv[[#Headers],[Agency]])),COLUMNS($F$7:AJ$7))))</f>
        <v/>
      </c>
      <c r="AK156" s="2223" t="str" cm="1">
        <f t="array" ref="AK156">IF($D156&lt;COLUMNS($F$7:AK$7),"",INDEX(TableDiv[[GASB]:[GASB]],_xlfn.AGGREGATE(15,3,(TableDiv[[Agency]:[Agency]]=$E156)/(TableDiv[[Agency]:[Agency]]=$E156)*(ROW(TableDiv[Agency])-ROW(TableDiv[[#Headers],[Agency]])),COLUMNS($F$7:AK$7))))</f>
        <v/>
      </c>
      <c r="AL156" s="2223" t="str" cm="1">
        <f t="array" ref="AL156">IF($D156&lt;COLUMNS($F$7:AL$7),"",INDEX(TableDiv[[GASB]:[GASB]],_xlfn.AGGREGATE(15,3,(TableDiv[[Agency]:[Agency]]=$E156)/(TableDiv[[Agency]:[Agency]]=$E156)*(ROW(TableDiv[Agency])-ROW(TableDiv[[#Headers],[Agency]])),COLUMNS($F$7:AL$7))))</f>
        <v/>
      </c>
      <c r="AM156" s="2223" t="str" cm="1">
        <f t="array" ref="AM156">IF($D156&lt;COLUMNS($F$7:AM$7),"",INDEX(TableDiv[[GASB]:[GASB]],_xlfn.AGGREGATE(15,3,(TableDiv[[Agency]:[Agency]]=$E156)/(TableDiv[[Agency]:[Agency]]=$E156)*(ROW(TableDiv[Agency])-ROW(TableDiv[[#Headers],[Agency]])),COLUMNS($F$7:AM$7))))</f>
        <v/>
      </c>
      <c r="AN156" s="2223"/>
      <c r="AO156" s="2223"/>
      <c r="AP156" s="2223"/>
      <c r="AQ156" s="2223"/>
      <c r="AR156" s="2223"/>
      <c r="AS156" s="2223"/>
    </row>
    <row r="157" spans="1:45" ht="15" x14ac:dyDescent="0.25">
      <c r="A157" s="2219" t="s">
        <v>5111</v>
      </c>
      <c r="B157" s="2219" t="s">
        <v>6402</v>
      </c>
      <c r="C157" s="2223"/>
      <c r="D157" s="2223">
        <f>COUNTIF(TableDiv[Agency],E157)</f>
        <v>1</v>
      </c>
      <c r="E157" s="2230" t="str" cm="1">
        <f t="array" ref="E157">IFERROR(INDEX(TableDiv[Agency],MATCH(0,INDEX(COUNTIF($E$7:E156,TableDiv[Agency]),),0)),"")</f>
        <v>CL</v>
      </c>
      <c r="F157" s="2223" t="str" cm="1">
        <f t="array" ref="F157">IF($D157&lt;COLUMNS($F$7:F$7),"",INDEX(TableDiv[[GASB]:[GASB]],_xlfn.AGGREGATE(15,3,(TableDiv[[Agency]:[Agency]]=$E157)/(TableDiv[[Agency]:[Agency]]=$E157)*(ROW(TableDiv[Agency])-ROW(TableDiv[[#Headers],[Agency]])),COLUMNS($F$7:F$7))))</f>
        <v>48100G</v>
      </c>
      <c r="G157" s="2223" t="str" cm="1">
        <f t="array" ref="G157">IF($D157&lt;COLUMNS($F$7:G$7),"",INDEX(TableDiv[[GASB]:[GASB]],_xlfn.AGGREGATE(15,3,(TableDiv[[Agency]:[Agency]]=$E157)/(TableDiv[[Agency]:[Agency]]=$E157)*(ROW(TableDiv[Agency])-ROW(TableDiv[[#Headers],[Agency]])),COLUMNS($F$7:G$7))))</f>
        <v/>
      </c>
      <c r="H157" s="2223" t="str" cm="1">
        <f t="array" ref="H157">IF($D157&lt;COLUMNS($F$7:H$7),"",INDEX(TableDiv[[GASB]:[GASB]],_xlfn.AGGREGATE(15,3,(TableDiv[[Agency]:[Agency]]=$E157)/(TableDiv[[Agency]:[Agency]]=$E157)*(ROW(TableDiv[Agency])-ROW(TableDiv[[#Headers],[Agency]])),COLUMNS($F$7:H$7))))</f>
        <v/>
      </c>
      <c r="I157" s="2223" t="str" cm="1">
        <f t="array" ref="I157">IF($D157&lt;COLUMNS($F$7:I$7),"",INDEX(TableDiv[[GASB]:[GASB]],_xlfn.AGGREGATE(15,3,(TableDiv[[Agency]:[Agency]]=$E157)/(TableDiv[[Agency]:[Agency]]=$E157)*(ROW(TableDiv[Agency])-ROW(TableDiv[[#Headers],[Agency]])),COLUMNS($F$7:I$7))))</f>
        <v/>
      </c>
      <c r="J157" s="2223" t="str" cm="1">
        <f t="array" ref="J157">IF($D157&lt;COLUMNS($F$7:J$7),"",INDEX(TableDiv[[GASB]:[GASB]],_xlfn.AGGREGATE(15,3,(TableDiv[[Agency]:[Agency]]=$E157)/(TableDiv[[Agency]:[Agency]]=$E157)*(ROW(TableDiv[Agency])-ROW(TableDiv[[#Headers],[Agency]])),COLUMNS($F$7:J$7))))</f>
        <v/>
      </c>
      <c r="K157" s="2223" t="str" cm="1">
        <f t="array" ref="K157">IF($D157&lt;COLUMNS($F$7:K$7),"",INDEX(TableDiv[[GASB]:[GASB]],_xlfn.AGGREGATE(15,3,(TableDiv[[Agency]:[Agency]]=$E157)/(TableDiv[[Agency]:[Agency]]=$E157)*(ROW(TableDiv[Agency])-ROW(TableDiv[[#Headers],[Agency]])),COLUMNS($F$7:K$7))))</f>
        <v/>
      </c>
      <c r="L157" s="2223" t="str" cm="1">
        <f t="array" ref="L157">IF($D157&lt;COLUMNS($F$7:L$7),"",INDEX(TableDiv[[GASB]:[GASB]],_xlfn.AGGREGATE(15,3,(TableDiv[[Agency]:[Agency]]=$E157)/(TableDiv[[Agency]:[Agency]]=$E157)*(ROW(TableDiv[Agency])-ROW(TableDiv[[#Headers],[Agency]])),COLUMNS($F$7:L$7))))</f>
        <v/>
      </c>
      <c r="M157" s="2223" t="str" cm="1">
        <f t="array" ref="M157">IF($D157&lt;COLUMNS($F$7:M$7),"",INDEX(TableDiv[[GASB]:[GASB]],_xlfn.AGGREGATE(15,3,(TableDiv[[Agency]:[Agency]]=$E157)/(TableDiv[[Agency]:[Agency]]=$E157)*(ROW(TableDiv[Agency])-ROW(TableDiv[[#Headers],[Agency]])),COLUMNS($F$7:M$7))))</f>
        <v/>
      </c>
      <c r="N157" s="2223" t="str" cm="1">
        <f t="array" ref="N157">IF($D157&lt;COLUMNS($F$7:N$7),"",INDEX(TableDiv[[GASB]:[GASB]],_xlfn.AGGREGATE(15,3,(TableDiv[[Agency]:[Agency]]=$E157)/(TableDiv[[Agency]:[Agency]]=$E157)*(ROW(TableDiv[Agency])-ROW(TableDiv[[#Headers],[Agency]])),COLUMNS($F$7:N$7))))</f>
        <v/>
      </c>
      <c r="O157" s="2223" t="str" cm="1">
        <f t="array" ref="O157">IF($D157&lt;COLUMNS($F$7:O$7),"",INDEX(TableDiv[[GASB]:[GASB]],_xlfn.AGGREGATE(15,3,(TableDiv[[Agency]:[Agency]]=$E157)/(TableDiv[[Agency]:[Agency]]=$E157)*(ROW(TableDiv[Agency])-ROW(TableDiv[[#Headers],[Agency]])),COLUMNS($F$7:O$7))))</f>
        <v/>
      </c>
      <c r="P157" s="2223" t="str" cm="1">
        <f t="array" ref="P157">IF($D157&lt;COLUMNS($F$7:P$7),"",INDEX(TableDiv[[GASB]:[GASB]],_xlfn.AGGREGATE(15,3,(TableDiv[[Agency]:[Agency]]=$E157)/(TableDiv[[Agency]:[Agency]]=$E157)*(ROW(TableDiv[Agency])-ROW(TableDiv[[#Headers],[Agency]])),COLUMNS($F$7:P$7))))</f>
        <v/>
      </c>
      <c r="Q157" s="2223" t="str" cm="1">
        <f t="array" ref="Q157">IF($D157&lt;COLUMNS($F$7:Q$7),"",INDEX(TableDiv[[GASB]:[GASB]],_xlfn.AGGREGATE(15,3,(TableDiv[[Agency]:[Agency]]=$E157)/(TableDiv[[Agency]:[Agency]]=$E157)*(ROW(TableDiv[Agency])-ROW(TableDiv[[#Headers],[Agency]])),COLUMNS($F$7:Q$7))))</f>
        <v/>
      </c>
      <c r="R157" s="2223" t="str" cm="1">
        <f t="array" ref="R157">IF($D157&lt;COLUMNS($F$7:R$7),"",INDEX(TableDiv[[GASB]:[GASB]],_xlfn.AGGREGATE(15,3,(TableDiv[[Agency]:[Agency]]=$E157)/(TableDiv[[Agency]:[Agency]]=$E157)*(ROW(TableDiv[Agency])-ROW(TableDiv[[#Headers],[Agency]])),COLUMNS($F$7:R$7))))</f>
        <v/>
      </c>
      <c r="S157" s="2223" t="str" cm="1">
        <f t="array" ref="S157">IF($D157&lt;COLUMNS($F$7:S$7),"",INDEX(TableDiv[[GASB]:[GASB]],_xlfn.AGGREGATE(15,3,(TableDiv[[Agency]:[Agency]]=$E157)/(TableDiv[[Agency]:[Agency]]=$E157)*(ROW(TableDiv[Agency])-ROW(TableDiv[[#Headers],[Agency]])),COLUMNS($F$7:S$7))))</f>
        <v/>
      </c>
      <c r="T157" s="2223" t="str" cm="1">
        <f t="array" ref="T157">IF($D157&lt;COLUMNS($F$7:T$7),"",INDEX(TableDiv[[GASB]:[GASB]],_xlfn.AGGREGATE(15,3,(TableDiv[[Agency]:[Agency]]=$E157)/(TableDiv[[Agency]:[Agency]]=$E157)*(ROW(TableDiv[Agency])-ROW(TableDiv[[#Headers],[Agency]])),COLUMNS($F$7:T$7))))</f>
        <v/>
      </c>
      <c r="U157" s="2223" t="str" cm="1">
        <f t="array" ref="U157">IF($D157&lt;COLUMNS($F$7:U$7),"",INDEX(TableDiv[[GASB]:[GASB]],_xlfn.AGGREGATE(15,3,(TableDiv[[Agency]:[Agency]]=$E157)/(TableDiv[[Agency]:[Agency]]=$E157)*(ROW(TableDiv[Agency])-ROW(TableDiv[[#Headers],[Agency]])),COLUMNS($F$7:U$7))))</f>
        <v/>
      </c>
      <c r="V157" s="2223" t="str" cm="1">
        <f t="array" ref="V157">IF($D157&lt;COLUMNS($F$7:V$7),"",INDEX(TableDiv[[GASB]:[GASB]],_xlfn.AGGREGATE(15,3,(TableDiv[[Agency]:[Agency]]=$E157)/(TableDiv[[Agency]:[Agency]]=$E157)*(ROW(TableDiv[Agency])-ROW(TableDiv[[#Headers],[Agency]])),COLUMNS($F$7:V$7))))</f>
        <v/>
      </c>
      <c r="W157" s="2223" t="str" cm="1">
        <f t="array" ref="W157">IF($D157&lt;COLUMNS($F$7:W$7),"",INDEX(TableDiv[[GASB]:[GASB]],_xlfn.AGGREGATE(15,3,(TableDiv[[Agency]:[Agency]]=$E157)/(TableDiv[[Agency]:[Agency]]=$E157)*(ROW(TableDiv[Agency])-ROW(TableDiv[[#Headers],[Agency]])),COLUMNS($F$7:W$7))))</f>
        <v/>
      </c>
      <c r="X157" s="2223" t="str" cm="1">
        <f t="array" ref="X157">IF($D157&lt;COLUMNS($F$7:X$7),"",INDEX(TableDiv[[GASB]:[GASB]],_xlfn.AGGREGATE(15,3,(TableDiv[[Agency]:[Agency]]=$E157)/(TableDiv[[Agency]:[Agency]]=$E157)*(ROW(TableDiv[Agency])-ROW(TableDiv[[#Headers],[Agency]])),COLUMNS($F$7:X$7))))</f>
        <v/>
      </c>
      <c r="Y157" s="2223" t="str" cm="1">
        <f t="array" ref="Y157">IF($D157&lt;COLUMNS($F$7:Y$7),"",INDEX(TableDiv[[GASB]:[GASB]],_xlfn.AGGREGATE(15,3,(TableDiv[[Agency]:[Agency]]=$E157)/(TableDiv[[Agency]:[Agency]]=$E157)*(ROW(TableDiv[Agency])-ROW(TableDiv[[#Headers],[Agency]])),COLUMNS($F$7:Y$7))))</f>
        <v/>
      </c>
      <c r="Z157" s="2223" t="str" cm="1">
        <f t="array" ref="Z157">IF($D157&lt;COLUMNS($F$7:Z$7),"",INDEX(TableDiv[[GASB]:[GASB]],_xlfn.AGGREGATE(15,3,(TableDiv[[Agency]:[Agency]]=$E157)/(TableDiv[[Agency]:[Agency]]=$E157)*(ROW(TableDiv[Agency])-ROW(TableDiv[[#Headers],[Agency]])),COLUMNS($F$7:Z$7))))</f>
        <v/>
      </c>
      <c r="AA157" s="2223" t="str" cm="1">
        <f t="array" ref="AA157">IF($D157&lt;COLUMNS($F$7:AA$7),"",INDEX(TableDiv[[GASB]:[GASB]],_xlfn.AGGREGATE(15,3,(TableDiv[[Agency]:[Agency]]=$E157)/(TableDiv[[Agency]:[Agency]]=$E157)*(ROW(TableDiv[Agency])-ROW(TableDiv[[#Headers],[Agency]])),COLUMNS($F$7:AA$7))))</f>
        <v/>
      </c>
      <c r="AB157" s="2223" t="str" cm="1">
        <f t="array" ref="AB157">IF($D157&lt;COLUMNS($F$7:AB$7),"",INDEX(TableDiv[[GASB]:[GASB]],_xlfn.AGGREGATE(15,3,(TableDiv[[Agency]:[Agency]]=$E157)/(TableDiv[[Agency]:[Agency]]=$E157)*(ROW(TableDiv[Agency])-ROW(TableDiv[[#Headers],[Agency]])),COLUMNS($F$7:AB$7))))</f>
        <v/>
      </c>
      <c r="AC157" s="2223" t="str" cm="1">
        <f t="array" ref="AC157">IF($D157&lt;COLUMNS($F$7:AC$7),"",INDEX(TableDiv[[GASB]:[GASB]],_xlfn.AGGREGATE(15,3,(TableDiv[[Agency]:[Agency]]=$E157)/(TableDiv[[Agency]:[Agency]]=$E157)*(ROW(TableDiv[Agency])-ROW(TableDiv[[#Headers],[Agency]])),COLUMNS($F$7:AC$7))))</f>
        <v/>
      </c>
      <c r="AD157" s="2223" t="str" cm="1">
        <f t="array" ref="AD157">IF($D157&lt;COLUMNS($F$7:AD$7),"",INDEX(TableDiv[[GASB]:[GASB]],_xlfn.AGGREGATE(15,3,(TableDiv[[Agency]:[Agency]]=$E157)/(TableDiv[[Agency]:[Agency]]=$E157)*(ROW(TableDiv[Agency])-ROW(TableDiv[[#Headers],[Agency]])),COLUMNS($F$7:AD$7))))</f>
        <v/>
      </c>
      <c r="AE157" s="2223" t="str" cm="1">
        <f t="array" ref="AE157">IF($D157&lt;COLUMNS($F$7:AE$7),"",INDEX(TableDiv[[GASB]:[GASB]],_xlfn.AGGREGATE(15,3,(TableDiv[[Agency]:[Agency]]=$E157)/(TableDiv[[Agency]:[Agency]]=$E157)*(ROW(TableDiv[Agency])-ROW(TableDiv[[#Headers],[Agency]])),COLUMNS($F$7:AE$7))))</f>
        <v/>
      </c>
      <c r="AF157" s="2223" t="str" cm="1">
        <f t="array" ref="AF157">IF($D157&lt;COLUMNS($F$7:AF$7),"",INDEX(TableDiv[[GASB]:[GASB]],_xlfn.AGGREGATE(15,3,(TableDiv[[Agency]:[Agency]]=$E157)/(TableDiv[[Agency]:[Agency]]=$E157)*(ROW(TableDiv[Agency])-ROW(TableDiv[[#Headers],[Agency]])),COLUMNS($F$7:AF$7))))</f>
        <v/>
      </c>
      <c r="AG157" s="2223" t="str" cm="1">
        <f t="array" ref="AG157">IF($D157&lt;COLUMNS($F$7:AG$7),"",INDEX(TableDiv[[GASB]:[GASB]],_xlfn.AGGREGATE(15,3,(TableDiv[[Agency]:[Agency]]=$E157)/(TableDiv[[Agency]:[Agency]]=$E157)*(ROW(TableDiv[Agency])-ROW(TableDiv[[#Headers],[Agency]])),COLUMNS($F$7:AG$7))))</f>
        <v/>
      </c>
      <c r="AH157" s="2223" t="str" cm="1">
        <f t="array" ref="AH157">IF($D157&lt;COLUMNS($F$7:AH$7),"",INDEX(TableDiv[[GASB]:[GASB]],_xlfn.AGGREGATE(15,3,(TableDiv[[Agency]:[Agency]]=$E157)/(TableDiv[[Agency]:[Agency]]=$E157)*(ROW(TableDiv[Agency])-ROW(TableDiv[[#Headers],[Agency]])),COLUMNS($F$7:AH$7))))</f>
        <v/>
      </c>
      <c r="AI157" s="2223" t="str" cm="1">
        <f t="array" ref="AI157">IF($D157&lt;COLUMNS($F$7:AI$7),"",INDEX(TableDiv[[GASB]:[GASB]],_xlfn.AGGREGATE(15,3,(TableDiv[[Agency]:[Agency]]=$E157)/(TableDiv[[Agency]:[Agency]]=$E157)*(ROW(TableDiv[Agency])-ROW(TableDiv[[#Headers],[Agency]])),COLUMNS($F$7:AI$7))))</f>
        <v/>
      </c>
      <c r="AJ157" s="2223" t="str" cm="1">
        <f t="array" ref="AJ157">IF($D157&lt;COLUMNS($F$7:AJ$7),"",INDEX(TableDiv[[GASB]:[GASB]],_xlfn.AGGREGATE(15,3,(TableDiv[[Agency]:[Agency]]=$E157)/(TableDiv[[Agency]:[Agency]]=$E157)*(ROW(TableDiv[Agency])-ROW(TableDiv[[#Headers],[Agency]])),COLUMNS($F$7:AJ$7))))</f>
        <v/>
      </c>
      <c r="AK157" s="2223" t="str" cm="1">
        <f t="array" ref="AK157">IF($D157&lt;COLUMNS($F$7:AK$7),"",INDEX(TableDiv[[GASB]:[GASB]],_xlfn.AGGREGATE(15,3,(TableDiv[[Agency]:[Agency]]=$E157)/(TableDiv[[Agency]:[Agency]]=$E157)*(ROW(TableDiv[Agency])-ROW(TableDiv[[#Headers],[Agency]])),COLUMNS($F$7:AK$7))))</f>
        <v/>
      </c>
      <c r="AL157" s="2223" t="str" cm="1">
        <f t="array" ref="AL157">IF($D157&lt;COLUMNS($F$7:AL$7),"",INDEX(TableDiv[[GASB]:[GASB]],_xlfn.AGGREGATE(15,3,(TableDiv[[Agency]:[Agency]]=$E157)/(TableDiv[[Agency]:[Agency]]=$E157)*(ROW(TableDiv[Agency])-ROW(TableDiv[[#Headers],[Agency]])),COLUMNS($F$7:AL$7))))</f>
        <v/>
      </c>
      <c r="AM157" s="2223" t="str" cm="1">
        <f t="array" ref="AM157">IF($D157&lt;COLUMNS($F$7:AM$7),"",INDEX(TableDiv[[GASB]:[GASB]],_xlfn.AGGREGATE(15,3,(TableDiv[[Agency]:[Agency]]=$E157)/(TableDiv[[Agency]:[Agency]]=$E157)*(ROW(TableDiv[Agency])-ROW(TableDiv[[#Headers],[Agency]])),COLUMNS($F$7:AM$7))))</f>
        <v/>
      </c>
      <c r="AN157" s="2223"/>
      <c r="AO157" s="2223"/>
      <c r="AP157" s="2223"/>
      <c r="AQ157" s="2223"/>
      <c r="AR157" s="2223"/>
      <c r="AS157" s="2223"/>
    </row>
    <row r="158" spans="1:45" ht="15" x14ac:dyDescent="0.25">
      <c r="A158" s="2219" t="s">
        <v>5111</v>
      </c>
      <c r="B158" s="2219" t="s">
        <v>6437</v>
      </c>
      <c r="C158" s="2223"/>
      <c r="D158" s="2223">
        <f>COUNTIF(TableDiv[Agency],E158)</f>
        <v>1</v>
      </c>
      <c r="E158" s="2230" t="str" cm="1">
        <f t="array" ref="E158">IFERROR(INDEX(TableDiv[Agency],MATCH(0,INDEX(COUNTIF($E$7:E157,TableDiv[Agency]),),0)),"")</f>
        <v>CM</v>
      </c>
      <c r="F158" s="2223" t="str" cm="1">
        <f t="array" ref="F158">IF($D158&lt;COLUMNS($F$7:F$7),"",INDEX(TableDiv[[GASB]:[GASB]],_xlfn.AGGREGATE(15,3,(TableDiv[[Agency]:[Agency]]=$E158)/(TableDiv[[Agency]:[Agency]]=$E158)*(ROW(TableDiv[Agency])-ROW(TableDiv[[#Headers],[Agency]])),COLUMNS($F$7:F$7))))</f>
        <v>48100G</v>
      </c>
      <c r="G158" s="2223" t="str" cm="1">
        <f t="array" ref="G158">IF($D158&lt;COLUMNS($F$7:G$7),"",INDEX(TableDiv[[GASB]:[GASB]],_xlfn.AGGREGATE(15,3,(TableDiv[[Agency]:[Agency]]=$E158)/(TableDiv[[Agency]:[Agency]]=$E158)*(ROW(TableDiv[Agency])-ROW(TableDiv[[#Headers],[Agency]])),COLUMNS($F$7:G$7))))</f>
        <v/>
      </c>
      <c r="H158" s="2223" t="str" cm="1">
        <f t="array" ref="H158">IF($D158&lt;COLUMNS($F$7:H$7),"",INDEX(TableDiv[[GASB]:[GASB]],_xlfn.AGGREGATE(15,3,(TableDiv[[Agency]:[Agency]]=$E158)/(TableDiv[[Agency]:[Agency]]=$E158)*(ROW(TableDiv[Agency])-ROW(TableDiv[[#Headers],[Agency]])),COLUMNS($F$7:H$7))))</f>
        <v/>
      </c>
      <c r="I158" s="2223" t="str" cm="1">
        <f t="array" ref="I158">IF($D158&lt;COLUMNS($F$7:I$7),"",INDEX(TableDiv[[GASB]:[GASB]],_xlfn.AGGREGATE(15,3,(TableDiv[[Agency]:[Agency]]=$E158)/(TableDiv[[Agency]:[Agency]]=$E158)*(ROW(TableDiv[Agency])-ROW(TableDiv[[#Headers],[Agency]])),COLUMNS($F$7:I$7))))</f>
        <v/>
      </c>
      <c r="J158" s="2223" t="str" cm="1">
        <f t="array" ref="J158">IF($D158&lt;COLUMNS($F$7:J$7),"",INDEX(TableDiv[[GASB]:[GASB]],_xlfn.AGGREGATE(15,3,(TableDiv[[Agency]:[Agency]]=$E158)/(TableDiv[[Agency]:[Agency]]=$E158)*(ROW(TableDiv[Agency])-ROW(TableDiv[[#Headers],[Agency]])),COLUMNS($F$7:J$7))))</f>
        <v/>
      </c>
      <c r="K158" s="2223" t="str" cm="1">
        <f t="array" ref="K158">IF($D158&lt;COLUMNS($F$7:K$7),"",INDEX(TableDiv[[GASB]:[GASB]],_xlfn.AGGREGATE(15,3,(TableDiv[[Agency]:[Agency]]=$E158)/(TableDiv[[Agency]:[Agency]]=$E158)*(ROW(TableDiv[Agency])-ROW(TableDiv[[#Headers],[Agency]])),COLUMNS($F$7:K$7))))</f>
        <v/>
      </c>
      <c r="L158" s="2223" t="str" cm="1">
        <f t="array" ref="L158">IF($D158&lt;COLUMNS($F$7:L$7),"",INDEX(TableDiv[[GASB]:[GASB]],_xlfn.AGGREGATE(15,3,(TableDiv[[Agency]:[Agency]]=$E158)/(TableDiv[[Agency]:[Agency]]=$E158)*(ROW(TableDiv[Agency])-ROW(TableDiv[[#Headers],[Agency]])),COLUMNS($F$7:L$7))))</f>
        <v/>
      </c>
      <c r="M158" s="2223" t="str" cm="1">
        <f t="array" ref="M158">IF($D158&lt;COLUMNS($F$7:M$7),"",INDEX(TableDiv[[GASB]:[GASB]],_xlfn.AGGREGATE(15,3,(TableDiv[[Agency]:[Agency]]=$E158)/(TableDiv[[Agency]:[Agency]]=$E158)*(ROW(TableDiv[Agency])-ROW(TableDiv[[#Headers],[Agency]])),COLUMNS($F$7:M$7))))</f>
        <v/>
      </c>
      <c r="N158" s="2223" t="str" cm="1">
        <f t="array" ref="N158">IF($D158&lt;COLUMNS($F$7:N$7),"",INDEX(TableDiv[[GASB]:[GASB]],_xlfn.AGGREGATE(15,3,(TableDiv[[Agency]:[Agency]]=$E158)/(TableDiv[[Agency]:[Agency]]=$E158)*(ROW(TableDiv[Agency])-ROW(TableDiv[[#Headers],[Agency]])),COLUMNS($F$7:N$7))))</f>
        <v/>
      </c>
      <c r="O158" s="2223" t="str" cm="1">
        <f t="array" ref="O158">IF($D158&lt;COLUMNS($F$7:O$7),"",INDEX(TableDiv[[GASB]:[GASB]],_xlfn.AGGREGATE(15,3,(TableDiv[[Agency]:[Agency]]=$E158)/(TableDiv[[Agency]:[Agency]]=$E158)*(ROW(TableDiv[Agency])-ROW(TableDiv[[#Headers],[Agency]])),COLUMNS($F$7:O$7))))</f>
        <v/>
      </c>
      <c r="P158" s="2223" t="str" cm="1">
        <f t="array" ref="P158">IF($D158&lt;COLUMNS($F$7:P$7),"",INDEX(TableDiv[[GASB]:[GASB]],_xlfn.AGGREGATE(15,3,(TableDiv[[Agency]:[Agency]]=$E158)/(TableDiv[[Agency]:[Agency]]=$E158)*(ROW(TableDiv[Agency])-ROW(TableDiv[[#Headers],[Agency]])),COLUMNS($F$7:P$7))))</f>
        <v/>
      </c>
      <c r="Q158" s="2223" t="str" cm="1">
        <f t="array" ref="Q158">IF($D158&lt;COLUMNS($F$7:Q$7),"",INDEX(TableDiv[[GASB]:[GASB]],_xlfn.AGGREGATE(15,3,(TableDiv[[Agency]:[Agency]]=$E158)/(TableDiv[[Agency]:[Agency]]=$E158)*(ROW(TableDiv[Agency])-ROW(TableDiv[[#Headers],[Agency]])),COLUMNS($F$7:Q$7))))</f>
        <v/>
      </c>
      <c r="R158" s="2223" t="str" cm="1">
        <f t="array" ref="R158">IF($D158&lt;COLUMNS($F$7:R$7),"",INDEX(TableDiv[[GASB]:[GASB]],_xlfn.AGGREGATE(15,3,(TableDiv[[Agency]:[Agency]]=$E158)/(TableDiv[[Agency]:[Agency]]=$E158)*(ROW(TableDiv[Agency])-ROW(TableDiv[[#Headers],[Agency]])),COLUMNS($F$7:R$7))))</f>
        <v/>
      </c>
      <c r="S158" s="2223" t="str" cm="1">
        <f t="array" ref="S158">IF($D158&lt;COLUMNS($F$7:S$7),"",INDEX(TableDiv[[GASB]:[GASB]],_xlfn.AGGREGATE(15,3,(TableDiv[[Agency]:[Agency]]=$E158)/(TableDiv[[Agency]:[Agency]]=$E158)*(ROW(TableDiv[Agency])-ROW(TableDiv[[#Headers],[Agency]])),COLUMNS($F$7:S$7))))</f>
        <v/>
      </c>
      <c r="T158" s="2223" t="str" cm="1">
        <f t="array" ref="T158">IF($D158&lt;COLUMNS($F$7:T$7),"",INDEX(TableDiv[[GASB]:[GASB]],_xlfn.AGGREGATE(15,3,(TableDiv[[Agency]:[Agency]]=$E158)/(TableDiv[[Agency]:[Agency]]=$E158)*(ROW(TableDiv[Agency])-ROW(TableDiv[[#Headers],[Agency]])),COLUMNS($F$7:T$7))))</f>
        <v/>
      </c>
      <c r="U158" s="2223" t="str" cm="1">
        <f t="array" ref="U158">IF($D158&lt;COLUMNS($F$7:U$7),"",INDEX(TableDiv[[GASB]:[GASB]],_xlfn.AGGREGATE(15,3,(TableDiv[[Agency]:[Agency]]=$E158)/(TableDiv[[Agency]:[Agency]]=$E158)*(ROW(TableDiv[Agency])-ROW(TableDiv[[#Headers],[Agency]])),COLUMNS($F$7:U$7))))</f>
        <v/>
      </c>
      <c r="V158" s="2223" t="str" cm="1">
        <f t="array" ref="V158">IF($D158&lt;COLUMNS($F$7:V$7),"",INDEX(TableDiv[[GASB]:[GASB]],_xlfn.AGGREGATE(15,3,(TableDiv[[Agency]:[Agency]]=$E158)/(TableDiv[[Agency]:[Agency]]=$E158)*(ROW(TableDiv[Agency])-ROW(TableDiv[[#Headers],[Agency]])),COLUMNS($F$7:V$7))))</f>
        <v/>
      </c>
      <c r="W158" s="2223" t="str" cm="1">
        <f t="array" ref="W158">IF($D158&lt;COLUMNS($F$7:W$7),"",INDEX(TableDiv[[GASB]:[GASB]],_xlfn.AGGREGATE(15,3,(TableDiv[[Agency]:[Agency]]=$E158)/(TableDiv[[Agency]:[Agency]]=$E158)*(ROW(TableDiv[Agency])-ROW(TableDiv[[#Headers],[Agency]])),COLUMNS($F$7:W$7))))</f>
        <v/>
      </c>
      <c r="X158" s="2223" t="str" cm="1">
        <f t="array" ref="X158">IF($D158&lt;COLUMNS($F$7:X$7),"",INDEX(TableDiv[[GASB]:[GASB]],_xlfn.AGGREGATE(15,3,(TableDiv[[Agency]:[Agency]]=$E158)/(TableDiv[[Agency]:[Agency]]=$E158)*(ROW(TableDiv[Agency])-ROW(TableDiv[[#Headers],[Agency]])),COLUMNS($F$7:X$7))))</f>
        <v/>
      </c>
      <c r="Y158" s="2223" t="str" cm="1">
        <f t="array" ref="Y158">IF($D158&lt;COLUMNS($F$7:Y$7),"",INDEX(TableDiv[[GASB]:[GASB]],_xlfn.AGGREGATE(15,3,(TableDiv[[Agency]:[Agency]]=$E158)/(TableDiv[[Agency]:[Agency]]=$E158)*(ROW(TableDiv[Agency])-ROW(TableDiv[[#Headers],[Agency]])),COLUMNS($F$7:Y$7))))</f>
        <v/>
      </c>
      <c r="Z158" s="2223" t="str" cm="1">
        <f t="array" ref="Z158">IF($D158&lt;COLUMNS($F$7:Z$7),"",INDEX(TableDiv[[GASB]:[GASB]],_xlfn.AGGREGATE(15,3,(TableDiv[[Agency]:[Agency]]=$E158)/(TableDiv[[Agency]:[Agency]]=$E158)*(ROW(TableDiv[Agency])-ROW(TableDiv[[#Headers],[Agency]])),COLUMNS($F$7:Z$7))))</f>
        <v/>
      </c>
      <c r="AA158" s="2223" t="str" cm="1">
        <f t="array" ref="AA158">IF($D158&lt;COLUMNS($F$7:AA$7),"",INDEX(TableDiv[[GASB]:[GASB]],_xlfn.AGGREGATE(15,3,(TableDiv[[Agency]:[Agency]]=$E158)/(TableDiv[[Agency]:[Agency]]=$E158)*(ROW(TableDiv[Agency])-ROW(TableDiv[[#Headers],[Agency]])),COLUMNS($F$7:AA$7))))</f>
        <v/>
      </c>
      <c r="AB158" s="2223" t="str" cm="1">
        <f t="array" ref="AB158">IF($D158&lt;COLUMNS($F$7:AB$7),"",INDEX(TableDiv[[GASB]:[GASB]],_xlfn.AGGREGATE(15,3,(TableDiv[[Agency]:[Agency]]=$E158)/(TableDiv[[Agency]:[Agency]]=$E158)*(ROW(TableDiv[Agency])-ROW(TableDiv[[#Headers],[Agency]])),COLUMNS($F$7:AB$7))))</f>
        <v/>
      </c>
      <c r="AC158" s="2223" t="str" cm="1">
        <f t="array" ref="AC158">IF($D158&lt;COLUMNS($F$7:AC$7),"",INDEX(TableDiv[[GASB]:[GASB]],_xlfn.AGGREGATE(15,3,(TableDiv[[Agency]:[Agency]]=$E158)/(TableDiv[[Agency]:[Agency]]=$E158)*(ROW(TableDiv[Agency])-ROW(TableDiv[[#Headers],[Agency]])),COLUMNS($F$7:AC$7))))</f>
        <v/>
      </c>
      <c r="AD158" s="2223" t="str" cm="1">
        <f t="array" ref="AD158">IF($D158&lt;COLUMNS($F$7:AD$7),"",INDEX(TableDiv[[GASB]:[GASB]],_xlfn.AGGREGATE(15,3,(TableDiv[[Agency]:[Agency]]=$E158)/(TableDiv[[Agency]:[Agency]]=$E158)*(ROW(TableDiv[Agency])-ROW(TableDiv[[#Headers],[Agency]])),COLUMNS($F$7:AD$7))))</f>
        <v/>
      </c>
      <c r="AE158" s="2223" t="str" cm="1">
        <f t="array" ref="AE158">IF($D158&lt;COLUMNS($F$7:AE$7),"",INDEX(TableDiv[[GASB]:[GASB]],_xlfn.AGGREGATE(15,3,(TableDiv[[Agency]:[Agency]]=$E158)/(TableDiv[[Agency]:[Agency]]=$E158)*(ROW(TableDiv[Agency])-ROW(TableDiv[[#Headers],[Agency]])),COLUMNS($F$7:AE$7))))</f>
        <v/>
      </c>
      <c r="AF158" s="2223" t="str" cm="1">
        <f t="array" ref="AF158">IF($D158&lt;COLUMNS($F$7:AF$7),"",INDEX(TableDiv[[GASB]:[GASB]],_xlfn.AGGREGATE(15,3,(TableDiv[[Agency]:[Agency]]=$E158)/(TableDiv[[Agency]:[Agency]]=$E158)*(ROW(TableDiv[Agency])-ROW(TableDiv[[#Headers],[Agency]])),COLUMNS($F$7:AF$7))))</f>
        <v/>
      </c>
      <c r="AG158" s="2223" t="str" cm="1">
        <f t="array" ref="AG158">IF($D158&lt;COLUMNS($F$7:AG$7),"",INDEX(TableDiv[[GASB]:[GASB]],_xlfn.AGGREGATE(15,3,(TableDiv[[Agency]:[Agency]]=$E158)/(TableDiv[[Agency]:[Agency]]=$E158)*(ROW(TableDiv[Agency])-ROW(TableDiv[[#Headers],[Agency]])),COLUMNS($F$7:AG$7))))</f>
        <v/>
      </c>
      <c r="AH158" s="2223" t="str" cm="1">
        <f t="array" ref="AH158">IF($D158&lt;COLUMNS($F$7:AH$7),"",INDEX(TableDiv[[GASB]:[GASB]],_xlfn.AGGREGATE(15,3,(TableDiv[[Agency]:[Agency]]=$E158)/(TableDiv[[Agency]:[Agency]]=$E158)*(ROW(TableDiv[Agency])-ROW(TableDiv[[#Headers],[Agency]])),COLUMNS($F$7:AH$7))))</f>
        <v/>
      </c>
      <c r="AI158" s="2223" t="str" cm="1">
        <f t="array" ref="AI158">IF($D158&lt;COLUMNS($F$7:AI$7),"",INDEX(TableDiv[[GASB]:[GASB]],_xlfn.AGGREGATE(15,3,(TableDiv[[Agency]:[Agency]]=$E158)/(TableDiv[[Agency]:[Agency]]=$E158)*(ROW(TableDiv[Agency])-ROW(TableDiv[[#Headers],[Agency]])),COLUMNS($F$7:AI$7))))</f>
        <v/>
      </c>
      <c r="AJ158" s="2223" t="str" cm="1">
        <f t="array" ref="AJ158">IF($D158&lt;COLUMNS($F$7:AJ$7),"",INDEX(TableDiv[[GASB]:[GASB]],_xlfn.AGGREGATE(15,3,(TableDiv[[Agency]:[Agency]]=$E158)/(TableDiv[[Agency]:[Agency]]=$E158)*(ROW(TableDiv[Agency])-ROW(TableDiv[[#Headers],[Agency]])),COLUMNS($F$7:AJ$7))))</f>
        <v/>
      </c>
      <c r="AK158" s="2223" t="str" cm="1">
        <f t="array" ref="AK158">IF($D158&lt;COLUMNS($F$7:AK$7),"",INDEX(TableDiv[[GASB]:[GASB]],_xlfn.AGGREGATE(15,3,(TableDiv[[Agency]:[Agency]]=$E158)/(TableDiv[[Agency]:[Agency]]=$E158)*(ROW(TableDiv[Agency])-ROW(TableDiv[[#Headers],[Agency]])),COLUMNS($F$7:AK$7))))</f>
        <v/>
      </c>
      <c r="AL158" s="2223" t="str" cm="1">
        <f t="array" ref="AL158">IF($D158&lt;COLUMNS($F$7:AL$7),"",INDEX(TableDiv[[GASB]:[GASB]],_xlfn.AGGREGATE(15,3,(TableDiv[[Agency]:[Agency]]=$E158)/(TableDiv[[Agency]:[Agency]]=$E158)*(ROW(TableDiv[Agency])-ROW(TableDiv[[#Headers],[Agency]])),COLUMNS($F$7:AL$7))))</f>
        <v/>
      </c>
      <c r="AM158" s="2223" t="str" cm="1">
        <f t="array" ref="AM158">IF($D158&lt;COLUMNS($F$7:AM$7),"",INDEX(TableDiv[[GASB]:[GASB]],_xlfn.AGGREGATE(15,3,(TableDiv[[Agency]:[Agency]]=$E158)/(TableDiv[[Agency]:[Agency]]=$E158)*(ROW(TableDiv[Agency])-ROW(TableDiv[[#Headers],[Agency]])),COLUMNS($F$7:AM$7))))</f>
        <v/>
      </c>
      <c r="AN158" s="2223"/>
      <c r="AO158" s="2223"/>
      <c r="AP158" s="2223"/>
      <c r="AQ158" s="2223"/>
      <c r="AR158" s="2223"/>
      <c r="AS158" s="2223"/>
    </row>
    <row r="159" spans="1:45" ht="15" x14ac:dyDescent="0.25">
      <c r="A159" s="2219" t="s">
        <v>5111</v>
      </c>
      <c r="B159" s="2219" t="s">
        <v>6404</v>
      </c>
      <c r="C159" s="2223"/>
      <c r="D159" s="2223">
        <f>COUNTIF(TableDiv[Agency],E159)</f>
        <v>1</v>
      </c>
      <c r="E159" s="2230" t="str" cm="1">
        <f t="array" ref="E159">IFERROR(INDEX(TableDiv[Agency],MATCH(0,INDEX(COUNTIF($E$7:E158,TableDiv[Agency]),),0)),"")</f>
        <v>CN</v>
      </c>
      <c r="F159" s="2223" t="str" cm="1">
        <f t="array" ref="F159">IF($D159&lt;COLUMNS($F$7:F$7),"",INDEX(TableDiv[[GASB]:[GASB]],_xlfn.AGGREGATE(15,3,(TableDiv[[Agency]:[Agency]]=$E159)/(TableDiv[[Agency]:[Agency]]=$E159)*(ROW(TableDiv[Agency])-ROW(TableDiv[[#Headers],[Agency]])),COLUMNS($F$7:F$7))))</f>
        <v>48100G</v>
      </c>
      <c r="G159" s="2223" t="str" cm="1">
        <f t="array" ref="G159">IF($D159&lt;COLUMNS($F$7:G$7),"",INDEX(TableDiv[[GASB]:[GASB]],_xlfn.AGGREGATE(15,3,(TableDiv[[Agency]:[Agency]]=$E159)/(TableDiv[[Agency]:[Agency]]=$E159)*(ROW(TableDiv[Agency])-ROW(TableDiv[[#Headers],[Agency]])),COLUMNS($F$7:G$7))))</f>
        <v/>
      </c>
      <c r="H159" s="2223" t="str" cm="1">
        <f t="array" ref="H159">IF($D159&lt;COLUMNS($F$7:H$7),"",INDEX(TableDiv[[GASB]:[GASB]],_xlfn.AGGREGATE(15,3,(TableDiv[[Agency]:[Agency]]=$E159)/(TableDiv[[Agency]:[Agency]]=$E159)*(ROW(TableDiv[Agency])-ROW(TableDiv[[#Headers],[Agency]])),COLUMNS($F$7:H$7))))</f>
        <v/>
      </c>
      <c r="I159" s="2223" t="str" cm="1">
        <f t="array" ref="I159">IF($D159&lt;COLUMNS($F$7:I$7),"",INDEX(TableDiv[[GASB]:[GASB]],_xlfn.AGGREGATE(15,3,(TableDiv[[Agency]:[Agency]]=$E159)/(TableDiv[[Agency]:[Agency]]=$E159)*(ROW(TableDiv[Agency])-ROW(TableDiv[[#Headers],[Agency]])),COLUMNS($F$7:I$7))))</f>
        <v/>
      </c>
      <c r="J159" s="2223" t="str" cm="1">
        <f t="array" ref="J159">IF($D159&lt;COLUMNS($F$7:J$7),"",INDEX(TableDiv[[GASB]:[GASB]],_xlfn.AGGREGATE(15,3,(TableDiv[[Agency]:[Agency]]=$E159)/(TableDiv[[Agency]:[Agency]]=$E159)*(ROW(TableDiv[Agency])-ROW(TableDiv[[#Headers],[Agency]])),COLUMNS($F$7:J$7))))</f>
        <v/>
      </c>
      <c r="K159" s="2223" t="str" cm="1">
        <f t="array" ref="K159">IF($D159&lt;COLUMNS($F$7:K$7),"",INDEX(TableDiv[[GASB]:[GASB]],_xlfn.AGGREGATE(15,3,(TableDiv[[Agency]:[Agency]]=$E159)/(TableDiv[[Agency]:[Agency]]=$E159)*(ROW(TableDiv[Agency])-ROW(TableDiv[[#Headers],[Agency]])),COLUMNS($F$7:K$7))))</f>
        <v/>
      </c>
      <c r="L159" s="2223" t="str" cm="1">
        <f t="array" ref="L159">IF($D159&lt;COLUMNS($F$7:L$7),"",INDEX(TableDiv[[GASB]:[GASB]],_xlfn.AGGREGATE(15,3,(TableDiv[[Agency]:[Agency]]=$E159)/(TableDiv[[Agency]:[Agency]]=$E159)*(ROW(TableDiv[Agency])-ROW(TableDiv[[#Headers],[Agency]])),COLUMNS($F$7:L$7))))</f>
        <v/>
      </c>
      <c r="M159" s="2223" t="str" cm="1">
        <f t="array" ref="M159">IF($D159&lt;COLUMNS($F$7:M$7),"",INDEX(TableDiv[[GASB]:[GASB]],_xlfn.AGGREGATE(15,3,(TableDiv[[Agency]:[Agency]]=$E159)/(TableDiv[[Agency]:[Agency]]=$E159)*(ROW(TableDiv[Agency])-ROW(TableDiv[[#Headers],[Agency]])),COLUMNS($F$7:M$7))))</f>
        <v/>
      </c>
      <c r="N159" s="2223" t="str" cm="1">
        <f t="array" ref="N159">IF($D159&lt;COLUMNS($F$7:N$7),"",INDEX(TableDiv[[GASB]:[GASB]],_xlfn.AGGREGATE(15,3,(TableDiv[[Agency]:[Agency]]=$E159)/(TableDiv[[Agency]:[Agency]]=$E159)*(ROW(TableDiv[Agency])-ROW(TableDiv[[#Headers],[Agency]])),COLUMNS($F$7:N$7))))</f>
        <v/>
      </c>
      <c r="O159" s="2223" t="str" cm="1">
        <f t="array" ref="O159">IF($D159&lt;COLUMNS($F$7:O$7),"",INDEX(TableDiv[[GASB]:[GASB]],_xlfn.AGGREGATE(15,3,(TableDiv[[Agency]:[Agency]]=$E159)/(TableDiv[[Agency]:[Agency]]=$E159)*(ROW(TableDiv[Agency])-ROW(TableDiv[[#Headers],[Agency]])),COLUMNS($F$7:O$7))))</f>
        <v/>
      </c>
      <c r="P159" s="2223" t="str" cm="1">
        <f t="array" ref="P159">IF($D159&lt;COLUMNS($F$7:P$7),"",INDEX(TableDiv[[GASB]:[GASB]],_xlfn.AGGREGATE(15,3,(TableDiv[[Agency]:[Agency]]=$E159)/(TableDiv[[Agency]:[Agency]]=$E159)*(ROW(TableDiv[Agency])-ROW(TableDiv[[#Headers],[Agency]])),COLUMNS($F$7:P$7))))</f>
        <v/>
      </c>
      <c r="Q159" s="2223" t="str" cm="1">
        <f t="array" ref="Q159">IF($D159&lt;COLUMNS($F$7:Q$7),"",INDEX(TableDiv[[GASB]:[GASB]],_xlfn.AGGREGATE(15,3,(TableDiv[[Agency]:[Agency]]=$E159)/(TableDiv[[Agency]:[Agency]]=$E159)*(ROW(TableDiv[Agency])-ROW(TableDiv[[#Headers],[Agency]])),COLUMNS($F$7:Q$7))))</f>
        <v/>
      </c>
      <c r="R159" s="2223" t="str" cm="1">
        <f t="array" ref="R159">IF($D159&lt;COLUMNS($F$7:R$7),"",INDEX(TableDiv[[GASB]:[GASB]],_xlfn.AGGREGATE(15,3,(TableDiv[[Agency]:[Agency]]=$E159)/(TableDiv[[Agency]:[Agency]]=$E159)*(ROW(TableDiv[Agency])-ROW(TableDiv[[#Headers],[Agency]])),COLUMNS($F$7:R$7))))</f>
        <v/>
      </c>
      <c r="S159" s="2223" t="str" cm="1">
        <f t="array" ref="S159">IF($D159&lt;COLUMNS($F$7:S$7),"",INDEX(TableDiv[[GASB]:[GASB]],_xlfn.AGGREGATE(15,3,(TableDiv[[Agency]:[Agency]]=$E159)/(TableDiv[[Agency]:[Agency]]=$E159)*(ROW(TableDiv[Agency])-ROW(TableDiv[[#Headers],[Agency]])),COLUMNS($F$7:S$7))))</f>
        <v/>
      </c>
      <c r="T159" s="2223" t="str" cm="1">
        <f t="array" ref="T159">IF($D159&lt;COLUMNS($F$7:T$7),"",INDEX(TableDiv[[GASB]:[GASB]],_xlfn.AGGREGATE(15,3,(TableDiv[[Agency]:[Agency]]=$E159)/(TableDiv[[Agency]:[Agency]]=$E159)*(ROW(TableDiv[Agency])-ROW(TableDiv[[#Headers],[Agency]])),COLUMNS($F$7:T$7))))</f>
        <v/>
      </c>
      <c r="U159" s="2223" t="str" cm="1">
        <f t="array" ref="U159">IF($D159&lt;COLUMNS($F$7:U$7),"",INDEX(TableDiv[[GASB]:[GASB]],_xlfn.AGGREGATE(15,3,(TableDiv[[Agency]:[Agency]]=$E159)/(TableDiv[[Agency]:[Agency]]=$E159)*(ROW(TableDiv[Agency])-ROW(TableDiv[[#Headers],[Agency]])),COLUMNS($F$7:U$7))))</f>
        <v/>
      </c>
      <c r="V159" s="2223" t="str" cm="1">
        <f t="array" ref="V159">IF($D159&lt;COLUMNS($F$7:V$7),"",INDEX(TableDiv[[GASB]:[GASB]],_xlfn.AGGREGATE(15,3,(TableDiv[[Agency]:[Agency]]=$E159)/(TableDiv[[Agency]:[Agency]]=$E159)*(ROW(TableDiv[Agency])-ROW(TableDiv[[#Headers],[Agency]])),COLUMNS($F$7:V$7))))</f>
        <v/>
      </c>
      <c r="W159" s="2223" t="str" cm="1">
        <f t="array" ref="W159">IF($D159&lt;COLUMNS($F$7:W$7),"",INDEX(TableDiv[[GASB]:[GASB]],_xlfn.AGGREGATE(15,3,(TableDiv[[Agency]:[Agency]]=$E159)/(TableDiv[[Agency]:[Agency]]=$E159)*(ROW(TableDiv[Agency])-ROW(TableDiv[[#Headers],[Agency]])),COLUMNS($F$7:W$7))))</f>
        <v/>
      </c>
      <c r="X159" s="2223" t="str" cm="1">
        <f t="array" ref="X159">IF($D159&lt;COLUMNS($F$7:X$7),"",INDEX(TableDiv[[GASB]:[GASB]],_xlfn.AGGREGATE(15,3,(TableDiv[[Agency]:[Agency]]=$E159)/(TableDiv[[Agency]:[Agency]]=$E159)*(ROW(TableDiv[Agency])-ROW(TableDiv[[#Headers],[Agency]])),COLUMNS($F$7:X$7))))</f>
        <v/>
      </c>
      <c r="Y159" s="2223" t="str" cm="1">
        <f t="array" ref="Y159">IF($D159&lt;COLUMNS($F$7:Y$7),"",INDEX(TableDiv[[GASB]:[GASB]],_xlfn.AGGREGATE(15,3,(TableDiv[[Agency]:[Agency]]=$E159)/(TableDiv[[Agency]:[Agency]]=$E159)*(ROW(TableDiv[Agency])-ROW(TableDiv[[#Headers],[Agency]])),COLUMNS($F$7:Y$7))))</f>
        <v/>
      </c>
      <c r="Z159" s="2223" t="str" cm="1">
        <f t="array" ref="Z159">IF($D159&lt;COLUMNS($F$7:Z$7),"",INDEX(TableDiv[[GASB]:[GASB]],_xlfn.AGGREGATE(15,3,(TableDiv[[Agency]:[Agency]]=$E159)/(TableDiv[[Agency]:[Agency]]=$E159)*(ROW(TableDiv[Agency])-ROW(TableDiv[[#Headers],[Agency]])),COLUMNS($F$7:Z$7))))</f>
        <v/>
      </c>
      <c r="AA159" s="2223" t="str" cm="1">
        <f t="array" ref="AA159">IF($D159&lt;COLUMNS($F$7:AA$7),"",INDEX(TableDiv[[GASB]:[GASB]],_xlfn.AGGREGATE(15,3,(TableDiv[[Agency]:[Agency]]=$E159)/(TableDiv[[Agency]:[Agency]]=$E159)*(ROW(TableDiv[Agency])-ROW(TableDiv[[#Headers],[Agency]])),COLUMNS($F$7:AA$7))))</f>
        <v/>
      </c>
      <c r="AB159" s="2223" t="str" cm="1">
        <f t="array" ref="AB159">IF($D159&lt;COLUMNS($F$7:AB$7),"",INDEX(TableDiv[[GASB]:[GASB]],_xlfn.AGGREGATE(15,3,(TableDiv[[Agency]:[Agency]]=$E159)/(TableDiv[[Agency]:[Agency]]=$E159)*(ROW(TableDiv[Agency])-ROW(TableDiv[[#Headers],[Agency]])),COLUMNS($F$7:AB$7))))</f>
        <v/>
      </c>
      <c r="AC159" s="2223" t="str" cm="1">
        <f t="array" ref="AC159">IF($D159&lt;COLUMNS($F$7:AC$7),"",INDEX(TableDiv[[GASB]:[GASB]],_xlfn.AGGREGATE(15,3,(TableDiv[[Agency]:[Agency]]=$E159)/(TableDiv[[Agency]:[Agency]]=$E159)*(ROW(TableDiv[Agency])-ROW(TableDiv[[#Headers],[Agency]])),COLUMNS($F$7:AC$7))))</f>
        <v/>
      </c>
      <c r="AD159" s="2223" t="str" cm="1">
        <f t="array" ref="AD159">IF($D159&lt;COLUMNS($F$7:AD$7),"",INDEX(TableDiv[[GASB]:[GASB]],_xlfn.AGGREGATE(15,3,(TableDiv[[Agency]:[Agency]]=$E159)/(TableDiv[[Agency]:[Agency]]=$E159)*(ROW(TableDiv[Agency])-ROW(TableDiv[[#Headers],[Agency]])),COLUMNS($F$7:AD$7))))</f>
        <v/>
      </c>
      <c r="AE159" s="2223" t="str" cm="1">
        <f t="array" ref="AE159">IF($D159&lt;COLUMNS($F$7:AE$7),"",INDEX(TableDiv[[GASB]:[GASB]],_xlfn.AGGREGATE(15,3,(TableDiv[[Agency]:[Agency]]=$E159)/(TableDiv[[Agency]:[Agency]]=$E159)*(ROW(TableDiv[Agency])-ROW(TableDiv[[#Headers],[Agency]])),COLUMNS($F$7:AE$7))))</f>
        <v/>
      </c>
      <c r="AF159" s="2223" t="str" cm="1">
        <f t="array" ref="AF159">IF($D159&lt;COLUMNS($F$7:AF$7),"",INDEX(TableDiv[[GASB]:[GASB]],_xlfn.AGGREGATE(15,3,(TableDiv[[Agency]:[Agency]]=$E159)/(TableDiv[[Agency]:[Agency]]=$E159)*(ROW(TableDiv[Agency])-ROW(TableDiv[[#Headers],[Agency]])),COLUMNS($F$7:AF$7))))</f>
        <v/>
      </c>
      <c r="AG159" s="2223" t="str" cm="1">
        <f t="array" ref="AG159">IF($D159&lt;COLUMNS($F$7:AG$7),"",INDEX(TableDiv[[GASB]:[GASB]],_xlfn.AGGREGATE(15,3,(TableDiv[[Agency]:[Agency]]=$E159)/(TableDiv[[Agency]:[Agency]]=$E159)*(ROW(TableDiv[Agency])-ROW(TableDiv[[#Headers],[Agency]])),COLUMNS($F$7:AG$7))))</f>
        <v/>
      </c>
      <c r="AH159" s="2223" t="str" cm="1">
        <f t="array" ref="AH159">IF($D159&lt;COLUMNS($F$7:AH$7),"",INDEX(TableDiv[[GASB]:[GASB]],_xlfn.AGGREGATE(15,3,(TableDiv[[Agency]:[Agency]]=$E159)/(TableDiv[[Agency]:[Agency]]=$E159)*(ROW(TableDiv[Agency])-ROW(TableDiv[[#Headers],[Agency]])),COLUMNS($F$7:AH$7))))</f>
        <v/>
      </c>
      <c r="AI159" s="2223" t="str" cm="1">
        <f t="array" ref="AI159">IF($D159&lt;COLUMNS($F$7:AI$7),"",INDEX(TableDiv[[GASB]:[GASB]],_xlfn.AGGREGATE(15,3,(TableDiv[[Agency]:[Agency]]=$E159)/(TableDiv[[Agency]:[Agency]]=$E159)*(ROW(TableDiv[Agency])-ROW(TableDiv[[#Headers],[Agency]])),COLUMNS($F$7:AI$7))))</f>
        <v/>
      </c>
      <c r="AJ159" s="2223" t="str" cm="1">
        <f t="array" ref="AJ159">IF($D159&lt;COLUMNS($F$7:AJ$7),"",INDEX(TableDiv[[GASB]:[GASB]],_xlfn.AGGREGATE(15,3,(TableDiv[[Agency]:[Agency]]=$E159)/(TableDiv[[Agency]:[Agency]]=$E159)*(ROW(TableDiv[Agency])-ROW(TableDiv[[#Headers],[Agency]])),COLUMNS($F$7:AJ$7))))</f>
        <v/>
      </c>
      <c r="AK159" s="2223" t="str" cm="1">
        <f t="array" ref="AK159">IF($D159&lt;COLUMNS($F$7:AK$7),"",INDEX(TableDiv[[GASB]:[GASB]],_xlfn.AGGREGATE(15,3,(TableDiv[[Agency]:[Agency]]=$E159)/(TableDiv[[Agency]:[Agency]]=$E159)*(ROW(TableDiv[Agency])-ROW(TableDiv[[#Headers],[Agency]])),COLUMNS($F$7:AK$7))))</f>
        <v/>
      </c>
      <c r="AL159" s="2223" t="str" cm="1">
        <f t="array" ref="AL159">IF($D159&lt;COLUMNS($F$7:AL$7),"",INDEX(TableDiv[[GASB]:[GASB]],_xlfn.AGGREGATE(15,3,(TableDiv[[Agency]:[Agency]]=$E159)/(TableDiv[[Agency]:[Agency]]=$E159)*(ROW(TableDiv[Agency])-ROW(TableDiv[[#Headers],[Agency]])),COLUMNS($F$7:AL$7))))</f>
        <v/>
      </c>
      <c r="AM159" s="2223" t="str" cm="1">
        <f t="array" ref="AM159">IF($D159&lt;COLUMNS($F$7:AM$7),"",INDEX(TableDiv[[GASB]:[GASB]],_xlfn.AGGREGATE(15,3,(TableDiv[[Agency]:[Agency]]=$E159)/(TableDiv[[Agency]:[Agency]]=$E159)*(ROW(TableDiv[Agency])-ROW(TableDiv[[#Headers],[Agency]])),COLUMNS($F$7:AM$7))))</f>
        <v/>
      </c>
      <c r="AN159" s="2223"/>
      <c r="AO159" s="2223"/>
      <c r="AP159" s="2223"/>
      <c r="AQ159" s="2223"/>
      <c r="AR159" s="2223"/>
      <c r="AS159" s="2223"/>
    </row>
    <row r="160" spans="1:45" ht="15" x14ac:dyDescent="0.25">
      <c r="A160" s="2219" t="s">
        <v>5111</v>
      </c>
      <c r="B160" s="2219" t="s">
        <v>6393</v>
      </c>
      <c r="C160" s="2223"/>
      <c r="D160" s="2223">
        <f>COUNTIF(TableDiv[Agency],E160)</f>
        <v>1</v>
      </c>
      <c r="E160" s="2230" t="str" cm="1">
        <f t="array" ref="E160">IFERROR(INDEX(TableDiv[Agency],MATCH(0,INDEX(COUNTIF($E$7:E159,TableDiv[Agency]),),0)),"")</f>
        <v>CP</v>
      </c>
      <c r="F160" s="2223" t="str" cm="1">
        <f t="array" ref="F160">IF($D160&lt;COLUMNS($F$7:F$7),"",INDEX(TableDiv[[GASB]:[GASB]],_xlfn.AGGREGATE(15,3,(TableDiv[[Agency]:[Agency]]=$E160)/(TableDiv[[Agency]:[Agency]]=$E160)*(ROW(TableDiv[Agency])-ROW(TableDiv[[#Headers],[Agency]])),COLUMNS($F$7:F$7))))</f>
        <v>48100G</v>
      </c>
      <c r="G160" s="2223" t="str" cm="1">
        <f t="array" ref="G160">IF($D160&lt;COLUMNS($F$7:G$7),"",INDEX(TableDiv[[GASB]:[GASB]],_xlfn.AGGREGATE(15,3,(TableDiv[[Agency]:[Agency]]=$E160)/(TableDiv[[Agency]:[Agency]]=$E160)*(ROW(TableDiv[Agency])-ROW(TableDiv[[#Headers],[Agency]])),COLUMNS($F$7:G$7))))</f>
        <v/>
      </c>
      <c r="H160" s="2223" t="str" cm="1">
        <f t="array" ref="H160">IF($D160&lt;COLUMNS($F$7:H$7),"",INDEX(TableDiv[[GASB]:[GASB]],_xlfn.AGGREGATE(15,3,(TableDiv[[Agency]:[Agency]]=$E160)/(TableDiv[[Agency]:[Agency]]=$E160)*(ROW(TableDiv[Agency])-ROW(TableDiv[[#Headers],[Agency]])),COLUMNS($F$7:H$7))))</f>
        <v/>
      </c>
      <c r="I160" s="2223" t="str" cm="1">
        <f t="array" ref="I160">IF($D160&lt;COLUMNS($F$7:I$7),"",INDEX(TableDiv[[GASB]:[GASB]],_xlfn.AGGREGATE(15,3,(TableDiv[[Agency]:[Agency]]=$E160)/(TableDiv[[Agency]:[Agency]]=$E160)*(ROW(TableDiv[Agency])-ROW(TableDiv[[#Headers],[Agency]])),COLUMNS($F$7:I$7))))</f>
        <v/>
      </c>
      <c r="J160" s="2223" t="str" cm="1">
        <f t="array" ref="J160">IF($D160&lt;COLUMNS($F$7:J$7),"",INDEX(TableDiv[[GASB]:[GASB]],_xlfn.AGGREGATE(15,3,(TableDiv[[Agency]:[Agency]]=$E160)/(TableDiv[[Agency]:[Agency]]=$E160)*(ROW(TableDiv[Agency])-ROW(TableDiv[[#Headers],[Agency]])),COLUMNS($F$7:J$7))))</f>
        <v/>
      </c>
      <c r="K160" s="2223" t="str" cm="1">
        <f t="array" ref="K160">IF($D160&lt;COLUMNS($F$7:K$7),"",INDEX(TableDiv[[GASB]:[GASB]],_xlfn.AGGREGATE(15,3,(TableDiv[[Agency]:[Agency]]=$E160)/(TableDiv[[Agency]:[Agency]]=$E160)*(ROW(TableDiv[Agency])-ROW(TableDiv[[#Headers],[Agency]])),COLUMNS($F$7:K$7))))</f>
        <v/>
      </c>
      <c r="L160" s="2223" t="str" cm="1">
        <f t="array" ref="L160">IF($D160&lt;COLUMNS($F$7:L$7),"",INDEX(TableDiv[[GASB]:[GASB]],_xlfn.AGGREGATE(15,3,(TableDiv[[Agency]:[Agency]]=$E160)/(TableDiv[[Agency]:[Agency]]=$E160)*(ROW(TableDiv[Agency])-ROW(TableDiv[[#Headers],[Agency]])),COLUMNS($F$7:L$7))))</f>
        <v/>
      </c>
      <c r="M160" s="2223" t="str" cm="1">
        <f t="array" ref="M160">IF($D160&lt;COLUMNS($F$7:M$7),"",INDEX(TableDiv[[GASB]:[GASB]],_xlfn.AGGREGATE(15,3,(TableDiv[[Agency]:[Agency]]=$E160)/(TableDiv[[Agency]:[Agency]]=$E160)*(ROW(TableDiv[Agency])-ROW(TableDiv[[#Headers],[Agency]])),COLUMNS($F$7:M$7))))</f>
        <v/>
      </c>
      <c r="N160" s="2223" t="str" cm="1">
        <f t="array" ref="N160">IF($D160&lt;COLUMNS($F$7:N$7),"",INDEX(TableDiv[[GASB]:[GASB]],_xlfn.AGGREGATE(15,3,(TableDiv[[Agency]:[Agency]]=$E160)/(TableDiv[[Agency]:[Agency]]=$E160)*(ROW(TableDiv[Agency])-ROW(TableDiv[[#Headers],[Agency]])),COLUMNS($F$7:N$7))))</f>
        <v/>
      </c>
      <c r="O160" s="2223" t="str" cm="1">
        <f t="array" ref="O160">IF($D160&lt;COLUMNS($F$7:O$7),"",INDEX(TableDiv[[GASB]:[GASB]],_xlfn.AGGREGATE(15,3,(TableDiv[[Agency]:[Agency]]=$E160)/(TableDiv[[Agency]:[Agency]]=$E160)*(ROW(TableDiv[Agency])-ROW(TableDiv[[#Headers],[Agency]])),COLUMNS($F$7:O$7))))</f>
        <v/>
      </c>
      <c r="P160" s="2223" t="str" cm="1">
        <f t="array" ref="P160">IF($D160&lt;COLUMNS($F$7:P$7),"",INDEX(TableDiv[[GASB]:[GASB]],_xlfn.AGGREGATE(15,3,(TableDiv[[Agency]:[Agency]]=$E160)/(TableDiv[[Agency]:[Agency]]=$E160)*(ROW(TableDiv[Agency])-ROW(TableDiv[[#Headers],[Agency]])),COLUMNS($F$7:P$7))))</f>
        <v/>
      </c>
      <c r="Q160" s="2223" t="str" cm="1">
        <f t="array" ref="Q160">IF($D160&lt;COLUMNS($F$7:Q$7),"",INDEX(TableDiv[[GASB]:[GASB]],_xlfn.AGGREGATE(15,3,(TableDiv[[Agency]:[Agency]]=$E160)/(TableDiv[[Agency]:[Agency]]=$E160)*(ROW(TableDiv[Agency])-ROW(TableDiv[[#Headers],[Agency]])),COLUMNS($F$7:Q$7))))</f>
        <v/>
      </c>
      <c r="R160" s="2223" t="str" cm="1">
        <f t="array" ref="R160">IF($D160&lt;COLUMNS($F$7:R$7),"",INDEX(TableDiv[[GASB]:[GASB]],_xlfn.AGGREGATE(15,3,(TableDiv[[Agency]:[Agency]]=$E160)/(TableDiv[[Agency]:[Agency]]=$E160)*(ROW(TableDiv[Agency])-ROW(TableDiv[[#Headers],[Agency]])),COLUMNS($F$7:R$7))))</f>
        <v/>
      </c>
      <c r="S160" s="2223" t="str" cm="1">
        <f t="array" ref="S160">IF($D160&lt;COLUMNS($F$7:S$7),"",INDEX(TableDiv[[GASB]:[GASB]],_xlfn.AGGREGATE(15,3,(TableDiv[[Agency]:[Agency]]=$E160)/(TableDiv[[Agency]:[Agency]]=$E160)*(ROW(TableDiv[Agency])-ROW(TableDiv[[#Headers],[Agency]])),COLUMNS($F$7:S$7))))</f>
        <v/>
      </c>
      <c r="T160" s="2223" t="str" cm="1">
        <f t="array" ref="T160">IF($D160&lt;COLUMNS($F$7:T$7),"",INDEX(TableDiv[[GASB]:[GASB]],_xlfn.AGGREGATE(15,3,(TableDiv[[Agency]:[Agency]]=$E160)/(TableDiv[[Agency]:[Agency]]=$E160)*(ROW(TableDiv[Agency])-ROW(TableDiv[[#Headers],[Agency]])),COLUMNS($F$7:T$7))))</f>
        <v/>
      </c>
      <c r="U160" s="2223" t="str" cm="1">
        <f t="array" ref="U160">IF($D160&lt;COLUMNS($F$7:U$7),"",INDEX(TableDiv[[GASB]:[GASB]],_xlfn.AGGREGATE(15,3,(TableDiv[[Agency]:[Agency]]=$E160)/(TableDiv[[Agency]:[Agency]]=$E160)*(ROW(TableDiv[Agency])-ROW(TableDiv[[#Headers],[Agency]])),COLUMNS($F$7:U$7))))</f>
        <v/>
      </c>
      <c r="V160" s="2223" t="str" cm="1">
        <f t="array" ref="V160">IF($D160&lt;COLUMNS($F$7:V$7),"",INDEX(TableDiv[[GASB]:[GASB]],_xlfn.AGGREGATE(15,3,(TableDiv[[Agency]:[Agency]]=$E160)/(TableDiv[[Agency]:[Agency]]=$E160)*(ROW(TableDiv[Agency])-ROW(TableDiv[[#Headers],[Agency]])),COLUMNS($F$7:V$7))))</f>
        <v/>
      </c>
      <c r="W160" s="2223" t="str" cm="1">
        <f t="array" ref="W160">IF($D160&lt;COLUMNS($F$7:W$7),"",INDEX(TableDiv[[GASB]:[GASB]],_xlfn.AGGREGATE(15,3,(TableDiv[[Agency]:[Agency]]=$E160)/(TableDiv[[Agency]:[Agency]]=$E160)*(ROW(TableDiv[Agency])-ROW(TableDiv[[#Headers],[Agency]])),COLUMNS($F$7:W$7))))</f>
        <v/>
      </c>
      <c r="X160" s="2223" t="str" cm="1">
        <f t="array" ref="X160">IF($D160&lt;COLUMNS($F$7:X$7),"",INDEX(TableDiv[[GASB]:[GASB]],_xlfn.AGGREGATE(15,3,(TableDiv[[Agency]:[Agency]]=$E160)/(TableDiv[[Agency]:[Agency]]=$E160)*(ROW(TableDiv[Agency])-ROW(TableDiv[[#Headers],[Agency]])),COLUMNS($F$7:X$7))))</f>
        <v/>
      </c>
      <c r="Y160" s="2223" t="str" cm="1">
        <f t="array" ref="Y160">IF($D160&lt;COLUMNS($F$7:Y$7),"",INDEX(TableDiv[[GASB]:[GASB]],_xlfn.AGGREGATE(15,3,(TableDiv[[Agency]:[Agency]]=$E160)/(TableDiv[[Agency]:[Agency]]=$E160)*(ROW(TableDiv[Agency])-ROW(TableDiv[[#Headers],[Agency]])),COLUMNS($F$7:Y$7))))</f>
        <v/>
      </c>
      <c r="Z160" s="2223" t="str" cm="1">
        <f t="array" ref="Z160">IF($D160&lt;COLUMNS($F$7:Z$7),"",INDEX(TableDiv[[GASB]:[GASB]],_xlfn.AGGREGATE(15,3,(TableDiv[[Agency]:[Agency]]=$E160)/(TableDiv[[Agency]:[Agency]]=$E160)*(ROW(TableDiv[Agency])-ROW(TableDiv[[#Headers],[Agency]])),COLUMNS($F$7:Z$7))))</f>
        <v/>
      </c>
      <c r="AA160" s="2223" t="str" cm="1">
        <f t="array" ref="AA160">IF($D160&lt;COLUMNS($F$7:AA$7),"",INDEX(TableDiv[[GASB]:[GASB]],_xlfn.AGGREGATE(15,3,(TableDiv[[Agency]:[Agency]]=$E160)/(TableDiv[[Agency]:[Agency]]=$E160)*(ROW(TableDiv[Agency])-ROW(TableDiv[[#Headers],[Agency]])),COLUMNS($F$7:AA$7))))</f>
        <v/>
      </c>
      <c r="AB160" s="2223" t="str" cm="1">
        <f t="array" ref="AB160">IF($D160&lt;COLUMNS($F$7:AB$7),"",INDEX(TableDiv[[GASB]:[GASB]],_xlfn.AGGREGATE(15,3,(TableDiv[[Agency]:[Agency]]=$E160)/(TableDiv[[Agency]:[Agency]]=$E160)*(ROW(TableDiv[Agency])-ROW(TableDiv[[#Headers],[Agency]])),COLUMNS($F$7:AB$7))))</f>
        <v/>
      </c>
      <c r="AC160" s="2223" t="str" cm="1">
        <f t="array" ref="AC160">IF($D160&lt;COLUMNS($F$7:AC$7),"",INDEX(TableDiv[[GASB]:[GASB]],_xlfn.AGGREGATE(15,3,(TableDiv[[Agency]:[Agency]]=$E160)/(TableDiv[[Agency]:[Agency]]=$E160)*(ROW(TableDiv[Agency])-ROW(TableDiv[[#Headers],[Agency]])),COLUMNS($F$7:AC$7))))</f>
        <v/>
      </c>
      <c r="AD160" s="2223" t="str" cm="1">
        <f t="array" ref="AD160">IF($D160&lt;COLUMNS($F$7:AD$7),"",INDEX(TableDiv[[GASB]:[GASB]],_xlfn.AGGREGATE(15,3,(TableDiv[[Agency]:[Agency]]=$E160)/(TableDiv[[Agency]:[Agency]]=$E160)*(ROW(TableDiv[Agency])-ROW(TableDiv[[#Headers],[Agency]])),COLUMNS($F$7:AD$7))))</f>
        <v/>
      </c>
      <c r="AE160" s="2223" t="str" cm="1">
        <f t="array" ref="AE160">IF($D160&lt;COLUMNS($F$7:AE$7),"",INDEX(TableDiv[[GASB]:[GASB]],_xlfn.AGGREGATE(15,3,(TableDiv[[Agency]:[Agency]]=$E160)/(TableDiv[[Agency]:[Agency]]=$E160)*(ROW(TableDiv[Agency])-ROW(TableDiv[[#Headers],[Agency]])),COLUMNS($F$7:AE$7))))</f>
        <v/>
      </c>
      <c r="AF160" s="2223" t="str" cm="1">
        <f t="array" ref="AF160">IF($D160&lt;COLUMNS($F$7:AF$7),"",INDEX(TableDiv[[GASB]:[GASB]],_xlfn.AGGREGATE(15,3,(TableDiv[[Agency]:[Agency]]=$E160)/(TableDiv[[Agency]:[Agency]]=$E160)*(ROW(TableDiv[Agency])-ROW(TableDiv[[#Headers],[Agency]])),COLUMNS($F$7:AF$7))))</f>
        <v/>
      </c>
      <c r="AG160" s="2223" t="str" cm="1">
        <f t="array" ref="AG160">IF($D160&lt;COLUMNS($F$7:AG$7),"",INDEX(TableDiv[[GASB]:[GASB]],_xlfn.AGGREGATE(15,3,(TableDiv[[Agency]:[Agency]]=$E160)/(TableDiv[[Agency]:[Agency]]=$E160)*(ROW(TableDiv[Agency])-ROW(TableDiv[[#Headers],[Agency]])),COLUMNS($F$7:AG$7))))</f>
        <v/>
      </c>
      <c r="AH160" s="2223" t="str" cm="1">
        <f t="array" ref="AH160">IF($D160&lt;COLUMNS($F$7:AH$7),"",INDEX(TableDiv[[GASB]:[GASB]],_xlfn.AGGREGATE(15,3,(TableDiv[[Agency]:[Agency]]=$E160)/(TableDiv[[Agency]:[Agency]]=$E160)*(ROW(TableDiv[Agency])-ROW(TableDiv[[#Headers],[Agency]])),COLUMNS($F$7:AH$7))))</f>
        <v/>
      </c>
      <c r="AI160" s="2223" t="str" cm="1">
        <f t="array" ref="AI160">IF($D160&lt;COLUMNS($F$7:AI$7),"",INDEX(TableDiv[[GASB]:[GASB]],_xlfn.AGGREGATE(15,3,(TableDiv[[Agency]:[Agency]]=$E160)/(TableDiv[[Agency]:[Agency]]=$E160)*(ROW(TableDiv[Agency])-ROW(TableDiv[[#Headers],[Agency]])),COLUMNS($F$7:AI$7))))</f>
        <v/>
      </c>
      <c r="AJ160" s="2223" t="str" cm="1">
        <f t="array" ref="AJ160">IF($D160&lt;COLUMNS($F$7:AJ$7),"",INDEX(TableDiv[[GASB]:[GASB]],_xlfn.AGGREGATE(15,3,(TableDiv[[Agency]:[Agency]]=$E160)/(TableDiv[[Agency]:[Agency]]=$E160)*(ROW(TableDiv[Agency])-ROW(TableDiv[[#Headers],[Agency]])),COLUMNS($F$7:AJ$7))))</f>
        <v/>
      </c>
      <c r="AK160" s="2223" t="str" cm="1">
        <f t="array" ref="AK160">IF($D160&lt;COLUMNS($F$7:AK$7),"",INDEX(TableDiv[[GASB]:[GASB]],_xlfn.AGGREGATE(15,3,(TableDiv[[Agency]:[Agency]]=$E160)/(TableDiv[[Agency]:[Agency]]=$E160)*(ROW(TableDiv[Agency])-ROW(TableDiv[[#Headers],[Agency]])),COLUMNS($F$7:AK$7))))</f>
        <v/>
      </c>
      <c r="AL160" s="2223" t="str" cm="1">
        <f t="array" ref="AL160">IF($D160&lt;COLUMNS($F$7:AL$7),"",INDEX(TableDiv[[GASB]:[GASB]],_xlfn.AGGREGATE(15,3,(TableDiv[[Agency]:[Agency]]=$E160)/(TableDiv[[Agency]:[Agency]]=$E160)*(ROW(TableDiv[Agency])-ROW(TableDiv[[#Headers],[Agency]])),COLUMNS($F$7:AL$7))))</f>
        <v/>
      </c>
      <c r="AM160" s="2223" t="str" cm="1">
        <f t="array" ref="AM160">IF($D160&lt;COLUMNS($F$7:AM$7),"",INDEX(TableDiv[[GASB]:[GASB]],_xlfn.AGGREGATE(15,3,(TableDiv[[Agency]:[Agency]]=$E160)/(TableDiv[[Agency]:[Agency]]=$E160)*(ROW(TableDiv[Agency])-ROW(TableDiv[[#Headers],[Agency]])),COLUMNS($F$7:AM$7))))</f>
        <v/>
      </c>
      <c r="AN160" s="2223"/>
      <c r="AO160" s="2223"/>
      <c r="AP160" s="2223"/>
      <c r="AQ160" s="2223"/>
      <c r="AR160" s="2223"/>
      <c r="AS160" s="2223"/>
    </row>
    <row r="161" spans="1:45" ht="15" x14ac:dyDescent="0.25">
      <c r="A161" s="2219" t="s">
        <v>5111</v>
      </c>
      <c r="B161" s="2219" t="s">
        <v>6438</v>
      </c>
      <c r="C161" s="2223"/>
      <c r="D161" s="2223">
        <f>COUNTIF(TableDiv[Agency],E161)</f>
        <v>1</v>
      </c>
      <c r="E161" s="2230" t="str" cm="1">
        <f t="array" ref="E161">IFERROR(INDEX(TableDiv[Agency],MATCH(0,INDEX(COUNTIF($E$7:E160,TableDiv[Agency]),),0)),"")</f>
        <v>CQ</v>
      </c>
      <c r="F161" s="2223" t="str" cm="1">
        <f t="array" ref="F161">IF($D161&lt;COLUMNS($F$7:F$7),"",INDEX(TableDiv[[GASB]:[GASB]],_xlfn.AGGREGATE(15,3,(TableDiv[[Agency]:[Agency]]=$E161)/(TableDiv[[Agency]:[Agency]]=$E161)*(ROW(TableDiv[Agency])-ROW(TableDiv[[#Headers],[Agency]])),COLUMNS($F$7:F$7))))</f>
        <v>48100G</v>
      </c>
      <c r="G161" s="2223" t="str" cm="1">
        <f t="array" ref="G161">IF($D161&lt;COLUMNS($F$7:G$7),"",INDEX(TableDiv[[GASB]:[GASB]],_xlfn.AGGREGATE(15,3,(TableDiv[[Agency]:[Agency]]=$E161)/(TableDiv[[Agency]:[Agency]]=$E161)*(ROW(TableDiv[Agency])-ROW(TableDiv[[#Headers],[Agency]])),COLUMNS($F$7:G$7))))</f>
        <v/>
      </c>
      <c r="H161" s="2223" t="str" cm="1">
        <f t="array" ref="H161">IF($D161&lt;COLUMNS($F$7:H$7),"",INDEX(TableDiv[[GASB]:[GASB]],_xlfn.AGGREGATE(15,3,(TableDiv[[Agency]:[Agency]]=$E161)/(TableDiv[[Agency]:[Agency]]=$E161)*(ROW(TableDiv[Agency])-ROW(TableDiv[[#Headers],[Agency]])),COLUMNS($F$7:H$7))))</f>
        <v/>
      </c>
      <c r="I161" s="2223" t="str" cm="1">
        <f t="array" ref="I161">IF($D161&lt;COLUMNS($F$7:I$7),"",INDEX(TableDiv[[GASB]:[GASB]],_xlfn.AGGREGATE(15,3,(TableDiv[[Agency]:[Agency]]=$E161)/(TableDiv[[Agency]:[Agency]]=$E161)*(ROW(TableDiv[Agency])-ROW(TableDiv[[#Headers],[Agency]])),COLUMNS($F$7:I$7))))</f>
        <v/>
      </c>
      <c r="J161" s="2223" t="str" cm="1">
        <f t="array" ref="J161">IF($D161&lt;COLUMNS($F$7:J$7),"",INDEX(TableDiv[[GASB]:[GASB]],_xlfn.AGGREGATE(15,3,(TableDiv[[Agency]:[Agency]]=$E161)/(TableDiv[[Agency]:[Agency]]=$E161)*(ROW(TableDiv[Agency])-ROW(TableDiv[[#Headers],[Agency]])),COLUMNS($F$7:J$7))))</f>
        <v/>
      </c>
      <c r="K161" s="2223" t="str" cm="1">
        <f t="array" ref="K161">IF($D161&lt;COLUMNS($F$7:K$7),"",INDEX(TableDiv[[GASB]:[GASB]],_xlfn.AGGREGATE(15,3,(TableDiv[[Agency]:[Agency]]=$E161)/(TableDiv[[Agency]:[Agency]]=$E161)*(ROW(TableDiv[Agency])-ROW(TableDiv[[#Headers],[Agency]])),COLUMNS($F$7:K$7))))</f>
        <v/>
      </c>
      <c r="L161" s="2223" t="str" cm="1">
        <f t="array" ref="L161">IF($D161&lt;COLUMNS($F$7:L$7),"",INDEX(TableDiv[[GASB]:[GASB]],_xlfn.AGGREGATE(15,3,(TableDiv[[Agency]:[Agency]]=$E161)/(TableDiv[[Agency]:[Agency]]=$E161)*(ROW(TableDiv[Agency])-ROW(TableDiv[[#Headers],[Agency]])),COLUMNS($F$7:L$7))))</f>
        <v/>
      </c>
      <c r="M161" s="2223" t="str" cm="1">
        <f t="array" ref="M161">IF($D161&lt;COLUMNS($F$7:M$7),"",INDEX(TableDiv[[GASB]:[GASB]],_xlfn.AGGREGATE(15,3,(TableDiv[[Agency]:[Agency]]=$E161)/(TableDiv[[Agency]:[Agency]]=$E161)*(ROW(TableDiv[Agency])-ROW(TableDiv[[#Headers],[Agency]])),COLUMNS($F$7:M$7))))</f>
        <v/>
      </c>
      <c r="N161" s="2223" t="str" cm="1">
        <f t="array" ref="N161">IF($D161&lt;COLUMNS($F$7:N$7),"",INDEX(TableDiv[[GASB]:[GASB]],_xlfn.AGGREGATE(15,3,(TableDiv[[Agency]:[Agency]]=$E161)/(TableDiv[[Agency]:[Agency]]=$E161)*(ROW(TableDiv[Agency])-ROW(TableDiv[[#Headers],[Agency]])),COLUMNS($F$7:N$7))))</f>
        <v/>
      </c>
      <c r="O161" s="2223" t="str" cm="1">
        <f t="array" ref="O161">IF($D161&lt;COLUMNS($F$7:O$7),"",INDEX(TableDiv[[GASB]:[GASB]],_xlfn.AGGREGATE(15,3,(TableDiv[[Agency]:[Agency]]=$E161)/(TableDiv[[Agency]:[Agency]]=$E161)*(ROW(TableDiv[Agency])-ROW(TableDiv[[#Headers],[Agency]])),COLUMNS($F$7:O$7))))</f>
        <v/>
      </c>
      <c r="P161" s="2223" t="str" cm="1">
        <f t="array" ref="P161">IF($D161&lt;COLUMNS($F$7:P$7),"",INDEX(TableDiv[[GASB]:[GASB]],_xlfn.AGGREGATE(15,3,(TableDiv[[Agency]:[Agency]]=$E161)/(TableDiv[[Agency]:[Agency]]=$E161)*(ROW(TableDiv[Agency])-ROW(TableDiv[[#Headers],[Agency]])),COLUMNS($F$7:P$7))))</f>
        <v/>
      </c>
      <c r="Q161" s="2223" t="str" cm="1">
        <f t="array" ref="Q161">IF($D161&lt;COLUMNS($F$7:Q$7),"",INDEX(TableDiv[[GASB]:[GASB]],_xlfn.AGGREGATE(15,3,(TableDiv[[Agency]:[Agency]]=$E161)/(TableDiv[[Agency]:[Agency]]=$E161)*(ROW(TableDiv[Agency])-ROW(TableDiv[[#Headers],[Agency]])),COLUMNS($F$7:Q$7))))</f>
        <v/>
      </c>
      <c r="R161" s="2223" t="str" cm="1">
        <f t="array" ref="R161">IF($D161&lt;COLUMNS($F$7:R$7),"",INDEX(TableDiv[[GASB]:[GASB]],_xlfn.AGGREGATE(15,3,(TableDiv[[Agency]:[Agency]]=$E161)/(TableDiv[[Agency]:[Agency]]=$E161)*(ROW(TableDiv[Agency])-ROW(TableDiv[[#Headers],[Agency]])),COLUMNS($F$7:R$7))))</f>
        <v/>
      </c>
      <c r="S161" s="2223" t="str" cm="1">
        <f t="array" ref="S161">IF($D161&lt;COLUMNS($F$7:S$7),"",INDEX(TableDiv[[GASB]:[GASB]],_xlfn.AGGREGATE(15,3,(TableDiv[[Agency]:[Agency]]=$E161)/(TableDiv[[Agency]:[Agency]]=$E161)*(ROW(TableDiv[Agency])-ROW(TableDiv[[#Headers],[Agency]])),COLUMNS($F$7:S$7))))</f>
        <v/>
      </c>
      <c r="T161" s="2223" t="str" cm="1">
        <f t="array" ref="T161">IF($D161&lt;COLUMNS($F$7:T$7),"",INDEX(TableDiv[[GASB]:[GASB]],_xlfn.AGGREGATE(15,3,(TableDiv[[Agency]:[Agency]]=$E161)/(TableDiv[[Agency]:[Agency]]=$E161)*(ROW(TableDiv[Agency])-ROW(TableDiv[[#Headers],[Agency]])),COLUMNS($F$7:T$7))))</f>
        <v/>
      </c>
      <c r="U161" s="2223" t="str" cm="1">
        <f t="array" ref="U161">IF($D161&lt;COLUMNS($F$7:U$7),"",INDEX(TableDiv[[GASB]:[GASB]],_xlfn.AGGREGATE(15,3,(TableDiv[[Agency]:[Agency]]=$E161)/(TableDiv[[Agency]:[Agency]]=$E161)*(ROW(TableDiv[Agency])-ROW(TableDiv[[#Headers],[Agency]])),COLUMNS($F$7:U$7))))</f>
        <v/>
      </c>
      <c r="V161" s="2223" t="str" cm="1">
        <f t="array" ref="V161">IF($D161&lt;COLUMNS($F$7:V$7),"",INDEX(TableDiv[[GASB]:[GASB]],_xlfn.AGGREGATE(15,3,(TableDiv[[Agency]:[Agency]]=$E161)/(TableDiv[[Agency]:[Agency]]=$E161)*(ROW(TableDiv[Agency])-ROW(TableDiv[[#Headers],[Agency]])),COLUMNS($F$7:V$7))))</f>
        <v/>
      </c>
      <c r="W161" s="2223" t="str" cm="1">
        <f t="array" ref="W161">IF($D161&lt;COLUMNS($F$7:W$7),"",INDEX(TableDiv[[GASB]:[GASB]],_xlfn.AGGREGATE(15,3,(TableDiv[[Agency]:[Agency]]=$E161)/(TableDiv[[Agency]:[Agency]]=$E161)*(ROW(TableDiv[Agency])-ROW(TableDiv[[#Headers],[Agency]])),COLUMNS($F$7:W$7))))</f>
        <v/>
      </c>
      <c r="X161" s="2223" t="str" cm="1">
        <f t="array" ref="X161">IF($D161&lt;COLUMNS($F$7:X$7),"",INDEX(TableDiv[[GASB]:[GASB]],_xlfn.AGGREGATE(15,3,(TableDiv[[Agency]:[Agency]]=$E161)/(TableDiv[[Agency]:[Agency]]=$E161)*(ROW(TableDiv[Agency])-ROW(TableDiv[[#Headers],[Agency]])),COLUMNS($F$7:X$7))))</f>
        <v/>
      </c>
      <c r="Y161" s="2223" t="str" cm="1">
        <f t="array" ref="Y161">IF($D161&lt;COLUMNS($F$7:Y$7),"",INDEX(TableDiv[[GASB]:[GASB]],_xlfn.AGGREGATE(15,3,(TableDiv[[Agency]:[Agency]]=$E161)/(TableDiv[[Agency]:[Agency]]=$E161)*(ROW(TableDiv[Agency])-ROW(TableDiv[[#Headers],[Agency]])),COLUMNS($F$7:Y$7))))</f>
        <v/>
      </c>
      <c r="Z161" s="2223" t="str" cm="1">
        <f t="array" ref="Z161">IF($D161&lt;COLUMNS($F$7:Z$7),"",INDEX(TableDiv[[GASB]:[GASB]],_xlfn.AGGREGATE(15,3,(TableDiv[[Agency]:[Agency]]=$E161)/(TableDiv[[Agency]:[Agency]]=$E161)*(ROW(TableDiv[Agency])-ROW(TableDiv[[#Headers],[Agency]])),COLUMNS($F$7:Z$7))))</f>
        <v/>
      </c>
      <c r="AA161" s="2223" t="str" cm="1">
        <f t="array" ref="AA161">IF($D161&lt;COLUMNS($F$7:AA$7),"",INDEX(TableDiv[[GASB]:[GASB]],_xlfn.AGGREGATE(15,3,(TableDiv[[Agency]:[Agency]]=$E161)/(TableDiv[[Agency]:[Agency]]=$E161)*(ROW(TableDiv[Agency])-ROW(TableDiv[[#Headers],[Agency]])),COLUMNS($F$7:AA$7))))</f>
        <v/>
      </c>
      <c r="AB161" s="2223" t="str" cm="1">
        <f t="array" ref="AB161">IF($D161&lt;COLUMNS($F$7:AB$7),"",INDEX(TableDiv[[GASB]:[GASB]],_xlfn.AGGREGATE(15,3,(TableDiv[[Agency]:[Agency]]=$E161)/(TableDiv[[Agency]:[Agency]]=$E161)*(ROW(TableDiv[Agency])-ROW(TableDiv[[#Headers],[Agency]])),COLUMNS($F$7:AB$7))))</f>
        <v/>
      </c>
      <c r="AC161" s="2223" t="str" cm="1">
        <f t="array" ref="AC161">IF($D161&lt;COLUMNS($F$7:AC$7),"",INDEX(TableDiv[[GASB]:[GASB]],_xlfn.AGGREGATE(15,3,(TableDiv[[Agency]:[Agency]]=$E161)/(TableDiv[[Agency]:[Agency]]=$E161)*(ROW(TableDiv[Agency])-ROW(TableDiv[[#Headers],[Agency]])),COLUMNS($F$7:AC$7))))</f>
        <v/>
      </c>
      <c r="AD161" s="2223" t="str" cm="1">
        <f t="array" ref="AD161">IF($D161&lt;COLUMNS($F$7:AD$7),"",INDEX(TableDiv[[GASB]:[GASB]],_xlfn.AGGREGATE(15,3,(TableDiv[[Agency]:[Agency]]=$E161)/(TableDiv[[Agency]:[Agency]]=$E161)*(ROW(TableDiv[Agency])-ROW(TableDiv[[#Headers],[Agency]])),COLUMNS($F$7:AD$7))))</f>
        <v/>
      </c>
      <c r="AE161" s="2223" t="str" cm="1">
        <f t="array" ref="AE161">IF($D161&lt;COLUMNS($F$7:AE$7),"",INDEX(TableDiv[[GASB]:[GASB]],_xlfn.AGGREGATE(15,3,(TableDiv[[Agency]:[Agency]]=$E161)/(TableDiv[[Agency]:[Agency]]=$E161)*(ROW(TableDiv[Agency])-ROW(TableDiv[[#Headers],[Agency]])),COLUMNS($F$7:AE$7))))</f>
        <v/>
      </c>
      <c r="AF161" s="2223" t="str" cm="1">
        <f t="array" ref="AF161">IF($D161&lt;COLUMNS($F$7:AF$7),"",INDEX(TableDiv[[GASB]:[GASB]],_xlfn.AGGREGATE(15,3,(TableDiv[[Agency]:[Agency]]=$E161)/(TableDiv[[Agency]:[Agency]]=$E161)*(ROW(TableDiv[Agency])-ROW(TableDiv[[#Headers],[Agency]])),COLUMNS($F$7:AF$7))))</f>
        <v/>
      </c>
      <c r="AG161" s="2223" t="str" cm="1">
        <f t="array" ref="AG161">IF($D161&lt;COLUMNS($F$7:AG$7),"",INDEX(TableDiv[[GASB]:[GASB]],_xlfn.AGGREGATE(15,3,(TableDiv[[Agency]:[Agency]]=$E161)/(TableDiv[[Agency]:[Agency]]=$E161)*(ROW(TableDiv[Agency])-ROW(TableDiv[[#Headers],[Agency]])),COLUMNS($F$7:AG$7))))</f>
        <v/>
      </c>
      <c r="AH161" s="2223" t="str" cm="1">
        <f t="array" ref="AH161">IF($D161&lt;COLUMNS($F$7:AH$7),"",INDEX(TableDiv[[GASB]:[GASB]],_xlfn.AGGREGATE(15,3,(TableDiv[[Agency]:[Agency]]=$E161)/(TableDiv[[Agency]:[Agency]]=$E161)*(ROW(TableDiv[Agency])-ROW(TableDiv[[#Headers],[Agency]])),COLUMNS($F$7:AH$7))))</f>
        <v/>
      </c>
      <c r="AI161" s="2223" t="str" cm="1">
        <f t="array" ref="AI161">IF($D161&lt;COLUMNS($F$7:AI$7),"",INDEX(TableDiv[[GASB]:[GASB]],_xlfn.AGGREGATE(15,3,(TableDiv[[Agency]:[Agency]]=$E161)/(TableDiv[[Agency]:[Agency]]=$E161)*(ROW(TableDiv[Agency])-ROW(TableDiv[[#Headers],[Agency]])),COLUMNS($F$7:AI$7))))</f>
        <v/>
      </c>
      <c r="AJ161" s="2223" t="str" cm="1">
        <f t="array" ref="AJ161">IF($D161&lt;COLUMNS($F$7:AJ$7),"",INDEX(TableDiv[[GASB]:[GASB]],_xlfn.AGGREGATE(15,3,(TableDiv[[Agency]:[Agency]]=$E161)/(TableDiv[[Agency]:[Agency]]=$E161)*(ROW(TableDiv[Agency])-ROW(TableDiv[[#Headers],[Agency]])),COLUMNS($F$7:AJ$7))))</f>
        <v/>
      </c>
      <c r="AK161" s="2223" t="str" cm="1">
        <f t="array" ref="AK161">IF($D161&lt;COLUMNS($F$7:AK$7),"",INDEX(TableDiv[[GASB]:[GASB]],_xlfn.AGGREGATE(15,3,(TableDiv[[Agency]:[Agency]]=$E161)/(TableDiv[[Agency]:[Agency]]=$E161)*(ROW(TableDiv[Agency])-ROW(TableDiv[[#Headers],[Agency]])),COLUMNS($F$7:AK$7))))</f>
        <v/>
      </c>
      <c r="AL161" s="2223" t="str" cm="1">
        <f t="array" ref="AL161">IF($D161&lt;COLUMNS($F$7:AL$7),"",INDEX(TableDiv[[GASB]:[GASB]],_xlfn.AGGREGATE(15,3,(TableDiv[[Agency]:[Agency]]=$E161)/(TableDiv[[Agency]:[Agency]]=$E161)*(ROW(TableDiv[Agency])-ROW(TableDiv[[#Headers],[Agency]])),COLUMNS($F$7:AL$7))))</f>
        <v/>
      </c>
      <c r="AM161" s="2223" t="str" cm="1">
        <f t="array" ref="AM161">IF($D161&lt;COLUMNS($F$7:AM$7),"",INDEX(TableDiv[[GASB]:[GASB]],_xlfn.AGGREGATE(15,3,(TableDiv[[Agency]:[Agency]]=$E161)/(TableDiv[[Agency]:[Agency]]=$E161)*(ROW(TableDiv[Agency])-ROW(TableDiv[[#Headers],[Agency]])),COLUMNS($F$7:AM$7))))</f>
        <v/>
      </c>
      <c r="AN161" s="2223"/>
      <c r="AO161" s="2223"/>
      <c r="AP161" s="2223"/>
      <c r="AQ161" s="2223"/>
      <c r="AR161" s="2223"/>
      <c r="AS161" s="2223"/>
    </row>
    <row r="162" spans="1:45" ht="15" x14ac:dyDescent="0.25">
      <c r="A162" s="2219" t="s">
        <v>5558</v>
      </c>
      <c r="B162" s="2219" t="s">
        <v>6357</v>
      </c>
      <c r="C162" s="2223"/>
      <c r="D162" s="2223">
        <f>COUNTIF(TableDiv[Agency],E162)</f>
        <v>1</v>
      </c>
      <c r="E162" s="2230" t="str" cm="1">
        <f t="array" ref="E162">IFERROR(INDEX(TableDiv[Agency],MATCH(0,INDEX(COUNTIF($E$7:E161,TableDiv[Agency]),),0)),"")</f>
        <v>CR</v>
      </c>
      <c r="F162" s="2223" t="str" cm="1">
        <f t="array" ref="F162">IF($D162&lt;COLUMNS($F$7:F$7),"",INDEX(TableDiv[[GASB]:[GASB]],_xlfn.AGGREGATE(15,3,(TableDiv[[Agency]:[Agency]]=$E162)/(TableDiv[[Agency]:[Agency]]=$E162)*(ROW(TableDiv[Agency])-ROW(TableDiv[[#Headers],[Agency]])),COLUMNS($F$7:F$7))))</f>
        <v>48100G</v>
      </c>
      <c r="G162" s="2223" t="str" cm="1">
        <f t="array" ref="G162">IF($D162&lt;COLUMNS($F$7:G$7),"",INDEX(TableDiv[[GASB]:[GASB]],_xlfn.AGGREGATE(15,3,(TableDiv[[Agency]:[Agency]]=$E162)/(TableDiv[[Agency]:[Agency]]=$E162)*(ROW(TableDiv[Agency])-ROW(TableDiv[[#Headers],[Agency]])),COLUMNS($F$7:G$7))))</f>
        <v/>
      </c>
      <c r="H162" s="2223" t="str" cm="1">
        <f t="array" ref="H162">IF($D162&lt;COLUMNS($F$7:H$7),"",INDEX(TableDiv[[GASB]:[GASB]],_xlfn.AGGREGATE(15,3,(TableDiv[[Agency]:[Agency]]=$E162)/(TableDiv[[Agency]:[Agency]]=$E162)*(ROW(TableDiv[Agency])-ROW(TableDiv[[#Headers],[Agency]])),COLUMNS($F$7:H$7))))</f>
        <v/>
      </c>
      <c r="I162" s="2223" t="str" cm="1">
        <f t="array" ref="I162">IF($D162&lt;COLUMNS($F$7:I$7),"",INDEX(TableDiv[[GASB]:[GASB]],_xlfn.AGGREGATE(15,3,(TableDiv[[Agency]:[Agency]]=$E162)/(TableDiv[[Agency]:[Agency]]=$E162)*(ROW(TableDiv[Agency])-ROW(TableDiv[[#Headers],[Agency]])),COLUMNS($F$7:I$7))))</f>
        <v/>
      </c>
      <c r="J162" s="2223" t="str" cm="1">
        <f t="array" ref="J162">IF($D162&lt;COLUMNS($F$7:J$7),"",INDEX(TableDiv[[GASB]:[GASB]],_xlfn.AGGREGATE(15,3,(TableDiv[[Agency]:[Agency]]=$E162)/(TableDiv[[Agency]:[Agency]]=$E162)*(ROW(TableDiv[Agency])-ROW(TableDiv[[#Headers],[Agency]])),COLUMNS($F$7:J$7))))</f>
        <v/>
      </c>
      <c r="K162" s="2223" t="str" cm="1">
        <f t="array" ref="K162">IF($D162&lt;COLUMNS($F$7:K$7),"",INDEX(TableDiv[[GASB]:[GASB]],_xlfn.AGGREGATE(15,3,(TableDiv[[Agency]:[Agency]]=$E162)/(TableDiv[[Agency]:[Agency]]=$E162)*(ROW(TableDiv[Agency])-ROW(TableDiv[[#Headers],[Agency]])),COLUMNS($F$7:K$7))))</f>
        <v/>
      </c>
      <c r="L162" s="2223" t="str" cm="1">
        <f t="array" ref="L162">IF($D162&lt;COLUMNS($F$7:L$7),"",INDEX(TableDiv[[GASB]:[GASB]],_xlfn.AGGREGATE(15,3,(TableDiv[[Agency]:[Agency]]=$E162)/(TableDiv[[Agency]:[Agency]]=$E162)*(ROW(TableDiv[Agency])-ROW(TableDiv[[#Headers],[Agency]])),COLUMNS($F$7:L$7))))</f>
        <v/>
      </c>
      <c r="M162" s="2223" t="str" cm="1">
        <f t="array" ref="M162">IF($D162&lt;COLUMNS($F$7:M$7),"",INDEX(TableDiv[[GASB]:[GASB]],_xlfn.AGGREGATE(15,3,(TableDiv[[Agency]:[Agency]]=$E162)/(TableDiv[[Agency]:[Agency]]=$E162)*(ROW(TableDiv[Agency])-ROW(TableDiv[[#Headers],[Agency]])),COLUMNS($F$7:M$7))))</f>
        <v/>
      </c>
      <c r="N162" s="2223" t="str" cm="1">
        <f t="array" ref="N162">IF($D162&lt;COLUMNS($F$7:N$7),"",INDEX(TableDiv[[GASB]:[GASB]],_xlfn.AGGREGATE(15,3,(TableDiv[[Agency]:[Agency]]=$E162)/(TableDiv[[Agency]:[Agency]]=$E162)*(ROW(TableDiv[Agency])-ROW(TableDiv[[#Headers],[Agency]])),COLUMNS($F$7:N$7))))</f>
        <v/>
      </c>
      <c r="O162" s="2223" t="str" cm="1">
        <f t="array" ref="O162">IF($D162&lt;COLUMNS($F$7:O$7),"",INDEX(TableDiv[[GASB]:[GASB]],_xlfn.AGGREGATE(15,3,(TableDiv[[Agency]:[Agency]]=$E162)/(TableDiv[[Agency]:[Agency]]=$E162)*(ROW(TableDiv[Agency])-ROW(TableDiv[[#Headers],[Agency]])),COLUMNS($F$7:O$7))))</f>
        <v/>
      </c>
      <c r="P162" s="2223" t="str" cm="1">
        <f t="array" ref="P162">IF($D162&lt;COLUMNS($F$7:P$7),"",INDEX(TableDiv[[GASB]:[GASB]],_xlfn.AGGREGATE(15,3,(TableDiv[[Agency]:[Agency]]=$E162)/(TableDiv[[Agency]:[Agency]]=$E162)*(ROW(TableDiv[Agency])-ROW(TableDiv[[#Headers],[Agency]])),COLUMNS($F$7:P$7))))</f>
        <v/>
      </c>
      <c r="Q162" s="2223" t="str" cm="1">
        <f t="array" ref="Q162">IF($D162&lt;COLUMNS($F$7:Q$7),"",INDEX(TableDiv[[GASB]:[GASB]],_xlfn.AGGREGATE(15,3,(TableDiv[[Agency]:[Agency]]=$E162)/(TableDiv[[Agency]:[Agency]]=$E162)*(ROW(TableDiv[Agency])-ROW(TableDiv[[#Headers],[Agency]])),COLUMNS($F$7:Q$7))))</f>
        <v/>
      </c>
      <c r="R162" s="2223" t="str" cm="1">
        <f t="array" ref="R162">IF($D162&lt;COLUMNS($F$7:R$7),"",INDEX(TableDiv[[GASB]:[GASB]],_xlfn.AGGREGATE(15,3,(TableDiv[[Agency]:[Agency]]=$E162)/(TableDiv[[Agency]:[Agency]]=$E162)*(ROW(TableDiv[Agency])-ROW(TableDiv[[#Headers],[Agency]])),COLUMNS($F$7:R$7))))</f>
        <v/>
      </c>
      <c r="S162" s="2223" t="str" cm="1">
        <f t="array" ref="S162">IF($D162&lt;COLUMNS($F$7:S$7),"",INDEX(TableDiv[[GASB]:[GASB]],_xlfn.AGGREGATE(15,3,(TableDiv[[Agency]:[Agency]]=$E162)/(TableDiv[[Agency]:[Agency]]=$E162)*(ROW(TableDiv[Agency])-ROW(TableDiv[[#Headers],[Agency]])),COLUMNS($F$7:S$7))))</f>
        <v/>
      </c>
      <c r="T162" s="2223" t="str" cm="1">
        <f t="array" ref="T162">IF($D162&lt;COLUMNS($F$7:T$7),"",INDEX(TableDiv[[GASB]:[GASB]],_xlfn.AGGREGATE(15,3,(TableDiv[[Agency]:[Agency]]=$E162)/(TableDiv[[Agency]:[Agency]]=$E162)*(ROW(TableDiv[Agency])-ROW(TableDiv[[#Headers],[Agency]])),COLUMNS($F$7:T$7))))</f>
        <v/>
      </c>
      <c r="U162" s="2223" t="str" cm="1">
        <f t="array" ref="U162">IF($D162&lt;COLUMNS($F$7:U$7),"",INDEX(TableDiv[[GASB]:[GASB]],_xlfn.AGGREGATE(15,3,(TableDiv[[Agency]:[Agency]]=$E162)/(TableDiv[[Agency]:[Agency]]=$E162)*(ROW(TableDiv[Agency])-ROW(TableDiv[[#Headers],[Agency]])),COLUMNS($F$7:U$7))))</f>
        <v/>
      </c>
      <c r="V162" s="2223" t="str" cm="1">
        <f t="array" ref="V162">IF($D162&lt;COLUMNS($F$7:V$7),"",INDEX(TableDiv[[GASB]:[GASB]],_xlfn.AGGREGATE(15,3,(TableDiv[[Agency]:[Agency]]=$E162)/(TableDiv[[Agency]:[Agency]]=$E162)*(ROW(TableDiv[Agency])-ROW(TableDiv[[#Headers],[Agency]])),COLUMNS($F$7:V$7))))</f>
        <v/>
      </c>
      <c r="W162" s="2223" t="str" cm="1">
        <f t="array" ref="W162">IF($D162&lt;COLUMNS($F$7:W$7),"",INDEX(TableDiv[[GASB]:[GASB]],_xlfn.AGGREGATE(15,3,(TableDiv[[Agency]:[Agency]]=$E162)/(TableDiv[[Agency]:[Agency]]=$E162)*(ROW(TableDiv[Agency])-ROW(TableDiv[[#Headers],[Agency]])),COLUMNS($F$7:W$7))))</f>
        <v/>
      </c>
      <c r="X162" s="2223" t="str" cm="1">
        <f t="array" ref="X162">IF($D162&lt;COLUMNS($F$7:X$7),"",INDEX(TableDiv[[GASB]:[GASB]],_xlfn.AGGREGATE(15,3,(TableDiv[[Agency]:[Agency]]=$E162)/(TableDiv[[Agency]:[Agency]]=$E162)*(ROW(TableDiv[Agency])-ROW(TableDiv[[#Headers],[Agency]])),COLUMNS($F$7:X$7))))</f>
        <v/>
      </c>
      <c r="Y162" s="2223" t="str" cm="1">
        <f t="array" ref="Y162">IF($D162&lt;COLUMNS($F$7:Y$7),"",INDEX(TableDiv[[GASB]:[GASB]],_xlfn.AGGREGATE(15,3,(TableDiv[[Agency]:[Agency]]=$E162)/(TableDiv[[Agency]:[Agency]]=$E162)*(ROW(TableDiv[Agency])-ROW(TableDiv[[#Headers],[Agency]])),COLUMNS($F$7:Y$7))))</f>
        <v/>
      </c>
      <c r="Z162" s="2223" t="str" cm="1">
        <f t="array" ref="Z162">IF($D162&lt;COLUMNS($F$7:Z$7),"",INDEX(TableDiv[[GASB]:[GASB]],_xlfn.AGGREGATE(15,3,(TableDiv[[Agency]:[Agency]]=$E162)/(TableDiv[[Agency]:[Agency]]=$E162)*(ROW(TableDiv[Agency])-ROW(TableDiv[[#Headers],[Agency]])),COLUMNS($F$7:Z$7))))</f>
        <v/>
      </c>
      <c r="AA162" s="2223" t="str" cm="1">
        <f t="array" ref="AA162">IF($D162&lt;COLUMNS($F$7:AA$7),"",INDEX(TableDiv[[GASB]:[GASB]],_xlfn.AGGREGATE(15,3,(TableDiv[[Agency]:[Agency]]=$E162)/(TableDiv[[Agency]:[Agency]]=$E162)*(ROW(TableDiv[Agency])-ROW(TableDiv[[#Headers],[Agency]])),COLUMNS($F$7:AA$7))))</f>
        <v/>
      </c>
      <c r="AB162" s="2223" t="str" cm="1">
        <f t="array" ref="AB162">IF($D162&lt;COLUMNS($F$7:AB$7),"",INDEX(TableDiv[[GASB]:[GASB]],_xlfn.AGGREGATE(15,3,(TableDiv[[Agency]:[Agency]]=$E162)/(TableDiv[[Agency]:[Agency]]=$E162)*(ROW(TableDiv[Agency])-ROW(TableDiv[[#Headers],[Agency]])),COLUMNS($F$7:AB$7))))</f>
        <v/>
      </c>
      <c r="AC162" s="2223" t="str" cm="1">
        <f t="array" ref="AC162">IF($D162&lt;COLUMNS($F$7:AC$7),"",INDEX(TableDiv[[GASB]:[GASB]],_xlfn.AGGREGATE(15,3,(TableDiv[[Agency]:[Agency]]=$E162)/(TableDiv[[Agency]:[Agency]]=$E162)*(ROW(TableDiv[Agency])-ROW(TableDiv[[#Headers],[Agency]])),COLUMNS($F$7:AC$7))))</f>
        <v/>
      </c>
      <c r="AD162" s="2223" t="str" cm="1">
        <f t="array" ref="AD162">IF($D162&lt;COLUMNS($F$7:AD$7),"",INDEX(TableDiv[[GASB]:[GASB]],_xlfn.AGGREGATE(15,3,(TableDiv[[Agency]:[Agency]]=$E162)/(TableDiv[[Agency]:[Agency]]=$E162)*(ROW(TableDiv[Agency])-ROW(TableDiv[[#Headers],[Agency]])),COLUMNS($F$7:AD$7))))</f>
        <v/>
      </c>
      <c r="AE162" s="2223" t="str" cm="1">
        <f t="array" ref="AE162">IF($D162&lt;COLUMNS($F$7:AE$7),"",INDEX(TableDiv[[GASB]:[GASB]],_xlfn.AGGREGATE(15,3,(TableDiv[[Agency]:[Agency]]=$E162)/(TableDiv[[Agency]:[Agency]]=$E162)*(ROW(TableDiv[Agency])-ROW(TableDiv[[#Headers],[Agency]])),COLUMNS($F$7:AE$7))))</f>
        <v/>
      </c>
      <c r="AF162" s="2223" t="str" cm="1">
        <f t="array" ref="AF162">IF($D162&lt;COLUMNS($F$7:AF$7),"",INDEX(TableDiv[[GASB]:[GASB]],_xlfn.AGGREGATE(15,3,(TableDiv[[Agency]:[Agency]]=$E162)/(TableDiv[[Agency]:[Agency]]=$E162)*(ROW(TableDiv[Agency])-ROW(TableDiv[[#Headers],[Agency]])),COLUMNS($F$7:AF$7))))</f>
        <v/>
      </c>
      <c r="AG162" s="2223" t="str" cm="1">
        <f t="array" ref="AG162">IF($D162&lt;COLUMNS($F$7:AG$7),"",INDEX(TableDiv[[GASB]:[GASB]],_xlfn.AGGREGATE(15,3,(TableDiv[[Agency]:[Agency]]=$E162)/(TableDiv[[Agency]:[Agency]]=$E162)*(ROW(TableDiv[Agency])-ROW(TableDiv[[#Headers],[Agency]])),COLUMNS($F$7:AG$7))))</f>
        <v/>
      </c>
      <c r="AH162" s="2223" t="str" cm="1">
        <f t="array" ref="AH162">IF($D162&lt;COLUMNS($F$7:AH$7),"",INDEX(TableDiv[[GASB]:[GASB]],_xlfn.AGGREGATE(15,3,(TableDiv[[Agency]:[Agency]]=$E162)/(TableDiv[[Agency]:[Agency]]=$E162)*(ROW(TableDiv[Agency])-ROW(TableDiv[[#Headers],[Agency]])),COLUMNS($F$7:AH$7))))</f>
        <v/>
      </c>
      <c r="AI162" s="2223" t="str" cm="1">
        <f t="array" ref="AI162">IF($D162&lt;COLUMNS($F$7:AI$7),"",INDEX(TableDiv[[GASB]:[GASB]],_xlfn.AGGREGATE(15,3,(TableDiv[[Agency]:[Agency]]=$E162)/(TableDiv[[Agency]:[Agency]]=$E162)*(ROW(TableDiv[Agency])-ROW(TableDiv[[#Headers],[Agency]])),COLUMNS($F$7:AI$7))))</f>
        <v/>
      </c>
      <c r="AJ162" s="2223" t="str" cm="1">
        <f t="array" ref="AJ162">IF($D162&lt;COLUMNS($F$7:AJ$7),"",INDEX(TableDiv[[GASB]:[GASB]],_xlfn.AGGREGATE(15,3,(TableDiv[[Agency]:[Agency]]=$E162)/(TableDiv[[Agency]:[Agency]]=$E162)*(ROW(TableDiv[Agency])-ROW(TableDiv[[#Headers],[Agency]])),COLUMNS($F$7:AJ$7))))</f>
        <v/>
      </c>
      <c r="AK162" s="2223" t="str" cm="1">
        <f t="array" ref="AK162">IF($D162&lt;COLUMNS($F$7:AK$7),"",INDEX(TableDiv[[GASB]:[GASB]],_xlfn.AGGREGATE(15,3,(TableDiv[[Agency]:[Agency]]=$E162)/(TableDiv[[Agency]:[Agency]]=$E162)*(ROW(TableDiv[Agency])-ROW(TableDiv[[#Headers],[Agency]])),COLUMNS($F$7:AK$7))))</f>
        <v/>
      </c>
      <c r="AL162" s="2223" t="str" cm="1">
        <f t="array" ref="AL162">IF($D162&lt;COLUMNS($F$7:AL$7),"",INDEX(TableDiv[[GASB]:[GASB]],_xlfn.AGGREGATE(15,3,(TableDiv[[Agency]:[Agency]]=$E162)/(TableDiv[[Agency]:[Agency]]=$E162)*(ROW(TableDiv[Agency])-ROW(TableDiv[[#Headers],[Agency]])),COLUMNS($F$7:AL$7))))</f>
        <v/>
      </c>
      <c r="AM162" s="2223" t="str" cm="1">
        <f t="array" ref="AM162">IF($D162&lt;COLUMNS($F$7:AM$7),"",INDEX(TableDiv[[GASB]:[GASB]],_xlfn.AGGREGATE(15,3,(TableDiv[[Agency]:[Agency]]=$E162)/(TableDiv[[Agency]:[Agency]]=$E162)*(ROW(TableDiv[Agency])-ROW(TableDiv[[#Headers],[Agency]])),COLUMNS($F$7:AM$7))))</f>
        <v/>
      </c>
      <c r="AN162" s="2223"/>
      <c r="AO162" s="2223"/>
      <c r="AP162" s="2223"/>
      <c r="AQ162" s="2223"/>
      <c r="AR162" s="2223"/>
      <c r="AS162" s="2223"/>
    </row>
    <row r="163" spans="1:45" ht="15" x14ac:dyDescent="0.25">
      <c r="A163" s="2219" t="s">
        <v>5558</v>
      </c>
      <c r="B163" s="2219" t="s">
        <v>1878</v>
      </c>
      <c r="C163" s="2223"/>
      <c r="D163" s="2223">
        <f>COUNTIF(TableDiv[Agency],E163)</f>
        <v>1</v>
      </c>
      <c r="E163" s="2230" t="str" cm="1">
        <f t="array" ref="E163">IFERROR(INDEX(TableDiv[Agency],MATCH(0,INDEX(COUNTIF($E$7:E162,TableDiv[Agency]),),0)),"")</f>
        <v>CS</v>
      </c>
      <c r="F163" s="2223" t="str" cm="1">
        <f t="array" ref="F163">IF($D163&lt;COLUMNS($F$7:F$7),"",INDEX(TableDiv[[GASB]:[GASB]],_xlfn.AGGREGATE(15,3,(TableDiv[[Agency]:[Agency]]=$E163)/(TableDiv[[Agency]:[Agency]]=$E163)*(ROW(TableDiv[Agency])-ROW(TableDiv[[#Headers],[Agency]])),COLUMNS($F$7:F$7))))</f>
        <v>48100G</v>
      </c>
      <c r="G163" s="2223" t="str" cm="1">
        <f t="array" ref="G163">IF($D163&lt;COLUMNS($F$7:G$7),"",INDEX(TableDiv[[GASB]:[GASB]],_xlfn.AGGREGATE(15,3,(TableDiv[[Agency]:[Agency]]=$E163)/(TableDiv[[Agency]:[Agency]]=$E163)*(ROW(TableDiv[Agency])-ROW(TableDiv[[#Headers],[Agency]])),COLUMNS($F$7:G$7))))</f>
        <v/>
      </c>
      <c r="H163" s="2223" t="str" cm="1">
        <f t="array" ref="H163">IF($D163&lt;COLUMNS($F$7:H$7),"",INDEX(TableDiv[[GASB]:[GASB]],_xlfn.AGGREGATE(15,3,(TableDiv[[Agency]:[Agency]]=$E163)/(TableDiv[[Agency]:[Agency]]=$E163)*(ROW(TableDiv[Agency])-ROW(TableDiv[[#Headers],[Agency]])),COLUMNS($F$7:H$7))))</f>
        <v/>
      </c>
      <c r="I163" s="2223" t="str" cm="1">
        <f t="array" ref="I163">IF($D163&lt;COLUMNS($F$7:I$7),"",INDEX(TableDiv[[GASB]:[GASB]],_xlfn.AGGREGATE(15,3,(TableDiv[[Agency]:[Agency]]=$E163)/(TableDiv[[Agency]:[Agency]]=$E163)*(ROW(TableDiv[Agency])-ROW(TableDiv[[#Headers],[Agency]])),COLUMNS($F$7:I$7))))</f>
        <v/>
      </c>
      <c r="J163" s="2223" t="str" cm="1">
        <f t="array" ref="J163">IF($D163&lt;COLUMNS($F$7:J$7),"",INDEX(TableDiv[[GASB]:[GASB]],_xlfn.AGGREGATE(15,3,(TableDiv[[Agency]:[Agency]]=$E163)/(TableDiv[[Agency]:[Agency]]=$E163)*(ROW(TableDiv[Agency])-ROW(TableDiv[[#Headers],[Agency]])),COLUMNS($F$7:J$7))))</f>
        <v/>
      </c>
      <c r="K163" s="2223" t="str" cm="1">
        <f t="array" ref="K163">IF($D163&lt;COLUMNS($F$7:K$7),"",INDEX(TableDiv[[GASB]:[GASB]],_xlfn.AGGREGATE(15,3,(TableDiv[[Agency]:[Agency]]=$E163)/(TableDiv[[Agency]:[Agency]]=$E163)*(ROW(TableDiv[Agency])-ROW(TableDiv[[#Headers],[Agency]])),COLUMNS($F$7:K$7))))</f>
        <v/>
      </c>
      <c r="L163" s="2223" t="str" cm="1">
        <f t="array" ref="L163">IF($D163&lt;COLUMNS($F$7:L$7),"",INDEX(TableDiv[[GASB]:[GASB]],_xlfn.AGGREGATE(15,3,(TableDiv[[Agency]:[Agency]]=$E163)/(TableDiv[[Agency]:[Agency]]=$E163)*(ROW(TableDiv[Agency])-ROW(TableDiv[[#Headers],[Agency]])),COLUMNS($F$7:L$7))))</f>
        <v/>
      </c>
      <c r="M163" s="2223" t="str" cm="1">
        <f t="array" ref="M163">IF($D163&lt;COLUMNS($F$7:M$7),"",INDEX(TableDiv[[GASB]:[GASB]],_xlfn.AGGREGATE(15,3,(TableDiv[[Agency]:[Agency]]=$E163)/(TableDiv[[Agency]:[Agency]]=$E163)*(ROW(TableDiv[Agency])-ROW(TableDiv[[#Headers],[Agency]])),COLUMNS($F$7:M$7))))</f>
        <v/>
      </c>
      <c r="N163" s="2223" t="str" cm="1">
        <f t="array" ref="N163">IF($D163&lt;COLUMNS($F$7:N$7),"",INDEX(TableDiv[[GASB]:[GASB]],_xlfn.AGGREGATE(15,3,(TableDiv[[Agency]:[Agency]]=$E163)/(TableDiv[[Agency]:[Agency]]=$E163)*(ROW(TableDiv[Agency])-ROW(TableDiv[[#Headers],[Agency]])),COLUMNS($F$7:N$7))))</f>
        <v/>
      </c>
      <c r="O163" s="2223" t="str" cm="1">
        <f t="array" ref="O163">IF($D163&lt;COLUMNS($F$7:O$7),"",INDEX(TableDiv[[GASB]:[GASB]],_xlfn.AGGREGATE(15,3,(TableDiv[[Agency]:[Agency]]=$E163)/(TableDiv[[Agency]:[Agency]]=$E163)*(ROW(TableDiv[Agency])-ROW(TableDiv[[#Headers],[Agency]])),COLUMNS($F$7:O$7))))</f>
        <v/>
      </c>
      <c r="P163" s="2223" t="str" cm="1">
        <f t="array" ref="P163">IF($D163&lt;COLUMNS($F$7:P$7),"",INDEX(TableDiv[[GASB]:[GASB]],_xlfn.AGGREGATE(15,3,(TableDiv[[Agency]:[Agency]]=$E163)/(TableDiv[[Agency]:[Agency]]=$E163)*(ROW(TableDiv[Agency])-ROW(TableDiv[[#Headers],[Agency]])),COLUMNS($F$7:P$7))))</f>
        <v/>
      </c>
      <c r="Q163" s="2223" t="str" cm="1">
        <f t="array" ref="Q163">IF($D163&lt;COLUMNS($F$7:Q$7),"",INDEX(TableDiv[[GASB]:[GASB]],_xlfn.AGGREGATE(15,3,(TableDiv[[Agency]:[Agency]]=$E163)/(TableDiv[[Agency]:[Agency]]=$E163)*(ROW(TableDiv[Agency])-ROW(TableDiv[[#Headers],[Agency]])),COLUMNS($F$7:Q$7))))</f>
        <v/>
      </c>
      <c r="R163" s="2223" t="str" cm="1">
        <f t="array" ref="R163">IF($D163&lt;COLUMNS($F$7:R$7),"",INDEX(TableDiv[[GASB]:[GASB]],_xlfn.AGGREGATE(15,3,(TableDiv[[Agency]:[Agency]]=$E163)/(TableDiv[[Agency]:[Agency]]=$E163)*(ROW(TableDiv[Agency])-ROW(TableDiv[[#Headers],[Agency]])),COLUMNS($F$7:R$7))))</f>
        <v/>
      </c>
      <c r="S163" s="2223" t="str" cm="1">
        <f t="array" ref="S163">IF($D163&lt;COLUMNS($F$7:S$7),"",INDEX(TableDiv[[GASB]:[GASB]],_xlfn.AGGREGATE(15,3,(TableDiv[[Agency]:[Agency]]=$E163)/(TableDiv[[Agency]:[Agency]]=$E163)*(ROW(TableDiv[Agency])-ROW(TableDiv[[#Headers],[Agency]])),COLUMNS($F$7:S$7))))</f>
        <v/>
      </c>
      <c r="T163" s="2223" t="str" cm="1">
        <f t="array" ref="T163">IF($D163&lt;COLUMNS($F$7:T$7),"",INDEX(TableDiv[[GASB]:[GASB]],_xlfn.AGGREGATE(15,3,(TableDiv[[Agency]:[Agency]]=$E163)/(TableDiv[[Agency]:[Agency]]=$E163)*(ROW(TableDiv[Agency])-ROW(TableDiv[[#Headers],[Agency]])),COLUMNS($F$7:T$7))))</f>
        <v/>
      </c>
      <c r="U163" s="2223" t="str" cm="1">
        <f t="array" ref="U163">IF($D163&lt;COLUMNS($F$7:U$7),"",INDEX(TableDiv[[GASB]:[GASB]],_xlfn.AGGREGATE(15,3,(TableDiv[[Agency]:[Agency]]=$E163)/(TableDiv[[Agency]:[Agency]]=$E163)*(ROW(TableDiv[Agency])-ROW(TableDiv[[#Headers],[Agency]])),COLUMNS($F$7:U$7))))</f>
        <v/>
      </c>
      <c r="V163" s="2223" t="str" cm="1">
        <f t="array" ref="V163">IF($D163&lt;COLUMNS($F$7:V$7),"",INDEX(TableDiv[[GASB]:[GASB]],_xlfn.AGGREGATE(15,3,(TableDiv[[Agency]:[Agency]]=$E163)/(TableDiv[[Agency]:[Agency]]=$E163)*(ROW(TableDiv[Agency])-ROW(TableDiv[[#Headers],[Agency]])),COLUMNS($F$7:V$7))))</f>
        <v/>
      </c>
      <c r="W163" s="2223" t="str" cm="1">
        <f t="array" ref="W163">IF($D163&lt;COLUMNS($F$7:W$7),"",INDEX(TableDiv[[GASB]:[GASB]],_xlfn.AGGREGATE(15,3,(TableDiv[[Agency]:[Agency]]=$E163)/(TableDiv[[Agency]:[Agency]]=$E163)*(ROW(TableDiv[Agency])-ROW(TableDiv[[#Headers],[Agency]])),COLUMNS($F$7:W$7))))</f>
        <v/>
      </c>
      <c r="X163" s="2223" t="str" cm="1">
        <f t="array" ref="X163">IF($D163&lt;COLUMNS($F$7:X$7),"",INDEX(TableDiv[[GASB]:[GASB]],_xlfn.AGGREGATE(15,3,(TableDiv[[Agency]:[Agency]]=$E163)/(TableDiv[[Agency]:[Agency]]=$E163)*(ROW(TableDiv[Agency])-ROW(TableDiv[[#Headers],[Agency]])),COLUMNS($F$7:X$7))))</f>
        <v/>
      </c>
      <c r="Y163" s="2223" t="str" cm="1">
        <f t="array" ref="Y163">IF($D163&lt;COLUMNS($F$7:Y$7),"",INDEX(TableDiv[[GASB]:[GASB]],_xlfn.AGGREGATE(15,3,(TableDiv[[Agency]:[Agency]]=$E163)/(TableDiv[[Agency]:[Agency]]=$E163)*(ROW(TableDiv[Agency])-ROW(TableDiv[[#Headers],[Agency]])),COLUMNS($F$7:Y$7))))</f>
        <v/>
      </c>
      <c r="Z163" s="2223" t="str" cm="1">
        <f t="array" ref="Z163">IF($D163&lt;COLUMNS($F$7:Z$7),"",INDEX(TableDiv[[GASB]:[GASB]],_xlfn.AGGREGATE(15,3,(TableDiv[[Agency]:[Agency]]=$E163)/(TableDiv[[Agency]:[Agency]]=$E163)*(ROW(TableDiv[Agency])-ROW(TableDiv[[#Headers],[Agency]])),COLUMNS($F$7:Z$7))))</f>
        <v/>
      </c>
      <c r="AA163" s="2223" t="str" cm="1">
        <f t="array" ref="AA163">IF($D163&lt;COLUMNS($F$7:AA$7),"",INDEX(TableDiv[[GASB]:[GASB]],_xlfn.AGGREGATE(15,3,(TableDiv[[Agency]:[Agency]]=$E163)/(TableDiv[[Agency]:[Agency]]=$E163)*(ROW(TableDiv[Agency])-ROW(TableDiv[[#Headers],[Agency]])),COLUMNS($F$7:AA$7))))</f>
        <v/>
      </c>
      <c r="AB163" s="2223" t="str" cm="1">
        <f t="array" ref="AB163">IF($D163&lt;COLUMNS($F$7:AB$7),"",INDEX(TableDiv[[GASB]:[GASB]],_xlfn.AGGREGATE(15,3,(TableDiv[[Agency]:[Agency]]=$E163)/(TableDiv[[Agency]:[Agency]]=$E163)*(ROW(TableDiv[Agency])-ROW(TableDiv[[#Headers],[Agency]])),COLUMNS($F$7:AB$7))))</f>
        <v/>
      </c>
      <c r="AC163" s="2223" t="str" cm="1">
        <f t="array" ref="AC163">IF($D163&lt;COLUMNS($F$7:AC$7),"",INDEX(TableDiv[[GASB]:[GASB]],_xlfn.AGGREGATE(15,3,(TableDiv[[Agency]:[Agency]]=$E163)/(TableDiv[[Agency]:[Agency]]=$E163)*(ROW(TableDiv[Agency])-ROW(TableDiv[[#Headers],[Agency]])),COLUMNS($F$7:AC$7))))</f>
        <v/>
      </c>
      <c r="AD163" s="2223" t="str" cm="1">
        <f t="array" ref="AD163">IF($D163&lt;COLUMNS($F$7:AD$7),"",INDEX(TableDiv[[GASB]:[GASB]],_xlfn.AGGREGATE(15,3,(TableDiv[[Agency]:[Agency]]=$E163)/(TableDiv[[Agency]:[Agency]]=$E163)*(ROW(TableDiv[Agency])-ROW(TableDiv[[#Headers],[Agency]])),COLUMNS($F$7:AD$7))))</f>
        <v/>
      </c>
      <c r="AE163" s="2223" t="str" cm="1">
        <f t="array" ref="AE163">IF($D163&lt;COLUMNS($F$7:AE$7),"",INDEX(TableDiv[[GASB]:[GASB]],_xlfn.AGGREGATE(15,3,(TableDiv[[Agency]:[Agency]]=$E163)/(TableDiv[[Agency]:[Agency]]=$E163)*(ROW(TableDiv[Agency])-ROW(TableDiv[[#Headers],[Agency]])),COLUMNS($F$7:AE$7))))</f>
        <v/>
      </c>
      <c r="AF163" s="2223" t="str" cm="1">
        <f t="array" ref="AF163">IF($D163&lt;COLUMNS($F$7:AF$7),"",INDEX(TableDiv[[GASB]:[GASB]],_xlfn.AGGREGATE(15,3,(TableDiv[[Agency]:[Agency]]=$E163)/(TableDiv[[Agency]:[Agency]]=$E163)*(ROW(TableDiv[Agency])-ROW(TableDiv[[#Headers],[Agency]])),COLUMNS($F$7:AF$7))))</f>
        <v/>
      </c>
      <c r="AG163" s="2223" t="str" cm="1">
        <f t="array" ref="AG163">IF($D163&lt;COLUMNS($F$7:AG$7),"",INDEX(TableDiv[[GASB]:[GASB]],_xlfn.AGGREGATE(15,3,(TableDiv[[Agency]:[Agency]]=$E163)/(TableDiv[[Agency]:[Agency]]=$E163)*(ROW(TableDiv[Agency])-ROW(TableDiv[[#Headers],[Agency]])),COLUMNS($F$7:AG$7))))</f>
        <v/>
      </c>
      <c r="AH163" s="2223" t="str" cm="1">
        <f t="array" ref="AH163">IF($D163&lt;COLUMNS($F$7:AH$7),"",INDEX(TableDiv[[GASB]:[GASB]],_xlfn.AGGREGATE(15,3,(TableDiv[[Agency]:[Agency]]=$E163)/(TableDiv[[Agency]:[Agency]]=$E163)*(ROW(TableDiv[Agency])-ROW(TableDiv[[#Headers],[Agency]])),COLUMNS($F$7:AH$7))))</f>
        <v/>
      </c>
      <c r="AI163" s="2223" t="str" cm="1">
        <f t="array" ref="AI163">IF($D163&lt;COLUMNS($F$7:AI$7),"",INDEX(TableDiv[[GASB]:[GASB]],_xlfn.AGGREGATE(15,3,(TableDiv[[Agency]:[Agency]]=$E163)/(TableDiv[[Agency]:[Agency]]=$E163)*(ROW(TableDiv[Agency])-ROW(TableDiv[[#Headers],[Agency]])),COLUMNS($F$7:AI$7))))</f>
        <v/>
      </c>
      <c r="AJ163" s="2223" t="str" cm="1">
        <f t="array" ref="AJ163">IF($D163&lt;COLUMNS($F$7:AJ$7),"",INDEX(TableDiv[[GASB]:[GASB]],_xlfn.AGGREGATE(15,3,(TableDiv[[Agency]:[Agency]]=$E163)/(TableDiv[[Agency]:[Agency]]=$E163)*(ROW(TableDiv[Agency])-ROW(TableDiv[[#Headers],[Agency]])),COLUMNS($F$7:AJ$7))))</f>
        <v/>
      </c>
      <c r="AK163" s="2223" t="str" cm="1">
        <f t="array" ref="AK163">IF($D163&lt;COLUMNS($F$7:AK$7),"",INDEX(TableDiv[[GASB]:[GASB]],_xlfn.AGGREGATE(15,3,(TableDiv[[Agency]:[Agency]]=$E163)/(TableDiv[[Agency]:[Agency]]=$E163)*(ROW(TableDiv[Agency])-ROW(TableDiv[[#Headers],[Agency]])),COLUMNS($F$7:AK$7))))</f>
        <v/>
      </c>
      <c r="AL163" s="2223" t="str" cm="1">
        <f t="array" ref="AL163">IF($D163&lt;COLUMNS($F$7:AL$7),"",INDEX(TableDiv[[GASB]:[GASB]],_xlfn.AGGREGATE(15,3,(TableDiv[[Agency]:[Agency]]=$E163)/(TableDiv[[Agency]:[Agency]]=$E163)*(ROW(TableDiv[Agency])-ROW(TableDiv[[#Headers],[Agency]])),COLUMNS($F$7:AL$7))))</f>
        <v/>
      </c>
      <c r="AM163" s="2223" t="str" cm="1">
        <f t="array" ref="AM163">IF($D163&lt;COLUMNS($F$7:AM$7),"",INDEX(TableDiv[[GASB]:[GASB]],_xlfn.AGGREGATE(15,3,(TableDiv[[Agency]:[Agency]]=$E163)/(TableDiv[[Agency]:[Agency]]=$E163)*(ROW(TableDiv[Agency])-ROW(TableDiv[[#Headers],[Agency]])),COLUMNS($F$7:AM$7))))</f>
        <v/>
      </c>
      <c r="AN163" s="2223"/>
      <c r="AO163" s="2223"/>
      <c r="AP163" s="2223"/>
      <c r="AQ163" s="2223"/>
      <c r="AR163" s="2223"/>
      <c r="AS163" s="2223"/>
    </row>
    <row r="164" spans="1:45" ht="15" x14ac:dyDescent="0.25">
      <c r="A164" s="2219" t="s">
        <v>5558</v>
      </c>
      <c r="B164" s="2219" t="s">
        <v>6365</v>
      </c>
      <c r="C164" s="2223"/>
      <c r="D164" s="2223">
        <f>COUNTIF(TableDiv[Agency],E164)</f>
        <v>1</v>
      </c>
      <c r="E164" s="2230" t="str" cm="1">
        <f t="array" ref="E164">IFERROR(INDEX(TableDiv[Agency],MATCH(0,INDEX(COUNTIF($E$7:E163,TableDiv[Agency]),),0)),"")</f>
        <v>CT</v>
      </c>
      <c r="F164" s="2223" t="str" cm="1">
        <f t="array" ref="F164">IF($D164&lt;COLUMNS($F$7:F$7),"",INDEX(TableDiv[[GASB]:[GASB]],_xlfn.AGGREGATE(15,3,(TableDiv[[Agency]:[Agency]]=$E164)/(TableDiv[[Agency]:[Agency]]=$E164)*(ROW(TableDiv[Agency])-ROW(TableDiv[[#Headers],[Agency]])),COLUMNS($F$7:F$7))))</f>
        <v>48100G</v>
      </c>
      <c r="G164" s="2223" t="str" cm="1">
        <f t="array" ref="G164">IF($D164&lt;COLUMNS($F$7:G$7),"",INDEX(TableDiv[[GASB]:[GASB]],_xlfn.AGGREGATE(15,3,(TableDiv[[Agency]:[Agency]]=$E164)/(TableDiv[[Agency]:[Agency]]=$E164)*(ROW(TableDiv[Agency])-ROW(TableDiv[[#Headers],[Agency]])),COLUMNS($F$7:G$7))))</f>
        <v/>
      </c>
      <c r="H164" s="2223" t="str" cm="1">
        <f t="array" ref="H164">IF($D164&lt;COLUMNS($F$7:H$7),"",INDEX(TableDiv[[GASB]:[GASB]],_xlfn.AGGREGATE(15,3,(TableDiv[[Agency]:[Agency]]=$E164)/(TableDiv[[Agency]:[Agency]]=$E164)*(ROW(TableDiv[Agency])-ROW(TableDiv[[#Headers],[Agency]])),COLUMNS($F$7:H$7))))</f>
        <v/>
      </c>
      <c r="I164" s="2223" t="str" cm="1">
        <f t="array" ref="I164">IF($D164&lt;COLUMNS($F$7:I$7),"",INDEX(TableDiv[[GASB]:[GASB]],_xlfn.AGGREGATE(15,3,(TableDiv[[Agency]:[Agency]]=$E164)/(TableDiv[[Agency]:[Agency]]=$E164)*(ROW(TableDiv[Agency])-ROW(TableDiv[[#Headers],[Agency]])),COLUMNS($F$7:I$7))))</f>
        <v/>
      </c>
      <c r="J164" s="2223" t="str" cm="1">
        <f t="array" ref="J164">IF($D164&lt;COLUMNS($F$7:J$7),"",INDEX(TableDiv[[GASB]:[GASB]],_xlfn.AGGREGATE(15,3,(TableDiv[[Agency]:[Agency]]=$E164)/(TableDiv[[Agency]:[Agency]]=$E164)*(ROW(TableDiv[Agency])-ROW(TableDiv[[#Headers],[Agency]])),COLUMNS($F$7:J$7))))</f>
        <v/>
      </c>
      <c r="K164" s="2223" t="str" cm="1">
        <f t="array" ref="K164">IF($D164&lt;COLUMNS($F$7:K$7),"",INDEX(TableDiv[[GASB]:[GASB]],_xlfn.AGGREGATE(15,3,(TableDiv[[Agency]:[Agency]]=$E164)/(TableDiv[[Agency]:[Agency]]=$E164)*(ROW(TableDiv[Agency])-ROW(TableDiv[[#Headers],[Agency]])),COLUMNS($F$7:K$7))))</f>
        <v/>
      </c>
      <c r="L164" s="2223" t="str" cm="1">
        <f t="array" ref="L164">IF($D164&lt;COLUMNS($F$7:L$7),"",INDEX(TableDiv[[GASB]:[GASB]],_xlfn.AGGREGATE(15,3,(TableDiv[[Agency]:[Agency]]=$E164)/(TableDiv[[Agency]:[Agency]]=$E164)*(ROW(TableDiv[Agency])-ROW(TableDiv[[#Headers],[Agency]])),COLUMNS($F$7:L$7))))</f>
        <v/>
      </c>
      <c r="M164" s="2223" t="str" cm="1">
        <f t="array" ref="M164">IF($D164&lt;COLUMNS($F$7:M$7),"",INDEX(TableDiv[[GASB]:[GASB]],_xlfn.AGGREGATE(15,3,(TableDiv[[Agency]:[Agency]]=$E164)/(TableDiv[[Agency]:[Agency]]=$E164)*(ROW(TableDiv[Agency])-ROW(TableDiv[[#Headers],[Agency]])),COLUMNS($F$7:M$7))))</f>
        <v/>
      </c>
      <c r="N164" s="2223" t="str" cm="1">
        <f t="array" ref="N164">IF($D164&lt;COLUMNS($F$7:N$7),"",INDEX(TableDiv[[GASB]:[GASB]],_xlfn.AGGREGATE(15,3,(TableDiv[[Agency]:[Agency]]=$E164)/(TableDiv[[Agency]:[Agency]]=$E164)*(ROW(TableDiv[Agency])-ROW(TableDiv[[#Headers],[Agency]])),COLUMNS($F$7:N$7))))</f>
        <v/>
      </c>
      <c r="O164" s="2223" t="str" cm="1">
        <f t="array" ref="O164">IF($D164&lt;COLUMNS($F$7:O$7),"",INDEX(TableDiv[[GASB]:[GASB]],_xlfn.AGGREGATE(15,3,(TableDiv[[Agency]:[Agency]]=$E164)/(TableDiv[[Agency]:[Agency]]=$E164)*(ROW(TableDiv[Agency])-ROW(TableDiv[[#Headers],[Agency]])),COLUMNS($F$7:O$7))))</f>
        <v/>
      </c>
      <c r="P164" s="2223" t="str" cm="1">
        <f t="array" ref="P164">IF($D164&lt;COLUMNS($F$7:P$7),"",INDEX(TableDiv[[GASB]:[GASB]],_xlfn.AGGREGATE(15,3,(TableDiv[[Agency]:[Agency]]=$E164)/(TableDiv[[Agency]:[Agency]]=$E164)*(ROW(TableDiv[Agency])-ROW(TableDiv[[#Headers],[Agency]])),COLUMNS($F$7:P$7))))</f>
        <v/>
      </c>
      <c r="Q164" s="2223" t="str" cm="1">
        <f t="array" ref="Q164">IF($D164&lt;COLUMNS($F$7:Q$7),"",INDEX(TableDiv[[GASB]:[GASB]],_xlfn.AGGREGATE(15,3,(TableDiv[[Agency]:[Agency]]=$E164)/(TableDiv[[Agency]:[Agency]]=$E164)*(ROW(TableDiv[Agency])-ROW(TableDiv[[#Headers],[Agency]])),COLUMNS($F$7:Q$7))))</f>
        <v/>
      </c>
      <c r="R164" s="2223" t="str" cm="1">
        <f t="array" ref="R164">IF($D164&lt;COLUMNS($F$7:R$7),"",INDEX(TableDiv[[GASB]:[GASB]],_xlfn.AGGREGATE(15,3,(TableDiv[[Agency]:[Agency]]=$E164)/(TableDiv[[Agency]:[Agency]]=$E164)*(ROW(TableDiv[Agency])-ROW(TableDiv[[#Headers],[Agency]])),COLUMNS($F$7:R$7))))</f>
        <v/>
      </c>
      <c r="S164" s="2223" t="str" cm="1">
        <f t="array" ref="S164">IF($D164&lt;COLUMNS($F$7:S$7),"",INDEX(TableDiv[[GASB]:[GASB]],_xlfn.AGGREGATE(15,3,(TableDiv[[Agency]:[Agency]]=$E164)/(TableDiv[[Agency]:[Agency]]=$E164)*(ROW(TableDiv[Agency])-ROW(TableDiv[[#Headers],[Agency]])),COLUMNS($F$7:S$7))))</f>
        <v/>
      </c>
      <c r="T164" s="2223" t="str" cm="1">
        <f t="array" ref="T164">IF($D164&lt;COLUMNS($F$7:T$7),"",INDEX(TableDiv[[GASB]:[GASB]],_xlfn.AGGREGATE(15,3,(TableDiv[[Agency]:[Agency]]=$E164)/(TableDiv[[Agency]:[Agency]]=$E164)*(ROW(TableDiv[Agency])-ROW(TableDiv[[#Headers],[Agency]])),COLUMNS($F$7:T$7))))</f>
        <v/>
      </c>
      <c r="U164" s="2223" t="str" cm="1">
        <f t="array" ref="U164">IF($D164&lt;COLUMNS($F$7:U$7),"",INDEX(TableDiv[[GASB]:[GASB]],_xlfn.AGGREGATE(15,3,(TableDiv[[Agency]:[Agency]]=$E164)/(TableDiv[[Agency]:[Agency]]=$E164)*(ROW(TableDiv[Agency])-ROW(TableDiv[[#Headers],[Agency]])),COLUMNS($F$7:U$7))))</f>
        <v/>
      </c>
      <c r="V164" s="2223" t="str" cm="1">
        <f t="array" ref="V164">IF($D164&lt;COLUMNS($F$7:V$7),"",INDEX(TableDiv[[GASB]:[GASB]],_xlfn.AGGREGATE(15,3,(TableDiv[[Agency]:[Agency]]=$E164)/(TableDiv[[Agency]:[Agency]]=$E164)*(ROW(TableDiv[Agency])-ROW(TableDiv[[#Headers],[Agency]])),COLUMNS($F$7:V$7))))</f>
        <v/>
      </c>
      <c r="W164" s="2223" t="str" cm="1">
        <f t="array" ref="W164">IF($D164&lt;COLUMNS($F$7:W$7),"",INDEX(TableDiv[[GASB]:[GASB]],_xlfn.AGGREGATE(15,3,(TableDiv[[Agency]:[Agency]]=$E164)/(TableDiv[[Agency]:[Agency]]=$E164)*(ROW(TableDiv[Agency])-ROW(TableDiv[[#Headers],[Agency]])),COLUMNS($F$7:W$7))))</f>
        <v/>
      </c>
      <c r="X164" s="2223" t="str" cm="1">
        <f t="array" ref="X164">IF($D164&lt;COLUMNS($F$7:X$7),"",INDEX(TableDiv[[GASB]:[GASB]],_xlfn.AGGREGATE(15,3,(TableDiv[[Agency]:[Agency]]=$E164)/(TableDiv[[Agency]:[Agency]]=$E164)*(ROW(TableDiv[Agency])-ROW(TableDiv[[#Headers],[Agency]])),COLUMNS($F$7:X$7))))</f>
        <v/>
      </c>
      <c r="Y164" s="2223" t="str" cm="1">
        <f t="array" ref="Y164">IF($D164&lt;COLUMNS($F$7:Y$7),"",INDEX(TableDiv[[GASB]:[GASB]],_xlfn.AGGREGATE(15,3,(TableDiv[[Agency]:[Agency]]=$E164)/(TableDiv[[Agency]:[Agency]]=$E164)*(ROW(TableDiv[Agency])-ROW(TableDiv[[#Headers],[Agency]])),COLUMNS($F$7:Y$7))))</f>
        <v/>
      </c>
      <c r="Z164" s="2223" t="str" cm="1">
        <f t="array" ref="Z164">IF($D164&lt;COLUMNS($F$7:Z$7),"",INDEX(TableDiv[[GASB]:[GASB]],_xlfn.AGGREGATE(15,3,(TableDiv[[Agency]:[Agency]]=$E164)/(TableDiv[[Agency]:[Agency]]=$E164)*(ROW(TableDiv[Agency])-ROW(TableDiv[[#Headers],[Agency]])),COLUMNS($F$7:Z$7))))</f>
        <v/>
      </c>
      <c r="AA164" s="2223" t="str" cm="1">
        <f t="array" ref="AA164">IF($D164&lt;COLUMNS($F$7:AA$7),"",INDEX(TableDiv[[GASB]:[GASB]],_xlfn.AGGREGATE(15,3,(TableDiv[[Agency]:[Agency]]=$E164)/(TableDiv[[Agency]:[Agency]]=$E164)*(ROW(TableDiv[Agency])-ROW(TableDiv[[#Headers],[Agency]])),COLUMNS($F$7:AA$7))))</f>
        <v/>
      </c>
      <c r="AB164" s="2223" t="str" cm="1">
        <f t="array" ref="AB164">IF($D164&lt;COLUMNS($F$7:AB$7),"",INDEX(TableDiv[[GASB]:[GASB]],_xlfn.AGGREGATE(15,3,(TableDiv[[Agency]:[Agency]]=$E164)/(TableDiv[[Agency]:[Agency]]=$E164)*(ROW(TableDiv[Agency])-ROW(TableDiv[[#Headers],[Agency]])),COLUMNS($F$7:AB$7))))</f>
        <v/>
      </c>
      <c r="AC164" s="2223" t="str" cm="1">
        <f t="array" ref="AC164">IF($D164&lt;COLUMNS($F$7:AC$7),"",INDEX(TableDiv[[GASB]:[GASB]],_xlfn.AGGREGATE(15,3,(TableDiv[[Agency]:[Agency]]=$E164)/(TableDiv[[Agency]:[Agency]]=$E164)*(ROW(TableDiv[Agency])-ROW(TableDiv[[#Headers],[Agency]])),COLUMNS($F$7:AC$7))))</f>
        <v/>
      </c>
      <c r="AD164" s="2223" t="str" cm="1">
        <f t="array" ref="AD164">IF($D164&lt;COLUMNS($F$7:AD$7),"",INDEX(TableDiv[[GASB]:[GASB]],_xlfn.AGGREGATE(15,3,(TableDiv[[Agency]:[Agency]]=$E164)/(TableDiv[[Agency]:[Agency]]=$E164)*(ROW(TableDiv[Agency])-ROW(TableDiv[[#Headers],[Agency]])),COLUMNS($F$7:AD$7))))</f>
        <v/>
      </c>
      <c r="AE164" s="2223" t="str" cm="1">
        <f t="array" ref="AE164">IF($D164&lt;COLUMNS($F$7:AE$7),"",INDEX(TableDiv[[GASB]:[GASB]],_xlfn.AGGREGATE(15,3,(TableDiv[[Agency]:[Agency]]=$E164)/(TableDiv[[Agency]:[Agency]]=$E164)*(ROW(TableDiv[Agency])-ROW(TableDiv[[#Headers],[Agency]])),COLUMNS($F$7:AE$7))))</f>
        <v/>
      </c>
      <c r="AF164" s="2223" t="str" cm="1">
        <f t="array" ref="AF164">IF($D164&lt;COLUMNS($F$7:AF$7),"",INDEX(TableDiv[[GASB]:[GASB]],_xlfn.AGGREGATE(15,3,(TableDiv[[Agency]:[Agency]]=$E164)/(TableDiv[[Agency]:[Agency]]=$E164)*(ROW(TableDiv[Agency])-ROW(TableDiv[[#Headers],[Agency]])),COLUMNS($F$7:AF$7))))</f>
        <v/>
      </c>
      <c r="AG164" s="2223" t="str" cm="1">
        <f t="array" ref="AG164">IF($D164&lt;COLUMNS($F$7:AG$7),"",INDEX(TableDiv[[GASB]:[GASB]],_xlfn.AGGREGATE(15,3,(TableDiv[[Agency]:[Agency]]=$E164)/(TableDiv[[Agency]:[Agency]]=$E164)*(ROW(TableDiv[Agency])-ROW(TableDiv[[#Headers],[Agency]])),COLUMNS($F$7:AG$7))))</f>
        <v/>
      </c>
      <c r="AH164" s="2223" t="str" cm="1">
        <f t="array" ref="AH164">IF($D164&lt;COLUMNS($F$7:AH$7),"",INDEX(TableDiv[[GASB]:[GASB]],_xlfn.AGGREGATE(15,3,(TableDiv[[Agency]:[Agency]]=$E164)/(TableDiv[[Agency]:[Agency]]=$E164)*(ROW(TableDiv[Agency])-ROW(TableDiv[[#Headers],[Agency]])),COLUMNS($F$7:AH$7))))</f>
        <v/>
      </c>
      <c r="AI164" s="2223" t="str" cm="1">
        <f t="array" ref="AI164">IF($D164&lt;COLUMNS($F$7:AI$7),"",INDEX(TableDiv[[GASB]:[GASB]],_xlfn.AGGREGATE(15,3,(TableDiv[[Agency]:[Agency]]=$E164)/(TableDiv[[Agency]:[Agency]]=$E164)*(ROW(TableDiv[Agency])-ROW(TableDiv[[#Headers],[Agency]])),COLUMNS($F$7:AI$7))))</f>
        <v/>
      </c>
      <c r="AJ164" s="2223" t="str" cm="1">
        <f t="array" ref="AJ164">IF($D164&lt;COLUMNS($F$7:AJ$7),"",INDEX(TableDiv[[GASB]:[GASB]],_xlfn.AGGREGATE(15,3,(TableDiv[[Agency]:[Agency]]=$E164)/(TableDiv[[Agency]:[Agency]]=$E164)*(ROW(TableDiv[Agency])-ROW(TableDiv[[#Headers],[Agency]])),COLUMNS($F$7:AJ$7))))</f>
        <v/>
      </c>
      <c r="AK164" s="2223" t="str" cm="1">
        <f t="array" ref="AK164">IF($D164&lt;COLUMNS($F$7:AK$7),"",INDEX(TableDiv[[GASB]:[GASB]],_xlfn.AGGREGATE(15,3,(TableDiv[[Agency]:[Agency]]=$E164)/(TableDiv[[Agency]:[Agency]]=$E164)*(ROW(TableDiv[Agency])-ROW(TableDiv[[#Headers],[Agency]])),COLUMNS($F$7:AK$7))))</f>
        <v/>
      </c>
      <c r="AL164" s="2223" t="str" cm="1">
        <f t="array" ref="AL164">IF($D164&lt;COLUMNS($F$7:AL$7),"",INDEX(TableDiv[[GASB]:[GASB]],_xlfn.AGGREGATE(15,3,(TableDiv[[Agency]:[Agency]]=$E164)/(TableDiv[[Agency]:[Agency]]=$E164)*(ROW(TableDiv[Agency])-ROW(TableDiv[[#Headers],[Agency]])),COLUMNS($F$7:AL$7))))</f>
        <v/>
      </c>
      <c r="AM164" s="2223" t="str" cm="1">
        <f t="array" ref="AM164">IF($D164&lt;COLUMNS($F$7:AM$7),"",INDEX(TableDiv[[GASB]:[GASB]],_xlfn.AGGREGATE(15,3,(TableDiv[[Agency]:[Agency]]=$E164)/(TableDiv[[Agency]:[Agency]]=$E164)*(ROW(TableDiv[Agency])-ROW(TableDiv[[#Headers],[Agency]])),COLUMNS($F$7:AM$7))))</f>
        <v/>
      </c>
      <c r="AN164" s="2223"/>
      <c r="AO164" s="2223"/>
      <c r="AP164" s="2223"/>
      <c r="AQ164" s="2223"/>
      <c r="AR164" s="2223"/>
      <c r="AS164" s="2223"/>
    </row>
    <row r="165" spans="1:45" ht="15" x14ac:dyDescent="0.25">
      <c r="A165" s="2219" t="s">
        <v>5558</v>
      </c>
      <c r="B165" s="2219" t="s">
        <v>6372</v>
      </c>
      <c r="C165" s="2223"/>
      <c r="D165" s="2223">
        <f>COUNTIF(TableDiv[Agency],E165)</f>
        <v>1</v>
      </c>
      <c r="E165" s="2230" t="str" cm="1">
        <f t="array" ref="E165">IFERROR(INDEX(TableDiv[Agency],MATCH(0,INDEX(COUNTIF($E$7:E164,TableDiv[Agency]),),0)),"")</f>
        <v>CU</v>
      </c>
      <c r="F165" s="2223" t="str" cm="1">
        <f t="array" ref="F165">IF($D165&lt;COLUMNS($F$7:F$7),"",INDEX(TableDiv[[GASB]:[GASB]],_xlfn.AGGREGATE(15,3,(TableDiv[[Agency]:[Agency]]=$E165)/(TableDiv[[Agency]:[Agency]]=$E165)*(ROW(TableDiv[Agency])-ROW(TableDiv[[#Headers],[Agency]])),COLUMNS($F$7:F$7))))</f>
        <v>48100G</v>
      </c>
      <c r="G165" s="2223" t="str" cm="1">
        <f t="array" ref="G165">IF($D165&lt;COLUMNS($F$7:G$7),"",INDEX(TableDiv[[GASB]:[GASB]],_xlfn.AGGREGATE(15,3,(TableDiv[[Agency]:[Agency]]=$E165)/(TableDiv[[Agency]:[Agency]]=$E165)*(ROW(TableDiv[Agency])-ROW(TableDiv[[#Headers],[Agency]])),COLUMNS($F$7:G$7))))</f>
        <v/>
      </c>
      <c r="H165" s="2223" t="str" cm="1">
        <f t="array" ref="H165">IF($D165&lt;COLUMNS($F$7:H$7),"",INDEX(TableDiv[[GASB]:[GASB]],_xlfn.AGGREGATE(15,3,(TableDiv[[Agency]:[Agency]]=$E165)/(TableDiv[[Agency]:[Agency]]=$E165)*(ROW(TableDiv[Agency])-ROW(TableDiv[[#Headers],[Agency]])),COLUMNS($F$7:H$7))))</f>
        <v/>
      </c>
      <c r="I165" s="2223" t="str" cm="1">
        <f t="array" ref="I165">IF($D165&lt;COLUMNS($F$7:I$7),"",INDEX(TableDiv[[GASB]:[GASB]],_xlfn.AGGREGATE(15,3,(TableDiv[[Agency]:[Agency]]=$E165)/(TableDiv[[Agency]:[Agency]]=$E165)*(ROW(TableDiv[Agency])-ROW(TableDiv[[#Headers],[Agency]])),COLUMNS($F$7:I$7))))</f>
        <v/>
      </c>
      <c r="J165" s="2223" t="str" cm="1">
        <f t="array" ref="J165">IF($D165&lt;COLUMNS($F$7:J$7),"",INDEX(TableDiv[[GASB]:[GASB]],_xlfn.AGGREGATE(15,3,(TableDiv[[Agency]:[Agency]]=$E165)/(TableDiv[[Agency]:[Agency]]=$E165)*(ROW(TableDiv[Agency])-ROW(TableDiv[[#Headers],[Agency]])),COLUMNS($F$7:J$7))))</f>
        <v/>
      </c>
      <c r="K165" s="2223" t="str" cm="1">
        <f t="array" ref="K165">IF($D165&lt;COLUMNS($F$7:K$7),"",INDEX(TableDiv[[GASB]:[GASB]],_xlfn.AGGREGATE(15,3,(TableDiv[[Agency]:[Agency]]=$E165)/(TableDiv[[Agency]:[Agency]]=$E165)*(ROW(TableDiv[Agency])-ROW(TableDiv[[#Headers],[Agency]])),COLUMNS($F$7:K$7))))</f>
        <v/>
      </c>
      <c r="L165" s="2223" t="str" cm="1">
        <f t="array" ref="L165">IF($D165&lt;COLUMNS($F$7:L$7),"",INDEX(TableDiv[[GASB]:[GASB]],_xlfn.AGGREGATE(15,3,(TableDiv[[Agency]:[Agency]]=$E165)/(TableDiv[[Agency]:[Agency]]=$E165)*(ROW(TableDiv[Agency])-ROW(TableDiv[[#Headers],[Agency]])),COLUMNS($F$7:L$7))))</f>
        <v/>
      </c>
      <c r="M165" s="2223" t="str" cm="1">
        <f t="array" ref="M165">IF($D165&lt;COLUMNS($F$7:M$7),"",INDEX(TableDiv[[GASB]:[GASB]],_xlfn.AGGREGATE(15,3,(TableDiv[[Agency]:[Agency]]=$E165)/(TableDiv[[Agency]:[Agency]]=$E165)*(ROW(TableDiv[Agency])-ROW(TableDiv[[#Headers],[Agency]])),COLUMNS($F$7:M$7))))</f>
        <v/>
      </c>
      <c r="N165" s="2223" t="str" cm="1">
        <f t="array" ref="N165">IF($D165&lt;COLUMNS($F$7:N$7),"",INDEX(TableDiv[[GASB]:[GASB]],_xlfn.AGGREGATE(15,3,(TableDiv[[Agency]:[Agency]]=$E165)/(TableDiv[[Agency]:[Agency]]=$E165)*(ROW(TableDiv[Agency])-ROW(TableDiv[[#Headers],[Agency]])),COLUMNS($F$7:N$7))))</f>
        <v/>
      </c>
      <c r="O165" s="2223" t="str" cm="1">
        <f t="array" ref="O165">IF($D165&lt;COLUMNS($F$7:O$7),"",INDEX(TableDiv[[GASB]:[GASB]],_xlfn.AGGREGATE(15,3,(TableDiv[[Agency]:[Agency]]=$E165)/(TableDiv[[Agency]:[Agency]]=$E165)*(ROW(TableDiv[Agency])-ROW(TableDiv[[#Headers],[Agency]])),COLUMNS($F$7:O$7))))</f>
        <v/>
      </c>
      <c r="P165" s="2223" t="str" cm="1">
        <f t="array" ref="P165">IF($D165&lt;COLUMNS($F$7:P$7),"",INDEX(TableDiv[[GASB]:[GASB]],_xlfn.AGGREGATE(15,3,(TableDiv[[Agency]:[Agency]]=$E165)/(TableDiv[[Agency]:[Agency]]=$E165)*(ROW(TableDiv[Agency])-ROW(TableDiv[[#Headers],[Agency]])),COLUMNS($F$7:P$7))))</f>
        <v/>
      </c>
      <c r="Q165" s="2223" t="str" cm="1">
        <f t="array" ref="Q165">IF($D165&lt;COLUMNS($F$7:Q$7),"",INDEX(TableDiv[[GASB]:[GASB]],_xlfn.AGGREGATE(15,3,(TableDiv[[Agency]:[Agency]]=$E165)/(TableDiv[[Agency]:[Agency]]=$E165)*(ROW(TableDiv[Agency])-ROW(TableDiv[[#Headers],[Agency]])),COLUMNS($F$7:Q$7))))</f>
        <v/>
      </c>
      <c r="R165" s="2223" t="str" cm="1">
        <f t="array" ref="R165">IF($D165&lt;COLUMNS($F$7:R$7),"",INDEX(TableDiv[[GASB]:[GASB]],_xlfn.AGGREGATE(15,3,(TableDiv[[Agency]:[Agency]]=$E165)/(TableDiv[[Agency]:[Agency]]=$E165)*(ROW(TableDiv[Agency])-ROW(TableDiv[[#Headers],[Agency]])),COLUMNS($F$7:R$7))))</f>
        <v/>
      </c>
      <c r="S165" s="2223" t="str" cm="1">
        <f t="array" ref="S165">IF($D165&lt;COLUMNS($F$7:S$7),"",INDEX(TableDiv[[GASB]:[GASB]],_xlfn.AGGREGATE(15,3,(TableDiv[[Agency]:[Agency]]=$E165)/(TableDiv[[Agency]:[Agency]]=$E165)*(ROW(TableDiv[Agency])-ROW(TableDiv[[#Headers],[Agency]])),COLUMNS($F$7:S$7))))</f>
        <v/>
      </c>
      <c r="T165" s="2223" t="str" cm="1">
        <f t="array" ref="T165">IF($D165&lt;COLUMNS($F$7:T$7),"",INDEX(TableDiv[[GASB]:[GASB]],_xlfn.AGGREGATE(15,3,(TableDiv[[Agency]:[Agency]]=$E165)/(TableDiv[[Agency]:[Agency]]=$E165)*(ROW(TableDiv[Agency])-ROW(TableDiv[[#Headers],[Agency]])),COLUMNS($F$7:T$7))))</f>
        <v/>
      </c>
      <c r="U165" s="2223" t="str" cm="1">
        <f t="array" ref="U165">IF($D165&lt;COLUMNS($F$7:U$7),"",INDEX(TableDiv[[GASB]:[GASB]],_xlfn.AGGREGATE(15,3,(TableDiv[[Agency]:[Agency]]=$E165)/(TableDiv[[Agency]:[Agency]]=$E165)*(ROW(TableDiv[Agency])-ROW(TableDiv[[#Headers],[Agency]])),COLUMNS($F$7:U$7))))</f>
        <v/>
      </c>
      <c r="V165" s="2223" t="str" cm="1">
        <f t="array" ref="V165">IF($D165&lt;COLUMNS($F$7:V$7),"",INDEX(TableDiv[[GASB]:[GASB]],_xlfn.AGGREGATE(15,3,(TableDiv[[Agency]:[Agency]]=$E165)/(TableDiv[[Agency]:[Agency]]=$E165)*(ROW(TableDiv[Agency])-ROW(TableDiv[[#Headers],[Agency]])),COLUMNS($F$7:V$7))))</f>
        <v/>
      </c>
      <c r="W165" s="2223" t="str" cm="1">
        <f t="array" ref="W165">IF($D165&lt;COLUMNS($F$7:W$7),"",INDEX(TableDiv[[GASB]:[GASB]],_xlfn.AGGREGATE(15,3,(TableDiv[[Agency]:[Agency]]=$E165)/(TableDiv[[Agency]:[Agency]]=$E165)*(ROW(TableDiv[Agency])-ROW(TableDiv[[#Headers],[Agency]])),COLUMNS($F$7:W$7))))</f>
        <v/>
      </c>
      <c r="X165" s="2223" t="str" cm="1">
        <f t="array" ref="X165">IF($D165&lt;COLUMNS($F$7:X$7),"",INDEX(TableDiv[[GASB]:[GASB]],_xlfn.AGGREGATE(15,3,(TableDiv[[Agency]:[Agency]]=$E165)/(TableDiv[[Agency]:[Agency]]=$E165)*(ROW(TableDiv[Agency])-ROW(TableDiv[[#Headers],[Agency]])),COLUMNS($F$7:X$7))))</f>
        <v/>
      </c>
      <c r="Y165" s="2223" t="str" cm="1">
        <f t="array" ref="Y165">IF($D165&lt;COLUMNS($F$7:Y$7),"",INDEX(TableDiv[[GASB]:[GASB]],_xlfn.AGGREGATE(15,3,(TableDiv[[Agency]:[Agency]]=$E165)/(TableDiv[[Agency]:[Agency]]=$E165)*(ROW(TableDiv[Agency])-ROW(TableDiv[[#Headers],[Agency]])),COLUMNS($F$7:Y$7))))</f>
        <v/>
      </c>
      <c r="Z165" s="2223" t="str" cm="1">
        <f t="array" ref="Z165">IF($D165&lt;COLUMNS($F$7:Z$7),"",INDEX(TableDiv[[GASB]:[GASB]],_xlfn.AGGREGATE(15,3,(TableDiv[[Agency]:[Agency]]=$E165)/(TableDiv[[Agency]:[Agency]]=$E165)*(ROW(TableDiv[Agency])-ROW(TableDiv[[#Headers],[Agency]])),COLUMNS($F$7:Z$7))))</f>
        <v/>
      </c>
      <c r="AA165" s="2223" t="str" cm="1">
        <f t="array" ref="AA165">IF($D165&lt;COLUMNS($F$7:AA$7),"",INDEX(TableDiv[[GASB]:[GASB]],_xlfn.AGGREGATE(15,3,(TableDiv[[Agency]:[Agency]]=$E165)/(TableDiv[[Agency]:[Agency]]=$E165)*(ROW(TableDiv[Agency])-ROW(TableDiv[[#Headers],[Agency]])),COLUMNS($F$7:AA$7))))</f>
        <v/>
      </c>
      <c r="AB165" s="2223" t="str" cm="1">
        <f t="array" ref="AB165">IF($D165&lt;COLUMNS($F$7:AB$7),"",INDEX(TableDiv[[GASB]:[GASB]],_xlfn.AGGREGATE(15,3,(TableDiv[[Agency]:[Agency]]=$E165)/(TableDiv[[Agency]:[Agency]]=$E165)*(ROW(TableDiv[Agency])-ROW(TableDiv[[#Headers],[Agency]])),COLUMNS($F$7:AB$7))))</f>
        <v/>
      </c>
      <c r="AC165" s="2223" t="str" cm="1">
        <f t="array" ref="AC165">IF($D165&lt;COLUMNS($F$7:AC$7),"",INDEX(TableDiv[[GASB]:[GASB]],_xlfn.AGGREGATE(15,3,(TableDiv[[Agency]:[Agency]]=$E165)/(TableDiv[[Agency]:[Agency]]=$E165)*(ROW(TableDiv[Agency])-ROW(TableDiv[[#Headers],[Agency]])),COLUMNS($F$7:AC$7))))</f>
        <v/>
      </c>
      <c r="AD165" s="2223" t="str" cm="1">
        <f t="array" ref="AD165">IF($D165&lt;COLUMNS($F$7:AD$7),"",INDEX(TableDiv[[GASB]:[GASB]],_xlfn.AGGREGATE(15,3,(TableDiv[[Agency]:[Agency]]=$E165)/(TableDiv[[Agency]:[Agency]]=$E165)*(ROW(TableDiv[Agency])-ROW(TableDiv[[#Headers],[Agency]])),COLUMNS($F$7:AD$7))))</f>
        <v/>
      </c>
      <c r="AE165" s="2223" t="str" cm="1">
        <f t="array" ref="AE165">IF($D165&lt;COLUMNS($F$7:AE$7),"",INDEX(TableDiv[[GASB]:[GASB]],_xlfn.AGGREGATE(15,3,(TableDiv[[Agency]:[Agency]]=$E165)/(TableDiv[[Agency]:[Agency]]=$E165)*(ROW(TableDiv[Agency])-ROW(TableDiv[[#Headers],[Agency]])),COLUMNS($F$7:AE$7))))</f>
        <v/>
      </c>
      <c r="AF165" s="2223" t="str" cm="1">
        <f t="array" ref="AF165">IF($D165&lt;COLUMNS($F$7:AF$7),"",INDEX(TableDiv[[GASB]:[GASB]],_xlfn.AGGREGATE(15,3,(TableDiv[[Agency]:[Agency]]=$E165)/(TableDiv[[Agency]:[Agency]]=$E165)*(ROW(TableDiv[Agency])-ROW(TableDiv[[#Headers],[Agency]])),COLUMNS($F$7:AF$7))))</f>
        <v/>
      </c>
      <c r="AG165" s="2223" t="str" cm="1">
        <f t="array" ref="AG165">IF($D165&lt;COLUMNS($F$7:AG$7),"",INDEX(TableDiv[[GASB]:[GASB]],_xlfn.AGGREGATE(15,3,(TableDiv[[Agency]:[Agency]]=$E165)/(TableDiv[[Agency]:[Agency]]=$E165)*(ROW(TableDiv[Agency])-ROW(TableDiv[[#Headers],[Agency]])),COLUMNS($F$7:AG$7))))</f>
        <v/>
      </c>
      <c r="AH165" s="2223" t="str" cm="1">
        <f t="array" ref="AH165">IF($D165&lt;COLUMNS($F$7:AH$7),"",INDEX(TableDiv[[GASB]:[GASB]],_xlfn.AGGREGATE(15,3,(TableDiv[[Agency]:[Agency]]=$E165)/(TableDiv[[Agency]:[Agency]]=$E165)*(ROW(TableDiv[Agency])-ROW(TableDiv[[#Headers],[Agency]])),COLUMNS($F$7:AH$7))))</f>
        <v/>
      </c>
      <c r="AI165" s="2223" t="str" cm="1">
        <f t="array" ref="AI165">IF($D165&lt;COLUMNS($F$7:AI$7),"",INDEX(TableDiv[[GASB]:[GASB]],_xlfn.AGGREGATE(15,3,(TableDiv[[Agency]:[Agency]]=$E165)/(TableDiv[[Agency]:[Agency]]=$E165)*(ROW(TableDiv[Agency])-ROW(TableDiv[[#Headers],[Agency]])),COLUMNS($F$7:AI$7))))</f>
        <v/>
      </c>
      <c r="AJ165" s="2223" t="str" cm="1">
        <f t="array" ref="AJ165">IF($D165&lt;COLUMNS($F$7:AJ$7),"",INDEX(TableDiv[[GASB]:[GASB]],_xlfn.AGGREGATE(15,3,(TableDiv[[Agency]:[Agency]]=$E165)/(TableDiv[[Agency]:[Agency]]=$E165)*(ROW(TableDiv[Agency])-ROW(TableDiv[[#Headers],[Agency]])),COLUMNS($F$7:AJ$7))))</f>
        <v/>
      </c>
      <c r="AK165" s="2223" t="str" cm="1">
        <f t="array" ref="AK165">IF($D165&lt;COLUMNS($F$7:AK$7),"",INDEX(TableDiv[[GASB]:[GASB]],_xlfn.AGGREGATE(15,3,(TableDiv[[Agency]:[Agency]]=$E165)/(TableDiv[[Agency]:[Agency]]=$E165)*(ROW(TableDiv[Agency])-ROW(TableDiv[[#Headers],[Agency]])),COLUMNS($F$7:AK$7))))</f>
        <v/>
      </c>
      <c r="AL165" s="2223" t="str" cm="1">
        <f t="array" ref="AL165">IF($D165&lt;COLUMNS($F$7:AL$7),"",INDEX(TableDiv[[GASB]:[GASB]],_xlfn.AGGREGATE(15,3,(TableDiv[[Agency]:[Agency]]=$E165)/(TableDiv[[Agency]:[Agency]]=$E165)*(ROW(TableDiv[Agency])-ROW(TableDiv[[#Headers],[Agency]])),COLUMNS($F$7:AL$7))))</f>
        <v/>
      </c>
      <c r="AM165" s="2223" t="str" cm="1">
        <f t="array" ref="AM165">IF($D165&lt;COLUMNS($F$7:AM$7),"",INDEX(TableDiv[[GASB]:[GASB]],_xlfn.AGGREGATE(15,3,(TableDiv[[Agency]:[Agency]]=$E165)/(TableDiv[[Agency]:[Agency]]=$E165)*(ROW(TableDiv[Agency])-ROW(TableDiv[[#Headers],[Agency]])),COLUMNS($F$7:AM$7))))</f>
        <v/>
      </c>
      <c r="AN165" s="2223"/>
      <c r="AO165" s="2223"/>
      <c r="AP165" s="2223"/>
      <c r="AQ165" s="2223"/>
      <c r="AR165" s="2223"/>
      <c r="AS165" s="2223"/>
    </row>
    <row r="166" spans="1:45" ht="15" x14ac:dyDescent="0.25">
      <c r="A166" s="2219" t="s">
        <v>5558</v>
      </c>
      <c r="B166" s="2219" t="s">
        <v>6439</v>
      </c>
      <c r="C166" s="2223"/>
      <c r="D166" s="2223">
        <f>COUNTIF(TableDiv[Agency],E166)</f>
        <v>1</v>
      </c>
      <c r="E166" s="2230" t="str" cm="1">
        <f t="array" ref="E166">IFERROR(INDEX(TableDiv[Agency],MATCH(0,INDEX(COUNTIF($E$7:E165,TableDiv[Agency]),),0)),"")</f>
        <v>CV</v>
      </c>
      <c r="F166" s="2223" t="str" cm="1">
        <f t="array" ref="F166">IF($D166&lt;COLUMNS($F$7:F$7),"",INDEX(TableDiv[[GASB]:[GASB]],_xlfn.AGGREGATE(15,3,(TableDiv[[Agency]:[Agency]]=$E166)/(TableDiv[[Agency]:[Agency]]=$E166)*(ROW(TableDiv[Agency])-ROW(TableDiv[[#Headers],[Agency]])),COLUMNS($F$7:F$7))))</f>
        <v>48100G</v>
      </c>
      <c r="G166" s="2223" t="str" cm="1">
        <f t="array" ref="G166">IF($D166&lt;COLUMNS($F$7:G$7),"",INDEX(TableDiv[[GASB]:[GASB]],_xlfn.AGGREGATE(15,3,(TableDiv[[Agency]:[Agency]]=$E166)/(TableDiv[[Agency]:[Agency]]=$E166)*(ROW(TableDiv[Agency])-ROW(TableDiv[[#Headers],[Agency]])),COLUMNS($F$7:G$7))))</f>
        <v/>
      </c>
      <c r="H166" s="2223" t="str" cm="1">
        <f t="array" ref="H166">IF($D166&lt;COLUMNS($F$7:H$7),"",INDEX(TableDiv[[GASB]:[GASB]],_xlfn.AGGREGATE(15,3,(TableDiv[[Agency]:[Agency]]=$E166)/(TableDiv[[Agency]:[Agency]]=$E166)*(ROW(TableDiv[Agency])-ROW(TableDiv[[#Headers],[Agency]])),COLUMNS($F$7:H$7))))</f>
        <v/>
      </c>
      <c r="I166" s="2223" t="str" cm="1">
        <f t="array" ref="I166">IF($D166&lt;COLUMNS($F$7:I$7),"",INDEX(TableDiv[[GASB]:[GASB]],_xlfn.AGGREGATE(15,3,(TableDiv[[Agency]:[Agency]]=$E166)/(TableDiv[[Agency]:[Agency]]=$E166)*(ROW(TableDiv[Agency])-ROW(TableDiv[[#Headers],[Agency]])),COLUMNS($F$7:I$7))))</f>
        <v/>
      </c>
      <c r="J166" s="2223" t="str" cm="1">
        <f t="array" ref="J166">IF($D166&lt;COLUMNS($F$7:J$7),"",INDEX(TableDiv[[GASB]:[GASB]],_xlfn.AGGREGATE(15,3,(TableDiv[[Agency]:[Agency]]=$E166)/(TableDiv[[Agency]:[Agency]]=$E166)*(ROW(TableDiv[Agency])-ROW(TableDiv[[#Headers],[Agency]])),COLUMNS($F$7:J$7))))</f>
        <v/>
      </c>
      <c r="K166" s="2223" t="str" cm="1">
        <f t="array" ref="K166">IF($D166&lt;COLUMNS($F$7:K$7),"",INDEX(TableDiv[[GASB]:[GASB]],_xlfn.AGGREGATE(15,3,(TableDiv[[Agency]:[Agency]]=$E166)/(TableDiv[[Agency]:[Agency]]=$E166)*(ROW(TableDiv[Agency])-ROW(TableDiv[[#Headers],[Agency]])),COLUMNS($F$7:K$7))))</f>
        <v/>
      </c>
      <c r="L166" s="2223" t="str" cm="1">
        <f t="array" ref="L166">IF($D166&lt;COLUMNS($F$7:L$7),"",INDEX(TableDiv[[GASB]:[GASB]],_xlfn.AGGREGATE(15,3,(TableDiv[[Agency]:[Agency]]=$E166)/(TableDiv[[Agency]:[Agency]]=$E166)*(ROW(TableDiv[Agency])-ROW(TableDiv[[#Headers],[Agency]])),COLUMNS($F$7:L$7))))</f>
        <v/>
      </c>
      <c r="M166" s="2223" t="str" cm="1">
        <f t="array" ref="M166">IF($D166&lt;COLUMNS($F$7:M$7),"",INDEX(TableDiv[[GASB]:[GASB]],_xlfn.AGGREGATE(15,3,(TableDiv[[Agency]:[Agency]]=$E166)/(TableDiv[[Agency]:[Agency]]=$E166)*(ROW(TableDiv[Agency])-ROW(TableDiv[[#Headers],[Agency]])),COLUMNS($F$7:M$7))))</f>
        <v/>
      </c>
      <c r="N166" s="2223" t="str" cm="1">
        <f t="array" ref="N166">IF($D166&lt;COLUMNS($F$7:N$7),"",INDEX(TableDiv[[GASB]:[GASB]],_xlfn.AGGREGATE(15,3,(TableDiv[[Agency]:[Agency]]=$E166)/(TableDiv[[Agency]:[Agency]]=$E166)*(ROW(TableDiv[Agency])-ROW(TableDiv[[#Headers],[Agency]])),COLUMNS($F$7:N$7))))</f>
        <v/>
      </c>
      <c r="O166" s="2223" t="str" cm="1">
        <f t="array" ref="O166">IF($D166&lt;COLUMNS($F$7:O$7),"",INDEX(TableDiv[[GASB]:[GASB]],_xlfn.AGGREGATE(15,3,(TableDiv[[Agency]:[Agency]]=$E166)/(TableDiv[[Agency]:[Agency]]=$E166)*(ROW(TableDiv[Agency])-ROW(TableDiv[[#Headers],[Agency]])),COLUMNS($F$7:O$7))))</f>
        <v/>
      </c>
      <c r="P166" s="2223" t="str" cm="1">
        <f t="array" ref="P166">IF($D166&lt;COLUMNS($F$7:P$7),"",INDEX(TableDiv[[GASB]:[GASB]],_xlfn.AGGREGATE(15,3,(TableDiv[[Agency]:[Agency]]=$E166)/(TableDiv[[Agency]:[Agency]]=$E166)*(ROW(TableDiv[Agency])-ROW(TableDiv[[#Headers],[Agency]])),COLUMNS($F$7:P$7))))</f>
        <v/>
      </c>
      <c r="Q166" s="2223" t="str" cm="1">
        <f t="array" ref="Q166">IF($D166&lt;COLUMNS($F$7:Q$7),"",INDEX(TableDiv[[GASB]:[GASB]],_xlfn.AGGREGATE(15,3,(TableDiv[[Agency]:[Agency]]=$E166)/(TableDiv[[Agency]:[Agency]]=$E166)*(ROW(TableDiv[Agency])-ROW(TableDiv[[#Headers],[Agency]])),COLUMNS($F$7:Q$7))))</f>
        <v/>
      </c>
      <c r="R166" s="2223" t="str" cm="1">
        <f t="array" ref="R166">IF($D166&lt;COLUMNS($F$7:R$7),"",INDEX(TableDiv[[GASB]:[GASB]],_xlfn.AGGREGATE(15,3,(TableDiv[[Agency]:[Agency]]=$E166)/(TableDiv[[Agency]:[Agency]]=$E166)*(ROW(TableDiv[Agency])-ROW(TableDiv[[#Headers],[Agency]])),COLUMNS($F$7:R$7))))</f>
        <v/>
      </c>
      <c r="S166" s="2223" t="str" cm="1">
        <f t="array" ref="S166">IF($D166&lt;COLUMNS($F$7:S$7),"",INDEX(TableDiv[[GASB]:[GASB]],_xlfn.AGGREGATE(15,3,(TableDiv[[Agency]:[Agency]]=$E166)/(TableDiv[[Agency]:[Agency]]=$E166)*(ROW(TableDiv[Agency])-ROW(TableDiv[[#Headers],[Agency]])),COLUMNS($F$7:S$7))))</f>
        <v/>
      </c>
      <c r="T166" s="2223" t="str" cm="1">
        <f t="array" ref="T166">IF($D166&lt;COLUMNS($F$7:T$7),"",INDEX(TableDiv[[GASB]:[GASB]],_xlfn.AGGREGATE(15,3,(TableDiv[[Agency]:[Agency]]=$E166)/(TableDiv[[Agency]:[Agency]]=$E166)*(ROW(TableDiv[Agency])-ROW(TableDiv[[#Headers],[Agency]])),COLUMNS($F$7:T$7))))</f>
        <v/>
      </c>
      <c r="U166" s="2223" t="str" cm="1">
        <f t="array" ref="U166">IF($D166&lt;COLUMNS($F$7:U$7),"",INDEX(TableDiv[[GASB]:[GASB]],_xlfn.AGGREGATE(15,3,(TableDiv[[Agency]:[Agency]]=$E166)/(TableDiv[[Agency]:[Agency]]=$E166)*(ROW(TableDiv[Agency])-ROW(TableDiv[[#Headers],[Agency]])),COLUMNS($F$7:U$7))))</f>
        <v/>
      </c>
      <c r="V166" s="2223" t="str" cm="1">
        <f t="array" ref="V166">IF($D166&lt;COLUMNS($F$7:V$7),"",INDEX(TableDiv[[GASB]:[GASB]],_xlfn.AGGREGATE(15,3,(TableDiv[[Agency]:[Agency]]=$E166)/(TableDiv[[Agency]:[Agency]]=$E166)*(ROW(TableDiv[Agency])-ROW(TableDiv[[#Headers],[Agency]])),COLUMNS($F$7:V$7))))</f>
        <v/>
      </c>
      <c r="W166" s="2223" t="str" cm="1">
        <f t="array" ref="W166">IF($D166&lt;COLUMNS($F$7:W$7),"",INDEX(TableDiv[[GASB]:[GASB]],_xlfn.AGGREGATE(15,3,(TableDiv[[Agency]:[Agency]]=$E166)/(TableDiv[[Agency]:[Agency]]=$E166)*(ROW(TableDiv[Agency])-ROW(TableDiv[[#Headers],[Agency]])),COLUMNS($F$7:W$7))))</f>
        <v/>
      </c>
      <c r="X166" s="2223" t="str" cm="1">
        <f t="array" ref="X166">IF($D166&lt;COLUMNS($F$7:X$7),"",INDEX(TableDiv[[GASB]:[GASB]],_xlfn.AGGREGATE(15,3,(TableDiv[[Agency]:[Agency]]=$E166)/(TableDiv[[Agency]:[Agency]]=$E166)*(ROW(TableDiv[Agency])-ROW(TableDiv[[#Headers],[Agency]])),COLUMNS($F$7:X$7))))</f>
        <v/>
      </c>
      <c r="Y166" s="2223" t="str" cm="1">
        <f t="array" ref="Y166">IF($D166&lt;COLUMNS($F$7:Y$7),"",INDEX(TableDiv[[GASB]:[GASB]],_xlfn.AGGREGATE(15,3,(TableDiv[[Agency]:[Agency]]=$E166)/(TableDiv[[Agency]:[Agency]]=$E166)*(ROW(TableDiv[Agency])-ROW(TableDiv[[#Headers],[Agency]])),COLUMNS($F$7:Y$7))))</f>
        <v/>
      </c>
      <c r="Z166" s="2223" t="str" cm="1">
        <f t="array" ref="Z166">IF($D166&lt;COLUMNS($F$7:Z$7),"",INDEX(TableDiv[[GASB]:[GASB]],_xlfn.AGGREGATE(15,3,(TableDiv[[Agency]:[Agency]]=$E166)/(TableDiv[[Agency]:[Agency]]=$E166)*(ROW(TableDiv[Agency])-ROW(TableDiv[[#Headers],[Agency]])),COLUMNS($F$7:Z$7))))</f>
        <v/>
      </c>
      <c r="AA166" s="2223" t="str" cm="1">
        <f t="array" ref="AA166">IF($D166&lt;COLUMNS($F$7:AA$7),"",INDEX(TableDiv[[GASB]:[GASB]],_xlfn.AGGREGATE(15,3,(TableDiv[[Agency]:[Agency]]=$E166)/(TableDiv[[Agency]:[Agency]]=$E166)*(ROW(TableDiv[Agency])-ROW(TableDiv[[#Headers],[Agency]])),COLUMNS($F$7:AA$7))))</f>
        <v/>
      </c>
      <c r="AB166" s="2223" t="str" cm="1">
        <f t="array" ref="AB166">IF($D166&lt;COLUMNS($F$7:AB$7),"",INDEX(TableDiv[[GASB]:[GASB]],_xlfn.AGGREGATE(15,3,(TableDiv[[Agency]:[Agency]]=$E166)/(TableDiv[[Agency]:[Agency]]=$E166)*(ROW(TableDiv[Agency])-ROW(TableDiv[[#Headers],[Agency]])),COLUMNS($F$7:AB$7))))</f>
        <v/>
      </c>
      <c r="AC166" s="2223" t="str" cm="1">
        <f t="array" ref="AC166">IF($D166&lt;COLUMNS($F$7:AC$7),"",INDEX(TableDiv[[GASB]:[GASB]],_xlfn.AGGREGATE(15,3,(TableDiv[[Agency]:[Agency]]=$E166)/(TableDiv[[Agency]:[Agency]]=$E166)*(ROW(TableDiv[Agency])-ROW(TableDiv[[#Headers],[Agency]])),COLUMNS($F$7:AC$7))))</f>
        <v/>
      </c>
      <c r="AD166" s="2223" t="str" cm="1">
        <f t="array" ref="AD166">IF($D166&lt;COLUMNS($F$7:AD$7),"",INDEX(TableDiv[[GASB]:[GASB]],_xlfn.AGGREGATE(15,3,(TableDiv[[Agency]:[Agency]]=$E166)/(TableDiv[[Agency]:[Agency]]=$E166)*(ROW(TableDiv[Agency])-ROW(TableDiv[[#Headers],[Agency]])),COLUMNS($F$7:AD$7))))</f>
        <v/>
      </c>
      <c r="AE166" s="2223" t="str" cm="1">
        <f t="array" ref="AE166">IF($D166&lt;COLUMNS($F$7:AE$7),"",INDEX(TableDiv[[GASB]:[GASB]],_xlfn.AGGREGATE(15,3,(TableDiv[[Agency]:[Agency]]=$E166)/(TableDiv[[Agency]:[Agency]]=$E166)*(ROW(TableDiv[Agency])-ROW(TableDiv[[#Headers],[Agency]])),COLUMNS($F$7:AE$7))))</f>
        <v/>
      </c>
      <c r="AF166" s="2223" t="str" cm="1">
        <f t="array" ref="AF166">IF($D166&lt;COLUMNS($F$7:AF$7),"",INDEX(TableDiv[[GASB]:[GASB]],_xlfn.AGGREGATE(15,3,(TableDiv[[Agency]:[Agency]]=$E166)/(TableDiv[[Agency]:[Agency]]=$E166)*(ROW(TableDiv[Agency])-ROW(TableDiv[[#Headers],[Agency]])),COLUMNS($F$7:AF$7))))</f>
        <v/>
      </c>
      <c r="AG166" s="2223" t="str" cm="1">
        <f t="array" ref="AG166">IF($D166&lt;COLUMNS($F$7:AG$7),"",INDEX(TableDiv[[GASB]:[GASB]],_xlfn.AGGREGATE(15,3,(TableDiv[[Agency]:[Agency]]=$E166)/(TableDiv[[Agency]:[Agency]]=$E166)*(ROW(TableDiv[Agency])-ROW(TableDiv[[#Headers],[Agency]])),COLUMNS($F$7:AG$7))))</f>
        <v/>
      </c>
      <c r="AH166" s="2223" t="str" cm="1">
        <f t="array" ref="AH166">IF($D166&lt;COLUMNS($F$7:AH$7),"",INDEX(TableDiv[[GASB]:[GASB]],_xlfn.AGGREGATE(15,3,(TableDiv[[Agency]:[Agency]]=$E166)/(TableDiv[[Agency]:[Agency]]=$E166)*(ROW(TableDiv[Agency])-ROW(TableDiv[[#Headers],[Agency]])),COLUMNS($F$7:AH$7))))</f>
        <v/>
      </c>
      <c r="AI166" s="2223" t="str" cm="1">
        <f t="array" ref="AI166">IF($D166&lt;COLUMNS($F$7:AI$7),"",INDEX(TableDiv[[GASB]:[GASB]],_xlfn.AGGREGATE(15,3,(TableDiv[[Agency]:[Agency]]=$E166)/(TableDiv[[Agency]:[Agency]]=$E166)*(ROW(TableDiv[Agency])-ROW(TableDiv[[#Headers],[Agency]])),COLUMNS($F$7:AI$7))))</f>
        <v/>
      </c>
      <c r="AJ166" s="2223" t="str" cm="1">
        <f t="array" ref="AJ166">IF($D166&lt;COLUMNS($F$7:AJ$7),"",INDEX(TableDiv[[GASB]:[GASB]],_xlfn.AGGREGATE(15,3,(TableDiv[[Agency]:[Agency]]=$E166)/(TableDiv[[Agency]:[Agency]]=$E166)*(ROW(TableDiv[Agency])-ROW(TableDiv[[#Headers],[Agency]])),COLUMNS($F$7:AJ$7))))</f>
        <v/>
      </c>
      <c r="AK166" s="2223" t="str" cm="1">
        <f t="array" ref="AK166">IF($D166&lt;COLUMNS($F$7:AK$7),"",INDEX(TableDiv[[GASB]:[GASB]],_xlfn.AGGREGATE(15,3,(TableDiv[[Agency]:[Agency]]=$E166)/(TableDiv[[Agency]:[Agency]]=$E166)*(ROW(TableDiv[Agency])-ROW(TableDiv[[#Headers],[Agency]])),COLUMNS($F$7:AK$7))))</f>
        <v/>
      </c>
      <c r="AL166" s="2223" t="str" cm="1">
        <f t="array" ref="AL166">IF($D166&lt;COLUMNS($F$7:AL$7),"",INDEX(TableDiv[[GASB]:[GASB]],_xlfn.AGGREGATE(15,3,(TableDiv[[Agency]:[Agency]]=$E166)/(TableDiv[[Agency]:[Agency]]=$E166)*(ROW(TableDiv[Agency])-ROW(TableDiv[[#Headers],[Agency]])),COLUMNS($F$7:AL$7))))</f>
        <v/>
      </c>
      <c r="AM166" s="2223" t="str" cm="1">
        <f t="array" ref="AM166">IF($D166&lt;COLUMNS($F$7:AM$7),"",INDEX(TableDiv[[GASB]:[GASB]],_xlfn.AGGREGATE(15,3,(TableDiv[[Agency]:[Agency]]=$E166)/(TableDiv[[Agency]:[Agency]]=$E166)*(ROW(TableDiv[Agency])-ROW(TableDiv[[#Headers],[Agency]])),COLUMNS($F$7:AM$7))))</f>
        <v/>
      </c>
      <c r="AN166" s="2223"/>
      <c r="AO166" s="2223"/>
      <c r="AP166" s="2223"/>
      <c r="AQ166" s="2223"/>
      <c r="AR166" s="2223"/>
      <c r="AS166" s="2223"/>
    </row>
    <row r="167" spans="1:45" ht="15" x14ac:dyDescent="0.25">
      <c r="A167" s="2219" t="s">
        <v>5558</v>
      </c>
      <c r="B167" s="2219" t="s">
        <v>6358</v>
      </c>
      <c r="C167" s="2223"/>
      <c r="D167" s="2223">
        <f>COUNTIF(TableDiv[Agency],E167)</f>
        <v>1</v>
      </c>
      <c r="E167" s="2230" t="str" cm="1">
        <f t="array" ref="E167">IFERROR(INDEX(TableDiv[Agency],MATCH(0,INDEX(COUNTIF($E$7:E166,TableDiv[Agency]),),0)),"")</f>
        <v>CW</v>
      </c>
      <c r="F167" s="2223" t="str" cm="1">
        <f t="array" ref="F167">IF($D167&lt;COLUMNS($F$7:F$7),"",INDEX(TableDiv[[GASB]:[GASB]],_xlfn.AGGREGATE(15,3,(TableDiv[[Agency]:[Agency]]=$E167)/(TableDiv[[Agency]:[Agency]]=$E167)*(ROW(TableDiv[Agency])-ROW(TableDiv[[#Headers],[Agency]])),COLUMNS($F$7:F$7))))</f>
        <v>48100G</v>
      </c>
      <c r="G167" s="2223" t="str" cm="1">
        <f t="array" ref="G167">IF($D167&lt;COLUMNS($F$7:G$7),"",INDEX(TableDiv[[GASB]:[GASB]],_xlfn.AGGREGATE(15,3,(TableDiv[[Agency]:[Agency]]=$E167)/(TableDiv[[Agency]:[Agency]]=$E167)*(ROW(TableDiv[Agency])-ROW(TableDiv[[#Headers],[Agency]])),COLUMNS($F$7:G$7))))</f>
        <v/>
      </c>
      <c r="H167" s="2223" t="str" cm="1">
        <f t="array" ref="H167">IF($D167&lt;COLUMNS($F$7:H$7),"",INDEX(TableDiv[[GASB]:[GASB]],_xlfn.AGGREGATE(15,3,(TableDiv[[Agency]:[Agency]]=$E167)/(TableDiv[[Agency]:[Agency]]=$E167)*(ROW(TableDiv[Agency])-ROW(TableDiv[[#Headers],[Agency]])),COLUMNS($F$7:H$7))))</f>
        <v/>
      </c>
      <c r="I167" s="2223" t="str" cm="1">
        <f t="array" ref="I167">IF($D167&lt;COLUMNS($F$7:I$7),"",INDEX(TableDiv[[GASB]:[GASB]],_xlfn.AGGREGATE(15,3,(TableDiv[[Agency]:[Agency]]=$E167)/(TableDiv[[Agency]:[Agency]]=$E167)*(ROW(TableDiv[Agency])-ROW(TableDiv[[#Headers],[Agency]])),COLUMNS($F$7:I$7))))</f>
        <v/>
      </c>
      <c r="J167" s="2223" t="str" cm="1">
        <f t="array" ref="J167">IF($D167&lt;COLUMNS($F$7:J$7),"",INDEX(TableDiv[[GASB]:[GASB]],_xlfn.AGGREGATE(15,3,(TableDiv[[Agency]:[Agency]]=$E167)/(TableDiv[[Agency]:[Agency]]=$E167)*(ROW(TableDiv[Agency])-ROW(TableDiv[[#Headers],[Agency]])),COLUMNS($F$7:J$7))))</f>
        <v/>
      </c>
      <c r="K167" s="2223" t="str" cm="1">
        <f t="array" ref="K167">IF($D167&lt;COLUMNS($F$7:K$7),"",INDEX(TableDiv[[GASB]:[GASB]],_xlfn.AGGREGATE(15,3,(TableDiv[[Agency]:[Agency]]=$E167)/(TableDiv[[Agency]:[Agency]]=$E167)*(ROW(TableDiv[Agency])-ROW(TableDiv[[#Headers],[Agency]])),COLUMNS($F$7:K$7))))</f>
        <v/>
      </c>
      <c r="L167" s="2223" t="str" cm="1">
        <f t="array" ref="L167">IF($D167&lt;COLUMNS($F$7:L$7),"",INDEX(TableDiv[[GASB]:[GASB]],_xlfn.AGGREGATE(15,3,(TableDiv[[Agency]:[Agency]]=$E167)/(TableDiv[[Agency]:[Agency]]=$E167)*(ROW(TableDiv[Agency])-ROW(TableDiv[[#Headers],[Agency]])),COLUMNS($F$7:L$7))))</f>
        <v/>
      </c>
      <c r="M167" s="2223" t="str" cm="1">
        <f t="array" ref="M167">IF($D167&lt;COLUMNS($F$7:M$7),"",INDEX(TableDiv[[GASB]:[GASB]],_xlfn.AGGREGATE(15,3,(TableDiv[[Agency]:[Agency]]=$E167)/(TableDiv[[Agency]:[Agency]]=$E167)*(ROW(TableDiv[Agency])-ROW(TableDiv[[#Headers],[Agency]])),COLUMNS($F$7:M$7))))</f>
        <v/>
      </c>
      <c r="N167" s="2223" t="str" cm="1">
        <f t="array" ref="N167">IF($D167&lt;COLUMNS($F$7:N$7),"",INDEX(TableDiv[[GASB]:[GASB]],_xlfn.AGGREGATE(15,3,(TableDiv[[Agency]:[Agency]]=$E167)/(TableDiv[[Agency]:[Agency]]=$E167)*(ROW(TableDiv[Agency])-ROW(TableDiv[[#Headers],[Agency]])),COLUMNS($F$7:N$7))))</f>
        <v/>
      </c>
      <c r="O167" s="2223" t="str" cm="1">
        <f t="array" ref="O167">IF($D167&lt;COLUMNS($F$7:O$7),"",INDEX(TableDiv[[GASB]:[GASB]],_xlfn.AGGREGATE(15,3,(TableDiv[[Agency]:[Agency]]=$E167)/(TableDiv[[Agency]:[Agency]]=$E167)*(ROW(TableDiv[Agency])-ROW(TableDiv[[#Headers],[Agency]])),COLUMNS($F$7:O$7))))</f>
        <v/>
      </c>
      <c r="P167" s="2223" t="str" cm="1">
        <f t="array" ref="P167">IF($D167&lt;COLUMNS($F$7:P$7),"",INDEX(TableDiv[[GASB]:[GASB]],_xlfn.AGGREGATE(15,3,(TableDiv[[Agency]:[Agency]]=$E167)/(TableDiv[[Agency]:[Agency]]=$E167)*(ROW(TableDiv[Agency])-ROW(TableDiv[[#Headers],[Agency]])),COLUMNS($F$7:P$7))))</f>
        <v/>
      </c>
      <c r="Q167" s="2223" t="str" cm="1">
        <f t="array" ref="Q167">IF($D167&lt;COLUMNS($F$7:Q$7),"",INDEX(TableDiv[[GASB]:[GASB]],_xlfn.AGGREGATE(15,3,(TableDiv[[Agency]:[Agency]]=$E167)/(TableDiv[[Agency]:[Agency]]=$E167)*(ROW(TableDiv[Agency])-ROW(TableDiv[[#Headers],[Agency]])),COLUMNS($F$7:Q$7))))</f>
        <v/>
      </c>
      <c r="R167" s="2223" t="str" cm="1">
        <f t="array" ref="R167">IF($D167&lt;COLUMNS($F$7:R$7),"",INDEX(TableDiv[[GASB]:[GASB]],_xlfn.AGGREGATE(15,3,(TableDiv[[Agency]:[Agency]]=$E167)/(TableDiv[[Agency]:[Agency]]=$E167)*(ROW(TableDiv[Agency])-ROW(TableDiv[[#Headers],[Agency]])),COLUMNS($F$7:R$7))))</f>
        <v/>
      </c>
      <c r="S167" s="2223" t="str" cm="1">
        <f t="array" ref="S167">IF($D167&lt;COLUMNS($F$7:S$7),"",INDEX(TableDiv[[GASB]:[GASB]],_xlfn.AGGREGATE(15,3,(TableDiv[[Agency]:[Agency]]=$E167)/(TableDiv[[Agency]:[Agency]]=$E167)*(ROW(TableDiv[Agency])-ROW(TableDiv[[#Headers],[Agency]])),COLUMNS($F$7:S$7))))</f>
        <v/>
      </c>
      <c r="T167" s="2223" t="str" cm="1">
        <f t="array" ref="T167">IF($D167&lt;COLUMNS($F$7:T$7),"",INDEX(TableDiv[[GASB]:[GASB]],_xlfn.AGGREGATE(15,3,(TableDiv[[Agency]:[Agency]]=$E167)/(TableDiv[[Agency]:[Agency]]=$E167)*(ROW(TableDiv[Agency])-ROW(TableDiv[[#Headers],[Agency]])),COLUMNS($F$7:T$7))))</f>
        <v/>
      </c>
      <c r="U167" s="2223" t="str" cm="1">
        <f t="array" ref="U167">IF($D167&lt;COLUMNS($F$7:U$7),"",INDEX(TableDiv[[GASB]:[GASB]],_xlfn.AGGREGATE(15,3,(TableDiv[[Agency]:[Agency]]=$E167)/(TableDiv[[Agency]:[Agency]]=$E167)*(ROW(TableDiv[Agency])-ROW(TableDiv[[#Headers],[Agency]])),COLUMNS($F$7:U$7))))</f>
        <v/>
      </c>
      <c r="V167" s="2223" t="str" cm="1">
        <f t="array" ref="V167">IF($D167&lt;COLUMNS($F$7:V$7),"",INDEX(TableDiv[[GASB]:[GASB]],_xlfn.AGGREGATE(15,3,(TableDiv[[Agency]:[Agency]]=$E167)/(TableDiv[[Agency]:[Agency]]=$E167)*(ROW(TableDiv[Agency])-ROW(TableDiv[[#Headers],[Agency]])),COLUMNS($F$7:V$7))))</f>
        <v/>
      </c>
      <c r="W167" s="2223" t="str" cm="1">
        <f t="array" ref="W167">IF($D167&lt;COLUMNS($F$7:W$7),"",INDEX(TableDiv[[GASB]:[GASB]],_xlfn.AGGREGATE(15,3,(TableDiv[[Agency]:[Agency]]=$E167)/(TableDiv[[Agency]:[Agency]]=$E167)*(ROW(TableDiv[Agency])-ROW(TableDiv[[#Headers],[Agency]])),COLUMNS($F$7:W$7))))</f>
        <v/>
      </c>
      <c r="X167" s="2223" t="str" cm="1">
        <f t="array" ref="X167">IF($D167&lt;COLUMNS($F$7:X$7),"",INDEX(TableDiv[[GASB]:[GASB]],_xlfn.AGGREGATE(15,3,(TableDiv[[Agency]:[Agency]]=$E167)/(TableDiv[[Agency]:[Agency]]=$E167)*(ROW(TableDiv[Agency])-ROW(TableDiv[[#Headers],[Agency]])),COLUMNS($F$7:X$7))))</f>
        <v/>
      </c>
      <c r="Y167" s="2223" t="str" cm="1">
        <f t="array" ref="Y167">IF($D167&lt;COLUMNS($F$7:Y$7),"",INDEX(TableDiv[[GASB]:[GASB]],_xlfn.AGGREGATE(15,3,(TableDiv[[Agency]:[Agency]]=$E167)/(TableDiv[[Agency]:[Agency]]=$E167)*(ROW(TableDiv[Agency])-ROW(TableDiv[[#Headers],[Agency]])),COLUMNS($F$7:Y$7))))</f>
        <v/>
      </c>
      <c r="Z167" s="2223" t="str" cm="1">
        <f t="array" ref="Z167">IF($D167&lt;COLUMNS($F$7:Z$7),"",INDEX(TableDiv[[GASB]:[GASB]],_xlfn.AGGREGATE(15,3,(TableDiv[[Agency]:[Agency]]=$E167)/(TableDiv[[Agency]:[Agency]]=$E167)*(ROW(TableDiv[Agency])-ROW(TableDiv[[#Headers],[Agency]])),COLUMNS($F$7:Z$7))))</f>
        <v/>
      </c>
      <c r="AA167" s="2223" t="str" cm="1">
        <f t="array" ref="AA167">IF($D167&lt;COLUMNS($F$7:AA$7),"",INDEX(TableDiv[[GASB]:[GASB]],_xlfn.AGGREGATE(15,3,(TableDiv[[Agency]:[Agency]]=$E167)/(TableDiv[[Agency]:[Agency]]=$E167)*(ROW(TableDiv[Agency])-ROW(TableDiv[[#Headers],[Agency]])),COLUMNS($F$7:AA$7))))</f>
        <v/>
      </c>
      <c r="AB167" s="2223" t="str" cm="1">
        <f t="array" ref="AB167">IF($D167&lt;COLUMNS($F$7:AB$7),"",INDEX(TableDiv[[GASB]:[GASB]],_xlfn.AGGREGATE(15,3,(TableDiv[[Agency]:[Agency]]=$E167)/(TableDiv[[Agency]:[Agency]]=$E167)*(ROW(TableDiv[Agency])-ROW(TableDiv[[#Headers],[Agency]])),COLUMNS($F$7:AB$7))))</f>
        <v/>
      </c>
      <c r="AC167" s="2223" t="str" cm="1">
        <f t="array" ref="AC167">IF($D167&lt;COLUMNS($F$7:AC$7),"",INDEX(TableDiv[[GASB]:[GASB]],_xlfn.AGGREGATE(15,3,(TableDiv[[Agency]:[Agency]]=$E167)/(TableDiv[[Agency]:[Agency]]=$E167)*(ROW(TableDiv[Agency])-ROW(TableDiv[[#Headers],[Agency]])),COLUMNS($F$7:AC$7))))</f>
        <v/>
      </c>
      <c r="AD167" s="2223" t="str" cm="1">
        <f t="array" ref="AD167">IF($D167&lt;COLUMNS($F$7:AD$7),"",INDEX(TableDiv[[GASB]:[GASB]],_xlfn.AGGREGATE(15,3,(TableDiv[[Agency]:[Agency]]=$E167)/(TableDiv[[Agency]:[Agency]]=$E167)*(ROW(TableDiv[Agency])-ROW(TableDiv[[#Headers],[Agency]])),COLUMNS($F$7:AD$7))))</f>
        <v/>
      </c>
      <c r="AE167" s="2223" t="str" cm="1">
        <f t="array" ref="AE167">IF($D167&lt;COLUMNS($F$7:AE$7),"",INDEX(TableDiv[[GASB]:[GASB]],_xlfn.AGGREGATE(15,3,(TableDiv[[Agency]:[Agency]]=$E167)/(TableDiv[[Agency]:[Agency]]=$E167)*(ROW(TableDiv[Agency])-ROW(TableDiv[[#Headers],[Agency]])),COLUMNS($F$7:AE$7))))</f>
        <v/>
      </c>
      <c r="AF167" s="2223" t="str" cm="1">
        <f t="array" ref="AF167">IF($D167&lt;COLUMNS($F$7:AF$7),"",INDEX(TableDiv[[GASB]:[GASB]],_xlfn.AGGREGATE(15,3,(TableDiv[[Agency]:[Agency]]=$E167)/(TableDiv[[Agency]:[Agency]]=$E167)*(ROW(TableDiv[Agency])-ROW(TableDiv[[#Headers],[Agency]])),COLUMNS($F$7:AF$7))))</f>
        <v/>
      </c>
      <c r="AG167" s="2223" t="str" cm="1">
        <f t="array" ref="AG167">IF($D167&lt;COLUMNS($F$7:AG$7),"",INDEX(TableDiv[[GASB]:[GASB]],_xlfn.AGGREGATE(15,3,(TableDiv[[Agency]:[Agency]]=$E167)/(TableDiv[[Agency]:[Agency]]=$E167)*(ROW(TableDiv[Agency])-ROW(TableDiv[[#Headers],[Agency]])),COLUMNS($F$7:AG$7))))</f>
        <v/>
      </c>
      <c r="AH167" s="2223" t="str" cm="1">
        <f t="array" ref="AH167">IF($D167&lt;COLUMNS($F$7:AH$7),"",INDEX(TableDiv[[GASB]:[GASB]],_xlfn.AGGREGATE(15,3,(TableDiv[[Agency]:[Agency]]=$E167)/(TableDiv[[Agency]:[Agency]]=$E167)*(ROW(TableDiv[Agency])-ROW(TableDiv[[#Headers],[Agency]])),COLUMNS($F$7:AH$7))))</f>
        <v/>
      </c>
      <c r="AI167" s="2223" t="str" cm="1">
        <f t="array" ref="AI167">IF($D167&lt;COLUMNS($F$7:AI$7),"",INDEX(TableDiv[[GASB]:[GASB]],_xlfn.AGGREGATE(15,3,(TableDiv[[Agency]:[Agency]]=$E167)/(TableDiv[[Agency]:[Agency]]=$E167)*(ROW(TableDiv[Agency])-ROW(TableDiv[[#Headers],[Agency]])),COLUMNS($F$7:AI$7))))</f>
        <v/>
      </c>
      <c r="AJ167" s="2223" t="str" cm="1">
        <f t="array" ref="AJ167">IF($D167&lt;COLUMNS($F$7:AJ$7),"",INDEX(TableDiv[[GASB]:[GASB]],_xlfn.AGGREGATE(15,3,(TableDiv[[Agency]:[Agency]]=$E167)/(TableDiv[[Agency]:[Agency]]=$E167)*(ROW(TableDiv[Agency])-ROW(TableDiv[[#Headers],[Agency]])),COLUMNS($F$7:AJ$7))))</f>
        <v/>
      </c>
      <c r="AK167" s="2223" t="str" cm="1">
        <f t="array" ref="AK167">IF($D167&lt;COLUMNS($F$7:AK$7),"",INDEX(TableDiv[[GASB]:[GASB]],_xlfn.AGGREGATE(15,3,(TableDiv[[Agency]:[Agency]]=$E167)/(TableDiv[[Agency]:[Agency]]=$E167)*(ROW(TableDiv[Agency])-ROW(TableDiv[[#Headers],[Agency]])),COLUMNS($F$7:AK$7))))</f>
        <v/>
      </c>
      <c r="AL167" s="2223" t="str" cm="1">
        <f t="array" ref="AL167">IF($D167&lt;COLUMNS($F$7:AL$7),"",INDEX(TableDiv[[GASB]:[GASB]],_xlfn.AGGREGATE(15,3,(TableDiv[[Agency]:[Agency]]=$E167)/(TableDiv[[Agency]:[Agency]]=$E167)*(ROW(TableDiv[Agency])-ROW(TableDiv[[#Headers],[Agency]])),COLUMNS($F$7:AL$7))))</f>
        <v/>
      </c>
      <c r="AM167" s="2223" t="str" cm="1">
        <f t="array" ref="AM167">IF($D167&lt;COLUMNS($F$7:AM$7),"",INDEX(TableDiv[[GASB]:[GASB]],_xlfn.AGGREGATE(15,3,(TableDiv[[Agency]:[Agency]]=$E167)/(TableDiv[[Agency]:[Agency]]=$E167)*(ROW(TableDiv[Agency])-ROW(TableDiv[[#Headers],[Agency]])),COLUMNS($F$7:AM$7))))</f>
        <v/>
      </c>
      <c r="AN167" s="2223"/>
      <c r="AO167" s="2223"/>
      <c r="AP167" s="2223"/>
      <c r="AQ167" s="2223"/>
      <c r="AR167" s="2223"/>
      <c r="AS167" s="2223"/>
    </row>
    <row r="168" spans="1:45" ht="15" x14ac:dyDescent="0.25">
      <c r="A168" s="2219" t="s">
        <v>5558</v>
      </c>
      <c r="B168" s="2219" t="s">
        <v>6402</v>
      </c>
      <c r="C168" s="2223"/>
      <c r="D168" s="2223">
        <f>COUNTIF(TableDiv[Agency],E168)</f>
        <v>1</v>
      </c>
      <c r="E168" s="2230" t="str" cm="1">
        <f t="array" ref="E168">IFERROR(INDEX(TableDiv[Agency],MATCH(0,INDEX(COUNTIF($E$7:E167,TableDiv[Agency]),),0)),"")</f>
        <v>CX</v>
      </c>
      <c r="F168" s="2223" t="str" cm="1">
        <f t="array" ref="F168">IF($D168&lt;COLUMNS($F$7:F$7),"",INDEX(TableDiv[[GASB]:[GASB]],_xlfn.AGGREGATE(15,3,(TableDiv[[Agency]:[Agency]]=$E168)/(TableDiv[[Agency]:[Agency]]=$E168)*(ROW(TableDiv[Agency])-ROW(TableDiv[[#Headers],[Agency]])),COLUMNS($F$7:F$7))))</f>
        <v>48100G</v>
      </c>
      <c r="G168" s="2223" t="str" cm="1">
        <f t="array" ref="G168">IF($D168&lt;COLUMNS($F$7:G$7),"",INDEX(TableDiv[[GASB]:[GASB]],_xlfn.AGGREGATE(15,3,(TableDiv[[Agency]:[Agency]]=$E168)/(TableDiv[[Agency]:[Agency]]=$E168)*(ROW(TableDiv[Agency])-ROW(TableDiv[[#Headers],[Agency]])),COLUMNS($F$7:G$7))))</f>
        <v/>
      </c>
      <c r="H168" s="2223" t="str" cm="1">
        <f t="array" ref="H168">IF($D168&lt;COLUMNS($F$7:H$7),"",INDEX(TableDiv[[GASB]:[GASB]],_xlfn.AGGREGATE(15,3,(TableDiv[[Agency]:[Agency]]=$E168)/(TableDiv[[Agency]:[Agency]]=$E168)*(ROW(TableDiv[Agency])-ROW(TableDiv[[#Headers],[Agency]])),COLUMNS($F$7:H$7))))</f>
        <v/>
      </c>
      <c r="I168" s="2223" t="str" cm="1">
        <f t="array" ref="I168">IF($D168&lt;COLUMNS($F$7:I$7),"",INDEX(TableDiv[[GASB]:[GASB]],_xlfn.AGGREGATE(15,3,(TableDiv[[Agency]:[Agency]]=$E168)/(TableDiv[[Agency]:[Agency]]=$E168)*(ROW(TableDiv[Agency])-ROW(TableDiv[[#Headers],[Agency]])),COLUMNS($F$7:I$7))))</f>
        <v/>
      </c>
      <c r="J168" s="2223" t="str" cm="1">
        <f t="array" ref="J168">IF($D168&lt;COLUMNS($F$7:J$7),"",INDEX(TableDiv[[GASB]:[GASB]],_xlfn.AGGREGATE(15,3,(TableDiv[[Agency]:[Agency]]=$E168)/(TableDiv[[Agency]:[Agency]]=$E168)*(ROW(TableDiv[Agency])-ROW(TableDiv[[#Headers],[Agency]])),COLUMNS($F$7:J$7))))</f>
        <v/>
      </c>
      <c r="K168" s="2223" t="str" cm="1">
        <f t="array" ref="K168">IF($D168&lt;COLUMNS($F$7:K$7),"",INDEX(TableDiv[[GASB]:[GASB]],_xlfn.AGGREGATE(15,3,(TableDiv[[Agency]:[Agency]]=$E168)/(TableDiv[[Agency]:[Agency]]=$E168)*(ROW(TableDiv[Agency])-ROW(TableDiv[[#Headers],[Agency]])),COLUMNS($F$7:K$7))))</f>
        <v/>
      </c>
      <c r="L168" s="2223" t="str" cm="1">
        <f t="array" ref="L168">IF($D168&lt;COLUMNS($F$7:L$7),"",INDEX(TableDiv[[GASB]:[GASB]],_xlfn.AGGREGATE(15,3,(TableDiv[[Agency]:[Agency]]=$E168)/(TableDiv[[Agency]:[Agency]]=$E168)*(ROW(TableDiv[Agency])-ROW(TableDiv[[#Headers],[Agency]])),COLUMNS($F$7:L$7))))</f>
        <v/>
      </c>
      <c r="M168" s="2223" t="str" cm="1">
        <f t="array" ref="M168">IF($D168&lt;COLUMNS($F$7:M$7),"",INDEX(TableDiv[[GASB]:[GASB]],_xlfn.AGGREGATE(15,3,(TableDiv[[Agency]:[Agency]]=$E168)/(TableDiv[[Agency]:[Agency]]=$E168)*(ROW(TableDiv[Agency])-ROW(TableDiv[[#Headers],[Agency]])),COLUMNS($F$7:M$7))))</f>
        <v/>
      </c>
      <c r="N168" s="2223" t="str" cm="1">
        <f t="array" ref="N168">IF($D168&lt;COLUMNS($F$7:N$7),"",INDEX(TableDiv[[GASB]:[GASB]],_xlfn.AGGREGATE(15,3,(TableDiv[[Agency]:[Agency]]=$E168)/(TableDiv[[Agency]:[Agency]]=$E168)*(ROW(TableDiv[Agency])-ROW(TableDiv[[#Headers],[Agency]])),COLUMNS($F$7:N$7))))</f>
        <v/>
      </c>
      <c r="O168" s="2223" t="str" cm="1">
        <f t="array" ref="O168">IF($D168&lt;COLUMNS($F$7:O$7),"",INDEX(TableDiv[[GASB]:[GASB]],_xlfn.AGGREGATE(15,3,(TableDiv[[Agency]:[Agency]]=$E168)/(TableDiv[[Agency]:[Agency]]=$E168)*(ROW(TableDiv[Agency])-ROW(TableDiv[[#Headers],[Agency]])),COLUMNS($F$7:O$7))))</f>
        <v/>
      </c>
      <c r="P168" s="2223" t="str" cm="1">
        <f t="array" ref="P168">IF($D168&lt;COLUMNS($F$7:P$7),"",INDEX(TableDiv[[GASB]:[GASB]],_xlfn.AGGREGATE(15,3,(TableDiv[[Agency]:[Agency]]=$E168)/(TableDiv[[Agency]:[Agency]]=$E168)*(ROW(TableDiv[Agency])-ROW(TableDiv[[#Headers],[Agency]])),COLUMNS($F$7:P$7))))</f>
        <v/>
      </c>
      <c r="Q168" s="2223" t="str" cm="1">
        <f t="array" ref="Q168">IF($D168&lt;COLUMNS($F$7:Q$7),"",INDEX(TableDiv[[GASB]:[GASB]],_xlfn.AGGREGATE(15,3,(TableDiv[[Agency]:[Agency]]=$E168)/(TableDiv[[Agency]:[Agency]]=$E168)*(ROW(TableDiv[Agency])-ROW(TableDiv[[#Headers],[Agency]])),COLUMNS($F$7:Q$7))))</f>
        <v/>
      </c>
      <c r="R168" s="2223" t="str" cm="1">
        <f t="array" ref="R168">IF($D168&lt;COLUMNS($F$7:R$7),"",INDEX(TableDiv[[GASB]:[GASB]],_xlfn.AGGREGATE(15,3,(TableDiv[[Agency]:[Agency]]=$E168)/(TableDiv[[Agency]:[Agency]]=$E168)*(ROW(TableDiv[Agency])-ROW(TableDiv[[#Headers],[Agency]])),COLUMNS($F$7:R$7))))</f>
        <v/>
      </c>
      <c r="S168" s="2223" t="str" cm="1">
        <f t="array" ref="S168">IF($D168&lt;COLUMNS($F$7:S$7),"",INDEX(TableDiv[[GASB]:[GASB]],_xlfn.AGGREGATE(15,3,(TableDiv[[Agency]:[Agency]]=$E168)/(TableDiv[[Agency]:[Agency]]=$E168)*(ROW(TableDiv[Agency])-ROW(TableDiv[[#Headers],[Agency]])),COLUMNS($F$7:S$7))))</f>
        <v/>
      </c>
      <c r="T168" s="2223" t="str" cm="1">
        <f t="array" ref="T168">IF($D168&lt;COLUMNS($F$7:T$7),"",INDEX(TableDiv[[GASB]:[GASB]],_xlfn.AGGREGATE(15,3,(TableDiv[[Agency]:[Agency]]=$E168)/(TableDiv[[Agency]:[Agency]]=$E168)*(ROW(TableDiv[Agency])-ROW(TableDiv[[#Headers],[Agency]])),COLUMNS($F$7:T$7))))</f>
        <v/>
      </c>
      <c r="U168" s="2223" t="str" cm="1">
        <f t="array" ref="U168">IF($D168&lt;COLUMNS($F$7:U$7),"",INDEX(TableDiv[[GASB]:[GASB]],_xlfn.AGGREGATE(15,3,(TableDiv[[Agency]:[Agency]]=$E168)/(TableDiv[[Agency]:[Agency]]=$E168)*(ROW(TableDiv[Agency])-ROW(TableDiv[[#Headers],[Agency]])),COLUMNS($F$7:U$7))))</f>
        <v/>
      </c>
      <c r="V168" s="2223" t="str" cm="1">
        <f t="array" ref="V168">IF($D168&lt;COLUMNS($F$7:V$7),"",INDEX(TableDiv[[GASB]:[GASB]],_xlfn.AGGREGATE(15,3,(TableDiv[[Agency]:[Agency]]=$E168)/(TableDiv[[Agency]:[Agency]]=$E168)*(ROW(TableDiv[Agency])-ROW(TableDiv[[#Headers],[Agency]])),COLUMNS($F$7:V$7))))</f>
        <v/>
      </c>
      <c r="W168" s="2223" t="str" cm="1">
        <f t="array" ref="W168">IF($D168&lt;COLUMNS($F$7:W$7),"",INDEX(TableDiv[[GASB]:[GASB]],_xlfn.AGGREGATE(15,3,(TableDiv[[Agency]:[Agency]]=$E168)/(TableDiv[[Agency]:[Agency]]=$E168)*(ROW(TableDiv[Agency])-ROW(TableDiv[[#Headers],[Agency]])),COLUMNS($F$7:W$7))))</f>
        <v/>
      </c>
      <c r="X168" s="2223" t="str" cm="1">
        <f t="array" ref="X168">IF($D168&lt;COLUMNS($F$7:X$7),"",INDEX(TableDiv[[GASB]:[GASB]],_xlfn.AGGREGATE(15,3,(TableDiv[[Agency]:[Agency]]=$E168)/(TableDiv[[Agency]:[Agency]]=$E168)*(ROW(TableDiv[Agency])-ROW(TableDiv[[#Headers],[Agency]])),COLUMNS($F$7:X$7))))</f>
        <v/>
      </c>
      <c r="Y168" s="2223" t="str" cm="1">
        <f t="array" ref="Y168">IF($D168&lt;COLUMNS($F$7:Y$7),"",INDEX(TableDiv[[GASB]:[GASB]],_xlfn.AGGREGATE(15,3,(TableDiv[[Agency]:[Agency]]=$E168)/(TableDiv[[Agency]:[Agency]]=$E168)*(ROW(TableDiv[Agency])-ROW(TableDiv[[#Headers],[Agency]])),COLUMNS($F$7:Y$7))))</f>
        <v/>
      </c>
      <c r="Z168" s="2223" t="str" cm="1">
        <f t="array" ref="Z168">IF($D168&lt;COLUMNS($F$7:Z$7),"",INDEX(TableDiv[[GASB]:[GASB]],_xlfn.AGGREGATE(15,3,(TableDiv[[Agency]:[Agency]]=$E168)/(TableDiv[[Agency]:[Agency]]=$E168)*(ROW(TableDiv[Agency])-ROW(TableDiv[[#Headers],[Agency]])),COLUMNS($F$7:Z$7))))</f>
        <v/>
      </c>
      <c r="AA168" s="2223" t="str" cm="1">
        <f t="array" ref="AA168">IF($D168&lt;COLUMNS($F$7:AA$7),"",INDEX(TableDiv[[GASB]:[GASB]],_xlfn.AGGREGATE(15,3,(TableDiv[[Agency]:[Agency]]=$E168)/(TableDiv[[Agency]:[Agency]]=$E168)*(ROW(TableDiv[Agency])-ROW(TableDiv[[#Headers],[Agency]])),COLUMNS($F$7:AA$7))))</f>
        <v/>
      </c>
      <c r="AB168" s="2223" t="str" cm="1">
        <f t="array" ref="AB168">IF($D168&lt;COLUMNS($F$7:AB$7),"",INDEX(TableDiv[[GASB]:[GASB]],_xlfn.AGGREGATE(15,3,(TableDiv[[Agency]:[Agency]]=$E168)/(TableDiv[[Agency]:[Agency]]=$E168)*(ROW(TableDiv[Agency])-ROW(TableDiv[[#Headers],[Agency]])),COLUMNS($F$7:AB$7))))</f>
        <v/>
      </c>
      <c r="AC168" s="2223" t="str" cm="1">
        <f t="array" ref="AC168">IF($D168&lt;COLUMNS($F$7:AC$7),"",INDEX(TableDiv[[GASB]:[GASB]],_xlfn.AGGREGATE(15,3,(TableDiv[[Agency]:[Agency]]=$E168)/(TableDiv[[Agency]:[Agency]]=$E168)*(ROW(TableDiv[Agency])-ROW(TableDiv[[#Headers],[Agency]])),COLUMNS($F$7:AC$7))))</f>
        <v/>
      </c>
      <c r="AD168" s="2223" t="str" cm="1">
        <f t="array" ref="AD168">IF($D168&lt;COLUMNS($F$7:AD$7),"",INDEX(TableDiv[[GASB]:[GASB]],_xlfn.AGGREGATE(15,3,(TableDiv[[Agency]:[Agency]]=$E168)/(TableDiv[[Agency]:[Agency]]=$E168)*(ROW(TableDiv[Agency])-ROW(TableDiv[[#Headers],[Agency]])),COLUMNS($F$7:AD$7))))</f>
        <v/>
      </c>
      <c r="AE168" s="2223" t="str" cm="1">
        <f t="array" ref="AE168">IF($D168&lt;COLUMNS($F$7:AE$7),"",INDEX(TableDiv[[GASB]:[GASB]],_xlfn.AGGREGATE(15,3,(TableDiv[[Agency]:[Agency]]=$E168)/(TableDiv[[Agency]:[Agency]]=$E168)*(ROW(TableDiv[Agency])-ROW(TableDiv[[#Headers],[Agency]])),COLUMNS($F$7:AE$7))))</f>
        <v/>
      </c>
      <c r="AF168" s="2223" t="str" cm="1">
        <f t="array" ref="AF168">IF($D168&lt;COLUMNS($F$7:AF$7),"",INDEX(TableDiv[[GASB]:[GASB]],_xlfn.AGGREGATE(15,3,(TableDiv[[Agency]:[Agency]]=$E168)/(TableDiv[[Agency]:[Agency]]=$E168)*(ROW(TableDiv[Agency])-ROW(TableDiv[[#Headers],[Agency]])),COLUMNS($F$7:AF$7))))</f>
        <v/>
      </c>
      <c r="AG168" s="2223" t="str" cm="1">
        <f t="array" ref="AG168">IF($D168&lt;COLUMNS($F$7:AG$7),"",INDEX(TableDiv[[GASB]:[GASB]],_xlfn.AGGREGATE(15,3,(TableDiv[[Agency]:[Agency]]=$E168)/(TableDiv[[Agency]:[Agency]]=$E168)*(ROW(TableDiv[Agency])-ROW(TableDiv[[#Headers],[Agency]])),COLUMNS($F$7:AG$7))))</f>
        <v/>
      </c>
      <c r="AH168" s="2223" t="str" cm="1">
        <f t="array" ref="AH168">IF($D168&lt;COLUMNS($F$7:AH$7),"",INDEX(TableDiv[[GASB]:[GASB]],_xlfn.AGGREGATE(15,3,(TableDiv[[Agency]:[Agency]]=$E168)/(TableDiv[[Agency]:[Agency]]=$E168)*(ROW(TableDiv[Agency])-ROW(TableDiv[[#Headers],[Agency]])),COLUMNS($F$7:AH$7))))</f>
        <v/>
      </c>
      <c r="AI168" s="2223" t="str" cm="1">
        <f t="array" ref="AI168">IF($D168&lt;COLUMNS($F$7:AI$7),"",INDEX(TableDiv[[GASB]:[GASB]],_xlfn.AGGREGATE(15,3,(TableDiv[[Agency]:[Agency]]=$E168)/(TableDiv[[Agency]:[Agency]]=$E168)*(ROW(TableDiv[Agency])-ROW(TableDiv[[#Headers],[Agency]])),COLUMNS($F$7:AI$7))))</f>
        <v/>
      </c>
      <c r="AJ168" s="2223" t="str" cm="1">
        <f t="array" ref="AJ168">IF($D168&lt;COLUMNS($F$7:AJ$7),"",INDEX(TableDiv[[GASB]:[GASB]],_xlfn.AGGREGATE(15,3,(TableDiv[[Agency]:[Agency]]=$E168)/(TableDiv[[Agency]:[Agency]]=$E168)*(ROW(TableDiv[Agency])-ROW(TableDiv[[#Headers],[Agency]])),COLUMNS($F$7:AJ$7))))</f>
        <v/>
      </c>
      <c r="AK168" s="2223" t="str" cm="1">
        <f t="array" ref="AK168">IF($D168&lt;COLUMNS($F$7:AK$7),"",INDEX(TableDiv[[GASB]:[GASB]],_xlfn.AGGREGATE(15,3,(TableDiv[[Agency]:[Agency]]=$E168)/(TableDiv[[Agency]:[Agency]]=$E168)*(ROW(TableDiv[Agency])-ROW(TableDiv[[#Headers],[Agency]])),COLUMNS($F$7:AK$7))))</f>
        <v/>
      </c>
      <c r="AL168" s="2223" t="str" cm="1">
        <f t="array" ref="AL168">IF($D168&lt;COLUMNS($F$7:AL$7),"",INDEX(TableDiv[[GASB]:[GASB]],_xlfn.AGGREGATE(15,3,(TableDiv[[Agency]:[Agency]]=$E168)/(TableDiv[[Agency]:[Agency]]=$E168)*(ROW(TableDiv[Agency])-ROW(TableDiv[[#Headers],[Agency]])),COLUMNS($F$7:AL$7))))</f>
        <v/>
      </c>
      <c r="AM168" s="2223" t="str" cm="1">
        <f t="array" ref="AM168">IF($D168&lt;COLUMNS($F$7:AM$7),"",INDEX(TableDiv[[GASB]:[GASB]],_xlfn.AGGREGATE(15,3,(TableDiv[[Agency]:[Agency]]=$E168)/(TableDiv[[Agency]:[Agency]]=$E168)*(ROW(TableDiv[Agency])-ROW(TableDiv[[#Headers],[Agency]])),COLUMNS($F$7:AM$7))))</f>
        <v/>
      </c>
      <c r="AN168" s="2223"/>
      <c r="AO168" s="2223"/>
      <c r="AP168" s="2223"/>
      <c r="AQ168" s="2223"/>
      <c r="AR168" s="2223"/>
      <c r="AS168" s="2223"/>
    </row>
    <row r="169" spans="1:45" ht="15" x14ac:dyDescent="0.25">
      <c r="A169" s="2219" t="s">
        <v>6440</v>
      </c>
      <c r="B169" s="2219" t="s">
        <v>6357</v>
      </c>
      <c r="C169" s="2223"/>
      <c r="D169" s="2223">
        <f>COUNTIF(TableDiv[Agency],E169)</f>
        <v>1</v>
      </c>
      <c r="E169" s="2230" t="str" cm="1">
        <f t="array" ref="E169">IFERROR(INDEX(TableDiv[Agency],MATCH(0,INDEX(COUNTIF($E$7:E168,TableDiv[Agency]),),0)),"")</f>
        <v>CY</v>
      </c>
      <c r="F169" s="2223" t="str" cm="1">
        <f t="array" ref="F169">IF($D169&lt;COLUMNS($F$7:F$7),"",INDEX(TableDiv[[GASB]:[GASB]],_xlfn.AGGREGATE(15,3,(TableDiv[[Agency]:[Agency]]=$E169)/(TableDiv[[Agency]:[Agency]]=$E169)*(ROW(TableDiv[Agency])-ROW(TableDiv[[#Headers],[Agency]])),COLUMNS($F$7:F$7))))</f>
        <v>48100G</v>
      </c>
      <c r="G169" s="2223" t="str" cm="1">
        <f t="array" ref="G169">IF($D169&lt;COLUMNS($F$7:G$7),"",INDEX(TableDiv[[GASB]:[GASB]],_xlfn.AGGREGATE(15,3,(TableDiv[[Agency]:[Agency]]=$E169)/(TableDiv[[Agency]:[Agency]]=$E169)*(ROW(TableDiv[Agency])-ROW(TableDiv[[#Headers],[Agency]])),COLUMNS($F$7:G$7))))</f>
        <v/>
      </c>
      <c r="H169" s="2223" t="str" cm="1">
        <f t="array" ref="H169">IF($D169&lt;COLUMNS($F$7:H$7),"",INDEX(TableDiv[[GASB]:[GASB]],_xlfn.AGGREGATE(15,3,(TableDiv[[Agency]:[Agency]]=$E169)/(TableDiv[[Agency]:[Agency]]=$E169)*(ROW(TableDiv[Agency])-ROW(TableDiv[[#Headers],[Agency]])),COLUMNS($F$7:H$7))))</f>
        <v/>
      </c>
      <c r="I169" s="2223" t="str" cm="1">
        <f t="array" ref="I169">IF($D169&lt;COLUMNS($F$7:I$7),"",INDEX(TableDiv[[GASB]:[GASB]],_xlfn.AGGREGATE(15,3,(TableDiv[[Agency]:[Agency]]=$E169)/(TableDiv[[Agency]:[Agency]]=$E169)*(ROW(TableDiv[Agency])-ROW(TableDiv[[#Headers],[Agency]])),COLUMNS($F$7:I$7))))</f>
        <v/>
      </c>
      <c r="J169" s="2223" t="str" cm="1">
        <f t="array" ref="J169">IF($D169&lt;COLUMNS($F$7:J$7),"",INDEX(TableDiv[[GASB]:[GASB]],_xlfn.AGGREGATE(15,3,(TableDiv[[Agency]:[Agency]]=$E169)/(TableDiv[[Agency]:[Agency]]=$E169)*(ROW(TableDiv[Agency])-ROW(TableDiv[[#Headers],[Agency]])),COLUMNS($F$7:J$7))))</f>
        <v/>
      </c>
      <c r="K169" s="2223" t="str" cm="1">
        <f t="array" ref="K169">IF($D169&lt;COLUMNS($F$7:K$7),"",INDEX(TableDiv[[GASB]:[GASB]],_xlfn.AGGREGATE(15,3,(TableDiv[[Agency]:[Agency]]=$E169)/(TableDiv[[Agency]:[Agency]]=$E169)*(ROW(TableDiv[Agency])-ROW(TableDiv[[#Headers],[Agency]])),COLUMNS($F$7:K$7))))</f>
        <v/>
      </c>
      <c r="L169" s="2223" t="str" cm="1">
        <f t="array" ref="L169">IF($D169&lt;COLUMNS($F$7:L$7),"",INDEX(TableDiv[[GASB]:[GASB]],_xlfn.AGGREGATE(15,3,(TableDiv[[Agency]:[Agency]]=$E169)/(TableDiv[[Agency]:[Agency]]=$E169)*(ROW(TableDiv[Agency])-ROW(TableDiv[[#Headers],[Agency]])),COLUMNS($F$7:L$7))))</f>
        <v/>
      </c>
      <c r="M169" s="2223" t="str" cm="1">
        <f t="array" ref="M169">IF($D169&lt;COLUMNS($F$7:M$7),"",INDEX(TableDiv[[GASB]:[GASB]],_xlfn.AGGREGATE(15,3,(TableDiv[[Agency]:[Agency]]=$E169)/(TableDiv[[Agency]:[Agency]]=$E169)*(ROW(TableDiv[Agency])-ROW(TableDiv[[#Headers],[Agency]])),COLUMNS($F$7:M$7))))</f>
        <v/>
      </c>
      <c r="N169" s="2223" t="str" cm="1">
        <f t="array" ref="N169">IF($D169&lt;COLUMNS($F$7:N$7),"",INDEX(TableDiv[[GASB]:[GASB]],_xlfn.AGGREGATE(15,3,(TableDiv[[Agency]:[Agency]]=$E169)/(TableDiv[[Agency]:[Agency]]=$E169)*(ROW(TableDiv[Agency])-ROW(TableDiv[[#Headers],[Agency]])),COLUMNS($F$7:N$7))))</f>
        <v/>
      </c>
      <c r="O169" s="2223" t="str" cm="1">
        <f t="array" ref="O169">IF($D169&lt;COLUMNS($F$7:O$7),"",INDEX(TableDiv[[GASB]:[GASB]],_xlfn.AGGREGATE(15,3,(TableDiv[[Agency]:[Agency]]=$E169)/(TableDiv[[Agency]:[Agency]]=$E169)*(ROW(TableDiv[Agency])-ROW(TableDiv[[#Headers],[Agency]])),COLUMNS($F$7:O$7))))</f>
        <v/>
      </c>
      <c r="P169" s="2223" t="str" cm="1">
        <f t="array" ref="P169">IF($D169&lt;COLUMNS($F$7:P$7),"",INDEX(TableDiv[[GASB]:[GASB]],_xlfn.AGGREGATE(15,3,(TableDiv[[Agency]:[Agency]]=$E169)/(TableDiv[[Agency]:[Agency]]=$E169)*(ROW(TableDiv[Agency])-ROW(TableDiv[[#Headers],[Agency]])),COLUMNS($F$7:P$7))))</f>
        <v/>
      </c>
      <c r="Q169" s="2223" t="str" cm="1">
        <f t="array" ref="Q169">IF($D169&lt;COLUMNS($F$7:Q$7),"",INDEX(TableDiv[[GASB]:[GASB]],_xlfn.AGGREGATE(15,3,(TableDiv[[Agency]:[Agency]]=$E169)/(TableDiv[[Agency]:[Agency]]=$E169)*(ROW(TableDiv[Agency])-ROW(TableDiv[[#Headers],[Agency]])),COLUMNS($F$7:Q$7))))</f>
        <v/>
      </c>
      <c r="R169" s="2223" t="str" cm="1">
        <f t="array" ref="R169">IF($D169&lt;COLUMNS($F$7:R$7),"",INDEX(TableDiv[[GASB]:[GASB]],_xlfn.AGGREGATE(15,3,(TableDiv[[Agency]:[Agency]]=$E169)/(TableDiv[[Agency]:[Agency]]=$E169)*(ROW(TableDiv[Agency])-ROW(TableDiv[[#Headers],[Agency]])),COLUMNS($F$7:R$7))))</f>
        <v/>
      </c>
      <c r="S169" s="2223" t="str" cm="1">
        <f t="array" ref="S169">IF($D169&lt;COLUMNS($F$7:S$7),"",INDEX(TableDiv[[GASB]:[GASB]],_xlfn.AGGREGATE(15,3,(TableDiv[[Agency]:[Agency]]=$E169)/(TableDiv[[Agency]:[Agency]]=$E169)*(ROW(TableDiv[Agency])-ROW(TableDiv[[#Headers],[Agency]])),COLUMNS($F$7:S$7))))</f>
        <v/>
      </c>
      <c r="T169" s="2223" t="str" cm="1">
        <f t="array" ref="T169">IF($D169&lt;COLUMNS($F$7:T$7),"",INDEX(TableDiv[[GASB]:[GASB]],_xlfn.AGGREGATE(15,3,(TableDiv[[Agency]:[Agency]]=$E169)/(TableDiv[[Agency]:[Agency]]=$E169)*(ROW(TableDiv[Agency])-ROW(TableDiv[[#Headers],[Agency]])),COLUMNS($F$7:T$7))))</f>
        <v/>
      </c>
      <c r="U169" s="2223" t="str" cm="1">
        <f t="array" ref="U169">IF($D169&lt;COLUMNS($F$7:U$7),"",INDEX(TableDiv[[GASB]:[GASB]],_xlfn.AGGREGATE(15,3,(TableDiv[[Agency]:[Agency]]=$E169)/(TableDiv[[Agency]:[Agency]]=$E169)*(ROW(TableDiv[Agency])-ROW(TableDiv[[#Headers],[Agency]])),COLUMNS($F$7:U$7))))</f>
        <v/>
      </c>
      <c r="V169" s="2223" t="str" cm="1">
        <f t="array" ref="V169">IF($D169&lt;COLUMNS($F$7:V$7),"",INDEX(TableDiv[[GASB]:[GASB]],_xlfn.AGGREGATE(15,3,(TableDiv[[Agency]:[Agency]]=$E169)/(TableDiv[[Agency]:[Agency]]=$E169)*(ROW(TableDiv[Agency])-ROW(TableDiv[[#Headers],[Agency]])),COLUMNS($F$7:V$7))))</f>
        <v/>
      </c>
      <c r="W169" s="2223" t="str" cm="1">
        <f t="array" ref="W169">IF($D169&lt;COLUMNS($F$7:W$7),"",INDEX(TableDiv[[GASB]:[GASB]],_xlfn.AGGREGATE(15,3,(TableDiv[[Agency]:[Agency]]=$E169)/(TableDiv[[Agency]:[Agency]]=$E169)*(ROW(TableDiv[Agency])-ROW(TableDiv[[#Headers],[Agency]])),COLUMNS($F$7:W$7))))</f>
        <v/>
      </c>
      <c r="X169" s="2223" t="str" cm="1">
        <f t="array" ref="X169">IF($D169&lt;COLUMNS($F$7:X$7),"",INDEX(TableDiv[[GASB]:[GASB]],_xlfn.AGGREGATE(15,3,(TableDiv[[Agency]:[Agency]]=$E169)/(TableDiv[[Agency]:[Agency]]=$E169)*(ROW(TableDiv[Agency])-ROW(TableDiv[[#Headers],[Agency]])),COLUMNS($F$7:X$7))))</f>
        <v/>
      </c>
      <c r="Y169" s="2223" t="str" cm="1">
        <f t="array" ref="Y169">IF($D169&lt;COLUMNS($F$7:Y$7),"",INDEX(TableDiv[[GASB]:[GASB]],_xlfn.AGGREGATE(15,3,(TableDiv[[Agency]:[Agency]]=$E169)/(TableDiv[[Agency]:[Agency]]=$E169)*(ROW(TableDiv[Agency])-ROW(TableDiv[[#Headers],[Agency]])),COLUMNS($F$7:Y$7))))</f>
        <v/>
      </c>
      <c r="Z169" s="2223" t="str" cm="1">
        <f t="array" ref="Z169">IF($D169&lt;COLUMNS($F$7:Z$7),"",INDEX(TableDiv[[GASB]:[GASB]],_xlfn.AGGREGATE(15,3,(TableDiv[[Agency]:[Agency]]=$E169)/(TableDiv[[Agency]:[Agency]]=$E169)*(ROW(TableDiv[Agency])-ROW(TableDiv[[#Headers],[Agency]])),COLUMNS($F$7:Z$7))))</f>
        <v/>
      </c>
      <c r="AA169" s="2223" t="str" cm="1">
        <f t="array" ref="AA169">IF($D169&lt;COLUMNS($F$7:AA$7),"",INDEX(TableDiv[[GASB]:[GASB]],_xlfn.AGGREGATE(15,3,(TableDiv[[Agency]:[Agency]]=$E169)/(TableDiv[[Agency]:[Agency]]=$E169)*(ROW(TableDiv[Agency])-ROW(TableDiv[[#Headers],[Agency]])),COLUMNS($F$7:AA$7))))</f>
        <v/>
      </c>
      <c r="AB169" s="2223" t="str" cm="1">
        <f t="array" ref="AB169">IF($D169&lt;COLUMNS($F$7:AB$7),"",INDEX(TableDiv[[GASB]:[GASB]],_xlfn.AGGREGATE(15,3,(TableDiv[[Agency]:[Agency]]=$E169)/(TableDiv[[Agency]:[Agency]]=$E169)*(ROW(TableDiv[Agency])-ROW(TableDiv[[#Headers],[Agency]])),COLUMNS($F$7:AB$7))))</f>
        <v/>
      </c>
      <c r="AC169" s="2223" t="str" cm="1">
        <f t="array" ref="AC169">IF($D169&lt;COLUMNS($F$7:AC$7),"",INDEX(TableDiv[[GASB]:[GASB]],_xlfn.AGGREGATE(15,3,(TableDiv[[Agency]:[Agency]]=$E169)/(TableDiv[[Agency]:[Agency]]=$E169)*(ROW(TableDiv[Agency])-ROW(TableDiv[[#Headers],[Agency]])),COLUMNS($F$7:AC$7))))</f>
        <v/>
      </c>
      <c r="AD169" s="2223" t="str" cm="1">
        <f t="array" ref="AD169">IF($D169&lt;COLUMNS($F$7:AD$7),"",INDEX(TableDiv[[GASB]:[GASB]],_xlfn.AGGREGATE(15,3,(TableDiv[[Agency]:[Agency]]=$E169)/(TableDiv[[Agency]:[Agency]]=$E169)*(ROW(TableDiv[Agency])-ROW(TableDiv[[#Headers],[Agency]])),COLUMNS($F$7:AD$7))))</f>
        <v/>
      </c>
      <c r="AE169" s="2223" t="str" cm="1">
        <f t="array" ref="AE169">IF($D169&lt;COLUMNS($F$7:AE$7),"",INDEX(TableDiv[[GASB]:[GASB]],_xlfn.AGGREGATE(15,3,(TableDiv[[Agency]:[Agency]]=$E169)/(TableDiv[[Agency]:[Agency]]=$E169)*(ROW(TableDiv[Agency])-ROW(TableDiv[[#Headers],[Agency]])),COLUMNS($F$7:AE$7))))</f>
        <v/>
      </c>
      <c r="AF169" s="2223" t="str" cm="1">
        <f t="array" ref="AF169">IF($D169&lt;COLUMNS($F$7:AF$7),"",INDEX(TableDiv[[GASB]:[GASB]],_xlfn.AGGREGATE(15,3,(TableDiv[[Agency]:[Agency]]=$E169)/(TableDiv[[Agency]:[Agency]]=$E169)*(ROW(TableDiv[Agency])-ROW(TableDiv[[#Headers],[Agency]])),COLUMNS($F$7:AF$7))))</f>
        <v/>
      </c>
      <c r="AG169" s="2223" t="str" cm="1">
        <f t="array" ref="AG169">IF($D169&lt;COLUMNS($F$7:AG$7),"",INDEX(TableDiv[[GASB]:[GASB]],_xlfn.AGGREGATE(15,3,(TableDiv[[Agency]:[Agency]]=$E169)/(TableDiv[[Agency]:[Agency]]=$E169)*(ROW(TableDiv[Agency])-ROW(TableDiv[[#Headers],[Agency]])),COLUMNS($F$7:AG$7))))</f>
        <v/>
      </c>
      <c r="AH169" s="2223" t="str" cm="1">
        <f t="array" ref="AH169">IF($D169&lt;COLUMNS($F$7:AH$7),"",INDEX(TableDiv[[GASB]:[GASB]],_xlfn.AGGREGATE(15,3,(TableDiv[[Agency]:[Agency]]=$E169)/(TableDiv[[Agency]:[Agency]]=$E169)*(ROW(TableDiv[Agency])-ROW(TableDiv[[#Headers],[Agency]])),COLUMNS($F$7:AH$7))))</f>
        <v/>
      </c>
      <c r="AI169" s="2223" t="str" cm="1">
        <f t="array" ref="AI169">IF($D169&lt;COLUMNS($F$7:AI$7),"",INDEX(TableDiv[[GASB]:[GASB]],_xlfn.AGGREGATE(15,3,(TableDiv[[Agency]:[Agency]]=$E169)/(TableDiv[[Agency]:[Agency]]=$E169)*(ROW(TableDiv[Agency])-ROW(TableDiv[[#Headers],[Agency]])),COLUMNS($F$7:AI$7))))</f>
        <v/>
      </c>
      <c r="AJ169" s="2223" t="str" cm="1">
        <f t="array" ref="AJ169">IF($D169&lt;COLUMNS($F$7:AJ$7),"",INDEX(TableDiv[[GASB]:[GASB]],_xlfn.AGGREGATE(15,3,(TableDiv[[Agency]:[Agency]]=$E169)/(TableDiv[[Agency]:[Agency]]=$E169)*(ROW(TableDiv[Agency])-ROW(TableDiv[[#Headers],[Agency]])),COLUMNS($F$7:AJ$7))))</f>
        <v/>
      </c>
      <c r="AK169" s="2223" t="str" cm="1">
        <f t="array" ref="AK169">IF($D169&lt;COLUMNS($F$7:AK$7),"",INDEX(TableDiv[[GASB]:[GASB]],_xlfn.AGGREGATE(15,3,(TableDiv[[Agency]:[Agency]]=$E169)/(TableDiv[[Agency]:[Agency]]=$E169)*(ROW(TableDiv[Agency])-ROW(TableDiv[[#Headers],[Agency]])),COLUMNS($F$7:AK$7))))</f>
        <v/>
      </c>
      <c r="AL169" s="2223" t="str" cm="1">
        <f t="array" ref="AL169">IF($D169&lt;COLUMNS($F$7:AL$7),"",INDEX(TableDiv[[GASB]:[GASB]],_xlfn.AGGREGATE(15,3,(TableDiv[[Agency]:[Agency]]=$E169)/(TableDiv[[Agency]:[Agency]]=$E169)*(ROW(TableDiv[Agency])-ROW(TableDiv[[#Headers],[Agency]])),COLUMNS($F$7:AL$7))))</f>
        <v/>
      </c>
      <c r="AM169" s="2223" t="str" cm="1">
        <f t="array" ref="AM169">IF($D169&lt;COLUMNS($F$7:AM$7),"",INDEX(TableDiv[[GASB]:[GASB]],_xlfn.AGGREGATE(15,3,(TableDiv[[Agency]:[Agency]]=$E169)/(TableDiv[[Agency]:[Agency]]=$E169)*(ROW(TableDiv[Agency])-ROW(TableDiv[[#Headers],[Agency]])),COLUMNS($F$7:AM$7))))</f>
        <v/>
      </c>
      <c r="AN169" s="2223"/>
      <c r="AO169" s="2223"/>
      <c r="AP169" s="2223"/>
      <c r="AQ169" s="2223"/>
      <c r="AR169" s="2223"/>
      <c r="AS169" s="2223"/>
    </row>
    <row r="170" spans="1:45" ht="15" x14ac:dyDescent="0.25">
      <c r="A170" s="2219" t="s">
        <v>6440</v>
      </c>
      <c r="B170" s="2219" t="s">
        <v>1878</v>
      </c>
      <c r="C170" s="2223"/>
      <c r="D170" s="2223">
        <f>COUNTIF(TableDiv[Agency],E170)</f>
        <v>1</v>
      </c>
      <c r="E170" s="2230" t="str" cm="1">
        <f t="array" ref="E170">IFERROR(INDEX(TableDiv[Agency],MATCH(0,INDEX(COUNTIF($E$7:E169,TableDiv[Agency]),),0)),"")</f>
        <v>CZ</v>
      </c>
      <c r="F170" s="2223" t="str" cm="1">
        <f t="array" ref="F170">IF($D170&lt;COLUMNS($F$7:F$7),"",INDEX(TableDiv[[GASB]:[GASB]],_xlfn.AGGREGATE(15,3,(TableDiv[[Agency]:[Agency]]=$E170)/(TableDiv[[Agency]:[Agency]]=$E170)*(ROW(TableDiv[Agency])-ROW(TableDiv[[#Headers],[Agency]])),COLUMNS($F$7:F$7))))</f>
        <v>48100G</v>
      </c>
      <c r="G170" s="2223" t="str" cm="1">
        <f t="array" ref="G170">IF($D170&lt;COLUMNS($F$7:G$7),"",INDEX(TableDiv[[GASB]:[GASB]],_xlfn.AGGREGATE(15,3,(TableDiv[[Agency]:[Agency]]=$E170)/(TableDiv[[Agency]:[Agency]]=$E170)*(ROW(TableDiv[Agency])-ROW(TableDiv[[#Headers],[Agency]])),COLUMNS($F$7:G$7))))</f>
        <v/>
      </c>
      <c r="H170" s="2223" t="str" cm="1">
        <f t="array" ref="H170">IF($D170&lt;COLUMNS($F$7:H$7),"",INDEX(TableDiv[[GASB]:[GASB]],_xlfn.AGGREGATE(15,3,(TableDiv[[Agency]:[Agency]]=$E170)/(TableDiv[[Agency]:[Agency]]=$E170)*(ROW(TableDiv[Agency])-ROW(TableDiv[[#Headers],[Agency]])),COLUMNS($F$7:H$7))))</f>
        <v/>
      </c>
      <c r="I170" s="2223" t="str" cm="1">
        <f t="array" ref="I170">IF($D170&lt;COLUMNS($F$7:I$7),"",INDEX(TableDiv[[GASB]:[GASB]],_xlfn.AGGREGATE(15,3,(TableDiv[[Agency]:[Agency]]=$E170)/(TableDiv[[Agency]:[Agency]]=$E170)*(ROW(TableDiv[Agency])-ROW(TableDiv[[#Headers],[Agency]])),COLUMNS($F$7:I$7))))</f>
        <v/>
      </c>
      <c r="J170" s="2223" t="str" cm="1">
        <f t="array" ref="J170">IF($D170&lt;COLUMNS($F$7:J$7),"",INDEX(TableDiv[[GASB]:[GASB]],_xlfn.AGGREGATE(15,3,(TableDiv[[Agency]:[Agency]]=$E170)/(TableDiv[[Agency]:[Agency]]=$E170)*(ROW(TableDiv[Agency])-ROW(TableDiv[[#Headers],[Agency]])),COLUMNS($F$7:J$7))))</f>
        <v/>
      </c>
      <c r="K170" s="2223" t="str" cm="1">
        <f t="array" ref="K170">IF($D170&lt;COLUMNS($F$7:K$7),"",INDEX(TableDiv[[GASB]:[GASB]],_xlfn.AGGREGATE(15,3,(TableDiv[[Agency]:[Agency]]=$E170)/(TableDiv[[Agency]:[Agency]]=$E170)*(ROW(TableDiv[Agency])-ROW(TableDiv[[#Headers],[Agency]])),COLUMNS($F$7:K$7))))</f>
        <v/>
      </c>
      <c r="L170" s="2223" t="str" cm="1">
        <f t="array" ref="L170">IF($D170&lt;COLUMNS($F$7:L$7),"",INDEX(TableDiv[[GASB]:[GASB]],_xlfn.AGGREGATE(15,3,(TableDiv[[Agency]:[Agency]]=$E170)/(TableDiv[[Agency]:[Agency]]=$E170)*(ROW(TableDiv[Agency])-ROW(TableDiv[[#Headers],[Agency]])),COLUMNS($F$7:L$7))))</f>
        <v/>
      </c>
      <c r="M170" s="2223" t="str" cm="1">
        <f t="array" ref="M170">IF($D170&lt;COLUMNS($F$7:M$7),"",INDEX(TableDiv[[GASB]:[GASB]],_xlfn.AGGREGATE(15,3,(TableDiv[[Agency]:[Agency]]=$E170)/(TableDiv[[Agency]:[Agency]]=$E170)*(ROW(TableDiv[Agency])-ROW(TableDiv[[#Headers],[Agency]])),COLUMNS($F$7:M$7))))</f>
        <v/>
      </c>
      <c r="N170" s="2223" t="str" cm="1">
        <f t="array" ref="N170">IF($D170&lt;COLUMNS($F$7:N$7),"",INDEX(TableDiv[[GASB]:[GASB]],_xlfn.AGGREGATE(15,3,(TableDiv[[Agency]:[Agency]]=$E170)/(TableDiv[[Agency]:[Agency]]=$E170)*(ROW(TableDiv[Agency])-ROW(TableDiv[[#Headers],[Agency]])),COLUMNS($F$7:N$7))))</f>
        <v/>
      </c>
      <c r="O170" s="2223" t="str" cm="1">
        <f t="array" ref="O170">IF($D170&lt;COLUMNS($F$7:O$7),"",INDEX(TableDiv[[GASB]:[GASB]],_xlfn.AGGREGATE(15,3,(TableDiv[[Agency]:[Agency]]=$E170)/(TableDiv[[Agency]:[Agency]]=$E170)*(ROW(TableDiv[Agency])-ROW(TableDiv[[#Headers],[Agency]])),COLUMNS($F$7:O$7))))</f>
        <v/>
      </c>
      <c r="P170" s="2223" t="str" cm="1">
        <f t="array" ref="P170">IF($D170&lt;COLUMNS($F$7:P$7),"",INDEX(TableDiv[[GASB]:[GASB]],_xlfn.AGGREGATE(15,3,(TableDiv[[Agency]:[Agency]]=$E170)/(TableDiv[[Agency]:[Agency]]=$E170)*(ROW(TableDiv[Agency])-ROW(TableDiv[[#Headers],[Agency]])),COLUMNS($F$7:P$7))))</f>
        <v/>
      </c>
      <c r="Q170" s="2223" t="str" cm="1">
        <f t="array" ref="Q170">IF($D170&lt;COLUMNS($F$7:Q$7),"",INDEX(TableDiv[[GASB]:[GASB]],_xlfn.AGGREGATE(15,3,(TableDiv[[Agency]:[Agency]]=$E170)/(TableDiv[[Agency]:[Agency]]=$E170)*(ROW(TableDiv[Agency])-ROW(TableDiv[[#Headers],[Agency]])),COLUMNS($F$7:Q$7))))</f>
        <v/>
      </c>
      <c r="R170" s="2223" t="str" cm="1">
        <f t="array" ref="R170">IF($D170&lt;COLUMNS($F$7:R$7),"",INDEX(TableDiv[[GASB]:[GASB]],_xlfn.AGGREGATE(15,3,(TableDiv[[Agency]:[Agency]]=$E170)/(TableDiv[[Agency]:[Agency]]=$E170)*(ROW(TableDiv[Agency])-ROW(TableDiv[[#Headers],[Agency]])),COLUMNS($F$7:R$7))))</f>
        <v/>
      </c>
      <c r="S170" s="2223" t="str" cm="1">
        <f t="array" ref="S170">IF($D170&lt;COLUMNS($F$7:S$7),"",INDEX(TableDiv[[GASB]:[GASB]],_xlfn.AGGREGATE(15,3,(TableDiv[[Agency]:[Agency]]=$E170)/(TableDiv[[Agency]:[Agency]]=$E170)*(ROW(TableDiv[Agency])-ROW(TableDiv[[#Headers],[Agency]])),COLUMNS($F$7:S$7))))</f>
        <v/>
      </c>
      <c r="T170" s="2223" t="str" cm="1">
        <f t="array" ref="T170">IF($D170&lt;COLUMNS($F$7:T$7),"",INDEX(TableDiv[[GASB]:[GASB]],_xlfn.AGGREGATE(15,3,(TableDiv[[Agency]:[Agency]]=$E170)/(TableDiv[[Agency]:[Agency]]=$E170)*(ROW(TableDiv[Agency])-ROW(TableDiv[[#Headers],[Agency]])),COLUMNS($F$7:T$7))))</f>
        <v/>
      </c>
      <c r="U170" s="2223" t="str" cm="1">
        <f t="array" ref="U170">IF($D170&lt;COLUMNS($F$7:U$7),"",INDEX(TableDiv[[GASB]:[GASB]],_xlfn.AGGREGATE(15,3,(TableDiv[[Agency]:[Agency]]=$E170)/(TableDiv[[Agency]:[Agency]]=$E170)*(ROW(TableDiv[Agency])-ROW(TableDiv[[#Headers],[Agency]])),COLUMNS($F$7:U$7))))</f>
        <v/>
      </c>
      <c r="V170" s="2223" t="str" cm="1">
        <f t="array" ref="V170">IF($D170&lt;COLUMNS($F$7:V$7),"",INDEX(TableDiv[[GASB]:[GASB]],_xlfn.AGGREGATE(15,3,(TableDiv[[Agency]:[Agency]]=$E170)/(TableDiv[[Agency]:[Agency]]=$E170)*(ROW(TableDiv[Agency])-ROW(TableDiv[[#Headers],[Agency]])),COLUMNS($F$7:V$7))))</f>
        <v/>
      </c>
      <c r="W170" s="2223" t="str" cm="1">
        <f t="array" ref="W170">IF($D170&lt;COLUMNS($F$7:W$7),"",INDEX(TableDiv[[GASB]:[GASB]],_xlfn.AGGREGATE(15,3,(TableDiv[[Agency]:[Agency]]=$E170)/(TableDiv[[Agency]:[Agency]]=$E170)*(ROW(TableDiv[Agency])-ROW(TableDiv[[#Headers],[Agency]])),COLUMNS($F$7:W$7))))</f>
        <v/>
      </c>
      <c r="X170" s="2223" t="str" cm="1">
        <f t="array" ref="X170">IF($D170&lt;COLUMNS($F$7:X$7),"",INDEX(TableDiv[[GASB]:[GASB]],_xlfn.AGGREGATE(15,3,(TableDiv[[Agency]:[Agency]]=$E170)/(TableDiv[[Agency]:[Agency]]=$E170)*(ROW(TableDiv[Agency])-ROW(TableDiv[[#Headers],[Agency]])),COLUMNS($F$7:X$7))))</f>
        <v/>
      </c>
      <c r="Y170" s="2223" t="str" cm="1">
        <f t="array" ref="Y170">IF($D170&lt;COLUMNS($F$7:Y$7),"",INDEX(TableDiv[[GASB]:[GASB]],_xlfn.AGGREGATE(15,3,(TableDiv[[Agency]:[Agency]]=$E170)/(TableDiv[[Agency]:[Agency]]=$E170)*(ROW(TableDiv[Agency])-ROW(TableDiv[[#Headers],[Agency]])),COLUMNS($F$7:Y$7))))</f>
        <v/>
      </c>
      <c r="Z170" s="2223" t="str" cm="1">
        <f t="array" ref="Z170">IF($D170&lt;COLUMNS($F$7:Z$7),"",INDEX(TableDiv[[GASB]:[GASB]],_xlfn.AGGREGATE(15,3,(TableDiv[[Agency]:[Agency]]=$E170)/(TableDiv[[Agency]:[Agency]]=$E170)*(ROW(TableDiv[Agency])-ROW(TableDiv[[#Headers],[Agency]])),COLUMNS($F$7:Z$7))))</f>
        <v/>
      </c>
      <c r="AA170" s="2223" t="str" cm="1">
        <f t="array" ref="AA170">IF($D170&lt;COLUMNS($F$7:AA$7),"",INDEX(TableDiv[[GASB]:[GASB]],_xlfn.AGGREGATE(15,3,(TableDiv[[Agency]:[Agency]]=$E170)/(TableDiv[[Agency]:[Agency]]=$E170)*(ROW(TableDiv[Agency])-ROW(TableDiv[[#Headers],[Agency]])),COLUMNS($F$7:AA$7))))</f>
        <v/>
      </c>
      <c r="AB170" s="2223" t="str" cm="1">
        <f t="array" ref="AB170">IF($D170&lt;COLUMNS($F$7:AB$7),"",INDEX(TableDiv[[GASB]:[GASB]],_xlfn.AGGREGATE(15,3,(TableDiv[[Agency]:[Agency]]=$E170)/(TableDiv[[Agency]:[Agency]]=$E170)*(ROW(TableDiv[Agency])-ROW(TableDiv[[#Headers],[Agency]])),COLUMNS($F$7:AB$7))))</f>
        <v/>
      </c>
      <c r="AC170" s="2223" t="str" cm="1">
        <f t="array" ref="AC170">IF($D170&lt;COLUMNS($F$7:AC$7),"",INDEX(TableDiv[[GASB]:[GASB]],_xlfn.AGGREGATE(15,3,(TableDiv[[Agency]:[Agency]]=$E170)/(TableDiv[[Agency]:[Agency]]=$E170)*(ROW(TableDiv[Agency])-ROW(TableDiv[[#Headers],[Agency]])),COLUMNS($F$7:AC$7))))</f>
        <v/>
      </c>
      <c r="AD170" s="2223" t="str" cm="1">
        <f t="array" ref="AD170">IF($D170&lt;COLUMNS($F$7:AD$7),"",INDEX(TableDiv[[GASB]:[GASB]],_xlfn.AGGREGATE(15,3,(TableDiv[[Agency]:[Agency]]=$E170)/(TableDiv[[Agency]:[Agency]]=$E170)*(ROW(TableDiv[Agency])-ROW(TableDiv[[#Headers],[Agency]])),COLUMNS($F$7:AD$7))))</f>
        <v/>
      </c>
      <c r="AE170" s="2223" t="str" cm="1">
        <f t="array" ref="AE170">IF($D170&lt;COLUMNS($F$7:AE$7),"",INDEX(TableDiv[[GASB]:[GASB]],_xlfn.AGGREGATE(15,3,(TableDiv[[Agency]:[Agency]]=$E170)/(TableDiv[[Agency]:[Agency]]=$E170)*(ROW(TableDiv[Agency])-ROW(TableDiv[[#Headers],[Agency]])),COLUMNS($F$7:AE$7))))</f>
        <v/>
      </c>
      <c r="AF170" s="2223" t="str" cm="1">
        <f t="array" ref="AF170">IF($D170&lt;COLUMNS($F$7:AF$7),"",INDEX(TableDiv[[GASB]:[GASB]],_xlfn.AGGREGATE(15,3,(TableDiv[[Agency]:[Agency]]=$E170)/(TableDiv[[Agency]:[Agency]]=$E170)*(ROW(TableDiv[Agency])-ROW(TableDiv[[#Headers],[Agency]])),COLUMNS($F$7:AF$7))))</f>
        <v/>
      </c>
      <c r="AG170" s="2223" t="str" cm="1">
        <f t="array" ref="AG170">IF($D170&lt;COLUMNS($F$7:AG$7),"",INDEX(TableDiv[[GASB]:[GASB]],_xlfn.AGGREGATE(15,3,(TableDiv[[Agency]:[Agency]]=$E170)/(TableDiv[[Agency]:[Agency]]=$E170)*(ROW(TableDiv[Agency])-ROW(TableDiv[[#Headers],[Agency]])),COLUMNS($F$7:AG$7))))</f>
        <v/>
      </c>
      <c r="AH170" s="2223" t="str" cm="1">
        <f t="array" ref="AH170">IF($D170&lt;COLUMNS($F$7:AH$7),"",INDEX(TableDiv[[GASB]:[GASB]],_xlfn.AGGREGATE(15,3,(TableDiv[[Agency]:[Agency]]=$E170)/(TableDiv[[Agency]:[Agency]]=$E170)*(ROW(TableDiv[Agency])-ROW(TableDiv[[#Headers],[Agency]])),COLUMNS($F$7:AH$7))))</f>
        <v/>
      </c>
      <c r="AI170" s="2223" t="str" cm="1">
        <f t="array" ref="AI170">IF($D170&lt;COLUMNS($F$7:AI$7),"",INDEX(TableDiv[[GASB]:[GASB]],_xlfn.AGGREGATE(15,3,(TableDiv[[Agency]:[Agency]]=$E170)/(TableDiv[[Agency]:[Agency]]=$E170)*(ROW(TableDiv[Agency])-ROW(TableDiv[[#Headers],[Agency]])),COLUMNS($F$7:AI$7))))</f>
        <v/>
      </c>
      <c r="AJ170" s="2223" t="str" cm="1">
        <f t="array" ref="AJ170">IF($D170&lt;COLUMNS($F$7:AJ$7),"",INDEX(TableDiv[[GASB]:[GASB]],_xlfn.AGGREGATE(15,3,(TableDiv[[Agency]:[Agency]]=$E170)/(TableDiv[[Agency]:[Agency]]=$E170)*(ROW(TableDiv[Agency])-ROW(TableDiv[[#Headers],[Agency]])),COLUMNS($F$7:AJ$7))))</f>
        <v/>
      </c>
      <c r="AK170" s="2223" t="str" cm="1">
        <f t="array" ref="AK170">IF($D170&lt;COLUMNS($F$7:AK$7),"",INDEX(TableDiv[[GASB]:[GASB]],_xlfn.AGGREGATE(15,3,(TableDiv[[Agency]:[Agency]]=$E170)/(TableDiv[[Agency]:[Agency]]=$E170)*(ROW(TableDiv[Agency])-ROW(TableDiv[[#Headers],[Agency]])),COLUMNS($F$7:AK$7))))</f>
        <v/>
      </c>
      <c r="AL170" s="2223" t="str" cm="1">
        <f t="array" ref="AL170">IF($D170&lt;COLUMNS($F$7:AL$7),"",INDEX(TableDiv[[GASB]:[GASB]],_xlfn.AGGREGATE(15,3,(TableDiv[[Agency]:[Agency]]=$E170)/(TableDiv[[Agency]:[Agency]]=$E170)*(ROW(TableDiv[Agency])-ROW(TableDiv[[#Headers],[Agency]])),COLUMNS($F$7:AL$7))))</f>
        <v/>
      </c>
      <c r="AM170" s="2223" t="str" cm="1">
        <f t="array" ref="AM170">IF($D170&lt;COLUMNS($F$7:AM$7),"",INDEX(TableDiv[[GASB]:[GASB]],_xlfn.AGGREGATE(15,3,(TableDiv[[Agency]:[Agency]]=$E170)/(TableDiv[[Agency]:[Agency]]=$E170)*(ROW(TableDiv[Agency])-ROW(TableDiv[[#Headers],[Agency]])),COLUMNS($F$7:AM$7))))</f>
        <v/>
      </c>
      <c r="AN170" s="2223"/>
      <c r="AO170" s="2223"/>
      <c r="AP170" s="2223"/>
      <c r="AQ170" s="2223"/>
      <c r="AR170" s="2223"/>
      <c r="AS170" s="2223"/>
    </row>
    <row r="171" spans="1:45" ht="15" x14ac:dyDescent="0.25">
      <c r="A171" s="2219" t="s">
        <v>6440</v>
      </c>
      <c r="B171" s="2219" t="s">
        <v>6365</v>
      </c>
      <c r="C171" s="2223"/>
      <c r="D171" s="2223">
        <f>COUNTIF(TableDiv[Agency],E171)</f>
        <v>1</v>
      </c>
      <c r="E171" s="2230" t="str" cm="1">
        <f t="array" ref="E171">IFERROR(INDEX(TableDiv[Agency],MATCH(0,INDEX(COUNTIF($E$7:E170,TableDiv[Agency]),),0)),"")</f>
        <v>D0</v>
      </c>
      <c r="F171" s="2223" t="str" cm="1">
        <f t="array" ref="F171">IF($D171&lt;COLUMNS($F$7:F$7),"",INDEX(TableDiv[[GASB]:[GASB]],_xlfn.AGGREGATE(15,3,(TableDiv[[Agency]:[Agency]]=$E171)/(TableDiv[[Agency]:[Agency]]=$E171)*(ROW(TableDiv[Agency])-ROW(TableDiv[[#Headers],[Agency]])),COLUMNS($F$7:F$7))))</f>
        <v>48100G</v>
      </c>
      <c r="G171" s="2223" t="str" cm="1">
        <f t="array" ref="G171">IF($D171&lt;COLUMNS($F$7:G$7),"",INDEX(TableDiv[[GASB]:[GASB]],_xlfn.AGGREGATE(15,3,(TableDiv[[Agency]:[Agency]]=$E171)/(TableDiv[[Agency]:[Agency]]=$E171)*(ROW(TableDiv[Agency])-ROW(TableDiv[[#Headers],[Agency]])),COLUMNS($F$7:G$7))))</f>
        <v/>
      </c>
      <c r="H171" s="2223" t="str" cm="1">
        <f t="array" ref="H171">IF($D171&lt;COLUMNS($F$7:H$7),"",INDEX(TableDiv[[GASB]:[GASB]],_xlfn.AGGREGATE(15,3,(TableDiv[[Agency]:[Agency]]=$E171)/(TableDiv[[Agency]:[Agency]]=$E171)*(ROW(TableDiv[Agency])-ROW(TableDiv[[#Headers],[Agency]])),COLUMNS($F$7:H$7))))</f>
        <v/>
      </c>
      <c r="I171" s="2223" t="str" cm="1">
        <f t="array" ref="I171">IF($D171&lt;COLUMNS($F$7:I$7),"",INDEX(TableDiv[[GASB]:[GASB]],_xlfn.AGGREGATE(15,3,(TableDiv[[Agency]:[Agency]]=$E171)/(TableDiv[[Agency]:[Agency]]=$E171)*(ROW(TableDiv[Agency])-ROW(TableDiv[[#Headers],[Agency]])),COLUMNS($F$7:I$7))))</f>
        <v/>
      </c>
      <c r="J171" s="2223" t="str" cm="1">
        <f t="array" ref="J171">IF($D171&lt;COLUMNS($F$7:J$7),"",INDEX(TableDiv[[GASB]:[GASB]],_xlfn.AGGREGATE(15,3,(TableDiv[[Agency]:[Agency]]=$E171)/(TableDiv[[Agency]:[Agency]]=$E171)*(ROW(TableDiv[Agency])-ROW(TableDiv[[#Headers],[Agency]])),COLUMNS($F$7:J$7))))</f>
        <v/>
      </c>
      <c r="K171" s="2223" t="str" cm="1">
        <f t="array" ref="K171">IF($D171&lt;COLUMNS($F$7:K$7),"",INDEX(TableDiv[[GASB]:[GASB]],_xlfn.AGGREGATE(15,3,(TableDiv[[Agency]:[Agency]]=$E171)/(TableDiv[[Agency]:[Agency]]=$E171)*(ROW(TableDiv[Agency])-ROW(TableDiv[[#Headers],[Agency]])),COLUMNS($F$7:K$7))))</f>
        <v/>
      </c>
      <c r="L171" s="2223" t="str" cm="1">
        <f t="array" ref="L171">IF($D171&lt;COLUMNS($F$7:L$7),"",INDEX(TableDiv[[GASB]:[GASB]],_xlfn.AGGREGATE(15,3,(TableDiv[[Agency]:[Agency]]=$E171)/(TableDiv[[Agency]:[Agency]]=$E171)*(ROW(TableDiv[Agency])-ROW(TableDiv[[#Headers],[Agency]])),COLUMNS($F$7:L$7))))</f>
        <v/>
      </c>
      <c r="M171" s="2223" t="str" cm="1">
        <f t="array" ref="M171">IF($D171&lt;COLUMNS($F$7:M$7),"",INDEX(TableDiv[[GASB]:[GASB]],_xlfn.AGGREGATE(15,3,(TableDiv[[Agency]:[Agency]]=$E171)/(TableDiv[[Agency]:[Agency]]=$E171)*(ROW(TableDiv[Agency])-ROW(TableDiv[[#Headers],[Agency]])),COLUMNS($F$7:M$7))))</f>
        <v/>
      </c>
      <c r="N171" s="2223" t="str" cm="1">
        <f t="array" ref="N171">IF($D171&lt;COLUMNS($F$7:N$7),"",INDEX(TableDiv[[GASB]:[GASB]],_xlfn.AGGREGATE(15,3,(TableDiv[[Agency]:[Agency]]=$E171)/(TableDiv[[Agency]:[Agency]]=$E171)*(ROW(TableDiv[Agency])-ROW(TableDiv[[#Headers],[Agency]])),COLUMNS($F$7:N$7))))</f>
        <v/>
      </c>
      <c r="O171" s="2223" t="str" cm="1">
        <f t="array" ref="O171">IF($D171&lt;COLUMNS($F$7:O$7),"",INDEX(TableDiv[[GASB]:[GASB]],_xlfn.AGGREGATE(15,3,(TableDiv[[Agency]:[Agency]]=$E171)/(TableDiv[[Agency]:[Agency]]=$E171)*(ROW(TableDiv[Agency])-ROW(TableDiv[[#Headers],[Agency]])),COLUMNS($F$7:O$7))))</f>
        <v/>
      </c>
      <c r="P171" s="2223" t="str" cm="1">
        <f t="array" ref="P171">IF($D171&lt;COLUMNS($F$7:P$7),"",INDEX(TableDiv[[GASB]:[GASB]],_xlfn.AGGREGATE(15,3,(TableDiv[[Agency]:[Agency]]=$E171)/(TableDiv[[Agency]:[Agency]]=$E171)*(ROW(TableDiv[Agency])-ROW(TableDiv[[#Headers],[Agency]])),COLUMNS($F$7:P$7))))</f>
        <v/>
      </c>
      <c r="Q171" s="2223" t="str" cm="1">
        <f t="array" ref="Q171">IF($D171&lt;COLUMNS($F$7:Q$7),"",INDEX(TableDiv[[GASB]:[GASB]],_xlfn.AGGREGATE(15,3,(TableDiv[[Agency]:[Agency]]=$E171)/(TableDiv[[Agency]:[Agency]]=$E171)*(ROW(TableDiv[Agency])-ROW(TableDiv[[#Headers],[Agency]])),COLUMNS($F$7:Q$7))))</f>
        <v/>
      </c>
      <c r="R171" s="2223" t="str" cm="1">
        <f t="array" ref="R171">IF($D171&lt;COLUMNS($F$7:R$7),"",INDEX(TableDiv[[GASB]:[GASB]],_xlfn.AGGREGATE(15,3,(TableDiv[[Agency]:[Agency]]=$E171)/(TableDiv[[Agency]:[Agency]]=$E171)*(ROW(TableDiv[Agency])-ROW(TableDiv[[#Headers],[Agency]])),COLUMNS($F$7:R$7))))</f>
        <v/>
      </c>
      <c r="S171" s="2223" t="str" cm="1">
        <f t="array" ref="S171">IF($D171&lt;COLUMNS($F$7:S$7),"",INDEX(TableDiv[[GASB]:[GASB]],_xlfn.AGGREGATE(15,3,(TableDiv[[Agency]:[Agency]]=$E171)/(TableDiv[[Agency]:[Agency]]=$E171)*(ROW(TableDiv[Agency])-ROW(TableDiv[[#Headers],[Agency]])),COLUMNS($F$7:S$7))))</f>
        <v/>
      </c>
      <c r="T171" s="2223" t="str" cm="1">
        <f t="array" ref="T171">IF($D171&lt;COLUMNS($F$7:T$7),"",INDEX(TableDiv[[GASB]:[GASB]],_xlfn.AGGREGATE(15,3,(TableDiv[[Agency]:[Agency]]=$E171)/(TableDiv[[Agency]:[Agency]]=$E171)*(ROW(TableDiv[Agency])-ROW(TableDiv[[#Headers],[Agency]])),COLUMNS($F$7:T$7))))</f>
        <v/>
      </c>
      <c r="U171" s="2223" t="str" cm="1">
        <f t="array" ref="U171">IF($D171&lt;COLUMNS($F$7:U$7),"",INDEX(TableDiv[[GASB]:[GASB]],_xlfn.AGGREGATE(15,3,(TableDiv[[Agency]:[Agency]]=$E171)/(TableDiv[[Agency]:[Agency]]=$E171)*(ROW(TableDiv[Agency])-ROW(TableDiv[[#Headers],[Agency]])),COLUMNS($F$7:U$7))))</f>
        <v/>
      </c>
      <c r="V171" s="2223" t="str" cm="1">
        <f t="array" ref="V171">IF($D171&lt;COLUMNS($F$7:V$7),"",INDEX(TableDiv[[GASB]:[GASB]],_xlfn.AGGREGATE(15,3,(TableDiv[[Agency]:[Agency]]=$E171)/(TableDiv[[Agency]:[Agency]]=$E171)*(ROW(TableDiv[Agency])-ROW(TableDiv[[#Headers],[Agency]])),COLUMNS($F$7:V$7))))</f>
        <v/>
      </c>
      <c r="W171" s="2223" t="str" cm="1">
        <f t="array" ref="W171">IF($D171&lt;COLUMNS($F$7:W$7),"",INDEX(TableDiv[[GASB]:[GASB]],_xlfn.AGGREGATE(15,3,(TableDiv[[Agency]:[Agency]]=$E171)/(TableDiv[[Agency]:[Agency]]=$E171)*(ROW(TableDiv[Agency])-ROW(TableDiv[[#Headers],[Agency]])),COLUMNS($F$7:W$7))))</f>
        <v/>
      </c>
      <c r="X171" s="2223" t="str" cm="1">
        <f t="array" ref="X171">IF($D171&lt;COLUMNS($F$7:X$7),"",INDEX(TableDiv[[GASB]:[GASB]],_xlfn.AGGREGATE(15,3,(TableDiv[[Agency]:[Agency]]=$E171)/(TableDiv[[Agency]:[Agency]]=$E171)*(ROW(TableDiv[Agency])-ROW(TableDiv[[#Headers],[Agency]])),COLUMNS($F$7:X$7))))</f>
        <v/>
      </c>
      <c r="Y171" s="2223" t="str" cm="1">
        <f t="array" ref="Y171">IF($D171&lt;COLUMNS($F$7:Y$7),"",INDEX(TableDiv[[GASB]:[GASB]],_xlfn.AGGREGATE(15,3,(TableDiv[[Agency]:[Agency]]=$E171)/(TableDiv[[Agency]:[Agency]]=$E171)*(ROW(TableDiv[Agency])-ROW(TableDiv[[#Headers],[Agency]])),COLUMNS($F$7:Y$7))))</f>
        <v/>
      </c>
      <c r="Z171" s="2223" t="str" cm="1">
        <f t="array" ref="Z171">IF($D171&lt;COLUMNS($F$7:Z$7),"",INDEX(TableDiv[[GASB]:[GASB]],_xlfn.AGGREGATE(15,3,(TableDiv[[Agency]:[Agency]]=$E171)/(TableDiv[[Agency]:[Agency]]=$E171)*(ROW(TableDiv[Agency])-ROW(TableDiv[[#Headers],[Agency]])),COLUMNS($F$7:Z$7))))</f>
        <v/>
      </c>
      <c r="AA171" s="2223" t="str" cm="1">
        <f t="array" ref="AA171">IF($D171&lt;COLUMNS($F$7:AA$7),"",INDEX(TableDiv[[GASB]:[GASB]],_xlfn.AGGREGATE(15,3,(TableDiv[[Agency]:[Agency]]=$E171)/(TableDiv[[Agency]:[Agency]]=$E171)*(ROW(TableDiv[Agency])-ROW(TableDiv[[#Headers],[Agency]])),COLUMNS($F$7:AA$7))))</f>
        <v/>
      </c>
      <c r="AB171" s="2223" t="str" cm="1">
        <f t="array" ref="AB171">IF($D171&lt;COLUMNS($F$7:AB$7),"",INDEX(TableDiv[[GASB]:[GASB]],_xlfn.AGGREGATE(15,3,(TableDiv[[Agency]:[Agency]]=$E171)/(TableDiv[[Agency]:[Agency]]=$E171)*(ROW(TableDiv[Agency])-ROW(TableDiv[[#Headers],[Agency]])),COLUMNS($F$7:AB$7))))</f>
        <v/>
      </c>
      <c r="AC171" s="2223" t="str" cm="1">
        <f t="array" ref="AC171">IF($D171&lt;COLUMNS($F$7:AC$7),"",INDEX(TableDiv[[GASB]:[GASB]],_xlfn.AGGREGATE(15,3,(TableDiv[[Agency]:[Agency]]=$E171)/(TableDiv[[Agency]:[Agency]]=$E171)*(ROW(TableDiv[Agency])-ROW(TableDiv[[#Headers],[Agency]])),COLUMNS($F$7:AC$7))))</f>
        <v/>
      </c>
      <c r="AD171" s="2223" t="str" cm="1">
        <f t="array" ref="AD171">IF($D171&lt;COLUMNS($F$7:AD$7),"",INDEX(TableDiv[[GASB]:[GASB]],_xlfn.AGGREGATE(15,3,(TableDiv[[Agency]:[Agency]]=$E171)/(TableDiv[[Agency]:[Agency]]=$E171)*(ROW(TableDiv[Agency])-ROW(TableDiv[[#Headers],[Agency]])),COLUMNS($F$7:AD$7))))</f>
        <v/>
      </c>
      <c r="AE171" s="2223" t="str" cm="1">
        <f t="array" ref="AE171">IF($D171&lt;COLUMNS($F$7:AE$7),"",INDEX(TableDiv[[GASB]:[GASB]],_xlfn.AGGREGATE(15,3,(TableDiv[[Agency]:[Agency]]=$E171)/(TableDiv[[Agency]:[Agency]]=$E171)*(ROW(TableDiv[Agency])-ROW(TableDiv[[#Headers],[Agency]])),COLUMNS($F$7:AE$7))))</f>
        <v/>
      </c>
      <c r="AF171" s="2223" t="str" cm="1">
        <f t="array" ref="AF171">IF($D171&lt;COLUMNS($F$7:AF$7),"",INDEX(TableDiv[[GASB]:[GASB]],_xlfn.AGGREGATE(15,3,(TableDiv[[Agency]:[Agency]]=$E171)/(TableDiv[[Agency]:[Agency]]=$E171)*(ROW(TableDiv[Agency])-ROW(TableDiv[[#Headers],[Agency]])),COLUMNS($F$7:AF$7))))</f>
        <v/>
      </c>
      <c r="AG171" s="2223" t="str" cm="1">
        <f t="array" ref="AG171">IF($D171&lt;COLUMNS($F$7:AG$7),"",INDEX(TableDiv[[GASB]:[GASB]],_xlfn.AGGREGATE(15,3,(TableDiv[[Agency]:[Agency]]=$E171)/(TableDiv[[Agency]:[Agency]]=$E171)*(ROW(TableDiv[Agency])-ROW(TableDiv[[#Headers],[Agency]])),COLUMNS($F$7:AG$7))))</f>
        <v/>
      </c>
      <c r="AH171" s="2223" t="str" cm="1">
        <f t="array" ref="AH171">IF($D171&lt;COLUMNS($F$7:AH$7),"",INDEX(TableDiv[[GASB]:[GASB]],_xlfn.AGGREGATE(15,3,(TableDiv[[Agency]:[Agency]]=$E171)/(TableDiv[[Agency]:[Agency]]=$E171)*(ROW(TableDiv[Agency])-ROW(TableDiv[[#Headers],[Agency]])),COLUMNS($F$7:AH$7))))</f>
        <v/>
      </c>
      <c r="AI171" s="2223" t="str" cm="1">
        <f t="array" ref="AI171">IF($D171&lt;COLUMNS($F$7:AI$7),"",INDEX(TableDiv[[GASB]:[GASB]],_xlfn.AGGREGATE(15,3,(TableDiv[[Agency]:[Agency]]=$E171)/(TableDiv[[Agency]:[Agency]]=$E171)*(ROW(TableDiv[Agency])-ROW(TableDiv[[#Headers],[Agency]])),COLUMNS($F$7:AI$7))))</f>
        <v/>
      </c>
      <c r="AJ171" s="2223" t="str" cm="1">
        <f t="array" ref="AJ171">IF($D171&lt;COLUMNS($F$7:AJ$7),"",INDEX(TableDiv[[GASB]:[GASB]],_xlfn.AGGREGATE(15,3,(TableDiv[[Agency]:[Agency]]=$E171)/(TableDiv[[Agency]:[Agency]]=$E171)*(ROW(TableDiv[Agency])-ROW(TableDiv[[#Headers],[Agency]])),COLUMNS($F$7:AJ$7))))</f>
        <v/>
      </c>
      <c r="AK171" s="2223" t="str" cm="1">
        <f t="array" ref="AK171">IF($D171&lt;COLUMNS($F$7:AK$7),"",INDEX(TableDiv[[GASB]:[GASB]],_xlfn.AGGREGATE(15,3,(TableDiv[[Agency]:[Agency]]=$E171)/(TableDiv[[Agency]:[Agency]]=$E171)*(ROW(TableDiv[Agency])-ROW(TableDiv[[#Headers],[Agency]])),COLUMNS($F$7:AK$7))))</f>
        <v/>
      </c>
      <c r="AL171" s="2223" t="str" cm="1">
        <f t="array" ref="AL171">IF($D171&lt;COLUMNS($F$7:AL$7),"",INDEX(TableDiv[[GASB]:[GASB]],_xlfn.AGGREGATE(15,3,(TableDiv[[Agency]:[Agency]]=$E171)/(TableDiv[[Agency]:[Agency]]=$E171)*(ROW(TableDiv[Agency])-ROW(TableDiv[[#Headers],[Agency]])),COLUMNS($F$7:AL$7))))</f>
        <v/>
      </c>
      <c r="AM171" s="2223" t="str" cm="1">
        <f t="array" ref="AM171">IF($D171&lt;COLUMNS($F$7:AM$7),"",INDEX(TableDiv[[GASB]:[GASB]],_xlfn.AGGREGATE(15,3,(TableDiv[[Agency]:[Agency]]=$E171)/(TableDiv[[Agency]:[Agency]]=$E171)*(ROW(TableDiv[Agency])-ROW(TableDiv[[#Headers],[Agency]])),COLUMNS($F$7:AM$7))))</f>
        <v/>
      </c>
      <c r="AN171" s="2223"/>
      <c r="AO171" s="2223"/>
      <c r="AP171" s="2223"/>
      <c r="AQ171" s="2223"/>
      <c r="AR171" s="2223"/>
      <c r="AS171" s="2223"/>
    </row>
    <row r="172" spans="1:45" ht="15" x14ac:dyDescent="0.25">
      <c r="A172" s="2219" t="s">
        <v>6440</v>
      </c>
      <c r="B172" s="2219" t="s">
        <v>6372</v>
      </c>
      <c r="C172" s="2223"/>
      <c r="D172" s="2223">
        <f>COUNTIF(TableDiv[Agency],E172)</f>
        <v>1</v>
      </c>
      <c r="E172" s="2230" t="str" cm="1">
        <f t="array" ref="E172">IFERROR(INDEX(TableDiv[Agency],MATCH(0,INDEX(COUNTIF($E$7:E171,TableDiv[Agency]),),0)),"")</f>
        <v>D1</v>
      </c>
      <c r="F172" s="2223" t="str" cm="1">
        <f t="array" ref="F172">IF($D172&lt;COLUMNS($F$7:F$7),"",INDEX(TableDiv[[GASB]:[GASB]],_xlfn.AGGREGATE(15,3,(TableDiv[[Agency]:[Agency]]=$E172)/(TableDiv[[Agency]:[Agency]]=$E172)*(ROW(TableDiv[Agency])-ROW(TableDiv[[#Headers],[Agency]])),COLUMNS($F$7:F$7))))</f>
        <v>48100G</v>
      </c>
      <c r="G172" s="2223" t="str" cm="1">
        <f t="array" ref="G172">IF($D172&lt;COLUMNS($F$7:G$7),"",INDEX(TableDiv[[GASB]:[GASB]],_xlfn.AGGREGATE(15,3,(TableDiv[[Agency]:[Agency]]=$E172)/(TableDiv[[Agency]:[Agency]]=$E172)*(ROW(TableDiv[Agency])-ROW(TableDiv[[#Headers],[Agency]])),COLUMNS($F$7:G$7))))</f>
        <v/>
      </c>
      <c r="H172" s="2223" t="str" cm="1">
        <f t="array" ref="H172">IF($D172&lt;COLUMNS($F$7:H$7),"",INDEX(TableDiv[[GASB]:[GASB]],_xlfn.AGGREGATE(15,3,(TableDiv[[Agency]:[Agency]]=$E172)/(TableDiv[[Agency]:[Agency]]=$E172)*(ROW(TableDiv[Agency])-ROW(TableDiv[[#Headers],[Agency]])),COLUMNS($F$7:H$7))))</f>
        <v/>
      </c>
      <c r="I172" s="2223" t="str" cm="1">
        <f t="array" ref="I172">IF($D172&lt;COLUMNS($F$7:I$7),"",INDEX(TableDiv[[GASB]:[GASB]],_xlfn.AGGREGATE(15,3,(TableDiv[[Agency]:[Agency]]=$E172)/(TableDiv[[Agency]:[Agency]]=$E172)*(ROW(TableDiv[Agency])-ROW(TableDiv[[#Headers],[Agency]])),COLUMNS($F$7:I$7))))</f>
        <v/>
      </c>
      <c r="J172" s="2223" t="str" cm="1">
        <f t="array" ref="J172">IF($D172&lt;COLUMNS($F$7:J$7),"",INDEX(TableDiv[[GASB]:[GASB]],_xlfn.AGGREGATE(15,3,(TableDiv[[Agency]:[Agency]]=$E172)/(TableDiv[[Agency]:[Agency]]=$E172)*(ROW(TableDiv[Agency])-ROW(TableDiv[[#Headers],[Agency]])),COLUMNS($F$7:J$7))))</f>
        <v/>
      </c>
      <c r="K172" s="2223" t="str" cm="1">
        <f t="array" ref="K172">IF($D172&lt;COLUMNS($F$7:K$7),"",INDEX(TableDiv[[GASB]:[GASB]],_xlfn.AGGREGATE(15,3,(TableDiv[[Agency]:[Agency]]=$E172)/(TableDiv[[Agency]:[Agency]]=$E172)*(ROW(TableDiv[Agency])-ROW(TableDiv[[#Headers],[Agency]])),COLUMNS($F$7:K$7))))</f>
        <v/>
      </c>
      <c r="L172" s="2223" t="str" cm="1">
        <f t="array" ref="L172">IF($D172&lt;COLUMNS($F$7:L$7),"",INDEX(TableDiv[[GASB]:[GASB]],_xlfn.AGGREGATE(15,3,(TableDiv[[Agency]:[Agency]]=$E172)/(TableDiv[[Agency]:[Agency]]=$E172)*(ROW(TableDiv[Agency])-ROW(TableDiv[[#Headers],[Agency]])),COLUMNS($F$7:L$7))))</f>
        <v/>
      </c>
      <c r="M172" s="2223" t="str" cm="1">
        <f t="array" ref="M172">IF($D172&lt;COLUMNS($F$7:M$7),"",INDEX(TableDiv[[GASB]:[GASB]],_xlfn.AGGREGATE(15,3,(TableDiv[[Agency]:[Agency]]=$E172)/(TableDiv[[Agency]:[Agency]]=$E172)*(ROW(TableDiv[Agency])-ROW(TableDiv[[#Headers],[Agency]])),COLUMNS($F$7:M$7))))</f>
        <v/>
      </c>
      <c r="N172" s="2223" t="str" cm="1">
        <f t="array" ref="N172">IF($D172&lt;COLUMNS($F$7:N$7),"",INDEX(TableDiv[[GASB]:[GASB]],_xlfn.AGGREGATE(15,3,(TableDiv[[Agency]:[Agency]]=$E172)/(TableDiv[[Agency]:[Agency]]=$E172)*(ROW(TableDiv[Agency])-ROW(TableDiv[[#Headers],[Agency]])),COLUMNS($F$7:N$7))))</f>
        <v/>
      </c>
      <c r="O172" s="2223" t="str" cm="1">
        <f t="array" ref="O172">IF($D172&lt;COLUMNS($F$7:O$7),"",INDEX(TableDiv[[GASB]:[GASB]],_xlfn.AGGREGATE(15,3,(TableDiv[[Agency]:[Agency]]=$E172)/(TableDiv[[Agency]:[Agency]]=$E172)*(ROW(TableDiv[Agency])-ROW(TableDiv[[#Headers],[Agency]])),COLUMNS($F$7:O$7))))</f>
        <v/>
      </c>
      <c r="P172" s="2223" t="str" cm="1">
        <f t="array" ref="P172">IF($D172&lt;COLUMNS($F$7:P$7),"",INDEX(TableDiv[[GASB]:[GASB]],_xlfn.AGGREGATE(15,3,(TableDiv[[Agency]:[Agency]]=$E172)/(TableDiv[[Agency]:[Agency]]=$E172)*(ROW(TableDiv[Agency])-ROW(TableDiv[[#Headers],[Agency]])),COLUMNS($F$7:P$7))))</f>
        <v/>
      </c>
      <c r="Q172" s="2223" t="str" cm="1">
        <f t="array" ref="Q172">IF($D172&lt;COLUMNS($F$7:Q$7),"",INDEX(TableDiv[[GASB]:[GASB]],_xlfn.AGGREGATE(15,3,(TableDiv[[Agency]:[Agency]]=$E172)/(TableDiv[[Agency]:[Agency]]=$E172)*(ROW(TableDiv[Agency])-ROW(TableDiv[[#Headers],[Agency]])),COLUMNS($F$7:Q$7))))</f>
        <v/>
      </c>
      <c r="R172" s="2223" t="str" cm="1">
        <f t="array" ref="R172">IF($D172&lt;COLUMNS($F$7:R$7),"",INDEX(TableDiv[[GASB]:[GASB]],_xlfn.AGGREGATE(15,3,(TableDiv[[Agency]:[Agency]]=$E172)/(TableDiv[[Agency]:[Agency]]=$E172)*(ROW(TableDiv[Agency])-ROW(TableDiv[[#Headers],[Agency]])),COLUMNS($F$7:R$7))))</f>
        <v/>
      </c>
      <c r="S172" s="2223" t="str" cm="1">
        <f t="array" ref="S172">IF($D172&lt;COLUMNS($F$7:S$7),"",INDEX(TableDiv[[GASB]:[GASB]],_xlfn.AGGREGATE(15,3,(TableDiv[[Agency]:[Agency]]=$E172)/(TableDiv[[Agency]:[Agency]]=$E172)*(ROW(TableDiv[Agency])-ROW(TableDiv[[#Headers],[Agency]])),COLUMNS($F$7:S$7))))</f>
        <v/>
      </c>
      <c r="T172" s="2223" t="str" cm="1">
        <f t="array" ref="T172">IF($D172&lt;COLUMNS($F$7:T$7),"",INDEX(TableDiv[[GASB]:[GASB]],_xlfn.AGGREGATE(15,3,(TableDiv[[Agency]:[Agency]]=$E172)/(TableDiv[[Agency]:[Agency]]=$E172)*(ROW(TableDiv[Agency])-ROW(TableDiv[[#Headers],[Agency]])),COLUMNS($F$7:T$7))))</f>
        <v/>
      </c>
      <c r="U172" s="2223" t="str" cm="1">
        <f t="array" ref="U172">IF($D172&lt;COLUMNS($F$7:U$7),"",INDEX(TableDiv[[GASB]:[GASB]],_xlfn.AGGREGATE(15,3,(TableDiv[[Agency]:[Agency]]=$E172)/(TableDiv[[Agency]:[Agency]]=$E172)*(ROW(TableDiv[Agency])-ROW(TableDiv[[#Headers],[Agency]])),COLUMNS($F$7:U$7))))</f>
        <v/>
      </c>
      <c r="V172" s="2223" t="str" cm="1">
        <f t="array" ref="V172">IF($D172&lt;COLUMNS($F$7:V$7),"",INDEX(TableDiv[[GASB]:[GASB]],_xlfn.AGGREGATE(15,3,(TableDiv[[Agency]:[Agency]]=$E172)/(TableDiv[[Agency]:[Agency]]=$E172)*(ROW(TableDiv[Agency])-ROW(TableDiv[[#Headers],[Agency]])),COLUMNS($F$7:V$7))))</f>
        <v/>
      </c>
      <c r="W172" s="2223" t="str" cm="1">
        <f t="array" ref="W172">IF($D172&lt;COLUMNS($F$7:W$7),"",INDEX(TableDiv[[GASB]:[GASB]],_xlfn.AGGREGATE(15,3,(TableDiv[[Agency]:[Agency]]=$E172)/(TableDiv[[Agency]:[Agency]]=$E172)*(ROW(TableDiv[Agency])-ROW(TableDiv[[#Headers],[Agency]])),COLUMNS($F$7:W$7))))</f>
        <v/>
      </c>
      <c r="X172" s="2223" t="str" cm="1">
        <f t="array" ref="X172">IF($D172&lt;COLUMNS($F$7:X$7),"",INDEX(TableDiv[[GASB]:[GASB]],_xlfn.AGGREGATE(15,3,(TableDiv[[Agency]:[Agency]]=$E172)/(TableDiv[[Agency]:[Agency]]=$E172)*(ROW(TableDiv[Agency])-ROW(TableDiv[[#Headers],[Agency]])),COLUMNS($F$7:X$7))))</f>
        <v/>
      </c>
      <c r="Y172" s="2223" t="str" cm="1">
        <f t="array" ref="Y172">IF($D172&lt;COLUMNS($F$7:Y$7),"",INDEX(TableDiv[[GASB]:[GASB]],_xlfn.AGGREGATE(15,3,(TableDiv[[Agency]:[Agency]]=$E172)/(TableDiv[[Agency]:[Agency]]=$E172)*(ROW(TableDiv[Agency])-ROW(TableDiv[[#Headers],[Agency]])),COLUMNS($F$7:Y$7))))</f>
        <v/>
      </c>
      <c r="Z172" s="2223" t="str" cm="1">
        <f t="array" ref="Z172">IF($D172&lt;COLUMNS($F$7:Z$7),"",INDEX(TableDiv[[GASB]:[GASB]],_xlfn.AGGREGATE(15,3,(TableDiv[[Agency]:[Agency]]=$E172)/(TableDiv[[Agency]:[Agency]]=$E172)*(ROW(TableDiv[Agency])-ROW(TableDiv[[#Headers],[Agency]])),COLUMNS($F$7:Z$7))))</f>
        <v/>
      </c>
      <c r="AA172" s="2223" t="str" cm="1">
        <f t="array" ref="AA172">IF($D172&lt;COLUMNS($F$7:AA$7),"",INDEX(TableDiv[[GASB]:[GASB]],_xlfn.AGGREGATE(15,3,(TableDiv[[Agency]:[Agency]]=$E172)/(TableDiv[[Agency]:[Agency]]=$E172)*(ROW(TableDiv[Agency])-ROW(TableDiv[[#Headers],[Agency]])),COLUMNS($F$7:AA$7))))</f>
        <v/>
      </c>
      <c r="AB172" s="2223" t="str" cm="1">
        <f t="array" ref="AB172">IF($D172&lt;COLUMNS($F$7:AB$7),"",INDEX(TableDiv[[GASB]:[GASB]],_xlfn.AGGREGATE(15,3,(TableDiv[[Agency]:[Agency]]=$E172)/(TableDiv[[Agency]:[Agency]]=$E172)*(ROW(TableDiv[Agency])-ROW(TableDiv[[#Headers],[Agency]])),COLUMNS($F$7:AB$7))))</f>
        <v/>
      </c>
      <c r="AC172" s="2223" t="str" cm="1">
        <f t="array" ref="AC172">IF($D172&lt;COLUMNS($F$7:AC$7),"",INDEX(TableDiv[[GASB]:[GASB]],_xlfn.AGGREGATE(15,3,(TableDiv[[Agency]:[Agency]]=$E172)/(TableDiv[[Agency]:[Agency]]=$E172)*(ROW(TableDiv[Agency])-ROW(TableDiv[[#Headers],[Agency]])),COLUMNS($F$7:AC$7))))</f>
        <v/>
      </c>
      <c r="AD172" s="2223" t="str" cm="1">
        <f t="array" ref="AD172">IF($D172&lt;COLUMNS($F$7:AD$7),"",INDEX(TableDiv[[GASB]:[GASB]],_xlfn.AGGREGATE(15,3,(TableDiv[[Agency]:[Agency]]=$E172)/(TableDiv[[Agency]:[Agency]]=$E172)*(ROW(TableDiv[Agency])-ROW(TableDiv[[#Headers],[Agency]])),COLUMNS($F$7:AD$7))))</f>
        <v/>
      </c>
      <c r="AE172" s="2223" t="str" cm="1">
        <f t="array" ref="AE172">IF($D172&lt;COLUMNS($F$7:AE$7),"",INDEX(TableDiv[[GASB]:[GASB]],_xlfn.AGGREGATE(15,3,(TableDiv[[Agency]:[Agency]]=$E172)/(TableDiv[[Agency]:[Agency]]=$E172)*(ROW(TableDiv[Agency])-ROW(TableDiv[[#Headers],[Agency]])),COLUMNS($F$7:AE$7))))</f>
        <v/>
      </c>
      <c r="AF172" s="2223" t="str" cm="1">
        <f t="array" ref="AF172">IF($D172&lt;COLUMNS($F$7:AF$7),"",INDEX(TableDiv[[GASB]:[GASB]],_xlfn.AGGREGATE(15,3,(TableDiv[[Agency]:[Agency]]=$E172)/(TableDiv[[Agency]:[Agency]]=$E172)*(ROW(TableDiv[Agency])-ROW(TableDiv[[#Headers],[Agency]])),COLUMNS($F$7:AF$7))))</f>
        <v/>
      </c>
      <c r="AG172" s="2223" t="str" cm="1">
        <f t="array" ref="AG172">IF($D172&lt;COLUMNS($F$7:AG$7),"",INDEX(TableDiv[[GASB]:[GASB]],_xlfn.AGGREGATE(15,3,(TableDiv[[Agency]:[Agency]]=$E172)/(TableDiv[[Agency]:[Agency]]=$E172)*(ROW(TableDiv[Agency])-ROW(TableDiv[[#Headers],[Agency]])),COLUMNS($F$7:AG$7))))</f>
        <v/>
      </c>
      <c r="AH172" s="2223" t="str" cm="1">
        <f t="array" ref="AH172">IF($D172&lt;COLUMNS($F$7:AH$7),"",INDEX(TableDiv[[GASB]:[GASB]],_xlfn.AGGREGATE(15,3,(TableDiv[[Agency]:[Agency]]=$E172)/(TableDiv[[Agency]:[Agency]]=$E172)*(ROW(TableDiv[Agency])-ROW(TableDiv[[#Headers],[Agency]])),COLUMNS($F$7:AH$7))))</f>
        <v/>
      </c>
      <c r="AI172" s="2223" t="str" cm="1">
        <f t="array" ref="AI172">IF($D172&lt;COLUMNS($F$7:AI$7),"",INDEX(TableDiv[[GASB]:[GASB]],_xlfn.AGGREGATE(15,3,(TableDiv[[Agency]:[Agency]]=$E172)/(TableDiv[[Agency]:[Agency]]=$E172)*(ROW(TableDiv[Agency])-ROW(TableDiv[[#Headers],[Agency]])),COLUMNS($F$7:AI$7))))</f>
        <v/>
      </c>
      <c r="AJ172" s="2223" t="str" cm="1">
        <f t="array" ref="AJ172">IF($D172&lt;COLUMNS($F$7:AJ$7),"",INDEX(TableDiv[[GASB]:[GASB]],_xlfn.AGGREGATE(15,3,(TableDiv[[Agency]:[Agency]]=$E172)/(TableDiv[[Agency]:[Agency]]=$E172)*(ROW(TableDiv[Agency])-ROW(TableDiv[[#Headers],[Agency]])),COLUMNS($F$7:AJ$7))))</f>
        <v/>
      </c>
      <c r="AK172" s="2223" t="str" cm="1">
        <f t="array" ref="AK172">IF($D172&lt;COLUMNS($F$7:AK$7),"",INDEX(TableDiv[[GASB]:[GASB]],_xlfn.AGGREGATE(15,3,(TableDiv[[Agency]:[Agency]]=$E172)/(TableDiv[[Agency]:[Agency]]=$E172)*(ROW(TableDiv[Agency])-ROW(TableDiv[[#Headers],[Agency]])),COLUMNS($F$7:AK$7))))</f>
        <v/>
      </c>
      <c r="AL172" s="2223" t="str" cm="1">
        <f t="array" ref="AL172">IF($D172&lt;COLUMNS($F$7:AL$7),"",INDEX(TableDiv[[GASB]:[GASB]],_xlfn.AGGREGATE(15,3,(TableDiv[[Agency]:[Agency]]=$E172)/(TableDiv[[Agency]:[Agency]]=$E172)*(ROW(TableDiv[Agency])-ROW(TableDiv[[#Headers],[Agency]])),COLUMNS($F$7:AL$7))))</f>
        <v/>
      </c>
      <c r="AM172" s="2223" t="str" cm="1">
        <f t="array" ref="AM172">IF($D172&lt;COLUMNS($F$7:AM$7),"",INDEX(TableDiv[[GASB]:[GASB]],_xlfn.AGGREGATE(15,3,(TableDiv[[Agency]:[Agency]]=$E172)/(TableDiv[[Agency]:[Agency]]=$E172)*(ROW(TableDiv[Agency])-ROW(TableDiv[[#Headers],[Agency]])),COLUMNS($F$7:AM$7))))</f>
        <v/>
      </c>
      <c r="AN172" s="2223"/>
      <c r="AO172" s="2223"/>
      <c r="AP172" s="2223"/>
      <c r="AQ172" s="2223"/>
      <c r="AR172" s="2223"/>
      <c r="AS172" s="2223"/>
    </row>
    <row r="173" spans="1:45" ht="15" x14ac:dyDescent="0.25">
      <c r="A173" s="2219" t="s">
        <v>6441</v>
      </c>
      <c r="B173" s="2219" t="s">
        <v>6357</v>
      </c>
      <c r="C173" s="2223"/>
      <c r="D173" s="2223">
        <f>COUNTIF(TableDiv[Agency],E173)</f>
        <v>1</v>
      </c>
      <c r="E173" s="2230" t="str" cm="1">
        <f t="array" ref="E173">IFERROR(INDEX(TableDiv[Agency],MATCH(0,INDEX(COUNTIF($E$7:E172,TableDiv[Agency]),),0)),"")</f>
        <v>D2</v>
      </c>
      <c r="F173" s="2223" t="str" cm="1">
        <f t="array" ref="F173">IF($D173&lt;COLUMNS($F$7:F$7),"",INDEX(TableDiv[[GASB]:[GASB]],_xlfn.AGGREGATE(15,3,(TableDiv[[Agency]:[Agency]]=$E173)/(TableDiv[[Agency]:[Agency]]=$E173)*(ROW(TableDiv[Agency])-ROW(TableDiv[[#Headers],[Agency]])),COLUMNS($F$7:F$7))))</f>
        <v>48100G</v>
      </c>
      <c r="G173" s="2223" t="str" cm="1">
        <f t="array" ref="G173">IF($D173&lt;COLUMNS($F$7:G$7),"",INDEX(TableDiv[[GASB]:[GASB]],_xlfn.AGGREGATE(15,3,(TableDiv[[Agency]:[Agency]]=$E173)/(TableDiv[[Agency]:[Agency]]=$E173)*(ROW(TableDiv[Agency])-ROW(TableDiv[[#Headers],[Agency]])),COLUMNS($F$7:G$7))))</f>
        <v/>
      </c>
      <c r="H173" s="2223" t="str" cm="1">
        <f t="array" ref="H173">IF($D173&lt;COLUMNS($F$7:H$7),"",INDEX(TableDiv[[GASB]:[GASB]],_xlfn.AGGREGATE(15,3,(TableDiv[[Agency]:[Agency]]=$E173)/(TableDiv[[Agency]:[Agency]]=$E173)*(ROW(TableDiv[Agency])-ROW(TableDiv[[#Headers],[Agency]])),COLUMNS($F$7:H$7))))</f>
        <v/>
      </c>
      <c r="I173" s="2223" t="str" cm="1">
        <f t="array" ref="I173">IF($D173&lt;COLUMNS($F$7:I$7),"",INDEX(TableDiv[[GASB]:[GASB]],_xlfn.AGGREGATE(15,3,(TableDiv[[Agency]:[Agency]]=$E173)/(TableDiv[[Agency]:[Agency]]=$E173)*(ROW(TableDiv[Agency])-ROW(TableDiv[[#Headers],[Agency]])),COLUMNS($F$7:I$7))))</f>
        <v/>
      </c>
      <c r="J173" s="2223" t="str" cm="1">
        <f t="array" ref="J173">IF($D173&lt;COLUMNS($F$7:J$7),"",INDEX(TableDiv[[GASB]:[GASB]],_xlfn.AGGREGATE(15,3,(TableDiv[[Agency]:[Agency]]=$E173)/(TableDiv[[Agency]:[Agency]]=$E173)*(ROW(TableDiv[Agency])-ROW(TableDiv[[#Headers],[Agency]])),COLUMNS($F$7:J$7))))</f>
        <v/>
      </c>
      <c r="K173" s="2223" t="str" cm="1">
        <f t="array" ref="K173">IF($D173&lt;COLUMNS($F$7:K$7),"",INDEX(TableDiv[[GASB]:[GASB]],_xlfn.AGGREGATE(15,3,(TableDiv[[Agency]:[Agency]]=$E173)/(TableDiv[[Agency]:[Agency]]=$E173)*(ROW(TableDiv[Agency])-ROW(TableDiv[[#Headers],[Agency]])),COLUMNS($F$7:K$7))))</f>
        <v/>
      </c>
      <c r="L173" s="2223" t="str" cm="1">
        <f t="array" ref="L173">IF($D173&lt;COLUMNS($F$7:L$7),"",INDEX(TableDiv[[GASB]:[GASB]],_xlfn.AGGREGATE(15,3,(TableDiv[[Agency]:[Agency]]=$E173)/(TableDiv[[Agency]:[Agency]]=$E173)*(ROW(TableDiv[Agency])-ROW(TableDiv[[#Headers],[Agency]])),COLUMNS($F$7:L$7))))</f>
        <v/>
      </c>
      <c r="M173" s="2223" t="str" cm="1">
        <f t="array" ref="M173">IF($D173&lt;COLUMNS($F$7:M$7),"",INDEX(TableDiv[[GASB]:[GASB]],_xlfn.AGGREGATE(15,3,(TableDiv[[Agency]:[Agency]]=$E173)/(TableDiv[[Agency]:[Agency]]=$E173)*(ROW(TableDiv[Agency])-ROW(TableDiv[[#Headers],[Agency]])),COLUMNS($F$7:M$7))))</f>
        <v/>
      </c>
      <c r="N173" s="2223" t="str" cm="1">
        <f t="array" ref="N173">IF($D173&lt;COLUMNS($F$7:N$7),"",INDEX(TableDiv[[GASB]:[GASB]],_xlfn.AGGREGATE(15,3,(TableDiv[[Agency]:[Agency]]=$E173)/(TableDiv[[Agency]:[Agency]]=$E173)*(ROW(TableDiv[Agency])-ROW(TableDiv[[#Headers],[Agency]])),COLUMNS($F$7:N$7))))</f>
        <v/>
      </c>
      <c r="O173" s="2223" t="str" cm="1">
        <f t="array" ref="O173">IF($D173&lt;COLUMNS($F$7:O$7),"",INDEX(TableDiv[[GASB]:[GASB]],_xlfn.AGGREGATE(15,3,(TableDiv[[Agency]:[Agency]]=$E173)/(TableDiv[[Agency]:[Agency]]=$E173)*(ROW(TableDiv[Agency])-ROW(TableDiv[[#Headers],[Agency]])),COLUMNS($F$7:O$7))))</f>
        <v/>
      </c>
      <c r="P173" s="2223" t="str" cm="1">
        <f t="array" ref="P173">IF($D173&lt;COLUMNS($F$7:P$7),"",INDEX(TableDiv[[GASB]:[GASB]],_xlfn.AGGREGATE(15,3,(TableDiv[[Agency]:[Agency]]=$E173)/(TableDiv[[Agency]:[Agency]]=$E173)*(ROW(TableDiv[Agency])-ROW(TableDiv[[#Headers],[Agency]])),COLUMNS($F$7:P$7))))</f>
        <v/>
      </c>
      <c r="Q173" s="2223" t="str" cm="1">
        <f t="array" ref="Q173">IF($D173&lt;COLUMNS($F$7:Q$7),"",INDEX(TableDiv[[GASB]:[GASB]],_xlfn.AGGREGATE(15,3,(TableDiv[[Agency]:[Agency]]=$E173)/(TableDiv[[Agency]:[Agency]]=$E173)*(ROW(TableDiv[Agency])-ROW(TableDiv[[#Headers],[Agency]])),COLUMNS($F$7:Q$7))))</f>
        <v/>
      </c>
      <c r="R173" s="2223" t="str" cm="1">
        <f t="array" ref="R173">IF($D173&lt;COLUMNS($F$7:R$7),"",INDEX(TableDiv[[GASB]:[GASB]],_xlfn.AGGREGATE(15,3,(TableDiv[[Agency]:[Agency]]=$E173)/(TableDiv[[Agency]:[Agency]]=$E173)*(ROW(TableDiv[Agency])-ROW(TableDiv[[#Headers],[Agency]])),COLUMNS($F$7:R$7))))</f>
        <v/>
      </c>
      <c r="S173" s="2223" t="str" cm="1">
        <f t="array" ref="S173">IF($D173&lt;COLUMNS($F$7:S$7),"",INDEX(TableDiv[[GASB]:[GASB]],_xlfn.AGGREGATE(15,3,(TableDiv[[Agency]:[Agency]]=$E173)/(TableDiv[[Agency]:[Agency]]=$E173)*(ROW(TableDiv[Agency])-ROW(TableDiv[[#Headers],[Agency]])),COLUMNS($F$7:S$7))))</f>
        <v/>
      </c>
      <c r="T173" s="2223" t="str" cm="1">
        <f t="array" ref="T173">IF($D173&lt;COLUMNS($F$7:T$7),"",INDEX(TableDiv[[GASB]:[GASB]],_xlfn.AGGREGATE(15,3,(TableDiv[[Agency]:[Agency]]=$E173)/(TableDiv[[Agency]:[Agency]]=$E173)*(ROW(TableDiv[Agency])-ROW(TableDiv[[#Headers],[Agency]])),COLUMNS($F$7:T$7))))</f>
        <v/>
      </c>
      <c r="U173" s="2223" t="str" cm="1">
        <f t="array" ref="U173">IF($D173&lt;COLUMNS($F$7:U$7),"",INDEX(TableDiv[[GASB]:[GASB]],_xlfn.AGGREGATE(15,3,(TableDiv[[Agency]:[Agency]]=$E173)/(TableDiv[[Agency]:[Agency]]=$E173)*(ROW(TableDiv[Agency])-ROW(TableDiv[[#Headers],[Agency]])),COLUMNS($F$7:U$7))))</f>
        <v/>
      </c>
      <c r="V173" s="2223" t="str" cm="1">
        <f t="array" ref="V173">IF($D173&lt;COLUMNS($F$7:V$7),"",INDEX(TableDiv[[GASB]:[GASB]],_xlfn.AGGREGATE(15,3,(TableDiv[[Agency]:[Agency]]=$E173)/(TableDiv[[Agency]:[Agency]]=$E173)*(ROW(TableDiv[Agency])-ROW(TableDiv[[#Headers],[Agency]])),COLUMNS($F$7:V$7))))</f>
        <v/>
      </c>
      <c r="W173" s="2223" t="str" cm="1">
        <f t="array" ref="W173">IF($D173&lt;COLUMNS($F$7:W$7),"",INDEX(TableDiv[[GASB]:[GASB]],_xlfn.AGGREGATE(15,3,(TableDiv[[Agency]:[Agency]]=$E173)/(TableDiv[[Agency]:[Agency]]=$E173)*(ROW(TableDiv[Agency])-ROW(TableDiv[[#Headers],[Agency]])),COLUMNS($F$7:W$7))))</f>
        <v/>
      </c>
      <c r="X173" s="2223" t="str" cm="1">
        <f t="array" ref="X173">IF($D173&lt;COLUMNS($F$7:X$7),"",INDEX(TableDiv[[GASB]:[GASB]],_xlfn.AGGREGATE(15,3,(TableDiv[[Agency]:[Agency]]=$E173)/(TableDiv[[Agency]:[Agency]]=$E173)*(ROW(TableDiv[Agency])-ROW(TableDiv[[#Headers],[Agency]])),COLUMNS($F$7:X$7))))</f>
        <v/>
      </c>
      <c r="Y173" s="2223" t="str" cm="1">
        <f t="array" ref="Y173">IF($D173&lt;COLUMNS($F$7:Y$7),"",INDEX(TableDiv[[GASB]:[GASB]],_xlfn.AGGREGATE(15,3,(TableDiv[[Agency]:[Agency]]=$E173)/(TableDiv[[Agency]:[Agency]]=$E173)*(ROW(TableDiv[Agency])-ROW(TableDiv[[#Headers],[Agency]])),COLUMNS($F$7:Y$7))))</f>
        <v/>
      </c>
      <c r="Z173" s="2223" t="str" cm="1">
        <f t="array" ref="Z173">IF($D173&lt;COLUMNS($F$7:Z$7),"",INDEX(TableDiv[[GASB]:[GASB]],_xlfn.AGGREGATE(15,3,(TableDiv[[Agency]:[Agency]]=$E173)/(TableDiv[[Agency]:[Agency]]=$E173)*(ROW(TableDiv[Agency])-ROW(TableDiv[[#Headers],[Agency]])),COLUMNS($F$7:Z$7))))</f>
        <v/>
      </c>
      <c r="AA173" s="2223" t="str" cm="1">
        <f t="array" ref="AA173">IF($D173&lt;COLUMNS($F$7:AA$7),"",INDEX(TableDiv[[GASB]:[GASB]],_xlfn.AGGREGATE(15,3,(TableDiv[[Agency]:[Agency]]=$E173)/(TableDiv[[Agency]:[Agency]]=$E173)*(ROW(TableDiv[Agency])-ROW(TableDiv[[#Headers],[Agency]])),COLUMNS($F$7:AA$7))))</f>
        <v/>
      </c>
      <c r="AB173" s="2223" t="str" cm="1">
        <f t="array" ref="AB173">IF($D173&lt;COLUMNS($F$7:AB$7),"",INDEX(TableDiv[[GASB]:[GASB]],_xlfn.AGGREGATE(15,3,(TableDiv[[Agency]:[Agency]]=$E173)/(TableDiv[[Agency]:[Agency]]=$E173)*(ROW(TableDiv[Agency])-ROW(TableDiv[[#Headers],[Agency]])),COLUMNS($F$7:AB$7))))</f>
        <v/>
      </c>
      <c r="AC173" s="2223" t="str" cm="1">
        <f t="array" ref="AC173">IF($D173&lt;COLUMNS($F$7:AC$7),"",INDEX(TableDiv[[GASB]:[GASB]],_xlfn.AGGREGATE(15,3,(TableDiv[[Agency]:[Agency]]=$E173)/(TableDiv[[Agency]:[Agency]]=$E173)*(ROW(TableDiv[Agency])-ROW(TableDiv[[#Headers],[Agency]])),COLUMNS($F$7:AC$7))))</f>
        <v/>
      </c>
      <c r="AD173" s="2223" t="str" cm="1">
        <f t="array" ref="AD173">IF($D173&lt;COLUMNS($F$7:AD$7),"",INDEX(TableDiv[[GASB]:[GASB]],_xlfn.AGGREGATE(15,3,(TableDiv[[Agency]:[Agency]]=$E173)/(TableDiv[[Agency]:[Agency]]=$E173)*(ROW(TableDiv[Agency])-ROW(TableDiv[[#Headers],[Agency]])),COLUMNS($F$7:AD$7))))</f>
        <v/>
      </c>
      <c r="AE173" s="2223" t="str" cm="1">
        <f t="array" ref="AE173">IF($D173&lt;COLUMNS($F$7:AE$7),"",INDEX(TableDiv[[GASB]:[GASB]],_xlfn.AGGREGATE(15,3,(TableDiv[[Agency]:[Agency]]=$E173)/(TableDiv[[Agency]:[Agency]]=$E173)*(ROW(TableDiv[Agency])-ROW(TableDiv[[#Headers],[Agency]])),COLUMNS($F$7:AE$7))))</f>
        <v/>
      </c>
      <c r="AF173" s="2223" t="str" cm="1">
        <f t="array" ref="AF173">IF($D173&lt;COLUMNS($F$7:AF$7),"",INDEX(TableDiv[[GASB]:[GASB]],_xlfn.AGGREGATE(15,3,(TableDiv[[Agency]:[Agency]]=$E173)/(TableDiv[[Agency]:[Agency]]=$E173)*(ROW(TableDiv[Agency])-ROW(TableDiv[[#Headers],[Agency]])),COLUMNS($F$7:AF$7))))</f>
        <v/>
      </c>
      <c r="AG173" s="2223" t="str" cm="1">
        <f t="array" ref="AG173">IF($D173&lt;COLUMNS($F$7:AG$7),"",INDEX(TableDiv[[GASB]:[GASB]],_xlfn.AGGREGATE(15,3,(TableDiv[[Agency]:[Agency]]=$E173)/(TableDiv[[Agency]:[Agency]]=$E173)*(ROW(TableDiv[Agency])-ROW(TableDiv[[#Headers],[Agency]])),COLUMNS($F$7:AG$7))))</f>
        <v/>
      </c>
      <c r="AH173" s="2223" t="str" cm="1">
        <f t="array" ref="AH173">IF($D173&lt;COLUMNS($F$7:AH$7),"",INDEX(TableDiv[[GASB]:[GASB]],_xlfn.AGGREGATE(15,3,(TableDiv[[Agency]:[Agency]]=$E173)/(TableDiv[[Agency]:[Agency]]=$E173)*(ROW(TableDiv[Agency])-ROW(TableDiv[[#Headers],[Agency]])),COLUMNS($F$7:AH$7))))</f>
        <v/>
      </c>
      <c r="AI173" s="2223" t="str" cm="1">
        <f t="array" ref="AI173">IF($D173&lt;COLUMNS($F$7:AI$7),"",INDEX(TableDiv[[GASB]:[GASB]],_xlfn.AGGREGATE(15,3,(TableDiv[[Agency]:[Agency]]=$E173)/(TableDiv[[Agency]:[Agency]]=$E173)*(ROW(TableDiv[Agency])-ROW(TableDiv[[#Headers],[Agency]])),COLUMNS($F$7:AI$7))))</f>
        <v/>
      </c>
      <c r="AJ173" s="2223" t="str" cm="1">
        <f t="array" ref="AJ173">IF($D173&lt;COLUMNS($F$7:AJ$7),"",INDEX(TableDiv[[GASB]:[GASB]],_xlfn.AGGREGATE(15,3,(TableDiv[[Agency]:[Agency]]=$E173)/(TableDiv[[Agency]:[Agency]]=$E173)*(ROW(TableDiv[Agency])-ROW(TableDiv[[#Headers],[Agency]])),COLUMNS($F$7:AJ$7))))</f>
        <v/>
      </c>
      <c r="AK173" s="2223" t="str" cm="1">
        <f t="array" ref="AK173">IF($D173&lt;COLUMNS($F$7:AK$7),"",INDEX(TableDiv[[GASB]:[GASB]],_xlfn.AGGREGATE(15,3,(TableDiv[[Agency]:[Agency]]=$E173)/(TableDiv[[Agency]:[Agency]]=$E173)*(ROW(TableDiv[Agency])-ROW(TableDiv[[#Headers],[Agency]])),COLUMNS($F$7:AK$7))))</f>
        <v/>
      </c>
      <c r="AL173" s="2223" t="str" cm="1">
        <f t="array" ref="AL173">IF($D173&lt;COLUMNS($F$7:AL$7),"",INDEX(TableDiv[[GASB]:[GASB]],_xlfn.AGGREGATE(15,3,(TableDiv[[Agency]:[Agency]]=$E173)/(TableDiv[[Agency]:[Agency]]=$E173)*(ROW(TableDiv[Agency])-ROW(TableDiv[[#Headers],[Agency]])),COLUMNS($F$7:AL$7))))</f>
        <v/>
      </c>
      <c r="AM173" s="2223" t="str" cm="1">
        <f t="array" ref="AM173">IF($D173&lt;COLUMNS($F$7:AM$7),"",INDEX(TableDiv[[GASB]:[GASB]],_xlfn.AGGREGATE(15,3,(TableDiv[[Agency]:[Agency]]=$E173)/(TableDiv[[Agency]:[Agency]]=$E173)*(ROW(TableDiv[Agency])-ROW(TableDiv[[#Headers],[Agency]])),COLUMNS($F$7:AM$7))))</f>
        <v/>
      </c>
      <c r="AN173" s="2223"/>
      <c r="AO173" s="2223"/>
      <c r="AP173" s="2223"/>
      <c r="AQ173" s="2223"/>
      <c r="AR173" s="2223"/>
      <c r="AS173" s="2223"/>
    </row>
    <row r="174" spans="1:45" ht="15" x14ac:dyDescent="0.25">
      <c r="A174" s="2219" t="s">
        <v>6441</v>
      </c>
      <c r="B174" s="2219" t="s">
        <v>1878</v>
      </c>
      <c r="C174" s="2223"/>
      <c r="D174" s="2223">
        <f>COUNTIF(TableDiv[Agency],E174)</f>
        <v>1</v>
      </c>
      <c r="E174" s="2230" t="str" cm="1">
        <f t="array" ref="E174">IFERROR(INDEX(TableDiv[Agency],MATCH(0,INDEX(COUNTIF($E$7:E173,TableDiv[Agency]),),0)),"")</f>
        <v>D3</v>
      </c>
      <c r="F174" s="2223" t="str" cm="1">
        <f t="array" ref="F174">IF($D174&lt;COLUMNS($F$7:F$7),"",INDEX(TableDiv[[GASB]:[GASB]],_xlfn.AGGREGATE(15,3,(TableDiv[[Agency]:[Agency]]=$E174)/(TableDiv[[Agency]:[Agency]]=$E174)*(ROW(TableDiv[Agency])-ROW(TableDiv[[#Headers],[Agency]])),COLUMNS($F$7:F$7))))</f>
        <v>48100G</v>
      </c>
      <c r="G174" s="2223" t="str" cm="1">
        <f t="array" ref="G174">IF($D174&lt;COLUMNS($F$7:G$7),"",INDEX(TableDiv[[GASB]:[GASB]],_xlfn.AGGREGATE(15,3,(TableDiv[[Agency]:[Agency]]=$E174)/(TableDiv[[Agency]:[Agency]]=$E174)*(ROW(TableDiv[Agency])-ROW(TableDiv[[#Headers],[Agency]])),COLUMNS($F$7:G$7))))</f>
        <v/>
      </c>
      <c r="H174" s="2223" t="str" cm="1">
        <f t="array" ref="H174">IF($D174&lt;COLUMNS($F$7:H$7),"",INDEX(TableDiv[[GASB]:[GASB]],_xlfn.AGGREGATE(15,3,(TableDiv[[Agency]:[Agency]]=$E174)/(TableDiv[[Agency]:[Agency]]=$E174)*(ROW(TableDiv[Agency])-ROW(TableDiv[[#Headers],[Agency]])),COLUMNS($F$7:H$7))))</f>
        <v/>
      </c>
      <c r="I174" s="2223" t="str" cm="1">
        <f t="array" ref="I174">IF($D174&lt;COLUMNS($F$7:I$7),"",INDEX(TableDiv[[GASB]:[GASB]],_xlfn.AGGREGATE(15,3,(TableDiv[[Agency]:[Agency]]=$E174)/(TableDiv[[Agency]:[Agency]]=$E174)*(ROW(TableDiv[Agency])-ROW(TableDiv[[#Headers],[Agency]])),COLUMNS($F$7:I$7))))</f>
        <v/>
      </c>
      <c r="J174" s="2223" t="str" cm="1">
        <f t="array" ref="J174">IF($D174&lt;COLUMNS($F$7:J$7),"",INDEX(TableDiv[[GASB]:[GASB]],_xlfn.AGGREGATE(15,3,(TableDiv[[Agency]:[Agency]]=$E174)/(TableDiv[[Agency]:[Agency]]=$E174)*(ROW(TableDiv[Agency])-ROW(TableDiv[[#Headers],[Agency]])),COLUMNS($F$7:J$7))))</f>
        <v/>
      </c>
      <c r="K174" s="2223" t="str" cm="1">
        <f t="array" ref="K174">IF($D174&lt;COLUMNS($F$7:K$7),"",INDEX(TableDiv[[GASB]:[GASB]],_xlfn.AGGREGATE(15,3,(TableDiv[[Agency]:[Agency]]=$E174)/(TableDiv[[Agency]:[Agency]]=$E174)*(ROW(TableDiv[Agency])-ROW(TableDiv[[#Headers],[Agency]])),COLUMNS($F$7:K$7))))</f>
        <v/>
      </c>
      <c r="L174" s="2223" t="str" cm="1">
        <f t="array" ref="L174">IF($D174&lt;COLUMNS($F$7:L$7),"",INDEX(TableDiv[[GASB]:[GASB]],_xlfn.AGGREGATE(15,3,(TableDiv[[Agency]:[Agency]]=$E174)/(TableDiv[[Agency]:[Agency]]=$E174)*(ROW(TableDiv[Agency])-ROW(TableDiv[[#Headers],[Agency]])),COLUMNS($F$7:L$7))))</f>
        <v/>
      </c>
      <c r="M174" s="2223" t="str" cm="1">
        <f t="array" ref="M174">IF($D174&lt;COLUMNS($F$7:M$7),"",INDEX(TableDiv[[GASB]:[GASB]],_xlfn.AGGREGATE(15,3,(TableDiv[[Agency]:[Agency]]=$E174)/(TableDiv[[Agency]:[Agency]]=$E174)*(ROW(TableDiv[Agency])-ROW(TableDiv[[#Headers],[Agency]])),COLUMNS($F$7:M$7))))</f>
        <v/>
      </c>
      <c r="N174" s="2223" t="str" cm="1">
        <f t="array" ref="N174">IF($D174&lt;COLUMNS($F$7:N$7),"",INDEX(TableDiv[[GASB]:[GASB]],_xlfn.AGGREGATE(15,3,(TableDiv[[Agency]:[Agency]]=$E174)/(TableDiv[[Agency]:[Agency]]=$E174)*(ROW(TableDiv[Agency])-ROW(TableDiv[[#Headers],[Agency]])),COLUMNS($F$7:N$7))))</f>
        <v/>
      </c>
      <c r="O174" s="2223" t="str" cm="1">
        <f t="array" ref="O174">IF($D174&lt;COLUMNS($F$7:O$7),"",INDEX(TableDiv[[GASB]:[GASB]],_xlfn.AGGREGATE(15,3,(TableDiv[[Agency]:[Agency]]=$E174)/(TableDiv[[Agency]:[Agency]]=$E174)*(ROW(TableDiv[Agency])-ROW(TableDiv[[#Headers],[Agency]])),COLUMNS($F$7:O$7))))</f>
        <v/>
      </c>
      <c r="P174" s="2223" t="str" cm="1">
        <f t="array" ref="P174">IF($D174&lt;COLUMNS($F$7:P$7),"",INDEX(TableDiv[[GASB]:[GASB]],_xlfn.AGGREGATE(15,3,(TableDiv[[Agency]:[Agency]]=$E174)/(TableDiv[[Agency]:[Agency]]=$E174)*(ROW(TableDiv[Agency])-ROW(TableDiv[[#Headers],[Agency]])),COLUMNS($F$7:P$7))))</f>
        <v/>
      </c>
      <c r="Q174" s="2223" t="str" cm="1">
        <f t="array" ref="Q174">IF($D174&lt;COLUMNS($F$7:Q$7),"",INDEX(TableDiv[[GASB]:[GASB]],_xlfn.AGGREGATE(15,3,(TableDiv[[Agency]:[Agency]]=$E174)/(TableDiv[[Agency]:[Agency]]=$E174)*(ROW(TableDiv[Agency])-ROW(TableDiv[[#Headers],[Agency]])),COLUMNS($F$7:Q$7))))</f>
        <v/>
      </c>
      <c r="R174" s="2223" t="str" cm="1">
        <f t="array" ref="R174">IF($D174&lt;COLUMNS($F$7:R$7),"",INDEX(TableDiv[[GASB]:[GASB]],_xlfn.AGGREGATE(15,3,(TableDiv[[Agency]:[Agency]]=$E174)/(TableDiv[[Agency]:[Agency]]=$E174)*(ROW(TableDiv[Agency])-ROW(TableDiv[[#Headers],[Agency]])),COLUMNS($F$7:R$7))))</f>
        <v/>
      </c>
      <c r="S174" s="2223" t="str" cm="1">
        <f t="array" ref="S174">IF($D174&lt;COLUMNS($F$7:S$7),"",INDEX(TableDiv[[GASB]:[GASB]],_xlfn.AGGREGATE(15,3,(TableDiv[[Agency]:[Agency]]=$E174)/(TableDiv[[Agency]:[Agency]]=$E174)*(ROW(TableDiv[Agency])-ROW(TableDiv[[#Headers],[Agency]])),COLUMNS($F$7:S$7))))</f>
        <v/>
      </c>
      <c r="T174" s="2223" t="str" cm="1">
        <f t="array" ref="T174">IF($D174&lt;COLUMNS($F$7:T$7),"",INDEX(TableDiv[[GASB]:[GASB]],_xlfn.AGGREGATE(15,3,(TableDiv[[Agency]:[Agency]]=$E174)/(TableDiv[[Agency]:[Agency]]=$E174)*(ROW(TableDiv[Agency])-ROW(TableDiv[[#Headers],[Agency]])),COLUMNS($F$7:T$7))))</f>
        <v/>
      </c>
      <c r="U174" s="2223" t="str" cm="1">
        <f t="array" ref="U174">IF($D174&lt;COLUMNS($F$7:U$7),"",INDEX(TableDiv[[GASB]:[GASB]],_xlfn.AGGREGATE(15,3,(TableDiv[[Agency]:[Agency]]=$E174)/(TableDiv[[Agency]:[Agency]]=$E174)*(ROW(TableDiv[Agency])-ROW(TableDiv[[#Headers],[Agency]])),COLUMNS($F$7:U$7))))</f>
        <v/>
      </c>
      <c r="V174" s="2223" t="str" cm="1">
        <f t="array" ref="V174">IF($D174&lt;COLUMNS($F$7:V$7),"",INDEX(TableDiv[[GASB]:[GASB]],_xlfn.AGGREGATE(15,3,(TableDiv[[Agency]:[Agency]]=$E174)/(TableDiv[[Agency]:[Agency]]=$E174)*(ROW(TableDiv[Agency])-ROW(TableDiv[[#Headers],[Agency]])),COLUMNS($F$7:V$7))))</f>
        <v/>
      </c>
      <c r="W174" s="2223" t="str" cm="1">
        <f t="array" ref="W174">IF($D174&lt;COLUMNS($F$7:W$7),"",INDEX(TableDiv[[GASB]:[GASB]],_xlfn.AGGREGATE(15,3,(TableDiv[[Agency]:[Agency]]=$E174)/(TableDiv[[Agency]:[Agency]]=$E174)*(ROW(TableDiv[Agency])-ROW(TableDiv[[#Headers],[Agency]])),COLUMNS($F$7:W$7))))</f>
        <v/>
      </c>
      <c r="X174" s="2223" t="str" cm="1">
        <f t="array" ref="X174">IF($D174&lt;COLUMNS($F$7:X$7),"",INDEX(TableDiv[[GASB]:[GASB]],_xlfn.AGGREGATE(15,3,(TableDiv[[Agency]:[Agency]]=$E174)/(TableDiv[[Agency]:[Agency]]=$E174)*(ROW(TableDiv[Agency])-ROW(TableDiv[[#Headers],[Agency]])),COLUMNS($F$7:X$7))))</f>
        <v/>
      </c>
      <c r="Y174" s="2223" t="str" cm="1">
        <f t="array" ref="Y174">IF($D174&lt;COLUMNS($F$7:Y$7),"",INDEX(TableDiv[[GASB]:[GASB]],_xlfn.AGGREGATE(15,3,(TableDiv[[Agency]:[Agency]]=$E174)/(TableDiv[[Agency]:[Agency]]=$E174)*(ROW(TableDiv[Agency])-ROW(TableDiv[[#Headers],[Agency]])),COLUMNS($F$7:Y$7))))</f>
        <v/>
      </c>
      <c r="Z174" s="2223" t="str" cm="1">
        <f t="array" ref="Z174">IF($D174&lt;COLUMNS($F$7:Z$7),"",INDEX(TableDiv[[GASB]:[GASB]],_xlfn.AGGREGATE(15,3,(TableDiv[[Agency]:[Agency]]=$E174)/(TableDiv[[Agency]:[Agency]]=$E174)*(ROW(TableDiv[Agency])-ROW(TableDiv[[#Headers],[Agency]])),COLUMNS($F$7:Z$7))))</f>
        <v/>
      </c>
      <c r="AA174" s="2223" t="str" cm="1">
        <f t="array" ref="AA174">IF($D174&lt;COLUMNS($F$7:AA$7),"",INDEX(TableDiv[[GASB]:[GASB]],_xlfn.AGGREGATE(15,3,(TableDiv[[Agency]:[Agency]]=$E174)/(TableDiv[[Agency]:[Agency]]=$E174)*(ROW(TableDiv[Agency])-ROW(TableDiv[[#Headers],[Agency]])),COLUMNS($F$7:AA$7))))</f>
        <v/>
      </c>
      <c r="AB174" s="2223" t="str" cm="1">
        <f t="array" ref="AB174">IF($D174&lt;COLUMNS($F$7:AB$7),"",INDEX(TableDiv[[GASB]:[GASB]],_xlfn.AGGREGATE(15,3,(TableDiv[[Agency]:[Agency]]=$E174)/(TableDiv[[Agency]:[Agency]]=$E174)*(ROW(TableDiv[Agency])-ROW(TableDiv[[#Headers],[Agency]])),COLUMNS($F$7:AB$7))))</f>
        <v/>
      </c>
      <c r="AC174" s="2223" t="str" cm="1">
        <f t="array" ref="AC174">IF($D174&lt;COLUMNS($F$7:AC$7),"",INDEX(TableDiv[[GASB]:[GASB]],_xlfn.AGGREGATE(15,3,(TableDiv[[Agency]:[Agency]]=$E174)/(TableDiv[[Agency]:[Agency]]=$E174)*(ROW(TableDiv[Agency])-ROW(TableDiv[[#Headers],[Agency]])),COLUMNS($F$7:AC$7))))</f>
        <v/>
      </c>
      <c r="AD174" s="2223" t="str" cm="1">
        <f t="array" ref="AD174">IF($D174&lt;COLUMNS($F$7:AD$7),"",INDEX(TableDiv[[GASB]:[GASB]],_xlfn.AGGREGATE(15,3,(TableDiv[[Agency]:[Agency]]=$E174)/(TableDiv[[Agency]:[Agency]]=$E174)*(ROW(TableDiv[Agency])-ROW(TableDiv[[#Headers],[Agency]])),COLUMNS($F$7:AD$7))))</f>
        <v/>
      </c>
      <c r="AE174" s="2223" t="str" cm="1">
        <f t="array" ref="AE174">IF($D174&lt;COLUMNS($F$7:AE$7),"",INDEX(TableDiv[[GASB]:[GASB]],_xlfn.AGGREGATE(15,3,(TableDiv[[Agency]:[Agency]]=$E174)/(TableDiv[[Agency]:[Agency]]=$E174)*(ROW(TableDiv[Agency])-ROW(TableDiv[[#Headers],[Agency]])),COLUMNS($F$7:AE$7))))</f>
        <v/>
      </c>
      <c r="AF174" s="2223" t="str" cm="1">
        <f t="array" ref="AF174">IF($D174&lt;COLUMNS($F$7:AF$7),"",INDEX(TableDiv[[GASB]:[GASB]],_xlfn.AGGREGATE(15,3,(TableDiv[[Agency]:[Agency]]=$E174)/(TableDiv[[Agency]:[Agency]]=$E174)*(ROW(TableDiv[Agency])-ROW(TableDiv[[#Headers],[Agency]])),COLUMNS($F$7:AF$7))))</f>
        <v/>
      </c>
      <c r="AG174" s="2223" t="str" cm="1">
        <f t="array" ref="AG174">IF($D174&lt;COLUMNS($F$7:AG$7),"",INDEX(TableDiv[[GASB]:[GASB]],_xlfn.AGGREGATE(15,3,(TableDiv[[Agency]:[Agency]]=$E174)/(TableDiv[[Agency]:[Agency]]=$E174)*(ROW(TableDiv[Agency])-ROW(TableDiv[[#Headers],[Agency]])),COLUMNS($F$7:AG$7))))</f>
        <v/>
      </c>
      <c r="AH174" s="2223" t="str" cm="1">
        <f t="array" ref="AH174">IF($D174&lt;COLUMNS($F$7:AH$7),"",INDEX(TableDiv[[GASB]:[GASB]],_xlfn.AGGREGATE(15,3,(TableDiv[[Agency]:[Agency]]=$E174)/(TableDiv[[Agency]:[Agency]]=$E174)*(ROW(TableDiv[Agency])-ROW(TableDiv[[#Headers],[Agency]])),COLUMNS($F$7:AH$7))))</f>
        <v/>
      </c>
      <c r="AI174" s="2223" t="str" cm="1">
        <f t="array" ref="AI174">IF($D174&lt;COLUMNS($F$7:AI$7),"",INDEX(TableDiv[[GASB]:[GASB]],_xlfn.AGGREGATE(15,3,(TableDiv[[Agency]:[Agency]]=$E174)/(TableDiv[[Agency]:[Agency]]=$E174)*(ROW(TableDiv[Agency])-ROW(TableDiv[[#Headers],[Agency]])),COLUMNS($F$7:AI$7))))</f>
        <v/>
      </c>
      <c r="AJ174" s="2223" t="str" cm="1">
        <f t="array" ref="AJ174">IF($D174&lt;COLUMNS($F$7:AJ$7),"",INDEX(TableDiv[[GASB]:[GASB]],_xlfn.AGGREGATE(15,3,(TableDiv[[Agency]:[Agency]]=$E174)/(TableDiv[[Agency]:[Agency]]=$E174)*(ROW(TableDiv[Agency])-ROW(TableDiv[[#Headers],[Agency]])),COLUMNS($F$7:AJ$7))))</f>
        <v/>
      </c>
      <c r="AK174" s="2223" t="str" cm="1">
        <f t="array" ref="AK174">IF($D174&lt;COLUMNS($F$7:AK$7),"",INDEX(TableDiv[[GASB]:[GASB]],_xlfn.AGGREGATE(15,3,(TableDiv[[Agency]:[Agency]]=$E174)/(TableDiv[[Agency]:[Agency]]=$E174)*(ROW(TableDiv[Agency])-ROW(TableDiv[[#Headers],[Agency]])),COLUMNS($F$7:AK$7))))</f>
        <v/>
      </c>
      <c r="AL174" s="2223" t="str" cm="1">
        <f t="array" ref="AL174">IF($D174&lt;COLUMNS($F$7:AL$7),"",INDEX(TableDiv[[GASB]:[GASB]],_xlfn.AGGREGATE(15,3,(TableDiv[[Agency]:[Agency]]=$E174)/(TableDiv[[Agency]:[Agency]]=$E174)*(ROW(TableDiv[Agency])-ROW(TableDiv[[#Headers],[Agency]])),COLUMNS($F$7:AL$7))))</f>
        <v/>
      </c>
      <c r="AM174" s="2223" t="str" cm="1">
        <f t="array" ref="AM174">IF($D174&lt;COLUMNS($F$7:AM$7),"",INDEX(TableDiv[[GASB]:[GASB]],_xlfn.AGGREGATE(15,3,(TableDiv[[Agency]:[Agency]]=$E174)/(TableDiv[[Agency]:[Agency]]=$E174)*(ROW(TableDiv[Agency])-ROW(TableDiv[[#Headers],[Agency]])),COLUMNS($F$7:AM$7))))</f>
        <v/>
      </c>
      <c r="AN174" s="2223"/>
      <c r="AO174" s="2223"/>
      <c r="AP174" s="2223"/>
      <c r="AQ174" s="2223"/>
      <c r="AR174" s="2223"/>
      <c r="AS174" s="2223"/>
    </row>
    <row r="175" spans="1:45" ht="15" x14ac:dyDescent="0.25">
      <c r="A175" s="2219" t="s">
        <v>6441</v>
      </c>
      <c r="B175" s="2219" t="s">
        <v>6372</v>
      </c>
      <c r="C175" s="2223"/>
      <c r="D175" s="2223">
        <f>COUNTIF(TableDiv[Agency],E175)</f>
        <v>1</v>
      </c>
      <c r="E175" s="2230" t="str" cm="1">
        <f t="array" ref="E175">IFERROR(INDEX(TableDiv[Agency],MATCH(0,INDEX(COUNTIF($E$7:E174,TableDiv[Agency]),),0)),"")</f>
        <v>D4</v>
      </c>
      <c r="F175" s="2223" t="str" cm="1">
        <f t="array" ref="F175">IF($D175&lt;COLUMNS($F$7:F$7),"",INDEX(TableDiv[[GASB]:[GASB]],_xlfn.AGGREGATE(15,3,(TableDiv[[Agency]:[Agency]]=$E175)/(TableDiv[[Agency]:[Agency]]=$E175)*(ROW(TableDiv[Agency])-ROW(TableDiv[[#Headers],[Agency]])),COLUMNS($F$7:F$7))))</f>
        <v>48100G</v>
      </c>
      <c r="G175" s="2223" t="str" cm="1">
        <f t="array" ref="G175">IF($D175&lt;COLUMNS($F$7:G$7),"",INDEX(TableDiv[[GASB]:[GASB]],_xlfn.AGGREGATE(15,3,(TableDiv[[Agency]:[Agency]]=$E175)/(TableDiv[[Agency]:[Agency]]=$E175)*(ROW(TableDiv[Agency])-ROW(TableDiv[[#Headers],[Agency]])),COLUMNS($F$7:G$7))))</f>
        <v/>
      </c>
      <c r="H175" s="2223" t="str" cm="1">
        <f t="array" ref="H175">IF($D175&lt;COLUMNS($F$7:H$7),"",INDEX(TableDiv[[GASB]:[GASB]],_xlfn.AGGREGATE(15,3,(TableDiv[[Agency]:[Agency]]=$E175)/(TableDiv[[Agency]:[Agency]]=$E175)*(ROW(TableDiv[Agency])-ROW(TableDiv[[#Headers],[Agency]])),COLUMNS($F$7:H$7))))</f>
        <v/>
      </c>
      <c r="I175" s="2223" t="str" cm="1">
        <f t="array" ref="I175">IF($D175&lt;COLUMNS($F$7:I$7),"",INDEX(TableDiv[[GASB]:[GASB]],_xlfn.AGGREGATE(15,3,(TableDiv[[Agency]:[Agency]]=$E175)/(TableDiv[[Agency]:[Agency]]=$E175)*(ROW(TableDiv[Agency])-ROW(TableDiv[[#Headers],[Agency]])),COLUMNS($F$7:I$7))))</f>
        <v/>
      </c>
      <c r="J175" s="2223" t="str" cm="1">
        <f t="array" ref="J175">IF($D175&lt;COLUMNS($F$7:J$7),"",INDEX(TableDiv[[GASB]:[GASB]],_xlfn.AGGREGATE(15,3,(TableDiv[[Agency]:[Agency]]=$E175)/(TableDiv[[Agency]:[Agency]]=$E175)*(ROW(TableDiv[Agency])-ROW(TableDiv[[#Headers],[Agency]])),COLUMNS($F$7:J$7))))</f>
        <v/>
      </c>
      <c r="K175" s="2223" t="str" cm="1">
        <f t="array" ref="K175">IF($D175&lt;COLUMNS($F$7:K$7),"",INDEX(TableDiv[[GASB]:[GASB]],_xlfn.AGGREGATE(15,3,(TableDiv[[Agency]:[Agency]]=$E175)/(TableDiv[[Agency]:[Agency]]=$E175)*(ROW(TableDiv[Agency])-ROW(TableDiv[[#Headers],[Agency]])),COLUMNS($F$7:K$7))))</f>
        <v/>
      </c>
      <c r="L175" s="2223" t="str" cm="1">
        <f t="array" ref="L175">IF($D175&lt;COLUMNS($F$7:L$7),"",INDEX(TableDiv[[GASB]:[GASB]],_xlfn.AGGREGATE(15,3,(TableDiv[[Agency]:[Agency]]=$E175)/(TableDiv[[Agency]:[Agency]]=$E175)*(ROW(TableDiv[Agency])-ROW(TableDiv[[#Headers],[Agency]])),COLUMNS($F$7:L$7))))</f>
        <v/>
      </c>
      <c r="M175" s="2223" t="str" cm="1">
        <f t="array" ref="M175">IF($D175&lt;COLUMNS($F$7:M$7),"",INDEX(TableDiv[[GASB]:[GASB]],_xlfn.AGGREGATE(15,3,(TableDiv[[Agency]:[Agency]]=$E175)/(TableDiv[[Agency]:[Agency]]=$E175)*(ROW(TableDiv[Agency])-ROW(TableDiv[[#Headers],[Agency]])),COLUMNS($F$7:M$7))))</f>
        <v/>
      </c>
      <c r="N175" s="2223" t="str" cm="1">
        <f t="array" ref="N175">IF($D175&lt;COLUMNS($F$7:N$7),"",INDEX(TableDiv[[GASB]:[GASB]],_xlfn.AGGREGATE(15,3,(TableDiv[[Agency]:[Agency]]=$E175)/(TableDiv[[Agency]:[Agency]]=$E175)*(ROW(TableDiv[Agency])-ROW(TableDiv[[#Headers],[Agency]])),COLUMNS($F$7:N$7))))</f>
        <v/>
      </c>
      <c r="O175" s="2223" t="str" cm="1">
        <f t="array" ref="O175">IF($D175&lt;COLUMNS($F$7:O$7),"",INDEX(TableDiv[[GASB]:[GASB]],_xlfn.AGGREGATE(15,3,(TableDiv[[Agency]:[Agency]]=$E175)/(TableDiv[[Agency]:[Agency]]=$E175)*(ROW(TableDiv[Agency])-ROW(TableDiv[[#Headers],[Agency]])),COLUMNS($F$7:O$7))))</f>
        <v/>
      </c>
      <c r="P175" s="2223" t="str" cm="1">
        <f t="array" ref="P175">IF($D175&lt;COLUMNS($F$7:P$7),"",INDEX(TableDiv[[GASB]:[GASB]],_xlfn.AGGREGATE(15,3,(TableDiv[[Agency]:[Agency]]=$E175)/(TableDiv[[Agency]:[Agency]]=$E175)*(ROW(TableDiv[Agency])-ROW(TableDiv[[#Headers],[Agency]])),COLUMNS($F$7:P$7))))</f>
        <v/>
      </c>
      <c r="Q175" s="2223" t="str" cm="1">
        <f t="array" ref="Q175">IF($D175&lt;COLUMNS($F$7:Q$7),"",INDEX(TableDiv[[GASB]:[GASB]],_xlfn.AGGREGATE(15,3,(TableDiv[[Agency]:[Agency]]=$E175)/(TableDiv[[Agency]:[Agency]]=$E175)*(ROW(TableDiv[Agency])-ROW(TableDiv[[#Headers],[Agency]])),COLUMNS($F$7:Q$7))))</f>
        <v/>
      </c>
      <c r="R175" s="2223" t="str" cm="1">
        <f t="array" ref="R175">IF($D175&lt;COLUMNS($F$7:R$7),"",INDEX(TableDiv[[GASB]:[GASB]],_xlfn.AGGREGATE(15,3,(TableDiv[[Agency]:[Agency]]=$E175)/(TableDiv[[Agency]:[Agency]]=$E175)*(ROW(TableDiv[Agency])-ROW(TableDiv[[#Headers],[Agency]])),COLUMNS($F$7:R$7))))</f>
        <v/>
      </c>
      <c r="S175" s="2223" t="str" cm="1">
        <f t="array" ref="S175">IF($D175&lt;COLUMNS($F$7:S$7),"",INDEX(TableDiv[[GASB]:[GASB]],_xlfn.AGGREGATE(15,3,(TableDiv[[Agency]:[Agency]]=$E175)/(TableDiv[[Agency]:[Agency]]=$E175)*(ROW(TableDiv[Agency])-ROW(TableDiv[[#Headers],[Agency]])),COLUMNS($F$7:S$7))))</f>
        <v/>
      </c>
      <c r="T175" s="2223" t="str" cm="1">
        <f t="array" ref="T175">IF($D175&lt;COLUMNS($F$7:T$7),"",INDEX(TableDiv[[GASB]:[GASB]],_xlfn.AGGREGATE(15,3,(TableDiv[[Agency]:[Agency]]=$E175)/(TableDiv[[Agency]:[Agency]]=$E175)*(ROW(TableDiv[Agency])-ROW(TableDiv[[#Headers],[Agency]])),COLUMNS($F$7:T$7))))</f>
        <v/>
      </c>
      <c r="U175" s="2223" t="str" cm="1">
        <f t="array" ref="U175">IF($D175&lt;COLUMNS($F$7:U$7),"",INDEX(TableDiv[[GASB]:[GASB]],_xlfn.AGGREGATE(15,3,(TableDiv[[Agency]:[Agency]]=$E175)/(TableDiv[[Agency]:[Agency]]=$E175)*(ROW(TableDiv[Agency])-ROW(TableDiv[[#Headers],[Agency]])),COLUMNS($F$7:U$7))))</f>
        <v/>
      </c>
      <c r="V175" s="2223" t="str" cm="1">
        <f t="array" ref="V175">IF($D175&lt;COLUMNS($F$7:V$7),"",INDEX(TableDiv[[GASB]:[GASB]],_xlfn.AGGREGATE(15,3,(TableDiv[[Agency]:[Agency]]=$E175)/(TableDiv[[Agency]:[Agency]]=$E175)*(ROW(TableDiv[Agency])-ROW(TableDiv[[#Headers],[Agency]])),COLUMNS($F$7:V$7))))</f>
        <v/>
      </c>
      <c r="W175" s="2223" t="str" cm="1">
        <f t="array" ref="W175">IF($D175&lt;COLUMNS($F$7:W$7),"",INDEX(TableDiv[[GASB]:[GASB]],_xlfn.AGGREGATE(15,3,(TableDiv[[Agency]:[Agency]]=$E175)/(TableDiv[[Agency]:[Agency]]=$E175)*(ROW(TableDiv[Agency])-ROW(TableDiv[[#Headers],[Agency]])),COLUMNS($F$7:W$7))))</f>
        <v/>
      </c>
      <c r="X175" s="2223" t="str" cm="1">
        <f t="array" ref="X175">IF($D175&lt;COLUMNS($F$7:X$7),"",INDEX(TableDiv[[GASB]:[GASB]],_xlfn.AGGREGATE(15,3,(TableDiv[[Agency]:[Agency]]=$E175)/(TableDiv[[Agency]:[Agency]]=$E175)*(ROW(TableDiv[Agency])-ROW(TableDiv[[#Headers],[Agency]])),COLUMNS($F$7:X$7))))</f>
        <v/>
      </c>
      <c r="Y175" s="2223" t="str" cm="1">
        <f t="array" ref="Y175">IF($D175&lt;COLUMNS($F$7:Y$7),"",INDEX(TableDiv[[GASB]:[GASB]],_xlfn.AGGREGATE(15,3,(TableDiv[[Agency]:[Agency]]=$E175)/(TableDiv[[Agency]:[Agency]]=$E175)*(ROW(TableDiv[Agency])-ROW(TableDiv[[#Headers],[Agency]])),COLUMNS($F$7:Y$7))))</f>
        <v/>
      </c>
      <c r="Z175" s="2223" t="str" cm="1">
        <f t="array" ref="Z175">IF($D175&lt;COLUMNS($F$7:Z$7),"",INDEX(TableDiv[[GASB]:[GASB]],_xlfn.AGGREGATE(15,3,(TableDiv[[Agency]:[Agency]]=$E175)/(TableDiv[[Agency]:[Agency]]=$E175)*(ROW(TableDiv[Agency])-ROW(TableDiv[[#Headers],[Agency]])),COLUMNS($F$7:Z$7))))</f>
        <v/>
      </c>
      <c r="AA175" s="2223" t="str" cm="1">
        <f t="array" ref="AA175">IF($D175&lt;COLUMNS($F$7:AA$7),"",INDEX(TableDiv[[GASB]:[GASB]],_xlfn.AGGREGATE(15,3,(TableDiv[[Agency]:[Agency]]=$E175)/(TableDiv[[Agency]:[Agency]]=$E175)*(ROW(TableDiv[Agency])-ROW(TableDiv[[#Headers],[Agency]])),COLUMNS($F$7:AA$7))))</f>
        <v/>
      </c>
      <c r="AB175" s="2223" t="str" cm="1">
        <f t="array" ref="AB175">IF($D175&lt;COLUMNS($F$7:AB$7),"",INDEX(TableDiv[[GASB]:[GASB]],_xlfn.AGGREGATE(15,3,(TableDiv[[Agency]:[Agency]]=$E175)/(TableDiv[[Agency]:[Agency]]=$E175)*(ROW(TableDiv[Agency])-ROW(TableDiv[[#Headers],[Agency]])),COLUMNS($F$7:AB$7))))</f>
        <v/>
      </c>
      <c r="AC175" s="2223" t="str" cm="1">
        <f t="array" ref="AC175">IF($D175&lt;COLUMNS($F$7:AC$7),"",INDEX(TableDiv[[GASB]:[GASB]],_xlfn.AGGREGATE(15,3,(TableDiv[[Agency]:[Agency]]=$E175)/(TableDiv[[Agency]:[Agency]]=$E175)*(ROW(TableDiv[Agency])-ROW(TableDiv[[#Headers],[Agency]])),COLUMNS($F$7:AC$7))))</f>
        <v/>
      </c>
      <c r="AD175" s="2223" t="str" cm="1">
        <f t="array" ref="AD175">IF($D175&lt;COLUMNS($F$7:AD$7),"",INDEX(TableDiv[[GASB]:[GASB]],_xlfn.AGGREGATE(15,3,(TableDiv[[Agency]:[Agency]]=$E175)/(TableDiv[[Agency]:[Agency]]=$E175)*(ROW(TableDiv[Agency])-ROW(TableDiv[[#Headers],[Agency]])),COLUMNS($F$7:AD$7))))</f>
        <v/>
      </c>
      <c r="AE175" s="2223" t="str" cm="1">
        <f t="array" ref="AE175">IF($D175&lt;COLUMNS($F$7:AE$7),"",INDEX(TableDiv[[GASB]:[GASB]],_xlfn.AGGREGATE(15,3,(TableDiv[[Agency]:[Agency]]=$E175)/(TableDiv[[Agency]:[Agency]]=$E175)*(ROW(TableDiv[Agency])-ROW(TableDiv[[#Headers],[Agency]])),COLUMNS($F$7:AE$7))))</f>
        <v/>
      </c>
      <c r="AF175" s="2223" t="str" cm="1">
        <f t="array" ref="AF175">IF($D175&lt;COLUMNS($F$7:AF$7),"",INDEX(TableDiv[[GASB]:[GASB]],_xlfn.AGGREGATE(15,3,(TableDiv[[Agency]:[Agency]]=$E175)/(TableDiv[[Agency]:[Agency]]=$E175)*(ROW(TableDiv[Agency])-ROW(TableDiv[[#Headers],[Agency]])),COLUMNS($F$7:AF$7))))</f>
        <v/>
      </c>
      <c r="AG175" s="2223" t="str" cm="1">
        <f t="array" ref="AG175">IF($D175&lt;COLUMNS($F$7:AG$7),"",INDEX(TableDiv[[GASB]:[GASB]],_xlfn.AGGREGATE(15,3,(TableDiv[[Agency]:[Agency]]=$E175)/(TableDiv[[Agency]:[Agency]]=$E175)*(ROW(TableDiv[Agency])-ROW(TableDiv[[#Headers],[Agency]])),COLUMNS($F$7:AG$7))))</f>
        <v/>
      </c>
      <c r="AH175" s="2223" t="str" cm="1">
        <f t="array" ref="AH175">IF($D175&lt;COLUMNS($F$7:AH$7),"",INDEX(TableDiv[[GASB]:[GASB]],_xlfn.AGGREGATE(15,3,(TableDiv[[Agency]:[Agency]]=$E175)/(TableDiv[[Agency]:[Agency]]=$E175)*(ROW(TableDiv[Agency])-ROW(TableDiv[[#Headers],[Agency]])),COLUMNS($F$7:AH$7))))</f>
        <v/>
      </c>
      <c r="AI175" s="2223" t="str" cm="1">
        <f t="array" ref="AI175">IF($D175&lt;COLUMNS($F$7:AI$7),"",INDEX(TableDiv[[GASB]:[GASB]],_xlfn.AGGREGATE(15,3,(TableDiv[[Agency]:[Agency]]=$E175)/(TableDiv[[Agency]:[Agency]]=$E175)*(ROW(TableDiv[Agency])-ROW(TableDiv[[#Headers],[Agency]])),COLUMNS($F$7:AI$7))))</f>
        <v/>
      </c>
      <c r="AJ175" s="2223" t="str" cm="1">
        <f t="array" ref="AJ175">IF($D175&lt;COLUMNS($F$7:AJ$7),"",INDEX(TableDiv[[GASB]:[GASB]],_xlfn.AGGREGATE(15,3,(TableDiv[[Agency]:[Agency]]=$E175)/(TableDiv[[Agency]:[Agency]]=$E175)*(ROW(TableDiv[Agency])-ROW(TableDiv[[#Headers],[Agency]])),COLUMNS($F$7:AJ$7))))</f>
        <v/>
      </c>
      <c r="AK175" s="2223" t="str" cm="1">
        <f t="array" ref="AK175">IF($D175&lt;COLUMNS($F$7:AK$7),"",INDEX(TableDiv[[GASB]:[GASB]],_xlfn.AGGREGATE(15,3,(TableDiv[[Agency]:[Agency]]=$E175)/(TableDiv[[Agency]:[Agency]]=$E175)*(ROW(TableDiv[Agency])-ROW(TableDiv[[#Headers],[Agency]])),COLUMNS($F$7:AK$7))))</f>
        <v/>
      </c>
      <c r="AL175" s="2223" t="str" cm="1">
        <f t="array" ref="AL175">IF($D175&lt;COLUMNS($F$7:AL$7),"",INDEX(TableDiv[[GASB]:[GASB]],_xlfn.AGGREGATE(15,3,(TableDiv[[Agency]:[Agency]]=$E175)/(TableDiv[[Agency]:[Agency]]=$E175)*(ROW(TableDiv[Agency])-ROW(TableDiv[[#Headers],[Agency]])),COLUMNS($F$7:AL$7))))</f>
        <v/>
      </c>
      <c r="AM175" s="2223" t="str" cm="1">
        <f t="array" ref="AM175">IF($D175&lt;COLUMNS($F$7:AM$7),"",INDEX(TableDiv[[GASB]:[GASB]],_xlfn.AGGREGATE(15,3,(TableDiv[[Agency]:[Agency]]=$E175)/(TableDiv[[Agency]:[Agency]]=$E175)*(ROW(TableDiv[Agency])-ROW(TableDiv[[#Headers],[Agency]])),COLUMNS($F$7:AM$7))))</f>
        <v/>
      </c>
      <c r="AN175" s="2223"/>
      <c r="AO175" s="2223"/>
      <c r="AP175" s="2223"/>
      <c r="AQ175" s="2223"/>
      <c r="AR175" s="2223"/>
      <c r="AS175" s="2223"/>
    </row>
    <row r="176" spans="1:45" ht="15" x14ac:dyDescent="0.25">
      <c r="A176" s="2219" t="s">
        <v>6442</v>
      </c>
      <c r="B176" s="2219" t="s">
        <v>6357</v>
      </c>
      <c r="C176" s="2223"/>
      <c r="D176" s="2223">
        <f>COUNTIF(TableDiv[Agency],E176)</f>
        <v>1</v>
      </c>
      <c r="E176" s="2230" t="str" cm="1">
        <f t="array" ref="E176">IFERROR(INDEX(TableDiv[Agency],MATCH(0,INDEX(COUNTIF($E$7:E175,TableDiv[Agency]),),0)),"")</f>
        <v>D5</v>
      </c>
      <c r="F176" s="2223" t="str" cm="1">
        <f t="array" ref="F176">IF($D176&lt;COLUMNS($F$7:F$7),"",INDEX(TableDiv[[GASB]:[GASB]],_xlfn.AGGREGATE(15,3,(TableDiv[[Agency]:[Agency]]=$E176)/(TableDiv[[Agency]:[Agency]]=$E176)*(ROW(TableDiv[Agency])-ROW(TableDiv[[#Headers],[Agency]])),COLUMNS($F$7:F$7))))</f>
        <v>48100G</v>
      </c>
      <c r="G176" s="2223" t="str" cm="1">
        <f t="array" ref="G176">IF($D176&lt;COLUMNS($F$7:G$7),"",INDEX(TableDiv[[GASB]:[GASB]],_xlfn.AGGREGATE(15,3,(TableDiv[[Agency]:[Agency]]=$E176)/(TableDiv[[Agency]:[Agency]]=$E176)*(ROW(TableDiv[Agency])-ROW(TableDiv[[#Headers],[Agency]])),COLUMNS($F$7:G$7))))</f>
        <v/>
      </c>
      <c r="H176" s="2223" t="str" cm="1">
        <f t="array" ref="H176">IF($D176&lt;COLUMNS($F$7:H$7),"",INDEX(TableDiv[[GASB]:[GASB]],_xlfn.AGGREGATE(15,3,(TableDiv[[Agency]:[Agency]]=$E176)/(TableDiv[[Agency]:[Agency]]=$E176)*(ROW(TableDiv[Agency])-ROW(TableDiv[[#Headers],[Agency]])),COLUMNS($F$7:H$7))))</f>
        <v/>
      </c>
      <c r="I176" s="2223" t="str" cm="1">
        <f t="array" ref="I176">IF($D176&lt;COLUMNS($F$7:I$7),"",INDEX(TableDiv[[GASB]:[GASB]],_xlfn.AGGREGATE(15,3,(TableDiv[[Agency]:[Agency]]=$E176)/(TableDiv[[Agency]:[Agency]]=$E176)*(ROW(TableDiv[Agency])-ROW(TableDiv[[#Headers],[Agency]])),COLUMNS($F$7:I$7))))</f>
        <v/>
      </c>
      <c r="J176" s="2223" t="str" cm="1">
        <f t="array" ref="J176">IF($D176&lt;COLUMNS($F$7:J$7),"",INDEX(TableDiv[[GASB]:[GASB]],_xlfn.AGGREGATE(15,3,(TableDiv[[Agency]:[Agency]]=$E176)/(TableDiv[[Agency]:[Agency]]=$E176)*(ROW(TableDiv[Agency])-ROW(TableDiv[[#Headers],[Agency]])),COLUMNS($F$7:J$7))))</f>
        <v/>
      </c>
      <c r="K176" s="2223" t="str" cm="1">
        <f t="array" ref="K176">IF($D176&lt;COLUMNS($F$7:K$7),"",INDEX(TableDiv[[GASB]:[GASB]],_xlfn.AGGREGATE(15,3,(TableDiv[[Agency]:[Agency]]=$E176)/(TableDiv[[Agency]:[Agency]]=$E176)*(ROW(TableDiv[Agency])-ROW(TableDiv[[#Headers],[Agency]])),COLUMNS($F$7:K$7))))</f>
        <v/>
      </c>
      <c r="L176" s="2223" t="str" cm="1">
        <f t="array" ref="L176">IF($D176&lt;COLUMNS($F$7:L$7),"",INDEX(TableDiv[[GASB]:[GASB]],_xlfn.AGGREGATE(15,3,(TableDiv[[Agency]:[Agency]]=$E176)/(TableDiv[[Agency]:[Agency]]=$E176)*(ROW(TableDiv[Agency])-ROW(TableDiv[[#Headers],[Agency]])),COLUMNS($F$7:L$7))))</f>
        <v/>
      </c>
      <c r="M176" s="2223" t="str" cm="1">
        <f t="array" ref="M176">IF($D176&lt;COLUMNS($F$7:M$7),"",INDEX(TableDiv[[GASB]:[GASB]],_xlfn.AGGREGATE(15,3,(TableDiv[[Agency]:[Agency]]=$E176)/(TableDiv[[Agency]:[Agency]]=$E176)*(ROW(TableDiv[Agency])-ROW(TableDiv[[#Headers],[Agency]])),COLUMNS($F$7:M$7))))</f>
        <v/>
      </c>
      <c r="N176" s="2223" t="str" cm="1">
        <f t="array" ref="N176">IF($D176&lt;COLUMNS($F$7:N$7),"",INDEX(TableDiv[[GASB]:[GASB]],_xlfn.AGGREGATE(15,3,(TableDiv[[Agency]:[Agency]]=$E176)/(TableDiv[[Agency]:[Agency]]=$E176)*(ROW(TableDiv[Agency])-ROW(TableDiv[[#Headers],[Agency]])),COLUMNS($F$7:N$7))))</f>
        <v/>
      </c>
      <c r="O176" s="2223" t="str" cm="1">
        <f t="array" ref="O176">IF($D176&lt;COLUMNS($F$7:O$7),"",INDEX(TableDiv[[GASB]:[GASB]],_xlfn.AGGREGATE(15,3,(TableDiv[[Agency]:[Agency]]=$E176)/(TableDiv[[Agency]:[Agency]]=$E176)*(ROW(TableDiv[Agency])-ROW(TableDiv[[#Headers],[Agency]])),COLUMNS($F$7:O$7))))</f>
        <v/>
      </c>
      <c r="P176" s="2223" t="str" cm="1">
        <f t="array" ref="P176">IF($D176&lt;COLUMNS($F$7:P$7),"",INDEX(TableDiv[[GASB]:[GASB]],_xlfn.AGGREGATE(15,3,(TableDiv[[Agency]:[Agency]]=$E176)/(TableDiv[[Agency]:[Agency]]=$E176)*(ROW(TableDiv[Agency])-ROW(TableDiv[[#Headers],[Agency]])),COLUMNS($F$7:P$7))))</f>
        <v/>
      </c>
      <c r="Q176" s="2223" t="str" cm="1">
        <f t="array" ref="Q176">IF($D176&lt;COLUMNS($F$7:Q$7),"",INDEX(TableDiv[[GASB]:[GASB]],_xlfn.AGGREGATE(15,3,(TableDiv[[Agency]:[Agency]]=$E176)/(TableDiv[[Agency]:[Agency]]=$E176)*(ROW(TableDiv[Agency])-ROW(TableDiv[[#Headers],[Agency]])),COLUMNS($F$7:Q$7))))</f>
        <v/>
      </c>
      <c r="R176" s="2223" t="str" cm="1">
        <f t="array" ref="R176">IF($D176&lt;COLUMNS($F$7:R$7),"",INDEX(TableDiv[[GASB]:[GASB]],_xlfn.AGGREGATE(15,3,(TableDiv[[Agency]:[Agency]]=$E176)/(TableDiv[[Agency]:[Agency]]=$E176)*(ROW(TableDiv[Agency])-ROW(TableDiv[[#Headers],[Agency]])),COLUMNS($F$7:R$7))))</f>
        <v/>
      </c>
      <c r="S176" s="2223" t="str" cm="1">
        <f t="array" ref="S176">IF($D176&lt;COLUMNS($F$7:S$7),"",INDEX(TableDiv[[GASB]:[GASB]],_xlfn.AGGREGATE(15,3,(TableDiv[[Agency]:[Agency]]=$E176)/(TableDiv[[Agency]:[Agency]]=$E176)*(ROW(TableDiv[Agency])-ROW(TableDiv[[#Headers],[Agency]])),COLUMNS($F$7:S$7))))</f>
        <v/>
      </c>
      <c r="T176" s="2223" t="str" cm="1">
        <f t="array" ref="T176">IF($D176&lt;COLUMNS($F$7:T$7),"",INDEX(TableDiv[[GASB]:[GASB]],_xlfn.AGGREGATE(15,3,(TableDiv[[Agency]:[Agency]]=$E176)/(TableDiv[[Agency]:[Agency]]=$E176)*(ROW(TableDiv[Agency])-ROW(TableDiv[[#Headers],[Agency]])),COLUMNS($F$7:T$7))))</f>
        <v/>
      </c>
      <c r="U176" s="2223" t="str" cm="1">
        <f t="array" ref="U176">IF($D176&lt;COLUMNS($F$7:U$7),"",INDEX(TableDiv[[GASB]:[GASB]],_xlfn.AGGREGATE(15,3,(TableDiv[[Agency]:[Agency]]=$E176)/(TableDiv[[Agency]:[Agency]]=$E176)*(ROW(TableDiv[Agency])-ROW(TableDiv[[#Headers],[Agency]])),COLUMNS($F$7:U$7))))</f>
        <v/>
      </c>
      <c r="V176" s="2223" t="str" cm="1">
        <f t="array" ref="V176">IF($D176&lt;COLUMNS($F$7:V$7),"",INDEX(TableDiv[[GASB]:[GASB]],_xlfn.AGGREGATE(15,3,(TableDiv[[Agency]:[Agency]]=$E176)/(TableDiv[[Agency]:[Agency]]=$E176)*(ROW(TableDiv[Agency])-ROW(TableDiv[[#Headers],[Agency]])),COLUMNS($F$7:V$7))))</f>
        <v/>
      </c>
      <c r="W176" s="2223" t="str" cm="1">
        <f t="array" ref="W176">IF($D176&lt;COLUMNS($F$7:W$7),"",INDEX(TableDiv[[GASB]:[GASB]],_xlfn.AGGREGATE(15,3,(TableDiv[[Agency]:[Agency]]=$E176)/(TableDiv[[Agency]:[Agency]]=$E176)*(ROW(TableDiv[Agency])-ROW(TableDiv[[#Headers],[Agency]])),COLUMNS($F$7:W$7))))</f>
        <v/>
      </c>
      <c r="X176" s="2223" t="str" cm="1">
        <f t="array" ref="X176">IF($D176&lt;COLUMNS($F$7:X$7),"",INDEX(TableDiv[[GASB]:[GASB]],_xlfn.AGGREGATE(15,3,(TableDiv[[Agency]:[Agency]]=$E176)/(TableDiv[[Agency]:[Agency]]=$E176)*(ROW(TableDiv[Agency])-ROW(TableDiv[[#Headers],[Agency]])),COLUMNS($F$7:X$7))))</f>
        <v/>
      </c>
      <c r="Y176" s="2223" t="str" cm="1">
        <f t="array" ref="Y176">IF($D176&lt;COLUMNS($F$7:Y$7),"",INDEX(TableDiv[[GASB]:[GASB]],_xlfn.AGGREGATE(15,3,(TableDiv[[Agency]:[Agency]]=$E176)/(TableDiv[[Agency]:[Agency]]=$E176)*(ROW(TableDiv[Agency])-ROW(TableDiv[[#Headers],[Agency]])),COLUMNS($F$7:Y$7))))</f>
        <v/>
      </c>
      <c r="Z176" s="2223" t="str" cm="1">
        <f t="array" ref="Z176">IF($D176&lt;COLUMNS($F$7:Z$7),"",INDEX(TableDiv[[GASB]:[GASB]],_xlfn.AGGREGATE(15,3,(TableDiv[[Agency]:[Agency]]=$E176)/(TableDiv[[Agency]:[Agency]]=$E176)*(ROW(TableDiv[Agency])-ROW(TableDiv[[#Headers],[Agency]])),COLUMNS($F$7:Z$7))))</f>
        <v/>
      </c>
      <c r="AA176" s="2223" t="str" cm="1">
        <f t="array" ref="AA176">IF($D176&lt;COLUMNS($F$7:AA$7),"",INDEX(TableDiv[[GASB]:[GASB]],_xlfn.AGGREGATE(15,3,(TableDiv[[Agency]:[Agency]]=$E176)/(TableDiv[[Agency]:[Agency]]=$E176)*(ROW(TableDiv[Agency])-ROW(TableDiv[[#Headers],[Agency]])),COLUMNS($F$7:AA$7))))</f>
        <v/>
      </c>
      <c r="AB176" s="2223" t="str" cm="1">
        <f t="array" ref="AB176">IF($D176&lt;COLUMNS($F$7:AB$7),"",INDEX(TableDiv[[GASB]:[GASB]],_xlfn.AGGREGATE(15,3,(TableDiv[[Agency]:[Agency]]=$E176)/(TableDiv[[Agency]:[Agency]]=$E176)*(ROW(TableDiv[Agency])-ROW(TableDiv[[#Headers],[Agency]])),COLUMNS($F$7:AB$7))))</f>
        <v/>
      </c>
      <c r="AC176" s="2223" t="str" cm="1">
        <f t="array" ref="AC176">IF($D176&lt;COLUMNS($F$7:AC$7),"",INDEX(TableDiv[[GASB]:[GASB]],_xlfn.AGGREGATE(15,3,(TableDiv[[Agency]:[Agency]]=$E176)/(TableDiv[[Agency]:[Agency]]=$E176)*(ROW(TableDiv[Agency])-ROW(TableDiv[[#Headers],[Agency]])),COLUMNS($F$7:AC$7))))</f>
        <v/>
      </c>
      <c r="AD176" s="2223" t="str" cm="1">
        <f t="array" ref="AD176">IF($D176&lt;COLUMNS($F$7:AD$7),"",INDEX(TableDiv[[GASB]:[GASB]],_xlfn.AGGREGATE(15,3,(TableDiv[[Agency]:[Agency]]=$E176)/(TableDiv[[Agency]:[Agency]]=$E176)*(ROW(TableDiv[Agency])-ROW(TableDiv[[#Headers],[Agency]])),COLUMNS($F$7:AD$7))))</f>
        <v/>
      </c>
      <c r="AE176" s="2223" t="str" cm="1">
        <f t="array" ref="AE176">IF($D176&lt;COLUMNS($F$7:AE$7),"",INDEX(TableDiv[[GASB]:[GASB]],_xlfn.AGGREGATE(15,3,(TableDiv[[Agency]:[Agency]]=$E176)/(TableDiv[[Agency]:[Agency]]=$E176)*(ROW(TableDiv[Agency])-ROW(TableDiv[[#Headers],[Agency]])),COLUMNS($F$7:AE$7))))</f>
        <v/>
      </c>
      <c r="AF176" s="2223" t="str" cm="1">
        <f t="array" ref="AF176">IF($D176&lt;COLUMNS($F$7:AF$7),"",INDEX(TableDiv[[GASB]:[GASB]],_xlfn.AGGREGATE(15,3,(TableDiv[[Agency]:[Agency]]=$E176)/(TableDiv[[Agency]:[Agency]]=$E176)*(ROW(TableDiv[Agency])-ROW(TableDiv[[#Headers],[Agency]])),COLUMNS($F$7:AF$7))))</f>
        <v/>
      </c>
      <c r="AG176" s="2223" t="str" cm="1">
        <f t="array" ref="AG176">IF($D176&lt;COLUMNS($F$7:AG$7),"",INDEX(TableDiv[[GASB]:[GASB]],_xlfn.AGGREGATE(15,3,(TableDiv[[Agency]:[Agency]]=$E176)/(TableDiv[[Agency]:[Agency]]=$E176)*(ROW(TableDiv[Agency])-ROW(TableDiv[[#Headers],[Agency]])),COLUMNS($F$7:AG$7))))</f>
        <v/>
      </c>
      <c r="AH176" s="2223" t="str" cm="1">
        <f t="array" ref="AH176">IF($D176&lt;COLUMNS($F$7:AH$7),"",INDEX(TableDiv[[GASB]:[GASB]],_xlfn.AGGREGATE(15,3,(TableDiv[[Agency]:[Agency]]=$E176)/(TableDiv[[Agency]:[Agency]]=$E176)*(ROW(TableDiv[Agency])-ROW(TableDiv[[#Headers],[Agency]])),COLUMNS($F$7:AH$7))))</f>
        <v/>
      </c>
      <c r="AI176" s="2223" t="str" cm="1">
        <f t="array" ref="AI176">IF($D176&lt;COLUMNS($F$7:AI$7),"",INDEX(TableDiv[[GASB]:[GASB]],_xlfn.AGGREGATE(15,3,(TableDiv[[Agency]:[Agency]]=$E176)/(TableDiv[[Agency]:[Agency]]=$E176)*(ROW(TableDiv[Agency])-ROW(TableDiv[[#Headers],[Agency]])),COLUMNS($F$7:AI$7))))</f>
        <v/>
      </c>
      <c r="AJ176" s="2223" t="str" cm="1">
        <f t="array" ref="AJ176">IF($D176&lt;COLUMNS($F$7:AJ$7),"",INDEX(TableDiv[[GASB]:[GASB]],_xlfn.AGGREGATE(15,3,(TableDiv[[Agency]:[Agency]]=$E176)/(TableDiv[[Agency]:[Agency]]=$E176)*(ROW(TableDiv[Agency])-ROW(TableDiv[[#Headers],[Agency]])),COLUMNS($F$7:AJ$7))))</f>
        <v/>
      </c>
      <c r="AK176" s="2223" t="str" cm="1">
        <f t="array" ref="AK176">IF($D176&lt;COLUMNS($F$7:AK$7),"",INDEX(TableDiv[[GASB]:[GASB]],_xlfn.AGGREGATE(15,3,(TableDiv[[Agency]:[Agency]]=$E176)/(TableDiv[[Agency]:[Agency]]=$E176)*(ROW(TableDiv[Agency])-ROW(TableDiv[[#Headers],[Agency]])),COLUMNS($F$7:AK$7))))</f>
        <v/>
      </c>
      <c r="AL176" s="2223" t="str" cm="1">
        <f t="array" ref="AL176">IF($D176&lt;COLUMNS($F$7:AL$7),"",INDEX(TableDiv[[GASB]:[GASB]],_xlfn.AGGREGATE(15,3,(TableDiv[[Agency]:[Agency]]=$E176)/(TableDiv[[Agency]:[Agency]]=$E176)*(ROW(TableDiv[Agency])-ROW(TableDiv[[#Headers],[Agency]])),COLUMNS($F$7:AL$7))))</f>
        <v/>
      </c>
      <c r="AM176" s="2223" t="str" cm="1">
        <f t="array" ref="AM176">IF($D176&lt;COLUMNS($F$7:AM$7),"",INDEX(TableDiv[[GASB]:[GASB]],_xlfn.AGGREGATE(15,3,(TableDiv[[Agency]:[Agency]]=$E176)/(TableDiv[[Agency]:[Agency]]=$E176)*(ROW(TableDiv[Agency])-ROW(TableDiv[[#Headers],[Agency]])),COLUMNS($F$7:AM$7))))</f>
        <v/>
      </c>
      <c r="AN176" s="2223"/>
      <c r="AO176" s="2223"/>
      <c r="AP176" s="2223"/>
      <c r="AQ176" s="2223"/>
      <c r="AR176" s="2223"/>
      <c r="AS176" s="2223"/>
    </row>
    <row r="177" spans="1:45" ht="15" x14ac:dyDescent="0.25">
      <c r="A177" s="2219" t="s">
        <v>6442</v>
      </c>
      <c r="B177" s="2219" t="s">
        <v>6361</v>
      </c>
      <c r="C177" s="2223"/>
      <c r="D177" s="2223">
        <f>COUNTIF(TableDiv[Agency],E177)</f>
        <v>1</v>
      </c>
      <c r="E177" s="2230" t="str" cm="1">
        <f t="array" ref="E177">IFERROR(INDEX(TableDiv[Agency],MATCH(0,INDEX(COUNTIF($E$7:E176,TableDiv[Agency]),),0)),"")</f>
        <v>D6</v>
      </c>
      <c r="F177" s="2223" t="str" cm="1">
        <f t="array" ref="F177">IF($D177&lt;COLUMNS($F$7:F$7),"",INDEX(TableDiv[[GASB]:[GASB]],_xlfn.AGGREGATE(15,3,(TableDiv[[Agency]:[Agency]]=$E177)/(TableDiv[[Agency]:[Agency]]=$E177)*(ROW(TableDiv[Agency])-ROW(TableDiv[[#Headers],[Agency]])),COLUMNS($F$7:F$7))))</f>
        <v>48100G</v>
      </c>
      <c r="G177" s="2223" t="str" cm="1">
        <f t="array" ref="G177">IF($D177&lt;COLUMNS($F$7:G$7),"",INDEX(TableDiv[[GASB]:[GASB]],_xlfn.AGGREGATE(15,3,(TableDiv[[Agency]:[Agency]]=$E177)/(TableDiv[[Agency]:[Agency]]=$E177)*(ROW(TableDiv[Agency])-ROW(TableDiv[[#Headers],[Agency]])),COLUMNS($F$7:G$7))))</f>
        <v/>
      </c>
      <c r="H177" s="2223" t="str" cm="1">
        <f t="array" ref="H177">IF($D177&lt;COLUMNS($F$7:H$7),"",INDEX(TableDiv[[GASB]:[GASB]],_xlfn.AGGREGATE(15,3,(TableDiv[[Agency]:[Agency]]=$E177)/(TableDiv[[Agency]:[Agency]]=$E177)*(ROW(TableDiv[Agency])-ROW(TableDiv[[#Headers],[Agency]])),COLUMNS($F$7:H$7))))</f>
        <v/>
      </c>
      <c r="I177" s="2223" t="str" cm="1">
        <f t="array" ref="I177">IF($D177&lt;COLUMNS($F$7:I$7),"",INDEX(TableDiv[[GASB]:[GASB]],_xlfn.AGGREGATE(15,3,(TableDiv[[Agency]:[Agency]]=$E177)/(TableDiv[[Agency]:[Agency]]=$E177)*(ROW(TableDiv[Agency])-ROW(TableDiv[[#Headers],[Agency]])),COLUMNS($F$7:I$7))))</f>
        <v/>
      </c>
      <c r="J177" s="2223" t="str" cm="1">
        <f t="array" ref="J177">IF($D177&lt;COLUMNS($F$7:J$7),"",INDEX(TableDiv[[GASB]:[GASB]],_xlfn.AGGREGATE(15,3,(TableDiv[[Agency]:[Agency]]=$E177)/(TableDiv[[Agency]:[Agency]]=$E177)*(ROW(TableDiv[Agency])-ROW(TableDiv[[#Headers],[Agency]])),COLUMNS($F$7:J$7))))</f>
        <v/>
      </c>
      <c r="K177" s="2223" t="str" cm="1">
        <f t="array" ref="K177">IF($D177&lt;COLUMNS($F$7:K$7),"",INDEX(TableDiv[[GASB]:[GASB]],_xlfn.AGGREGATE(15,3,(TableDiv[[Agency]:[Agency]]=$E177)/(TableDiv[[Agency]:[Agency]]=$E177)*(ROW(TableDiv[Agency])-ROW(TableDiv[[#Headers],[Agency]])),COLUMNS($F$7:K$7))))</f>
        <v/>
      </c>
      <c r="L177" s="2223" t="str" cm="1">
        <f t="array" ref="L177">IF($D177&lt;COLUMNS($F$7:L$7),"",INDEX(TableDiv[[GASB]:[GASB]],_xlfn.AGGREGATE(15,3,(TableDiv[[Agency]:[Agency]]=$E177)/(TableDiv[[Agency]:[Agency]]=$E177)*(ROW(TableDiv[Agency])-ROW(TableDiv[[#Headers],[Agency]])),COLUMNS($F$7:L$7))))</f>
        <v/>
      </c>
      <c r="M177" s="2223" t="str" cm="1">
        <f t="array" ref="M177">IF($D177&lt;COLUMNS($F$7:M$7),"",INDEX(TableDiv[[GASB]:[GASB]],_xlfn.AGGREGATE(15,3,(TableDiv[[Agency]:[Agency]]=$E177)/(TableDiv[[Agency]:[Agency]]=$E177)*(ROW(TableDiv[Agency])-ROW(TableDiv[[#Headers],[Agency]])),COLUMNS($F$7:M$7))))</f>
        <v/>
      </c>
      <c r="N177" s="2223" t="str" cm="1">
        <f t="array" ref="N177">IF($D177&lt;COLUMNS($F$7:N$7),"",INDEX(TableDiv[[GASB]:[GASB]],_xlfn.AGGREGATE(15,3,(TableDiv[[Agency]:[Agency]]=$E177)/(TableDiv[[Agency]:[Agency]]=$E177)*(ROW(TableDiv[Agency])-ROW(TableDiv[[#Headers],[Agency]])),COLUMNS($F$7:N$7))))</f>
        <v/>
      </c>
      <c r="O177" s="2223" t="str" cm="1">
        <f t="array" ref="O177">IF($D177&lt;COLUMNS($F$7:O$7),"",INDEX(TableDiv[[GASB]:[GASB]],_xlfn.AGGREGATE(15,3,(TableDiv[[Agency]:[Agency]]=$E177)/(TableDiv[[Agency]:[Agency]]=$E177)*(ROW(TableDiv[Agency])-ROW(TableDiv[[#Headers],[Agency]])),COLUMNS($F$7:O$7))))</f>
        <v/>
      </c>
      <c r="P177" s="2223" t="str" cm="1">
        <f t="array" ref="P177">IF($D177&lt;COLUMNS($F$7:P$7),"",INDEX(TableDiv[[GASB]:[GASB]],_xlfn.AGGREGATE(15,3,(TableDiv[[Agency]:[Agency]]=$E177)/(TableDiv[[Agency]:[Agency]]=$E177)*(ROW(TableDiv[Agency])-ROW(TableDiv[[#Headers],[Agency]])),COLUMNS($F$7:P$7))))</f>
        <v/>
      </c>
      <c r="Q177" s="2223" t="str" cm="1">
        <f t="array" ref="Q177">IF($D177&lt;COLUMNS($F$7:Q$7),"",INDEX(TableDiv[[GASB]:[GASB]],_xlfn.AGGREGATE(15,3,(TableDiv[[Agency]:[Agency]]=$E177)/(TableDiv[[Agency]:[Agency]]=$E177)*(ROW(TableDiv[Agency])-ROW(TableDiv[[#Headers],[Agency]])),COLUMNS($F$7:Q$7))))</f>
        <v/>
      </c>
      <c r="R177" s="2223" t="str" cm="1">
        <f t="array" ref="R177">IF($D177&lt;COLUMNS($F$7:R$7),"",INDEX(TableDiv[[GASB]:[GASB]],_xlfn.AGGREGATE(15,3,(TableDiv[[Agency]:[Agency]]=$E177)/(TableDiv[[Agency]:[Agency]]=$E177)*(ROW(TableDiv[Agency])-ROW(TableDiv[[#Headers],[Agency]])),COLUMNS($F$7:R$7))))</f>
        <v/>
      </c>
      <c r="S177" s="2223" t="str" cm="1">
        <f t="array" ref="S177">IF($D177&lt;COLUMNS($F$7:S$7),"",INDEX(TableDiv[[GASB]:[GASB]],_xlfn.AGGREGATE(15,3,(TableDiv[[Agency]:[Agency]]=$E177)/(TableDiv[[Agency]:[Agency]]=$E177)*(ROW(TableDiv[Agency])-ROW(TableDiv[[#Headers],[Agency]])),COLUMNS($F$7:S$7))))</f>
        <v/>
      </c>
      <c r="T177" s="2223" t="str" cm="1">
        <f t="array" ref="T177">IF($D177&lt;COLUMNS($F$7:T$7),"",INDEX(TableDiv[[GASB]:[GASB]],_xlfn.AGGREGATE(15,3,(TableDiv[[Agency]:[Agency]]=$E177)/(TableDiv[[Agency]:[Agency]]=$E177)*(ROW(TableDiv[Agency])-ROW(TableDiv[[#Headers],[Agency]])),COLUMNS($F$7:T$7))))</f>
        <v/>
      </c>
      <c r="U177" s="2223" t="str" cm="1">
        <f t="array" ref="U177">IF($D177&lt;COLUMNS($F$7:U$7),"",INDEX(TableDiv[[GASB]:[GASB]],_xlfn.AGGREGATE(15,3,(TableDiv[[Agency]:[Agency]]=$E177)/(TableDiv[[Agency]:[Agency]]=$E177)*(ROW(TableDiv[Agency])-ROW(TableDiv[[#Headers],[Agency]])),COLUMNS($F$7:U$7))))</f>
        <v/>
      </c>
      <c r="V177" s="2223" t="str" cm="1">
        <f t="array" ref="V177">IF($D177&lt;COLUMNS($F$7:V$7),"",INDEX(TableDiv[[GASB]:[GASB]],_xlfn.AGGREGATE(15,3,(TableDiv[[Agency]:[Agency]]=$E177)/(TableDiv[[Agency]:[Agency]]=$E177)*(ROW(TableDiv[Agency])-ROW(TableDiv[[#Headers],[Agency]])),COLUMNS($F$7:V$7))))</f>
        <v/>
      </c>
      <c r="W177" s="2223" t="str" cm="1">
        <f t="array" ref="W177">IF($D177&lt;COLUMNS($F$7:W$7),"",INDEX(TableDiv[[GASB]:[GASB]],_xlfn.AGGREGATE(15,3,(TableDiv[[Agency]:[Agency]]=$E177)/(TableDiv[[Agency]:[Agency]]=$E177)*(ROW(TableDiv[Agency])-ROW(TableDiv[[#Headers],[Agency]])),COLUMNS($F$7:W$7))))</f>
        <v/>
      </c>
      <c r="X177" s="2223" t="str" cm="1">
        <f t="array" ref="X177">IF($D177&lt;COLUMNS($F$7:X$7),"",INDEX(TableDiv[[GASB]:[GASB]],_xlfn.AGGREGATE(15,3,(TableDiv[[Agency]:[Agency]]=$E177)/(TableDiv[[Agency]:[Agency]]=$E177)*(ROW(TableDiv[Agency])-ROW(TableDiv[[#Headers],[Agency]])),COLUMNS($F$7:X$7))))</f>
        <v/>
      </c>
      <c r="Y177" s="2223" t="str" cm="1">
        <f t="array" ref="Y177">IF($D177&lt;COLUMNS($F$7:Y$7),"",INDEX(TableDiv[[GASB]:[GASB]],_xlfn.AGGREGATE(15,3,(TableDiv[[Agency]:[Agency]]=$E177)/(TableDiv[[Agency]:[Agency]]=$E177)*(ROW(TableDiv[Agency])-ROW(TableDiv[[#Headers],[Agency]])),COLUMNS($F$7:Y$7))))</f>
        <v/>
      </c>
      <c r="Z177" s="2223" t="str" cm="1">
        <f t="array" ref="Z177">IF($D177&lt;COLUMNS($F$7:Z$7),"",INDEX(TableDiv[[GASB]:[GASB]],_xlfn.AGGREGATE(15,3,(TableDiv[[Agency]:[Agency]]=$E177)/(TableDiv[[Agency]:[Agency]]=$E177)*(ROW(TableDiv[Agency])-ROW(TableDiv[[#Headers],[Agency]])),COLUMNS($F$7:Z$7))))</f>
        <v/>
      </c>
      <c r="AA177" s="2223" t="str" cm="1">
        <f t="array" ref="AA177">IF($D177&lt;COLUMNS($F$7:AA$7),"",INDEX(TableDiv[[GASB]:[GASB]],_xlfn.AGGREGATE(15,3,(TableDiv[[Agency]:[Agency]]=$E177)/(TableDiv[[Agency]:[Agency]]=$E177)*(ROW(TableDiv[Agency])-ROW(TableDiv[[#Headers],[Agency]])),COLUMNS($F$7:AA$7))))</f>
        <v/>
      </c>
      <c r="AB177" s="2223" t="str" cm="1">
        <f t="array" ref="AB177">IF($D177&lt;COLUMNS($F$7:AB$7),"",INDEX(TableDiv[[GASB]:[GASB]],_xlfn.AGGREGATE(15,3,(TableDiv[[Agency]:[Agency]]=$E177)/(TableDiv[[Agency]:[Agency]]=$E177)*(ROW(TableDiv[Agency])-ROW(TableDiv[[#Headers],[Agency]])),COLUMNS($F$7:AB$7))))</f>
        <v/>
      </c>
      <c r="AC177" s="2223" t="str" cm="1">
        <f t="array" ref="AC177">IF($D177&lt;COLUMNS($F$7:AC$7),"",INDEX(TableDiv[[GASB]:[GASB]],_xlfn.AGGREGATE(15,3,(TableDiv[[Agency]:[Agency]]=$E177)/(TableDiv[[Agency]:[Agency]]=$E177)*(ROW(TableDiv[Agency])-ROW(TableDiv[[#Headers],[Agency]])),COLUMNS($F$7:AC$7))))</f>
        <v/>
      </c>
      <c r="AD177" s="2223" t="str" cm="1">
        <f t="array" ref="AD177">IF($D177&lt;COLUMNS($F$7:AD$7),"",INDEX(TableDiv[[GASB]:[GASB]],_xlfn.AGGREGATE(15,3,(TableDiv[[Agency]:[Agency]]=$E177)/(TableDiv[[Agency]:[Agency]]=$E177)*(ROW(TableDiv[Agency])-ROW(TableDiv[[#Headers],[Agency]])),COLUMNS($F$7:AD$7))))</f>
        <v/>
      </c>
      <c r="AE177" s="2223" t="str" cm="1">
        <f t="array" ref="AE177">IF($D177&lt;COLUMNS($F$7:AE$7),"",INDEX(TableDiv[[GASB]:[GASB]],_xlfn.AGGREGATE(15,3,(TableDiv[[Agency]:[Agency]]=$E177)/(TableDiv[[Agency]:[Agency]]=$E177)*(ROW(TableDiv[Agency])-ROW(TableDiv[[#Headers],[Agency]])),COLUMNS($F$7:AE$7))))</f>
        <v/>
      </c>
      <c r="AF177" s="2223" t="str" cm="1">
        <f t="array" ref="AF177">IF($D177&lt;COLUMNS($F$7:AF$7),"",INDEX(TableDiv[[GASB]:[GASB]],_xlfn.AGGREGATE(15,3,(TableDiv[[Agency]:[Agency]]=$E177)/(TableDiv[[Agency]:[Agency]]=$E177)*(ROW(TableDiv[Agency])-ROW(TableDiv[[#Headers],[Agency]])),COLUMNS($F$7:AF$7))))</f>
        <v/>
      </c>
      <c r="AG177" s="2223" t="str" cm="1">
        <f t="array" ref="AG177">IF($D177&lt;COLUMNS($F$7:AG$7),"",INDEX(TableDiv[[GASB]:[GASB]],_xlfn.AGGREGATE(15,3,(TableDiv[[Agency]:[Agency]]=$E177)/(TableDiv[[Agency]:[Agency]]=$E177)*(ROW(TableDiv[Agency])-ROW(TableDiv[[#Headers],[Agency]])),COLUMNS($F$7:AG$7))))</f>
        <v/>
      </c>
      <c r="AH177" s="2223" t="str" cm="1">
        <f t="array" ref="AH177">IF($D177&lt;COLUMNS($F$7:AH$7),"",INDEX(TableDiv[[GASB]:[GASB]],_xlfn.AGGREGATE(15,3,(TableDiv[[Agency]:[Agency]]=$E177)/(TableDiv[[Agency]:[Agency]]=$E177)*(ROW(TableDiv[Agency])-ROW(TableDiv[[#Headers],[Agency]])),COLUMNS($F$7:AH$7))))</f>
        <v/>
      </c>
      <c r="AI177" s="2223" t="str" cm="1">
        <f t="array" ref="AI177">IF($D177&lt;COLUMNS($F$7:AI$7),"",INDEX(TableDiv[[GASB]:[GASB]],_xlfn.AGGREGATE(15,3,(TableDiv[[Agency]:[Agency]]=$E177)/(TableDiv[[Agency]:[Agency]]=$E177)*(ROW(TableDiv[Agency])-ROW(TableDiv[[#Headers],[Agency]])),COLUMNS($F$7:AI$7))))</f>
        <v/>
      </c>
      <c r="AJ177" s="2223" t="str" cm="1">
        <f t="array" ref="AJ177">IF($D177&lt;COLUMNS($F$7:AJ$7),"",INDEX(TableDiv[[GASB]:[GASB]],_xlfn.AGGREGATE(15,3,(TableDiv[[Agency]:[Agency]]=$E177)/(TableDiv[[Agency]:[Agency]]=$E177)*(ROW(TableDiv[Agency])-ROW(TableDiv[[#Headers],[Agency]])),COLUMNS($F$7:AJ$7))))</f>
        <v/>
      </c>
      <c r="AK177" s="2223" t="str" cm="1">
        <f t="array" ref="AK177">IF($D177&lt;COLUMNS($F$7:AK$7),"",INDEX(TableDiv[[GASB]:[GASB]],_xlfn.AGGREGATE(15,3,(TableDiv[[Agency]:[Agency]]=$E177)/(TableDiv[[Agency]:[Agency]]=$E177)*(ROW(TableDiv[Agency])-ROW(TableDiv[[#Headers],[Agency]])),COLUMNS($F$7:AK$7))))</f>
        <v/>
      </c>
      <c r="AL177" s="2223" t="str" cm="1">
        <f t="array" ref="AL177">IF($D177&lt;COLUMNS($F$7:AL$7),"",INDEX(TableDiv[[GASB]:[GASB]],_xlfn.AGGREGATE(15,3,(TableDiv[[Agency]:[Agency]]=$E177)/(TableDiv[[Agency]:[Agency]]=$E177)*(ROW(TableDiv[Agency])-ROW(TableDiv[[#Headers],[Agency]])),COLUMNS($F$7:AL$7))))</f>
        <v/>
      </c>
      <c r="AM177" s="2223" t="str" cm="1">
        <f t="array" ref="AM177">IF($D177&lt;COLUMNS($F$7:AM$7),"",INDEX(TableDiv[[GASB]:[GASB]],_xlfn.AGGREGATE(15,3,(TableDiv[[Agency]:[Agency]]=$E177)/(TableDiv[[Agency]:[Agency]]=$E177)*(ROW(TableDiv[Agency])-ROW(TableDiv[[#Headers],[Agency]])),COLUMNS($F$7:AM$7))))</f>
        <v/>
      </c>
      <c r="AN177" s="2223"/>
      <c r="AO177" s="2223"/>
      <c r="AP177" s="2223"/>
      <c r="AQ177" s="2223"/>
      <c r="AR177" s="2223"/>
      <c r="AS177" s="2223"/>
    </row>
    <row r="178" spans="1:45" ht="15" x14ac:dyDescent="0.25">
      <c r="A178" s="2219" t="s">
        <v>6442</v>
      </c>
      <c r="B178" s="2219" t="s">
        <v>6358</v>
      </c>
      <c r="C178" s="2223"/>
      <c r="D178" s="2223">
        <f>COUNTIF(TableDiv[Agency],E178)</f>
        <v>1</v>
      </c>
      <c r="E178" s="2230" t="str" cm="1">
        <f t="array" ref="E178">IFERROR(INDEX(TableDiv[Agency],MATCH(0,INDEX(COUNTIF($E$7:E177,TableDiv[Agency]),),0)),"")</f>
        <v>D7</v>
      </c>
      <c r="F178" s="2223" t="str" cm="1">
        <f t="array" ref="F178">IF($D178&lt;COLUMNS($F$7:F$7),"",INDEX(TableDiv[[GASB]:[GASB]],_xlfn.AGGREGATE(15,3,(TableDiv[[Agency]:[Agency]]=$E178)/(TableDiv[[Agency]:[Agency]]=$E178)*(ROW(TableDiv[Agency])-ROW(TableDiv[[#Headers],[Agency]])),COLUMNS($F$7:F$7))))</f>
        <v>48100G</v>
      </c>
      <c r="G178" s="2223" t="str" cm="1">
        <f t="array" ref="G178">IF($D178&lt;COLUMNS($F$7:G$7),"",INDEX(TableDiv[[GASB]:[GASB]],_xlfn.AGGREGATE(15,3,(TableDiv[[Agency]:[Agency]]=$E178)/(TableDiv[[Agency]:[Agency]]=$E178)*(ROW(TableDiv[Agency])-ROW(TableDiv[[#Headers],[Agency]])),COLUMNS($F$7:G$7))))</f>
        <v/>
      </c>
      <c r="H178" s="2223" t="str" cm="1">
        <f t="array" ref="H178">IF($D178&lt;COLUMNS($F$7:H$7),"",INDEX(TableDiv[[GASB]:[GASB]],_xlfn.AGGREGATE(15,3,(TableDiv[[Agency]:[Agency]]=$E178)/(TableDiv[[Agency]:[Agency]]=$E178)*(ROW(TableDiv[Agency])-ROW(TableDiv[[#Headers],[Agency]])),COLUMNS($F$7:H$7))))</f>
        <v/>
      </c>
      <c r="I178" s="2223" t="str" cm="1">
        <f t="array" ref="I178">IF($D178&lt;COLUMNS($F$7:I$7),"",INDEX(TableDiv[[GASB]:[GASB]],_xlfn.AGGREGATE(15,3,(TableDiv[[Agency]:[Agency]]=$E178)/(TableDiv[[Agency]:[Agency]]=$E178)*(ROW(TableDiv[Agency])-ROW(TableDiv[[#Headers],[Agency]])),COLUMNS($F$7:I$7))))</f>
        <v/>
      </c>
      <c r="J178" s="2223" t="str" cm="1">
        <f t="array" ref="J178">IF($D178&lt;COLUMNS($F$7:J$7),"",INDEX(TableDiv[[GASB]:[GASB]],_xlfn.AGGREGATE(15,3,(TableDiv[[Agency]:[Agency]]=$E178)/(TableDiv[[Agency]:[Agency]]=$E178)*(ROW(TableDiv[Agency])-ROW(TableDiv[[#Headers],[Agency]])),COLUMNS($F$7:J$7))))</f>
        <v/>
      </c>
      <c r="K178" s="2223" t="str" cm="1">
        <f t="array" ref="K178">IF($D178&lt;COLUMNS($F$7:K$7),"",INDEX(TableDiv[[GASB]:[GASB]],_xlfn.AGGREGATE(15,3,(TableDiv[[Agency]:[Agency]]=$E178)/(TableDiv[[Agency]:[Agency]]=$E178)*(ROW(TableDiv[Agency])-ROW(TableDiv[[#Headers],[Agency]])),COLUMNS($F$7:K$7))))</f>
        <v/>
      </c>
      <c r="L178" s="2223" t="str" cm="1">
        <f t="array" ref="L178">IF($D178&lt;COLUMNS($F$7:L$7),"",INDEX(TableDiv[[GASB]:[GASB]],_xlfn.AGGREGATE(15,3,(TableDiv[[Agency]:[Agency]]=$E178)/(TableDiv[[Agency]:[Agency]]=$E178)*(ROW(TableDiv[Agency])-ROW(TableDiv[[#Headers],[Agency]])),COLUMNS($F$7:L$7))))</f>
        <v/>
      </c>
      <c r="M178" s="2223" t="str" cm="1">
        <f t="array" ref="M178">IF($D178&lt;COLUMNS($F$7:M$7),"",INDEX(TableDiv[[GASB]:[GASB]],_xlfn.AGGREGATE(15,3,(TableDiv[[Agency]:[Agency]]=$E178)/(TableDiv[[Agency]:[Agency]]=$E178)*(ROW(TableDiv[Agency])-ROW(TableDiv[[#Headers],[Agency]])),COLUMNS($F$7:M$7))))</f>
        <v/>
      </c>
      <c r="N178" s="2223" t="str" cm="1">
        <f t="array" ref="N178">IF($D178&lt;COLUMNS($F$7:N$7),"",INDEX(TableDiv[[GASB]:[GASB]],_xlfn.AGGREGATE(15,3,(TableDiv[[Agency]:[Agency]]=$E178)/(TableDiv[[Agency]:[Agency]]=$E178)*(ROW(TableDiv[Agency])-ROW(TableDiv[[#Headers],[Agency]])),COLUMNS($F$7:N$7))))</f>
        <v/>
      </c>
      <c r="O178" s="2223" t="str" cm="1">
        <f t="array" ref="O178">IF($D178&lt;COLUMNS($F$7:O$7),"",INDEX(TableDiv[[GASB]:[GASB]],_xlfn.AGGREGATE(15,3,(TableDiv[[Agency]:[Agency]]=$E178)/(TableDiv[[Agency]:[Agency]]=$E178)*(ROW(TableDiv[Agency])-ROW(TableDiv[[#Headers],[Agency]])),COLUMNS($F$7:O$7))))</f>
        <v/>
      </c>
      <c r="P178" s="2223" t="str" cm="1">
        <f t="array" ref="P178">IF($D178&lt;COLUMNS($F$7:P$7),"",INDEX(TableDiv[[GASB]:[GASB]],_xlfn.AGGREGATE(15,3,(TableDiv[[Agency]:[Agency]]=$E178)/(TableDiv[[Agency]:[Agency]]=$E178)*(ROW(TableDiv[Agency])-ROW(TableDiv[[#Headers],[Agency]])),COLUMNS($F$7:P$7))))</f>
        <v/>
      </c>
      <c r="Q178" s="2223" t="str" cm="1">
        <f t="array" ref="Q178">IF($D178&lt;COLUMNS($F$7:Q$7),"",INDEX(TableDiv[[GASB]:[GASB]],_xlfn.AGGREGATE(15,3,(TableDiv[[Agency]:[Agency]]=$E178)/(TableDiv[[Agency]:[Agency]]=$E178)*(ROW(TableDiv[Agency])-ROW(TableDiv[[#Headers],[Agency]])),COLUMNS($F$7:Q$7))))</f>
        <v/>
      </c>
      <c r="R178" s="2223" t="str" cm="1">
        <f t="array" ref="R178">IF($D178&lt;COLUMNS($F$7:R$7),"",INDEX(TableDiv[[GASB]:[GASB]],_xlfn.AGGREGATE(15,3,(TableDiv[[Agency]:[Agency]]=$E178)/(TableDiv[[Agency]:[Agency]]=$E178)*(ROW(TableDiv[Agency])-ROW(TableDiv[[#Headers],[Agency]])),COLUMNS($F$7:R$7))))</f>
        <v/>
      </c>
      <c r="S178" s="2223" t="str" cm="1">
        <f t="array" ref="S178">IF($D178&lt;COLUMNS($F$7:S$7),"",INDEX(TableDiv[[GASB]:[GASB]],_xlfn.AGGREGATE(15,3,(TableDiv[[Agency]:[Agency]]=$E178)/(TableDiv[[Agency]:[Agency]]=$E178)*(ROW(TableDiv[Agency])-ROW(TableDiv[[#Headers],[Agency]])),COLUMNS($F$7:S$7))))</f>
        <v/>
      </c>
      <c r="T178" s="2223" t="str" cm="1">
        <f t="array" ref="T178">IF($D178&lt;COLUMNS($F$7:T$7),"",INDEX(TableDiv[[GASB]:[GASB]],_xlfn.AGGREGATE(15,3,(TableDiv[[Agency]:[Agency]]=$E178)/(TableDiv[[Agency]:[Agency]]=$E178)*(ROW(TableDiv[Agency])-ROW(TableDiv[[#Headers],[Agency]])),COLUMNS($F$7:T$7))))</f>
        <v/>
      </c>
      <c r="U178" s="2223" t="str" cm="1">
        <f t="array" ref="U178">IF($D178&lt;COLUMNS($F$7:U$7),"",INDEX(TableDiv[[GASB]:[GASB]],_xlfn.AGGREGATE(15,3,(TableDiv[[Agency]:[Agency]]=$E178)/(TableDiv[[Agency]:[Agency]]=$E178)*(ROW(TableDiv[Agency])-ROW(TableDiv[[#Headers],[Agency]])),COLUMNS($F$7:U$7))))</f>
        <v/>
      </c>
      <c r="V178" s="2223" t="str" cm="1">
        <f t="array" ref="V178">IF($D178&lt;COLUMNS($F$7:V$7),"",INDEX(TableDiv[[GASB]:[GASB]],_xlfn.AGGREGATE(15,3,(TableDiv[[Agency]:[Agency]]=$E178)/(TableDiv[[Agency]:[Agency]]=$E178)*(ROW(TableDiv[Agency])-ROW(TableDiv[[#Headers],[Agency]])),COLUMNS($F$7:V$7))))</f>
        <v/>
      </c>
      <c r="W178" s="2223" t="str" cm="1">
        <f t="array" ref="W178">IF($D178&lt;COLUMNS($F$7:W$7),"",INDEX(TableDiv[[GASB]:[GASB]],_xlfn.AGGREGATE(15,3,(TableDiv[[Agency]:[Agency]]=$E178)/(TableDiv[[Agency]:[Agency]]=$E178)*(ROW(TableDiv[Agency])-ROW(TableDiv[[#Headers],[Agency]])),COLUMNS($F$7:W$7))))</f>
        <v/>
      </c>
      <c r="X178" s="2223" t="str" cm="1">
        <f t="array" ref="X178">IF($D178&lt;COLUMNS($F$7:X$7),"",INDEX(TableDiv[[GASB]:[GASB]],_xlfn.AGGREGATE(15,3,(TableDiv[[Agency]:[Agency]]=$E178)/(TableDiv[[Agency]:[Agency]]=$E178)*(ROW(TableDiv[Agency])-ROW(TableDiv[[#Headers],[Agency]])),COLUMNS($F$7:X$7))))</f>
        <v/>
      </c>
      <c r="Y178" s="2223" t="str" cm="1">
        <f t="array" ref="Y178">IF($D178&lt;COLUMNS($F$7:Y$7),"",INDEX(TableDiv[[GASB]:[GASB]],_xlfn.AGGREGATE(15,3,(TableDiv[[Agency]:[Agency]]=$E178)/(TableDiv[[Agency]:[Agency]]=$E178)*(ROW(TableDiv[Agency])-ROW(TableDiv[[#Headers],[Agency]])),COLUMNS($F$7:Y$7))))</f>
        <v/>
      </c>
      <c r="Z178" s="2223" t="str" cm="1">
        <f t="array" ref="Z178">IF($D178&lt;COLUMNS($F$7:Z$7),"",INDEX(TableDiv[[GASB]:[GASB]],_xlfn.AGGREGATE(15,3,(TableDiv[[Agency]:[Agency]]=$E178)/(TableDiv[[Agency]:[Agency]]=$E178)*(ROW(TableDiv[Agency])-ROW(TableDiv[[#Headers],[Agency]])),COLUMNS($F$7:Z$7))))</f>
        <v/>
      </c>
      <c r="AA178" s="2223" t="str" cm="1">
        <f t="array" ref="AA178">IF($D178&lt;COLUMNS($F$7:AA$7),"",INDEX(TableDiv[[GASB]:[GASB]],_xlfn.AGGREGATE(15,3,(TableDiv[[Agency]:[Agency]]=$E178)/(TableDiv[[Agency]:[Agency]]=$E178)*(ROW(TableDiv[Agency])-ROW(TableDiv[[#Headers],[Agency]])),COLUMNS($F$7:AA$7))))</f>
        <v/>
      </c>
      <c r="AB178" s="2223" t="str" cm="1">
        <f t="array" ref="AB178">IF($D178&lt;COLUMNS($F$7:AB$7),"",INDEX(TableDiv[[GASB]:[GASB]],_xlfn.AGGREGATE(15,3,(TableDiv[[Agency]:[Agency]]=$E178)/(TableDiv[[Agency]:[Agency]]=$E178)*(ROW(TableDiv[Agency])-ROW(TableDiv[[#Headers],[Agency]])),COLUMNS($F$7:AB$7))))</f>
        <v/>
      </c>
      <c r="AC178" s="2223" t="str" cm="1">
        <f t="array" ref="AC178">IF($D178&lt;COLUMNS($F$7:AC$7),"",INDEX(TableDiv[[GASB]:[GASB]],_xlfn.AGGREGATE(15,3,(TableDiv[[Agency]:[Agency]]=$E178)/(TableDiv[[Agency]:[Agency]]=$E178)*(ROW(TableDiv[Agency])-ROW(TableDiv[[#Headers],[Agency]])),COLUMNS($F$7:AC$7))))</f>
        <v/>
      </c>
      <c r="AD178" s="2223" t="str" cm="1">
        <f t="array" ref="AD178">IF($D178&lt;COLUMNS($F$7:AD$7),"",INDEX(TableDiv[[GASB]:[GASB]],_xlfn.AGGREGATE(15,3,(TableDiv[[Agency]:[Agency]]=$E178)/(TableDiv[[Agency]:[Agency]]=$E178)*(ROW(TableDiv[Agency])-ROW(TableDiv[[#Headers],[Agency]])),COLUMNS($F$7:AD$7))))</f>
        <v/>
      </c>
      <c r="AE178" s="2223" t="str" cm="1">
        <f t="array" ref="AE178">IF($D178&lt;COLUMNS($F$7:AE$7),"",INDEX(TableDiv[[GASB]:[GASB]],_xlfn.AGGREGATE(15,3,(TableDiv[[Agency]:[Agency]]=$E178)/(TableDiv[[Agency]:[Agency]]=$E178)*(ROW(TableDiv[Agency])-ROW(TableDiv[[#Headers],[Agency]])),COLUMNS($F$7:AE$7))))</f>
        <v/>
      </c>
      <c r="AF178" s="2223" t="str" cm="1">
        <f t="array" ref="AF178">IF($D178&lt;COLUMNS($F$7:AF$7),"",INDEX(TableDiv[[GASB]:[GASB]],_xlfn.AGGREGATE(15,3,(TableDiv[[Agency]:[Agency]]=$E178)/(TableDiv[[Agency]:[Agency]]=$E178)*(ROW(TableDiv[Agency])-ROW(TableDiv[[#Headers],[Agency]])),COLUMNS($F$7:AF$7))))</f>
        <v/>
      </c>
      <c r="AG178" s="2223" t="str" cm="1">
        <f t="array" ref="AG178">IF($D178&lt;COLUMNS($F$7:AG$7),"",INDEX(TableDiv[[GASB]:[GASB]],_xlfn.AGGREGATE(15,3,(TableDiv[[Agency]:[Agency]]=$E178)/(TableDiv[[Agency]:[Agency]]=$E178)*(ROW(TableDiv[Agency])-ROW(TableDiv[[#Headers],[Agency]])),COLUMNS($F$7:AG$7))))</f>
        <v/>
      </c>
      <c r="AH178" s="2223" t="str" cm="1">
        <f t="array" ref="AH178">IF($D178&lt;COLUMNS($F$7:AH$7),"",INDEX(TableDiv[[GASB]:[GASB]],_xlfn.AGGREGATE(15,3,(TableDiv[[Agency]:[Agency]]=$E178)/(TableDiv[[Agency]:[Agency]]=$E178)*(ROW(TableDiv[Agency])-ROW(TableDiv[[#Headers],[Agency]])),COLUMNS($F$7:AH$7))))</f>
        <v/>
      </c>
      <c r="AI178" s="2223" t="str" cm="1">
        <f t="array" ref="AI178">IF($D178&lt;COLUMNS($F$7:AI$7),"",INDEX(TableDiv[[GASB]:[GASB]],_xlfn.AGGREGATE(15,3,(TableDiv[[Agency]:[Agency]]=$E178)/(TableDiv[[Agency]:[Agency]]=$E178)*(ROW(TableDiv[Agency])-ROW(TableDiv[[#Headers],[Agency]])),COLUMNS($F$7:AI$7))))</f>
        <v/>
      </c>
      <c r="AJ178" s="2223" t="str" cm="1">
        <f t="array" ref="AJ178">IF($D178&lt;COLUMNS($F$7:AJ$7),"",INDEX(TableDiv[[GASB]:[GASB]],_xlfn.AGGREGATE(15,3,(TableDiv[[Agency]:[Agency]]=$E178)/(TableDiv[[Agency]:[Agency]]=$E178)*(ROW(TableDiv[Agency])-ROW(TableDiv[[#Headers],[Agency]])),COLUMNS($F$7:AJ$7))))</f>
        <v/>
      </c>
      <c r="AK178" s="2223" t="str" cm="1">
        <f t="array" ref="AK178">IF($D178&lt;COLUMNS($F$7:AK$7),"",INDEX(TableDiv[[GASB]:[GASB]],_xlfn.AGGREGATE(15,3,(TableDiv[[Agency]:[Agency]]=$E178)/(TableDiv[[Agency]:[Agency]]=$E178)*(ROW(TableDiv[Agency])-ROW(TableDiv[[#Headers],[Agency]])),COLUMNS($F$7:AK$7))))</f>
        <v/>
      </c>
      <c r="AL178" s="2223" t="str" cm="1">
        <f t="array" ref="AL178">IF($D178&lt;COLUMNS($F$7:AL$7),"",INDEX(TableDiv[[GASB]:[GASB]],_xlfn.AGGREGATE(15,3,(TableDiv[[Agency]:[Agency]]=$E178)/(TableDiv[[Agency]:[Agency]]=$E178)*(ROW(TableDiv[Agency])-ROW(TableDiv[[#Headers],[Agency]])),COLUMNS($F$7:AL$7))))</f>
        <v/>
      </c>
      <c r="AM178" s="2223" t="str" cm="1">
        <f t="array" ref="AM178">IF($D178&lt;COLUMNS($F$7:AM$7),"",INDEX(TableDiv[[GASB]:[GASB]],_xlfn.AGGREGATE(15,3,(TableDiv[[Agency]:[Agency]]=$E178)/(TableDiv[[Agency]:[Agency]]=$E178)*(ROW(TableDiv[Agency])-ROW(TableDiv[[#Headers],[Agency]])),COLUMNS($F$7:AM$7))))</f>
        <v/>
      </c>
      <c r="AN178" s="2223"/>
      <c r="AO178" s="2223"/>
      <c r="AP178" s="2223"/>
      <c r="AQ178" s="2223"/>
      <c r="AR178" s="2223"/>
      <c r="AS178" s="2223"/>
    </row>
    <row r="179" spans="1:45" ht="15" x14ac:dyDescent="0.25">
      <c r="A179" s="2219" t="s">
        <v>6443</v>
      </c>
      <c r="B179" s="2219" t="s">
        <v>6357</v>
      </c>
      <c r="C179" s="2223"/>
      <c r="D179" s="2223">
        <f>COUNTIF(TableDiv[Agency],E179)</f>
        <v>1</v>
      </c>
      <c r="E179" s="2230" t="str" cm="1">
        <f t="array" ref="E179">IFERROR(INDEX(TableDiv[Agency],MATCH(0,INDEX(COUNTIF($E$7:E178,TableDiv[Agency]),),0)),"")</f>
        <v>D8</v>
      </c>
      <c r="F179" s="2223" t="str" cm="1">
        <f t="array" ref="F179">IF($D179&lt;COLUMNS($F$7:F$7),"",INDEX(TableDiv[[GASB]:[GASB]],_xlfn.AGGREGATE(15,3,(TableDiv[[Agency]:[Agency]]=$E179)/(TableDiv[[Agency]:[Agency]]=$E179)*(ROW(TableDiv[Agency])-ROW(TableDiv[[#Headers],[Agency]])),COLUMNS($F$7:F$7))))</f>
        <v>48100G</v>
      </c>
      <c r="G179" s="2223" t="str" cm="1">
        <f t="array" ref="G179">IF($D179&lt;COLUMNS($F$7:G$7),"",INDEX(TableDiv[[GASB]:[GASB]],_xlfn.AGGREGATE(15,3,(TableDiv[[Agency]:[Agency]]=$E179)/(TableDiv[[Agency]:[Agency]]=$E179)*(ROW(TableDiv[Agency])-ROW(TableDiv[[#Headers],[Agency]])),COLUMNS($F$7:G$7))))</f>
        <v/>
      </c>
      <c r="H179" s="2223" t="str" cm="1">
        <f t="array" ref="H179">IF($D179&lt;COLUMNS($F$7:H$7),"",INDEX(TableDiv[[GASB]:[GASB]],_xlfn.AGGREGATE(15,3,(TableDiv[[Agency]:[Agency]]=$E179)/(TableDiv[[Agency]:[Agency]]=$E179)*(ROW(TableDiv[Agency])-ROW(TableDiv[[#Headers],[Agency]])),COLUMNS($F$7:H$7))))</f>
        <v/>
      </c>
      <c r="I179" s="2223" t="str" cm="1">
        <f t="array" ref="I179">IF($D179&lt;COLUMNS($F$7:I$7),"",INDEX(TableDiv[[GASB]:[GASB]],_xlfn.AGGREGATE(15,3,(TableDiv[[Agency]:[Agency]]=$E179)/(TableDiv[[Agency]:[Agency]]=$E179)*(ROW(TableDiv[Agency])-ROW(TableDiv[[#Headers],[Agency]])),COLUMNS($F$7:I$7))))</f>
        <v/>
      </c>
      <c r="J179" s="2223" t="str" cm="1">
        <f t="array" ref="J179">IF($D179&lt;COLUMNS($F$7:J$7),"",INDEX(TableDiv[[GASB]:[GASB]],_xlfn.AGGREGATE(15,3,(TableDiv[[Agency]:[Agency]]=$E179)/(TableDiv[[Agency]:[Agency]]=$E179)*(ROW(TableDiv[Agency])-ROW(TableDiv[[#Headers],[Agency]])),COLUMNS($F$7:J$7))))</f>
        <v/>
      </c>
      <c r="K179" s="2223" t="str" cm="1">
        <f t="array" ref="K179">IF($D179&lt;COLUMNS($F$7:K$7),"",INDEX(TableDiv[[GASB]:[GASB]],_xlfn.AGGREGATE(15,3,(TableDiv[[Agency]:[Agency]]=$E179)/(TableDiv[[Agency]:[Agency]]=$E179)*(ROW(TableDiv[Agency])-ROW(TableDiv[[#Headers],[Agency]])),COLUMNS($F$7:K$7))))</f>
        <v/>
      </c>
      <c r="L179" s="2223" t="str" cm="1">
        <f t="array" ref="L179">IF($D179&lt;COLUMNS($F$7:L$7),"",INDEX(TableDiv[[GASB]:[GASB]],_xlfn.AGGREGATE(15,3,(TableDiv[[Agency]:[Agency]]=$E179)/(TableDiv[[Agency]:[Agency]]=$E179)*(ROW(TableDiv[Agency])-ROW(TableDiv[[#Headers],[Agency]])),COLUMNS($F$7:L$7))))</f>
        <v/>
      </c>
      <c r="M179" s="2223" t="str" cm="1">
        <f t="array" ref="M179">IF($D179&lt;COLUMNS($F$7:M$7),"",INDEX(TableDiv[[GASB]:[GASB]],_xlfn.AGGREGATE(15,3,(TableDiv[[Agency]:[Agency]]=$E179)/(TableDiv[[Agency]:[Agency]]=$E179)*(ROW(TableDiv[Agency])-ROW(TableDiv[[#Headers],[Agency]])),COLUMNS($F$7:M$7))))</f>
        <v/>
      </c>
      <c r="N179" s="2223" t="str" cm="1">
        <f t="array" ref="N179">IF($D179&lt;COLUMNS($F$7:N$7),"",INDEX(TableDiv[[GASB]:[GASB]],_xlfn.AGGREGATE(15,3,(TableDiv[[Agency]:[Agency]]=$E179)/(TableDiv[[Agency]:[Agency]]=$E179)*(ROW(TableDiv[Agency])-ROW(TableDiv[[#Headers],[Agency]])),COLUMNS($F$7:N$7))))</f>
        <v/>
      </c>
      <c r="O179" s="2223" t="str" cm="1">
        <f t="array" ref="O179">IF($D179&lt;COLUMNS($F$7:O$7),"",INDEX(TableDiv[[GASB]:[GASB]],_xlfn.AGGREGATE(15,3,(TableDiv[[Agency]:[Agency]]=$E179)/(TableDiv[[Agency]:[Agency]]=$E179)*(ROW(TableDiv[Agency])-ROW(TableDiv[[#Headers],[Agency]])),COLUMNS($F$7:O$7))))</f>
        <v/>
      </c>
      <c r="P179" s="2223" t="str" cm="1">
        <f t="array" ref="P179">IF($D179&lt;COLUMNS($F$7:P$7),"",INDEX(TableDiv[[GASB]:[GASB]],_xlfn.AGGREGATE(15,3,(TableDiv[[Agency]:[Agency]]=$E179)/(TableDiv[[Agency]:[Agency]]=$E179)*(ROW(TableDiv[Agency])-ROW(TableDiv[[#Headers],[Agency]])),COLUMNS($F$7:P$7))))</f>
        <v/>
      </c>
      <c r="Q179" s="2223" t="str" cm="1">
        <f t="array" ref="Q179">IF($D179&lt;COLUMNS($F$7:Q$7),"",INDEX(TableDiv[[GASB]:[GASB]],_xlfn.AGGREGATE(15,3,(TableDiv[[Agency]:[Agency]]=$E179)/(TableDiv[[Agency]:[Agency]]=$E179)*(ROW(TableDiv[Agency])-ROW(TableDiv[[#Headers],[Agency]])),COLUMNS($F$7:Q$7))))</f>
        <v/>
      </c>
      <c r="R179" s="2223" t="str" cm="1">
        <f t="array" ref="R179">IF($D179&lt;COLUMNS($F$7:R$7),"",INDEX(TableDiv[[GASB]:[GASB]],_xlfn.AGGREGATE(15,3,(TableDiv[[Agency]:[Agency]]=$E179)/(TableDiv[[Agency]:[Agency]]=$E179)*(ROW(TableDiv[Agency])-ROW(TableDiv[[#Headers],[Agency]])),COLUMNS($F$7:R$7))))</f>
        <v/>
      </c>
      <c r="S179" s="2223" t="str" cm="1">
        <f t="array" ref="S179">IF($D179&lt;COLUMNS($F$7:S$7),"",INDEX(TableDiv[[GASB]:[GASB]],_xlfn.AGGREGATE(15,3,(TableDiv[[Agency]:[Agency]]=$E179)/(TableDiv[[Agency]:[Agency]]=$E179)*(ROW(TableDiv[Agency])-ROW(TableDiv[[#Headers],[Agency]])),COLUMNS($F$7:S$7))))</f>
        <v/>
      </c>
      <c r="T179" s="2223" t="str" cm="1">
        <f t="array" ref="T179">IF($D179&lt;COLUMNS($F$7:T$7),"",INDEX(TableDiv[[GASB]:[GASB]],_xlfn.AGGREGATE(15,3,(TableDiv[[Agency]:[Agency]]=$E179)/(TableDiv[[Agency]:[Agency]]=$E179)*(ROW(TableDiv[Agency])-ROW(TableDiv[[#Headers],[Agency]])),COLUMNS($F$7:T$7))))</f>
        <v/>
      </c>
      <c r="U179" s="2223" t="str" cm="1">
        <f t="array" ref="U179">IF($D179&lt;COLUMNS($F$7:U$7),"",INDEX(TableDiv[[GASB]:[GASB]],_xlfn.AGGREGATE(15,3,(TableDiv[[Agency]:[Agency]]=$E179)/(TableDiv[[Agency]:[Agency]]=$E179)*(ROW(TableDiv[Agency])-ROW(TableDiv[[#Headers],[Agency]])),COLUMNS($F$7:U$7))))</f>
        <v/>
      </c>
      <c r="V179" s="2223" t="str" cm="1">
        <f t="array" ref="V179">IF($D179&lt;COLUMNS($F$7:V$7),"",INDEX(TableDiv[[GASB]:[GASB]],_xlfn.AGGREGATE(15,3,(TableDiv[[Agency]:[Agency]]=$E179)/(TableDiv[[Agency]:[Agency]]=$E179)*(ROW(TableDiv[Agency])-ROW(TableDiv[[#Headers],[Agency]])),COLUMNS($F$7:V$7))))</f>
        <v/>
      </c>
      <c r="W179" s="2223" t="str" cm="1">
        <f t="array" ref="W179">IF($D179&lt;COLUMNS($F$7:W$7),"",INDEX(TableDiv[[GASB]:[GASB]],_xlfn.AGGREGATE(15,3,(TableDiv[[Agency]:[Agency]]=$E179)/(TableDiv[[Agency]:[Agency]]=$E179)*(ROW(TableDiv[Agency])-ROW(TableDiv[[#Headers],[Agency]])),COLUMNS($F$7:W$7))))</f>
        <v/>
      </c>
      <c r="X179" s="2223" t="str" cm="1">
        <f t="array" ref="X179">IF($D179&lt;COLUMNS($F$7:X$7),"",INDEX(TableDiv[[GASB]:[GASB]],_xlfn.AGGREGATE(15,3,(TableDiv[[Agency]:[Agency]]=$E179)/(TableDiv[[Agency]:[Agency]]=$E179)*(ROW(TableDiv[Agency])-ROW(TableDiv[[#Headers],[Agency]])),COLUMNS($F$7:X$7))))</f>
        <v/>
      </c>
      <c r="Y179" s="2223" t="str" cm="1">
        <f t="array" ref="Y179">IF($D179&lt;COLUMNS($F$7:Y$7),"",INDEX(TableDiv[[GASB]:[GASB]],_xlfn.AGGREGATE(15,3,(TableDiv[[Agency]:[Agency]]=$E179)/(TableDiv[[Agency]:[Agency]]=$E179)*(ROW(TableDiv[Agency])-ROW(TableDiv[[#Headers],[Agency]])),COLUMNS($F$7:Y$7))))</f>
        <v/>
      </c>
      <c r="Z179" s="2223" t="str" cm="1">
        <f t="array" ref="Z179">IF($D179&lt;COLUMNS($F$7:Z$7),"",INDEX(TableDiv[[GASB]:[GASB]],_xlfn.AGGREGATE(15,3,(TableDiv[[Agency]:[Agency]]=$E179)/(TableDiv[[Agency]:[Agency]]=$E179)*(ROW(TableDiv[Agency])-ROW(TableDiv[[#Headers],[Agency]])),COLUMNS($F$7:Z$7))))</f>
        <v/>
      </c>
      <c r="AA179" s="2223" t="str" cm="1">
        <f t="array" ref="AA179">IF($D179&lt;COLUMNS($F$7:AA$7),"",INDEX(TableDiv[[GASB]:[GASB]],_xlfn.AGGREGATE(15,3,(TableDiv[[Agency]:[Agency]]=$E179)/(TableDiv[[Agency]:[Agency]]=$E179)*(ROW(TableDiv[Agency])-ROW(TableDiv[[#Headers],[Agency]])),COLUMNS($F$7:AA$7))))</f>
        <v/>
      </c>
      <c r="AB179" s="2223" t="str" cm="1">
        <f t="array" ref="AB179">IF($D179&lt;COLUMNS($F$7:AB$7),"",INDEX(TableDiv[[GASB]:[GASB]],_xlfn.AGGREGATE(15,3,(TableDiv[[Agency]:[Agency]]=$E179)/(TableDiv[[Agency]:[Agency]]=$E179)*(ROW(TableDiv[Agency])-ROW(TableDiv[[#Headers],[Agency]])),COLUMNS($F$7:AB$7))))</f>
        <v/>
      </c>
      <c r="AC179" s="2223" t="str" cm="1">
        <f t="array" ref="AC179">IF($D179&lt;COLUMNS($F$7:AC$7),"",INDEX(TableDiv[[GASB]:[GASB]],_xlfn.AGGREGATE(15,3,(TableDiv[[Agency]:[Agency]]=$E179)/(TableDiv[[Agency]:[Agency]]=$E179)*(ROW(TableDiv[Agency])-ROW(TableDiv[[#Headers],[Agency]])),COLUMNS($F$7:AC$7))))</f>
        <v/>
      </c>
      <c r="AD179" s="2223" t="str" cm="1">
        <f t="array" ref="AD179">IF($D179&lt;COLUMNS($F$7:AD$7),"",INDEX(TableDiv[[GASB]:[GASB]],_xlfn.AGGREGATE(15,3,(TableDiv[[Agency]:[Agency]]=$E179)/(TableDiv[[Agency]:[Agency]]=$E179)*(ROW(TableDiv[Agency])-ROW(TableDiv[[#Headers],[Agency]])),COLUMNS($F$7:AD$7))))</f>
        <v/>
      </c>
      <c r="AE179" s="2223" t="str" cm="1">
        <f t="array" ref="AE179">IF($D179&lt;COLUMNS($F$7:AE$7),"",INDEX(TableDiv[[GASB]:[GASB]],_xlfn.AGGREGATE(15,3,(TableDiv[[Agency]:[Agency]]=$E179)/(TableDiv[[Agency]:[Agency]]=$E179)*(ROW(TableDiv[Agency])-ROW(TableDiv[[#Headers],[Agency]])),COLUMNS($F$7:AE$7))))</f>
        <v/>
      </c>
      <c r="AF179" s="2223" t="str" cm="1">
        <f t="array" ref="AF179">IF($D179&lt;COLUMNS($F$7:AF$7),"",INDEX(TableDiv[[GASB]:[GASB]],_xlfn.AGGREGATE(15,3,(TableDiv[[Agency]:[Agency]]=$E179)/(TableDiv[[Agency]:[Agency]]=$E179)*(ROW(TableDiv[Agency])-ROW(TableDiv[[#Headers],[Agency]])),COLUMNS($F$7:AF$7))))</f>
        <v/>
      </c>
      <c r="AG179" s="2223" t="str" cm="1">
        <f t="array" ref="AG179">IF($D179&lt;COLUMNS($F$7:AG$7),"",INDEX(TableDiv[[GASB]:[GASB]],_xlfn.AGGREGATE(15,3,(TableDiv[[Agency]:[Agency]]=$E179)/(TableDiv[[Agency]:[Agency]]=$E179)*(ROW(TableDiv[Agency])-ROW(TableDiv[[#Headers],[Agency]])),COLUMNS($F$7:AG$7))))</f>
        <v/>
      </c>
      <c r="AH179" s="2223" t="str" cm="1">
        <f t="array" ref="AH179">IF($D179&lt;COLUMNS($F$7:AH$7),"",INDEX(TableDiv[[GASB]:[GASB]],_xlfn.AGGREGATE(15,3,(TableDiv[[Agency]:[Agency]]=$E179)/(TableDiv[[Agency]:[Agency]]=$E179)*(ROW(TableDiv[Agency])-ROW(TableDiv[[#Headers],[Agency]])),COLUMNS($F$7:AH$7))))</f>
        <v/>
      </c>
      <c r="AI179" s="2223" t="str" cm="1">
        <f t="array" ref="AI179">IF($D179&lt;COLUMNS($F$7:AI$7),"",INDEX(TableDiv[[GASB]:[GASB]],_xlfn.AGGREGATE(15,3,(TableDiv[[Agency]:[Agency]]=$E179)/(TableDiv[[Agency]:[Agency]]=$E179)*(ROW(TableDiv[Agency])-ROW(TableDiv[[#Headers],[Agency]])),COLUMNS($F$7:AI$7))))</f>
        <v/>
      </c>
      <c r="AJ179" s="2223" t="str" cm="1">
        <f t="array" ref="AJ179">IF($D179&lt;COLUMNS($F$7:AJ$7),"",INDEX(TableDiv[[GASB]:[GASB]],_xlfn.AGGREGATE(15,3,(TableDiv[[Agency]:[Agency]]=$E179)/(TableDiv[[Agency]:[Agency]]=$E179)*(ROW(TableDiv[Agency])-ROW(TableDiv[[#Headers],[Agency]])),COLUMNS($F$7:AJ$7))))</f>
        <v/>
      </c>
      <c r="AK179" s="2223" t="str" cm="1">
        <f t="array" ref="AK179">IF($D179&lt;COLUMNS($F$7:AK$7),"",INDEX(TableDiv[[GASB]:[GASB]],_xlfn.AGGREGATE(15,3,(TableDiv[[Agency]:[Agency]]=$E179)/(TableDiv[[Agency]:[Agency]]=$E179)*(ROW(TableDiv[Agency])-ROW(TableDiv[[#Headers],[Agency]])),COLUMNS($F$7:AK$7))))</f>
        <v/>
      </c>
      <c r="AL179" s="2223" t="str" cm="1">
        <f t="array" ref="AL179">IF($D179&lt;COLUMNS($F$7:AL$7),"",INDEX(TableDiv[[GASB]:[GASB]],_xlfn.AGGREGATE(15,3,(TableDiv[[Agency]:[Agency]]=$E179)/(TableDiv[[Agency]:[Agency]]=$E179)*(ROW(TableDiv[Agency])-ROW(TableDiv[[#Headers],[Agency]])),COLUMNS($F$7:AL$7))))</f>
        <v/>
      </c>
      <c r="AM179" s="2223" t="str" cm="1">
        <f t="array" ref="AM179">IF($D179&lt;COLUMNS($F$7:AM$7),"",INDEX(TableDiv[[GASB]:[GASB]],_xlfn.AGGREGATE(15,3,(TableDiv[[Agency]:[Agency]]=$E179)/(TableDiv[[Agency]:[Agency]]=$E179)*(ROW(TableDiv[Agency])-ROW(TableDiv[[#Headers],[Agency]])),COLUMNS($F$7:AM$7))))</f>
        <v/>
      </c>
      <c r="AN179" s="2223"/>
      <c r="AO179" s="2223"/>
      <c r="AP179" s="2223"/>
      <c r="AQ179" s="2223"/>
      <c r="AR179" s="2223"/>
      <c r="AS179" s="2223"/>
    </row>
    <row r="180" spans="1:45" ht="15" x14ac:dyDescent="0.25">
      <c r="A180" s="2219" t="s">
        <v>6443</v>
      </c>
      <c r="B180" s="2219" t="s">
        <v>1878</v>
      </c>
      <c r="C180" s="2223"/>
      <c r="D180" s="2223">
        <f>COUNTIF(TableDiv[Agency],E180)</f>
        <v>1</v>
      </c>
      <c r="E180" s="2230" t="str" cm="1">
        <f t="array" ref="E180">IFERROR(INDEX(TableDiv[Agency],MATCH(0,INDEX(COUNTIF($E$7:E179,TableDiv[Agency]),),0)),"")</f>
        <v>D9</v>
      </c>
      <c r="F180" s="2223" t="str" cm="1">
        <f t="array" ref="F180">IF($D180&lt;COLUMNS($F$7:F$7),"",INDEX(TableDiv[[GASB]:[GASB]],_xlfn.AGGREGATE(15,3,(TableDiv[[Agency]:[Agency]]=$E180)/(TableDiv[[Agency]:[Agency]]=$E180)*(ROW(TableDiv[Agency])-ROW(TableDiv[[#Headers],[Agency]])),COLUMNS($F$7:F$7))))</f>
        <v>48100G</v>
      </c>
      <c r="G180" s="2223" t="str" cm="1">
        <f t="array" ref="G180">IF($D180&lt;COLUMNS($F$7:G$7),"",INDEX(TableDiv[[GASB]:[GASB]],_xlfn.AGGREGATE(15,3,(TableDiv[[Agency]:[Agency]]=$E180)/(TableDiv[[Agency]:[Agency]]=$E180)*(ROW(TableDiv[Agency])-ROW(TableDiv[[#Headers],[Agency]])),COLUMNS($F$7:G$7))))</f>
        <v/>
      </c>
      <c r="H180" s="2223" t="str" cm="1">
        <f t="array" ref="H180">IF($D180&lt;COLUMNS($F$7:H$7),"",INDEX(TableDiv[[GASB]:[GASB]],_xlfn.AGGREGATE(15,3,(TableDiv[[Agency]:[Agency]]=$E180)/(TableDiv[[Agency]:[Agency]]=$E180)*(ROW(TableDiv[Agency])-ROW(TableDiv[[#Headers],[Agency]])),COLUMNS($F$7:H$7))))</f>
        <v/>
      </c>
      <c r="I180" s="2223" t="str" cm="1">
        <f t="array" ref="I180">IF($D180&lt;COLUMNS($F$7:I$7),"",INDEX(TableDiv[[GASB]:[GASB]],_xlfn.AGGREGATE(15,3,(TableDiv[[Agency]:[Agency]]=$E180)/(TableDiv[[Agency]:[Agency]]=$E180)*(ROW(TableDiv[Agency])-ROW(TableDiv[[#Headers],[Agency]])),COLUMNS($F$7:I$7))))</f>
        <v/>
      </c>
      <c r="J180" s="2223" t="str" cm="1">
        <f t="array" ref="J180">IF($D180&lt;COLUMNS($F$7:J$7),"",INDEX(TableDiv[[GASB]:[GASB]],_xlfn.AGGREGATE(15,3,(TableDiv[[Agency]:[Agency]]=$E180)/(TableDiv[[Agency]:[Agency]]=$E180)*(ROW(TableDiv[Agency])-ROW(TableDiv[[#Headers],[Agency]])),COLUMNS($F$7:J$7))))</f>
        <v/>
      </c>
      <c r="K180" s="2223" t="str" cm="1">
        <f t="array" ref="K180">IF($D180&lt;COLUMNS($F$7:K$7),"",INDEX(TableDiv[[GASB]:[GASB]],_xlfn.AGGREGATE(15,3,(TableDiv[[Agency]:[Agency]]=$E180)/(TableDiv[[Agency]:[Agency]]=$E180)*(ROW(TableDiv[Agency])-ROW(TableDiv[[#Headers],[Agency]])),COLUMNS($F$7:K$7))))</f>
        <v/>
      </c>
      <c r="L180" s="2223" t="str" cm="1">
        <f t="array" ref="L180">IF($D180&lt;COLUMNS($F$7:L$7),"",INDEX(TableDiv[[GASB]:[GASB]],_xlfn.AGGREGATE(15,3,(TableDiv[[Agency]:[Agency]]=$E180)/(TableDiv[[Agency]:[Agency]]=$E180)*(ROW(TableDiv[Agency])-ROW(TableDiv[[#Headers],[Agency]])),COLUMNS($F$7:L$7))))</f>
        <v/>
      </c>
      <c r="M180" s="2223" t="str" cm="1">
        <f t="array" ref="M180">IF($D180&lt;COLUMNS($F$7:M$7),"",INDEX(TableDiv[[GASB]:[GASB]],_xlfn.AGGREGATE(15,3,(TableDiv[[Agency]:[Agency]]=$E180)/(TableDiv[[Agency]:[Agency]]=$E180)*(ROW(TableDiv[Agency])-ROW(TableDiv[[#Headers],[Agency]])),COLUMNS($F$7:M$7))))</f>
        <v/>
      </c>
      <c r="N180" s="2223" t="str" cm="1">
        <f t="array" ref="N180">IF($D180&lt;COLUMNS($F$7:N$7),"",INDEX(TableDiv[[GASB]:[GASB]],_xlfn.AGGREGATE(15,3,(TableDiv[[Agency]:[Agency]]=$E180)/(TableDiv[[Agency]:[Agency]]=$E180)*(ROW(TableDiv[Agency])-ROW(TableDiv[[#Headers],[Agency]])),COLUMNS($F$7:N$7))))</f>
        <v/>
      </c>
      <c r="O180" s="2223" t="str" cm="1">
        <f t="array" ref="O180">IF($D180&lt;COLUMNS($F$7:O$7),"",INDEX(TableDiv[[GASB]:[GASB]],_xlfn.AGGREGATE(15,3,(TableDiv[[Agency]:[Agency]]=$E180)/(TableDiv[[Agency]:[Agency]]=$E180)*(ROW(TableDiv[Agency])-ROW(TableDiv[[#Headers],[Agency]])),COLUMNS($F$7:O$7))))</f>
        <v/>
      </c>
      <c r="P180" s="2223" t="str" cm="1">
        <f t="array" ref="P180">IF($D180&lt;COLUMNS($F$7:P$7),"",INDEX(TableDiv[[GASB]:[GASB]],_xlfn.AGGREGATE(15,3,(TableDiv[[Agency]:[Agency]]=$E180)/(TableDiv[[Agency]:[Agency]]=$E180)*(ROW(TableDiv[Agency])-ROW(TableDiv[[#Headers],[Agency]])),COLUMNS($F$7:P$7))))</f>
        <v/>
      </c>
      <c r="Q180" s="2223" t="str" cm="1">
        <f t="array" ref="Q180">IF($D180&lt;COLUMNS($F$7:Q$7),"",INDEX(TableDiv[[GASB]:[GASB]],_xlfn.AGGREGATE(15,3,(TableDiv[[Agency]:[Agency]]=$E180)/(TableDiv[[Agency]:[Agency]]=$E180)*(ROW(TableDiv[Agency])-ROW(TableDiv[[#Headers],[Agency]])),COLUMNS($F$7:Q$7))))</f>
        <v/>
      </c>
      <c r="R180" s="2223" t="str" cm="1">
        <f t="array" ref="R180">IF($D180&lt;COLUMNS($F$7:R$7),"",INDEX(TableDiv[[GASB]:[GASB]],_xlfn.AGGREGATE(15,3,(TableDiv[[Agency]:[Agency]]=$E180)/(TableDiv[[Agency]:[Agency]]=$E180)*(ROW(TableDiv[Agency])-ROW(TableDiv[[#Headers],[Agency]])),COLUMNS($F$7:R$7))))</f>
        <v/>
      </c>
      <c r="S180" s="2223" t="str" cm="1">
        <f t="array" ref="S180">IF($D180&lt;COLUMNS($F$7:S$7),"",INDEX(TableDiv[[GASB]:[GASB]],_xlfn.AGGREGATE(15,3,(TableDiv[[Agency]:[Agency]]=$E180)/(TableDiv[[Agency]:[Agency]]=$E180)*(ROW(TableDiv[Agency])-ROW(TableDiv[[#Headers],[Agency]])),COLUMNS($F$7:S$7))))</f>
        <v/>
      </c>
      <c r="T180" s="2223" t="str" cm="1">
        <f t="array" ref="T180">IF($D180&lt;COLUMNS($F$7:T$7),"",INDEX(TableDiv[[GASB]:[GASB]],_xlfn.AGGREGATE(15,3,(TableDiv[[Agency]:[Agency]]=$E180)/(TableDiv[[Agency]:[Agency]]=$E180)*(ROW(TableDiv[Agency])-ROW(TableDiv[[#Headers],[Agency]])),COLUMNS($F$7:T$7))))</f>
        <v/>
      </c>
      <c r="U180" s="2223" t="str" cm="1">
        <f t="array" ref="U180">IF($D180&lt;COLUMNS($F$7:U$7),"",INDEX(TableDiv[[GASB]:[GASB]],_xlfn.AGGREGATE(15,3,(TableDiv[[Agency]:[Agency]]=$E180)/(TableDiv[[Agency]:[Agency]]=$E180)*(ROW(TableDiv[Agency])-ROW(TableDiv[[#Headers],[Agency]])),COLUMNS($F$7:U$7))))</f>
        <v/>
      </c>
      <c r="V180" s="2223" t="str" cm="1">
        <f t="array" ref="V180">IF($D180&lt;COLUMNS($F$7:V$7),"",INDEX(TableDiv[[GASB]:[GASB]],_xlfn.AGGREGATE(15,3,(TableDiv[[Agency]:[Agency]]=$E180)/(TableDiv[[Agency]:[Agency]]=$E180)*(ROW(TableDiv[Agency])-ROW(TableDiv[[#Headers],[Agency]])),COLUMNS($F$7:V$7))))</f>
        <v/>
      </c>
      <c r="W180" s="2223" t="str" cm="1">
        <f t="array" ref="W180">IF($D180&lt;COLUMNS($F$7:W$7),"",INDEX(TableDiv[[GASB]:[GASB]],_xlfn.AGGREGATE(15,3,(TableDiv[[Agency]:[Agency]]=$E180)/(TableDiv[[Agency]:[Agency]]=$E180)*(ROW(TableDiv[Agency])-ROW(TableDiv[[#Headers],[Agency]])),COLUMNS($F$7:W$7))))</f>
        <v/>
      </c>
      <c r="X180" s="2223" t="str" cm="1">
        <f t="array" ref="X180">IF($D180&lt;COLUMNS($F$7:X$7),"",INDEX(TableDiv[[GASB]:[GASB]],_xlfn.AGGREGATE(15,3,(TableDiv[[Agency]:[Agency]]=$E180)/(TableDiv[[Agency]:[Agency]]=$E180)*(ROW(TableDiv[Agency])-ROW(TableDiv[[#Headers],[Agency]])),COLUMNS($F$7:X$7))))</f>
        <v/>
      </c>
      <c r="Y180" s="2223" t="str" cm="1">
        <f t="array" ref="Y180">IF($D180&lt;COLUMNS($F$7:Y$7),"",INDEX(TableDiv[[GASB]:[GASB]],_xlfn.AGGREGATE(15,3,(TableDiv[[Agency]:[Agency]]=$E180)/(TableDiv[[Agency]:[Agency]]=$E180)*(ROW(TableDiv[Agency])-ROW(TableDiv[[#Headers],[Agency]])),COLUMNS($F$7:Y$7))))</f>
        <v/>
      </c>
      <c r="Z180" s="2223" t="str" cm="1">
        <f t="array" ref="Z180">IF($D180&lt;COLUMNS($F$7:Z$7),"",INDEX(TableDiv[[GASB]:[GASB]],_xlfn.AGGREGATE(15,3,(TableDiv[[Agency]:[Agency]]=$E180)/(TableDiv[[Agency]:[Agency]]=$E180)*(ROW(TableDiv[Agency])-ROW(TableDiv[[#Headers],[Agency]])),COLUMNS($F$7:Z$7))))</f>
        <v/>
      </c>
      <c r="AA180" s="2223" t="str" cm="1">
        <f t="array" ref="AA180">IF($D180&lt;COLUMNS($F$7:AA$7),"",INDEX(TableDiv[[GASB]:[GASB]],_xlfn.AGGREGATE(15,3,(TableDiv[[Agency]:[Agency]]=$E180)/(TableDiv[[Agency]:[Agency]]=$E180)*(ROW(TableDiv[Agency])-ROW(TableDiv[[#Headers],[Agency]])),COLUMNS($F$7:AA$7))))</f>
        <v/>
      </c>
      <c r="AB180" s="2223" t="str" cm="1">
        <f t="array" ref="AB180">IF($D180&lt;COLUMNS($F$7:AB$7),"",INDEX(TableDiv[[GASB]:[GASB]],_xlfn.AGGREGATE(15,3,(TableDiv[[Agency]:[Agency]]=$E180)/(TableDiv[[Agency]:[Agency]]=$E180)*(ROW(TableDiv[Agency])-ROW(TableDiv[[#Headers],[Agency]])),COLUMNS($F$7:AB$7))))</f>
        <v/>
      </c>
      <c r="AC180" s="2223" t="str" cm="1">
        <f t="array" ref="AC180">IF($D180&lt;COLUMNS($F$7:AC$7),"",INDEX(TableDiv[[GASB]:[GASB]],_xlfn.AGGREGATE(15,3,(TableDiv[[Agency]:[Agency]]=$E180)/(TableDiv[[Agency]:[Agency]]=$E180)*(ROW(TableDiv[Agency])-ROW(TableDiv[[#Headers],[Agency]])),COLUMNS($F$7:AC$7))))</f>
        <v/>
      </c>
      <c r="AD180" s="2223" t="str" cm="1">
        <f t="array" ref="AD180">IF($D180&lt;COLUMNS($F$7:AD$7),"",INDEX(TableDiv[[GASB]:[GASB]],_xlfn.AGGREGATE(15,3,(TableDiv[[Agency]:[Agency]]=$E180)/(TableDiv[[Agency]:[Agency]]=$E180)*(ROW(TableDiv[Agency])-ROW(TableDiv[[#Headers],[Agency]])),COLUMNS($F$7:AD$7))))</f>
        <v/>
      </c>
      <c r="AE180" s="2223" t="str" cm="1">
        <f t="array" ref="AE180">IF($D180&lt;COLUMNS($F$7:AE$7),"",INDEX(TableDiv[[GASB]:[GASB]],_xlfn.AGGREGATE(15,3,(TableDiv[[Agency]:[Agency]]=$E180)/(TableDiv[[Agency]:[Agency]]=$E180)*(ROW(TableDiv[Agency])-ROW(TableDiv[[#Headers],[Agency]])),COLUMNS($F$7:AE$7))))</f>
        <v/>
      </c>
      <c r="AF180" s="2223" t="str" cm="1">
        <f t="array" ref="AF180">IF($D180&lt;COLUMNS($F$7:AF$7),"",INDEX(TableDiv[[GASB]:[GASB]],_xlfn.AGGREGATE(15,3,(TableDiv[[Agency]:[Agency]]=$E180)/(TableDiv[[Agency]:[Agency]]=$E180)*(ROW(TableDiv[Agency])-ROW(TableDiv[[#Headers],[Agency]])),COLUMNS($F$7:AF$7))))</f>
        <v/>
      </c>
      <c r="AG180" s="2223" t="str" cm="1">
        <f t="array" ref="AG180">IF($D180&lt;COLUMNS($F$7:AG$7),"",INDEX(TableDiv[[GASB]:[GASB]],_xlfn.AGGREGATE(15,3,(TableDiv[[Agency]:[Agency]]=$E180)/(TableDiv[[Agency]:[Agency]]=$E180)*(ROW(TableDiv[Agency])-ROW(TableDiv[[#Headers],[Agency]])),COLUMNS($F$7:AG$7))))</f>
        <v/>
      </c>
      <c r="AH180" s="2223" t="str" cm="1">
        <f t="array" ref="AH180">IF($D180&lt;COLUMNS($F$7:AH$7),"",INDEX(TableDiv[[GASB]:[GASB]],_xlfn.AGGREGATE(15,3,(TableDiv[[Agency]:[Agency]]=$E180)/(TableDiv[[Agency]:[Agency]]=$E180)*(ROW(TableDiv[Agency])-ROW(TableDiv[[#Headers],[Agency]])),COLUMNS($F$7:AH$7))))</f>
        <v/>
      </c>
      <c r="AI180" s="2223" t="str" cm="1">
        <f t="array" ref="AI180">IF($D180&lt;COLUMNS($F$7:AI$7),"",INDEX(TableDiv[[GASB]:[GASB]],_xlfn.AGGREGATE(15,3,(TableDiv[[Agency]:[Agency]]=$E180)/(TableDiv[[Agency]:[Agency]]=$E180)*(ROW(TableDiv[Agency])-ROW(TableDiv[[#Headers],[Agency]])),COLUMNS($F$7:AI$7))))</f>
        <v/>
      </c>
      <c r="AJ180" s="2223" t="str" cm="1">
        <f t="array" ref="AJ180">IF($D180&lt;COLUMNS($F$7:AJ$7),"",INDEX(TableDiv[[GASB]:[GASB]],_xlfn.AGGREGATE(15,3,(TableDiv[[Agency]:[Agency]]=$E180)/(TableDiv[[Agency]:[Agency]]=$E180)*(ROW(TableDiv[Agency])-ROW(TableDiv[[#Headers],[Agency]])),COLUMNS($F$7:AJ$7))))</f>
        <v/>
      </c>
      <c r="AK180" s="2223" t="str" cm="1">
        <f t="array" ref="AK180">IF($D180&lt;COLUMNS($F$7:AK$7),"",INDEX(TableDiv[[GASB]:[GASB]],_xlfn.AGGREGATE(15,3,(TableDiv[[Agency]:[Agency]]=$E180)/(TableDiv[[Agency]:[Agency]]=$E180)*(ROW(TableDiv[Agency])-ROW(TableDiv[[#Headers],[Agency]])),COLUMNS($F$7:AK$7))))</f>
        <v/>
      </c>
      <c r="AL180" s="2223" t="str" cm="1">
        <f t="array" ref="AL180">IF($D180&lt;COLUMNS($F$7:AL$7),"",INDEX(TableDiv[[GASB]:[GASB]],_xlfn.AGGREGATE(15,3,(TableDiv[[Agency]:[Agency]]=$E180)/(TableDiv[[Agency]:[Agency]]=$E180)*(ROW(TableDiv[Agency])-ROW(TableDiv[[#Headers],[Agency]])),COLUMNS($F$7:AL$7))))</f>
        <v/>
      </c>
      <c r="AM180" s="2223" t="str" cm="1">
        <f t="array" ref="AM180">IF($D180&lt;COLUMNS($F$7:AM$7),"",INDEX(TableDiv[[GASB]:[GASB]],_xlfn.AGGREGATE(15,3,(TableDiv[[Agency]:[Agency]]=$E180)/(TableDiv[[Agency]:[Agency]]=$E180)*(ROW(TableDiv[Agency])-ROW(TableDiv[[#Headers],[Agency]])),COLUMNS($F$7:AM$7))))</f>
        <v/>
      </c>
      <c r="AN180" s="2223"/>
      <c r="AO180" s="2223"/>
      <c r="AP180" s="2223"/>
      <c r="AQ180" s="2223"/>
      <c r="AR180" s="2223"/>
      <c r="AS180" s="2223"/>
    </row>
    <row r="181" spans="1:45" ht="15" x14ac:dyDescent="0.25">
      <c r="A181" s="2219" t="s">
        <v>6443</v>
      </c>
      <c r="B181" s="2219" t="s">
        <v>6372</v>
      </c>
      <c r="C181" s="2223"/>
      <c r="D181" s="2223">
        <f>COUNTIF(TableDiv[Agency],E181)</f>
        <v>1</v>
      </c>
      <c r="E181" s="2230" t="str" cm="1">
        <f t="array" ref="E181">IFERROR(INDEX(TableDiv[Agency],MATCH(0,INDEX(COUNTIF($E$7:E180,TableDiv[Agency]),),0)),"")</f>
        <v>DA</v>
      </c>
      <c r="F181" s="2223" t="str" cm="1">
        <f t="array" ref="F181">IF($D181&lt;COLUMNS($F$7:F$7),"",INDEX(TableDiv[[GASB]:[GASB]],_xlfn.AGGREGATE(15,3,(TableDiv[[Agency]:[Agency]]=$E181)/(TableDiv[[Agency]:[Agency]]=$E181)*(ROW(TableDiv[Agency])-ROW(TableDiv[[#Headers],[Agency]])),COLUMNS($F$7:F$7))))</f>
        <v>48100G</v>
      </c>
      <c r="G181" s="2223" t="str" cm="1">
        <f t="array" ref="G181">IF($D181&lt;COLUMNS($F$7:G$7),"",INDEX(TableDiv[[GASB]:[GASB]],_xlfn.AGGREGATE(15,3,(TableDiv[[Agency]:[Agency]]=$E181)/(TableDiv[[Agency]:[Agency]]=$E181)*(ROW(TableDiv[Agency])-ROW(TableDiv[[#Headers],[Agency]])),COLUMNS($F$7:G$7))))</f>
        <v/>
      </c>
      <c r="H181" s="2223" t="str" cm="1">
        <f t="array" ref="H181">IF($D181&lt;COLUMNS($F$7:H$7),"",INDEX(TableDiv[[GASB]:[GASB]],_xlfn.AGGREGATE(15,3,(TableDiv[[Agency]:[Agency]]=$E181)/(TableDiv[[Agency]:[Agency]]=$E181)*(ROW(TableDiv[Agency])-ROW(TableDiv[[#Headers],[Agency]])),COLUMNS($F$7:H$7))))</f>
        <v/>
      </c>
      <c r="I181" s="2223" t="str" cm="1">
        <f t="array" ref="I181">IF($D181&lt;COLUMNS($F$7:I$7),"",INDEX(TableDiv[[GASB]:[GASB]],_xlfn.AGGREGATE(15,3,(TableDiv[[Agency]:[Agency]]=$E181)/(TableDiv[[Agency]:[Agency]]=$E181)*(ROW(TableDiv[Agency])-ROW(TableDiv[[#Headers],[Agency]])),COLUMNS($F$7:I$7))))</f>
        <v/>
      </c>
      <c r="J181" s="2223" t="str" cm="1">
        <f t="array" ref="J181">IF($D181&lt;COLUMNS($F$7:J$7),"",INDEX(TableDiv[[GASB]:[GASB]],_xlfn.AGGREGATE(15,3,(TableDiv[[Agency]:[Agency]]=$E181)/(TableDiv[[Agency]:[Agency]]=$E181)*(ROW(TableDiv[Agency])-ROW(TableDiv[[#Headers],[Agency]])),COLUMNS($F$7:J$7))))</f>
        <v/>
      </c>
      <c r="K181" s="2223" t="str" cm="1">
        <f t="array" ref="K181">IF($D181&lt;COLUMNS($F$7:K$7),"",INDEX(TableDiv[[GASB]:[GASB]],_xlfn.AGGREGATE(15,3,(TableDiv[[Agency]:[Agency]]=$E181)/(TableDiv[[Agency]:[Agency]]=$E181)*(ROW(TableDiv[Agency])-ROW(TableDiv[[#Headers],[Agency]])),COLUMNS($F$7:K$7))))</f>
        <v/>
      </c>
      <c r="L181" s="2223" t="str" cm="1">
        <f t="array" ref="L181">IF($D181&lt;COLUMNS($F$7:L$7),"",INDEX(TableDiv[[GASB]:[GASB]],_xlfn.AGGREGATE(15,3,(TableDiv[[Agency]:[Agency]]=$E181)/(TableDiv[[Agency]:[Agency]]=$E181)*(ROW(TableDiv[Agency])-ROW(TableDiv[[#Headers],[Agency]])),COLUMNS($F$7:L$7))))</f>
        <v/>
      </c>
      <c r="M181" s="2223" t="str" cm="1">
        <f t="array" ref="M181">IF($D181&lt;COLUMNS($F$7:M$7),"",INDEX(TableDiv[[GASB]:[GASB]],_xlfn.AGGREGATE(15,3,(TableDiv[[Agency]:[Agency]]=$E181)/(TableDiv[[Agency]:[Agency]]=$E181)*(ROW(TableDiv[Agency])-ROW(TableDiv[[#Headers],[Agency]])),COLUMNS($F$7:M$7))))</f>
        <v/>
      </c>
      <c r="N181" s="2223" t="str" cm="1">
        <f t="array" ref="N181">IF($D181&lt;COLUMNS($F$7:N$7),"",INDEX(TableDiv[[GASB]:[GASB]],_xlfn.AGGREGATE(15,3,(TableDiv[[Agency]:[Agency]]=$E181)/(TableDiv[[Agency]:[Agency]]=$E181)*(ROW(TableDiv[Agency])-ROW(TableDiv[[#Headers],[Agency]])),COLUMNS($F$7:N$7))))</f>
        <v/>
      </c>
      <c r="O181" s="2223" t="str" cm="1">
        <f t="array" ref="O181">IF($D181&lt;COLUMNS($F$7:O$7),"",INDEX(TableDiv[[GASB]:[GASB]],_xlfn.AGGREGATE(15,3,(TableDiv[[Agency]:[Agency]]=$E181)/(TableDiv[[Agency]:[Agency]]=$E181)*(ROW(TableDiv[Agency])-ROW(TableDiv[[#Headers],[Agency]])),COLUMNS($F$7:O$7))))</f>
        <v/>
      </c>
      <c r="P181" s="2223" t="str" cm="1">
        <f t="array" ref="P181">IF($D181&lt;COLUMNS($F$7:P$7),"",INDEX(TableDiv[[GASB]:[GASB]],_xlfn.AGGREGATE(15,3,(TableDiv[[Agency]:[Agency]]=$E181)/(TableDiv[[Agency]:[Agency]]=$E181)*(ROW(TableDiv[Agency])-ROW(TableDiv[[#Headers],[Agency]])),COLUMNS($F$7:P$7))))</f>
        <v/>
      </c>
      <c r="Q181" s="2223" t="str" cm="1">
        <f t="array" ref="Q181">IF($D181&lt;COLUMNS($F$7:Q$7),"",INDEX(TableDiv[[GASB]:[GASB]],_xlfn.AGGREGATE(15,3,(TableDiv[[Agency]:[Agency]]=$E181)/(TableDiv[[Agency]:[Agency]]=$E181)*(ROW(TableDiv[Agency])-ROW(TableDiv[[#Headers],[Agency]])),COLUMNS($F$7:Q$7))))</f>
        <v/>
      </c>
      <c r="R181" s="2223" t="str" cm="1">
        <f t="array" ref="R181">IF($D181&lt;COLUMNS($F$7:R$7),"",INDEX(TableDiv[[GASB]:[GASB]],_xlfn.AGGREGATE(15,3,(TableDiv[[Agency]:[Agency]]=$E181)/(TableDiv[[Agency]:[Agency]]=$E181)*(ROW(TableDiv[Agency])-ROW(TableDiv[[#Headers],[Agency]])),COLUMNS($F$7:R$7))))</f>
        <v/>
      </c>
      <c r="S181" s="2223" t="str" cm="1">
        <f t="array" ref="S181">IF($D181&lt;COLUMNS($F$7:S$7),"",INDEX(TableDiv[[GASB]:[GASB]],_xlfn.AGGREGATE(15,3,(TableDiv[[Agency]:[Agency]]=$E181)/(TableDiv[[Agency]:[Agency]]=$E181)*(ROW(TableDiv[Agency])-ROW(TableDiv[[#Headers],[Agency]])),COLUMNS($F$7:S$7))))</f>
        <v/>
      </c>
      <c r="T181" s="2223" t="str" cm="1">
        <f t="array" ref="T181">IF($D181&lt;COLUMNS($F$7:T$7),"",INDEX(TableDiv[[GASB]:[GASB]],_xlfn.AGGREGATE(15,3,(TableDiv[[Agency]:[Agency]]=$E181)/(TableDiv[[Agency]:[Agency]]=$E181)*(ROW(TableDiv[Agency])-ROW(TableDiv[[#Headers],[Agency]])),COLUMNS($F$7:T$7))))</f>
        <v/>
      </c>
      <c r="U181" s="2223" t="str" cm="1">
        <f t="array" ref="U181">IF($D181&lt;COLUMNS($F$7:U$7),"",INDEX(TableDiv[[GASB]:[GASB]],_xlfn.AGGREGATE(15,3,(TableDiv[[Agency]:[Agency]]=$E181)/(TableDiv[[Agency]:[Agency]]=$E181)*(ROW(TableDiv[Agency])-ROW(TableDiv[[#Headers],[Agency]])),COLUMNS($F$7:U$7))))</f>
        <v/>
      </c>
      <c r="V181" s="2223" t="str" cm="1">
        <f t="array" ref="V181">IF($D181&lt;COLUMNS($F$7:V$7),"",INDEX(TableDiv[[GASB]:[GASB]],_xlfn.AGGREGATE(15,3,(TableDiv[[Agency]:[Agency]]=$E181)/(TableDiv[[Agency]:[Agency]]=$E181)*(ROW(TableDiv[Agency])-ROW(TableDiv[[#Headers],[Agency]])),COLUMNS($F$7:V$7))))</f>
        <v/>
      </c>
      <c r="W181" s="2223" t="str" cm="1">
        <f t="array" ref="W181">IF($D181&lt;COLUMNS($F$7:W$7),"",INDEX(TableDiv[[GASB]:[GASB]],_xlfn.AGGREGATE(15,3,(TableDiv[[Agency]:[Agency]]=$E181)/(TableDiv[[Agency]:[Agency]]=$E181)*(ROW(TableDiv[Agency])-ROW(TableDiv[[#Headers],[Agency]])),COLUMNS($F$7:W$7))))</f>
        <v/>
      </c>
      <c r="X181" s="2223" t="str" cm="1">
        <f t="array" ref="X181">IF($D181&lt;COLUMNS($F$7:X$7),"",INDEX(TableDiv[[GASB]:[GASB]],_xlfn.AGGREGATE(15,3,(TableDiv[[Agency]:[Agency]]=$E181)/(TableDiv[[Agency]:[Agency]]=$E181)*(ROW(TableDiv[Agency])-ROW(TableDiv[[#Headers],[Agency]])),COLUMNS($F$7:X$7))))</f>
        <v/>
      </c>
      <c r="Y181" s="2223" t="str" cm="1">
        <f t="array" ref="Y181">IF($D181&lt;COLUMNS($F$7:Y$7),"",INDEX(TableDiv[[GASB]:[GASB]],_xlfn.AGGREGATE(15,3,(TableDiv[[Agency]:[Agency]]=$E181)/(TableDiv[[Agency]:[Agency]]=$E181)*(ROW(TableDiv[Agency])-ROW(TableDiv[[#Headers],[Agency]])),COLUMNS($F$7:Y$7))))</f>
        <v/>
      </c>
      <c r="Z181" s="2223" t="str" cm="1">
        <f t="array" ref="Z181">IF($D181&lt;COLUMNS($F$7:Z$7),"",INDEX(TableDiv[[GASB]:[GASB]],_xlfn.AGGREGATE(15,3,(TableDiv[[Agency]:[Agency]]=$E181)/(TableDiv[[Agency]:[Agency]]=$E181)*(ROW(TableDiv[Agency])-ROW(TableDiv[[#Headers],[Agency]])),COLUMNS($F$7:Z$7))))</f>
        <v/>
      </c>
      <c r="AA181" s="2223" t="str" cm="1">
        <f t="array" ref="AA181">IF($D181&lt;COLUMNS($F$7:AA$7),"",INDEX(TableDiv[[GASB]:[GASB]],_xlfn.AGGREGATE(15,3,(TableDiv[[Agency]:[Agency]]=$E181)/(TableDiv[[Agency]:[Agency]]=$E181)*(ROW(TableDiv[Agency])-ROW(TableDiv[[#Headers],[Agency]])),COLUMNS($F$7:AA$7))))</f>
        <v/>
      </c>
      <c r="AB181" s="2223" t="str" cm="1">
        <f t="array" ref="AB181">IF($D181&lt;COLUMNS($F$7:AB$7),"",INDEX(TableDiv[[GASB]:[GASB]],_xlfn.AGGREGATE(15,3,(TableDiv[[Agency]:[Agency]]=$E181)/(TableDiv[[Agency]:[Agency]]=$E181)*(ROW(TableDiv[Agency])-ROW(TableDiv[[#Headers],[Agency]])),COLUMNS($F$7:AB$7))))</f>
        <v/>
      </c>
      <c r="AC181" s="2223" t="str" cm="1">
        <f t="array" ref="AC181">IF($D181&lt;COLUMNS($F$7:AC$7),"",INDEX(TableDiv[[GASB]:[GASB]],_xlfn.AGGREGATE(15,3,(TableDiv[[Agency]:[Agency]]=$E181)/(TableDiv[[Agency]:[Agency]]=$E181)*(ROW(TableDiv[Agency])-ROW(TableDiv[[#Headers],[Agency]])),COLUMNS($F$7:AC$7))))</f>
        <v/>
      </c>
      <c r="AD181" s="2223" t="str" cm="1">
        <f t="array" ref="AD181">IF($D181&lt;COLUMNS($F$7:AD$7),"",INDEX(TableDiv[[GASB]:[GASB]],_xlfn.AGGREGATE(15,3,(TableDiv[[Agency]:[Agency]]=$E181)/(TableDiv[[Agency]:[Agency]]=$E181)*(ROW(TableDiv[Agency])-ROW(TableDiv[[#Headers],[Agency]])),COLUMNS($F$7:AD$7))))</f>
        <v/>
      </c>
      <c r="AE181" s="2223" t="str" cm="1">
        <f t="array" ref="AE181">IF($D181&lt;COLUMNS($F$7:AE$7),"",INDEX(TableDiv[[GASB]:[GASB]],_xlfn.AGGREGATE(15,3,(TableDiv[[Agency]:[Agency]]=$E181)/(TableDiv[[Agency]:[Agency]]=$E181)*(ROW(TableDiv[Agency])-ROW(TableDiv[[#Headers],[Agency]])),COLUMNS($F$7:AE$7))))</f>
        <v/>
      </c>
      <c r="AF181" s="2223" t="str" cm="1">
        <f t="array" ref="AF181">IF($D181&lt;COLUMNS($F$7:AF$7),"",INDEX(TableDiv[[GASB]:[GASB]],_xlfn.AGGREGATE(15,3,(TableDiv[[Agency]:[Agency]]=$E181)/(TableDiv[[Agency]:[Agency]]=$E181)*(ROW(TableDiv[Agency])-ROW(TableDiv[[#Headers],[Agency]])),COLUMNS($F$7:AF$7))))</f>
        <v/>
      </c>
      <c r="AG181" s="2223" t="str" cm="1">
        <f t="array" ref="AG181">IF($D181&lt;COLUMNS($F$7:AG$7),"",INDEX(TableDiv[[GASB]:[GASB]],_xlfn.AGGREGATE(15,3,(TableDiv[[Agency]:[Agency]]=$E181)/(TableDiv[[Agency]:[Agency]]=$E181)*(ROW(TableDiv[Agency])-ROW(TableDiv[[#Headers],[Agency]])),COLUMNS($F$7:AG$7))))</f>
        <v/>
      </c>
      <c r="AH181" s="2223" t="str" cm="1">
        <f t="array" ref="AH181">IF($D181&lt;COLUMNS($F$7:AH$7),"",INDEX(TableDiv[[GASB]:[GASB]],_xlfn.AGGREGATE(15,3,(TableDiv[[Agency]:[Agency]]=$E181)/(TableDiv[[Agency]:[Agency]]=$E181)*(ROW(TableDiv[Agency])-ROW(TableDiv[[#Headers],[Agency]])),COLUMNS($F$7:AH$7))))</f>
        <v/>
      </c>
      <c r="AI181" s="2223" t="str" cm="1">
        <f t="array" ref="AI181">IF($D181&lt;COLUMNS($F$7:AI$7),"",INDEX(TableDiv[[GASB]:[GASB]],_xlfn.AGGREGATE(15,3,(TableDiv[[Agency]:[Agency]]=$E181)/(TableDiv[[Agency]:[Agency]]=$E181)*(ROW(TableDiv[Agency])-ROW(TableDiv[[#Headers],[Agency]])),COLUMNS($F$7:AI$7))))</f>
        <v/>
      </c>
      <c r="AJ181" s="2223" t="str" cm="1">
        <f t="array" ref="AJ181">IF($D181&lt;COLUMNS($F$7:AJ$7),"",INDEX(TableDiv[[GASB]:[GASB]],_xlfn.AGGREGATE(15,3,(TableDiv[[Agency]:[Agency]]=$E181)/(TableDiv[[Agency]:[Agency]]=$E181)*(ROW(TableDiv[Agency])-ROW(TableDiv[[#Headers],[Agency]])),COLUMNS($F$7:AJ$7))))</f>
        <v/>
      </c>
      <c r="AK181" s="2223" t="str" cm="1">
        <f t="array" ref="AK181">IF($D181&lt;COLUMNS($F$7:AK$7),"",INDEX(TableDiv[[GASB]:[GASB]],_xlfn.AGGREGATE(15,3,(TableDiv[[Agency]:[Agency]]=$E181)/(TableDiv[[Agency]:[Agency]]=$E181)*(ROW(TableDiv[Agency])-ROW(TableDiv[[#Headers],[Agency]])),COLUMNS($F$7:AK$7))))</f>
        <v/>
      </c>
      <c r="AL181" s="2223" t="str" cm="1">
        <f t="array" ref="AL181">IF($D181&lt;COLUMNS($F$7:AL$7),"",INDEX(TableDiv[[GASB]:[GASB]],_xlfn.AGGREGATE(15,3,(TableDiv[[Agency]:[Agency]]=$E181)/(TableDiv[[Agency]:[Agency]]=$E181)*(ROW(TableDiv[Agency])-ROW(TableDiv[[#Headers],[Agency]])),COLUMNS($F$7:AL$7))))</f>
        <v/>
      </c>
      <c r="AM181" s="2223" t="str" cm="1">
        <f t="array" ref="AM181">IF($D181&lt;COLUMNS($F$7:AM$7),"",INDEX(TableDiv[[GASB]:[GASB]],_xlfn.AGGREGATE(15,3,(TableDiv[[Agency]:[Agency]]=$E181)/(TableDiv[[Agency]:[Agency]]=$E181)*(ROW(TableDiv[Agency])-ROW(TableDiv[[#Headers],[Agency]])),COLUMNS($F$7:AM$7))))</f>
        <v/>
      </c>
      <c r="AN181" s="2223"/>
      <c r="AO181" s="2223"/>
      <c r="AP181" s="2223"/>
      <c r="AQ181" s="2223"/>
      <c r="AR181" s="2223"/>
      <c r="AS181" s="2223"/>
    </row>
    <row r="182" spans="1:45" ht="15" x14ac:dyDescent="0.25">
      <c r="A182" s="2219" t="s">
        <v>6443</v>
      </c>
      <c r="B182" s="2219" t="s">
        <v>6393</v>
      </c>
      <c r="C182" s="2223"/>
      <c r="D182" s="2223">
        <f>COUNTIF(TableDiv[Agency],E182)</f>
        <v>1</v>
      </c>
      <c r="E182" s="2230" t="str" cm="1">
        <f t="array" ref="E182">IFERROR(INDEX(TableDiv[Agency],MATCH(0,INDEX(COUNTIF($E$7:E181,TableDiv[Agency]),),0)),"")</f>
        <v>DB</v>
      </c>
      <c r="F182" s="2223" t="str" cm="1">
        <f t="array" ref="F182">IF($D182&lt;COLUMNS($F$7:F$7),"",INDEX(TableDiv[[GASB]:[GASB]],_xlfn.AGGREGATE(15,3,(TableDiv[[Agency]:[Agency]]=$E182)/(TableDiv[[Agency]:[Agency]]=$E182)*(ROW(TableDiv[Agency])-ROW(TableDiv[[#Headers],[Agency]])),COLUMNS($F$7:F$7))))</f>
        <v>48100G</v>
      </c>
      <c r="G182" s="2223" t="str" cm="1">
        <f t="array" ref="G182">IF($D182&lt;COLUMNS($F$7:G$7),"",INDEX(TableDiv[[GASB]:[GASB]],_xlfn.AGGREGATE(15,3,(TableDiv[[Agency]:[Agency]]=$E182)/(TableDiv[[Agency]:[Agency]]=$E182)*(ROW(TableDiv[Agency])-ROW(TableDiv[[#Headers],[Agency]])),COLUMNS($F$7:G$7))))</f>
        <v/>
      </c>
      <c r="H182" s="2223" t="str" cm="1">
        <f t="array" ref="H182">IF($D182&lt;COLUMNS($F$7:H$7),"",INDEX(TableDiv[[GASB]:[GASB]],_xlfn.AGGREGATE(15,3,(TableDiv[[Agency]:[Agency]]=$E182)/(TableDiv[[Agency]:[Agency]]=$E182)*(ROW(TableDiv[Agency])-ROW(TableDiv[[#Headers],[Agency]])),COLUMNS($F$7:H$7))))</f>
        <v/>
      </c>
      <c r="I182" s="2223" t="str" cm="1">
        <f t="array" ref="I182">IF($D182&lt;COLUMNS($F$7:I$7),"",INDEX(TableDiv[[GASB]:[GASB]],_xlfn.AGGREGATE(15,3,(TableDiv[[Agency]:[Agency]]=$E182)/(TableDiv[[Agency]:[Agency]]=$E182)*(ROW(TableDiv[Agency])-ROW(TableDiv[[#Headers],[Agency]])),COLUMNS($F$7:I$7))))</f>
        <v/>
      </c>
      <c r="J182" s="2223" t="str" cm="1">
        <f t="array" ref="J182">IF($D182&lt;COLUMNS($F$7:J$7),"",INDEX(TableDiv[[GASB]:[GASB]],_xlfn.AGGREGATE(15,3,(TableDiv[[Agency]:[Agency]]=$E182)/(TableDiv[[Agency]:[Agency]]=$E182)*(ROW(TableDiv[Agency])-ROW(TableDiv[[#Headers],[Agency]])),COLUMNS($F$7:J$7))))</f>
        <v/>
      </c>
      <c r="K182" s="2223" t="str" cm="1">
        <f t="array" ref="K182">IF($D182&lt;COLUMNS($F$7:K$7),"",INDEX(TableDiv[[GASB]:[GASB]],_xlfn.AGGREGATE(15,3,(TableDiv[[Agency]:[Agency]]=$E182)/(TableDiv[[Agency]:[Agency]]=$E182)*(ROW(TableDiv[Agency])-ROW(TableDiv[[#Headers],[Agency]])),COLUMNS($F$7:K$7))))</f>
        <v/>
      </c>
      <c r="L182" s="2223" t="str" cm="1">
        <f t="array" ref="L182">IF($D182&lt;COLUMNS($F$7:L$7),"",INDEX(TableDiv[[GASB]:[GASB]],_xlfn.AGGREGATE(15,3,(TableDiv[[Agency]:[Agency]]=$E182)/(TableDiv[[Agency]:[Agency]]=$E182)*(ROW(TableDiv[Agency])-ROW(TableDiv[[#Headers],[Agency]])),COLUMNS($F$7:L$7))))</f>
        <v/>
      </c>
      <c r="M182" s="2223" t="str" cm="1">
        <f t="array" ref="M182">IF($D182&lt;COLUMNS($F$7:M$7),"",INDEX(TableDiv[[GASB]:[GASB]],_xlfn.AGGREGATE(15,3,(TableDiv[[Agency]:[Agency]]=$E182)/(TableDiv[[Agency]:[Agency]]=$E182)*(ROW(TableDiv[Agency])-ROW(TableDiv[[#Headers],[Agency]])),COLUMNS($F$7:M$7))))</f>
        <v/>
      </c>
      <c r="N182" s="2223" t="str" cm="1">
        <f t="array" ref="N182">IF($D182&lt;COLUMNS($F$7:N$7),"",INDEX(TableDiv[[GASB]:[GASB]],_xlfn.AGGREGATE(15,3,(TableDiv[[Agency]:[Agency]]=$E182)/(TableDiv[[Agency]:[Agency]]=$E182)*(ROW(TableDiv[Agency])-ROW(TableDiv[[#Headers],[Agency]])),COLUMNS($F$7:N$7))))</f>
        <v/>
      </c>
      <c r="O182" s="2223" t="str" cm="1">
        <f t="array" ref="O182">IF($D182&lt;COLUMNS($F$7:O$7),"",INDEX(TableDiv[[GASB]:[GASB]],_xlfn.AGGREGATE(15,3,(TableDiv[[Agency]:[Agency]]=$E182)/(TableDiv[[Agency]:[Agency]]=$E182)*(ROW(TableDiv[Agency])-ROW(TableDiv[[#Headers],[Agency]])),COLUMNS($F$7:O$7))))</f>
        <v/>
      </c>
      <c r="P182" s="2223" t="str" cm="1">
        <f t="array" ref="P182">IF($D182&lt;COLUMNS($F$7:P$7),"",INDEX(TableDiv[[GASB]:[GASB]],_xlfn.AGGREGATE(15,3,(TableDiv[[Agency]:[Agency]]=$E182)/(TableDiv[[Agency]:[Agency]]=$E182)*(ROW(TableDiv[Agency])-ROW(TableDiv[[#Headers],[Agency]])),COLUMNS($F$7:P$7))))</f>
        <v/>
      </c>
      <c r="Q182" s="2223" t="str" cm="1">
        <f t="array" ref="Q182">IF($D182&lt;COLUMNS($F$7:Q$7),"",INDEX(TableDiv[[GASB]:[GASB]],_xlfn.AGGREGATE(15,3,(TableDiv[[Agency]:[Agency]]=$E182)/(TableDiv[[Agency]:[Agency]]=$E182)*(ROW(TableDiv[Agency])-ROW(TableDiv[[#Headers],[Agency]])),COLUMNS($F$7:Q$7))))</f>
        <v/>
      </c>
      <c r="R182" s="2223" t="str" cm="1">
        <f t="array" ref="R182">IF($D182&lt;COLUMNS($F$7:R$7),"",INDEX(TableDiv[[GASB]:[GASB]],_xlfn.AGGREGATE(15,3,(TableDiv[[Agency]:[Agency]]=$E182)/(TableDiv[[Agency]:[Agency]]=$E182)*(ROW(TableDiv[Agency])-ROW(TableDiv[[#Headers],[Agency]])),COLUMNS($F$7:R$7))))</f>
        <v/>
      </c>
      <c r="S182" s="2223" t="str" cm="1">
        <f t="array" ref="S182">IF($D182&lt;COLUMNS($F$7:S$7),"",INDEX(TableDiv[[GASB]:[GASB]],_xlfn.AGGREGATE(15,3,(TableDiv[[Agency]:[Agency]]=$E182)/(TableDiv[[Agency]:[Agency]]=$E182)*(ROW(TableDiv[Agency])-ROW(TableDiv[[#Headers],[Agency]])),COLUMNS($F$7:S$7))))</f>
        <v/>
      </c>
      <c r="T182" s="2223" t="str" cm="1">
        <f t="array" ref="T182">IF($D182&lt;COLUMNS($F$7:T$7),"",INDEX(TableDiv[[GASB]:[GASB]],_xlfn.AGGREGATE(15,3,(TableDiv[[Agency]:[Agency]]=$E182)/(TableDiv[[Agency]:[Agency]]=$E182)*(ROW(TableDiv[Agency])-ROW(TableDiv[[#Headers],[Agency]])),COLUMNS($F$7:T$7))))</f>
        <v/>
      </c>
      <c r="U182" s="2223" t="str" cm="1">
        <f t="array" ref="U182">IF($D182&lt;COLUMNS($F$7:U$7),"",INDEX(TableDiv[[GASB]:[GASB]],_xlfn.AGGREGATE(15,3,(TableDiv[[Agency]:[Agency]]=$E182)/(TableDiv[[Agency]:[Agency]]=$E182)*(ROW(TableDiv[Agency])-ROW(TableDiv[[#Headers],[Agency]])),COLUMNS($F$7:U$7))))</f>
        <v/>
      </c>
      <c r="V182" s="2223" t="str" cm="1">
        <f t="array" ref="V182">IF($D182&lt;COLUMNS($F$7:V$7),"",INDEX(TableDiv[[GASB]:[GASB]],_xlfn.AGGREGATE(15,3,(TableDiv[[Agency]:[Agency]]=$E182)/(TableDiv[[Agency]:[Agency]]=$E182)*(ROW(TableDiv[Agency])-ROW(TableDiv[[#Headers],[Agency]])),COLUMNS($F$7:V$7))))</f>
        <v/>
      </c>
      <c r="W182" s="2223" t="str" cm="1">
        <f t="array" ref="W182">IF($D182&lt;COLUMNS($F$7:W$7),"",INDEX(TableDiv[[GASB]:[GASB]],_xlfn.AGGREGATE(15,3,(TableDiv[[Agency]:[Agency]]=$E182)/(TableDiv[[Agency]:[Agency]]=$E182)*(ROW(TableDiv[Agency])-ROW(TableDiv[[#Headers],[Agency]])),COLUMNS($F$7:W$7))))</f>
        <v/>
      </c>
      <c r="X182" s="2223" t="str" cm="1">
        <f t="array" ref="X182">IF($D182&lt;COLUMNS($F$7:X$7),"",INDEX(TableDiv[[GASB]:[GASB]],_xlfn.AGGREGATE(15,3,(TableDiv[[Agency]:[Agency]]=$E182)/(TableDiv[[Agency]:[Agency]]=$E182)*(ROW(TableDiv[Agency])-ROW(TableDiv[[#Headers],[Agency]])),COLUMNS($F$7:X$7))))</f>
        <v/>
      </c>
      <c r="Y182" s="2223" t="str" cm="1">
        <f t="array" ref="Y182">IF($D182&lt;COLUMNS($F$7:Y$7),"",INDEX(TableDiv[[GASB]:[GASB]],_xlfn.AGGREGATE(15,3,(TableDiv[[Agency]:[Agency]]=$E182)/(TableDiv[[Agency]:[Agency]]=$E182)*(ROW(TableDiv[Agency])-ROW(TableDiv[[#Headers],[Agency]])),COLUMNS($F$7:Y$7))))</f>
        <v/>
      </c>
      <c r="Z182" s="2223" t="str" cm="1">
        <f t="array" ref="Z182">IF($D182&lt;COLUMNS($F$7:Z$7),"",INDEX(TableDiv[[GASB]:[GASB]],_xlfn.AGGREGATE(15,3,(TableDiv[[Agency]:[Agency]]=$E182)/(TableDiv[[Agency]:[Agency]]=$E182)*(ROW(TableDiv[Agency])-ROW(TableDiv[[#Headers],[Agency]])),COLUMNS($F$7:Z$7))))</f>
        <v/>
      </c>
      <c r="AA182" s="2223" t="str" cm="1">
        <f t="array" ref="AA182">IF($D182&lt;COLUMNS($F$7:AA$7),"",INDEX(TableDiv[[GASB]:[GASB]],_xlfn.AGGREGATE(15,3,(TableDiv[[Agency]:[Agency]]=$E182)/(TableDiv[[Agency]:[Agency]]=$E182)*(ROW(TableDiv[Agency])-ROW(TableDiv[[#Headers],[Agency]])),COLUMNS($F$7:AA$7))))</f>
        <v/>
      </c>
      <c r="AB182" s="2223" t="str" cm="1">
        <f t="array" ref="AB182">IF($D182&lt;COLUMNS($F$7:AB$7),"",INDEX(TableDiv[[GASB]:[GASB]],_xlfn.AGGREGATE(15,3,(TableDiv[[Agency]:[Agency]]=$E182)/(TableDiv[[Agency]:[Agency]]=$E182)*(ROW(TableDiv[Agency])-ROW(TableDiv[[#Headers],[Agency]])),COLUMNS($F$7:AB$7))))</f>
        <v/>
      </c>
      <c r="AC182" s="2223" t="str" cm="1">
        <f t="array" ref="AC182">IF($D182&lt;COLUMNS($F$7:AC$7),"",INDEX(TableDiv[[GASB]:[GASB]],_xlfn.AGGREGATE(15,3,(TableDiv[[Agency]:[Agency]]=$E182)/(TableDiv[[Agency]:[Agency]]=$E182)*(ROW(TableDiv[Agency])-ROW(TableDiv[[#Headers],[Agency]])),COLUMNS($F$7:AC$7))))</f>
        <v/>
      </c>
      <c r="AD182" s="2223" t="str" cm="1">
        <f t="array" ref="AD182">IF($D182&lt;COLUMNS($F$7:AD$7),"",INDEX(TableDiv[[GASB]:[GASB]],_xlfn.AGGREGATE(15,3,(TableDiv[[Agency]:[Agency]]=$E182)/(TableDiv[[Agency]:[Agency]]=$E182)*(ROW(TableDiv[Agency])-ROW(TableDiv[[#Headers],[Agency]])),COLUMNS($F$7:AD$7))))</f>
        <v/>
      </c>
      <c r="AE182" s="2223" t="str" cm="1">
        <f t="array" ref="AE182">IF($D182&lt;COLUMNS($F$7:AE$7),"",INDEX(TableDiv[[GASB]:[GASB]],_xlfn.AGGREGATE(15,3,(TableDiv[[Agency]:[Agency]]=$E182)/(TableDiv[[Agency]:[Agency]]=$E182)*(ROW(TableDiv[Agency])-ROW(TableDiv[[#Headers],[Agency]])),COLUMNS($F$7:AE$7))))</f>
        <v/>
      </c>
      <c r="AF182" s="2223" t="str" cm="1">
        <f t="array" ref="AF182">IF($D182&lt;COLUMNS($F$7:AF$7),"",INDEX(TableDiv[[GASB]:[GASB]],_xlfn.AGGREGATE(15,3,(TableDiv[[Agency]:[Agency]]=$E182)/(TableDiv[[Agency]:[Agency]]=$E182)*(ROW(TableDiv[Agency])-ROW(TableDiv[[#Headers],[Agency]])),COLUMNS($F$7:AF$7))))</f>
        <v/>
      </c>
      <c r="AG182" s="2223" t="str" cm="1">
        <f t="array" ref="AG182">IF($D182&lt;COLUMNS($F$7:AG$7),"",INDEX(TableDiv[[GASB]:[GASB]],_xlfn.AGGREGATE(15,3,(TableDiv[[Agency]:[Agency]]=$E182)/(TableDiv[[Agency]:[Agency]]=$E182)*(ROW(TableDiv[Agency])-ROW(TableDiv[[#Headers],[Agency]])),COLUMNS($F$7:AG$7))))</f>
        <v/>
      </c>
      <c r="AH182" s="2223" t="str" cm="1">
        <f t="array" ref="AH182">IF($D182&lt;COLUMNS($F$7:AH$7),"",INDEX(TableDiv[[GASB]:[GASB]],_xlfn.AGGREGATE(15,3,(TableDiv[[Agency]:[Agency]]=$E182)/(TableDiv[[Agency]:[Agency]]=$E182)*(ROW(TableDiv[Agency])-ROW(TableDiv[[#Headers],[Agency]])),COLUMNS($F$7:AH$7))))</f>
        <v/>
      </c>
      <c r="AI182" s="2223" t="str" cm="1">
        <f t="array" ref="AI182">IF($D182&lt;COLUMNS($F$7:AI$7),"",INDEX(TableDiv[[GASB]:[GASB]],_xlfn.AGGREGATE(15,3,(TableDiv[[Agency]:[Agency]]=$E182)/(TableDiv[[Agency]:[Agency]]=$E182)*(ROW(TableDiv[Agency])-ROW(TableDiv[[#Headers],[Agency]])),COLUMNS($F$7:AI$7))))</f>
        <v/>
      </c>
      <c r="AJ182" s="2223" t="str" cm="1">
        <f t="array" ref="AJ182">IF($D182&lt;COLUMNS($F$7:AJ$7),"",INDEX(TableDiv[[GASB]:[GASB]],_xlfn.AGGREGATE(15,3,(TableDiv[[Agency]:[Agency]]=$E182)/(TableDiv[[Agency]:[Agency]]=$E182)*(ROW(TableDiv[Agency])-ROW(TableDiv[[#Headers],[Agency]])),COLUMNS($F$7:AJ$7))))</f>
        <v/>
      </c>
      <c r="AK182" s="2223" t="str" cm="1">
        <f t="array" ref="AK182">IF($D182&lt;COLUMNS($F$7:AK$7),"",INDEX(TableDiv[[GASB]:[GASB]],_xlfn.AGGREGATE(15,3,(TableDiv[[Agency]:[Agency]]=$E182)/(TableDiv[[Agency]:[Agency]]=$E182)*(ROW(TableDiv[Agency])-ROW(TableDiv[[#Headers],[Agency]])),COLUMNS($F$7:AK$7))))</f>
        <v/>
      </c>
      <c r="AL182" s="2223" t="str" cm="1">
        <f t="array" ref="AL182">IF($D182&lt;COLUMNS($F$7:AL$7),"",INDEX(TableDiv[[GASB]:[GASB]],_xlfn.AGGREGATE(15,3,(TableDiv[[Agency]:[Agency]]=$E182)/(TableDiv[[Agency]:[Agency]]=$E182)*(ROW(TableDiv[Agency])-ROW(TableDiv[[#Headers],[Agency]])),COLUMNS($F$7:AL$7))))</f>
        <v/>
      </c>
      <c r="AM182" s="2223" t="str" cm="1">
        <f t="array" ref="AM182">IF($D182&lt;COLUMNS($F$7:AM$7),"",INDEX(TableDiv[[GASB]:[GASB]],_xlfn.AGGREGATE(15,3,(TableDiv[[Agency]:[Agency]]=$E182)/(TableDiv[[Agency]:[Agency]]=$E182)*(ROW(TableDiv[Agency])-ROW(TableDiv[[#Headers],[Agency]])),COLUMNS($F$7:AM$7))))</f>
        <v/>
      </c>
      <c r="AN182" s="2223"/>
      <c r="AO182" s="2223"/>
      <c r="AP182" s="2223"/>
      <c r="AQ182" s="2223"/>
      <c r="AR182" s="2223"/>
      <c r="AS182" s="2223"/>
    </row>
    <row r="183" spans="1:45" ht="15" x14ac:dyDescent="0.25">
      <c r="A183" s="2219" t="s">
        <v>6444</v>
      </c>
      <c r="B183" s="2219" t="s">
        <v>6357</v>
      </c>
      <c r="C183" s="2223"/>
      <c r="D183" s="2223">
        <f>COUNTIF(TableDiv[Agency],E183)</f>
        <v>1</v>
      </c>
      <c r="E183" s="2230" t="str" cm="1">
        <f t="array" ref="E183">IFERROR(INDEX(TableDiv[Agency],MATCH(0,INDEX(COUNTIF($E$7:E182,TableDiv[Agency]),),0)),"")</f>
        <v>DC</v>
      </c>
      <c r="F183" s="2223" t="str" cm="1">
        <f t="array" ref="F183">IF($D183&lt;COLUMNS($F$7:F$7),"",INDEX(TableDiv[[GASB]:[GASB]],_xlfn.AGGREGATE(15,3,(TableDiv[[Agency]:[Agency]]=$E183)/(TableDiv[[Agency]:[Agency]]=$E183)*(ROW(TableDiv[Agency])-ROW(TableDiv[[#Headers],[Agency]])),COLUMNS($F$7:F$7))))</f>
        <v>48100G</v>
      </c>
      <c r="G183" s="2223" t="str" cm="1">
        <f t="array" ref="G183">IF($D183&lt;COLUMNS($F$7:G$7),"",INDEX(TableDiv[[GASB]:[GASB]],_xlfn.AGGREGATE(15,3,(TableDiv[[Agency]:[Agency]]=$E183)/(TableDiv[[Agency]:[Agency]]=$E183)*(ROW(TableDiv[Agency])-ROW(TableDiv[[#Headers],[Agency]])),COLUMNS($F$7:G$7))))</f>
        <v/>
      </c>
      <c r="H183" s="2223" t="str" cm="1">
        <f t="array" ref="H183">IF($D183&lt;COLUMNS($F$7:H$7),"",INDEX(TableDiv[[GASB]:[GASB]],_xlfn.AGGREGATE(15,3,(TableDiv[[Agency]:[Agency]]=$E183)/(TableDiv[[Agency]:[Agency]]=$E183)*(ROW(TableDiv[Agency])-ROW(TableDiv[[#Headers],[Agency]])),COLUMNS($F$7:H$7))))</f>
        <v/>
      </c>
      <c r="I183" s="2223" t="str" cm="1">
        <f t="array" ref="I183">IF($D183&lt;COLUMNS($F$7:I$7),"",INDEX(TableDiv[[GASB]:[GASB]],_xlfn.AGGREGATE(15,3,(TableDiv[[Agency]:[Agency]]=$E183)/(TableDiv[[Agency]:[Agency]]=$E183)*(ROW(TableDiv[Agency])-ROW(TableDiv[[#Headers],[Agency]])),COLUMNS($F$7:I$7))))</f>
        <v/>
      </c>
      <c r="J183" s="2223" t="str" cm="1">
        <f t="array" ref="J183">IF($D183&lt;COLUMNS($F$7:J$7),"",INDEX(TableDiv[[GASB]:[GASB]],_xlfn.AGGREGATE(15,3,(TableDiv[[Agency]:[Agency]]=$E183)/(TableDiv[[Agency]:[Agency]]=$E183)*(ROW(TableDiv[Agency])-ROW(TableDiv[[#Headers],[Agency]])),COLUMNS($F$7:J$7))))</f>
        <v/>
      </c>
      <c r="K183" s="2223" t="str" cm="1">
        <f t="array" ref="K183">IF($D183&lt;COLUMNS($F$7:K$7),"",INDEX(TableDiv[[GASB]:[GASB]],_xlfn.AGGREGATE(15,3,(TableDiv[[Agency]:[Agency]]=$E183)/(TableDiv[[Agency]:[Agency]]=$E183)*(ROW(TableDiv[Agency])-ROW(TableDiv[[#Headers],[Agency]])),COLUMNS($F$7:K$7))))</f>
        <v/>
      </c>
      <c r="L183" s="2223" t="str" cm="1">
        <f t="array" ref="L183">IF($D183&lt;COLUMNS($F$7:L$7),"",INDEX(TableDiv[[GASB]:[GASB]],_xlfn.AGGREGATE(15,3,(TableDiv[[Agency]:[Agency]]=$E183)/(TableDiv[[Agency]:[Agency]]=$E183)*(ROW(TableDiv[Agency])-ROW(TableDiv[[#Headers],[Agency]])),COLUMNS($F$7:L$7))))</f>
        <v/>
      </c>
      <c r="M183" s="2223" t="str" cm="1">
        <f t="array" ref="M183">IF($D183&lt;COLUMNS($F$7:M$7),"",INDEX(TableDiv[[GASB]:[GASB]],_xlfn.AGGREGATE(15,3,(TableDiv[[Agency]:[Agency]]=$E183)/(TableDiv[[Agency]:[Agency]]=$E183)*(ROW(TableDiv[Agency])-ROW(TableDiv[[#Headers],[Agency]])),COLUMNS($F$7:M$7))))</f>
        <v/>
      </c>
      <c r="N183" s="2223" t="str" cm="1">
        <f t="array" ref="N183">IF($D183&lt;COLUMNS($F$7:N$7),"",INDEX(TableDiv[[GASB]:[GASB]],_xlfn.AGGREGATE(15,3,(TableDiv[[Agency]:[Agency]]=$E183)/(TableDiv[[Agency]:[Agency]]=$E183)*(ROW(TableDiv[Agency])-ROW(TableDiv[[#Headers],[Agency]])),COLUMNS($F$7:N$7))))</f>
        <v/>
      </c>
      <c r="O183" s="2223" t="str" cm="1">
        <f t="array" ref="O183">IF($D183&lt;COLUMNS($F$7:O$7),"",INDEX(TableDiv[[GASB]:[GASB]],_xlfn.AGGREGATE(15,3,(TableDiv[[Agency]:[Agency]]=$E183)/(TableDiv[[Agency]:[Agency]]=$E183)*(ROW(TableDiv[Agency])-ROW(TableDiv[[#Headers],[Agency]])),COLUMNS($F$7:O$7))))</f>
        <v/>
      </c>
      <c r="P183" s="2223" t="str" cm="1">
        <f t="array" ref="P183">IF($D183&lt;COLUMNS($F$7:P$7),"",INDEX(TableDiv[[GASB]:[GASB]],_xlfn.AGGREGATE(15,3,(TableDiv[[Agency]:[Agency]]=$E183)/(TableDiv[[Agency]:[Agency]]=$E183)*(ROW(TableDiv[Agency])-ROW(TableDiv[[#Headers],[Agency]])),COLUMNS($F$7:P$7))))</f>
        <v/>
      </c>
      <c r="Q183" s="2223" t="str" cm="1">
        <f t="array" ref="Q183">IF($D183&lt;COLUMNS($F$7:Q$7),"",INDEX(TableDiv[[GASB]:[GASB]],_xlfn.AGGREGATE(15,3,(TableDiv[[Agency]:[Agency]]=$E183)/(TableDiv[[Agency]:[Agency]]=$E183)*(ROW(TableDiv[Agency])-ROW(TableDiv[[#Headers],[Agency]])),COLUMNS($F$7:Q$7))))</f>
        <v/>
      </c>
      <c r="R183" s="2223" t="str" cm="1">
        <f t="array" ref="R183">IF($D183&lt;COLUMNS($F$7:R$7),"",INDEX(TableDiv[[GASB]:[GASB]],_xlfn.AGGREGATE(15,3,(TableDiv[[Agency]:[Agency]]=$E183)/(TableDiv[[Agency]:[Agency]]=$E183)*(ROW(TableDiv[Agency])-ROW(TableDiv[[#Headers],[Agency]])),COLUMNS($F$7:R$7))))</f>
        <v/>
      </c>
      <c r="S183" s="2223" t="str" cm="1">
        <f t="array" ref="S183">IF($D183&lt;COLUMNS($F$7:S$7),"",INDEX(TableDiv[[GASB]:[GASB]],_xlfn.AGGREGATE(15,3,(TableDiv[[Agency]:[Agency]]=$E183)/(TableDiv[[Agency]:[Agency]]=$E183)*(ROW(TableDiv[Agency])-ROW(TableDiv[[#Headers],[Agency]])),COLUMNS($F$7:S$7))))</f>
        <v/>
      </c>
      <c r="T183" s="2223" t="str" cm="1">
        <f t="array" ref="T183">IF($D183&lt;COLUMNS($F$7:T$7),"",INDEX(TableDiv[[GASB]:[GASB]],_xlfn.AGGREGATE(15,3,(TableDiv[[Agency]:[Agency]]=$E183)/(TableDiv[[Agency]:[Agency]]=$E183)*(ROW(TableDiv[Agency])-ROW(TableDiv[[#Headers],[Agency]])),COLUMNS($F$7:T$7))))</f>
        <v/>
      </c>
      <c r="U183" s="2223" t="str" cm="1">
        <f t="array" ref="U183">IF($D183&lt;COLUMNS($F$7:U$7),"",INDEX(TableDiv[[GASB]:[GASB]],_xlfn.AGGREGATE(15,3,(TableDiv[[Agency]:[Agency]]=$E183)/(TableDiv[[Agency]:[Agency]]=$E183)*(ROW(TableDiv[Agency])-ROW(TableDiv[[#Headers],[Agency]])),COLUMNS($F$7:U$7))))</f>
        <v/>
      </c>
      <c r="V183" s="2223" t="str" cm="1">
        <f t="array" ref="V183">IF($D183&lt;COLUMNS($F$7:V$7),"",INDEX(TableDiv[[GASB]:[GASB]],_xlfn.AGGREGATE(15,3,(TableDiv[[Agency]:[Agency]]=$E183)/(TableDiv[[Agency]:[Agency]]=$E183)*(ROW(TableDiv[Agency])-ROW(TableDiv[[#Headers],[Agency]])),COLUMNS($F$7:V$7))))</f>
        <v/>
      </c>
      <c r="W183" s="2223" t="str" cm="1">
        <f t="array" ref="W183">IF($D183&lt;COLUMNS($F$7:W$7),"",INDEX(TableDiv[[GASB]:[GASB]],_xlfn.AGGREGATE(15,3,(TableDiv[[Agency]:[Agency]]=$E183)/(TableDiv[[Agency]:[Agency]]=$E183)*(ROW(TableDiv[Agency])-ROW(TableDiv[[#Headers],[Agency]])),COLUMNS($F$7:W$7))))</f>
        <v/>
      </c>
      <c r="X183" s="2223" t="str" cm="1">
        <f t="array" ref="X183">IF($D183&lt;COLUMNS($F$7:X$7),"",INDEX(TableDiv[[GASB]:[GASB]],_xlfn.AGGREGATE(15,3,(TableDiv[[Agency]:[Agency]]=$E183)/(TableDiv[[Agency]:[Agency]]=$E183)*(ROW(TableDiv[Agency])-ROW(TableDiv[[#Headers],[Agency]])),COLUMNS($F$7:X$7))))</f>
        <v/>
      </c>
      <c r="Y183" s="2223" t="str" cm="1">
        <f t="array" ref="Y183">IF($D183&lt;COLUMNS($F$7:Y$7),"",INDEX(TableDiv[[GASB]:[GASB]],_xlfn.AGGREGATE(15,3,(TableDiv[[Agency]:[Agency]]=$E183)/(TableDiv[[Agency]:[Agency]]=$E183)*(ROW(TableDiv[Agency])-ROW(TableDiv[[#Headers],[Agency]])),COLUMNS($F$7:Y$7))))</f>
        <v/>
      </c>
      <c r="Z183" s="2223" t="str" cm="1">
        <f t="array" ref="Z183">IF($D183&lt;COLUMNS($F$7:Z$7),"",INDEX(TableDiv[[GASB]:[GASB]],_xlfn.AGGREGATE(15,3,(TableDiv[[Agency]:[Agency]]=$E183)/(TableDiv[[Agency]:[Agency]]=$E183)*(ROW(TableDiv[Agency])-ROW(TableDiv[[#Headers],[Agency]])),COLUMNS($F$7:Z$7))))</f>
        <v/>
      </c>
      <c r="AA183" s="2223" t="str" cm="1">
        <f t="array" ref="AA183">IF($D183&lt;COLUMNS($F$7:AA$7),"",INDEX(TableDiv[[GASB]:[GASB]],_xlfn.AGGREGATE(15,3,(TableDiv[[Agency]:[Agency]]=$E183)/(TableDiv[[Agency]:[Agency]]=$E183)*(ROW(TableDiv[Agency])-ROW(TableDiv[[#Headers],[Agency]])),COLUMNS($F$7:AA$7))))</f>
        <v/>
      </c>
      <c r="AB183" s="2223" t="str" cm="1">
        <f t="array" ref="AB183">IF($D183&lt;COLUMNS($F$7:AB$7),"",INDEX(TableDiv[[GASB]:[GASB]],_xlfn.AGGREGATE(15,3,(TableDiv[[Agency]:[Agency]]=$E183)/(TableDiv[[Agency]:[Agency]]=$E183)*(ROW(TableDiv[Agency])-ROW(TableDiv[[#Headers],[Agency]])),COLUMNS($F$7:AB$7))))</f>
        <v/>
      </c>
      <c r="AC183" s="2223" t="str" cm="1">
        <f t="array" ref="AC183">IF($D183&lt;COLUMNS($F$7:AC$7),"",INDEX(TableDiv[[GASB]:[GASB]],_xlfn.AGGREGATE(15,3,(TableDiv[[Agency]:[Agency]]=$E183)/(TableDiv[[Agency]:[Agency]]=$E183)*(ROW(TableDiv[Agency])-ROW(TableDiv[[#Headers],[Agency]])),COLUMNS($F$7:AC$7))))</f>
        <v/>
      </c>
      <c r="AD183" s="2223" t="str" cm="1">
        <f t="array" ref="AD183">IF($D183&lt;COLUMNS($F$7:AD$7),"",INDEX(TableDiv[[GASB]:[GASB]],_xlfn.AGGREGATE(15,3,(TableDiv[[Agency]:[Agency]]=$E183)/(TableDiv[[Agency]:[Agency]]=$E183)*(ROW(TableDiv[Agency])-ROW(TableDiv[[#Headers],[Agency]])),COLUMNS($F$7:AD$7))))</f>
        <v/>
      </c>
      <c r="AE183" s="2223" t="str" cm="1">
        <f t="array" ref="AE183">IF($D183&lt;COLUMNS($F$7:AE$7),"",INDEX(TableDiv[[GASB]:[GASB]],_xlfn.AGGREGATE(15,3,(TableDiv[[Agency]:[Agency]]=$E183)/(TableDiv[[Agency]:[Agency]]=$E183)*(ROW(TableDiv[Agency])-ROW(TableDiv[[#Headers],[Agency]])),COLUMNS($F$7:AE$7))))</f>
        <v/>
      </c>
      <c r="AF183" s="2223" t="str" cm="1">
        <f t="array" ref="AF183">IF($D183&lt;COLUMNS($F$7:AF$7),"",INDEX(TableDiv[[GASB]:[GASB]],_xlfn.AGGREGATE(15,3,(TableDiv[[Agency]:[Agency]]=$E183)/(TableDiv[[Agency]:[Agency]]=$E183)*(ROW(TableDiv[Agency])-ROW(TableDiv[[#Headers],[Agency]])),COLUMNS($F$7:AF$7))))</f>
        <v/>
      </c>
      <c r="AG183" s="2223" t="str" cm="1">
        <f t="array" ref="AG183">IF($D183&lt;COLUMNS($F$7:AG$7),"",INDEX(TableDiv[[GASB]:[GASB]],_xlfn.AGGREGATE(15,3,(TableDiv[[Agency]:[Agency]]=$E183)/(TableDiv[[Agency]:[Agency]]=$E183)*(ROW(TableDiv[Agency])-ROW(TableDiv[[#Headers],[Agency]])),COLUMNS($F$7:AG$7))))</f>
        <v/>
      </c>
      <c r="AH183" s="2223" t="str" cm="1">
        <f t="array" ref="AH183">IF($D183&lt;COLUMNS($F$7:AH$7),"",INDEX(TableDiv[[GASB]:[GASB]],_xlfn.AGGREGATE(15,3,(TableDiv[[Agency]:[Agency]]=$E183)/(TableDiv[[Agency]:[Agency]]=$E183)*(ROW(TableDiv[Agency])-ROW(TableDiv[[#Headers],[Agency]])),COLUMNS($F$7:AH$7))))</f>
        <v/>
      </c>
      <c r="AI183" s="2223" t="str" cm="1">
        <f t="array" ref="AI183">IF($D183&lt;COLUMNS($F$7:AI$7),"",INDEX(TableDiv[[GASB]:[GASB]],_xlfn.AGGREGATE(15,3,(TableDiv[[Agency]:[Agency]]=$E183)/(TableDiv[[Agency]:[Agency]]=$E183)*(ROW(TableDiv[Agency])-ROW(TableDiv[[#Headers],[Agency]])),COLUMNS($F$7:AI$7))))</f>
        <v/>
      </c>
      <c r="AJ183" s="2223" t="str" cm="1">
        <f t="array" ref="AJ183">IF($D183&lt;COLUMNS($F$7:AJ$7),"",INDEX(TableDiv[[GASB]:[GASB]],_xlfn.AGGREGATE(15,3,(TableDiv[[Agency]:[Agency]]=$E183)/(TableDiv[[Agency]:[Agency]]=$E183)*(ROW(TableDiv[Agency])-ROW(TableDiv[[#Headers],[Agency]])),COLUMNS($F$7:AJ$7))))</f>
        <v/>
      </c>
      <c r="AK183" s="2223" t="str" cm="1">
        <f t="array" ref="AK183">IF($D183&lt;COLUMNS($F$7:AK$7),"",INDEX(TableDiv[[GASB]:[GASB]],_xlfn.AGGREGATE(15,3,(TableDiv[[Agency]:[Agency]]=$E183)/(TableDiv[[Agency]:[Agency]]=$E183)*(ROW(TableDiv[Agency])-ROW(TableDiv[[#Headers],[Agency]])),COLUMNS($F$7:AK$7))))</f>
        <v/>
      </c>
      <c r="AL183" s="2223" t="str" cm="1">
        <f t="array" ref="AL183">IF($D183&lt;COLUMNS($F$7:AL$7),"",INDEX(TableDiv[[GASB]:[GASB]],_xlfn.AGGREGATE(15,3,(TableDiv[[Agency]:[Agency]]=$E183)/(TableDiv[[Agency]:[Agency]]=$E183)*(ROW(TableDiv[Agency])-ROW(TableDiv[[#Headers],[Agency]])),COLUMNS($F$7:AL$7))))</f>
        <v/>
      </c>
      <c r="AM183" s="2223" t="str" cm="1">
        <f t="array" ref="AM183">IF($D183&lt;COLUMNS($F$7:AM$7),"",INDEX(TableDiv[[GASB]:[GASB]],_xlfn.AGGREGATE(15,3,(TableDiv[[Agency]:[Agency]]=$E183)/(TableDiv[[Agency]:[Agency]]=$E183)*(ROW(TableDiv[Agency])-ROW(TableDiv[[#Headers],[Agency]])),COLUMNS($F$7:AM$7))))</f>
        <v/>
      </c>
      <c r="AN183" s="2223"/>
      <c r="AO183" s="2223"/>
      <c r="AP183" s="2223"/>
      <c r="AQ183" s="2223"/>
      <c r="AR183" s="2223"/>
      <c r="AS183" s="2223"/>
    </row>
    <row r="184" spans="1:45" ht="15" x14ac:dyDescent="0.25">
      <c r="A184" s="2219" t="s">
        <v>6444</v>
      </c>
      <c r="B184" s="2219" t="s">
        <v>1878</v>
      </c>
      <c r="C184" s="2223"/>
      <c r="D184" s="2223">
        <f>COUNTIF(TableDiv[Agency],E184)</f>
        <v>1</v>
      </c>
      <c r="E184" s="2230" t="str" cm="1">
        <f t="array" ref="E184">IFERROR(INDEX(TableDiv[Agency],MATCH(0,INDEX(COUNTIF($E$7:E183,TableDiv[Agency]),),0)),"")</f>
        <v>DD</v>
      </c>
      <c r="F184" s="2223" t="str" cm="1">
        <f t="array" ref="F184">IF($D184&lt;COLUMNS($F$7:F$7),"",INDEX(TableDiv[[GASB]:[GASB]],_xlfn.AGGREGATE(15,3,(TableDiv[[Agency]:[Agency]]=$E184)/(TableDiv[[Agency]:[Agency]]=$E184)*(ROW(TableDiv[Agency])-ROW(TableDiv[[#Headers],[Agency]])),COLUMNS($F$7:F$7))))</f>
        <v>48100G</v>
      </c>
      <c r="G184" s="2223" t="str" cm="1">
        <f t="array" ref="G184">IF($D184&lt;COLUMNS($F$7:G$7),"",INDEX(TableDiv[[GASB]:[GASB]],_xlfn.AGGREGATE(15,3,(TableDiv[[Agency]:[Agency]]=$E184)/(TableDiv[[Agency]:[Agency]]=$E184)*(ROW(TableDiv[Agency])-ROW(TableDiv[[#Headers],[Agency]])),COLUMNS($F$7:G$7))))</f>
        <v/>
      </c>
      <c r="H184" s="2223" t="str" cm="1">
        <f t="array" ref="H184">IF($D184&lt;COLUMNS($F$7:H$7),"",INDEX(TableDiv[[GASB]:[GASB]],_xlfn.AGGREGATE(15,3,(TableDiv[[Agency]:[Agency]]=$E184)/(TableDiv[[Agency]:[Agency]]=$E184)*(ROW(TableDiv[Agency])-ROW(TableDiv[[#Headers],[Agency]])),COLUMNS($F$7:H$7))))</f>
        <v/>
      </c>
      <c r="I184" s="2223" t="str" cm="1">
        <f t="array" ref="I184">IF($D184&lt;COLUMNS($F$7:I$7),"",INDEX(TableDiv[[GASB]:[GASB]],_xlfn.AGGREGATE(15,3,(TableDiv[[Agency]:[Agency]]=$E184)/(TableDiv[[Agency]:[Agency]]=$E184)*(ROW(TableDiv[Agency])-ROW(TableDiv[[#Headers],[Agency]])),COLUMNS($F$7:I$7))))</f>
        <v/>
      </c>
      <c r="J184" s="2223" t="str" cm="1">
        <f t="array" ref="J184">IF($D184&lt;COLUMNS($F$7:J$7),"",INDEX(TableDiv[[GASB]:[GASB]],_xlfn.AGGREGATE(15,3,(TableDiv[[Agency]:[Agency]]=$E184)/(TableDiv[[Agency]:[Agency]]=$E184)*(ROW(TableDiv[Agency])-ROW(TableDiv[[#Headers],[Agency]])),COLUMNS($F$7:J$7))))</f>
        <v/>
      </c>
      <c r="K184" s="2223" t="str" cm="1">
        <f t="array" ref="K184">IF($D184&lt;COLUMNS($F$7:K$7),"",INDEX(TableDiv[[GASB]:[GASB]],_xlfn.AGGREGATE(15,3,(TableDiv[[Agency]:[Agency]]=$E184)/(TableDiv[[Agency]:[Agency]]=$E184)*(ROW(TableDiv[Agency])-ROW(TableDiv[[#Headers],[Agency]])),COLUMNS($F$7:K$7))))</f>
        <v/>
      </c>
      <c r="L184" s="2223" t="str" cm="1">
        <f t="array" ref="L184">IF($D184&lt;COLUMNS($F$7:L$7),"",INDEX(TableDiv[[GASB]:[GASB]],_xlfn.AGGREGATE(15,3,(TableDiv[[Agency]:[Agency]]=$E184)/(TableDiv[[Agency]:[Agency]]=$E184)*(ROW(TableDiv[Agency])-ROW(TableDiv[[#Headers],[Agency]])),COLUMNS($F$7:L$7))))</f>
        <v/>
      </c>
      <c r="M184" s="2223" t="str" cm="1">
        <f t="array" ref="M184">IF($D184&lt;COLUMNS($F$7:M$7),"",INDEX(TableDiv[[GASB]:[GASB]],_xlfn.AGGREGATE(15,3,(TableDiv[[Agency]:[Agency]]=$E184)/(TableDiv[[Agency]:[Agency]]=$E184)*(ROW(TableDiv[Agency])-ROW(TableDiv[[#Headers],[Agency]])),COLUMNS($F$7:M$7))))</f>
        <v/>
      </c>
      <c r="N184" s="2223" t="str" cm="1">
        <f t="array" ref="N184">IF($D184&lt;COLUMNS($F$7:N$7),"",INDEX(TableDiv[[GASB]:[GASB]],_xlfn.AGGREGATE(15,3,(TableDiv[[Agency]:[Agency]]=$E184)/(TableDiv[[Agency]:[Agency]]=$E184)*(ROW(TableDiv[Agency])-ROW(TableDiv[[#Headers],[Agency]])),COLUMNS($F$7:N$7))))</f>
        <v/>
      </c>
      <c r="O184" s="2223" t="str" cm="1">
        <f t="array" ref="O184">IF($D184&lt;COLUMNS($F$7:O$7),"",INDEX(TableDiv[[GASB]:[GASB]],_xlfn.AGGREGATE(15,3,(TableDiv[[Agency]:[Agency]]=$E184)/(TableDiv[[Agency]:[Agency]]=$E184)*(ROW(TableDiv[Agency])-ROW(TableDiv[[#Headers],[Agency]])),COLUMNS($F$7:O$7))))</f>
        <v/>
      </c>
      <c r="P184" s="2223" t="str" cm="1">
        <f t="array" ref="P184">IF($D184&lt;COLUMNS($F$7:P$7),"",INDEX(TableDiv[[GASB]:[GASB]],_xlfn.AGGREGATE(15,3,(TableDiv[[Agency]:[Agency]]=$E184)/(TableDiv[[Agency]:[Agency]]=$E184)*(ROW(TableDiv[Agency])-ROW(TableDiv[[#Headers],[Agency]])),COLUMNS($F$7:P$7))))</f>
        <v/>
      </c>
      <c r="Q184" s="2223" t="str" cm="1">
        <f t="array" ref="Q184">IF($D184&lt;COLUMNS($F$7:Q$7),"",INDEX(TableDiv[[GASB]:[GASB]],_xlfn.AGGREGATE(15,3,(TableDiv[[Agency]:[Agency]]=$E184)/(TableDiv[[Agency]:[Agency]]=$E184)*(ROW(TableDiv[Agency])-ROW(TableDiv[[#Headers],[Agency]])),COLUMNS($F$7:Q$7))))</f>
        <v/>
      </c>
      <c r="R184" s="2223" t="str" cm="1">
        <f t="array" ref="R184">IF($D184&lt;COLUMNS($F$7:R$7),"",INDEX(TableDiv[[GASB]:[GASB]],_xlfn.AGGREGATE(15,3,(TableDiv[[Agency]:[Agency]]=$E184)/(TableDiv[[Agency]:[Agency]]=$E184)*(ROW(TableDiv[Agency])-ROW(TableDiv[[#Headers],[Agency]])),COLUMNS($F$7:R$7))))</f>
        <v/>
      </c>
      <c r="S184" s="2223" t="str" cm="1">
        <f t="array" ref="S184">IF($D184&lt;COLUMNS($F$7:S$7),"",INDEX(TableDiv[[GASB]:[GASB]],_xlfn.AGGREGATE(15,3,(TableDiv[[Agency]:[Agency]]=$E184)/(TableDiv[[Agency]:[Agency]]=$E184)*(ROW(TableDiv[Agency])-ROW(TableDiv[[#Headers],[Agency]])),COLUMNS($F$7:S$7))))</f>
        <v/>
      </c>
      <c r="T184" s="2223" t="str" cm="1">
        <f t="array" ref="T184">IF($D184&lt;COLUMNS($F$7:T$7),"",INDEX(TableDiv[[GASB]:[GASB]],_xlfn.AGGREGATE(15,3,(TableDiv[[Agency]:[Agency]]=$E184)/(TableDiv[[Agency]:[Agency]]=$E184)*(ROW(TableDiv[Agency])-ROW(TableDiv[[#Headers],[Agency]])),COLUMNS($F$7:T$7))))</f>
        <v/>
      </c>
      <c r="U184" s="2223" t="str" cm="1">
        <f t="array" ref="U184">IF($D184&lt;COLUMNS($F$7:U$7),"",INDEX(TableDiv[[GASB]:[GASB]],_xlfn.AGGREGATE(15,3,(TableDiv[[Agency]:[Agency]]=$E184)/(TableDiv[[Agency]:[Agency]]=$E184)*(ROW(TableDiv[Agency])-ROW(TableDiv[[#Headers],[Agency]])),COLUMNS($F$7:U$7))))</f>
        <v/>
      </c>
      <c r="V184" s="2223" t="str" cm="1">
        <f t="array" ref="V184">IF($D184&lt;COLUMNS($F$7:V$7),"",INDEX(TableDiv[[GASB]:[GASB]],_xlfn.AGGREGATE(15,3,(TableDiv[[Agency]:[Agency]]=$E184)/(TableDiv[[Agency]:[Agency]]=$E184)*(ROW(TableDiv[Agency])-ROW(TableDiv[[#Headers],[Agency]])),COLUMNS($F$7:V$7))))</f>
        <v/>
      </c>
      <c r="W184" s="2223" t="str" cm="1">
        <f t="array" ref="W184">IF($D184&lt;COLUMNS($F$7:W$7),"",INDEX(TableDiv[[GASB]:[GASB]],_xlfn.AGGREGATE(15,3,(TableDiv[[Agency]:[Agency]]=$E184)/(TableDiv[[Agency]:[Agency]]=$E184)*(ROW(TableDiv[Agency])-ROW(TableDiv[[#Headers],[Agency]])),COLUMNS($F$7:W$7))))</f>
        <v/>
      </c>
      <c r="X184" s="2223" t="str" cm="1">
        <f t="array" ref="X184">IF($D184&lt;COLUMNS($F$7:X$7),"",INDEX(TableDiv[[GASB]:[GASB]],_xlfn.AGGREGATE(15,3,(TableDiv[[Agency]:[Agency]]=$E184)/(TableDiv[[Agency]:[Agency]]=$E184)*(ROW(TableDiv[Agency])-ROW(TableDiv[[#Headers],[Agency]])),COLUMNS($F$7:X$7))))</f>
        <v/>
      </c>
      <c r="Y184" s="2223" t="str" cm="1">
        <f t="array" ref="Y184">IF($D184&lt;COLUMNS($F$7:Y$7),"",INDEX(TableDiv[[GASB]:[GASB]],_xlfn.AGGREGATE(15,3,(TableDiv[[Agency]:[Agency]]=$E184)/(TableDiv[[Agency]:[Agency]]=$E184)*(ROW(TableDiv[Agency])-ROW(TableDiv[[#Headers],[Agency]])),COLUMNS($F$7:Y$7))))</f>
        <v/>
      </c>
      <c r="Z184" s="2223" t="str" cm="1">
        <f t="array" ref="Z184">IF($D184&lt;COLUMNS($F$7:Z$7),"",INDEX(TableDiv[[GASB]:[GASB]],_xlfn.AGGREGATE(15,3,(TableDiv[[Agency]:[Agency]]=$E184)/(TableDiv[[Agency]:[Agency]]=$E184)*(ROW(TableDiv[Agency])-ROW(TableDiv[[#Headers],[Agency]])),COLUMNS($F$7:Z$7))))</f>
        <v/>
      </c>
      <c r="AA184" s="2223" t="str" cm="1">
        <f t="array" ref="AA184">IF($D184&lt;COLUMNS($F$7:AA$7),"",INDEX(TableDiv[[GASB]:[GASB]],_xlfn.AGGREGATE(15,3,(TableDiv[[Agency]:[Agency]]=$E184)/(TableDiv[[Agency]:[Agency]]=$E184)*(ROW(TableDiv[Agency])-ROW(TableDiv[[#Headers],[Agency]])),COLUMNS($F$7:AA$7))))</f>
        <v/>
      </c>
      <c r="AB184" s="2223" t="str" cm="1">
        <f t="array" ref="AB184">IF($D184&lt;COLUMNS($F$7:AB$7),"",INDEX(TableDiv[[GASB]:[GASB]],_xlfn.AGGREGATE(15,3,(TableDiv[[Agency]:[Agency]]=$E184)/(TableDiv[[Agency]:[Agency]]=$E184)*(ROW(TableDiv[Agency])-ROW(TableDiv[[#Headers],[Agency]])),COLUMNS($F$7:AB$7))))</f>
        <v/>
      </c>
      <c r="AC184" s="2223" t="str" cm="1">
        <f t="array" ref="AC184">IF($D184&lt;COLUMNS($F$7:AC$7),"",INDEX(TableDiv[[GASB]:[GASB]],_xlfn.AGGREGATE(15,3,(TableDiv[[Agency]:[Agency]]=$E184)/(TableDiv[[Agency]:[Agency]]=$E184)*(ROW(TableDiv[Agency])-ROW(TableDiv[[#Headers],[Agency]])),COLUMNS($F$7:AC$7))))</f>
        <v/>
      </c>
      <c r="AD184" s="2223" t="str" cm="1">
        <f t="array" ref="AD184">IF($D184&lt;COLUMNS($F$7:AD$7),"",INDEX(TableDiv[[GASB]:[GASB]],_xlfn.AGGREGATE(15,3,(TableDiv[[Agency]:[Agency]]=$E184)/(TableDiv[[Agency]:[Agency]]=$E184)*(ROW(TableDiv[Agency])-ROW(TableDiv[[#Headers],[Agency]])),COLUMNS($F$7:AD$7))))</f>
        <v/>
      </c>
      <c r="AE184" s="2223" t="str" cm="1">
        <f t="array" ref="AE184">IF($D184&lt;COLUMNS($F$7:AE$7),"",INDEX(TableDiv[[GASB]:[GASB]],_xlfn.AGGREGATE(15,3,(TableDiv[[Agency]:[Agency]]=$E184)/(TableDiv[[Agency]:[Agency]]=$E184)*(ROW(TableDiv[Agency])-ROW(TableDiv[[#Headers],[Agency]])),COLUMNS($F$7:AE$7))))</f>
        <v/>
      </c>
      <c r="AF184" s="2223" t="str" cm="1">
        <f t="array" ref="AF184">IF($D184&lt;COLUMNS($F$7:AF$7),"",INDEX(TableDiv[[GASB]:[GASB]],_xlfn.AGGREGATE(15,3,(TableDiv[[Agency]:[Agency]]=$E184)/(TableDiv[[Agency]:[Agency]]=$E184)*(ROW(TableDiv[Agency])-ROW(TableDiv[[#Headers],[Agency]])),COLUMNS($F$7:AF$7))))</f>
        <v/>
      </c>
      <c r="AG184" s="2223" t="str" cm="1">
        <f t="array" ref="AG184">IF($D184&lt;COLUMNS($F$7:AG$7),"",INDEX(TableDiv[[GASB]:[GASB]],_xlfn.AGGREGATE(15,3,(TableDiv[[Agency]:[Agency]]=$E184)/(TableDiv[[Agency]:[Agency]]=$E184)*(ROW(TableDiv[Agency])-ROW(TableDiv[[#Headers],[Agency]])),COLUMNS($F$7:AG$7))))</f>
        <v/>
      </c>
      <c r="AH184" s="2223" t="str" cm="1">
        <f t="array" ref="AH184">IF($D184&lt;COLUMNS($F$7:AH$7),"",INDEX(TableDiv[[GASB]:[GASB]],_xlfn.AGGREGATE(15,3,(TableDiv[[Agency]:[Agency]]=$E184)/(TableDiv[[Agency]:[Agency]]=$E184)*(ROW(TableDiv[Agency])-ROW(TableDiv[[#Headers],[Agency]])),COLUMNS($F$7:AH$7))))</f>
        <v/>
      </c>
      <c r="AI184" s="2223" t="str" cm="1">
        <f t="array" ref="AI184">IF($D184&lt;COLUMNS($F$7:AI$7),"",INDEX(TableDiv[[GASB]:[GASB]],_xlfn.AGGREGATE(15,3,(TableDiv[[Agency]:[Agency]]=$E184)/(TableDiv[[Agency]:[Agency]]=$E184)*(ROW(TableDiv[Agency])-ROW(TableDiv[[#Headers],[Agency]])),COLUMNS($F$7:AI$7))))</f>
        <v/>
      </c>
      <c r="AJ184" s="2223" t="str" cm="1">
        <f t="array" ref="AJ184">IF($D184&lt;COLUMNS($F$7:AJ$7),"",INDEX(TableDiv[[GASB]:[GASB]],_xlfn.AGGREGATE(15,3,(TableDiv[[Agency]:[Agency]]=$E184)/(TableDiv[[Agency]:[Agency]]=$E184)*(ROW(TableDiv[Agency])-ROW(TableDiv[[#Headers],[Agency]])),COLUMNS($F$7:AJ$7))))</f>
        <v/>
      </c>
      <c r="AK184" s="2223" t="str" cm="1">
        <f t="array" ref="AK184">IF($D184&lt;COLUMNS($F$7:AK$7),"",INDEX(TableDiv[[GASB]:[GASB]],_xlfn.AGGREGATE(15,3,(TableDiv[[Agency]:[Agency]]=$E184)/(TableDiv[[Agency]:[Agency]]=$E184)*(ROW(TableDiv[Agency])-ROW(TableDiv[[#Headers],[Agency]])),COLUMNS($F$7:AK$7))))</f>
        <v/>
      </c>
      <c r="AL184" s="2223" t="str" cm="1">
        <f t="array" ref="AL184">IF($D184&lt;COLUMNS($F$7:AL$7),"",INDEX(TableDiv[[GASB]:[GASB]],_xlfn.AGGREGATE(15,3,(TableDiv[[Agency]:[Agency]]=$E184)/(TableDiv[[Agency]:[Agency]]=$E184)*(ROW(TableDiv[Agency])-ROW(TableDiv[[#Headers],[Agency]])),COLUMNS($F$7:AL$7))))</f>
        <v/>
      </c>
      <c r="AM184" s="2223" t="str" cm="1">
        <f t="array" ref="AM184">IF($D184&lt;COLUMNS($F$7:AM$7),"",INDEX(TableDiv[[GASB]:[GASB]],_xlfn.AGGREGATE(15,3,(TableDiv[[Agency]:[Agency]]=$E184)/(TableDiv[[Agency]:[Agency]]=$E184)*(ROW(TableDiv[Agency])-ROW(TableDiv[[#Headers],[Agency]])),COLUMNS($F$7:AM$7))))</f>
        <v/>
      </c>
      <c r="AN184" s="2223"/>
      <c r="AO184" s="2223"/>
      <c r="AP184" s="2223"/>
      <c r="AQ184" s="2223"/>
      <c r="AR184" s="2223"/>
      <c r="AS184" s="2223"/>
    </row>
    <row r="185" spans="1:45" ht="15" x14ac:dyDescent="0.25">
      <c r="A185" s="2219" t="s">
        <v>6444</v>
      </c>
      <c r="B185" s="2219" t="s">
        <v>6372</v>
      </c>
      <c r="C185" s="2223"/>
      <c r="D185" s="2223">
        <f>COUNTIF(TableDiv[Agency],E185)</f>
        <v>1</v>
      </c>
      <c r="E185" s="2230" t="str" cm="1">
        <f t="array" ref="E185">IFERROR(INDEX(TableDiv[Agency],MATCH(0,INDEX(COUNTIF($E$7:E184,TableDiv[Agency]),),0)),"")</f>
        <v>DE</v>
      </c>
      <c r="F185" s="2223" t="str" cm="1">
        <f t="array" ref="F185">IF($D185&lt;COLUMNS($F$7:F$7),"",INDEX(TableDiv[[GASB]:[GASB]],_xlfn.AGGREGATE(15,3,(TableDiv[[Agency]:[Agency]]=$E185)/(TableDiv[[Agency]:[Agency]]=$E185)*(ROW(TableDiv[Agency])-ROW(TableDiv[[#Headers],[Agency]])),COLUMNS($F$7:F$7))))</f>
        <v>48100G</v>
      </c>
      <c r="G185" s="2223" t="str" cm="1">
        <f t="array" ref="G185">IF($D185&lt;COLUMNS($F$7:G$7),"",INDEX(TableDiv[[GASB]:[GASB]],_xlfn.AGGREGATE(15,3,(TableDiv[[Agency]:[Agency]]=$E185)/(TableDiv[[Agency]:[Agency]]=$E185)*(ROW(TableDiv[Agency])-ROW(TableDiv[[#Headers],[Agency]])),COLUMNS($F$7:G$7))))</f>
        <v/>
      </c>
      <c r="H185" s="2223" t="str" cm="1">
        <f t="array" ref="H185">IF($D185&lt;COLUMNS($F$7:H$7),"",INDEX(TableDiv[[GASB]:[GASB]],_xlfn.AGGREGATE(15,3,(TableDiv[[Agency]:[Agency]]=$E185)/(TableDiv[[Agency]:[Agency]]=$E185)*(ROW(TableDiv[Agency])-ROW(TableDiv[[#Headers],[Agency]])),COLUMNS($F$7:H$7))))</f>
        <v/>
      </c>
      <c r="I185" s="2223" t="str" cm="1">
        <f t="array" ref="I185">IF($D185&lt;COLUMNS($F$7:I$7),"",INDEX(TableDiv[[GASB]:[GASB]],_xlfn.AGGREGATE(15,3,(TableDiv[[Agency]:[Agency]]=$E185)/(TableDiv[[Agency]:[Agency]]=$E185)*(ROW(TableDiv[Agency])-ROW(TableDiv[[#Headers],[Agency]])),COLUMNS($F$7:I$7))))</f>
        <v/>
      </c>
      <c r="J185" s="2223" t="str" cm="1">
        <f t="array" ref="J185">IF($D185&lt;COLUMNS($F$7:J$7),"",INDEX(TableDiv[[GASB]:[GASB]],_xlfn.AGGREGATE(15,3,(TableDiv[[Agency]:[Agency]]=$E185)/(TableDiv[[Agency]:[Agency]]=$E185)*(ROW(TableDiv[Agency])-ROW(TableDiv[[#Headers],[Agency]])),COLUMNS($F$7:J$7))))</f>
        <v/>
      </c>
      <c r="K185" s="2223" t="str" cm="1">
        <f t="array" ref="K185">IF($D185&lt;COLUMNS($F$7:K$7),"",INDEX(TableDiv[[GASB]:[GASB]],_xlfn.AGGREGATE(15,3,(TableDiv[[Agency]:[Agency]]=$E185)/(TableDiv[[Agency]:[Agency]]=$E185)*(ROW(TableDiv[Agency])-ROW(TableDiv[[#Headers],[Agency]])),COLUMNS($F$7:K$7))))</f>
        <v/>
      </c>
      <c r="L185" s="2223" t="str" cm="1">
        <f t="array" ref="L185">IF($D185&lt;COLUMNS($F$7:L$7),"",INDEX(TableDiv[[GASB]:[GASB]],_xlfn.AGGREGATE(15,3,(TableDiv[[Agency]:[Agency]]=$E185)/(TableDiv[[Agency]:[Agency]]=$E185)*(ROW(TableDiv[Agency])-ROW(TableDiv[[#Headers],[Agency]])),COLUMNS($F$7:L$7))))</f>
        <v/>
      </c>
      <c r="M185" s="2223" t="str" cm="1">
        <f t="array" ref="M185">IF($D185&lt;COLUMNS($F$7:M$7),"",INDEX(TableDiv[[GASB]:[GASB]],_xlfn.AGGREGATE(15,3,(TableDiv[[Agency]:[Agency]]=$E185)/(TableDiv[[Agency]:[Agency]]=$E185)*(ROW(TableDiv[Agency])-ROW(TableDiv[[#Headers],[Agency]])),COLUMNS($F$7:M$7))))</f>
        <v/>
      </c>
      <c r="N185" s="2223" t="str" cm="1">
        <f t="array" ref="N185">IF($D185&lt;COLUMNS($F$7:N$7),"",INDEX(TableDiv[[GASB]:[GASB]],_xlfn.AGGREGATE(15,3,(TableDiv[[Agency]:[Agency]]=$E185)/(TableDiv[[Agency]:[Agency]]=$E185)*(ROW(TableDiv[Agency])-ROW(TableDiv[[#Headers],[Agency]])),COLUMNS($F$7:N$7))))</f>
        <v/>
      </c>
      <c r="O185" s="2223" t="str" cm="1">
        <f t="array" ref="O185">IF($D185&lt;COLUMNS($F$7:O$7),"",INDEX(TableDiv[[GASB]:[GASB]],_xlfn.AGGREGATE(15,3,(TableDiv[[Agency]:[Agency]]=$E185)/(TableDiv[[Agency]:[Agency]]=$E185)*(ROW(TableDiv[Agency])-ROW(TableDiv[[#Headers],[Agency]])),COLUMNS($F$7:O$7))))</f>
        <v/>
      </c>
      <c r="P185" s="2223" t="str" cm="1">
        <f t="array" ref="P185">IF($D185&lt;COLUMNS($F$7:P$7),"",INDEX(TableDiv[[GASB]:[GASB]],_xlfn.AGGREGATE(15,3,(TableDiv[[Agency]:[Agency]]=$E185)/(TableDiv[[Agency]:[Agency]]=$E185)*(ROW(TableDiv[Agency])-ROW(TableDiv[[#Headers],[Agency]])),COLUMNS($F$7:P$7))))</f>
        <v/>
      </c>
      <c r="Q185" s="2223" t="str" cm="1">
        <f t="array" ref="Q185">IF($D185&lt;COLUMNS($F$7:Q$7),"",INDEX(TableDiv[[GASB]:[GASB]],_xlfn.AGGREGATE(15,3,(TableDiv[[Agency]:[Agency]]=$E185)/(TableDiv[[Agency]:[Agency]]=$E185)*(ROW(TableDiv[Agency])-ROW(TableDiv[[#Headers],[Agency]])),COLUMNS($F$7:Q$7))))</f>
        <v/>
      </c>
      <c r="R185" s="2223" t="str" cm="1">
        <f t="array" ref="R185">IF($D185&lt;COLUMNS($F$7:R$7),"",INDEX(TableDiv[[GASB]:[GASB]],_xlfn.AGGREGATE(15,3,(TableDiv[[Agency]:[Agency]]=$E185)/(TableDiv[[Agency]:[Agency]]=$E185)*(ROW(TableDiv[Agency])-ROW(TableDiv[[#Headers],[Agency]])),COLUMNS($F$7:R$7))))</f>
        <v/>
      </c>
      <c r="S185" s="2223" t="str" cm="1">
        <f t="array" ref="S185">IF($D185&lt;COLUMNS($F$7:S$7),"",INDEX(TableDiv[[GASB]:[GASB]],_xlfn.AGGREGATE(15,3,(TableDiv[[Agency]:[Agency]]=$E185)/(TableDiv[[Agency]:[Agency]]=$E185)*(ROW(TableDiv[Agency])-ROW(TableDiv[[#Headers],[Agency]])),COLUMNS($F$7:S$7))))</f>
        <v/>
      </c>
      <c r="T185" s="2223" t="str" cm="1">
        <f t="array" ref="T185">IF($D185&lt;COLUMNS($F$7:T$7),"",INDEX(TableDiv[[GASB]:[GASB]],_xlfn.AGGREGATE(15,3,(TableDiv[[Agency]:[Agency]]=$E185)/(TableDiv[[Agency]:[Agency]]=$E185)*(ROW(TableDiv[Agency])-ROW(TableDiv[[#Headers],[Agency]])),COLUMNS($F$7:T$7))))</f>
        <v/>
      </c>
      <c r="U185" s="2223" t="str" cm="1">
        <f t="array" ref="U185">IF($D185&lt;COLUMNS($F$7:U$7),"",INDEX(TableDiv[[GASB]:[GASB]],_xlfn.AGGREGATE(15,3,(TableDiv[[Agency]:[Agency]]=$E185)/(TableDiv[[Agency]:[Agency]]=$E185)*(ROW(TableDiv[Agency])-ROW(TableDiv[[#Headers],[Agency]])),COLUMNS($F$7:U$7))))</f>
        <v/>
      </c>
      <c r="V185" s="2223" t="str" cm="1">
        <f t="array" ref="V185">IF($D185&lt;COLUMNS($F$7:V$7),"",INDEX(TableDiv[[GASB]:[GASB]],_xlfn.AGGREGATE(15,3,(TableDiv[[Agency]:[Agency]]=$E185)/(TableDiv[[Agency]:[Agency]]=$E185)*(ROW(TableDiv[Agency])-ROW(TableDiv[[#Headers],[Agency]])),COLUMNS($F$7:V$7))))</f>
        <v/>
      </c>
      <c r="W185" s="2223" t="str" cm="1">
        <f t="array" ref="W185">IF($D185&lt;COLUMNS($F$7:W$7),"",INDEX(TableDiv[[GASB]:[GASB]],_xlfn.AGGREGATE(15,3,(TableDiv[[Agency]:[Agency]]=$E185)/(TableDiv[[Agency]:[Agency]]=$E185)*(ROW(TableDiv[Agency])-ROW(TableDiv[[#Headers],[Agency]])),COLUMNS($F$7:W$7))))</f>
        <v/>
      </c>
      <c r="X185" s="2223" t="str" cm="1">
        <f t="array" ref="X185">IF($D185&lt;COLUMNS($F$7:X$7),"",INDEX(TableDiv[[GASB]:[GASB]],_xlfn.AGGREGATE(15,3,(TableDiv[[Agency]:[Agency]]=$E185)/(TableDiv[[Agency]:[Agency]]=$E185)*(ROW(TableDiv[Agency])-ROW(TableDiv[[#Headers],[Agency]])),COLUMNS($F$7:X$7))))</f>
        <v/>
      </c>
      <c r="Y185" s="2223" t="str" cm="1">
        <f t="array" ref="Y185">IF($D185&lt;COLUMNS($F$7:Y$7),"",INDEX(TableDiv[[GASB]:[GASB]],_xlfn.AGGREGATE(15,3,(TableDiv[[Agency]:[Agency]]=$E185)/(TableDiv[[Agency]:[Agency]]=$E185)*(ROW(TableDiv[Agency])-ROW(TableDiv[[#Headers],[Agency]])),COLUMNS($F$7:Y$7))))</f>
        <v/>
      </c>
      <c r="Z185" s="2223" t="str" cm="1">
        <f t="array" ref="Z185">IF($D185&lt;COLUMNS($F$7:Z$7),"",INDEX(TableDiv[[GASB]:[GASB]],_xlfn.AGGREGATE(15,3,(TableDiv[[Agency]:[Agency]]=$E185)/(TableDiv[[Agency]:[Agency]]=$E185)*(ROW(TableDiv[Agency])-ROW(TableDiv[[#Headers],[Agency]])),COLUMNS($F$7:Z$7))))</f>
        <v/>
      </c>
      <c r="AA185" s="2223" t="str" cm="1">
        <f t="array" ref="AA185">IF($D185&lt;COLUMNS($F$7:AA$7),"",INDEX(TableDiv[[GASB]:[GASB]],_xlfn.AGGREGATE(15,3,(TableDiv[[Agency]:[Agency]]=$E185)/(TableDiv[[Agency]:[Agency]]=$E185)*(ROW(TableDiv[Agency])-ROW(TableDiv[[#Headers],[Agency]])),COLUMNS($F$7:AA$7))))</f>
        <v/>
      </c>
      <c r="AB185" s="2223" t="str" cm="1">
        <f t="array" ref="AB185">IF($D185&lt;COLUMNS($F$7:AB$7),"",INDEX(TableDiv[[GASB]:[GASB]],_xlfn.AGGREGATE(15,3,(TableDiv[[Agency]:[Agency]]=$E185)/(TableDiv[[Agency]:[Agency]]=$E185)*(ROW(TableDiv[Agency])-ROW(TableDiv[[#Headers],[Agency]])),COLUMNS($F$7:AB$7))))</f>
        <v/>
      </c>
      <c r="AC185" s="2223" t="str" cm="1">
        <f t="array" ref="AC185">IF($D185&lt;COLUMNS($F$7:AC$7),"",INDEX(TableDiv[[GASB]:[GASB]],_xlfn.AGGREGATE(15,3,(TableDiv[[Agency]:[Agency]]=$E185)/(TableDiv[[Agency]:[Agency]]=$E185)*(ROW(TableDiv[Agency])-ROW(TableDiv[[#Headers],[Agency]])),COLUMNS($F$7:AC$7))))</f>
        <v/>
      </c>
      <c r="AD185" s="2223" t="str" cm="1">
        <f t="array" ref="AD185">IF($D185&lt;COLUMNS($F$7:AD$7),"",INDEX(TableDiv[[GASB]:[GASB]],_xlfn.AGGREGATE(15,3,(TableDiv[[Agency]:[Agency]]=$E185)/(TableDiv[[Agency]:[Agency]]=$E185)*(ROW(TableDiv[Agency])-ROW(TableDiv[[#Headers],[Agency]])),COLUMNS($F$7:AD$7))))</f>
        <v/>
      </c>
      <c r="AE185" s="2223" t="str" cm="1">
        <f t="array" ref="AE185">IF($D185&lt;COLUMNS($F$7:AE$7),"",INDEX(TableDiv[[GASB]:[GASB]],_xlfn.AGGREGATE(15,3,(TableDiv[[Agency]:[Agency]]=$E185)/(TableDiv[[Agency]:[Agency]]=$E185)*(ROW(TableDiv[Agency])-ROW(TableDiv[[#Headers],[Agency]])),COLUMNS($F$7:AE$7))))</f>
        <v/>
      </c>
      <c r="AF185" s="2223" t="str" cm="1">
        <f t="array" ref="AF185">IF($D185&lt;COLUMNS($F$7:AF$7),"",INDEX(TableDiv[[GASB]:[GASB]],_xlfn.AGGREGATE(15,3,(TableDiv[[Agency]:[Agency]]=$E185)/(TableDiv[[Agency]:[Agency]]=$E185)*(ROW(TableDiv[Agency])-ROW(TableDiv[[#Headers],[Agency]])),COLUMNS($F$7:AF$7))))</f>
        <v/>
      </c>
      <c r="AG185" s="2223" t="str" cm="1">
        <f t="array" ref="AG185">IF($D185&lt;COLUMNS($F$7:AG$7),"",INDEX(TableDiv[[GASB]:[GASB]],_xlfn.AGGREGATE(15,3,(TableDiv[[Agency]:[Agency]]=$E185)/(TableDiv[[Agency]:[Agency]]=$E185)*(ROW(TableDiv[Agency])-ROW(TableDiv[[#Headers],[Agency]])),COLUMNS($F$7:AG$7))))</f>
        <v/>
      </c>
      <c r="AH185" s="2223" t="str" cm="1">
        <f t="array" ref="AH185">IF($D185&lt;COLUMNS($F$7:AH$7),"",INDEX(TableDiv[[GASB]:[GASB]],_xlfn.AGGREGATE(15,3,(TableDiv[[Agency]:[Agency]]=$E185)/(TableDiv[[Agency]:[Agency]]=$E185)*(ROW(TableDiv[Agency])-ROW(TableDiv[[#Headers],[Agency]])),COLUMNS($F$7:AH$7))))</f>
        <v/>
      </c>
      <c r="AI185" s="2223" t="str" cm="1">
        <f t="array" ref="AI185">IF($D185&lt;COLUMNS($F$7:AI$7),"",INDEX(TableDiv[[GASB]:[GASB]],_xlfn.AGGREGATE(15,3,(TableDiv[[Agency]:[Agency]]=$E185)/(TableDiv[[Agency]:[Agency]]=$E185)*(ROW(TableDiv[Agency])-ROW(TableDiv[[#Headers],[Agency]])),COLUMNS($F$7:AI$7))))</f>
        <v/>
      </c>
      <c r="AJ185" s="2223" t="str" cm="1">
        <f t="array" ref="AJ185">IF($D185&lt;COLUMNS($F$7:AJ$7),"",INDEX(TableDiv[[GASB]:[GASB]],_xlfn.AGGREGATE(15,3,(TableDiv[[Agency]:[Agency]]=$E185)/(TableDiv[[Agency]:[Agency]]=$E185)*(ROW(TableDiv[Agency])-ROW(TableDiv[[#Headers],[Agency]])),COLUMNS($F$7:AJ$7))))</f>
        <v/>
      </c>
      <c r="AK185" s="2223" t="str" cm="1">
        <f t="array" ref="AK185">IF($D185&lt;COLUMNS($F$7:AK$7),"",INDEX(TableDiv[[GASB]:[GASB]],_xlfn.AGGREGATE(15,3,(TableDiv[[Agency]:[Agency]]=$E185)/(TableDiv[[Agency]:[Agency]]=$E185)*(ROW(TableDiv[Agency])-ROW(TableDiv[[#Headers],[Agency]])),COLUMNS($F$7:AK$7))))</f>
        <v/>
      </c>
      <c r="AL185" s="2223" t="str" cm="1">
        <f t="array" ref="AL185">IF($D185&lt;COLUMNS($F$7:AL$7),"",INDEX(TableDiv[[GASB]:[GASB]],_xlfn.AGGREGATE(15,3,(TableDiv[[Agency]:[Agency]]=$E185)/(TableDiv[[Agency]:[Agency]]=$E185)*(ROW(TableDiv[Agency])-ROW(TableDiv[[#Headers],[Agency]])),COLUMNS($F$7:AL$7))))</f>
        <v/>
      </c>
      <c r="AM185" s="2223" t="str" cm="1">
        <f t="array" ref="AM185">IF($D185&lt;COLUMNS($F$7:AM$7),"",INDEX(TableDiv[[GASB]:[GASB]],_xlfn.AGGREGATE(15,3,(TableDiv[[Agency]:[Agency]]=$E185)/(TableDiv[[Agency]:[Agency]]=$E185)*(ROW(TableDiv[Agency])-ROW(TableDiv[[#Headers],[Agency]])),COLUMNS($F$7:AM$7))))</f>
        <v/>
      </c>
      <c r="AN185" s="2223"/>
      <c r="AO185" s="2223"/>
      <c r="AP185" s="2223"/>
      <c r="AQ185" s="2223"/>
      <c r="AR185" s="2223"/>
      <c r="AS185" s="2223"/>
    </row>
    <row r="186" spans="1:45" ht="15" x14ac:dyDescent="0.25">
      <c r="A186" s="2219" t="s">
        <v>6444</v>
      </c>
      <c r="B186" s="2219" t="s">
        <v>6439</v>
      </c>
      <c r="C186" s="2223"/>
      <c r="D186" s="2223">
        <f>COUNTIF(TableDiv[Agency],E186)</f>
        <v>1</v>
      </c>
      <c r="E186" s="2230" t="str" cm="1">
        <f t="array" ref="E186">IFERROR(INDEX(TableDiv[Agency],MATCH(0,INDEX(COUNTIF($E$7:E185,TableDiv[Agency]),),0)),"")</f>
        <v>DF</v>
      </c>
      <c r="F186" s="2223" t="str" cm="1">
        <f t="array" ref="F186">IF($D186&lt;COLUMNS($F$7:F$7),"",INDEX(TableDiv[[GASB]:[GASB]],_xlfn.AGGREGATE(15,3,(TableDiv[[Agency]:[Agency]]=$E186)/(TableDiv[[Agency]:[Agency]]=$E186)*(ROW(TableDiv[Agency])-ROW(TableDiv[[#Headers],[Agency]])),COLUMNS($F$7:F$7))))</f>
        <v>48100G</v>
      </c>
      <c r="G186" s="2223" t="str" cm="1">
        <f t="array" ref="G186">IF($D186&lt;COLUMNS($F$7:G$7),"",INDEX(TableDiv[[GASB]:[GASB]],_xlfn.AGGREGATE(15,3,(TableDiv[[Agency]:[Agency]]=$E186)/(TableDiv[[Agency]:[Agency]]=$E186)*(ROW(TableDiv[Agency])-ROW(TableDiv[[#Headers],[Agency]])),COLUMNS($F$7:G$7))))</f>
        <v/>
      </c>
      <c r="H186" s="2223" t="str" cm="1">
        <f t="array" ref="H186">IF($D186&lt;COLUMNS($F$7:H$7),"",INDEX(TableDiv[[GASB]:[GASB]],_xlfn.AGGREGATE(15,3,(TableDiv[[Agency]:[Agency]]=$E186)/(TableDiv[[Agency]:[Agency]]=$E186)*(ROW(TableDiv[Agency])-ROW(TableDiv[[#Headers],[Agency]])),COLUMNS($F$7:H$7))))</f>
        <v/>
      </c>
      <c r="I186" s="2223" t="str" cm="1">
        <f t="array" ref="I186">IF($D186&lt;COLUMNS($F$7:I$7),"",INDEX(TableDiv[[GASB]:[GASB]],_xlfn.AGGREGATE(15,3,(TableDiv[[Agency]:[Agency]]=$E186)/(TableDiv[[Agency]:[Agency]]=$E186)*(ROW(TableDiv[Agency])-ROW(TableDiv[[#Headers],[Agency]])),COLUMNS($F$7:I$7))))</f>
        <v/>
      </c>
      <c r="J186" s="2223" t="str" cm="1">
        <f t="array" ref="J186">IF($D186&lt;COLUMNS($F$7:J$7),"",INDEX(TableDiv[[GASB]:[GASB]],_xlfn.AGGREGATE(15,3,(TableDiv[[Agency]:[Agency]]=$E186)/(TableDiv[[Agency]:[Agency]]=$E186)*(ROW(TableDiv[Agency])-ROW(TableDiv[[#Headers],[Agency]])),COLUMNS($F$7:J$7))))</f>
        <v/>
      </c>
      <c r="K186" s="2223" t="str" cm="1">
        <f t="array" ref="K186">IF($D186&lt;COLUMNS($F$7:K$7),"",INDEX(TableDiv[[GASB]:[GASB]],_xlfn.AGGREGATE(15,3,(TableDiv[[Agency]:[Agency]]=$E186)/(TableDiv[[Agency]:[Agency]]=$E186)*(ROW(TableDiv[Agency])-ROW(TableDiv[[#Headers],[Agency]])),COLUMNS($F$7:K$7))))</f>
        <v/>
      </c>
      <c r="L186" s="2223" t="str" cm="1">
        <f t="array" ref="L186">IF($D186&lt;COLUMNS($F$7:L$7),"",INDEX(TableDiv[[GASB]:[GASB]],_xlfn.AGGREGATE(15,3,(TableDiv[[Agency]:[Agency]]=$E186)/(TableDiv[[Agency]:[Agency]]=$E186)*(ROW(TableDiv[Agency])-ROW(TableDiv[[#Headers],[Agency]])),COLUMNS($F$7:L$7))))</f>
        <v/>
      </c>
      <c r="M186" s="2223" t="str" cm="1">
        <f t="array" ref="M186">IF($D186&lt;COLUMNS($F$7:M$7),"",INDEX(TableDiv[[GASB]:[GASB]],_xlfn.AGGREGATE(15,3,(TableDiv[[Agency]:[Agency]]=$E186)/(TableDiv[[Agency]:[Agency]]=$E186)*(ROW(TableDiv[Agency])-ROW(TableDiv[[#Headers],[Agency]])),COLUMNS($F$7:M$7))))</f>
        <v/>
      </c>
      <c r="N186" s="2223" t="str" cm="1">
        <f t="array" ref="N186">IF($D186&lt;COLUMNS($F$7:N$7),"",INDEX(TableDiv[[GASB]:[GASB]],_xlfn.AGGREGATE(15,3,(TableDiv[[Agency]:[Agency]]=$E186)/(TableDiv[[Agency]:[Agency]]=$E186)*(ROW(TableDiv[Agency])-ROW(TableDiv[[#Headers],[Agency]])),COLUMNS($F$7:N$7))))</f>
        <v/>
      </c>
      <c r="O186" s="2223" t="str" cm="1">
        <f t="array" ref="O186">IF($D186&lt;COLUMNS($F$7:O$7),"",INDEX(TableDiv[[GASB]:[GASB]],_xlfn.AGGREGATE(15,3,(TableDiv[[Agency]:[Agency]]=$E186)/(TableDiv[[Agency]:[Agency]]=$E186)*(ROW(TableDiv[Agency])-ROW(TableDiv[[#Headers],[Agency]])),COLUMNS($F$7:O$7))))</f>
        <v/>
      </c>
      <c r="P186" s="2223" t="str" cm="1">
        <f t="array" ref="P186">IF($D186&lt;COLUMNS($F$7:P$7),"",INDEX(TableDiv[[GASB]:[GASB]],_xlfn.AGGREGATE(15,3,(TableDiv[[Agency]:[Agency]]=$E186)/(TableDiv[[Agency]:[Agency]]=$E186)*(ROW(TableDiv[Agency])-ROW(TableDiv[[#Headers],[Agency]])),COLUMNS($F$7:P$7))))</f>
        <v/>
      </c>
      <c r="Q186" s="2223" t="str" cm="1">
        <f t="array" ref="Q186">IF($D186&lt;COLUMNS($F$7:Q$7),"",INDEX(TableDiv[[GASB]:[GASB]],_xlfn.AGGREGATE(15,3,(TableDiv[[Agency]:[Agency]]=$E186)/(TableDiv[[Agency]:[Agency]]=$E186)*(ROW(TableDiv[Agency])-ROW(TableDiv[[#Headers],[Agency]])),COLUMNS($F$7:Q$7))))</f>
        <v/>
      </c>
      <c r="R186" s="2223" t="str" cm="1">
        <f t="array" ref="R186">IF($D186&lt;COLUMNS($F$7:R$7),"",INDEX(TableDiv[[GASB]:[GASB]],_xlfn.AGGREGATE(15,3,(TableDiv[[Agency]:[Agency]]=$E186)/(TableDiv[[Agency]:[Agency]]=$E186)*(ROW(TableDiv[Agency])-ROW(TableDiv[[#Headers],[Agency]])),COLUMNS($F$7:R$7))))</f>
        <v/>
      </c>
      <c r="S186" s="2223" t="str" cm="1">
        <f t="array" ref="S186">IF($D186&lt;COLUMNS($F$7:S$7),"",INDEX(TableDiv[[GASB]:[GASB]],_xlfn.AGGREGATE(15,3,(TableDiv[[Agency]:[Agency]]=$E186)/(TableDiv[[Agency]:[Agency]]=$E186)*(ROW(TableDiv[Agency])-ROW(TableDiv[[#Headers],[Agency]])),COLUMNS($F$7:S$7))))</f>
        <v/>
      </c>
      <c r="T186" s="2223" t="str" cm="1">
        <f t="array" ref="T186">IF($D186&lt;COLUMNS($F$7:T$7),"",INDEX(TableDiv[[GASB]:[GASB]],_xlfn.AGGREGATE(15,3,(TableDiv[[Agency]:[Agency]]=$E186)/(TableDiv[[Agency]:[Agency]]=$E186)*(ROW(TableDiv[Agency])-ROW(TableDiv[[#Headers],[Agency]])),COLUMNS($F$7:T$7))))</f>
        <v/>
      </c>
      <c r="U186" s="2223" t="str" cm="1">
        <f t="array" ref="U186">IF($D186&lt;COLUMNS($F$7:U$7),"",INDEX(TableDiv[[GASB]:[GASB]],_xlfn.AGGREGATE(15,3,(TableDiv[[Agency]:[Agency]]=$E186)/(TableDiv[[Agency]:[Agency]]=$E186)*(ROW(TableDiv[Agency])-ROW(TableDiv[[#Headers],[Agency]])),COLUMNS($F$7:U$7))))</f>
        <v/>
      </c>
      <c r="V186" s="2223" t="str" cm="1">
        <f t="array" ref="V186">IF($D186&lt;COLUMNS($F$7:V$7),"",INDEX(TableDiv[[GASB]:[GASB]],_xlfn.AGGREGATE(15,3,(TableDiv[[Agency]:[Agency]]=$E186)/(TableDiv[[Agency]:[Agency]]=$E186)*(ROW(TableDiv[Agency])-ROW(TableDiv[[#Headers],[Agency]])),COLUMNS($F$7:V$7))))</f>
        <v/>
      </c>
      <c r="W186" s="2223" t="str" cm="1">
        <f t="array" ref="W186">IF($D186&lt;COLUMNS($F$7:W$7),"",INDEX(TableDiv[[GASB]:[GASB]],_xlfn.AGGREGATE(15,3,(TableDiv[[Agency]:[Agency]]=$E186)/(TableDiv[[Agency]:[Agency]]=$E186)*(ROW(TableDiv[Agency])-ROW(TableDiv[[#Headers],[Agency]])),COLUMNS($F$7:W$7))))</f>
        <v/>
      </c>
      <c r="X186" s="2223" t="str" cm="1">
        <f t="array" ref="X186">IF($D186&lt;COLUMNS($F$7:X$7),"",INDEX(TableDiv[[GASB]:[GASB]],_xlfn.AGGREGATE(15,3,(TableDiv[[Agency]:[Agency]]=$E186)/(TableDiv[[Agency]:[Agency]]=$E186)*(ROW(TableDiv[Agency])-ROW(TableDiv[[#Headers],[Agency]])),COLUMNS($F$7:X$7))))</f>
        <v/>
      </c>
      <c r="Y186" s="2223" t="str" cm="1">
        <f t="array" ref="Y186">IF($D186&lt;COLUMNS($F$7:Y$7),"",INDEX(TableDiv[[GASB]:[GASB]],_xlfn.AGGREGATE(15,3,(TableDiv[[Agency]:[Agency]]=$E186)/(TableDiv[[Agency]:[Agency]]=$E186)*(ROW(TableDiv[Agency])-ROW(TableDiv[[#Headers],[Agency]])),COLUMNS($F$7:Y$7))))</f>
        <v/>
      </c>
      <c r="Z186" s="2223" t="str" cm="1">
        <f t="array" ref="Z186">IF($D186&lt;COLUMNS($F$7:Z$7),"",INDEX(TableDiv[[GASB]:[GASB]],_xlfn.AGGREGATE(15,3,(TableDiv[[Agency]:[Agency]]=$E186)/(TableDiv[[Agency]:[Agency]]=$E186)*(ROW(TableDiv[Agency])-ROW(TableDiv[[#Headers],[Agency]])),COLUMNS($F$7:Z$7))))</f>
        <v/>
      </c>
      <c r="AA186" s="2223" t="str" cm="1">
        <f t="array" ref="AA186">IF($D186&lt;COLUMNS($F$7:AA$7),"",INDEX(TableDiv[[GASB]:[GASB]],_xlfn.AGGREGATE(15,3,(TableDiv[[Agency]:[Agency]]=$E186)/(TableDiv[[Agency]:[Agency]]=$E186)*(ROW(TableDiv[Agency])-ROW(TableDiv[[#Headers],[Agency]])),COLUMNS($F$7:AA$7))))</f>
        <v/>
      </c>
      <c r="AB186" s="2223" t="str" cm="1">
        <f t="array" ref="AB186">IF($D186&lt;COLUMNS($F$7:AB$7),"",INDEX(TableDiv[[GASB]:[GASB]],_xlfn.AGGREGATE(15,3,(TableDiv[[Agency]:[Agency]]=$E186)/(TableDiv[[Agency]:[Agency]]=$E186)*(ROW(TableDiv[Agency])-ROW(TableDiv[[#Headers],[Agency]])),COLUMNS($F$7:AB$7))))</f>
        <v/>
      </c>
      <c r="AC186" s="2223" t="str" cm="1">
        <f t="array" ref="AC186">IF($D186&lt;COLUMNS($F$7:AC$7),"",INDEX(TableDiv[[GASB]:[GASB]],_xlfn.AGGREGATE(15,3,(TableDiv[[Agency]:[Agency]]=$E186)/(TableDiv[[Agency]:[Agency]]=$E186)*(ROW(TableDiv[Agency])-ROW(TableDiv[[#Headers],[Agency]])),COLUMNS($F$7:AC$7))))</f>
        <v/>
      </c>
      <c r="AD186" s="2223" t="str" cm="1">
        <f t="array" ref="AD186">IF($D186&lt;COLUMNS($F$7:AD$7),"",INDEX(TableDiv[[GASB]:[GASB]],_xlfn.AGGREGATE(15,3,(TableDiv[[Agency]:[Agency]]=$E186)/(TableDiv[[Agency]:[Agency]]=$E186)*(ROW(TableDiv[Agency])-ROW(TableDiv[[#Headers],[Agency]])),COLUMNS($F$7:AD$7))))</f>
        <v/>
      </c>
      <c r="AE186" s="2223" t="str" cm="1">
        <f t="array" ref="AE186">IF($D186&lt;COLUMNS($F$7:AE$7),"",INDEX(TableDiv[[GASB]:[GASB]],_xlfn.AGGREGATE(15,3,(TableDiv[[Agency]:[Agency]]=$E186)/(TableDiv[[Agency]:[Agency]]=$E186)*(ROW(TableDiv[Agency])-ROW(TableDiv[[#Headers],[Agency]])),COLUMNS($F$7:AE$7))))</f>
        <v/>
      </c>
      <c r="AF186" s="2223" t="str" cm="1">
        <f t="array" ref="AF186">IF($D186&lt;COLUMNS($F$7:AF$7),"",INDEX(TableDiv[[GASB]:[GASB]],_xlfn.AGGREGATE(15,3,(TableDiv[[Agency]:[Agency]]=$E186)/(TableDiv[[Agency]:[Agency]]=$E186)*(ROW(TableDiv[Agency])-ROW(TableDiv[[#Headers],[Agency]])),COLUMNS($F$7:AF$7))))</f>
        <v/>
      </c>
      <c r="AG186" s="2223" t="str" cm="1">
        <f t="array" ref="AG186">IF($D186&lt;COLUMNS($F$7:AG$7),"",INDEX(TableDiv[[GASB]:[GASB]],_xlfn.AGGREGATE(15,3,(TableDiv[[Agency]:[Agency]]=$E186)/(TableDiv[[Agency]:[Agency]]=$E186)*(ROW(TableDiv[Agency])-ROW(TableDiv[[#Headers],[Agency]])),COLUMNS($F$7:AG$7))))</f>
        <v/>
      </c>
      <c r="AH186" s="2223" t="str" cm="1">
        <f t="array" ref="AH186">IF($D186&lt;COLUMNS($F$7:AH$7),"",INDEX(TableDiv[[GASB]:[GASB]],_xlfn.AGGREGATE(15,3,(TableDiv[[Agency]:[Agency]]=$E186)/(TableDiv[[Agency]:[Agency]]=$E186)*(ROW(TableDiv[Agency])-ROW(TableDiv[[#Headers],[Agency]])),COLUMNS($F$7:AH$7))))</f>
        <v/>
      </c>
      <c r="AI186" s="2223" t="str" cm="1">
        <f t="array" ref="AI186">IF($D186&lt;COLUMNS($F$7:AI$7),"",INDEX(TableDiv[[GASB]:[GASB]],_xlfn.AGGREGATE(15,3,(TableDiv[[Agency]:[Agency]]=$E186)/(TableDiv[[Agency]:[Agency]]=$E186)*(ROW(TableDiv[Agency])-ROW(TableDiv[[#Headers],[Agency]])),COLUMNS($F$7:AI$7))))</f>
        <v/>
      </c>
      <c r="AJ186" s="2223" t="str" cm="1">
        <f t="array" ref="AJ186">IF($D186&lt;COLUMNS($F$7:AJ$7),"",INDEX(TableDiv[[GASB]:[GASB]],_xlfn.AGGREGATE(15,3,(TableDiv[[Agency]:[Agency]]=$E186)/(TableDiv[[Agency]:[Agency]]=$E186)*(ROW(TableDiv[Agency])-ROW(TableDiv[[#Headers],[Agency]])),COLUMNS($F$7:AJ$7))))</f>
        <v/>
      </c>
      <c r="AK186" s="2223" t="str" cm="1">
        <f t="array" ref="AK186">IF($D186&lt;COLUMNS($F$7:AK$7),"",INDEX(TableDiv[[GASB]:[GASB]],_xlfn.AGGREGATE(15,3,(TableDiv[[Agency]:[Agency]]=$E186)/(TableDiv[[Agency]:[Agency]]=$E186)*(ROW(TableDiv[Agency])-ROW(TableDiv[[#Headers],[Agency]])),COLUMNS($F$7:AK$7))))</f>
        <v/>
      </c>
      <c r="AL186" s="2223" t="str" cm="1">
        <f t="array" ref="AL186">IF($D186&lt;COLUMNS($F$7:AL$7),"",INDEX(TableDiv[[GASB]:[GASB]],_xlfn.AGGREGATE(15,3,(TableDiv[[Agency]:[Agency]]=$E186)/(TableDiv[[Agency]:[Agency]]=$E186)*(ROW(TableDiv[Agency])-ROW(TableDiv[[#Headers],[Agency]])),COLUMNS($F$7:AL$7))))</f>
        <v/>
      </c>
      <c r="AM186" s="2223" t="str" cm="1">
        <f t="array" ref="AM186">IF($D186&lt;COLUMNS($F$7:AM$7),"",INDEX(TableDiv[[GASB]:[GASB]],_xlfn.AGGREGATE(15,3,(TableDiv[[Agency]:[Agency]]=$E186)/(TableDiv[[Agency]:[Agency]]=$E186)*(ROW(TableDiv[Agency])-ROW(TableDiv[[#Headers],[Agency]])),COLUMNS($F$7:AM$7))))</f>
        <v/>
      </c>
      <c r="AN186" s="2223"/>
      <c r="AO186" s="2223"/>
      <c r="AP186" s="2223"/>
      <c r="AQ186" s="2223"/>
      <c r="AR186" s="2223"/>
      <c r="AS186" s="2223"/>
    </row>
    <row r="187" spans="1:45" ht="15" x14ac:dyDescent="0.25">
      <c r="A187" s="2219" t="s">
        <v>6445</v>
      </c>
      <c r="B187" s="2219" t="s">
        <v>6357</v>
      </c>
      <c r="C187" s="2223"/>
      <c r="D187" s="2223">
        <f>COUNTIF(TableDiv[Agency],E187)</f>
        <v>1</v>
      </c>
      <c r="E187" s="2230" t="str" cm="1">
        <f t="array" ref="E187">IFERROR(INDEX(TableDiv[Agency],MATCH(0,INDEX(COUNTIF($E$7:E186,TableDiv[Agency]),),0)),"")</f>
        <v>DG</v>
      </c>
      <c r="F187" s="2223" t="str" cm="1">
        <f t="array" ref="F187">IF($D187&lt;COLUMNS($F$7:F$7),"",INDEX(TableDiv[[GASB]:[GASB]],_xlfn.AGGREGATE(15,3,(TableDiv[[Agency]:[Agency]]=$E187)/(TableDiv[[Agency]:[Agency]]=$E187)*(ROW(TableDiv[Agency])-ROW(TableDiv[[#Headers],[Agency]])),COLUMNS($F$7:F$7))))</f>
        <v>48100G</v>
      </c>
      <c r="G187" s="2223" t="str" cm="1">
        <f t="array" ref="G187">IF($D187&lt;COLUMNS($F$7:G$7),"",INDEX(TableDiv[[GASB]:[GASB]],_xlfn.AGGREGATE(15,3,(TableDiv[[Agency]:[Agency]]=$E187)/(TableDiv[[Agency]:[Agency]]=$E187)*(ROW(TableDiv[Agency])-ROW(TableDiv[[#Headers],[Agency]])),COLUMNS($F$7:G$7))))</f>
        <v/>
      </c>
      <c r="H187" s="2223" t="str" cm="1">
        <f t="array" ref="H187">IF($D187&lt;COLUMNS($F$7:H$7),"",INDEX(TableDiv[[GASB]:[GASB]],_xlfn.AGGREGATE(15,3,(TableDiv[[Agency]:[Agency]]=$E187)/(TableDiv[[Agency]:[Agency]]=$E187)*(ROW(TableDiv[Agency])-ROW(TableDiv[[#Headers],[Agency]])),COLUMNS($F$7:H$7))))</f>
        <v/>
      </c>
      <c r="I187" s="2223" t="str" cm="1">
        <f t="array" ref="I187">IF($D187&lt;COLUMNS($F$7:I$7),"",INDEX(TableDiv[[GASB]:[GASB]],_xlfn.AGGREGATE(15,3,(TableDiv[[Agency]:[Agency]]=$E187)/(TableDiv[[Agency]:[Agency]]=$E187)*(ROW(TableDiv[Agency])-ROW(TableDiv[[#Headers],[Agency]])),COLUMNS($F$7:I$7))))</f>
        <v/>
      </c>
      <c r="J187" s="2223" t="str" cm="1">
        <f t="array" ref="J187">IF($D187&lt;COLUMNS($F$7:J$7),"",INDEX(TableDiv[[GASB]:[GASB]],_xlfn.AGGREGATE(15,3,(TableDiv[[Agency]:[Agency]]=$E187)/(TableDiv[[Agency]:[Agency]]=$E187)*(ROW(TableDiv[Agency])-ROW(TableDiv[[#Headers],[Agency]])),COLUMNS($F$7:J$7))))</f>
        <v/>
      </c>
      <c r="K187" s="2223" t="str" cm="1">
        <f t="array" ref="K187">IF($D187&lt;COLUMNS($F$7:K$7),"",INDEX(TableDiv[[GASB]:[GASB]],_xlfn.AGGREGATE(15,3,(TableDiv[[Agency]:[Agency]]=$E187)/(TableDiv[[Agency]:[Agency]]=$E187)*(ROW(TableDiv[Agency])-ROW(TableDiv[[#Headers],[Agency]])),COLUMNS($F$7:K$7))))</f>
        <v/>
      </c>
      <c r="L187" s="2223" t="str" cm="1">
        <f t="array" ref="L187">IF($D187&lt;COLUMNS($F$7:L$7),"",INDEX(TableDiv[[GASB]:[GASB]],_xlfn.AGGREGATE(15,3,(TableDiv[[Agency]:[Agency]]=$E187)/(TableDiv[[Agency]:[Agency]]=$E187)*(ROW(TableDiv[Agency])-ROW(TableDiv[[#Headers],[Agency]])),COLUMNS($F$7:L$7))))</f>
        <v/>
      </c>
      <c r="M187" s="2223" t="str" cm="1">
        <f t="array" ref="M187">IF($D187&lt;COLUMNS($F$7:M$7),"",INDEX(TableDiv[[GASB]:[GASB]],_xlfn.AGGREGATE(15,3,(TableDiv[[Agency]:[Agency]]=$E187)/(TableDiv[[Agency]:[Agency]]=$E187)*(ROW(TableDiv[Agency])-ROW(TableDiv[[#Headers],[Agency]])),COLUMNS($F$7:M$7))))</f>
        <v/>
      </c>
      <c r="N187" s="2223" t="str" cm="1">
        <f t="array" ref="N187">IF($D187&lt;COLUMNS($F$7:N$7),"",INDEX(TableDiv[[GASB]:[GASB]],_xlfn.AGGREGATE(15,3,(TableDiv[[Agency]:[Agency]]=$E187)/(TableDiv[[Agency]:[Agency]]=$E187)*(ROW(TableDiv[Agency])-ROW(TableDiv[[#Headers],[Agency]])),COLUMNS($F$7:N$7))))</f>
        <v/>
      </c>
      <c r="O187" s="2223" t="str" cm="1">
        <f t="array" ref="O187">IF($D187&lt;COLUMNS($F$7:O$7),"",INDEX(TableDiv[[GASB]:[GASB]],_xlfn.AGGREGATE(15,3,(TableDiv[[Agency]:[Agency]]=$E187)/(TableDiv[[Agency]:[Agency]]=$E187)*(ROW(TableDiv[Agency])-ROW(TableDiv[[#Headers],[Agency]])),COLUMNS($F$7:O$7))))</f>
        <v/>
      </c>
      <c r="P187" s="2223" t="str" cm="1">
        <f t="array" ref="P187">IF($D187&lt;COLUMNS($F$7:P$7),"",INDEX(TableDiv[[GASB]:[GASB]],_xlfn.AGGREGATE(15,3,(TableDiv[[Agency]:[Agency]]=$E187)/(TableDiv[[Agency]:[Agency]]=$E187)*(ROW(TableDiv[Agency])-ROW(TableDiv[[#Headers],[Agency]])),COLUMNS($F$7:P$7))))</f>
        <v/>
      </c>
      <c r="Q187" s="2223" t="str" cm="1">
        <f t="array" ref="Q187">IF($D187&lt;COLUMNS($F$7:Q$7),"",INDEX(TableDiv[[GASB]:[GASB]],_xlfn.AGGREGATE(15,3,(TableDiv[[Agency]:[Agency]]=$E187)/(TableDiv[[Agency]:[Agency]]=$E187)*(ROW(TableDiv[Agency])-ROW(TableDiv[[#Headers],[Agency]])),COLUMNS($F$7:Q$7))))</f>
        <v/>
      </c>
      <c r="R187" s="2223" t="str" cm="1">
        <f t="array" ref="R187">IF($D187&lt;COLUMNS($F$7:R$7),"",INDEX(TableDiv[[GASB]:[GASB]],_xlfn.AGGREGATE(15,3,(TableDiv[[Agency]:[Agency]]=$E187)/(TableDiv[[Agency]:[Agency]]=$E187)*(ROW(TableDiv[Agency])-ROW(TableDiv[[#Headers],[Agency]])),COLUMNS($F$7:R$7))))</f>
        <v/>
      </c>
      <c r="S187" s="2223" t="str" cm="1">
        <f t="array" ref="S187">IF($D187&lt;COLUMNS($F$7:S$7),"",INDEX(TableDiv[[GASB]:[GASB]],_xlfn.AGGREGATE(15,3,(TableDiv[[Agency]:[Agency]]=$E187)/(TableDiv[[Agency]:[Agency]]=$E187)*(ROW(TableDiv[Agency])-ROW(TableDiv[[#Headers],[Agency]])),COLUMNS($F$7:S$7))))</f>
        <v/>
      </c>
      <c r="T187" s="2223" t="str" cm="1">
        <f t="array" ref="T187">IF($D187&lt;COLUMNS($F$7:T$7),"",INDEX(TableDiv[[GASB]:[GASB]],_xlfn.AGGREGATE(15,3,(TableDiv[[Agency]:[Agency]]=$E187)/(TableDiv[[Agency]:[Agency]]=$E187)*(ROW(TableDiv[Agency])-ROW(TableDiv[[#Headers],[Agency]])),COLUMNS($F$7:T$7))))</f>
        <v/>
      </c>
      <c r="U187" s="2223" t="str" cm="1">
        <f t="array" ref="U187">IF($D187&lt;COLUMNS($F$7:U$7),"",INDEX(TableDiv[[GASB]:[GASB]],_xlfn.AGGREGATE(15,3,(TableDiv[[Agency]:[Agency]]=$E187)/(TableDiv[[Agency]:[Agency]]=$E187)*(ROW(TableDiv[Agency])-ROW(TableDiv[[#Headers],[Agency]])),COLUMNS($F$7:U$7))))</f>
        <v/>
      </c>
      <c r="V187" s="2223" t="str" cm="1">
        <f t="array" ref="V187">IF($D187&lt;COLUMNS($F$7:V$7),"",INDEX(TableDiv[[GASB]:[GASB]],_xlfn.AGGREGATE(15,3,(TableDiv[[Agency]:[Agency]]=$E187)/(TableDiv[[Agency]:[Agency]]=$E187)*(ROW(TableDiv[Agency])-ROW(TableDiv[[#Headers],[Agency]])),COLUMNS($F$7:V$7))))</f>
        <v/>
      </c>
      <c r="W187" s="2223" t="str" cm="1">
        <f t="array" ref="W187">IF($D187&lt;COLUMNS($F$7:W$7),"",INDEX(TableDiv[[GASB]:[GASB]],_xlfn.AGGREGATE(15,3,(TableDiv[[Agency]:[Agency]]=$E187)/(TableDiv[[Agency]:[Agency]]=$E187)*(ROW(TableDiv[Agency])-ROW(TableDiv[[#Headers],[Agency]])),COLUMNS($F$7:W$7))))</f>
        <v/>
      </c>
      <c r="X187" s="2223" t="str" cm="1">
        <f t="array" ref="X187">IF($D187&lt;COLUMNS($F$7:X$7),"",INDEX(TableDiv[[GASB]:[GASB]],_xlfn.AGGREGATE(15,3,(TableDiv[[Agency]:[Agency]]=$E187)/(TableDiv[[Agency]:[Agency]]=$E187)*(ROW(TableDiv[Agency])-ROW(TableDiv[[#Headers],[Agency]])),COLUMNS($F$7:X$7))))</f>
        <v/>
      </c>
      <c r="Y187" s="2223" t="str" cm="1">
        <f t="array" ref="Y187">IF($D187&lt;COLUMNS($F$7:Y$7),"",INDEX(TableDiv[[GASB]:[GASB]],_xlfn.AGGREGATE(15,3,(TableDiv[[Agency]:[Agency]]=$E187)/(TableDiv[[Agency]:[Agency]]=$E187)*(ROW(TableDiv[Agency])-ROW(TableDiv[[#Headers],[Agency]])),COLUMNS($F$7:Y$7))))</f>
        <v/>
      </c>
      <c r="Z187" s="2223" t="str" cm="1">
        <f t="array" ref="Z187">IF($D187&lt;COLUMNS($F$7:Z$7),"",INDEX(TableDiv[[GASB]:[GASB]],_xlfn.AGGREGATE(15,3,(TableDiv[[Agency]:[Agency]]=$E187)/(TableDiv[[Agency]:[Agency]]=$E187)*(ROW(TableDiv[Agency])-ROW(TableDiv[[#Headers],[Agency]])),COLUMNS($F$7:Z$7))))</f>
        <v/>
      </c>
      <c r="AA187" s="2223" t="str" cm="1">
        <f t="array" ref="AA187">IF($D187&lt;COLUMNS($F$7:AA$7),"",INDEX(TableDiv[[GASB]:[GASB]],_xlfn.AGGREGATE(15,3,(TableDiv[[Agency]:[Agency]]=$E187)/(TableDiv[[Agency]:[Agency]]=$E187)*(ROW(TableDiv[Agency])-ROW(TableDiv[[#Headers],[Agency]])),COLUMNS($F$7:AA$7))))</f>
        <v/>
      </c>
      <c r="AB187" s="2223" t="str" cm="1">
        <f t="array" ref="AB187">IF($D187&lt;COLUMNS($F$7:AB$7),"",INDEX(TableDiv[[GASB]:[GASB]],_xlfn.AGGREGATE(15,3,(TableDiv[[Agency]:[Agency]]=$E187)/(TableDiv[[Agency]:[Agency]]=$E187)*(ROW(TableDiv[Agency])-ROW(TableDiv[[#Headers],[Agency]])),COLUMNS($F$7:AB$7))))</f>
        <v/>
      </c>
      <c r="AC187" s="2223" t="str" cm="1">
        <f t="array" ref="AC187">IF($D187&lt;COLUMNS($F$7:AC$7),"",INDEX(TableDiv[[GASB]:[GASB]],_xlfn.AGGREGATE(15,3,(TableDiv[[Agency]:[Agency]]=$E187)/(TableDiv[[Agency]:[Agency]]=$E187)*(ROW(TableDiv[Agency])-ROW(TableDiv[[#Headers],[Agency]])),COLUMNS($F$7:AC$7))))</f>
        <v/>
      </c>
      <c r="AD187" s="2223" t="str" cm="1">
        <f t="array" ref="AD187">IF($D187&lt;COLUMNS($F$7:AD$7),"",INDEX(TableDiv[[GASB]:[GASB]],_xlfn.AGGREGATE(15,3,(TableDiv[[Agency]:[Agency]]=$E187)/(TableDiv[[Agency]:[Agency]]=$E187)*(ROW(TableDiv[Agency])-ROW(TableDiv[[#Headers],[Agency]])),COLUMNS($F$7:AD$7))))</f>
        <v/>
      </c>
      <c r="AE187" s="2223" t="str" cm="1">
        <f t="array" ref="AE187">IF($D187&lt;COLUMNS($F$7:AE$7),"",INDEX(TableDiv[[GASB]:[GASB]],_xlfn.AGGREGATE(15,3,(TableDiv[[Agency]:[Agency]]=$E187)/(TableDiv[[Agency]:[Agency]]=$E187)*(ROW(TableDiv[Agency])-ROW(TableDiv[[#Headers],[Agency]])),COLUMNS($F$7:AE$7))))</f>
        <v/>
      </c>
      <c r="AF187" s="2223" t="str" cm="1">
        <f t="array" ref="AF187">IF($D187&lt;COLUMNS($F$7:AF$7),"",INDEX(TableDiv[[GASB]:[GASB]],_xlfn.AGGREGATE(15,3,(TableDiv[[Agency]:[Agency]]=$E187)/(TableDiv[[Agency]:[Agency]]=$E187)*(ROW(TableDiv[Agency])-ROW(TableDiv[[#Headers],[Agency]])),COLUMNS($F$7:AF$7))))</f>
        <v/>
      </c>
      <c r="AG187" s="2223" t="str" cm="1">
        <f t="array" ref="AG187">IF($D187&lt;COLUMNS($F$7:AG$7),"",INDEX(TableDiv[[GASB]:[GASB]],_xlfn.AGGREGATE(15,3,(TableDiv[[Agency]:[Agency]]=$E187)/(TableDiv[[Agency]:[Agency]]=$E187)*(ROW(TableDiv[Agency])-ROW(TableDiv[[#Headers],[Agency]])),COLUMNS($F$7:AG$7))))</f>
        <v/>
      </c>
      <c r="AH187" s="2223" t="str" cm="1">
        <f t="array" ref="AH187">IF($D187&lt;COLUMNS($F$7:AH$7),"",INDEX(TableDiv[[GASB]:[GASB]],_xlfn.AGGREGATE(15,3,(TableDiv[[Agency]:[Agency]]=$E187)/(TableDiv[[Agency]:[Agency]]=$E187)*(ROW(TableDiv[Agency])-ROW(TableDiv[[#Headers],[Agency]])),COLUMNS($F$7:AH$7))))</f>
        <v/>
      </c>
      <c r="AI187" s="2223" t="str" cm="1">
        <f t="array" ref="AI187">IF($D187&lt;COLUMNS($F$7:AI$7),"",INDEX(TableDiv[[GASB]:[GASB]],_xlfn.AGGREGATE(15,3,(TableDiv[[Agency]:[Agency]]=$E187)/(TableDiv[[Agency]:[Agency]]=$E187)*(ROW(TableDiv[Agency])-ROW(TableDiv[[#Headers],[Agency]])),COLUMNS($F$7:AI$7))))</f>
        <v/>
      </c>
      <c r="AJ187" s="2223" t="str" cm="1">
        <f t="array" ref="AJ187">IF($D187&lt;COLUMNS($F$7:AJ$7),"",INDEX(TableDiv[[GASB]:[GASB]],_xlfn.AGGREGATE(15,3,(TableDiv[[Agency]:[Agency]]=$E187)/(TableDiv[[Agency]:[Agency]]=$E187)*(ROW(TableDiv[Agency])-ROW(TableDiv[[#Headers],[Agency]])),COLUMNS($F$7:AJ$7))))</f>
        <v/>
      </c>
      <c r="AK187" s="2223" t="str" cm="1">
        <f t="array" ref="AK187">IF($D187&lt;COLUMNS($F$7:AK$7),"",INDEX(TableDiv[[GASB]:[GASB]],_xlfn.AGGREGATE(15,3,(TableDiv[[Agency]:[Agency]]=$E187)/(TableDiv[[Agency]:[Agency]]=$E187)*(ROW(TableDiv[Agency])-ROW(TableDiv[[#Headers],[Agency]])),COLUMNS($F$7:AK$7))))</f>
        <v/>
      </c>
      <c r="AL187" s="2223" t="str" cm="1">
        <f t="array" ref="AL187">IF($D187&lt;COLUMNS($F$7:AL$7),"",INDEX(TableDiv[[GASB]:[GASB]],_xlfn.AGGREGATE(15,3,(TableDiv[[Agency]:[Agency]]=$E187)/(TableDiv[[Agency]:[Agency]]=$E187)*(ROW(TableDiv[Agency])-ROW(TableDiv[[#Headers],[Agency]])),COLUMNS($F$7:AL$7))))</f>
        <v/>
      </c>
      <c r="AM187" s="2223" t="str" cm="1">
        <f t="array" ref="AM187">IF($D187&lt;COLUMNS($F$7:AM$7),"",INDEX(TableDiv[[GASB]:[GASB]],_xlfn.AGGREGATE(15,3,(TableDiv[[Agency]:[Agency]]=$E187)/(TableDiv[[Agency]:[Agency]]=$E187)*(ROW(TableDiv[Agency])-ROW(TableDiv[[#Headers],[Agency]])),COLUMNS($F$7:AM$7))))</f>
        <v/>
      </c>
      <c r="AN187" s="2223"/>
      <c r="AO187" s="2223"/>
      <c r="AP187" s="2223"/>
      <c r="AQ187" s="2223"/>
      <c r="AR187" s="2223"/>
      <c r="AS187" s="2223"/>
    </row>
    <row r="188" spans="1:45" ht="15" x14ac:dyDescent="0.25">
      <c r="A188" s="2219" t="s">
        <v>6445</v>
      </c>
      <c r="B188" s="2219" t="s">
        <v>6372</v>
      </c>
      <c r="C188" s="2223"/>
      <c r="D188" s="2223">
        <f>COUNTIF(TableDiv[Agency],E188)</f>
        <v>1</v>
      </c>
      <c r="E188" s="2230" t="str" cm="1">
        <f t="array" ref="E188">IFERROR(INDEX(TableDiv[Agency],MATCH(0,INDEX(COUNTIF($E$7:E187,TableDiv[Agency]),),0)),"")</f>
        <v>DH</v>
      </c>
      <c r="F188" s="2223" t="str" cm="1">
        <f t="array" ref="F188">IF($D188&lt;COLUMNS($F$7:F$7),"",INDEX(TableDiv[[GASB]:[GASB]],_xlfn.AGGREGATE(15,3,(TableDiv[[Agency]:[Agency]]=$E188)/(TableDiv[[Agency]:[Agency]]=$E188)*(ROW(TableDiv[Agency])-ROW(TableDiv[[#Headers],[Agency]])),COLUMNS($F$7:F$7))))</f>
        <v>48100G</v>
      </c>
      <c r="G188" s="2223" t="str" cm="1">
        <f t="array" ref="G188">IF($D188&lt;COLUMNS($F$7:G$7),"",INDEX(TableDiv[[GASB]:[GASB]],_xlfn.AGGREGATE(15,3,(TableDiv[[Agency]:[Agency]]=$E188)/(TableDiv[[Agency]:[Agency]]=$E188)*(ROW(TableDiv[Agency])-ROW(TableDiv[[#Headers],[Agency]])),COLUMNS($F$7:G$7))))</f>
        <v/>
      </c>
      <c r="H188" s="2223" t="str" cm="1">
        <f t="array" ref="H188">IF($D188&lt;COLUMNS($F$7:H$7),"",INDEX(TableDiv[[GASB]:[GASB]],_xlfn.AGGREGATE(15,3,(TableDiv[[Agency]:[Agency]]=$E188)/(TableDiv[[Agency]:[Agency]]=$E188)*(ROW(TableDiv[Agency])-ROW(TableDiv[[#Headers],[Agency]])),COLUMNS($F$7:H$7))))</f>
        <v/>
      </c>
      <c r="I188" s="2223" t="str" cm="1">
        <f t="array" ref="I188">IF($D188&lt;COLUMNS($F$7:I$7),"",INDEX(TableDiv[[GASB]:[GASB]],_xlfn.AGGREGATE(15,3,(TableDiv[[Agency]:[Agency]]=$E188)/(TableDiv[[Agency]:[Agency]]=$E188)*(ROW(TableDiv[Agency])-ROW(TableDiv[[#Headers],[Agency]])),COLUMNS($F$7:I$7))))</f>
        <v/>
      </c>
      <c r="J188" s="2223" t="str" cm="1">
        <f t="array" ref="J188">IF($D188&lt;COLUMNS($F$7:J$7),"",INDEX(TableDiv[[GASB]:[GASB]],_xlfn.AGGREGATE(15,3,(TableDiv[[Agency]:[Agency]]=$E188)/(TableDiv[[Agency]:[Agency]]=$E188)*(ROW(TableDiv[Agency])-ROW(TableDiv[[#Headers],[Agency]])),COLUMNS($F$7:J$7))))</f>
        <v/>
      </c>
      <c r="K188" s="2223" t="str" cm="1">
        <f t="array" ref="K188">IF($D188&lt;COLUMNS($F$7:K$7),"",INDEX(TableDiv[[GASB]:[GASB]],_xlfn.AGGREGATE(15,3,(TableDiv[[Agency]:[Agency]]=$E188)/(TableDiv[[Agency]:[Agency]]=$E188)*(ROW(TableDiv[Agency])-ROW(TableDiv[[#Headers],[Agency]])),COLUMNS($F$7:K$7))))</f>
        <v/>
      </c>
      <c r="L188" s="2223" t="str" cm="1">
        <f t="array" ref="L188">IF($D188&lt;COLUMNS($F$7:L$7),"",INDEX(TableDiv[[GASB]:[GASB]],_xlfn.AGGREGATE(15,3,(TableDiv[[Agency]:[Agency]]=$E188)/(TableDiv[[Agency]:[Agency]]=$E188)*(ROW(TableDiv[Agency])-ROW(TableDiv[[#Headers],[Agency]])),COLUMNS($F$7:L$7))))</f>
        <v/>
      </c>
      <c r="M188" s="2223" t="str" cm="1">
        <f t="array" ref="M188">IF($D188&lt;COLUMNS($F$7:M$7),"",INDEX(TableDiv[[GASB]:[GASB]],_xlfn.AGGREGATE(15,3,(TableDiv[[Agency]:[Agency]]=$E188)/(TableDiv[[Agency]:[Agency]]=$E188)*(ROW(TableDiv[Agency])-ROW(TableDiv[[#Headers],[Agency]])),COLUMNS($F$7:M$7))))</f>
        <v/>
      </c>
      <c r="N188" s="2223" t="str" cm="1">
        <f t="array" ref="N188">IF($D188&lt;COLUMNS($F$7:N$7),"",INDEX(TableDiv[[GASB]:[GASB]],_xlfn.AGGREGATE(15,3,(TableDiv[[Agency]:[Agency]]=$E188)/(TableDiv[[Agency]:[Agency]]=$E188)*(ROW(TableDiv[Agency])-ROW(TableDiv[[#Headers],[Agency]])),COLUMNS($F$7:N$7))))</f>
        <v/>
      </c>
      <c r="O188" s="2223" t="str" cm="1">
        <f t="array" ref="O188">IF($D188&lt;COLUMNS($F$7:O$7),"",INDEX(TableDiv[[GASB]:[GASB]],_xlfn.AGGREGATE(15,3,(TableDiv[[Agency]:[Agency]]=$E188)/(TableDiv[[Agency]:[Agency]]=$E188)*(ROW(TableDiv[Agency])-ROW(TableDiv[[#Headers],[Agency]])),COLUMNS($F$7:O$7))))</f>
        <v/>
      </c>
      <c r="P188" s="2223" t="str" cm="1">
        <f t="array" ref="P188">IF($D188&lt;COLUMNS($F$7:P$7),"",INDEX(TableDiv[[GASB]:[GASB]],_xlfn.AGGREGATE(15,3,(TableDiv[[Agency]:[Agency]]=$E188)/(TableDiv[[Agency]:[Agency]]=$E188)*(ROW(TableDiv[Agency])-ROW(TableDiv[[#Headers],[Agency]])),COLUMNS($F$7:P$7))))</f>
        <v/>
      </c>
      <c r="Q188" s="2223" t="str" cm="1">
        <f t="array" ref="Q188">IF($D188&lt;COLUMNS($F$7:Q$7),"",INDEX(TableDiv[[GASB]:[GASB]],_xlfn.AGGREGATE(15,3,(TableDiv[[Agency]:[Agency]]=$E188)/(TableDiv[[Agency]:[Agency]]=$E188)*(ROW(TableDiv[Agency])-ROW(TableDiv[[#Headers],[Agency]])),COLUMNS($F$7:Q$7))))</f>
        <v/>
      </c>
      <c r="R188" s="2223" t="str" cm="1">
        <f t="array" ref="R188">IF($D188&lt;COLUMNS($F$7:R$7),"",INDEX(TableDiv[[GASB]:[GASB]],_xlfn.AGGREGATE(15,3,(TableDiv[[Agency]:[Agency]]=$E188)/(TableDiv[[Agency]:[Agency]]=$E188)*(ROW(TableDiv[Agency])-ROW(TableDiv[[#Headers],[Agency]])),COLUMNS($F$7:R$7))))</f>
        <v/>
      </c>
      <c r="S188" s="2223" t="str" cm="1">
        <f t="array" ref="S188">IF($D188&lt;COLUMNS($F$7:S$7),"",INDEX(TableDiv[[GASB]:[GASB]],_xlfn.AGGREGATE(15,3,(TableDiv[[Agency]:[Agency]]=$E188)/(TableDiv[[Agency]:[Agency]]=$E188)*(ROW(TableDiv[Agency])-ROW(TableDiv[[#Headers],[Agency]])),COLUMNS($F$7:S$7))))</f>
        <v/>
      </c>
      <c r="T188" s="2223" t="str" cm="1">
        <f t="array" ref="T188">IF($D188&lt;COLUMNS($F$7:T$7),"",INDEX(TableDiv[[GASB]:[GASB]],_xlfn.AGGREGATE(15,3,(TableDiv[[Agency]:[Agency]]=$E188)/(TableDiv[[Agency]:[Agency]]=$E188)*(ROW(TableDiv[Agency])-ROW(TableDiv[[#Headers],[Agency]])),COLUMNS($F$7:T$7))))</f>
        <v/>
      </c>
      <c r="U188" s="2223" t="str" cm="1">
        <f t="array" ref="U188">IF($D188&lt;COLUMNS($F$7:U$7),"",INDEX(TableDiv[[GASB]:[GASB]],_xlfn.AGGREGATE(15,3,(TableDiv[[Agency]:[Agency]]=$E188)/(TableDiv[[Agency]:[Agency]]=$E188)*(ROW(TableDiv[Agency])-ROW(TableDiv[[#Headers],[Agency]])),COLUMNS($F$7:U$7))))</f>
        <v/>
      </c>
      <c r="V188" s="2223" t="str" cm="1">
        <f t="array" ref="V188">IF($D188&lt;COLUMNS($F$7:V$7),"",INDEX(TableDiv[[GASB]:[GASB]],_xlfn.AGGREGATE(15,3,(TableDiv[[Agency]:[Agency]]=$E188)/(TableDiv[[Agency]:[Agency]]=$E188)*(ROW(TableDiv[Agency])-ROW(TableDiv[[#Headers],[Agency]])),COLUMNS($F$7:V$7))))</f>
        <v/>
      </c>
      <c r="W188" s="2223" t="str" cm="1">
        <f t="array" ref="W188">IF($D188&lt;COLUMNS($F$7:W$7),"",INDEX(TableDiv[[GASB]:[GASB]],_xlfn.AGGREGATE(15,3,(TableDiv[[Agency]:[Agency]]=$E188)/(TableDiv[[Agency]:[Agency]]=$E188)*(ROW(TableDiv[Agency])-ROW(TableDiv[[#Headers],[Agency]])),COLUMNS($F$7:W$7))))</f>
        <v/>
      </c>
      <c r="X188" s="2223" t="str" cm="1">
        <f t="array" ref="X188">IF($D188&lt;COLUMNS($F$7:X$7),"",INDEX(TableDiv[[GASB]:[GASB]],_xlfn.AGGREGATE(15,3,(TableDiv[[Agency]:[Agency]]=$E188)/(TableDiv[[Agency]:[Agency]]=$E188)*(ROW(TableDiv[Agency])-ROW(TableDiv[[#Headers],[Agency]])),COLUMNS($F$7:X$7))))</f>
        <v/>
      </c>
      <c r="Y188" s="2223" t="str" cm="1">
        <f t="array" ref="Y188">IF($D188&lt;COLUMNS($F$7:Y$7),"",INDEX(TableDiv[[GASB]:[GASB]],_xlfn.AGGREGATE(15,3,(TableDiv[[Agency]:[Agency]]=$E188)/(TableDiv[[Agency]:[Agency]]=$E188)*(ROW(TableDiv[Agency])-ROW(TableDiv[[#Headers],[Agency]])),COLUMNS($F$7:Y$7))))</f>
        <v/>
      </c>
      <c r="Z188" s="2223" t="str" cm="1">
        <f t="array" ref="Z188">IF($D188&lt;COLUMNS($F$7:Z$7),"",INDEX(TableDiv[[GASB]:[GASB]],_xlfn.AGGREGATE(15,3,(TableDiv[[Agency]:[Agency]]=$E188)/(TableDiv[[Agency]:[Agency]]=$E188)*(ROW(TableDiv[Agency])-ROW(TableDiv[[#Headers],[Agency]])),COLUMNS($F$7:Z$7))))</f>
        <v/>
      </c>
      <c r="AA188" s="2223" t="str" cm="1">
        <f t="array" ref="AA188">IF($D188&lt;COLUMNS($F$7:AA$7),"",INDEX(TableDiv[[GASB]:[GASB]],_xlfn.AGGREGATE(15,3,(TableDiv[[Agency]:[Agency]]=$E188)/(TableDiv[[Agency]:[Agency]]=$E188)*(ROW(TableDiv[Agency])-ROW(TableDiv[[#Headers],[Agency]])),COLUMNS($F$7:AA$7))))</f>
        <v/>
      </c>
      <c r="AB188" s="2223" t="str" cm="1">
        <f t="array" ref="AB188">IF($D188&lt;COLUMNS($F$7:AB$7),"",INDEX(TableDiv[[GASB]:[GASB]],_xlfn.AGGREGATE(15,3,(TableDiv[[Agency]:[Agency]]=$E188)/(TableDiv[[Agency]:[Agency]]=$E188)*(ROW(TableDiv[Agency])-ROW(TableDiv[[#Headers],[Agency]])),COLUMNS($F$7:AB$7))))</f>
        <v/>
      </c>
      <c r="AC188" s="2223" t="str" cm="1">
        <f t="array" ref="AC188">IF($D188&lt;COLUMNS($F$7:AC$7),"",INDEX(TableDiv[[GASB]:[GASB]],_xlfn.AGGREGATE(15,3,(TableDiv[[Agency]:[Agency]]=$E188)/(TableDiv[[Agency]:[Agency]]=$E188)*(ROW(TableDiv[Agency])-ROW(TableDiv[[#Headers],[Agency]])),COLUMNS($F$7:AC$7))))</f>
        <v/>
      </c>
      <c r="AD188" s="2223" t="str" cm="1">
        <f t="array" ref="AD188">IF($D188&lt;COLUMNS($F$7:AD$7),"",INDEX(TableDiv[[GASB]:[GASB]],_xlfn.AGGREGATE(15,3,(TableDiv[[Agency]:[Agency]]=$E188)/(TableDiv[[Agency]:[Agency]]=$E188)*(ROW(TableDiv[Agency])-ROW(TableDiv[[#Headers],[Agency]])),COLUMNS($F$7:AD$7))))</f>
        <v/>
      </c>
      <c r="AE188" s="2223" t="str" cm="1">
        <f t="array" ref="AE188">IF($D188&lt;COLUMNS($F$7:AE$7),"",INDEX(TableDiv[[GASB]:[GASB]],_xlfn.AGGREGATE(15,3,(TableDiv[[Agency]:[Agency]]=$E188)/(TableDiv[[Agency]:[Agency]]=$E188)*(ROW(TableDiv[Agency])-ROW(TableDiv[[#Headers],[Agency]])),COLUMNS($F$7:AE$7))))</f>
        <v/>
      </c>
      <c r="AF188" s="2223" t="str" cm="1">
        <f t="array" ref="AF188">IF($D188&lt;COLUMNS($F$7:AF$7),"",INDEX(TableDiv[[GASB]:[GASB]],_xlfn.AGGREGATE(15,3,(TableDiv[[Agency]:[Agency]]=$E188)/(TableDiv[[Agency]:[Agency]]=$E188)*(ROW(TableDiv[Agency])-ROW(TableDiv[[#Headers],[Agency]])),COLUMNS($F$7:AF$7))))</f>
        <v/>
      </c>
      <c r="AG188" s="2223" t="str" cm="1">
        <f t="array" ref="AG188">IF($D188&lt;COLUMNS($F$7:AG$7),"",INDEX(TableDiv[[GASB]:[GASB]],_xlfn.AGGREGATE(15,3,(TableDiv[[Agency]:[Agency]]=$E188)/(TableDiv[[Agency]:[Agency]]=$E188)*(ROW(TableDiv[Agency])-ROW(TableDiv[[#Headers],[Agency]])),COLUMNS($F$7:AG$7))))</f>
        <v/>
      </c>
      <c r="AH188" s="2223" t="str" cm="1">
        <f t="array" ref="AH188">IF($D188&lt;COLUMNS($F$7:AH$7),"",INDEX(TableDiv[[GASB]:[GASB]],_xlfn.AGGREGATE(15,3,(TableDiv[[Agency]:[Agency]]=$E188)/(TableDiv[[Agency]:[Agency]]=$E188)*(ROW(TableDiv[Agency])-ROW(TableDiv[[#Headers],[Agency]])),COLUMNS($F$7:AH$7))))</f>
        <v/>
      </c>
      <c r="AI188" s="2223" t="str" cm="1">
        <f t="array" ref="AI188">IF($D188&lt;COLUMNS($F$7:AI$7),"",INDEX(TableDiv[[GASB]:[GASB]],_xlfn.AGGREGATE(15,3,(TableDiv[[Agency]:[Agency]]=$E188)/(TableDiv[[Agency]:[Agency]]=$E188)*(ROW(TableDiv[Agency])-ROW(TableDiv[[#Headers],[Agency]])),COLUMNS($F$7:AI$7))))</f>
        <v/>
      </c>
      <c r="AJ188" s="2223" t="str" cm="1">
        <f t="array" ref="AJ188">IF($D188&lt;COLUMNS($F$7:AJ$7),"",INDEX(TableDiv[[GASB]:[GASB]],_xlfn.AGGREGATE(15,3,(TableDiv[[Agency]:[Agency]]=$E188)/(TableDiv[[Agency]:[Agency]]=$E188)*(ROW(TableDiv[Agency])-ROW(TableDiv[[#Headers],[Agency]])),COLUMNS($F$7:AJ$7))))</f>
        <v/>
      </c>
      <c r="AK188" s="2223" t="str" cm="1">
        <f t="array" ref="AK188">IF($D188&lt;COLUMNS($F$7:AK$7),"",INDEX(TableDiv[[GASB]:[GASB]],_xlfn.AGGREGATE(15,3,(TableDiv[[Agency]:[Agency]]=$E188)/(TableDiv[[Agency]:[Agency]]=$E188)*(ROW(TableDiv[Agency])-ROW(TableDiv[[#Headers],[Agency]])),COLUMNS($F$7:AK$7))))</f>
        <v/>
      </c>
      <c r="AL188" s="2223" t="str" cm="1">
        <f t="array" ref="AL188">IF($D188&lt;COLUMNS($F$7:AL$7),"",INDEX(TableDiv[[GASB]:[GASB]],_xlfn.AGGREGATE(15,3,(TableDiv[[Agency]:[Agency]]=$E188)/(TableDiv[[Agency]:[Agency]]=$E188)*(ROW(TableDiv[Agency])-ROW(TableDiv[[#Headers],[Agency]])),COLUMNS($F$7:AL$7))))</f>
        <v/>
      </c>
      <c r="AM188" s="2223" t="str" cm="1">
        <f t="array" ref="AM188">IF($D188&lt;COLUMNS($F$7:AM$7),"",INDEX(TableDiv[[GASB]:[GASB]],_xlfn.AGGREGATE(15,3,(TableDiv[[Agency]:[Agency]]=$E188)/(TableDiv[[Agency]:[Agency]]=$E188)*(ROW(TableDiv[Agency])-ROW(TableDiv[[#Headers],[Agency]])),COLUMNS($F$7:AM$7))))</f>
        <v/>
      </c>
      <c r="AN188" s="2223"/>
      <c r="AO188" s="2223"/>
      <c r="AP188" s="2223"/>
      <c r="AQ188" s="2223"/>
      <c r="AR188" s="2223"/>
      <c r="AS188" s="2223"/>
    </row>
    <row r="189" spans="1:45" ht="15" x14ac:dyDescent="0.25">
      <c r="A189" s="2219" t="s">
        <v>6445</v>
      </c>
      <c r="B189" s="2219" t="s">
        <v>6361</v>
      </c>
      <c r="C189" s="2223"/>
      <c r="D189" s="2223">
        <f>COUNTIF(TableDiv[Agency],E189)</f>
        <v>1</v>
      </c>
      <c r="E189" s="2230" t="str" cm="1">
        <f t="array" ref="E189">IFERROR(INDEX(TableDiv[Agency],MATCH(0,INDEX(COUNTIF($E$7:E188,TableDiv[Agency]),),0)),"")</f>
        <v>DJ</v>
      </c>
      <c r="F189" s="2223" t="str" cm="1">
        <f t="array" ref="F189">IF($D189&lt;COLUMNS($F$7:F$7),"",INDEX(TableDiv[[GASB]:[GASB]],_xlfn.AGGREGATE(15,3,(TableDiv[[Agency]:[Agency]]=$E189)/(TableDiv[[Agency]:[Agency]]=$E189)*(ROW(TableDiv[Agency])-ROW(TableDiv[[#Headers],[Agency]])),COLUMNS($F$7:F$7))))</f>
        <v>48100G</v>
      </c>
      <c r="G189" s="2223" t="str" cm="1">
        <f t="array" ref="G189">IF($D189&lt;COLUMNS($F$7:G$7),"",INDEX(TableDiv[[GASB]:[GASB]],_xlfn.AGGREGATE(15,3,(TableDiv[[Agency]:[Agency]]=$E189)/(TableDiv[[Agency]:[Agency]]=$E189)*(ROW(TableDiv[Agency])-ROW(TableDiv[[#Headers],[Agency]])),COLUMNS($F$7:G$7))))</f>
        <v/>
      </c>
      <c r="H189" s="2223" t="str" cm="1">
        <f t="array" ref="H189">IF($D189&lt;COLUMNS($F$7:H$7),"",INDEX(TableDiv[[GASB]:[GASB]],_xlfn.AGGREGATE(15,3,(TableDiv[[Agency]:[Agency]]=$E189)/(TableDiv[[Agency]:[Agency]]=$E189)*(ROW(TableDiv[Agency])-ROW(TableDiv[[#Headers],[Agency]])),COLUMNS($F$7:H$7))))</f>
        <v/>
      </c>
      <c r="I189" s="2223" t="str" cm="1">
        <f t="array" ref="I189">IF($D189&lt;COLUMNS($F$7:I$7),"",INDEX(TableDiv[[GASB]:[GASB]],_xlfn.AGGREGATE(15,3,(TableDiv[[Agency]:[Agency]]=$E189)/(TableDiv[[Agency]:[Agency]]=$E189)*(ROW(TableDiv[Agency])-ROW(TableDiv[[#Headers],[Agency]])),COLUMNS($F$7:I$7))))</f>
        <v/>
      </c>
      <c r="J189" s="2223" t="str" cm="1">
        <f t="array" ref="J189">IF($D189&lt;COLUMNS($F$7:J$7),"",INDEX(TableDiv[[GASB]:[GASB]],_xlfn.AGGREGATE(15,3,(TableDiv[[Agency]:[Agency]]=$E189)/(TableDiv[[Agency]:[Agency]]=$E189)*(ROW(TableDiv[Agency])-ROW(TableDiv[[#Headers],[Agency]])),COLUMNS($F$7:J$7))))</f>
        <v/>
      </c>
      <c r="K189" s="2223" t="str" cm="1">
        <f t="array" ref="K189">IF($D189&lt;COLUMNS($F$7:K$7),"",INDEX(TableDiv[[GASB]:[GASB]],_xlfn.AGGREGATE(15,3,(TableDiv[[Agency]:[Agency]]=$E189)/(TableDiv[[Agency]:[Agency]]=$E189)*(ROW(TableDiv[Agency])-ROW(TableDiv[[#Headers],[Agency]])),COLUMNS($F$7:K$7))))</f>
        <v/>
      </c>
      <c r="L189" s="2223" t="str" cm="1">
        <f t="array" ref="L189">IF($D189&lt;COLUMNS($F$7:L$7),"",INDEX(TableDiv[[GASB]:[GASB]],_xlfn.AGGREGATE(15,3,(TableDiv[[Agency]:[Agency]]=$E189)/(TableDiv[[Agency]:[Agency]]=$E189)*(ROW(TableDiv[Agency])-ROW(TableDiv[[#Headers],[Agency]])),COLUMNS($F$7:L$7))))</f>
        <v/>
      </c>
      <c r="M189" s="2223" t="str" cm="1">
        <f t="array" ref="M189">IF($D189&lt;COLUMNS($F$7:M$7),"",INDEX(TableDiv[[GASB]:[GASB]],_xlfn.AGGREGATE(15,3,(TableDiv[[Agency]:[Agency]]=$E189)/(TableDiv[[Agency]:[Agency]]=$E189)*(ROW(TableDiv[Agency])-ROW(TableDiv[[#Headers],[Agency]])),COLUMNS($F$7:M$7))))</f>
        <v/>
      </c>
      <c r="N189" s="2223" t="str" cm="1">
        <f t="array" ref="N189">IF($D189&lt;COLUMNS($F$7:N$7),"",INDEX(TableDiv[[GASB]:[GASB]],_xlfn.AGGREGATE(15,3,(TableDiv[[Agency]:[Agency]]=$E189)/(TableDiv[[Agency]:[Agency]]=$E189)*(ROW(TableDiv[Agency])-ROW(TableDiv[[#Headers],[Agency]])),COLUMNS($F$7:N$7))))</f>
        <v/>
      </c>
      <c r="O189" s="2223" t="str" cm="1">
        <f t="array" ref="O189">IF($D189&lt;COLUMNS($F$7:O$7),"",INDEX(TableDiv[[GASB]:[GASB]],_xlfn.AGGREGATE(15,3,(TableDiv[[Agency]:[Agency]]=$E189)/(TableDiv[[Agency]:[Agency]]=$E189)*(ROW(TableDiv[Agency])-ROW(TableDiv[[#Headers],[Agency]])),COLUMNS($F$7:O$7))))</f>
        <v/>
      </c>
      <c r="P189" s="2223" t="str" cm="1">
        <f t="array" ref="P189">IF($D189&lt;COLUMNS($F$7:P$7),"",INDEX(TableDiv[[GASB]:[GASB]],_xlfn.AGGREGATE(15,3,(TableDiv[[Agency]:[Agency]]=$E189)/(TableDiv[[Agency]:[Agency]]=$E189)*(ROW(TableDiv[Agency])-ROW(TableDiv[[#Headers],[Agency]])),COLUMNS($F$7:P$7))))</f>
        <v/>
      </c>
      <c r="Q189" s="2223" t="str" cm="1">
        <f t="array" ref="Q189">IF($D189&lt;COLUMNS($F$7:Q$7),"",INDEX(TableDiv[[GASB]:[GASB]],_xlfn.AGGREGATE(15,3,(TableDiv[[Agency]:[Agency]]=$E189)/(TableDiv[[Agency]:[Agency]]=$E189)*(ROW(TableDiv[Agency])-ROW(TableDiv[[#Headers],[Agency]])),COLUMNS($F$7:Q$7))))</f>
        <v/>
      </c>
      <c r="R189" s="2223" t="str" cm="1">
        <f t="array" ref="R189">IF($D189&lt;COLUMNS($F$7:R$7),"",INDEX(TableDiv[[GASB]:[GASB]],_xlfn.AGGREGATE(15,3,(TableDiv[[Agency]:[Agency]]=$E189)/(TableDiv[[Agency]:[Agency]]=$E189)*(ROW(TableDiv[Agency])-ROW(TableDiv[[#Headers],[Agency]])),COLUMNS($F$7:R$7))))</f>
        <v/>
      </c>
      <c r="S189" s="2223" t="str" cm="1">
        <f t="array" ref="S189">IF($D189&lt;COLUMNS($F$7:S$7),"",INDEX(TableDiv[[GASB]:[GASB]],_xlfn.AGGREGATE(15,3,(TableDiv[[Agency]:[Agency]]=$E189)/(TableDiv[[Agency]:[Agency]]=$E189)*(ROW(TableDiv[Agency])-ROW(TableDiv[[#Headers],[Agency]])),COLUMNS($F$7:S$7))))</f>
        <v/>
      </c>
      <c r="T189" s="2223" t="str" cm="1">
        <f t="array" ref="T189">IF($D189&lt;COLUMNS($F$7:T$7),"",INDEX(TableDiv[[GASB]:[GASB]],_xlfn.AGGREGATE(15,3,(TableDiv[[Agency]:[Agency]]=$E189)/(TableDiv[[Agency]:[Agency]]=$E189)*(ROW(TableDiv[Agency])-ROW(TableDiv[[#Headers],[Agency]])),COLUMNS($F$7:T$7))))</f>
        <v/>
      </c>
      <c r="U189" s="2223" t="str" cm="1">
        <f t="array" ref="U189">IF($D189&lt;COLUMNS($F$7:U$7),"",INDEX(TableDiv[[GASB]:[GASB]],_xlfn.AGGREGATE(15,3,(TableDiv[[Agency]:[Agency]]=$E189)/(TableDiv[[Agency]:[Agency]]=$E189)*(ROW(TableDiv[Agency])-ROW(TableDiv[[#Headers],[Agency]])),COLUMNS($F$7:U$7))))</f>
        <v/>
      </c>
      <c r="V189" s="2223" t="str" cm="1">
        <f t="array" ref="V189">IF($D189&lt;COLUMNS($F$7:V$7),"",INDEX(TableDiv[[GASB]:[GASB]],_xlfn.AGGREGATE(15,3,(TableDiv[[Agency]:[Agency]]=$E189)/(TableDiv[[Agency]:[Agency]]=$E189)*(ROW(TableDiv[Agency])-ROW(TableDiv[[#Headers],[Agency]])),COLUMNS($F$7:V$7))))</f>
        <v/>
      </c>
      <c r="W189" s="2223" t="str" cm="1">
        <f t="array" ref="W189">IF($D189&lt;COLUMNS($F$7:W$7),"",INDEX(TableDiv[[GASB]:[GASB]],_xlfn.AGGREGATE(15,3,(TableDiv[[Agency]:[Agency]]=$E189)/(TableDiv[[Agency]:[Agency]]=$E189)*(ROW(TableDiv[Agency])-ROW(TableDiv[[#Headers],[Agency]])),COLUMNS($F$7:W$7))))</f>
        <v/>
      </c>
      <c r="X189" s="2223" t="str" cm="1">
        <f t="array" ref="X189">IF($D189&lt;COLUMNS($F$7:X$7),"",INDEX(TableDiv[[GASB]:[GASB]],_xlfn.AGGREGATE(15,3,(TableDiv[[Agency]:[Agency]]=$E189)/(TableDiv[[Agency]:[Agency]]=$E189)*(ROW(TableDiv[Agency])-ROW(TableDiv[[#Headers],[Agency]])),COLUMNS($F$7:X$7))))</f>
        <v/>
      </c>
      <c r="Y189" s="2223" t="str" cm="1">
        <f t="array" ref="Y189">IF($D189&lt;COLUMNS($F$7:Y$7),"",INDEX(TableDiv[[GASB]:[GASB]],_xlfn.AGGREGATE(15,3,(TableDiv[[Agency]:[Agency]]=$E189)/(TableDiv[[Agency]:[Agency]]=$E189)*(ROW(TableDiv[Agency])-ROW(TableDiv[[#Headers],[Agency]])),COLUMNS($F$7:Y$7))))</f>
        <v/>
      </c>
      <c r="Z189" s="2223" t="str" cm="1">
        <f t="array" ref="Z189">IF($D189&lt;COLUMNS($F$7:Z$7),"",INDEX(TableDiv[[GASB]:[GASB]],_xlfn.AGGREGATE(15,3,(TableDiv[[Agency]:[Agency]]=$E189)/(TableDiv[[Agency]:[Agency]]=$E189)*(ROW(TableDiv[Agency])-ROW(TableDiv[[#Headers],[Agency]])),COLUMNS($F$7:Z$7))))</f>
        <v/>
      </c>
      <c r="AA189" s="2223" t="str" cm="1">
        <f t="array" ref="AA189">IF($D189&lt;COLUMNS($F$7:AA$7),"",INDEX(TableDiv[[GASB]:[GASB]],_xlfn.AGGREGATE(15,3,(TableDiv[[Agency]:[Agency]]=$E189)/(TableDiv[[Agency]:[Agency]]=$E189)*(ROW(TableDiv[Agency])-ROW(TableDiv[[#Headers],[Agency]])),COLUMNS($F$7:AA$7))))</f>
        <v/>
      </c>
      <c r="AB189" s="2223" t="str" cm="1">
        <f t="array" ref="AB189">IF($D189&lt;COLUMNS($F$7:AB$7),"",INDEX(TableDiv[[GASB]:[GASB]],_xlfn.AGGREGATE(15,3,(TableDiv[[Agency]:[Agency]]=$E189)/(TableDiv[[Agency]:[Agency]]=$E189)*(ROW(TableDiv[Agency])-ROW(TableDiv[[#Headers],[Agency]])),COLUMNS($F$7:AB$7))))</f>
        <v/>
      </c>
      <c r="AC189" s="2223" t="str" cm="1">
        <f t="array" ref="AC189">IF($D189&lt;COLUMNS($F$7:AC$7),"",INDEX(TableDiv[[GASB]:[GASB]],_xlfn.AGGREGATE(15,3,(TableDiv[[Agency]:[Agency]]=$E189)/(TableDiv[[Agency]:[Agency]]=$E189)*(ROW(TableDiv[Agency])-ROW(TableDiv[[#Headers],[Agency]])),COLUMNS($F$7:AC$7))))</f>
        <v/>
      </c>
      <c r="AD189" s="2223" t="str" cm="1">
        <f t="array" ref="AD189">IF($D189&lt;COLUMNS($F$7:AD$7),"",INDEX(TableDiv[[GASB]:[GASB]],_xlfn.AGGREGATE(15,3,(TableDiv[[Agency]:[Agency]]=$E189)/(TableDiv[[Agency]:[Agency]]=$E189)*(ROW(TableDiv[Agency])-ROW(TableDiv[[#Headers],[Agency]])),COLUMNS($F$7:AD$7))))</f>
        <v/>
      </c>
      <c r="AE189" s="2223" t="str" cm="1">
        <f t="array" ref="AE189">IF($D189&lt;COLUMNS($F$7:AE$7),"",INDEX(TableDiv[[GASB]:[GASB]],_xlfn.AGGREGATE(15,3,(TableDiv[[Agency]:[Agency]]=$E189)/(TableDiv[[Agency]:[Agency]]=$E189)*(ROW(TableDiv[Agency])-ROW(TableDiv[[#Headers],[Agency]])),COLUMNS($F$7:AE$7))))</f>
        <v/>
      </c>
      <c r="AF189" s="2223" t="str" cm="1">
        <f t="array" ref="AF189">IF($D189&lt;COLUMNS($F$7:AF$7),"",INDEX(TableDiv[[GASB]:[GASB]],_xlfn.AGGREGATE(15,3,(TableDiv[[Agency]:[Agency]]=$E189)/(TableDiv[[Agency]:[Agency]]=$E189)*(ROW(TableDiv[Agency])-ROW(TableDiv[[#Headers],[Agency]])),COLUMNS($F$7:AF$7))))</f>
        <v/>
      </c>
      <c r="AG189" s="2223" t="str" cm="1">
        <f t="array" ref="AG189">IF($D189&lt;COLUMNS($F$7:AG$7),"",INDEX(TableDiv[[GASB]:[GASB]],_xlfn.AGGREGATE(15,3,(TableDiv[[Agency]:[Agency]]=$E189)/(TableDiv[[Agency]:[Agency]]=$E189)*(ROW(TableDiv[Agency])-ROW(TableDiv[[#Headers],[Agency]])),COLUMNS($F$7:AG$7))))</f>
        <v/>
      </c>
      <c r="AH189" s="2223" t="str" cm="1">
        <f t="array" ref="AH189">IF($D189&lt;COLUMNS($F$7:AH$7),"",INDEX(TableDiv[[GASB]:[GASB]],_xlfn.AGGREGATE(15,3,(TableDiv[[Agency]:[Agency]]=$E189)/(TableDiv[[Agency]:[Agency]]=$E189)*(ROW(TableDiv[Agency])-ROW(TableDiv[[#Headers],[Agency]])),COLUMNS($F$7:AH$7))))</f>
        <v/>
      </c>
      <c r="AI189" s="2223" t="str" cm="1">
        <f t="array" ref="AI189">IF($D189&lt;COLUMNS($F$7:AI$7),"",INDEX(TableDiv[[GASB]:[GASB]],_xlfn.AGGREGATE(15,3,(TableDiv[[Agency]:[Agency]]=$E189)/(TableDiv[[Agency]:[Agency]]=$E189)*(ROW(TableDiv[Agency])-ROW(TableDiv[[#Headers],[Agency]])),COLUMNS($F$7:AI$7))))</f>
        <v/>
      </c>
      <c r="AJ189" s="2223" t="str" cm="1">
        <f t="array" ref="AJ189">IF($D189&lt;COLUMNS($F$7:AJ$7),"",INDEX(TableDiv[[GASB]:[GASB]],_xlfn.AGGREGATE(15,3,(TableDiv[[Agency]:[Agency]]=$E189)/(TableDiv[[Agency]:[Agency]]=$E189)*(ROW(TableDiv[Agency])-ROW(TableDiv[[#Headers],[Agency]])),COLUMNS($F$7:AJ$7))))</f>
        <v/>
      </c>
      <c r="AK189" s="2223" t="str" cm="1">
        <f t="array" ref="AK189">IF($D189&lt;COLUMNS($F$7:AK$7),"",INDEX(TableDiv[[GASB]:[GASB]],_xlfn.AGGREGATE(15,3,(TableDiv[[Agency]:[Agency]]=$E189)/(TableDiv[[Agency]:[Agency]]=$E189)*(ROW(TableDiv[Agency])-ROW(TableDiv[[#Headers],[Agency]])),COLUMNS($F$7:AK$7))))</f>
        <v/>
      </c>
      <c r="AL189" s="2223" t="str" cm="1">
        <f t="array" ref="AL189">IF($D189&lt;COLUMNS($F$7:AL$7),"",INDEX(TableDiv[[GASB]:[GASB]],_xlfn.AGGREGATE(15,3,(TableDiv[[Agency]:[Agency]]=$E189)/(TableDiv[[Agency]:[Agency]]=$E189)*(ROW(TableDiv[Agency])-ROW(TableDiv[[#Headers],[Agency]])),COLUMNS($F$7:AL$7))))</f>
        <v/>
      </c>
      <c r="AM189" s="2223" t="str" cm="1">
        <f t="array" ref="AM189">IF($D189&lt;COLUMNS($F$7:AM$7),"",INDEX(TableDiv[[GASB]:[GASB]],_xlfn.AGGREGATE(15,3,(TableDiv[[Agency]:[Agency]]=$E189)/(TableDiv[[Agency]:[Agency]]=$E189)*(ROW(TableDiv[Agency])-ROW(TableDiv[[#Headers],[Agency]])),COLUMNS($F$7:AM$7))))</f>
        <v/>
      </c>
      <c r="AN189" s="2223"/>
      <c r="AO189" s="2223"/>
      <c r="AP189" s="2223"/>
      <c r="AQ189" s="2223"/>
      <c r="AR189" s="2223"/>
      <c r="AS189" s="2223"/>
    </row>
    <row r="190" spans="1:45" ht="15" x14ac:dyDescent="0.25">
      <c r="A190" s="2219" t="s">
        <v>6445</v>
      </c>
      <c r="B190" s="2219" t="s">
        <v>6446</v>
      </c>
      <c r="C190" s="2223"/>
      <c r="D190" s="2223">
        <f>COUNTIF(TableDiv[Agency],E190)</f>
        <v>1</v>
      </c>
      <c r="E190" s="2230" t="str" cm="1">
        <f t="array" ref="E190">IFERROR(INDEX(TableDiv[Agency],MATCH(0,INDEX(COUNTIF($E$7:E189,TableDiv[Agency]),),0)),"")</f>
        <v>DK</v>
      </c>
      <c r="F190" s="2223" t="str" cm="1">
        <f t="array" ref="F190">IF($D190&lt;COLUMNS($F$7:F$7),"",INDEX(TableDiv[[GASB]:[GASB]],_xlfn.AGGREGATE(15,3,(TableDiv[[Agency]:[Agency]]=$E190)/(TableDiv[[Agency]:[Agency]]=$E190)*(ROW(TableDiv[Agency])-ROW(TableDiv[[#Headers],[Agency]])),COLUMNS($F$7:F$7))))</f>
        <v>48100G</v>
      </c>
      <c r="G190" s="2223" t="str" cm="1">
        <f t="array" ref="G190">IF($D190&lt;COLUMNS($F$7:G$7),"",INDEX(TableDiv[[GASB]:[GASB]],_xlfn.AGGREGATE(15,3,(TableDiv[[Agency]:[Agency]]=$E190)/(TableDiv[[Agency]:[Agency]]=$E190)*(ROW(TableDiv[Agency])-ROW(TableDiv[[#Headers],[Agency]])),COLUMNS($F$7:G$7))))</f>
        <v/>
      </c>
      <c r="H190" s="2223" t="str" cm="1">
        <f t="array" ref="H190">IF($D190&lt;COLUMNS($F$7:H$7),"",INDEX(TableDiv[[GASB]:[GASB]],_xlfn.AGGREGATE(15,3,(TableDiv[[Agency]:[Agency]]=$E190)/(TableDiv[[Agency]:[Agency]]=$E190)*(ROW(TableDiv[Agency])-ROW(TableDiv[[#Headers],[Agency]])),COLUMNS($F$7:H$7))))</f>
        <v/>
      </c>
      <c r="I190" s="2223" t="str" cm="1">
        <f t="array" ref="I190">IF($D190&lt;COLUMNS($F$7:I$7),"",INDEX(TableDiv[[GASB]:[GASB]],_xlfn.AGGREGATE(15,3,(TableDiv[[Agency]:[Agency]]=$E190)/(TableDiv[[Agency]:[Agency]]=$E190)*(ROW(TableDiv[Agency])-ROW(TableDiv[[#Headers],[Agency]])),COLUMNS($F$7:I$7))))</f>
        <v/>
      </c>
      <c r="J190" s="2223" t="str" cm="1">
        <f t="array" ref="J190">IF($D190&lt;COLUMNS($F$7:J$7),"",INDEX(TableDiv[[GASB]:[GASB]],_xlfn.AGGREGATE(15,3,(TableDiv[[Agency]:[Agency]]=$E190)/(TableDiv[[Agency]:[Agency]]=$E190)*(ROW(TableDiv[Agency])-ROW(TableDiv[[#Headers],[Agency]])),COLUMNS($F$7:J$7))))</f>
        <v/>
      </c>
      <c r="K190" s="2223" t="str" cm="1">
        <f t="array" ref="K190">IF($D190&lt;COLUMNS($F$7:K$7),"",INDEX(TableDiv[[GASB]:[GASB]],_xlfn.AGGREGATE(15,3,(TableDiv[[Agency]:[Agency]]=$E190)/(TableDiv[[Agency]:[Agency]]=$E190)*(ROW(TableDiv[Agency])-ROW(TableDiv[[#Headers],[Agency]])),COLUMNS($F$7:K$7))))</f>
        <v/>
      </c>
      <c r="L190" s="2223" t="str" cm="1">
        <f t="array" ref="L190">IF($D190&lt;COLUMNS($F$7:L$7),"",INDEX(TableDiv[[GASB]:[GASB]],_xlfn.AGGREGATE(15,3,(TableDiv[[Agency]:[Agency]]=$E190)/(TableDiv[[Agency]:[Agency]]=$E190)*(ROW(TableDiv[Agency])-ROW(TableDiv[[#Headers],[Agency]])),COLUMNS($F$7:L$7))))</f>
        <v/>
      </c>
      <c r="M190" s="2223" t="str" cm="1">
        <f t="array" ref="M190">IF($D190&lt;COLUMNS($F$7:M$7),"",INDEX(TableDiv[[GASB]:[GASB]],_xlfn.AGGREGATE(15,3,(TableDiv[[Agency]:[Agency]]=$E190)/(TableDiv[[Agency]:[Agency]]=$E190)*(ROW(TableDiv[Agency])-ROW(TableDiv[[#Headers],[Agency]])),COLUMNS($F$7:M$7))))</f>
        <v/>
      </c>
      <c r="N190" s="2223" t="str" cm="1">
        <f t="array" ref="N190">IF($D190&lt;COLUMNS($F$7:N$7),"",INDEX(TableDiv[[GASB]:[GASB]],_xlfn.AGGREGATE(15,3,(TableDiv[[Agency]:[Agency]]=$E190)/(TableDiv[[Agency]:[Agency]]=$E190)*(ROW(TableDiv[Agency])-ROW(TableDiv[[#Headers],[Agency]])),COLUMNS($F$7:N$7))))</f>
        <v/>
      </c>
      <c r="O190" s="2223" t="str" cm="1">
        <f t="array" ref="O190">IF($D190&lt;COLUMNS($F$7:O$7),"",INDEX(TableDiv[[GASB]:[GASB]],_xlfn.AGGREGATE(15,3,(TableDiv[[Agency]:[Agency]]=$E190)/(TableDiv[[Agency]:[Agency]]=$E190)*(ROW(TableDiv[Agency])-ROW(TableDiv[[#Headers],[Agency]])),COLUMNS($F$7:O$7))))</f>
        <v/>
      </c>
      <c r="P190" s="2223" t="str" cm="1">
        <f t="array" ref="P190">IF($D190&lt;COLUMNS($F$7:P$7),"",INDEX(TableDiv[[GASB]:[GASB]],_xlfn.AGGREGATE(15,3,(TableDiv[[Agency]:[Agency]]=$E190)/(TableDiv[[Agency]:[Agency]]=$E190)*(ROW(TableDiv[Agency])-ROW(TableDiv[[#Headers],[Agency]])),COLUMNS($F$7:P$7))))</f>
        <v/>
      </c>
      <c r="Q190" s="2223" t="str" cm="1">
        <f t="array" ref="Q190">IF($D190&lt;COLUMNS($F$7:Q$7),"",INDEX(TableDiv[[GASB]:[GASB]],_xlfn.AGGREGATE(15,3,(TableDiv[[Agency]:[Agency]]=$E190)/(TableDiv[[Agency]:[Agency]]=$E190)*(ROW(TableDiv[Agency])-ROW(TableDiv[[#Headers],[Agency]])),COLUMNS($F$7:Q$7))))</f>
        <v/>
      </c>
      <c r="R190" s="2223" t="str" cm="1">
        <f t="array" ref="R190">IF($D190&lt;COLUMNS($F$7:R$7),"",INDEX(TableDiv[[GASB]:[GASB]],_xlfn.AGGREGATE(15,3,(TableDiv[[Agency]:[Agency]]=$E190)/(TableDiv[[Agency]:[Agency]]=$E190)*(ROW(TableDiv[Agency])-ROW(TableDiv[[#Headers],[Agency]])),COLUMNS($F$7:R$7))))</f>
        <v/>
      </c>
      <c r="S190" s="2223" t="str" cm="1">
        <f t="array" ref="S190">IF($D190&lt;COLUMNS($F$7:S$7),"",INDEX(TableDiv[[GASB]:[GASB]],_xlfn.AGGREGATE(15,3,(TableDiv[[Agency]:[Agency]]=$E190)/(TableDiv[[Agency]:[Agency]]=$E190)*(ROW(TableDiv[Agency])-ROW(TableDiv[[#Headers],[Agency]])),COLUMNS($F$7:S$7))))</f>
        <v/>
      </c>
      <c r="T190" s="2223" t="str" cm="1">
        <f t="array" ref="T190">IF($D190&lt;COLUMNS($F$7:T$7),"",INDEX(TableDiv[[GASB]:[GASB]],_xlfn.AGGREGATE(15,3,(TableDiv[[Agency]:[Agency]]=$E190)/(TableDiv[[Agency]:[Agency]]=$E190)*(ROW(TableDiv[Agency])-ROW(TableDiv[[#Headers],[Agency]])),COLUMNS($F$7:T$7))))</f>
        <v/>
      </c>
      <c r="U190" s="2223" t="str" cm="1">
        <f t="array" ref="U190">IF($D190&lt;COLUMNS($F$7:U$7),"",INDEX(TableDiv[[GASB]:[GASB]],_xlfn.AGGREGATE(15,3,(TableDiv[[Agency]:[Agency]]=$E190)/(TableDiv[[Agency]:[Agency]]=$E190)*(ROW(TableDiv[Agency])-ROW(TableDiv[[#Headers],[Agency]])),COLUMNS($F$7:U$7))))</f>
        <v/>
      </c>
      <c r="V190" s="2223" t="str" cm="1">
        <f t="array" ref="V190">IF($D190&lt;COLUMNS($F$7:V$7),"",INDEX(TableDiv[[GASB]:[GASB]],_xlfn.AGGREGATE(15,3,(TableDiv[[Agency]:[Agency]]=$E190)/(TableDiv[[Agency]:[Agency]]=$E190)*(ROW(TableDiv[Agency])-ROW(TableDiv[[#Headers],[Agency]])),COLUMNS($F$7:V$7))))</f>
        <v/>
      </c>
      <c r="W190" s="2223" t="str" cm="1">
        <f t="array" ref="W190">IF($D190&lt;COLUMNS($F$7:W$7),"",INDEX(TableDiv[[GASB]:[GASB]],_xlfn.AGGREGATE(15,3,(TableDiv[[Agency]:[Agency]]=$E190)/(TableDiv[[Agency]:[Agency]]=$E190)*(ROW(TableDiv[Agency])-ROW(TableDiv[[#Headers],[Agency]])),COLUMNS($F$7:W$7))))</f>
        <v/>
      </c>
      <c r="X190" s="2223" t="str" cm="1">
        <f t="array" ref="X190">IF($D190&lt;COLUMNS($F$7:X$7),"",INDEX(TableDiv[[GASB]:[GASB]],_xlfn.AGGREGATE(15,3,(TableDiv[[Agency]:[Agency]]=$E190)/(TableDiv[[Agency]:[Agency]]=$E190)*(ROW(TableDiv[Agency])-ROW(TableDiv[[#Headers],[Agency]])),COLUMNS($F$7:X$7))))</f>
        <v/>
      </c>
      <c r="Y190" s="2223" t="str" cm="1">
        <f t="array" ref="Y190">IF($D190&lt;COLUMNS($F$7:Y$7),"",INDEX(TableDiv[[GASB]:[GASB]],_xlfn.AGGREGATE(15,3,(TableDiv[[Agency]:[Agency]]=$E190)/(TableDiv[[Agency]:[Agency]]=$E190)*(ROW(TableDiv[Agency])-ROW(TableDiv[[#Headers],[Agency]])),COLUMNS($F$7:Y$7))))</f>
        <v/>
      </c>
      <c r="Z190" s="2223" t="str" cm="1">
        <f t="array" ref="Z190">IF($D190&lt;COLUMNS($F$7:Z$7),"",INDEX(TableDiv[[GASB]:[GASB]],_xlfn.AGGREGATE(15,3,(TableDiv[[Agency]:[Agency]]=$E190)/(TableDiv[[Agency]:[Agency]]=$E190)*(ROW(TableDiv[Agency])-ROW(TableDiv[[#Headers],[Agency]])),COLUMNS($F$7:Z$7))))</f>
        <v/>
      </c>
      <c r="AA190" s="2223" t="str" cm="1">
        <f t="array" ref="AA190">IF($D190&lt;COLUMNS($F$7:AA$7),"",INDEX(TableDiv[[GASB]:[GASB]],_xlfn.AGGREGATE(15,3,(TableDiv[[Agency]:[Agency]]=$E190)/(TableDiv[[Agency]:[Agency]]=$E190)*(ROW(TableDiv[Agency])-ROW(TableDiv[[#Headers],[Agency]])),COLUMNS($F$7:AA$7))))</f>
        <v/>
      </c>
      <c r="AB190" s="2223" t="str" cm="1">
        <f t="array" ref="AB190">IF($D190&lt;COLUMNS($F$7:AB$7),"",INDEX(TableDiv[[GASB]:[GASB]],_xlfn.AGGREGATE(15,3,(TableDiv[[Agency]:[Agency]]=$E190)/(TableDiv[[Agency]:[Agency]]=$E190)*(ROW(TableDiv[Agency])-ROW(TableDiv[[#Headers],[Agency]])),COLUMNS($F$7:AB$7))))</f>
        <v/>
      </c>
      <c r="AC190" s="2223" t="str" cm="1">
        <f t="array" ref="AC190">IF($D190&lt;COLUMNS($F$7:AC$7),"",INDEX(TableDiv[[GASB]:[GASB]],_xlfn.AGGREGATE(15,3,(TableDiv[[Agency]:[Agency]]=$E190)/(TableDiv[[Agency]:[Agency]]=$E190)*(ROW(TableDiv[Agency])-ROW(TableDiv[[#Headers],[Agency]])),COLUMNS($F$7:AC$7))))</f>
        <v/>
      </c>
      <c r="AD190" s="2223" t="str" cm="1">
        <f t="array" ref="AD190">IF($D190&lt;COLUMNS($F$7:AD$7),"",INDEX(TableDiv[[GASB]:[GASB]],_xlfn.AGGREGATE(15,3,(TableDiv[[Agency]:[Agency]]=$E190)/(TableDiv[[Agency]:[Agency]]=$E190)*(ROW(TableDiv[Agency])-ROW(TableDiv[[#Headers],[Agency]])),COLUMNS($F$7:AD$7))))</f>
        <v/>
      </c>
      <c r="AE190" s="2223" t="str" cm="1">
        <f t="array" ref="AE190">IF($D190&lt;COLUMNS($F$7:AE$7),"",INDEX(TableDiv[[GASB]:[GASB]],_xlfn.AGGREGATE(15,3,(TableDiv[[Agency]:[Agency]]=$E190)/(TableDiv[[Agency]:[Agency]]=$E190)*(ROW(TableDiv[Agency])-ROW(TableDiv[[#Headers],[Agency]])),COLUMNS($F$7:AE$7))))</f>
        <v/>
      </c>
      <c r="AF190" s="2223" t="str" cm="1">
        <f t="array" ref="AF190">IF($D190&lt;COLUMNS($F$7:AF$7),"",INDEX(TableDiv[[GASB]:[GASB]],_xlfn.AGGREGATE(15,3,(TableDiv[[Agency]:[Agency]]=$E190)/(TableDiv[[Agency]:[Agency]]=$E190)*(ROW(TableDiv[Agency])-ROW(TableDiv[[#Headers],[Agency]])),COLUMNS($F$7:AF$7))))</f>
        <v/>
      </c>
      <c r="AG190" s="2223" t="str" cm="1">
        <f t="array" ref="AG190">IF($D190&lt;COLUMNS($F$7:AG$7),"",INDEX(TableDiv[[GASB]:[GASB]],_xlfn.AGGREGATE(15,3,(TableDiv[[Agency]:[Agency]]=$E190)/(TableDiv[[Agency]:[Agency]]=$E190)*(ROW(TableDiv[Agency])-ROW(TableDiv[[#Headers],[Agency]])),COLUMNS($F$7:AG$7))))</f>
        <v/>
      </c>
      <c r="AH190" s="2223" t="str" cm="1">
        <f t="array" ref="AH190">IF($D190&lt;COLUMNS($F$7:AH$7),"",INDEX(TableDiv[[GASB]:[GASB]],_xlfn.AGGREGATE(15,3,(TableDiv[[Agency]:[Agency]]=$E190)/(TableDiv[[Agency]:[Agency]]=$E190)*(ROW(TableDiv[Agency])-ROW(TableDiv[[#Headers],[Agency]])),COLUMNS($F$7:AH$7))))</f>
        <v/>
      </c>
      <c r="AI190" s="2223" t="str" cm="1">
        <f t="array" ref="AI190">IF($D190&lt;COLUMNS($F$7:AI$7),"",INDEX(TableDiv[[GASB]:[GASB]],_xlfn.AGGREGATE(15,3,(TableDiv[[Agency]:[Agency]]=$E190)/(TableDiv[[Agency]:[Agency]]=$E190)*(ROW(TableDiv[Agency])-ROW(TableDiv[[#Headers],[Agency]])),COLUMNS($F$7:AI$7))))</f>
        <v/>
      </c>
      <c r="AJ190" s="2223" t="str" cm="1">
        <f t="array" ref="AJ190">IF($D190&lt;COLUMNS($F$7:AJ$7),"",INDEX(TableDiv[[GASB]:[GASB]],_xlfn.AGGREGATE(15,3,(TableDiv[[Agency]:[Agency]]=$E190)/(TableDiv[[Agency]:[Agency]]=$E190)*(ROW(TableDiv[Agency])-ROW(TableDiv[[#Headers],[Agency]])),COLUMNS($F$7:AJ$7))))</f>
        <v/>
      </c>
      <c r="AK190" s="2223" t="str" cm="1">
        <f t="array" ref="AK190">IF($D190&lt;COLUMNS($F$7:AK$7),"",INDEX(TableDiv[[GASB]:[GASB]],_xlfn.AGGREGATE(15,3,(TableDiv[[Agency]:[Agency]]=$E190)/(TableDiv[[Agency]:[Agency]]=$E190)*(ROW(TableDiv[Agency])-ROW(TableDiv[[#Headers],[Agency]])),COLUMNS($F$7:AK$7))))</f>
        <v/>
      </c>
      <c r="AL190" s="2223" t="str" cm="1">
        <f t="array" ref="AL190">IF($D190&lt;COLUMNS($F$7:AL$7),"",INDEX(TableDiv[[GASB]:[GASB]],_xlfn.AGGREGATE(15,3,(TableDiv[[Agency]:[Agency]]=$E190)/(TableDiv[[Agency]:[Agency]]=$E190)*(ROW(TableDiv[Agency])-ROW(TableDiv[[#Headers],[Agency]])),COLUMNS($F$7:AL$7))))</f>
        <v/>
      </c>
      <c r="AM190" s="2223" t="str" cm="1">
        <f t="array" ref="AM190">IF($D190&lt;COLUMNS($F$7:AM$7),"",INDEX(TableDiv[[GASB]:[GASB]],_xlfn.AGGREGATE(15,3,(TableDiv[[Agency]:[Agency]]=$E190)/(TableDiv[[Agency]:[Agency]]=$E190)*(ROW(TableDiv[Agency])-ROW(TableDiv[[#Headers],[Agency]])),COLUMNS($F$7:AM$7))))</f>
        <v/>
      </c>
      <c r="AN190" s="2223"/>
      <c r="AO190" s="2223"/>
      <c r="AP190" s="2223"/>
      <c r="AQ190" s="2223"/>
      <c r="AR190" s="2223"/>
      <c r="AS190" s="2223"/>
    </row>
    <row r="191" spans="1:45" ht="15" x14ac:dyDescent="0.25">
      <c r="A191" s="2219" t="s">
        <v>6445</v>
      </c>
      <c r="B191" s="2219" t="s">
        <v>6407</v>
      </c>
      <c r="C191" s="2223"/>
      <c r="D191" s="2223">
        <f>COUNTIF(TableDiv[Agency],E191)</f>
        <v>1</v>
      </c>
      <c r="E191" s="2230" t="str" cm="1">
        <f t="array" ref="E191">IFERROR(INDEX(TableDiv[Agency],MATCH(0,INDEX(COUNTIF($E$7:E190,TableDiv[Agency]),),0)),"")</f>
        <v>DL</v>
      </c>
      <c r="F191" s="2223" t="str" cm="1">
        <f t="array" ref="F191">IF($D191&lt;COLUMNS($F$7:F$7),"",INDEX(TableDiv[[GASB]:[GASB]],_xlfn.AGGREGATE(15,3,(TableDiv[[Agency]:[Agency]]=$E191)/(TableDiv[[Agency]:[Agency]]=$E191)*(ROW(TableDiv[Agency])-ROW(TableDiv[[#Headers],[Agency]])),COLUMNS($F$7:F$7))))</f>
        <v>48100G</v>
      </c>
      <c r="G191" s="2223" t="str" cm="1">
        <f t="array" ref="G191">IF($D191&lt;COLUMNS($F$7:G$7),"",INDEX(TableDiv[[GASB]:[GASB]],_xlfn.AGGREGATE(15,3,(TableDiv[[Agency]:[Agency]]=$E191)/(TableDiv[[Agency]:[Agency]]=$E191)*(ROW(TableDiv[Agency])-ROW(TableDiv[[#Headers],[Agency]])),COLUMNS($F$7:G$7))))</f>
        <v/>
      </c>
      <c r="H191" s="2223" t="str" cm="1">
        <f t="array" ref="H191">IF($D191&lt;COLUMNS($F$7:H$7),"",INDEX(TableDiv[[GASB]:[GASB]],_xlfn.AGGREGATE(15,3,(TableDiv[[Agency]:[Agency]]=$E191)/(TableDiv[[Agency]:[Agency]]=$E191)*(ROW(TableDiv[Agency])-ROW(TableDiv[[#Headers],[Agency]])),COLUMNS($F$7:H$7))))</f>
        <v/>
      </c>
      <c r="I191" s="2223" t="str" cm="1">
        <f t="array" ref="I191">IF($D191&lt;COLUMNS($F$7:I$7),"",INDEX(TableDiv[[GASB]:[GASB]],_xlfn.AGGREGATE(15,3,(TableDiv[[Agency]:[Agency]]=$E191)/(TableDiv[[Agency]:[Agency]]=$E191)*(ROW(TableDiv[Agency])-ROW(TableDiv[[#Headers],[Agency]])),COLUMNS($F$7:I$7))))</f>
        <v/>
      </c>
      <c r="J191" s="2223" t="str" cm="1">
        <f t="array" ref="J191">IF($D191&lt;COLUMNS($F$7:J$7),"",INDEX(TableDiv[[GASB]:[GASB]],_xlfn.AGGREGATE(15,3,(TableDiv[[Agency]:[Agency]]=$E191)/(TableDiv[[Agency]:[Agency]]=$E191)*(ROW(TableDiv[Agency])-ROW(TableDiv[[#Headers],[Agency]])),COLUMNS($F$7:J$7))))</f>
        <v/>
      </c>
      <c r="K191" s="2223" t="str" cm="1">
        <f t="array" ref="K191">IF($D191&lt;COLUMNS($F$7:K$7),"",INDEX(TableDiv[[GASB]:[GASB]],_xlfn.AGGREGATE(15,3,(TableDiv[[Agency]:[Agency]]=$E191)/(TableDiv[[Agency]:[Agency]]=$E191)*(ROW(TableDiv[Agency])-ROW(TableDiv[[#Headers],[Agency]])),COLUMNS($F$7:K$7))))</f>
        <v/>
      </c>
      <c r="L191" s="2223" t="str" cm="1">
        <f t="array" ref="L191">IF($D191&lt;COLUMNS($F$7:L$7),"",INDEX(TableDiv[[GASB]:[GASB]],_xlfn.AGGREGATE(15,3,(TableDiv[[Agency]:[Agency]]=$E191)/(TableDiv[[Agency]:[Agency]]=$E191)*(ROW(TableDiv[Agency])-ROW(TableDiv[[#Headers],[Agency]])),COLUMNS($F$7:L$7))))</f>
        <v/>
      </c>
      <c r="M191" s="2223" t="str" cm="1">
        <f t="array" ref="M191">IF($D191&lt;COLUMNS($F$7:M$7),"",INDEX(TableDiv[[GASB]:[GASB]],_xlfn.AGGREGATE(15,3,(TableDiv[[Agency]:[Agency]]=$E191)/(TableDiv[[Agency]:[Agency]]=$E191)*(ROW(TableDiv[Agency])-ROW(TableDiv[[#Headers],[Agency]])),COLUMNS($F$7:M$7))))</f>
        <v/>
      </c>
      <c r="N191" s="2223" t="str" cm="1">
        <f t="array" ref="N191">IF($D191&lt;COLUMNS($F$7:N$7),"",INDEX(TableDiv[[GASB]:[GASB]],_xlfn.AGGREGATE(15,3,(TableDiv[[Agency]:[Agency]]=$E191)/(TableDiv[[Agency]:[Agency]]=$E191)*(ROW(TableDiv[Agency])-ROW(TableDiv[[#Headers],[Agency]])),COLUMNS($F$7:N$7))))</f>
        <v/>
      </c>
      <c r="O191" s="2223" t="str" cm="1">
        <f t="array" ref="O191">IF($D191&lt;COLUMNS($F$7:O$7),"",INDEX(TableDiv[[GASB]:[GASB]],_xlfn.AGGREGATE(15,3,(TableDiv[[Agency]:[Agency]]=$E191)/(TableDiv[[Agency]:[Agency]]=$E191)*(ROW(TableDiv[Agency])-ROW(TableDiv[[#Headers],[Agency]])),COLUMNS($F$7:O$7))))</f>
        <v/>
      </c>
      <c r="P191" s="2223" t="str" cm="1">
        <f t="array" ref="P191">IF($D191&lt;COLUMNS($F$7:P$7),"",INDEX(TableDiv[[GASB]:[GASB]],_xlfn.AGGREGATE(15,3,(TableDiv[[Agency]:[Agency]]=$E191)/(TableDiv[[Agency]:[Agency]]=$E191)*(ROW(TableDiv[Agency])-ROW(TableDiv[[#Headers],[Agency]])),COLUMNS($F$7:P$7))))</f>
        <v/>
      </c>
      <c r="Q191" s="2223" t="str" cm="1">
        <f t="array" ref="Q191">IF($D191&lt;COLUMNS($F$7:Q$7),"",INDEX(TableDiv[[GASB]:[GASB]],_xlfn.AGGREGATE(15,3,(TableDiv[[Agency]:[Agency]]=$E191)/(TableDiv[[Agency]:[Agency]]=$E191)*(ROW(TableDiv[Agency])-ROW(TableDiv[[#Headers],[Agency]])),COLUMNS($F$7:Q$7))))</f>
        <v/>
      </c>
      <c r="R191" s="2223" t="str" cm="1">
        <f t="array" ref="R191">IF($D191&lt;COLUMNS($F$7:R$7),"",INDEX(TableDiv[[GASB]:[GASB]],_xlfn.AGGREGATE(15,3,(TableDiv[[Agency]:[Agency]]=$E191)/(TableDiv[[Agency]:[Agency]]=$E191)*(ROW(TableDiv[Agency])-ROW(TableDiv[[#Headers],[Agency]])),COLUMNS($F$7:R$7))))</f>
        <v/>
      </c>
      <c r="S191" s="2223" t="str" cm="1">
        <f t="array" ref="S191">IF($D191&lt;COLUMNS($F$7:S$7),"",INDEX(TableDiv[[GASB]:[GASB]],_xlfn.AGGREGATE(15,3,(TableDiv[[Agency]:[Agency]]=$E191)/(TableDiv[[Agency]:[Agency]]=$E191)*(ROW(TableDiv[Agency])-ROW(TableDiv[[#Headers],[Agency]])),COLUMNS($F$7:S$7))))</f>
        <v/>
      </c>
      <c r="T191" s="2223" t="str" cm="1">
        <f t="array" ref="T191">IF($D191&lt;COLUMNS($F$7:T$7),"",INDEX(TableDiv[[GASB]:[GASB]],_xlfn.AGGREGATE(15,3,(TableDiv[[Agency]:[Agency]]=$E191)/(TableDiv[[Agency]:[Agency]]=$E191)*(ROW(TableDiv[Agency])-ROW(TableDiv[[#Headers],[Agency]])),COLUMNS($F$7:T$7))))</f>
        <v/>
      </c>
      <c r="U191" s="2223" t="str" cm="1">
        <f t="array" ref="U191">IF($D191&lt;COLUMNS($F$7:U$7),"",INDEX(TableDiv[[GASB]:[GASB]],_xlfn.AGGREGATE(15,3,(TableDiv[[Agency]:[Agency]]=$E191)/(TableDiv[[Agency]:[Agency]]=$E191)*(ROW(TableDiv[Agency])-ROW(TableDiv[[#Headers],[Agency]])),COLUMNS($F$7:U$7))))</f>
        <v/>
      </c>
      <c r="V191" s="2223" t="str" cm="1">
        <f t="array" ref="V191">IF($D191&lt;COLUMNS($F$7:V$7),"",INDEX(TableDiv[[GASB]:[GASB]],_xlfn.AGGREGATE(15,3,(TableDiv[[Agency]:[Agency]]=$E191)/(TableDiv[[Agency]:[Agency]]=$E191)*(ROW(TableDiv[Agency])-ROW(TableDiv[[#Headers],[Agency]])),COLUMNS($F$7:V$7))))</f>
        <v/>
      </c>
      <c r="W191" s="2223" t="str" cm="1">
        <f t="array" ref="W191">IF($D191&lt;COLUMNS($F$7:W$7),"",INDEX(TableDiv[[GASB]:[GASB]],_xlfn.AGGREGATE(15,3,(TableDiv[[Agency]:[Agency]]=$E191)/(TableDiv[[Agency]:[Agency]]=$E191)*(ROW(TableDiv[Agency])-ROW(TableDiv[[#Headers],[Agency]])),COLUMNS($F$7:W$7))))</f>
        <v/>
      </c>
      <c r="X191" s="2223" t="str" cm="1">
        <f t="array" ref="X191">IF($D191&lt;COLUMNS($F$7:X$7),"",INDEX(TableDiv[[GASB]:[GASB]],_xlfn.AGGREGATE(15,3,(TableDiv[[Agency]:[Agency]]=$E191)/(TableDiv[[Agency]:[Agency]]=$E191)*(ROW(TableDiv[Agency])-ROW(TableDiv[[#Headers],[Agency]])),COLUMNS($F$7:X$7))))</f>
        <v/>
      </c>
      <c r="Y191" s="2223" t="str" cm="1">
        <f t="array" ref="Y191">IF($D191&lt;COLUMNS($F$7:Y$7),"",INDEX(TableDiv[[GASB]:[GASB]],_xlfn.AGGREGATE(15,3,(TableDiv[[Agency]:[Agency]]=$E191)/(TableDiv[[Agency]:[Agency]]=$E191)*(ROW(TableDiv[Agency])-ROW(TableDiv[[#Headers],[Agency]])),COLUMNS($F$7:Y$7))))</f>
        <v/>
      </c>
      <c r="Z191" s="2223" t="str" cm="1">
        <f t="array" ref="Z191">IF($D191&lt;COLUMNS($F$7:Z$7),"",INDEX(TableDiv[[GASB]:[GASB]],_xlfn.AGGREGATE(15,3,(TableDiv[[Agency]:[Agency]]=$E191)/(TableDiv[[Agency]:[Agency]]=$E191)*(ROW(TableDiv[Agency])-ROW(TableDiv[[#Headers],[Agency]])),COLUMNS($F$7:Z$7))))</f>
        <v/>
      </c>
      <c r="AA191" s="2223" t="str" cm="1">
        <f t="array" ref="AA191">IF($D191&lt;COLUMNS($F$7:AA$7),"",INDEX(TableDiv[[GASB]:[GASB]],_xlfn.AGGREGATE(15,3,(TableDiv[[Agency]:[Agency]]=$E191)/(TableDiv[[Agency]:[Agency]]=$E191)*(ROW(TableDiv[Agency])-ROW(TableDiv[[#Headers],[Agency]])),COLUMNS($F$7:AA$7))))</f>
        <v/>
      </c>
      <c r="AB191" s="2223" t="str" cm="1">
        <f t="array" ref="AB191">IF($D191&lt;COLUMNS($F$7:AB$7),"",INDEX(TableDiv[[GASB]:[GASB]],_xlfn.AGGREGATE(15,3,(TableDiv[[Agency]:[Agency]]=$E191)/(TableDiv[[Agency]:[Agency]]=$E191)*(ROW(TableDiv[Agency])-ROW(TableDiv[[#Headers],[Agency]])),COLUMNS($F$7:AB$7))))</f>
        <v/>
      </c>
      <c r="AC191" s="2223" t="str" cm="1">
        <f t="array" ref="AC191">IF($D191&lt;COLUMNS($F$7:AC$7),"",INDEX(TableDiv[[GASB]:[GASB]],_xlfn.AGGREGATE(15,3,(TableDiv[[Agency]:[Agency]]=$E191)/(TableDiv[[Agency]:[Agency]]=$E191)*(ROW(TableDiv[Agency])-ROW(TableDiv[[#Headers],[Agency]])),COLUMNS($F$7:AC$7))))</f>
        <v/>
      </c>
      <c r="AD191" s="2223" t="str" cm="1">
        <f t="array" ref="AD191">IF($D191&lt;COLUMNS($F$7:AD$7),"",INDEX(TableDiv[[GASB]:[GASB]],_xlfn.AGGREGATE(15,3,(TableDiv[[Agency]:[Agency]]=$E191)/(TableDiv[[Agency]:[Agency]]=$E191)*(ROW(TableDiv[Agency])-ROW(TableDiv[[#Headers],[Agency]])),COLUMNS($F$7:AD$7))))</f>
        <v/>
      </c>
      <c r="AE191" s="2223" t="str" cm="1">
        <f t="array" ref="AE191">IF($D191&lt;COLUMNS($F$7:AE$7),"",INDEX(TableDiv[[GASB]:[GASB]],_xlfn.AGGREGATE(15,3,(TableDiv[[Agency]:[Agency]]=$E191)/(TableDiv[[Agency]:[Agency]]=$E191)*(ROW(TableDiv[Agency])-ROW(TableDiv[[#Headers],[Agency]])),COLUMNS($F$7:AE$7))))</f>
        <v/>
      </c>
      <c r="AF191" s="2223" t="str" cm="1">
        <f t="array" ref="AF191">IF($D191&lt;COLUMNS($F$7:AF$7),"",INDEX(TableDiv[[GASB]:[GASB]],_xlfn.AGGREGATE(15,3,(TableDiv[[Agency]:[Agency]]=$E191)/(TableDiv[[Agency]:[Agency]]=$E191)*(ROW(TableDiv[Agency])-ROW(TableDiv[[#Headers],[Agency]])),COLUMNS($F$7:AF$7))))</f>
        <v/>
      </c>
      <c r="AG191" s="2223" t="str" cm="1">
        <f t="array" ref="AG191">IF($D191&lt;COLUMNS($F$7:AG$7),"",INDEX(TableDiv[[GASB]:[GASB]],_xlfn.AGGREGATE(15,3,(TableDiv[[Agency]:[Agency]]=$E191)/(TableDiv[[Agency]:[Agency]]=$E191)*(ROW(TableDiv[Agency])-ROW(TableDiv[[#Headers],[Agency]])),COLUMNS($F$7:AG$7))))</f>
        <v/>
      </c>
      <c r="AH191" s="2223" t="str" cm="1">
        <f t="array" ref="AH191">IF($D191&lt;COLUMNS($F$7:AH$7),"",INDEX(TableDiv[[GASB]:[GASB]],_xlfn.AGGREGATE(15,3,(TableDiv[[Agency]:[Agency]]=$E191)/(TableDiv[[Agency]:[Agency]]=$E191)*(ROW(TableDiv[Agency])-ROW(TableDiv[[#Headers],[Agency]])),COLUMNS($F$7:AH$7))))</f>
        <v/>
      </c>
      <c r="AI191" s="2223" t="str" cm="1">
        <f t="array" ref="AI191">IF($D191&lt;COLUMNS($F$7:AI$7),"",INDEX(TableDiv[[GASB]:[GASB]],_xlfn.AGGREGATE(15,3,(TableDiv[[Agency]:[Agency]]=$E191)/(TableDiv[[Agency]:[Agency]]=$E191)*(ROW(TableDiv[Agency])-ROW(TableDiv[[#Headers],[Agency]])),COLUMNS($F$7:AI$7))))</f>
        <v/>
      </c>
      <c r="AJ191" s="2223" t="str" cm="1">
        <f t="array" ref="AJ191">IF($D191&lt;COLUMNS($F$7:AJ$7),"",INDEX(TableDiv[[GASB]:[GASB]],_xlfn.AGGREGATE(15,3,(TableDiv[[Agency]:[Agency]]=$E191)/(TableDiv[[Agency]:[Agency]]=$E191)*(ROW(TableDiv[Agency])-ROW(TableDiv[[#Headers],[Agency]])),COLUMNS($F$7:AJ$7))))</f>
        <v/>
      </c>
      <c r="AK191" s="2223" t="str" cm="1">
        <f t="array" ref="AK191">IF($D191&lt;COLUMNS($F$7:AK$7),"",INDEX(TableDiv[[GASB]:[GASB]],_xlfn.AGGREGATE(15,3,(TableDiv[[Agency]:[Agency]]=$E191)/(TableDiv[[Agency]:[Agency]]=$E191)*(ROW(TableDiv[Agency])-ROW(TableDiv[[#Headers],[Agency]])),COLUMNS($F$7:AK$7))))</f>
        <v/>
      </c>
      <c r="AL191" s="2223" t="str" cm="1">
        <f t="array" ref="AL191">IF($D191&lt;COLUMNS($F$7:AL$7),"",INDEX(TableDiv[[GASB]:[GASB]],_xlfn.AGGREGATE(15,3,(TableDiv[[Agency]:[Agency]]=$E191)/(TableDiv[[Agency]:[Agency]]=$E191)*(ROW(TableDiv[Agency])-ROW(TableDiv[[#Headers],[Agency]])),COLUMNS($F$7:AL$7))))</f>
        <v/>
      </c>
      <c r="AM191" s="2223" t="str" cm="1">
        <f t="array" ref="AM191">IF($D191&lt;COLUMNS($F$7:AM$7),"",INDEX(TableDiv[[GASB]:[GASB]],_xlfn.AGGREGATE(15,3,(TableDiv[[Agency]:[Agency]]=$E191)/(TableDiv[[Agency]:[Agency]]=$E191)*(ROW(TableDiv[Agency])-ROW(TableDiv[[#Headers],[Agency]])),COLUMNS($F$7:AM$7))))</f>
        <v/>
      </c>
      <c r="AN191" s="2223"/>
      <c r="AO191" s="2223"/>
      <c r="AP191" s="2223"/>
      <c r="AQ191" s="2223"/>
      <c r="AR191" s="2223"/>
      <c r="AS191" s="2223"/>
    </row>
    <row r="192" spans="1:45" ht="15" x14ac:dyDescent="0.25">
      <c r="A192" s="2219" t="s">
        <v>6445</v>
      </c>
      <c r="B192" s="2219" t="s">
        <v>6393</v>
      </c>
      <c r="C192" s="2223"/>
      <c r="D192" s="2223">
        <f>COUNTIF(TableDiv[Agency],E192)</f>
        <v>1</v>
      </c>
      <c r="E192" s="2230" t="str" cm="1">
        <f t="array" ref="E192">IFERROR(INDEX(TableDiv[Agency],MATCH(0,INDEX(COUNTIF($E$7:E191,TableDiv[Agency]),),0)),"")</f>
        <v>DM</v>
      </c>
      <c r="F192" s="2223" t="str" cm="1">
        <f t="array" ref="F192">IF($D192&lt;COLUMNS($F$7:F$7),"",INDEX(TableDiv[[GASB]:[GASB]],_xlfn.AGGREGATE(15,3,(TableDiv[[Agency]:[Agency]]=$E192)/(TableDiv[[Agency]:[Agency]]=$E192)*(ROW(TableDiv[Agency])-ROW(TableDiv[[#Headers],[Agency]])),COLUMNS($F$7:F$7))))</f>
        <v>48100G</v>
      </c>
      <c r="G192" s="2223" t="str" cm="1">
        <f t="array" ref="G192">IF($D192&lt;COLUMNS($F$7:G$7),"",INDEX(TableDiv[[GASB]:[GASB]],_xlfn.AGGREGATE(15,3,(TableDiv[[Agency]:[Agency]]=$E192)/(TableDiv[[Agency]:[Agency]]=$E192)*(ROW(TableDiv[Agency])-ROW(TableDiv[[#Headers],[Agency]])),COLUMNS($F$7:G$7))))</f>
        <v/>
      </c>
      <c r="H192" s="2223" t="str" cm="1">
        <f t="array" ref="H192">IF($D192&lt;COLUMNS($F$7:H$7),"",INDEX(TableDiv[[GASB]:[GASB]],_xlfn.AGGREGATE(15,3,(TableDiv[[Agency]:[Agency]]=$E192)/(TableDiv[[Agency]:[Agency]]=$E192)*(ROW(TableDiv[Agency])-ROW(TableDiv[[#Headers],[Agency]])),COLUMNS($F$7:H$7))))</f>
        <v/>
      </c>
      <c r="I192" s="2223" t="str" cm="1">
        <f t="array" ref="I192">IF($D192&lt;COLUMNS($F$7:I$7),"",INDEX(TableDiv[[GASB]:[GASB]],_xlfn.AGGREGATE(15,3,(TableDiv[[Agency]:[Agency]]=$E192)/(TableDiv[[Agency]:[Agency]]=$E192)*(ROW(TableDiv[Agency])-ROW(TableDiv[[#Headers],[Agency]])),COLUMNS($F$7:I$7))))</f>
        <v/>
      </c>
      <c r="J192" s="2223" t="str" cm="1">
        <f t="array" ref="J192">IF($D192&lt;COLUMNS($F$7:J$7),"",INDEX(TableDiv[[GASB]:[GASB]],_xlfn.AGGREGATE(15,3,(TableDiv[[Agency]:[Agency]]=$E192)/(TableDiv[[Agency]:[Agency]]=$E192)*(ROW(TableDiv[Agency])-ROW(TableDiv[[#Headers],[Agency]])),COLUMNS($F$7:J$7))))</f>
        <v/>
      </c>
      <c r="K192" s="2223" t="str" cm="1">
        <f t="array" ref="K192">IF($D192&lt;COLUMNS($F$7:K$7),"",INDEX(TableDiv[[GASB]:[GASB]],_xlfn.AGGREGATE(15,3,(TableDiv[[Agency]:[Agency]]=$E192)/(TableDiv[[Agency]:[Agency]]=$E192)*(ROW(TableDiv[Agency])-ROW(TableDiv[[#Headers],[Agency]])),COLUMNS($F$7:K$7))))</f>
        <v/>
      </c>
      <c r="L192" s="2223" t="str" cm="1">
        <f t="array" ref="L192">IF($D192&lt;COLUMNS($F$7:L$7),"",INDEX(TableDiv[[GASB]:[GASB]],_xlfn.AGGREGATE(15,3,(TableDiv[[Agency]:[Agency]]=$E192)/(TableDiv[[Agency]:[Agency]]=$E192)*(ROW(TableDiv[Agency])-ROW(TableDiv[[#Headers],[Agency]])),COLUMNS($F$7:L$7))))</f>
        <v/>
      </c>
      <c r="M192" s="2223" t="str" cm="1">
        <f t="array" ref="M192">IF($D192&lt;COLUMNS($F$7:M$7),"",INDEX(TableDiv[[GASB]:[GASB]],_xlfn.AGGREGATE(15,3,(TableDiv[[Agency]:[Agency]]=$E192)/(TableDiv[[Agency]:[Agency]]=$E192)*(ROW(TableDiv[Agency])-ROW(TableDiv[[#Headers],[Agency]])),COLUMNS($F$7:M$7))))</f>
        <v/>
      </c>
      <c r="N192" s="2223" t="str" cm="1">
        <f t="array" ref="N192">IF($D192&lt;COLUMNS($F$7:N$7),"",INDEX(TableDiv[[GASB]:[GASB]],_xlfn.AGGREGATE(15,3,(TableDiv[[Agency]:[Agency]]=$E192)/(TableDiv[[Agency]:[Agency]]=$E192)*(ROW(TableDiv[Agency])-ROW(TableDiv[[#Headers],[Agency]])),COLUMNS($F$7:N$7))))</f>
        <v/>
      </c>
      <c r="O192" s="2223" t="str" cm="1">
        <f t="array" ref="O192">IF($D192&lt;COLUMNS($F$7:O$7),"",INDEX(TableDiv[[GASB]:[GASB]],_xlfn.AGGREGATE(15,3,(TableDiv[[Agency]:[Agency]]=$E192)/(TableDiv[[Agency]:[Agency]]=$E192)*(ROW(TableDiv[Agency])-ROW(TableDiv[[#Headers],[Agency]])),COLUMNS($F$7:O$7))))</f>
        <v/>
      </c>
      <c r="P192" s="2223" t="str" cm="1">
        <f t="array" ref="P192">IF($D192&lt;COLUMNS($F$7:P$7),"",INDEX(TableDiv[[GASB]:[GASB]],_xlfn.AGGREGATE(15,3,(TableDiv[[Agency]:[Agency]]=$E192)/(TableDiv[[Agency]:[Agency]]=$E192)*(ROW(TableDiv[Agency])-ROW(TableDiv[[#Headers],[Agency]])),COLUMNS($F$7:P$7))))</f>
        <v/>
      </c>
      <c r="Q192" s="2223" t="str" cm="1">
        <f t="array" ref="Q192">IF($D192&lt;COLUMNS($F$7:Q$7),"",INDEX(TableDiv[[GASB]:[GASB]],_xlfn.AGGREGATE(15,3,(TableDiv[[Agency]:[Agency]]=$E192)/(TableDiv[[Agency]:[Agency]]=$E192)*(ROW(TableDiv[Agency])-ROW(TableDiv[[#Headers],[Agency]])),COLUMNS($F$7:Q$7))))</f>
        <v/>
      </c>
      <c r="R192" s="2223" t="str" cm="1">
        <f t="array" ref="R192">IF($D192&lt;COLUMNS($F$7:R$7),"",INDEX(TableDiv[[GASB]:[GASB]],_xlfn.AGGREGATE(15,3,(TableDiv[[Agency]:[Agency]]=$E192)/(TableDiv[[Agency]:[Agency]]=$E192)*(ROW(TableDiv[Agency])-ROW(TableDiv[[#Headers],[Agency]])),COLUMNS($F$7:R$7))))</f>
        <v/>
      </c>
      <c r="S192" s="2223" t="str" cm="1">
        <f t="array" ref="S192">IF($D192&lt;COLUMNS($F$7:S$7),"",INDEX(TableDiv[[GASB]:[GASB]],_xlfn.AGGREGATE(15,3,(TableDiv[[Agency]:[Agency]]=$E192)/(TableDiv[[Agency]:[Agency]]=$E192)*(ROW(TableDiv[Agency])-ROW(TableDiv[[#Headers],[Agency]])),COLUMNS($F$7:S$7))))</f>
        <v/>
      </c>
      <c r="T192" s="2223" t="str" cm="1">
        <f t="array" ref="T192">IF($D192&lt;COLUMNS($F$7:T$7),"",INDEX(TableDiv[[GASB]:[GASB]],_xlfn.AGGREGATE(15,3,(TableDiv[[Agency]:[Agency]]=$E192)/(TableDiv[[Agency]:[Agency]]=$E192)*(ROW(TableDiv[Agency])-ROW(TableDiv[[#Headers],[Agency]])),COLUMNS($F$7:T$7))))</f>
        <v/>
      </c>
      <c r="U192" s="2223" t="str" cm="1">
        <f t="array" ref="U192">IF($D192&lt;COLUMNS($F$7:U$7),"",INDEX(TableDiv[[GASB]:[GASB]],_xlfn.AGGREGATE(15,3,(TableDiv[[Agency]:[Agency]]=$E192)/(TableDiv[[Agency]:[Agency]]=$E192)*(ROW(TableDiv[Agency])-ROW(TableDiv[[#Headers],[Agency]])),COLUMNS($F$7:U$7))))</f>
        <v/>
      </c>
      <c r="V192" s="2223" t="str" cm="1">
        <f t="array" ref="V192">IF($D192&lt;COLUMNS($F$7:V$7),"",INDEX(TableDiv[[GASB]:[GASB]],_xlfn.AGGREGATE(15,3,(TableDiv[[Agency]:[Agency]]=$E192)/(TableDiv[[Agency]:[Agency]]=$E192)*(ROW(TableDiv[Agency])-ROW(TableDiv[[#Headers],[Agency]])),COLUMNS($F$7:V$7))))</f>
        <v/>
      </c>
      <c r="W192" s="2223" t="str" cm="1">
        <f t="array" ref="W192">IF($D192&lt;COLUMNS($F$7:W$7),"",INDEX(TableDiv[[GASB]:[GASB]],_xlfn.AGGREGATE(15,3,(TableDiv[[Agency]:[Agency]]=$E192)/(TableDiv[[Agency]:[Agency]]=$E192)*(ROW(TableDiv[Agency])-ROW(TableDiv[[#Headers],[Agency]])),COLUMNS($F$7:W$7))))</f>
        <v/>
      </c>
      <c r="X192" s="2223" t="str" cm="1">
        <f t="array" ref="X192">IF($D192&lt;COLUMNS($F$7:X$7),"",INDEX(TableDiv[[GASB]:[GASB]],_xlfn.AGGREGATE(15,3,(TableDiv[[Agency]:[Agency]]=$E192)/(TableDiv[[Agency]:[Agency]]=$E192)*(ROW(TableDiv[Agency])-ROW(TableDiv[[#Headers],[Agency]])),COLUMNS($F$7:X$7))))</f>
        <v/>
      </c>
      <c r="Y192" s="2223" t="str" cm="1">
        <f t="array" ref="Y192">IF($D192&lt;COLUMNS($F$7:Y$7),"",INDEX(TableDiv[[GASB]:[GASB]],_xlfn.AGGREGATE(15,3,(TableDiv[[Agency]:[Agency]]=$E192)/(TableDiv[[Agency]:[Agency]]=$E192)*(ROW(TableDiv[Agency])-ROW(TableDiv[[#Headers],[Agency]])),COLUMNS($F$7:Y$7))))</f>
        <v/>
      </c>
      <c r="Z192" s="2223" t="str" cm="1">
        <f t="array" ref="Z192">IF($D192&lt;COLUMNS($F$7:Z$7),"",INDEX(TableDiv[[GASB]:[GASB]],_xlfn.AGGREGATE(15,3,(TableDiv[[Agency]:[Agency]]=$E192)/(TableDiv[[Agency]:[Agency]]=$E192)*(ROW(TableDiv[Agency])-ROW(TableDiv[[#Headers],[Agency]])),COLUMNS($F$7:Z$7))))</f>
        <v/>
      </c>
      <c r="AA192" s="2223" t="str" cm="1">
        <f t="array" ref="AA192">IF($D192&lt;COLUMNS($F$7:AA$7),"",INDEX(TableDiv[[GASB]:[GASB]],_xlfn.AGGREGATE(15,3,(TableDiv[[Agency]:[Agency]]=$E192)/(TableDiv[[Agency]:[Agency]]=$E192)*(ROW(TableDiv[Agency])-ROW(TableDiv[[#Headers],[Agency]])),COLUMNS($F$7:AA$7))))</f>
        <v/>
      </c>
      <c r="AB192" s="2223" t="str" cm="1">
        <f t="array" ref="AB192">IF($D192&lt;COLUMNS($F$7:AB$7),"",INDEX(TableDiv[[GASB]:[GASB]],_xlfn.AGGREGATE(15,3,(TableDiv[[Agency]:[Agency]]=$E192)/(TableDiv[[Agency]:[Agency]]=$E192)*(ROW(TableDiv[Agency])-ROW(TableDiv[[#Headers],[Agency]])),COLUMNS($F$7:AB$7))))</f>
        <v/>
      </c>
      <c r="AC192" s="2223" t="str" cm="1">
        <f t="array" ref="AC192">IF($D192&lt;COLUMNS($F$7:AC$7),"",INDEX(TableDiv[[GASB]:[GASB]],_xlfn.AGGREGATE(15,3,(TableDiv[[Agency]:[Agency]]=$E192)/(TableDiv[[Agency]:[Agency]]=$E192)*(ROW(TableDiv[Agency])-ROW(TableDiv[[#Headers],[Agency]])),COLUMNS($F$7:AC$7))))</f>
        <v/>
      </c>
      <c r="AD192" s="2223" t="str" cm="1">
        <f t="array" ref="AD192">IF($D192&lt;COLUMNS($F$7:AD$7),"",INDEX(TableDiv[[GASB]:[GASB]],_xlfn.AGGREGATE(15,3,(TableDiv[[Agency]:[Agency]]=$E192)/(TableDiv[[Agency]:[Agency]]=$E192)*(ROW(TableDiv[Agency])-ROW(TableDiv[[#Headers],[Agency]])),COLUMNS($F$7:AD$7))))</f>
        <v/>
      </c>
      <c r="AE192" s="2223" t="str" cm="1">
        <f t="array" ref="AE192">IF($D192&lt;COLUMNS($F$7:AE$7),"",INDEX(TableDiv[[GASB]:[GASB]],_xlfn.AGGREGATE(15,3,(TableDiv[[Agency]:[Agency]]=$E192)/(TableDiv[[Agency]:[Agency]]=$E192)*(ROW(TableDiv[Agency])-ROW(TableDiv[[#Headers],[Agency]])),COLUMNS($F$7:AE$7))))</f>
        <v/>
      </c>
      <c r="AF192" s="2223" t="str" cm="1">
        <f t="array" ref="AF192">IF($D192&lt;COLUMNS($F$7:AF$7),"",INDEX(TableDiv[[GASB]:[GASB]],_xlfn.AGGREGATE(15,3,(TableDiv[[Agency]:[Agency]]=$E192)/(TableDiv[[Agency]:[Agency]]=$E192)*(ROW(TableDiv[Agency])-ROW(TableDiv[[#Headers],[Agency]])),COLUMNS($F$7:AF$7))))</f>
        <v/>
      </c>
      <c r="AG192" s="2223" t="str" cm="1">
        <f t="array" ref="AG192">IF($D192&lt;COLUMNS($F$7:AG$7),"",INDEX(TableDiv[[GASB]:[GASB]],_xlfn.AGGREGATE(15,3,(TableDiv[[Agency]:[Agency]]=$E192)/(TableDiv[[Agency]:[Agency]]=$E192)*(ROW(TableDiv[Agency])-ROW(TableDiv[[#Headers],[Agency]])),COLUMNS($F$7:AG$7))))</f>
        <v/>
      </c>
      <c r="AH192" s="2223" t="str" cm="1">
        <f t="array" ref="AH192">IF($D192&lt;COLUMNS($F$7:AH$7),"",INDEX(TableDiv[[GASB]:[GASB]],_xlfn.AGGREGATE(15,3,(TableDiv[[Agency]:[Agency]]=$E192)/(TableDiv[[Agency]:[Agency]]=$E192)*(ROW(TableDiv[Agency])-ROW(TableDiv[[#Headers],[Agency]])),COLUMNS($F$7:AH$7))))</f>
        <v/>
      </c>
      <c r="AI192" s="2223" t="str" cm="1">
        <f t="array" ref="AI192">IF($D192&lt;COLUMNS($F$7:AI$7),"",INDEX(TableDiv[[GASB]:[GASB]],_xlfn.AGGREGATE(15,3,(TableDiv[[Agency]:[Agency]]=$E192)/(TableDiv[[Agency]:[Agency]]=$E192)*(ROW(TableDiv[Agency])-ROW(TableDiv[[#Headers],[Agency]])),COLUMNS($F$7:AI$7))))</f>
        <v/>
      </c>
      <c r="AJ192" s="2223" t="str" cm="1">
        <f t="array" ref="AJ192">IF($D192&lt;COLUMNS($F$7:AJ$7),"",INDEX(TableDiv[[GASB]:[GASB]],_xlfn.AGGREGATE(15,3,(TableDiv[[Agency]:[Agency]]=$E192)/(TableDiv[[Agency]:[Agency]]=$E192)*(ROW(TableDiv[Agency])-ROW(TableDiv[[#Headers],[Agency]])),COLUMNS($F$7:AJ$7))))</f>
        <v/>
      </c>
      <c r="AK192" s="2223" t="str" cm="1">
        <f t="array" ref="AK192">IF($D192&lt;COLUMNS($F$7:AK$7),"",INDEX(TableDiv[[GASB]:[GASB]],_xlfn.AGGREGATE(15,3,(TableDiv[[Agency]:[Agency]]=$E192)/(TableDiv[[Agency]:[Agency]]=$E192)*(ROW(TableDiv[Agency])-ROW(TableDiv[[#Headers],[Agency]])),COLUMNS($F$7:AK$7))))</f>
        <v/>
      </c>
      <c r="AL192" s="2223" t="str" cm="1">
        <f t="array" ref="AL192">IF($D192&lt;COLUMNS($F$7:AL$7),"",INDEX(TableDiv[[GASB]:[GASB]],_xlfn.AGGREGATE(15,3,(TableDiv[[Agency]:[Agency]]=$E192)/(TableDiv[[Agency]:[Agency]]=$E192)*(ROW(TableDiv[Agency])-ROW(TableDiv[[#Headers],[Agency]])),COLUMNS($F$7:AL$7))))</f>
        <v/>
      </c>
      <c r="AM192" s="2223" t="str" cm="1">
        <f t="array" ref="AM192">IF($D192&lt;COLUMNS($F$7:AM$7),"",INDEX(TableDiv[[GASB]:[GASB]],_xlfn.AGGREGATE(15,3,(TableDiv[[Agency]:[Agency]]=$E192)/(TableDiv[[Agency]:[Agency]]=$E192)*(ROW(TableDiv[Agency])-ROW(TableDiv[[#Headers],[Agency]])),COLUMNS($F$7:AM$7))))</f>
        <v/>
      </c>
      <c r="AN192" s="2223"/>
      <c r="AO192" s="2223"/>
      <c r="AP192" s="2223"/>
      <c r="AQ192" s="2223"/>
      <c r="AR192" s="2223"/>
      <c r="AS192" s="2223"/>
    </row>
    <row r="193" spans="1:45" ht="15" x14ac:dyDescent="0.25">
      <c r="A193" s="2219" t="s">
        <v>6447</v>
      </c>
      <c r="B193" s="2219" t="s">
        <v>6357</v>
      </c>
      <c r="C193" s="2223"/>
      <c r="D193" s="2223">
        <f>COUNTIF(TableDiv[Agency],E193)</f>
        <v>1</v>
      </c>
      <c r="E193" s="2230" t="str" cm="1">
        <f t="array" ref="E193">IFERROR(INDEX(TableDiv[Agency],MATCH(0,INDEX(COUNTIF($E$7:E192,TableDiv[Agency]),),0)),"")</f>
        <v>DN</v>
      </c>
      <c r="F193" s="2223" t="str" cm="1">
        <f t="array" ref="F193">IF($D193&lt;COLUMNS($F$7:F$7),"",INDEX(TableDiv[[GASB]:[GASB]],_xlfn.AGGREGATE(15,3,(TableDiv[[Agency]:[Agency]]=$E193)/(TableDiv[[Agency]:[Agency]]=$E193)*(ROW(TableDiv[Agency])-ROW(TableDiv[[#Headers],[Agency]])),COLUMNS($F$7:F$7))))</f>
        <v>48100G</v>
      </c>
      <c r="G193" s="2223" t="str" cm="1">
        <f t="array" ref="G193">IF($D193&lt;COLUMNS($F$7:G$7),"",INDEX(TableDiv[[GASB]:[GASB]],_xlfn.AGGREGATE(15,3,(TableDiv[[Agency]:[Agency]]=$E193)/(TableDiv[[Agency]:[Agency]]=$E193)*(ROW(TableDiv[Agency])-ROW(TableDiv[[#Headers],[Agency]])),COLUMNS($F$7:G$7))))</f>
        <v/>
      </c>
      <c r="H193" s="2223" t="str" cm="1">
        <f t="array" ref="H193">IF($D193&lt;COLUMNS($F$7:H$7),"",INDEX(TableDiv[[GASB]:[GASB]],_xlfn.AGGREGATE(15,3,(TableDiv[[Agency]:[Agency]]=$E193)/(TableDiv[[Agency]:[Agency]]=$E193)*(ROW(TableDiv[Agency])-ROW(TableDiv[[#Headers],[Agency]])),COLUMNS($F$7:H$7))))</f>
        <v/>
      </c>
      <c r="I193" s="2223" t="str" cm="1">
        <f t="array" ref="I193">IF($D193&lt;COLUMNS($F$7:I$7),"",INDEX(TableDiv[[GASB]:[GASB]],_xlfn.AGGREGATE(15,3,(TableDiv[[Agency]:[Agency]]=$E193)/(TableDiv[[Agency]:[Agency]]=$E193)*(ROW(TableDiv[Agency])-ROW(TableDiv[[#Headers],[Agency]])),COLUMNS($F$7:I$7))))</f>
        <v/>
      </c>
      <c r="J193" s="2223" t="str" cm="1">
        <f t="array" ref="J193">IF($D193&lt;COLUMNS($F$7:J$7),"",INDEX(TableDiv[[GASB]:[GASB]],_xlfn.AGGREGATE(15,3,(TableDiv[[Agency]:[Agency]]=$E193)/(TableDiv[[Agency]:[Agency]]=$E193)*(ROW(TableDiv[Agency])-ROW(TableDiv[[#Headers],[Agency]])),COLUMNS($F$7:J$7))))</f>
        <v/>
      </c>
      <c r="K193" s="2223" t="str" cm="1">
        <f t="array" ref="K193">IF($D193&lt;COLUMNS($F$7:K$7),"",INDEX(TableDiv[[GASB]:[GASB]],_xlfn.AGGREGATE(15,3,(TableDiv[[Agency]:[Agency]]=$E193)/(TableDiv[[Agency]:[Agency]]=$E193)*(ROW(TableDiv[Agency])-ROW(TableDiv[[#Headers],[Agency]])),COLUMNS($F$7:K$7))))</f>
        <v/>
      </c>
      <c r="L193" s="2223" t="str" cm="1">
        <f t="array" ref="L193">IF($D193&lt;COLUMNS($F$7:L$7),"",INDEX(TableDiv[[GASB]:[GASB]],_xlfn.AGGREGATE(15,3,(TableDiv[[Agency]:[Agency]]=$E193)/(TableDiv[[Agency]:[Agency]]=$E193)*(ROW(TableDiv[Agency])-ROW(TableDiv[[#Headers],[Agency]])),COLUMNS($F$7:L$7))))</f>
        <v/>
      </c>
      <c r="M193" s="2223" t="str" cm="1">
        <f t="array" ref="M193">IF($D193&lt;COLUMNS($F$7:M$7),"",INDEX(TableDiv[[GASB]:[GASB]],_xlfn.AGGREGATE(15,3,(TableDiv[[Agency]:[Agency]]=$E193)/(TableDiv[[Agency]:[Agency]]=$E193)*(ROW(TableDiv[Agency])-ROW(TableDiv[[#Headers],[Agency]])),COLUMNS($F$7:M$7))))</f>
        <v/>
      </c>
      <c r="N193" s="2223" t="str" cm="1">
        <f t="array" ref="N193">IF($D193&lt;COLUMNS($F$7:N$7),"",INDEX(TableDiv[[GASB]:[GASB]],_xlfn.AGGREGATE(15,3,(TableDiv[[Agency]:[Agency]]=$E193)/(TableDiv[[Agency]:[Agency]]=$E193)*(ROW(TableDiv[Agency])-ROW(TableDiv[[#Headers],[Agency]])),COLUMNS($F$7:N$7))))</f>
        <v/>
      </c>
      <c r="O193" s="2223" t="str" cm="1">
        <f t="array" ref="O193">IF($D193&lt;COLUMNS($F$7:O$7),"",INDEX(TableDiv[[GASB]:[GASB]],_xlfn.AGGREGATE(15,3,(TableDiv[[Agency]:[Agency]]=$E193)/(TableDiv[[Agency]:[Agency]]=$E193)*(ROW(TableDiv[Agency])-ROW(TableDiv[[#Headers],[Agency]])),COLUMNS($F$7:O$7))))</f>
        <v/>
      </c>
      <c r="P193" s="2223" t="str" cm="1">
        <f t="array" ref="P193">IF($D193&lt;COLUMNS($F$7:P$7),"",INDEX(TableDiv[[GASB]:[GASB]],_xlfn.AGGREGATE(15,3,(TableDiv[[Agency]:[Agency]]=$E193)/(TableDiv[[Agency]:[Agency]]=$E193)*(ROW(TableDiv[Agency])-ROW(TableDiv[[#Headers],[Agency]])),COLUMNS($F$7:P$7))))</f>
        <v/>
      </c>
      <c r="Q193" s="2223" t="str" cm="1">
        <f t="array" ref="Q193">IF($D193&lt;COLUMNS($F$7:Q$7),"",INDEX(TableDiv[[GASB]:[GASB]],_xlfn.AGGREGATE(15,3,(TableDiv[[Agency]:[Agency]]=$E193)/(TableDiv[[Agency]:[Agency]]=$E193)*(ROW(TableDiv[Agency])-ROW(TableDiv[[#Headers],[Agency]])),COLUMNS($F$7:Q$7))))</f>
        <v/>
      </c>
      <c r="R193" s="2223" t="str" cm="1">
        <f t="array" ref="R193">IF($D193&lt;COLUMNS($F$7:R$7),"",INDEX(TableDiv[[GASB]:[GASB]],_xlfn.AGGREGATE(15,3,(TableDiv[[Agency]:[Agency]]=$E193)/(TableDiv[[Agency]:[Agency]]=$E193)*(ROW(TableDiv[Agency])-ROW(TableDiv[[#Headers],[Agency]])),COLUMNS($F$7:R$7))))</f>
        <v/>
      </c>
      <c r="S193" s="2223" t="str" cm="1">
        <f t="array" ref="S193">IF($D193&lt;COLUMNS($F$7:S$7),"",INDEX(TableDiv[[GASB]:[GASB]],_xlfn.AGGREGATE(15,3,(TableDiv[[Agency]:[Agency]]=$E193)/(TableDiv[[Agency]:[Agency]]=$E193)*(ROW(TableDiv[Agency])-ROW(TableDiv[[#Headers],[Agency]])),COLUMNS($F$7:S$7))))</f>
        <v/>
      </c>
      <c r="T193" s="2223" t="str" cm="1">
        <f t="array" ref="T193">IF($D193&lt;COLUMNS($F$7:T$7),"",INDEX(TableDiv[[GASB]:[GASB]],_xlfn.AGGREGATE(15,3,(TableDiv[[Agency]:[Agency]]=$E193)/(TableDiv[[Agency]:[Agency]]=$E193)*(ROW(TableDiv[Agency])-ROW(TableDiv[[#Headers],[Agency]])),COLUMNS($F$7:T$7))))</f>
        <v/>
      </c>
      <c r="U193" s="2223" t="str" cm="1">
        <f t="array" ref="U193">IF($D193&lt;COLUMNS($F$7:U$7),"",INDEX(TableDiv[[GASB]:[GASB]],_xlfn.AGGREGATE(15,3,(TableDiv[[Agency]:[Agency]]=$E193)/(TableDiv[[Agency]:[Agency]]=$E193)*(ROW(TableDiv[Agency])-ROW(TableDiv[[#Headers],[Agency]])),COLUMNS($F$7:U$7))))</f>
        <v/>
      </c>
      <c r="V193" s="2223" t="str" cm="1">
        <f t="array" ref="V193">IF($D193&lt;COLUMNS($F$7:V$7),"",INDEX(TableDiv[[GASB]:[GASB]],_xlfn.AGGREGATE(15,3,(TableDiv[[Agency]:[Agency]]=$E193)/(TableDiv[[Agency]:[Agency]]=$E193)*(ROW(TableDiv[Agency])-ROW(TableDiv[[#Headers],[Agency]])),COLUMNS($F$7:V$7))))</f>
        <v/>
      </c>
      <c r="W193" s="2223" t="str" cm="1">
        <f t="array" ref="W193">IF($D193&lt;COLUMNS($F$7:W$7),"",INDEX(TableDiv[[GASB]:[GASB]],_xlfn.AGGREGATE(15,3,(TableDiv[[Agency]:[Agency]]=$E193)/(TableDiv[[Agency]:[Agency]]=$E193)*(ROW(TableDiv[Agency])-ROW(TableDiv[[#Headers],[Agency]])),COLUMNS($F$7:W$7))))</f>
        <v/>
      </c>
      <c r="X193" s="2223" t="str" cm="1">
        <f t="array" ref="X193">IF($D193&lt;COLUMNS($F$7:X$7),"",INDEX(TableDiv[[GASB]:[GASB]],_xlfn.AGGREGATE(15,3,(TableDiv[[Agency]:[Agency]]=$E193)/(TableDiv[[Agency]:[Agency]]=$E193)*(ROW(TableDiv[Agency])-ROW(TableDiv[[#Headers],[Agency]])),COLUMNS($F$7:X$7))))</f>
        <v/>
      </c>
      <c r="Y193" s="2223" t="str" cm="1">
        <f t="array" ref="Y193">IF($D193&lt;COLUMNS($F$7:Y$7),"",INDEX(TableDiv[[GASB]:[GASB]],_xlfn.AGGREGATE(15,3,(TableDiv[[Agency]:[Agency]]=$E193)/(TableDiv[[Agency]:[Agency]]=$E193)*(ROW(TableDiv[Agency])-ROW(TableDiv[[#Headers],[Agency]])),COLUMNS($F$7:Y$7))))</f>
        <v/>
      </c>
      <c r="Z193" s="2223" t="str" cm="1">
        <f t="array" ref="Z193">IF($D193&lt;COLUMNS($F$7:Z$7),"",INDEX(TableDiv[[GASB]:[GASB]],_xlfn.AGGREGATE(15,3,(TableDiv[[Agency]:[Agency]]=$E193)/(TableDiv[[Agency]:[Agency]]=$E193)*(ROW(TableDiv[Agency])-ROW(TableDiv[[#Headers],[Agency]])),COLUMNS($F$7:Z$7))))</f>
        <v/>
      </c>
      <c r="AA193" s="2223" t="str" cm="1">
        <f t="array" ref="AA193">IF($D193&lt;COLUMNS($F$7:AA$7),"",INDEX(TableDiv[[GASB]:[GASB]],_xlfn.AGGREGATE(15,3,(TableDiv[[Agency]:[Agency]]=$E193)/(TableDiv[[Agency]:[Agency]]=$E193)*(ROW(TableDiv[Agency])-ROW(TableDiv[[#Headers],[Agency]])),COLUMNS($F$7:AA$7))))</f>
        <v/>
      </c>
      <c r="AB193" s="2223" t="str" cm="1">
        <f t="array" ref="AB193">IF($D193&lt;COLUMNS($F$7:AB$7),"",INDEX(TableDiv[[GASB]:[GASB]],_xlfn.AGGREGATE(15,3,(TableDiv[[Agency]:[Agency]]=$E193)/(TableDiv[[Agency]:[Agency]]=$E193)*(ROW(TableDiv[Agency])-ROW(TableDiv[[#Headers],[Agency]])),COLUMNS($F$7:AB$7))))</f>
        <v/>
      </c>
      <c r="AC193" s="2223" t="str" cm="1">
        <f t="array" ref="AC193">IF($D193&lt;COLUMNS($F$7:AC$7),"",INDEX(TableDiv[[GASB]:[GASB]],_xlfn.AGGREGATE(15,3,(TableDiv[[Agency]:[Agency]]=$E193)/(TableDiv[[Agency]:[Agency]]=$E193)*(ROW(TableDiv[Agency])-ROW(TableDiv[[#Headers],[Agency]])),COLUMNS($F$7:AC$7))))</f>
        <v/>
      </c>
      <c r="AD193" s="2223" t="str" cm="1">
        <f t="array" ref="AD193">IF($D193&lt;COLUMNS($F$7:AD$7),"",INDEX(TableDiv[[GASB]:[GASB]],_xlfn.AGGREGATE(15,3,(TableDiv[[Agency]:[Agency]]=$E193)/(TableDiv[[Agency]:[Agency]]=$E193)*(ROW(TableDiv[Agency])-ROW(TableDiv[[#Headers],[Agency]])),COLUMNS($F$7:AD$7))))</f>
        <v/>
      </c>
      <c r="AE193" s="2223" t="str" cm="1">
        <f t="array" ref="AE193">IF($D193&lt;COLUMNS($F$7:AE$7),"",INDEX(TableDiv[[GASB]:[GASB]],_xlfn.AGGREGATE(15,3,(TableDiv[[Agency]:[Agency]]=$E193)/(TableDiv[[Agency]:[Agency]]=$E193)*(ROW(TableDiv[Agency])-ROW(TableDiv[[#Headers],[Agency]])),COLUMNS($F$7:AE$7))))</f>
        <v/>
      </c>
      <c r="AF193" s="2223" t="str" cm="1">
        <f t="array" ref="AF193">IF($D193&lt;COLUMNS($F$7:AF$7),"",INDEX(TableDiv[[GASB]:[GASB]],_xlfn.AGGREGATE(15,3,(TableDiv[[Agency]:[Agency]]=$E193)/(TableDiv[[Agency]:[Agency]]=$E193)*(ROW(TableDiv[Agency])-ROW(TableDiv[[#Headers],[Agency]])),COLUMNS($F$7:AF$7))))</f>
        <v/>
      </c>
      <c r="AG193" s="2223" t="str" cm="1">
        <f t="array" ref="AG193">IF($D193&lt;COLUMNS($F$7:AG$7),"",INDEX(TableDiv[[GASB]:[GASB]],_xlfn.AGGREGATE(15,3,(TableDiv[[Agency]:[Agency]]=$E193)/(TableDiv[[Agency]:[Agency]]=$E193)*(ROW(TableDiv[Agency])-ROW(TableDiv[[#Headers],[Agency]])),COLUMNS($F$7:AG$7))))</f>
        <v/>
      </c>
      <c r="AH193" s="2223" t="str" cm="1">
        <f t="array" ref="AH193">IF($D193&lt;COLUMNS($F$7:AH$7),"",INDEX(TableDiv[[GASB]:[GASB]],_xlfn.AGGREGATE(15,3,(TableDiv[[Agency]:[Agency]]=$E193)/(TableDiv[[Agency]:[Agency]]=$E193)*(ROW(TableDiv[Agency])-ROW(TableDiv[[#Headers],[Agency]])),COLUMNS($F$7:AH$7))))</f>
        <v/>
      </c>
      <c r="AI193" s="2223" t="str" cm="1">
        <f t="array" ref="AI193">IF($D193&lt;COLUMNS($F$7:AI$7),"",INDEX(TableDiv[[GASB]:[GASB]],_xlfn.AGGREGATE(15,3,(TableDiv[[Agency]:[Agency]]=$E193)/(TableDiv[[Agency]:[Agency]]=$E193)*(ROW(TableDiv[Agency])-ROW(TableDiv[[#Headers],[Agency]])),COLUMNS($F$7:AI$7))))</f>
        <v/>
      </c>
      <c r="AJ193" s="2223" t="str" cm="1">
        <f t="array" ref="AJ193">IF($D193&lt;COLUMNS($F$7:AJ$7),"",INDEX(TableDiv[[GASB]:[GASB]],_xlfn.AGGREGATE(15,3,(TableDiv[[Agency]:[Agency]]=$E193)/(TableDiv[[Agency]:[Agency]]=$E193)*(ROW(TableDiv[Agency])-ROW(TableDiv[[#Headers],[Agency]])),COLUMNS($F$7:AJ$7))))</f>
        <v/>
      </c>
      <c r="AK193" s="2223" t="str" cm="1">
        <f t="array" ref="AK193">IF($D193&lt;COLUMNS($F$7:AK$7),"",INDEX(TableDiv[[GASB]:[GASB]],_xlfn.AGGREGATE(15,3,(TableDiv[[Agency]:[Agency]]=$E193)/(TableDiv[[Agency]:[Agency]]=$E193)*(ROW(TableDiv[Agency])-ROW(TableDiv[[#Headers],[Agency]])),COLUMNS($F$7:AK$7))))</f>
        <v/>
      </c>
      <c r="AL193" s="2223" t="str" cm="1">
        <f t="array" ref="AL193">IF($D193&lt;COLUMNS($F$7:AL$7),"",INDEX(TableDiv[[GASB]:[GASB]],_xlfn.AGGREGATE(15,3,(TableDiv[[Agency]:[Agency]]=$E193)/(TableDiv[[Agency]:[Agency]]=$E193)*(ROW(TableDiv[Agency])-ROW(TableDiv[[#Headers],[Agency]])),COLUMNS($F$7:AL$7))))</f>
        <v/>
      </c>
      <c r="AM193" s="2223" t="str" cm="1">
        <f t="array" ref="AM193">IF($D193&lt;COLUMNS($F$7:AM$7),"",INDEX(TableDiv[[GASB]:[GASB]],_xlfn.AGGREGATE(15,3,(TableDiv[[Agency]:[Agency]]=$E193)/(TableDiv[[Agency]:[Agency]]=$E193)*(ROW(TableDiv[Agency])-ROW(TableDiv[[#Headers],[Agency]])),COLUMNS($F$7:AM$7))))</f>
        <v/>
      </c>
      <c r="AN193" s="2223"/>
      <c r="AO193" s="2223"/>
      <c r="AP193" s="2223"/>
      <c r="AQ193" s="2223"/>
      <c r="AR193" s="2223"/>
      <c r="AS193" s="2223"/>
    </row>
    <row r="194" spans="1:45" ht="15" x14ac:dyDescent="0.25">
      <c r="A194" s="2219" t="s">
        <v>6447</v>
      </c>
      <c r="B194" s="2219" t="s">
        <v>1878</v>
      </c>
      <c r="C194" s="2223"/>
      <c r="D194" s="2223">
        <f>COUNTIF(TableDiv[Agency],E194)</f>
        <v>1</v>
      </c>
      <c r="E194" s="2230" t="str" cm="1">
        <f t="array" ref="E194">IFERROR(INDEX(TableDiv[Agency],MATCH(0,INDEX(COUNTIF($E$7:E193,TableDiv[Agency]),),0)),"")</f>
        <v>DP</v>
      </c>
      <c r="F194" s="2223" t="str" cm="1">
        <f t="array" ref="F194">IF($D194&lt;COLUMNS($F$7:F$7),"",INDEX(TableDiv[[GASB]:[GASB]],_xlfn.AGGREGATE(15,3,(TableDiv[[Agency]:[Agency]]=$E194)/(TableDiv[[Agency]:[Agency]]=$E194)*(ROW(TableDiv[Agency])-ROW(TableDiv[[#Headers],[Agency]])),COLUMNS($F$7:F$7))))</f>
        <v>48100G</v>
      </c>
      <c r="G194" s="2223" t="str" cm="1">
        <f t="array" ref="G194">IF($D194&lt;COLUMNS($F$7:G$7),"",INDEX(TableDiv[[GASB]:[GASB]],_xlfn.AGGREGATE(15,3,(TableDiv[[Agency]:[Agency]]=$E194)/(TableDiv[[Agency]:[Agency]]=$E194)*(ROW(TableDiv[Agency])-ROW(TableDiv[[#Headers],[Agency]])),COLUMNS($F$7:G$7))))</f>
        <v/>
      </c>
      <c r="H194" s="2223" t="str" cm="1">
        <f t="array" ref="H194">IF($D194&lt;COLUMNS($F$7:H$7),"",INDEX(TableDiv[[GASB]:[GASB]],_xlfn.AGGREGATE(15,3,(TableDiv[[Agency]:[Agency]]=$E194)/(TableDiv[[Agency]:[Agency]]=$E194)*(ROW(TableDiv[Agency])-ROW(TableDiv[[#Headers],[Agency]])),COLUMNS($F$7:H$7))))</f>
        <v/>
      </c>
      <c r="I194" s="2223" t="str" cm="1">
        <f t="array" ref="I194">IF($D194&lt;COLUMNS($F$7:I$7),"",INDEX(TableDiv[[GASB]:[GASB]],_xlfn.AGGREGATE(15,3,(TableDiv[[Agency]:[Agency]]=$E194)/(TableDiv[[Agency]:[Agency]]=$E194)*(ROW(TableDiv[Agency])-ROW(TableDiv[[#Headers],[Agency]])),COLUMNS($F$7:I$7))))</f>
        <v/>
      </c>
      <c r="J194" s="2223" t="str" cm="1">
        <f t="array" ref="J194">IF($D194&lt;COLUMNS($F$7:J$7),"",INDEX(TableDiv[[GASB]:[GASB]],_xlfn.AGGREGATE(15,3,(TableDiv[[Agency]:[Agency]]=$E194)/(TableDiv[[Agency]:[Agency]]=$E194)*(ROW(TableDiv[Agency])-ROW(TableDiv[[#Headers],[Agency]])),COLUMNS($F$7:J$7))))</f>
        <v/>
      </c>
      <c r="K194" s="2223" t="str" cm="1">
        <f t="array" ref="K194">IF($D194&lt;COLUMNS($F$7:K$7),"",INDEX(TableDiv[[GASB]:[GASB]],_xlfn.AGGREGATE(15,3,(TableDiv[[Agency]:[Agency]]=$E194)/(TableDiv[[Agency]:[Agency]]=$E194)*(ROW(TableDiv[Agency])-ROW(TableDiv[[#Headers],[Agency]])),COLUMNS($F$7:K$7))))</f>
        <v/>
      </c>
      <c r="L194" s="2223" t="str" cm="1">
        <f t="array" ref="L194">IF($D194&lt;COLUMNS($F$7:L$7),"",INDEX(TableDiv[[GASB]:[GASB]],_xlfn.AGGREGATE(15,3,(TableDiv[[Agency]:[Agency]]=$E194)/(TableDiv[[Agency]:[Agency]]=$E194)*(ROW(TableDiv[Agency])-ROW(TableDiv[[#Headers],[Agency]])),COLUMNS($F$7:L$7))))</f>
        <v/>
      </c>
      <c r="M194" s="2223" t="str" cm="1">
        <f t="array" ref="M194">IF($D194&lt;COLUMNS($F$7:M$7),"",INDEX(TableDiv[[GASB]:[GASB]],_xlfn.AGGREGATE(15,3,(TableDiv[[Agency]:[Agency]]=$E194)/(TableDiv[[Agency]:[Agency]]=$E194)*(ROW(TableDiv[Agency])-ROW(TableDiv[[#Headers],[Agency]])),COLUMNS($F$7:M$7))))</f>
        <v/>
      </c>
      <c r="N194" s="2223" t="str" cm="1">
        <f t="array" ref="N194">IF($D194&lt;COLUMNS($F$7:N$7),"",INDEX(TableDiv[[GASB]:[GASB]],_xlfn.AGGREGATE(15,3,(TableDiv[[Agency]:[Agency]]=$E194)/(TableDiv[[Agency]:[Agency]]=$E194)*(ROW(TableDiv[Agency])-ROW(TableDiv[[#Headers],[Agency]])),COLUMNS($F$7:N$7))))</f>
        <v/>
      </c>
      <c r="O194" s="2223" t="str" cm="1">
        <f t="array" ref="O194">IF($D194&lt;COLUMNS($F$7:O$7),"",INDEX(TableDiv[[GASB]:[GASB]],_xlfn.AGGREGATE(15,3,(TableDiv[[Agency]:[Agency]]=$E194)/(TableDiv[[Agency]:[Agency]]=$E194)*(ROW(TableDiv[Agency])-ROW(TableDiv[[#Headers],[Agency]])),COLUMNS($F$7:O$7))))</f>
        <v/>
      </c>
      <c r="P194" s="2223" t="str" cm="1">
        <f t="array" ref="P194">IF($D194&lt;COLUMNS($F$7:P$7),"",INDEX(TableDiv[[GASB]:[GASB]],_xlfn.AGGREGATE(15,3,(TableDiv[[Agency]:[Agency]]=$E194)/(TableDiv[[Agency]:[Agency]]=$E194)*(ROW(TableDiv[Agency])-ROW(TableDiv[[#Headers],[Agency]])),COLUMNS($F$7:P$7))))</f>
        <v/>
      </c>
      <c r="Q194" s="2223" t="str" cm="1">
        <f t="array" ref="Q194">IF($D194&lt;COLUMNS($F$7:Q$7),"",INDEX(TableDiv[[GASB]:[GASB]],_xlfn.AGGREGATE(15,3,(TableDiv[[Agency]:[Agency]]=$E194)/(TableDiv[[Agency]:[Agency]]=$E194)*(ROW(TableDiv[Agency])-ROW(TableDiv[[#Headers],[Agency]])),COLUMNS($F$7:Q$7))))</f>
        <v/>
      </c>
      <c r="R194" s="2223" t="str" cm="1">
        <f t="array" ref="R194">IF($D194&lt;COLUMNS($F$7:R$7),"",INDEX(TableDiv[[GASB]:[GASB]],_xlfn.AGGREGATE(15,3,(TableDiv[[Agency]:[Agency]]=$E194)/(TableDiv[[Agency]:[Agency]]=$E194)*(ROW(TableDiv[Agency])-ROW(TableDiv[[#Headers],[Agency]])),COLUMNS($F$7:R$7))))</f>
        <v/>
      </c>
      <c r="S194" s="2223" t="str" cm="1">
        <f t="array" ref="S194">IF($D194&lt;COLUMNS($F$7:S$7),"",INDEX(TableDiv[[GASB]:[GASB]],_xlfn.AGGREGATE(15,3,(TableDiv[[Agency]:[Agency]]=$E194)/(TableDiv[[Agency]:[Agency]]=$E194)*(ROW(TableDiv[Agency])-ROW(TableDiv[[#Headers],[Agency]])),COLUMNS($F$7:S$7))))</f>
        <v/>
      </c>
      <c r="T194" s="2223" t="str" cm="1">
        <f t="array" ref="T194">IF($D194&lt;COLUMNS($F$7:T$7),"",INDEX(TableDiv[[GASB]:[GASB]],_xlfn.AGGREGATE(15,3,(TableDiv[[Agency]:[Agency]]=$E194)/(TableDiv[[Agency]:[Agency]]=$E194)*(ROW(TableDiv[Agency])-ROW(TableDiv[[#Headers],[Agency]])),COLUMNS($F$7:T$7))))</f>
        <v/>
      </c>
      <c r="U194" s="2223" t="str" cm="1">
        <f t="array" ref="U194">IF($D194&lt;COLUMNS($F$7:U$7),"",INDEX(TableDiv[[GASB]:[GASB]],_xlfn.AGGREGATE(15,3,(TableDiv[[Agency]:[Agency]]=$E194)/(TableDiv[[Agency]:[Agency]]=$E194)*(ROW(TableDiv[Agency])-ROW(TableDiv[[#Headers],[Agency]])),COLUMNS($F$7:U$7))))</f>
        <v/>
      </c>
      <c r="V194" s="2223" t="str" cm="1">
        <f t="array" ref="V194">IF($D194&lt;COLUMNS($F$7:V$7),"",INDEX(TableDiv[[GASB]:[GASB]],_xlfn.AGGREGATE(15,3,(TableDiv[[Agency]:[Agency]]=$E194)/(TableDiv[[Agency]:[Agency]]=$E194)*(ROW(TableDiv[Agency])-ROW(TableDiv[[#Headers],[Agency]])),COLUMNS($F$7:V$7))))</f>
        <v/>
      </c>
      <c r="W194" s="2223" t="str" cm="1">
        <f t="array" ref="W194">IF($D194&lt;COLUMNS($F$7:W$7),"",INDEX(TableDiv[[GASB]:[GASB]],_xlfn.AGGREGATE(15,3,(TableDiv[[Agency]:[Agency]]=$E194)/(TableDiv[[Agency]:[Agency]]=$E194)*(ROW(TableDiv[Agency])-ROW(TableDiv[[#Headers],[Agency]])),COLUMNS($F$7:W$7))))</f>
        <v/>
      </c>
      <c r="X194" s="2223" t="str" cm="1">
        <f t="array" ref="X194">IF($D194&lt;COLUMNS($F$7:X$7),"",INDEX(TableDiv[[GASB]:[GASB]],_xlfn.AGGREGATE(15,3,(TableDiv[[Agency]:[Agency]]=$E194)/(TableDiv[[Agency]:[Agency]]=$E194)*(ROW(TableDiv[Agency])-ROW(TableDiv[[#Headers],[Agency]])),COLUMNS($F$7:X$7))))</f>
        <v/>
      </c>
      <c r="Y194" s="2223" t="str" cm="1">
        <f t="array" ref="Y194">IF($D194&lt;COLUMNS($F$7:Y$7),"",INDEX(TableDiv[[GASB]:[GASB]],_xlfn.AGGREGATE(15,3,(TableDiv[[Agency]:[Agency]]=$E194)/(TableDiv[[Agency]:[Agency]]=$E194)*(ROW(TableDiv[Agency])-ROW(TableDiv[[#Headers],[Agency]])),COLUMNS($F$7:Y$7))))</f>
        <v/>
      </c>
      <c r="Z194" s="2223" t="str" cm="1">
        <f t="array" ref="Z194">IF($D194&lt;COLUMNS($F$7:Z$7),"",INDEX(TableDiv[[GASB]:[GASB]],_xlfn.AGGREGATE(15,3,(TableDiv[[Agency]:[Agency]]=$E194)/(TableDiv[[Agency]:[Agency]]=$E194)*(ROW(TableDiv[Agency])-ROW(TableDiv[[#Headers],[Agency]])),COLUMNS($F$7:Z$7))))</f>
        <v/>
      </c>
      <c r="AA194" s="2223" t="str" cm="1">
        <f t="array" ref="AA194">IF($D194&lt;COLUMNS($F$7:AA$7),"",INDEX(TableDiv[[GASB]:[GASB]],_xlfn.AGGREGATE(15,3,(TableDiv[[Agency]:[Agency]]=$E194)/(TableDiv[[Agency]:[Agency]]=$E194)*(ROW(TableDiv[Agency])-ROW(TableDiv[[#Headers],[Agency]])),COLUMNS($F$7:AA$7))))</f>
        <v/>
      </c>
      <c r="AB194" s="2223" t="str" cm="1">
        <f t="array" ref="AB194">IF($D194&lt;COLUMNS($F$7:AB$7),"",INDEX(TableDiv[[GASB]:[GASB]],_xlfn.AGGREGATE(15,3,(TableDiv[[Agency]:[Agency]]=$E194)/(TableDiv[[Agency]:[Agency]]=$E194)*(ROW(TableDiv[Agency])-ROW(TableDiv[[#Headers],[Agency]])),COLUMNS($F$7:AB$7))))</f>
        <v/>
      </c>
      <c r="AC194" s="2223" t="str" cm="1">
        <f t="array" ref="AC194">IF($D194&lt;COLUMNS($F$7:AC$7),"",INDEX(TableDiv[[GASB]:[GASB]],_xlfn.AGGREGATE(15,3,(TableDiv[[Agency]:[Agency]]=$E194)/(TableDiv[[Agency]:[Agency]]=$E194)*(ROW(TableDiv[Agency])-ROW(TableDiv[[#Headers],[Agency]])),COLUMNS($F$7:AC$7))))</f>
        <v/>
      </c>
      <c r="AD194" s="2223" t="str" cm="1">
        <f t="array" ref="AD194">IF($D194&lt;COLUMNS($F$7:AD$7),"",INDEX(TableDiv[[GASB]:[GASB]],_xlfn.AGGREGATE(15,3,(TableDiv[[Agency]:[Agency]]=$E194)/(TableDiv[[Agency]:[Agency]]=$E194)*(ROW(TableDiv[Agency])-ROW(TableDiv[[#Headers],[Agency]])),COLUMNS($F$7:AD$7))))</f>
        <v/>
      </c>
      <c r="AE194" s="2223" t="str" cm="1">
        <f t="array" ref="AE194">IF($D194&lt;COLUMNS($F$7:AE$7),"",INDEX(TableDiv[[GASB]:[GASB]],_xlfn.AGGREGATE(15,3,(TableDiv[[Agency]:[Agency]]=$E194)/(TableDiv[[Agency]:[Agency]]=$E194)*(ROW(TableDiv[Agency])-ROW(TableDiv[[#Headers],[Agency]])),COLUMNS($F$7:AE$7))))</f>
        <v/>
      </c>
      <c r="AF194" s="2223" t="str" cm="1">
        <f t="array" ref="AF194">IF($D194&lt;COLUMNS($F$7:AF$7),"",INDEX(TableDiv[[GASB]:[GASB]],_xlfn.AGGREGATE(15,3,(TableDiv[[Agency]:[Agency]]=$E194)/(TableDiv[[Agency]:[Agency]]=$E194)*(ROW(TableDiv[Agency])-ROW(TableDiv[[#Headers],[Agency]])),COLUMNS($F$7:AF$7))))</f>
        <v/>
      </c>
      <c r="AG194" s="2223" t="str" cm="1">
        <f t="array" ref="AG194">IF($D194&lt;COLUMNS($F$7:AG$7),"",INDEX(TableDiv[[GASB]:[GASB]],_xlfn.AGGREGATE(15,3,(TableDiv[[Agency]:[Agency]]=$E194)/(TableDiv[[Agency]:[Agency]]=$E194)*(ROW(TableDiv[Agency])-ROW(TableDiv[[#Headers],[Agency]])),COLUMNS($F$7:AG$7))))</f>
        <v/>
      </c>
      <c r="AH194" s="2223" t="str" cm="1">
        <f t="array" ref="AH194">IF($D194&lt;COLUMNS($F$7:AH$7),"",INDEX(TableDiv[[GASB]:[GASB]],_xlfn.AGGREGATE(15,3,(TableDiv[[Agency]:[Agency]]=$E194)/(TableDiv[[Agency]:[Agency]]=$E194)*(ROW(TableDiv[Agency])-ROW(TableDiv[[#Headers],[Agency]])),COLUMNS($F$7:AH$7))))</f>
        <v/>
      </c>
      <c r="AI194" s="2223" t="str" cm="1">
        <f t="array" ref="AI194">IF($D194&lt;COLUMNS($F$7:AI$7),"",INDEX(TableDiv[[GASB]:[GASB]],_xlfn.AGGREGATE(15,3,(TableDiv[[Agency]:[Agency]]=$E194)/(TableDiv[[Agency]:[Agency]]=$E194)*(ROW(TableDiv[Agency])-ROW(TableDiv[[#Headers],[Agency]])),COLUMNS($F$7:AI$7))))</f>
        <v/>
      </c>
      <c r="AJ194" s="2223" t="str" cm="1">
        <f t="array" ref="AJ194">IF($D194&lt;COLUMNS($F$7:AJ$7),"",INDEX(TableDiv[[GASB]:[GASB]],_xlfn.AGGREGATE(15,3,(TableDiv[[Agency]:[Agency]]=$E194)/(TableDiv[[Agency]:[Agency]]=$E194)*(ROW(TableDiv[Agency])-ROW(TableDiv[[#Headers],[Agency]])),COLUMNS($F$7:AJ$7))))</f>
        <v/>
      </c>
      <c r="AK194" s="2223" t="str" cm="1">
        <f t="array" ref="AK194">IF($D194&lt;COLUMNS($F$7:AK$7),"",INDEX(TableDiv[[GASB]:[GASB]],_xlfn.AGGREGATE(15,3,(TableDiv[[Agency]:[Agency]]=$E194)/(TableDiv[[Agency]:[Agency]]=$E194)*(ROW(TableDiv[Agency])-ROW(TableDiv[[#Headers],[Agency]])),COLUMNS($F$7:AK$7))))</f>
        <v/>
      </c>
      <c r="AL194" s="2223" t="str" cm="1">
        <f t="array" ref="AL194">IF($D194&lt;COLUMNS($F$7:AL$7),"",INDEX(TableDiv[[GASB]:[GASB]],_xlfn.AGGREGATE(15,3,(TableDiv[[Agency]:[Agency]]=$E194)/(TableDiv[[Agency]:[Agency]]=$E194)*(ROW(TableDiv[Agency])-ROW(TableDiv[[#Headers],[Agency]])),COLUMNS($F$7:AL$7))))</f>
        <v/>
      </c>
      <c r="AM194" s="2223" t="str" cm="1">
        <f t="array" ref="AM194">IF($D194&lt;COLUMNS($F$7:AM$7),"",INDEX(TableDiv[[GASB]:[GASB]],_xlfn.AGGREGATE(15,3,(TableDiv[[Agency]:[Agency]]=$E194)/(TableDiv[[Agency]:[Agency]]=$E194)*(ROW(TableDiv[Agency])-ROW(TableDiv[[#Headers],[Agency]])),COLUMNS($F$7:AM$7))))</f>
        <v/>
      </c>
      <c r="AN194" s="2223"/>
      <c r="AO194" s="2223"/>
      <c r="AP194" s="2223"/>
      <c r="AQ194" s="2223"/>
      <c r="AR194" s="2223"/>
      <c r="AS194" s="2223"/>
    </row>
    <row r="195" spans="1:45" ht="15" x14ac:dyDescent="0.25">
      <c r="A195" s="2219" t="s">
        <v>6448</v>
      </c>
      <c r="B195" s="2219" t="s">
        <v>6357</v>
      </c>
      <c r="C195" s="2223"/>
      <c r="D195" s="2223">
        <f>COUNTIF(TableDiv[Agency],E195)</f>
        <v>1</v>
      </c>
      <c r="E195" s="2230" t="str" cm="1">
        <f t="array" ref="E195">IFERROR(INDEX(TableDiv[Agency],MATCH(0,INDEX(COUNTIF($E$7:E194,TableDiv[Agency]),),0)),"")</f>
        <v>ZB00</v>
      </c>
      <c r="F195" s="2223" t="str" cm="1">
        <f t="array" ref="F195">IF($D195&lt;COLUMNS($F$7:F$7),"",INDEX(TableDiv[[GASB]:[GASB]],_xlfn.AGGREGATE(15,3,(TableDiv[[Agency]:[Agency]]=$E195)/(TableDiv[[Agency]:[Agency]]=$E195)*(ROW(TableDiv[Agency])-ROW(TableDiv[[#Headers],[Agency]])),COLUMNS($F$7:F$7))))</f>
        <v>26200G</v>
      </c>
      <c r="G195" s="2223" t="str" cm="1">
        <f t="array" ref="G195">IF($D195&lt;COLUMNS($F$7:G$7),"",INDEX(TableDiv[[GASB]:[GASB]],_xlfn.AGGREGATE(15,3,(TableDiv[[Agency]:[Agency]]=$E195)/(TableDiv[[Agency]:[Agency]]=$E195)*(ROW(TableDiv[Agency])-ROW(TableDiv[[#Headers],[Agency]])),COLUMNS($F$7:G$7))))</f>
        <v/>
      </c>
      <c r="H195" s="2223" t="str" cm="1">
        <f t="array" ref="H195">IF($D195&lt;COLUMNS($F$7:H$7),"",INDEX(TableDiv[[GASB]:[GASB]],_xlfn.AGGREGATE(15,3,(TableDiv[[Agency]:[Agency]]=$E195)/(TableDiv[[Agency]:[Agency]]=$E195)*(ROW(TableDiv[Agency])-ROW(TableDiv[[#Headers],[Agency]])),COLUMNS($F$7:H$7))))</f>
        <v/>
      </c>
      <c r="I195" s="2223" t="str" cm="1">
        <f t="array" ref="I195">IF($D195&lt;COLUMNS($F$7:I$7),"",INDEX(TableDiv[[GASB]:[GASB]],_xlfn.AGGREGATE(15,3,(TableDiv[[Agency]:[Agency]]=$E195)/(TableDiv[[Agency]:[Agency]]=$E195)*(ROW(TableDiv[Agency])-ROW(TableDiv[[#Headers],[Agency]])),COLUMNS($F$7:I$7))))</f>
        <v/>
      </c>
      <c r="J195" s="2223" t="str" cm="1">
        <f t="array" ref="J195">IF($D195&lt;COLUMNS($F$7:J$7),"",INDEX(TableDiv[[GASB]:[GASB]],_xlfn.AGGREGATE(15,3,(TableDiv[[Agency]:[Agency]]=$E195)/(TableDiv[[Agency]:[Agency]]=$E195)*(ROW(TableDiv[Agency])-ROW(TableDiv[[#Headers],[Agency]])),COLUMNS($F$7:J$7))))</f>
        <v/>
      </c>
      <c r="K195" s="2223" t="str" cm="1">
        <f t="array" ref="K195">IF($D195&lt;COLUMNS($F$7:K$7),"",INDEX(TableDiv[[GASB]:[GASB]],_xlfn.AGGREGATE(15,3,(TableDiv[[Agency]:[Agency]]=$E195)/(TableDiv[[Agency]:[Agency]]=$E195)*(ROW(TableDiv[Agency])-ROW(TableDiv[[#Headers],[Agency]])),COLUMNS($F$7:K$7))))</f>
        <v/>
      </c>
      <c r="L195" s="2223" t="str" cm="1">
        <f t="array" ref="L195">IF($D195&lt;COLUMNS($F$7:L$7),"",INDEX(TableDiv[[GASB]:[GASB]],_xlfn.AGGREGATE(15,3,(TableDiv[[Agency]:[Agency]]=$E195)/(TableDiv[[Agency]:[Agency]]=$E195)*(ROW(TableDiv[Agency])-ROW(TableDiv[[#Headers],[Agency]])),COLUMNS($F$7:L$7))))</f>
        <v/>
      </c>
      <c r="M195" s="2223" t="str" cm="1">
        <f t="array" ref="M195">IF($D195&lt;COLUMNS($F$7:M$7),"",INDEX(TableDiv[[GASB]:[GASB]],_xlfn.AGGREGATE(15,3,(TableDiv[[Agency]:[Agency]]=$E195)/(TableDiv[[Agency]:[Agency]]=$E195)*(ROW(TableDiv[Agency])-ROW(TableDiv[[#Headers],[Agency]])),COLUMNS($F$7:M$7))))</f>
        <v/>
      </c>
      <c r="N195" s="2223" t="str" cm="1">
        <f t="array" ref="N195">IF($D195&lt;COLUMNS($F$7:N$7),"",INDEX(TableDiv[[GASB]:[GASB]],_xlfn.AGGREGATE(15,3,(TableDiv[[Agency]:[Agency]]=$E195)/(TableDiv[[Agency]:[Agency]]=$E195)*(ROW(TableDiv[Agency])-ROW(TableDiv[[#Headers],[Agency]])),COLUMNS($F$7:N$7))))</f>
        <v/>
      </c>
      <c r="O195" s="2223" t="str" cm="1">
        <f t="array" ref="O195">IF($D195&lt;COLUMNS($F$7:O$7),"",INDEX(TableDiv[[GASB]:[GASB]],_xlfn.AGGREGATE(15,3,(TableDiv[[Agency]:[Agency]]=$E195)/(TableDiv[[Agency]:[Agency]]=$E195)*(ROW(TableDiv[Agency])-ROW(TableDiv[[#Headers],[Agency]])),COLUMNS($F$7:O$7))))</f>
        <v/>
      </c>
      <c r="P195" s="2223" t="str" cm="1">
        <f t="array" ref="P195">IF($D195&lt;COLUMNS($F$7:P$7),"",INDEX(TableDiv[[GASB]:[GASB]],_xlfn.AGGREGATE(15,3,(TableDiv[[Agency]:[Agency]]=$E195)/(TableDiv[[Agency]:[Agency]]=$E195)*(ROW(TableDiv[Agency])-ROW(TableDiv[[#Headers],[Agency]])),COLUMNS($F$7:P$7))))</f>
        <v/>
      </c>
      <c r="Q195" s="2223" t="str" cm="1">
        <f t="array" ref="Q195">IF($D195&lt;COLUMNS($F$7:Q$7),"",INDEX(TableDiv[[GASB]:[GASB]],_xlfn.AGGREGATE(15,3,(TableDiv[[Agency]:[Agency]]=$E195)/(TableDiv[[Agency]:[Agency]]=$E195)*(ROW(TableDiv[Agency])-ROW(TableDiv[[#Headers],[Agency]])),COLUMNS($F$7:Q$7))))</f>
        <v/>
      </c>
      <c r="R195" s="2223" t="str" cm="1">
        <f t="array" ref="R195">IF($D195&lt;COLUMNS($F$7:R$7),"",INDEX(TableDiv[[GASB]:[GASB]],_xlfn.AGGREGATE(15,3,(TableDiv[[Agency]:[Agency]]=$E195)/(TableDiv[[Agency]:[Agency]]=$E195)*(ROW(TableDiv[Agency])-ROW(TableDiv[[#Headers],[Agency]])),COLUMNS($F$7:R$7))))</f>
        <v/>
      </c>
      <c r="S195" s="2223" t="str" cm="1">
        <f t="array" ref="S195">IF($D195&lt;COLUMNS($F$7:S$7),"",INDEX(TableDiv[[GASB]:[GASB]],_xlfn.AGGREGATE(15,3,(TableDiv[[Agency]:[Agency]]=$E195)/(TableDiv[[Agency]:[Agency]]=$E195)*(ROW(TableDiv[Agency])-ROW(TableDiv[[#Headers],[Agency]])),COLUMNS($F$7:S$7))))</f>
        <v/>
      </c>
      <c r="T195" s="2223" t="str" cm="1">
        <f t="array" ref="T195">IF($D195&lt;COLUMNS($F$7:T$7),"",INDEX(TableDiv[[GASB]:[GASB]],_xlfn.AGGREGATE(15,3,(TableDiv[[Agency]:[Agency]]=$E195)/(TableDiv[[Agency]:[Agency]]=$E195)*(ROW(TableDiv[Agency])-ROW(TableDiv[[#Headers],[Agency]])),COLUMNS($F$7:T$7))))</f>
        <v/>
      </c>
      <c r="U195" s="2223" t="str" cm="1">
        <f t="array" ref="U195">IF($D195&lt;COLUMNS($F$7:U$7),"",INDEX(TableDiv[[GASB]:[GASB]],_xlfn.AGGREGATE(15,3,(TableDiv[[Agency]:[Agency]]=$E195)/(TableDiv[[Agency]:[Agency]]=$E195)*(ROW(TableDiv[Agency])-ROW(TableDiv[[#Headers],[Agency]])),COLUMNS($F$7:U$7))))</f>
        <v/>
      </c>
      <c r="V195" s="2223" t="str" cm="1">
        <f t="array" ref="V195">IF($D195&lt;COLUMNS($F$7:V$7),"",INDEX(TableDiv[[GASB]:[GASB]],_xlfn.AGGREGATE(15,3,(TableDiv[[Agency]:[Agency]]=$E195)/(TableDiv[[Agency]:[Agency]]=$E195)*(ROW(TableDiv[Agency])-ROW(TableDiv[[#Headers],[Agency]])),COLUMNS($F$7:V$7))))</f>
        <v/>
      </c>
      <c r="W195" s="2223" t="str" cm="1">
        <f t="array" ref="W195">IF($D195&lt;COLUMNS($F$7:W$7),"",INDEX(TableDiv[[GASB]:[GASB]],_xlfn.AGGREGATE(15,3,(TableDiv[[Agency]:[Agency]]=$E195)/(TableDiv[[Agency]:[Agency]]=$E195)*(ROW(TableDiv[Agency])-ROW(TableDiv[[#Headers],[Agency]])),COLUMNS($F$7:W$7))))</f>
        <v/>
      </c>
      <c r="X195" s="2223" t="str" cm="1">
        <f t="array" ref="X195">IF($D195&lt;COLUMNS($F$7:X$7),"",INDEX(TableDiv[[GASB]:[GASB]],_xlfn.AGGREGATE(15,3,(TableDiv[[Agency]:[Agency]]=$E195)/(TableDiv[[Agency]:[Agency]]=$E195)*(ROW(TableDiv[Agency])-ROW(TableDiv[[#Headers],[Agency]])),COLUMNS($F$7:X$7))))</f>
        <v/>
      </c>
      <c r="Y195" s="2223" t="str" cm="1">
        <f t="array" ref="Y195">IF($D195&lt;COLUMNS($F$7:Y$7),"",INDEX(TableDiv[[GASB]:[GASB]],_xlfn.AGGREGATE(15,3,(TableDiv[[Agency]:[Agency]]=$E195)/(TableDiv[[Agency]:[Agency]]=$E195)*(ROW(TableDiv[Agency])-ROW(TableDiv[[#Headers],[Agency]])),COLUMNS($F$7:Y$7))))</f>
        <v/>
      </c>
      <c r="Z195" s="2223" t="str" cm="1">
        <f t="array" ref="Z195">IF($D195&lt;COLUMNS($F$7:Z$7),"",INDEX(TableDiv[[GASB]:[GASB]],_xlfn.AGGREGATE(15,3,(TableDiv[[Agency]:[Agency]]=$E195)/(TableDiv[[Agency]:[Agency]]=$E195)*(ROW(TableDiv[Agency])-ROW(TableDiv[[#Headers],[Agency]])),COLUMNS($F$7:Z$7))))</f>
        <v/>
      </c>
      <c r="AA195" s="2223" t="str" cm="1">
        <f t="array" ref="AA195">IF($D195&lt;COLUMNS($F$7:AA$7),"",INDEX(TableDiv[[GASB]:[GASB]],_xlfn.AGGREGATE(15,3,(TableDiv[[Agency]:[Agency]]=$E195)/(TableDiv[[Agency]:[Agency]]=$E195)*(ROW(TableDiv[Agency])-ROW(TableDiv[[#Headers],[Agency]])),COLUMNS($F$7:AA$7))))</f>
        <v/>
      </c>
      <c r="AB195" s="2223" t="str" cm="1">
        <f t="array" ref="AB195">IF($D195&lt;COLUMNS($F$7:AB$7),"",INDEX(TableDiv[[GASB]:[GASB]],_xlfn.AGGREGATE(15,3,(TableDiv[[Agency]:[Agency]]=$E195)/(TableDiv[[Agency]:[Agency]]=$E195)*(ROW(TableDiv[Agency])-ROW(TableDiv[[#Headers],[Agency]])),COLUMNS($F$7:AB$7))))</f>
        <v/>
      </c>
      <c r="AC195" s="2223" t="str" cm="1">
        <f t="array" ref="AC195">IF($D195&lt;COLUMNS($F$7:AC$7),"",INDEX(TableDiv[[GASB]:[GASB]],_xlfn.AGGREGATE(15,3,(TableDiv[[Agency]:[Agency]]=$E195)/(TableDiv[[Agency]:[Agency]]=$E195)*(ROW(TableDiv[Agency])-ROW(TableDiv[[#Headers],[Agency]])),COLUMNS($F$7:AC$7))))</f>
        <v/>
      </c>
      <c r="AD195" s="2223" t="str" cm="1">
        <f t="array" ref="AD195">IF($D195&lt;COLUMNS($F$7:AD$7),"",INDEX(TableDiv[[GASB]:[GASB]],_xlfn.AGGREGATE(15,3,(TableDiv[[Agency]:[Agency]]=$E195)/(TableDiv[[Agency]:[Agency]]=$E195)*(ROW(TableDiv[Agency])-ROW(TableDiv[[#Headers],[Agency]])),COLUMNS($F$7:AD$7))))</f>
        <v/>
      </c>
      <c r="AE195" s="2223" t="str" cm="1">
        <f t="array" ref="AE195">IF($D195&lt;COLUMNS($F$7:AE$7),"",INDEX(TableDiv[[GASB]:[GASB]],_xlfn.AGGREGATE(15,3,(TableDiv[[Agency]:[Agency]]=$E195)/(TableDiv[[Agency]:[Agency]]=$E195)*(ROW(TableDiv[Agency])-ROW(TableDiv[[#Headers],[Agency]])),COLUMNS($F$7:AE$7))))</f>
        <v/>
      </c>
      <c r="AF195" s="2223" t="str" cm="1">
        <f t="array" ref="AF195">IF($D195&lt;COLUMNS($F$7:AF$7),"",INDEX(TableDiv[[GASB]:[GASB]],_xlfn.AGGREGATE(15,3,(TableDiv[[Agency]:[Agency]]=$E195)/(TableDiv[[Agency]:[Agency]]=$E195)*(ROW(TableDiv[Agency])-ROW(TableDiv[[#Headers],[Agency]])),COLUMNS($F$7:AF$7))))</f>
        <v/>
      </c>
      <c r="AG195" s="2223" t="str" cm="1">
        <f t="array" ref="AG195">IF($D195&lt;COLUMNS($F$7:AG$7),"",INDEX(TableDiv[[GASB]:[GASB]],_xlfn.AGGREGATE(15,3,(TableDiv[[Agency]:[Agency]]=$E195)/(TableDiv[[Agency]:[Agency]]=$E195)*(ROW(TableDiv[Agency])-ROW(TableDiv[[#Headers],[Agency]])),COLUMNS($F$7:AG$7))))</f>
        <v/>
      </c>
      <c r="AH195" s="2223" t="str" cm="1">
        <f t="array" ref="AH195">IF($D195&lt;COLUMNS($F$7:AH$7),"",INDEX(TableDiv[[GASB]:[GASB]],_xlfn.AGGREGATE(15,3,(TableDiv[[Agency]:[Agency]]=$E195)/(TableDiv[[Agency]:[Agency]]=$E195)*(ROW(TableDiv[Agency])-ROW(TableDiv[[#Headers],[Agency]])),COLUMNS($F$7:AH$7))))</f>
        <v/>
      </c>
      <c r="AI195" s="2223" t="str" cm="1">
        <f t="array" ref="AI195">IF($D195&lt;COLUMNS($F$7:AI$7),"",INDEX(TableDiv[[GASB]:[GASB]],_xlfn.AGGREGATE(15,3,(TableDiv[[Agency]:[Agency]]=$E195)/(TableDiv[[Agency]:[Agency]]=$E195)*(ROW(TableDiv[Agency])-ROW(TableDiv[[#Headers],[Agency]])),COLUMNS($F$7:AI$7))))</f>
        <v/>
      </c>
      <c r="AJ195" s="2223" t="str" cm="1">
        <f t="array" ref="AJ195">IF($D195&lt;COLUMNS($F$7:AJ$7),"",INDEX(TableDiv[[GASB]:[GASB]],_xlfn.AGGREGATE(15,3,(TableDiv[[Agency]:[Agency]]=$E195)/(TableDiv[[Agency]:[Agency]]=$E195)*(ROW(TableDiv[Agency])-ROW(TableDiv[[#Headers],[Agency]])),COLUMNS($F$7:AJ$7))))</f>
        <v/>
      </c>
      <c r="AK195" s="2223" t="str" cm="1">
        <f t="array" ref="AK195">IF($D195&lt;COLUMNS($F$7:AK$7),"",INDEX(TableDiv[[GASB]:[GASB]],_xlfn.AGGREGATE(15,3,(TableDiv[[Agency]:[Agency]]=$E195)/(TableDiv[[Agency]:[Agency]]=$E195)*(ROW(TableDiv[Agency])-ROW(TableDiv[[#Headers],[Agency]])),COLUMNS($F$7:AK$7))))</f>
        <v/>
      </c>
      <c r="AL195" s="2223" t="str" cm="1">
        <f t="array" ref="AL195">IF($D195&lt;COLUMNS($F$7:AL$7),"",INDEX(TableDiv[[GASB]:[GASB]],_xlfn.AGGREGATE(15,3,(TableDiv[[Agency]:[Agency]]=$E195)/(TableDiv[[Agency]:[Agency]]=$E195)*(ROW(TableDiv[Agency])-ROW(TableDiv[[#Headers],[Agency]])),COLUMNS($F$7:AL$7))))</f>
        <v/>
      </c>
      <c r="AM195" s="2223" t="str" cm="1">
        <f t="array" ref="AM195">IF($D195&lt;COLUMNS($F$7:AM$7),"",INDEX(TableDiv[[GASB]:[GASB]],_xlfn.AGGREGATE(15,3,(TableDiv[[Agency]:[Agency]]=$E195)/(TableDiv[[Agency]:[Agency]]=$E195)*(ROW(TableDiv[Agency])-ROW(TableDiv[[#Headers],[Agency]])),COLUMNS($F$7:AM$7))))</f>
        <v/>
      </c>
      <c r="AN195" s="2223"/>
      <c r="AO195" s="2223"/>
      <c r="AP195" s="2223"/>
      <c r="AQ195" s="2223"/>
      <c r="AR195" s="2223"/>
      <c r="AS195" s="2223"/>
    </row>
    <row r="196" spans="1:45" ht="15" x14ac:dyDescent="0.25">
      <c r="A196" s="2219" t="s">
        <v>6448</v>
      </c>
      <c r="B196" s="2219" t="s">
        <v>1878</v>
      </c>
      <c r="C196" s="2223"/>
      <c r="D196" s="2223">
        <f>COUNTIF(TableDiv[Agency],E196)</f>
        <v>1</v>
      </c>
      <c r="E196" s="2230" t="str" cm="1">
        <f t="array" ref="E196">IFERROR(INDEX(TableDiv[Agency],MATCH(0,INDEX(COUNTIF($E$7:E195,TableDiv[Agency]),),0)),"")</f>
        <v>0A00</v>
      </c>
      <c r="F196" s="2223" t="str" cm="1">
        <f t="array" ref="F196">IF($D196&lt;COLUMNS($F$7:F$7),"",INDEX(TableDiv[[GASB]:[GASB]],_xlfn.AGGREGATE(15,3,(TableDiv[[Agency]:[Agency]]=$E196)/(TableDiv[[Agency]:[Agency]]=$E196)*(ROW(TableDiv[Agency])-ROW(TableDiv[[#Headers],[Agency]])),COLUMNS($F$7:F$7))))</f>
        <v>26110G</v>
      </c>
      <c r="G196" s="2223" t="str" cm="1">
        <f t="array" ref="G196">IF($D196&lt;COLUMNS($F$7:G$7),"",INDEX(TableDiv[[GASB]:[GASB]],_xlfn.AGGREGATE(15,3,(TableDiv[[Agency]:[Agency]]=$E196)/(TableDiv[[Agency]:[Agency]]=$E196)*(ROW(TableDiv[Agency])-ROW(TableDiv[[#Headers],[Agency]])),COLUMNS($F$7:G$7))))</f>
        <v/>
      </c>
      <c r="H196" s="2223" t="str" cm="1">
        <f t="array" ref="H196">IF($D196&lt;COLUMNS($F$7:H$7),"",INDEX(TableDiv[[GASB]:[GASB]],_xlfn.AGGREGATE(15,3,(TableDiv[[Agency]:[Agency]]=$E196)/(TableDiv[[Agency]:[Agency]]=$E196)*(ROW(TableDiv[Agency])-ROW(TableDiv[[#Headers],[Agency]])),COLUMNS($F$7:H$7))))</f>
        <v/>
      </c>
      <c r="I196" s="2223" t="str" cm="1">
        <f t="array" ref="I196">IF($D196&lt;COLUMNS($F$7:I$7),"",INDEX(TableDiv[[GASB]:[GASB]],_xlfn.AGGREGATE(15,3,(TableDiv[[Agency]:[Agency]]=$E196)/(TableDiv[[Agency]:[Agency]]=$E196)*(ROW(TableDiv[Agency])-ROW(TableDiv[[#Headers],[Agency]])),COLUMNS($F$7:I$7))))</f>
        <v/>
      </c>
      <c r="J196" s="2223" t="str" cm="1">
        <f t="array" ref="J196">IF($D196&lt;COLUMNS($F$7:J$7),"",INDEX(TableDiv[[GASB]:[GASB]],_xlfn.AGGREGATE(15,3,(TableDiv[[Agency]:[Agency]]=$E196)/(TableDiv[[Agency]:[Agency]]=$E196)*(ROW(TableDiv[Agency])-ROW(TableDiv[[#Headers],[Agency]])),COLUMNS($F$7:J$7))))</f>
        <v/>
      </c>
      <c r="K196" s="2223" t="str" cm="1">
        <f t="array" ref="K196">IF($D196&lt;COLUMNS($F$7:K$7),"",INDEX(TableDiv[[GASB]:[GASB]],_xlfn.AGGREGATE(15,3,(TableDiv[[Agency]:[Agency]]=$E196)/(TableDiv[[Agency]:[Agency]]=$E196)*(ROW(TableDiv[Agency])-ROW(TableDiv[[#Headers],[Agency]])),COLUMNS($F$7:K$7))))</f>
        <v/>
      </c>
      <c r="L196" s="2223" t="str" cm="1">
        <f t="array" ref="L196">IF($D196&lt;COLUMNS($F$7:L$7),"",INDEX(TableDiv[[GASB]:[GASB]],_xlfn.AGGREGATE(15,3,(TableDiv[[Agency]:[Agency]]=$E196)/(TableDiv[[Agency]:[Agency]]=$E196)*(ROW(TableDiv[Agency])-ROW(TableDiv[[#Headers],[Agency]])),COLUMNS($F$7:L$7))))</f>
        <v/>
      </c>
      <c r="M196" s="2223" t="str" cm="1">
        <f t="array" ref="M196">IF($D196&lt;COLUMNS($F$7:M$7),"",INDEX(TableDiv[[GASB]:[GASB]],_xlfn.AGGREGATE(15,3,(TableDiv[[Agency]:[Agency]]=$E196)/(TableDiv[[Agency]:[Agency]]=$E196)*(ROW(TableDiv[Agency])-ROW(TableDiv[[#Headers],[Agency]])),COLUMNS($F$7:M$7))))</f>
        <v/>
      </c>
      <c r="N196" s="2223" t="str" cm="1">
        <f t="array" ref="N196">IF($D196&lt;COLUMNS($F$7:N$7),"",INDEX(TableDiv[[GASB]:[GASB]],_xlfn.AGGREGATE(15,3,(TableDiv[[Agency]:[Agency]]=$E196)/(TableDiv[[Agency]:[Agency]]=$E196)*(ROW(TableDiv[Agency])-ROW(TableDiv[[#Headers],[Agency]])),COLUMNS($F$7:N$7))))</f>
        <v/>
      </c>
      <c r="O196" s="2223" t="str" cm="1">
        <f t="array" ref="O196">IF($D196&lt;COLUMNS($F$7:O$7),"",INDEX(TableDiv[[GASB]:[GASB]],_xlfn.AGGREGATE(15,3,(TableDiv[[Agency]:[Agency]]=$E196)/(TableDiv[[Agency]:[Agency]]=$E196)*(ROW(TableDiv[Agency])-ROW(TableDiv[[#Headers],[Agency]])),COLUMNS($F$7:O$7))))</f>
        <v/>
      </c>
      <c r="P196" s="2223" t="str" cm="1">
        <f t="array" ref="P196">IF($D196&lt;COLUMNS($F$7:P$7),"",INDEX(TableDiv[[GASB]:[GASB]],_xlfn.AGGREGATE(15,3,(TableDiv[[Agency]:[Agency]]=$E196)/(TableDiv[[Agency]:[Agency]]=$E196)*(ROW(TableDiv[Agency])-ROW(TableDiv[[#Headers],[Agency]])),COLUMNS($F$7:P$7))))</f>
        <v/>
      </c>
      <c r="Q196" s="2223" t="str" cm="1">
        <f t="array" ref="Q196">IF($D196&lt;COLUMNS($F$7:Q$7),"",INDEX(TableDiv[[GASB]:[GASB]],_xlfn.AGGREGATE(15,3,(TableDiv[[Agency]:[Agency]]=$E196)/(TableDiv[[Agency]:[Agency]]=$E196)*(ROW(TableDiv[Agency])-ROW(TableDiv[[#Headers],[Agency]])),COLUMNS($F$7:Q$7))))</f>
        <v/>
      </c>
      <c r="R196" s="2223" t="str" cm="1">
        <f t="array" ref="R196">IF($D196&lt;COLUMNS($F$7:R$7),"",INDEX(TableDiv[[GASB]:[GASB]],_xlfn.AGGREGATE(15,3,(TableDiv[[Agency]:[Agency]]=$E196)/(TableDiv[[Agency]:[Agency]]=$E196)*(ROW(TableDiv[Agency])-ROW(TableDiv[[#Headers],[Agency]])),COLUMNS($F$7:R$7))))</f>
        <v/>
      </c>
      <c r="S196" s="2223" t="str" cm="1">
        <f t="array" ref="S196">IF($D196&lt;COLUMNS($F$7:S$7),"",INDEX(TableDiv[[GASB]:[GASB]],_xlfn.AGGREGATE(15,3,(TableDiv[[Agency]:[Agency]]=$E196)/(TableDiv[[Agency]:[Agency]]=$E196)*(ROW(TableDiv[Agency])-ROW(TableDiv[[#Headers],[Agency]])),COLUMNS($F$7:S$7))))</f>
        <v/>
      </c>
      <c r="T196" s="2223" t="str" cm="1">
        <f t="array" ref="T196">IF($D196&lt;COLUMNS($F$7:T$7),"",INDEX(TableDiv[[GASB]:[GASB]],_xlfn.AGGREGATE(15,3,(TableDiv[[Agency]:[Agency]]=$E196)/(TableDiv[[Agency]:[Agency]]=$E196)*(ROW(TableDiv[Agency])-ROW(TableDiv[[#Headers],[Agency]])),COLUMNS($F$7:T$7))))</f>
        <v/>
      </c>
      <c r="U196" s="2223" t="str" cm="1">
        <f t="array" ref="U196">IF($D196&lt;COLUMNS($F$7:U$7),"",INDEX(TableDiv[[GASB]:[GASB]],_xlfn.AGGREGATE(15,3,(TableDiv[[Agency]:[Agency]]=$E196)/(TableDiv[[Agency]:[Agency]]=$E196)*(ROW(TableDiv[Agency])-ROW(TableDiv[[#Headers],[Agency]])),COLUMNS($F$7:U$7))))</f>
        <v/>
      </c>
      <c r="V196" s="2223" t="str" cm="1">
        <f t="array" ref="V196">IF($D196&lt;COLUMNS($F$7:V$7),"",INDEX(TableDiv[[GASB]:[GASB]],_xlfn.AGGREGATE(15,3,(TableDiv[[Agency]:[Agency]]=$E196)/(TableDiv[[Agency]:[Agency]]=$E196)*(ROW(TableDiv[Agency])-ROW(TableDiv[[#Headers],[Agency]])),COLUMNS($F$7:V$7))))</f>
        <v/>
      </c>
      <c r="W196" s="2223" t="str" cm="1">
        <f t="array" ref="W196">IF($D196&lt;COLUMNS($F$7:W$7),"",INDEX(TableDiv[[GASB]:[GASB]],_xlfn.AGGREGATE(15,3,(TableDiv[[Agency]:[Agency]]=$E196)/(TableDiv[[Agency]:[Agency]]=$E196)*(ROW(TableDiv[Agency])-ROW(TableDiv[[#Headers],[Agency]])),COLUMNS($F$7:W$7))))</f>
        <v/>
      </c>
      <c r="X196" s="2223" t="str" cm="1">
        <f t="array" ref="X196">IF($D196&lt;COLUMNS($F$7:X$7),"",INDEX(TableDiv[[GASB]:[GASB]],_xlfn.AGGREGATE(15,3,(TableDiv[[Agency]:[Agency]]=$E196)/(TableDiv[[Agency]:[Agency]]=$E196)*(ROW(TableDiv[Agency])-ROW(TableDiv[[#Headers],[Agency]])),COLUMNS($F$7:X$7))))</f>
        <v/>
      </c>
      <c r="Y196" s="2223" t="str" cm="1">
        <f t="array" ref="Y196">IF($D196&lt;COLUMNS($F$7:Y$7),"",INDEX(TableDiv[[GASB]:[GASB]],_xlfn.AGGREGATE(15,3,(TableDiv[[Agency]:[Agency]]=$E196)/(TableDiv[[Agency]:[Agency]]=$E196)*(ROW(TableDiv[Agency])-ROW(TableDiv[[#Headers],[Agency]])),COLUMNS($F$7:Y$7))))</f>
        <v/>
      </c>
      <c r="Z196" s="2223" t="str" cm="1">
        <f t="array" ref="Z196">IF($D196&lt;COLUMNS($F$7:Z$7),"",INDEX(TableDiv[[GASB]:[GASB]],_xlfn.AGGREGATE(15,3,(TableDiv[[Agency]:[Agency]]=$E196)/(TableDiv[[Agency]:[Agency]]=$E196)*(ROW(TableDiv[Agency])-ROW(TableDiv[[#Headers],[Agency]])),COLUMNS($F$7:Z$7))))</f>
        <v/>
      </c>
      <c r="AA196" s="2223" t="str" cm="1">
        <f t="array" ref="AA196">IF($D196&lt;COLUMNS($F$7:AA$7),"",INDEX(TableDiv[[GASB]:[GASB]],_xlfn.AGGREGATE(15,3,(TableDiv[[Agency]:[Agency]]=$E196)/(TableDiv[[Agency]:[Agency]]=$E196)*(ROW(TableDiv[Agency])-ROW(TableDiv[[#Headers],[Agency]])),COLUMNS($F$7:AA$7))))</f>
        <v/>
      </c>
      <c r="AB196" s="2223" t="str" cm="1">
        <f t="array" ref="AB196">IF($D196&lt;COLUMNS($F$7:AB$7),"",INDEX(TableDiv[[GASB]:[GASB]],_xlfn.AGGREGATE(15,3,(TableDiv[[Agency]:[Agency]]=$E196)/(TableDiv[[Agency]:[Agency]]=$E196)*(ROW(TableDiv[Agency])-ROW(TableDiv[[#Headers],[Agency]])),COLUMNS($F$7:AB$7))))</f>
        <v/>
      </c>
      <c r="AC196" s="2223" t="str" cm="1">
        <f t="array" ref="AC196">IF($D196&lt;COLUMNS($F$7:AC$7),"",INDEX(TableDiv[[GASB]:[GASB]],_xlfn.AGGREGATE(15,3,(TableDiv[[Agency]:[Agency]]=$E196)/(TableDiv[[Agency]:[Agency]]=$E196)*(ROW(TableDiv[Agency])-ROW(TableDiv[[#Headers],[Agency]])),COLUMNS($F$7:AC$7))))</f>
        <v/>
      </c>
      <c r="AD196" s="2223" t="str" cm="1">
        <f t="array" ref="AD196">IF($D196&lt;COLUMNS($F$7:AD$7),"",INDEX(TableDiv[[GASB]:[GASB]],_xlfn.AGGREGATE(15,3,(TableDiv[[Agency]:[Agency]]=$E196)/(TableDiv[[Agency]:[Agency]]=$E196)*(ROW(TableDiv[Agency])-ROW(TableDiv[[#Headers],[Agency]])),COLUMNS($F$7:AD$7))))</f>
        <v/>
      </c>
      <c r="AE196" s="2223" t="str" cm="1">
        <f t="array" ref="AE196">IF($D196&lt;COLUMNS($F$7:AE$7),"",INDEX(TableDiv[[GASB]:[GASB]],_xlfn.AGGREGATE(15,3,(TableDiv[[Agency]:[Agency]]=$E196)/(TableDiv[[Agency]:[Agency]]=$E196)*(ROW(TableDiv[Agency])-ROW(TableDiv[[#Headers],[Agency]])),COLUMNS($F$7:AE$7))))</f>
        <v/>
      </c>
      <c r="AF196" s="2223" t="str" cm="1">
        <f t="array" ref="AF196">IF($D196&lt;COLUMNS($F$7:AF$7),"",INDEX(TableDiv[[GASB]:[GASB]],_xlfn.AGGREGATE(15,3,(TableDiv[[Agency]:[Agency]]=$E196)/(TableDiv[[Agency]:[Agency]]=$E196)*(ROW(TableDiv[Agency])-ROW(TableDiv[[#Headers],[Agency]])),COLUMNS($F$7:AF$7))))</f>
        <v/>
      </c>
      <c r="AG196" s="2223" t="str" cm="1">
        <f t="array" ref="AG196">IF($D196&lt;COLUMNS($F$7:AG$7),"",INDEX(TableDiv[[GASB]:[GASB]],_xlfn.AGGREGATE(15,3,(TableDiv[[Agency]:[Agency]]=$E196)/(TableDiv[[Agency]:[Agency]]=$E196)*(ROW(TableDiv[Agency])-ROW(TableDiv[[#Headers],[Agency]])),COLUMNS($F$7:AG$7))))</f>
        <v/>
      </c>
      <c r="AH196" s="2223" t="str" cm="1">
        <f t="array" ref="AH196">IF($D196&lt;COLUMNS($F$7:AH$7),"",INDEX(TableDiv[[GASB]:[GASB]],_xlfn.AGGREGATE(15,3,(TableDiv[[Agency]:[Agency]]=$E196)/(TableDiv[[Agency]:[Agency]]=$E196)*(ROW(TableDiv[Agency])-ROW(TableDiv[[#Headers],[Agency]])),COLUMNS($F$7:AH$7))))</f>
        <v/>
      </c>
      <c r="AI196" s="2223" t="str" cm="1">
        <f t="array" ref="AI196">IF($D196&lt;COLUMNS($F$7:AI$7),"",INDEX(TableDiv[[GASB]:[GASB]],_xlfn.AGGREGATE(15,3,(TableDiv[[Agency]:[Agency]]=$E196)/(TableDiv[[Agency]:[Agency]]=$E196)*(ROW(TableDiv[Agency])-ROW(TableDiv[[#Headers],[Agency]])),COLUMNS($F$7:AI$7))))</f>
        <v/>
      </c>
      <c r="AJ196" s="2223" t="str" cm="1">
        <f t="array" ref="AJ196">IF($D196&lt;COLUMNS($F$7:AJ$7),"",INDEX(TableDiv[[GASB]:[GASB]],_xlfn.AGGREGATE(15,3,(TableDiv[[Agency]:[Agency]]=$E196)/(TableDiv[[Agency]:[Agency]]=$E196)*(ROW(TableDiv[Agency])-ROW(TableDiv[[#Headers],[Agency]])),COLUMNS($F$7:AJ$7))))</f>
        <v/>
      </c>
      <c r="AK196" s="2223" t="str" cm="1">
        <f t="array" ref="AK196">IF($D196&lt;COLUMNS($F$7:AK$7),"",INDEX(TableDiv[[GASB]:[GASB]],_xlfn.AGGREGATE(15,3,(TableDiv[[Agency]:[Agency]]=$E196)/(TableDiv[[Agency]:[Agency]]=$E196)*(ROW(TableDiv[Agency])-ROW(TableDiv[[#Headers],[Agency]])),COLUMNS($F$7:AK$7))))</f>
        <v/>
      </c>
      <c r="AL196" s="2223" t="str" cm="1">
        <f t="array" ref="AL196">IF($D196&lt;COLUMNS($F$7:AL$7),"",INDEX(TableDiv[[GASB]:[GASB]],_xlfn.AGGREGATE(15,3,(TableDiv[[Agency]:[Agency]]=$E196)/(TableDiv[[Agency]:[Agency]]=$E196)*(ROW(TableDiv[Agency])-ROW(TableDiv[[#Headers],[Agency]])),COLUMNS($F$7:AL$7))))</f>
        <v/>
      </c>
      <c r="AM196" s="2223" t="str" cm="1">
        <f t="array" ref="AM196">IF($D196&lt;COLUMNS($F$7:AM$7),"",INDEX(TableDiv[[GASB]:[GASB]],_xlfn.AGGREGATE(15,3,(TableDiv[[Agency]:[Agency]]=$E196)/(TableDiv[[Agency]:[Agency]]=$E196)*(ROW(TableDiv[Agency])-ROW(TableDiv[[#Headers],[Agency]])),COLUMNS($F$7:AM$7))))</f>
        <v/>
      </c>
      <c r="AN196" s="2223"/>
      <c r="AO196" s="2223"/>
      <c r="AP196" s="2223"/>
      <c r="AQ196" s="2223"/>
      <c r="AR196" s="2223"/>
      <c r="AS196" s="2223"/>
    </row>
    <row r="197" spans="1:45" ht="15" x14ac:dyDescent="0.25">
      <c r="A197" s="2219" t="s">
        <v>6448</v>
      </c>
      <c r="B197" s="2219" t="s">
        <v>6361</v>
      </c>
      <c r="C197" s="2223"/>
      <c r="D197" s="2223">
        <f>COUNTIF(TableDiv[Agency],E197)</f>
        <v>1</v>
      </c>
      <c r="E197" s="2230" t="str" cm="1">
        <f t="array" ref="E197">IFERROR(INDEX(TableDiv[Agency],MATCH(0,INDEX(COUNTIF($E$7:E196,TableDiv[Agency]),),0)),"")</f>
        <v>ZI00</v>
      </c>
      <c r="F197" s="2223" t="str" cm="1">
        <f t="array" ref="F197">IF($D197&lt;COLUMNS($F$7:F$7),"",INDEX(TableDiv[[GASB]:[GASB]],_xlfn.AGGREGATE(15,3,(TableDiv[[Agency]:[Agency]]=$E197)/(TableDiv[[Agency]:[Agency]]=$E197)*(ROW(TableDiv[Agency])-ROW(TableDiv[[#Headers],[Agency]])),COLUMNS($F$7:F$7))))</f>
        <v>26400G</v>
      </c>
      <c r="G197" s="2223" t="str" cm="1">
        <f t="array" ref="G197">IF($D197&lt;COLUMNS($F$7:G$7),"",INDEX(TableDiv[[GASB]:[GASB]],_xlfn.AGGREGATE(15,3,(TableDiv[[Agency]:[Agency]]=$E197)/(TableDiv[[Agency]:[Agency]]=$E197)*(ROW(TableDiv[Agency])-ROW(TableDiv[[#Headers],[Agency]])),COLUMNS($F$7:G$7))))</f>
        <v/>
      </c>
      <c r="H197" s="2223" t="str" cm="1">
        <f t="array" ref="H197">IF($D197&lt;COLUMNS($F$7:H$7),"",INDEX(TableDiv[[GASB]:[GASB]],_xlfn.AGGREGATE(15,3,(TableDiv[[Agency]:[Agency]]=$E197)/(TableDiv[[Agency]:[Agency]]=$E197)*(ROW(TableDiv[Agency])-ROW(TableDiv[[#Headers],[Agency]])),COLUMNS($F$7:H$7))))</f>
        <v/>
      </c>
      <c r="I197" s="2223" t="str" cm="1">
        <f t="array" ref="I197">IF($D197&lt;COLUMNS($F$7:I$7),"",INDEX(TableDiv[[GASB]:[GASB]],_xlfn.AGGREGATE(15,3,(TableDiv[[Agency]:[Agency]]=$E197)/(TableDiv[[Agency]:[Agency]]=$E197)*(ROW(TableDiv[Agency])-ROW(TableDiv[[#Headers],[Agency]])),COLUMNS($F$7:I$7))))</f>
        <v/>
      </c>
      <c r="J197" s="2223" t="str" cm="1">
        <f t="array" ref="J197">IF($D197&lt;COLUMNS($F$7:J$7),"",INDEX(TableDiv[[GASB]:[GASB]],_xlfn.AGGREGATE(15,3,(TableDiv[[Agency]:[Agency]]=$E197)/(TableDiv[[Agency]:[Agency]]=$E197)*(ROW(TableDiv[Agency])-ROW(TableDiv[[#Headers],[Agency]])),COLUMNS($F$7:J$7))))</f>
        <v/>
      </c>
      <c r="K197" s="2223" t="str" cm="1">
        <f t="array" ref="K197">IF($D197&lt;COLUMNS($F$7:K$7),"",INDEX(TableDiv[[GASB]:[GASB]],_xlfn.AGGREGATE(15,3,(TableDiv[[Agency]:[Agency]]=$E197)/(TableDiv[[Agency]:[Agency]]=$E197)*(ROW(TableDiv[Agency])-ROW(TableDiv[[#Headers],[Agency]])),COLUMNS($F$7:K$7))))</f>
        <v/>
      </c>
      <c r="L197" s="2223" t="str" cm="1">
        <f t="array" ref="L197">IF($D197&lt;COLUMNS($F$7:L$7),"",INDEX(TableDiv[[GASB]:[GASB]],_xlfn.AGGREGATE(15,3,(TableDiv[[Agency]:[Agency]]=$E197)/(TableDiv[[Agency]:[Agency]]=$E197)*(ROW(TableDiv[Agency])-ROW(TableDiv[[#Headers],[Agency]])),COLUMNS($F$7:L$7))))</f>
        <v/>
      </c>
      <c r="M197" s="2223" t="str" cm="1">
        <f t="array" ref="M197">IF($D197&lt;COLUMNS($F$7:M$7),"",INDEX(TableDiv[[GASB]:[GASB]],_xlfn.AGGREGATE(15,3,(TableDiv[[Agency]:[Agency]]=$E197)/(TableDiv[[Agency]:[Agency]]=$E197)*(ROW(TableDiv[Agency])-ROW(TableDiv[[#Headers],[Agency]])),COLUMNS($F$7:M$7))))</f>
        <v/>
      </c>
      <c r="N197" s="2223" t="str" cm="1">
        <f t="array" ref="N197">IF($D197&lt;COLUMNS($F$7:N$7),"",INDEX(TableDiv[[GASB]:[GASB]],_xlfn.AGGREGATE(15,3,(TableDiv[[Agency]:[Agency]]=$E197)/(TableDiv[[Agency]:[Agency]]=$E197)*(ROW(TableDiv[Agency])-ROW(TableDiv[[#Headers],[Agency]])),COLUMNS($F$7:N$7))))</f>
        <v/>
      </c>
      <c r="O197" s="2223" t="str" cm="1">
        <f t="array" ref="O197">IF($D197&lt;COLUMNS($F$7:O$7),"",INDEX(TableDiv[[GASB]:[GASB]],_xlfn.AGGREGATE(15,3,(TableDiv[[Agency]:[Agency]]=$E197)/(TableDiv[[Agency]:[Agency]]=$E197)*(ROW(TableDiv[Agency])-ROW(TableDiv[[#Headers],[Agency]])),COLUMNS($F$7:O$7))))</f>
        <v/>
      </c>
      <c r="P197" s="2223" t="str" cm="1">
        <f t="array" ref="P197">IF($D197&lt;COLUMNS($F$7:P$7),"",INDEX(TableDiv[[GASB]:[GASB]],_xlfn.AGGREGATE(15,3,(TableDiv[[Agency]:[Agency]]=$E197)/(TableDiv[[Agency]:[Agency]]=$E197)*(ROW(TableDiv[Agency])-ROW(TableDiv[[#Headers],[Agency]])),COLUMNS($F$7:P$7))))</f>
        <v/>
      </c>
      <c r="Q197" s="2223" t="str" cm="1">
        <f t="array" ref="Q197">IF($D197&lt;COLUMNS($F$7:Q$7),"",INDEX(TableDiv[[GASB]:[GASB]],_xlfn.AGGREGATE(15,3,(TableDiv[[Agency]:[Agency]]=$E197)/(TableDiv[[Agency]:[Agency]]=$E197)*(ROW(TableDiv[Agency])-ROW(TableDiv[[#Headers],[Agency]])),COLUMNS($F$7:Q$7))))</f>
        <v/>
      </c>
      <c r="R197" s="2223" t="str" cm="1">
        <f t="array" ref="R197">IF($D197&lt;COLUMNS($F$7:R$7),"",INDEX(TableDiv[[GASB]:[GASB]],_xlfn.AGGREGATE(15,3,(TableDiv[[Agency]:[Agency]]=$E197)/(TableDiv[[Agency]:[Agency]]=$E197)*(ROW(TableDiv[Agency])-ROW(TableDiv[[#Headers],[Agency]])),COLUMNS($F$7:R$7))))</f>
        <v/>
      </c>
      <c r="S197" s="2223" t="str" cm="1">
        <f t="array" ref="S197">IF($D197&lt;COLUMNS($F$7:S$7),"",INDEX(TableDiv[[GASB]:[GASB]],_xlfn.AGGREGATE(15,3,(TableDiv[[Agency]:[Agency]]=$E197)/(TableDiv[[Agency]:[Agency]]=$E197)*(ROW(TableDiv[Agency])-ROW(TableDiv[[#Headers],[Agency]])),COLUMNS($F$7:S$7))))</f>
        <v/>
      </c>
      <c r="T197" s="2223" t="str" cm="1">
        <f t="array" ref="T197">IF($D197&lt;COLUMNS($F$7:T$7),"",INDEX(TableDiv[[GASB]:[GASB]],_xlfn.AGGREGATE(15,3,(TableDiv[[Agency]:[Agency]]=$E197)/(TableDiv[[Agency]:[Agency]]=$E197)*(ROW(TableDiv[Agency])-ROW(TableDiv[[#Headers],[Agency]])),COLUMNS($F$7:T$7))))</f>
        <v/>
      </c>
      <c r="U197" s="2223" t="str" cm="1">
        <f t="array" ref="U197">IF($D197&lt;COLUMNS($F$7:U$7),"",INDEX(TableDiv[[GASB]:[GASB]],_xlfn.AGGREGATE(15,3,(TableDiv[[Agency]:[Agency]]=$E197)/(TableDiv[[Agency]:[Agency]]=$E197)*(ROW(TableDiv[Agency])-ROW(TableDiv[[#Headers],[Agency]])),COLUMNS($F$7:U$7))))</f>
        <v/>
      </c>
      <c r="V197" s="2223" t="str" cm="1">
        <f t="array" ref="V197">IF($D197&lt;COLUMNS($F$7:V$7),"",INDEX(TableDiv[[GASB]:[GASB]],_xlfn.AGGREGATE(15,3,(TableDiv[[Agency]:[Agency]]=$E197)/(TableDiv[[Agency]:[Agency]]=$E197)*(ROW(TableDiv[Agency])-ROW(TableDiv[[#Headers],[Agency]])),COLUMNS($F$7:V$7))))</f>
        <v/>
      </c>
      <c r="W197" s="2223" t="str" cm="1">
        <f t="array" ref="W197">IF($D197&lt;COLUMNS($F$7:W$7),"",INDEX(TableDiv[[GASB]:[GASB]],_xlfn.AGGREGATE(15,3,(TableDiv[[Agency]:[Agency]]=$E197)/(TableDiv[[Agency]:[Agency]]=$E197)*(ROW(TableDiv[Agency])-ROW(TableDiv[[#Headers],[Agency]])),COLUMNS($F$7:W$7))))</f>
        <v/>
      </c>
      <c r="X197" s="2223" t="str" cm="1">
        <f t="array" ref="X197">IF($D197&lt;COLUMNS($F$7:X$7),"",INDEX(TableDiv[[GASB]:[GASB]],_xlfn.AGGREGATE(15,3,(TableDiv[[Agency]:[Agency]]=$E197)/(TableDiv[[Agency]:[Agency]]=$E197)*(ROW(TableDiv[Agency])-ROW(TableDiv[[#Headers],[Agency]])),COLUMNS($F$7:X$7))))</f>
        <v/>
      </c>
      <c r="Y197" s="2223" t="str" cm="1">
        <f t="array" ref="Y197">IF($D197&lt;COLUMNS($F$7:Y$7),"",INDEX(TableDiv[[GASB]:[GASB]],_xlfn.AGGREGATE(15,3,(TableDiv[[Agency]:[Agency]]=$E197)/(TableDiv[[Agency]:[Agency]]=$E197)*(ROW(TableDiv[Agency])-ROW(TableDiv[[#Headers],[Agency]])),COLUMNS($F$7:Y$7))))</f>
        <v/>
      </c>
      <c r="Z197" s="2223" t="str" cm="1">
        <f t="array" ref="Z197">IF($D197&lt;COLUMNS($F$7:Z$7),"",INDEX(TableDiv[[GASB]:[GASB]],_xlfn.AGGREGATE(15,3,(TableDiv[[Agency]:[Agency]]=$E197)/(TableDiv[[Agency]:[Agency]]=$E197)*(ROW(TableDiv[Agency])-ROW(TableDiv[[#Headers],[Agency]])),COLUMNS($F$7:Z$7))))</f>
        <v/>
      </c>
      <c r="AA197" s="2223" t="str" cm="1">
        <f t="array" ref="AA197">IF($D197&lt;COLUMNS($F$7:AA$7),"",INDEX(TableDiv[[GASB]:[GASB]],_xlfn.AGGREGATE(15,3,(TableDiv[[Agency]:[Agency]]=$E197)/(TableDiv[[Agency]:[Agency]]=$E197)*(ROW(TableDiv[Agency])-ROW(TableDiv[[#Headers],[Agency]])),COLUMNS($F$7:AA$7))))</f>
        <v/>
      </c>
      <c r="AB197" s="2223" t="str" cm="1">
        <f t="array" ref="AB197">IF($D197&lt;COLUMNS($F$7:AB$7),"",INDEX(TableDiv[[GASB]:[GASB]],_xlfn.AGGREGATE(15,3,(TableDiv[[Agency]:[Agency]]=$E197)/(TableDiv[[Agency]:[Agency]]=$E197)*(ROW(TableDiv[Agency])-ROW(TableDiv[[#Headers],[Agency]])),COLUMNS($F$7:AB$7))))</f>
        <v/>
      </c>
      <c r="AC197" s="2223" t="str" cm="1">
        <f t="array" ref="AC197">IF($D197&lt;COLUMNS($F$7:AC$7),"",INDEX(TableDiv[[GASB]:[GASB]],_xlfn.AGGREGATE(15,3,(TableDiv[[Agency]:[Agency]]=$E197)/(TableDiv[[Agency]:[Agency]]=$E197)*(ROW(TableDiv[Agency])-ROW(TableDiv[[#Headers],[Agency]])),COLUMNS($F$7:AC$7))))</f>
        <v/>
      </c>
      <c r="AD197" s="2223" t="str" cm="1">
        <f t="array" ref="AD197">IF($D197&lt;COLUMNS($F$7:AD$7),"",INDEX(TableDiv[[GASB]:[GASB]],_xlfn.AGGREGATE(15,3,(TableDiv[[Agency]:[Agency]]=$E197)/(TableDiv[[Agency]:[Agency]]=$E197)*(ROW(TableDiv[Agency])-ROW(TableDiv[[#Headers],[Agency]])),COLUMNS($F$7:AD$7))))</f>
        <v/>
      </c>
      <c r="AE197" s="2223" t="str" cm="1">
        <f t="array" ref="AE197">IF($D197&lt;COLUMNS($F$7:AE$7),"",INDEX(TableDiv[[GASB]:[GASB]],_xlfn.AGGREGATE(15,3,(TableDiv[[Agency]:[Agency]]=$E197)/(TableDiv[[Agency]:[Agency]]=$E197)*(ROW(TableDiv[Agency])-ROW(TableDiv[[#Headers],[Agency]])),COLUMNS($F$7:AE$7))))</f>
        <v/>
      </c>
      <c r="AF197" s="2223" t="str" cm="1">
        <f t="array" ref="AF197">IF($D197&lt;COLUMNS($F$7:AF$7),"",INDEX(TableDiv[[GASB]:[GASB]],_xlfn.AGGREGATE(15,3,(TableDiv[[Agency]:[Agency]]=$E197)/(TableDiv[[Agency]:[Agency]]=$E197)*(ROW(TableDiv[Agency])-ROW(TableDiv[[#Headers],[Agency]])),COLUMNS($F$7:AF$7))))</f>
        <v/>
      </c>
      <c r="AG197" s="2223" t="str" cm="1">
        <f t="array" ref="AG197">IF($D197&lt;COLUMNS($F$7:AG$7),"",INDEX(TableDiv[[GASB]:[GASB]],_xlfn.AGGREGATE(15,3,(TableDiv[[Agency]:[Agency]]=$E197)/(TableDiv[[Agency]:[Agency]]=$E197)*(ROW(TableDiv[Agency])-ROW(TableDiv[[#Headers],[Agency]])),COLUMNS($F$7:AG$7))))</f>
        <v/>
      </c>
      <c r="AH197" s="2223" t="str" cm="1">
        <f t="array" ref="AH197">IF($D197&lt;COLUMNS($F$7:AH$7),"",INDEX(TableDiv[[GASB]:[GASB]],_xlfn.AGGREGATE(15,3,(TableDiv[[Agency]:[Agency]]=$E197)/(TableDiv[[Agency]:[Agency]]=$E197)*(ROW(TableDiv[Agency])-ROW(TableDiv[[#Headers],[Agency]])),COLUMNS($F$7:AH$7))))</f>
        <v/>
      </c>
      <c r="AI197" s="2223" t="str" cm="1">
        <f t="array" ref="AI197">IF($D197&lt;COLUMNS($F$7:AI$7),"",INDEX(TableDiv[[GASB]:[GASB]],_xlfn.AGGREGATE(15,3,(TableDiv[[Agency]:[Agency]]=$E197)/(TableDiv[[Agency]:[Agency]]=$E197)*(ROW(TableDiv[Agency])-ROW(TableDiv[[#Headers],[Agency]])),COLUMNS($F$7:AI$7))))</f>
        <v/>
      </c>
      <c r="AJ197" s="2223" t="str" cm="1">
        <f t="array" ref="AJ197">IF($D197&lt;COLUMNS($F$7:AJ$7),"",INDEX(TableDiv[[GASB]:[GASB]],_xlfn.AGGREGATE(15,3,(TableDiv[[Agency]:[Agency]]=$E197)/(TableDiv[[Agency]:[Agency]]=$E197)*(ROW(TableDiv[Agency])-ROW(TableDiv[[#Headers],[Agency]])),COLUMNS($F$7:AJ$7))))</f>
        <v/>
      </c>
      <c r="AK197" s="2223" t="str" cm="1">
        <f t="array" ref="AK197">IF($D197&lt;COLUMNS($F$7:AK$7),"",INDEX(TableDiv[[GASB]:[GASB]],_xlfn.AGGREGATE(15,3,(TableDiv[[Agency]:[Agency]]=$E197)/(TableDiv[[Agency]:[Agency]]=$E197)*(ROW(TableDiv[Agency])-ROW(TableDiv[[#Headers],[Agency]])),COLUMNS($F$7:AK$7))))</f>
        <v/>
      </c>
      <c r="AL197" s="2223" t="str" cm="1">
        <f t="array" ref="AL197">IF($D197&lt;COLUMNS($F$7:AL$7),"",INDEX(TableDiv[[GASB]:[GASB]],_xlfn.AGGREGATE(15,3,(TableDiv[[Agency]:[Agency]]=$E197)/(TableDiv[[Agency]:[Agency]]=$E197)*(ROW(TableDiv[Agency])-ROW(TableDiv[[#Headers],[Agency]])),COLUMNS($F$7:AL$7))))</f>
        <v/>
      </c>
      <c r="AM197" s="2223" t="str" cm="1">
        <f t="array" ref="AM197">IF($D197&lt;COLUMNS($F$7:AM$7),"",INDEX(TableDiv[[GASB]:[GASB]],_xlfn.AGGREGATE(15,3,(TableDiv[[Agency]:[Agency]]=$E197)/(TableDiv[[Agency]:[Agency]]=$E197)*(ROW(TableDiv[Agency])-ROW(TableDiv[[#Headers],[Agency]])),COLUMNS($F$7:AM$7))))</f>
        <v/>
      </c>
      <c r="AN197" s="2223"/>
      <c r="AO197" s="2223"/>
      <c r="AP197" s="2223"/>
      <c r="AQ197" s="2223"/>
      <c r="AR197" s="2223"/>
      <c r="AS197" s="2223"/>
    </row>
    <row r="198" spans="1:45" ht="15" x14ac:dyDescent="0.25">
      <c r="A198" s="2219" t="s">
        <v>6448</v>
      </c>
      <c r="B198" s="2219" t="s">
        <v>6358</v>
      </c>
      <c r="C198" s="2223"/>
      <c r="D198" s="2223">
        <f>COUNTIF(TableDiv[Agency],E198)</f>
        <v>1</v>
      </c>
      <c r="E198" s="2230" t="str" cm="1">
        <f t="array" ref="E198">IFERROR(INDEX(TableDiv[Agency],MATCH(0,INDEX(COUNTIF($E$7:E197,TableDiv[Agency]),),0)),"")</f>
        <v>ZH00</v>
      </c>
      <c r="F198" s="2223" t="str" cm="1">
        <f t="array" ref="F198">IF($D198&lt;COLUMNS($F$7:F$7),"",INDEX(TableDiv[[GASB]:[GASB]],_xlfn.AGGREGATE(15,3,(TableDiv[[Agency]:[Agency]]=$E198)/(TableDiv[[Agency]:[Agency]]=$E198)*(ROW(TableDiv[Agency])-ROW(TableDiv[[#Headers],[Agency]])),COLUMNS($F$7:F$7))))</f>
        <v>26270G</v>
      </c>
      <c r="G198" s="2223" t="str" cm="1">
        <f t="array" ref="G198">IF($D198&lt;COLUMNS($F$7:G$7),"",INDEX(TableDiv[[GASB]:[GASB]],_xlfn.AGGREGATE(15,3,(TableDiv[[Agency]:[Agency]]=$E198)/(TableDiv[[Agency]:[Agency]]=$E198)*(ROW(TableDiv[Agency])-ROW(TableDiv[[#Headers],[Agency]])),COLUMNS($F$7:G$7))))</f>
        <v/>
      </c>
      <c r="H198" s="2223" t="str" cm="1">
        <f t="array" ref="H198">IF($D198&lt;COLUMNS($F$7:H$7),"",INDEX(TableDiv[[GASB]:[GASB]],_xlfn.AGGREGATE(15,3,(TableDiv[[Agency]:[Agency]]=$E198)/(TableDiv[[Agency]:[Agency]]=$E198)*(ROW(TableDiv[Agency])-ROW(TableDiv[[#Headers],[Agency]])),COLUMNS($F$7:H$7))))</f>
        <v/>
      </c>
      <c r="I198" s="2223" t="str" cm="1">
        <f t="array" ref="I198">IF($D198&lt;COLUMNS($F$7:I$7),"",INDEX(TableDiv[[GASB]:[GASB]],_xlfn.AGGREGATE(15,3,(TableDiv[[Agency]:[Agency]]=$E198)/(TableDiv[[Agency]:[Agency]]=$E198)*(ROW(TableDiv[Agency])-ROW(TableDiv[[#Headers],[Agency]])),COLUMNS($F$7:I$7))))</f>
        <v/>
      </c>
      <c r="J198" s="2223" t="str" cm="1">
        <f t="array" ref="J198">IF($D198&lt;COLUMNS($F$7:J$7),"",INDEX(TableDiv[[GASB]:[GASB]],_xlfn.AGGREGATE(15,3,(TableDiv[[Agency]:[Agency]]=$E198)/(TableDiv[[Agency]:[Agency]]=$E198)*(ROW(TableDiv[Agency])-ROW(TableDiv[[#Headers],[Agency]])),COLUMNS($F$7:J$7))))</f>
        <v/>
      </c>
      <c r="K198" s="2223" t="str" cm="1">
        <f t="array" ref="K198">IF($D198&lt;COLUMNS($F$7:K$7),"",INDEX(TableDiv[[GASB]:[GASB]],_xlfn.AGGREGATE(15,3,(TableDiv[[Agency]:[Agency]]=$E198)/(TableDiv[[Agency]:[Agency]]=$E198)*(ROW(TableDiv[Agency])-ROW(TableDiv[[#Headers],[Agency]])),COLUMNS($F$7:K$7))))</f>
        <v/>
      </c>
      <c r="L198" s="2223" t="str" cm="1">
        <f t="array" ref="L198">IF($D198&lt;COLUMNS($F$7:L$7),"",INDEX(TableDiv[[GASB]:[GASB]],_xlfn.AGGREGATE(15,3,(TableDiv[[Agency]:[Agency]]=$E198)/(TableDiv[[Agency]:[Agency]]=$E198)*(ROW(TableDiv[Agency])-ROW(TableDiv[[#Headers],[Agency]])),COLUMNS($F$7:L$7))))</f>
        <v/>
      </c>
      <c r="M198" s="2223" t="str" cm="1">
        <f t="array" ref="M198">IF($D198&lt;COLUMNS($F$7:M$7),"",INDEX(TableDiv[[GASB]:[GASB]],_xlfn.AGGREGATE(15,3,(TableDiv[[Agency]:[Agency]]=$E198)/(TableDiv[[Agency]:[Agency]]=$E198)*(ROW(TableDiv[Agency])-ROW(TableDiv[[#Headers],[Agency]])),COLUMNS($F$7:M$7))))</f>
        <v/>
      </c>
      <c r="N198" s="2223" t="str" cm="1">
        <f t="array" ref="N198">IF($D198&lt;COLUMNS($F$7:N$7),"",INDEX(TableDiv[[GASB]:[GASB]],_xlfn.AGGREGATE(15,3,(TableDiv[[Agency]:[Agency]]=$E198)/(TableDiv[[Agency]:[Agency]]=$E198)*(ROW(TableDiv[Agency])-ROW(TableDiv[[#Headers],[Agency]])),COLUMNS($F$7:N$7))))</f>
        <v/>
      </c>
      <c r="O198" s="2223" t="str" cm="1">
        <f t="array" ref="O198">IF($D198&lt;COLUMNS($F$7:O$7),"",INDEX(TableDiv[[GASB]:[GASB]],_xlfn.AGGREGATE(15,3,(TableDiv[[Agency]:[Agency]]=$E198)/(TableDiv[[Agency]:[Agency]]=$E198)*(ROW(TableDiv[Agency])-ROW(TableDiv[[#Headers],[Agency]])),COLUMNS($F$7:O$7))))</f>
        <v/>
      </c>
      <c r="P198" s="2223" t="str" cm="1">
        <f t="array" ref="P198">IF($D198&lt;COLUMNS($F$7:P$7),"",INDEX(TableDiv[[GASB]:[GASB]],_xlfn.AGGREGATE(15,3,(TableDiv[[Agency]:[Agency]]=$E198)/(TableDiv[[Agency]:[Agency]]=$E198)*(ROW(TableDiv[Agency])-ROW(TableDiv[[#Headers],[Agency]])),COLUMNS($F$7:P$7))))</f>
        <v/>
      </c>
      <c r="Q198" s="2223" t="str" cm="1">
        <f t="array" ref="Q198">IF($D198&lt;COLUMNS($F$7:Q$7),"",INDEX(TableDiv[[GASB]:[GASB]],_xlfn.AGGREGATE(15,3,(TableDiv[[Agency]:[Agency]]=$E198)/(TableDiv[[Agency]:[Agency]]=$E198)*(ROW(TableDiv[Agency])-ROW(TableDiv[[#Headers],[Agency]])),COLUMNS($F$7:Q$7))))</f>
        <v/>
      </c>
      <c r="R198" s="2223" t="str" cm="1">
        <f t="array" ref="R198">IF($D198&lt;COLUMNS($F$7:R$7),"",INDEX(TableDiv[[GASB]:[GASB]],_xlfn.AGGREGATE(15,3,(TableDiv[[Agency]:[Agency]]=$E198)/(TableDiv[[Agency]:[Agency]]=$E198)*(ROW(TableDiv[Agency])-ROW(TableDiv[[#Headers],[Agency]])),COLUMNS($F$7:R$7))))</f>
        <v/>
      </c>
      <c r="S198" s="2223" t="str" cm="1">
        <f t="array" ref="S198">IF($D198&lt;COLUMNS($F$7:S$7),"",INDEX(TableDiv[[GASB]:[GASB]],_xlfn.AGGREGATE(15,3,(TableDiv[[Agency]:[Agency]]=$E198)/(TableDiv[[Agency]:[Agency]]=$E198)*(ROW(TableDiv[Agency])-ROW(TableDiv[[#Headers],[Agency]])),COLUMNS($F$7:S$7))))</f>
        <v/>
      </c>
      <c r="T198" s="2223" t="str" cm="1">
        <f t="array" ref="T198">IF($D198&lt;COLUMNS($F$7:T$7),"",INDEX(TableDiv[[GASB]:[GASB]],_xlfn.AGGREGATE(15,3,(TableDiv[[Agency]:[Agency]]=$E198)/(TableDiv[[Agency]:[Agency]]=$E198)*(ROW(TableDiv[Agency])-ROW(TableDiv[[#Headers],[Agency]])),COLUMNS($F$7:T$7))))</f>
        <v/>
      </c>
      <c r="U198" s="2223" t="str" cm="1">
        <f t="array" ref="U198">IF($D198&lt;COLUMNS($F$7:U$7),"",INDEX(TableDiv[[GASB]:[GASB]],_xlfn.AGGREGATE(15,3,(TableDiv[[Agency]:[Agency]]=$E198)/(TableDiv[[Agency]:[Agency]]=$E198)*(ROW(TableDiv[Agency])-ROW(TableDiv[[#Headers],[Agency]])),COLUMNS($F$7:U$7))))</f>
        <v/>
      </c>
      <c r="V198" s="2223" t="str" cm="1">
        <f t="array" ref="V198">IF($D198&lt;COLUMNS($F$7:V$7),"",INDEX(TableDiv[[GASB]:[GASB]],_xlfn.AGGREGATE(15,3,(TableDiv[[Agency]:[Agency]]=$E198)/(TableDiv[[Agency]:[Agency]]=$E198)*(ROW(TableDiv[Agency])-ROW(TableDiv[[#Headers],[Agency]])),COLUMNS($F$7:V$7))))</f>
        <v/>
      </c>
      <c r="W198" s="2223" t="str" cm="1">
        <f t="array" ref="W198">IF($D198&lt;COLUMNS($F$7:W$7),"",INDEX(TableDiv[[GASB]:[GASB]],_xlfn.AGGREGATE(15,3,(TableDiv[[Agency]:[Agency]]=$E198)/(TableDiv[[Agency]:[Agency]]=$E198)*(ROW(TableDiv[Agency])-ROW(TableDiv[[#Headers],[Agency]])),COLUMNS($F$7:W$7))))</f>
        <v/>
      </c>
      <c r="X198" s="2223" t="str" cm="1">
        <f t="array" ref="X198">IF($D198&lt;COLUMNS($F$7:X$7),"",INDEX(TableDiv[[GASB]:[GASB]],_xlfn.AGGREGATE(15,3,(TableDiv[[Agency]:[Agency]]=$E198)/(TableDiv[[Agency]:[Agency]]=$E198)*(ROW(TableDiv[Agency])-ROW(TableDiv[[#Headers],[Agency]])),COLUMNS($F$7:X$7))))</f>
        <v/>
      </c>
      <c r="Y198" s="2223" t="str" cm="1">
        <f t="array" ref="Y198">IF($D198&lt;COLUMNS($F$7:Y$7),"",INDEX(TableDiv[[GASB]:[GASB]],_xlfn.AGGREGATE(15,3,(TableDiv[[Agency]:[Agency]]=$E198)/(TableDiv[[Agency]:[Agency]]=$E198)*(ROW(TableDiv[Agency])-ROW(TableDiv[[#Headers],[Agency]])),COLUMNS($F$7:Y$7))))</f>
        <v/>
      </c>
      <c r="Z198" s="2223" t="str" cm="1">
        <f t="array" ref="Z198">IF($D198&lt;COLUMNS($F$7:Z$7),"",INDEX(TableDiv[[GASB]:[GASB]],_xlfn.AGGREGATE(15,3,(TableDiv[[Agency]:[Agency]]=$E198)/(TableDiv[[Agency]:[Agency]]=$E198)*(ROW(TableDiv[Agency])-ROW(TableDiv[[#Headers],[Agency]])),COLUMNS($F$7:Z$7))))</f>
        <v/>
      </c>
      <c r="AA198" s="2223" t="str" cm="1">
        <f t="array" ref="AA198">IF($D198&lt;COLUMNS($F$7:AA$7),"",INDEX(TableDiv[[GASB]:[GASB]],_xlfn.AGGREGATE(15,3,(TableDiv[[Agency]:[Agency]]=$E198)/(TableDiv[[Agency]:[Agency]]=$E198)*(ROW(TableDiv[Agency])-ROW(TableDiv[[#Headers],[Agency]])),COLUMNS($F$7:AA$7))))</f>
        <v/>
      </c>
      <c r="AB198" s="2223" t="str" cm="1">
        <f t="array" ref="AB198">IF($D198&lt;COLUMNS($F$7:AB$7),"",INDEX(TableDiv[[GASB]:[GASB]],_xlfn.AGGREGATE(15,3,(TableDiv[[Agency]:[Agency]]=$E198)/(TableDiv[[Agency]:[Agency]]=$E198)*(ROW(TableDiv[Agency])-ROW(TableDiv[[#Headers],[Agency]])),COLUMNS($F$7:AB$7))))</f>
        <v/>
      </c>
      <c r="AC198" s="2223" t="str" cm="1">
        <f t="array" ref="AC198">IF($D198&lt;COLUMNS($F$7:AC$7),"",INDEX(TableDiv[[GASB]:[GASB]],_xlfn.AGGREGATE(15,3,(TableDiv[[Agency]:[Agency]]=$E198)/(TableDiv[[Agency]:[Agency]]=$E198)*(ROW(TableDiv[Agency])-ROW(TableDiv[[#Headers],[Agency]])),COLUMNS($F$7:AC$7))))</f>
        <v/>
      </c>
      <c r="AD198" s="2223" t="str" cm="1">
        <f t="array" ref="AD198">IF($D198&lt;COLUMNS($F$7:AD$7),"",INDEX(TableDiv[[GASB]:[GASB]],_xlfn.AGGREGATE(15,3,(TableDiv[[Agency]:[Agency]]=$E198)/(TableDiv[[Agency]:[Agency]]=$E198)*(ROW(TableDiv[Agency])-ROW(TableDiv[[#Headers],[Agency]])),COLUMNS($F$7:AD$7))))</f>
        <v/>
      </c>
      <c r="AE198" s="2223" t="str" cm="1">
        <f t="array" ref="AE198">IF($D198&lt;COLUMNS($F$7:AE$7),"",INDEX(TableDiv[[GASB]:[GASB]],_xlfn.AGGREGATE(15,3,(TableDiv[[Agency]:[Agency]]=$E198)/(TableDiv[[Agency]:[Agency]]=$E198)*(ROW(TableDiv[Agency])-ROW(TableDiv[[#Headers],[Agency]])),COLUMNS($F$7:AE$7))))</f>
        <v/>
      </c>
      <c r="AF198" s="2223" t="str" cm="1">
        <f t="array" ref="AF198">IF($D198&lt;COLUMNS($F$7:AF$7),"",INDEX(TableDiv[[GASB]:[GASB]],_xlfn.AGGREGATE(15,3,(TableDiv[[Agency]:[Agency]]=$E198)/(TableDiv[[Agency]:[Agency]]=$E198)*(ROW(TableDiv[Agency])-ROW(TableDiv[[#Headers],[Agency]])),COLUMNS($F$7:AF$7))))</f>
        <v/>
      </c>
      <c r="AG198" s="2223" t="str" cm="1">
        <f t="array" ref="AG198">IF($D198&lt;COLUMNS($F$7:AG$7),"",INDEX(TableDiv[[GASB]:[GASB]],_xlfn.AGGREGATE(15,3,(TableDiv[[Agency]:[Agency]]=$E198)/(TableDiv[[Agency]:[Agency]]=$E198)*(ROW(TableDiv[Agency])-ROW(TableDiv[[#Headers],[Agency]])),COLUMNS($F$7:AG$7))))</f>
        <v/>
      </c>
      <c r="AH198" s="2223" t="str" cm="1">
        <f t="array" ref="AH198">IF($D198&lt;COLUMNS($F$7:AH$7),"",INDEX(TableDiv[[GASB]:[GASB]],_xlfn.AGGREGATE(15,3,(TableDiv[[Agency]:[Agency]]=$E198)/(TableDiv[[Agency]:[Agency]]=$E198)*(ROW(TableDiv[Agency])-ROW(TableDiv[[#Headers],[Agency]])),COLUMNS($F$7:AH$7))))</f>
        <v/>
      </c>
      <c r="AI198" s="2223" t="str" cm="1">
        <f t="array" ref="AI198">IF($D198&lt;COLUMNS($F$7:AI$7),"",INDEX(TableDiv[[GASB]:[GASB]],_xlfn.AGGREGATE(15,3,(TableDiv[[Agency]:[Agency]]=$E198)/(TableDiv[[Agency]:[Agency]]=$E198)*(ROW(TableDiv[Agency])-ROW(TableDiv[[#Headers],[Agency]])),COLUMNS($F$7:AI$7))))</f>
        <v/>
      </c>
      <c r="AJ198" s="2223" t="str" cm="1">
        <f t="array" ref="AJ198">IF($D198&lt;COLUMNS($F$7:AJ$7),"",INDEX(TableDiv[[GASB]:[GASB]],_xlfn.AGGREGATE(15,3,(TableDiv[[Agency]:[Agency]]=$E198)/(TableDiv[[Agency]:[Agency]]=$E198)*(ROW(TableDiv[Agency])-ROW(TableDiv[[#Headers],[Agency]])),COLUMNS($F$7:AJ$7))))</f>
        <v/>
      </c>
      <c r="AK198" s="2223" t="str" cm="1">
        <f t="array" ref="AK198">IF($D198&lt;COLUMNS($F$7:AK$7),"",INDEX(TableDiv[[GASB]:[GASB]],_xlfn.AGGREGATE(15,3,(TableDiv[[Agency]:[Agency]]=$E198)/(TableDiv[[Agency]:[Agency]]=$E198)*(ROW(TableDiv[Agency])-ROW(TableDiv[[#Headers],[Agency]])),COLUMNS($F$7:AK$7))))</f>
        <v/>
      </c>
      <c r="AL198" s="2223" t="str" cm="1">
        <f t="array" ref="AL198">IF($D198&lt;COLUMNS($F$7:AL$7),"",INDEX(TableDiv[[GASB]:[GASB]],_xlfn.AGGREGATE(15,3,(TableDiv[[Agency]:[Agency]]=$E198)/(TableDiv[[Agency]:[Agency]]=$E198)*(ROW(TableDiv[Agency])-ROW(TableDiv[[#Headers],[Agency]])),COLUMNS($F$7:AL$7))))</f>
        <v/>
      </c>
      <c r="AM198" s="2223" t="str" cm="1">
        <f t="array" ref="AM198">IF($D198&lt;COLUMNS($F$7:AM$7),"",INDEX(TableDiv[[GASB]:[GASB]],_xlfn.AGGREGATE(15,3,(TableDiv[[Agency]:[Agency]]=$E198)/(TableDiv[[Agency]:[Agency]]=$E198)*(ROW(TableDiv[Agency])-ROW(TableDiv[[#Headers],[Agency]])),COLUMNS($F$7:AM$7))))</f>
        <v/>
      </c>
      <c r="AN198" s="2223"/>
      <c r="AO198" s="2223"/>
      <c r="AP198" s="2223"/>
      <c r="AQ198" s="2223"/>
      <c r="AR198" s="2223"/>
      <c r="AS198" s="2223"/>
    </row>
    <row r="199" spans="1:45" ht="15" x14ac:dyDescent="0.25">
      <c r="A199" s="2219" t="s">
        <v>6449</v>
      </c>
      <c r="B199" s="2219" t="s">
        <v>6450</v>
      </c>
      <c r="C199" s="2223"/>
      <c r="D199" s="2223">
        <f>COUNTIF(TableDiv[Agency],E199)</f>
        <v>1</v>
      </c>
      <c r="E199" s="2230" t="str" cm="1">
        <f t="array" ref="E199">IFERROR(INDEX(TableDiv[Agency],MATCH(0,INDEX(COUNTIF($E$7:E198,TableDiv[Agency]),),0)),"")</f>
        <v>Z200</v>
      </c>
      <c r="F199" s="2223" t="str" cm="1">
        <f t="array" ref="F199">IF($D199&lt;COLUMNS($F$7:F$7),"",INDEX(TableDiv[[GASB]:[GASB]],_xlfn.AGGREGATE(15,3,(TableDiv[[Agency]:[Agency]]=$E199)/(TableDiv[[Agency]:[Agency]]=$E199)*(ROW(TableDiv[Agency])-ROW(TableDiv[[#Headers],[Agency]])),COLUMNS($F$7:F$7))))</f>
        <v>26180G</v>
      </c>
      <c r="G199" s="2223" t="str" cm="1">
        <f t="array" ref="G199">IF($D199&lt;COLUMNS($F$7:G$7),"",INDEX(TableDiv[[GASB]:[GASB]],_xlfn.AGGREGATE(15,3,(TableDiv[[Agency]:[Agency]]=$E199)/(TableDiv[[Agency]:[Agency]]=$E199)*(ROW(TableDiv[Agency])-ROW(TableDiv[[#Headers],[Agency]])),COLUMNS($F$7:G$7))))</f>
        <v/>
      </c>
      <c r="H199" s="2223" t="str" cm="1">
        <f t="array" ref="H199">IF($D199&lt;COLUMNS($F$7:H$7),"",INDEX(TableDiv[[GASB]:[GASB]],_xlfn.AGGREGATE(15,3,(TableDiv[[Agency]:[Agency]]=$E199)/(TableDiv[[Agency]:[Agency]]=$E199)*(ROW(TableDiv[Agency])-ROW(TableDiv[[#Headers],[Agency]])),COLUMNS($F$7:H$7))))</f>
        <v/>
      </c>
      <c r="I199" s="2223" t="str" cm="1">
        <f t="array" ref="I199">IF($D199&lt;COLUMNS($F$7:I$7),"",INDEX(TableDiv[[GASB]:[GASB]],_xlfn.AGGREGATE(15,3,(TableDiv[[Agency]:[Agency]]=$E199)/(TableDiv[[Agency]:[Agency]]=$E199)*(ROW(TableDiv[Agency])-ROW(TableDiv[[#Headers],[Agency]])),COLUMNS($F$7:I$7))))</f>
        <v/>
      </c>
      <c r="J199" s="2223" t="str" cm="1">
        <f t="array" ref="J199">IF($D199&lt;COLUMNS($F$7:J$7),"",INDEX(TableDiv[[GASB]:[GASB]],_xlfn.AGGREGATE(15,3,(TableDiv[[Agency]:[Agency]]=$E199)/(TableDiv[[Agency]:[Agency]]=$E199)*(ROW(TableDiv[Agency])-ROW(TableDiv[[#Headers],[Agency]])),COLUMNS($F$7:J$7))))</f>
        <v/>
      </c>
      <c r="K199" s="2223" t="str" cm="1">
        <f t="array" ref="K199">IF($D199&lt;COLUMNS($F$7:K$7),"",INDEX(TableDiv[[GASB]:[GASB]],_xlfn.AGGREGATE(15,3,(TableDiv[[Agency]:[Agency]]=$E199)/(TableDiv[[Agency]:[Agency]]=$E199)*(ROW(TableDiv[Agency])-ROW(TableDiv[[#Headers],[Agency]])),COLUMNS($F$7:K$7))))</f>
        <v/>
      </c>
      <c r="L199" s="2223" t="str" cm="1">
        <f t="array" ref="L199">IF($D199&lt;COLUMNS($F$7:L$7),"",INDEX(TableDiv[[GASB]:[GASB]],_xlfn.AGGREGATE(15,3,(TableDiv[[Agency]:[Agency]]=$E199)/(TableDiv[[Agency]:[Agency]]=$E199)*(ROW(TableDiv[Agency])-ROW(TableDiv[[#Headers],[Agency]])),COLUMNS($F$7:L$7))))</f>
        <v/>
      </c>
      <c r="M199" s="2223" t="str" cm="1">
        <f t="array" ref="M199">IF($D199&lt;COLUMNS($F$7:M$7),"",INDEX(TableDiv[[GASB]:[GASB]],_xlfn.AGGREGATE(15,3,(TableDiv[[Agency]:[Agency]]=$E199)/(TableDiv[[Agency]:[Agency]]=$E199)*(ROW(TableDiv[Agency])-ROW(TableDiv[[#Headers],[Agency]])),COLUMNS($F$7:M$7))))</f>
        <v/>
      </c>
      <c r="N199" s="2223" t="str" cm="1">
        <f t="array" ref="N199">IF($D199&lt;COLUMNS($F$7:N$7),"",INDEX(TableDiv[[GASB]:[GASB]],_xlfn.AGGREGATE(15,3,(TableDiv[[Agency]:[Agency]]=$E199)/(TableDiv[[Agency]:[Agency]]=$E199)*(ROW(TableDiv[Agency])-ROW(TableDiv[[#Headers],[Agency]])),COLUMNS($F$7:N$7))))</f>
        <v/>
      </c>
      <c r="O199" s="2223" t="str" cm="1">
        <f t="array" ref="O199">IF($D199&lt;COLUMNS($F$7:O$7),"",INDEX(TableDiv[[GASB]:[GASB]],_xlfn.AGGREGATE(15,3,(TableDiv[[Agency]:[Agency]]=$E199)/(TableDiv[[Agency]:[Agency]]=$E199)*(ROW(TableDiv[Agency])-ROW(TableDiv[[#Headers],[Agency]])),COLUMNS($F$7:O$7))))</f>
        <v/>
      </c>
      <c r="P199" s="2223" t="str" cm="1">
        <f t="array" ref="P199">IF($D199&lt;COLUMNS($F$7:P$7),"",INDEX(TableDiv[[GASB]:[GASB]],_xlfn.AGGREGATE(15,3,(TableDiv[[Agency]:[Agency]]=$E199)/(TableDiv[[Agency]:[Agency]]=$E199)*(ROW(TableDiv[Agency])-ROW(TableDiv[[#Headers],[Agency]])),COLUMNS($F$7:P$7))))</f>
        <v/>
      </c>
      <c r="Q199" s="2223" t="str" cm="1">
        <f t="array" ref="Q199">IF($D199&lt;COLUMNS($F$7:Q$7),"",INDEX(TableDiv[[GASB]:[GASB]],_xlfn.AGGREGATE(15,3,(TableDiv[[Agency]:[Agency]]=$E199)/(TableDiv[[Agency]:[Agency]]=$E199)*(ROW(TableDiv[Agency])-ROW(TableDiv[[#Headers],[Agency]])),COLUMNS($F$7:Q$7))))</f>
        <v/>
      </c>
      <c r="R199" s="2223" t="str" cm="1">
        <f t="array" ref="R199">IF($D199&lt;COLUMNS($F$7:R$7),"",INDEX(TableDiv[[GASB]:[GASB]],_xlfn.AGGREGATE(15,3,(TableDiv[[Agency]:[Agency]]=$E199)/(TableDiv[[Agency]:[Agency]]=$E199)*(ROW(TableDiv[Agency])-ROW(TableDiv[[#Headers],[Agency]])),COLUMNS($F$7:R$7))))</f>
        <v/>
      </c>
      <c r="S199" s="2223" t="str" cm="1">
        <f t="array" ref="S199">IF($D199&lt;COLUMNS($F$7:S$7),"",INDEX(TableDiv[[GASB]:[GASB]],_xlfn.AGGREGATE(15,3,(TableDiv[[Agency]:[Agency]]=$E199)/(TableDiv[[Agency]:[Agency]]=$E199)*(ROW(TableDiv[Agency])-ROW(TableDiv[[#Headers],[Agency]])),COLUMNS($F$7:S$7))))</f>
        <v/>
      </c>
      <c r="T199" s="2223" t="str" cm="1">
        <f t="array" ref="T199">IF($D199&lt;COLUMNS($F$7:T$7),"",INDEX(TableDiv[[GASB]:[GASB]],_xlfn.AGGREGATE(15,3,(TableDiv[[Agency]:[Agency]]=$E199)/(TableDiv[[Agency]:[Agency]]=$E199)*(ROW(TableDiv[Agency])-ROW(TableDiv[[#Headers],[Agency]])),COLUMNS($F$7:T$7))))</f>
        <v/>
      </c>
      <c r="U199" s="2223" t="str" cm="1">
        <f t="array" ref="U199">IF($D199&lt;COLUMNS($F$7:U$7),"",INDEX(TableDiv[[GASB]:[GASB]],_xlfn.AGGREGATE(15,3,(TableDiv[[Agency]:[Agency]]=$E199)/(TableDiv[[Agency]:[Agency]]=$E199)*(ROW(TableDiv[Agency])-ROW(TableDiv[[#Headers],[Agency]])),COLUMNS($F$7:U$7))))</f>
        <v/>
      </c>
      <c r="V199" s="2223" t="str" cm="1">
        <f t="array" ref="V199">IF($D199&lt;COLUMNS($F$7:V$7),"",INDEX(TableDiv[[GASB]:[GASB]],_xlfn.AGGREGATE(15,3,(TableDiv[[Agency]:[Agency]]=$E199)/(TableDiv[[Agency]:[Agency]]=$E199)*(ROW(TableDiv[Agency])-ROW(TableDiv[[#Headers],[Agency]])),COLUMNS($F$7:V$7))))</f>
        <v/>
      </c>
      <c r="W199" s="2223" t="str" cm="1">
        <f t="array" ref="W199">IF($D199&lt;COLUMNS($F$7:W$7),"",INDEX(TableDiv[[GASB]:[GASB]],_xlfn.AGGREGATE(15,3,(TableDiv[[Agency]:[Agency]]=$E199)/(TableDiv[[Agency]:[Agency]]=$E199)*(ROW(TableDiv[Agency])-ROW(TableDiv[[#Headers],[Agency]])),COLUMNS($F$7:W$7))))</f>
        <v/>
      </c>
      <c r="X199" s="2223" t="str" cm="1">
        <f t="array" ref="X199">IF($D199&lt;COLUMNS($F$7:X$7),"",INDEX(TableDiv[[GASB]:[GASB]],_xlfn.AGGREGATE(15,3,(TableDiv[[Agency]:[Agency]]=$E199)/(TableDiv[[Agency]:[Agency]]=$E199)*(ROW(TableDiv[Agency])-ROW(TableDiv[[#Headers],[Agency]])),COLUMNS($F$7:X$7))))</f>
        <v/>
      </c>
      <c r="Y199" s="2223" t="str" cm="1">
        <f t="array" ref="Y199">IF($D199&lt;COLUMNS($F$7:Y$7),"",INDEX(TableDiv[[GASB]:[GASB]],_xlfn.AGGREGATE(15,3,(TableDiv[[Agency]:[Agency]]=$E199)/(TableDiv[[Agency]:[Agency]]=$E199)*(ROW(TableDiv[Agency])-ROW(TableDiv[[#Headers],[Agency]])),COLUMNS($F$7:Y$7))))</f>
        <v/>
      </c>
      <c r="Z199" s="2223" t="str" cm="1">
        <f t="array" ref="Z199">IF($D199&lt;COLUMNS($F$7:Z$7),"",INDEX(TableDiv[[GASB]:[GASB]],_xlfn.AGGREGATE(15,3,(TableDiv[[Agency]:[Agency]]=$E199)/(TableDiv[[Agency]:[Agency]]=$E199)*(ROW(TableDiv[Agency])-ROW(TableDiv[[#Headers],[Agency]])),COLUMNS($F$7:Z$7))))</f>
        <v/>
      </c>
      <c r="AA199" s="2223" t="str" cm="1">
        <f t="array" ref="AA199">IF($D199&lt;COLUMNS($F$7:AA$7),"",INDEX(TableDiv[[GASB]:[GASB]],_xlfn.AGGREGATE(15,3,(TableDiv[[Agency]:[Agency]]=$E199)/(TableDiv[[Agency]:[Agency]]=$E199)*(ROW(TableDiv[Agency])-ROW(TableDiv[[#Headers],[Agency]])),COLUMNS($F$7:AA$7))))</f>
        <v/>
      </c>
      <c r="AB199" s="2223" t="str" cm="1">
        <f t="array" ref="AB199">IF($D199&lt;COLUMNS($F$7:AB$7),"",INDEX(TableDiv[[GASB]:[GASB]],_xlfn.AGGREGATE(15,3,(TableDiv[[Agency]:[Agency]]=$E199)/(TableDiv[[Agency]:[Agency]]=$E199)*(ROW(TableDiv[Agency])-ROW(TableDiv[[#Headers],[Agency]])),COLUMNS($F$7:AB$7))))</f>
        <v/>
      </c>
      <c r="AC199" s="2223" t="str" cm="1">
        <f t="array" ref="AC199">IF($D199&lt;COLUMNS($F$7:AC$7),"",INDEX(TableDiv[[GASB]:[GASB]],_xlfn.AGGREGATE(15,3,(TableDiv[[Agency]:[Agency]]=$E199)/(TableDiv[[Agency]:[Agency]]=$E199)*(ROW(TableDiv[Agency])-ROW(TableDiv[[#Headers],[Agency]])),COLUMNS($F$7:AC$7))))</f>
        <v/>
      </c>
      <c r="AD199" s="2223" t="str" cm="1">
        <f t="array" ref="AD199">IF($D199&lt;COLUMNS($F$7:AD$7),"",INDEX(TableDiv[[GASB]:[GASB]],_xlfn.AGGREGATE(15,3,(TableDiv[[Agency]:[Agency]]=$E199)/(TableDiv[[Agency]:[Agency]]=$E199)*(ROW(TableDiv[Agency])-ROW(TableDiv[[#Headers],[Agency]])),COLUMNS($F$7:AD$7))))</f>
        <v/>
      </c>
      <c r="AE199" s="2223" t="str" cm="1">
        <f t="array" ref="AE199">IF($D199&lt;COLUMNS($F$7:AE$7),"",INDEX(TableDiv[[GASB]:[GASB]],_xlfn.AGGREGATE(15,3,(TableDiv[[Agency]:[Agency]]=$E199)/(TableDiv[[Agency]:[Agency]]=$E199)*(ROW(TableDiv[Agency])-ROW(TableDiv[[#Headers],[Agency]])),COLUMNS($F$7:AE$7))))</f>
        <v/>
      </c>
      <c r="AF199" s="2223" t="str" cm="1">
        <f t="array" ref="AF199">IF($D199&lt;COLUMNS($F$7:AF$7),"",INDEX(TableDiv[[GASB]:[GASB]],_xlfn.AGGREGATE(15,3,(TableDiv[[Agency]:[Agency]]=$E199)/(TableDiv[[Agency]:[Agency]]=$E199)*(ROW(TableDiv[Agency])-ROW(TableDiv[[#Headers],[Agency]])),COLUMNS($F$7:AF$7))))</f>
        <v/>
      </c>
      <c r="AG199" s="2223" t="str" cm="1">
        <f t="array" ref="AG199">IF($D199&lt;COLUMNS($F$7:AG$7),"",INDEX(TableDiv[[GASB]:[GASB]],_xlfn.AGGREGATE(15,3,(TableDiv[[Agency]:[Agency]]=$E199)/(TableDiv[[Agency]:[Agency]]=$E199)*(ROW(TableDiv[Agency])-ROW(TableDiv[[#Headers],[Agency]])),COLUMNS($F$7:AG$7))))</f>
        <v/>
      </c>
      <c r="AH199" s="2223" t="str" cm="1">
        <f t="array" ref="AH199">IF($D199&lt;COLUMNS($F$7:AH$7),"",INDEX(TableDiv[[GASB]:[GASB]],_xlfn.AGGREGATE(15,3,(TableDiv[[Agency]:[Agency]]=$E199)/(TableDiv[[Agency]:[Agency]]=$E199)*(ROW(TableDiv[Agency])-ROW(TableDiv[[#Headers],[Agency]])),COLUMNS($F$7:AH$7))))</f>
        <v/>
      </c>
      <c r="AI199" s="2223" t="str" cm="1">
        <f t="array" ref="AI199">IF($D199&lt;COLUMNS($F$7:AI$7),"",INDEX(TableDiv[[GASB]:[GASB]],_xlfn.AGGREGATE(15,3,(TableDiv[[Agency]:[Agency]]=$E199)/(TableDiv[[Agency]:[Agency]]=$E199)*(ROW(TableDiv[Agency])-ROW(TableDiv[[#Headers],[Agency]])),COLUMNS($F$7:AI$7))))</f>
        <v/>
      </c>
      <c r="AJ199" s="2223" t="str" cm="1">
        <f t="array" ref="AJ199">IF($D199&lt;COLUMNS($F$7:AJ$7),"",INDEX(TableDiv[[GASB]:[GASB]],_xlfn.AGGREGATE(15,3,(TableDiv[[Agency]:[Agency]]=$E199)/(TableDiv[[Agency]:[Agency]]=$E199)*(ROW(TableDiv[Agency])-ROW(TableDiv[[#Headers],[Agency]])),COLUMNS($F$7:AJ$7))))</f>
        <v/>
      </c>
      <c r="AK199" s="2223" t="str" cm="1">
        <f t="array" ref="AK199">IF($D199&lt;COLUMNS($F$7:AK$7),"",INDEX(TableDiv[[GASB]:[GASB]],_xlfn.AGGREGATE(15,3,(TableDiv[[Agency]:[Agency]]=$E199)/(TableDiv[[Agency]:[Agency]]=$E199)*(ROW(TableDiv[Agency])-ROW(TableDiv[[#Headers],[Agency]])),COLUMNS($F$7:AK$7))))</f>
        <v/>
      </c>
      <c r="AL199" s="2223" t="str" cm="1">
        <f t="array" ref="AL199">IF($D199&lt;COLUMNS($F$7:AL$7),"",INDEX(TableDiv[[GASB]:[GASB]],_xlfn.AGGREGATE(15,3,(TableDiv[[Agency]:[Agency]]=$E199)/(TableDiv[[Agency]:[Agency]]=$E199)*(ROW(TableDiv[Agency])-ROW(TableDiv[[#Headers],[Agency]])),COLUMNS($F$7:AL$7))))</f>
        <v/>
      </c>
      <c r="AM199" s="2223" t="str" cm="1">
        <f t="array" ref="AM199">IF($D199&lt;COLUMNS($F$7:AM$7),"",INDEX(TableDiv[[GASB]:[GASB]],_xlfn.AGGREGATE(15,3,(TableDiv[[Agency]:[Agency]]=$E199)/(TableDiv[[Agency]:[Agency]]=$E199)*(ROW(TableDiv[Agency])-ROW(TableDiv[[#Headers],[Agency]])),COLUMNS($F$7:AM$7))))</f>
        <v/>
      </c>
      <c r="AN199" s="2223"/>
      <c r="AO199" s="2223"/>
      <c r="AP199" s="2223"/>
      <c r="AQ199" s="2223"/>
      <c r="AR199" s="2223"/>
      <c r="AS199" s="2223"/>
    </row>
    <row r="200" spans="1:45" ht="15" x14ac:dyDescent="0.25">
      <c r="A200" s="2219" t="s">
        <v>6451</v>
      </c>
      <c r="B200" s="2219" t="s">
        <v>6357</v>
      </c>
      <c r="C200" s="2223"/>
      <c r="D200" s="2223">
        <f>COUNTIF(TableDiv[Agency],E200)</f>
        <v>1</v>
      </c>
      <c r="E200" s="2230" t="str" cm="1">
        <f t="array" ref="E200">IFERROR(INDEX(TableDiv[Agency],MATCH(0,INDEX(COUNTIF($E$7:E199,TableDiv[Agency]),),0)),"")</f>
        <v>Z700</v>
      </c>
      <c r="F200" s="2223" t="str" cm="1">
        <f t="array" ref="F200">IF($D200&lt;COLUMNS($F$7:F$7),"",INDEX(TableDiv[[GASB]:[GASB]],_xlfn.AGGREGATE(15,3,(TableDiv[[Agency]:[Agency]]=$E200)/(TableDiv[[Agency]:[Agency]]=$E200)*(ROW(TableDiv[Agency])-ROW(TableDiv[[#Headers],[Agency]])),COLUMNS($F$7:F$7))))</f>
        <v>26210G</v>
      </c>
      <c r="G200" s="2223" t="str" cm="1">
        <f t="array" ref="G200">IF($D200&lt;COLUMNS($F$7:G$7),"",INDEX(TableDiv[[GASB]:[GASB]],_xlfn.AGGREGATE(15,3,(TableDiv[[Agency]:[Agency]]=$E200)/(TableDiv[[Agency]:[Agency]]=$E200)*(ROW(TableDiv[Agency])-ROW(TableDiv[[#Headers],[Agency]])),COLUMNS($F$7:G$7))))</f>
        <v/>
      </c>
      <c r="H200" s="2223" t="str" cm="1">
        <f t="array" ref="H200">IF($D200&lt;COLUMNS($F$7:H$7),"",INDEX(TableDiv[[GASB]:[GASB]],_xlfn.AGGREGATE(15,3,(TableDiv[[Agency]:[Agency]]=$E200)/(TableDiv[[Agency]:[Agency]]=$E200)*(ROW(TableDiv[Agency])-ROW(TableDiv[[#Headers],[Agency]])),COLUMNS($F$7:H$7))))</f>
        <v/>
      </c>
      <c r="I200" s="2223" t="str" cm="1">
        <f t="array" ref="I200">IF($D200&lt;COLUMNS($F$7:I$7),"",INDEX(TableDiv[[GASB]:[GASB]],_xlfn.AGGREGATE(15,3,(TableDiv[[Agency]:[Agency]]=$E200)/(TableDiv[[Agency]:[Agency]]=$E200)*(ROW(TableDiv[Agency])-ROW(TableDiv[[#Headers],[Agency]])),COLUMNS($F$7:I$7))))</f>
        <v/>
      </c>
      <c r="J200" s="2223" t="str" cm="1">
        <f t="array" ref="J200">IF($D200&lt;COLUMNS($F$7:J$7),"",INDEX(TableDiv[[GASB]:[GASB]],_xlfn.AGGREGATE(15,3,(TableDiv[[Agency]:[Agency]]=$E200)/(TableDiv[[Agency]:[Agency]]=$E200)*(ROW(TableDiv[Agency])-ROW(TableDiv[[#Headers],[Agency]])),COLUMNS($F$7:J$7))))</f>
        <v/>
      </c>
      <c r="K200" s="2223" t="str" cm="1">
        <f t="array" ref="K200">IF($D200&lt;COLUMNS($F$7:K$7),"",INDEX(TableDiv[[GASB]:[GASB]],_xlfn.AGGREGATE(15,3,(TableDiv[[Agency]:[Agency]]=$E200)/(TableDiv[[Agency]:[Agency]]=$E200)*(ROW(TableDiv[Agency])-ROW(TableDiv[[#Headers],[Agency]])),COLUMNS($F$7:K$7))))</f>
        <v/>
      </c>
      <c r="L200" s="2223" t="str" cm="1">
        <f t="array" ref="L200">IF($D200&lt;COLUMNS($F$7:L$7),"",INDEX(TableDiv[[GASB]:[GASB]],_xlfn.AGGREGATE(15,3,(TableDiv[[Agency]:[Agency]]=$E200)/(TableDiv[[Agency]:[Agency]]=$E200)*(ROW(TableDiv[Agency])-ROW(TableDiv[[#Headers],[Agency]])),COLUMNS($F$7:L$7))))</f>
        <v/>
      </c>
      <c r="M200" s="2223" t="str" cm="1">
        <f t="array" ref="M200">IF($D200&lt;COLUMNS($F$7:M$7),"",INDEX(TableDiv[[GASB]:[GASB]],_xlfn.AGGREGATE(15,3,(TableDiv[[Agency]:[Agency]]=$E200)/(TableDiv[[Agency]:[Agency]]=$E200)*(ROW(TableDiv[Agency])-ROW(TableDiv[[#Headers],[Agency]])),COLUMNS($F$7:M$7))))</f>
        <v/>
      </c>
      <c r="N200" s="2223" t="str" cm="1">
        <f t="array" ref="N200">IF($D200&lt;COLUMNS($F$7:N$7),"",INDEX(TableDiv[[GASB]:[GASB]],_xlfn.AGGREGATE(15,3,(TableDiv[[Agency]:[Agency]]=$E200)/(TableDiv[[Agency]:[Agency]]=$E200)*(ROW(TableDiv[Agency])-ROW(TableDiv[[#Headers],[Agency]])),COLUMNS($F$7:N$7))))</f>
        <v/>
      </c>
      <c r="O200" s="2223" t="str" cm="1">
        <f t="array" ref="O200">IF($D200&lt;COLUMNS($F$7:O$7),"",INDEX(TableDiv[[GASB]:[GASB]],_xlfn.AGGREGATE(15,3,(TableDiv[[Agency]:[Agency]]=$E200)/(TableDiv[[Agency]:[Agency]]=$E200)*(ROW(TableDiv[Agency])-ROW(TableDiv[[#Headers],[Agency]])),COLUMNS($F$7:O$7))))</f>
        <v/>
      </c>
      <c r="P200" s="2223" t="str" cm="1">
        <f t="array" ref="P200">IF($D200&lt;COLUMNS($F$7:P$7),"",INDEX(TableDiv[[GASB]:[GASB]],_xlfn.AGGREGATE(15,3,(TableDiv[[Agency]:[Agency]]=$E200)/(TableDiv[[Agency]:[Agency]]=$E200)*(ROW(TableDiv[Agency])-ROW(TableDiv[[#Headers],[Agency]])),COLUMNS($F$7:P$7))))</f>
        <v/>
      </c>
      <c r="Q200" s="2223" t="str" cm="1">
        <f t="array" ref="Q200">IF($D200&lt;COLUMNS($F$7:Q$7),"",INDEX(TableDiv[[GASB]:[GASB]],_xlfn.AGGREGATE(15,3,(TableDiv[[Agency]:[Agency]]=$E200)/(TableDiv[[Agency]:[Agency]]=$E200)*(ROW(TableDiv[Agency])-ROW(TableDiv[[#Headers],[Agency]])),COLUMNS($F$7:Q$7))))</f>
        <v/>
      </c>
      <c r="R200" s="2223" t="str" cm="1">
        <f t="array" ref="R200">IF($D200&lt;COLUMNS($F$7:R$7),"",INDEX(TableDiv[[GASB]:[GASB]],_xlfn.AGGREGATE(15,3,(TableDiv[[Agency]:[Agency]]=$E200)/(TableDiv[[Agency]:[Agency]]=$E200)*(ROW(TableDiv[Agency])-ROW(TableDiv[[#Headers],[Agency]])),COLUMNS($F$7:R$7))))</f>
        <v/>
      </c>
      <c r="S200" s="2223" t="str" cm="1">
        <f t="array" ref="S200">IF($D200&lt;COLUMNS($F$7:S$7),"",INDEX(TableDiv[[GASB]:[GASB]],_xlfn.AGGREGATE(15,3,(TableDiv[[Agency]:[Agency]]=$E200)/(TableDiv[[Agency]:[Agency]]=$E200)*(ROW(TableDiv[Agency])-ROW(TableDiv[[#Headers],[Agency]])),COLUMNS($F$7:S$7))))</f>
        <v/>
      </c>
      <c r="T200" s="2223" t="str" cm="1">
        <f t="array" ref="T200">IF($D200&lt;COLUMNS($F$7:T$7),"",INDEX(TableDiv[[GASB]:[GASB]],_xlfn.AGGREGATE(15,3,(TableDiv[[Agency]:[Agency]]=$E200)/(TableDiv[[Agency]:[Agency]]=$E200)*(ROW(TableDiv[Agency])-ROW(TableDiv[[#Headers],[Agency]])),COLUMNS($F$7:T$7))))</f>
        <v/>
      </c>
      <c r="U200" s="2223" t="str" cm="1">
        <f t="array" ref="U200">IF($D200&lt;COLUMNS($F$7:U$7),"",INDEX(TableDiv[[GASB]:[GASB]],_xlfn.AGGREGATE(15,3,(TableDiv[[Agency]:[Agency]]=$E200)/(TableDiv[[Agency]:[Agency]]=$E200)*(ROW(TableDiv[Agency])-ROW(TableDiv[[#Headers],[Agency]])),COLUMNS($F$7:U$7))))</f>
        <v/>
      </c>
      <c r="V200" s="2223" t="str" cm="1">
        <f t="array" ref="V200">IF($D200&lt;COLUMNS($F$7:V$7),"",INDEX(TableDiv[[GASB]:[GASB]],_xlfn.AGGREGATE(15,3,(TableDiv[[Agency]:[Agency]]=$E200)/(TableDiv[[Agency]:[Agency]]=$E200)*(ROW(TableDiv[Agency])-ROW(TableDiv[[#Headers],[Agency]])),COLUMNS($F$7:V$7))))</f>
        <v/>
      </c>
      <c r="W200" s="2223" t="str" cm="1">
        <f t="array" ref="W200">IF($D200&lt;COLUMNS($F$7:W$7),"",INDEX(TableDiv[[GASB]:[GASB]],_xlfn.AGGREGATE(15,3,(TableDiv[[Agency]:[Agency]]=$E200)/(TableDiv[[Agency]:[Agency]]=$E200)*(ROW(TableDiv[Agency])-ROW(TableDiv[[#Headers],[Agency]])),COLUMNS($F$7:W$7))))</f>
        <v/>
      </c>
      <c r="X200" s="2223" t="str" cm="1">
        <f t="array" ref="X200">IF($D200&lt;COLUMNS($F$7:X$7),"",INDEX(TableDiv[[GASB]:[GASB]],_xlfn.AGGREGATE(15,3,(TableDiv[[Agency]:[Agency]]=$E200)/(TableDiv[[Agency]:[Agency]]=$E200)*(ROW(TableDiv[Agency])-ROW(TableDiv[[#Headers],[Agency]])),COLUMNS($F$7:X$7))))</f>
        <v/>
      </c>
      <c r="Y200" s="2223" t="str" cm="1">
        <f t="array" ref="Y200">IF($D200&lt;COLUMNS($F$7:Y$7),"",INDEX(TableDiv[[GASB]:[GASB]],_xlfn.AGGREGATE(15,3,(TableDiv[[Agency]:[Agency]]=$E200)/(TableDiv[[Agency]:[Agency]]=$E200)*(ROW(TableDiv[Agency])-ROW(TableDiv[[#Headers],[Agency]])),COLUMNS($F$7:Y$7))))</f>
        <v/>
      </c>
      <c r="Z200" s="2223" t="str" cm="1">
        <f t="array" ref="Z200">IF($D200&lt;COLUMNS($F$7:Z$7),"",INDEX(TableDiv[[GASB]:[GASB]],_xlfn.AGGREGATE(15,3,(TableDiv[[Agency]:[Agency]]=$E200)/(TableDiv[[Agency]:[Agency]]=$E200)*(ROW(TableDiv[Agency])-ROW(TableDiv[[#Headers],[Agency]])),COLUMNS($F$7:Z$7))))</f>
        <v/>
      </c>
      <c r="AA200" s="2223" t="str" cm="1">
        <f t="array" ref="AA200">IF($D200&lt;COLUMNS($F$7:AA$7),"",INDEX(TableDiv[[GASB]:[GASB]],_xlfn.AGGREGATE(15,3,(TableDiv[[Agency]:[Agency]]=$E200)/(TableDiv[[Agency]:[Agency]]=$E200)*(ROW(TableDiv[Agency])-ROW(TableDiv[[#Headers],[Agency]])),COLUMNS($F$7:AA$7))))</f>
        <v/>
      </c>
      <c r="AB200" s="2223" t="str" cm="1">
        <f t="array" ref="AB200">IF($D200&lt;COLUMNS($F$7:AB$7),"",INDEX(TableDiv[[GASB]:[GASB]],_xlfn.AGGREGATE(15,3,(TableDiv[[Agency]:[Agency]]=$E200)/(TableDiv[[Agency]:[Agency]]=$E200)*(ROW(TableDiv[Agency])-ROW(TableDiv[[#Headers],[Agency]])),COLUMNS($F$7:AB$7))))</f>
        <v/>
      </c>
      <c r="AC200" s="2223" t="str" cm="1">
        <f t="array" ref="AC200">IF($D200&lt;COLUMNS($F$7:AC$7),"",INDEX(TableDiv[[GASB]:[GASB]],_xlfn.AGGREGATE(15,3,(TableDiv[[Agency]:[Agency]]=$E200)/(TableDiv[[Agency]:[Agency]]=$E200)*(ROW(TableDiv[Agency])-ROW(TableDiv[[#Headers],[Agency]])),COLUMNS($F$7:AC$7))))</f>
        <v/>
      </c>
      <c r="AD200" s="2223" t="str" cm="1">
        <f t="array" ref="AD200">IF($D200&lt;COLUMNS($F$7:AD$7),"",INDEX(TableDiv[[GASB]:[GASB]],_xlfn.AGGREGATE(15,3,(TableDiv[[Agency]:[Agency]]=$E200)/(TableDiv[[Agency]:[Agency]]=$E200)*(ROW(TableDiv[Agency])-ROW(TableDiv[[#Headers],[Agency]])),COLUMNS($F$7:AD$7))))</f>
        <v/>
      </c>
      <c r="AE200" s="2223" t="str" cm="1">
        <f t="array" ref="AE200">IF($D200&lt;COLUMNS($F$7:AE$7),"",INDEX(TableDiv[[GASB]:[GASB]],_xlfn.AGGREGATE(15,3,(TableDiv[[Agency]:[Agency]]=$E200)/(TableDiv[[Agency]:[Agency]]=$E200)*(ROW(TableDiv[Agency])-ROW(TableDiv[[#Headers],[Agency]])),COLUMNS($F$7:AE$7))))</f>
        <v/>
      </c>
      <c r="AF200" s="2223" t="str" cm="1">
        <f t="array" ref="AF200">IF($D200&lt;COLUMNS($F$7:AF$7),"",INDEX(TableDiv[[GASB]:[GASB]],_xlfn.AGGREGATE(15,3,(TableDiv[[Agency]:[Agency]]=$E200)/(TableDiv[[Agency]:[Agency]]=$E200)*(ROW(TableDiv[Agency])-ROW(TableDiv[[#Headers],[Agency]])),COLUMNS($F$7:AF$7))))</f>
        <v/>
      </c>
      <c r="AG200" s="2223" t="str" cm="1">
        <f t="array" ref="AG200">IF($D200&lt;COLUMNS($F$7:AG$7),"",INDEX(TableDiv[[GASB]:[GASB]],_xlfn.AGGREGATE(15,3,(TableDiv[[Agency]:[Agency]]=$E200)/(TableDiv[[Agency]:[Agency]]=$E200)*(ROW(TableDiv[Agency])-ROW(TableDiv[[#Headers],[Agency]])),COLUMNS($F$7:AG$7))))</f>
        <v/>
      </c>
      <c r="AH200" s="2223" t="str" cm="1">
        <f t="array" ref="AH200">IF($D200&lt;COLUMNS($F$7:AH$7),"",INDEX(TableDiv[[GASB]:[GASB]],_xlfn.AGGREGATE(15,3,(TableDiv[[Agency]:[Agency]]=$E200)/(TableDiv[[Agency]:[Agency]]=$E200)*(ROW(TableDiv[Agency])-ROW(TableDiv[[#Headers],[Agency]])),COLUMNS($F$7:AH$7))))</f>
        <v/>
      </c>
      <c r="AI200" s="2223" t="str" cm="1">
        <f t="array" ref="AI200">IF($D200&lt;COLUMNS($F$7:AI$7),"",INDEX(TableDiv[[GASB]:[GASB]],_xlfn.AGGREGATE(15,3,(TableDiv[[Agency]:[Agency]]=$E200)/(TableDiv[[Agency]:[Agency]]=$E200)*(ROW(TableDiv[Agency])-ROW(TableDiv[[#Headers],[Agency]])),COLUMNS($F$7:AI$7))))</f>
        <v/>
      </c>
      <c r="AJ200" s="2223" t="str" cm="1">
        <f t="array" ref="AJ200">IF($D200&lt;COLUMNS($F$7:AJ$7),"",INDEX(TableDiv[[GASB]:[GASB]],_xlfn.AGGREGATE(15,3,(TableDiv[[Agency]:[Agency]]=$E200)/(TableDiv[[Agency]:[Agency]]=$E200)*(ROW(TableDiv[Agency])-ROW(TableDiv[[#Headers],[Agency]])),COLUMNS($F$7:AJ$7))))</f>
        <v/>
      </c>
      <c r="AK200" s="2223" t="str" cm="1">
        <f t="array" ref="AK200">IF($D200&lt;COLUMNS($F$7:AK$7),"",INDEX(TableDiv[[GASB]:[GASB]],_xlfn.AGGREGATE(15,3,(TableDiv[[Agency]:[Agency]]=$E200)/(TableDiv[[Agency]:[Agency]]=$E200)*(ROW(TableDiv[Agency])-ROW(TableDiv[[#Headers],[Agency]])),COLUMNS($F$7:AK$7))))</f>
        <v/>
      </c>
      <c r="AL200" s="2223" t="str" cm="1">
        <f t="array" ref="AL200">IF($D200&lt;COLUMNS($F$7:AL$7),"",INDEX(TableDiv[[GASB]:[GASB]],_xlfn.AGGREGATE(15,3,(TableDiv[[Agency]:[Agency]]=$E200)/(TableDiv[[Agency]:[Agency]]=$E200)*(ROW(TableDiv[Agency])-ROW(TableDiv[[#Headers],[Agency]])),COLUMNS($F$7:AL$7))))</f>
        <v/>
      </c>
      <c r="AM200" s="2223" t="str" cm="1">
        <f t="array" ref="AM200">IF($D200&lt;COLUMNS($F$7:AM$7),"",INDEX(TableDiv[[GASB]:[GASB]],_xlfn.AGGREGATE(15,3,(TableDiv[[Agency]:[Agency]]=$E200)/(TableDiv[[Agency]:[Agency]]=$E200)*(ROW(TableDiv[Agency])-ROW(TableDiv[[#Headers],[Agency]])),COLUMNS($F$7:AM$7))))</f>
        <v/>
      </c>
      <c r="AN200" s="2223"/>
      <c r="AO200" s="2223"/>
      <c r="AP200" s="2223"/>
      <c r="AQ200" s="2223"/>
      <c r="AR200" s="2223"/>
      <c r="AS200" s="2223"/>
    </row>
    <row r="201" spans="1:45" ht="15" x14ac:dyDescent="0.25">
      <c r="A201" s="2219" t="s">
        <v>6451</v>
      </c>
      <c r="B201" s="2219" t="s">
        <v>1878</v>
      </c>
      <c r="C201" s="2223"/>
      <c r="D201" s="2223">
        <f>COUNTIF(TableDiv[Agency],E201)</f>
        <v>1</v>
      </c>
      <c r="E201" s="2230" t="str" cm="1">
        <f t="array" ref="E201">IFERROR(INDEX(TableDiv[Agency],MATCH(0,INDEX(COUNTIF($E$7:E200,TableDiv[Agency]),),0)),"")</f>
        <v>ZG00</v>
      </c>
      <c r="F201" s="2223" t="str" cm="1">
        <f t="array" ref="F201">IF($D201&lt;COLUMNS($F$7:F$7),"",INDEX(TableDiv[[GASB]:[GASB]],_xlfn.AGGREGATE(15,3,(TableDiv[[Agency]:[Agency]]=$E201)/(TableDiv[[Agency]:[Agency]]=$E201)*(ROW(TableDiv[Agency])-ROW(TableDiv[[#Headers],[Agency]])),COLUMNS($F$7:F$7))))</f>
        <v>26260G</v>
      </c>
      <c r="G201" s="2223" t="str" cm="1">
        <f t="array" ref="G201">IF($D201&lt;COLUMNS($F$7:G$7),"",INDEX(TableDiv[[GASB]:[GASB]],_xlfn.AGGREGATE(15,3,(TableDiv[[Agency]:[Agency]]=$E201)/(TableDiv[[Agency]:[Agency]]=$E201)*(ROW(TableDiv[Agency])-ROW(TableDiv[[#Headers],[Agency]])),COLUMNS($F$7:G$7))))</f>
        <v/>
      </c>
      <c r="H201" s="2223" t="str" cm="1">
        <f t="array" ref="H201">IF($D201&lt;COLUMNS($F$7:H$7),"",INDEX(TableDiv[[GASB]:[GASB]],_xlfn.AGGREGATE(15,3,(TableDiv[[Agency]:[Agency]]=$E201)/(TableDiv[[Agency]:[Agency]]=$E201)*(ROW(TableDiv[Agency])-ROW(TableDiv[[#Headers],[Agency]])),COLUMNS($F$7:H$7))))</f>
        <v/>
      </c>
      <c r="I201" s="2223" t="str" cm="1">
        <f t="array" ref="I201">IF($D201&lt;COLUMNS($F$7:I$7),"",INDEX(TableDiv[[GASB]:[GASB]],_xlfn.AGGREGATE(15,3,(TableDiv[[Agency]:[Agency]]=$E201)/(TableDiv[[Agency]:[Agency]]=$E201)*(ROW(TableDiv[Agency])-ROW(TableDiv[[#Headers],[Agency]])),COLUMNS($F$7:I$7))))</f>
        <v/>
      </c>
      <c r="J201" s="2223" t="str" cm="1">
        <f t="array" ref="J201">IF($D201&lt;COLUMNS($F$7:J$7),"",INDEX(TableDiv[[GASB]:[GASB]],_xlfn.AGGREGATE(15,3,(TableDiv[[Agency]:[Agency]]=$E201)/(TableDiv[[Agency]:[Agency]]=$E201)*(ROW(TableDiv[Agency])-ROW(TableDiv[[#Headers],[Agency]])),COLUMNS($F$7:J$7))))</f>
        <v/>
      </c>
      <c r="K201" s="2223" t="str" cm="1">
        <f t="array" ref="K201">IF($D201&lt;COLUMNS($F$7:K$7),"",INDEX(TableDiv[[GASB]:[GASB]],_xlfn.AGGREGATE(15,3,(TableDiv[[Agency]:[Agency]]=$E201)/(TableDiv[[Agency]:[Agency]]=$E201)*(ROW(TableDiv[Agency])-ROW(TableDiv[[#Headers],[Agency]])),COLUMNS($F$7:K$7))))</f>
        <v/>
      </c>
      <c r="L201" s="2223" t="str" cm="1">
        <f t="array" ref="L201">IF($D201&lt;COLUMNS($F$7:L$7),"",INDEX(TableDiv[[GASB]:[GASB]],_xlfn.AGGREGATE(15,3,(TableDiv[[Agency]:[Agency]]=$E201)/(TableDiv[[Agency]:[Agency]]=$E201)*(ROW(TableDiv[Agency])-ROW(TableDiv[[#Headers],[Agency]])),COLUMNS($F$7:L$7))))</f>
        <v/>
      </c>
      <c r="M201" s="2223" t="str" cm="1">
        <f t="array" ref="M201">IF($D201&lt;COLUMNS($F$7:M$7),"",INDEX(TableDiv[[GASB]:[GASB]],_xlfn.AGGREGATE(15,3,(TableDiv[[Agency]:[Agency]]=$E201)/(TableDiv[[Agency]:[Agency]]=$E201)*(ROW(TableDiv[Agency])-ROW(TableDiv[[#Headers],[Agency]])),COLUMNS($F$7:M$7))))</f>
        <v/>
      </c>
      <c r="N201" s="2223" t="str" cm="1">
        <f t="array" ref="N201">IF($D201&lt;COLUMNS($F$7:N$7),"",INDEX(TableDiv[[GASB]:[GASB]],_xlfn.AGGREGATE(15,3,(TableDiv[[Agency]:[Agency]]=$E201)/(TableDiv[[Agency]:[Agency]]=$E201)*(ROW(TableDiv[Agency])-ROW(TableDiv[[#Headers],[Agency]])),COLUMNS($F$7:N$7))))</f>
        <v/>
      </c>
      <c r="O201" s="2223" t="str" cm="1">
        <f t="array" ref="O201">IF($D201&lt;COLUMNS($F$7:O$7),"",INDEX(TableDiv[[GASB]:[GASB]],_xlfn.AGGREGATE(15,3,(TableDiv[[Agency]:[Agency]]=$E201)/(TableDiv[[Agency]:[Agency]]=$E201)*(ROW(TableDiv[Agency])-ROW(TableDiv[[#Headers],[Agency]])),COLUMNS($F$7:O$7))))</f>
        <v/>
      </c>
      <c r="P201" s="2223" t="str" cm="1">
        <f t="array" ref="P201">IF($D201&lt;COLUMNS($F$7:P$7),"",INDEX(TableDiv[[GASB]:[GASB]],_xlfn.AGGREGATE(15,3,(TableDiv[[Agency]:[Agency]]=$E201)/(TableDiv[[Agency]:[Agency]]=$E201)*(ROW(TableDiv[Agency])-ROW(TableDiv[[#Headers],[Agency]])),COLUMNS($F$7:P$7))))</f>
        <v/>
      </c>
      <c r="Q201" s="2223" t="str" cm="1">
        <f t="array" ref="Q201">IF($D201&lt;COLUMNS($F$7:Q$7),"",INDEX(TableDiv[[GASB]:[GASB]],_xlfn.AGGREGATE(15,3,(TableDiv[[Agency]:[Agency]]=$E201)/(TableDiv[[Agency]:[Agency]]=$E201)*(ROW(TableDiv[Agency])-ROW(TableDiv[[#Headers],[Agency]])),COLUMNS($F$7:Q$7))))</f>
        <v/>
      </c>
      <c r="R201" s="2223" t="str" cm="1">
        <f t="array" ref="R201">IF($D201&lt;COLUMNS($F$7:R$7),"",INDEX(TableDiv[[GASB]:[GASB]],_xlfn.AGGREGATE(15,3,(TableDiv[[Agency]:[Agency]]=$E201)/(TableDiv[[Agency]:[Agency]]=$E201)*(ROW(TableDiv[Agency])-ROW(TableDiv[[#Headers],[Agency]])),COLUMNS($F$7:R$7))))</f>
        <v/>
      </c>
      <c r="S201" s="2223" t="str" cm="1">
        <f t="array" ref="S201">IF($D201&lt;COLUMNS($F$7:S$7),"",INDEX(TableDiv[[GASB]:[GASB]],_xlfn.AGGREGATE(15,3,(TableDiv[[Agency]:[Agency]]=$E201)/(TableDiv[[Agency]:[Agency]]=$E201)*(ROW(TableDiv[Agency])-ROW(TableDiv[[#Headers],[Agency]])),COLUMNS($F$7:S$7))))</f>
        <v/>
      </c>
      <c r="T201" s="2223" t="str" cm="1">
        <f t="array" ref="T201">IF($D201&lt;COLUMNS($F$7:T$7),"",INDEX(TableDiv[[GASB]:[GASB]],_xlfn.AGGREGATE(15,3,(TableDiv[[Agency]:[Agency]]=$E201)/(TableDiv[[Agency]:[Agency]]=$E201)*(ROW(TableDiv[Agency])-ROW(TableDiv[[#Headers],[Agency]])),COLUMNS($F$7:T$7))))</f>
        <v/>
      </c>
      <c r="U201" s="2223" t="str" cm="1">
        <f t="array" ref="U201">IF($D201&lt;COLUMNS($F$7:U$7),"",INDEX(TableDiv[[GASB]:[GASB]],_xlfn.AGGREGATE(15,3,(TableDiv[[Agency]:[Agency]]=$E201)/(TableDiv[[Agency]:[Agency]]=$E201)*(ROW(TableDiv[Agency])-ROW(TableDiv[[#Headers],[Agency]])),COLUMNS($F$7:U$7))))</f>
        <v/>
      </c>
      <c r="V201" s="2223" t="str" cm="1">
        <f t="array" ref="V201">IF($D201&lt;COLUMNS($F$7:V$7),"",INDEX(TableDiv[[GASB]:[GASB]],_xlfn.AGGREGATE(15,3,(TableDiv[[Agency]:[Agency]]=$E201)/(TableDiv[[Agency]:[Agency]]=$E201)*(ROW(TableDiv[Agency])-ROW(TableDiv[[#Headers],[Agency]])),COLUMNS($F$7:V$7))))</f>
        <v/>
      </c>
      <c r="W201" s="2223" t="str" cm="1">
        <f t="array" ref="W201">IF($D201&lt;COLUMNS($F$7:W$7),"",INDEX(TableDiv[[GASB]:[GASB]],_xlfn.AGGREGATE(15,3,(TableDiv[[Agency]:[Agency]]=$E201)/(TableDiv[[Agency]:[Agency]]=$E201)*(ROW(TableDiv[Agency])-ROW(TableDiv[[#Headers],[Agency]])),COLUMNS($F$7:W$7))))</f>
        <v/>
      </c>
      <c r="X201" s="2223" t="str" cm="1">
        <f t="array" ref="X201">IF($D201&lt;COLUMNS($F$7:X$7),"",INDEX(TableDiv[[GASB]:[GASB]],_xlfn.AGGREGATE(15,3,(TableDiv[[Agency]:[Agency]]=$E201)/(TableDiv[[Agency]:[Agency]]=$E201)*(ROW(TableDiv[Agency])-ROW(TableDiv[[#Headers],[Agency]])),COLUMNS($F$7:X$7))))</f>
        <v/>
      </c>
      <c r="Y201" s="2223" t="str" cm="1">
        <f t="array" ref="Y201">IF($D201&lt;COLUMNS($F$7:Y$7),"",INDEX(TableDiv[[GASB]:[GASB]],_xlfn.AGGREGATE(15,3,(TableDiv[[Agency]:[Agency]]=$E201)/(TableDiv[[Agency]:[Agency]]=$E201)*(ROW(TableDiv[Agency])-ROW(TableDiv[[#Headers],[Agency]])),COLUMNS($F$7:Y$7))))</f>
        <v/>
      </c>
      <c r="Z201" s="2223" t="str" cm="1">
        <f t="array" ref="Z201">IF($D201&lt;COLUMNS($F$7:Z$7),"",INDEX(TableDiv[[GASB]:[GASB]],_xlfn.AGGREGATE(15,3,(TableDiv[[Agency]:[Agency]]=$E201)/(TableDiv[[Agency]:[Agency]]=$E201)*(ROW(TableDiv[Agency])-ROW(TableDiv[[#Headers],[Agency]])),COLUMNS($F$7:Z$7))))</f>
        <v/>
      </c>
      <c r="AA201" s="2223" t="str" cm="1">
        <f t="array" ref="AA201">IF($D201&lt;COLUMNS($F$7:AA$7),"",INDEX(TableDiv[[GASB]:[GASB]],_xlfn.AGGREGATE(15,3,(TableDiv[[Agency]:[Agency]]=$E201)/(TableDiv[[Agency]:[Agency]]=$E201)*(ROW(TableDiv[Agency])-ROW(TableDiv[[#Headers],[Agency]])),COLUMNS($F$7:AA$7))))</f>
        <v/>
      </c>
      <c r="AB201" s="2223" t="str" cm="1">
        <f t="array" ref="AB201">IF($D201&lt;COLUMNS($F$7:AB$7),"",INDEX(TableDiv[[GASB]:[GASB]],_xlfn.AGGREGATE(15,3,(TableDiv[[Agency]:[Agency]]=$E201)/(TableDiv[[Agency]:[Agency]]=$E201)*(ROW(TableDiv[Agency])-ROW(TableDiv[[#Headers],[Agency]])),COLUMNS($F$7:AB$7))))</f>
        <v/>
      </c>
      <c r="AC201" s="2223" t="str" cm="1">
        <f t="array" ref="AC201">IF($D201&lt;COLUMNS($F$7:AC$7),"",INDEX(TableDiv[[GASB]:[GASB]],_xlfn.AGGREGATE(15,3,(TableDiv[[Agency]:[Agency]]=$E201)/(TableDiv[[Agency]:[Agency]]=$E201)*(ROW(TableDiv[Agency])-ROW(TableDiv[[#Headers],[Agency]])),COLUMNS($F$7:AC$7))))</f>
        <v/>
      </c>
      <c r="AD201" s="2223" t="str" cm="1">
        <f t="array" ref="AD201">IF($D201&lt;COLUMNS($F$7:AD$7),"",INDEX(TableDiv[[GASB]:[GASB]],_xlfn.AGGREGATE(15,3,(TableDiv[[Agency]:[Agency]]=$E201)/(TableDiv[[Agency]:[Agency]]=$E201)*(ROW(TableDiv[Agency])-ROW(TableDiv[[#Headers],[Agency]])),COLUMNS($F$7:AD$7))))</f>
        <v/>
      </c>
      <c r="AE201" s="2223" t="str" cm="1">
        <f t="array" ref="AE201">IF($D201&lt;COLUMNS($F$7:AE$7),"",INDEX(TableDiv[[GASB]:[GASB]],_xlfn.AGGREGATE(15,3,(TableDiv[[Agency]:[Agency]]=$E201)/(TableDiv[[Agency]:[Agency]]=$E201)*(ROW(TableDiv[Agency])-ROW(TableDiv[[#Headers],[Agency]])),COLUMNS($F$7:AE$7))))</f>
        <v/>
      </c>
      <c r="AF201" s="2223" t="str" cm="1">
        <f t="array" ref="AF201">IF($D201&lt;COLUMNS($F$7:AF$7),"",INDEX(TableDiv[[GASB]:[GASB]],_xlfn.AGGREGATE(15,3,(TableDiv[[Agency]:[Agency]]=$E201)/(TableDiv[[Agency]:[Agency]]=$E201)*(ROW(TableDiv[Agency])-ROW(TableDiv[[#Headers],[Agency]])),COLUMNS($F$7:AF$7))))</f>
        <v/>
      </c>
      <c r="AG201" s="2223" t="str" cm="1">
        <f t="array" ref="AG201">IF($D201&lt;COLUMNS($F$7:AG$7),"",INDEX(TableDiv[[GASB]:[GASB]],_xlfn.AGGREGATE(15,3,(TableDiv[[Agency]:[Agency]]=$E201)/(TableDiv[[Agency]:[Agency]]=$E201)*(ROW(TableDiv[Agency])-ROW(TableDiv[[#Headers],[Agency]])),COLUMNS($F$7:AG$7))))</f>
        <v/>
      </c>
      <c r="AH201" s="2223" t="str" cm="1">
        <f t="array" ref="AH201">IF($D201&lt;COLUMNS($F$7:AH$7),"",INDEX(TableDiv[[GASB]:[GASB]],_xlfn.AGGREGATE(15,3,(TableDiv[[Agency]:[Agency]]=$E201)/(TableDiv[[Agency]:[Agency]]=$E201)*(ROW(TableDiv[Agency])-ROW(TableDiv[[#Headers],[Agency]])),COLUMNS($F$7:AH$7))))</f>
        <v/>
      </c>
      <c r="AI201" s="2223" t="str" cm="1">
        <f t="array" ref="AI201">IF($D201&lt;COLUMNS($F$7:AI$7),"",INDEX(TableDiv[[GASB]:[GASB]],_xlfn.AGGREGATE(15,3,(TableDiv[[Agency]:[Agency]]=$E201)/(TableDiv[[Agency]:[Agency]]=$E201)*(ROW(TableDiv[Agency])-ROW(TableDiv[[#Headers],[Agency]])),COLUMNS($F$7:AI$7))))</f>
        <v/>
      </c>
      <c r="AJ201" s="2223" t="str" cm="1">
        <f t="array" ref="AJ201">IF($D201&lt;COLUMNS($F$7:AJ$7),"",INDEX(TableDiv[[GASB]:[GASB]],_xlfn.AGGREGATE(15,3,(TableDiv[[Agency]:[Agency]]=$E201)/(TableDiv[[Agency]:[Agency]]=$E201)*(ROW(TableDiv[Agency])-ROW(TableDiv[[#Headers],[Agency]])),COLUMNS($F$7:AJ$7))))</f>
        <v/>
      </c>
      <c r="AK201" s="2223" t="str" cm="1">
        <f t="array" ref="AK201">IF($D201&lt;COLUMNS($F$7:AK$7),"",INDEX(TableDiv[[GASB]:[GASB]],_xlfn.AGGREGATE(15,3,(TableDiv[[Agency]:[Agency]]=$E201)/(TableDiv[[Agency]:[Agency]]=$E201)*(ROW(TableDiv[Agency])-ROW(TableDiv[[#Headers],[Agency]])),COLUMNS($F$7:AK$7))))</f>
        <v/>
      </c>
      <c r="AL201" s="2223" t="str" cm="1">
        <f t="array" ref="AL201">IF($D201&lt;COLUMNS($F$7:AL$7),"",INDEX(TableDiv[[GASB]:[GASB]],_xlfn.AGGREGATE(15,3,(TableDiv[[Agency]:[Agency]]=$E201)/(TableDiv[[Agency]:[Agency]]=$E201)*(ROW(TableDiv[Agency])-ROW(TableDiv[[#Headers],[Agency]])),COLUMNS($F$7:AL$7))))</f>
        <v/>
      </c>
      <c r="AM201" s="2223" t="str" cm="1">
        <f t="array" ref="AM201">IF($D201&lt;COLUMNS($F$7:AM$7),"",INDEX(TableDiv[[GASB]:[GASB]],_xlfn.AGGREGATE(15,3,(TableDiv[[Agency]:[Agency]]=$E201)/(TableDiv[[Agency]:[Agency]]=$E201)*(ROW(TableDiv[Agency])-ROW(TableDiv[[#Headers],[Agency]])),COLUMNS($F$7:AM$7))))</f>
        <v/>
      </c>
      <c r="AN201" s="2223"/>
      <c r="AO201" s="2223"/>
      <c r="AP201" s="2223"/>
      <c r="AQ201" s="2223"/>
      <c r="AR201" s="2223"/>
      <c r="AS201" s="2223"/>
    </row>
    <row r="202" spans="1:45" ht="15" x14ac:dyDescent="0.25">
      <c r="A202" s="2219" t="s">
        <v>6451</v>
      </c>
      <c r="B202" s="2219" t="s">
        <v>6372</v>
      </c>
      <c r="C202" s="2223"/>
      <c r="D202" s="2223">
        <f>COUNTIF(TableDiv[Agency],E202)</f>
        <v>1</v>
      </c>
      <c r="E202" s="2230" t="str" cm="1">
        <f t="array" ref="E202">IFERROR(INDEX(TableDiv[Agency],MATCH(0,INDEX(COUNTIF($E$7:E201,TableDiv[Agency]),),0)),"")</f>
        <v>ZM00</v>
      </c>
      <c r="F202" s="2223" t="str" cm="1">
        <f t="array" ref="F202">IF($D202&lt;COLUMNS($F$7:F$7),"",INDEX(TableDiv[[GASB]:[GASB]],_xlfn.AGGREGATE(15,3,(TableDiv[[Agency]:[Agency]]=$E202)/(TableDiv[[Agency]:[Agency]]=$E202)*(ROW(TableDiv[Agency])-ROW(TableDiv[[#Headers],[Agency]])),COLUMNS($F$7:F$7))))</f>
        <v>26440G</v>
      </c>
      <c r="G202" s="2223" t="str" cm="1">
        <f t="array" ref="G202">IF($D202&lt;COLUMNS($F$7:G$7),"",INDEX(TableDiv[[GASB]:[GASB]],_xlfn.AGGREGATE(15,3,(TableDiv[[Agency]:[Agency]]=$E202)/(TableDiv[[Agency]:[Agency]]=$E202)*(ROW(TableDiv[Agency])-ROW(TableDiv[[#Headers],[Agency]])),COLUMNS($F$7:G$7))))</f>
        <v/>
      </c>
      <c r="H202" s="2223" t="str" cm="1">
        <f t="array" ref="H202">IF($D202&lt;COLUMNS($F$7:H$7),"",INDEX(TableDiv[[GASB]:[GASB]],_xlfn.AGGREGATE(15,3,(TableDiv[[Agency]:[Agency]]=$E202)/(TableDiv[[Agency]:[Agency]]=$E202)*(ROW(TableDiv[Agency])-ROW(TableDiv[[#Headers],[Agency]])),COLUMNS($F$7:H$7))))</f>
        <v/>
      </c>
      <c r="I202" s="2223" t="str" cm="1">
        <f t="array" ref="I202">IF($D202&lt;COLUMNS($F$7:I$7),"",INDEX(TableDiv[[GASB]:[GASB]],_xlfn.AGGREGATE(15,3,(TableDiv[[Agency]:[Agency]]=$E202)/(TableDiv[[Agency]:[Agency]]=$E202)*(ROW(TableDiv[Agency])-ROW(TableDiv[[#Headers],[Agency]])),COLUMNS($F$7:I$7))))</f>
        <v/>
      </c>
      <c r="J202" s="2223" t="str" cm="1">
        <f t="array" ref="J202">IF($D202&lt;COLUMNS($F$7:J$7),"",INDEX(TableDiv[[GASB]:[GASB]],_xlfn.AGGREGATE(15,3,(TableDiv[[Agency]:[Agency]]=$E202)/(TableDiv[[Agency]:[Agency]]=$E202)*(ROW(TableDiv[Agency])-ROW(TableDiv[[#Headers],[Agency]])),COLUMNS($F$7:J$7))))</f>
        <v/>
      </c>
      <c r="K202" s="2223" t="str" cm="1">
        <f t="array" ref="K202">IF($D202&lt;COLUMNS($F$7:K$7),"",INDEX(TableDiv[[GASB]:[GASB]],_xlfn.AGGREGATE(15,3,(TableDiv[[Agency]:[Agency]]=$E202)/(TableDiv[[Agency]:[Agency]]=$E202)*(ROW(TableDiv[Agency])-ROW(TableDiv[[#Headers],[Agency]])),COLUMNS($F$7:K$7))))</f>
        <v/>
      </c>
      <c r="L202" s="2223" t="str" cm="1">
        <f t="array" ref="L202">IF($D202&lt;COLUMNS($F$7:L$7),"",INDEX(TableDiv[[GASB]:[GASB]],_xlfn.AGGREGATE(15,3,(TableDiv[[Agency]:[Agency]]=$E202)/(TableDiv[[Agency]:[Agency]]=$E202)*(ROW(TableDiv[Agency])-ROW(TableDiv[[#Headers],[Agency]])),COLUMNS($F$7:L$7))))</f>
        <v/>
      </c>
      <c r="M202" s="2223" t="str" cm="1">
        <f t="array" ref="M202">IF($D202&lt;COLUMNS($F$7:M$7),"",INDEX(TableDiv[[GASB]:[GASB]],_xlfn.AGGREGATE(15,3,(TableDiv[[Agency]:[Agency]]=$E202)/(TableDiv[[Agency]:[Agency]]=$E202)*(ROW(TableDiv[Agency])-ROW(TableDiv[[#Headers],[Agency]])),COLUMNS($F$7:M$7))))</f>
        <v/>
      </c>
      <c r="N202" s="2223" t="str" cm="1">
        <f t="array" ref="N202">IF($D202&lt;COLUMNS($F$7:N$7),"",INDEX(TableDiv[[GASB]:[GASB]],_xlfn.AGGREGATE(15,3,(TableDiv[[Agency]:[Agency]]=$E202)/(TableDiv[[Agency]:[Agency]]=$E202)*(ROW(TableDiv[Agency])-ROW(TableDiv[[#Headers],[Agency]])),COLUMNS($F$7:N$7))))</f>
        <v/>
      </c>
      <c r="O202" s="2223" t="str" cm="1">
        <f t="array" ref="O202">IF($D202&lt;COLUMNS($F$7:O$7),"",INDEX(TableDiv[[GASB]:[GASB]],_xlfn.AGGREGATE(15,3,(TableDiv[[Agency]:[Agency]]=$E202)/(TableDiv[[Agency]:[Agency]]=$E202)*(ROW(TableDiv[Agency])-ROW(TableDiv[[#Headers],[Agency]])),COLUMNS($F$7:O$7))))</f>
        <v/>
      </c>
      <c r="P202" s="2223" t="str" cm="1">
        <f t="array" ref="P202">IF($D202&lt;COLUMNS($F$7:P$7),"",INDEX(TableDiv[[GASB]:[GASB]],_xlfn.AGGREGATE(15,3,(TableDiv[[Agency]:[Agency]]=$E202)/(TableDiv[[Agency]:[Agency]]=$E202)*(ROW(TableDiv[Agency])-ROW(TableDiv[[#Headers],[Agency]])),COLUMNS($F$7:P$7))))</f>
        <v/>
      </c>
      <c r="Q202" s="2223" t="str" cm="1">
        <f t="array" ref="Q202">IF($D202&lt;COLUMNS($F$7:Q$7),"",INDEX(TableDiv[[GASB]:[GASB]],_xlfn.AGGREGATE(15,3,(TableDiv[[Agency]:[Agency]]=$E202)/(TableDiv[[Agency]:[Agency]]=$E202)*(ROW(TableDiv[Agency])-ROW(TableDiv[[#Headers],[Agency]])),COLUMNS($F$7:Q$7))))</f>
        <v/>
      </c>
      <c r="R202" s="2223" t="str" cm="1">
        <f t="array" ref="R202">IF($D202&lt;COLUMNS($F$7:R$7),"",INDEX(TableDiv[[GASB]:[GASB]],_xlfn.AGGREGATE(15,3,(TableDiv[[Agency]:[Agency]]=$E202)/(TableDiv[[Agency]:[Agency]]=$E202)*(ROW(TableDiv[Agency])-ROW(TableDiv[[#Headers],[Agency]])),COLUMNS($F$7:R$7))))</f>
        <v/>
      </c>
      <c r="S202" s="2223" t="str" cm="1">
        <f t="array" ref="S202">IF($D202&lt;COLUMNS($F$7:S$7),"",INDEX(TableDiv[[GASB]:[GASB]],_xlfn.AGGREGATE(15,3,(TableDiv[[Agency]:[Agency]]=$E202)/(TableDiv[[Agency]:[Agency]]=$E202)*(ROW(TableDiv[Agency])-ROW(TableDiv[[#Headers],[Agency]])),COLUMNS($F$7:S$7))))</f>
        <v/>
      </c>
      <c r="T202" s="2223" t="str" cm="1">
        <f t="array" ref="T202">IF($D202&lt;COLUMNS($F$7:T$7),"",INDEX(TableDiv[[GASB]:[GASB]],_xlfn.AGGREGATE(15,3,(TableDiv[[Agency]:[Agency]]=$E202)/(TableDiv[[Agency]:[Agency]]=$E202)*(ROW(TableDiv[Agency])-ROW(TableDiv[[#Headers],[Agency]])),COLUMNS($F$7:T$7))))</f>
        <v/>
      </c>
      <c r="U202" s="2223" t="str" cm="1">
        <f t="array" ref="U202">IF($D202&lt;COLUMNS($F$7:U$7),"",INDEX(TableDiv[[GASB]:[GASB]],_xlfn.AGGREGATE(15,3,(TableDiv[[Agency]:[Agency]]=$E202)/(TableDiv[[Agency]:[Agency]]=$E202)*(ROW(TableDiv[Agency])-ROW(TableDiv[[#Headers],[Agency]])),COLUMNS($F$7:U$7))))</f>
        <v/>
      </c>
      <c r="V202" s="2223" t="str" cm="1">
        <f t="array" ref="V202">IF($D202&lt;COLUMNS($F$7:V$7),"",INDEX(TableDiv[[GASB]:[GASB]],_xlfn.AGGREGATE(15,3,(TableDiv[[Agency]:[Agency]]=$E202)/(TableDiv[[Agency]:[Agency]]=$E202)*(ROW(TableDiv[Agency])-ROW(TableDiv[[#Headers],[Agency]])),COLUMNS($F$7:V$7))))</f>
        <v/>
      </c>
      <c r="W202" s="2223" t="str" cm="1">
        <f t="array" ref="W202">IF($D202&lt;COLUMNS($F$7:W$7),"",INDEX(TableDiv[[GASB]:[GASB]],_xlfn.AGGREGATE(15,3,(TableDiv[[Agency]:[Agency]]=$E202)/(TableDiv[[Agency]:[Agency]]=$E202)*(ROW(TableDiv[Agency])-ROW(TableDiv[[#Headers],[Agency]])),COLUMNS($F$7:W$7))))</f>
        <v/>
      </c>
      <c r="X202" s="2223" t="str" cm="1">
        <f t="array" ref="X202">IF($D202&lt;COLUMNS($F$7:X$7),"",INDEX(TableDiv[[GASB]:[GASB]],_xlfn.AGGREGATE(15,3,(TableDiv[[Agency]:[Agency]]=$E202)/(TableDiv[[Agency]:[Agency]]=$E202)*(ROW(TableDiv[Agency])-ROW(TableDiv[[#Headers],[Agency]])),COLUMNS($F$7:X$7))))</f>
        <v/>
      </c>
      <c r="Y202" s="2223" t="str" cm="1">
        <f t="array" ref="Y202">IF($D202&lt;COLUMNS($F$7:Y$7),"",INDEX(TableDiv[[GASB]:[GASB]],_xlfn.AGGREGATE(15,3,(TableDiv[[Agency]:[Agency]]=$E202)/(TableDiv[[Agency]:[Agency]]=$E202)*(ROW(TableDiv[Agency])-ROW(TableDiv[[#Headers],[Agency]])),COLUMNS($F$7:Y$7))))</f>
        <v/>
      </c>
      <c r="Z202" s="2223" t="str" cm="1">
        <f t="array" ref="Z202">IF($D202&lt;COLUMNS($F$7:Z$7),"",INDEX(TableDiv[[GASB]:[GASB]],_xlfn.AGGREGATE(15,3,(TableDiv[[Agency]:[Agency]]=$E202)/(TableDiv[[Agency]:[Agency]]=$E202)*(ROW(TableDiv[Agency])-ROW(TableDiv[[#Headers],[Agency]])),COLUMNS($F$7:Z$7))))</f>
        <v/>
      </c>
      <c r="AA202" s="2223" t="str" cm="1">
        <f t="array" ref="AA202">IF($D202&lt;COLUMNS($F$7:AA$7),"",INDEX(TableDiv[[GASB]:[GASB]],_xlfn.AGGREGATE(15,3,(TableDiv[[Agency]:[Agency]]=$E202)/(TableDiv[[Agency]:[Agency]]=$E202)*(ROW(TableDiv[Agency])-ROW(TableDiv[[#Headers],[Agency]])),COLUMNS($F$7:AA$7))))</f>
        <v/>
      </c>
      <c r="AB202" s="2223" t="str" cm="1">
        <f t="array" ref="AB202">IF($D202&lt;COLUMNS($F$7:AB$7),"",INDEX(TableDiv[[GASB]:[GASB]],_xlfn.AGGREGATE(15,3,(TableDiv[[Agency]:[Agency]]=$E202)/(TableDiv[[Agency]:[Agency]]=$E202)*(ROW(TableDiv[Agency])-ROW(TableDiv[[#Headers],[Agency]])),COLUMNS($F$7:AB$7))))</f>
        <v/>
      </c>
      <c r="AC202" s="2223" t="str" cm="1">
        <f t="array" ref="AC202">IF($D202&lt;COLUMNS($F$7:AC$7),"",INDEX(TableDiv[[GASB]:[GASB]],_xlfn.AGGREGATE(15,3,(TableDiv[[Agency]:[Agency]]=$E202)/(TableDiv[[Agency]:[Agency]]=$E202)*(ROW(TableDiv[Agency])-ROW(TableDiv[[#Headers],[Agency]])),COLUMNS($F$7:AC$7))))</f>
        <v/>
      </c>
      <c r="AD202" s="2223" t="str" cm="1">
        <f t="array" ref="AD202">IF($D202&lt;COLUMNS($F$7:AD$7),"",INDEX(TableDiv[[GASB]:[GASB]],_xlfn.AGGREGATE(15,3,(TableDiv[[Agency]:[Agency]]=$E202)/(TableDiv[[Agency]:[Agency]]=$E202)*(ROW(TableDiv[Agency])-ROW(TableDiv[[#Headers],[Agency]])),COLUMNS($F$7:AD$7))))</f>
        <v/>
      </c>
      <c r="AE202" s="2223" t="str" cm="1">
        <f t="array" ref="AE202">IF($D202&lt;COLUMNS($F$7:AE$7),"",INDEX(TableDiv[[GASB]:[GASB]],_xlfn.AGGREGATE(15,3,(TableDiv[[Agency]:[Agency]]=$E202)/(TableDiv[[Agency]:[Agency]]=$E202)*(ROW(TableDiv[Agency])-ROW(TableDiv[[#Headers],[Agency]])),COLUMNS($F$7:AE$7))))</f>
        <v/>
      </c>
      <c r="AF202" s="2223" t="str" cm="1">
        <f t="array" ref="AF202">IF($D202&lt;COLUMNS($F$7:AF$7),"",INDEX(TableDiv[[GASB]:[GASB]],_xlfn.AGGREGATE(15,3,(TableDiv[[Agency]:[Agency]]=$E202)/(TableDiv[[Agency]:[Agency]]=$E202)*(ROW(TableDiv[Agency])-ROW(TableDiv[[#Headers],[Agency]])),COLUMNS($F$7:AF$7))))</f>
        <v/>
      </c>
      <c r="AG202" s="2223" t="str" cm="1">
        <f t="array" ref="AG202">IF($D202&lt;COLUMNS($F$7:AG$7),"",INDEX(TableDiv[[GASB]:[GASB]],_xlfn.AGGREGATE(15,3,(TableDiv[[Agency]:[Agency]]=$E202)/(TableDiv[[Agency]:[Agency]]=$E202)*(ROW(TableDiv[Agency])-ROW(TableDiv[[#Headers],[Agency]])),COLUMNS($F$7:AG$7))))</f>
        <v/>
      </c>
      <c r="AH202" s="2223" t="str" cm="1">
        <f t="array" ref="AH202">IF($D202&lt;COLUMNS($F$7:AH$7),"",INDEX(TableDiv[[GASB]:[GASB]],_xlfn.AGGREGATE(15,3,(TableDiv[[Agency]:[Agency]]=$E202)/(TableDiv[[Agency]:[Agency]]=$E202)*(ROW(TableDiv[Agency])-ROW(TableDiv[[#Headers],[Agency]])),COLUMNS($F$7:AH$7))))</f>
        <v/>
      </c>
      <c r="AI202" s="2223" t="str" cm="1">
        <f t="array" ref="AI202">IF($D202&lt;COLUMNS($F$7:AI$7),"",INDEX(TableDiv[[GASB]:[GASB]],_xlfn.AGGREGATE(15,3,(TableDiv[[Agency]:[Agency]]=$E202)/(TableDiv[[Agency]:[Agency]]=$E202)*(ROW(TableDiv[Agency])-ROW(TableDiv[[#Headers],[Agency]])),COLUMNS($F$7:AI$7))))</f>
        <v/>
      </c>
      <c r="AJ202" s="2223" t="str" cm="1">
        <f t="array" ref="AJ202">IF($D202&lt;COLUMNS($F$7:AJ$7),"",INDEX(TableDiv[[GASB]:[GASB]],_xlfn.AGGREGATE(15,3,(TableDiv[[Agency]:[Agency]]=$E202)/(TableDiv[[Agency]:[Agency]]=$E202)*(ROW(TableDiv[Agency])-ROW(TableDiv[[#Headers],[Agency]])),COLUMNS($F$7:AJ$7))))</f>
        <v/>
      </c>
      <c r="AK202" s="2223" t="str" cm="1">
        <f t="array" ref="AK202">IF($D202&lt;COLUMNS($F$7:AK$7),"",INDEX(TableDiv[[GASB]:[GASB]],_xlfn.AGGREGATE(15,3,(TableDiv[[Agency]:[Agency]]=$E202)/(TableDiv[[Agency]:[Agency]]=$E202)*(ROW(TableDiv[Agency])-ROW(TableDiv[[#Headers],[Agency]])),COLUMNS($F$7:AK$7))))</f>
        <v/>
      </c>
      <c r="AL202" s="2223" t="str" cm="1">
        <f t="array" ref="AL202">IF($D202&lt;COLUMNS($F$7:AL$7),"",INDEX(TableDiv[[GASB]:[GASB]],_xlfn.AGGREGATE(15,3,(TableDiv[[Agency]:[Agency]]=$E202)/(TableDiv[[Agency]:[Agency]]=$E202)*(ROW(TableDiv[Agency])-ROW(TableDiv[[#Headers],[Agency]])),COLUMNS($F$7:AL$7))))</f>
        <v/>
      </c>
      <c r="AM202" s="2223" t="str" cm="1">
        <f t="array" ref="AM202">IF($D202&lt;COLUMNS($F$7:AM$7),"",INDEX(TableDiv[[GASB]:[GASB]],_xlfn.AGGREGATE(15,3,(TableDiv[[Agency]:[Agency]]=$E202)/(TableDiv[[Agency]:[Agency]]=$E202)*(ROW(TableDiv[Agency])-ROW(TableDiv[[#Headers],[Agency]])),COLUMNS($F$7:AM$7))))</f>
        <v/>
      </c>
      <c r="AN202" s="2223"/>
      <c r="AO202" s="2223"/>
      <c r="AP202" s="2223"/>
      <c r="AQ202" s="2223"/>
      <c r="AR202" s="2223"/>
      <c r="AS202" s="2223"/>
    </row>
    <row r="203" spans="1:45" ht="15" x14ac:dyDescent="0.25">
      <c r="A203" s="2219" t="s">
        <v>6451</v>
      </c>
      <c r="B203" s="2219" t="s">
        <v>6361</v>
      </c>
      <c r="C203" s="2223"/>
      <c r="D203" s="2223">
        <f>COUNTIF(TableDiv[Agency],E203)</f>
        <v>1</v>
      </c>
      <c r="E203" s="2230" t="str" cm="1">
        <f t="array" ref="E203">IFERROR(INDEX(TableDiv[Agency],MATCH(0,INDEX(COUNTIF($E$7:E202,TableDiv[Agency]),),0)),"")</f>
        <v>6900</v>
      </c>
      <c r="F203" s="2223" t="str" cm="1">
        <f t="array" ref="F203">IF($D203&lt;COLUMNS($F$7:F$7),"",INDEX(TableDiv[[GASB]:[GASB]],_xlfn.AGGREGATE(15,3,(TableDiv[[Agency]:[Agency]]=$E203)/(TableDiv[[Agency]:[Agency]]=$E203)*(ROW(TableDiv[Agency])-ROW(TableDiv[[#Headers],[Agency]])),COLUMNS($F$7:F$7))))</f>
        <v>25170G</v>
      </c>
      <c r="G203" s="2223" t="str" cm="1">
        <f t="array" ref="G203">IF($D203&lt;COLUMNS($F$7:G$7),"",INDEX(TableDiv[[GASB]:[GASB]],_xlfn.AGGREGATE(15,3,(TableDiv[[Agency]:[Agency]]=$E203)/(TableDiv[[Agency]:[Agency]]=$E203)*(ROW(TableDiv[Agency])-ROW(TableDiv[[#Headers],[Agency]])),COLUMNS($F$7:G$7))))</f>
        <v/>
      </c>
      <c r="H203" s="2223" t="str" cm="1">
        <f t="array" ref="H203">IF($D203&lt;COLUMNS($F$7:H$7),"",INDEX(TableDiv[[GASB]:[GASB]],_xlfn.AGGREGATE(15,3,(TableDiv[[Agency]:[Agency]]=$E203)/(TableDiv[[Agency]:[Agency]]=$E203)*(ROW(TableDiv[Agency])-ROW(TableDiv[[#Headers],[Agency]])),COLUMNS($F$7:H$7))))</f>
        <v/>
      </c>
      <c r="I203" s="2223" t="str" cm="1">
        <f t="array" ref="I203">IF($D203&lt;COLUMNS($F$7:I$7),"",INDEX(TableDiv[[GASB]:[GASB]],_xlfn.AGGREGATE(15,3,(TableDiv[[Agency]:[Agency]]=$E203)/(TableDiv[[Agency]:[Agency]]=$E203)*(ROW(TableDiv[Agency])-ROW(TableDiv[[#Headers],[Agency]])),COLUMNS($F$7:I$7))))</f>
        <v/>
      </c>
      <c r="J203" s="2223" t="str" cm="1">
        <f t="array" ref="J203">IF($D203&lt;COLUMNS($F$7:J$7),"",INDEX(TableDiv[[GASB]:[GASB]],_xlfn.AGGREGATE(15,3,(TableDiv[[Agency]:[Agency]]=$E203)/(TableDiv[[Agency]:[Agency]]=$E203)*(ROW(TableDiv[Agency])-ROW(TableDiv[[#Headers],[Agency]])),COLUMNS($F$7:J$7))))</f>
        <v/>
      </c>
      <c r="K203" s="2223" t="str" cm="1">
        <f t="array" ref="K203">IF($D203&lt;COLUMNS($F$7:K$7),"",INDEX(TableDiv[[GASB]:[GASB]],_xlfn.AGGREGATE(15,3,(TableDiv[[Agency]:[Agency]]=$E203)/(TableDiv[[Agency]:[Agency]]=$E203)*(ROW(TableDiv[Agency])-ROW(TableDiv[[#Headers],[Agency]])),COLUMNS($F$7:K$7))))</f>
        <v/>
      </c>
      <c r="L203" s="2223" t="str" cm="1">
        <f t="array" ref="L203">IF($D203&lt;COLUMNS($F$7:L$7),"",INDEX(TableDiv[[GASB]:[GASB]],_xlfn.AGGREGATE(15,3,(TableDiv[[Agency]:[Agency]]=$E203)/(TableDiv[[Agency]:[Agency]]=$E203)*(ROW(TableDiv[Agency])-ROW(TableDiv[[#Headers],[Agency]])),COLUMNS($F$7:L$7))))</f>
        <v/>
      </c>
      <c r="M203" s="2223" t="str" cm="1">
        <f t="array" ref="M203">IF($D203&lt;COLUMNS($F$7:M$7),"",INDEX(TableDiv[[GASB]:[GASB]],_xlfn.AGGREGATE(15,3,(TableDiv[[Agency]:[Agency]]=$E203)/(TableDiv[[Agency]:[Agency]]=$E203)*(ROW(TableDiv[Agency])-ROW(TableDiv[[#Headers],[Agency]])),COLUMNS($F$7:M$7))))</f>
        <v/>
      </c>
      <c r="N203" s="2223" t="str" cm="1">
        <f t="array" ref="N203">IF($D203&lt;COLUMNS($F$7:N$7),"",INDEX(TableDiv[[GASB]:[GASB]],_xlfn.AGGREGATE(15,3,(TableDiv[[Agency]:[Agency]]=$E203)/(TableDiv[[Agency]:[Agency]]=$E203)*(ROW(TableDiv[Agency])-ROW(TableDiv[[#Headers],[Agency]])),COLUMNS($F$7:N$7))))</f>
        <v/>
      </c>
      <c r="O203" s="2223" t="str" cm="1">
        <f t="array" ref="O203">IF($D203&lt;COLUMNS($F$7:O$7),"",INDEX(TableDiv[[GASB]:[GASB]],_xlfn.AGGREGATE(15,3,(TableDiv[[Agency]:[Agency]]=$E203)/(TableDiv[[Agency]:[Agency]]=$E203)*(ROW(TableDiv[Agency])-ROW(TableDiv[[#Headers],[Agency]])),COLUMNS($F$7:O$7))))</f>
        <v/>
      </c>
      <c r="P203" s="2223" t="str" cm="1">
        <f t="array" ref="P203">IF($D203&lt;COLUMNS($F$7:P$7),"",INDEX(TableDiv[[GASB]:[GASB]],_xlfn.AGGREGATE(15,3,(TableDiv[[Agency]:[Agency]]=$E203)/(TableDiv[[Agency]:[Agency]]=$E203)*(ROW(TableDiv[Agency])-ROW(TableDiv[[#Headers],[Agency]])),COLUMNS($F$7:P$7))))</f>
        <v/>
      </c>
      <c r="Q203" s="2223" t="str" cm="1">
        <f t="array" ref="Q203">IF($D203&lt;COLUMNS($F$7:Q$7),"",INDEX(TableDiv[[GASB]:[GASB]],_xlfn.AGGREGATE(15,3,(TableDiv[[Agency]:[Agency]]=$E203)/(TableDiv[[Agency]:[Agency]]=$E203)*(ROW(TableDiv[Agency])-ROW(TableDiv[[#Headers],[Agency]])),COLUMNS($F$7:Q$7))))</f>
        <v/>
      </c>
      <c r="R203" s="2223" t="str" cm="1">
        <f t="array" ref="R203">IF($D203&lt;COLUMNS($F$7:R$7),"",INDEX(TableDiv[[GASB]:[GASB]],_xlfn.AGGREGATE(15,3,(TableDiv[[Agency]:[Agency]]=$E203)/(TableDiv[[Agency]:[Agency]]=$E203)*(ROW(TableDiv[Agency])-ROW(TableDiv[[#Headers],[Agency]])),COLUMNS($F$7:R$7))))</f>
        <v/>
      </c>
      <c r="S203" s="2223" t="str" cm="1">
        <f t="array" ref="S203">IF($D203&lt;COLUMNS($F$7:S$7),"",INDEX(TableDiv[[GASB]:[GASB]],_xlfn.AGGREGATE(15,3,(TableDiv[[Agency]:[Agency]]=$E203)/(TableDiv[[Agency]:[Agency]]=$E203)*(ROW(TableDiv[Agency])-ROW(TableDiv[[#Headers],[Agency]])),COLUMNS($F$7:S$7))))</f>
        <v/>
      </c>
      <c r="T203" s="2223" t="str" cm="1">
        <f t="array" ref="T203">IF($D203&lt;COLUMNS($F$7:T$7),"",INDEX(TableDiv[[GASB]:[GASB]],_xlfn.AGGREGATE(15,3,(TableDiv[[Agency]:[Agency]]=$E203)/(TableDiv[[Agency]:[Agency]]=$E203)*(ROW(TableDiv[Agency])-ROW(TableDiv[[#Headers],[Agency]])),COLUMNS($F$7:T$7))))</f>
        <v/>
      </c>
      <c r="U203" s="2223" t="str" cm="1">
        <f t="array" ref="U203">IF($D203&lt;COLUMNS($F$7:U$7),"",INDEX(TableDiv[[GASB]:[GASB]],_xlfn.AGGREGATE(15,3,(TableDiv[[Agency]:[Agency]]=$E203)/(TableDiv[[Agency]:[Agency]]=$E203)*(ROW(TableDiv[Agency])-ROW(TableDiv[[#Headers],[Agency]])),COLUMNS($F$7:U$7))))</f>
        <v/>
      </c>
      <c r="V203" s="2223" t="str" cm="1">
        <f t="array" ref="V203">IF($D203&lt;COLUMNS($F$7:V$7),"",INDEX(TableDiv[[GASB]:[GASB]],_xlfn.AGGREGATE(15,3,(TableDiv[[Agency]:[Agency]]=$E203)/(TableDiv[[Agency]:[Agency]]=$E203)*(ROW(TableDiv[Agency])-ROW(TableDiv[[#Headers],[Agency]])),COLUMNS($F$7:V$7))))</f>
        <v/>
      </c>
      <c r="W203" s="2223" t="str" cm="1">
        <f t="array" ref="W203">IF($D203&lt;COLUMNS($F$7:W$7),"",INDEX(TableDiv[[GASB]:[GASB]],_xlfn.AGGREGATE(15,3,(TableDiv[[Agency]:[Agency]]=$E203)/(TableDiv[[Agency]:[Agency]]=$E203)*(ROW(TableDiv[Agency])-ROW(TableDiv[[#Headers],[Agency]])),COLUMNS($F$7:W$7))))</f>
        <v/>
      </c>
      <c r="X203" s="2223" t="str" cm="1">
        <f t="array" ref="X203">IF($D203&lt;COLUMNS($F$7:X$7),"",INDEX(TableDiv[[GASB]:[GASB]],_xlfn.AGGREGATE(15,3,(TableDiv[[Agency]:[Agency]]=$E203)/(TableDiv[[Agency]:[Agency]]=$E203)*(ROW(TableDiv[Agency])-ROW(TableDiv[[#Headers],[Agency]])),COLUMNS($F$7:X$7))))</f>
        <v/>
      </c>
      <c r="Y203" s="2223" t="str" cm="1">
        <f t="array" ref="Y203">IF($D203&lt;COLUMNS($F$7:Y$7),"",INDEX(TableDiv[[GASB]:[GASB]],_xlfn.AGGREGATE(15,3,(TableDiv[[Agency]:[Agency]]=$E203)/(TableDiv[[Agency]:[Agency]]=$E203)*(ROW(TableDiv[Agency])-ROW(TableDiv[[#Headers],[Agency]])),COLUMNS($F$7:Y$7))))</f>
        <v/>
      </c>
      <c r="Z203" s="2223" t="str" cm="1">
        <f t="array" ref="Z203">IF($D203&lt;COLUMNS($F$7:Z$7),"",INDEX(TableDiv[[GASB]:[GASB]],_xlfn.AGGREGATE(15,3,(TableDiv[[Agency]:[Agency]]=$E203)/(TableDiv[[Agency]:[Agency]]=$E203)*(ROW(TableDiv[Agency])-ROW(TableDiv[[#Headers],[Agency]])),COLUMNS($F$7:Z$7))))</f>
        <v/>
      </c>
      <c r="AA203" s="2223" t="str" cm="1">
        <f t="array" ref="AA203">IF($D203&lt;COLUMNS($F$7:AA$7),"",INDEX(TableDiv[[GASB]:[GASB]],_xlfn.AGGREGATE(15,3,(TableDiv[[Agency]:[Agency]]=$E203)/(TableDiv[[Agency]:[Agency]]=$E203)*(ROW(TableDiv[Agency])-ROW(TableDiv[[#Headers],[Agency]])),COLUMNS($F$7:AA$7))))</f>
        <v/>
      </c>
      <c r="AB203" s="2223" t="str" cm="1">
        <f t="array" ref="AB203">IF($D203&lt;COLUMNS($F$7:AB$7),"",INDEX(TableDiv[[GASB]:[GASB]],_xlfn.AGGREGATE(15,3,(TableDiv[[Agency]:[Agency]]=$E203)/(TableDiv[[Agency]:[Agency]]=$E203)*(ROW(TableDiv[Agency])-ROW(TableDiv[[#Headers],[Agency]])),COLUMNS($F$7:AB$7))))</f>
        <v/>
      </c>
      <c r="AC203" s="2223" t="str" cm="1">
        <f t="array" ref="AC203">IF($D203&lt;COLUMNS($F$7:AC$7),"",INDEX(TableDiv[[GASB]:[GASB]],_xlfn.AGGREGATE(15,3,(TableDiv[[Agency]:[Agency]]=$E203)/(TableDiv[[Agency]:[Agency]]=$E203)*(ROW(TableDiv[Agency])-ROW(TableDiv[[#Headers],[Agency]])),COLUMNS($F$7:AC$7))))</f>
        <v/>
      </c>
      <c r="AD203" s="2223" t="str" cm="1">
        <f t="array" ref="AD203">IF($D203&lt;COLUMNS($F$7:AD$7),"",INDEX(TableDiv[[GASB]:[GASB]],_xlfn.AGGREGATE(15,3,(TableDiv[[Agency]:[Agency]]=$E203)/(TableDiv[[Agency]:[Agency]]=$E203)*(ROW(TableDiv[Agency])-ROW(TableDiv[[#Headers],[Agency]])),COLUMNS($F$7:AD$7))))</f>
        <v/>
      </c>
      <c r="AE203" s="2223" t="str" cm="1">
        <f t="array" ref="AE203">IF($D203&lt;COLUMNS($F$7:AE$7),"",INDEX(TableDiv[[GASB]:[GASB]],_xlfn.AGGREGATE(15,3,(TableDiv[[Agency]:[Agency]]=$E203)/(TableDiv[[Agency]:[Agency]]=$E203)*(ROW(TableDiv[Agency])-ROW(TableDiv[[#Headers],[Agency]])),COLUMNS($F$7:AE$7))))</f>
        <v/>
      </c>
      <c r="AF203" s="2223" t="str" cm="1">
        <f t="array" ref="AF203">IF($D203&lt;COLUMNS($F$7:AF$7),"",INDEX(TableDiv[[GASB]:[GASB]],_xlfn.AGGREGATE(15,3,(TableDiv[[Agency]:[Agency]]=$E203)/(TableDiv[[Agency]:[Agency]]=$E203)*(ROW(TableDiv[Agency])-ROW(TableDiv[[#Headers],[Agency]])),COLUMNS($F$7:AF$7))))</f>
        <v/>
      </c>
      <c r="AG203" s="2223" t="str" cm="1">
        <f t="array" ref="AG203">IF($D203&lt;COLUMNS($F$7:AG$7),"",INDEX(TableDiv[[GASB]:[GASB]],_xlfn.AGGREGATE(15,3,(TableDiv[[Agency]:[Agency]]=$E203)/(TableDiv[[Agency]:[Agency]]=$E203)*(ROW(TableDiv[Agency])-ROW(TableDiv[[#Headers],[Agency]])),COLUMNS($F$7:AG$7))))</f>
        <v/>
      </c>
      <c r="AH203" s="2223" t="str" cm="1">
        <f t="array" ref="AH203">IF($D203&lt;COLUMNS($F$7:AH$7),"",INDEX(TableDiv[[GASB]:[GASB]],_xlfn.AGGREGATE(15,3,(TableDiv[[Agency]:[Agency]]=$E203)/(TableDiv[[Agency]:[Agency]]=$E203)*(ROW(TableDiv[Agency])-ROW(TableDiv[[#Headers],[Agency]])),COLUMNS($F$7:AH$7))))</f>
        <v/>
      </c>
      <c r="AI203" s="2223" t="str" cm="1">
        <f t="array" ref="AI203">IF($D203&lt;COLUMNS($F$7:AI$7),"",INDEX(TableDiv[[GASB]:[GASB]],_xlfn.AGGREGATE(15,3,(TableDiv[[Agency]:[Agency]]=$E203)/(TableDiv[[Agency]:[Agency]]=$E203)*(ROW(TableDiv[Agency])-ROW(TableDiv[[#Headers],[Agency]])),COLUMNS($F$7:AI$7))))</f>
        <v/>
      </c>
      <c r="AJ203" s="2223" t="str" cm="1">
        <f t="array" ref="AJ203">IF($D203&lt;COLUMNS($F$7:AJ$7),"",INDEX(TableDiv[[GASB]:[GASB]],_xlfn.AGGREGATE(15,3,(TableDiv[[Agency]:[Agency]]=$E203)/(TableDiv[[Agency]:[Agency]]=$E203)*(ROW(TableDiv[Agency])-ROW(TableDiv[[#Headers],[Agency]])),COLUMNS($F$7:AJ$7))))</f>
        <v/>
      </c>
      <c r="AK203" s="2223" t="str" cm="1">
        <f t="array" ref="AK203">IF($D203&lt;COLUMNS($F$7:AK$7),"",INDEX(TableDiv[[GASB]:[GASB]],_xlfn.AGGREGATE(15,3,(TableDiv[[Agency]:[Agency]]=$E203)/(TableDiv[[Agency]:[Agency]]=$E203)*(ROW(TableDiv[Agency])-ROW(TableDiv[[#Headers],[Agency]])),COLUMNS($F$7:AK$7))))</f>
        <v/>
      </c>
      <c r="AL203" s="2223" t="str" cm="1">
        <f t="array" ref="AL203">IF($D203&lt;COLUMNS($F$7:AL$7),"",INDEX(TableDiv[[GASB]:[GASB]],_xlfn.AGGREGATE(15,3,(TableDiv[[Agency]:[Agency]]=$E203)/(TableDiv[[Agency]:[Agency]]=$E203)*(ROW(TableDiv[Agency])-ROW(TableDiv[[#Headers],[Agency]])),COLUMNS($F$7:AL$7))))</f>
        <v/>
      </c>
      <c r="AM203" s="2223" t="str" cm="1">
        <f t="array" ref="AM203">IF($D203&lt;COLUMNS($F$7:AM$7),"",INDEX(TableDiv[[GASB]:[GASB]],_xlfn.AGGREGATE(15,3,(TableDiv[[Agency]:[Agency]]=$E203)/(TableDiv[[Agency]:[Agency]]=$E203)*(ROW(TableDiv[Agency])-ROW(TableDiv[[#Headers],[Agency]])),COLUMNS($F$7:AM$7))))</f>
        <v/>
      </c>
      <c r="AN203" s="2223"/>
      <c r="AO203" s="2223"/>
      <c r="AP203" s="2223"/>
      <c r="AQ203" s="2223"/>
      <c r="AR203" s="2223"/>
      <c r="AS203" s="2223"/>
    </row>
    <row r="204" spans="1:45" ht="15" x14ac:dyDescent="0.25">
      <c r="A204" s="2219" t="s">
        <v>6451</v>
      </c>
      <c r="B204" s="2219" t="s">
        <v>6402</v>
      </c>
      <c r="C204" s="2223"/>
      <c r="D204" s="2223">
        <f>COUNTIF(TableDiv[Agency],E204)</f>
        <v>1</v>
      </c>
      <c r="E204" s="2230" t="str" cm="1">
        <f t="array" ref="E204">IFERROR(INDEX(TableDiv[Agency],MATCH(0,INDEX(COUNTIF($E$7:E203,TableDiv[Agency]),),0)),"")</f>
        <v>ZN00</v>
      </c>
      <c r="F204" s="2223" t="str" cm="1">
        <f t="array" ref="F204">IF($D204&lt;COLUMNS($F$7:F$7),"",INDEX(TableDiv[[GASB]:[GASB]],_xlfn.AGGREGATE(15,3,(TableDiv[[Agency]:[Agency]]=$E204)/(TableDiv[[Agency]:[Agency]]=$E204)*(ROW(TableDiv[Agency])-ROW(TableDiv[[#Headers],[Agency]])),COLUMNS($F$7:F$7))))</f>
        <v>ZN</v>
      </c>
      <c r="G204" s="2223" t="str" cm="1">
        <f t="array" ref="G204">IF($D204&lt;COLUMNS($F$7:G$7),"",INDEX(TableDiv[[GASB]:[GASB]],_xlfn.AGGREGATE(15,3,(TableDiv[[Agency]:[Agency]]=$E204)/(TableDiv[[Agency]:[Agency]]=$E204)*(ROW(TableDiv[Agency])-ROW(TableDiv[[#Headers],[Agency]])),COLUMNS($F$7:G$7))))</f>
        <v/>
      </c>
      <c r="H204" s="2223" t="str" cm="1">
        <f t="array" ref="H204">IF($D204&lt;COLUMNS($F$7:H$7),"",INDEX(TableDiv[[GASB]:[GASB]],_xlfn.AGGREGATE(15,3,(TableDiv[[Agency]:[Agency]]=$E204)/(TableDiv[[Agency]:[Agency]]=$E204)*(ROW(TableDiv[Agency])-ROW(TableDiv[[#Headers],[Agency]])),COLUMNS($F$7:H$7))))</f>
        <v/>
      </c>
      <c r="I204" s="2223" t="str" cm="1">
        <f t="array" ref="I204">IF($D204&lt;COLUMNS($F$7:I$7),"",INDEX(TableDiv[[GASB]:[GASB]],_xlfn.AGGREGATE(15,3,(TableDiv[[Agency]:[Agency]]=$E204)/(TableDiv[[Agency]:[Agency]]=$E204)*(ROW(TableDiv[Agency])-ROW(TableDiv[[#Headers],[Agency]])),COLUMNS($F$7:I$7))))</f>
        <v/>
      </c>
      <c r="J204" s="2223" t="str" cm="1">
        <f t="array" ref="J204">IF($D204&lt;COLUMNS($F$7:J$7),"",INDEX(TableDiv[[GASB]:[GASB]],_xlfn.AGGREGATE(15,3,(TableDiv[[Agency]:[Agency]]=$E204)/(TableDiv[[Agency]:[Agency]]=$E204)*(ROW(TableDiv[Agency])-ROW(TableDiv[[#Headers],[Agency]])),COLUMNS($F$7:J$7))))</f>
        <v/>
      </c>
      <c r="K204" s="2223" t="str" cm="1">
        <f t="array" ref="K204">IF($D204&lt;COLUMNS($F$7:K$7),"",INDEX(TableDiv[[GASB]:[GASB]],_xlfn.AGGREGATE(15,3,(TableDiv[[Agency]:[Agency]]=$E204)/(TableDiv[[Agency]:[Agency]]=$E204)*(ROW(TableDiv[Agency])-ROW(TableDiv[[#Headers],[Agency]])),COLUMNS($F$7:K$7))))</f>
        <v/>
      </c>
      <c r="L204" s="2223" t="str" cm="1">
        <f t="array" ref="L204">IF($D204&lt;COLUMNS($F$7:L$7),"",INDEX(TableDiv[[GASB]:[GASB]],_xlfn.AGGREGATE(15,3,(TableDiv[[Agency]:[Agency]]=$E204)/(TableDiv[[Agency]:[Agency]]=$E204)*(ROW(TableDiv[Agency])-ROW(TableDiv[[#Headers],[Agency]])),COLUMNS($F$7:L$7))))</f>
        <v/>
      </c>
      <c r="M204" s="2223" t="str" cm="1">
        <f t="array" ref="M204">IF($D204&lt;COLUMNS($F$7:M$7),"",INDEX(TableDiv[[GASB]:[GASB]],_xlfn.AGGREGATE(15,3,(TableDiv[[Agency]:[Agency]]=$E204)/(TableDiv[[Agency]:[Agency]]=$E204)*(ROW(TableDiv[Agency])-ROW(TableDiv[[#Headers],[Agency]])),COLUMNS($F$7:M$7))))</f>
        <v/>
      </c>
      <c r="N204" s="2223" t="str" cm="1">
        <f t="array" ref="N204">IF($D204&lt;COLUMNS($F$7:N$7),"",INDEX(TableDiv[[GASB]:[GASB]],_xlfn.AGGREGATE(15,3,(TableDiv[[Agency]:[Agency]]=$E204)/(TableDiv[[Agency]:[Agency]]=$E204)*(ROW(TableDiv[Agency])-ROW(TableDiv[[#Headers],[Agency]])),COLUMNS($F$7:N$7))))</f>
        <v/>
      </c>
      <c r="O204" s="2223" t="str" cm="1">
        <f t="array" ref="O204">IF($D204&lt;COLUMNS($F$7:O$7),"",INDEX(TableDiv[[GASB]:[GASB]],_xlfn.AGGREGATE(15,3,(TableDiv[[Agency]:[Agency]]=$E204)/(TableDiv[[Agency]:[Agency]]=$E204)*(ROW(TableDiv[Agency])-ROW(TableDiv[[#Headers],[Agency]])),COLUMNS($F$7:O$7))))</f>
        <v/>
      </c>
      <c r="P204" s="2223" t="str" cm="1">
        <f t="array" ref="P204">IF($D204&lt;COLUMNS($F$7:P$7),"",INDEX(TableDiv[[GASB]:[GASB]],_xlfn.AGGREGATE(15,3,(TableDiv[[Agency]:[Agency]]=$E204)/(TableDiv[[Agency]:[Agency]]=$E204)*(ROW(TableDiv[Agency])-ROW(TableDiv[[#Headers],[Agency]])),COLUMNS($F$7:P$7))))</f>
        <v/>
      </c>
      <c r="Q204" s="2223" t="str" cm="1">
        <f t="array" ref="Q204">IF($D204&lt;COLUMNS($F$7:Q$7),"",INDEX(TableDiv[[GASB]:[GASB]],_xlfn.AGGREGATE(15,3,(TableDiv[[Agency]:[Agency]]=$E204)/(TableDiv[[Agency]:[Agency]]=$E204)*(ROW(TableDiv[Agency])-ROW(TableDiv[[#Headers],[Agency]])),COLUMNS($F$7:Q$7))))</f>
        <v/>
      </c>
      <c r="R204" s="2223" t="str" cm="1">
        <f t="array" ref="R204">IF($D204&lt;COLUMNS($F$7:R$7),"",INDEX(TableDiv[[GASB]:[GASB]],_xlfn.AGGREGATE(15,3,(TableDiv[[Agency]:[Agency]]=$E204)/(TableDiv[[Agency]:[Agency]]=$E204)*(ROW(TableDiv[Agency])-ROW(TableDiv[[#Headers],[Agency]])),COLUMNS($F$7:R$7))))</f>
        <v/>
      </c>
      <c r="S204" s="2223" t="str" cm="1">
        <f t="array" ref="S204">IF($D204&lt;COLUMNS($F$7:S$7),"",INDEX(TableDiv[[GASB]:[GASB]],_xlfn.AGGREGATE(15,3,(TableDiv[[Agency]:[Agency]]=$E204)/(TableDiv[[Agency]:[Agency]]=$E204)*(ROW(TableDiv[Agency])-ROW(TableDiv[[#Headers],[Agency]])),COLUMNS($F$7:S$7))))</f>
        <v/>
      </c>
      <c r="T204" s="2223" t="str" cm="1">
        <f t="array" ref="T204">IF($D204&lt;COLUMNS($F$7:T$7),"",INDEX(TableDiv[[GASB]:[GASB]],_xlfn.AGGREGATE(15,3,(TableDiv[[Agency]:[Agency]]=$E204)/(TableDiv[[Agency]:[Agency]]=$E204)*(ROW(TableDiv[Agency])-ROW(TableDiv[[#Headers],[Agency]])),COLUMNS($F$7:T$7))))</f>
        <v/>
      </c>
      <c r="U204" s="2223" t="str" cm="1">
        <f t="array" ref="U204">IF($D204&lt;COLUMNS($F$7:U$7),"",INDEX(TableDiv[[GASB]:[GASB]],_xlfn.AGGREGATE(15,3,(TableDiv[[Agency]:[Agency]]=$E204)/(TableDiv[[Agency]:[Agency]]=$E204)*(ROW(TableDiv[Agency])-ROW(TableDiv[[#Headers],[Agency]])),COLUMNS($F$7:U$7))))</f>
        <v/>
      </c>
      <c r="V204" s="2223" t="str" cm="1">
        <f t="array" ref="V204">IF($D204&lt;COLUMNS($F$7:V$7),"",INDEX(TableDiv[[GASB]:[GASB]],_xlfn.AGGREGATE(15,3,(TableDiv[[Agency]:[Agency]]=$E204)/(TableDiv[[Agency]:[Agency]]=$E204)*(ROW(TableDiv[Agency])-ROW(TableDiv[[#Headers],[Agency]])),COLUMNS($F$7:V$7))))</f>
        <v/>
      </c>
      <c r="W204" s="2223" t="str" cm="1">
        <f t="array" ref="W204">IF($D204&lt;COLUMNS($F$7:W$7),"",INDEX(TableDiv[[GASB]:[GASB]],_xlfn.AGGREGATE(15,3,(TableDiv[[Agency]:[Agency]]=$E204)/(TableDiv[[Agency]:[Agency]]=$E204)*(ROW(TableDiv[Agency])-ROW(TableDiv[[#Headers],[Agency]])),COLUMNS($F$7:W$7))))</f>
        <v/>
      </c>
      <c r="X204" s="2223" t="str" cm="1">
        <f t="array" ref="X204">IF($D204&lt;COLUMNS($F$7:X$7),"",INDEX(TableDiv[[GASB]:[GASB]],_xlfn.AGGREGATE(15,3,(TableDiv[[Agency]:[Agency]]=$E204)/(TableDiv[[Agency]:[Agency]]=$E204)*(ROW(TableDiv[Agency])-ROW(TableDiv[[#Headers],[Agency]])),COLUMNS($F$7:X$7))))</f>
        <v/>
      </c>
      <c r="Y204" s="2223" t="str" cm="1">
        <f t="array" ref="Y204">IF($D204&lt;COLUMNS($F$7:Y$7),"",INDEX(TableDiv[[GASB]:[GASB]],_xlfn.AGGREGATE(15,3,(TableDiv[[Agency]:[Agency]]=$E204)/(TableDiv[[Agency]:[Agency]]=$E204)*(ROW(TableDiv[Agency])-ROW(TableDiv[[#Headers],[Agency]])),COLUMNS($F$7:Y$7))))</f>
        <v/>
      </c>
      <c r="Z204" s="2223" t="str" cm="1">
        <f t="array" ref="Z204">IF($D204&lt;COLUMNS($F$7:Z$7),"",INDEX(TableDiv[[GASB]:[GASB]],_xlfn.AGGREGATE(15,3,(TableDiv[[Agency]:[Agency]]=$E204)/(TableDiv[[Agency]:[Agency]]=$E204)*(ROW(TableDiv[Agency])-ROW(TableDiv[[#Headers],[Agency]])),COLUMNS($F$7:Z$7))))</f>
        <v/>
      </c>
      <c r="AA204" s="2223" t="str" cm="1">
        <f t="array" ref="AA204">IF($D204&lt;COLUMNS($F$7:AA$7),"",INDEX(TableDiv[[GASB]:[GASB]],_xlfn.AGGREGATE(15,3,(TableDiv[[Agency]:[Agency]]=$E204)/(TableDiv[[Agency]:[Agency]]=$E204)*(ROW(TableDiv[Agency])-ROW(TableDiv[[#Headers],[Agency]])),COLUMNS($F$7:AA$7))))</f>
        <v/>
      </c>
      <c r="AB204" s="2223" t="str" cm="1">
        <f t="array" ref="AB204">IF($D204&lt;COLUMNS($F$7:AB$7),"",INDEX(TableDiv[[GASB]:[GASB]],_xlfn.AGGREGATE(15,3,(TableDiv[[Agency]:[Agency]]=$E204)/(TableDiv[[Agency]:[Agency]]=$E204)*(ROW(TableDiv[Agency])-ROW(TableDiv[[#Headers],[Agency]])),COLUMNS($F$7:AB$7))))</f>
        <v/>
      </c>
      <c r="AC204" s="2223" t="str" cm="1">
        <f t="array" ref="AC204">IF($D204&lt;COLUMNS($F$7:AC$7),"",INDEX(TableDiv[[GASB]:[GASB]],_xlfn.AGGREGATE(15,3,(TableDiv[[Agency]:[Agency]]=$E204)/(TableDiv[[Agency]:[Agency]]=$E204)*(ROW(TableDiv[Agency])-ROW(TableDiv[[#Headers],[Agency]])),COLUMNS($F$7:AC$7))))</f>
        <v/>
      </c>
      <c r="AD204" s="2223" t="str" cm="1">
        <f t="array" ref="AD204">IF($D204&lt;COLUMNS($F$7:AD$7),"",INDEX(TableDiv[[GASB]:[GASB]],_xlfn.AGGREGATE(15,3,(TableDiv[[Agency]:[Agency]]=$E204)/(TableDiv[[Agency]:[Agency]]=$E204)*(ROW(TableDiv[Agency])-ROW(TableDiv[[#Headers],[Agency]])),COLUMNS($F$7:AD$7))))</f>
        <v/>
      </c>
      <c r="AE204" s="2223" t="str" cm="1">
        <f t="array" ref="AE204">IF($D204&lt;COLUMNS($F$7:AE$7),"",INDEX(TableDiv[[GASB]:[GASB]],_xlfn.AGGREGATE(15,3,(TableDiv[[Agency]:[Agency]]=$E204)/(TableDiv[[Agency]:[Agency]]=$E204)*(ROW(TableDiv[Agency])-ROW(TableDiv[[#Headers],[Agency]])),COLUMNS($F$7:AE$7))))</f>
        <v/>
      </c>
      <c r="AF204" s="2223" t="str" cm="1">
        <f t="array" ref="AF204">IF($D204&lt;COLUMNS($F$7:AF$7),"",INDEX(TableDiv[[GASB]:[GASB]],_xlfn.AGGREGATE(15,3,(TableDiv[[Agency]:[Agency]]=$E204)/(TableDiv[[Agency]:[Agency]]=$E204)*(ROW(TableDiv[Agency])-ROW(TableDiv[[#Headers],[Agency]])),COLUMNS($F$7:AF$7))))</f>
        <v/>
      </c>
      <c r="AG204" s="2223" t="str" cm="1">
        <f t="array" ref="AG204">IF($D204&lt;COLUMNS($F$7:AG$7),"",INDEX(TableDiv[[GASB]:[GASB]],_xlfn.AGGREGATE(15,3,(TableDiv[[Agency]:[Agency]]=$E204)/(TableDiv[[Agency]:[Agency]]=$E204)*(ROW(TableDiv[Agency])-ROW(TableDiv[[#Headers],[Agency]])),COLUMNS($F$7:AG$7))))</f>
        <v/>
      </c>
      <c r="AH204" s="2223" t="str" cm="1">
        <f t="array" ref="AH204">IF($D204&lt;COLUMNS($F$7:AH$7),"",INDEX(TableDiv[[GASB]:[GASB]],_xlfn.AGGREGATE(15,3,(TableDiv[[Agency]:[Agency]]=$E204)/(TableDiv[[Agency]:[Agency]]=$E204)*(ROW(TableDiv[Agency])-ROW(TableDiv[[#Headers],[Agency]])),COLUMNS($F$7:AH$7))))</f>
        <v/>
      </c>
      <c r="AI204" s="2223" t="str" cm="1">
        <f t="array" ref="AI204">IF($D204&lt;COLUMNS($F$7:AI$7),"",INDEX(TableDiv[[GASB]:[GASB]],_xlfn.AGGREGATE(15,3,(TableDiv[[Agency]:[Agency]]=$E204)/(TableDiv[[Agency]:[Agency]]=$E204)*(ROW(TableDiv[Agency])-ROW(TableDiv[[#Headers],[Agency]])),COLUMNS($F$7:AI$7))))</f>
        <v/>
      </c>
      <c r="AJ204" s="2223" t="str" cm="1">
        <f t="array" ref="AJ204">IF($D204&lt;COLUMNS($F$7:AJ$7),"",INDEX(TableDiv[[GASB]:[GASB]],_xlfn.AGGREGATE(15,3,(TableDiv[[Agency]:[Agency]]=$E204)/(TableDiv[[Agency]:[Agency]]=$E204)*(ROW(TableDiv[Agency])-ROW(TableDiv[[#Headers],[Agency]])),COLUMNS($F$7:AJ$7))))</f>
        <v/>
      </c>
      <c r="AK204" s="2223" t="str" cm="1">
        <f t="array" ref="AK204">IF($D204&lt;COLUMNS($F$7:AK$7),"",INDEX(TableDiv[[GASB]:[GASB]],_xlfn.AGGREGATE(15,3,(TableDiv[[Agency]:[Agency]]=$E204)/(TableDiv[[Agency]:[Agency]]=$E204)*(ROW(TableDiv[Agency])-ROW(TableDiv[[#Headers],[Agency]])),COLUMNS($F$7:AK$7))))</f>
        <v/>
      </c>
      <c r="AL204" s="2223" t="str" cm="1">
        <f t="array" ref="AL204">IF($D204&lt;COLUMNS($F$7:AL$7),"",INDEX(TableDiv[[GASB]:[GASB]],_xlfn.AGGREGATE(15,3,(TableDiv[[Agency]:[Agency]]=$E204)/(TableDiv[[Agency]:[Agency]]=$E204)*(ROW(TableDiv[Agency])-ROW(TableDiv[[#Headers],[Agency]])),COLUMNS($F$7:AL$7))))</f>
        <v/>
      </c>
      <c r="AM204" s="2223" t="str" cm="1">
        <f t="array" ref="AM204">IF($D204&lt;COLUMNS($F$7:AM$7),"",INDEX(TableDiv[[GASB]:[GASB]],_xlfn.AGGREGATE(15,3,(TableDiv[[Agency]:[Agency]]=$E204)/(TableDiv[[Agency]:[Agency]]=$E204)*(ROW(TableDiv[Agency])-ROW(TableDiv[[#Headers],[Agency]])),COLUMNS($F$7:AM$7))))</f>
        <v/>
      </c>
      <c r="AN204" s="2223"/>
      <c r="AO204" s="2223"/>
      <c r="AP204" s="2223"/>
      <c r="AQ204" s="2223"/>
      <c r="AR204" s="2223"/>
      <c r="AS204" s="2223"/>
    </row>
    <row r="205" spans="1:45" ht="15" x14ac:dyDescent="0.25">
      <c r="A205" s="2219" t="s">
        <v>6452</v>
      </c>
      <c r="B205" s="2219" t="s">
        <v>6357</v>
      </c>
      <c r="C205" s="2223"/>
      <c r="D205" s="2223">
        <f>COUNTIF(TableDiv[Agency],E205)</f>
        <v>1</v>
      </c>
      <c r="E205" s="2230" t="str" cm="1">
        <f t="array" ref="E205">IFERROR(INDEX(TableDiv[Agency],MATCH(0,INDEX(COUNTIF($E$7:E204,TableDiv[Agency]),),0)),"")</f>
        <v>Outside Agency</v>
      </c>
      <c r="F205" s="2223" t="str" cm="1">
        <f t="array" ref="F205">IF($D205&lt;COLUMNS($F$7:F$7),"",INDEX(TableDiv[[GASB]:[GASB]],_xlfn.AGGREGATE(15,3,(TableDiv[[Agency]:[Agency]]=$E205)/(TableDiv[[Agency]:[Agency]]=$E205)*(ROW(TableDiv[Agency])-ROW(TableDiv[[#Headers],[Agency]])),COLUMNS($F$7:F$7))))</f>
        <v>FCCS_No Intercompany</v>
      </c>
      <c r="G205" s="2223" t="str" cm="1">
        <f t="array" ref="G205">IF($D205&lt;COLUMNS($F$7:G$7),"",INDEX(TableDiv[[GASB]:[GASB]],_xlfn.AGGREGATE(15,3,(TableDiv[[Agency]:[Agency]]=$E205)/(TableDiv[[Agency]:[Agency]]=$E205)*(ROW(TableDiv[Agency])-ROW(TableDiv[[#Headers],[Agency]])),COLUMNS($F$7:G$7))))</f>
        <v/>
      </c>
      <c r="H205" s="2223" t="str" cm="1">
        <f t="array" ref="H205">IF($D205&lt;COLUMNS($F$7:H$7),"",INDEX(TableDiv[[GASB]:[GASB]],_xlfn.AGGREGATE(15,3,(TableDiv[[Agency]:[Agency]]=$E205)/(TableDiv[[Agency]:[Agency]]=$E205)*(ROW(TableDiv[Agency])-ROW(TableDiv[[#Headers],[Agency]])),COLUMNS($F$7:H$7))))</f>
        <v/>
      </c>
      <c r="I205" s="2223" t="str" cm="1">
        <f t="array" ref="I205">IF($D205&lt;COLUMNS($F$7:I$7),"",INDEX(TableDiv[[GASB]:[GASB]],_xlfn.AGGREGATE(15,3,(TableDiv[[Agency]:[Agency]]=$E205)/(TableDiv[[Agency]:[Agency]]=$E205)*(ROW(TableDiv[Agency])-ROW(TableDiv[[#Headers],[Agency]])),COLUMNS($F$7:I$7))))</f>
        <v/>
      </c>
      <c r="J205" s="2223" t="str" cm="1">
        <f t="array" ref="J205">IF($D205&lt;COLUMNS($F$7:J$7),"",INDEX(TableDiv[[GASB]:[GASB]],_xlfn.AGGREGATE(15,3,(TableDiv[[Agency]:[Agency]]=$E205)/(TableDiv[[Agency]:[Agency]]=$E205)*(ROW(TableDiv[Agency])-ROW(TableDiv[[#Headers],[Agency]])),COLUMNS($F$7:J$7))))</f>
        <v/>
      </c>
      <c r="K205" s="2223" t="str" cm="1">
        <f t="array" ref="K205">IF($D205&lt;COLUMNS($F$7:K$7),"",INDEX(TableDiv[[GASB]:[GASB]],_xlfn.AGGREGATE(15,3,(TableDiv[[Agency]:[Agency]]=$E205)/(TableDiv[[Agency]:[Agency]]=$E205)*(ROW(TableDiv[Agency])-ROW(TableDiv[[#Headers],[Agency]])),COLUMNS($F$7:K$7))))</f>
        <v/>
      </c>
      <c r="L205" s="2223" t="str" cm="1">
        <f t="array" ref="L205">IF($D205&lt;COLUMNS($F$7:L$7),"",INDEX(TableDiv[[GASB]:[GASB]],_xlfn.AGGREGATE(15,3,(TableDiv[[Agency]:[Agency]]=$E205)/(TableDiv[[Agency]:[Agency]]=$E205)*(ROW(TableDiv[Agency])-ROW(TableDiv[[#Headers],[Agency]])),COLUMNS($F$7:L$7))))</f>
        <v/>
      </c>
      <c r="M205" s="2223" t="str" cm="1">
        <f t="array" ref="M205">IF($D205&lt;COLUMNS($F$7:M$7),"",INDEX(TableDiv[[GASB]:[GASB]],_xlfn.AGGREGATE(15,3,(TableDiv[[Agency]:[Agency]]=$E205)/(TableDiv[[Agency]:[Agency]]=$E205)*(ROW(TableDiv[Agency])-ROW(TableDiv[[#Headers],[Agency]])),COLUMNS($F$7:M$7))))</f>
        <v/>
      </c>
      <c r="N205" s="2223" t="str" cm="1">
        <f t="array" ref="N205">IF($D205&lt;COLUMNS($F$7:N$7),"",INDEX(TableDiv[[GASB]:[GASB]],_xlfn.AGGREGATE(15,3,(TableDiv[[Agency]:[Agency]]=$E205)/(TableDiv[[Agency]:[Agency]]=$E205)*(ROW(TableDiv[Agency])-ROW(TableDiv[[#Headers],[Agency]])),COLUMNS($F$7:N$7))))</f>
        <v/>
      </c>
      <c r="O205" s="2223" t="str" cm="1">
        <f t="array" ref="O205">IF($D205&lt;COLUMNS($F$7:O$7),"",INDEX(TableDiv[[GASB]:[GASB]],_xlfn.AGGREGATE(15,3,(TableDiv[[Agency]:[Agency]]=$E205)/(TableDiv[[Agency]:[Agency]]=$E205)*(ROW(TableDiv[Agency])-ROW(TableDiv[[#Headers],[Agency]])),COLUMNS($F$7:O$7))))</f>
        <v/>
      </c>
      <c r="P205" s="2223" t="str" cm="1">
        <f t="array" ref="P205">IF($D205&lt;COLUMNS($F$7:P$7),"",INDEX(TableDiv[[GASB]:[GASB]],_xlfn.AGGREGATE(15,3,(TableDiv[[Agency]:[Agency]]=$E205)/(TableDiv[[Agency]:[Agency]]=$E205)*(ROW(TableDiv[Agency])-ROW(TableDiv[[#Headers],[Agency]])),COLUMNS($F$7:P$7))))</f>
        <v/>
      </c>
      <c r="Q205" s="2223" t="str" cm="1">
        <f t="array" ref="Q205">IF($D205&lt;COLUMNS($F$7:Q$7),"",INDEX(TableDiv[[GASB]:[GASB]],_xlfn.AGGREGATE(15,3,(TableDiv[[Agency]:[Agency]]=$E205)/(TableDiv[[Agency]:[Agency]]=$E205)*(ROW(TableDiv[Agency])-ROW(TableDiv[[#Headers],[Agency]])),COLUMNS($F$7:Q$7))))</f>
        <v/>
      </c>
      <c r="R205" s="2223" t="str" cm="1">
        <f t="array" ref="R205">IF($D205&lt;COLUMNS($F$7:R$7),"",INDEX(TableDiv[[GASB]:[GASB]],_xlfn.AGGREGATE(15,3,(TableDiv[[Agency]:[Agency]]=$E205)/(TableDiv[[Agency]:[Agency]]=$E205)*(ROW(TableDiv[Agency])-ROW(TableDiv[[#Headers],[Agency]])),COLUMNS($F$7:R$7))))</f>
        <v/>
      </c>
      <c r="S205" s="2223" t="str" cm="1">
        <f t="array" ref="S205">IF($D205&lt;COLUMNS($F$7:S$7),"",INDEX(TableDiv[[GASB]:[GASB]],_xlfn.AGGREGATE(15,3,(TableDiv[[Agency]:[Agency]]=$E205)/(TableDiv[[Agency]:[Agency]]=$E205)*(ROW(TableDiv[Agency])-ROW(TableDiv[[#Headers],[Agency]])),COLUMNS($F$7:S$7))))</f>
        <v/>
      </c>
      <c r="T205" s="2223" t="str" cm="1">
        <f t="array" ref="T205">IF($D205&lt;COLUMNS($F$7:T$7),"",INDEX(TableDiv[[GASB]:[GASB]],_xlfn.AGGREGATE(15,3,(TableDiv[[Agency]:[Agency]]=$E205)/(TableDiv[[Agency]:[Agency]]=$E205)*(ROW(TableDiv[Agency])-ROW(TableDiv[[#Headers],[Agency]])),COLUMNS($F$7:T$7))))</f>
        <v/>
      </c>
      <c r="U205" s="2223" t="str" cm="1">
        <f t="array" ref="U205">IF($D205&lt;COLUMNS($F$7:U$7),"",INDEX(TableDiv[[GASB]:[GASB]],_xlfn.AGGREGATE(15,3,(TableDiv[[Agency]:[Agency]]=$E205)/(TableDiv[[Agency]:[Agency]]=$E205)*(ROW(TableDiv[Agency])-ROW(TableDiv[[#Headers],[Agency]])),COLUMNS($F$7:U$7))))</f>
        <v/>
      </c>
      <c r="V205" s="2223" t="str" cm="1">
        <f t="array" ref="V205">IF($D205&lt;COLUMNS($F$7:V$7),"",INDEX(TableDiv[[GASB]:[GASB]],_xlfn.AGGREGATE(15,3,(TableDiv[[Agency]:[Agency]]=$E205)/(TableDiv[[Agency]:[Agency]]=$E205)*(ROW(TableDiv[Agency])-ROW(TableDiv[[#Headers],[Agency]])),COLUMNS($F$7:V$7))))</f>
        <v/>
      </c>
      <c r="W205" s="2223" t="str" cm="1">
        <f t="array" ref="W205">IF($D205&lt;COLUMNS($F$7:W$7),"",INDEX(TableDiv[[GASB]:[GASB]],_xlfn.AGGREGATE(15,3,(TableDiv[[Agency]:[Agency]]=$E205)/(TableDiv[[Agency]:[Agency]]=$E205)*(ROW(TableDiv[Agency])-ROW(TableDiv[[#Headers],[Agency]])),COLUMNS($F$7:W$7))))</f>
        <v/>
      </c>
      <c r="X205" s="2223" t="str" cm="1">
        <f t="array" ref="X205">IF($D205&lt;COLUMNS($F$7:X$7),"",INDEX(TableDiv[[GASB]:[GASB]],_xlfn.AGGREGATE(15,3,(TableDiv[[Agency]:[Agency]]=$E205)/(TableDiv[[Agency]:[Agency]]=$E205)*(ROW(TableDiv[Agency])-ROW(TableDiv[[#Headers],[Agency]])),COLUMNS($F$7:X$7))))</f>
        <v/>
      </c>
      <c r="Y205" s="2223" t="str" cm="1">
        <f t="array" ref="Y205">IF($D205&lt;COLUMNS($F$7:Y$7),"",INDEX(TableDiv[[GASB]:[GASB]],_xlfn.AGGREGATE(15,3,(TableDiv[[Agency]:[Agency]]=$E205)/(TableDiv[[Agency]:[Agency]]=$E205)*(ROW(TableDiv[Agency])-ROW(TableDiv[[#Headers],[Agency]])),COLUMNS($F$7:Y$7))))</f>
        <v/>
      </c>
      <c r="Z205" s="2223" t="str" cm="1">
        <f t="array" ref="Z205">IF($D205&lt;COLUMNS($F$7:Z$7),"",INDEX(TableDiv[[GASB]:[GASB]],_xlfn.AGGREGATE(15,3,(TableDiv[[Agency]:[Agency]]=$E205)/(TableDiv[[Agency]:[Agency]]=$E205)*(ROW(TableDiv[Agency])-ROW(TableDiv[[#Headers],[Agency]])),COLUMNS($F$7:Z$7))))</f>
        <v/>
      </c>
      <c r="AA205" s="2223" t="str" cm="1">
        <f t="array" ref="AA205">IF($D205&lt;COLUMNS($F$7:AA$7),"",INDEX(TableDiv[[GASB]:[GASB]],_xlfn.AGGREGATE(15,3,(TableDiv[[Agency]:[Agency]]=$E205)/(TableDiv[[Agency]:[Agency]]=$E205)*(ROW(TableDiv[Agency])-ROW(TableDiv[[#Headers],[Agency]])),COLUMNS($F$7:AA$7))))</f>
        <v/>
      </c>
      <c r="AB205" s="2223" t="str" cm="1">
        <f t="array" ref="AB205">IF($D205&lt;COLUMNS($F$7:AB$7),"",INDEX(TableDiv[[GASB]:[GASB]],_xlfn.AGGREGATE(15,3,(TableDiv[[Agency]:[Agency]]=$E205)/(TableDiv[[Agency]:[Agency]]=$E205)*(ROW(TableDiv[Agency])-ROW(TableDiv[[#Headers],[Agency]])),COLUMNS($F$7:AB$7))))</f>
        <v/>
      </c>
      <c r="AC205" s="2223" t="str" cm="1">
        <f t="array" ref="AC205">IF($D205&lt;COLUMNS($F$7:AC$7),"",INDEX(TableDiv[[GASB]:[GASB]],_xlfn.AGGREGATE(15,3,(TableDiv[[Agency]:[Agency]]=$E205)/(TableDiv[[Agency]:[Agency]]=$E205)*(ROW(TableDiv[Agency])-ROW(TableDiv[[#Headers],[Agency]])),COLUMNS($F$7:AC$7))))</f>
        <v/>
      </c>
      <c r="AD205" s="2223" t="str" cm="1">
        <f t="array" ref="AD205">IF($D205&lt;COLUMNS($F$7:AD$7),"",INDEX(TableDiv[[GASB]:[GASB]],_xlfn.AGGREGATE(15,3,(TableDiv[[Agency]:[Agency]]=$E205)/(TableDiv[[Agency]:[Agency]]=$E205)*(ROW(TableDiv[Agency])-ROW(TableDiv[[#Headers],[Agency]])),COLUMNS($F$7:AD$7))))</f>
        <v/>
      </c>
      <c r="AE205" s="2223" t="str" cm="1">
        <f t="array" ref="AE205">IF($D205&lt;COLUMNS($F$7:AE$7),"",INDEX(TableDiv[[GASB]:[GASB]],_xlfn.AGGREGATE(15,3,(TableDiv[[Agency]:[Agency]]=$E205)/(TableDiv[[Agency]:[Agency]]=$E205)*(ROW(TableDiv[Agency])-ROW(TableDiv[[#Headers],[Agency]])),COLUMNS($F$7:AE$7))))</f>
        <v/>
      </c>
      <c r="AF205" s="2223" t="str" cm="1">
        <f t="array" ref="AF205">IF($D205&lt;COLUMNS($F$7:AF$7),"",INDEX(TableDiv[[GASB]:[GASB]],_xlfn.AGGREGATE(15,3,(TableDiv[[Agency]:[Agency]]=$E205)/(TableDiv[[Agency]:[Agency]]=$E205)*(ROW(TableDiv[Agency])-ROW(TableDiv[[#Headers],[Agency]])),COLUMNS($F$7:AF$7))))</f>
        <v/>
      </c>
      <c r="AG205" s="2223" t="str" cm="1">
        <f t="array" ref="AG205">IF($D205&lt;COLUMNS($F$7:AG$7),"",INDEX(TableDiv[[GASB]:[GASB]],_xlfn.AGGREGATE(15,3,(TableDiv[[Agency]:[Agency]]=$E205)/(TableDiv[[Agency]:[Agency]]=$E205)*(ROW(TableDiv[Agency])-ROW(TableDiv[[#Headers],[Agency]])),COLUMNS($F$7:AG$7))))</f>
        <v/>
      </c>
      <c r="AH205" s="2223" t="str" cm="1">
        <f t="array" ref="AH205">IF($D205&lt;COLUMNS($F$7:AH$7),"",INDEX(TableDiv[[GASB]:[GASB]],_xlfn.AGGREGATE(15,3,(TableDiv[[Agency]:[Agency]]=$E205)/(TableDiv[[Agency]:[Agency]]=$E205)*(ROW(TableDiv[Agency])-ROW(TableDiv[[#Headers],[Agency]])),COLUMNS($F$7:AH$7))))</f>
        <v/>
      </c>
      <c r="AI205" s="2223" t="str" cm="1">
        <f t="array" ref="AI205">IF($D205&lt;COLUMNS($F$7:AI$7),"",INDEX(TableDiv[[GASB]:[GASB]],_xlfn.AGGREGATE(15,3,(TableDiv[[Agency]:[Agency]]=$E205)/(TableDiv[[Agency]:[Agency]]=$E205)*(ROW(TableDiv[Agency])-ROW(TableDiv[[#Headers],[Agency]])),COLUMNS($F$7:AI$7))))</f>
        <v/>
      </c>
      <c r="AJ205" s="2223" t="str" cm="1">
        <f t="array" ref="AJ205">IF($D205&lt;COLUMNS($F$7:AJ$7),"",INDEX(TableDiv[[GASB]:[GASB]],_xlfn.AGGREGATE(15,3,(TableDiv[[Agency]:[Agency]]=$E205)/(TableDiv[[Agency]:[Agency]]=$E205)*(ROW(TableDiv[Agency])-ROW(TableDiv[[#Headers],[Agency]])),COLUMNS($F$7:AJ$7))))</f>
        <v/>
      </c>
      <c r="AK205" s="2223" t="str" cm="1">
        <f t="array" ref="AK205">IF($D205&lt;COLUMNS($F$7:AK$7),"",INDEX(TableDiv[[GASB]:[GASB]],_xlfn.AGGREGATE(15,3,(TableDiv[[Agency]:[Agency]]=$E205)/(TableDiv[[Agency]:[Agency]]=$E205)*(ROW(TableDiv[Agency])-ROW(TableDiv[[#Headers],[Agency]])),COLUMNS($F$7:AK$7))))</f>
        <v/>
      </c>
      <c r="AL205" s="2223" t="str" cm="1">
        <f t="array" ref="AL205">IF($D205&lt;COLUMNS($F$7:AL$7),"",INDEX(TableDiv[[GASB]:[GASB]],_xlfn.AGGREGATE(15,3,(TableDiv[[Agency]:[Agency]]=$E205)/(TableDiv[[Agency]:[Agency]]=$E205)*(ROW(TableDiv[Agency])-ROW(TableDiv[[#Headers],[Agency]])),COLUMNS($F$7:AL$7))))</f>
        <v/>
      </c>
      <c r="AM205" s="2223" t="str" cm="1">
        <f t="array" ref="AM205">IF($D205&lt;COLUMNS($F$7:AM$7),"",INDEX(TableDiv[[GASB]:[GASB]],_xlfn.AGGREGATE(15,3,(TableDiv[[Agency]:[Agency]]=$E205)/(TableDiv[[Agency]:[Agency]]=$E205)*(ROW(TableDiv[Agency])-ROW(TableDiv[[#Headers],[Agency]])),COLUMNS($F$7:AM$7))))</f>
        <v/>
      </c>
      <c r="AN205" s="2223"/>
      <c r="AO205" s="2223"/>
      <c r="AP205" s="2223"/>
      <c r="AQ205" s="2223"/>
      <c r="AR205" s="2223"/>
      <c r="AS205" s="2223"/>
    </row>
    <row r="206" spans="1:45" ht="15" x14ac:dyDescent="0.25">
      <c r="A206" s="2219" t="s">
        <v>6452</v>
      </c>
      <c r="B206" s="2219" t="s">
        <v>6372</v>
      </c>
      <c r="C206" s="2223"/>
      <c r="D206" s="2223">
        <f>COUNTIF(TableDiv[Agency],E206)</f>
        <v>0</v>
      </c>
      <c r="E206" s="2230" cm="1">
        <f t="array" ref="E206">IFERROR(INDEX(TableDiv[Agency],MATCH(0,INDEX(COUNTIF($E$7:E205,TableDiv[Agency]),),0)),"")</f>
        <v>0</v>
      </c>
      <c r="F206" s="2223" t="str" cm="1">
        <f t="array" ref="F206">IF($D206&lt;COLUMNS($F$7:F$7),"",INDEX(TableDiv[[GASB]:[GASB]],_xlfn.AGGREGATE(15,3,(TableDiv[[Agency]:[Agency]]=$E206)/(TableDiv[[Agency]:[Agency]]=$E206)*(ROW(TableDiv[Agency])-ROW(TableDiv[[#Headers],[Agency]])),COLUMNS($F$7:F$7))))</f>
        <v/>
      </c>
      <c r="G206" s="2223" t="str" cm="1">
        <f t="array" ref="G206">IF($D206&lt;COLUMNS($F$7:G$7),"",INDEX(TableDiv[[GASB]:[GASB]],_xlfn.AGGREGATE(15,3,(TableDiv[[Agency]:[Agency]]=$E206)/(TableDiv[[Agency]:[Agency]]=$E206)*(ROW(TableDiv[Agency])-ROW(TableDiv[[#Headers],[Agency]])),COLUMNS($F$7:G$7))))</f>
        <v/>
      </c>
      <c r="H206" s="2223" t="str" cm="1">
        <f t="array" ref="H206">IF($D206&lt;COLUMNS($F$7:H$7),"",INDEX(TableDiv[[GASB]:[GASB]],_xlfn.AGGREGATE(15,3,(TableDiv[[Agency]:[Agency]]=$E206)/(TableDiv[[Agency]:[Agency]]=$E206)*(ROW(TableDiv[Agency])-ROW(TableDiv[[#Headers],[Agency]])),COLUMNS($F$7:H$7))))</f>
        <v/>
      </c>
      <c r="I206" s="2223" t="str" cm="1">
        <f t="array" ref="I206">IF($D206&lt;COLUMNS($F$7:I$7),"",INDEX(TableDiv[[GASB]:[GASB]],_xlfn.AGGREGATE(15,3,(TableDiv[[Agency]:[Agency]]=$E206)/(TableDiv[[Agency]:[Agency]]=$E206)*(ROW(TableDiv[Agency])-ROW(TableDiv[[#Headers],[Agency]])),COLUMNS($F$7:I$7))))</f>
        <v/>
      </c>
      <c r="J206" s="2223" t="str" cm="1">
        <f t="array" ref="J206">IF($D206&lt;COLUMNS($F$7:J$7),"",INDEX(TableDiv[[GASB]:[GASB]],_xlfn.AGGREGATE(15,3,(TableDiv[[Agency]:[Agency]]=$E206)/(TableDiv[[Agency]:[Agency]]=$E206)*(ROW(TableDiv[Agency])-ROW(TableDiv[[#Headers],[Agency]])),COLUMNS($F$7:J$7))))</f>
        <v/>
      </c>
      <c r="K206" s="2223" t="str" cm="1">
        <f t="array" ref="K206">IF($D206&lt;COLUMNS($F$7:K$7),"",INDEX(TableDiv[[GASB]:[GASB]],_xlfn.AGGREGATE(15,3,(TableDiv[[Agency]:[Agency]]=$E206)/(TableDiv[[Agency]:[Agency]]=$E206)*(ROW(TableDiv[Agency])-ROW(TableDiv[[#Headers],[Agency]])),COLUMNS($F$7:K$7))))</f>
        <v/>
      </c>
      <c r="L206" s="2223" t="str" cm="1">
        <f t="array" ref="L206">IF($D206&lt;COLUMNS($F$7:L$7),"",INDEX(TableDiv[[GASB]:[GASB]],_xlfn.AGGREGATE(15,3,(TableDiv[[Agency]:[Agency]]=$E206)/(TableDiv[[Agency]:[Agency]]=$E206)*(ROW(TableDiv[Agency])-ROW(TableDiv[[#Headers],[Agency]])),COLUMNS($F$7:L$7))))</f>
        <v/>
      </c>
      <c r="M206" s="2223" t="str" cm="1">
        <f t="array" ref="M206">IF($D206&lt;COLUMNS($F$7:M$7),"",INDEX(TableDiv[[GASB]:[GASB]],_xlfn.AGGREGATE(15,3,(TableDiv[[Agency]:[Agency]]=$E206)/(TableDiv[[Agency]:[Agency]]=$E206)*(ROW(TableDiv[Agency])-ROW(TableDiv[[#Headers],[Agency]])),COLUMNS($F$7:M$7))))</f>
        <v/>
      </c>
      <c r="N206" s="2223" t="str" cm="1">
        <f t="array" ref="N206">IF($D206&lt;COLUMNS($F$7:N$7),"",INDEX(TableDiv[[GASB]:[GASB]],_xlfn.AGGREGATE(15,3,(TableDiv[[Agency]:[Agency]]=$E206)/(TableDiv[[Agency]:[Agency]]=$E206)*(ROW(TableDiv[Agency])-ROW(TableDiv[[#Headers],[Agency]])),COLUMNS($F$7:N$7))))</f>
        <v/>
      </c>
      <c r="O206" s="2223" t="str" cm="1">
        <f t="array" ref="O206">IF($D206&lt;COLUMNS($F$7:O$7),"",INDEX(TableDiv[[GASB]:[GASB]],_xlfn.AGGREGATE(15,3,(TableDiv[[Agency]:[Agency]]=$E206)/(TableDiv[[Agency]:[Agency]]=$E206)*(ROW(TableDiv[Agency])-ROW(TableDiv[[#Headers],[Agency]])),COLUMNS($F$7:O$7))))</f>
        <v/>
      </c>
      <c r="P206" s="2223" t="str" cm="1">
        <f t="array" ref="P206">IF($D206&lt;COLUMNS($F$7:P$7),"",INDEX(TableDiv[[GASB]:[GASB]],_xlfn.AGGREGATE(15,3,(TableDiv[[Agency]:[Agency]]=$E206)/(TableDiv[[Agency]:[Agency]]=$E206)*(ROW(TableDiv[Agency])-ROW(TableDiv[[#Headers],[Agency]])),COLUMNS($F$7:P$7))))</f>
        <v/>
      </c>
      <c r="Q206" s="2223" t="str" cm="1">
        <f t="array" ref="Q206">IF($D206&lt;COLUMNS($F$7:Q$7),"",INDEX(TableDiv[[GASB]:[GASB]],_xlfn.AGGREGATE(15,3,(TableDiv[[Agency]:[Agency]]=$E206)/(TableDiv[[Agency]:[Agency]]=$E206)*(ROW(TableDiv[Agency])-ROW(TableDiv[[#Headers],[Agency]])),COLUMNS($F$7:Q$7))))</f>
        <v/>
      </c>
      <c r="R206" s="2223" t="str" cm="1">
        <f t="array" ref="R206">IF($D206&lt;COLUMNS($F$7:R$7),"",INDEX(TableDiv[[GASB]:[GASB]],_xlfn.AGGREGATE(15,3,(TableDiv[[Agency]:[Agency]]=$E206)/(TableDiv[[Agency]:[Agency]]=$E206)*(ROW(TableDiv[Agency])-ROW(TableDiv[[#Headers],[Agency]])),COLUMNS($F$7:R$7))))</f>
        <v/>
      </c>
      <c r="S206" s="2223" t="str" cm="1">
        <f t="array" ref="S206">IF($D206&lt;COLUMNS($F$7:S$7),"",INDEX(TableDiv[[GASB]:[GASB]],_xlfn.AGGREGATE(15,3,(TableDiv[[Agency]:[Agency]]=$E206)/(TableDiv[[Agency]:[Agency]]=$E206)*(ROW(TableDiv[Agency])-ROW(TableDiv[[#Headers],[Agency]])),COLUMNS($F$7:S$7))))</f>
        <v/>
      </c>
      <c r="T206" s="2223" t="str" cm="1">
        <f t="array" ref="T206">IF($D206&lt;COLUMNS($F$7:T$7),"",INDEX(TableDiv[[GASB]:[GASB]],_xlfn.AGGREGATE(15,3,(TableDiv[[Agency]:[Agency]]=$E206)/(TableDiv[[Agency]:[Agency]]=$E206)*(ROW(TableDiv[Agency])-ROW(TableDiv[[#Headers],[Agency]])),COLUMNS($F$7:T$7))))</f>
        <v/>
      </c>
      <c r="U206" s="2223" t="str" cm="1">
        <f t="array" ref="U206">IF($D206&lt;COLUMNS($F$7:U$7),"",INDEX(TableDiv[[GASB]:[GASB]],_xlfn.AGGREGATE(15,3,(TableDiv[[Agency]:[Agency]]=$E206)/(TableDiv[[Agency]:[Agency]]=$E206)*(ROW(TableDiv[Agency])-ROW(TableDiv[[#Headers],[Agency]])),COLUMNS($F$7:U$7))))</f>
        <v/>
      </c>
      <c r="V206" s="2223" t="str" cm="1">
        <f t="array" ref="V206">IF($D206&lt;COLUMNS($F$7:V$7),"",INDEX(TableDiv[[GASB]:[GASB]],_xlfn.AGGREGATE(15,3,(TableDiv[[Agency]:[Agency]]=$E206)/(TableDiv[[Agency]:[Agency]]=$E206)*(ROW(TableDiv[Agency])-ROW(TableDiv[[#Headers],[Agency]])),COLUMNS($F$7:V$7))))</f>
        <v/>
      </c>
      <c r="W206" s="2223" t="str" cm="1">
        <f t="array" ref="W206">IF($D206&lt;COLUMNS($F$7:W$7),"",INDEX(TableDiv[[GASB]:[GASB]],_xlfn.AGGREGATE(15,3,(TableDiv[[Agency]:[Agency]]=$E206)/(TableDiv[[Agency]:[Agency]]=$E206)*(ROW(TableDiv[Agency])-ROW(TableDiv[[#Headers],[Agency]])),COLUMNS($F$7:W$7))))</f>
        <v/>
      </c>
      <c r="X206" s="2223" t="str" cm="1">
        <f t="array" ref="X206">IF($D206&lt;COLUMNS($F$7:X$7),"",INDEX(TableDiv[[GASB]:[GASB]],_xlfn.AGGREGATE(15,3,(TableDiv[[Agency]:[Agency]]=$E206)/(TableDiv[[Agency]:[Agency]]=$E206)*(ROW(TableDiv[Agency])-ROW(TableDiv[[#Headers],[Agency]])),COLUMNS($F$7:X$7))))</f>
        <v/>
      </c>
      <c r="Y206" s="2223" t="str" cm="1">
        <f t="array" ref="Y206">IF($D206&lt;COLUMNS($F$7:Y$7),"",INDEX(TableDiv[[GASB]:[GASB]],_xlfn.AGGREGATE(15,3,(TableDiv[[Agency]:[Agency]]=$E206)/(TableDiv[[Agency]:[Agency]]=$E206)*(ROW(TableDiv[Agency])-ROW(TableDiv[[#Headers],[Agency]])),COLUMNS($F$7:Y$7))))</f>
        <v/>
      </c>
      <c r="Z206" s="2223" t="str" cm="1">
        <f t="array" ref="Z206">IF($D206&lt;COLUMNS($F$7:Z$7),"",INDEX(TableDiv[[GASB]:[GASB]],_xlfn.AGGREGATE(15,3,(TableDiv[[Agency]:[Agency]]=$E206)/(TableDiv[[Agency]:[Agency]]=$E206)*(ROW(TableDiv[Agency])-ROW(TableDiv[[#Headers],[Agency]])),COLUMNS($F$7:Z$7))))</f>
        <v/>
      </c>
      <c r="AA206" s="2223" t="str" cm="1">
        <f t="array" ref="AA206">IF($D206&lt;COLUMNS($F$7:AA$7),"",INDEX(TableDiv[[GASB]:[GASB]],_xlfn.AGGREGATE(15,3,(TableDiv[[Agency]:[Agency]]=$E206)/(TableDiv[[Agency]:[Agency]]=$E206)*(ROW(TableDiv[Agency])-ROW(TableDiv[[#Headers],[Agency]])),COLUMNS($F$7:AA$7))))</f>
        <v/>
      </c>
      <c r="AB206" s="2223" t="str" cm="1">
        <f t="array" ref="AB206">IF($D206&lt;COLUMNS($F$7:AB$7),"",INDEX(TableDiv[[GASB]:[GASB]],_xlfn.AGGREGATE(15,3,(TableDiv[[Agency]:[Agency]]=$E206)/(TableDiv[[Agency]:[Agency]]=$E206)*(ROW(TableDiv[Agency])-ROW(TableDiv[[#Headers],[Agency]])),COLUMNS($F$7:AB$7))))</f>
        <v/>
      </c>
      <c r="AC206" s="2223" t="str" cm="1">
        <f t="array" ref="AC206">IF($D206&lt;COLUMNS($F$7:AC$7),"",INDEX(TableDiv[[GASB]:[GASB]],_xlfn.AGGREGATE(15,3,(TableDiv[[Agency]:[Agency]]=$E206)/(TableDiv[[Agency]:[Agency]]=$E206)*(ROW(TableDiv[Agency])-ROW(TableDiv[[#Headers],[Agency]])),COLUMNS($F$7:AC$7))))</f>
        <v/>
      </c>
      <c r="AD206" s="2223" t="str" cm="1">
        <f t="array" ref="AD206">IF($D206&lt;COLUMNS($F$7:AD$7),"",INDEX(TableDiv[[GASB]:[GASB]],_xlfn.AGGREGATE(15,3,(TableDiv[[Agency]:[Agency]]=$E206)/(TableDiv[[Agency]:[Agency]]=$E206)*(ROW(TableDiv[Agency])-ROW(TableDiv[[#Headers],[Agency]])),COLUMNS($F$7:AD$7))))</f>
        <v/>
      </c>
      <c r="AE206" s="2223" t="str" cm="1">
        <f t="array" ref="AE206">IF($D206&lt;COLUMNS($F$7:AE$7),"",INDEX(TableDiv[[GASB]:[GASB]],_xlfn.AGGREGATE(15,3,(TableDiv[[Agency]:[Agency]]=$E206)/(TableDiv[[Agency]:[Agency]]=$E206)*(ROW(TableDiv[Agency])-ROW(TableDiv[[#Headers],[Agency]])),COLUMNS($F$7:AE$7))))</f>
        <v/>
      </c>
      <c r="AF206" s="2223" t="str" cm="1">
        <f t="array" ref="AF206">IF($D206&lt;COLUMNS($F$7:AF$7),"",INDEX(TableDiv[[GASB]:[GASB]],_xlfn.AGGREGATE(15,3,(TableDiv[[Agency]:[Agency]]=$E206)/(TableDiv[[Agency]:[Agency]]=$E206)*(ROW(TableDiv[Agency])-ROW(TableDiv[[#Headers],[Agency]])),COLUMNS($F$7:AF$7))))</f>
        <v/>
      </c>
      <c r="AG206" s="2223" t="str" cm="1">
        <f t="array" ref="AG206">IF($D206&lt;COLUMNS($F$7:AG$7),"",INDEX(TableDiv[[GASB]:[GASB]],_xlfn.AGGREGATE(15,3,(TableDiv[[Agency]:[Agency]]=$E206)/(TableDiv[[Agency]:[Agency]]=$E206)*(ROW(TableDiv[Agency])-ROW(TableDiv[[#Headers],[Agency]])),COLUMNS($F$7:AG$7))))</f>
        <v/>
      </c>
      <c r="AH206" s="2223" t="str" cm="1">
        <f t="array" ref="AH206">IF($D206&lt;COLUMNS($F$7:AH$7),"",INDEX(TableDiv[[GASB]:[GASB]],_xlfn.AGGREGATE(15,3,(TableDiv[[Agency]:[Agency]]=$E206)/(TableDiv[[Agency]:[Agency]]=$E206)*(ROW(TableDiv[Agency])-ROW(TableDiv[[#Headers],[Agency]])),COLUMNS($F$7:AH$7))))</f>
        <v/>
      </c>
      <c r="AI206" s="2223" t="str" cm="1">
        <f t="array" ref="AI206">IF($D206&lt;COLUMNS($F$7:AI$7),"",INDEX(TableDiv[[GASB]:[GASB]],_xlfn.AGGREGATE(15,3,(TableDiv[[Agency]:[Agency]]=$E206)/(TableDiv[[Agency]:[Agency]]=$E206)*(ROW(TableDiv[Agency])-ROW(TableDiv[[#Headers],[Agency]])),COLUMNS($F$7:AI$7))))</f>
        <v/>
      </c>
      <c r="AJ206" s="2223" t="str" cm="1">
        <f t="array" ref="AJ206">IF($D206&lt;COLUMNS($F$7:AJ$7),"",INDEX(TableDiv[[GASB]:[GASB]],_xlfn.AGGREGATE(15,3,(TableDiv[[Agency]:[Agency]]=$E206)/(TableDiv[[Agency]:[Agency]]=$E206)*(ROW(TableDiv[Agency])-ROW(TableDiv[[#Headers],[Agency]])),COLUMNS($F$7:AJ$7))))</f>
        <v/>
      </c>
      <c r="AK206" s="2223" t="str" cm="1">
        <f t="array" ref="AK206">IF($D206&lt;COLUMNS($F$7:AK$7),"",INDEX(TableDiv[[GASB]:[GASB]],_xlfn.AGGREGATE(15,3,(TableDiv[[Agency]:[Agency]]=$E206)/(TableDiv[[Agency]:[Agency]]=$E206)*(ROW(TableDiv[Agency])-ROW(TableDiv[[#Headers],[Agency]])),COLUMNS($F$7:AK$7))))</f>
        <v/>
      </c>
      <c r="AL206" s="2223" t="str" cm="1">
        <f t="array" ref="AL206">IF($D206&lt;COLUMNS($F$7:AL$7),"",INDEX(TableDiv[[GASB]:[GASB]],_xlfn.AGGREGATE(15,3,(TableDiv[[Agency]:[Agency]]=$E206)/(TableDiv[[Agency]:[Agency]]=$E206)*(ROW(TableDiv[Agency])-ROW(TableDiv[[#Headers],[Agency]])),COLUMNS($F$7:AL$7))))</f>
        <v/>
      </c>
      <c r="AM206" s="2223" t="str" cm="1">
        <f t="array" ref="AM206">IF($D206&lt;COLUMNS($F$7:AM$7),"",INDEX(TableDiv[[GASB]:[GASB]],_xlfn.AGGREGATE(15,3,(TableDiv[[Agency]:[Agency]]=$E206)/(TableDiv[[Agency]:[Agency]]=$E206)*(ROW(TableDiv[Agency])-ROW(TableDiv[[#Headers],[Agency]])),COLUMNS($F$7:AM$7))))</f>
        <v/>
      </c>
      <c r="AN206" s="2223"/>
      <c r="AO206" s="2223"/>
      <c r="AP206" s="2223"/>
      <c r="AQ206" s="2223"/>
      <c r="AR206" s="2223"/>
      <c r="AS206" s="2223"/>
    </row>
    <row r="207" spans="1:45" ht="15" x14ac:dyDescent="0.25">
      <c r="A207" s="2219" t="s">
        <v>5561</v>
      </c>
      <c r="B207" s="2219" t="s">
        <v>6357</v>
      </c>
      <c r="C207" s="2223"/>
      <c r="D207" s="2223">
        <f>COUNTIF(TableDiv[Agency],E207)</f>
        <v>31</v>
      </c>
      <c r="E207" s="2230" t="str" cm="1">
        <f t="array" ref="E207">IFERROR(INDEX(TableDiv[Agency],MATCH(0,INDEX(COUNTIF($E$7:E206,TableDiv[Agency]),),0)),"")</f>
        <v/>
      </c>
      <c r="F207" s="2223" cm="1">
        <f t="array" ref="F207">IF($D207&lt;COLUMNS($F$7:F$7),"",INDEX(TableDiv[[GASB]:[GASB]],_xlfn.AGGREGATE(15,3,(TableDiv[[Agency]:[Agency]]=$E207)/(TableDiv[[Agency]:[Agency]]=$E207)*(ROW(TableDiv[Agency])-ROW(TableDiv[[#Headers],[Agency]])),COLUMNS($F$7:F$7))))</f>
        <v>0</v>
      </c>
      <c r="G207" s="2223" cm="1">
        <f t="array" ref="G207">IF($D207&lt;COLUMNS($F$7:G$7),"",INDEX(TableDiv[[GASB]:[GASB]],_xlfn.AGGREGATE(15,3,(TableDiv[[Agency]:[Agency]]=$E207)/(TableDiv[[Agency]:[Agency]]=$E207)*(ROW(TableDiv[Agency])-ROW(TableDiv[[#Headers],[Agency]])),COLUMNS($F$7:G$7))))</f>
        <v>0</v>
      </c>
      <c r="H207" s="2223" cm="1">
        <f t="array" ref="H207">IF($D207&lt;COLUMNS($F$7:H$7),"",INDEX(TableDiv[[GASB]:[GASB]],_xlfn.AGGREGATE(15,3,(TableDiv[[Agency]:[Agency]]=$E207)/(TableDiv[[Agency]:[Agency]]=$E207)*(ROW(TableDiv[Agency])-ROW(TableDiv[[#Headers],[Agency]])),COLUMNS($F$7:H$7))))</f>
        <v>0</v>
      </c>
      <c r="I207" s="2223" cm="1">
        <f t="array" ref="I207">IF($D207&lt;COLUMNS($F$7:I$7),"",INDEX(TableDiv[[GASB]:[GASB]],_xlfn.AGGREGATE(15,3,(TableDiv[[Agency]:[Agency]]=$E207)/(TableDiv[[Agency]:[Agency]]=$E207)*(ROW(TableDiv[Agency])-ROW(TableDiv[[#Headers],[Agency]])),COLUMNS($F$7:I$7))))</f>
        <v>0</v>
      </c>
      <c r="J207" s="2223" cm="1">
        <f t="array" ref="J207">IF($D207&lt;COLUMNS($F$7:J$7),"",INDEX(TableDiv[[GASB]:[GASB]],_xlfn.AGGREGATE(15,3,(TableDiv[[Agency]:[Agency]]=$E207)/(TableDiv[[Agency]:[Agency]]=$E207)*(ROW(TableDiv[Agency])-ROW(TableDiv[[#Headers],[Agency]])),COLUMNS($F$7:J$7))))</f>
        <v>0</v>
      </c>
      <c r="K207" s="2223" cm="1">
        <f t="array" ref="K207">IF($D207&lt;COLUMNS($F$7:K$7),"",INDEX(TableDiv[[GASB]:[GASB]],_xlfn.AGGREGATE(15,3,(TableDiv[[Agency]:[Agency]]=$E207)/(TableDiv[[Agency]:[Agency]]=$E207)*(ROW(TableDiv[Agency])-ROW(TableDiv[[#Headers],[Agency]])),COLUMNS($F$7:K$7))))</f>
        <v>0</v>
      </c>
      <c r="L207" s="2223" cm="1">
        <f t="array" ref="L207">IF($D207&lt;COLUMNS($F$7:L$7),"",INDEX(TableDiv[[GASB]:[GASB]],_xlfn.AGGREGATE(15,3,(TableDiv[[Agency]:[Agency]]=$E207)/(TableDiv[[Agency]:[Agency]]=$E207)*(ROW(TableDiv[Agency])-ROW(TableDiv[[#Headers],[Agency]])),COLUMNS($F$7:L$7))))</f>
        <v>0</v>
      </c>
      <c r="M207" s="2223" cm="1">
        <f t="array" ref="M207">IF($D207&lt;COLUMNS($F$7:M$7),"",INDEX(TableDiv[[GASB]:[GASB]],_xlfn.AGGREGATE(15,3,(TableDiv[[Agency]:[Agency]]=$E207)/(TableDiv[[Agency]:[Agency]]=$E207)*(ROW(TableDiv[Agency])-ROW(TableDiv[[#Headers],[Agency]])),COLUMNS($F$7:M$7))))</f>
        <v>0</v>
      </c>
      <c r="N207" s="2223" cm="1">
        <f t="array" ref="N207">IF($D207&lt;COLUMNS($F$7:N$7),"",INDEX(TableDiv[[GASB]:[GASB]],_xlfn.AGGREGATE(15,3,(TableDiv[[Agency]:[Agency]]=$E207)/(TableDiv[[Agency]:[Agency]]=$E207)*(ROW(TableDiv[Agency])-ROW(TableDiv[[#Headers],[Agency]])),COLUMNS($F$7:N$7))))</f>
        <v>0</v>
      </c>
      <c r="O207" s="2223" cm="1">
        <f t="array" ref="O207">IF($D207&lt;COLUMNS($F$7:O$7),"",INDEX(TableDiv[[GASB]:[GASB]],_xlfn.AGGREGATE(15,3,(TableDiv[[Agency]:[Agency]]=$E207)/(TableDiv[[Agency]:[Agency]]=$E207)*(ROW(TableDiv[Agency])-ROW(TableDiv[[#Headers],[Agency]])),COLUMNS($F$7:O$7))))</f>
        <v>0</v>
      </c>
      <c r="P207" s="2223" cm="1">
        <f t="array" ref="P207">IF($D207&lt;COLUMNS($F$7:P$7),"",INDEX(TableDiv[[GASB]:[GASB]],_xlfn.AGGREGATE(15,3,(TableDiv[[Agency]:[Agency]]=$E207)/(TableDiv[[Agency]:[Agency]]=$E207)*(ROW(TableDiv[Agency])-ROW(TableDiv[[#Headers],[Agency]])),COLUMNS($F$7:P$7))))</f>
        <v>0</v>
      </c>
      <c r="Q207" s="2223" cm="1">
        <f t="array" ref="Q207">IF($D207&lt;COLUMNS($F$7:Q$7),"",INDEX(TableDiv[[GASB]:[GASB]],_xlfn.AGGREGATE(15,3,(TableDiv[[Agency]:[Agency]]=$E207)/(TableDiv[[Agency]:[Agency]]=$E207)*(ROW(TableDiv[Agency])-ROW(TableDiv[[#Headers],[Agency]])),COLUMNS($F$7:Q$7))))</f>
        <v>0</v>
      </c>
      <c r="R207" s="2223" cm="1">
        <f t="array" ref="R207">IF($D207&lt;COLUMNS($F$7:R$7),"",INDEX(TableDiv[[GASB]:[GASB]],_xlfn.AGGREGATE(15,3,(TableDiv[[Agency]:[Agency]]=$E207)/(TableDiv[[Agency]:[Agency]]=$E207)*(ROW(TableDiv[Agency])-ROW(TableDiv[[#Headers],[Agency]])),COLUMNS($F$7:R$7))))</f>
        <v>0</v>
      </c>
      <c r="S207" s="2223" cm="1">
        <f t="array" ref="S207">IF($D207&lt;COLUMNS($F$7:S$7),"",INDEX(TableDiv[[GASB]:[GASB]],_xlfn.AGGREGATE(15,3,(TableDiv[[Agency]:[Agency]]=$E207)/(TableDiv[[Agency]:[Agency]]=$E207)*(ROW(TableDiv[Agency])-ROW(TableDiv[[#Headers],[Agency]])),COLUMNS($F$7:S$7))))</f>
        <v>0</v>
      </c>
      <c r="T207" s="2223" cm="1">
        <f t="array" ref="T207">IF($D207&lt;COLUMNS($F$7:T$7),"",INDEX(TableDiv[[GASB]:[GASB]],_xlfn.AGGREGATE(15,3,(TableDiv[[Agency]:[Agency]]=$E207)/(TableDiv[[Agency]:[Agency]]=$E207)*(ROW(TableDiv[Agency])-ROW(TableDiv[[#Headers],[Agency]])),COLUMNS($F$7:T$7))))</f>
        <v>0</v>
      </c>
      <c r="U207" s="2223" cm="1">
        <f t="array" ref="U207">IF($D207&lt;COLUMNS($F$7:U$7),"",INDEX(TableDiv[[GASB]:[GASB]],_xlfn.AGGREGATE(15,3,(TableDiv[[Agency]:[Agency]]=$E207)/(TableDiv[[Agency]:[Agency]]=$E207)*(ROW(TableDiv[Agency])-ROW(TableDiv[[#Headers],[Agency]])),COLUMNS($F$7:U$7))))</f>
        <v>0</v>
      </c>
      <c r="V207" s="2223" cm="1">
        <f t="array" ref="V207">IF($D207&lt;COLUMNS($F$7:V$7),"",INDEX(TableDiv[[GASB]:[GASB]],_xlfn.AGGREGATE(15,3,(TableDiv[[Agency]:[Agency]]=$E207)/(TableDiv[[Agency]:[Agency]]=$E207)*(ROW(TableDiv[Agency])-ROW(TableDiv[[#Headers],[Agency]])),COLUMNS($F$7:V$7))))</f>
        <v>0</v>
      </c>
      <c r="W207" s="2223" cm="1">
        <f t="array" ref="W207">IF($D207&lt;COLUMNS($F$7:W$7),"",INDEX(TableDiv[[GASB]:[GASB]],_xlfn.AGGREGATE(15,3,(TableDiv[[Agency]:[Agency]]=$E207)/(TableDiv[[Agency]:[Agency]]=$E207)*(ROW(TableDiv[Agency])-ROW(TableDiv[[#Headers],[Agency]])),COLUMNS($F$7:W$7))))</f>
        <v>0</v>
      </c>
      <c r="X207" s="2223" cm="1">
        <f t="array" ref="X207">IF($D207&lt;COLUMNS($F$7:X$7),"",INDEX(TableDiv[[GASB]:[GASB]],_xlfn.AGGREGATE(15,3,(TableDiv[[Agency]:[Agency]]=$E207)/(TableDiv[[Agency]:[Agency]]=$E207)*(ROW(TableDiv[Agency])-ROW(TableDiv[[#Headers],[Agency]])),COLUMNS($F$7:X$7))))</f>
        <v>0</v>
      </c>
      <c r="Y207" s="2223" cm="1">
        <f t="array" ref="Y207">IF($D207&lt;COLUMNS($F$7:Y$7),"",INDEX(TableDiv[[GASB]:[GASB]],_xlfn.AGGREGATE(15,3,(TableDiv[[Agency]:[Agency]]=$E207)/(TableDiv[[Agency]:[Agency]]=$E207)*(ROW(TableDiv[Agency])-ROW(TableDiv[[#Headers],[Agency]])),COLUMNS($F$7:Y$7))))</f>
        <v>0</v>
      </c>
      <c r="Z207" s="2223" cm="1">
        <f t="array" ref="Z207">IF($D207&lt;COLUMNS($F$7:Z$7),"",INDEX(TableDiv[[GASB]:[GASB]],_xlfn.AGGREGATE(15,3,(TableDiv[[Agency]:[Agency]]=$E207)/(TableDiv[[Agency]:[Agency]]=$E207)*(ROW(TableDiv[Agency])-ROW(TableDiv[[#Headers],[Agency]])),COLUMNS($F$7:Z$7))))</f>
        <v>0</v>
      </c>
      <c r="AA207" s="2223" cm="1">
        <f t="array" ref="AA207">IF($D207&lt;COLUMNS($F$7:AA$7),"",INDEX(TableDiv[[GASB]:[GASB]],_xlfn.AGGREGATE(15,3,(TableDiv[[Agency]:[Agency]]=$E207)/(TableDiv[[Agency]:[Agency]]=$E207)*(ROW(TableDiv[Agency])-ROW(TableDiv[[#Headers],[Agency]])),COLUMNS($F$7:AA$7))))</f>
        <v>0</v>
      </c>
      <c r="AB207" s="2223" cm="1">
        <f t="array" ref="AB207">IF($D207&lt;COLUMNS($F$7:AB$7),"",INDEX(TableDiv[[GASB]:[GASB]],_xlfn.AGGREGATE(15,3,(TableDiv[[Agency]:[Agency]]=$E207)/(TableDiv[[Agency]:[Agency]]=$E207)*(ROW(TableDiv[Agency])-ROW(TableDiv[[#Headers],[Agency]])),COLUMNS($F$7:AB$7))))</f>
        <v>0</v>
      </c>
      <c r="AC207" s="2223" cm="1">
        <f t="array" ref="AC207">IF($D207&lt;COLUMNS($F$7:AC$7),"",INDEX(TableDiv[[GASB]:[GASB]],_xlfn.AGGREGATE(15,3,(TableDiv[[Agency]:[Agency]]=$E207)/(TableDiv[[Agency]:[Agency]]=$E207)*(ROW(TableDiv[Agency])-ROW(TableDiv[[#Headers],[Agency]])),COLUMNS($F$7:AC$7))))</f>
        <v>0</v>
      </c>
      <c r="AD207" s="2223" cm="1">
        <f t="array" ref="AD207">IF($D207&lt;COLUMNS($F$7:AD$7),"",INDEX(TableDiv[[GASB]:[GASB]],_xlfn.AGGREGATE(15,3,(TableDiv[[Agency]:[Agency]]=$E207)/(TableDiv[[Agency]:[Agency]]=$E207)*(ROW(TableDiv[Agency])-ROW(TableDiv[[#Headers],[Agency]])),COLUMNS($F$7:AD$7))))</f>
        <v>0</v>
      </c>
      <c r="AE207" s="2223" cm="1">
        <f t="array" ref="AE207">IF($D207&lt;COLUMNS($F$7:AE$7),"",INDEX(TableDiv[[GASB]:[GASB]],_xlfn.AGGREGATE(15,3,(TableDiv[[Agency]:[Agency]]=$E207)/(TableDiv[[Agency]:[Agency]]=$E207)*(ROW(TableDiv[Agency])-ROW(TableDiv[[#Headers],[Agency]])),COLUMNS($F$7:AE$7))))</f>
        <v>0</v>
      </c>
      <c r="AF207" s="2223" cm="1">
        <f t="array" ref="AF207">IF($D207&lt;COLUMNS($F$7:AF$7),"",INDEX(TableDiv[[GASB]:[GASB]],_xlfn.AGGREGATE(15,3,(TableDiv[[Agency]:[Agency]]=$E207)/(TableDiv[[Agency]:[Agency]]=$E207)*(ROW(TableDiv[Agency])-ROW(TableDiv[[#Headers],[Agency]])),COLUMNS($F$7:AF$7))))</f>
        <v>0</v>
      </c>
      <c r="AG207" s="2223" cm="1">
        <f t="array" ref="AG207">IF($D207&lt;COLUMNS($F$7:AG$7),"",INDEX(TableDiv[[GASB]:[GASB]],_xlfn.AGGREGATE(15,3,(TableDiv[[Agency]:[Agency]]=$E207)/(TableDiv[[Agency]:[Agency]]=$E207)*(ROW(TableDiv[Agency])-ROW(TableDiv[[#Headers],[Agency]])),COLUMNS($F$7:AG$7))))</f>
        <v>0</v>
      </c>
      <c r="AH207" s="2223" cm="1">
        <f t="array" ref="AH207">IF($D207&lt;COLUMNS($F$7:AH$7),"",INDEX(TableDiv[[GASB]:[GASB]],_xlfn.AGGREGATE(15,3,(TableDiv[[Agency]:[Agency]]=$E207)/(TableDiv[[Agency]:[Agency]]=$E207)*(ROW(TableDiv[Agency])-ROW(TableDiv[[#Headers],[Agency]])),COLUMNS($F$7:AH$7))))</f>
        <v>0</v>
      </c>
      <c r="AI207" s="2223" cm="1">
        <f t="array" ref="AI207">IF($D207&lt;COLUMNS($F$7:AI$7),"",INDEX(TableDiv[[GASB]:[GASB]],_xlfn.AGGREGATE(15,3,(TableDiv[[Agency]:[Agency]]=$E207)/(TableDiv[[Agency]:[Agency]]=$E207)*(ROW(TableDiv[Agency])-ROW(TableDiv[[#Headers],[Agency]])),COLUMNS($F$7:AI$7))))</f>
        <v>0</v>
      </c>
      <c r="AJ207" s="2223" cm="1">
        <f t="array" ref="AJ207">IF($D207&lt;COLUMNS($F$7:AJ$7),"",INDEX(TableDiv[[GASB]:[GASB]],_xlfn.AGGREGATE(15,3,(TableDiv[[Agency]:[Agency]]=$E207)/(TableDiv[[Agency]:[Agency]]=$E207)*(ROW(TableDiv[Agency])-ROW(TableDiv[[#Headers],[Agency]])),COLUMNS($F$7:AJ$7))))</f>
        <v>0</v>
      </c>
      <c r="AK207" s="2223" t="str" cm="1">
        <f t="array" ref="AK207">IF($D207&lt;COLUMNS($F$7:AK$7),"",INDEX(TableDiv[[GASB]:[GASB]],_xlfn.AGGREGATE(15,3,(TableDiv[[Agency]:[Agency]]=$E207)/(TableDiv[[Agency]:[Agency]]=$E207)*(ROW(TableDiv[Agency])-ROW(TableDiv[[#Headers],[Agency]])),COLUMNS($F$7:AK$7))))</f>
        <v/>
      </c>
      <c r="AL207" s="2223" t="str" cm="1">
        <f t="array" ref="AL207">IF($D207&lt;COLUMNS($F$7:AL$7),"",INDEX(TableDiv[[GASB]:[GASB]],_xlfn.AGGREGATE(15,3,(TableDiv[[Agency]:[Agency]]=$E207)/(TableDiv[[Agency]:[Agency]]=$E207)*(ROW(TableDiv[Agency])-ROW(TableDiv[[#Headers],[Agency]])),COLUMNS($F$7:AL$7))))</f>
        <v/>
      </c>
      <c r="AM207" s="2223" t="str" cm="1">
        <f t="array" ref="AM207">IF($D207&lt;COLUMNS($F$7:AM$7),"",INDEX(TableDiv[[GASB]:[GASB]],_xlfn.AGGREGATE(15,3,(TableDiv[[Agency]:[Agency]]=$E207)/(TableDiv[[Agency]:[Agency]]=$E207)*(ROW(TableDiv[Agency])-ROW(TableDiv[[#Headers],[Agency]])),COLUMNS($F$7:AM$7))))</f>
        <v/>
      </c>
      <c r="AN207" s="2223"/>
      <c r="AO207" s="2223"/>
      <c r="AP207" s="2223"/>
      <c r="AQ207" s="2223"/>
      <c r="AR207" s="2223"/>
      <c r="AS207" s="2223"/>
    </row>
    <row r="208" spans="1:45" ht="15" x14ac:dyDescent="0.25">
      <c r="A208" s="2219" t="s">
        <v>5561</v>
      </c>
      <c r="B208" s="2219" t="s">
        <v>1878</v>
      </c>
      <c r="C208" s="2223"/>
      <c r="D208" s="2223">
        <f>COUNTIF(TableDiv[Agency],E208)</f>
        <v>31</v>
      </c>
      <c r="E208" s="2230" t="str" cm="1">
        <f t="array" ref="E208">IFERROR(INDEX(TableDiv[Agency],MATCH(0,INDEX(COUNTIF($E$7:E207,TableDiv[Agency]),),0)),"")</f>
        <v/>
      </c>
      <c r="F208" s="2223" cm="1">
        <f t="array" ref="F208">IF($D208&lt;COLUMNS($F$7:F$7),"",INDEX(TableDiv[[GASB]:[GASB]],_xlfn.AGGREGATE(15,3,(TableDiv[[Agency]:[Agency]]=$E208)/(TableDiv[[Agency]:[Agency]]=$E208)*(ROW(TableDiv[Agency])-ROW(TableDiv[[#Headers],[Agency]])),COLUMNS($F$7:F$7))))</f>
        <v>0</v>
      </c>
      <c r="G208" s="2223" cm="1">
        <f t="array" ref="G208">IF($D208&lt;COLUMNS($F$7:G$7),"",INDEX(TableDiv[[GASB]:[GASB]],_xlfn.AGGREGATE(15,3,(TableDiv[[Agency]:[Agency]]=$E208)/(TableDiv[[Agency]:[Agency]]=$E208)*(ROW(TableDiv[Agency])-ROW(TableDiv[[#Headers],[Agency]])),COLUMNS($F$7:G$7))))</f>
        <v>0</v>
      </c>
      <c r="H208" s="2223" cm="1">
        <f t="array" ref="H208">IF($D208&lt;COLUMNS($F$7:H$7),"",INDEX(TableDiv[[GASB]:[GASB]],_xlfn.AGGREGATE(15,3,(TableDiv[[Agency]:[Agency]]=$E208)/(TableDiv[[Agency]:[Agency]]=$E208)*(ROW(TableDiv[Agency])-ROW(TableDiv[[#Headers],[Agency]])),COLUMNS($F$7:H$7))))</f>
        <v>0</v>
      </c>
      <c r="I208" s="2223" cm="1">
        <f t="array" ref="I208">IF($D208&lt;COLUMNS($F$7:I$7),"",INDEX(TableDiv[[GASB]:[GASB]],_xlfn.AGGREGATE(15,3,(TableDiv[[Agency]:[Agency]]=$E208)/(TableDiv[[Agency]:[Agency]]=$E208)*(ROW(TableDiv[Agency])-ROW(TableDiv[[#Headers],[Agency]])),COLUMNS($F$7:I$7))))</f>
        <v>0</v>
      </c>
      <c r="J208" s="2223" cm="1">
        <f t="array" ref="J208">IF($D208&lt;COLUMNS($F$7:J$7),"",INDEX(TableDiv[[GASB]:[GASB]],_xlfn.AGGREGATE(15,3,(TableDiv[[Agency]:[Agency]]=$E208)/(TableDiv[[Agency]:[Agency]]=$E208)*(ROW(TableDiv[Agency])-ROW(TableDiv[[#Headers],[Agency]])),COLUMNS($F$7:J$7))))</f>
        <v>0</v>
      </c>
      <c r="K208" s="2223" cm="1">
        <f t="array" ref="K208">IF($D208&lt;COLUMNS($F$7:K$7),"",INDEX(TableDiv[[GASB]:[GASB]],_xlfn.AGGREGATE(15,3,(TableDiv[[Agency]:[Agency]]=$E208)/(TableDiv[[Agency]:[Agency]]=$E208)*(ROW(TableDiv[Agency])-ROW(TableDiv[[#Headers],[Agency]])),COLUMNS($F$7:K$7))))</f>
        <v>0</v>
      </c>
      <c r="L208" s="2223" cm="1">
        <f t="array" ref="L208">IF($D208&lt;COLUMNS($F$7:L$7),"",INDEX(TableDiv[[GASB]:[GASB]],_xlfn.AGGREGATE(15,3,(TableDiv[[Agency]:[Agency]]=$E208)/(TableDiv[[Agency]:[Agency]]=$E208)*(ROW(TableDiv[Agency])-ROW(TableDiv[[#Headers],[Agency]])),COLUMNS($F$7:L$7))))</f>
        <v>0</v>
      </c>
      <c r="M208" s="2223" cm="1">
        <f t="array" ref="M208">IF($D208&lt;COLUMNS($F$7:M$7),"",INDEX(TableDiv[[GASB]:[GASB]],_xlfn.AGGREGATE(15,3,(TableDiv[[Agency]:[Agency]]=$E208)/(TableDiv[[Agency]:[Agency]]=$E208)*(ROW(TableDiv[Agency])-ROW(TableDiv[[#Headers],[Agency]])),COLUMNS($F$7:M$7))))</f>
        <v>0</v>
      </c>
      <c r="N208" s="2223" cm="1">
        <f t="array" ref="N208">IF($D208&lt;COLUMNS($F$7:N$7),"",INDEX(TableDiv[[GASB]:[GASB]],_xlfn.AGGREGATE(15,3,(TableDiv[[Agency]:[Agency]]=$E208)/(TableDiv[[Agency]:[Agency]]=$E208)*(ROW(TableDiv[Agency])-ROW(TableDiv[[#Headers],[Agency]])),COLUMNS($F$7:N$7))))</f>
        <v>0</v>
      </c>
      <c r="O208" s="2223" cm="1">
        <f t="array" ref="O208">IF($D208&lt;COLUMNS($F$7:O$7),"",INDEX(TableDiv[[GASB]:[GASB]],_xlfn.AGGREGATE(15,3,(TableDiv[[Agency]:[Agency]]=$E208)/(TableDiv[[Agency]:[Agency]]=$E208)*(ROW(TableDiv[Agency])-ROW(TableDiv[[#Headers],[Agency]])),COLUMNS($F$7:O$7))))</f>
        <v>0</v>
      </c>
      <c r="P208" s="2223" cm="1">
        <f t="array" ref="P208">IF($D208&lt;COLUMNS($F$7:P$7),"",INDEX(TableDiv[[GASB]:[GASB]],_xlfn.AGGREGATE(15,3,(TableDiv[[Agency]:[Agency]]=$E208)/(TableDiv[[Agency]:[Agency]]=$E208)*(ROW(TableDiv[Agency])-ROW(TableDiv[[#Headers],[Agency]])),COLUMNS($F$7:P$7))))</f>
        <v>0</v>
      </c>
      <c r="Q208" s="2223" cm="1">
        <f t="array" ref="Q208">IF($D208&lt;COLUMNS($F$7:Q$7),"",INDEX(TableDiv[[GASB]:[GASB]],_xlfn.AGGREGATE(15,3,(TableDiv[[Agency]:[Agency]]=$E208)/(TableDiv[[Agency]:[Agency]]=$E208)*(ROW(TableDiv[Agency])-ROW(TableDiv[[#Headers],[Agency]])),COLUMNS($F$7:Q$7))))</f>
        <v>0</v>
      </c>
      <c r="R208" s="2223" cm="1">
        <f t="array" ref="R208">IF($D208&lt;COLUMNS($F$7:R$7),"",INDEX(TableDiv[[GASB]:[GASB]],_xlfn.AGGREGATE(15,3,(TableDiv[[Agency]:[Agency]]=$E208)/(TableDiv[[Agency]:[Agency]]=$E208)*(ROW(TableDiv[Agency])-ROW(TableDiv[[#Headers],[Agency]])),COLUMNS($F$7:R$7))))</f>
        <v>0</v>
      </c>
      <c r="S208" s="2223" cm="1">
        <f t="array" ref="S208">IF($D208&lt;COLUMNS($F$7:S$7),"",INDEX(TableDiv[[GASB]:[GASB]],_xlfn.AGGREGATE(15,3,(TableDiv[[Agency]:[Agency]]=$E208)/(TableDiv[[Agency]:[Agency]]=$E208)*(ROW(TableDiv[Agency])-ROW(TableDiv[[#Headers],[Agency]])),COLUMNS($F$7:S$7))))</f>
        <v>0</v>
      </c>
      <c r="T208" s="2223" cm="1">
        <f t="array" ref="T208">IF($D208&lt;COLUMNS($F$7:T$7),"",INDEX(TableDiv[[GASB]:[GASB]],_xlfn.AGGREGATE(15,3,(TableDiv[[Agency]:[Agency]]=$E208)/(TableDiv[[Agency]:[Agency]]=$E208)*(ROW(TableDiv[Agency])-ROW(TableDiv[[#Headers],[Agency]])),COLUMNS($F$7:T$7))))</f>
        <v>0</v>
      </c>
      <c r="U208" s="2223" cm="1">
        <f t="array" ref="U208">IF($D208&lt;COLUMNS($F$7:U$7),"",INDEX(TableDiv[[GASB]:[GASB]],_xlfn.AGGREGATE(15,3,(TableDiv[[Agency]:[Agency]]=$E208)/(TableDiv[[Agency]:[Agency]]=$E208)*(ROW(TableDiv[Agency])-ROW(TableDiv[[#Headers],[Agency]])),COLUMNS($F$7:U$7))))</f>
        <v>0</v>
      </c>
      <c r="V208" s="2223" cm="1">
        <f t="array" ref="V208">IF($D208&lt;COLUMNS($F$7:V$7),"",INDEX(TableDiv[[GASB]:[GASB]],_xlfn.AGGREGATE(15,3,(TableDiv[[Agency]:[Agency]]=$E208)/(TableDiv[[Agency]:[Agency]]=$E208)*(ROW(TableDiv[Agency])-ROW(TableDiv[[#Headers],[Agency]])),COLUMNS($F$7:V$7))))</f>
        <v>0</v>
      </c>
      <c r="W208" s="2223" cm="1">
        <f t="array" ref="W208">IF($D208&lt;COLUMNS($F$7:W$7),"",INDEX(TableDiv[[GASB]:[GASB]],_xlfn.AGGREGATE(15,3,(TableDiv[[Agency]:[Agency]]=$E208)/(TableDiv[[Agency]:[Agency]]=$E208)*(ROW(TableDiv[Agency])-ROW(TableDiv[[#Headers],[Agency]])),COLUMNS($F$7:W$7))))</f>
        <v>0</v>
      </c>
      <c r="X208" s="2223" cm="1">
        <f t="array" ref="X208">IF($D208&lt;COLUMNS($F$7:X$7),"",INDEX(TableDiv[[GASB]:[GASB]],_xlfn.AGGREGATE(15,3,(TableDiv[[Agency]:[Agency]]=$E208)/(TableDiv[[Agency]:[Agency]]=$E208)*(ROW(TableDiv[Agency])-ROW(TableDiv[[#Headers],[Agency]])),COLUMNS($F$7:X$7))))</f>
        <v>0</v>
      </c>
      <c r="Y208" s="2223" cm="1">
        <f t="array" ref="Y208">IF($D208&lt;COLUMNS($F$7:Y$7),"",INDEX(TableDiv[[GASB]:[GASB]],_xlfn.AGGREGATE(15,3,(TableDiv[[Agency]:[Agency]]=$E208)/(TableDiv[[Agency]:[Agency]]=$E208)*(ROW(TableDiv[Agency])-ROW(TableDiv[[#Headers],[Agency]])),COLUMNS($F$7:Y$7))))</f>
        <v>0</v>
      </c>
      <c r="Z208" s="2223" cm="1">
        <f t="array" ref="Z208">IF($D208&lt;COLUMNS($F$7:Z$7),"",INDEX(TableDiv[[GASB]:[GASB]],_xlfn.AGGREGATE(15,3,(TableDiv[[Agency]:[Agency]]=$E208)/(TableDiv[[Agency]:[Agency]]=$E208)*(ROW(TableDiv[Agency])-ROW(TableDiv[[#Headers],[Agency]])),COLUMNS($F$7:Z$7))))</f>
        <v>0</v>
      </c>
      <c r="AA208" s="2223" cm="1">
        <f t="array" ref="AA208">IF($D208&lt;COLUMNS($F$7:AA$7),"",INDEX(TableDiv[[GASB]:[GASB]],_xlfn.AGGREGATE(15,3,(TableDiv[[Agency]:[Agency]]=$E208)/(TableDiv[[Agency]:[Agency]]=$E208)*(ROW(TableDiv[Agency])-ROW(TableDiv[[#Headers],[Agency]])),COLUMNS($F$7:AA$7))))</f>
        <v>0</v>
      </c>
      <c r="AB208" s="2223" cm="1">
        <f t="array" ref="AB208">IF($D208&lt;COLUMNS($F$7:AB$7),"",INDEX(TableDiv[[GASB]:[GASB]],_xlfn.AGGREGATE(15,3,(TableDiv[[Agency]:[Agency]]=$E208)/(TableDiv[[Agency]:[Agency]]=$E208)*(ROW(TableDiv[Agency])-ROW(TableDiv[[#Headers],[Agency]])),COLUMNS($F$7:AB$7))))</f>
        <v>0</v>
      </c>
      <c r="AC208" s="2223" cm="1">
        <f t="array" ref="AC208">IF($D208&lt;COLUMNS($F$7:AC$7),"",INDEX(TableDiv[[GASB]:[GASB]],_xlfn.AGGREGATE(15,3,(TableDiv[[Agency]:[Agency]]=$E208)/(TableDiv[[Agency]:[Agency]]=$E208)*(ROW(TableDiv[Agency])-ROW(TableDiv[[#Headers],[Agency]])),COLUMNS($F$7:AC$7))))</f>
        <v>0</v>
      </c>
      <c r="AD208" s="2223" cm="1">
        <f t="array" ref="AD208">IF($D208&lt;COLUMNS($F$7:AD$7),"",INDEX(TableDiv[[GASB]:[GASB]],_xlfn.AGGREGATE(15,3,(TableDiv[[Agency]:[Agency]]=$E208)/(TableDiv[[Agency]:[Agency]]=$E208)*(ROW(TableDiv[Agency])-ROW(TableDiv[[#Headers],[Agency]])),COLUMNS($F$7:AD$7))))</f>
        <v>0</v>
      </c>
      <c r="AE208" s="2223" cm="1">
        <f t="array" ref="AE208">IF($D208&lt;COLUMNS($F$7:AE$7),"",INDEX(TableDiv[[GASB]:[GASB]],_xlfn.AGGREGATE(15,3,(TableDiv[[Agency]:[Agency]]=$E208)/(TableDiv[[Agency]:[Agency]]=$E208)*(ROW(TableDiv[Agency])-ROW(TableDiv[[#Headers],[Agency]])),COLUMNS($F$7:AE$7))))</f>
        <v>0</v>
      </c>
      <c r="AF208" s="2223" cm="1">
        <f t="array" ref="AF208">IF($D208&lt;COLUMNS($F$7:AF$7),"",INDEX(TableDiv[[GASB]:[GASB]],_xlfn.AGGREGATE(15,3,(TableDiv[[Agency]:[Agency]]=$E208)/(TableDiv[[Agency]:[Agency]]=$E208)*(ROW(TableDiv[Agency])-ROW(TableDiv[[#Headers],[Agency]])),COLUMNS($F$7:AF$7))))</f>
        <v>0</v>
      </c>
      <c r="AG208" s="2223" cm="1">
        <f t="array" ref="AG208">IF($D208&lt;COLUMNS($F$7:AG$7),"",INDEX(TableDiv[[GASB]:[GASB]],_xlfn.AGGREGATE(15,3,(TableDiv[[Agency]:[Agency]]=$E208)/(TableDiv[[Agency]:[Agency]]=$E208)*(ROW(TableDiv[Agency])-ROW(TableDiv[[#Headers],[Agency]])),COLUMNS($F$7:AG$7))))</f>
        <v>0</v>
      </c>
      <c r="AH208" s="2223" cm="1">
        <f t="array" ref="AH208">IF($D208&lt;COLUMNS($F$7:AH$7),"",INDEX(TableDiv[[GASB]:[GASB]],_xlfn.AGGREGATE(15,3,(TableDiv[[Agency]:[Agency]]=$E208)/(TableDiv[[Agency]:[Agency]]=$E208)*(ROW(TableDiv[Agency])-ROW(TableDiv[[#Headers],[Agency]])),COLUMNS($F$7:AH$7))))</f>
        <v>0</v>
      </c>
      <c r="AI208" s="2223" cm="1">
        <f t="array" ref="AI208">IF($D208&lt;COLUMNS($F$7:AI$7),"",INDEX(TableDiv[[GASB]:[GASB]],_xlfn.AGGREGATE(15,3,(TableDiv[[Agency]:[Agency]]=$E208)/(TableDiv[[Agency]:[Agency]]=$E208)*(ROW(TableDiv[Agency])-ROW(TableDiv[[#Headers],[Agency]])),COLUMNS($F$7:AI$7))))</f>
        <v>0</v>
      </c>
      <c r="AJ208" s="2223" cm="1">
        <f t="array" ref="AJ208">IF($D208&lt;COLUMNS($F$7:AJ$7),"",INDEX(TableDiv[[GASB]:[GASB]],_xlfn.AGGREGATE(15,3,(TableDiv[[Agency]:[Agency]]=$E208)/(TableDiv[[Agency]:[Agency]]=$E208)*(ROW(TableDiv[Agency])-ROW(TableDiv[[#Headers],[Agency]])),COLUMNS($F$7:AJ$7))))</f>
        <v>0</v>
      </c>
      <c r="AK208" s="2223" t="str" cm="1">
        <f t="array" ref="AK208">IF($D208&lt;COLUMNS($F$7:AK$7),"",INDEX(TableDiv[[GASB]:[GASB]],_xlfn.AGGREGATE(15,3,(TableDiv[[Agency]:[Agency]]=$E208)/(TableDiv[[Agency]:[Agency]]=$E208)*(ROW(TableDiv[Agency])-ROW(TableDiv[[#Headers],[Agency]])),COLUMNS($F$7:AK$7))))</f>
        <v/>
      </c>
      <c r="AL208" s="2223" t="str" cm="1">
        <f t="array" ref="AL208">IF($D208&lt;COLUMNS($F$7:AL$7),"",INDEX(TableDiv[[GASB]:[GASB]],_xlfn.AGGREGATE(15,3,(TableDiv[[Agency]:[Agency]]=$E208)/(TableDiv[[Agency]:[Agency]]=$E208)*(ROW(TableDiv[Agency])-ROW(TableDiv[[#Headers],[Agency]])),COLUMNS($F$7:AL$7))))</f>
        <v/>
      </c>
      <c r="AM208" s="2223" t="str" cm="1">
        <f t="array" ref="AM208">IF($D208&lt;COLUMNS($F$7:AM$7),"",INDEX(TableDiv[[GASB]:[GASB]],_xlfn.AGGREGATE(15,3,(TableDiv[[Agency]:[Agency]]=$E208)/(TableDiv[[Agency]:[Agency]]=$E208)*(ROW(TableDiv[Agency])-ROW(TableDiv[[#Headers],[Agency]])),COLUMNS($F$7:AM$7))))</f>
        <v/>
      </c>
      <c r="AN208" s="2223"/>
      <c r="AO208" s="2223"/>
      <c r="AP208" s="2223"/>
      <c r="AQ208" s="2223"/>
      <c r="AR208" s="2223"/>
      <c r="AS208" s="2223"/>
    </row>
    <row r="209" spans="1:45" ht="15" x14ac:dyDescent="0.25">
      <c r="A209" s="2219" t="s">
        <v>5561</v>
      </c>
      <c r="B209" s="2219" t="s">
        <v>6361</v>
      </c>
      <c r="C209" s="2223"/>
      <c r="D209" s="2223">
        <f>COUNTIF(TableDiv[Agency],E209)</f>
        <v>31</v>
      </c>
      <c r="E209" s="2230" t="str" cm="1">
        <f t="array" ref="E209">IFERROR(INDEX(TableDiv[Agency],MATCH(0,INDEX(COUNTIF($E$7:E208,TableDiv[Agency]),),0)),"")</f>
        <v/>
      </c>
      <c r="F209" s="2223" cm="1">
        <f t="array" ref="F209">IF($D209&lt;COLUMNS($F$7:F$7),"",INDEX(TableDiv[[GASB]:[GASB]],_xlfn.AGGREGATE(15,3,(TableDiv[[Agency]:[Agency]]=$E209)/(TableDiv[[Agency]:[Agency]]=$E209)*(ROW(TableDiv[Agency])-ROW(TableDiv[[#Headers],[Agency]])),COLUMNS($F$7:F$7))))</f>
        <v>0</v>
      </c>
      <c r="G209" s="2223" cm="1">
        <f t="array" ref="G209">IF($D209&lt;COLUMNS($F$7:G$7),"",INDEX(TableDiv[[GASB]:[GASB]],_xlfn.AGGREGATE(15,3,(TableDiv[[Agency]:[Agency]]=$E209)/(TableDiv[[Agency]:[Agency]]=$E209)*(ROW(TableDiv[Agency])-ROW(TableDiv[[#Headers],[Agency]])),COLUMNS($F$7:G$7))))</f>
        <v>0</v>
      </c>
      <c r="H209" s="2223" cm="1">
        <f t="array" ref="H209">IF($D209&lt;COLUMNS($F$7:H$7),"",INDEX(TableDiv[[GASB]:[GASB]],_xlfn.AGGREGATE(15,3,(TableDiv[[Agency]:[Agency]]=$E209)/(TableDiv[[Agency]:[Agency]]=$E209)*(ROW(TableDiv[Agency])-ROW(TableDiv[[#Headers],[Agency]])),COLUMNS($F$7:H$7))))</f>
        <v>0</v>
      </c>
      <c r="I209" s="2223" cm="1">
        <f t="array" ref="I209">IF($D209&lt;COLUMNS($F$7:I$7),"",INDEX(TableDiv[[GASB]:[GASB]],_xlfn.AGGREGATE(15,3,(TableDiv[[Agency]:[Agency]]=$E209)/(TableDiv[[Agency]:[Agency]]=$E209)*(ROW(TableDiv[Agency])-ROW(TableDiv[[#Headers],[Agency]])),COLUMNS($F$7:I$7))))</f>
        <v>0</v>
      </c>
      <c r="J209" s="2223" cm="1">
        <f t="array" ref="J209">IF($D209&lt;COLUMNS($F$7:J$7),"",INDEX(TableDiv[[GASB]:[GASB]],_xlfn.AGGREGATE(15,3,(TableDiv[[Agency]:[Agency]]=$E209)/(TableDiv[[Agency]:[Agency]]=$E209)*(ROW(TableDiv[Agency])-ROW(TableDiv[[#Headers],[Agency]])),COLUMNS($F$7:J$7))))</f>
        <v>0</v>
      </c>
      <c r="K209" s="2223" cm="1">
        <f t="array" ref="K209">IF($D209&lt;COLUMNS($F$7:K$7),"",INDEX(TableDiv[[GASB]:[GASB]],_xlfn.AGGREGATE(15,3,(TableDiv[[Agency]:[Agency]]=$E209)/(TableDiv[[Agency]:[Agency]]=$E209)*(ROW(TableDiv[Agency])-ROW(TableDiv[[#Headers],[Agency]])),COLUMNS($F$7:K$7))))</f>
        <v>0</v>
      </c>
      <c r="L209" s="2223" cm="1">
        <f t="array" ref="L209">IF($D209&lt;COLUMNS($F$7:L$7),"",INDEX(TableDiv[[GASB]:[GASB]],_xlfn.AGGREGATE(15,3,(TableDiv[[Agency]:[Agency]]=$E209)/(TableDiv[[Agency]:[Agency]]=$E209)*(ROW(TableDiv[Agency])-ROW(TableDiv[[#Headers],[Agency]])),COLUMNS($F$7:L$7))))</f>
        <v>0</v>
      </c>
      <c r="M209" s="2223" cm="1">
        <f t="array" ref="M209">IF($D209&lt;COLUMNS($F$7:M$7),"",INDEX(TableDiv[[GASB]:[GASB]],_xlfn.AGGREGATE(15,3,(TableDiv[[Agency]:[Agency]]=$E209)/(TableDiv[[Agency]:[Agency]]=$E209)*(ROW(TableDiv[Agency])-ROW(TableDiv[[#Headers],[Agency]])),COLUMNS($F$7:M$7))))</f>
        <v>0</v>
      </c>
      <c r="N209" s="2223" cm="1">
        <f t="array" ref="N209">IF($D209&lt;COLUMNS($F$7:N$7),"",INDEX(TableDiv[[GASB]:[GASB]],_xlfn.AGGREGATE(15,3,(TableDiv[[Agency]:[Agency]]=$E209)/(TableDiv[[Agency]:[Agency]]=$E209)*(ROW(TableDiv[Agency])-ROW(TableDiv[[#Headers],[Agency]])),COLUMNS($F$7:N$7))))</f>
        <v>0</v>
      </c>
      <c r="O209" s="2223" cm="1">
        <f t="array" ref="O209">IF($D209&lt;COLUMNS($F$7:O$7),"",INDEX(TableDiv[[GASB]:[GASB]],_xlfn.AGGREGATE(15,3,(TableDiv[[Agency]:[Agency]]=$E209)/(TableDiv[[Agency]:[Agency]]=$E209)*(ROW(TableDiv[Agency])-ROW(TableDiv[[#Headers],[Agency]])),COLUMNS($F$7:O$7))))</f>
        <v>0</v>
      </c>
      <c r="P209" s="2223" cm="1">
        <f t="array" ref="P209">IF($D209&lt;COLUMNS($F$7:P$7),"",INDEX(TableDiv[[GASB]:[GASB]],_xlfn.AGGREGATE(15,3,(TableDiv[[Agency]:[Agency]]=$E209)/(TableDiv[[Agency]:[Agency]]=$E209)*(ROW(TableDiv[Agency])-ROW(TableDiv[[#Headers],[Agency]])),COLUMNS($F$7:P$7))))</f>
        <v>0</v>
      </c>
      <c r="Q209" s="2223" cm="1">
        <f t="array" ref="Q209">IF($D209&lt;COLUMNS($F$7:Q$7),"",INDEX(TableDiv[[GASB]:[GASB]],_xlfn.AGGREGATE(15,3,(TableDiv[[Agency]:[Agency]]=$E209)/(TableDiv[[Agency]:[Agency]]=$E209)*(ROW(TableDiv[Agency])-ROW(TableDiv[[#Headers],[Agency]])),COLUMNS($F$7:Q$7))))</f>
        <v>0</v>
      </c>
      <c r="R209" s="2223" cm="1">
        <f t="array" ref="R209">IF($D209&lt;COLUMNS($F$7:R$7),"",INDEX(TableDiv[[GASB]:[GASB]],_xlfn.AGGREGATE(15,3,(TableDiv[[Agency]:[Agency]]=$E209)/(TableDiv[[Agency]:[Agency]]=$E209)*(ROW(TableDiv[Agency])-ROW(TableDiv[[#Headers],[Agency]])),COLUMNS($F$7:R$7))))</f>
        <v>0</v>
      </c>
      <c r="S209" s="2223" cm="1">
        <f t="array" ref="S209">IF($D209&lt;COLUMNS($F$7:S$7),"",INDEX(TableDiv[[GASB]:[GASB]],_xlfn.AGGREGATE(15,3,(TableDiv[[Agency]:[Agency]]=$E209)/(TableDiv[[Agency]:[Agency]]=$E209)*(ROW(TableDiv[Agency])-ROW(TableDiv[[#Headers],[Agency]])),COLUMNS($F$7:S$7))))</f>
        <v>0</v>
      </c>
      <c r="T209" s="2223" cm="1">
        <f t="array" ref="T209">IF($D209&lt;COLUMNS($F$7:T$7),"",INDEX(TableDiv[[GASB]:[GASB]],_xlfn.AGGREGATE(15,3,(TableDiv[[Agency]:[Agency]]=$E209)/(TableDiv[[Agency]:[Agency]]=$E209)*(ROW(TableDiv[Agency])-ROW(TableDiv[[#Headers],[Agency]])),COLUMNS($F$7:T$7))))</f>
        <v>0</v>
      </c>
      <c r="U209" s="2223" cm="1">
        <f t="array" ref="U209">IF($D209&lt;COLUMNS($F$7:U$7),"",INDEX(TableDiv[[GASB]:[GASB]],_xlfn.AGGREGATE(15,3,(TableDiv[[Agency]:[Agency]]=$E209)/(TableDiv[[Agency]:[Agency]]=$E209)*(ROW(TableDiv[Agency])-ROW(TableDiv[[#Headers],[Agency]])),COLUMNS($F$7:U$7))))</f>
        <v>0</v>
      </c>
      <c r="V209" s="2223" cm="1">
        <f t="array" ref="V209">IF($D209&lt;COLUMNS($F$7:V$7),"",INDEX(TableDiv[[GASB]:[GASB]],_xlfn.AGGREGATE(15,3,(TableDiv[[Agency]:[Agency]]=$E209)/(TableDiv[[Agency]:[Agency]]=$E209)*(ROW(TableDiv[Agency])-ROW(TableDiv[[#Headers],[Agency]])),COLUMNS($F$7:V$7))))</f>
        <v>0</v>
      </c>
      <c r="W209" s="2223" cm="1">
        <f t="array" ref="W209">IF($D209&lt;COLUMNS($F$7:W$7),"",INDEX(TableDiv[[GASB]:[GASB]],_xlfn.AGGREGATE(15,3,(TableDiv[[Agency]:[Agency]]=$E209)/(TableDiv[[Agency]:[Agency]]=$E209)*(ROW(TableDiv[Agency])-ROW(TableDiv[[#Headers],[Agency]])),COLUMNS($F$7:W$7))))</f>
        <v>0</v>
      </c>
      <c r="X209" s="2223" cm="1">
        <f t="array" ref="X209">IF($D209&lt;COLUMNS($F$7:X$7),"",INDEX(TableDiv[[GASB]:[GASB]],_xlfn.AGGREGATE(15,3,(TableDiv[[Agency]:[Agency]]=$E209)/(TableDiv[[Agency]:[Agency]]=$E209)*(ROW(TableDiv[Agency])-ROW(TableDiv[[#Headers],[Agency]])),COLUMNS($F$7:X$7))))</f>
        <v>0</v>
      </c>
      <c r="Y209" s="2223" cm="1">
        <f t="array" ref="Y209">IF($D209&lt;COLUMNS($F$7:Y$7),"",INDEX(TableDiv[[GASB]:[GASB]],_xlfn.AGGREGATE(15,3,(TableDiv[[Agency]:[Agency]]=$E209)/(TableDiv[[Agency]:[Agency]]=$E209)*(ROW(TableDiv[Agency])-ROW(TableDiv[[#Headers],[Agency]])),COLUMNS($F$7:Y$7))))</f>
        <v>0</v>
      </c>
      <c r="Z209" s="2223" cm="1">
        <f t="array" ref="Z209">IF($D209&lt;COLUMNS($F$7:Z$7),"",INDEX(TableDiv[[GASB]:[GASB]],_xlfn.AGGREGATE(15,3,(TableDiv[[Agency]:[Agency]]=$E209)/(TableDiv[[Agency]:[Agency]]=$E209)*(ROW(TableDiv[Agency])-ROW(TableDiv[[#Headers],[Agency]])),COLUMNS($F$7:Z$7))))</f>
        <v>0</v>
      </c>
      <c r="AA209" s="2223" cm="1">
        <f t="array" ref="AA209">IF($D209&lt;COLUMNS($F$7:AA$7),"",INDEX(TableDiv[[GASB]:[GASB]],_xlfn.AGGREGATE(15,3,(TableDiv[[Agency]:[Agency]]=$E209)/(TableDiv[[Agency]:[Agency]]=$E209)*(ROW(TableDiv[Agency])-ROW(TableDiv[[#Headers],[Agency]])),COLUMNS($F$7:AA$7))))</f>
        <v>0</v>
      </c>
      <c r="AB209" s="2223" cm="1">
        <f t="array" ref="AB209">IF($D209&lt;COLUMNS($F$7:AB$7),"",INDEX(TableDiv[[GASB]:[GASB]],_xlfn.AGGREGATE(15,3,(TableDiv[[Agency]:[Agency]]=$E209)/(TableDiv[[Agency]:[Agency]]=$E209)*(ROW(TableDiv[Agency])-ROW(TableDiv[[#Headers],[Agency]])),COLUMNS($F$7:AB$7))))</f>
        <v>0</v>
      </c>
      <c r="AC209" s="2223" cm="1">
        <f t="array" ref="AC209">IF($D209&lt;COLUMNS($F$7:AC$7),"",INDEX(TableDiv[[GASB]:[GASB]],_xlfn.AGGREGATE(15,3,(TableDiv[[Agency]:[Agency]]=$E209)/(TableDiv[[Agency]:[Agency]]=$E209)*(ROW(TableDiv[Agency])-ROW(TableDiv[[#Headers],[Agency]])),COLUMNS($F$7:AC$7))))</f>
        <v>0</v>
      </c>
      <c r="AD209" s="2223" cm="1">
        <f t="array" ref="AD209">IF($D209&lt;COLUMNS($F$7:AD$7),"",INDEX(TableDiv[[GASB]:[GASB]],_xlfn.AGGREGATE(15,3,(TableDiv[[Agency]:[Agency]]=$E209)/(TableDiv[[Agency]:[Agency]]=$E209)*(ROW(TableDiv[Agency])-ROW(TableDiv[[#Headers],[Agency]])),COLUMNS($F$7:AD$7))))</f>
        <v>0</v>
      </c>
      <c r="AE209" s="2223" cm="1">
        <f t="array" ref="AE209">IF($D209&lt;COLUMNS($F$7:AE$7),"",INDEX(TableDiv[[GASB]:[GASB]],_xlfn.AGGREGATE(15,3,(TableDiv[[Agency]:[Agency]]=$E209)/(TableDiv[[Agency]:[Agency]]=$E209)*(ROW(TableDiv[Agency])-ROW(TableDiv[[#Headers],[Agency]])),COLUMNS($F$7:AE$7))))</f>
        <v>0</v>
      </c>
      <c r="AF209" s="2223" cm="1">
        <f t="array" ref="AF209">IF($D209&lt;COLUMNS($F$7:AF$7),"",INDEX(TableDiv[[GASB]:[GASB]],_xlfn.AGGREGATE(15,3,(TableDiv[[Agency]:[Agency]]=$E209)/(TableDiv[[Agency]:[Agency]]=$E209)*(ROW(TableDiv[Agency])-ROW(TableDiv[[#Headers],[Agency]])),COLUMNS($F$7:AF$7))))</f>
        <v>0</v>
      </c>
      <c r="AG209" s="2223" cm="1">
        <f t="array" ref="AG209">IF($D209&lt;COLUMNS($F$7:AG$7),"",INDEX(TableDiv[[GASB]:[GASB]],_xlfn.AGGREGATE(15,3,(TableDiv[[Agency]:[Agency]]=$E209)/(TableDiv[[Agency]:[Agency]]=$E209)*(ROW(TableDiv[Agency])-ROW(TableDiv[[#Headers],[Agency]])),COLUMNS($F$7:AG$7))))</f>
        <v>0</v>
      </c>
      <c r="AH209" s="2223" cm="1">
        <f t="array" ref="AH209">IF($D209&lt;COLUMNS($F$7:AH$7),"",INDEX(TableDiv[[GASB]:[GASB]],_xlfn.AGGREGATE(15,3,(TableDiv[[Agency]:[Agency]]=$E209)/(TableDiv[[Agency]:[Agency]]=$E209)*(ROW(TableDiv[Agency])-ROW(TableDiv[[#Headers],[Agency]])),COLUMNS($F$7:AH$7))))</f>
        <v>0</v>
      </c>
      <c r="AI209" s="2223" cm="1">
        <f t="array" ref="AI209">IF($D209&lt;COLUMNS($F$7:AI$7),"",INDEX(TableDiv[[GASB]:[GASB]],_xlfn.AGGREGATE(15,3,(TableDiv[[Agency]:[Agency]]=$E209)/(TableDiv[[Agency]:[Agency]]=$E209)*(ROW(TableDiv[Agency])-ROW(TableDiv[[#Headers],[Agency]])),COLUMNS($F$7:AI$7))))</f>
        <v>0</v>
      </c>
      <c r="AJ209" s="2223" cm="1">
        <f t="array" ref="AJ209">IF($D209&lt;COLUMNS($F$7:AJ$7),"",INDEX(TableDiv[[GASB]:[GASB]],_xlfn.AGGREGATE(15,3,(TableDiv[[Agency]:[Agency]]=$E209)/(TableDiv[[Agency]:[Agency]]=$E209)*(ROW(TableDiv[Agency])-ROW(TableDiv[[#Headers],[Agency]])),COLUMNS($F$7:AJ$7))))</f>
        <v>0</v>
      </c>
      <c r="AK209" s="2223" t="str" cm="1">
        <f t="array" ref="AK209">IF($D209&lt;COLUMNS($F$7:AK$7),"",INDEX(TableDiv[[GASB]:[GASB]],_xlfn.AGGREGATE(15,3,(TableDiv[[Agency]:[Agency]]=$E209)/(TableDiv[[Agency]:[Agency]]=$E209)*(ROW(TableDiv[Agency])-ROW(TableDiv[[#Headers],[Agency]])),COLUMNS($F$7:AK$7))))</f>
        <v/>
      </c>
      <c r="AL209" s="2223" t="str" cm="1">
        <f t="array" ref="AL209">IF($D209&lt;COLUMNS($F$7:AL$7),"",INDEX(TableDiv[[GASB]:[GASB]],_xlfn.AGGREGATE(15,3,(TableDiv[[Agency]:[Agency]]=$E209)/(TableDiv[[Agency]:[Agency]]=$E209)*(ROW(TableDiv[Agency])-ROW(TableDiv[[#Headers],[Agency]])),COLUMNS($F$7:AL$7))))</f>
        <v/>
      </c>
      <c r="AM209" s="2223" t="str" cm="1">
        <f t="array" ref="AM209">IF($D209&lt;COLUMNS($F$7:AM$7),"",INDEX(TableDiv[[GASB]:[GASB]],_xlfn.AGGREGATE(15,3,(TableDiv[[Agency]:[Agency]]=$E209)/(TableDiv[[Agency]:[Agency]]=$E209)*(ROW(TableDiv[Agency])-ROW(TableDiv[[#Headers],[Agency]])),COLUMNS($F$7:AM$7))))</f>
        <v/>
      </c>
      <c r="AN209" s="2223"/>
      <c r="AO209" s="2223"/>
      <c r="AP209" s="2223"/>
      <c r="AQ209" s="2223"/>
      <c r="AR209" s="2223"/>
      <c r="AS209" s="2223"/>
    </row>
    <row r="210" spans="1:45" ht="15" x14ac:dyDescent="0.25">
      <c r="A210" s="2219" t="s">
        <v>5561</v>
      </c>
      <c r="B210" s="2219" t="s">
        <v>6453</v>
      </c>
      <c r="C210" s="2223"/>
      <c r="D210" s="2223">
        <f>COUNTIF(TableDiv[Agency],E210)</f>
        <v>31</v>
      </c>
      <c r="E210" s="2230" t="str" cm="1">
        <f t="array" ref="E210">IFERROR(INDEX(TableDiv[Agency],MATCH(0,INDEX(COUNTIF($E$7:E209,TableDiv[Agency]),),0)),"")</f>
        <v/>
      </c>
      <c r="F210" s="2223" cm="1">
        <f t="array" ref="F210">IF($D210&lt;COLUMNS($F$7:F$7),"",INDEX(TableDiv[[GASB]:[GASB]],_xlfn.AGGREGATE(15,3,(TableDiv[[Agency]:[Agency]]=$E210)/(TableDiv[[Agency]:[Agency]]=$E210)*(ROW(TableDiv[Agency])-ROW(TableDiv[[#Headers],[Agency]])),COLUMNS($F$7:F$7))))</f>
        <v>0</v>
      </c>
      <c r="G210" s="2223" cm="1">
        <f t="array" ref="G210">IF($D210&lt;COLUMNS($F$7:G$7),"",INDEX(TableDiv[[GASB]:[GASB]],_xlfn.AGGREGATE(15,3,(TableDiv[[Agency]:[Agency]]=$E210)/(TableDiv[[Agency]:[Agency]]=$E210)*(ROW(TableDiv[Agency])-ROW(TableDiv[[#Headers],[Agency]])),COLUMNS($F$7:G$7))))</f>
        <v>0</v>
      </c>
      <c r="H210" s="2223" cm="1">
        <f t="array" ref="H210">IF($D210&lt;COLUMNS($F$7:H$7),"",INDEX(TableDiv[[GASB]:[GASB]],_xlfn.AGGREGATE(15,3,(TableDiv[[Agency]:[Agency]]=$E210)/(TableDiv[[Agency]:[Agency]]=$E210)*(ROW(TableDiv[Agency])-ROW(TableDiv[[#Headers],[Agency]])),COLUMNS($F$7:H$7))))</f>
        <v>0</v>
      </c>
      <c r="I210" s="2223" cm="1">
        <f t="array" ref="I210">IF($D210&lt;COLUMNS($F$7:I$7),"",INDEX(TableDiv[[GASB]:[GASB]],_xlfn.AGGREGATE(15,3,(TableDiv[[Agency]:[Agency]]=$E210)/(TableDiv[[Agency]:[Agency]]=$E210)*(ROW(TableDiv[Agency])-ROW(TableDiv[[#Headers],[Agency]])),COLUMNS($F$7:I$7))))</f>
        <v>0</v>
      </c>
      <c r="J210" s="2223" cm="1">
        <f t="array" ref="J210">IF($D210&lt;COLUMNS($F$7:J$7),"",INDEX(TableDiv[[GASB]:[GASB]],_xlfn.AGGREGATE(15,3,(TableDiv[[Agency]:[Agency]]=$E210)/(TableDiv[[Agency]:[Agency]]=$E210)*(ROW(TableDiv[Agency])-ROW(TableDiv[[#Headers],[Agency]])),COLUMNS($F$7:J$7))))</f>
        <v>0</v>
      </c>
      <c r="K210" s="2223" cm="1">
        <f t="array" ref="K210">IF($D210&lt;COLUMNS($F$7:K$7),"",INDEX(TableDiv[[GASB]:[GASB]],_xlfn.AGGREGATE(15,3,(TableDiv[[Agency]:[Agency]]=$E210)/(TableDiv[[Agency]:[Agency]]=$E210)*(ROW(TableDiv[Agency])-ROW(TableDiv[[#Headers],[Agency]])),COLUMNS($F$7:K$7))))</f>
        <v>0</v>
      </c>
      <c r="L210" s="2223" cm="1">
        <f t="array" ref="L210">IF($D210&lt;COLUMNS($F$7:L$7),"",INDEX(TableDiv[[GASB]:[GASB]],_xlfn.AGGREGATE(15,3,(TableDiv[[Agency]:[Agency]]=$E210)/(TableDiv[[Agency]:[Agency]]=$E210)*(ROW(TableDiv[Agency])-ROW(TableDiv[[#Headers],[Agency]])),COLUMNS($F$7:L$7))))</f>
        <v>0</v>
      </c>
      <c r="M210" s="2223" cm="1">
        <f t="array" ref="M210">IF($D210&lt;COLUMNS($F$7:M$7),"",INDEX(TableDiv[[GASB]:[GASB]],_xlfn.AGGREGATE(15,3,(TableDiv[[Agency]:[Agency]]=$E210)/(TableDiv[[Agency]:[Agency]]=$E210)*(ROW(TableDiv[Agency])-ROW(TableDiv[[#Headers],[Agency]])),COLUMNS($F$7:M$7))))</f>
        <v>0</v>
      </c>
      <c r="N210" s="2223" cm="1">
        <f t="array" ref="N210">IF($D210&lt;COLUMNS($F$7:N$7),"",INDEX(TableDiv[[GASB]:[GASB]],_xlfn.AGGREGATE(15,3,(TableDiv[[Agency]:[Agency]]=$E210)/(TableDiv[[Agency]:[Agency]]=$E210)*(ROW(TableDiv[Agency])-ROW(TableDiv[[#Headers],[Agency]])),COLUMNS($F$7:N$7))))</f>
        <v>0</v>
      </c>
      <c r="O210" s="2223" cm="1">
        <f t="array" ref="O210">IF($D210&lt;COLUMNS($F$7:O$7),"",INDEX(TableDiv[[GASB]:[GASB]],_xlfn.AGGREGATE(15,3,(TableDiv[[Agency]:[Agency]]=$E210)/(TableDiv[[Agency]:[Agency]]=$E210)*(ROW(TableDiv[Agency])-ROW(TableDiv[[#Headers],[Agency]])),COLUMNS($F$7:O$7))))</f>
        <v>0</v>
      </c>
      <c r="P210" s="2223" cm="1">
        <f t="array" ref="P210">IF($D210&lt;COLUMNS($F$7:P$7),"",INDEX(TableDiv[[GASB]:[GASB]],_xlfn.AGGREGATE(15,3,(TableDiv[[Agency]:[Agency]]=$E210)/(TableDiv[[Agency]:[Agency]]=$E210)*(ROW(TableDiv[Agency])-ROW(TableDiv[[#Headers],[Agency]])),COLUMNS($F$7:P$7))))</f>
        <v>0</v>
      </c>
      <c r="Q210" s="2223" cm="1">
        <f t="array" ref="Q210">IF($D210&lt;COLUMNS($F$7:Q$7),"",INDEX(TableDiv[[GASB]:[GASB]],_xlfn.AGGREGATE(15,3,(TableDiv[[Agency]:[Agency]]=$E210)/(TableDiv[[Agency]:[Agency]]=$E210)*(ROW(TableDiv[Agency])-ROW(TableDiv[[#Headers],[Agency]])),COLUMNS($F$7:Q$7))))</f>
        <v>0</v>
      </c>
      <c r="R210" s="2223" cm="1">
        <f t="array" ref="R210">IF($D210&lt;COLUMNS($F$7:R$7),"",INDEX(TableDiv[[GASB]:[GASB]],_xlfn.AGGREGATE(15,3,(TableDiv[[Agency]:[Agency]]=$E210)/(TableDiv[[Agency]:[Agency]]=$E210)*(ROW(TableDiv[Agency])-ROW(TableDiv[[#Headers],[Agency]])),COLUMNS($F$7:R$7))))</f>
        <v>0</v>
      </c>
      <c r="S210" s="2223" cm="1">
        <f t="array" ref="S210">IF($D210&lt;COLUMNS($F$7:S$7),"",INDEX(TableDiv[[GASB]:[GASB]],_xlfn.AGGREGATE(15,3,(TableDiv[[Agency]:[Agency]]=$E210)/(TableDiv[[Agency]:[Agency]]=$E210)*(ROW(TableDiv[Agency])-ROW(TableDiv[[#Headers],[Agency]])),COLUMNS($F$7:S$7))))</f>
        <v>0</v>
      </c>
      <c r="T210" s="2223" cm="1">
        <f t="array" ref="T210">IF($D210&lt;COLUMNS($F$7:T$7),"",INDEX(TableDiv[[GASB]:[GASB]],_xlfn.AGGREGATE(15,3,(TableDiv[[Agency]:[Agency]]=$E210)/(TableDiv[[Agency]:[Agency]]=$E210)*(ROW(TableDiv[Agency])-ROW(TableDiv[[#Headers],[Agency]])),COLUMNS($F$7:T$7))))</f>
        <v>0</v>
      </c>
      <c r="U210" s="2223" cm="1">
        <f t="array" ref="U210">IF($D210&lt;COLUMNS($F$7:U$7),"",INDEX(TableDiv[[GASB]:[GASB]],_xlfn.AGGREGATE(15,3,(TableDiv[[Agency]:[Agency]]=$E210)/(TableDiv[[Agency]:[Agency]]=$E210)*(ROW(TableDiv[Agency])-ROW(TableDiv[[#Headers],[Agency]])),COLUMNS($F$7:U$7))))</f>
        <v>0</v>
      </c>
      <c r="V210" s="2223" cm="1">
        <f t="array" ref="V210">IF($D210&lt;COLUMNS($F$7:V$7),"",INDEX(TableDiv[[GASB]:[GASB]],_xlfn.AGGREGATE(15,3,(TableDiv[[Agency]:[Agency]]=$E210)/(TableDiv[[Agency]:[Agency]]=$E210)*(ROW(TableDiv[Agency])-ROW(TableDiv[[#Headers],[Agency]])),COLUMNS($F$7:V$7))))</f>
        <v>0</v>
      </c>
      <c r="W210" s="2223" cm="1">
        <f t="array" ref="W210">IF($D210&lt;COLUMNS($F$7:W$7),"",INDEX(TableDiv[[GASB]:[GASB]],_xlfn.AGGREGATE(15,3,(TableDiv[[Agency]:[Agency]]=$E210)/(TableDiv[[Agency]:[Agency]]=$E210)*(ROW(TableDiv[Agency])-ROW(TableDiv[[#Headers],[Agency]])),COLUMNS($F$7:W$7))))</f>
        <v>0</v>
      </c>
      <c r="X210" s="2223" cm="1">
        <f t="array" ref="X210">IF($D210&lt;COLUMNS($F$7:X$7),"",INDEX(TableDiv[[GASB]:[GASB]],_xlfn.AGGREGATE(15,3,(TableDiv[[Agency]:[Agency]]=$E210)/(TableDiv[[Agency]:[Agency]]=$E210)*(ROW(TableDiv[Agency])-ROW(TableDiv[[#Headers],[Agency]])),COLUMNS($F$7:X$7))))</f>
        <v>0</v>
      </c>
      <c r="Y210" s="2223" cm="1">
        <f t="array" ref="Y210">IF($D210&lt;COLUMNS($F$7:Y$7),"",INDEX(TableDiv[[GASB]:[GASB]],_xlfn.AGGREGATE(15,3,(TableDiv[[Agency]:[Agency]]=$E210)/(TableDiv[[Agency]:[Agency]]=$E210)*(ROW(TableDiv[Agency])-ROW(TableDiv[[#Headers],[Agency]])),COLUMNS($F$7:Y$7))))</f>
        <v>0</v>
      </c>
      <c r="Z210" s="2223" cm="1">
        <f t="array" ref="Z210">IF($D210&lt;COLUMNS($F$7:Z$7),"",INDEX(TableDiv[[GASB]:[GASB]],_xlfn.AGGREGATE(15,3,(TableDiv[[Agency]:[Agency]]=$E210)/(TableDiv[[Agency]:[Agency]]=$E210)*(ROW(TableDiv[Agency])-ROW(TableDiv[[#Headers],[Agency]])),COLUMNS($F$7:Z$7))))</f>
        <v>0</v>
      </c>
      <c r="AA210" s="2223" cm="1">
        <f t="array" ref="AA210">IF($D210&lt;COLUMNS($F$7:AA$7),"",INDEX(TableDiv[[GASB]:[GASB]],_xlfn.AGGREGATE(15,3,(TableDiv[[Agency]:[Agency]]=$E210)/(TableDiv[[Agency]:[Agency]]=$E210)*(ROW(TableDiv[Agency])-ROW(TableDiv[[#Headers],[Agency]])),COLUMNS($F$7:AA$7))))</f>
        <v>0</v>
      </c>
      <c r="AB210" s="2223" cm="1">
        <f t="array" ref="AB210">IF($D210&lt;COLUMNS($F$7:AB$7),"",INDEX(TableDiv[[GASB]:[GASB]],_xlfn.AGGREGATE(15,3,(TableDiv[[Agency]:[Agency]]=$E210)/(TableDiv[[Agency]:[Agency]]=$E210)*(ROW(TableDiv[Agency])-ROW(TableDiv[[#Headers],[Agency]])),COLUMNS($F$7:AB$7))))</f>
        <v>0</v>
      </c>
      <c r="AC210" s="2223" cm="1">
        <f t="array" ref="AC210">IF($D210&lt;COLUMNS($F$7:AC$7),"",INDEX(TableDiv[[GASB]:[GASB]],_xlfn.AGGREGATE(15,3,(TableDiv[[Agency]:[Agency]]=$E210)/(TableDiv[[Agency]:[Agency]]=$E210)*(ROW(TableDiv[Agency])-ROW(TableDiv[[#Headers],[Agency]])),COLUMNS($F$7:AC$7))))</f>
        <v>0</v>
      </c>
      <c r="AD210" s="2223" cm="1">
        <f t="array" ref="AD210">IF($D210&lt;COLUMNS($F$7:AD$7),"",INDEX(TableDiv[[GASB]:[GASB]],_xlfn.AGGREGATE(15,3,(TableDiv[[Agency]:[Agency]]=$E210)/(TableDiv[[Agency]:[Agency]]=$E210)*(ROW(TableDiv[Agency])-ROW(TableDiv[[#Headers],[Agency]])),COLUMNS($F$7:AD$7))))</f>
        <v>0</v>
      </c>
      <c r="AE210" s="2223" cm="1">
        <f t="array" ref="AE210">IF($D210&lt;COLUMNS($F$7:AE$7),"",INDEX(TableDiv[[GASB]:[GASB]],_xlfn.AGGREGATE(15,3,(TableDiv[[Agency]:[Agency]]=$E210)/(TableDiv[[Agency]:[Agency]]=$E210)*(ROW(TableDiv[Agency])-ROW(TableDiv[[#Headers],[Agency]])),COLUMNS($F$7:AE$7))))</f>
        <v>0</v>
      </c>
      <c r="AF210" s="2223" cm="1">
        <f t="array" ref="AF210">IF($D210&lt;COLUMNS($F$7:AF$7),"",INDEX(TableDiv[[GASB]:[GASB]],_xlfn.AGGREGATE(15,3,(TableDiv[[Agency]:[Agency]]=$E210)/(TableDiv[[Agency]:[Agency]]=$E210)*(ROW(TableDiv[Agency])-ROW(TableDiv[[#Headers],[Agency]])),COLUMNS($F$7:AF$7))))</f>
        <v>0</v>
      </c>
      <c r="AG210" s="2223" cm="1">
        <f t="array" ref="AG210">IF($D210&lt;COLUMNS($F$7:AG$7),"",INDEX(TableDiv[[GASB]:[GASB]],_xlfn.AGGREGATE(15,3,(TableDiv[[Agency]:[Agency]]=$E210)/(TableDiv[[Agency]:[Agency]]=$E210)*(ROW(TableDiv[Agency])-ROW(TableDiv[[#Headers],[Agency]])),COLUMNS($F$7:AG$7))))</f>
        <v>0</v>
      </c>
      <c r="AH210" s="2223" cm="1">
        <f t="array" ref="AH210">IF($D210&lt;COLUMNS($F$7:AH$7),"",INDEX(TableDiv[[GASB]:[GASB]],_xlfn.AGGREGATE(15,3,(TableDiv[[Agency]:[Agency]]=$E210)/(TableDiv[[Agency]:[Agency]]=$E210)*(ROW(TableDiv[Agency])-ROW(TableDiv[[#Headers],[Agency]])),COLUMNS($F$7:AH$7))))</f>
        <v>0</v>
      </c>
      <c r="AI210" s="2223" cm="1">
        <f t="array" ref="AI210">IF($D210&lt;COLUMNS($F$7:AI$7),"",INDEX(TableDiv[[GASB]:[GASB]],_xlfn.AGGREGATE(15,3,(TableDiv[[Agency]:[Agency]]=$E210)/(TableDiv[[Agency]:[Agency]]=$E210)*(ROW(TableDiv[Agency])-ROW(TableDiv[[#Headers],[Agency]])),COLUMNS($F$7:AI$7))))</f>
        <v>0</v>
      </c>
      <c r="AJ210" s="2223" cm="1">
        <f t="array" ref="AJ210">IF($D210&lt;COLUMNS($F$7:AJ$7),"",INDEX(TableDiv[[GASB]:[GASB]],_xlfn.AGGREGATE(15,3,(TableDiv[[Agency]:[Agency]]=$E210)/(TableDiv[[Agency]:[Agency]]=$E210)*(ROW(TableDiv[Agency])-ROW(TableDiv[[#Headers],[Agency]])),COLUMNS($F$7:AJ$7))))</f>
        <v>0</v>
      </c>
      <c r="AK210" s="2223" t="str" cm="1">
        <f t="array" ref="AK210">IF($D210&lt;COLUMNS($F$7:AK$7),"",INDEX(TableDiv[[GASB]:[GASB]],_xlfn.AGGREGATE(15,3,(TableDiv[[Agency]:[Agency]]=$E210)/(TableDiv[[Agency]:[Agency]]=$E210)*(ROW(TableDiv[Agency])-ROW(TableDiv[[#Headers],[Agency]])),COLUMNS($F$7:AK$7))))</f>
        <v/>
      </c>
      <c r="AL210" s="2223" t="str" cm="1">
        <f t="array" ref="AL210">IF($D210&lt;COLUMNS($F$7:AL$7),"",INDEX(TableDiv[[GASB]:[GASB]],_xlfn.AGGREGATE(15,3,(TableDiv[[Agency]:[Agency]]=$E210)/(TableDiv[[Agency]:[Agency]]=$E210)*(ROW(TableDiv[Agency])-ROW(TableDiv[[#Headers],[Agency]])),COLUMNS($F$7:AL$7))))</f>
        <v/>
      </c>
      <c r="AM210" s="2223" t="str" cm="1">
        <f t="array" ref="AM210">IF($D210&lt;COLUMNS($F$7:AM$7),"",INDEX(TableDiv[[GASB]:[GASB]],_xlfn.AGGREGATE(15,3,(TableDiv[[Agency]:[Agency]]=$E210)/(TableDiv[[Agency]:[Agency]]=$E210)*(ROW(TableDiv[Agency])-ROW(TableDiv[[#Headers],[Agency]])),COLUMNS($F$7:AM$7))))</f>
        <v/>
      </c>
      <c r="AN210" s="2223"/>
      <c r="AO210" s="2223"/>
      <c r="AP210" s="2223"/>
      <c r="AQ210" s="2223"/>
      <c r="AR210" s="2223"/>
      <c r="AS210" s="2223"/>
    </row>
    <row r="211" spans="1:45" ht="15" x14ac:dyDescent="0.25">
      <c r="A211" s="2219" t="s">
        <v>6454</v>
      </c>
      <c r="B211" s="2219" t="s">
        <v>6361</v>
      </c>
      <c r="C211" s="2223"/>
      <c r="D211" s="2223">
        <f>COUNTIF(TableDiv[Agency],E211)</f>
        <v>31</v>
      </c>
      <c r="E211" s="2230" t="str" cm="1">
        <f t="array" ref="E211">IFERROR(INDEX(TableDiv[Agency],MATCH(0,INDEX(COUNTIF($E$7:E210,TableDiv[Agency]),),0)),"")</f>
        <v/>
      </c>
      <c r="F211" s="2223" cm="1">
        <f t="array" ref="F211">IF($D211&lt;COLUMNS($F$7:F$7),"",INDEX(TableDiv[[GASB]:[GASB]],_xlfn.AGGREGATE(15,3,(TableDiv[[Agency]:[Agency]]=$E211)/(TableDiv[[Agency]:[Agency]]=$E211)*(ROW(TableDiv[Agency])-ROW(TableDiv[[#Headers],[Agency]])),COLUMNS($F$7:F$7))))</f>
        <v>0</v>
      </c>
      <c r="G211" s="2223" cm="1">
        <f t="array" ref="G211">IF($D211&lt;COLUMNS($F$7:G$7),"",INDEX(TableDiv[[GASB]:[GASB]],_xlfn.AGGREGATE(15,3,(TableDiv[[Agency]:[Agency]]=$E211)/(TableDiv[[Agency]:[Agency]]=$E211)*(ROW(TableDiv[Agency])-ROW(TableDiv[[#Headers],[Agency]])),COLUMNS($F$7:G$7))))</f>
        <v>0</v>
      </c>
      <c r="H211" s="2223" cm="1">
        <f t="array" ref="H211">IF($D211&lt;COLUMNS($F$7:H$7),"",INDEX(TableDiv[[GASB]:[GASB]],_xlfn.AGGREGATE(15,3,(TableDiv[[Agency]:[Agency]]=$E211)/(TableDiv[[Agency]:[Agency]]=$E211)*(ROW(TableDiv[Agency])-ROW(TableDiv[[#Headers],[Agency]])),COLUMNS($F$7:H$7))))</f>
        <v>0</v>
      </c>
      <c r="I211" s="2223" cm="1">
        <f t="array" ref="I211">IF($D211&lt;COLUMNS($F$7:I$7),"",INDEX(TableDiv[[GASB]:[GASB]],_xlfn.AGGREGATE(15,3,(TableDiv[[Agency]:[Agency]]=$E211)/(TableDiv[[Agency]:[Agency]]=$E211)*(ROW(TableDiv[Agency])-ROW(TableDiv[[#Headers],[Agency]])),COLUMNS($F$7:I$7))))</f>
        <v>0</v>
      </c>
      <c r="J211" s="2223" cm="1">
        <f t="array" ref="J211">IF($D211&lt;COLUMNS($F$7:J$7),"",INDEX(TableDiv[[GASB]:[GASB]],_xlfn.AGGREGATE(15,3,(TableDiv[[Agency]:[Agency]]=$E211)/(TableDiv[[Agency]:[Agency]]=$E211)*(ROW(TableDiv[Agency])-ROW(TableDiv[[#Headers],[Agency]])),COLUMNS($F$7:J$7))))</f>
        <v>0</v>
      </c>
      <c r="K211" s="2223" cm="1">
        <f t="array" ref="K211">IF($D211&lt;COLUMNS($F$7:K$7),"",INDEX(TableDiv[[GASB]:[GASB]],_xlfn.AGGREGATE(15,3,(TableDiv[[Agency]:[Agency]]=$E211)/(TableDiv[[Agency]:[Agency]]=$E211)*(ROW(TableDiv[Agency])-ROW(TableDiv[[#Headers],[Agency]])),COLUMNS($F$7:K$7))))</f>
        <v>0</v>
      </c>
      <c r="L211" s="2223" cm="1">
        <f t="array" ref="L211">IF($D211&lt;COLUMNS($F$7:L$7),"",INDEX(TableDiv[[GASB]:[GASB]],_xlfn.AGGREGATE(15,3,(TableDiv[[Agency]:[Agency]]=$E211)/(TableDiv[[Agency]:[Agency]]=$E211)*(ROW(TableDiv[Agency])-ROW(TableDiv[[#Headers],[Agency]])),COLUMNS($F$7:L$7))))</f>
        <v>0</v>
      </c>
      <c r="M211" s="2223" cm="1">
        <f t="array" ref="M211">IF($D211&lt;COLUMNS($F$7:M$7),"",INDEX(TableDiv[[GASB]:[GASB]],_xlfn.AGGREGATE(15,3,(TableDiv[[Agency]:[Agency]]=$E211)/(TableDiv[[Agency]:[Agency]]=$E211)*(ROW(TableDiv[Agency])-ROW(TableDiv[[#Headers],[Agency]])),COLUMNS($F$7:M$7))))</f>
        <v>0</v>
      </c>
      <c r="N211" s="2223" cm="1">
        <f t="array" ref="N211">IF($D211&lt;COLUMNS($F$7:N$7),"",INDEX(TableDiv[[GASB]:[GASB]],_xlfn.AGGREGATE(15,3,(TableDiv[[Agency]:[Agency]]=$E211)/(TableDiv[[Agency]:[Agency]]=$E211)*(ROW(TableDiv[Agency])-ROW(TableDiv[[#Headers],[Agency]])),COLUMNS($F$7:N$7))))</f>
        <v>0</v>
      </c>
      <c r="O211" s="2223" cm="1">
        <f t="array" ref="O211">IF($D211&lt;COLUMNS($F$7:O$7),"",INDEX(TableDiv[[GASB]:[GASB]],_xlfn.AGGREGATE(15,3,(TableDiv[[Agency]:[Agency]]=$E211)/(TableDiv[[Agency]:[Agency]]=$E211)*(ROW(TableDiv[Agency])-ROW(TableDiv[[#Headers],[Agency]])),COLUMNS($F$7:O$7))))</f>
        <v>0</v>
      </c>
      <c r="P211" s="2223" cm="1">
        <f t="array" ref="P211">IF($D211&lt;COLUMNS($F$7:P$7),"",INDEX(TableDiv[[GASB]:[GASB]],_xlfn.AGGREGATE(15,3,(TableDiv[[Agency]:[Agency]]=$E211)/(TableDiv[[Agency]:[Agency]]=$E211)*(ROW(TableDiv[Agency])-ROW(TableDiv[[#Headers],[Agency]])),COLUMNS($F$7:P$7))))</f>
        <v>0</v>
      </c>
      <c r="Q211" s="2223" cm="1">
        <f t="array" ref="Q211">IF($D211&lt;COLUMNS($F$7:Q$7),"",INDEX(TableDiv[[GASB]:[GASB]],_xlfn.AGGREGATE(15,3,(TableDiv[[Agency]:[Agency]]=$E211)/(TableDiv[[Agency]:[Agency]]=$E211)*(ROW(TableDiv[Agency])-ROW(TableDiv[[#Headers],[Agency]])),COLUMNS($F$7:Q$7))))</f>
        <v>0</v>
      </c>
      <c r="R211" s="2223" cm="1">
        <f t="array" ref="R211">IF($D211&lt;COLUMNS($F$7:R$7),"",INDEX(TableDiv[[GASB]:[GASB]],_xlfn.AGGREGATE(15,3,(TableDiv[[Agency]:[Agency]]=$E211)/(TableDiv[[Agency]:[Agency]]=$E211)*(ROW(TableDiv[Agency])-ROW(TableDiv[[#Headers],[Agency]])),COLUMNS($F$7:R$7))))</f>
        <v>0</v>
      </c>
      <c r="S211" s="2223" cm="1">
        <f t="array" ref="S211">IF($D211&lt;COLUMNS($F$7:S$7),"",INDEX(TableDiv[[GASB]:[GASB]],_xlfn.AGGREGATE(15,3,(TableDiv[[Agency]:[Agency]]=$E211)/(TableDiv[[Agency]:[Agency]]=$E211)*(ROW(TableDiv[Agency])-ROW(TableDiv[[#Headers],[Agency]])),COLUMNS($F$7:S$7))))</f>
        <v>0</v>
      </c>
      <c r="T211" s="2223" cm="1">
        <f t="array" ref="T211">IF($D211&lt;COLUMNS($F$7:T$7),"",INDEX(TableDiv[[GASB]:[GASB]],_xlfn.AGGREGATE(15,3,(TableDiv[[Agency]:[Agency]]=$E211)/(TableDiv[[Agency]:[Agency]]=$E211)*(ROW(TableDiv[Agency])-ROW(TableDiv[[#Headers],[Agency]])),COLUMNS($F$7:T$7))))</f>
        <v>0</v>
      </c>
      <c r="U211" s="2223" cm="1">
        <f t="array" ref="U211">IF($D211&lt;COLUMNS($F$7:U$7),"",INDEX(TableDiv[[GASB]:[GASB]],_xlfn.AGGREGATE(15,3,(TableDiv[[Agency]:[Agency]]=$E211)/(TableDiv[[Agency]:[Agency]]=$E211)*(ROW(TableDiv[Agency])-ROW(TableDiv[[#Headers],[Agency]])),COLUMNS($F$7:U$7))))</f>
        <v>0</v>
      </c>
      <c r="V211" s="2223" cm="1">
        <f t="array" ref="V211">IF($D211&lt;COLUMNS($F$7:V$7),"",INDEX(TableDiv[[GASB]:[GASB]],_xlfn.AGGREGATE(15,3,(TableDiv[[Agency]:[Agency]]=$E211)/(TableDiv[[Agency]:[Agency]]=$E211)*(ROW(TableDiv[Agency])-ROW(TableDiv[[#Headers],[Agency]])),COLUMNS($F$7:V$7))))</f>
        <v>0</v>
      </c>
      <c r="W211" s="2223" cm="1">
        <f t="array" ref="W211">IF($D211&lt;COLUMNS($F$7:W$7),"",INDEX(TableDiv[[GASB]:[GASB]],_xlfn.AGGREGATE(15,3,(TableDiv[[Agency]:[Agency]]=$E211)/(TableDiv[[Agency]:[Agency]]=$E211)*(ROW(TableDiv[Agency])-ROW(TableDiv[[#Headers],[Agency]])),COLUMNS($F$7:W$7))))</f>
        <v>0</v>
      </c>
      <c r="X211" s="2223" cm="1">
        <f t="array" ref="X211">IF($D211&lt;COLUMNS($F$7:X$7),"",INDEX(TableDiv[[GASB]:[GASB]],_xlfn.AGGREGATE(15,3,(TableDiv[[Agency]:[Agency]]=$E211)/(TableDiv[[Agency]:[Agency]]=$E211)*(ROW(TableDiv[Agency])-ROW(TableDiv[[#Headers],[Agency]])),COLUMNS($F$7:X$7))))</f>
        <v>0</v>
      </c>
      <c r="Y211" s="2223" cm="1">
        <f t="array" ref="Y211">IF($D211&lt;COLUMNS($F$7:Y$7),"",INDEX(TableDiv[[GASB]:[GASB]],_xlfn.AGGREGATE(15,3,(TableDiv[[Agency]:[Agency]]=$E211)/(TableDiv[[Agency]:[Agency]]=$E211)*(ROW(TableDiv[Agency])-ROW(TableDiv[[#Headers],[Agency]])),COLUMNS($F$7:Y$7))))</f>
        <v>0</v>
      </c>
      <c r="Z211" s="2223" cm="1">
        <f t="array" ref="Z211">IF($D211&lt;COLUMNS($F$7:Z$7),"",INDEX(TableDiv[[GASB]:[GASB]],_xlfn.AGGREGATE(15,3,(TableDiv[[Agency]:[Agency]]=$E211)/(TableDiv[[Agency]:[Agency]]=$E211)*(ROW(TableDiv[Agency])-ROW(TableDiv[[#Headers],[Agency]])),COLUMNS($F$7:Z$7))))</f>
        <v>0</v>
      </c>
      <c r="AA211" s="2223" cm="1">
        <f t="array" ref="AA211">IF($D211&lt;COLUMNS($F$7:AA$7),"",INDEX(TableDiv[[GASB]:[GASB]],_xlfn.AGGREGATE(15,3,(TableDiv[[Agency]:[Agency]]=$E211)/(TableDiv[[Agency]:[Agency]]=$E211)*(ROW(TableDiv[Agency])-ROW(TableDiv[[#Headers],[Agency]])),COLUMNS($F$7:AA$7))))</f>
        <v>0</v>
      </c>
      <c r="AB211" s="2223" cm="1">
        <f t="array" ref="AB211">IF($D211&lt;COLUMNS($F$7:AB$7),"",INDEX(TableDiv[[GASB]:[GASB]],_xlfn.AGGREGATE(15,3,(TableDiv[[Agency]:[Agency]]=$E211)/(TableDiv[[Agency]:[Agency]]=$E211)*(ROW(TableDiv[Agency])-ROW(TableDiv[[#Headers],[Agency]])),COLUMNS($F$7:AB$7))))</f>
        <v>0</v>
      </c>
      <c r="AC211" s="2223" cm="1">
        <f t="array" ref="AC211">IF($D211&lt;COLUMNS($F$7:AC$7),"",INDEX(TableDiv[[GASB]:[GASB]],_xlfn.AGGREGATE(15,3,(TableDiv[[Agency]:[Agency]]=$E211)/(TableDiv[[Agency]:[Agency]]=$E211)*(ROW(TableDiv[Agency])-ROW(TableDiv[[#Headers],[Agency]])),COLUMNS($F$7:AC$7))))</f>
        <v>0</v>
      </c>
      <c r="AD211" s="2223" cm="1">
        <f t="array" ref="AD211">IF($D211&lt;COLUMNS($F$7:AD$7),"",INDEX(TableDiv[[GASB]:[GASB]],_xlfn.AGGREGATE(15,3,(TableDiv[[Agency]:[Agency]]=$E211)/(TableDiv[[Agency]:[Agency]]=$E211)*(ROW(TableDiv[Agency])-ROW(TableDiv[[#Headers],[Agency]])),COLUMNS($F$7:AD$7))))</f>
        <v>0</v>
      </c>
      <c r="AE211" s="2223" cm="1">
        <f t="array" ref="AE211">IF($D211&lt;COLUMNS($F$7:AE$7),"",INDEX(TableDiv[[GASB]:[GASB]],_xlfn.AGGREGATE(15,3,(TableDiv[[Agency]:[Agency]]=$E211)/(TableDiv[[Agency]:[Agency]]=$E211)*(ROW(TableDiv[Agency])-ROW(TableDiv[[#Headers],[Agency]])),COLUMNS($F$7:AE$7))))</f>
        <v>0</v>
      </c>
      <c r="AF211" s="2223" cm="1">
        <f t="array" ref="AF211">IF($D211&lt;COLUMNS($F$7:AF$7),"",INDEX(TableDiv[[GASB]:[GASB]],_xlfn.AGGREGATE(15,3,(TableDiv[[Agency]:[Agency]]=$E211)/(TableDiv[[Agency]:[Agency]]=$E211)*(ROW(TableDiv[Agency])-ROW(TableDiv[[#Headers],[Agency]])),COLUMNS($F$7:AF$7))))</f>
        <v>0</v>
      </c>
      <c r="AG211" s="2223" cm="1">
        <f t="array" ref="AG211">IF($D211&lt;COLUMNS($F$7:AG$7),"",INDEX(TableDiv[[GASB]:[GASB]],_xlfn.AGGREGATE(15,3,(TableDiv[[Agency]:[Agency]]=$E211)/(TableDiv[[Agency]:[Agency]]=$E211)*(ROW(TableDiv[Agency])-ROW(TableDiv[[#Headers],[Agency]])),COLUMNS($F$7:AG$7))))</f>
        <v>0</v>
      </c>
      <c r="AH211" s="2223" cm="1">
        <f t="array" ref="AH211">IF($D211&lt;COLUMNS($F$7:AH$7),"",INDEX(TableDiv[[GASB]:[GASB]],_xlfn.AGGREGATE(15,3,(TableDiv[[Agency]:[Agency]]=$E211)/(TableDiv[[Agency]:[Agency]]=$E211)*(ROW(TableDiv[Agency])-ROW(TableDiv[[#Headers],[Agency]])),COLUMNS($F$7:AH$7))))</f>
        <v>0</v>
      </c>
      <c r="AI211" s="2223" cm="1">
        <f t="array" ref="AI211">IF($D211&lt;COLUMNS($F$7:AI$7),"",INDEX(TableDiv[[GASB]:[GASB]],_xlfn.AGGREGATE(15,3,(TableDiv[[Agency]:[Agency]]=$E211)/(TableDiv[[Agency]:[Agency]]=$E211)*(ROW(TableDiv[Agency])-ROW(TableDiv[[#Headers],[Agency]])),COLUMNS($F$7:AI$7))))</f>
        <v>0</v>
      </c>
      <c r="AJ211" s="2223" cm="1">
        <f t="array" ref="AJ211">IF($D211&lt;COLUMNS($F$7:AJ$7),"",INDEX(TableDiv[[GASB]:[GASB]],_xlfn.AGGREGATE(15,3,(TableDiv[[Agency]:[Agency]]=$E211)/(TableDiv[[Agency]:[Agency]]=$E211)*(ROW(TableDiv[Agency])-ROW(TableDiv[[#Headers],[Agency]])),COLUMNS($F$7:AJ$7))))</f>
        <v>0</v>
      </c>
      <c r="AK211" s="2223" t="str" cm="1">
        <f t="array" ref="AK211">IF($D211&lt;COLUMNS($F$7:AK$7),"",INDEX(TableDiv[[GASB]:[GASB]],_xlfn.AGGREGATE(15,3,(TableDiv[[Agency]:[Agency]]=$E211)/(TableDiv[[Agency]:[Agency]]=$E211)*(ROW(TableDiv[Agency])-ROW(TableDiv[[#Headers],[Agency]])),COLUMNS($F$7:AK$7))))</f>
        <v/>
      </c>
      <c r="AL211" s="2223" t="str" cm="1">
        <f t="array" ref="AL211">IF($D211&lt;COLUMNS($F$7:AL$7),"",INDEX(TableDiv[[GASB]:[GASB]],_xlfn.AGGREGATE(15,3,(TableDiv[[Agency]:[Agency]]=$E211)/(TableDiv[[Agency]:[Agency]]=$E211)*(ROW(TableDiv[Agency])-ROW(TableDiv[[#Headers],[Agency]])),COLUMNS($F$7:AL$7))))</f>
        <v/>
      </c>
      <c r="AM211" s="2223" t="str" cm="1">
        <f t="array" ref="AM211">IF($D211&lt;COLUMNS($F$7:AM$7),"",INDEX(TableDiv[[GASB]:[GASB]],_xlfn.AGGREGATE(15,3,(TableDiv[[Agency]:[Agency]]=$E211)/(TableDiv[[Agency]:[Agency]]=$E211)*(ROW(TableDiv[Agency])-ROW(TableDiv[[#Headers],[Agency]])),COLUMNS($F$7:AM$7))))</f>
        <v/>
      </c>
      <c r="AN211" s="2223"/>
      <c r="AO211" s="2223"/>
      <c r="AP211" s="2223"/>
      <c r="AQ211" s="2223"/>
      <c r="AR211" s="2223"/>
      <c r="AS211" s="2223"/>
    </row>
    <row r="212" spans="1:45" ht="15" x14ac:dyDescent="0.25">
      <c r="A212" s="2219" t="s">
        <v>6454</v>
      </c>
      <c r="B212" s="2219" t="s">
        <v>6358</v>
      </c>
      <c r="C212" s="2223"/>
      <c r="D212" s="2223">
        <f>COUNTIF(TableDiv[Agency],E212)</f>
        <v>31</v>
      </c>
      <c r="E212" s="2230" t="str" cm="1">
        <f t="array" ref="E212">IFERROR(INDEX(TableDiv[Agency],MATCH(0,INDEX(COUNTIF($E$7:E211,TableDiv[Agency]),),0)),"")</f>
        <v/>
      </c>
      <c r="F212" s="2223" cm="1">
        <f t="array" ref="F212">IF($D212&lt;COLUMNS($F$7:F$7),"",INDEX(TableDiv[[GASB]:[GASB]],_xlfn.AGGREGATE(15,3,(TableDiv[[Agency]:[Agency]]=$E212)/(TableDiv[[Agency]:[Agency]]=$E212)*(ROW(TableDiv[Agency])-ROW(TableDiv[[#Headers],[Agency]])),COLUMNS($F$7:F$7))))</f>
        <v>0</v>
      </c>
      <c r="G212" s="2223" cm="1">
        <f t="array" ref="G212">IF($D212&lt;COLUMNS($F$7:G$7),"",INDEX(TableDiv[[GASB]:[GASB]],_xlfn.AGGREGATE(15,3,(TableDiv[[Agency]:[Agency]]=$E212)/(TableDiv[[Agency]:[Agency]]=$E212)*(ROW(TableDiv[Agency])-ROW(TableDiv[[#Headers],[Agency]])),COLUMNS($F$7:G$7))))</f>
        <v>0</v>
      </c>
      <c r="H212" s="2223" cm="1">
        <f t="array" ref="H212">IF($D212&lt;COLUMNS($F$7:H$7),"",INDEX(TableDiv[[GASB]:[GASB]],_xlfn.AGGREGATE(15,3,(TableDiv[[Agency]:[Agency]]=$E212)/(TableDiv[[Agency]:[Agency]]=$E212)*(ROW(TableDiv[Agency])-ROW(TableDiv[[#Headers],[Agency]])),COLUMNS($F$7:H$7))))</f>
        <v>0</v>
      </c>
      <c r="I212" s="2223" cm="1">
        <f t="array" ref="I212">IF($D212&lt;COLUMNS($F$7:I$7),"",INDEX(TableDiv[[GASB]:[GASB]],_xlfn.AGGREGATE(15,3,(TableDiv[[Agency]:[Agency]]=$E212)/(TableDiv[[Agency]:[Agency]]=$E212)*(ROW(TableDiv[Agency])-ROW(TableDiv[[#Headers],[Agency]])),COLUMNS($F$7:I$7))))</f>
        <v>0</v>
      </c>
      <c r="J212" s="2223" cm="1">
        <f t="array" ref="J212">IF($D212&lt;COLUMNS($F$7:J$7),"",INDEX(TableDiv[[GASB]:[GASB]],_xlfn.AGGREGATE(15,3,(TableDiv[[Agency]:[Agency]]=$E212)/(TableDiv[[Agency]:[Agency]]=$E212)*(ROW(TableDiv[Agency])-ROW(TableDiv[[#Headers],[Agency]])),COLUMNS($F$7:J$7))))</f>
        <v>0</v>
      </c>
      <c r="K212" s="2223" cm="1">
        <f t="array" ref="K212">IF($D212&lt;COLUMNS($F$7:K$7),"",INDEX(TableDiv[[GASB]:[GASB]],_xlfn.AGGREGATE(15,3,(TableDiv[[Agency]:[Agency]]=$E212)/(TableDiv[[Agency]:[Agency]]=$E212)*(ROW(TableDiv[Agency])-ROW(TableDiv[[#Headers],[Agency]])),COLUMNS($F$7:K$7))))</f>
        <v>0</v>
      </c>
      <c r="L212" s="2223" cm="1">
        <f t="array" ref="L212">IF($D212&lt;COLUMNS($F$7:L$7),"",INDEX(TableDiv[[GASB]:[GASB]],_xlfn.AGGREGATE(15,3,(TableDiv[[Agency]:[Agency]]=$E212)/(TableDiv[[Agency]:[Agency]]=$E212)*(ROW(TableDiv[Agency])-ROW(TableDiv[[#Headers],[Agency]])),COLUMNS($F$7:L$7))))</f>
        <v>0</v>
      </c>
      <c r="M212" s="2223" cm="1">
        <f t="array" ref="M212">IF($D212&lt;COLUMNS($F$7:M$7),"",INDEX(TableDiv[[GASB]:[GASB]],_xlfn.AGGREGATE(15,3,(TableDiv[[Agency]:[Agency]]=$E212)/(TableDiv[[Agency]:[Agency]]=$E212)*(ROW(TableDiv[Agency])-ROW(TableDiv[[#Headers],[Agency]])),COLUMNS($F$7:M$7))))</f>
        <v>0</v>
      </c>
      <c r="N212" s="2223" cm="1">
        <f t="array" ref="N212">IF($D212&lt;COLUMNS($F$7:N$7),"",INDEX(TableDiv[[GASB]:[GASB]],_xlfn.AGGREGATE(15,3,(TableDiv[[Agency]:[Agency]]=$E212)/(TableDiv[[Agency]:[Agency]]=$E212)*(ROW(TableDiv[Agency])-ROW(TableDiv[[#Headers],[Agency]])),COLUMNS($F$7:N$7))))</f>
        <v>0</v>
      </c>
      <c r="O212" s="2223" cm="1">
        <f t="array" ref="O212">IF($D212&lt;COLUMNS($F$7:O$7),"",INDEX(TableDiv[[GASB]:[GASB]],_xlfn.AGGREGATE(15,3,(TableDiv[[Agency]:[Agency]]=$E212)/(TableDiv[[Agency]:[Agency]]=$E212)*(ROW(TableDiv[Agency])-ROW(TableDiv[[#Headers],[Agency]])),COLUMNS($F$7:O$7))))</f>
        <v>0</v>
      </c>
      <c r="P212" s="2223" cm="1">
        <f t="array" ref="P212">IF($D212&lt;COLUMNS($F$7:P$7),"",INDEX(TableDiv[[GASB]:[GASB]],_xlfn.AGGREGATE(15,3,(TableDiv[[Agency]:[Agency]]=$E212)/(TableDiv[[Agency]:[Agency]]=$E212)*(ROW(TableDiv[Agency])-ROW(TableDiv[[#Headers],[Agency]])),COLUMNS($F$7:P$7))))</f>
        <v>0</v>
      </c>
      <c r="Q212" s="2223" cm="1">
        <f t="array" ref="Q212">IF($D212&lt;COLUMNS($F$7:Q$7),"",INDEX(TableDiv[[GASB]:[GASB]],_xlfn.AGGREGATE(15,3,(TableDiv[[Agency]:[Agency]]=$E212)/(TableDiv[[Agency]:[Agency]]=$E212)*(ROW(TableDiv[Agency])-ROW(TableDiv[[#Headers],[Agency]])),COLUMNS($F$7:Q$7))))</f>
        <v>0</v>
      </c>
      <c r="R212" s="2223" cm="1">
        <f t="array" ref="R212">IF($D212&lt;COLUMNS($F$7:R$7),"",INDEX(TableDiv[[GASB]:[GASB]],_xlfn.AGGREGATE(15,3,(TableDiv[[Agency]:[Agency]]=$E212)/(TableDiv[[Agency]:[Agency]]=$E212)*(ROW(TableDiv[Agency])-ROW(TableDiv[[#Headers],[Agency]])),COLUMNS($F$7:R$7))))</f>
        <v>0</v>
      </c>
      <c r="S212" s="2223" cm="1">
        <f t="array" ref="S212">IF($D212&lt;COLUMNS($F$7:S$7),"",INDEX(TableDiv[[GASB]:[GASB]],_xlfn.AGGREGATE(15,3,(TableDiv[[Agency]:[Agency]]=$E212)/(TableDiv[[Agency]:[Agency]]=$E212)*(ROW(TableDiv[Agency])-ROW(TableDiv[[#Headers],[Agency]])),COLUMNS($F$7:S$7))))</f>
        <v>0</v>
      </c>
      <c r="T212" s="2223" cm="1">
        <f t="array" ref="T212">IF($D212&lt;COLUMNS($F$7:T$7),"",INDEX(TableDiv[[GASB]:[GASB]],_xlfn.AGGREGATE(15,3,(TableDiv[[Agency]:[Agency]]=$E212)/(TableDiv[[Agency]:[Agency]]=$E212)*(ROW(TableDiv[Agency])-ROW(TableDiv[[#Headers],[Agency]])),COLUMNS($F$7:T$7))))</f>
        <v>0</v>
      </c>
      <c r="U212" s="2223" cm="1">
        <f t="array" ref="U212">IF($D212&lt;COLUMNS($F$7:U$7),"",INDEX(TableDiv[[GASB]:[GASB]],_xlfn.AGGREGATE(15,3,(TableDiv[[Agency]:[Agency]]=$E212)/(TableDiv[[Agency]:[Agency]]=$E212)*(ROW(TableDiv[Agency])-ROW(TableDiv[[#Headers],[Agency]])),COLUMNS($F$7:U$7))))</f>
        <v>0</v>
      </c>
      <c r="V212" s="2223" cm="1">
        <f t="array" ref="V212">IF($D212&lt;COLUMNS($F$7:V$7),"",INDEX(TableDiv[[GASB]:[GASB]],_xlfn.AGGREGATE(15,3,(TableDiv[[Agency]:[Agency]]=$E212)/(TableDiv[[Agency]:[Agency]]=$E212)*(ROW(TableDiv[Agency])-ROW(TableDiv[[#Headers],[Agency]])),COLUMNS($F$7:V$7))))</f>
        <v>0</v>
      </c>
      <c r="W212" s="2223" cm="1">
        <f t="array" ref="W212">IF($D212&lt;COLUMNS($F$7:W$7),"",INDEX(TableDiv[[GASB]:[GASB]],_xlfn.AGGREGATE(15,3,(TableDiv[[Agency]:[Agency]]=$E212)/(TableDiv[[Agency]:[Agency]]=$E212)*(ROW(TableDiv[Agency])-ROW(TableDiv[[#Headers],[Agency]])),COLUMNS($F$7:W$7))))</f>
        <v>0</v>
      </c>
      <c r="X212" s="2223" cm="1">
        <f t="array" ref="X212">IF($D212&lt;COLUMNS($F$7:X$7),"",INDEX(TableDiv[[GASB]:[GASB]],_xlfn.AGGREGATE(15,3,(TableDiv[[Agency]:[Agency]]=$E212)/(TableDiv[[Agency]:[Agency]]=$E212)*(ROW(TableDiv[Agency])-ROW(TableDiv[[#Headers],[Agency]])),COLUMNS($F$7:X$7))))</f>
        <v>0</v>
      </c>
      <c r="Y212" s="2223" cm="1">
        <f t="array" ref="Y212">IF($D212&lt;COLUMNS($F$7:Y$7),"",INDEX(TableDiv[[GASB]:[GASB]],_xlfn.AGGREGATE(15,3,(TableDiv[[Agency]:[Agency]]=$E212)/(TableDiv[[Agency]:[Agency]]=$E212)*(ROW(TableDiv[Agency])-ROW(TableDiv[[#Headers],[Agency]])),COLUMNS($F$7:Y$7))))</f>
        <v>0</v>
      </c>
      <c r="Z212" s="2223" cm="1">
        <f t="array" ref="Z212">IF($D212&lt;COLUMNS($F$7:Z$7),"",INDEX(TableDiv[[GASB]:[GASB]],_xlfn.AGGREGATE(15,3,(TableDiv[[Agency]:[Agency]]=$E212)/(TableDiv[[Agency]:[Agency]]=$E212)*(ROW(TableDiv[Agency])-ROW(TableDiv[[#Headers],[Agency]])),COLUMNS($F$7:Z$7))))</f>
        <v>0</v>
      </c>
      <c r="AA212" s="2223" cm="1">
        <f t="array" ref="AA212">IF($D212&lt;COLUMNS($F$7:AA$7),"",INDEX(TableDiv[[GASB]:[GASB]],_xlfn.AGGREGATE(15,3,(TableDiv[[Agency]:[Agency]]=$E212)/(TableDiv[[Agency]:[Agency]]=$E212)*(ROW(TableDiv[Agency])-ROW(TableDiv[[#Headers],[Agency]])),COLUMNS($F$7:AA$7))))</f>
        <v>0</v>
      </c>
      <c r="AB212" s="2223" cm="1">
        <f t="array" ref="AB212">IF($D212&lt;COLUMNS($F$7:AB$7),"",INDEX(TableDiv[[GASB]:[GASB]],_xlfn.AGGREGATE(15,3,(TableDiv[[Agency]:[Agency]]=$E212)/(TableDiv[[Agency]:[Agency]]=$E212)*(ROW(TableDiv[Agency])-ROW(TableDiv[[#Headers],[Agency]])),COLUMNS($F$7:AB$7))))</f>
        <v>0</v>
      </c>
      <c r="AC212" s="2223" cm="1">
        <f t="array" ref="AC212">IF($D212&lt;COLUMNS($F$7:AC$7),"",INDEX(TableDiv[[GASB]:[GASB]],_xlfn.AGGREGATE(15,3,(TableDiv[[Agency]:[Agency]]=$E212)/(TableDiv[[Agency]:[Agency]]=$E212)*(ROW(TableDiv[Agency])-ROW(TableDiv[[#Headers],[Agency]])),COLUMNS($F$7:AC$7))))</f>
        <v>0</v>
      </c>
      <c r="AD212" s="2223" cm="1">
        <f t="array" ref="AD212">IF($D212&lt;COLUMNS($F$7:AD$7),"",INDEX(TableDiv[[GASB]:[GASB]],_xlfn.AGGREGATE(15,3,(TableDiv[[Agency]:[Agency]]=$E212)/(TableDiv[[Agency]:[Agency]]=$E212)*(ROW(TableDiv[Agency])-ROW(TableDiv[[#Headers],[Agency]])),COLUMNS($F$7:AD$7))))</f>
        <v>0</v>
      </c>
      <c r="AE212" s="2223" cm="1">
        <f t="array" ref="AE212">IF($D212&lt;COLUMNS($F$7:AE$7),"",INDEX(TableDiv[[GASB]:[GASB]],_xlfn.AGGREGATE(15,3,(TableDiv[[Agency]:[Agency]]=$E212)/(TableDiv[[Agency]:[Agency]]=$E212)*(ROW(TableDiv[Agency])-ROW(TableDiv[[#Headers],[Agency]])),COLUMNS($F$7:AE$7))))</f>
        <v>0</v>
      </c>
      <c r="AF212" s="2223" cm="1">
        <f t="array" ref="AF212">IF($D212&lt;COLUMNS($F$7:AF$7),"",INDEX(TableDiv[[GASB]:[GASB]],_xlfn.AGGREGATE(15,3,(TableDiv[[Agency]:[Agency]]=$E212)/(TableDiv[[Agency]:[Agency]]=$E212)*(ROW(TableDiv[Agency])-ROW(TableDiv[[#Headers],[Agency]])),COLUMNS($F$7:AF$7))))</f>
        <v>0</v>
      </c>
      <c r="AG212" s="2223" cm="1">
        <f t="array" ref="AG212">IF($D212&lt;COLUMNS($F$7:AG$7),"",INDEX(TableDiv[[GASB]:[GASB]],_xlfn.AGGREGATE(15,3,(TableDiv[[Agency]:[Agency]]=$E212)/(TableDiv[[Agency]:[Agency]]=$E212)*(ROW(TableDiv[Agency])-ROW(TableDiv[[#Headers],[Agency]])),COLUMNS($F$7:AG$7))))</f>
        <v>0</v>
      </c>
      <c r="AH212" s="2223" cm="1">
        <f t="array" ref="AH212">IF($D212&lt;COLUMNS($F$7:AH$7),"",INDEX(TableDiv[[GASB]:[GASB]],_xlfn.AGGREGATE(15,3,(TableDiv[[Agency]:[Agency]]=$E212)/(TableDiv[[Agency]:[Agency]]=$E212)*(ROW(TableDiv[Agency])-ROW(TableDiv[[#Headers],[Agency]])),COLUMNS($F$7:AH$7))))</f>
        <v>0</v>
      </c>
      <c r="AI212" s="2223" cm="1">
        <f t="array" ref="AI212">IF($D212&lt;COLUMNS($F$7:AI$7),"",INDEX(TableDiv[[GASB]:[GASB]],_xlfn.AGGREGATE(15,3,(TableDiv[[Agency]:[Agency]]=$E212)/(TableDiv[[Agency]:[Agency]]=$E212)*(ROW(TableDiv[Agency])-ROW(TableDiv[[#Headers],[Agency]])),COLUMNS($F$7:AI$7))))</f>
        <v>0</v>
      </c>
      <c r="AJ212" s="2223" cm="1">
        <f t="array" ref="AJ212">IF($D212&lt;COLUMNS($F$7:AJ$7),"",INDEX(TableDiv[[GASB]:[GASB]],_xlfn.AGGREGATE(15,3,(TableDiv[[Agency]:[Agency]]=$E212)/(TableDiv[[Agency]:[Agency]]=$E212)*(ROW(TableDiv[Agency])-ROW(TableDiv[[#Headers],[Agency]])),COLUMNS($F$7:AJ$7))))</f>
        <v>0</v>
      </c>
      <c r="AK212" s="2223" t="str" cm="1">
        <f t="array" ref="AK212">IF($D212&lt;COLUMNS($F$7:AK$7),"",INDEX(TableDiv[[GASB]:[GASB]],_xlfn.AGGREGATE(15,3,(TableDiv[[Agency]:[Agency]]=$E212)/(TableDiv[[Agency]:[Agency]]=$E212)*(ROW(TableDiv[Agency])-ROW(TableDiv[[#Headers],[Agency]])),COLUMNS($F$7:AK$7))))</f>
        <v/>
      </c>
      <c r="AL212" s="2223" t="str" cm="1">
        <f t="array" ref="AL212">IF($D212&lt;COLUMNS($F$7:AL$7),"",INDEX(TableDiv[[GASB]:[GASB]],_xlfn.AGGREGATE(15,3,(TableDiv[[Agency]:[Agency]]=$E212)/(TableDiv[[Agency]:[Agency]]=$E212)*(ROW(TableDiv[Agency])-ROW(TableDiv[[#Headers],[Agency]])),COLUMNS($F$7:AL$7))))</f>
        <v/>
      </c>
      <c r="AM212" s="2223" t="str" cm="1">
        <f t="array" ref="AM212">IF($D212&lt;COLUMNS($F$7:AM$7),"",INDEX(TableDiv[[GASB]:[GASB]],_xlfn.AGGREGATE(15,3,(TableDiv[[Agency]:[Agency]]=$E212)/(TableDiv[[Agency]:[Agency]]=$E212)*(ROW(TableDiv[Agency])-ROW(TableDiv[[#Headers],[Agency]])),COLUMNS($F$7:AM$7))))</f>
        <v/>
      </c>
      <c r="AN212" s="2223"/>
      <c r="AO212" s="2223"/>
      <c r="AP212" s="2223"/>
      <c r="AQ212" s="2223"/>
      <c r="AR212" s="2223"/>
      <c r="AS212" s="2223"/>
    </row>
    <row r="213" spans="1:45" ht="15" x14ac:dyDescent="0.25">
      <c r="A213" s="2219" t="s">
        <v>6454</v>
      </c>
      <c r="B213" s="2219" t="s">
        <v>6393</v>
      </c>
      <c r="C213" s="2223"/>
      <c r="D213" s="2223">
        <f>COUNTIF(TableDiv[Agency],E213)</f>
        <v>31</v>
      </c>
      <c r="E213" s="2230" t="str" cm="1">
        <f t="array" ref="E213">IFERROR(INDEX(TableDiv[Agency],MATCH(0,INDEX(COUNTIF($E$7:E212,TableDiv[Agency]),),0)),"")</f>
        <v/>
      </c>
      <c r="F213" s="2223" cm="1">
        <f t="array" ref="F213">IF($D213&lt;COLUMNS($F$7:F$7),"",INDEX(TableDiv[[GASB]:[GASB]],_xlfn.AGGREGATE(15,3,(TableDiv[[Agency]:[Agency]]=$E213)/(TableDiv[[Agency]:[Agency]]=$E213)*(ROW(TableDiv[Agency])-ROW(TableDiv[[#Headers],[Agency]])),COLUMNS($F$7:F$7))))</f>
        <v>0</v>
      </c>
      <c r="G213" s="2223" cm="1">
        <f t="array" ref="G213">IF($D213&lt;COLUMNS($F$7:G$7),"",INDEX(TableDiv[[GASB]:[GASB]],_xlfn.AGGREGATE(15,3,(TableDiv[[Agency]:[Agency]]=$E213)/(TableDiv[[Agency]:[Agency]]=$E213)*(ROW(TableDiv[Agency])-ROW(TableDiv[[#Headers],[Agency]])),COLUMNS($F$7:G$7))))</f>
        <v>0</v>
      </c>
      <c r="H213" s="2223" cm="1">
        <f t="array" ref="H213">IF($D213&lt;COLUMNS($F$7:H$7),"",INDEX(TableDiv[[GASB]:[GASB]],_xlfn.AGGREGATE(15,3,(TableDiv[[Agency]:[Agency]]=$E213)/(TableDiv[[Agency]:[Agency]]=$E213)*(ROW(TableDiv[Agency])-ROW(TableDiv[[#Headers],[Agency]])),COLUMNS($F$7:H$7))))</f>
        <v>0</v>
      </c>
      <c r="I213" s="2223" cm="1">
        <f t="array" ref="I213">IF($D213&lt;COLUMNS($F$7:I$7),"",INDEX(TableDiv[[GASB]:[GASB]],_xlfn.AGGREGATE(15,3,(TableDiv[[Agency]:[Agency]]=$E213)/(TableDiv[[Agency]:[Agency]]=$E213)*(ROW(TableDiv[Agency])-ROW(TableDiv[[#Headers],[Agency]])),COLUMNS($F$7:I$7))))</f>
        <v>0</v>
      </c>
      <c r="J213" s="2223" cm="1">
        <f t="array" ref="J213">IF($D213&lt;COLUMNS($F$7:J$7),"",INDEX(TableDiv[[GASB]:[GASB]],_xlfn.AGGREGATE(15,3,(TableDiv[[Agency]:[Agency]]=$E213)/(TableDiv[[Agency]:[Agency]]=$E213)*(ROW(TableDiv[Agency])-ROW(TableDiv[[#Headers],[Agency]])),COLUMNS($F$7:J$7))))</f>
        <v>0</v>
      </c>
      <c r="K213" s="2223" cm="1">
        <f t="array" ref="K213">IF($D213&lt;COLUMNS($F$7:K$7),"",INDEX(TableDiv[[GASB]:[GASB]],_xlfn.AGGREGATE(15,3,(TableDiv[[Agency]:[Agency]]=$E213)/(TableDiv[[Agency]:[Agency]]=$E213)*(ROW(TableDiv[Agency])-ROW(TableDiv[[#Headers],[Agency]])),COLUMNS($F$7:K$7))))</f>
        <v>0</v>
      </c>
      <c r="L213" s="2223" cm="1">
        <f t="array" ref="L213">IF($D213&lt;COLUMNS($F$7:L$7),"",INDEX(TableDiv[[GASB]:[GASB]],_xlfn.AGGREGATE(15,3,(TableDiv[[Agency]:[Agency]]=$E213)/(TableDiv[[Agency]:[Agency]]=$E213)*(ROW(TableDiv[Agency])-ROW(TableDiv[[#Headers],[Agency]])),COLUMNS($F$7:L$7))))</f>
        <v>0</v>
      </c>
      <c r="M213" s="2223" cm="1">
        <f t="array" ref="M213">IF($D213&lt;COLUMNS($F$7:M$7),"",INDEX(TableDiv[[GASB]:[GASB]],_xlfn.AGGREGATE(15,3,(TableDiv[[Agency]:[Agency]]=$E213)/(TableDiv[[Agency]:[Agency]]=$E213)*(ROW(TableDiv[Agency])-ROW(TableDiv[[#Headers],[Agency]])),COLUMNS($F$7:M$7))))</f>
        <v>0</v>
      </c>
      <c r="N213" s="2223" cm="1">
        <f t="array" ref="N213">IF($D213&lt;COLUMNS($F$7:N$7),"",INDEX(TableDiv[[GASB]:[GASB]],_xlfn.AGGREGATE(15,3,(TableDiv[[Agency]:[Agency]]=$E213)/(TableDiv[[Agency]:[Agency]]=$E213)*(ROW(TableDiv[Agency])-ROW(TableDiv[[#Headers],[Agency]])),COLUMNS($F$7:N$7))))</f>
        <v>0</v>
      </c>
      <c r="O213" s="2223" cm="1">
        <f t="array" ref="O213">IF($D213&lt;COLUMNS($F$7:O$7),"",INDEX(TableDiv[[GASB]:[GASB]],_xlfn.AGGREGATE(15,3,(TableDiv[[Agency]:[Agency]]=$E213)/(TableDiv[[Agency]:[Agency]]=$E213)*(ROW(TableDiv[Agency])-ROW(TableDiv[[#Headers],[Agency]])),COLUMNS($F$7:O$7))))</f>
        <v>0</v>
      </c>
      <c r="P213" s="2223" cm="1">
        <f t="array" ref="P213">IF($D213&lt;COLUMNS($F$7:P$7),"",INDEX(TableDiv[[GASB]:[GASB]],_xlfn.AGGREGATE(15,3,(TableDiv[[Agency]:[Agency]]=$E213)/(TableDiv[[Agency]:[Agency]]=$E213)*(ROW(TableDiv[Agency])-ROW(TableDiv[[#Headers],[Agency]])),COLUMNS($F$7:P$7))))</f>
        <v>0</v>
      </c>
      <c r="Q213" s="2223" cm="1">
        <f t="array" ref="Q213">IF($D213&lt;COLUMNS($F$7:Q$7),"",INDEX(TableDiv[[GASB]:[GASB]],_xlfn.AGGREGATE(15,3,(TableDiv[[Agency]:[Agency]]=$E213)/(TableDiv[[Agency]:[Agency]]=$E213)*(ROW(TableDiv[Agency])-ROW(TableDiv[[#Headers],[Agency]])),COLUMNS($F$7:Q$7))))</f>
        <v>0</v>
      </c>
      <c r="R213" s="2223" cm="1">
        <f t="array" ref="R213">IF($D213&lt;COLUMNS($F$7:R$7),"",INDEX(TableDiv[[GASB]:[GASB]],_xlfn.AGGREGATE(15,3,(TableDiv[[Agency]:[Agency]]=$E213)/(TableDiv[[Agency]:[Agency]]=$E213)*(ROW(TableDiv[Agency])-ROW(TableDiv[[#Headers],[Agency]])),COLUMNS($F$7:R$7))))</f>
        <v>0</v>
      </c>
      <c r="S213" s="2223" cm="1">
        <f t="array" ref="S213">IF($D213&lt;COLUMNS($F$7:S$7),"",INDEX(TableDiv[[GASB]:[GASB]],_xlfn.AGGREGATE(15,3,(TableDiv[[Agency]:[Agency]]=$E213)/(TableDiv[[Agency]:[Agency]]=$E213)*(ROW(TableDiv[Agency])-ROW(TableDiv[[#Headers],[Agency]])),COLUMNS($F$7:S$7))))</f>
        <v>0</v>
      </c>
      <c r="T213" s="2223" cm="1">
        <f t="array" ref="T213">IF($D213&lt;COLUMNS($F$7:T$7),"",INDEX(TableDiv[[GASB]:[GASB]],_xlfn.AGGREGATE(15,3,(TableDiv[[Agency]:[Agency]]=$E213)/(TableDiv[[Agency]:[Agency]]=$E213)*(ROW(TableDiv[Agency])-ROW(TableDiv[[#Headers],[Agency]])),COLUMNS($F$7:T$7))))</f>
        <v>0</v>
      </c>
      <c r="U213" s="2223" cm="1">
        <f t="array" ref="U213">IF($D213&lt;COLUMNS($F$7:U$7),"",INDEX(TableDiv[[GASB]:[GASB]],_xlfn.AGGREGATE(15,3,(TableDiv[[Agency]:[Agency]]=$E213)/(TableDiv[[Agency]:[Agency]]=$E213)*(ROW(TableDiv[Agency])-ROW(TableDiv[[#Headers],[Agency]])),COLUMNS($F$7:U$7))))</f>
        <v>0</v>
      </c>
      <c r="V213" s="2223" cm="1">
        <f t="array" ref="V213">IF($D213&lt;COLUMNS($F$7:V$7),"",INDEX(TableDiv[[GASB]:[GASB]],_xlfn.AGGREGATE(15,3,(TableDiv[[Agency]:[Agency]]=$E213)/(TableDiv[[Agency]:[Agency]]=$E213)*(ROW(TableDiv[Agency])-ROW(TableDiv[[#Headers],[Agency]])),COLUMNS($F$7:V$7))))</f>
        <v>0</v>
      </c>
      <c r="W213" s="2223" cm="1">
        <f t="array" ref="W213">IF($D213&lt;COLUMNS($F$7:W$7),"",INDEX(TableDiv[[GASB]:[GASB]],_xlfn.AGGREGATE(15,3,(TableDiv[[Agency]:[Agency]]=$E213)/(TableDiv[[Agency]:[Agency]]=$E213)*(ROW(TableDiv[Agency])-ROW(TableDiv[[#Headers],[Agency]])),COLUMNS($F$7:W$7))))</f>
        <v>0</v>
      </c>
      <c r="X213" s="2223" cm="1">
        <f t="array" ref="X213">IF($D213&lt;COLUMNS($F$7:X$7),"",INDEX(TableDiv[[GASB]:[GASB]],_xlfn.AGGREGATE(15,3,(TableDiv[[Agency]:[Agency]]=$E213)/(TableDiv[[Agency]:[Agency]]=$E213)*(ROW(TableDiv[Agency])-ROW(TableDiv[[#Headers],[Agency]])),COLUMNS($F$7:X$7))))</f>
        <v>0</v>
      </c>
      <c r="Y213" s="2223" cm="1">
        <f t="array" ref="Y213">IF($D213&lt;COLUMNS($F$7:Y$7),"",INDEX(TableDiv[[GASB]:[GASB]],_xlfn.AGGREGATE(15,3,(TableDiv[[Agency]:[Agency]]=$E213)/(TableDiv[[Agency]:[Agency]]=$E213)*(ROW(TableDiv[Agency])-ROW(TableDiv[[#Headers],[Agency]])),COLUMNS($F$7:Y$7))))</f>
        <v>0</v>
      </c>
      <c r="Z213" s="2223" cm="1">
        <f t="array" ref="Z213">IF($D213&lt;COLUMNS($F$7:Z$7),"",INDEX(TableDiv[[GASB]:[GASB]],_xlfn.AGGREGATE(15,3,(TableDiv[[Agency]:[Agency]]=$E213)/(TableDiv[[Agency]:[Agency]]=$E213)*(ROW(TableDiv[Agency])-ROW(TableDiv[[#Headers],[Agency]])),COLUMNS($F$7:Z$7))))</f>
        <v>0</v>
      </c>
      <c r="AA213" s="2223" cm="1">
        <f t="array" ref="AA213">IF($D213&lt;COLUMNS($F$7:AA$7),"",INDEX(TableDiv[[GASB]:[GASB]],_xlfn.AGGREGATE(15,3,(TableDiv[[Agency]:[Agency]]=$E213)/(TableDiv[[Agency]:[Agency]]=$E213)*(ROW(TableDiv[Agency])-ROW(TableDiv[[#Headers],[Agency]])),COLUMNS($F$7:AA$7))))</f>
        <v>0</v>
      </c>
      <c r="AB213" s="2223" cm="1">
        <f t="array" ref="AB213">IF($D213&lt;COLUMNS($F$7:AB$7),"",INDEX(TableDiv[[GASB]:[GASB]],_xlfn.AGGREGATE(15,3,(TableDiv[[Agency]:[Agency]]=$E213)/(TableDiv[[Agency]:[Agency]]=$E213)*(ROW(TableDiv[Agency])-ROW(TableDiv[[#Headers],[Agency]])),COLUMNS($F$7:AB$7))))</f>
        <v>0</v>
      </c>
      <c r="AC213" s="2223" cm="1">
        <f t="array" ref="AC213">IF($D213&lt;COLUMNS($F$7:AC$7),"",INDEX(TableDiv[[GASB]:[GASB]],_xlfn.AGGREGATE(15,3,(TableDiv[[Agency]:[Agency]]=$E213)/(TableDiv[[Agency]:[Agency]]=$E213)*(ROW(TableDiv[Agency])-ROW(TableDiv[[#Headers],[Agency]])),COLUMNS($F$7:AC$7))))</f>
        <v>0</v>
      </c>
      <c r="AD213" s="2223" cm="1">
        <f t="array" ref="AD213">IF($D213&lt;COLUMNS($F$7:AD$7),"",INDEX(TableDiv[[GASB]:[GASB]],_xlfn.AGGREGATE(15,3,(TableDiv[[Agency]:[Agency]]=$E213)/(TableDiv[[Agency]:[Agency]]=$E213)*(ROW(TableDiv[Agency])-ROW(TableDiv[[#Headers],[Agency]])),COLUMNS($F$7:AD$7))))</f>
        <v>0</v>
      </c>
      <c r="AE213" s="2223" cm="1">
        <f t="array" ref="AE213">IF($D213&lt;COLUMNS($F$7:AE$7),"",INDEX(TableDiv[[GASB]:[GASB]],_xlfn.AGGREGATE(15,3,(TableDiv[[Agency]:[Agency]]=$E213)/(TableDiv[[Agency]:[Agency]]=$E213)*(ROW(TableDiv[Agency])-ROW(TableDiv[[#Headers],[Agency]])),COLUMNS($F$7:AE$7))))</f>
        <v>0</v>
      </c>
      <c r="AF213" s="2223" cm="1">
        <f t="array" ref="AF213">IF($D213&lt;COLUMNS($F$7:AF$7),"",INDEX(TableDiv[[GASB]:[GASB]],_xlfn.AGGREGATE(15,3,(TableDiv[[Agency]:[Agency]]=$E213)/(TableDiv[[Agency]:[Agency]]=$E213)*(ROW(TableDiv[Agency])-ROW(TableDiv[[#Headers],[Agency]])),COLUMNS($F$7:AF$7))))</f>
        <v>0</v>
      </c>
      <c r="AG213" s="2223" cm="1">
        <f t="array" ref="AG213">IF($D213&lt;COLUMNS($F$7:AG$7),"",INDEX(TableDiv[[GASB]:[GASB]],_xlfn.AGGREGATE(15,3,(TableDiv[[Agency]:[Agency]]=$E213)/(TableDiv[[Agency]:[Agency]]=$E213)*(ROW(TableDiv[Agency])-ROW(TableDiv[[#Headers],[Agency]])),COLUMNS($F$7:AG$7))))</f>
        <v>0</v>
      </c>
      <c r="AH213" s="2223" cm="1">
        <f t="array" ref="AH213">IF($D213&lt;COLUMNS($F$7:AH$7),"",INDEX(TableDiv[[GASB]:[GASB]],_xlfn.AGGREGATE(15,3,(TableDiv[[Agency]:[Agency]]=$E213)/(TableDiv[[Agency]:[Agency]]=$E213)*(ROW(TableDiv[Agency])-ROW(TableDiv[[#Headers],[Agency]])),COLUMNS($F$7:AH$7))))</f>
        <v>0</v>
      </c>
      <c r="AI213" s="2223" cm="1">
        <f t="array" ref="AI213">IF($D213&lt;COLUMNS($F$7:AI$7),"",INDEX(TableDiv[[GASB]:[GASB]],_xlfn.AGGREGATE(15,3,(TableDiv[[Agency]:[Agency]]=$E213)/(TableDiv[[Agency]:[Agency]]=$E213)*(ROW(TableDiv[Agency])-ROW(TableDiv[[#Headers],[Agency]])),COLUMNS($F$7:AI$7))))</f>
        <v>0</v>
      </c>
      <c r="AJ213" s="2223" cm="1">
        <f t="array" ref="AJ213">IF($D213&lt;COLUMNS($F$7:AJ$7),"",INDEX(TableDiv[[GASB]:[GASB]],_xlfn.AGGREGATE(15,3,(TableDiv[[Agency]:[Agency]]=$E213)/(TableDiv[[Agency]:[Agency]]=$E213)*(ROW(TableDiv[Agency])-ROW(TableDiv[[#Headers],[Agency]])),COLUMNS($F$7:AJ$7))))</f>
        <v>0</v>
      </c>
      <c r="AK213" s="2223" t="str" cm="1">
        <f t="array" ref="AK213">IF($D213&lt;COLUMNS($F$7:AK$7),"",INDEX(TableDiv[[GASB]:[GASB]],_xlfn.AGGREGATE(15,3,(TableDiv[[Agency]:[Agency]]=$E213)/(TableDiv[[Agency]:[Agency]]=$E213)*(ROW(TableDiv[Agency])-ROW(TableDiv[[#Headers],[Agency]])),COLUMNS($F$7:AK$7))))</f>
        <v/>
      </c>
      <c r="AL213" s="2223" t="str" cm="1">
        <f t="array" ref="AL213">IF($D213&lt;COLUMNS($F$7:AL$7),"",INDEX(TableDiv[[GASB]:[GASB]],_xlfn.AGGREGATE(15,3,(TableDiv[[Agency]:[Agency]]=$E213)/(TableDiv[[Agency]:[Agency]]=$E213)*(ROW(TableDiv[Agency])-ROW(TableDiv[[#Headers],[Agency]])),COLUMNS($F$7:AL$7))))</f>
        <v/>
      </c>
      <c r="AM213" s="2223" t="str" cm="1">
        <f t="array" ref="AM213">IF($D213&lt;COLUMNS($F$7:AM$7),"",INDEX(TableDiv[[GASB]:[GASB]],_xlfn.AGGREGATE(15,3,(TableDiv[[Agency]:[Agency]]=$E213)/(TableDiv[[Agency]:[Agency]]=$E213)*(ROW(TableDiv[Agency])-ROW(TableDiv[[#Headers],[Agency]])),COLUMNS($F$7:AM$7))))</f>
        <v/>
      </c>
      <c r="AN213" s="2223"/>
      <c r="AO213" s="2223"/>
      <c r="AP213" s="2223"/>
      <c r="AQ213" s="2223"/>
      <c r="AR213" s="2223"/>
      <c r="AS213" s="2223"/>
    </row>
    <row r="214" spans="1:45" ht="15" x14ac:dyDescent="0.25">
      <c r="A214" s="2219" t="s">
        <v>6455</v>
      </c>
      <c r="B214" s="2219" t="s">
        <v>6361</v>
      </c>
      <c r="C214" s="2223"/>
      <c r="D214" s="2223">
        <f>COUNTIF(TableDiv[Agency],E214)</f>
        <v>31</v>
      </c>
      <c r="E214" s="2230" t="str" cm="1">
        <f t="array" ref="E214">IFERROR(INDEX(TableDiv[Agency],MATCH(0,INDEX(COUNTIF($E$7:E213,TableDiv[Agency]),),0)),"")</f>
        <v/>
      </c>
      <c r="F214" s="2223" cm="1">
        <f t="array" ref="F214">IF($D214&lt;COLUMNS($F$7:F$7),"",INDEX(TableDiv[[GASB]:[GASB]],_xlfn.AGGREGATE(15,3,(TableDiv[[Agency]:[Agency]]=$E214)/(TableDiv[[Agency]:[Agency]]=$E214)*(ROW(TableDiv[Agency])-ROW(TableDiv[[#Headers],[Agency]])),COLUMNS($F$7:F$7))))</f>
        <v>0</v>
      </c>
      <c r="G214" s="2223" cm="1">
        <f t="array" ref="G214">IF($D214&lt;COLUMNS($F$7:G$7),"",INDEX(TableDiv[[GASB]:[GASB]],_xlfn.AGGREGATE(15,3,(TableDiv[[Agency]:[Agency]]=$E214)/(TableDiv[[Agency]:[Agency]]=$E214)*(ROW(TableDiv[Agency])-ROW(TableDiv[[#Headers],[Agency]])),COLUMNS($F$7:G$7))))</f>
        <v>0</v>
      </c>
      <c r="H214" s="2223" cm="1">
        <f t="array" ref="H214">IF($D214&lt;COLUMNS($F$7:H$7),"",INDEX(TableDiv[[GASB]:[GASB]],_xlfn.AGGREGATE(15,3,(TableDiv[[Agency]:[Agency]]=$E214)/(TableDiv[[Agency]:[Agency]]=$E214)*(ROW(TableDiv[Agency])-ROW(TableDiv[[#Headers],[Agency]])),COLUMNS($F$7:H$7))))</f>
        <v>0</v>
      </c>
      <c r="I214" s="2223" cm="1">
        <f t="array" ref="I214">IF($D214&lt;COLUMNS($F$7:I$7),"",INDEX(TableDiv[[GASB]:[GASB]],_xlfn.AGGREGATE(15,3,(TableDiv[[Agency]:[Agency]]=$E214)/(TableDiv[[Agency]:[Agency]]=$E214)*(ROW(TableDiv[Agency])-ROW(TableDiv[[#Headers],[Agency]])),COLUMNS($F$7:I$7))))</f>
        <v>0</v>
      </c>
      <c r="J214" s="2223" cm="1">
        <f t="array" ref="J214">IF($D214&lt;COLUMNS($F$7:J$7),"",INDEX(TableDiv[[GASB]:[GASB]],_xlfn.AGGREGATE(15,3,(TableDiv[[Agency]:[Agency]]=$E214)/(TableDiv[[Agency]:[Agency]]=$E214)*(ROW(TableDiv[Agency])-ROW(TableDiv[[#Headers],[Agency]])),COLUMNS($F$7:J$7))))</f>
        <v>0</v>
      </c>
      <c r="K214" s="2223" cm="1">
        <f t="array" ref="K214">IF($D214&lt;COLUMNS($F$7:K$7),"",INDEX(TableDiv[[GASB]:[GASB]],_xlfn.AGGREGATE(15,3,(TableDiv[[Agency]:[Agency]]=$E214)/(TableDiv[[Agency]:[Agency]]=$E214)*(ROW(TableDiv[Agency])-ROW(TableDiv[[#Headers],[Agency]])),COLUMNS($F$7:K$7))))</f>
        <v>0</v>
      </c>
      <c r="L214" s="2223" cm="1">
        <f t="array" ref="L214">IF($D214&lt;COLUMNS($F$7:L$7),"",INDEX(TableDiv[[GASB]:[GASB]],_xlfn.AGGREGATE(15,3,(TableDiv[[Agency]:[Agency]]=$E214)/(TableDiv[[Agency]:[Agency]]=$E214)*(ROW(TableDiv[Agency])-ROW(TableDiv[[#Headers],[Agency]])),COLUMNS($F$7:L$7))))</f>
        <v>0</v>
      </c>
      <c r="M214" s="2223" cm="1">
        <f t="array" ref="M214">IF($D214&lt;COLUMNS($F$7:M$7),"",INDEX(TableDiv[[GASB]:[GASB]],_xlfn.AGGREGATE(15,3,(TableDiv[[Agency]:[Agency]]=$E214)/(TableDiv[[Agency]:[Agency]]=$E214)*(ROW(TableDiv[Agency])-ROW(TableDiv[[#Headers],[Agency]])),COLUMNS($F$7:M$7))))</f>
        <v>0</v>
      </c>
      <c r="N214" s="2223" cm="1">
        <f t="array" ref="N214">IF($D214&lt;COLUMNS($F$7:N$7),"",INDEX(TableDiv[[GASB]:[GASB]],_xlfn.AGGREGATE(15,3,(TableDiv[[Agency]:[Agency]]=$E214)/(TableDiv[[Agency]:[Agency]]=$E214)*(ROW(TableDiv[Agency])-ROW(TableDiv[[#Headers],[Agency]])),COLUMNS($F$7:N$7))))</f>
        <v>0</v>
      </c>
      <c r="O214" s="2223" cm="1">
        <f t="array" ref="O214">IF($D214&lt;COLUMNS($F$7:O$7),"",INDEX(TableDiv[[GASB]:[GASB]],_xlfn.AGGREGATE(15,3,(TableDiv[[Agency]:[Agency]]=$E214)/(TableDiv[[Agency]:[Agency]]=$E214)*(ROW(TableDiv[Agency])-ROW(TableDiv[[#Headers],[Agency]])),COLUMNS($F$7:O$7))))</f>
        <v>0</v>
      </c>
      <c r="P214" s="2223" cm="1">
        <f t="array" ref="P214">IF($D214&lt;COLUMNS($F$7:P$7),"",INDEX(TableDiv[[GASB]:[GASB]],_xlfn.AGGREGATE(15,3,(TableDiv[[Agency]:[Agency]]=$E214)/(TableDiv[[Agency]:[Agency]]=$E214)*(ROW(TableDiv[Agency])-ROW(TableDiv[[#Headers],[Agency]])),COLUMNS($F$7:P$7))))</f>
        <v>0</v>
      </c>
      <c r="Q214" s="2223" cm="1">
        <f t="array" ref="Q214">IF($D214&lt;COLUMNS($F$7:Q$7),"",INDEX(TableDiv[[GASB]:[GASB]],_xlfn.AGGREGATE(15,3,(TableDiv[[Agency]:[Agency]]=$E214)/(TableDiv[[Agency]:[Agency]]=$E214)*(ROW(TableDiv[Agency])-ROW(TableDiv[[#Headers],[Agency]])),COLUMNS($F$7:Q$7))))</f>
        <v>0</v>
      </c>
      <c r="R214" s="2223" cm="1">
        <f t="array" ref="R214">IF($D214&lt;COLUMNS($F$7:R$7),"",INDEX(TableDiv[[GASB]:[GASB]],_xlfn.AGGREGATE(15,3,(TableDiv[[Agency]:[Agency]]=$E214)/(TableDiv[[Agency]:[Agency]]=$E214)*(ROW(TableDiv[Agency])-ROW(TableDiv[[#Headers],[Agency]])),COLUMNS($F$7:R$7))))</f>
        <v>0</v>
      </c>
      <c r="S214" s="2223" cm="1">
        <f t="array" ref="S214">IF($D214&lt;COLUMNS($F$7:S$7),"",INDEX(TableDiv[[GASB]:[GASB]],_xlfn.AGGREGATE(15,3,(TableDiv[[Agency]:[Agency]]=$E214)/(TableDiv[[Agency]:[Agency]]=$E214)*(ROW(TableDiv[Agency])-ROW(TableDiv[[#Headers],[Agency]])),COLUMNS($F$7:S$7))))</f>
        <v>0</v>
      </c>
      <c r="T214" s="2223" cm="1">
        <f t="array" ref="T214">IF($D214&lt;COLUMNS($F$7:T$7),"",INDEX(TableDiv[[GASB]:[GASB]],_xlfn.AGGREGATE(15,3,(TableDiv[[Agency]:[Agency]]=$E214)/(TableDiv[[Agency]:[Agency]]=$E214)*(ROW(TableDiv[Agency])-ROW(TableDiv[[#Headers],[Agency]])),COLUMNS($F$7:T$7))))</f>
        <v>0</v>
      </c>
      <c r="U214" s="2223" cm="1">
        <f t="array" ref="U214">IF($D214&lt;COLUMNS($F$7:U$7),"",INDEX(TableDiv[[GASB]:[GASB]],_xlfn.AGGREGATE(15,3,(TableDiv[[Agency]:[Agency]]=$E214)/(TableDiv[[Agency]:[Agency]]=$E214)*(ROW(TableDiv[Agency])-ROW(TableDiv[[#Headers],[Agency]])),COLUMNS($F$7:U$7))))</f>
        <v>0</v>
      </c>
      <c r="V214" s="2223" cm="1">
        <f t="array" ref="V214">IF($D214&lt;COLUMNS($F$7:V$7),"",INDEX(TableDiv[[GASB]:[GASB]],_xlfn.AGGREGATE(15,3,(TableDiv[[Agency]:[Agency]]=$E214)/(TableDiv[[Agency]:[Agency]]=$E214)*(ROW(TableDiv[Agency])-ROW(TableDiv[[#Headers],[Agency]])),COLUMNS($F$7:V$7))))</f>
        <v>0</v>
      </c>
      <c r="W214" s="2223" cm="1">
        <f t="array" ref="W214">IF($D214&lt;COLUMNS($F$7:W$7),"",INDEX(TableDiv[[GASB]:[GASB]],_xlfn.AGGREGATE(15,3,(TableDiv[[Agency]:[Agency]]=$E214)/(TableDiv[[Agency]:[Agency]]=$E214)*(ROW(TableDiv[Agency])-ROW(TableDiv[[#Headers],[Agency]])),COLUMNS($F$7:W$7))))</f>
        <v>0</v>
      </c>
      <c r="X214" s="2223" cm="1">
        <f t="array" ref="X214">IF($D214&lt;COLUMNS($F$7:X$7),"",INDEX(TableDiv[[GASB]:[GASB]],_xlfn.AGGREGATE(15,3,(TableDiv[[Agency]:[Agency]]=$E214)/(TableDiv[[Agency]:[Agency]]=$E214)*(ROW(TableDiv[Agency])-ROW(TableDiv[[#Headers],[Agency]])),COLUMNS($F$7:X$7))))</f>
        <v>0</v>
      </c>
      <c r="Y214" s="2223" cm="1">
        <f t="array" ref="Y214">IF($D214&lt;COLUMNS($F$7:Y$7),"",INDEX(TableDiv[[GASB]:[GASB]],_xlfn.AGGREGATE(15,3,(TableDiv[[Agency]:[Agency]]=$E214)/(TableDiv[[Agency]:[Agency]]=$E214)*(ROW(TableDiv[Agency])-ROW(TableDiv[[#Headers],[Agency]])),COLUMNS($F$7:Y$7))))</f>
        <v>0</v>
      </c>
      <c r="Z214" s="2223" cm="1">
        <f t="array" ref="Z214">IF($D214&lt;COLUMNS($F$7:Z$7),"",INDEX(TableDiv[[GASB]:[GASB]],_xlfn.AGGREGATE(15,3,(TableDiv[[Agency]:[Agency]]=$E214)/(TableDiv[[Agency]:[Agency]]=$E214)*(ROW(TableDiv[Agency])-ROW(TableDiv[[#Headers],[Agency]])),COLUMNS($F$7:Z$7))))</f>
        <v>0</v>
      </c>
      <c r="AA214" s="2223" cm="1">
        <f t="array" ref="AA214">IF($D214&lt;COLUMNS($F$7:AA$7),"",INDEX(TableDiv[[GASB]:[GASB]],_xlfn.AGGREGATE(15,3,(TableDiv[[Agency]:[Agency]]=$E214)/(TableDiv[[Agency]:[Agency]]=$E214)*(ROW(TableDiv[Agency])-ROW(TableDiv[[#Headers],[Agency]])),COLUMNS($F$7:AA$7))))</f>
        <v>0</v>
      </c>
      <c r="AB214" s="2223" cm="1">
        <f t="array" ref="AB214">IF($D214&lt;COLUMNS($F$7:AB$7),"",INDEX(TableDiv[[GASB]:[GASB]],_xlfn.AGGREGATE(15,3,(TableDiv[[Agency]:[Agency]]=$E214)/(TableDiv[[Agency]:[Agency]]=$E214)*(ROW(TableDiv[Agency])-ROW(TableDiv[[#Headers],[Agency]])),COLUMNS($F$7:AB$7))))</f>
        <v>0</v>
      </c>
      <c r="AC214" s="2223" cm="1">
        <f t="array" ref="AC214">IF($D214&lt;COLUMNS($F$7:AC$7),"",INDEX(TableDiv[[GASB]:[GASB]],_xlfn.AGGREGATE(15,3,(TableDiv[[Agency]:[Agency]]=$E214)/(TableDiv[[Agency]:[Agency]]=$E214)*(ROW(TableDiv[Agency])-ROW(TableDiv[[#Headers],[Agency]])),COLUMNS($F$7:AC$7))))</f>
        <v>0</v>
      </c>
      <c r="AD214" s="2223" cm="1">
        <f t="array" ref="AD214">IF($D214&lt;COLUMNS($F$7:AD$7),"",INDEX(TableDiv[[GASB]:[GASB]],_xlfn.AGGREGATE(15,3,(TableDiv[[Agency]:[Agency]]=$E214)/(TableDiv[[Agency]:[Agency]]=$E214)*(ROW(TableDiv[Agency])-ROW(TableDiv[[#Headers],[Agency]])),COLUMNS($F$7:AD$7))))</f>
        <v>0</v>
      </c>
      <c r="AE214" s="2223" cm="1">
        <f t="array" ref="AE214">IF($D214&lt;COLUMNS($F$7:AE$7),"",INDEX(TableDiv[[GASB]:[GASB]],_xlfn.AGGREGATE(15,3,(TableDiv[[Agency]:[Agency]]=$E214)/(TableDiv[[Agency]:[Agency]]=$E214)*(ROW(TableDiv[Agency])-ROW(TableDiv[[#Headers],[Agency]])),COLUMNS($F$7:AE$7))))</f>
        <v>0</v>
      </c>
      <c r="AF214" s="2223" cm="1">
        <f t="array" ref="AF214">IF($D214&lt;COLUMNS($F$7:AF$7),"",INDEX(TableDiv[[GASB]:[GASB]],_xlfn.AGGREGATE(15,3,(TableDiv[[Agency]:[Agency]]=$E214)/(TableDiv[[Agency]:[Agency]]=$E214)*(ROW(TableDiv[Agency])-ROW(TableDiv[[#Headers],[Agency]])),COLUMNS($F$7:AF$7))))</f>
        <v>0</v>
      </c>
      <c r="AG214" s="2223" cm="1">
        <f t="array" ref="AG214">IF($D214&lt;COLUMNS($F$7:AG$7),"",INDEX(TableDiv[[GASB]:[GASB]],_xlfn.AGGREGATE(15,3,(TableDiv[[Agency]:[Agency]]=$E214)/(TableDiv[[Agency]:[Agency]]=$E214)*(ROW(TableDiv[Agency])-ROW(TableDiv[[#Headers],[Agency]])),COLUMNS($F$7:AG$7))))</f>
        <v>0</v>
      </c>
      <c r="AH214" s="2223" cm="1">
        <f t="array" ref="AH214">IF($D214&lt;COLUMNS($F$7:AH$7),"",INDEX(TableDiv[[GASB]:[GASB]],_xlfn.AGGREGATE(15,3,(TableDiv[[Agency]:[Agency]]=$E214)/(TableDiv[[Agency]:[Agency]]=$E214)*(ROW(TableDiv[Agency])-ROW(TableDiv[[#Headers],[Agency]])),COLUMNS($F$7:AH$7))))</f>
        <v>0</v>
      </c>
      <c r="AI214" s="2223" cm="1">
        <f t="array" ref="AI214">IF($D214&lt;COLUMNS($F$7:AI$7),"",INDEX(TableDiv[[GASB]:[GASB]],_xlfn.AGGREGATE(15,3,(TableDiv[[Agency]:[Agency]]=$E214)/(TableDiv[[Agency]:[Agency]]=$E214)*(ROW(TableDiv[Agency])-ROW(TableDiv[[#Headers],[Agency]])),COLUMNS($F$7:AI$7))))</f>
        <v>0</v>
      </c>
      <c r="AJ214" s="2223" cm="1">
        <f t="array" ref="AJ214">IF($D214&lt;COLUMNS($F$7:AJ$7),"",INDEX(TableDiv[[GASB]:[GASB]],_xlfn.AGGREGATE(15,3,(TableDiv[[Agency]:[Agency]]=$E214)/(TableDiv[[Agency]:[Agency]]=$E214)*(ROW(TableDiv[Agency])-ROW(TableDiv[[#Headers],[Agency]])),COLUMNS($F$7:AJ$7))))</f>
        <v>0</v>
      </c>
      <c r="AK214" s="2223" t="str" cm="1">
        <f t="array" ref="AK214">IF($D214&lt;COLUMNS($F$7:AK$7),"",INDEX(TableDiv[[GASB]:[GASB]],_xlfn.AGGREGATE(15,3,(TableDiv[[Agency]:[Agency]]=$E214)/(TableDiv[[Agency]:[Agency]]=$E214)*(ROW(TableDiv[Agency])-ROW(TableDiv[[#Headers],[Agency]])),COLUMNS($F$7:AK$7))))</f>
        <v/>
      </c>
      <c r="AL214" s="2223" t="str" cm="1">
        <f t="array" ref="AL214">IF($D214&lt;COLUMNS($F$7:AL$7),"",INDEX(TableDiv[[GASB]:[GASB]],_xlfn.AGGREGATE(15,3,(TableDiv[[Agency]:[Agency]]=$E214)/(TableDiv[[Agency]:[Agency]]=$E214)*(ROW(TableDiv[Agency])-ROW(TableDiv[[#Headers],[Agency]])),COLUMNS($F$7:AL$7))))</f>
        <v/>
      </c>
      <c r="AM214" s="2223" t="str" cm="1">
        <f t="array" ref="AM214">IF($D214&lt;COLUMNS($F$7:AM$7),"",INDEX(TableDiv[[GASB]:[GASB]],_xlfn.AGGREGATE(15,3,(TableDiv[[Agency]:[Agency]]=$E214)/(TableDiv[[Agency]:[Agency]]=$E214)*(ROW(TableDiv[Agency])-ROW(TableDiv[[#Headers],[Agency]])),COLUMNS($F$7:AM$7))))</f>
        <v/>
      </c>
      <c r="AN214" s="2223"/>
      <c r="AO214" s="2223"/>
      <c r="AP214" s="2223"/>
      <c r="AQ214" s="2223"/>
      <c r="AR214" s="2223"/>
      <c r="AS214" s="2223"/>
    </row>
    <row r="215" spans="1:45" ht="15" x14ac:dyDescent="0.25">
      <c r="A215" s="2219" t="s">
        <v>6455</v>
      </c>
      <c r="B215" s="2219" t="s">
        <v>6358</v>
      </c>
      <c r="C215" s="2223"/>
      <c r="D215" s="2223">
        <f>COUNTIF(TableDiv[Agency],E215)</f>
        <v>31</v>
      </c>
      <c r="E215" s="2230" t="str" cm="1">
        <f t="array" ref="E215">IFERROR(INDEX(TableDiv[Agency],MATCH(0,INDEX(COUNTIF($E$7:E214,TableDiv[Agency]),),0)),"")</f>
        <v/>
      </c>
      <c r="F215" s="2223" cm="1">
        <f t="array" ref="F215">IF($D215&lt;COLUMNS($F$7:F$7),"",INDEX(TableDiv[[GASB]:[GASB]],_xlfn.AGGREGATE(15,3,(TableDiv[[Agency]:[Agency]]=$E215)/(TableDiv[[Agency]:[Agency]]=$E215)*(ROW(TableDiv[Agency])-ROW(TableDiv[[#Headers],[Agency]])),COLUMNS($F$7:F$7))))</f>
        <v>0</v>
      </c>
      <c r="G215" s="2223" cm="1">
        <f t="array" ref="G215">IF($D215&lt;COLUMNS($F$7:G$7),"",INDEX(TableDiv[[GASB]:[GASB]],_xlfn.AGGREGATE(15,3,(TableDiv[[Agency]:[Agency]]=$E215)/(TableDiv[[Agency]:[Agency]]=$E215)*(ROW(TableDiv[Agency])-ROW(TableDiv[[#Headers],[Agency]])),COLUMNS($F$7:G$7))))</f>
        <v>0</v>
      </c>
      <c r="H215" s="2223" cm="1">
        <f t="array" ref="H215">IF($D215&lt;COLUMNS($F$7:H$7),"",INDEX(TableDiv[[GASB]:[GASB]],_xlfn.AGGREGATE(15,3,(TableDiv[[Agency]:[Agency]]=$E215)/(TableDiv[[Agency]:[Agency]]=$E215)*(ROW(TableDiv[Agency])-ROW(TableDiv[[#Headers],[Agency]])),COLUMNS($F$7:H$7))))</f>
        <v>0</v>
      </c>
      <c r="I215" s="2223" cm="1">
        <f t="array" ref="I215">IF($D215&lt;COLUMNS($F$7:I$7),"",INDEX(TableDiv[[GASB]:[GASB]],_xlfn.AGGREGATE(15,3,(TableDiv[[Agency]:[Agency]]=$E215)/(TableDiv[[Agency]:[Agency]]=$E215)*(ROW(TableDiv[Agency])-ROW(TableDiv[[#Headers],[Agency]])),COLUMNS($F$7:I$7))))</f>
        <v>0</v>
      </c>
      <c r="J215" s="2223" cm="1">
        <f t="array" ref="J215">IF($D215&lt;COLUMNS($F$7:J$7),"",INDEX(TableDiv[[GASB]:[GASB]],_xlfn.AGGREGATE(15,3,(TableDiv[[Agency]:[Agency]]=$E215)/(TableDiv[[Agency]:[Agency]]=$E215)*(ROW(TableDiv[Agency])-ROW(TableDiv[[#Headers],[Agency]])),COLUMNS($F$7:J$7))))</f>
        <v>0</v>
      </c>
      <c r="K215" s="2223" cm="1">
        <f t="array" ref="K215">IF($D215&lt;COLUMNS($F$7:K$7),"",INDEX(TableDiv[[GASB]:[GASB]],_xlfn.AGGREGATE(15,3,(TableDiv[[Agency]:[Agency]]=$E215)/(TableDiv[[Agency]:[Agency]]=$E215)*(ROW(TableDiv[Agency])-ROW(TableDiv[[#Headers],[Agency]])),COLUMNS($F$7:K$7))))</f>
        <v>0</v>
      </c>
      <c r="L215" s="2223" cm="1">
        <f t="array" ref="L215">IF($D215&lt;COLUMNS($F$7:L$7),"",INDEX(TableDiv[[GASB]:[GASB]],_xlfn.AGGREGATE(15,3,(TableDiv[[Agency]:[Agency]]=$E215)/(TableDiv[[Agency]:[Agency]]=$E215)*(ROW(TableDiv[Agency])-ROW(TableDiv[[#Headers],[Agency]])),COLUMNS($F$7:L$7))))</f>
        <v>0</v>
      </c>
      <c r="M215" s="2223" cm="1">
        <f t="array" ref="M215">IF($D215&lt;COLUMNS($F$7:M$7),"",INDEX(TableDiv[[GASB]:[GASB]],_xlfn.AGGREGATE(15,3,(TableDiv[[Agency]:[Agency]]=$E215)/(TableDiv[[Agency]:[Agency]]=$E215)*(ROW(TableDiv[Agency])-ROW(TableDiv[[#Headers],[Agency]])),COLUMNS($F$7:M$7))))</f>
        <v>0</v>
      </c>
      <c r="N215" s="2223" cm="1">
        <f t="array" ref="N215">IF($D215&lt;COLUMNS($F$7:N$7),"",INDEX(TableDiv[[GASB]:[GASB]],_xlfn.AGGREGATE(15,3,(TableDiv[[Agency]:[Agency]]=$E215)/(TableDiv[[Agency]:[Agency]]=$E215)*(ROW(TableDiv[Agency])-ROW(TableDiv[[#Headers],[Agency]])),COLUMNS($F$7:N$7))))</f>
        <v>0</v>
      </c>
      <c r="O215" s="2223" cm="1">
        <f t="array" ref="O215">IF($D215&lt;COLUMNS($F$7:O$7),"",INDEX(TableDiv[[GASB]:[GASB]],_xlfn.AGGREGATE(15,3,(TableDiv[[Agency]:[Agency]]=$E215)/(TableDiv[[Agency]:[Agency]]=$E215)*(ROW(TableDiv[Agency])-ROW(TableDiv[[#Headers],[Agency]])),COLUMNS($F$7:O$7))))</f>
        <v>0</v>
      </c>
      <c r="P215" s="2223" cm="1">
        <f t="array" ref="P215">IF($D215&lt;COLUMNS($F$7:P$7),"",INDEX(TableDiv[[GASB]:[GASB]],_xlfn.AGGREGATE(15,3,(TableDiv[[Agency]:[Agency]]=$E215)/(TableDiv[[Agency]:[Agency]]=$E215)*(ROW(TableDiv[Agency])-ROW(TableDiv[[#Headers],[Agency]])),COLUMNS($F$7:P$7))))</f>
        <v>0</v>
      </c>
      <c r="Q215" s="2223" cm="1">
        <f t="array" ref="Q215">IF($D215&lt;COLUMNS($F$7:Q$7),"",INDEX(TableDiv[[GASB]:[GASB]],_xlfn.AGGREGATE(15,3,(TableDiv[[Agency]:[Agency]]=$E215)/(TableDiv[[Agency]:[Agency]]=$E215)*(ROW(TableDiv[Agency])-ROW(TableDiv[[#Headers],[Agency]])),COLUMNS($F$7:Q$7))))</f>
        <v>0</v>
      </c>
      <c r="R215" s="2223" cm="1">
        <f t="array" ref="R215">IF($D215&lt;COLUMNS($F$7:R$7),"",INDEX(TableDiv[[GASB]:[GASB]],_xlfn.AGGREGATE(15,3,(TableDiv[[Agency]:[Agency]]=$E215)/(TableDiv[[Agency]:[Agency]]=$E215)*(ROW(TableDiv[Agency])-ROW(TableDiv[[#Headers],[Agency]])),COLUMNS($F$7:R$7))))</f>
        <v>0</v>
      </c>
      <c r="S215" s="2223" cm="1">
        <f t="array" ref="S215">IF($D215&lt;COLUMNS($F$7:S$7),"",INDEX(TableDiv[[GASB]:[GASB]],_xlfn.AGGREGATE(15,3,(TableDiv[[Agency]:[Agency]]=$E215)/(TableDiv[[Agency]:[Agency]]=$E215)*(ROW(TableDiv[Agency])-ROW(TableDiv[[#Headers],[Agency]])),COLUMNS($F$7:S$7))))</f>
        <v>0</v>
      </c>
      <c r="T215" s="2223" cm="1">
        <f t="array" ref="T215">IF($D215&lt;COLUMNS($F$7:T$7),"",INDEX(TableDiv[[GASB]:[GASB]],_xlfn.AGGREGATE(15,3,(TableDiv[[Agency]:[Agency]]=$E215)/(TableDiv[[Agency]:[Agency]]=$E215)*(ROW(TableDiv[Agency])-ROW(TableDiv[[#Headers],[Agency]])),COLUMNS($F$7:T$7))))</f>
        <v>0</v>
      </c>
      <c r="U215" s="2223" cm="1">
        <f t="array" ref="U215">IF($D215&lt;COLUMNS($F$7:U$7),"",INDEX(TableDiv[[GASB]:[GASB]],_xlfn.AGGREGATE(15,3,(TableDiv[[Agency]:[Agency]]=$E215)/(TableDiv[[Agency]:[Agency]]=$E215)*(ROW(TableDiv[Agency])-ROW(TableDiv[[#Headers],[Agency]])),COLUMNS($F$7:U$7))))</f>
        <v>0</v>
      </c>
      <c r="V215" s="2223" cm="1">
        <f t="array" ref="V215">IF($D215&lt;COLUMNS($F$7:V$7),"",INDEX(TableDiv[[GASB]:[GASB]],_xlfn.AGGREGATE(15,3,(TableDiv[[Agency]:[Agency]]=$E215)/(TableDiv[[Agency]:[Agency]]=$E215)*(ROW(TableDiv[Agency])-ROW(TableDiv[[#Headers],[Agency]])),COLUMNS($F$7:V$7))))</f>
        <v>0</v>
      </c>
      <c r="W215" s="2223" cm="1">
        <f t="array" ref="W215">IF($D215&lt;COLUMNS($F$7:W$7),"",INDEX(TableDiv[[GASB]:[GASB]],_xlfn.AGGREGATE(15,3,(TableDiv[[Agency]:[Agency]]=$E215)/(TableDiv[[Agency]:[Agency]]=$E215)*(ROW(TableDiv[Agency])-ROW(TableDiv[[#Headers],[Agency]])),COLUMNS($F$7:W$7))))</f>
        <v>0</v>
      </c>
      <c r="X215" s="2223" cm="1">
        <f t="array" ref="X215">IF($D215&lt;COLUMNS($F$7:X$7),"",INDEX(TableDiv[[GASB]:[GASB]],_xlfn.AGGREGATE(15,3,(TableDiv[[Agency]:[Agency]]=$E215)/(TableDiv[[Agency]:[Agency]]=$E215)*(ROW(TableDiv[Agency])-ROW(TableDiv[[#Headers],[Agency]])),COLUMNS($F$7:X$7))))</f>
        <v>0</v>
      </c>
      <c r="Y215" s="2223" cm="1">
        <f t="array" ref="Y215">IF($D215&lt;COLUMNS($F$7:Y$7),"",INDEX(TableDiv[[GASB]:[GASB]],_xlfn.AGGREGATE(15,3,(TableDiv[[Agency]:[Agency]]=$E215)/(TableDiv[[Agency]:[Agency]]=$E215)*(ROW(TableDiv[Agency])-ROW(TableDiv[[#Headers],[Agency]])),COLUMNS($F$7:Y$7))))</f>
        <v>0</v>
      </c>
      <c r="Z215" s="2223" cm="1">
        <f t="array" ref="Z215">IF($D215&lt;COLUMNS($F$7:Z$7),"",INDEX(TableDiv[[GASB]:[GASB]],_xlfn.AGGREGATE(15,3,(TableDiv[[Agency]:[Agency]]=$E215)/(TableDiv[[Agency]:[Agency]]=$E215)*(ROW(TableDiv[Agency])-ROW(TableDiv[[#Headers],[Agency]])),COLUMNS($F$7:Z$7))))</f>
        <v>0</v>
      </c>
      <c r="AA215" s="2223" cm="1">
        <f t="array" ref="AA215">IF($D215&lt;COLUMNS($F$7:AA$7),"",INDEX(TableDiv[[GASB]:[GASB]],_xlfn.AGGREGATE(15,3,(TableDiv[[Agency]:[Agency]]=$E215)/(TableDiv[[Agency]:[Agency]]=$E215)*(ROW(TableDiv[Agency])-ROW(TableDiv[[#Headers],[Agency]])),COLUMNS($F$7:AA$7))))</f>
        <v>0</v>
      </c>
      <c r="AB215" s="2223" cm="1">
        <f t="array" ref="AB215">IF($D215&lt;COLUMNS($F$7:AB$7),"",INDEX(TableDiv[[GASB]:[GASB]],_xlfn.AGGREGATE(15,3,(TableDiv[[Agency]:[Agency]]=$E215)/(TableDiv[[Agency]:[Agency]]=$E215)*(ROW(TableDiv[Agency])-ROW(TableDiv[[#Headers],[Agency]])),COLUMNS($F$7:AB$7))))</f>
        <v>0</v>
      </c>
      <c r="AC215" s="2223" cm="1">
        <f t="array" ref="AC215">IF($D215&lt;COLUMNS($F$7:AC$7),"",INDEX(TableDiv[[GASB]:[GASB]],_xlfn.AGGREGATE(15,3,(TableDiv[[Agency]:[Agency]]=$E215)/(TableDiv[[Agency]:[Agency]]=$E215)*(ROW(TableDiv[Agency])-ROW(TableDiv[[#Headers],[Agency]])),COLUMNS($F$7:AC$7))))</f>
        <v>0</v>
      </c>
      <c r="AD215" s="2223" cm="1">
        <f t="array" ref="AD215">IF($D215&lt;COLUMNS($F$7:AD$7),"",INDEX(TableDiv[[GASB]:[GASB]],_xlfn.AGGREGATE(15,3,(TableDiv[[Agency]:[Agency]]=$E215)/(TableDiv[[Agency]:[Agency]]=$E215)*(ROW(TableDiv[Agency])-ROW(TableDiv[[#Headers],[Agency]])),COLUMNS($F$7:AD$7))))</f>
        <v>0</v>
      </c>
      <c r="AE215" s="2223" cm="1">
        <f t="array" ref="AE215">IF($D215&lt;COLUMNS($F$7:AE$7),"",INDEX(TableDiv[[GASB]:[GASB]],_xlfn.AGGREGATE(15,3,(TableDiv[[Agency]:[Agency]]=$E215)/(TableDiv[[Agency]:[Agency]]=$E215)*(ROW(TableDiv[Agency])-ROW(TableDiv[[#Headers],[Agency]])),COLUMNS($F$7:AE$7))))</f>
        <v>0</v>
      </c>
      <c r="AF215" s="2223" cm="1">
        <f t="array" ref="AF215">IF($D215&lt;COLUMNS($F$7:AF$7),"",INDEX(TableDiv[[GASB]:[GASB]],_xlfn.AGGREGATE(15,3,(TableDiv[[Agency]:[Agency]]=$E215)/(TableDiv[[Agency]:[Agency]]=$E215)*(ROW(TableDiv[Agency])-ROW(TableDiv[[#Headers],[Agency]])),COLUMNS($F$7:AF$7))))</f>
        <v>0</v>
      </c>
      <c r="AG215" s="2223" cm="1">
        <f t="array" ref="AG215">IF($D215&lt;COLUMNS($F$7:AG$7),"",INDEX(TableDiv[[GASB]:[GASB]],_xlfn.AGGREGATE(15,3,(TableDiv[[Agency]:[Agency]]=$E215)/(TableDiv[[Agency]:[Agency]]=$E215)*(ROW(TableDiv[Agency])-ROW(TableDiv[[#Headers],[Agency]])),COLUMNS($F$7:AG$7))))</f>
        <v>0</v>
      </c>
      <c r="AH215" s="2223" cm="1">
        <f t="array" ref="AH215">IF($D215&lt;COLUMNS($F$7:AH$7),"",INDEX(TableDiv[[GASB]:[GASB]],_xlfn.AGGREGATE(15,3,(TableDiv[[Agency]:[Agency]]=$E215)/(TableDiv[[Agency]:[Agency]]=$E215)*(ROW(TableDiv[Agency])-ROW(TableDiv[[#Headers],[Agency]])),COLUMNS($F$7:AH$7))))</f>
        <v>0</v>
      </c>
      <c r="AI215" s="2223" cm="1">
        <f t="array" ref="AI215">IF($D215&lt;COLUMNS($F$7:AI$7),"",INDEX(TableDiv[[GASB]:[GASB]],_xlfn.AGGREGATE(15,3,(TableDiv[[Agency]:[Agency]]=$E215)/(TableDiv[[Agency]:[Agency]]=$E215)*(ROW(TableDiv[Agency])-ROW(TableDiv[[#Headers],[Agency]])),COLUMNS($F$7:AI$7))))</f>
        <v>0</v>
      </c>
      <c r="AJ215" s="2223" cm="1">
        <f t="array" ref="AJ215">IF($D215&lt;COLUMNS($F$7:AJ$7),"",INDEX(TableDiv[[GASB]:[GASB]],_xlfn.AGGREGATE(15,3,(TableDiv[[Agency]:[Agency]]=$E215)/(TableDiv[[Agency]:[Agency]]=$E215)*(ROW(TableDiv[Agency])-ROW(TableDiv[[#Headers],[Agency]])),COLUMNS($F$7:AJ$7))))</f>
        <v>0</v>
      </c>
      <c r="AK215" s="2223" t="str" cm="1">
        <f t="array" ref="AK215">IF($D215&lt;COLUMNS($F$7:AK$7),"",INDEX(TableDiv[[GASB]:[GASB]],_xlfn.AGGREGATE(15,3,(TableDiv[[Agency]:[Agency]]=$E215)/(TableDiv[[Agency]:[Agency]]=$E215)*(ROW(TableDiv[Agency])-ROW(TableDiv[[#Headers],[Agency]])),COLUMNS($F$7:AK$7))))</f>
        <v/>
      </c>
      <c r="AL215" s="2223" t="str" cm="1">
        <f t="array" ref="AL215">IF($D215&lt;COLUMNS($F$7:AL$7),"",INDEX(TableDiv[[GASB]:[GASB]],_xlfn.AGGREGATE(15,3,(TableDiv[[Agency]:[Agency]]=$E215)/(TableDiv[[Agency]:[Agency]]=$E215)*(ROW(TableDiv[Agency])-ROW(TableDiv[[#Headers],[Agency]])),COLUMNS($F$7:AL$7))))</f>
        <v/>
      </c>
      <c r="AM215" s="2223" t="str" cm="1">
        <f t="array" ref="AM215">IF($D215&lt;COLUMNS($F$7:AM$7),"",INDEX(TableDiv[[GASB]:[GASB]],_xlfn.AGGREGATE(15,3,(TableDiv[[Agency]:[Agency]]=$E215)/(TableDiv[[Agency]:[Agency]]=$E215)*(ROW(TableDiv[Agency])-ROW(TableDiv[[#Headers],[Agency]])),COLUMNS($F$7:AM$7))))</f>
        <v/>
      </c>
      <c r="AN215" s="2223"/>
      <c r="AO215" s="2223"/>
      <c r="AP215" s="2223"/>
      <c r="AQ215" s="2223"/>
      <c r="AR215" s="2223"/>
      <c r="AS215" s="2223"/>
    </row>
    <row r="216" spans="1:45" ht="15" x14ac:dyDescent="0.25">
      <c r="A216" s="2219" t="s">
        <v>6455</v>
      </c>
      <c r="B216" s="2219" t="s">
        <v>6393</v>
      </c>
      <c r="C216" s="2223"/>
      <c r="D216" s="2223">
        <f>COUNTIF(TableDiv[Agency],E216)</f>
        <v>31</v>
      </c>
      <c r="E216" s="2230" t="str" cm="1">
        <f t="array" ref="E216">IFERROR(INDEX(TableDiv[Agency],MATCH(0,INDEX(COUNTIF($E$7:E215,TableDiv[Agency]),),0)),"")</f>
        <v/>
      </c>
      <c r="F216" s="2223" cm="1">
        <f t="array" ref="F216">IF($D216&lt;COLUMNS($F$7:F$7),"",INDEX(TableDiv[[GASB]:[GASB]],_xlfn.AGGREGATE(15,3,(TableDiv[[Agency]:[Agency]]=$E216)/(TableDiv[[Agency]:[Agency]]=$E216)*(ROW(TableDiv[Agency])-ROW(TableDiv[[#Headers],[Agency]])),COLUMNS($F$7:F$7))))</f>
        <v>0</v>
      </c>
      <c r="G216" s="2223" cm="1">
        <f t="array" ref="G216">IF($D216&lt;COLUMNS($F$7:G$7),"",INDEX(TableDiv[[GASB]:[GASB]],_xlfn.AGGREGATE(15,3,(TableDiv[[Agency]:[Agency]]=$E216)/(TableDiv[[Agency]:[Agency]]=$E216)*(ROW(TableDiv[Agency])-ROW(TableDiv[[#Headers],[Agency]])),COLUMNS($F$7:G$7))))</f>
        <v>0</v>
      </c>
      <c r="H216" s="2223" cm="1">
        <f t="array" ref="H216">IF($D216&lt;COLUMNS($F$7:H$7),"",INDEX(TableDiv[[GASB]:[GASB]],_xlfn.AGGREGATE(15,3,(TableDiv[[Agency]:[Agency]]=$E216)/(TableDiv[[Agency]:[Agency]]=$E216)*(ROW(TableDiv[Agency])-ROW(TableDiv[[#Headers],[Agency]])),COLUMNS($F$7:H$7))))</f>
        <v>0</v>
      </c>
      <c r="I216" s="2223" cm="1">
        <f t="array" ref="I216">IF($D216&lt;COLUMNS($F$7:I$7),"",INDEX(TableDiv[[GASB]:[GASB]],_xlfn.AGGREGATE(15,3,(TableDiv[[Agency]:[Agency]]=$E216)/(TableDiv[[Agency]:[Agency]]=$E216)*(ROW(TableDiv[Agency])-ROW(TableDiv[[#Headers],[Agency]])),COLUMNS($F$7:I$7))))</f>
        <v>0</v>
      </c>
      <c r="J216" s="2223" cm="1">
        <f t="array" ref="J216">IF($D216&lt;COLUMNS($F$7:J$7),"",INDEX(TableDiv[[GASB]:[GASB]],_xlfn.AGGREGATE(15,3,(TableDiv[[Agency]:[Agency]]=$E216)/(TableDiv[[Agency]:[Agency]]=$E216)*(ROW(TableDiv[Agency])-ROW(TableDiv[[#Headers],[Agency]])),COLUMNS($F$7:J$7))))</f>
        <v>0</v>
      </c>
      <c r="K216" s="2223" cm="1">
        <f t="array" ref="K216">IF($D216&lt;COLUMNS($F$7:K$7),"",INDEX(TableDiv[[GASB]:[GASB]],_xlfn.AGGREGATE(15,3,(TableDiv[[Agency]:[Agency]]=$E216)/(TableDiv[[Agency]:[Agency]]=$E216)*(ROW(TableDiv[Agency])-ROW(TableDiv[[#Headers],[Agency]])),COLUMNS($F$7:K$7))))</f>
        <v>0</v>
      </c>
      <c r="L216" s="2223" cm="1">
        <f t="array" ref="L216">IF($D216&lt;COLUMNS($F$7:L$7),"",INDEX(TableDiv[[GASB]:[GASB]],_xlfn.AGGREGATE(15,3,(TableDiv[[Agency]:[Agency]]=$E216)/(TableDiv[[Agency]:[Agency]]=$E216)*(ROW(TableDiv[Agency])-ROW(TableDiv[[#Headers],[Agency]])),COLUMNS($F$7:L$7))))</f>
        <v>0</v>
      </c>
      <c r="M216" s="2223" cm="1">
        <f t="array" ref="M216">IF($D216&lt;COLUMNS($F$7:M$7),"",INDEX(TableDiv[[GASB]:[GASB]],_xlfn.AGGREGATE(15,3,(TableDiv[[Agency]:[Agency]]=$E216)/(TableDiv[[Agency]:[Agency]]=$E216)*(ROW(TableDiv[Agency])-ROW(TableDiv[[#Headers],[Agency]])),COLUMNS($F$7:M$7))))</f>
        <v>0</v>
      </c>
      <c r="N216" s="2223" cm="1">
        <f t="array" ref="N216">IF($D216&lt;COLUMNS($F$7:N$7),"",INDEX(TableDiv[[GASB]:[GASB]],_xlfn.AGGREGATE(15,3,(TableDiv[[Agency]:[Agency]]=$E216)/(TableDiv[[Agency]:[Agency]]=$E216)*(ROW(TableDiv[Agency])-ROW(TableDiv[[#Headers],[Agency]])),COLUMNS($F$7:N$7))))</f>
        <v>0</v>
      </c>
      <c r="O216" s="2223" cm="1">
        <f t="array" ref="O216">IF($D216&lt;COLUMNS($F$7:O$7),"",INDEX(TableDiv[[GASB]:[GASB]],_xlfn.AGGREGATE(15,3,(TableDiv[[Agency]:[Agency]]=$E216)/(TableDiv[[Agency]:[Agency]]=$E216)*(ROW(TableDiv[Agency])-ROW(TableDiv[[#Headers],[Agency]])),COLUMNS($F$7:O$7))))</f>
        <v>0</v>
      </c>
      <c r="P216" s="2223" cm="1">
        <f t="array" ref="P216">IF($D216&lt;COLUMNS($F$7:P$7),"",INDEX(TableDiv[[GASB]:[GASB]],_xlfn.AGGREGATE(15,3,(TableDiv[[Agency]:[Agency]]=$E216)/(TableDiv[[Agency]:[Agency]]=$E216)*(ROW(TableDiv[Agency])-ROW(TableDiv[[#Headers],[Agency]])),COLUMNS($F$7:P$7))))</f>
        <v>0</v>
      </c>
      <c r="Q216" s="2223" cm="1">
        <f t="array" ref="Q216">IF($D216&lt;COLUMNS($F$7:Q$7),"",INDEX(TableDiv[[GASB]:[GASB]],_xlfn.AGGREGATE(15,3,(TableDiv[[Agency]:[Agency]]=$E216)/(TableDiv[[Agency]:[Agency]]=$E216)*(ROW(TableDiv[Agency])-ROW(TableDiv[[#Headers],[Agency]])),COLUMNS($F$7:Q$7))))</f>
        <v>0</v>
      </c>
      <c r="R216" s="2223" cm="1">
        <f t="array" ref="R216">IF($D216&lt;COLUMNS($F$7:R$7),"",INDEX(TableDiv[[GASB]:[GASB]],_xlfn.AGGREGATE(15,3,(TableDiv[[Agency]:[Agency]]=$E216)/(TableDiv[[Agency]:[Agency]]=$E216)*(ROW(TableDiv[Agency])-ROW(TableDiv[[#Headers],[Agency]])),COLUMNS($F$7:R$7))))</f>
        <v>0</v>
      </c>
      <c r="S216" s="2223" cm="1">
        <f t="array" ref="S216">IF($D216&lt;COLUMNS($F$7:S$7),"",INDEX(TableDiv[[GASB]:[GASB]],_xlfn.AGGREGATE(15,3,(TableDiv[[Agency]:[Agency]]=$E216)/(TableDiv[[Agency]:[Agency]]=$E216)*(ROW(TableDiv[Agency])-ROW(TableDiv[[#Headers],[Agency]])),COLUMNS($F$7:S$7))))</f>
        <v>0</v>
      </c>
      <c r="T216" s="2223" cm="1">
        <f t="array" ref="T216">IF($D216&lt;COLUMNS($F$7:T$7),"",INDEX(TableDiv[[GASB]:[GASB]],_xlfn.AGGREGATE(15,3,(TableDiv[[Agency]:[Agency]]=$E216)/(TableDiv[[Agency]:[Agency]]=$E216)*(ROW(TableDiv[Agency])-ROW(TableDiv[[#Headers],[Agency]])),COLUMNS($F$7:T$7))))</f>
        <v>0</v>
      </c>
      <c r="U216" s="2223" cm="1">
        <f t="array" ref="U216">IF($D216&lt;COLUMNS($F$7:U$7),"",INDEX(TableDiv[[GASB]:[GASB]],_xlfn.AGGREGATE(15,3,(TableDiv[[Agency]:[Agency]]=$E216)/(TableDiv[[Agency]:[Agency]]=$E216)*(ROW(TableDiv[Agency])-ROW(TableDiv[[#Headers],[Agency]])),COLUMNS($F$7:U$7))))</f>
        <v>0</v>
      </c>
      <c r="V216" s="2223" cm="1">
        <f t="array" ref="V216">IF($D216&lt;COLUMNS($F$7:V$7),"",INDEX(TableDiv[[GASB]:[GASB]],_xlfn.AGGREGATE(15,3,(TableDiv[[Agency]:[Agency]]=$E216)/(TableDiv[[Agency]:[Agency]]=$E216)*(ROW(TableDiv[Agency])-ROW(TableDiv[[#Headers],[Agency]])),COLUMNS($F$7:V$7))))</f>
        <v>0</v>
      </c>
      <c r="W216" s="2223" cm="1">
        <f t="array" ref="W216">IF($D216&lt;COLUMNS($F$7:W$7),"",INDEX(TableDiv[[GASB]:[GASB]],_xlfn.AGGREGATE(15,3,(TableDiv[[Agency]:[Agency]]=$E216)/(TableDiv[[Agency]:[Agency]]=$E216)*(ROW(TableDiv[Agency])-ROW(TableDiv[[#Headers],[Agency]])),COLUMNS($F$7:W$7))))</f>
        <v>0</v>
      </c>
      <c r="X216" s="2223" cm="1">
        <f t="array" ref="X216">IF($D216&lt;COLUMNS($F$7:X$7),"",INDEX(TableDiv[[GASB]:[GASB]],_xlfn.AGGREGATE(15,3,(TableDiv[[Agency]:[Agency]]=$E216)/(TableDiv[[Agency]:[Agency]]=$E216)*(ROW(TableDiv[Agency])-ROW(TableDiv[[#Headers],[Agency]])),COLUMNS($F$7:X$7))))</f>
        <v>0</v>
      </c>
      <c r="Y216" s="2223" cm="1">
        <f t="array" ref="Y216">IF($D216&lt;COLUMNS($F$7:Y$7),"",INDEX(TableDiv[[GASB]:[GASB]],_xlfn.AGGREGATE(15,3,(TableDiv[[Agency]:[Agency]]=$E216)/(TableDiv[[Agency]:[Agency]]=$E216)*(ROW(TableDiv[Agency])-ROW(TableDiv[[#Headers],[Agency]])),COLUMNS($F$7:Y$7))))</f>
        <v>0</v>
      </c>
      <c r="Z216" s="2223" cm="1">
        <f t="array" ref="Z216">IF($D216&lt;COLUMNS($F$7:Z$7),"",INDEX(TableDiv[[GASB]:[GASB]],_xlfn.AGGREGATE(15,3,(TableDiv[[Agency]:[Agency]]=$E216)/(TableDiv[[Agency]:[Agency]]=$E216)*(ROW(TableDiv[Agency])-ROW(TableDiv[[#Headers],[Agency]])),COLUMNS($F$7:Z$7))))</f>
        <v>0</v>
      </c>
      <c r="AA216" s="2223" cm="1">
        <f t="array" ref="AA216">IF($D216&lt;COLUMNS($F$7:AA$7),"",INDEX(TableDiv[[GASB]:[GASB]],_xlfn.AGGREGATE(15,3,(TableDiv[[Agency]:[Agency]]=$E216)/(TableDiv[[Agency]:[Agency]]=$E216)*(ROW(TableDiv[Agency])-ROW(TableDiv[[#Headers],[Agency]])),COLUMNS($F$7:AA$7))))</f>
        <v>0</v>
      </c>
      <c r="AB216" s="2223" cm="1">
        <f t="array" ref="AB216">IF($D216&lt;COLUMNS($F$7:AB$7),"",INDEX(TableDiv[[GASB]:[GASB]],_xlfn.AGGREGATE(15,3,(TableDiv[[Agency]:[Agency]]=$E216)/(TableDiv[[Agency]:[Agency]]=$E216)*(ROW(TableDiv[Agency])-ROW(TableDiv[[#Headers],[Agency]])),COLUMNS($F$7:AB$7))))</f>
        <v>0</v>
      </c>
      <c r="AC216" s="2223" cm="1">
        <f t="array" ref="AC216">IF($D216&lt;COLUMNS($F$7:AC$7),"",INDEX(TableDiv[[GASB]:[GASB]],_xlfn.AGGREGATE(15,3,(TableDiv[[Agency]:[Agency]]=$E216)/(TableDiv[[Agency]:[Agency]]=$E216)*(ROW(TableDiv[Agency])-ROW(TableDiv[[#Headers],[Agency]])),COLUMNS($F$7:AC$7))))</f>
        <v>0</v>
      </c>
      <c r="AD216" s="2223" cm="1">
        <f t="array" ref="AD216">IF($D216&lt;COLUMNS($F$7:AD$7),"",INDEX(TableDiv[[GASB]:[GASB]],_xlfn.AGGREGATE(15,3,(TableDiv[[Agency]:[Agency]]=$E216)/(TableDiv[[Agency]:[Agency]]=$E216)*(ROW(TableDiv[Agency])-ROW(TableDiv[[#Headers],[Agency]])),COLUMNS($F$7:AD$7))))</f>
        <v>0</v>
      </c>
      <c r="AE216" s="2223" cm="1">
        <f t="array" ref="AE216">IF($D216&lt;COLUMNS($F$7:AE$7),"",INDEX(TableDiv[[GASB]:[GASB]],_xlfn.AGGREGATE(15,3,(TableDiv[[Agency]:[Agency]]=$E216)/(TableDiv[[Agency]:[Agency]]=$E216)*(ROW(TableDiv[Agency])-ROW(TableDiv[[#Headers],[Agency]])),COLUMNS($F$7:AE$7))))</f>
        <v>0</v>
      </c>
      <c r="AF216" s="2223" cm="1">
        <f t="array" ref="AF216">IF($D216&lt;COLUMNS($F$7:AF$7),"",INDEX(TableDiv[[GASB]:[GASB]],_xlfn.AGGREGATE(15,3,(TableDiv[[Agency]:[Agency]]=$E216)/(TableDiv[[Agency]:[Agency]]=$E216)*(ROW(TableDiv[Agency])-ROW(TableDiv[[#Headers],[Agency]])),COLUMNS($F$7:AF$7))))</f>
        <v>0</v>
      </c>
      <c r="AG216" s="2223" cm="1">
        <f t="array" ref="AG216">IF($D216&lt;COLUMNS($F$7:AG$7),"",INDEX(TableDiv[[GASB]:[GASB]],_xlfn.AGGREGATE(15,3,(TableDiv[[Agency]:[Agency]]=$E216)/(TableDiv[[Agency]:[Agency]]=$E216)*(ROW(TableDiv[Agency])-ROW(TableDiv[[#Headers],[Agency]])),COLUMNS($F$7:AG$7))))</f>
        <v>0</v>
      </c>
      <c r="AH216" s="2223" cm="1">
        <f t="array" ref="AH216">IF($D216&lt;COLUMNS($F$7:AH$7),"",INDEX(TableDiv[[GASB]:[GASB]],_xlfn.AGGREGATE(15,3,(TableDiv[[Agency]:[Agency]]=$E216)/(TableDiv[[Agency]:[Agency]]=$E216)*(ROW(TableDiv[Agency])-ROW(TableDiv[[#Headers],[Agency]])),COLUMNS($F$7:AH$7))))</f>
        <v>0</v>
      </c>
      <c r="AI216" s="2223" cm="1">
        <f t="array" ref="AI216">IF($D216&lt;COLUMNS($F$7:AI$7),"",INDEX(TableDiv[[GASB]:[GASB]],_xlfn.AGGREGATE(15,3,(TableDiv[[Agency]:[Agency]]=$E216)/(TableDiv[[Agency]:[Agency]]=$E216)*(ROW(TableDiv[Agency])-ROW(TableDiv[[#Headers],[Agency]])),COLUMNS($F$7:AI$7))))</f>
        <v>0</v>
      </c>
      <c r="AJ216" s="2223" cm="1">
        <f t="array" ref="AJ216">IF($D216&lt;COLUMNS($F$7:AJ$7),"",INDEX(TableDiv[[GASB]:[GASB]],_xlfn.AGGREGATE(15,3,(TableDiv[[Agency]:[Agency]]=$E216)/(TableDiv[[Agency]:[Agency]]=$E216)*(ROW(TableDiv[Agency])-ROW(TableDiv[[#Headers],[Agency]])),COLUMNS($F$7:AJ$7))))</f>
        <v>0</v>
      </c>
      <c r="AK216" s="2223" t="str" cm="1">
        <f t="array" ref="AK216">IF($D216&lt;COLUMNS($F$7:AK$7),"",INDEX(TableDiv[[GASB]:[GASB]],_xlfn.AGGREGATE(15,3,(TableDiv[[Agency]:[Agency]]=$E216)/(TableDiv[[Agency]:[Agency]]=$E216)*(ROW(TableDiv[Agency])-ROW(TableDiv[[#Headers],[Agency]])),COLUMNS($F$7:AK$7))))</f>
        <v/>
      </c>
      <c r="AL216" s="2223" t="str" cm="1">
        <f t="array" ref="AL216">IF($D216&lt;COLUMNS($F$7:AL$7),"",INDEX(TableDiv[[GASB]:[GASB]],_xlfn.AGGREGATE(15,3,(TableDiv[[Agency]:[Agency]]=$E216)/(TableDiv[[Agency]:[Agency]]=$E216)*(ROW(TableDiv[Agency])-ROW(TableDiv[[#Headers],[Agency]])),COLUMNS($F$7:AL$7))))</f>
        <v/>
      </c>
      <c r="AM216" s="2223" t="str" cm="1">
        <f t="array" ref="AM216">IF($D216&lt;COLUMNS($F$7:AM$7),"",INDEX(TableDiv[[GASB]:[GASB]],_xlfn.AGGREGATE(15,3,(TableDiv[[Agency]:[Agency]]=$E216)/(TableDiv[[Agency]:[Agency]]=$E216)*(ROW(TableDiv[Agency])-ROW(TableDiv[[#Headers],[Agency]])),COLUMNS($F$7:AM$7))))</f>
        <v/>
      </c>
      <c r="AN216" s="2223"/>
      <c r="AO216" s="2223"/>
      <c r="AP216" s="2223"/>
      <c r="AQ216" s="2223"/>
      <c r="AR216" s="2223"/>
      <c r="AS216" s="2223"/>
    </row>
    <row r="217" spans="1:45" ht="15" x14ac:dyDescent="0.25">
      <c r="A217" s="2219" t="s">
        <v>6456</v>
      </c>
      <c r="B217" s="2219" t="s">
        <v>6361</v>
      </c>
      <c r="C217" s="2223"/>
      <c r="D217" s="2223">
        <f>COUNTIF(TableDiv[Agency],E217)</f>
        <v>31</v>
      </c>
      <c r="E217" s="2230" t="str" cm="1">
        <f t="array" ref="E217">IFERROR(INDEX(TableDiv[Agency],MATCH(0,INDEX(COUNTIF($E$7:E216,TableDiv[Agency]),),0)),"")</f>
        <v/>
      </c>
      <c r="F217" s="2223" cm="1">
        <f t="array" ref="F217">IF($D217&lt;COLUMNS($F$7:F$7),"",INDEX(TableDiv[[GASB]:[GASB]],_xlfn.AGGREGATE(15,3,(TableDiv[[Agency]:[Agency]]=$E217)/(TableDiv[[Agency]:[Agency]]=$E217)*(ROW(TableDiv[Agency])-ROW(TableDiv[[#Headers],[Agency]])),COLUMNS($F$7:F$7))))</f>
        <v>0</v>
      </c>
      <c r="G217" s="2223" cm="1">
        <f t="array" ref="G217">IF($D217&lt;COLUMNS($F$7:G$7),"",INDEX(TableDiv[[GASB]:[GASB]],_xlfn.AGGREGATE(15,3,(TableDiv[[Agency]:[Agency]]=$E217)/(TableDiv[[Agency]:[Agency]]=$E217)*(ROW(TableDiv[Agency])-ROW(TableDiv[[#Headers],[Agency]])),COLUMNS($F$7:G$7))))</f>
        <v>0</v>
      </c>
      <c r="H217" s="2223" cm="1">
        <f t="array" ref="H217">IF($D217&lt;COLUMNS($F$7:H$7),"",INDEX(TableDiv[[GASB]:[GASB]],_xlfn.AGGREGATE(15,3,(TableDiv[[Agency]:[Agency]]=$E217)/(TableDiv[[Agency]:[Agency]]=$E217)*(ROW(TableDiv[Agency])-ROW(TableDiv[[#Headers],[Agency]])),COLUMNS($F$7:H$7))))</f>
        <v>0</v>
      </c>
      <c r="I217" s="2223" cm="1">
        <f t="array" ref="I217">IF($D217&lt;COLUMNS($F$7:I$7),"",INDEX(TableDiv[[GASB]:[GASB]],_xlfn.AGGREGATE(15,3,(TableDiv[[Agency]:[Agency]]=$E217)/(TableDiv[[Agency]:[Agency]]=$E217)*(ROW(TableDiv[Agency])-ROW(TableDiv[[#Headers],[Agency]])),COLUMNS($F$7:I$7))))</f>
        <v>0</v>
      </c>
      <c r="J217" s="2223" cm="1">
        <f t="array" ref="J217">IF($D217&lt;COLUMNS($F$7:J$7),"",INDEX(TableDiv[[GASB]:[GASB]],_xlfn.AGGREGATE(15,3,(TableDiv[[Agency]:[Agency]]=$E217)/(TableDiv[[Agency]:[Agency]]=$E217)*(ROW(TableDiv[Agency])-ROW(TableDiv[[#Headers],[Agency]])),COLUMNS($F$7:J$7))))</f>
        <v>0</v>
      </c>
      <c r="K217" s="2223" cm="1">
        <f t="array" ref="K217">IF($D217&lt;COLUMNS($F$7:K$7),"",INDEX(TableDiv[[GASB]:[GASB]],_xlfn.AGGREGATE(15,3,(TableDiv[[Agency]:[Agency]]=$E217)/(TableDiv[[Agency]:[Agency]]=$E217)*(ROW(TableDiv[Agency])-ROW(TableDiv[[#Headers],[Agency]])),COLUMNS($F$7:K$7))))</f>
        <v>0</v>
      </c>
      <c r="L217" s="2223" cm="1">
        <f t="array" ref="L217">IF($D217&lt;COLUMNS($F$7:L$7),"",INDEX(TableDiv[[GASB]:[GASB]],_xlfn.AGGREGATE(15,3,(TableDiv[[Agency]:[Agency]]=$E217)/(TableDiv[[Agency]:[Agency]]=$E217)*(ROW(TableDiv[Agency])-ROW(TableDiv[[#Headers],[Agency]])),COLUMNS($F$7:L$7))))</f>
        <v>0</v>
      </c>
      <c r="M217" s="2223" cm="1">
        <f t="array" ref="M217">IF($D217&lt;COLUMNS($F$7:M$7),"",INDEX(TableDiv[[GASB]:[GASB]],_xlfn.AGGREGATE(15,3,(TableDiv[[Agency]:[Agency]]=$E217)/(TableDiv[[Agency]:[Agency]]=$E217)*(ROW(TableDiv[Agency])-ROW(TableDiv[[#Headers],[Agency]])),COLUMNS($F$7:M$7))))</f>
        <v>0</v>
      </c>
      <c r="N217" s="2223" cm="1">
        <f t="array" ref="N217">IF($D217&lt;COLUMNS($F$7:N$7),"",INDEX(TableDiv[[GASB]:[GASB]],_xlfn.AGGREGATE(15,3,(TableDiv[[Agency]:[Agency]]=$E217)/(TableDiv[[Agency]:[Agency]]=$E217)*(ROW(TableDiv[Agency])-ROW(TableDiv[[#Headers],[Agency]])),COLUMNS($F$7:N$7))))</f>
        <v>0</v>
      </c>
      <c r="O217" s="2223" cm="1">
        <f t="array" ref="O217">IF($D217&lt;COLUMNS($F$7:O$7),"",INDEX(TableDiv[[GASB]:[GASB]],_xlfn.AGGREGATE(15,3,(TableDiv[[Agency]:[Agency]]=$E217)/(TableDiv[[Agency]:[Agency]]=$E217)*(ROW(TableDiv[Agency])-ROW(TableDiv[[#Headers],[Agency]])),COLUMNS($F$7:O$7))))</f>
        <v>0</v>
      </c>
      <c r="P217" s="2223" cm="1">
        <f t="array" ref="P217">IF($D217&lt;COLUMNS($F$7:P$7),"",INDEX(TableDiv[[GASB]:[GASB]],_xlfn.AGGREGATE(15,3,(TableDiv[[Agency]:[Agency]]=$E217)/(TableDiv[[Agency]:[Agency]]=$E217)*(ROW(TableDiv[Agency])-ROW(TableDiv[[#Headers],[Agency]])),COLUMNS($F$7:P$7))))</f>
        <v>0</v>
      </c>
      <c r="Q217" s="2223" cm="1">
        <f t="array" ref="Q217">IF($D217&lt;COLUMNS($F$7:Q$7),"",INDEX(TableDiv[[GASB]:[GASB]],_xlfn.AGGREGATE(15,3,(TableDiv[[Agency]:[Agency]]=$E217)/(TableDiv[[Agency]:[Agency]]=$E217)*(ROW(TableDiv[Agency])-ROW(TableDiv[[#Headers],[Agency]])),COLUMNS($F$7:Q$7))))</f>
        <v>0</v>
      </c>
      <c r="R217" s="2223" cm="1">
        <f t="array" ref="R217">IF($D217&lt;COLUMNS($F$7:R$7),"",INDEX(TableDiv[[GASB]:[GASB]],_xlfn.AGGREGATE(15,3,(TableDiv[[Agency]:[Agency]]=$E217)/(TableDiv[[Agency]:[Agency]]=$E217)*(ROW(TableDiv[Agency])-ROW(TableDiv[[#Headers],[Agency]])),COLUMNS($F$7:R$7))))</f>
        <v>0</v>
      </c>
      <c r="S217" s="2223" cm="1">
        <f t="array" ref="S217">IF($D217&lt;COLUMNS($F$7:S$7),"",INDEX(TableDiv[[GASB]:[GASB]],_xlfn.AGGREGATE(15,3,(TableDiv[[Agency]:[Agency]]=$E217)/(TableDiv[[Agency]:[Agency]]=$E217)*(ROW(TableDiv[Agency])-ROW(TableDiv[[#Headers],[Agency]])),COLUMNS($F$7:S$7))))</f>
        <v>0</v>
      </c>
      <c r="T217" s="2223" cm="1">
        <f t="array" ref="T217">IF($D217&lt;COLUMNS($F$7:T$7),"",INDEX(TableDiv[[GASB]:[GASB]],_xlfn.AGGREGATE(15,3,(TableDiv[[Agency]:[Agency]]=$E217)/(TableDiv[[Agency]:[Agency]]=$E217)*(ROW(TableDiv[Agency])-ROW(TableDiv[[#Headers],[Agency]])),COLUMNS($F$7:T$7))))</f>
        <v>0</v>
      </c>
      <c r="U217" s="2223" cm="1">
        <f t="array" ref="U217">IF($D217&lt;COLUMNS($F$7:U$7),"",INDEX(TableDiv[[GASB]:[GASB]],_xlfn.AGGREGATE(15,3,(TableDiv[[Agency]:[Agency]]=$E217)/(TableDiv[[Agency]:[Agency]]=$E217)*(ROW(TableDiv[Agency])-ROW(TableDiv[[#Headers],[Agency]])),COLUMNS($F$7:U$7))))</f>
        <v>0</v>
      </c>
      <c r="V217" s="2223" cm="1">
        <f t="array" ref="V217">IF($D217&lt;COLUMNS($F$7:V$7),"",INDEX(TableDiv[[GASB]:[GASB]],_xlfn.AGGREGATE(15,3,(TableDiv[[Agency]:[Agency]]=$E217)/(TableDiv[[Agency]:[Agency]]=$E217)*(ROW(TableDiv[Agency])-ROW(TableDiv[[#Headers],[Agency]])),COLUMNS($F$7:V$7))))</f>
        <v>0</v>
      </c>
      <c r="W217" s="2223" cm="1">
        <f t="array" ref="W217">IF($D217&lt;COLUMNS($F$7:W$7),"",INDEX(TableDiv[[GASB]:[GASB]],_xlfn.AGGREGATE(15,3,(TableDiv[[Agency]:[Agency]]=$E217)/(TableDiv[[Agency]:[Agency]]=$E217)*(ROW(TableDiv[Agency])-ROW(TableDiv[[#Headers],[Agency]])),COLUMNS($F$7:W$7))))</f>
        <v>0</v>
      </c>
      <c r="X217" s="2223" cm="1">
        <f t="array" ref="X217">IF($D217&lt;COLUMNS($F$7:X$7),"",INDEX(TableDiv[[GASB]:[GASB]],_xlfn.AGGREGATE(15,3,(TableDiv[[Agency]:[Agency]]=$E217)/(TableDiv[[Agency]:[Agency]]=$E217)*(ROW(TableDiv[Agency])-ROW(TableDiv[[#Headers],[Agency]])),COLUMNS($F$7:X$7))))</f>
        <v>0</v>
      </c>
      <c r="Y217" s="2223" cm="1">
        <f t="array" ref="Y217">IF($D217&lt;COLUMNS($F$7:Y$7),"",INDEX(TableDiv[[GASB]:[GASB]],_xlfn.AGGREGATE(15,3,(TableDiv[[Agency]:[Agency]]=$E217)/(TableDiv[[Agency]:[Agency]]=$E217)*(ROW(TableDiv[Agency])-ROW(TableDiv[[#Headers],[Agency]])),COLUMNS($F$7:Y$7))))</f>
        <v>0</v>
      </c>
      <c r="Z217" s="2223" cm="1">
        <f t="array" ref="Z217">IF($D217&lt;COLUMNS($F$7:Z$7),"",INDEX(TableDiv[[GASB]:[GASB]],_xlfn.AGGREGATE(15,3,(TableDiv[[Agency]:[Agency]]=$E217)/(TableDiv[[Agency]:[Agency]]=$E217)*(ROW(TableDiv[Agency])-ROW(TableDiv[[#Headers],[Agency]])),COLUMNS($F$7:Z$7))))</f>
        <v>0</v>
      </c>
      <c r="AA217" s="2223" cm="1">
        <f t="array" ref="AA217">IF($D217&lt;COLUMNS($F$7:AA$7),"",INDEX(TableDiv[[GASB]:[GASB]],_xlfn.AGGREGATE(15,3,(TableDiv[[Agency]:[Agency]]=$E217)/(TableDiv[[Agency]:[Agency]]=$E217)*(ROW(TableDiv[Agency])-ROW(TableDiv[[#Headers],[Agency]])),COLUMNS($F$7:AA$7))))</f>
        <v>0</v>
      </c>
      <c r="AB217" s="2223" cm="1">
        <f t="array" ref="AB217">IF($D217&lt;COLUMNS($F$7:AB$7),"",INDEX(TableDiv[[GASB]:[GASB]],_xlfn.AGGREGATE(15,3,(TableDiv[[Agency]:[Agency]]=$E217)/(TableDiv[[Agency]:[Agency]]=$E217)*(ROW(TableDiv[Agency])-ROW(TableDiv[[#Headers],[Agency]])),COLUMNS($F$7:AB$7))))</f>
        <v>0</v>
      </c>
      <c r="AC217" s="2223" cm="1">
        <f t="array" ref="AC217">IF($D217&lt;COLUMNS($F$7:AC$7),"",INDEX(TableDiv[[GASB]:[GASB]],_xlfn.AGGREGATE(15,3,(TableDiv[[Agency]:[Agency]]=$E217)/(TableDiv[[Agency]:[Agency]]=$E217)*(ROW(TableDiv[Agency])-ROW(TableDiv[[#Headers],[Agency]])),COLUMNS($F$7:AC$7))))</f>
        <v>0</v>
      </c>
      <c r="AD217" s="2223" cm="1">
        <f t="array" ref="AD217">IF($D217&lt;COLUMNS($F$7:AD$7),"",INDEX(TableDiv[[GASB]:[GASB]],_xlfn.AGGREGATE(15,3,(TableDiv[[Agency]:[Agency]]=$E217)/(TableDiv[[Agency]:[Agency]]=$E217)*(ROW(TableDiv[Agency])-ROW(TableDiv[[#Headers],[Agency]])),COLUMNS($F$7:AD$7))))</f>
        <v>0</v>
      </c>
      <c r="AE217" s="2223" cm="1">
        <f t="array" ref="AE217">IF($D217&lt;COLUMNS($F$7:AE$7),"",INDEX(TableDiv[[GASB]:[GASB]],_xlfn.AGGREGATE(15,3,(TableDiv[[Agency]:[Agency]]=$E217)/(TableDiv[[Agency]:[Agency]]=$E217)*(ROW(TableDiv[Agency])-ROW(TableDiv[[#Headers],[Agency]])),COLUMNS($F$7:AE$7))))</f>
        <v>0</v>
      </c>
      <c r="AF217" s="2223" cm="1">
        <f t="array" ref="AF217">IF($D217&lt;COLUMNS($F$7:AF$7),"",INDEX(TableDiv[[GASB]:[GASB]],_xlfn.AGGREGATE(15,3,(TableDiv[[Agency]:[Agency]]=$E217)/(TableDiv[[Agency]:[Agency]]=$E217)*(ROW(TableDiv[Agency])-ROW(TableDiv[[#Headers],[Agency]])),COLUMNS($F$7:AF$7))))</f>
        <v>0</v>
      </c>
      <c r="AG217" s="2223" cm="1">
        <f t="array" ref="AG217">IF($D217&lt;COLUMNS($F$7:AG$7),"",INDEX(TableDiv[[GASB]:[GASB]],_xlfn.AGGREGATE(15,3,(TableDiv[[Agency]:[Agency]]=$E217)/(TableDiv[[Agency]:[Agency]]=$E217)*(ROW(TableDiv[Agency])-ROW(TableDiv[[#Headers],[Agency]])),COLUMNS($F$7:AG$7))))</f>
        <v>0</v>
      </c>
      <c r="AH217" s="2223" cm="1">
        <f t="array" ref="AH217">IF($D217&lt;COLUMNS($F$7:AH$7),"",INDEX(TableDiv[[GASB]:[GASB]],_xlfn.AGGREGATE(15,3,(TableDiv[[Agency]:[Agency]]=$E217)/(TableDiv[[Agency]:[Agency]]=$E217)*(ROW(TableDiv[Agency])-ROW(TableDiv[[#Headers],[Agency]])),COLUMNS($F$7:AH$7))))</f>
        <v>0</v>
      </c>
      <c r="AI217" s="2223" cm="1">
        <f t="array" ref="AI217">IF($D217&lt;COLUMNS($F$7:AI$7),"",INDEX(TableDiv[[GASB]:[GASB]],_xlfn.AGGREGATE(15,3,(TableDiv[[Agency]:[Agency]]=$E217)/(TableDiv[[Agency]:[Agency]]=$E217)*(ROW(TableDiv[Agency])-ROW(TableDiv[[#Headers],[Agency]])),COLUMNS($F$7:AI$7))))</f>
        <v>0</v>
      </c>
      <c r="AJ217" s="2223" cm="1">
        <f t="array" ref="AJ217">IF($D217&lt;COLUMNS($F$7:AJ$7),"",INDEX(TableDiv[[GASB]:[GASB]],_xlfn.AGGREGATE(15,3,(TableDiv[[Agency]:[Agency]]=$E217)/(TableDiv[[Agency]:[Agency]]=$E217)*(ROW(TableDiv[Agency])-ROW(TableDiv[[#Headers],[Agency]])),COLUMNS($F$7:AJ$7))))</f>
        <v>0</v>
      </c>
      <c r="AK217" s="2223" t="str" cm="1">
        <f t="array" ref="AK217">IF($D217&lt;COLUMNS($F$7:AK$7),"",INDEX(TableDiv[[GASB]:[GASB]],_xlfn.AGGREGATE(15,3,(TableDiv[[Agency]:[Agency]]=$E217)/(TableDiv[[Agency]:[Agency]]=$E217)*(ROW(TableDiv[Agency])-ROW(TableDiv[[#Headers],[Agency]])),COLUMNS($F$7:AK$7))))</f>
        <v/>
      </c>
      <c r="AL217" s="2223" t="str" cm="1">
        <f t="array" ref="AL217">IF($D217&lt;COLUMNS($F$7:AL$7),"",INDEX(TableDiv[[GASB]:[GASB]],_xlfn.AGGREGATE(15,3,(TableDiv[[Agency]:[Agency]]=$E217)/(TableDiv[[Agency]:[Agency]]=$E217)*(ROW(TableDiv[Agency])-ROW(TableDiv[[#Headers],[Agency]])),COLUMNS($F$7:AL$7))))</f>
        <v/>
      </c>
      <c r="AM217" s="2223" t="str" cm="1">
        <f t="array" ref="AM217">IF($D217&lt;COLUMNS($F$7:AM$7),"",INDEX(TableDiv[[GASB]:[GASB]],_xlfn.AGGREGATE(15,3,(TableDiv[[Agency]:[Agency]]=$E217)/(TableDiv[[Agency]:[Agency]]=$E217)*(ROW(TableDiv[Agency])-ROW(TableDiv[[#Headers],[Agency]])),COLUMNS($F$7:AM$7))))</f>
        <v/>
      </c>
      <c r="AN217" s="2223"/>
      <c r="AO217" s="2223"/>
      <c r="AP217" s="2223"/>
      <c r="AQ217" s="2223"/>
      <c r="AR217" s="2223"/>
      <c r="AS217" s="2223"/>
    </row>
    <row r="218" spans="1:45" ht="15" x14ac:dyDescent="0.25">
      <c r="A218" s="2219" t="s">
        <v>6456</v>
      </c>
      <c r="B218" s="2219" t="s">
        <v>6358</v>
      </c>
      <c r="C218" s="2223"/>
      <c r="D218" s="2223">
        <f>COUNTIF(TableDiv[Agency],E218)</f>
        <v>31</v>
      </c>
      <c r="E218" s="2230" t="str" cm="1">
        <f t="array" ref="E218">IFERROR(INDEX(TableDiv[Agency],MATCH(0,INDEX(COUNTIF($E$7:E217,TableDiv[Agency]),),0)),"")</f>
        <v/>
      </c>
      <c r="F218" s="2223" cm="1">
        <f t="array" ref="F218">IF($D218&lt;COLUMNS($F$7:F$7),"",INDEX(TableDiv[[GASB]:[GASB]],_xlfn.AGGREGATE(15,3,(TableDiv[[Agency]:[Agency]]=$E218)/(TableDiv[[Agency]:[Agency]]=$E218)*(ROW(TableDiv[Agency])-ROW(TableDiv[[#Headers],[Agency]])),COLUMNS($F$7:F$7))))</f>
        <v>0</v>
      </c>
      <c r="G218" s="2223" cm="1">
        <f t="array" ref="G218">IF($D218&lt;COLUMNS($F$7:G$7),"",INDEX(TableDiv[[GASB]:[GASB]],_xlfn.AGGREGATE(15,3,(TableDiv[[Agency]:[Agency]]=$E218)/(TableDiv[[Agency]:[Agency]]=$E218)*(ROW(TableDiv[Agency])-ROW(TableDiv[[#Headers],[Agency]])),COLUMNS($F$7:G$7))))</f>
        <v>0</v>
      </c>
      <c r="H218" s="2223" cm="1">
        <f t="array" ref="H218">IF($D218&lt;COLUMNS($F$7:H$7),"",INDEX(TableDiv[[GASB]:[GASB]],_xlfn.AGGREGATE(15,3,(TableDiv[[Agency]:[Agency]]=$E218)/(TableDiv[[Agency]:[Agency]]=$E218)*(ROW(TableDiv[Agency])-ROW(TableDiv[[#Headers],[Agency]])),COLUMNS($F$7:H$7))))</f>
        <v>0</v>
      </c>
      <c r="I218" s="2223" cm="1">
        <f t="array" ref="I218">IF($D218&lt;COLUMNS($F$7:I$7),"",INDEX(TableDiv[[GASB]:[GASB]],_xlfn.AGGREGATE(15,3,(TableDiv[[Agency]:[Agency]]=$E218)/(TableDiv[[Agency]:[Agency]]=$E218)*(ROW(TableDiv[Agency])-ROW(TableDiv[[#Headers],[Agency]])),COLUMNS($F$7:I$7))))</f>
        <v>0</v>
      </c>
      <c r="J218" s="2223" cm="1">
        <f t="array" ref="J218">IF($D218&lt;COLUMNS($F$7:J$7),"",INDEX(TableDiv[[GASB]:[GASB]],_xlfn.AGGREGATE(15,3,(TableDiv[[Agency]:[Agency]]=$E218)/(TableDiv[[Agency]:[Agency]]=$E218)*(ROW(TableDiv[Agency])-ROW(TableDiv[[#Headers],[Agency]])),COLUMNS($F$7:J$7))))</f>
        <v>0</v>
      </c>
      <c r="K218" s="2223" cm="1">
        <f t="array" ref="K218">IF($D218&lt;COLUMNS($F$7:K$7),"",INDEX(TableDiv[[GASB]:[GASB]],_xlfn.AGGREGATE(15,3,(TableDiv[[Agency]:[Agency]]=$E218)/(TableDiv[[Agency]:[Agency]]=$E218)*(ROW(TableDiv[Agency])-ROW(TableDiv[[#Headers],[Agency]])),COLUMNS($F$7:K$7))))</f>
        <v>0</v>
      </c>
      <c r="L218" s="2223" cm="1">
        <f t="array" ref="L218">IF($D218&lt;COLUMNS($F$7:L$7),"",INDEX(TableDiv[[GASB]:[GASB]],_xlfn.AGGREGATE(15,3,(TableDiv[[Agency]:[Agency]]=$E218)/(TableDiv[[Agency]:[Agency]]=$E218)*(ROW(TableDiv[Agency])-ROW(TableDiv[[#Headers],[Agency]])),COLUMNS($F$7:L$7))))</f>
        <v>0</v>
      </c>
      <c r="M218" s="2223" cm="1">
        <f t="array" ref="M218">IF($D218&lt;COLUMNS($F$7:M$7),"",INDEX(TableDiv[[GASB]:[GASB]],_xlfn.AGGREGATE(15,3,(TableDiv[[Agency]:[Agency]]=$E218)/(TableDiv[[Agency]:[Agency]]=$E218)*(ROW(TableDiv[Agency])-ROW(TableDiv[[#Headers],[Agency]])),COLUMNS($F$7:M$7))))</f>
        <v>0</v>
      </c>
      <c r="N218" s="2223" cm="1">
        <f t="array" ref="N218">IF($D218&lt;COLUMNS($F$7:N$7),"",INDEX(TableDiv[[GASB]:[GASB]],_xlfn.AGGREGATE(15,3,(TableDiv[[Agency]:[Agency]]=$E218)/(TableDiv[[Agency]:[Agency]]=$E218)*(ROW(TableDiv[Agency])-ROW(TableDiv[[#Headers],[Agency]])),COLUMNS($F$7:N$7))))</f>
        <v>0</v>
      </c>
      <c r="O218" s="2223" cm="1">
        <f t="array" ref="O218">IF($D218&lt;COLUMNS($F$7:O$7),"",INDEX(TableDiv[[GASB]:[GASB]],_xlfn.AGGREGATE(15,3,(TableDiv[[Agency]:[Agency]]=$E218)/(TableDiv[[Agency]:[Agency]]=$E218)*(ROW(TableDiv[Agency])-ROW(TableDiv[[#Headers],[Agency]])),COLUMNS($F$7:O$7))))</f>
        <v>0</v>
      </c>
      <c r="P218" s="2223" cm="1">
        <f t="array" ref="P218">IF($D218&lt;COLUMNS($F$7:P$7),"",INDEX(TableDiv[[GASB]:[GASB]],_xlfn.AGGREGATE(15,3,(TableDiv[[Agency]:[Agency]]=$E218)/(TableDiv[[Agency]:[Agency]]=$E218)*(ROW(TableDiv[Agency])-ROW(TableDiv[[#Headers],[Agency]])),COLUMNS($F$7:P$7))))</f>
        <v>0</v>
      </c>
      <c r="Q218" s="2223" cm="1">
        <f t="array" ref="Q218">IF($D218&lt;COLUMNS($F$7:Q$7),"",INDEX(TableDiv[[GASB]:[GASB]],_xlfn.AGGREGATE(15,3,(TableDiv[[Agency]:[Agency]]=$E218)/(TableDiv[[Agency]:[Agency]]=$E218)*(ROW(TableDiv[Agency])-ROW(TableDiv[[#Headers],[Agency]])),COLUMNS($F$7:Q$7))))</f>
        <v>0</v>
      </c>
      <c r="R218" s="2223" cm="1">
        <f t="array" ref="R218">IF($D218&lt;COLUMNS($F$7:R$7),"",INDEX(TableDiv[[GASB]:[GASB]],_xlfn.AGGREGATE(15,3,(TableDiv[[Agency]:[Agency]]=$E218)/(TableDiv[[Agency]:[Agency]]=$E218)*(ROW(TableDiv[Agency])-ROW(TableDiv[[#Headers],[Agency]])),COLUMNS($F$7:R$7))))</f>
        <v>0</v>
      </c>
      <c r="S218" s="2223" cm="1">
        <f t="array" ref="S218">IF($D218&lt;COLUMNS($F$7:S$7),"",INDEX(TableDiv[[GASB]:[GASB]],_xlfn.AGGREGATE(15,3,(TableDiv[[Agency]:[Agency]]=$E218)/(TableDiv[[Agency]:[Agency]]=$E218)*(ROW(TableDiv[Agency])-ROW(TableDiv[[#Headers],[Agency]])),COLUMNS($F$7:S$7))))</f>
        <v>0</v>
      </c>
      <c r="T218" s="2223" cm="1">
        <f t="array" ref="T218">IF($D218&lt;COLUMNS($F$7:T$7),"",INDEX(TableDiv[[GASB]:[GASB]],_xlfn.AGGREGATE(15,3,(TableDiv[[Agency]:[Agency]]=$E218)/(TableDiv[[Agency]:[Agency]]=$E218)*(ROW(TableDiv[Agency])-ROW(TableDiv[[#Headers],[Agency]])),COLUMNS($F$7:T$7))))</f>
        <v>0</v>
      </c>
      <c r="U218" s="2223" cm="1">
        <f t="array" ref="U218">IF($D218&lt;COLUMNS($F$7:U$7),"",INDEX(TableDiv[[GASB]:[GASB]],_xlfn.AGGREGATE(15,3,(TableDiv[[Agency]:[Agency]]=$E218)/(TableDiv[[Agency]:[Agency]]=$E218)*(ROW(TableDiv[Agency])-ROW(TableDiv[[#Headers],[Agency]])),COLUMNS($F$7:U$7))))</f>
        <v>0</v>
      </c>
      <c r="V218" s="2223" cm="1">
        <f t="array" ref="V218">IF($D218&lt;COLUMNS($F$7:V$7),"",INDEX(TableDiv[[GASB]:[GASB]],_xlfn.AGGREGATE(15,3,(TableDiv[[Agency]:[Agency]]=$E218)/(TableDiv[[Agency]:[Agency]]=$E218)*(ROW(TableDiv[Agency])-ROW(TableDiv[[#Headers],[Agency]])),COLUMNS($F$7:V$7))))</f>
        <v>0</v>
      </c>
      <c r="W218" s="2223" cm="1">
        <f t="array" ref="W218">IF($D218&lt;COLUMNS($F$7:W$7),"",INDEX(TableDiv[[GASB]:[GASB]],_xlfn.AGGREGATE(15,3,(TableDiv[[Agency]:[Agency]]=$E218)/(TableDiv[[Agency]:[Agency]]=$E218)*(ROW(TableDiv[Agency])-ROW(TableDiv[[#Headers],[Agency]])),COLUMNS($F$7:W$7))))</f>
        <v>0</v>
      </c>
      <c r="X218" s="2223" cm="1">
        <f t="array" ref="X218">IF($D218&lt;COLUMNS($F$7:X$7),"",INDEX(TableDiv[[GASB]:[GASB]],_xlfn.AGGREGATE(15,3,(TableDiv[[Agency]:[Agency]]=$E218)/(TableDiv[[Agency]:[Agency]]=$E218)*(ROW(TableDiv[Agency])-ROW(TableDiv[[#Headers],[Agency]])),COLUMNS($F$7:X$7))))</f>
        <v>0</v>
      </c>
      <c r="Y218" s="2223" cm="1">
        <f t="array" ref="Y218">IF($D218&lt;COLUMNS($F$7:Y$7),"",INDEX(TableDiv[[GASB]:[GASB]],_xlfn.AGGREGATE(15,3,(TableDiv[[Agency]:[Agency]]=$E218)/(TableDiv[[Agency]:[Agency]]=$E218)*(ROW(TableDiv[Agency])-ROW(TableDiv[[#Headers],[Agency]])),COLUMNS($F$7:Y$7))))</f>
        <v>0</v>
      </c>
      <c r="Z218" s="2223" cm="1">
        <f t="array" ref="Z218">IF($D218&lt;COLUMNS($F$7:Z$7),"",INDEX(TableDiv[[GASB]:[GASB]],_xlfn.AGGREGATE(15,3,(TableDiv[[Agency]:[Agency]]=$E218)/(TableDiv[[Agency]:[Agency]]=$E218)*(ROW(TableDiv[Agency])-ROW(TableDiv[[#Headers],[Agency]])),COLUMNS($F$7:Z$7))))</f>
        <v>0</v>
      </c>
      <c r="AA218" s="2223" cm="1">
        <f t="array" ref="AA218">IF($D218&lt;COLUMNS($F$7:AA$7),"",INDEX(TableDiv[[GASB]:[GASB]],_xlfn.AGGREGATE(15,3,(TableDiv[[Agency]:[Agency]]=$E218)/(TableDiv[[Agency]:[Agency]]=$E218)*(ROW(TableDiv[Agency])-ROW(TableDiv[[#Headers],[Agency]])),COLUMNS($F$7:AA$7))))</f>
        <v>0</v>
      </c>
      <c r="AB218" s="2223" cm="1">
        <f t="array" ref="AB218">IF($D218&lt;COLUMNS($F$7:AB$7),"",INDEX(TableDiv[[GASB]:[GASB]],_xlfn.AGGREGATE(15,3,(TableDiv[[Agency]:[Agency]]=$E218)/(TableDiv[[Agency]:[Agency]]=$E218)*(ROW(TableDiv[Agency])-ROW(TableDiv[[#Headers],[Agency]])),COLUMNS($F$7:AB$7))))</f>
        <v>0</v>
      </c>
      <c r="AC218" s="2223" cm="1">
        <f t="array" ref="AC218">IF($D218&lt;COLUMNS($F$7:AC$7),"",INDEX(TableDiv[[GASB]:[GASB]],_xlfn.AGGREGATE(15,3,(TableDiv[[Agency]:[Agency]]=$E218)/(TableDiv[[Agency]:[Agency]]=$E218)*(ROW(TableDiv[Agency])-ROW(TableDiv[[#Headers],[Agency]])),COLUMNS($F$7:AC$7))))</f>
        <v>0</v>
      </c>
      <c r="AD218" s="2223" cm="1">
        <f t="array" ref="AD218">IF($D218&lt;COLUMNS($F$7:AD$7),"",INDEX(TableDiv[[GASB]:[GASB]],_xlfn.AGGREGATE(15,3,(TableDiv[[Agency]:[Agency]]=$E218)/(TableDiv[[Agency]:[Agency]]=$E218)*(ROW(TableDiv[Agency])-ROW(TableDiv[[#Headers],[Agency]])),COLUMNS($F$7:AD$7))))</f>
        <v>0</v>
      </c>
      <c r="AE218" s="2223" cm="1">
        <f t="array" ref="AE218">IF($D218&lt;COLUMNS($F$7:AE$7),"",INDEX(TableDiv[[GASB]:[GASB]],_xlfn.AGGREGATE(15,3,(TableDiv[[Agency]:[Agency]]=$E218)/(TableDiv[[Agency]:[Agency]]=$E218)*(ROW(TableDiv[Agency])-ROW(TableDiv[[#Headers],[Agency]])),COLUMNS($F$7:AE$7))))</f>
        <v>0</v>
      </c>
      <c r="AF218" s="2223" cm="1">
        <f t="array" ref="AF218">IF($D218&lt;COLUMNS($F$7:AF$7),"",INDEX(TableDiv[[GASB]:[GASB]],_xlfn.AGGREGATE(15,3,(TableDiv[[Agency]:[Agency]]=$E218)/(TableDiv[[Agency]:[Agency]]=$E218)*(ROW(TableDiv[Agency])-ROW(TableDiv[[#Headers],[Agency]])),COLUMNS($F$7:AF$7))))</f>
        <v>0</v>
      </c>
      <c r="AG218" s="2223" cm="1">
        <f t="array" ref="AG218">IF($D218&lt;COLUMNS($F$7:AG$7),"",INDEX(TableDiv[[GASB]:[GASB]],_xlfn.AGGREGATE(15,3,(TableDiv[[Agency]:[Agency]]=$E218)/(TableDiv[[Agency]:[Agency]]=$E218)*(ROW(TableDiv[Agency])-ROW(TableDiv[[#Headers],[Agency]])),COLUMNS($F$7:AG$7))))</f>
        <v>0</v>
      </c>
      <c r="AH218" s="2223" cm="1">
        <f t="array" ref="AH218">IF($D218&lt;COLUMNS($F$7:AH$7),"",INDEX(TableDiv[[GASB]:[GASB]],_xlfn.AGGREGATE(15,3,(TableDiv[[Agency]:[Agency]]=$E218)/(TableDiv[[Agency]:[Agency]]=$E218)*(ROW(TableDiv[Agency])-ROW(TableDiv[[#Headers],[Agency]])),COLUMNS($F$7:AH$7))))</f>
        <v>0</v>
      </c>
      <c r="AI218" s="2223" cm="1">
        <f t="array" ref="AI218">IF($D218&lt;COLUMNS($F$7:AI$7),"",INDEX(TableDiv[[GASB]:[GASB]],_xlfn.AGGREGATE(15,3,(TableDiv[[Agency]:[Agency]]=$E218)/(TableDiv[[Agency]:[Agency]]=$E218)*(ROW(TableDiv[Agency])-ROW(TableDiv[[#Headers],[Agency]])),COLUMNS($F$7:AI$7))))</f>
        <v>0</v>
      </c>
      <c r="AJ218" s="2223" cm="1">
        <f t="array" ref="AJ218">IF($D218&lt;COLUMNS($F$7:AJ$7),"",INDEX(TableDiv[[GASB]:[GASB]],_xlfn.AGGREGATE(15,3,(TableDiv[[Agency]:[Agency]]=$E218)/(TableDiv[[Agency]:[Agency]]=$E218)*(ROW(TableDiv[Agency])-ROW(TableDiv[[#Headers],[Agency]])),COLUMNS($F$7:AJ$7))))</f>
        <v>0</v>
      </c>
      <c r="AK218" s="2223" t="str" cm="1">
        <f t="array" ref="AK218">IF($D218&lt;COLUMNS($F$7:AK$7),"",INDEX(TableDiv[[GASB]:[GASB]],_xlfn.AGGREGATE(15,3,(TableDiv[[Agency]:[Agency]]=$E218)/(TableDiv[[Agency]:[Agency]]=$E218)*(ROW(TableDiv[Agency])-ROW(TableDiv[[#Headers],[Agency]])),COLUMNS($F$7:AK$7))))</f>
        <v/>
      </c>
      <c r="AL218" s="2223" t="str" cm="1">
        <f t="array" ref="AL218">IF($D218&lt;COLUMNS($F$7:AL$7),"",INDEX(TableDiv[[GASB]:[GASB]],_xlfn.AGGREGATE(15,3,(TableDiv[[Agency]:[Agency]]=$E218)/(TableDiv[[Agency]:[Agency]]=$E218)*(ROW(TableDiv[Agency])-ROW(TableDiv[[#Headers],[Agency]])),COLUMNS($F$7:AL$7))))</f>
        <v/>
      </c>
      <c r="AM218" s="2223" t="str" cm="1">
        <f t="array" ref="AM218">IF($D218&lt;COLUMNS($F$7:AM$7),"",INDEX(TableDiv[[GASB]:[GASB]],_xlfn.AGGREGATE(15,3,(TableDiv[[Agency]:[Agency]]=$E218)/(TableDiv[[Agency]:[Agency]]=$E218)*(ROW(TableDiv[Agency])-ROW(TableDiv[[#Headers],[Agency]])),COLUMNS($F$7:AM$7))))</f>
        <v/>
      </c>
      <c r="AN218" s="2223"/>
      <c r="AO218" s="2223"/>
      <c r="AP218" s="2223"/>
      <c r="AQ218" s="2223"/>
      <c r="AR218" s="2223"/>
      <c r="AS218" s="2223"/>
    </row>
    <row r="219" spans="1:45" ht="15" x14ac:dyDescent="0.25">
      <c r="A219" s="2219" t="s">
        <v>6456</v>
      </c>
      <c r="B219" s="2219" t="s">
        <v>6393</v>
      </c>
      <c r="C219" s="2223"/>
      <c r="D219" s="2223">
        <f>COUNTIF(TableDiv[Agency],E219)</f>
        <v>31</v>
      </c>
      <c r="E219" s="2230" t="str" cm="1">
        <f t="array" ref="E219">IFERROR(INDEX(TableDiv[Agency],MATCH(0,INDEX(COUNTIF($E$7:E218,TableDiv[Agency]),),0)),"")</f>
        <v/>
      </c>
      <c r="F219" s="2223" cm="1">
        <f t="array" ref="F219">IF($D219&lt;COLUMNS($F$7:F$7),"",INDEX(TableDiv[[GASB]:[GASB]],_xlfn.AGGREGATE(15,3,(TableDiv[[Agency]:[Agency]]=$E219)/(TableDiv[[Agency]:[Agency]]=$E219)*(ROW(TableDiv[Agency])-ROW(TableDiv[[#Headers],[Agency]])),COLUMNS($F$7:F$7))))</f>
        <v>0</v>
      </c>
      <c r="G219" s="2223" cm="1">
        <f t="array" ref="G219">IF($D219&lt;COLUMNS($F$7:G$7),"",INDEX(TableDiv[[GASB]:[GASB]],_xlfn.AGGREGATE(15,3,(TableDiv[[Agency]:[Agency]]=$E219)/(TableDiv[[Agency]:[Agency]]=$E219)*(ROW(TableDiv[Agency])-ROW(TableDiv[[#Headers],[Agency]])),COLUMNS($F$7:G$7))))</f>
        <v>0</v>
      </c>
      <c r="H219" s="2223" cm="1">
        <f t="array" ref="H219">IF($D219&lt;COLUMNS($F$7:H$7),"",INDEX(TableDiv[[GASB]:[GASB]],_xlfn.AGGREGATE(15,3,(TableDiv[[Agency]:[Agency]]=$E219)/(TableDiv[[Agency]:[Agency]]=$E219)*(ROW(TableDiv[Agency])-ROW(TableDiv[[#Headers],[Agency]])),COLUMNS($F$7:H$7))))</f>
        <v>0</v>
      </c>
      <c r="I219" s="2223" cm="1">
        <f t="array" ref="I219">IF($D219&lt;COLUMNS($F$7:I$7),"",INDEX(TableDiv[[GASB]:[GASB]],_xlfn.AGGREGATE(15,3,(TableDiv[[Agency]:[Agency]]=$E219)/(TableDiv[[Agency]:[Agency]]=$E219)*(ROW(TableDiv[Agency])-ROW(TableDiv[[#Headers],[Agency]])),COLUMNS($F$7:I$7))))</f>
        <v>0</v>
      </c>
      <c r="J219" s="2223" cm="1">
        <f t="array" ref="J219">IF($D219&lt;COLUMNS($F$7:J$7),"",INDEX(TableDiv[[GASB]:[GASB]],_xlfn.AGGREGATE(15,3,(TableDiv[[Agency]:[Agency]]=$E219)/(TableDiv[[Agency]:[Agency]]=$E219)*(ROW(TableDiv[Agency])-ROW(TableDiv[[#Headers],[Agency]])),COLUMNS($F$7:J$7))))</f>
        <v>0</v>
      </c>
      <c r="K219" s="2223" cm="1">
        <f t="array" ref="K219">IF($D219&lt;COLUMNS($F$7:K$7),"",INDEX(TableDiv[[GASB]:[GASB]],_xlfn.AGGREGATE(15,3,(TableDiv[[Agency]:[Agency]]=$E219)/(TableDiv[[Agency]:[Agency]]=$E219)*(ROW(TableDiv[Agency])-ROW(TableDiv[[#Headers],[Agency]])),COLUMNS($F$7:K$7))))</f>
        <v>0</v>
      </c>
      <c r="L219" s="2223" cm="1">
        <f t="array" ref="L219">IF($D219&lt;COLUMNS($F$7:L$7),"",INDEX(TableDiv[[GASB]:[GASB]],_xlfn.AGGREGATE(15,3,(TableDiv[[Agency]:[Agency]]=$E219)/(TableDiv[[Agency]:[Agency]]=$E219)*(ROW(TableDiv[Agency])-ROW(TableDiv[[#Headers],[Agency]])),COLUMNS($F$7:L$7))))</f>
        <v>0</v>
      </c>
      <c r="M219" s="2223" cm="1">
        <f t="array" ref="M219">IF($D219&lt;COLUMNS($F$7:M$7),"",INDEX(TableDiv[[GASB]:[GASB]],_xlfn.AGGREGATE(15,3,(TableDiv[[Agency]:[Agency]]=$E219)/(TableDiv[[Agency]:[Agency]]=$E219)*(ROW(TableDiv[Agency])-ROW(TableDiv[[#Headers],[Agency]])),COLUMNS($F$7:M$7))))</f>
        <v>0</v>
      </c>
      <c r="N219" s="2223" cm="1">
        <f t="array" ref="N219">IF($D219&lt;COLUMNS($F$7:N$7),"",INDEX(TableDiv[[GASB]:[GASB]],_xlfn.AGGREGATE(15,3,(TableDiv[[Agency]:[Agency]]=$E219)/(TableDiv[[Agency]:[Agency]]=$E219)*(ROW(TableDiv[Agency])-ROW(TableDiv[[#Headers],[Agency]])),COLUMNS($F$7:N$7))))</f>
        <v>0</v>
      </c>
      <c r="O219" s="2223" cm="1">
        <f t="array" ref="O219">IF($D219&lt;COLUMNS($F$7:O$7),"",INDEX(TableDiv[[GASB]:[GASB]],_xlfn.AGGREGATE(15,3,(TableDiv[[Agency]:[Agency]]=$E219)/(TableDiv[[Agency]:[Agency]]=$E219)*(ROW(TableDiv[Agency])-ROW(TableDiv[[#Headers],[Agency]])),COLUMNS($F$7:O$7))))</f>
        <v>0</v>
      </c>
      <c r="P219" s="2223" cm="1">
        <f t="array" ref="P219">IF($D219&lt;COLUMNS($F$7:P$7),"",INDEX(TableDiv[[GASB]:[GASB]],_xlfn.AGGREGATE(15,3,(TableDiv[[Agency]:[Agency]]=$E219)/(TableDiv[[Agency]:[Agency]]=$E219)*(ROW(TableDiv[Agency])-ROW(TableDiv[[#Headers],[Agency]])),COLUMNS($F$7:P$7))))</f>
        <v>0</v>
      </c>
      <c r="Q219" s="2223" cm="1">
        <f t="array" ref="Q219">IF($D219&lt;COLUMNS($F$7:Q$7),"",INDEX(TableDiv[[GASB]:[GASB]],_xlfn.AGGREGATE(15,3,(TableDiv[[Agency]:[Agency]]=$E219)/(TableDiv[[Agency]:[Agency]]=$E219)*(ROW(TableDiv[Agency])-ROW(TableDiv[[#Headers],[Agency]])),COLUMNS($F$7:Q$7))))</f>
        <v>0</v>
      </c>
      <c r="R219" s="2223" cm="1">
        <f t="array" ref="R219">IF($D219&lt;COLUMNS($F$7:R$7),"",INDEX(TableDiv[[GASB]:[GASB]],_xlfn.AGGREGATE(15,3,(TableDiv[[Agency]:[Agency]]=$E219)/(TableDiv[[Agency]:[Agency]]=$E219)*(ROW(TableDiv[Agency])-ROW(TableDiv[[#Headers],[Agency]])),COLUMNS($F$7:R$7))))</f>
        <v>0</v>
      </c>
      <c r="S219" s="2223" cm="1">
        <f t="array" ref="S219">IF($D219&lt;COLUMNS($F$7:S$7),"",INDEX(TableDiv[[GASB]:[GASB]],_xlfn.AGGREGATE(15,3,(TableDiv[[Agency]:[Agency]]=$E219)/(TableDiv[[Agency]:[Agency]]=$E219)*(ROW(TableDiv[Agency])-ROW(TableDiv[[#Headers],[Agency]])),COLUMNS($F$7:S$7))))</f>
        <v>0</v>
      </c>
      <c r="T219" s="2223" cm="1">
        <f t="array" ref="T219">IF($D219&lt;COLUMNS($F$7:T$7),"",INDEX(TableDiv[[GASB]:[GASB]],_xlfn.AGGREGATE(15,3,(TableDiv[[Agency]:[Agency]]=$E219)/(TableDiv[[Agency]:[Agency]]=$E219)*(ROW(TableDiv[Agency])-ROW(TableDiv[[#Headers],[Agency]])),COLUMNS($F$7:T$7))))</f>
        <v>0</v>
      </c>
      <c r="U219" s="2223" cm="1">
        <f t="array" ref="U219">IF($D219&lt;COLUMNS($F$7:U$7),"",INDEX(TableDiv[[GASB]:[GASB]],_xlfn.AGGREGATE(15,3,(TableDiv[[Agency]:[Agency]]=$E219)/(TableDiv[[Agency]:[Agency]]=$E219)*(ROW(TableDiv[Agency])-ROW(TableDiv[[#Headers],[Agency]])),COLUMNS($F$7:U$7))))</f>
        <v>0</v>
      </c>
      <c r="V219" s="2223" cm="1">
        <f t="array" ref="V219">IF($D219&lt;COLUMNS($F$7:V$7),"",INDEX(TableDiv[[GASB]:[GASB]],_xlfn.AGGREGATE(15,3,(TableDiv[[Agency]:[Agency]]=$E219)/(TableDiv[[Agency]:[Agency]]=$E219)*(ROW(TableDiv[Agency])-ROW(TableDiv[[#Headers],[Agency]])),COLUMNS($F$7:V$7))))</f>
        <v>0</v>
      </c>
      <c r="W219" s="2223" cm="1">
        <f t="array" ref="W219">IF($D219&lt;COLUMNS($F$7:W$7),"",INDEX(TableDiv[[GASB]:[GASB]],_xlfn.AGGREGATE(15,3,(TableDiv[[Agency]:[Agency]]=$E219)/(TableDiv[[Agency]:[Agency]]=$E219)*(ROW(TableDiv[Agency])-ROW(TableDiv[[#Headers],[Agency]])),COLUMNS($F$7:W$7))))</f>
        <v>0</v>
      </c>
      <c r="X219" s="2223" cm="1">
        <f t="array" ref="X219">IF($D219&lt;COLUMNS($F$7:X$7),"",INDEX(TableDiv[[GASB]:[GASB]],_xlfn.AGGREGATE(15,3,(TableDiv[[Agency]:[Agency]]=$E219)/(TableDiv[[Agency]:[Agency]]=$E219)*(ROW(TableDiv[Agency])-ROW(TableDiv[[#Headers],[Agency]])),COLUMNS($F$7:X$7))))</f>
        <v>0</v>
      </c>
      <c r="Y219" s="2223" cm="1">
        <f t="array" ref="Y219">IF($D219&lt;COLUMNS($F$7:Y$7),"",INDEX(TableDiv[[GASB]:[GASB]],_xlfn.AGGREGATE(15,3,(TableDiv[[Agency]:[Agency]]=$E219)/(TableDiv[[Agency]:[Agency]]=$E219)*(ROW(TableDiv[Agency])-ROW(TableDiv[[#Headers],[Agency]])),COLUMNS($F$7:Y$7))))</f>
        <v>0</v>
      </c>
      <c r="Z219" s="2223" cm="1">
        <f t="array" ref="Z219">IF($D219&lt;COLUMNS($F$7:Z$7),"",INDEX(TableDiv[[GASB]:[GASB]],_xlfn.AGGREGATE(15,3,(TableDiv[[Agency]:[Agency]]=$E219)/(TableDiv[[Agency]:[Agency]]=$E219)*(ROW(TableDiv[Agency])-ROW(TableDiv[[#Headers],[Agency]])),COLUMNS($F$7:Z$7))))</f>
        <v>0</v>
      </c>
      <c r="AA219" s="2223" cm="1">
        <f t="array" ref="AA219">IF($D219&lt;COLUMNS($F$7:AA$7),"",INDEX(TableDiv[[GASB]:[GASB]],_xlfn.AGGREGATE(15,3,(TableDiv[[Agency]:[Agency]]=$E219)/(TableDiv[[Agency]:[Agency]]=$E219)*(ROW(TableDiv[Agency])-ROW(TableDiv[[#Headers],[Agency]])),COLUMNS($F$7:AA$7))))</f>
        <v>0</v>
      </c>
      <c r="AB219" s="2223" cm="1">
        <f t="array" ref="AB219">IF($D219&lt;COLUMNS($F$7:AB$7),"",INDEX(TableDiv[[GASB]:[GASB]],_xlfn.AGGREGATE(15,3,(TableDiv[[Agency]:[Agency]]=$E219)/(TableDiv[[Agency]:[Agency]]=$E219)*(ROW(TableDiv[Agency])-ROW(TableDiv[[#Headers],[Agency]])),COLUMNS($F$7:AB$7))))</f>
        <v>0</v>
      </c>
      <c r="AC219" s="2223" cm="1">
        <f t="array" ref="AC219">IF($D219&lt;COLUMNS($F$7:AC$7),"",INDEX(TableDiv[[GASB]:[GASB]],_xlfn.AGGREGATE(15,3,(TableDiv[[Agency]:[Agency]]=$E219)/(TableDiv[[Agency]:[Agency]]=$E219)*(ROW(TableDiv[Agency])-ROW(TableDiv[[#Headers],[Agency]])),COLUMNS($F$7:AC$7))))</f>
        <v>0</v>
      </c>
      <c r="AD219" s="2223" cm="1">
        <f t="array" ref="AD219">IF($D219&lt;COLUMNS($F$7:AD$7),"",INDEX(TableDiv[[GASB]:[GASB]],_xlfn.AGGREGATE(15,3,(TableDiv[[Agency]:[Agency]]=$E219)/(TableDiv[[Agency]:[Agency]]=$E219)*(ROW(TableDiv[Agency])-ROW(TableDiv[[#Headers],[Agency]])),COLUMNS($F$7:AD$7))))</f>
        <v>0</v>
      </c>
      <c r="AE219" s="2223" cm="1">
        <f t="array" ref="AE219">IF($D219&lt;COLUMNS($F$7:AE$7),"",INDEX(TableDiv[[GASB]:[GASB]],_xlfn.AGGREGATE(15,3,(TableDiv[[Agency]:[Agency]]=$E219)/(TableDiv[[Agency]:[Agency]]=$E219)*(ROW(TableDiv[Agency])-ROW(TableDiv[[#Headers],[Agency]])),COLUMNS($F$7:AE$7))))</f>
        <v>0</v>
      </c>
      <c r="AF219" s="2223" cm="1">
        <f t="array" ref="AF219">IF($D219&lt;COLUMNS($F$7:AF$7),"",INDEX(TableDiv[[GASB]:[GASB]],_xlfn.AGGREGATE(15,3,(TableDiv[[Agency]:[Agency]]=$E219)/(TableDiv[[Agency]:[Agency]]=$E219)*(ROW(TableDiv[Agency])-ROW(TableDiv[[#Headers],[Agency]])),COLUMNS($F$7:AF$7))))</f>
        <v>0</v>
      </c>
      <c r="AG219" s="2223" cm="1">
        <f t="array" ref="AG219">IF($D219&lt;COLUMNS($F$7:AG$7),"",INDEX(TableDiv[[GASB]:[GASB]],_xlfn.AGGREGATE(15,3,(TableDiv[[Agency]:[Agency]]=$E219)/(TableDiv[[Agency]:[Agency]]=$E219)*(ROW(TableDiv[Agency])-ROW(TableDiv[[#Headers],[Agency]])),COLUMNS($F$7:AG$7))))</f>
        <v>0</v>
      </c>
      <c r="AH219" s="2223" cm="1">
        <f t="array" ref="AH219">IF($D219&lt;COLUMNS($F$7:AH$7),"",INDEX(TableDiv[[GASB]:[GASB]],_xlfn.AGGREGATE(15,3,(TableDiv[[Agency]:[Agency]]=$E219)/(TableDiv[[Agency]:[Agency]]=$E219)*(ROW(TableDiv[Agency])-ROW(TableDiv[[#Headers],[Agency]])),COLUMNS($F$7:AH$7))))</f>
        <v>0</v>
      </c>
      <c r="AI219" s="2223" cm="1">
        <f t="array" ref="AI219">IF($D219&lt;COLUMNS($F$7:AI$7),"",INDEX(TableDiv[[GASB]:[GASB]],_xlfn.AGGREGATE(15,3,(TableDiv[[Agency]:[Agency]]=$E219)/(TableDiv[[Agency]:[Agency]]=$E219)*(ROW(TableDiv[Agency])-ROW(TableDiv[[#Headers],[Agency]])),COLUMNS($F$7:AI$7))))</f>
        <v>0</v>
      </c>
      <c r="AJ219" s="2223" cm="1">
        <f t="array" ref="AJ219">IF($D219&lt;COLUMNS($F$7:AJ$7),"",INDEX(TableDiv[[GASB]:[GASB]],_xlfn.AGGREGATE(15,3,(TableDiv[[Agency]:[Agency]]=$E219)/(TableDiv[[Agency]:[Agency]]=$E219)*(ROW(TableDiv[Agency])-ROW(TableDiv[[#Headers],[Agency]])),COLUMNS($F$7:AJ$7))))</f>
        <v>0</v>
      </c>
      <c r="AK219" s="2223" t="str" cm="1">
        <f t="array" ref="AK219">IF($D219&lt;COLUMNS($F$7:AK$7),"",INDEX(TableDiv[[GASB]:[GASB]],_xlfn.AGGREGATE(15,3,(TableDiv[[Agency]:[Agency]]=$E219)/(TableDiv[[Agency]:[Agency]]=$E219)*(ROW(TableDiv[Agency])-ROW(TableDiv[[#Headers],[Agency]])),COLUMNS($F$7:AK$7))))</f>
        <v/>
      </c>
      <c r="AL219" s="2223" t="str" cm="1">
        <f t="array" ref="AL219">IF($D219&lt;COLUMNS($F$7:AL$7),"",INDEX(TableDiv[[GASB]:[GASB]],_xlfn.AGGREGATE(15,3,(TableDiv[[Agency]:[Agency]]=$E219)/(TableDiv[[Agency]:[Agency]]=$E219)*(ROW(TableDiv[Agency])-ROW(TableDiv[[#Headers],[Agency]])),COLUMNS($F$7:AL$7))))</f>
        <v/>
      </c>
      <c r="AM219" s="2223" t="str" cm="1">
        <f t="array" ref="AM219">IF($D219&lt;COLUMNS($F$7:AM$7),"",INDEX(TableDiv[[GASB]:[GASB]],_xlfn.AGGREGATE(15,3,(TableDiv[[Agency]:[Agency]]=$E219)/(TableDiv[[Agency]:[Agency]]=$E219)*(ROW(TableDiv[Agency])-ROW(TableDiv[[#Headers],[Agency]])),COLUMNS($F$7:AM$7))))</f>
        <v/>
      </c>
      <c r="AN219" s="2223"/>
      <c r="AO219" s="2223"/>
      <c r="AP219" s="2223"/>
      <c r="AQ219" s="2223"/>
      <c r="AR219" s="2223"/>
      <c r="AS219" s="2223"/>
    </row>
    <row r="220" spans="1:45" ht="15" x14ac:dyDescent="0.25">
      <c r="A220" s="2219" t="s">
        <v>6457</v>
      </c>
      <c r="B220" s="2219" t="s">
        <v>6361</v>
      </c>
      <c r="C220" s="2223"/>
      <c r="D220" s="2223">
        <f>COUNTIF(TableDiv[Agency],E220)</f>
        <v>31</v>
      </c>
      <c r="E220" s="2230" t="str" cm="1">
        <f t="array" ref="E220">IFERROR(INDEX(TableDiv[Agency],MATCH(0,INDEX(COUNTIF($E$7:E219,TableDiv[Agency]),),0)),"")</f>
        <v/>
      </c>
      <c r="F220" s="2223" cm="1">
        <f t="array" ref="F220">IF($D220&lt;COLUMNS($F$7:F$7),"",INDEX(TableDiv[[GASB]:[GASB]],_xlfn.AGGREGATE(15,3,(TableDiv[[Agency]:[Agency]]=$E220)/(TableDiv[[Agency]:[Agency]]=$E220)*(ROW(TableDiv[Agency])-ROW(TableDiv[[#Headers],[Agency]])),COLUMNS($F$7:F$7))))</f>
        <v>0</v>
      </c>
      <c r="G220" s="2223" cm="1">
        <f t="array" ref="G220">IF($D220&lt;COLUMNS($F$7:G$7),"",INDEX(TableDiv[[GASB]:[GASB]],_xlfn.AGGREGATE(15,3,(TableDiv[[Agency]:[Agency]]=$E220)/(TableDiv[[Agency]:[Agency]]=$E220)*(ROW(TableDiv[Agency])-ROW(TableDiv[[#Headers],[Agency]])),COLUMNS($F$7:G$7))))</f>
        <v>0</v>
      </c>
      <c r="H220" s="2223" cm="1">
        <f t="array" ref="H220">IF($D220&lt;COLUMNS($F$7:H$7),"",INDEX(TableDiv[[GASB]:[GASB]],_xlfn.AGGREGATE(15,3,(TableDiv[[Agency]:[Agency]]=$E220)/(TableDiv[[Agency]:[Agency]]=$E220)*(ROW(TableDiv[Agency])-ROW(TableDiv[[#Headers],[Agency]])),COLUMNS($F$7:H$7))))</f>
        <v>0</v>
      </c>
      <c r="I220" s="2223" cm="1">
        <f t="array" ref="I220">IF($D220&lt;COLUMNS($F$7:I$7),"",INDEX(TableDiv[[GASB]:[GASB]],_xlfn.AGGREGATE(15,3,(TableDiv[[Agency]:[Agency]]=$E220)/(TableDiv[[Agency]:[Agency]]=$E220)*(ROW(TableDiv[Agency])-ROW(TableDiv[[#Headers],[Agency]])),COLUMNS($F$7:I$7))))</f>
        <v>0</v>
      </c>
      <c r="J220" s="2223" cm="1">
        <f t="array" ref="J220">IF($D220&lt;COLUMNS($F$7:J$7),"",INDEX(TableDiv[[GASB]:[GASB]],_xlfn.AGGREGATE(15,3,(TableDiv[[Agency]:[Agency]]=$E220)/(TableDiv[[Agency]:[Agency]]=$E220)*(ROW(TableDiv[Agency])-ROW(TableDiv[[#Headers],[Agency]])),COLUMNS($F$7:J$7))))</f>
        <v>0</v>
      </c>
      <c r="K220" s="2223" cm="1">
        <f t="array" ref="K220">IF($D220&lt;COLUMNS($F$7:K$7),"",INDEX(TableDiv[[GASB]:[GASB]],_xlfn.AGGREGATE(15,3,(TableDiv[[Agency]:[Agency]]=$E220)/(TableDiv[[Agency]:[Agency]]=$E220)*(ROW(TableDiv[Agency])-ROW(TableDiv[[#Headers],[Agency]])),COLUMNS($F$7:K$7))))</f>
        <v>0</v>
      </c>
      <c r="L220" s="2223" cm="1">
        <f t="array" ref="L220">IF($D220&lt;COLUMNS($F$7:L$7),"",INDEX(TableDiv[[GASB]:[GASB]],_xlfn.AGGREGATE(15,3,(TableDiv[[Agency]:[Agency]]=$E220)/(TableDiv[[Agency]:[Agency]]=$E220)*(ROW(TableDiv[Agency])-ROW(TableDiv[[#Headers],[Agency]])),COLUMNS($F$7:L$7))))</f>
        <v>0</v>
      </c>
      <c r="M220" s="2223" cm="1">
        <f t="array" ref="M220">IF($D220&lt;COLUMNS($F$7:M$7),"",INDEX(TableDiv[[GASB]:[GASB]],_xlfn.AGGREGATE(15,3,(TableDiv[[Agency]:[Agency]]=$E220)/(TableDiv[[Agency]:[Agency]]=$E220)*(ROW(TableDiv[Agency])-ROW(TableDiv[[#Headers],[Agency]])),COLUMNS($F$7:M$7))))</f>
        <v>0</v>
      </c>
      <c r="N220" s="2223" cm="1">
        <f t="array" ref="N220">IF($D220&lt;COLUMNS($F$7:N$7),"",INDEX(TableDiv[[GASB]:[GASB]],_xlfn.AGGREGATE(15,3,(TableDiv[[Agency]:[Agency]]=$E220)/(TableDiv[[Agency]:[Agency]]=$E220)*(ROW(TableDiv[Agency])-ROW(TableDiv[[#Headers],[Agency]])),COLUMNS($F$7:N$7))))</f>
        <v>0</v>
      </c>
      <c r="O220" s="2223" cm="1">
        <f t="array" ref="O220">IF($D220&lt;COLUMNS($F$7:O$7),"",INDEX(TableDiv[[GASB]:[GASB]],_xlfn.AGGREGATE(15,3,(TableDiv[[Agency]:[Agency]]=$E220)/(TableDiv[[Agency]:[Agency]]=$E220)*(ROW(TableDiv[Agency])-ROW(TableDiv[[#Headers],[Agency]])),COLUMNS($F$7:O$7))))</f>
        <v>0</v>
      </c>
      <c r="P220" s="2223" cm="1">
        <f t="array" ref="P220">IF($D220&lt;COLUMNS($F$7:P$7),"",INDEX(TableDiv[[GASB]:[GASB]],_xlfn.AGGREGATE(15,3,(TableDiv[[Agency]:[Agency]]=$E220)/(TableDiv[[Agency]:[Agency]]=$E220)*(ROW(TableDiv[Agency])-ROW(TableDiv[[#Headers],[Agency]])),COLUMNS($F$7:P$7))))</f>
        <v>0</v>
      </c>
      <c r="Q220" s="2223" cm="1">
        <f t="array" ref="Q220">IF($D220&lt;COLUMNS($F$7:Q$7),"",INDEX(TableDiv[[GASB]:[GASB]],_xlfn.AGGREGATE(15,3,(TableDiv[[Agency]:[Agency]]=$E220)/(TableDiv[[Agency]:[Agency]]=$E220)*(ROW(TableDiv[Agency])-ROW(TableDiv[[#Headers],[Agency]])),COLUMNS($F$7:Q$7))))</f>
        <v>0</v>
      </c>
      <c r="R220" s="2223" cm="1">
        <f t="array" ref="R220">IF($D220&lt;COLUMNS($F$7:R$7),"",INDEX(TableDiv[[GASB]:[GASB]],_xlfn.AGGREGATE(15,3,(TableDiv[[Agency]:[Agency]]=$E220)/(TableDiv[[Agency]:[Agency]]=$E220)*(ROW(TableDiv[Agency])-ROW(TableDiv[[#Headers],[Agency]])),COLUMNS($F$7:R$7))))</f>
        <v>0</v>
      </c>
      <c r="S220" s="2223" cm="1">
        <f t="array" ref="S220">IF($D220&lt;COLUMNS($F$7:S$7),"",INDEX(TableDiv[[GASB]:[GASB]],_xlfn.AGGREGATE(15,3,(TableDiv[[Agency]:[Agency]]=$E220)/(TableDiv[[Agency]:[Agency]]=$E220)*(ROW(TableDiv[Agency])-ROW(TableDiv[[#Headers],[Agency]])),COLUMNS($F$7:S$7))))</f>
        <v>0</v>
      </c>
      <c r="T220" s="2223" cm="1">
        <f t="array" ref="T220">IF($D220&lt;COLUMNS($F$7:T$7),"",INDEX(TableDiv[[GASB]:[GASB]],_xlfn.AGGREGATE(15,3,(TableDiv[[Agency]:[Agency]]=$E220)/(TableDiv[[Agency]:[Agency]]=$E220)*(ROW(TableDiv[Agency])-ROW(TableDiv[[#Headers],[Agency]])),COLUMNS($F$7:T$7))))</f>
        <v>0</v>
      </c>
      <c r="U220" s="2223" cm="1">
        <f t="array" ref="U220">IF($D220&lt;COLUMNS($F$7:U$7),"",INDEX(TableDiv[[GASB]:[GASB]],_xlfn.AGGREGATE(15,3,(TableDiv[[Agency]:[Agency]]=$E220)/(TableDiv[[Agency]:[Agency]]=$E220)*(ROW(TableDiv[Agency])-ROW(TableDiv[[#Headers],[Agency]])),COLUMNS($F$7:U$7))))</f>
        <v>0</v>
      </c>
      <c r="V220" s="2223" cm="1">
        <f t="array" ref="V220">IF($D220&lt;COLUMNS($F$7:V$7),"",INDEX(TableDiv[[GASB]:[GASB]],_xlfn.AGGREGATE(15,3,(TableDiv[[Agency]:[Agency]]=$E220)/(TableDiv[[Agency]:[Agency]]=$E220)*(ROW(TableDiv[Agency])-ROW(TableDiv[[#Headers],[Agency]])),COLUMNS($F$7:V$7))))</f>
        <v>0</v>
      </c>
      <c r="W220" s="2223" cm="1">
        <f t="array" ref="W220">IF($D220&lt;COLUMNS($F$7:W$7),"",INDEX(TableDiv[[GASB]:[GASB]],_xlfn.AGGREGATE(15,3,(TableDiv[[Agency]:[Agency]]=$E220)/(TableDiv[[Agency]:[Agency]]=$E220)*(ROW(TableDiv[Agency])-ROW(TableDiv[[#Headers],[Agency]])),COLUMNS($F$7:W$7))))</f>
        <v>0</v>
      </c>
      <c r="X220" s="2223" cm="1">
        <f t="array" ref="X220">IF($D220&lt;COLUMNS($F$7:X$7),"",INDEX(TableDiv[[GASB]:[GASB]],_xlfn.AGGREGATE(15,3,(TableDiv[[Agency]:[Agency]]=$E220)/(TableDiv[[Agency]:[Agency]]=$E220)*(ROW(TableDiv[Agency])-ROW(TableDiv[[#Headers],[Agency]])),COLUMNS($F$7:X$7))))</f>
        <v>0</v>
      </c>
      <c r="Y220" s="2223" cm="1">
        <f t="array" ref="Y220">IF($D220&lt;COLUMNS($F$7:Y$7),"",INDEX(TableDiv[[GASB]:[GASB]],_xlfn.AGGREGATE(15,3,(TableDiv[[Agency]:[Agency]]=$E220)/(TableDiv[[Agency]:[Agency]]=$E220)*(ROW(TableDiv[Agency])-ROW(TableDiv[[#Headers],[Agency]])),COLUMNS($F$7:Y$7))))</f>
        <v>0</v>
      </c>
      <c r="Z220" s="2223" cm="1">
        <f t="array" ref="Z220">IF($D220&lt;COLUMNS($F$7:Z$7),"",INDEX(TableDiv[[GASB]:[GASB]],_xlfn.AGGREGATE(15,3,(TableDiv[[Agency]:[Agency]]=$E220)/(TableDiv[[Agency]:[Agency]]=$E220)*(ROW(TableDiv[Agency])-ROW(TableDiv[[#Headers],[Agency]])),COLUMNS($F$7:Z$7))))</f>
        <v>0</v>
      </c>
      <c r="AA220" s="2223" cm="1">
        <f t="array" ref="AA220">IF($D220&lt;COLUMNS($F$7:AA$7),"",INDEX(TableDiv[[GASB]:[GASB]],_xlfn.AGGREGATE(15,3,(TableDiv[[Agency]:[Agency]]=$E220)/(TableDiv[[Agency]:[Agency]]=$E220)*(ROW(TableDiv[Agency])-ROW(TableDiv[[#Headers],[Agency]])),COLUMNS($F$7:AA$7))))</f>
        <v>0</v>
      </c>
      <c r="AB220" s="2223" cm="1">
        <f t="array" ref="AB220">IF($D220&lt;COLUMNS($F$7:AB$7),"",INDEX(TableDiv[[GASB]:[GASB]],_xlfn.AGGREGATE(15,3,(TableDiv[[Agency]:[Agency]]=$E220)/(TableDiv[[Agency]:[Agency]]=$E220)*(ROW(TableDiv[Agency])-ROW(TableDiv[[#Headers],[Agency]])),COLUMNS($F$7:AB$7))))</f>
        <v>0</v>
      </c>
      <c r="AC220" s="2223" cm="1">
        <f t="array" ref="AC220">IF($D220&lt;COLUMNS($F$7:AC$7),"",INDEX(TableDiv[[GASB]:[GASB]],_xlfn.AGGREGATE(15,3,(TableDiv[[Agency]:[Agency]]=$E220)/(TableDiv[[Agency]:[Agency]]=$E220)*(ROW(TableDiv[Agency])-ROW(TableDiv[[#Headers],[Agency]])),COLUMNS($F$7:AC$7))))</f>
        <v>0</v>
      </c>
      <c r="AD220" s="2223" cm="1">
        <f t="array" ref="AD220">IF($D220&lt;COLUMNS($F$7:AD$7),"",INDEX(TableDiv[[GASB]:[GASB]],_xlfn.AGGREGATE(15,3,(TableDiv[[Agency]:[Agency]]=$E220)/(TableDiv[[Agency]:[Agency]]=$E220)*(ROW(TableDiv[Agency])-ROW(TableDiv[[#Headers],[Agency]])),COLUMNS($F$7:AD$7))))</f>
        <v>0</v>
      </c>
      <c r="AE220" s="2223" cm="1">
        <f t="array" ref="AE220">IF($D220&lt;COLUMNS($F$7:AE$7),"",INDEX(TableDiv[[GASB]:[GASB]],_xlfn.AGGREGATE(15,3,(TableDiv[[Agency]:[Agency]]=$E220)/(TableDiv[[Agency]:[Agency]]=$E220)*(ROW(TableDiv[Agency])-ROW(TableDiv[[#Headers],[Agency]])),COLUMNS($F$7:AE$7))))</f>
        <v>0</v>
      </c>
      <c r="AF220" s="2223" cm="1">
        <f t="array" ref="AF220">IF($D220&lt;COLUMNS($F$7:AF$7),"",INDEX(TableDiv[[GASB]:[GASB]],_xlfn.AGGREGATE(15,3,(TableDiv[[Agency]:[Agency]]=$E220)/(TableDiv[[Agency]:[Agency]]=$E220)*(ROW(TableDiv[Agency])-ROW(TableDiv[[#Headers],[Agency]])),COLUMNS($F$7:AF$7))))</f>
        <v>0</v>
      </c>
      <c r="AG220" s="2223" cm="1">
        <f t="array" ref="AG220">IF($D220&lt;COLUMNS($F$7:AG$7),"",INDEX(TableDiv[[GASB]:[GASB]],_xlfn.AGGREGATE(15,3,(TableDiv[[Agency]:[Agency]]=$E220)/(TableDiv[[Agency]:[Agency]]=$E220)*(ROW(TableDiv[Agency])-ROW(TableDiv[[#Headers],[Agency]])),COLUMNS($F$7:AG$7))))</f>
        <v>0</v>
      </c>
      <c r="AH220" s="2223" cm="1">
        <f t="array" ref="AH220">IF($D220&lt;COLUMNS($F$7:AH$7),"",INDEX(TableDiv[[GASB]:[GASB]],_xlfn.AGGREGATE(15,3,(TableDiv[[Agency]:[Agency]]=$E220)/(TableDiv[[Agency]:[Agency]]=$E220)*(ROW(TableDiv[Agency])-ROW(TableDiv[[#Headers],[Agency]])),COLUMNS($F$7:AH$7))))</f>
        <v>0</v>
      </c>
      <c r="AI220" s="2223" cm="1">
        <f t="array" ref="AI220">IF($D220&lt;COLUMNS($F$7:AI$7),"",INDEX(TableDiv[[GASB]:[GASB]],_xlfn.AGGREGATE(15,3,(TableDiv[[Agency]:[Agency]]=$E220)/(TableDiv[[Agency]:[Agency]]=$E220)*(ROW(TableDiv[Agency])-ROW(TableDiv[[#Headers],[Agency]])),COLUMNS($F$7:AI$7))))</f>
        <v>0</v>
      </c>
      <c r="AJ220" s="2223" cm="1">
        <f t="array" ref="AJ220">IF($D220&lt;COLUMNS($F$7:AJ$7),"",INDEX(TableDiv[[GASB]:[GASB]],_xlfn.AGGREGATE(15,3,(TableDiv[[Agency]:[Agency]]=$E220)/(TableDiv[[Agency]:[Agency]]=$E220)*(ROW(TableDiv[Agency])-ROW(TableDiv[[#Headers],[Agency]])),COLUMNS($F$7:AJ$7))))</f>
        <v>0</v>
      </c>
      <c r="AK220" s="2223" t="str" cm="1">
        <f t="array" ref="AK220">IF($D220&lt;COLUMNS($F$7:AK$7),"",INDEX(TableDiv[[GASB]:[GASB]],_xlfn.AGGREGATE(15,3,(TableDiv[[Agency]:[Agency]]=$E220)/(TableDiv[[Agency]:[Agency]]=$E220)*(ROW(TableDiv[Agency])-ROW(TableDiv[[#Headers],[Agency]])),COLUMNS($F$7:AK$7))))</f>
        <v/>
      </c>
      <c r="AL220" s="2223" t="str" cm="1">
        <f t="array" ref="AL220">IF($D220&lt;COLUMNS($F$7:AL$7),"",INDEX(TableDiv[[GASB]:[GASB]],_xlfn.AGGREGATE(15,3,(TableDiv[[Agency]:[Agency]]=$E220)/(TableDiv[[Agency]:[Agency]]=$E220)*(ROW(TableDiv[Agency])-ROW(TableDiv[[#Headers],[Agency]])),COLUMNS($F$7:AL$7))))</f>
        <v/>
      </c>
      <c r="AM220" s="2223" t="str" cm="1">
        <f t="array" ref="AM220">IF($D220&lt;COLUMNS($F$7:AM$7),"",INDEX(TableDiv[[GASB]:[GASB]],_xlfn.AGGREGATE(15,3,(TableDiv[[Agency]:[Agency]]=$E220)/(TableDiv[[Agency]:[Agency]]=$E220)*(ROW(TableDiv[Agency])-ROW(TableDiv[[#Headers],[Agency]])),COLUMNS($F$7:AM$7))))</f>
        <v/>
      </c>
      <c r="AN220" s="2223"/>
      <c r="AO220" s="2223"/>
      <c r="AP220" s="2223"/>
      <c r="AQ220" s="2223"/>
      <c r="AR220" s="2223"/>
      <c r="AS220" s="2223"/>
    </row>
    <row r="221" spans="1:45" ht="15" x14ac:dyDescent="0.25">
      <c r="A221" s="2219" t="s">
        <v>6457</v>
      </c>
      <c r="B221" s="2219" t="s">
        <v>6358</v>
      </c>
      <c r="C221" s="2223"/>
      <c r="D221" s="2223">
        <f>COUNTIF(TableDiv[Agency],E221)</f>
        <v>31</v>
      </c>
      <c r="E221" s="2230" t="str" cm="1">
        <f t="array" ref="E221">IFERROR(INDEX(TableDiv[Agency],MATCH(0,INDEX(COUNTIF($E$7:E220,TableDiv[Agency]),),0)),"")</f>
        <v/>
      </c>
      <c r="F221" s="2223" cm="1">
        <f t="array" ref="F221">IF($D221&lt;COLUMNS($F$7:F$7),"",INDEX(TableDiv[[GASB]:[GASB]],_xlfn.AGGREGATE(15,3,(TableDiv[[Agency]:[Agency]]=$E221)/(TableDiv[[Agency]:[Agency]]=$E221)*(ROW(TableDiv[Agency])-ROW(TableDiv[[#Headers],[Agency]])),COLUMNS($F$7:F$7))))</f>
        <v>0</v>
      </c>
      <c r="G221" s="2223" cm="1">
        <f t="array" ref="G221">IF($D221&lt;COLUMNS($F$7:G$7),"",INDEX(TableDiv[[GASB]:[GASB]],_xlfn.AGGREGATE(15,3,(TableDiv[[Agency]:[Agency]]=$E221)/(TableDiv[[Agency]:[Agency]]=$E221)*(ROW(TableDiv[Agency])-ROW(TableDiv[[#Headers],[Agency]])),COLUMNS($F$7:G$7))))</f>
        <v>0</v>
      </c>
      <c r="H221" s="2223" cm="1">
        <f t="array" ref="H221">IF($D221&lt;COLUMNS($F$7:H$7),"",INDEX(TableDiv[[GASB]:[GASB]],_xlfn.AGGREGATE(15,3,(TableDiv[[Agency]:[Agency]]=$E221)/(TableDiv[[Agency]:[Agency]]=$E221)*(ROW(TableDiv[Agency])-ROW(TableDiv[[#Headers],[Agency]])),COLUMNS($F$7:H$7))))</f>
        <v>0</v>
      </c>
      <c r="I221" s="2223" cm="1">
        <f t="array" ref="I221">IF($D221&lt;COLUMNS($F$7:I$7),"",INDEX(TableDiv[[GASB]:[GASB]],_xlfn.AGGREGATE(15,3,(TableDiv[[Agency]:[Agency]]=$E221)/(TableDiv[[Agency]:[Agency]]=$E221)*(ROW(TableDiv[Agency])-ROW(TableDiv[[#Headers],[Agency]])),COLUMNS($F$7:I$7))))</f>
        <v>0</v>
      </c>
      <c r="J221" s="2223" cm="1">
        <f t="array" ref="J221">IF($D221&lt;COLUMNS($F$7:J$7),"",INDEX(TableDiv[[GASB]:[GASB]],_xlfn.AGGREGATE(15,3,(TableDiv[[Agency]:[Agency]]=$E221)/(TableDiv[[Agency]:[Agency]]=$E221)*(ROW(TableDiv[Agency])-ROW(TableDiv[[#Headers],[Agency]])),COLUMNS($F$7:J$7))))</f>
        <v>0</v>
      </c>
      <c r="K221" s="2223" cm="1">
        <f t="array" ref="K221">IF($D221&lt;COLUMNS($F$7:K$7),"",INDEX(TableDiv[[GASB]:[GASB]],_xlfn.AGGREGATE(15,3,(TableDiv[[Agency]:[Agency]]=$E221)/(TableDiv[[Agency]:[Agency]]=$E221)*(ROW(TableDiv[Agency])-ROW(TableDiv[[#Headers],[Agency]])),COLUMNS($F$7:K$7))))</f>
        <v>0</v>
      </c>
      <c r="L221" s="2223" cm="1">
        <f t="array" ref="L221">IF($D221&lt;COLUMNS($F$7:L$7),"",INDEX(TableDiv[[GASB]:[GASB]],_xlfn.AGGREGATE(15,3,(TableDiv[[Agency]:[Agency]]=$E221)/(TableDiv[[Agency]:[Agency]]=$E221)*(ROW(TableDiv[Agency])-ROW(TableDiv[[#Headers],[Agency]])),COLUMNS($F$7:L$7))))</f>
        <v>0</v>
      </c>
      <c r="M221" s="2223" cm="1">
        <f t="array" ref="M221">IF($D221&lt;COLUMNS($F$7:M$7),"",INDEX(TableDiv[[GASB]:[GASB]],_xlfn.AGGREGATE(15,3,(TableDiv[[Agency]:[Agency]]=$E221)/(TableDiv[[Agency]:[Agency]]=$E221)*(ROW(TableDiv[Agency])-ROW(TableDiv[[#Headers],[Agency]])),COLUMNS($F$7:M$7))))</f>
        <v>0</v>
      </c>
      <c r="N221" s="2223" cm="1">
        <f t="array" ref="N221">IF($D221&lt;COLUMNS($F$7:N$7),"",INDEX(TableDiv[[GASB]:[GASB]],_xlfn.AGGREGATE(15,3,(TableDiv[[Agency]:[Agency]]=$E221)/(TableDiv[[Agency]:[Agency]]=$E221)*(ROW(TableDiv[Agency])-ROW(TableDiv[[#Headers],[Agency]])),COLUMNS($F$7:N$7))))</f>
        <v>0</v>
      </c>
      <c r="O221" s="2223" cm="1">
        <f t="array" ref="O221">IF($D221&lt;COLUMNS($F$7:O$7),"",INDEX(TableDiv[[GASB]:[GASB]],_xlfn.AGGREGATE(15,3,(TableDiv[[Agency]:[Agency]]=$E221)/(TableDiv[[Agency]:[Agency]]=$E221)*(ROW(TableDiv[Agency])-ROW(TableDiv[[#Headers],[Agency]])),COLUMNS($F$7:O$7))))</f>
        <v>0</v>
      </c>
      <c r="P221" s="2223" cm="1">
        <f t="array" ref="P221">IF($D221&lt;COLUMNS($F$7:P$7),"",INDEX(TableDiv[[GASB]:[GASB]],_xlfn.AGGREGATE(15,3,(TableDiv[[Agency]:[Agency]]=$E221)/(TableDiv[[Agency]:[Agency]]=$E221)*(ROW(TableDiv[Agency])-ROW(TableDiv[[#Headers],[Agency]])),COLUMNS($F$7:P$7))))</f>
        <v>0</v>
      </c>
      <c r="Q221" s="2223" cm="1">
        <f t="array" ref="Q221">IF($D221&lt;COLUMNS($F$7:Q$7),"",INDEX(TableDiv[[GASB]:[GASB]],_xlfn.AGGREGATE(15,3,(TableDiv[[Agency]:[Agency]]=$E221)/(TableDiv[[Agency]:[Agency]]=$E221)*(ROW(TableDiv[Agency])-ROW(TableDiv[[#Headers],[Agency]])),COLUMNS($F$7:Q$7))))</f>
        <v>0</v>
      </c>
      <c r="R221" s="2223" cm="1">
        <f t="array" ref="R221">IF($D221&lt;COLUMNS($F$7:R$7),"",INDEX(TableDiv[[GASB]:[GASB]],_xlfn.AGGREGATE(15,3,(TableDiv[[Agency]:[Agency]]=$E221)/(TableDiv[[Agency]:[Agency]]=$E221)*(ROW(TableDiv[Agency])-ROW(TableDiv[[#Headers],[Agency]])),COLUMNS($F$7:R$7))))</f>
        <v>0</v>
      </c>
      <c r="S221" s="2223" cm="1">
        <f t="array" ref="S221">IF($D221&lt;COLUMNS($F$7:S$7),"",INDEX(TableDiv[[GASB]:[GASB]],_xlfn.AGGREGATE(15,3,(TableDiv[[Agency]:[Agency]]=$E221)/(TableDiv[[Agency]:[Agency]]=$E221)*(ROW(TableDiv[Agency])-ROW(TableDiv[[#Headers],[Agency]])),COLUMNS($F$7:S$7))))</f>
        <v>0</v>
      </c>
      <c r="T221" s="2223" cm="1">
        <f t="array" ref="T221">IF($D221&lt;COLUMNS($F$7:T$7),"",INDEX(TableDiv[[GASB]:[GASB]],_xlfn.AGGREGATE(15,3,(TableDiv[[Agency]:[Agency]]=$E221)/(TableDiv[[Agency]:[Agency]]=$E221)*(ROW(TableDiv[Agency])-ROW(TableDiv[[#Headers],[Agency]])),COLUMNS($F$7:T$7))))</f>
        <v>0</v>
      </c>
      <c r="U221" s="2223" cm="1">
        <f t="array" ref="U221">IF($D221&lt;COLUMNS($F$7:U$7),"",INDEX(TableDiv[[GASB]:[GASB]],_xlfn.AGGREGATE(15,3,(TableDiv[[Agency]:[Agency]]=$E221)/(TableDiv[[Agency]:[Agency]]=$E221)*(ROW(TableDiv[Agency])-ROW(TableDiv[[#Headers],[Agency]])),COLUMNS($F$7:U$7))))</f>
        <v>0</v>
      </c>
      <c r="V221" s="2223" cm="1">
        <f t="array" ref="V221">IF($D221&lt;COLUMNS($F$7:V$7),"",INDEX(TableDiv[[GASB]:[GASB]],_xlfn.AGGREGATE(15,3,(TableDiv[[Agency]:[Agency]]=$E221)/(TableDiv[[Agency]:[Agency]]=$E221)*(ROW(TableDiv[Agency])-ROW(TableDiv[[#Headers],[Agency]])),COLUMNS($F$7:V$7))))</f>
        <v>0</v>
      </c>
      <c r="W221" s="2223" cm="1">
        <f t="array" ref="W221">IF($D221&lt;COLUMNS($F$7:W$7),"",INDEX(TableDiv[[GASB]:[GASB]],_xlfn.AGGREGATE(15,3,(TableDiv[[Agency]:[Agency]]=$E221)/(TableDiv[[Agency]:[Agency]]=$E221)*(ROW(TableDiv[Agency])-ROW(TableDiv[[#Headers],[Agency]])),COLUMNS($F$7:W$7))))</f>
        <v>0</v>
      </c>
      <c r="X221" s="2223" cm="1">
        <f t="array" ref="X221">IF($D221&lt;COLUMNS($F$7:X$7),"",INDEX(TableDiv[[GASB]:[GASB]],_xlfn.AGGREGATE(15,3,(TableDiv[[Agency]:[Agency]]=$E221)/(TableDiv[[Agency]:[Agency]]=$E221)*(ROW(TableDiv[Agency])-ROW(TableDiv[[#Headers],[Agency]])),COLUMNS($F$7:X$7))))</f>
        <v>0</v>
      </c>
      <c r="Y221" s="2223" cm="1">
        <f t="array" ref="Y221">IF($D221&lt;COLUMNS($F$7:Y$7),"",INDEX(TableDiv[[GASB]:[GASB]],_xlfn.AGGREGATE(15,3,(TableDiv[[Agency]:[Agency]]=$E221)/(TableDiv[[Agency]:[Agency]]=$E221)*(ROW(TableDiv[Agency])-ROW(TableDiv[[#Headers],[Agency]])),COLUMNS($F$7:Y$7))))</f>
        <v>0</v>
      </c>
      <c r="Z221" s="2223" cm="1">
        <f t="array" ref="Z221">IF($D221&lt;COLUMNS($F$7:Z$7),"",INDEX(TableDiv[[GASB]:[GASB]],_xlfn.AGGREGATE(15,3,(TableDiv[[Agency]:[Agency]]=$E221)/(TableDiv[[Agency]:[Agency]]=$E221)*(ROW(TableDiv[Agency])-ROW(TableDiv[[#Headers],[Agency]])),COLUMNS($F$7:Z$7))))</f>
        <v>0</v>
      </c>
      <c r="AA221" s="2223" cm="1">
        <f t="array" ref="AA221">IF($D221&lt;COLUMNS($F$7:AA$7),"",INDEX(TableDiv[[GASB]:[GASB]],_xlfn.AGGREGATE(15,3,(TableDiv[[Agency]:[Agency]]=$E221)/(TableDiv[[Agency]:[Agency]]=$E221)*(ROW(TableDiv[Agency])-ROW(TableDiv[[#Headers],[Agency]])),COLUMNS($F$7:AA$7))))</f>
        <v>0</v>
      </c>
      <c r="AB221" s="2223" cm="1">
        <f t="array" ref="AB221">IF($D221&lt;COLUMNS($F$7:AB$7),"",INDEX(TableDiv[[GASB]:[GASB]],_xlfn.AGGREGATE(15,3,(TableDiv[[Agency]:[Agency]]=$E221)/(TableDiv[[Agency]:[Agency]]=$E221)*(ROW(TableDiv[Agency])-ROW(TableDiv[[#Headers],[Agency]])),COLUMNS($F$7:AB$7))))</f>
        <v>0</v>
      </c>
      <c r="AC221" s="2223" cm="1">
        <f t="array" ref="AC221">IF($D221&lt;COLUMNS($F$7:AC$7),"",INDEX(TableDiv[[GASB]:[GASB]],_xlfn.AGGREGATE(15,3,(TableDiv[[Agency]:[Agency]]=$E221)/(TableDiv[[Agency]:[Agency]]=$E221)*(ROW(TableDiv[Agency])-ROW(TableDiv[[#Headers],[Agency]])),COLUMNS($F$7:AC$7))))</f>
        <v>0</v>
      </c>
      <c r="AD221" s="2223" cm="1">
        <f t="array" ref="AD221">IF($D221&lt;COLUMNS($F$7:AD$7),"",INDEX(TableDiv[[GASB]:[GASB]],_xlfn.AGGREGATE(15,3,(TableDiv[[Agency]:[Agency]]=$E221)/(TableDiv[[Agency]:[Agency]]=$E221)*(ROW(TableDiv[Agency])-ROW(TableDiv[[#Headers],[Agency]])),COLUMNS($F$7:AD$7))))</f>
        <v>0</v>
      </c>
      <c r="AE221" s="2223" cm="1">
        <f t="array" ref="AE221">IF($D221&lt;COLUMNS($F$7:AE$7),"",INDEX(TableDiv[[GASB]:[GASB]],_xlfn.AGGREGATE(15,3,(TableDiv[[Agency]:[Agency]]=$E221)/(TableDiv[[Agency]:[Agency]]=$E221)*(ROW(TableDiv[Agency])-ROW(TableDiv[[#Headers],[Agency]])),COLUMNS($F$7:AE$7))))</f>
        <v>0</v>
      </c>
      <c r="AF221" s="2223" cm="1">
        <f t="array" ref="AF221">IF($D221&lt;COLUMNS($F$7:AF$7),"",INDEX(TableDiv[[GASB]:[GASB]],_xlfn.AGGREGATE(15,3,(TableDiv[[Agency]:[Agency]]=$E221)/(TableDiv[[Agency]:[Agency]]=$E221)*(ROW(TableDiv[Agency])-ROW(TableDiv[[#Headers],[Agency]])),COLUMNS($F$7:AF$7))))</f>
        <v>0</v>
      </c>
      <c r="AG221" s="2223" cm="1">
        <f t="array" ref="AG221">IF($D221&lt;COLUMNS($F$7:AG$7),"",INDEX(TableDiv[[GASB]:[GASB]],_xlfn.AGGREGATE(15,3,(TableDiv[[Agency]:[Agency]]=$E221)/(TableDiv[[Agency]:[Agency]]=$E221)*(ROW(TableDiv[Agency])-ROW(TableDiv[[#Headers],[Agency]])),COLUMNS($F$7:AG$7))))</f>
        <v>0</v>
      </c>
      <c r="AH221" s="2223" cm="1">
        <f t="array" ref="AH221">IF($D221&lt;COLUMNS($F$7:AH$7),"",INDEX(TableDiv[[GASB]:[GASB]],_xlfn.AGGREGATE(15,3,(TableDiv[[Agency]:[Agency]]=$E221)/(TableDiv[[Agency]:[Agency]]=$E221)*(ROW(TableDiv[Agency])-ROW(TableDiv[[#Headers],[Agency]])),COLUMNS($F$7:AH$7))))</f>
        <v>0</v>
      </c>
      <c r="AI221" s="2223" cm="1">
        <f t="array" ref="AI221">IF($D221&lt;COLUMNS($F$7:AI$7),"",INDEX(TableDiv[[GASB]:[GASB]],_xlfn.AGGREGATE(15,3,(TableDiv[[Agency]:[Agency]]=$E221)/(TableDiv[[Agency]:[Agency]]=$E221)*(ROW(TableDiv[Agency])-ROW(TableDiv[[#Headers],[Agency]])),COLUMNS($F$7:AI$7))))</f>
        <v>0</v>
      </c>
      <c r="AJ221" s="2223" cm="1">
        <f t="array" ref="AJ221">IF($D221&lt;COLUMNS($F$7:AJ$7),"",INDEX(TableDiv[[GASB]:[GASB]],_xlfn.AGGREGATE(15,3,(TableDiv[[Agency]:[Agency]]=$E221)/(TableDiv[[Agency]:[Agency]]=$E221)*(ROW(TableDiv[Agency])-ROW(TableDiv[[#Headers],[Agency]])),COLUMNS($F$7:AJ$7))))</f>
        <v>0</v>
      </c>
      <c r="AK221" s="2223" t="str" cm="1">
        <f t="array" ref="AK221">IF($D221&lt;COLUMNS($F$7:AK$7),"",INDEX(TableDiv[[GASB]:[GASB]],_xlfn.AGGREGATE(15,3,(TableDiv[[Agency]:[Agency]]=$E221)/(TableDiv[[Agency]:[Agency]]=$E221)*(ROW(TableDiv[Agency])-ROW(TableDiv[[#Headers],[Agency]])),COLUMNS($F$7:AK$7))))</f>
        <v/>
      </c>
      <c r="AL221" s="2223" t="str" cm="1">
        <f t="array" ref="AL221">IF($D221&lt;COLUMNS($F$7:AL$7),"",INDEX(TableDiv[[GASB]:[GASB]],_xlfn.AGGREGATE(15,3,(TableDiv[[Agency]:[Agency]]=$E221)/(TableDiv[[Agency]:[Agency]]=$E221)*(ROW(TableDiv[Agency])-ROW(TableDiv[[#Headers],[Agency]])),COLUMNS($F$7:AL$7))))</f>
        <v/>
      </c>
      <c r="AM221" s="2223" t="str" cm="1">
        <f t="array" ref="AM221">IF($D221&lt;COLUMNS($F$7:AM$7),"",INDEX(TableDiv[[GASB]:[GASB]],_xlfn.AGGREGATE(15,3,(TableDiv[[Agency]:[Agency]]=$E221)/(TableDiv[[Agency]:[Agency]]=$E221)*(ROW(TableDiv[Agency])-ROW(TableDiv[[#Headers],[Agency]])),COLUMNS($F$7:AM$7))))</f>
        <v/>
      </c>
      <c r="AN221" s="2223"/>
      <c r="AO221" s="2223"/>
      <c r="AP221" s="2223"/>
      <c r="AQ221" s="2223"/>
      <c r="AR221" s="2223"/>
      <c r="AS221" s="2223"/>
    </row>
    <row r="222" spans="1:45" ht="15" x14ac:dyDescent="0.25">
      <c r="A222" s="2219" t="s">
        <v>6457</v>
      </c>
      <c r="B222" s="2219" t="s">
        <v>6393</v>
      </c>
      <c r="C222" s="2223"/>
      <c r="D222" s="2223">
        <f>COUNTIF(TableDiv[Agency],E222)</f>
        <v>31</v>
      </c>
      <c r="E222" s="2230" t="str" cm="1">
        <f t="array" ref="E222">IFERROR(INDEX(TableDiv[Agency],MATCH(0,INDEX(COUNTIF($E$7:E221,TableDiv[Agency]),),0)),"")</f>
        <v/>
      </c>
      <c r="F222" s="2223" cm="1">
        <f t="array" ref="F222">IF($D222&lt;COLUMNS($F$7:F$7),"",INDEX(TableDiv[[GASB]:[GASB]],_xlfn.AGGREGATE(15,3,(TableDiv[[Agency]:[Agency]]=$E222)/(TableDiv[[Agency]:[Agency]]=$E222)*(ROW(TableDiv[Agency])-ROW(TableDiv[[#Headers],[Agency]])),COLUMNS($F$7:F$7))))</f>
        <v>0</v>
      </c>
      <c r="G222" s="2223" cm="1">
        <f t="array" ref="G222">IF($D222&lt;COLUMNS($F$7:G$7),"",INDEX(TableDiv[[GASB]:[GASB]],_xlfn.AGGREGATE(15,3,(TableDiv[[Agency]:[Agency]]=$E222)/(TableDiv[[Agency]:[Agency]]=$E222)*(ROW(TableDiv[Agency])-ROW(TableDiv[[#Headers],[Agency]])),COLUMNS($F$7:G$7))))</f>
        <v>0</v>
      </c>
      <c r="H222" s="2223" cm="1">
        <f t="array" ref="H222">IF($D222&lt;COLUMNS($F$7:H$7),"",INDEX(TableDiv[[GASB]:[GASB]],_xlfn.AGGREGATE(15,3,(TableDiv[[Agency]:[Agency]]=$E222)/(TableDiv[[Agency]:[Agency]]=$E222)*(ROW(TableDiv[Agency])-ROW(TableDiv[[#Headers],[Agency]])),COLUMNS($F$7:H$7))))</f>
        <v>0</v>
      </c>
      <c r="I222" s="2223" cm="1">
        <f t="array" ref="I222">IF($D222&lt;COLUMNS($F$7:I$7),"",INDEX(TableDiv[[GASB]:[GASB]],_xlfn.AGGREGATE(15,3,(TableDiv[[Agency]:[Agency]]=$E222)/(TableDiv[[Agency]:[Agency]]=$E222)*(ROW(TableDiv[Agency])-ROW(TableDiv[[#Headers],[Agency]])),COLUMNS($F$7:I$7))))</f>
        <v>0</v>
      </c>
      <c r="J222" s="2223" cm="1">
        <f t="array" ref="J222">IF($D222&lt;COLUMNS($F$7:J$7),"",INDEX(TableDiv[[GASB]:[GASB]],_xlfn.AGGREGATE(15,3,(TableDiv[[Agency]:[Agency]]=$E222)/(TableDiv[[Agency]:[Agency]]=$E222)*(ROW(TableDiv[Agency])-ROW(TableDiv[[#Headers],[Agency]])),COLUMNS($F$7:J$7))))</f>
        <v>0</v>
      </c>
      <c r="K222" s="2223" cm="1">
        <f t="array" ref="K222">IF($D222&lt;COLUMNS($F$7:K$7),"",INDEX(TableDiv[[GASB]:[GASB]],_xlfn.AGGREGATE(15,3,(TableDiv[[Agency]:[Agency]]=$E222)/(TableDiv[[Agency]:[Agency]]=$E222)*(ROW(TableDiv[Agency])-ROW(TableDiv[[#Headers],[Agency]])),COLUMNS($F$7:K$7))))</f>
        <v>0</v>
      </c>
      <c r="L222" s="2223" cm="1">
        <f t="array" ref="L222">IF($D222&lt;COLUMNS($F$7:L$7),"",INDEX(TableDiv[[GASB]:[GASB]],_xlfn.AGGREGATE(15,3,(TableDiv[[Agency]:[Agency]]=$E222)/(TableDiv[[Agency]:[Agency]]=$E222)*(ROW(TableDiv[Agency])-ROW(TableDiv[[#Headers],[Agency]])),COLUMNS($F$7:L$7))))</f>
        <v>0</v>
      </c>
      <c r="M222" s="2223" cm="1">
        <f t="array" ref="M222">IF($D222&lt;COLUMNS($F$7:M$7),"",INDEX(TableDiv[[GASB]:[GASB]],_xlfn.AGGREGATE(15,3,(TableDiv[[Agency]:[Agency]]=$E222)/(TableDiv[[Agency]:[Agency]]=$E222)*(ROW(TableDiv[Agency])-ROW(TableDiv[[#Headers],[Agency]])),COLUMNS($F$7:M$7))))</f>
        <v>0</v>
      </c>
      <c r="N222" s="2223" cm="1">
        <f t="array" ref="N222">IF($D222&lt;COLUMNS($F$7:N$7),"",INDEX(TableDiv[[GASB]:[GASB]],_xlfn.AGGREGATE(15,3,(TableDiv[[Agency]:[Agency]]=$E222)/(TableDiv[[Agency]:[Agency]]=$E222)*(ROW(TableDiv[Agency])-ROW(TableDiv[[#Headers],[Agency]])),COLUMNS($F$7:N$7))))</f>
        <v>0</v>
      </c>
      <c r="O222" s="2223" cm="1">
        <f t="array" ref="O222">IF($D222&lt;COLUMNS($F$7:O$7),"",INDEX(TableDiv[[GASB]:[GASB]],_xlfn.AGGREGATE(15,3,(TableDiv[[Agency]:[Agency]]=$E222)/(TableDiv[[Agency]:[Agency]]=$E222)*(ROW(TableDiv[Agency])-ROW(TableDiv[[#Headers],[Agency]])),COLUMNS($F$7:O$7))))</f>
        <v>0</v>
      </c>
      <c r="P222" s="2223" cm="1">
        <f t="array" ref="P222">IF($D222&lt;COLUMNS($F$7:P$7),"",INDEX(TableDiv[[GASB]:[GASB]],_xlfn.AGGREGATE(15,3,(TableDiv[[Agency]:[Agency]]=$E222)/(TableDiv[[Agency]:[Agency]]=$E222)*(ROW(TableDiv[Agency])-ROW(TableDiv[[#Headers],[Agency]])),COLUMNS($F$7:P$7))))</f>
        <v>0</v>
      </c>
      <c r="Q222" s="2223" cm="1">
        <f t="array" ref="Q222">IF($D222&lt;COLUMNS($F$7:Q$7),"",INDEX(TableDiv[[GASB]:[GASB]],_xlfn.AGGREGATE(15,3,(TableDiv[[Agency]:[Agency]]=$E222)/(TableDiv[[Agency]:[Agency]]=$E222)*(ROW(TableDiv[Agency])-ROW(TableDiv[[#Headers],[Agency]])),COLUMNS($F$7:Q$7))))</f>
        <v>0</v>
      </c>
      <c r="R222" s="2223" cm="1">
        <f t="array" ref="R222">IF($D222&lt;COLUMNS($F$7:R$7),"",INDEX(TableDiv[[GASB]:[GASB]],_xlfn.AGGREGATE(15,3,(TableDiv[[Agency]:[Agency]]=$E222)/(TableDiv[[Agency]:[Agency]]=$E222)*(ROW(TableDiv[Agency])-ROW(TableDiv[[#Headers],[Agency]])),COLUMNS($F$7:R$7))))</f>
        <v>0</v>
      </c>
      <c r="S222" s="2223" cm="1">
        <f t="array" ref="S222">IF($D222&lt;COLUMNS($F$7:S$7),"",INDEX(TableDiv[[GASB]:[GASB]],_xlfn.AGGREGATE(15,3,(TableDiv[[Agency]:[Agency]]=$E222)/(TableDiv[[Agency]:[Agency]]=$E222)*(ROW(TableDiv[Agency])-ROW(TableDiv[[#Headers],[Agency]])),COLUMNS($F$7:S$7))))</f>
        <v>0</v>
      </c>
      <c r="T222" s="2223" cm="1">
        <f t="array" ref="T222">IF($D222&lt;COLUMNS($F$7:T$7),"",INDEX(TableDiv[[GASB]:[GASB]],_xlfn.AGGREGATE(15,3,(TableDiv[[Agency]:[Agency]]=$E222)/(TableDiv[[Agency]:[Agency]]=$E222)*(ROW(TableDiv[Agency])-ROW(TableDiv[[#Headers],[Agency]])),COLUMNS($F$7:T$7))))</f>
        <v>0</v>
      </c>
      <c r="U222" s="2223" cm="1">
        <f t="array" ref="U222">IF($D222&lt;COLUMNS($F$7:U$7),"",INDEX(TableDiv[[GASB]:[GASB]],_xlfn.AGGREGATE(15,3,(TableDiv[[Agency]:[Agency]]=$E222)/(TableDiv[[Agency]:[Agency]]=$E222)*(ROW(TableDiv[Agency])-ROW(TableDiv[[#Headers],[Agency]])),COLUMNS($F$7:U$7))))</f>
        <v>0</v>
      </c>
      <c r="V222" s="2223" cm="1">
        <f t="array" ref="V222">IF($D222&lt;COLUMNS($F$7:V$7),"",INDEX(TableDiv[[GASB]:[GASB]],_xlfn.AGGREGATE(15,3,(TableDiv[[Agency]:[Agency]]=$E222)/(TableDiv[[Agency]:[Agency]]=$E222)*(ROW(TableDiv[Agency])-ROW(TableDiv[[#Headers],[Agency]])),COLUMNS($F$7:V$7))))</f>
        <v>0</v>
      </c>
      <c r="W222" s="2223" cm="1">
        <f t="array" ref="W222">IF($D222&lt;COLUMNS($F$7:W$7),"",INDEX(TableDiv[[GASB]:[GASB]],_xlfn.AGGREGATE(15,3,(TableDiv[[Agency]:[Agency]]=$E222)/(TableDiv[[Agency]:[Agency]]=$E222)*(ROW(TableDiv[Agency])-ROW(TableDiv[[#Headers],[Agency]])),COLUMNS($F$7:W$7))))</f>
        <v>0</v>
      </c>
      <c r="X222" s="2223" cm="1">
        <f t="array" ref="X222">IF($D222&lt;COLUMNS($F$7:X$7),"",INDEX(TableDiv[[GASB]:[GASB]],_xlfn.AGGREGATE(15,3,(TableDiv[[Agency]:[Agency]]=$E222)/(TableDiv[[Agency]:[Agency]]=$E222)*(ROW(TableDiv[Agency])-ROW(TableDiv[[#Headers],[Agency]])),COLUMNS($F$7:X$7))))</f>
        <v>0</v>
      </c>
      <c r="Y222" s="2223" cm="1">
        <f t="array" ref="Y222">IF($D222&lt;COLUMNS($F$7:Y$7),"",INDEX(TableDiv[[GASB]:[GASB]],_xlfn.AGGREGATE(15,3,(TableDiv[[Agency]:[Agency]]=$E222)/(TableDiv[[Agency]:[Agency]]=$E222)*(ROW(TableDiv[Agency])-ROW(TableDiv[[#Headers],[Agency]])),COLUMNS($F$7:Y$7))))</f>
        <v>0</v>
      </c>
      <c r="Z222" s="2223" cm="1">
        <f t="array" ref="Z222">IF($D222&lt;COLUMNS($F$7:Z$7),"",INDEX(TableDiv[[GASB]:[GASB]],_xlfn.AGGREGATE(15,3,(TableDiv[[Agency]:[Agency]]=$E222)/(TableDiv[[Agency]:[Agency]]=$E222)*(ROW(TableDiv[Agency])-ROW(TableDiv[[#Headers],[Agency]])),COLUMNS($F$7:Z$7))))</f>
        <v>0</v>
      </c>
      <c r="AA222" s="2223" cm="1">
        <f t="array" ref="AA222">IF($D222&lt;COLUMNS($F$7:AA$7),"",INDEX(TableDiv[[GASB]:[GASB]],_xlfn.AGGREGATE(15,3,(TableDiv[[Agency]:[Agency]]=$E222)/(TableDiv[[Agency]:[Agency]]=$E222)*(ROW(TableDiv[Agency])-ROW(TableDiv[[#Headers],[Agency]])),COLUMNS($F$7:AA$7))))</f>
        <v>0</v>
      </c>
      <c r="AB222" s="2223" cm="1">
        <f t="array" ref="AB222">IF($D222&lt;COLUMNS($F$7:AB$7),"",INDEX(TableDiv[[GASB]:[GASB]],_xlfn.AGGREGATE(15,3,(TableDiv[[Agency]:[Agency]]=$E222)/(TableDiv[[Agency]:[Agency]]=$E222)*(ROW(TableDiv[Agency])-ROW(TableDiv[[#Headers],[Agency]])),COLUMNS($F$7:AB$7))))</f>
        <v>0</v>
      </c>
      <c r="AC222" s="2223" cm="1">
        <f t="array" ref="AC222">IF($D222&lt;COLUMNS($F$7:AC$7),"",INDEX(TableDiv[[GASB]:[GASB]],_xlfn.AGGREGATE(15,3,(TableDiv[[Agency]:[Agency]]=$E222)/(TableDiv[[Agency]:[Agency]]=$E222)*(ROW(TableDiv[Agency])-ROW(TableDiv[[#Headers],[Agency]])),COLUMNS($F$7:AC$7))))</f>
        <v>0</v>
      </c>
      <c r="AD222" s="2223" cm="1">
        <f t="array" ref="AD222">IF($D222&lt;COLUMNS($F$7:AD$7),"",INDEX(TableDiv[[GASB]:[GASB]],_xlfn.AGGREGATE(15,3,(TableDiv[[Agency]:[Agency]]=$E222)/(TableDiv[[Agency]:[Agency]]=$E222)*(ROW(TableDiv[Agency])-ROW(TableDiv[[#Headers],[Agency]])),COLUMNS($F$7:AD$7))))</f>
        <v>0</v>
      </c>
      <c r="AE222" s="2223" cm="1">
        <f t="array" ref="AE222">IF($D222&lt;COLUMNS($F$7:AE$7),"",INDEX(TableDiv[[GASB]:[GASB]],_xlfn.AGGREGATE(15,3,(TableDiv[[Agency]:[Agency]]=$E222)/(TableDiv[[Agency]:[Agency]]=$E222)*(ROW(TableDiv[Agency])-ROW(TableDiv[[#Headers],[Agency]])),COLUMNS($F$7:AE$7))))</f>
        <v>0</v>
      </c>
      <c r="AF222" s="2223" cm="1">
        <f t="array" ref="AF222">IF($D222&lt;COLUMNS($F$7:AF$7),"",INDEX(TableDiv[[GASB]:[GASB]],_xlfn.AGGREGATE(15,3,(TableDiv[[Agency]:[Agency]]=$E222)/(TableDiv[[Agency]:[Agency]]=$E222)*(ROW(TableDiv[Agency])-ROW(TableDiv[[#Headers],[Agency]])),COLUMNS($F$7:AF$7))))</f>
        <v>0</v>
      </c>
      <c r="AG222" s="2223" cm="1">
        <f t="array" ref="AG222">IF($D222&lt;COLUMNS($F$7:AG$7),"",INDEX(TableDiv[[GASB]:[GASB]],_xlfn.AGGREGATE(15,3,(TableDiv[[Agency]:[Agency]]=$E222)/(TableDiv[[Agency]:[Agency]]=$E222)*(ROW(TableDiv[Agency])-ROW(TableDiv[[#Headers],[Agency]])),COLUMNS($F$7:AG$7))))</f>
        <v>0</v>
      </c>
      <c r="AH222" s="2223" cm="1">
        <f t="array" ref="AH222">IF($D222&lt;COLUMNS($F$7:AH$7),"",INDEX(TableDiv[[GASB]:[GASB]],_xlfn.AGGREGATE(15,3,(TableDiv[[Agency]:[Agency]]=$E222)/(TableDiv[[Agency]:[Agency]]=$E222)*(ROW(TableDiv[Agency])-ROW(TableDiv[[#Headers],[Agency]])),COLUMNS($F$7:AH$7))))</f>
        <v>0</v>
      </c>
      <c r="AI222" s="2223" cm="1">
        <f t="array" ref="AI222">IF($D222&lt;COLUMNS($F$7:AI$7),"",INDEX(TableDiv[[GASB]:[GASB]],_xlfn.AGGREGATE(15,3,(TableDiv[[Agency]:[Agency]]=$E222)/(TableDiv[[Agency]:[Agency]]=$E222)*(ROW(TableDiv[Agency])-ROW(TableDiv[[#Headers],[Agency]])),COLUMNS($F$7:AI$7))))</f>
        <v>0</v>
      </c>
      <c r="AJ222" s="2223" cm="1">
        <f t="array" ref="AJ222">IF($D222&lt;COLUMNS($F$7:AJ$7),"",INDEX(TableDiv[[GASB]:[GASB]],_xlfn.AGGREGATE(15,3,(TableDiv[[Agency]:[Agency]]=$E222)/(TableDiv[[Agency]:[Agency]]=$E222)*(ROW(TableDiv[Agency])-ROW(TableDiv[[#Headers],[Agency]])),COLUMNS($F$7:AJ$7))))</f>
        <v>0</v>
      </c>
      <c r="AK222" s="2223" t="str" cm="1">
        <f t="array" ref="AK222">IF($D222&lt;COLUMNS($F$7:AK$7),"",INDEX(TableDiv[[GASB]:[GASB]],_xlfn.AGGREGATE(15,3,(TableDiv[[Agency]:[Agency]]=$E222)/(TableDiv[[Agency]:[Agency]]=$E222)*(ROW(TableDiv[Agency])-ROW(TableDiv[[#Headers],[Agency]])),COLUMNS($F$7:AK$7))))</f>
        <v/>
      </c>
      <c r="AL222" s="2223" t="str" cm="1">
        <f t="array" ref="AL222">IF($D222&lt;COLUMNS($F$7:AL$7),"",INDEX(TableDiv[[GASB]:[GASB]],_xlfn.AGGREGATE(15,3,(TableDiv[[Agency]:[Agency]]=$E222)/(TableDiv[[Agency]:[Agency]]=$E222)*(ROW(TableDiv[Agency])-ROW(TableDiv[[#Headers],[Agency]])),COLUMNS($F$7:AL$7))))</f>
        <v/>
      </c>
      <c r="AM222" s="2223" t="str" cm="1">
        <f t="array" ref="AM222">IF($D222&lt;COLUMNS($F$7:AM$7),"",INDEX(TableDiv[[GASB]:[GASB]],_xlfn.AGGREGATE(15,3,(TableDiv[[Agency]:[Agency]]=$E222)/(TableDiv[[Agency]:[Agency]]=$E222)*(ROW(TableDiv[Agency])-ROW(TableDiv[[#Headers],[Agency]])),COLUMNS($F$7:AM$7))))</f>
        <v/>
      </c>
      <c r="AN222" s="2223"/>
      <c r="AO222" s="2223"/>
      <c r="AP222" s="2223"/>
      <c r="AQ222" s="2223"/>
      <c r="AR222" s="2223"/>
      <c r="AS222" s="2223"/>
    </row>
    <row r="223" spans="1:45" ht="15" x14ac:dyDescent="0.25">
      <c r="A223" s="2219" t="s">
        <v>6458</v>
      </c>
      <c r="B223" s="2219" t="s">
        <v>6361</v>
      </c>
      <c r="C223" s="2223"/>
      <c r="D223" s="2223">
        <f>COUNTIF(TableDiv[Agency],E223)</f>
        <v>31</v>
      </c>
      <c r="E223" s="2230" t="str" cm="1">
        <f t="array" ref="E223">IFERROR(INDEX(TableDiv[Agency],MATCH(0,INDEX(COUNTIF($E$7:E222,TableDiv[Agency]),),0)),"")</f>
        <v/>
      </c>
      <c r="F223" s="2223" cm="1">
        <f t="array" ref="F223">IF($D223&lt;COLUMNS($F$7:F$7),"",INDEX(TableDiv[[GASB]:[GASB]],_xlfn.AGGREGATE(15,3,(TableDiv[[Agency]:[Agency]]=$E223)/(TableDiv[[Agency]:[Agency]]=$E223)*(ROW(TableDiv[Agency])-ROW(TableDiv[[#Headers],[Agency]])),COLUMNS($F$7:F$7))))</f>
        <v>0</v>
      </c>
      <c r="G223" s="2223" cm="1">
        <f t="array" ref="G223">IF($D223&lt;COLUMNS($F$7:G$7),"",INDEX(TableDiv[[GASB]:[GASB]],_xlfn.AGGREGATE(15,3,(TableDiv[[Agency]:[Agency]]=$E223)/(TableDiv[[Agency]:[Agency]]=$E223)*(ROW(TableDiv[Agency])-ROW(TableDiv[[#Headers],[Agency]])),COLUMNS($F$7:G$7))))</f>
        <v>0</v>
      </c>
      <c r="H223" s="2223" cm="1">
        <f t="array" ref="H223">IF($D223&lt;COLUMNS($F$7:H$7),"",INDEX(TableDiv[[GASB]:[GASB]],_xlfn.AGGREGATE(15,3,(TableDiv[[Agency]:[Agency]]=$E223)/(TableDiv[[Agency]:[Agency]]=$E223)*(ROW(TableDiv[Agency])-ROW(TableDiv[[#Headers],[Agency]])),COLUMNS($F$7:H$7))))</f>
        <v>0</v>
      </c>
      <c r="I223" s="2223" cm="1">
        <f t="array" ref="I223">IF($D223&lt;COLUMNS($F$7:I$7),"",INDEX(TableDiv[[GASB]:[GASB]],_xlfn.AGGREGATE(15,3,(TableDiv[[Agency]:[Agency]]=$E223)/(TableDiv[[Agency]:[Agency]]=$E223)*(ROW(TableDiv[Agency])-ROW(TableDiv[[#Headers],[Agency]])),COLUMNS($F$7:I$7))))</f>
        <v>0</v>
      </c>
      <c r="J223" s="2223" cm="1">
        <f t="array" ref="J223">IF($D223&lt;COLUMNS($F$7:J$7),"",INDEX(TableDiv[[GASB]:[GASB]],_xlfn.AGGREGATE(15,3,(TableDiv[[Agency]:[Agency]]=$E223)/(TableDiv[[Agency]:[Agency]]=$E223)*(ROW(TableDiv[Agency])-ROW(TableDiv[[#Headers],[Agency]])),COLUMNS($F$7:J$7))))</f>
        <v>0</v>
      </c>
      <c r="K223" s="2223" cm="1">
        <f t="array" ref="K223">IF($D223&lt;COLUMNS($F$7:K$7),"",INDEX(TableDiv[[GASB]:[GASB]],_xlfn.AGGREGATE(15,3,(TableDiv[[Agency]:[Agency]]=$E223)/(TableDiv[[Agency]:[Agency]]=$E223)*(ROW(TableDiv[Agency])-ROW(TableDiv[[#Headers],[Agency]])),COLUMNS($F$7:K$7))))</f>
        <v>0</v>
      </c>
      <c r="L223" s="2223" cm="1">
        <f t="array" ref="L223">IF($D223&lt;COLUMNS($F$7:L$7),"",INDEX(TableDiv[[GASB]:[GASB]],_xlfn.AGGREGATE(15,3,(TableDiv[[Agency]:[Agency]]=$E223)/(TableDiv[[Agency]:[Agency]]=$E223)*(ROW(TableDiv[Agency])-ROW(TableDiv[[#Headers],[Agency]])),COLUMNS($F$7:L$7))))</f>
        <v>0</v>
      </c>
      <c r="M223" s="2223" cm="1">
        <f t="array" ref="M223">IF($D223&lt;COLUMNS($F$7:M$7),"",INDEX(TableDiv[[GASB]:[GASB]],_xlfn.AGGREGATE(15,3,(TableDiv[[Agency]:[Agency]]=$E223)/(TableDiv[[Agency]:[Agency]]=$E223)*(ROW(TableDiv[Agency])-ROW(TableDiv[[#Headers],[Agency]])),COLUMNS($F$7:M$7))))</f>
        <v>0</v>
      </c>
      <c r="N223" s="2223" cm="1">
        <f t="array" ref="N223">IF($D223&lt;COLUMNS($F$7:N$7),"",INDEX(TableDiv[[GASB]:[GASB]],_xlfn.AGGREGATE(15,3,(TableDiv[[Agency]:[Agency]]=$E223)/(TableDiv[[Agency]:[Agency]]=$E223)*(ROW(TableDiv[Agency])-ROW(TableDiv[[#Headers],[Agency]])),COLUMNS($F$7:N$7))))</f>
        <v>0</v>
      </c>
      <c r="O223" s="2223" cm="1">
        <f t="array" ref="O223">IF($D223&lt;COLUMNS($F$7:O$7),"",INDEX(TableDiv[[GASB]:[GASB]],_xlfn.AGGREGATE(15,3,(TableDiv[[Agency]:[Agency]]=$E223)/(TableDiv[[Agency]:[Agency]]=$E223)*(ROW(TableDiv[Agency])-ROW(TableDiv[[#Headers],[Agency]])),COLUMNS($F$7:O$7))))</f>
        <v>0</v>
      </c>
      <c r="P223" s="2223" cm="1">
        <f t="array" ref="P223">IF($D223&lt;COLUMNS($F$7:P$7),"",INDEX(TableDiv[[GASB]:[GASB]],_xlfn.AGGREGATE(15,3,(TableDiv[[Agency]:[Agency]]=$E223)/(TableDiv[[Agency]:[Agency]]=$E223)*(ROW(TableDiv[Agency])-ROW(TableDiv[[#Headers],[Agency]])),COLUMNS($F$7:P$7))))</f>
        <v>0</v>
      </c>
      <c r="Q223" s="2223" cm="1">
        <f t="array" ref="Q223">IF($D223&lt;COLUMNS($F$7:Q$7),"",INDEX(TableDiv[[GASB]:[GASB]],_xlfn.AGGREGATE(15,3,(TableDiv[[Agency]:[Agency]]=$E223)/(TableDiv[[Agency]:[Agency]]=$E223)*(ROW(TableDiv[Agency])-ROW(TableDiv[[#Headers],[Agency]])),COLUMNS($F$7:Q$7))))</f>
        <v>0</v>
      </c>
      <c r="R223" s="2223" cm="1">
        <f t="array" ref="R223">IF($D223&lt;COLUMNS($F$7:R$7),"",INDEX(TableDiv[[GASB]:[GASB]],_xlfn.AGGREGATE(15,3,(TableDiv[[Agency]:[Agency]]=$E223)/(TableDiv[[Agency]:[Agency]]=$E223)*(ROW(TableDiv[Agency])-ROW(TableDiv[[#Headers],[Agency]])),COLUMNS($F$7:R$7))))</f>
        <v>0</v>
      </c>
      <c r="S223" s="2223" cm="1">
        <f t="array" ref="S223">IF($D223&lt;COLUMNS($F$7:S$7),"",INDEX(TableDiv[[GASB]:[GASB]],_xlfn.AGGREGATE(15,3,(TableDiv[[Agency]:[Agency]]=$E223)/(TableDiv[[Agency]:[Agency]]=$E223)*(ROW(TableDiv[Agency])-ROW(TableDiv[[#Headers],[Agency]])),COLUMNS($F$7:S$7))))</f>
        <v>0</v>
      </c>
      <c r="T223" s="2223" cm="1">
        <f t="array" ref="T223">IF($D223&lt;COLUMNS($F$7:T$7),"",INDEX(TableDiv[[GASB]:[GASB]],_xlfn.AGGREGATE(15,3,(TableDiv[[Agency]:[Agency]]=$E223)/(TableDiv[[Agency]:[Agency]]=$E223)*(ROW(TableDiv[Agency])-ROW(TableDiv[[#Headers],[Agency]])),COLUMNS($F$7:T$7))))</f>
        <v>0</v>
      </c>
      <c r="U223" s="2223" cm="1">
        <f t="array" ref="U223">IF($D223&lt;COLUMNS($F$7:U$7),"",INDEX(TableDiv[[GASB]:[GASB]],_xlfn.AGGREGATE(15,3,(TableDiv[[Agency]:[Agency]]=$E223)/(TableDiv[[Agency]:[Agency]]=$E223)*(ROW(TableDiv[Agency])-ROW(TableDiv[[#Headers],[Agency]])),COLUMNS($F$7:U$7))))</f>
        <v>0</v>
      </c>
      <c r="V223" s="2223" cm="1">
        <f t="array" ref="V223">IF($D223&lt;COLUMNS($F$7:V$7),"",INDEX(TableDiv[[GASB]:[GASB]],_xlfn.AGGREGATE(15,3,(TableDiv[[Agency]:[Agency]]=$E223)/(TableDiv[[Agency]:[Agency]]=$E223)*(ROW(TableDiv[Agency])-ROW(TableDiv[[#Headers],[Agency]])),COLUMNS($F$7:V$7))))</f>
        <v>0</v>
      </c>
      <c r="W223" s="2223" cm="1">
        <f t="array" ref="W223">IF($D223&lt;COLUMNS($F$7:W$7),"",INDEX(TableDiv[[GASB]:[GASB]],_xlfn.AGGREGATE(15,3,(TableDiv[[Agency]:[Agency]]=$E223)/(TableDiv[[Agency]:[Agency]]=$E223)*(ROW(TableDiv[Agency])-ROW(TableDiv[[#Headers],[Agency]])),COLUMNS($F$7:W$7))))</f>
        <v>0</v>
      </c>
      <c r="X223" s="2223" cm="1">
        <f t="array" ref="X223">IF($D223&lt;COLUMNS($F$7:X$7),"",INDEX(TableDiv[[GASB]:[GASB]],_xlfn.AGGREGATE(15,3,(TableDiv[[Agency]:[Agency]]=$E223)/(TableDiv[[Agency]:[Agency]]=$E223)*(ROW(TableDiv[Agency])-ROW(TableDiv[[#Headers],[Agency]])),COLUMNS($F$7:X$7))))</f>
        <v>0</v>
      </c>
      <c r="Y223" s="2223" cm="1">
        <f t="array" ref="Y223">IF($D223&lt;COLUMNS($F$7:Y$7),"",INDEX(TableDiv[[GASB]:[GASB]],_xlfn.AGGREGATE(15,3,(TableDiv[[Agency]:[Agency]]=$E223)/(TableDiv[[Agency]:[Agency]]=$E223)*(ROW(TableDiv[Agency])-ROW(TableDiv[[#Headers],[Agency]])),COLUMNS($F$7:Y$7))))</f>
        <v>0</v>
      </c>
      <c r="Z223" s="2223" cm="1">
        <f t="array" ref="Z223">IF($D223&lt;COLUMNS($F$7:Z$7),"",INDEX(TableDiv[[GASB]:[GASB]],_xlfn.AGGREGATE(15,3,(TableDiv[[Agency]:[Agency]]=$E223)/(TableDiv[[Agency]:[Agency]]=$E223)*(ROW(TableDiv[Agency])-ROW(TableDiv[[#Headers],[Agency]])),COLUMNS($F$7:Z$7))))</f>
        <v>0</v>
      </c>
      <c r="AA223" s="2223" cm="1">
        <f t="array" ref="AA223">IF($D223&lt;COLUMNS($F$7:AA$7),"",INDEX(TableDiv[[GASB]:[GASB]],_xlfn.AGGREGATE(15,3,(TableDiv[[Agency]:[Agency]]=$E223)/(TableDiv[[Agency]:[Agency]]=$E223)*(ROW(TableDiv[Agency])-ROW(TableDiv[[#Headers],[Agency]])),COLUMNS($F$7:AA$7))))</f>
        <v>0</v>
      </c>
      <c r="AB223" s="2223" cm="1">
        <f t="array" ref="AB223">IF($D223&lt;COLUMNS($F$7:AB$7),"",INDEX(TableDiv[[GASB]:[GASB]],_xlfn.AGGREGATE(15,3,(TableDiv[[Agency]:[Agency]]=$E223)/(TableDiv[[Agency]:[Agency]]=$E223)*(ROW(TableDiv[Agency])-ROW(TableDiv[[#Headers],[Agency]])),COLUMNS($F$7:AB$7))))</f>
        <v>0</v>
      </c>
      <c r="AC223" s="2223" cm="1">
        <f t="array" ref="AC223">IF($D223&lt;COLUMNS($F$7:AC$7),"",INDEX(TableDiv[[GASB]:[GASB]],_xlfn.AGGREGATE(15,3,(TableDiv[[Agency]:[Agency]]=$E223)/(TableDiv[[Agency]:[Agency]]=$E223)*(ROW(TableDiv[Agency])-ROW(TableDiv[[#Headers],[Agency]])),COLUMNS($F$7:AC$7))))</f>
        <v>0</v>
      </c>
      <c r="AD223" s="2223" cm="1">
        <f t="array" ref="AD223">IF($D223&lt;COLUMNS($F$7:AD$7),"",INDEX(TableDiv[[GASB]:[GASB]],_xlfn.AGGREGATE(15,3,(TableDiv[[Agency]:[Agency]]=$E223)/(TableDiv[[Agency]:[Agency]]=$E223)*(ROW(TableDiv[Agency])-ROW(TableDiv[[#Headers],[Agency]])),COLUMNS($F$7:AD$7))))</f>
        <v>0</v>
      </c>
      <c r="AE223" s="2223" cm="1">
        <f t="array" ref="AE223">IF($D223&lt;COLUMNS($F$7:AE$7),"",INDEX(TableDiv[[GASB]:[GASB]],_xlfn.AGGREGATE(15,3,(TableDiv[[Agency]:[Agency]]=$E223)/(TableDiv[[Agency]:[Agency]]=$E223)*(ROW(TableDiv[Agency])-ROW(TableDiv[[#Headers],[Agency]])),COLUMNS($F$7:AE$7))))</f>
        <v>0</v>
      </c>
      <c r="AF223" s="2223" cm="1">
        <f t="array" ref="AF223">IF($D223&lt;COLUMNS($F$7:AF$7),"",INDEX(TableDiv[[GASB]:[GASB]],_xlfn.AGGREGATE(15,3,(TableDiv[[Agency]:[Agency]]=$E223)/(TableDiv[[Agency]:[Agency]]=$E223)*(ROW(TableDiv[Agency])-ROW(TableDiv[[#Headers],[Agency]])),COLUMNS($F$7:AF$7))))</f>
        <v>0</v>
      </c>
      <c r="AG223" s="2223" cm="1">
        <f t="array" ref="AG223">IF($D223&lt;COLUMNS($F$7:AG$7),"",INDEX(TableDiv[[GASB]:[GASB]],_xlfn.AGGREGATE(15,3,(TableDiv[[Agency]:[Agency]]=$E223)/(TableDiv[[Agency]:[Agency]]=$E223)*(ROW(TableDiv[Agency])-ROW(TableDiv[[#Headers],[Agency]])),COLUMNS($F$7:AG$7))))</f>
        <v>0</v>
      </c>
      <c r="AH223" s="2223" cm="1">
        <f t="array" ref="AH223">IF($D223&lt;COLUMNS($F$7:AH$7),"",INDEX(TableDiv[[GASB]:[GASB]],_xlfn.AGGREGATE(15,3,(TableDiv[[Agency]:[Agency]]=$E223)/(TableDiv[[Agency]:[Agency]]=$E223)*(ROW(TableDiv[Agency])-ROW(TableDiv[[#Headers],[Agency]])),COLUMNS($F$7:AH$7))))</f>
        <v>0</v>
      </c>
      <c r="AI223" s="2223" cm="1">
        <f t="array" ref="AI223">IF($D223&lt;COLUMNS($F$7:AI$7),"",INDEX(TableDiv[[GASB]:[GASB]],_xlfn.AGGREGATE(15,3,(TableDiv[[Agency]:[Agency]]=$E223)/(TableDiv[[Agency]:[Agency]]=$E223)*(ROW(TableDiv[Agency])-ROW(TableDiv[[#Headers],[Agency]])),COLUMNS($F$7:AI$7))))</f>
        <v>0</v>
      </c>
      <c r="AJ223" s="2223" cm="1">
        <f t="array" ref="AJ223">IF($D223&lt;COLUMNS($F$7:AJ$7),"",INDEX(TableDiv[[GASB]:[GASB]],_xlfn.AGGREGATE(15,3,(TableDiv[[Agency]:[Agency]]=$E223)/(TableDiv[[Agency]:[Agency]]=$E223)*(ROW(TableDiv[Agency])-ROW(TableDiv[[#Headers],[Agency]])),COLUMNS($F$7:AJ$7))))</f>
        <v>0</v>
      </c>
      <c r="AK223" s="2223" t="str" cm="1">
        <f t="array" ref="AK223">IF($D223&lt;COLUMNS($F$7:AK$7),"",INDEX(TableDiv[[GASB]:[GASB]],_xlfn.AGGREGATE(15,3,(TableDiv[[Agency]:[Agency]]=$E223)/(TableDiv[[Agency]:[Agency]]=$E223)*(ROW(TableDiv[Agency])-ROW(TableDiv[[#Headers],[Agency]])),COLUMNS($F$7:AK$7))))</f>
        <v/>
      </c>
      <c r="AL223" s="2223" t="str" cm="1">
        <f t="array" ref="AL223">IF($D223&lt;COLUMNS($F$7:AL$7),"",INDEX(TableDiv[[GASB]:[GASB]],_xlfn.AGGREGATE(15,3,(TableDiv[[Agency]:[Agency]]=$E223)/(TableDiv[[Agency]:[Agency]]=$E223)*(ROW(TableDiv[Agency])-ROW(TableDiv[[#Headers],[Agency]])),COLUMNS($F$7:AL$7))))</f>
        <v/>
      </c>
      <c r="AM223" s="2223" t="str" cm="1">
        <f t="array" ref="AM223">IF($D223&lt;COLUMNS($F$7:AM$7),"",INDEX(TableDiv[[GASB]:[GASB]],_xlfn.AGGREGATE(15,3,(TableDiv[[Agency]:[Agency]]=$E223)/(TableDiv[[Agency]:[Agency]]=$E223)*(ROW(TableDiv[Agency])-ROW(TableDiv[[#Headers],[Agency]])),COLUMNS($F$7:AM$7))))</f>
        <v/>
      </c>
      <c r="AN223" s="2223"/>
      <c r="AO223" s="2223"/>
      <c r="AP223" s="2223"/>
      <c r="AQ223" s="2223"/>
      <c r="AR223" s="2223"/>
      <c r="AS223" s="2223"/>
    </row>
    <row r="224" spans="1:45" ht="15" x14ac:dyDescent="0.25">
      <c r="A224" s="2219" t="s">
        <v>6458</v>
      </c>
      <c r="B224" s="2219" t="s">
        <v>6358</v>
      </c>
      <c r="C224" s="2223"/>
      <c r="D224" s="2223">
        <f>COUNTIF(TableDiv[Agency],E224)</f>
        <v>31</v>
      </c>
      <c r="E224" s="2230" t="str" cm="1">
        <f t="array" ref="E224">IFERROR(INDEX(TableDiv[Agency],MATCH(0,INDEX(COUNTIF($E$7:E223,TableDiv[Agency]),),0)),"")</f>
        <v/>
      </c>
      <c r="F224" s="2223" cm="1">
        <f t="array" ref="F224">IF($D224&lt;COLUMNS($F$7:F$7),"",INDEX(TableDiv[[GASB]:[GASB]],_xlfn.AGGREGATE(15,3,(TableDiv[[Agency]:[Agency]]=$E224)/(TableDiv[[Agency]:[Agency]]=$E224)*(ROW(TableDiv[Agency])-ROW(TableDiv[[#Headers],[Agency]])),COLUMNS($F$7:F$7))))</f>
        <v>0</v>
      </c>
      <c r="G224" s="2223" cm="1">
        <f t="array" ref="G224">IF($D224&lt;COLUMNS($F$7:G$7),"",INDEX(TableDiv[[GASB]:[GASB]],_xlfn.AGGREGATE(15,3,(TableDiv[[Agency]:[Agency]]=$E224)/(TableDiv[[Agency]:[Agency]]=$E224)*(ROW(TableDiv[Agency])-ROW(TableDiv[[#Headers],[Agency]])),COLUMNS($F$7:G$7))))</f>
        <v>0</v>
      </c>
      <c r="H224" s="2223" cm="1">
        <f t="array" ref="H224">IF($D224&lt;COLUMNS($F$7:H$7),"",INDEX(TableDiv[[GASB]:[GASB]],_xlfn.AGGREGATE(15,3,(TableDiv[[Agency]:[Agency]]=$E224)/(TableDiv[[Agency]:[Agency]]=$E224)*(ROW(TableDiv[Agency])-ROW(TableDiv[[#Headers],[Agency]])),COLUMNS($F$7:H$7))))</f>
        <v>0</v>
      </c>
      <c r="I224" s="2223" cm="1">
        <f t="array" ref="I224">IF($D224&lt;COLUMNS($F$7:I$7),"",INDEX(TableDiv[[GASB]:[GASB]],_xlfn.AGGREGATE(15,3,(TableDiv[[Agency]:[Agency]]=$E224)/(TableDiv[[Agency]:[Agency]]=$E224)*(ROW(TableDiv[Agency])-ROW(TableDiv[[#Headers],[Agency]])),COLUMNS($F$7:I$7))))</f>
        <v>0</v>
      </c>
      <c r="J224" s="2223" cm="1">
        <f t="array" ref="J224">IF($D224&lt;COLUMNS($F$7:J$7),"",INDEX(TableDiv[[GASB]:[GASB]],_xlfn.AGGREGATE(15,3,(TableDiv[[Agency]:[Agency]]=$E224)/(TableDiv[[Agency]:[Agency]]=$E224)*(ROW(TableDiv[Agency])-ROW(TableDiv[[#Headers],[Agency]])),COLUMNS($F$7:J$7))))</f>
        <v>0</v>
      </c>
      <c r="K224" s="2223" cm="1">
        <f t="array" ref="K224">IF($D224&lt;COLUMNS($F$7:K$7),"",INDEX(TableDiv[[GASB]:[GASB]],_xlfn.AGGREGATE(15,3,(TableDiv[[Agency]:[Agency]]=$E224)/(TableDiv[[Agency]:[Agency]]=$E224)*(ROW(TableDiv[Agency])-ROW(TableDiv[[#Headers],[Agency]])),COLUMNS($F$7:K$7))))</f>
        <v>0</v>
      </c>
      <c r="L224" s="2223" cm="1">
        <f t="array" ref="L224">IF($D224&lt;COLUMNS($F$7:L$7),"",INDEX(TableDiv[[GASB]:[GASB]],_xlfn.AGGREGATE(15,3,(TableDiv[[Agency]:[Agency]]=$E224)/(TableDiv[[Agency]:[Agency]]=$E224)*(ROW(TableDiv[Agency])-ROW(TableDiv[[#Headers],[Agency]])),COLUMNS($F$7:L$7))))</f>
        <v>0</v>
      </c>
      <c r="M224" s="2223" cm="1">
        <f t="array" ref="M224">IF($D224&lt;COLUMNS($F$7:M$7),"",INDEX(TableDiv[[GASB]:[GASB]],_xlfn.AGGREGATE(15,3,(TableDiv[[Agency]:[Agency]]=$E224)/(TableDiv[[Agency]:[Agency]]=$E224)*(ROW(TableDiv[Agency])-ROW(TableDiv[[#Headers],[Agency]])),COLUMNS($F$7:M$7))))</f>
        <v>0</v>
      </c>
      <c r="N224" s="2223" cm="1">
        <f t="array" ref="N224">IF($D224&lt;COLUMNS($F$7:N$7),"",INDEX(TableDiv[[GASB]:[GASB]],_xlfn.AGGREGATE(15,3,(TableDiv[[Agency]:[Agency]]=$E224)/(TableDiv[[Agency]:[Agency]]=$E224)*(ROW(TableDiv[Agency])-ROW(TableDiv[[#Headers],[Agency]])),COLUMNS($F$7:N$7))))</f>
        <v>0</v>
      </c>
      <c r="O224" s="2223" cm="1">
        <f t="array" ref="O224">IF($D224&lt;COLUMNS($F$7:O$7),"",INDEX(TableDiv[[GASB]:[GASB]],_xlfn.AGGREGATE(15,3,(TableDiv[[Agency]:[Agency]]=$E224)/(TableDiv[[Agency]:[Agency]]=$E224)*(ROW(TableDiv[Agency])-ROW(TableDiv[[#Headers],[Agency]])),COLUMNS($F$7:O$7))))</f>
        <v>0</v>
      </c>
      <c r="P224" s="2223" cm="1">
        <f t="array" ref="P224">IF($D224&lt;COLUMNS($F$7:P$7),"",INDEX(TableDiv[[GASB]:[GASB]],_xlfn.AGGREGATE(15,3,(TableDiv[[Agency]:[Agency]]=$E224)/(TableDiv[[Agency]:[Agency]]=$E224)*(ROW(TableDiv[Agency])-ROW(TableDiv[[#Headers],[Agency]])),COLUMNS($F$7:P$7))))</f>
        <v>0</v>
      </c>
      <c r="Q224" s="2223" cm="1">
        <f t="array" ref="Q224">IF($D224&lt;COLUMNS($F$7:Q$7),"",INDEX(TableDiv[[GASB]:[GASB]],_xlfn.AGGREGATE(15,3,(TableDiv[[Agency]:[Agency]]=$E224)/(TableDiv[[Agency]:[Agency]]=$E224)*(ROW(TableDiv[Agency])-ROW(TableDiv[[#Headers],[Agency]])),COLUMNS($F$7:Q$7))))</f>
        <v>0</v>
      </c>
      <c r="R224" s="2223" cm="1">
        <f t="array" ref="R224">IF($D224&lt;COLUMNS($F$7:R$7),"",INDEX(TableDiv[[GASB]:[GASB]],_xlfn.AGGREGATE(15,3,(TableDiv[[Agency]:[Agency]]=$E224)/(TableDiv[[Agency]:[Agency]]=$E224)*(ROW(TableDiv[Agency])-ROW(TableDiv[[#Headers],[Agency]])),COLUMNS($F$7:R$7))))</f>
        <v>0</v>
      </c>
      <c r="S224" s="2223" cm="1">
        <f t="array" ref="S224">IF($D224&lt;COLUMNS($F$7:S$7),"",INDEX(TableDiv[[GASB]:[GASB]],_xlfn.AGGREGATE(15,3,(TableDiv[[Agency]:[Agency]]=$E224)/(TableDiv[[Agency]:[Agency]]=$E224)*(ROW(TableDiv[Agency])-ROW(TableDiv[[#Headers],[Agency]])),COLUMNS($F$7:S$7))))</f>
        <v>0</v>
      </c>
      <c r="T224" s="2223" cm="1">
        <f t="array" ref="T224">IF($D224&lt;COLUMNS($F$7:T$7),"",INDEX(TableDiv[[GASB]:[GASB]],_xlfn.AGGREGATE(15,3,(TableDiv[[Agency]:[Agency]]=$E224)/(TableDiv[[Agency]:[Agency]]=$E224)*(ROW(TableDiv[Agency])-ROW(TableDiv[[#Headers],[Agency]])),COLUMNS($F$7:T$7))))</f>
        <v>0</v>
      </c>
      <c r="U224" s="2223" cm="1">
        <f t="array" ref="U224">IF($D224&lt;COLUMNS($F$7:U$7),"",INDEX(TableDiv[[GASB]:[GASB]],_xlfn.AGGREGATE(15,3,(TableDiv[[Agency]:[Agency]]=$E224)/(TableDiv[[Agency]:[Agency]]=$E224)*(ROW(TableDiv[Agency])-ROW(TableDiv[[#Headers],[Agency]])),COLUMNS($F$7:U$7))))</f>
        <v>0</v>
      </c>
      <c r="V224" s="2223" cm="1">
        <f t="array" ref="V224">IF($D224&lt;COLUMNS($F$7:V$7),"",INDEX(TableDiv[[GASB]:[GASB]],_xlfn.AGGREGATE(15,3,(TableDiv[[Agency]:[Agency]]=$E224)/(TableDiv[[Agency]:[Agency]]=$E224)*(ROW(TableDiv[Agency])-ROW(TableDiv[[#Headers],[Agency]])),COLUMNS($F$7:V$7))))</f>
        <v>0</v>
      </c>
      <c r="W224" s="2223" cm="1">
        <f t="array" ref="W224">IF($D224&lt;COLUMNS($F$7:W$7),"",INDEX(TableDiv[[GASB]:[GASB]],_xlfn.AGGREGATE(15,3,(TableDiv[[Agency]:[Agency]]=$E224)/(TableDiv[[Agency]:[Agency]]=$E224)*(ROW(TableDiv[Agency])-ROW(TableDiv[[#Headers],[Agency]])),COLUMNS($F$7:W$7))))</f>
        <v>0</v>
      </c>
      <c r="X224" s="2223" cm="1">
        <f t="array" ref="X224">IF($D224&lt;COLUMNS($F$7:X$7),"",INDEX(TableDiv[[GASB]:[GASB]],_xlfn.AGGREGATE(15,3,(TableDiv[[Agency]:[Agency]]=$E224)/(TableDiv[[Agency]:[Agency]]=$E224)*(ROW(TableDiv[Agency])-ROW(TableDiv[[#Headers],[Agency]])),COLUMNS($F$7:X$7))))</f>
        <v>0</v>
      </c>
      <c r="Y224" s="2223" cm="1">
        <f t="array" ref="Y224">IF($D224&lt;COLUMNS($F$7:Y$7),"",INDEX(TableDiv[[GASB]:[GASB]],_xlfn.AGGREGATE(15,3,(TableDiv[[Agency]:[Agency]]=$E224)/(TableDiv[[Agency]:[Agency]]=$E224)*(ROW(TableDiv[Agency])-ROW(TableDiv[[#Headers],[Agency]])),COLUMNS($F$7:Y$7))))</f>
        <v>0</v>
      </c>
      <c r="Z224" s="2223" cm="1">
        <f t="array" ref="Z224">IF($D224&lt;COLUMNS($F$7:Z$7),"",INDEX(TableDiv[[GASB]:[GASB]],_xlfn.AGGREGATE(15,3,(TableDiv[[Agency]:[Agency]]=$E224)/(TableDiv[[Agency]:[Agency]]=$E224)*(ROW(TableDiv[Agency])-ROW(TableDiv[[#Headers],[Agency]])),COLUMNS($F$7:Z$7))))</f>
        <v>0</v>
      </c>
      <c r="AA224" s="2223" cm="1">
        <f t="array" ref="AA224">IF($D224&lt;COLUMNS($F$7:AA$7),"",INDEX(TableDiv[[GASB]:[GASB]],_xlfn.AGGREGATE(15,3,(TableDiv[[Agency]:[Agency]]=$E224)/(TableDiv[[Agency]:[Agency]]=$E224)*(ROW(TableDiv[Agency])-ROW(TableDiv[[#Headers],[Agency]])),COLUMNS($F$7:AA$7))))</f>
        <v>0</v>
      </c>
      <c r="AB224" s="2223" cm="1">
        <f t="array" ref="AB224">IF($D224&lt;COLUMNS($F$7:AB$7),"",INDEX(TableDiv[[GASB]:[GASB]],_xlfn.AGGREGATE(15,3,(TableDiv[[Agency]:[Agency]]=$E224)/(TableDiv[[Agency]:[Agency]]=$E224)*(ROW(TableDiv[Agency])-ROW(TableDiv[[#Headers],[Agency]])),COLUMNS($F$7:AB$7))))</f>
        <v>0</v>
      </c>
      <c r="AC224" s="2223" cm="1">
        <f t="array" ref="AC224">IF($D224&lt;COLUMNS($F$7:AC$7),"",INDEX(TableDiv[[GASB]:[GASB]],_xlfn.AGGREGATE(15,3,(TableDiv[[Agency]:[Agency]]=$E224)/(TableDiv[[Agency]:[Agency]]=$E224)*(ROW(TableDiv[Agency])-ROW(TableDiv[[#Headers],[Agency]])),COLUMNS($F$7:AC$7))))</f>
        <v>0</v>
      </c>
      <c r="AD224" s="2223" cm="1">
        <f t="array" ref="AD224">IF($D224&lt;COLUMNS($F$7:AD$7),"",INDEX(TableDiv[[GASB]:[GASB]],_xlfn.AGGREGATE(15,3,(TableDiv[[Agency]:[Agency]]=$E224)/(TableDiv[[Agency]:[Agency]]=$E224)*(ROW(TableDiv[Agency])-ROW(TableDiv[[#Headers],[Agency]])),COLUMNS($F$7:AD$7))))</f>
        <v>0</v>
      </c>
      <c r="AE224" s="2223" cm="1">
        <f t="array" ref="AE224">IF($D224&lt;COLUMNS($F$7:AE$7),"",INDEX(TableDiv[[GASB]:[GASB]],_xlfn.AGGREGATE(15,3,(TableDiv[[Agency]:[Agency]]=$E224)/(TableDiv[[Agency]:[Agency]]=$E224)*(ROW(TableDiv[Agency])-ROW(TableDiv[[#Headers],[Agency]])),COLUMNS($F$7:AE$7))))</f>
        <v>0</v>
      </c>
      <c r="AF224" s="2223" cm="1">
        <f t="array" ref="AF224">IF($D224&lt;COLUMNS($F$7:AF$7),"",INDEX(TableDiv[[GASB]:[GASB]],_xlfn.AGGREGATE(15,3,(TableDiv[[Agency]:[Agency]]=$E224)/(TableDiv[[Agency]:[Agency]]=$E224)*(ROW(TableDiv[Agency])-ROW(TableDiv[[#Headers],[Agency]])),COLUMNS($F$7:AF$7))))</f>
        <v>0</v>
      </c>
      <c r="AG224" s="2223" cm="1">
        <f t="array" ref="AG224">IF($D224&lt;COLUMNS($F$7:AG$7),"",INDEX(TableDiv[[GASB]:[GASB]],_xlfn.AGGREGATE(15,3,(TableDiv[[Agency]:[Agency]]=$E224)/(TableDiv[[Agency]:[Agency]]=$E224)*(ROW(TableDiv[Agency])-ROW(TableDiv[[#Headers],[Agency]])),COLUMNS($F$7:AG$7))))</f>
        <v>0</v>
      </c>
      <c r="AH224" s="2223" cm="1">
        <f t="array" ref="AH224">IF($D224&lt;COLUMNS($F$7:AH$7),"",INDEX(TableDiv[[GASB]:[GASB]],_xlfn.AGGREGATE(15,3,(TableDiv[[Agency]:[Agency]]=$E224)/(TableDiv[[Agency]:[Agency]]=$E224)*(ROW(TableDiv[Agency])-ROW(TableDiv[[#Headers],[Agency]])),COLUMNS($F$7:AH$7))))</f>
        <v>0</v>
      </c>
      <c r="AI224" s="2223" cm="1">
        <f t="array" ref="AI224">IF($D224&lt;COLUMNS($F$7:AI$7),"",INDEX(TableDiv[[GASB]:[GASB]],_xlfn.AGGREGATE(15,3,(TableDiv[[Agency]:[Agency]]=$E224)/(TableDiv[[Agency]:[Agency]]=$E224)*(ROW(TableDiv[Agency])-ROW(TableDiv[[#Headers],[Agency]])),COLUMNS($F$7:AI$7))))</f>
        <v>0</v>
      </c>
      <c r="AJ224" s="2223" cm="1">
        <f t="array" ref="AJ224">IF($D224&lt;COLUMNS($F$7:AJ$7),"",INDEX(TableDiv[[GASB]:[GASB]],_xlfn.AGGREGATE(15,3,(TableDiv[[Agency]:[Agency]]=$E224)/(TableDiv[[Agency]:[Agency]]=$E224)*(ROW(TableDiv[Agency])-ROW(TableDiv[[#Headers],[Agency]])),COLUMNS($F$7:AJ$7))))</f>
        <v>0</v>
      </c>
      <c r="AK224" s="2223" t="str" cm="1">
        <f t="array" ref="AK224">IF($D224&lt;COLUMNS($F$7:AK$7),"",INDEX(TableDiv[[GASB]:[GASB]],_xlfn.AGGREGATE(15,3,(TableDiv[[Agency]:[Agency]]=$E224)/(TableDiv[[Agency]:[Agency]]=$E224)*(ROW(TableDiv[Agency])-ROW(TableDiv[[#Headers],[Agency]])),COLUMNS($F$7:AK$7))))</f>
        <v/>
      </c>
      <c r="AL224" s="2223" t="str" cm="1">
        <f t="array" ref="AL224">IF($D224&lt;COLUMNS($F$7:AL$7),"",INDEX(TableDiv[[GASB]:[GASB]],_xlfn.AGGREGATE(15,3,(TableDiv[[Agency]:[Agency]]=$E224)/(TableDiv[[Agency]:[Agency]]=$E224)*(ROW(TableDiv[Agency])-ROW(TableDiv[[#Headers],[Agency]])),COLUMNS($F$7:AL$7))))</f>
        <v/>
      </c>
      <c r="AM224" s="2223" t="str" cm="1">
        <f t="array" ref="AM224">IF($D224&lt;COLUMNS($F$7:AM$7),"",INDEX(TableDiv[[GASB]:[GASB]],_xlfn.AGGREGATE(15,3,(TableDiv[[Agency]:[Agency]]=$E224)/(TableDiv[[Agency]:[Agency]]=$E224)*(ROW(TableDiv[Agency])-ROW(TableDiv[[#Headers],[Agency]])),COLUMNS($F$7:AM$7))))</f>
        <v/>
      </c>
      <c r="AN224" s="2223"/>
      <c r="AO224" s="2223"/>
      <c r="AP224" s="2223"/>
      <c r="AQ224" s="2223"/>
      <c r="AR224" s="2223"/>
      <c r="AS224" s="2223"/>
    </row>
    <row r="225" spans="1:45" ht="15" x14ac:dyDescent="0.25">
      <c r="A225" s="2219" t="s">
        <v>6458</v>
      </c>
      <c r="B225" s="2219" t="s">
        <v>6393</v>
      </c>
      <c r="C225" s="2223"/>
      <c r="D225" s="2223">
        <f>COUNTIF(TableDiv[Agency],E225)</f>
        <v>31</v>
      </c>
      <c r="E225" s="2230" t="str" cm="1">
        <f t="array" ref="E225">IFERROR(INDEX(TableDiv[Agency],MATCH(0,INDEX(COUNTIF($E$7:E224,TableDiv[Agency]),),0)),"")</f>
        <v/>
      </c>
      <c r="F225" s="2223" cm="1">
        <f t="array" ref="F225">IF($D225&lt;COLUMNS($F$7:F$7),"",INDEX(TableDiv[[GASB]:[GASB]],_xlfn.AGGREGATE(15,3,(TableDiv[[Agency]:[Agency]]=$E225)/(TableDiv[[Agency]:[Agency]]=$E225)*(ROW(TableDiv[Agency])-ROW(TableDiv[[#Headers],[Agency]])),COLUMNS($F$7:F$7))))</f>
        <v>0</v>
      </c>
      <c r="G225" s="2223" cm="1">
        <f t="array" ref="G225">IF($D225&lt;COLUMNS($F$7:G$7),"",INDEX(TableDiv[[GASB]:[GASB]],_xlfn.AGGREGATE(15,3,(TableDiv[[Agency]:[Agency]]=$E225)/(TableDiv[[Agency]:[Agency]]=$E225)*(ROW(TableDiv[Agency])-ROW(TableDiv[[#Headers],[Agency]])),COLUMNS($F$7:G$7))))</f>
        <v>0</v>
      </c>
      <c r="H225" s="2223" cm="1">
        <f t="array" ref="H225">IF($D225&lt;COLUMNS($F$7:H$7),"",INDEX(TableDiv[[GASB]:[GASB]],_xlfn.AGGREGATE(15,3,(TableDiv[[Agency]:[Agency]]=$E225)/(TableDiv[[Agency]:[Agency]]=$E225)*(ROW(TableDiv[Agency])-ROW(TableDiv[[#Headers],[Agency]])),COLUMNS($F$7:H$7))))</f>
        <v>0</v>
      </c>
      <c r="I225" s="2223" cm="1">
        <f t="array" ref="I225">IF($D225&lt;COLUMNS($F$7:I$7),"",INDEX(TableDiv[[GASB]:[GASB]],_xlfn.AGGREGATE(15,3,(TableDiv[[Agency]:[Agency]]=$E225)/(TableDiv[[Agency]:[Agency]]=$E225)*(ROW(TableDiv[Agency])-ROW(TableDiv[[#Headers],[Agency]])),COLUMNS($F$7:I$7))))</f>
        <v>0</v>
      </c>
      <c r="J225" s="2223" cm="1">
        <f t="array" ref="J225">IF($D225&lt;COLUMNS($F$7:J$7),"",INDEX(TableDiv[[GASB]:[GASB]],_xlfn.AGGREGATE(15,3,(TableDiv[[Agency]:[Agency]]=$E225)/(TableDiv[[Agency]:[Agency]]=$E225)*(ROW(TableDiv[Agency])-ROW(TableDiv[[#Headers],[Agency]])),COLUMNS($F$7:J$7))))</f>
        <v>0</v>
      </c>
      <c r="K225" s="2223" cm="1">
        <f t="array" ref="K225">IF($D225&lt;COLUMNS($F$7:K$7),"",INDEX(TableDiv[[GASB]:[GASB]],_xlfn.AGGREGATE(15,3,(TableDiv[[Agency]:[Agency]]=$E225)/(TableDiv[[Agency]:[Agency]]=$E225)*(ROW(TableDiv[Agency])-ROW(TableDiv[[#Headers],[Agency]])),COLUMNS($F$7:K$7))))</f>
        <v>0</v>
      </c>
      <c r="L225" s="2223" cm="1">
        <f t="array" ref="L225">IF($D225&lt;COLUMNS($F$7:L$7),"",INDEX(TableDiv[[GASB]:[GASB]],_xlfn.AGGREGATE(15,3,(TableDiv[[Agency]:[Agency]]=$E225)/(TableDiv[[Agency]:[Agency]]=$E225)*(ROW(TableDiv[Agency])-ROW(TableDiv[[#Headers],[Agency]])),COLUMNS($F$7:L$7))))</f>
        <v>0</v>
      </c>
      <c r="M225" s="2223" cm="1">
        <f t="array" ref="M225">IF($D225&lt;COLUMNS($F$7:M$7),"",INDEX(TableDiv[[GASB]:[GASB]],_xlfn.AGGREGATE(15,3,(TableDiv[[Agency]:[Agency]]=$E225)/(TableDiv[[Agency]:[Agency]]=$E225)*(ROW(TableDiv[Agency])-ROW(TableDiv[[#Headers],[Agency]])),COLUMNS($F$7:M$7))))</f>
        <v>0</v>
      </c>
      <c r="N225" s="2223" cm="1">
        <f t="array" ref="N225">IF($D225&lt;COLUMNS($F$7:N$7),"",INDEX(TableDiv[[GASB]:[GASB]],_xlfn.AGGREGATE(15,3,(TableDiv[[Agency]:[Agency]]=$E225)/(TableDiv[[Agency]:[Agency]]=$E225)*(ROW(TableDiv[Agency])-ROW(TableDiv[[#Headers],[Agency]])),COLUMNS($F$7:N$7))))</f>
        <v>0</v>
      </c>
      <c r="O225" s="2223" cm="1">
        <f t="array" ref="O225">IF($D225&lt;COLUMNS($F$7:O$7),"",INDEX(TableDiv[[GASB]:[GASB]],_xlfn.AGGREGATE(15,3,(TableDiv[[Agency]:[Agency]]=$E225)/(TableDiv[[Agency]:[Agency]]=$E225)*(ROW(TableDiv[Agency])-ROW(TableDiv[[#Headers],[Agency]])),COLUMNS($F$7:O$7))))</f>
        <v>0</v>
      </c>
      <c r="P225" s="2223" cm="1">
        <f t="array" ref="P225">IF($D225&lt;COLUMNS($F$7:P$7),"",INDEX(TableDiv[[GASB]:[GASB]],_xlfn.AGGREGATE(15,3,(TableDiv[[Agency]:[Agency]]=$E225)/(TableDiv[[Agency]:[Agency]]=$E225)*(ROW(TableDiv[Agency])-ROW(TableDiv[[#Headers],[Agency]])),COLUMNS($F$7:P$7))))</f>
        <v>0</v>
      </c>
      <c r="Q225" s="2223" cm="1">
        <f t="array" ref="Q225">IF($D225&lt;COLUMNS($F$7:Q$7),"",INDEX(TableDiv[[GASB]:[GASB]],_xlfn.AGGREGATE(15,3,(TableDiv[[Agency]:[Agency]]=$E225)/(TableDiv[[Agency]:[Agency]]=$E225)*(ROW(TableDiv[Agency])-ROW(TableDiv[[#Headers],[Agency]])),COLUMNS($F$7:Q$7))))</f>
        <v>0</v>
      </c>
      <c r="R225" s="2223" cm="1">
        <f t="array" ref="R225">IF($D225&lt;COLUMNS($F$7:R$7),"",INDEX(TableDiv[[GASB]:[GASB]],_xlfn.AGGREGATE(15,3,(TableDiv[[Agency]:[Agency]]=$E225)/(TableDiv[[Agency]:[Agency]]=$E225)*(ROW(TableDiv[Agency])-ROW(TableDiv[[#Headers],[Agency]])),COLUMNS($F$7:R$7))))</f>
        <v>0</v>
      </c>
      <c r="S225" s="2223" cm="1">
        <f t="array" ref="S225">IF($D225&lt;COLUMNS($F$7:S$7),"",INDEX(TableDiv[[GASB]:[GASB]],_xlfn.AGGREGATE(15,3,(TableDiv[[Agency]:[Agency]]=$E225)/(TableDiv[[Agency]:[Agency]]=$E225)*(ROW(TableDiv[Agency])-ROW(TableDiv[[#Headers],[Agency]])),COLUMNS($F$7:S$7))))</f>
        <v>0</v>
      </c>
      <c r="T225" s="2223" cm="1">
        <f t="array" ref="T225">IF($D225&lt;COLUMNS($F$7:T$7),"",INDEX(TableDiv[[GASB]:[GASB]],_xlfn.AGGREGATE(15,3,(TableDiv[[Agency]:[Agency]]=$E225)/(TableDiv[[Agency]:[Agency]]=$E225)*(ROW(TableDiv[Agency])-ROW(TableDiv[[#Headers],[Agency]])),COLUMNS($F$7:T$7))))</f>
        <v>0</v>
      </c>
      <c r="U225" s="2223" cm="1">
        <f t="array" ref="U225">IF($D225&lt;COLUMNS($F$7:U$7),"",INDEX(TableDiv[[GASB]:[GASB]],_xlfn.AGGREGATE(15,3,(TableDiv[[Agency]:[Agency]]=$E225)/(TableDiv[[Agency]:[Agency]]=$E225)*(ROW(TableDiv[Agency])-ROW(TableDiv[[#Headers],[Agency]])),COLUMNS($F$7:U$7))))</f>
        <v>0</v>
      </c>
      <c r="V225" s="2223" cm="1">
        <f t="array" ref="V225">IF($D225&lt;COLUMNS($F$7:V$7),"",INDEX(TableDiv[[GASB]:[GASB]],_xlfn.AGGREGATE(15,3,(TableDiv[[Agency]:[Agency]]=$E225)/(TableDiv[[Agency]:[Agency]]=$E225)*(ROW(TableDiv[Agency])-ROW(TableDiv[[#Headers],[Agency]])),COLUMNS($F$7:V$7))))</f>
        <v>0</v>
      </c>
      <c r="W225" s="2223" cm="1">
        <f t="array" ref="W225">IF($D225&lt;COLUMNS($F$7:W$7),"",INDEX(TableDiv[[GASB]:[GASB]],_xlfn.AGGREGATE(15,3,(TableDiv[[Agency]:[Agency]]=$E225)/(TableDiv[[Agency]:[Agency]]=$E225)*(ROW(TableDiv[Agency])-ROW(TableDiv[[#Headers],[Agency]])),COLUMNS($F$7:W$7))))</f>
        <v>0</v>
      </c>
      <c r="X225" s="2223" cm="1">
        <f t="array" ref="X225">IF($D225&lt;COLUMNS($F$7:X$7),"",INDEX(TableDiv[[GASB]:[GASB]],_xlfn.AGGREGATE(15,3,(TableDiv[[Agency]:[Agency]]=$E225)/(TableDiv[[Agency]:[Agency]]=$E225)*(ROW(TableDiv[Agency])-ROW(TableDiv[[#Headers],[Agency]])),COLUMNS($F$7:X$7))))</f>
        <v>0</v>
      </c>
      <c r="Y225" s="2223" cm="1">
        <f t="array" ref="Y225">IF($D225&lt;COLUMNS($F$7:Y$7),"",INDEX(TableDiv[[GASB]:[GASB]],_xlfn.AGGREGATE(15,3,(TableDiv[[Agency]:[Agency]]=$E225)/(TableDiv[[Agency]:[Agency]]=$E225)*(ROW(TableDiv[Agency])-ROW(TableDiv[[#Headers],[Agency]])),COLUMNS($F$7:Y$7))))</f>
        <v>0</v>
      </c>
      <c r="Z225" s="2223" cm="1">
        <f t="array" ref="Z225">IF($D225&lt;COLUMNS($F$7:Z$7),"",INDEX(TableDiv[[GASB]:[GASB]],_xlfn.AGGREGATE(15,3,(TableDiv[[Agency]:[Agency]]=$E225)/(TableDiv[[Agency]:[Agency]]=$E225)*(ROW(TableDiv[Agency])-ROW(TableDiv[[#Headers],[Agency]])),COLUMNS($F$7:Z$7))))</f>
        <v>0</v>
      </c>
      <c r="AA225" s="2223" cm="1">
        <f t="array" ref="AA225">IF($D225&lt;COLUMNS($F$7:AA$7),"",INDEX(TableDiv[[GASB]:[GASB]],_xlfn.AGGREGATE(15,3,(TableDiv[[Agency]:[Agency]]=$E225)/(TableDiv[[Agency]:[Agency]]=$E225)*(ROW(TableDiv[Agency])-ROW(TableDiv[[#Headers],[Agency]])),COLUMNS($F$7:AA$7))))</f>
        <v>0</v>
      </c>
      <c r="AB225" s="2223" cm="1">
        <f t="array" ref="AB225">IF($D225&lt;COLUMNS($F$7:AB$7),"",INDEX(TableDiv[[GASB]:[GASB]],_xlfn.AGGREGATE(15,3,(TableDiv[[Agency]:[Agency]]=$E225)/(TableDiv[[Agency]:[Agency]]=$E225)*(ROW(TableDiv[Agency])-ROW(TableDiv[[#Headers],[Agency]])),COLUMNS($F$7:AB$7))))</f>
        <v>0</v>
      </c>
      <c r="AC225" s="2223" cm="1">
        <f t="array" ref="AC225">IF($D225&lt;COLUMNS($F$7:AC$7),"",INDEX(TableDiv[[GASB]:[GASB]],_xlfn.AGGREGATE(15,3,(TableDiv[[Agency]:[Agency]]=$E225)/(TableDiv[[Agency]:[Agency]]=$E225)*(ROW(TableDiv[Agency])-ROW(TableDiv[[#Headers],[Agency]])),COLUMNS($F$7:AC$7))))</f>
        <v>0</v>
      </c>
      <c r="AD225" s="2223" cm="1">
        <f t="array" ref="AD225">IF($D225&lt;COLUMNS($F$7:AD$7),"",INDEX(TableDiv[[GASB]:[GASB]],_xlfn.AGGREGATE(15,3,(TableDiv[[Agency]:[Agency]]=$E225)/(TableDiv[[Agency]:[Agency]]=$E225)*(ROW(TableDiv[Agency])-ROW(TableDiv[[#Headers],[Agency]])),COLUMNS($F$7:AD$7))))</f>
        <v>0</v>
      </c>
      <c r="AE225" s="2223" cm="1">
        <f t="array" ref="AE225">IF($D225&lt;COLUMNS($F$7:AE$7),"",INDEX(TableDiv[[GASB]:[GASB]],_xlfn.AGGREGATE(15,3,(TableDiv[[Agency]:[Agency]]=$E225)/(TableDiv[[Agency]:[Agency]]=$E225)*(ROW(TableDiv[Agency])-ROW(TableDiv[[#Headers],[Agency]])),COLUMNS($F$7:AE$7))))</f>
        <v>0</v>
      </c>
      <c r="AF225" s="2223" cm="1">
        <f t="array" ref="AF225">IF($D225&lt;COLUMNS($F$7:AF$7),"",INDEX(TableDiv[[GASB]:[GASB]],_xlfn.AGGREGATE(15,3,(TableDiv[[Agency]:[Agency]]=$E225)/(TableDiv[[Agency]:[Agency]]=$E225)*(ROW(TableDiv[Agency])-ROW(TableDiv[[#Headers],[Agency]])),COLUMNS($F$7:AF$7))))</f>
        <v>0</v>
      </c>
      <c r="AG225" s="2223" cm="1">
        <f t="array" ref="AG225">IF($D225&lt;COLUMNS($F$7:AG$7),"",INDEX(TableDiv[[GASB]:[GASB]],_xlfn.AGGREGATE(15,3,(TableDiv[[Agency]:[Agency]]=$E225)/(TableDiv[[Agency]:[Agency]]=$E225)*(ROW(TableDiv[Agency])-ROW(TableDiv[[#Headers],[Agency]])),COLUMNS($F$7:AG$7))))</f>
        <v>0</v>
      </c>
      <c r="AH225" s="2223" cm="1">
        <f t="array" ref="AH225">IF($D225&lt;COLUMNS($F$7:AH$7),"",INDEX(TableDiv[[GASB]:[GASB]],_xlfn.AGGREGATE(15,3,(TableDiv[[Agency]:[Agency]]=$E225)/(TableDiv[[Agency]:[Agency]]=$E225)*(ROW(TableDiv[Agency])-ROW(TableDiv[[#Headers],[Agency]])),COLUMNS($F$7:AH$7))))</f>
        <v>0</v>
      </c>
      <c r="AI225" s="2223" cm="1">
        <f t="array" ref="AI225">IF($D225&lt;COLUMNS($F$7:AI$7),"",INDEX(TableDiv[[GASB]:[GASB]],_xlfn.AGGREGATE(15,3,(TableDiv[[Agency]:[Agency]]=$E225)/(TableDiv[[Agency]:[Agency]]=$E225)*(ROW(TableDiv[Agency])-ROW(TableDiv[[#Headers],[Agency]])),COLUMNS($F$7:AI$7))))</f>
        <v>0</v>
      </c>
      <c r="AJ225" s="2223" cm="1">
        <f t="array" ref="AJ225">IF($D225&lt;COLUMNS($F$7:AJ$7),"",INDEX(TableDiv[[GASB]:[GASB]],_xlfn.AGGREGATE(15,3,(TableDiv[[Agency]:[Agency]]=$E225)/(TableDiv[[Agency]:[Agency]]=$E225)*(ROW(TableDiv[Agency])-ROW(TableDiv[[#Headers],[Agency]])),COLUMNS($F$7:AJ$7))))</f>
        <v>0</v>
      </c>
      <c r="AK225" s="2223" t="str" cm="1">
        <f t="array" ref="AK225">IF($D225&lt;COLUMNS($F$7:AK$7),"",INDEX(TableDiv[[GASB]:[GASB]],_xlfn.AGGREGATE(15,3,(TableDiv[[Agency]:[Agency]]=$E225)/(TableDiv[[Agency]:[Agency]]=$E225)*(ROW(TableDiv[Agency])-ROW(TableDiv[[#Headers],[Agency]])),COLUMNS($F$7:AK$7))))</f>
        <v/>
      </c>
      <c r="AL225" s="2223" t="str" cm="1">
        <f t="array" ref="AL225">IF($D225&lt;COLUMNS($F$7:AL$7),"",INDEX(TableDiv[[GASB]:[GASB]],_xlfn.AGGREGATE(15,3,(TableDiv[[Agency]:[Agency]]=$E225)/(TableDiv[[Agency]:[Agency]]=$E225)*(ROW(TableDiv[Agency])-ROW(TableDiv[[#Headers],[Agency]])),COLUMNS($F$7:AL$7))))</f>
        <v/>
      </c>
      <c r="AM225" s="2223" t="str" cm="1">
        <f t="array" ref="AM225">IF($D225&lt;COLUMNS($F$7:AM$7),"",INDEX(TableDiv[[GASB]:[GASB]],_xlfn.AGGREGATE(15,3,(TableDiv[[Agency]:[Agency]]=$E225)/(TableDiv[[Agency]:[Agency]]=$E225)*(ROW(TableDiv[Agency])-ROW(TableDiv[[#Headers],[Agency]])),COLUMNS($F$7:AM$7))))</f>
        <v/>
      </c>
      <c r="AN225" s="2223"/>
      <c r="AO225" s="2223"/>
      <c r="AP225" s="2223"/>
      <c r="AQ225" s="2223"/>
      <c r="AR225" s="2223"/>
      <c r="AS225" s="2223"/>
    </row>
    <row r="226" spans="1:45" ht="15" x14ac:dyDescent="0.25">
      <c r="A226" s="2219" t="s">
        <v>6459</v>
      </c>
      <c r="B226" s="2219" t="s">
        <v>6361</v>
      </c>
      <c r="C226" s="2223"/>
      <c r="D226" s="2223">
        <f>COUNTIF(TableDiv[Agency],E226)</f>
        <v>31</v>
      </c>
      <c r="E226" s="2230" t="str" cm="1">
        <f t="array" ref="E226">IFERROR(INDEX(TableDiv[Agency],MATCH(0,INDEX(COUNTIF($E$7:E225,TableDiv[Agency]),),0)),"")</f>
        <v/>
      </c>
      <c r="F226" s="2223" cm="1">
        <f t="array" ref="F226">IF($D226&lt;COLUMNS($F$7:F$7),"",INDEX(TableDiv[[GASB]:[GASB]],_xlfn.AGGREGATE(15,3,(TableDiv[[Agency]:[Agency]]=$E226)/(TableDiv[[Agency]:[Agency]]=$E226)*(ROW(TableDiv[Agency])-ROW(TableDiv[[#Headers],[Agency]])),COLUMNS($F$7:F$7))))</f>
        <v>0</v>
      </c>
      <c r="G226" s="2223" cm="1">
        <f t="array" ref="G226">IF($D226&lt;COLUMNS($F$7:G$7),"",INDEX(TableDiv[[GASB]:[GASB]],_xlfn.AGGREGATE(15,3,(TableDiv[[Agency]:[Agency]]=$E226)/(TableDiv[[Agency]:[Agency]]=$E226)*(ROW(TableDiv[Agency])-ROW(TableDiv[[#Headers],[Agency]])),COLUMNS($F$7:G$7))))</f>
        <v>0</v>
      </c>
      <c r="H226" s="2223" cm="1">
        <f t="array" ref="H226">IF($D226&lt;COLUMNS($F$7:H$7),"",INDEX(TableDiv[[GASB]:[GASB]],_xlfn.AGGREGATE(15,3,(TableDiv[[Agency]:[Agency]]=$E226)/(TableDiv[[Agency]:[Agency]]=$E226)*(ROW(TableDiv[Agency])-ROW(TableDiv[[#Headers],[Agency]])),COLUMNS($F$7:H$7))))</f>
        <v>0</v>
      </c>
      <c r="I226" s="2223" cm="1">
        <f t="array" ref="I226">IF($D226&lt;COLUMNS($F$7:I$7),"",INDEX(TableDiv[[GASB]:[GASB]],_xlfn.AGGREGATE(15,3,(TableDiv[[Agency]:[Agency]]=$E226)/(TableDiv[[Agency]:[Agency]]=$E226)*(ROW(TableDiv[Agency])-ROW(TableDiv[[#Headers],[Agency]])),COLUMNS($F$7:I$7))))</f>
        <v>0</v>
      </c>
      <c r="J226" s="2223" cm="1">
        <f t="array" ref="J226">IF($D226&lt;COLUMNS($F$7:J$7),"",INDEX(TableDiv[[GASB]:[GASB]],_xlfn.AGGREGATE(15,3,(TableDiv[[Agency]:[Agency]]=$E226)/(TableDiv[[Agency]:[Agency]]=$E226)*(ROW(TableDiv[Agency])-ROW(TableDiv[[#Headers],[Agency]])),COLUMNS($F$7:J$7))))</f>
        <v>0</v>
      </c>
      <c r="K226" s="2223" cm="1">
        <f t="array" ref="K226">IF($D226&lt;COLUMNS($F$7:K$7),"",INDEX(TableDiv[[GASB]:[GASB]],_xlfn.AGGREGATE(15,3,(TableDiv[[Agency]:[Agency]]=$E226)/(TableDiv[[Agency]:[Agency]]=$E226)*(ROW(TableDiv[Agency])-ROW(TableDiv[[#Headers],[Agency]])),COLUMNS($F$7:K$7))))</f>
        <v>0</v>
      </c>
      <c r="L226" s="2223" cm="1">
        <f t="array" ref="L226">IF($D226&lt;COLUMNS($F$7:L$7),"",INDEX(TableDiv[[GASB]:[GASB]],_xlfn.AGGREGATE(15,3,(TableDiv[[Agency]:[Agency]]=$E226)/(TableDiv[[Agency]:[Agency]]=$E226)*(ROW(TableDiv[Agency])-ROW(TableDiv[[#Headers],[Agency]])),COLUMNS($F$7:L$7))))</f>
        <v>0</v>
      </c>
      <c r="M226" s="2223" cm="1">
        <f t="array" ref="M226">IF($D226&lt;COLUMNS($F$7:M$7),"",INDEX(TableDiv[[GASB]:[GASB]],_xlfn.AGGREGATE(15,3,(TableDiv[[Agency]:[Agency]]=$E226)/(TableDiv[[Agency]:[Agency]]=$E226)*(ROW(TableDiv[Agency])-ROW(TableDiv[[#Headers],[Agency]])),COLUMNS($F$7:M$7))))</f>
        <v>0</v>
      </c>
      <c r="N226" s="2223" cm="1">
        <f t="array" ref="N226">IF($D226&lt;COLUMNS($F$7:N$7),"",INDEX(TableDiv[[GASB]:[GASB]],_xlfn.AGGREGATE(15,3,(TableDiv[[Agency]:[Agency]]=$E226)/(TableDiv[[Agency]:[Agency]]=$E226)*(ROW(TableDiv[Agency])-ROW(TableDiv[[#Headers],[Agency]])),COLUMNS($F$7:N$7))))</f>
        <v>0</v>
      </c>
      <c r="O226" s="2223" cm="1">
        <f t="array" ref="O226">IF($D226&lt;COLUMNS($F$7:O$7),"",INDEX(TableDiv[[GASB]:[GASB]],_xlfn.AGGREGATE(15,3,(TableDiv[[Agency]:[Agency]]=$E226)/(TableDiv[[Agency]:[Agency]]=$E226)*(ROW(TableDiv[Agency])-ROW(TableDiv[[#Headers],[Agency]])),COLUMNS($F$7:O$7))))</f>
        <v>0</v>
      </c>
      <c r="P226" s="2223" cm="1">
        <f t="array" ref="P226">IF($D226&lt;COLUMNS($F$7:P$7),"",INDEX(TableDiv[[GASB]:[GASB]],_xlfn.AGGREGATE(15,3,(TableDiv[[Agency]:[Agency]]=$E226)/(TableDiv[[Agency]:[Agency]]=$E226)*(ROW(TableDiv[Agency])-ROW(TableDiv[[#Headers],[Agency]])),COLUMNS($F$7:P$7))))</f>
        <v>0</v>
      </c>
      <c r="Q226" s="2223" cm="1">
        <f t="array" ref="Q226">IF($D226&lt;COLUMNS($F$7:Q$7),"",INDEX(TableDiv[[GASB]:[GASB]],_xlfn.AGGREGATE(15,3,(TableDiv[[Agency]:[Agency]]=$E226)/(TableDiv[[Agency]:[Agency]]=$E226)*(ROW(TableDiv[Agency])-ROW(TableDiv[[#Headers],[Agency]])),COLUMNS($F$7:Q$7))))</f>
        <v>0</v>
      </c>
      <c r="R226" s="2223" cm="1">
        <f t="array" ref="R226">IF($D226&lt;COLUMNS($F$7:R$7),"",INDEX(TableDiv[[GASB]:[GASB]],_xlfn.AGGREGATE(15,3,(TableDiv[[Agency]:[Agency]]=$E226)/(TableDiv[[Agency]:[Agency]]=$E226)*(ROW(TableDiv[Agency])-ROW(TableDiv[[#Headers],[Agency]])),COLUMNS($F$7:R$7))))</f>
        <v>0</v>
      </c>
      <c r="S226" s="2223" cm="1">
        <f t="array" ref="S226">IF($D226&lt;COLUMNS($F$7:S$7),"",INDEX(TableDiv[[GASB]:[GASB]],_xlfn.AGGREGATE(15,3,(TableDiv[[Agency]:[Agency]]=$E226)/(TableDiv[[Agency]:[Agency]]=$E226)*(ROW(TableDiv[Agency])-ROW(TableDiv[[#Headers],[Agency]])),COLUMNS($F$7:S$7))))</f>
        <v>0</v>
      </c>
      <c r="T226" s="2223" cm="1">
        <f t="array" ref="T226">IF($D226&lt;COLUMNS($F$7:T$7),"",INDEX(TableDiv[[GASB]:[GASB]],_xlfn.AGGREGATE(15,3,(TableDiv[[Agency]:[Agency]]=$E226)/(TableDiv[[Agency]:[Agency]]=$E226)*(ROW(TableDiv[Agency])-ROW(TableDiv[[#Headers],[Agency]])),COLUMNS($F$7:T$7))))</f>
        <v>0</v>
      </c>
      <c r="U226" s="2223" cm="1">
        <f t="array" ref="U226">IF($D226&lt;COLUMNS($F$7:U$7),"",INDEX(TableDiv[[GASB]:[GASB]],_xlfn.AGGREGATE(15,3,(TableDiv[[Agency]:[Agency]]=$E226)/(TableDiv[[Agency]:[Agency]]=$E226)*(ROW(TableDiv[Agency])-ROW(TableDiv[[#Headers],[Agency]])),COLUMNS($F$7:U$7))))</f>
        <v>0</v>
      </c>
      <c r="V226" s="2223" cm="1">
        <f t="array" ref="V226">IF($D226&lt;COLUMNS($F$7:V$7),"",INDEX(TableDiv[[GASB]:[GASB]],_xlfn.AGGREGATE(15,3,(TableDiv[[Agency]:[Agency]]=$E226)/(TableDiv[[Agency]:[Agency]]=$E226)*(ROW(TableDiv[Agency])-ROW(TableDiv[[#Headers],[Agency]])),COLUMNS($F$7:V$7))))</f>
        <v>0</v>
      </c>
      <c r="W226" s="2223" cm="1">
        <f t="array" ref="W226">IF($D226&lt;COLUMNS($F$7:W$7),"",INDEX(TableDiv[[GASB]:[GASB]],_xlfn.AGGREGATE(15,3,(TableDiv[[Agency]:[Agency]]=$E226)/(TableDiv[[Agency]:[Agency]]=$E226)*(ROW(TableDiv[Agency])-ROW(TableDiv[[#Headers],[Agency]])),COLUMNS($F$7:W$7))))</f>
        <v>0</v>
      </c>
      <c r="X226" s="2223" cm="1">
        <f t="array" ref="X226">IF($D226&lt;COLUMNS($F$7:X$7),"",INDEX(TableDiv[[GASB]:[GASB]],_xlfn.AGGREGATE(15,3,(TableDiv[[Agency]:[Agency]]=$E226)/(TableDiv[[Agency]:[Agency]]=$E226)*(ROW(TableDiv[Agency])-ROW(TableDiv[[#Headers],[Agency]])),COLUMNS($F$7:X$7))))</f>
        <v>0</v>
      </c>
      <c r="Y226" s="2223" cm="1">
        <f t="array" ref="Y226">IF($D226&lt;COLUMNS($F$7:Y$7),"",INDEX(TableDiv[[GASB]:[GASB]],_xlfn.AGGREGATE(15,3,(TableDiv[[Agency]:[Agency]]=$E226)/(TableDiv[[Agency]:[Agency]]=$E226)*(ROW(TableDiv[Agency])-ROW(TableDiv[[#Headers],[Agency]])),COLUMNS($F$7:Y$7))))</f>
        <v>0</v>
      </c>
      <c r="Z226" s="2223" cm="1">
        <f t="array" ref="Z226">IF($D226&lt;COLUMNS($F$7:Z$7),"",INDEX(TableDiv[[GASB]:[GASB]],_xlfn.AGGREGATE(15,3,(TableDiv[[Agency]:[Agency]]=$E226)/(TableDiv[[Agency]:[Agency]]=$E226)*(ROW(TableDiv[Agency])-ROW(TableDiv[[#Headers],[Agency]])),COLUMNS($F$7:Z$7))))</f>
        <v>0</v>
      </c>
      <c r="AA226" s="2223" cm="1">
        <f t="array" ref="AA226">IF($D226&lt;COLUMNS($F$7:AA$7),"",INDEX(TableDiv[[GASB]:[GASB]],_xlfn.AGGREGATE(15,3,(TableDiv[[Agency]:[Agency]]=$E226)/(TableDiv[[Agency]:[Agency]]=$E226)*(ROW(TableDiv[Agency])-ROW(TableDiv[[#Headers],[Agency]])),COLUMNS($F$7:AA$7))))</f>
        <v>0</v>
      </c>
      <c r="AB226" s="2223" cm="1">
        <f t="array" ref="AB226">IF($D226&lt;COLUMNS($F$7:AB$7),"",INDEX(TableDiv[[GASB]:[GASB]],_xlfn.AGGREGATE(15,3,(TableDiv[[Agency]:[Agency]]=$E226)/(TableDiv[[Agency]:[Agency]]=$E226)*(ROW(TableDiv[Agency])-ROW(TableDiv[[#Headers],[Agency]])),COLUMNS($F$7:AB$7))))</f>
        <v>0</v>
      </c>
      <c r="AC226" s="2223" cm="1">
        <f t="array" ref="AC226">IF($D226&lt;COLUMNS($F$7:AC$7),"",INDEX(TableDiv[[GASB]:[GASB]],_xlfn.AGGREGATE(15,3,(TableDiv[[Agency]:[Agency]]=$E226)/(TableDiv[[Agency]:[Agency]]=$E226)*(ROW(TableDiv[Agency])-ROW(TableDiv[[#Headers],[Agency]])),COLUMNS($F$7:AC$7))))</f>
        <v>0</v>
      </c>
      <c r="AD226" s="2223" cm="1">
        <f t="array" ref="AD226">IF($D226&lt;COLUMNS($F$7:AD$7),"",INDEX(TableDiv[[GASB]:[GASB]],_xlfn.AGGREGATE(15,3,(TableDiv[[Agency]:[Agency]]=$E226)/(TableDiv[[Agency]:[Agency]]=$E226)*(ROW(TableDiv[Agency])-ROW(TableDiv[[#Headers],[Agency]])),COLUMNS($F$7:AD$7))))</f>
        <v>0</v>
      </c>
      <c r="AE226" s="2223" cm="1">
        <f t="array" ref="AE226">IF($D226&lt;COLUMNS($F$7:AE$7),"",INDEX(TableDiv[[GASB]:[GASB]],_xlfn.AGGREGATE(15,3,(TableDiv[[Agency]:[Agency]]=$E226)/(TableDiv[[Agency]:[Agency]]=$E226)*(ROW(TableDiv[Agency])-ROW(TableDiv[[#Headers],[Agency]])),COLUMNS($F$7:AE$7))))</f>
        <v>0</v>
      </c>
      <c r="AF226" s="2223" cm="1">
        <f t="array" ref="AF226">IF($D226&lt;COLUMNS($F$7:AF$7),"",INDEX(TableDiv[[GASB]:[GASB]],_xlfn.AGGREGATE(15,3,(TableDiv[[Agency]:[Agency]]=$E226)/(TableDiv[[Agency]:[Agency]]=$E226)*(ROW(TableDiv[Agency])-ROW(TableDiv[[#Headers],[Agency]])),COLUMNS($F$7:AF$7))))</f>
        <v>0</v>
      </c>
      <c r="AG226" s="2223" cm="1">
        <f t="array" ref="AG226">IF($D226&lt;COLUMNS($F$7:AG$7),"",INDEX(TableDiv[[GASB]:[GASB]],_xlfn.AGGREGATE(15,3,(TableDiv[[Agency]:[Agency]]=$E226)/(TableDiv[[Agency]:[Agency]]=$E226)*(ROW(TableDiv[Agency])-ROW(TableDiv[[#Headers],[Agency]])),COLUMNS($F$7:AG$7))))</f>
        <v>0</v>
      </c>
      <c r="AH226" s="2223" cm="1">
        <f t="array" ref="AH226">IF($D226&lt;COLUMNS($F$7:AH$7),"",INDEX(TableDiv[[GASB]:[GASB]],_xlfn.AGGREGATE(15,3,(TableDiv[[Agency]:[Agency]]=$E226)/(TableDiv[[Agency]:[Agency]]=$E226)*(ROW(TableDiv[Agency])-ROW(TableDiv[[#Headers],[Agency]])),COLUMNS($F$7:AH$7))))</f>
        <v>0</v>
      </c>
      <c r="AI226" s="2223" cm="1">
        <f t="array" ref="AI226">IF($D226&lt;COLUMNS($F$7:AI$7),"",INDEX(TableDiv[[GASB]:[GASB]],_xlfn.AGGREGATE(15,3,(TableDiv[[Agency]:[Agency]]=$E226)/(TableDiv[[Agency]:[Agency]]=$E226)*(ROW(TableDiv[Agency])-ROW(TableDiv[[#Headers],[Agency]])),COLUMNS($F$7:AI$7))))</f>
        <v>0</v>
      </c>
      <c r="AJ226" s="2223" cm="1">
        <f t="array" ref="AJ226">IF($D226&lt;COLUMNS($F$7:AJ$7),"",INDEX(TableDiv[[GASB]:[GASB]],_xlfn.AGGREGATE(15,3,(TableDiv[[Agency]:[Agency]]=$E226)/(TableDiv[[Agency]:[Agency]]=$E226)*(ROW(TableDiv[Agency])-ROW(TableDiv[[#Headers],[Agency]])),COLUMNS($F$7:AJ$7))))</f>
        <v>0</v>
      </c>
      <c r="AK226" s="2223" t="str" cm="1">
        <f t="array" ref="AK226">IF($D226&lt;COLUMNS($F$7:AK$7),"",INDEX(TableDiv[[GASB]:[GASB]],_xlfn.AGGREGATE(15,3,(TableDiv[[Agency]:[Agency]]=$E226)/(TableDiv[[Agency]:[Agency]]=$E226)*(ROW(TableDiv[Agency])-ROW(TableDiv[[#Headers],[Agency]])),COLUMNS($F$7:AK$7))))</f>
        <v/>
      </c>
      <c r="AL226" s="2223" t="str" cm="1">
        <f t="array" ref="AL226">IF($D226&lt;COLUMNS($F$7:AL$7),"",INDEX(TableDiv[[GASB]:[GASB]],_xlfn.AGGREGATE(15,3,(TableDiv[[Agency]:[Agency]]=$E226)/(TableDiv[[Agency]:[Agency]]=$E226)*(ROW(TableDiv[Agency])-ROW(TableDiv[[#Headers],[Agency]])),COLUMNS($F$7:AL$7))))</f>
        <v/>
      </c>
      <c r="AM226" s="2223" t="str" cm="1">
        <f t="array" ref="AM226">IF($D226&lt;COLUMNS($F$7:AM$7),"",INDEX(TableDiv[[GASB]:[GASB]],_xlfn.AGGREGATE(15,3,(TableDiv[[Agency]:[Agency]]=$E226)/(TableDiv[[Agency]:[Agency]]=$E226)*(ROW(TableDiv[Agency])-ROW(TableDiv[[#Headers],[Agency]])),COLUMNS($F$7:AM$7))))</f>
        <v/>
      </c>
      <c r="AN226" s="2223"/>
      <c r="AO226" s="2223"/>
      <c r="AP226" s="2223"/>
      <c r="AQ226" s="2223"/>
      <c r="AR226" s="2223"/>
      <c r="AS226" s="2223"/>
    </row>
    <row r="227" spans="1:45" ht="15" x14ac:dyDescent="0.25">
      <c r="A227" s="2219" t="s">
        <v>6459</v>
      </c>
      <c r="B227" s="2219" t="s">
        <v>6358</v>
      </c>
      <c r="C227" s="2223"/>
      <c r="D227" s="2223">
        <f>COUNTIF(TableDiv[Agency],E227)</f>
        <v>31</v>
      </c>
      <c r="E227" s="2230" t="str" cm="1">
        <f t="array" ref="E227">IFERROR(INDEX(TableDiv[Agency],MATCH(0,INDEX(COUNTIF($E$7:E226,TableDiv[Agency]),),0)),"")</f>
        <v/>
      </c>
      <c r="F227" s="2223" cm="1">
        <f t="array" ref="F227">IF($D227&lt;COLUMNS($F$7:F$7),"",INDEX(TableDiv[[GASB]:[GASB]],_xlfn.AGGREGATE(15,3,(TableDiv[[Agency]:[Agency]]=$E227)/(TableDiv[[Agency]:[Agency]]=$E227)*(ROW(TableDiv[Agency])-ROW(TableDiv[[#Headers],[Agency]])),COLUMNS($F$7:F$7))))</f>
        <v>0</v>
      </c>
      <c r="G227" s="2223" cm="1">
        <f t="array" ref="G227">IF($D227&lt;COLUMNS($F$7:G$7),"",INDEX(TableDiv[[GASB]:[GASB]],_xlfn.AGGREGATE(15,3,(TableDiv[[Agency]:[Agency]]=$E227)/(TableDiv[[Agency]:[Agency]]=$E227)*(ROW(TableDiv[Agency])-ROW(TableDiv[[#Headers],[Agency]])),COLUMNS($F$7:G$7))))</f>
        <v>0</v>
      </c>
      <c r="H227" s="2223" cm="1">
        <f t="array" ref="H227">IF($D227&lt;COLUMNS($F$7:H$7),"",INDEX(TableDiv[[GASB]:[GASB]],_xlfn.AGGREGATE(15,3,(TableDiv[[Agency]:[Agency]]=$E227)/(TableDiv[[Agency]:[Agency]]=$E227)*(ROW(TableDiv[Agency])-ROW(TableDiv[[#Headers],[Agency]])),COLUMNS($F$7:H$7))))</f>
        <v>0</v>
      </c>
      <c r="I227" s="2223" cm="1">
        <f t="array" ref="I227">IF($D227&lt;COLUMNS($F$7:I$7),"",INDEX(TableDiv[[GASB]:[GASB]],_xlfn.AGGREGATE(15,3,(TableDiv[[Agency]:[Agency]]=$E227)/(TableDiv[[Agency]:[Agency]]=$E227)*(ROW(TableDiv[Agency])-ROW(TableDiv[[#Headers],[Agency]])),COLUMNS($F$7:I$7))))</f>
        <v>0</v>
      </c>
      <c r="J227" s="2223" cm="1">
        <f t="array" ref="J227">IF($D227&lt;COLUMNS($F$7:J$7),"",INDEX(TableDiv[[GASB]:[GASB]],_xlfn.AGGREGATE(15,3,(TableDiv[[Agency]:[Agency]]=$E227)/(TableDiv[[Agency]:[Agency]]=$E227)*(ROW(TableDiv[Agency])-ROW(TableDiv[[#Headers],[Agency]])),COLUMNS($F$7:J$7))))</f>
        <v>0</v>
      </c>
      <c r="K227" s="2223" cm="1">
        <f t="array" ref="K227">IF($D227&lt;COLUMNS($F$7:K$7),"",INDEX(TableDiv[[GASB]:[GASB]],_xlfn.AGGREGATE(15,3,(TableDiv[[Agency]:[Agency]]=$E227)/(TableDiv[[Agency]:[Agency]]=$E227)*(ROW(TableDiv[Agency])-ROW(TableDiv[[#Headers],[Agency]])),COLUMNS($F$7:K$7))))</f>
        <v>0</v>
      </c>
      <c r="L227" s="2223" cm="1">
        <f t="array" ref="L227">IF($D227&lt;COLUMNS($F$7:L$7),"",INDEX(TableDiv[[GASB]:[GASB]],_xlfn.AGGREGATE(15,3,(TableDiv[[Agency]:[Agency]]=$E227)/(TableDiv[[Agency]:[Agency]]=$E227)*(ROW(TableDiv[Agency])-ROW(TableDiv[[#Headers],[Agency]])),COLUMNS($F$7:L$7))))</f>
        <v>0</v>
      </c>
      <c r="M227" s="2223" cm="1">
        <f t="array" ref="M227">IF($D227&lt;COLUMNS($F$7:M$7),"",INDEX(TableDiv[[GASB]:[GASB]],_xlfn.AGGREGATE(15,3,(TableDiv[[Agency]:[Agency]]=$E227)/(TableDiv[[Agency]:[Agency]]=$E227)*(ROW(TableDiv[Agency])-ROW(TableDiv[[#Headers],[Agency]])),COLUMNS($F$7:M$7))))</f>
        <v>0</v>
      </c>
      <c r="N227" s="2223" cm="1">
        <f t="array" ref="N227">IF($D227&lt;COLUMNS($F$7:N$7),"",INDEX(TableDiv[[GASB]:[GASB]],_xlfn.AGGREGATE(15,3,(TableDiv[[Agency]:[Agency]]=$E227)/(TableDiv[[Agency]:[Agency]]=$E227)*(ROW(TableDiv[Agency])-ROW(TableDiv[[#Headers],[Agency]])),COLUMNS($F$7:N$7))))</f>
        <v>0</v>
      </c>
      <c r="O227" s="2223" cm="1">
        <f t="array" ref="O227">IF($D227&lt;COLUMNS($F$7:O$7),"",INDEX(TableDiv[[GASB]:[GASB]],_xlfn.AGGREGATE(15,3,(TableDiv[[Agency]:[Agency]]=$E227)/(TableDiv[[Agency]:[Agency]]=$E227)*(ROW(TableDiv[Agency])-ROW(TableDiv[[#Headers],[Agency]])),COLUMNS($F$7:O$7))))</f>
        <v>0</v>
      </c>
      <c r="P227" s="2223" cm="1">
        <f t="array" ref="P227">IF($D227&lt;COLUMNS($F$7:P$7),"",INDEX(TableDiv[[GASB]:[GASB]],_xlfn.AGGREGATE(15,3,(TableDiv[[Agency]:[Agency]]=$E227)/(TableDiv[[Agency]:[Agency]]=$E227)*(ROW(TableDiv[Agency])-ROW(TableDiv[[#Headers],[Agency]])),COLUMNS($F$7:P$7))))</f>
        <v>0</v>
      </c>
      <c r="Q227" s="2223" cm="1">
        <f t="array" ref="Q227">IF($D227&lt;COLUMNS($F$7:Q$7),"",INDEX(TableDiv[[GASB]:[GASB]],_xlfn.AGGREGATE(15,3,(TableDiv[[Agency]:[Agency]]=$E227)/(TableDiv[[Agency]:[Agency]]=$E227)*(ROW(TableDiv[Agency])-ROW(TableDiv[[#Headers],[Agency]])),COLUMNS($F$7:Q$7))))</f>
        <v>0</v>
      </c>
      <c r="R227" s="2223" cm="1">
        <f t="array" ref="R227">IF($D227&lt;COLUMNS($F$7:R$7),"",INDEX(TableDiv[[GASB]:[GASB]],_xlfn.AGGREGATE(15,3,(TableDiv[[Agency]:[Agency]]=$E227)/(TableDiv[[Agency]:[Agency]]=$E227)*(ROW(TableDiv[Agency])-ROW(TableDiv[[#Headers],[Agency]])),COLUMNS($F$7:R$7))))</f>
        <v>0</v>
      </c>
      <c r="S227" s="2223" cm="1">
        <f t="array" ref="S227">IF($D227&lt;COLUMNS($F$7:S$7),"",INDEX(TableDiv[[GASB]:[GASB]],_xlfn.AGGREGATE(15,3,(TableDiv[[Agency]:[Agency]]=$E227)/(TableDiv[[Agency]:[Agency]]=$E227)*(ROW(TableDiv[Agency])-ROW(TableDiv[[#Headers],[Agency]])),COLUMNS($F$7:S$7))))</f>
        <v>0</v>
      </c>
      <c r="T227" s="2223" cm="1">
        <f t="array" ref="T227">IF($D227&lt;COLUMNS($F$7:T$7),"",INDEX(TableDiv[[GASB]:[GASB]],_xlfn.AGGREGATE(15,3,(TableDiv[[Agency]:[Agency]]=$E227)/(TableDiv[[Agency]:[Agency]]=$E227)*(ROW(TableDiv[Agency])-ROW(TableDiv[[#Headers],[Agency]])),COLUMNS($F$7:T$7))))</f>
        <v>0</v>
      </c>
      <c r="U227" s="2223" cm="1">
        <f t="array" ref="U227">IF($D227&lt;COLUMNS($F$7:U$7),"",INDEX(TableDiv[[GASB]:[GASB]],_xlfn.AGGREGATE(15,3,(TableDiv[[Agency]:[Agency]]=$E227)/(TableDiv[[Agency]:[Agency]]=$E227)*(ROW(TableDiv[Agency])-ROW(TableDiv[[#Headers],[Agency]])),COLUMNS($F$7:U$7))))</f>
        <v>0</v>
      </c>
      <c r="V227" s="2223" cm="1">
        <f t="array" ref="V227">IF($D227&lt;COLUMNS($F$7:V$7),"",INDEX(TableDiv[[GASB]:[GASB]],_xlfn.AGGREGATE(15,3,(TableDiv[[Agency]:[Agency]]=$E227)/(TableDiv[[Agency]:[Agency]]=$E227)*(ROW(TableDiv[Agency])-ROW(TableDiv[[#Headers],[Agency]])),COLUMNS($F$7:V$7))))</f>
        <v>0</v>
      </c>
      <c r="W227" s="2223" cm="1">
        <f t="array" ref="W227">IF($D227&lt;COLUMNS($F$7:W$7),"",INDEX(TableDiv[[GASB]:[GASB]],_xlfn.AGGREGATE(15,3,(TableDiv[[Agency]:[Agency]]=$E227)/(TableDiv[[Agency]:[Agency]]=$E227)*(ROW(TableDiv[Agency])-ROW(TableDiv[[#Headers],[Agency]])),COLUMNS($F$7:W$7))))</f>
        <v>0</v>
      </c>
      <c r="X227" s="2223" cm="1">
        <f t="array" ref="X227">IF($D227&lt;COLUMNS($F$7:X$7),"",INDEX(TableDiv[[GASB]:[GASB]],_xlfn.AGGREGATE(15,3,(TableDiv[[Agency]:[Agency]]=$E227)/(TableDiv[[Agency]:[Agency]]=$E227)*(ROW(TableDiv[Agency])-ROW(TableDiv[[#Headers],[Agency]])),COLUMNS($F$7:X$7))))</f>
        <v>0</v>
      </c>
      <c r="Y227" s="2223" cm="1">
        <f t="array" ref="Y227">IF($D227&lt;COLUMNS($F$7:Y$7),"",INDEX(TableDiv[[GASB]:[GASB]],_xlfn.AGGREGATE(15,3,(TableDiv[[Agency]:[Agency]]=$E227)/(TableDiv[[Agency]:[Agency]]=$E227)*(ROW(TableDiv[Agency])-ROW(TableDiv[[#Headers],[Agency]])),COLUMNS($F$7:Y$7))))</f>
        <v>0</v>
      </c>
      <c r="Z227" s="2223" cm="1">
        <f t="array" ref="Z227">IF($D227&lt;COLUMNS($F$7:Z$7),"",INDEX(TableDiv[[GASB]:[GASB]],_xlfn.AGGREGATE(15,3,(TableDiv[[Agency]:[Agency]]=$E227)/(TableDiv[[Agency]:[Agency]]=$E227)*(ROW(TableDiv[Agency])-ROW(TableDiv[[#Headers],[Agency]])),COLUMNS($F$7:Z$7))))</f>
        <v>0</v>
      </c>
      <c r="AA227" s="2223" cm="1">
        <f t="array" ref="AA227">IF($D227&lt;COLUMNS($F$7:AA$7),"",INDEX(TableDiv[[GASB]:[GASB]],_xlfn.AGGREGATE(15,3,(TableDiv[[Agency]:[Agency]]=$E227)/(TableDiv[[Agency]:[Agency]]=$E227)*(ROW(TableDiv[Agency])-ROW(TableDiv[[#Headers],[Agency]])),COLUMNS($F$7:AA$7))))</f>
        <v>0</v>
      </c>
      <c r="AB227" s="2223" cm="1">
        <f t="array" ref="AB227">IF($D227&lt;COLUMNS($F$7:AB$7),"",INDEX(TableDiv[[GASB]:[GASB]],_xlfn.AGGREGATE(15,3,(TableDiv[[Agency]:[Agency]]=$E227)/(TableDiv[[Agency]:[Agency]]=$E227)*(ROW(TableDiv[Agency])-ROW(TableDiv[[#Headers],[Agency]])),COLUMNS($F$7:AB$7))))</f>
        <v>0</v>
      </c>
      <c r="AC227" s="2223" cm="1">
        <f t="array" ref="AC227">IF($D227&lt;COLUMNS($F$7:AC$7),"",INDEX(TableDiv[[GASB]:[GASB]],_xlfn.AGGREGATE(15,3,(TableDiv[[Agency]:[Agency]]=$E227)/(TableDiv[[Agency]:[Agency]]=$E227)*(ROW(TableDiv[Agency])-ROW(TableDiv[[#Headers],[Agency]])),COLUMNS($F$7:AC$7))))</f>
        <v>0</v>
      </c>
      <c r="AD227" s="2223" cm="1">
        <f t="array" ref="AD227">IF($D227&lt;COLUMNS($F$7:AD$7),"",INDEX(TableDiv[[GASB]:[GASB]],_xlfn.AGGREGATE(15,3,(TableDiv[[Agency]:[Agency]]=$E227)/(TableDiv[[Agency]:[Agency]]=$E227)*(ROW(TableDiv[Agency])-ROW(TableDiv[[#Headers],[Agency]])),COLUMNS($F$7:AD$7))))</f>
        <v>0</v>
      </c>
      <c r="AE227" s="2223" cm="1">
        <f t="array" ref="AE227">IF($D227&lt;COLUMNS($F$7:AE$7),"",INDEX(TableDiv[[GASB]:[GASB]],_xlfn.AGGREGATE(15,3,(TableDiv[[Agency]:[Agency]]=$E227)/(TableDiv[[Agency]:[Agency]]=$E227)*(ROW(TableDiv[Agency])-ROW(TableDiv[[#Headers],[Agency]])),COLUMNS($F$7:AE$7))))</f>
        <v>0</v>
      </c>
      <c r="AF227" s="2223" cm="1">
        <f t="array" ref="AF227">IF($D227&lt;COLUMNS($F$7:AF$7),"",INDEX(TableDiv[[GASB]:[GASB]],_xlfn.AGGREGATE(15,3,(TableDiv[[Agency]:[Agency]]=$E227)/(TableDiv[[Agency]:[Agency]]=$E227)*(ROW(TableDiv[Agency])-ROW(TableDiv[[#Headers],[Agency]])),COLUMNS($F$7:AF$7))))</f>
        <v>0</v>
      </c>
      <c r="AG227" s="2223" cm="1">
        <f t="array" ref="AG227">IF($D227&lt;COLUMNS($F$7:AG$7),"",INDEX(TableDiv[[GASB]:[GASB]],_xlfn.AGGREGATE(15,3,(TableDiv[[Agency]:[Agency]]=$E227)/(TableDiv[[Agency]:[Agency]]=$E227)*(ROW(TableDiv[Agency])-ROW(TableDiv[[#Headers],[Agency]])),COLUMNS($F$7:AG$7))))</f>
        <v>0</v>
      </c>
      <c r="AH227" s="2223" cm="1">
        <f t="array" ref="AH227">IF($D227&lt;COLUMNS($F$7:AH$7),"",INDEX(TableDiv[[GASB]:[GASB]],_xlfn.AGGREGATE(15,3,(TableDiv[[Agency]:[Agency]]=$E227)/(TableDiv[[Agency]:[Agency]]=$E227)*(ROW(TableDiv[Agency])-ROW(TableDiv[[#Headers],[Agency]])),COLUMNS($F$7:AH$7))))</f>
        <v>0</v>
      </c>
      <c r="AI227" s="2223" cm="1">
        <f t="array" ref="AI227">IF($D227&lt;COLUMNS($F$7:AI$7),"",INDEX(TableDiv[[GASB]:[GASB]],_xlfn.AGGREGATE(15,3,(TableDiv[[Agency]:[Agency]]=$E227)/(TableDiv[[Agency]:[Agency]]=$E227)*(ROW(TableDiv[Agency])-ROW(TableDiv[[#Headers],[Agency]])),COLUMNS($F$7:AI$7))))</f>
        <v>0</v>
      </c>
      <c r="AJ227" s="2223" cm="1">
        <f t="array" ref="AJ227">IF($D227&lt;COLUMNS($F$7:AJ$7),"",INDEX(TableDiv[[GASB]:[GASB]],_xlfn.AGGREGATE(15,3,(TableDiv[[Agency]:[Agency]]=$E227)/(TableDiv[[Agency]:[Agency]]=$E227)*(ROW(TableDiv[Agency])-ROW(TableDiv[[#Headers],[Agency]])),COLUMNS($F$7:AJ$7))))</f>
        <v>0</v>
      </c>
      <c r="AK227" s="2223" t="str" cm="1">
        <f t="array" ref="AK227">IF($D227&lt;COLUMNS($F$7:AK$7),"",INDEX(TableDiv[[GASB]:[GASB]],_xlfn.AGGREGATE(15,3,(TableDiv[[Agency]:[Agency]]=$E227)/(TableDiv[[Agency]:[Agency]]=$E227)*(ROW(TableDiv[Agency])-ROW(TableDiv[[#Headers],[Agency]])),COLUMNS($F$7:AK$7))))</f>
        <v/>
      </c>
      <c r="AL227" s="2223" t="str" cm="1">
        <f t="array" ref="AL227">IF($D227&lt;COLUMNS($F$7:AL$7),"",INDEX(TableDiv[[GASB]:[GASB]],_xlfn.AGGREGATE(15,3,(TableDiv[[Agency]:[Agency]]=$E227)/(TableDiv[[Agency]:[Agency]]=$E227)*(ROW(TableDiv[Agency])-ROW(TableDiv[[#Headers],[Agency]])),COLUMNS($F$7:AL$7))))</f>
        <v/>
      </c>
      <c r="AM227" s="2223" t="str" cm="1">
        <f t="array" ref="AM227">IF($D227&lt;COLUMNS($F$7:AM$7),"",INDEX(TableDiv[[GASB]:[GASB]],_xlfn.AGGREGATE(15,3,(TableDiv[[Agency]:[Agency]]=$E227)/(TableDiv[[Agency]:[Agency]]=$E227)*(ROW(TableDiv[Agency])-ROW(TableDiv[[#Headers],[Agency]])),COLUMNS($F$7:AM$7))))</f>
        <v/>
      </c>
      <c r="AN227" s="2223"/>
      <c r="AO227" s="2223"/>
      <c r="AP227" s="2223"/>
      <c r="AQ227" s="2223"/>
      <c r="AR227" s="2223"/>
      <c r="AS227" s="2223"/>
    </row>
    <row r="228" spans="1:45" ht="15" x14ac:dyDescent="0.25">
      <c r="A228" s="2219" t="s">
        <v>6459</v>
      </c>
      <c r="B228" s="2219" t="s">
        <v>6402</v>
      </c>
      <c r="C228" s="2223"/>
      <c r="D228" s="2223">
        <f>COUNTIF(TableDiv[Agency],E228)</f>
        <v>31</v>
      </c>
      <c r="E228" s="2230" t="str" cm="1">
        <f t="array" ref="E228">IFERROR(INDEX(TableDiv[Agency],MATCH(0,INDEX(COUNTIF($E$7:E227,TableDiv[Agency]),),0)),"")</f>
        <v/>
      </c>
      <c r="F228" s="2223" cm="1">
        <f t="array" ref="F228">IF($D228&lt;COLUMNS($F$7:F$7),"",INDEX(TableDiv[[GASB]:[GASB]],_xlfn.AGGREGATE(15,3,(TableDiv[[Agency]:[Agency]]=$E228)/(TableDiv[[Agency]:[Agency]]=$E228)*(ROW(TableDiv[Agency])-ROW(TableDiv[[#Headers],[Agency]])),COLUMNS($F$7:F$7))))</f>
        <v>0</v>
      </c>
      <c r="G228" s="2223" cm="1">
        <f t="array" ref="G228">IF($D228&lt;COLUMNS($F$7:G$7),"",INDEX(TableDiv[[GASB]:[GASB]],_xlfn.AGGREGATE(15,3,(TableDiv[[Agency]:[Agency]]=$E228)/(TableDiv[[Agency]:[Agency]]=$E228)*(ROW(TableDiv[Agency])-ROW(TableDiv[[#Headers],[Agency]])),COLUMNS($F$7:G$7))))</f>
        <v>0</v>
      </c>
      <c r="H228" s="2223" cm="1">
        <f t="array" ref="H228">IF($D228&lt;COLUMNS($F$7:H$7),"",INDEX(TableDiv[[GASB]:[GASB]],_xlfn.AGGREGATE(15,3,(TableDiv[[Agency]:[Agency]]=$E228)/(TableDiv[[Agency]:[Agency]]=$E228)*(ROW(TableDiv[Agency])-ROW(TableDiv[[#Headers],[Agency]])),COLUMNS($F$7:H$7))))</f>
        <v>0</v>
      </c>
      <c r="I228" s="2223" cm="1">
        <f t="array" ref="I228">IF($D228&lt;COLUMNS($F$7:I$7),"",INDEX(TableDiv[[GASB]:[GASB]],_xlfn.AGGREGATE(15,3,(TableDiv[[Agency]:[Agency]]=$E228)/(TableDiv[[Agency]:[Agency]]=$E228)*(ROW(TableDiv[Agency])-ROW(TableDiv[[#Headers],[Agency]])),COLUMNS($F$7:I$7))))</f>
        <v>0</v>
      </c>
      <c r="J228" s="2223" cm="1">
        <f t="array" ref="J228">IF($D228&lt;COLUMNS($F$7:J$7),"",INDEX(TableDiv[[GASB]:[GASB]],_xlfn.AGGREGATE(15,3,(TableDiv[[Agency]:[Agency]]=$E228)/(TableDiv[[Agency]:[Agency]]=$E228)*(ROW(TableDiv[Agency])-ROW(TableDiv[[#Headers],[Agency]])),COLUMNS($F$7:J$7))))</f>
        <v>0</v>
      </c>
      <c r="K228" s="2223" cm="1">
        <f t="array" ref="K228">IF($D228&lt;COLUMNS($F$7:K$7),"",INDEX(TableDiv[[GASB]:[GASB]],_xlfn.AGGREGATE(15,3,(TableDiv[[Agency]:[Agency]]=$E228)/(TableDiv[[Agency]:[Agency]]=$E228)*(ROW(TableDiv[Agency])-ROW(TableDiv[[#Headers],[Agency]])),COLUMNS($F$7:K$7))))</f>
        <v>0</v>
      </c>
      <c r="L228" s="2223" cm="1">
        <f t="array" ref="L228">IF($D228&lt;COLUMNS($F$7:L$7),"",INDEX(TableDiv[[GASB]:[GASB]],_xlfn.AGGREGATE(15,3,(TableDiv[[Agency]:[Agency]]=$E228)/(TableDiv[[Agency]:[Agency]]=$E228)*(ROW(TableDiv[Agency])-ROW(TableDiv[[#Headers],[Agency]])),COLUMNS($F$7:L$7))))</f>
        <v>0</v>
      </c>
      <c r="M228" s="2223" cm="1">
        <f t="array" ref="M228">IF($D228&lt;COLUMNS($F$7:M$7),"",INDEX(TableDiv[[GASB]:[GASB]],_xlfn.AGGREGATE(15,3,(TableDiv[[Agency]:[Agency]]=$E228)/(TableDiv[[Agency]:[Agency]]=$E228)*(ROW(TableDiv[Agency])-ROW(TableDiv[[#Headers],[Agency]])),COLUMNS($F$7:M$7))))</f>
        <v>0</v>
      </c>
      <c r="N228" s="2223" cm="1">
        <f t="array" ref="N228">IF($D228&lt;COLUMNS($F$7:N$7),"",INDEX(TableDiv[[GASB]:[GASB]],_xlfn.AGGREGATE(15,3,(TableDiv[[Agency]:[Agency]]=$E228)/(TableDiv[[Agency]:[Agency]]=$E228)*(ROW(TableDiv[Agency])-ROW(TableDiv[[#Headers],[Agency]])),COLUMNS($F$7:N$7))))</f>
        <v>0</v>
      </c>
      <c r="O228" s="2223" cm="1">
        <f t="array" ref="O228">IF($D228&lt;COLUMNS($F$7:O$7),"",INDEX(TableDiv[[GASB]:[GASB]],_xlfn.AGGREGATE(15,3,(TableDiv[[Agency]:[Agency]]=$E228)/(TableDiv[[Agency]:[Agency]]=$E228)*(ROW(TableDiv[Agency])-ROW(TableDiv[[#Headers],[Agency]])),COLUMNS($F$7:O$7))))</f>
        <v>0</v>
      </c>
      <c r="P228" s="2223" cm="1">
        <f t="array" ref="P228">IF($D228&lt;COLUMNS($F$7:P$7),"",INDEX(TableDiv[[GASB]:[GASB]],_xlfn.AGGREGATE(15,3,(TableDiv[[Agency]:[Agency]]=$E228)/(TableDiv[[Agency]:[Agency]]=$E228)*(ROW(TableDiv[Agency])-ROW(TableDiv[[#Headers],[Agency]])),COLUMNS($F$7:P$7))))</f>
        <v>0</v>
      </c>
      <c r="Q228" s="2223" cm="1">
        <f t="array" ref="Q228">IF($D228&lt;COLUMNS($F$7:Q$7),"",INDEX(TableDiv[[GASB]:[GASB]],_xlfn.AGGREGATE(15,3,(TableDiv[[Agency]:[Agency]]=$E228)/(TableDiv[[Agency]:[Agency]]=$E228)*(ROW(TableDiv[Agency])-ROW(TableDiv[[#Headers],[Agency]])),COLUMNS($F$7:Q$7))))</f>
        <v>0</v>
      </c>
      <c r="R228" s="2223" cm="1">
        <f t="array" ref="R228">IF($D228&lt;COLUMNS($F$7:R$7),"",INDEX(TableDiv[[GASB]:[GASB]],_xlfn.AGGREGATE(15,3,(TableDiv[[Agency]:[Agency]]=$E228)/(TableDiv[[Agency]:[Agency]]=$E228)*(ROW(TableDiv[Agency])-ROW(TableDiv[[#Headers],[Agency]])),COLUMNS($F$7:R$7))))</f>
        <v>0</v>
      </c>
      <c r="S228" s="2223" cm="1">
        <f t="array" ref="S228">IF($D228&lt;COLUMNS($F$7:S$7),"",INDEX(TableDiv[[GASB]:[GASB]],_xlfn.AGGREGATE(15,3,(TableDiv[[Agency]:[Agency]]=$E228)/(TableDiv[[Agency]:[Agency]]=$E228)*(ROW(TableDiv[Agency])-ROW(TableDiv[[#Headers],[Agency]])),COLUMNS($F$7:S$7))))</f>
        <v>0</v>
      </c>
      <c r="T228" s="2223" cm="1">
        <f t="array" ref="T228">IF($D228&lt;COLUMNS($F$7:T$7),"",INDEX(TableDiv[[GASB]:[GASB]],_xlfn.AGGREGATE(15,3,(TableDiv[[Agency]:[Agency]]=$E228)/(TableDiv[[Agency]:[Agency]]=$E228)*(ROW(TableDiv[Agency])-ROW(TableDiv[[#Headers],[Agency]])),COLUMNS($F$7:T$7))))</f>
        <v>0</v>
      </c>
      <c r="U228" s="2223" cm="1">
        <f t="array" ref="U228">IF($D228&lt;COLUMNS($F$7:U$7),"",INDEX(TableDiv[[GASB]:[GASB]],_xlfn.AGGREGATE(15,3,(TableDiv[[Agency]:[Agency]]=$E228)/(TableDiv[[Agency]:[Agency]]=$E228)*(ROW(TableDiv[Agency])-ROW(TableDiv[[#Headers],[Agency]])),COLUMNS($F$7:U$7))))</f>
        <v>0</v>
      </c>
      <c r="V228" s="2223" cm="1">
        <f t="array" ref="V228">IF($D228&lt;COLUMNS($F$7:V$7),"",INDEX(TableDiv[[GASB]:[GASB]],_xlfn.AGGREGATE(15,3,(TableDiv[[Agency]:[Agency]]=$E228)/(TableDiv[[Agency]:[Agency]]=$E228)*(ROW(TableDiv[Agency])-ROW(TableDiv[[#Headers],[Agency]])),COLUMNS($F$7:V$7))))</f>
        <v>0</v>
      </c>
      <c r="W228" s="2223" cm="1">
        <f t="array" ref="W228">IF($D228&lt;COLUMNS($F$7:W$7),"",INDEX(TableDiv[[GASB]:[GASB]],_xlfn.AGGREGATE(15,3,(TableDiv[[Agency]:[Agency]]=$E228)/(TableDiv[[Agency]:[Agency]]=$E228)*(ROW(TableDiv[Agency])-ROW(TableDiv[[#Headers],[Agency]])),COLUMNS($F$7:W$7))))</f>
        <v>0</v>
      </c>
      <c r="X228" s="2223" cm="1">
        <f t="array" ref="X228">IF($D228&lt;COLUMNS($F$7:X$7),"",INDEX(TableDiv[[GASB]:[GASB]],_xlfn.AGGREGATE(15,3,(TableDiv[[Agency]:[Agency]]=$E228)/(TableDiv[[Agency]:[Agency]]=$E228)*(ROW(TableDiv[Agency])-ROW(TableDiv[[#Headers],[Agency]])),COLUMNS($F$7:X$7))))</f>
        <v>0</v>
      </c>
      <c r="Y228" s="2223" cm="1">
        <f t="array" ref="Y228">IF($D228&lt;COLUMNS($F$7:Y$7),"",INDEX(TableDiv[[GASB]:[GASB]],_xlfn.AGGREGATE(15,3,(TableDiv[[Agency]:[Agency]]=$E228)/(TableDiv[[Agency]:[Agency]]=$E228)*(ROW(TableDiv[Agency])-ROW(TableDiv[[#Headers],[Agency]])),COLUMNS($F$7:Y$7))))</f>
        <v>0</v>
      </c>
      <c r="Z228" s="2223" cm="1">
        <f t="array" ref="Z228">IF($D228&lt;COLUMNS($F$7:Z$7),"",INDEX(TableDiv[[GASB]:[GASB]],_xlfn.AGGREGATE(15,3,(TableDiv[[Agency]:[Agency]]=$E228)/(TableDiv[[Agency]:[Agency]]=$E228)*(ROW(TableDiv[Agency])-ROW(TableDiv[[#Headers],[Agency]])),COLUMNS($F$7:Z$7))))</f>
        <v>0</v>
      </c>
      <c r="AA228" s="2223" cm="1">
        <f t="array" ref="AA228">IF($D228&lt;COLUMNS($F$7:AA$7),"",INDEX(TableDiv[[GASB]:[GASB]],_xlfn.AGGREGATE(15,3,(TableDiv[[Agency]:[Agency]]=$E228)/(TableDiv[[Agency]:[Agency]]=$E228)*(ROW(TableDiv[Agency])-ROW(TableDiv[[#Headers],[Agency]])),COLUMNS($F$7:AA$7))))</f>
        <v>0</v>
      </c>
      <c r="AB228" s="2223" cm="1">
        <f t="array" ref="AB228">IF($D228&lt;COLUMNS($F$7:AB$7),"",INDEX(TableDiv[[GASB]:[GASB]],_xlfn.AGGREGATE(15,3,(TableDiv[[Agency]:[Agency]]=$E228)/(TableDiv[[Agency]:[Agency]]=$E228)*(ROW(TableDiv[Agency])-ROW(TableDiv[[#Headers],[Agency]])),COLUMNS($F$7:AB$7))))</f>
        <v>0</v>
      </c>
      <c r="AC228" s="2223" cm="1">
        <f t="array" ref="AC228">IF($D228&lt;COLUMNS($F$7:AC$7),"",INDEX(TableDiv[[GASB]:[GASB]],_xlfn.AGGREGATE(15,3,(TableDiv[[Agency]:[Agency]]=$E228)/(TableDiv[[Agency]:[Agency]]=$E228)*(ROW(TableDiv[Agency])-ROW(TableDiv[[#Headers],[Agency]])),COLUMNS($F$7:AC$7))))</f>
        <v>0</v>
      </c>
      <c r="AD228" s="2223" cm="1">
        <f t="array" ref="AD228">IF($D228&lt;COLUMNS($F$7:AD$7),"",INDEX(TableDiv[[GASB]:[GASB]],_xlfn.AGGREGATE(15,3,(TableDiv[[Agency]:[Agency]]=$E228)/(TableDiv[[Agency]:[Agency]]=$E228)*(ROW(TableDiv[Agency])-ROW(TableDiv[[#Headers],[Agency]])),COLUMNS($F$7:AD$7))))</f>
        <v>0</v>
      </c>
      <c r="AE228" s="2223" cm="1">
        <f t="array" ref="AE228">IF($D228&lt;COLUMNS($F$7:AE$7),"",INDEX(TableDiv[[GASB]:[GASB]],_xlfn.AGGREGATE(15,3,(TableDiv[[Agency]:[Agency]]=$E228)/(TableDiv[[Agency]:[Agency]]=$E228)*(ROW(TableDiv[Agency])-ROW(TableDiv[[#Headers],[Agency]])),COLUMNS($F$7:AE$7))))</f>
        <v>0</v>
      </c>
      <c r="AF228" s="2223" cm="1">
        <f t="array" ref="AF228">IF($D228&lt;COLUMNS($F$7:AF$7),"",INDEX(TableDiv[[GASB]:[GASB]],_xlfn.AGGREGATE(15,3,(TableDiv[[Agency]:[Agency]]=$E228)/(TableDiv[[Agency]:[Agency]]=$E228)*(ROW(TableDiv[Agency])-ROW(TableDiv[[#Headers],[Agency]])),COLUMNS($F$7:AF$7))))</f>
        <v>0</v>
      </c>
      <c r="AG228" s="2223" cm="1">
        <f t="array" ref="AG228">IF($D228&lt;COLUMNS($F$7:AG$7),"",INDEX(TableDiv[[GASB]:[GASB]],_xlfn.AGGREGATE(15,3,(TableDiv[[Agency]:[Agency]]=$E228)/(TableDiv[[Agency]:[Agency]]=$E228)*(ROW(TableDiv[Agency])-ROW(TableDiv[[#Headers],[Agency]])),COLUMNS($F$7:AG$7))))</f>
        <v>0</v>
      </c>
      <c r="AH228" s="2223" cm="1">
        <f t="array" ref="AH228">IF($D228&lt;COLUMNS($F$7:AH$7),"",INDEX(TableDiv[[GASB]:[GASB]],_xlfn.AGGREGATE(15,3,(TableDiv[[Agency]:[Agency]]=$E228)/(TableDiv[[Agency]:[Agency]]=$E228)*(ROW(TableDiv[Agency])-ROW(TableDiv[[#Headers],[Agency]])),COLUMNS($F$7:AH$7))))</f>
        <v>0</v>
      </c>
      <c r="AI228" s="2223" cm="1">
        <f t="array" ref="AI228">IF($D228&lt;COLUMNS($F$7:AI$7),"",INDEX(TableDiv[[GASB]:[GASB]],_xlfn.AGGREGATE(15,3,(TableDiv[[Agency]:[Agency]]=$E228)/(TableDiv[[Agency]:[Agency]]=$E228)*(ROW(TableDiv[Agency])-ROW(TableDiv[[#Headers],[Agency]])),COLUMNS($F$7:AI$7))))</f>
        <v>0</v>
      </c>
      <c r="AJ228" s="2223" cm="1">
        <f t="array" ref="AJ228">IF($D228&lt;COLUMNS($F$7:AJ$7),"",INDEX(TableDiv[[GASB]:[GASB]],_xlfn.AGGREGATE(15,3,(TableDiv[[Agency]:[Agency]]=$E228)/(TableDiv[[Agency]:[Agency]]=$E228)*(ROW(TableDiv[Agency])-ROW(TableDiv[[#Headers],[Agency]])),COLUMNS($F$7:AJ$7))))</f>
        <v>0</v>
      </c>
      <c r="AK228" s="2223" t="str" cm="1">
        <f t="array" ref="AK228">IF($D228&lt;COLUMNS($F$7:AK$7),"",INDEX(TableDiv[[GASB]:[GASB]],_xlfn.AGGREGATE(15,3,(TableDiv[[Agency]:[Agency]]=$E228)/(TableDiv[[Agency]:[Agency]]=$E228)*(ROW(TableDiv[Agency])-ROW(TableDiv[[#Headers],[Agency]])),COLUMNS($F$7:AK$7))))</f>
        <v/>
      </c>
      <c r="AL228" s="2223" t="str" cm="1">
        <f t="array" ref="AL228">IF($D228&lt;COLUMNS($F$7:AL$7),"",INDEX(TableDiv[[GASB]:[GASB]],_xlfn.AGGREGATE(15,3,(TableDiv[[Agency]:[Agency]]=$E228)/(TableDiv[[Agency]:[Agency]]=$E228)*(ROW(TableDiv[Agency])-ROW(TableDiv[[#Headers],[Agency]])),COLUMNS($F$7:AL$7))))</f>
        <v/>
      </c>
      <c r="AM228" s="2223" t="str" cm="1">
        <f t="array" ref="AM228">IF($D228&lt;COLUMNS($F$7:AM$7),"",INDEX(TableDiv[[GASB]:[GASB]],_xlfn.AGGREGATE(15,3,(TableDiv[[Agency]:[Agency]]=$E228)/(TableDiv[[Agency]:[Agency]]=$E228)*(ROW(TableDiv[Agency])-ROW(TableDiv[[#Headers],[Agency]])),COLUMNS($F$7:AM$7))))</f>
        <v/>
      </c>
      <c r="AN228" s="2223"/>
      <c r="AO228" s="2223"/>
      <c r="AP228" s="2223"/>
      <c r="AQ228" s="2223"/>
      <c r="AR228" s="2223"/>
      <c r="AS228" s="2223"/>
    </row>
    <row r="229" spans="1:45" ht="15" x14ac:dyDescent="0.25">
      <c r="A229" s="2219" t="s">
        <v>6459</v>
      </c>
      <c r="B229" s="2219" t="s">
        <v>6393</v>
      </c>
      <c r="C229" s="2223"/>
      <c r="D229" s="2223">
        <f>COUNTIF(TableDiv[Agency],E229)</f>
        <v>31</v>
      </c>
      <c r="E229" s="2230" t="str" cm="1">
        <f t="array" ref="E229">IFERROR(INDEX(TableDiv[Agency],MATCH(0,INDEX(COUNTIF($E$7:E228,TableDiv[Agency]),),0)),"")</f>
        <v/>
      </c>
      <c r="F229" s="2223" cm="1">
        <f t="array" ref="F229">IF($D229&lt;COLUMNS($F$7:F$7),"",INDEX(TableDiv[[GASB]:[GASB]],_xlfn.AGGREGATE(15,3,(TableDiv[[Agency]:[Agency]]=$E229)/(TableDiv[[Agency]:[Agency]]=$E229)*(ROW(TableDiv[Agency])-ROW(TableDiv[[#Headers],[Agency]])),COLUMNS($F$7:F$7))))</f>
        <v>0</v>
      </c>
      <c r="G229" s="2223" cm="1">
        <f t="array" ref="G229">IF($D229&lt;COLUMNS($F$7:G$7),"",INDEX(TableDiv[[GASB]:[GASB]],_xlfn.AGGREGATE(15,3,(TableDiv[[Agency]:[Agency]]=$E229)/(TableDiv[[Agency]:[Agency]]=$E229)*(ROW(TableDiv[Agency])-ROW(TableDiv[[#Headers],[Agency]])),COLUMNS($F$7:G$7))))</f>
        <v>0</v>
      </c>
      <c r="H229" s="2223" cm="1">
        <f t="array" ref="H229">IF($D229&lt;COLUMNS($F$7:H$7),"",INDEX(TableDiv[[GASB]:[GASB]],_xlfn.AGGREGATE(15,3,(TableDiv[[Agency]:[Agency]]=$E229)/(TableDiv[[Agency]:[Agency]]=$E229)*(ROW(TableDiv[Agency])-ROW(TableDiv[[#Headers],[Agency]])),COLUMNS($F$7:H$7))))</f>
        <v>0</v>
      </c>
      <c r="I229" s="2223" cm="1">
        <f t="array" ref="I229">IF($D229&lt;COLUMNS($F$7:I$7),"",INDEX(TableDiv[[GASB]:[GASB]],_xlfn.AGGREGATE(15,3,(TableDiv[[Agency]:[Agency]]=$E229)/(TableDiv[[Agency]:[Agency]]=$E229)*(ROW(TableDiv[Agency])-ROW(TableDiv[[#Headers],[Agency]])),COLUMNS($F$7:I$7))))</f>
        <v>0</v>
      </c>
      <c r="J229" s="2223" cm="1">
        <f t="array" ref="J229">IF($D229&lt;COLUMNS($F$7:J$7),"",INDEX(TableDiv[[GASB]:[GASB]],_xlfn.AGGREGATE(15,3,(TableDiv[[Agency]:[Agency]]=$E229)/(TableDiv[[Agency]:[Agency]]=$E229)*(ROW(TableDiv[Agency])-ROW(TableDiv[[#Headers],[Agency]])),COLUMNS($F$7:J$7))))</f>
        <v>0</v>
      </c>
      <c r="K229" s="2223" cm="1">
        <f t="array" ref="K229">IF($D229&lt;COLUMNS($F$7:K$7),"",INDEX(TableDiv[[GASB]:[GASB]],_xlfn.AGGREGATE(15,3,(TableDiv[[Agency]:[Agency]]=$E229)/(TableDiv[[Agency]:[Agency]]=$E229)*(ROW(TableDiv[Agency])-ROW(TableDiv[[#Headers],[Agency]])),COLUMNS($F$7:K$7))))</f>
        <v>0</v>
      </c>
      <c r="L229" s="2223" cm="1">
        <f t="array" ref="L229">IF($D229&lt;COLUMNS($F$7:L$7),"",INDEX(TableDiv[[GASB]:[GASB]],_xlfn.AGGREGATE(15,3,(TableDiv[[Agency]:[Agency]]=$E229)/(TableDiv[[Agency]:[Agency]]=$E229)*(ROW(TableDiv[Agency])-ROW(TableDiv[[#Headers],[Agency]])),COLUMNS($F$7:L$7))))</f>
        <v>0</v>
      </c>
      <c r="M229" s="2223" cm="1">
        <f t="array" ref="M229">IF($D229&lt;COLUMNS($F$7:M$7),"",INDEX(TableDiv[[GASB]:[GASB]],_xlfn.AGGREGATE(15,3,(TableDiv[[Agency]:[Agency]]=$E229)/(TableDiv[[Agency]:[Agency]]=$E229)*(ROW(TableDiv[Agency])-ROW(TableDiv[[#Headers],[Agency]])),COLUMNS($F$7:M$7))))</f>
        <v>0</v>
      </c>
      <c r="N229" s="2223" cm="1">
        <f t="array" ref="N229">IF($D229&lt;COLUMNS($F$7:N$7),"",INDEX(TableDiv[[GASB]:[GASB]],_xlfn.AGGREGATE(15,3,(TableDiv[[Agency]:[Agency]]=$E229)/(TableDiv[[Agency]:[Agency]]=$E229)*(ROW(TableDiv[Agency])-ROW(TableDiv[[#Headers],[Agency]])),COLUMNS($F$7:N$7))))</f>
        <v>0</v>
      </c>
      <c r="O229" s="2223" cm="1">
        <f t="array" ref="O229">IF($D229&lt;COLUMNS($F$7:O$7),"",INDEX(TableDiv[[GASB]:[GASB]],_xlfn.AGGREGATE(15,3,(TableDiv[[Agency]:[Agency]]=$E229)/(TableDiv[[Agency]:[Agency]]=$E229)*(ROW(TableDiv[Agency])-ROW(TableDiv[[#Headers],[Agency]])),COLUMNS($F$7:O$7))))</f>
        <v>0</v>
      </c>
      <c r="P229" s="2223" cm="1">
        <f t="array" ref="P229">IF($D229&lt;COLUMNS($F$7:P$7),"",INDEX(TableDiv[[GASB]:[GASB]],_xlfn.AGGREGATE(15,3,(TableDiv[[Agency]:[Agency]]=$E229)/(TableDiv[[Agency]:[Agency]]=$E229)*(ROW(TableDiv[Agency])-ROW(TableDiv[[#Headers],[Agency]])),COLUMNS($F$7:P$7))))</f>
        <v>0</v>
      </c>
      <c r="Q229" s="2223" cm="1">
        <f t="array" ref="Q229">IF($D229&lt;COLUMNS($F$7:Q$7),"",INDEX(TableDiv[[GASB]:[GASB]],_xlfn.AGGREGATE(15,3,(TableDiv[[Agency]:[Agency]]=$E229)/(TableDiv[[Agency]:[Agency]]=$E229)*(ROW(TableDiv[Agency])-ROW(TableDiv[[#Headers],[Agency]])),COLUMNS($F$7:Q$7))))</f>
        <v>0</v>
      </c>
      <c r="R229" s="2223" cm="1">
        <f t="array" ref="R229">IF($D229&lt;COLUMNS($F$7:R$7),"",INDEX(TableDiv[[GASB]:[GASB]],_xlfn.AGGREGATE(15,3,(TableDiv[[Agency]:[Agency]]=$E229)/(TableDiv[[Agency]:[Agency]]=$E229)*(ROW(TableDiv[Agency])-ROW(TableDiv[[#Headers],[Agency]])),COLUMNS($F$7:R$7))))</f>
        <v>0</v>
      </c>
      <c r="S229" s="2223" cm="1">
        <f t="array" ref="S229">IF($D229&lt;COLUMNS($F$7:S$7),"",INDEX(TableDiv[[GASB]:[GASB]],_xlfn.AGGREGATE(15,3,(TableDiv[[Agency]:[Agency]]=$E229)/(TableDiv[[Agency]:[Agency]]=$E229)*(ROW(TableDiv[Agency])-ROW(TableDiv[[#Headers],[Agency]])),COLUMNS($F$7:S$7))))</f>
        <v>0</v>
      </c>
      <c r="T229" s="2223" cm="1">
        <f t="array" ref="T229">IF($D229&lt;COLUMNS($F$7:T$7),"",INDEX(TableDiv[[GASB]:[GASB]],_xlfn.AGGREGATE(15,3,(TableDiv[[Agency]:[Agency]]=$E229)/(TableDiv[[Agency]:[Agency]]=$E229)*(ROW(TableDiv[Agency])-ROW(TableDiv[[#Headers],[Agency]])),COLUMNS($F$7:T$7))))</f>
        <v>0</v>
      </c>
      <c r="U229" s="2223" cm="1">
        <f t="array" ref="U229">IF($D229&lt;COLUMNS($F$7:U$7),"",INDEX(TableDiv[[GASB]:[GASB]],_xlfn.AGGREGATE(15,3,(TableDiv[[Agency]:[Agency]]=$E229)/(TableDiv[[Agency]:[Agency]]=$E229)*(ROW(TableDiv[Agency])-ROW(TableDiv[[#Headers],[Agency]])),COLUMNS($F$7:U$7))))</f>
        <v>0</v>
      </c>
      <c r="V229" s="2223" cm="1">
        <f t="array" ref="V229">IF($D229&lt;COLUMNS($F$7:V$7),"",INDEX(TableDiv[[GASB]:[GASB]],_xlfn.AGGREGATE(15,3,(TableDiv[[Agency]:[Agency]]=$E229)/(TableDiv[[Agency]:[Agency]]=$E229)*(ROW(TableDiv[Agency])-ROW(TableDiv[[#Headers],[Agency]])),COLUMNS($F$7:V$7))))</f>
        <v>0</v>
      </c>
      <c r="W229" s="2223" cm="1">
        <f t="array" ref="W229">IF($D229&lt;COLUMNS($F$7:W$7),"",INDEX(TableDiv[[GASB]:[GASB]],_xlfn.AGGREGATE(15,3,(TableDiv[[Agency]:[Agency]]=$E229)/(TableDiv[[Agency]:[Agency]]=$E229)*(ROW(TableDiv[Agency])-ROW(TableDiv[[#Headers],[Agency]])),COLUMNS($F$7:W$7))))</f>
        <v>0</v>
      </c>
      <c r="X229" s="2223" cm="1">
        <f t="array" ref="X229">IF($D229&lt;COLUMNS($F$7:X$7),"",INDEX(TableDiv[[GASB]:[GASB]],_xlfn.AGGREGATE(15,3,(TableDiv[[Agency]:[Agency]]=$E229)/(TableDiv[[Agency]:[Agency]]=$E229)*(ROW(TableDiv[Agency])-ROW(TableDiv[[#Headers],[Agency]])),COLUMNS($F$7:X$7))))</f>
        <v>0</v>
      </c>
      <c r="Y229" s="2223" cm="1">
        <f t="array" ref="Y229">IF($D229&lt;COLUMNS($F$7:Y$7),"",INDEX(TableDiv[[GASB]:[GASB]],_xlfn.AGGREGATE(15,3,(TableDiv[[Agency]:[Agency]]=$E229)/(TableDiv[[Agency]:[Agency]]=$E229)*(ROW(TableDiv[Agency])-ROW(TableDiv[[#Headers],[Agency]])),COLUMNS($F$7:Y$7))))</f>
        <v>0</v>
      </c>
      <c r="Z229" s="2223" cm="1">
        <f t="array" ref="Z229">IF($D229&lt;COLUMNS($F$7:Z$7),"",INDEX(TableDiv[[GASB]:[GASB]],_xlfn.AGGREGATE(15,3,(TableDiv[[Agency]:[Agency]]=$E229)/(TableDiv[[Agency]:[Agency]]=$E229)*(ROW(TableDiv[Agency])-ROW(TableDiv[[#Headers],[Agency]])),COLUMNS($F$7:Z$7))))</f>
        <v>0</v>
      </c>
      <c r="AA229" s="2223" cm="1">
        <f t="array" ref="AA229">IF($D229&lt;COLUMNS($F$7:AA$7),"",INDEX(TableDiv[[GASB]:[GASB]],_xlfn.AGGREGATE(15,3,(TableDiv[[Agency]:[Agency]]=$E229)/(TableDiv[[Agency]:[Agency]]=$E229)*(ROW(TableDiv[Agency])-ROW(TableDiv[[#Headers],[Agency]])),COLUMNS($F$7:AA$7))))</f>
        <v>0</v>
      </c>
      <c r="AB229" s="2223" cm="1">
        <f t="array" ref="AB229">IF($D229&lt;COLUMNS($F$7:AB$7),"",INDEX(TableDiv[[GASB]:[GASB]],_xlfn.AGGREGATE(15,3,(TableDiv[[Agency]:[Agency]]=$E229)/(TableDiv[[Agency]:[Agency]]=$E229)*(ROW(TableDiv[Agency])-ROW(TableDiv[[#Headers],[Agency]])),COLUMNS($F$7:AB$7))))</f>
        <v>0</v>
      </c>
      <c r="AC229" s="2223" cm="1">
        <f t="array" ref="AC229">IF($D229&lt;COLUMNS($F$7:AC$7),"",INDEX(TableDiv[[GASB]:[GASB]],_xlfn.AGGREGATE(15,3,(TableDiv[[Agency]:[Agency]]=$E229)/(TableDiv[[Agency]:[Agency]]=$E229)*(ROW(TableDiv[Agency])-ROW(TableDiv[[#Headers],[Agency]])),COLUMNS($F$7:AC$7))))</f>
        <v>0</v>
      </c>
      <c r="AD229" s="2223" cm="1">
        <f t="array" ref="AD229">IF($D229&lt;COLUMNS($F$7:AD$7),"",INDEX(TableDiv[[GASB]:[GASB]],_xlfn.AGGREGATE(15,3,(TableDiv[[Agency]:[Agency]]=$E229)/(TableDiv[[Agency]:[Agency]]=$E229)*(ROW(TableDiv[Agency])-ROW(TableDiv[[#Headers],[Agency]])),COLUMNS($F$7:AD$7))))</f>
        <v>0</v>
      </c>
      <c r="AE229" s="2223" cm="1">
        <f t="array" ref="AE229">IF($D229&lt;COLUMNS($F$7:AE$7),"",INDEX(TableDiv[[GASB]:[GASB]],_xlfn.AGGREGATE(15,3,(TableDiv[[Agency]:[Agency]]=$E229)/(TableDiv[[Agency]:[Agency]]=$E229)*(ROW(TableDiv[Agency])-ROW(TableDiv[[#Headers],[Agency]])),COLUMNS($F$7:AE$7))))</f>
        <v>0</v>
      </c>
      <c r="AF229" s="2223" cm="1">
        <f t="array" ref="AF229">IF($D229&lt;COLUMNS($F$7:AF$7),"",INDEX(TableDiv[[GASB]:[GASB]],_xlfn.AGGREGATE(15,3,(TableDiv[[Agency]:[Agency]]=$E229)/(TableDiv[[Agency]:[Agency]]=$E229)*(ROW(TableDiv[Agency])-ROW(TableDiv[[#Headers],[Agency]])),COLUMNS($F$7:AF$7))))</f>
        <v>0</v>
      </c>
      <c r="AG229" s="2223" cm="1">
        <f t="array" ref="AG229">IF($D229&lt;COLUMNS($F$7:AG$7),"",INDEX(TableDiv[[GASB]:[GASB]],_xlfn.AGGREGATE(15,3,(TableDiv[[Agency]:[Agency]]=$E229)/(TableDiv[[Agency]:[Agency]]=$E229)*(ROW(TableDiv[Agency])-ROW(TableDiv[[#Headers],[Agency]])),COLUMNS($F$7:AG$7))))</f>
        <v>0</v>
      </c>
      <c r="AH229" s="2223" cm="1">
        <f t="array" ref="AH229">IF($D229&lt;COLUMNS($F$7:AH$7),"",INDEX(TableDiv[[GASB]:[GASB]],_xlfn.AGGREGATE(15,3,(TableDiv[[Agency]:[Agency]]=$E229)/(TableDiv[[Agency]:[Agency]]=$E229)*(ROW(TableDiv[Agency])-ROW(TableDiv[[#Headers],[Agency]])),COLUMNS($F$7:AH$7))))</f>
        <v>0</v>
      </c>
      <c r="AI229" s="2223" cm="1">
        <f t="array" ref="AI229">IF($D229&lt;COLUMNS($F$7:AI$7),"",INDEX(TableDiv[[GASB]:[GASB]],_xlfn.AGGREGATE(15,3,(TableDiv[[Agency]:[Agency]]=$E229)/(TableDiv[[Agency]:[Agency]]=$E229)*(ROW(TableDiv[Agency])-ROW(TableDiv[[#Headers],[Agency]])),COLUMNS($F$7:AI$7))))</f>
        <v>0</v>
      </c>
      <c r="AJ229" s="2223" cm="1">
        <f t="array" ref="AJ229">IF($D229&lt;COLUMNS($F$7:AJ$7),"",INDEX(TableDiv[[GASB]:[GASB]],_xlfn.AGGREGATE(15,3,(TableDiv[[Agency]:[Agency]]=$E229)/(TableDiv[[Agency]:[Agency]]=$E229)*(ROW(TableDiv[Agency])-ROW(TableDiv[[#Headers],[Agency]])),COLUMNS($F$7:AJ$7))))</f>
        <v>0</v>
      </c>
      <c r="AK229" s="2223" t="str" cm="1">
        <f t="array" ref="AK229">IF($D229&lt;COLUMNS($F$7:AK$7),"",INDEX(TableDiv[[GASB]:[GASB]],_xlfn.AGGREGATE(15,3,(TableDiv[[Agency]:[Agency]]=$E229)/(TableDiv[[Agency]:[Agency]]=$E229)*(ROW(TableDiv[Agency])-ROW(TableDiv[[#Headers],[Agency]])),COLUMNS($F$7:AK$7))))</f>
        <v/>
      </c>
      <c r="AL229" s="2223" t="str" cm="1">
        <f t="array" ref="AL229">IF($D229&lt;COLUMNS($F$7:AL$7),"",INDEX(TableDiv[[GASB]:[GASB]],_xlfn.AGGREGATE(15,3,(TableDiv[[Agency]:[Agency]]=$E229)/(TableDiv[[Agency]:[Agency]]=$E229)*(ROW(TableDiv[Agency])-ROW(TableDiv[[#Headers],[Agency]])),COLUMNS($F$7:AL$7))))</f>
        <v/>
      </c>
      <c r="AM229" s="2223" t="str" cm="1">
        <f t="array" ref="AM229">IF($D229&lt;COLUMNS($F$7:AM$7),"",INDEX(TableDiv[[GASB]:[GASB]],_xlfn.AGGREGATE(15,3,(TableDiv[[Agency]:[Agency]]=$E229)/(TableDiv[[Agency]:[Agency]]=$E229)*(ROW(TableDiv[Agency])-ROW(TableDiv[[#Headers],[Agency]])),COLUMNS($F$7:AM$7))))</f>
        <v/>
      </c>
      <c r="AN229" s="2223"/>
      <c r="AO229" s="2223"/>
      <c r="AP229" s="2223"/>
      <c r="AQ229" s="2223"/>
      <c r="AR229" s="2223"/>
      <c r="AS229" s="2223"/>
    </row>
    <row r="230" spans="1:45" ht="15" x14ac:dyDescent="0.25">
      <c r="A230" s="2219" t="s">
        <v>6460</v>
      </c>
      <c r="B230" s="2219" t="s">
        <v>6361</v>
      </c>
      <c r="C230" s="2223"/>
      <c r="D230" s="2223">
        <f>COUNTIF(TableDiv[Agency],E230)</f>
        <v>31</v>
      </c>
      <c r="E230" s="2230" t="str" cm="1">
        <f t="array" ref="E230">IFERROR(INDEX(TableDiv[Agency],MATCH(0,INDEX(COUNTIF($E$7:E229,TableDiv[Agency]),),0)),"")</f>
        <v/>
      </c>
      <c r="F230" s="2223" cm="1">
        <f t="array" ref="F230">IF($D230&lt;COLUMNS($F$7:F$7),"",INDEX(TableDiv[[GASB]:[GASB]],_xlfn.AGGREGATE(15,3,(TableDiv[[Agency]:[Agency]]=$E230)/(TableDiv[[Agency]:[Agency]]=$E230)*(ROW(TableDiv[Agency])-ROW(TableDiv[[#Headers],[Agency]])),COLUMNS($F$7:F$7))))</f>
        <v>0</v>
      </c>
      <c r="G230" s="2223" cm="1">
        <f t="array" ref="G230">IF($D230&lt;COLUMNS($F$7:G$7),"",INDEX(TableDiv[[GASB]:[GASB]],_xlfn.AGGREGATE(15,3,(TableDiv[[Agency]:[Agency]]=$E230)/(TableDiv[[Agency]:[Agency]]=$E230)*(ROW(TableDiv[Agency])-ROW(TableDiv[[#Headers],[Agency]])),COLUMNS($F$7:G$7))))</f>
        <v>0</v>
      </c>
      <c r="H230" s="2223" cm="1">
        <f t="array" ref="H230">IF($D230&lt;COLUMNS($F$7:H$7),"",INDEX(TableDiv[[GASB]:[GASB]],_xlfn.AGGREGATE(15,3,(TableDiv[[Agency]:[Agency]]=$E230)/(TableDiv[[Agency]:[Agency]]=$E230)*(ROW(TableDiv[Agency])-ROW(TableDiv[[#Headers],[Agency]])),COLUMNS($F$7:H$7))))</f>
        <v>0</v>
      </c>
      <c r="I230" s="2223" cm="1">
        <f t="array" ref="I230">IF($D230&lt;COLUMNS($F$7:I$7),"",INDEX(TableDiv[[GASB]:[GASB]],_xlfn.AGGREGATE(15,3,(TableDiv[[Agency]:[Agency]]=$E230)/(TableDiv[[Agency]:[Agency]]=$E230)*(ROW(TableDiv[Agency])-ROW(TableDiv[[#Headers],[Agency]])),COLUMNS($F$7:I$7))))</f>
        <v>0</v>
      </c>
      <c r="J230" s="2223" cm="1">
        <f t="array" ref="J230">IF($D230&lt;COLUMNS($F$7:J$7),"",INDEX(TableDiv[[GASB]:[GASB]],_xlfn.AGGREGATE(15,3,(TableDiv[[Agency]:[Agency]]=$E230)/(TableDiv[[Agency]:[Agency]]=$E230)*(ROW(TableDiv[Agency])-ROW(TableDiv[[#Headers],[Agency]])),COLUMNS($F$7:J$7))))</f>
        <v>0</v>
      </c>
      <c r="K230" s="2223" cm="1">
        <f t="array" ref="K230">IF($D230&lt;COLUMNS($F$7:K$7),"",INDEX(TableDiv[[GASB]:[GASB]],_xlfn.AGGREGATE(15,3,(TableDiv[[Agency]:[Agency]]=$E230)/(TableDiv[[Agency]:[Agency]]=$E230)*(ROW(TableDiv[Agency])-ROW(TableDiv[[#Headers],[Agency]])),COLUMNS($F$7:K$7))))</f>
        <v>0</v>
      </c>
      <c r="L230" s="2223" cm="1">
        <f t="array" ref="L230">IF($D230&lt;COLUMNS($F$7:L$7),"",INDEX(TableDiv[[GASB]:[GASB]],_xlfn.AGGREGATE(15,3,(TableDiv[[Agency]:[Agency]]=$E230)/(TableDiv[[Agency]:[Agency]]=$E230)*(ROW(TableDiv[Agency])-ROW(TableDiv[[#Headers],[Agency]])),COLUMNS($F$7:L$7))))</f>
        <v>0</v>
      </c>
      <c r="M230" s="2223" cm="1">
        <f t="array" ref="M230">IF($D230&lt;COLUMNS($F$7:M$7),"",INDEX(TableDiv[[GASB]:[GASB]],_xlfn.AGGREGATE(15,3,(TableDiv[[Agency]:[Agency]]=$E230)/(TableDiv[[Agency]:[Agency]]=$E230)*(ROW(TableDiv[Agency])-ROW(TableDiv[[#Headers],[Agency]])),COLUMNS($F$7:M$7))))</f>
        <v>0</v>
      </c>
      <c r="N230" s="2223" cm="1">
        <f t="array" ref="N230">IF($D230&lt;COLUMNS($F$7:N$7),"",INDEX(TableDiv[[GASB]:[GASB]],_xlfn.AGGREGATE(15,3,(TableDiv[[Agency]:[Agency]]=$E230)/(TableDiv[[Agency]:[Agency]]=$E230)*(ROW(TableDiv[Agency])-ROW(TableDiv[[#Headers],[Agency]])),COLUMNS($F$7:N$7))))</f>
        <v>0</v>
      </c>
      <c r="O230" s="2223" cm="1">
        <f t="array" ref="O230">IF($D230&lt;COLUMNS($F$7:O$7),"",INDEX(TableDiv[[GASB]:[GASB]],_xlfn.AGGREGATE(15,3,(TableDiv[[Agency]:[Agency]]=$E230)/(TableDiv[[Agency]:[Agency]]=$E230)*(ROW(TableDiv[Agency])-ROW(TableDiv[[#Headers],[Agency]])),COLUMNS($F$7:O$7))))</f>
        <v>0</v>
      </c>
      <c r="P230" s="2223" cm="1">
        <f t="array" ref="P230">IF($D230&lt;COLUMNS($F$7:P$7),"",INDEX(TableDiv[[GASB]:[GASB]],_xlfn.AGGREGATE(15,3,(TableDiv[[Agency]:[Agency]]=$E230)/(TableDiv[[Agency]:[Agency]]=$E230)*(ROW(TableDiv[Agency])-ROW(TableDiv[[#Headers],[Agency]])),COLUMNS($F$7:P$7))))</f>
        <v>0</v>
      </c>
      <c r="Q230" s="2223" cm="1">
        <f t="array" ref="Q230">IF($D230&lt;COLUMNS($F$7:Q$7),"",INDEX(TableDiv[[GASB]:[GASB]],_xlfn.AGGREGATE(15,3,(TableDiv[[Agency]:[Agency]]=$E230)/(TableDiv[[Agency]:[Agency]]=$E230)*(ROW(TableDiv[Agency])-ROW(TableDiv[[#Headers],[Agency]])),COLUMNS($F$7:Q$7))))</f>
        <v>0</v>
      </c>
      <c r="R230" s="2223" cm="1">
        <f t="array" ref="R230">IF($D230&lt;COLUMNS($F$7:R$7),"",INDEX(TableDiv[[GASB]:[GASB]],_xlfn.AGGREGATE(15,3,(TableDiv[[Agency]:[Agency]]=$E230)/(TableDiv[[Agency]:[Agency]]=$E230)*(ROW(TableDiv[Agency])-ROW(TableDiv[[#Headers],[Agency]])),COLUMNS($F$7:R$7))))</f>
        <v>0</v>
      </c>
      <c r="S230" s="2223" cm="1">
        <f t="array" ref="S230">IF($D230&lt;COLUMNS($F$7:S$7),"",INDEX(TableDiv[[GASB]:[GASB]],_xlfn.AGGREGATE(15,3,(TableDiv[[Agency]:[Agency]]=$E230)/(TableDiv[[Agency]:[Agency]]=$E230)*(ROW(TableDiv[Agency])-ROW(TableDiv[[#Headers],[Agency]])),COLUMNS($F$7:S$7))))</f>
        <v>0</v>
      </c>
      <c r="T230" s="2223" cm="1">
        <f t="array" ref="T230">IF($D230&lt;COLUMNS($F$7:T$7),"",INDEX(TableDiv[[GASB]:[GASB]],_xlfn.AGGREGATE(15,3,(TableDiv[[Agency]:[Agency]]=$E230)/(TableDiv[[Agency]:[Agency]]=$E230)*(ROW(TableDiv[Agency])-ROW(TableDiv[[#Headers],[Agency]])),COLUMNS($F$7:T$7))))</f>
        <v>0</v>
      </c>
      <c r="U230" s="2223" cm="1">
        <f t="array" ref="U230">IF($D230&lt;COLUMNS($F$7:U$7),"",INDEX(TableDiv[[GASB]:[GASB]],_xlfn.AGGREGATE(15,3,(TableDiv[[Agency]:[Agency]]=$E230)/(TableDiv[[Agency]:[Agency]]=$E230)*(ROW(TableDiv[Agency])-ROW(TableDiv[[#Headers],[Agency]])),COLUMNS($F$7:U$7))))</f>
        <v>0</v>
      </c>
      <c r="V230" s="2223" cm="1">
        <f t="array" ref="V230">IF($D230&lt;COLUMNS($F$7:V$7),"",INDEX(TableDiv[[GASB]:[GASB]],_xlfn.AGGREGATE(15,3,(TableDiv[[Agency]:[Agency]]=$E230)/(TableDiv[[Agency]:[Agency]]=$E230)*(ROW(TableDiv[Agency])-ROW(TableDiv[[#Headers],[Agency]])),COLUMNS($F$7:V$7))))</f>
        <v>0</v>
      </c>
      <c r="W230" s="2223" cm="1">
        <f t="array" ref="W230">IF($D230&lt;COLUMNS($F$7:W$7),"",INDEX(TableDiv[[GASB]:[GASB]],_xlfn.AGGREGATE(15,3,(TableDiv[[Agency]:[Agency]]=$E230)/(TableDiv[[Agency]:[Agency]]=$E230)*(ROW(TableDiv[Agency])-ROW(TableDiv[[#Headers],[Agency]])),COLUMNS($F$7:W$7))))</f>
        <v>0</v>
      </c>
      <c r="X230" s="2223" cm="1">
        <f t="array" ref="X230">IF($D230&lt;COLUMNS($F$7:X$7),"",INDEX(TableDiv[[GASB]:[GASB]],_xlfn.AGGREGATE(15,3,(TableDiv[[Agency]:[Agency]]=$E230)/(TableDiv[[Agency]:[Agency]]=$E230)*(ROW(TableDiv[Agency])-ROW(TableDiv[[#Headers],[Agency]])),COLUMNS($F$7:X$7))))</f>
        <v>0</v>
      </c>
      <c r="Y230" s="2223" cm="1">
        <f t="array" ref="Y230">IF($D230&lt;COLUMNS($F$7:Y$7),"",INDEX(TableDiv[[GASB]:[GASB]],_xlfn.AGGREGATE(15,3,(TableDiv[[Agency]:[Agency]]=$E230)/(TableDiv[[Agency]:[Agency]]=$E230)*(ROW(TableDiv[Agency])-ROW(TableDiv[[#Headers],[Agency]])),COLUMNS($F$7:Y$7))))</f>
        <v>0</v>
      </c>
      <c r="Z230" s="2223" cm="1">
        <f t="array" ref="Z230">IF($D230&lt;COLUMNS($F$7:Z$7),"",INDEX(TableDiv[[GASB]:[GASB]],_xlfn.AGGREGATE(15,3,(TableDiv[[Agency]:[Agency]]=$E230)/(TableDiv[[Agency]:[Agency]]=$E230)*(ROW(TableDiv[Agency])-ROW(TableDiv[[#Headers],[Agency]])),COLUMNS($F$7:Z$7))))</f>
        <v>0</v>
      </c>
      <c r="AA230" s="2223" cm="1">
        <f t="array" ref="AA230">IF($D230&lt;COLUMNS($F$7:AA$7),"",INDEX(TableDiv[[GASB]:[GASB]],_xlfn.AGGREGATE(15,3,(TableDiv[[Agency]:[Agency]]=$E230)/(TableDiv[[Agency]:[Agency]]=$E230)*(ROW(TableDiv[Agency])-ROW(TableDiv[[#Headers],[Agency]])),COLUMNS($F$7:AA$7))))</f>
        <v>0</v>
      </c>
      <c r="AB230" s="2223" cm="1">
        <f t="array" ref="AB230">IF($D230&lt;COLUMNS($F$7:AB$7),"",INDEX(TableDiv[[GASB]:[GASB]],_xlfn.AGGREGATE(15,3,(TableDiv[[Agency]:[Agency]]=$E230)/(TableDiv[[Agency]:[Agency]]=$E230)*(ROW(TableDiv[Agency])-ROW(TableDiv[[#Headers],[Agency]])),COLUMNS($F$7:AB$7))))</f>
        <v>0</v>
      </c>
      <c r="AC230" s="2223" cm="1">
        <f t="array" ref="AC230">IF($D230&lt;COLUMNS($F$7:AC$7),"",INDEX(TableDiv[[GASB]:[GASB]],_xlfn.AGGREGATE(15,3,(TableDiv[[Agency]:[Agency]]=$E230)/(TableDiv[[Agency]:[Agency]]=$E230)*(ROW(TableDiv[Agency])-ROW(TableDiv[[#Headers],[Agency]])),COLUMNS($F$7:AC$7))))</f>
        <v>0</v>
      </c>
      <c r="AD230" s="2223" cm="1">
        <f t="array" ref="AD230">IF($D230&lt;COLUMNS($F$7:AD$7),"",INDEX(TableDiv[[GASB]:[GASB]],_xlfn.AGGREGATE(15,3,(TableDiv[[Agency]:[Agency]]=$E230)/(TableDiv[[Agency]:[Agency]]=$E230)*(ROW(TableDiv[Agency])-ROW(TableDiv[[#Headers],[Agency]])),COLUMNS($F$7:AD$7))))</f>
        <v>0</v>
      </c>
      <c r="AE230" s="2223" cm="1">
        <f t="array" ref="AE230">IF($D230&lt;COLUMNS($F$7:AE$7),"",INDEX(TableDiv[[GASB]:[GASB]],_xlfn.AGGREGATE(15,3,(TableDiv[[Agency]:[Agency]]=$E230)/(TableDiv[[Agency]:[Agency]]=$E230)*(ROW(TableDiv[Agency])-ROW(TableDiv[[#Headers],[Agency]])),COLUMNS($F$7:AE$7))))</f>
        <v>0</v>
      </c>
      <c r="AF230" s="2223" cm="1">
        <f t="array" ref="AF230">IF($D230&lt;COLUMNS($F$7:AF$7),"",INDEX(TableDiv[[GASB]:[GASB]],_xlfn.AGGREGATE(15,3,(TableDiv[[Agency]:[Agency]]=$E230)/(TableDiv[[Agency]:[Agency]]=$E230)*(ROW(TableDiv[Agency])-ROW(TableDiv[[#Headers],[Agency]])),COLUMNS($F$7:AF$7))))</f>
        <v>0</v>
      </c>
      <c r="AG230" s="2223" cm="1">
        <f t="array" ref="AG230">IF($D230&lt;COLUMNS($F$7:AG$7),"",INDEX(TableDiv[[GASB]:[GASB]],_xlfn.AGGREGATE(15,3,(TableDiv[[Agency]:[Agency]]=$E230)/(TableDiv[[Agency]:[Agency]]=$E230)*(ROW(TableDiv[Agency])-ROW(TableDiv[[#Headers],[Agency]])),COLUMNS($F$7:AG$7))))</f>
        <v>0</v>
      </c>
      <c r="AH230" s="2223" cm="1">
        <f t="array" ref="AH230">IF($D230&lt;COLUMNS($F$7:AH$7),"",INDEX(TableDiv[[GASB]:[GASB]],_xlfn.AGGREGATE(15,3,(TableDiv[[Agency]:[Agency]]=$E230)/(TableDiv[[Agency]:[Agency]]=$E230)*(ROW(TableDiv[Agency])-ROW(TableDiv[[#Headers],[Agency]])),COLUMNS($F$7:AH$7))))</f>
        <v>0</v>
      </c>
      <c r="AI230" s="2223" cm="1">
        <f t="array" ref="AI230">IF($D230&lt;COLUMNS($F$7:AI$7),"",INDEX(TableDiv[[GASB]:[GASB]],_xlfn.AGGREGATE(15,3,(TableDiv[[Agency]:[Agency]]=$E230)/(TableDiv[[Agency]:[Agency]]=$E230)*(ROW(TableDiv[Agency])-ROW(TableDiv[[#Headers],[Agency]])),COLUMNS($F$7:AI$7))))</f>
        <v>0</v>
      </c>
      <c r="AJ230" s="2223" cm="1">
        <f t="array" ref="AJ230">IF($D230&lt;COLUMNS($F$7:AJ$7),"",INDEX(TableDiv[[GASB]:[GASB]],_xlfn.AGGREGATE(15,3,(TableDiv[[Agency]:[Agency]]=$E230)/(TableDiv[[Agency]:[Agency]]=$E230)*(ROW(TableDiv[Agency])-ROW(TableDiv[[#Headers],[Agency]])),COLUMNS($F$7:AJ$7))))</f>
        <v>0</v>
      </c>
      <c r="AK230" s="2223" t="str" cm="1">
        <f t="array" ref="AK230">IF($D230&lt;COLUMNS($F$7:AK$7),"",INDEX(TableDiv[[GASB]:[GASB]],_xlfn.AGGREGATE(15,3,(TableDiv[[Agency]:[Agency]]=$E230)/(TableDiv[[Agency]:[Agency]]=$E230)*(ROW(TableDiv[Agency])-ROW(TableDiv[[#Headers],[Agency]])),COLUMNS($F$7:AK$7))))</f>
        <v/>
      </c>
      <c r="AL230" s="2223" t="str" cm="1">
        <f t="array" ref="AL230">IF($D230&lt;COLUMNS($F$7:AL$7),"",INDEX(TableDiv[[GASB]:[GASB]],_xlfn.AGGREGATE(15,3,(TableDiv[[Agency]:[Agency]]=$E230)/(TableDiv[[Agency]:[Agency]]=$E230)*(ROW(TableDiv[Agency])-ROW(TableDiv[[#Headers],[Agency]])),COLUMNS($F$7:AL$7))))</f>
        <v/>
      </c>
      <c r="AM230" s="2223" t="str" cm="1">
        <f t="array" ref="AM230">IF($D230&lt;COLUMNS($F$7:AM$7),"",INDEX(TableDiv[[GASB]:[GASB]],_xlfn.AGGREGATE(15,3,(TableDiv[[Agency]:[Agency]]=$E230)/(TableDiv[[Agency]:[Agency]]=$E230)*(ROW(TableDiv[Agency])-ROW(TableDiv[[#Headers],[Agency]])),COLUMNS($F$7:AM$7))))</f>
        <v/>
      </c>
      <c r="AN230" s="2223"/>
      <c r="AO230" s="2223"/>
      <c r="AP230" s="2223"/>
      <c r="AQ230" s="2223"/>
      <c r="AR230" s="2223"/>
      <c r="AS230" s="2223"/>
    </row>
    <row r="231" spans="1:45" ht="15" x14ac:dyDescent="0.25">
      <c r="A231" s="2219" t="s">
        <v>6460</v>
      </c>
      <c r="B231" s="2219" t="s">
        <v>6358</v>
      </c>
      <c r="C231" s="2223"/>
      <c r="D231" s="2223">
        <f>COUNTIF(TableDiv[Agency],E231)</f>
        <v>31</v>
      </c>
      <c r="E231" s="2230" t="str" cm="1">
        <f t="array" ref="E231">IFERROR(INDEX(TableDiv[Agency],MATCH(0,INDEX(COUNTIF($E$7:E230,TableDiv[Agency]),),0)),"")</f>
        <v/>
      </c>
      <c r="F231" s="2223" cm="1">
        <f t="array" ref="F231">IF($D231&lt;COLUMNS($F$7:F$7),"",INDEX(TableDiv[[GASB]:[GASB]],_xlfn.AGGREGATE(15,3,(TableDiv[[Agency]:[Agency]]=$E231)/(TableDiv[[Agency]:[Agency]]=$E231)*(ROW(TableDiv[Agency])-ROW(TableDiv[[#Headers],[Agency]])),COLUMNS($F$7:F$7))))</f>
        <v>0</v>
      </c>
      <c r="G231" s="2223" cm="1">
        <f t="array" ref="G231">IF($D231&lt;COLUMNS($F$7:G$7),"",INDEX(TableDiv[[GASB]:[GASB]],_xlfn.AGGREGATE(15,3,(TableDiv[[Agency]:[Agency]]=$E231)/(TableDiv[[Agency]:[Agency]]=$E231)*(ROW(TableDiv[Agency])-ROW(TableDiv[[#Headers],[Agency]])),COLUMNS($F$7:G$7))))</f>
        <v>0</v>
      </c>
      <c r="H231" s="2223" cm="1">
        <f t="array" ref="H231">IF($D231&lt;COLUMNS($F$7:H$7),"",INDEX(TableDiv[[GASB]:[GASB]],_xlfn.AGGREGATE(15,3,(TableDiv[[Agency]:[Agency]]=$E231)/(TableDiv[[Agency]:[Agency]]=$E231)*(ROW(TableDiv[Agency])-ROW(TableDiv[[#Headers],[Agency]])),COLUMNS($F$7:H$7))))</f>
        <v>0</v>
      </c>
      <c r="I231" s="2223" cm="1">
        <f t="array" ref="I231">IF($D231&lt;COLUMNS($F$7:I$7),"",INDEX(TableDiv[[GASB]:[GASB]],_xlfn.AGGREGATE(15,3,(TableDiv[[Agency]:[Agency]]=$E231)/(TableDiv[[Agency]:[Agency]]=$E231)*(ROW(TableDiv[Agency])-ROW(TableDiv[[#Headers],[Agency]])),COLUMNS($F$7:I$7))))</f>
        <v>0</v>
      </c>
      <c r="J231" s="2223" cm="1">
        <f t="array" ref="J231">IF($D231&lt;COLUMNS($F$7:J$7),"",INDEX(TableDiv[[GASB]:[GASB]],_xlfn.AGGREGATE(15,3,(TableDiv[[Agency]:[Agency]]=$E231)/(TableDiv[[Agency]:[Agency]]=$E231)*(ROW(TableDiv[Agency])-ROW(TableDiv[[#Headers],[Agency]])),COLUMNS($F$7:J$7))))</f>
        <v>0</v>
      </c>
      <c r="K231" s="2223" cm="1">
        <f t="array" ref="K231">IF($D231&lt;COLUMNS($F$7:K$7),"",INDEX(TableDiv[[GASB]:[GASB]],_xlfn.AGGREGATE(15,3,(TableDiv[[Agency]:[Agency]]=$E231)/(TableDiv[[Agency]:[Agency]]=$E231)*(ROW(TableDiv[Agency])-ROW(TableDiv[[#Headers],[Agency]])),COLUMNS($F$7:K$7))))</f>
        <v>0</v>
      </c>
      <c r="L231" s="2223" cm="1">
        <f t="array" ref="L231">IF($D231&lt;COLUMNS($F$7:L$7),"",INDEX(TableDiv[[GASB]:[GASB]],_xlfn.AGGREGATE(15,3,(TableDiv[[Agency]:[Agency]]=$E231)/(TableDiv[[Agency]:[Agency]]=$E231)*(ROW(TableDiv[Agency])-ROW(TableDiv[[#Headers],[Agency]])),COLUMNS($F$7:L$7))))</f>
        <v>0</v>
      </c>
      <c r="M231" s="2223" cm="1">
        <f t="array" ref="M231">IF($D231&lt;COLUMNS($F$7:M$7),"",INDEX(TableDiv[[GASB]:[GASB]],_xlfn.AGGREGATE(15,3,(TableDiv[[Agency]:[Agency]]=$E231)/(TableDiv[[Agency]:[Agency]]=$E231)*(ROW(TableDiv[Agency])-ROW(TableDiv[[#Headers],[Agency]])),COLUMNS($F$7:M$7))))</f>
        <v>0</v>
      </c>
      <c r="N231" s="2223" cm="1">
        <f t="array" ref="N231">IF($D231&lt;COLUMNS($F$7:N$7),"",INDEX(TableDiv[[GASB]:[GASB]],_xlfn.AGGREGATE(15,3,(TableDiv[[Agency]:[Agency]]=$E231)/(TableDiv[[Agency]:[Agency]]=$E231)*(ROW(TableDiv[Agency])-ROW(TableDiv[[#Headers],[Agency]])),COLUMNS($F$7:N$7))))</f>
        <v>0</v>
      </c>
      <c r="O231" s="2223" cm="1">
        <f t="array" ref="O231">IF($D231&lt;COLUMNS($F$7:O$7),"",INDEX(TableDiv[[GASB]:[GASB]],_xlfn.AGGREGATE(15,3,(TableDiv[[Agency]:[Agency]]=$E231)/(TableDiv[[Agency]:[Agency]]=$E231)*(ROW(TableDiv[Agency])-ROW(TableDiv[[#Headers],[Agency]])),COLUMNS($F$7:O$7))))</f>
        <v>0</v>
      </c>
      <c r="P231" s="2223" cm="1">
        <f t="array" ref="P231">IF($D231&lt;COLUMNS($F$7:P$7),"",INDEX(TableDiv[[GASB]:[GASB]],_xlfn.AGGREGATE(15,3,(TableDiv[[Agency]:[Agency]]=$E231)/(TableDiv[[Agency]:[Agency]]=$E231)*(ROW(TableDiv[Agency])-ROW(TableDiv[[#Headers],[Agency]])),COLUMNS($F$7:P$7))))</f>
        <v>0</v>
      </c>
      <c r="Q231" s="2223" cm="1">
        <f t="array" ref="Q231">IF($D231&lt;COLUMNS($F$7:Q$7),"",INDEX(TableDiv[[GASB]:[GASB]],_xlfn.AGGREGATE(15,3,(TableDiv[[Agency]:[Agency]]=$E231)/(TableDiv[[Agency]:[Agency]]=$E231)*(ROW(TableDiv[Agency])-ROW(TableDiv[[#Headers],[Agency]])),COLUMNS($F$7:Q$7))))</f>
        <v>0</v>
      </c>
      <c r="R231" s="2223" cm="1">
        <f t="array" ref="R231">IF($D231&lt;COLUMNS($F$7:R$7),"",INDEX(TableDiv[[GASB]:[GASB]],_xlfn.AGGREGATE(15,3,(TableDiv[[Agency]:[Agency]]=$E231)/(TableDiv[[Agency]:[Agency]]=$E231)*(ROW(TableDiv[Agency])-ROW(TableDiv[[#Headers],[Agency]])),COLUMNS($F$7:R$7))))</f>
        <v>0</v>
      </c>
      <c r="S231" s="2223" cm="1">
        <f t="array" ref="S231">IF($D231&lt;COLUMNS($F$7:S$7),"",INDEX(TableDiv[[GASB]:[GASB]],_xlfn.AGGREGATE(15,3,(TableDiv[[Agency]:[Agency]]=$E231)/(TableDiv[[Agency]:[Agency]]=$E231)*(ROW(TableDiv[Agency])-ROW(TableDiv[[#Headers],[Agency]])),COLUMNS($F$7:S$7))))</f>
        <v>0</v>
      </c>
      <c r="T231" s="2223" cm="1">
        <f t="array" ref="T231">IF($D231&lt;COLUMNS($F$7:T$7),"",INDEX(TableDiv[[GASB]:[GASB]],_xlfn.AGGREGATE(15,3,(TableDiv[[Agency]:[Agency]]=$E231)/(TableDiv[[Agency]:[Agency]]=$E231)*(ROW(TableDiv[Agency])-ROW(TableDiv[[#Headers],[Agency]])),COLUMNS($F$7:T$7))))</f>
        <v>0</v>
      </c>
      <c r="U231" s="2223" cm="1">
        <f t="array" ref="U231">IF($D231&lt;COLUMNS($F$7:U$7),"",INDEX(TableDiv[[GASB]:[GASB]],_xlfn.AGGREGATE(15,3,(TableDiv[[Agency]:[Agency]]=$E231)/(TableDiv[[Agency]:[Agency]]=$E231)*(ROW(TableDiv[Agency])-ROW(TableDiv[[#Headers],[Agency]])),COLUMNS($F$7:U$7))))</f>
        <v>0</v>
      </c>
      <c r="V231" s="2223" cm="1">
        <f t="array" ref="V231">IF($D231&lt;COLUMNS($F$7:V$7),"",INDEX(TableDiv[[GASB]:[GASB]],_xlfn.AGGREGATE(15,3,(TableDiv[[Agency]:[Agency]]=$E231)/(TableDiv[[Agency]:[Agency]]=$E231)*(ROW(TableDiv[Agency])-ROW(TableDiv[[#Headers],[Agency]])),COLUMNS($F$7:V$7))))</f>
        <v>0</v>
      </c>
      <c r="W231" s="2223" cm="1">
        <f t="array" ref="W231">IF($D231&lt;COLUMNS($F$7:W$7),"",INDEX(TableDiv[[GASB]:[GASB]],_xlfn.AGGREGATE(15,3,(TableDiv[[Agency]:[Agency]]=$E231)/(TableDiv[[Agency]:[Agency]]=$E231)*(ROW(TableDiv[Agency])-ROW(TableDiv[[#Headers],[Agency]])),COLUMNS($F$7:W$7))))</f>
        <v>0</v>
      </c>
      <c r="X231" s="2223" cm="1">
        <f t="array" ref="X231">IF($D231&lt;COLUMNS($F$7:X$7),"",INDEX(TableDiv[[GASB]:[GASB]],_xlfn.AGGREGATE(15,3,(TableDiv[[Agency]:[Agency]]=$E231)/(TableDiv[[Agency]:[Agency]]=$E231)*(ROW(TableDiv[Agency])-ROW(TableDiv[[#Headers],[Agency]])),COLUMNS($F$7:X$7))))</f>
        <v>0</v>
      </c>
      <c r="Y231" s="2223" cm="1">
        <f t="array" ref="Y231">IF($D231&lt;COLUMNS($F$7:Y$7),"",INDEX(TableDiv[[GASB]:[GASB]],_xlfn.AGGREGATE(15,3,(TableDiv[[Agency]:[Agency]]=$E231)/(TableDiv[[Agency]:[Agency]]=$E231)*(ROW(TableDiv[Agency])-ROW(TableDiv[[#Headers],[Agency]])),COLUMNS($F$7:Y$7))))</f>
        <v>0</v>
      </c>
      <c r="Z231" s="2223" cm="1">
        <f t="array" ref="Z231">IF($D231&lt;COLUMNS($F$7:Z$7),"",INDEX(TableDiv[[GASB]:[GASB]],_xlfn.AGGREGATE(15,3,(TableDiv[[Agency]:[Agency]]=$E231)/(TableDiv[[Agency]:[Agency]]=$E231)*(ROW(TableDiv[Agency])-ROW(TableDiv[[#Headers],[Agency]])),COLUMNS($F$7:Z$7))))</f>
        <v>0</v>
      </c>
      <c r="AA231" s="2223" cm="1">
        <f t="array" ref="AA231">IF($D231&lt;COLUMNS($F$7:AA$7),"",INDEX(TableDiv[[GASB]:[GASB]],_xlfn.AGGREGATE(15,3,(TableDiv[[Agency]:[Agency]]=$E231)/(TableDiv[[Agency]:[Agency]]=$E231)*(ROW(TableDiv[Agency])-ROW(TableDiv[[#Headers],[Agency]])),COLUMNS($F$7:AA$7))))</f>
        <v>0</v>
      </c>
      <c r="AB231" s="2223" cm="1">
        <f t="array" ref="AB231">IF($D231&lt;COLUMNS($F$7:AB$7),"",INDEX(TableDiv[[GASB]:[GASB]],_xlfn.AGGREGATE(15,3,(TableDiv[[Agency]:[Agency]]=$E231)/(TableDiv[[Agency]:[Agency]]=$E231)*(ROW(TableDiv[Agency])-ROW(TableDiv[[#Headers],[Agency]])),COLUMNS($F$7:AB$7))))</f>
        <v>0</v>
      </c>
      <c r="AC231" s="2223" cm="1">
        <f t="array" ref="AC231">IF($D231&lt;COLUMNS($F$7:AC$7),"",INDEX(TableDiv[[GASB]:[GASB]],_xlfn.AGGREGATE(15,3,(TableDiv[[Agency]:[Agency]]=$E231)/(TableDiv[[Agency]:[Agency]]=$E231)*(ROW(TableDiv[Agency])-ROW(TableDiv[[#Headers],[Agency]])),COLUMNS($F$7:AC$7))))</f>
        <v>0</v>
      </c>
      <c r="AD231" s="2223" cm="1">
        <f t="array" ref="AD231">IF($D231&lt;COLUMNS($F$7:AD$7),"",INDEX(TableDiv[[GASB]:[GASB]],_xlfn.AGGREGATE(15,3,(TableDiv[[Agency]:[Agency]]=$E231)/(TableDiv[[Agency]:[Agency]]=$E231)*(ROW(TableDiv[Agency])-ROW(TableDiv[[#Headers],[Agency]])),COLUMNS($F$7:AD$7))))</f>
        <v>0</v>
      </c>
      <c r="AE231" s="2223" cm="1">
        <f t="array" ref="AE231">IF($D231&lt;COLUMNS($F$7:AE$7),"",INDEX(TableDiv[[GASB]:[GASB]],_xlfn.AGGREGATE(15,3,(TableDiv[[Agency]:[Agency]]=$E231)/(TableDiv[[Agency]:[Agency]]=$E231)*(ROW(TableDiv[Agency])-ROW(TableDiv[[#Headers],[Agency]])),COLUMNS($F$7:AE$7))))</f>
        <v>0</v>
      </c>
      <c r="AF231" s="2223" cm="1">
        <f t="array" ref="AF231">IF($D231&lt;COLUMNS($F$7:AF$7),"",INDEX(TableDiv[[GASB]:[GASB]],_xlfn.AGGREGATE(15,3,(TableDiv[[Agency]:[Agency]]=$E231)/(TableDiv[[Agency]:[Agency]]=$E231)*(ROW(TableDiv[Agency])-ROW(TableDiv[[#Headers],[Agency]])),COLUMNS($F$7:AF$7))))</f>
        <v>0</v>
      </c>
      <c r="AG231" s="2223" cm="1">
        <f t="array" ref="AG231">IF($D231&lt;COLUMNS($F$7:AG$7),"",INDEX(TableDiv[[GASB]:[GASB]],_xlfn.AGGREGATE(15,3,(TableDiv[[Agency]:[Agency]]=$E231)/(TableDiv[[Agency]:[Agency]]=$E231)*(ROW(TableDiv[Agency])-ROW(TableDiv[[#Headers],[Agency]])),COLUMNS($F$7:AG$7))))</f>
        <v>0</v>
      </c>
      <c r="AH231" s="2223" cm="1">
        <f t="array" ref="AH231">IF($D231&lt;COLUMNS($F$7:AH$7),"",INDEX(TableDiv[[GASB]:[GASB]],_xlfn.AGGREGATE(15,3,(TableDiv[[Agency]:[Agency]]=$E231)/(TableDiv[[Agency]:[Agency]]=$E231)*(ROW(TableDiv[Agency])-ROW(TableDiv[[#Headers],[Agency]])),COLUMNS($F$7:AH$7))))</f>
        <v>0</v>
      </c>
      <c r="AI231" s="2223" cm="1">
        <f t="array" ref="AI231">IF($D231&lt;COLUMNS($F$7:AI$7),"",INDEX(TableDiv[[GASB]:[GASB]],_xlfn.AGGREGATE(15,3,(TableDiv[[Agency]:[Agency]]=$E231)/(TableDiv[[Agency]:[Agency]]=$E231)*(ROW(TableDiv[Agency])-ROW(TableDiv[[#Headers],[Agency]])),COLUMNS($F$7:AI$7))))</f>
        <v>0</v>
      </c>
      <c r="AJ231" s="2223" cm="1">
        <f t="array" ref="AJ231">IF($D231&lt;COLUMNS($F$7:AJ$7),"",INDEX(TableDiv[[GASB]:[GASB]],_xlfn.AGGREGATE(15,3,(TableDiv[[Agency]:[Agency]]=$E231)/(TableDiv[[Agency]:[Agency]]=$E231)*(ROW(TableDiv[Agency])-ROW(TableDiv[[#Headers],[Agency]])),COLUMNS($F$7:AJ$7))))</f>
        <v>0</v>
      </c>
      <c r="AK231" s="2223" t="str" cm="1">
        <f t="array" ref="AK231">IF($D231&lt;COLUMNS($F$7:AK$7),"",INDEX(TableDiv[[GASB]:[GASB]],_xlfn.AGGREGATE(15,3,(TableDiv[[Agency]:[Agency]]=$E231)/(TableDiv[[Agency]:[Agency]]=$E231)*(ROW(TableDiv[Agency])-ROW(TableDiv[[#Headers],[Agency]])),COLUMNS($F$7:AK$7))))</f>
        <v/>
      </c>
      <c r="AL231" s="2223" t="str" cm="1">
        <f t="array" ref="AL231">IF($D231&lt;COLUMNS($F$7:AL$7),"",INDEX(TableDiv[[GASB]:[GASB]],_xlfn.AGGREGATE(15,3,(TableDiv[[Agency]:[Agency]]=$E231)/(TableDiv[[Agency]:[Agency]]=$E231)*(ROW(TableDiv[Agency])-ROW(TableDiv[[#Headers],[Agency]])),COLUMNS($F$7:AL$7))))</f>
        <v/>
      </c>
      <c r="AM231" s="2223" t="str" cm="1">
        <f t="array" ref="AM231">IF($D231&lt;COLUMNS($F$7:AM$7),"",INDEX(TableDiv[[GASB]:[GASB]],_xlfn.AGGREGATE(15,3,(TableDiv[[Agency]:[Agency]]=$E231)/(TableDiv[[Agency]:[Agency]]=$E231)*(ROW(TableDiv[Agency])-ROW(TableDiv[[#Headers],[Agency]])),COLUMNS($F$7:AM$7))))</f>
        <v/>
      </c>
      <c r="AN231" s="2223"/>
      <c r="AO231" s="2223"/>
      <c r="AP231" s="2223"/>
      <c r="AQ231" s="2223"/>
      <c r="AR231" s="2223"/>
      <c r="AS231" s="2223"/>
    </row>
    <row r="232" spans="1:45" ht="15" x14ac:dyDescent="0.25">
      <c r="A232" s="2219" t="s">
        <v>6460</v>
      </c>
      <c r="B232" s="2219" t="s">
        <v>6402</v>
      </c>
      <c r="C232" s="2223"/>
      <c r="D232" s="2223">
        <f>COUNTIF(TableDiv[Agency],E232)</f>
        <v>31</v>
      </c>
      <c r="E232" s="2230" t="str" cm="1">
        <f t="array" ref="E232">IFERROR(INDEX(TableDiv[Agency],MATCH(0,INDEX(COUNTIF($E$7:E231,TableDiv[Agency]),),0)),"")</f>
        <v/>
      </c>
      <c r="F232" s="2223" cm="1">
        <f t="array" ref="F232">IF($D232&lt;COLUMNS($F$7:F$7),"",INDEX(TableDiv[[GASB]:[GASB]],_xlfn.AGGREGATE(15,3,(TableDiv[[Agency]:[Agency]]=$E232)/(TableDiv[[Agency]:[Agency]]=$E232)*(ROW(TableDiv[Agency])-ROW(TableDiv[[#Headers],[Agency]])),COLUMNS($F$7:F$7))))</f>
        <v>0</v>
      </c>
      <c r="G232" s="2223" cm="1">
        <f t="array" ref="G232">IF($D232&lt;COLUMNS($F$7:G$7),"",INDEX(TableDiv[[GASB]:[GASB]],_xlfn.AGGREGATE(15,3,(TableDiv[[Agency]:[Agency]]=$E232)/(TableDiv[[Agency]:[Agency]]=$E232)*(ROW(TableDiv[Agency])-ROW(TableDiv[[#Headers],[Agency]])),COLUMNS($F$7:G$7))))</f>
        <v>0</v>
      </c>
      <c r="H232" s="2223" cm="1">
        <f t="array" ref="H232">IF($D232&lt;COLUMNS($F$7:H$7),"",INDEX(TableDiv[[GASB]:[GASB]],_xlfn.AGGREGATE(15,3,(TableDiv[[Agency]:[Agency]]=$E232)/(TableDiv[[Agency]:[Agency]]=$E232)*(ROW(TableDiv[Agency])-ROW(TableDiv[[#Headers],[Agency]])),COLUMNS($F$7:H$7))))</f>
        <v>0</v>
      </c>
      <c r="I232" s="2223" cm="1">
        <f t="array" ref="I232">IF($D232&lt;COLUMNS($F$7:I$7),"",INDEX(TableDiv[[GASB]:[GASB]],_xlfn.AGGREGATE(15,3,(TableDiv[[Agency]:[Agency]]=$E232)/(TableDiv[[Agency]:[Agency]]=$E232)*(ROW(TableDiv[Agency])-ROW(TableDiv[[#Headers],[Agency]])),COLUMNS($F$7:I$7))))</f>
        <v>0</v>
      </c>
      <c r="J232" s="2223" cm="1">
        <f t="array" ref="J232">IF($D232&lt;COLUMNS($F$7:J$7),"",INDEX(TableDiv[[GASB]:[GASB]],_xlfn.AGGREGATE(15,3,(TableDiv[[Agency]:[Agency]]=$E232)/(TableDiv[[Agency]:[Agency]]=$E232)*(ROW(TableDiv[Agency])-ROW(TableDiv[[#Headers],[Agency]])),COLUMNS($F$7:J$7))))</f>
        <v>0</v>
      </c>
      <c r="K232" s="2223" cm="1">
        <f t="array" ref="K232">IF($D232&lt;COLUMNS($F$7:K$7),"",INDEX(TableDiv[[GASB]:[GASB]],_xlfn.AGGREGATE(15,3,(TableDiv[[Agency]:[Agency]]=$E232)/(TableDiv[[Agency]:[Agency]]=$E232)*(ROW(TableDiv[Agency])-ROW(TableDiv[[#Headers],[Agency]])),COLUMNS($F$7:K$7))))</f>
        <v>0</v>
      </c>
      <c r="L232" s="2223" cm="1">
        <f t="array" ref="L232">IF($D232&lt;COLUMNS($F$7:L$7),"",INDEX(TableDiv[[GASB]:[GASB]],_xlfn.AGGREGATE(15,3,(TableDiv[[Agency]:[Agency]]=$E232)/(TableDiv[[Agency]:[Agency]]=$E232)*(ROW(TableDiv[Agency])-ROW(TableDiv[[#Headers],[Agency]])),COLUMNS($F$7:L$7))))</f>
        <v>0</v>
      </c>
      <c r="M232" s="2223" cm="1">
        <f t="array" ref="M232">IF($D232&lt;COLUMNS($F$7:M$7),"",INDEX(TableDiv[[GASB]:[GASB]],_xlfn.AGGREGATE(15,3,(TableDiv[[Agency]:[Agency]]=$E232)/(TableDiv[[Agency]:[Agency]]=$E232)*(ROW(TableDiv[Agency])-ROW(TableDiv[[#Headers],[Agency]])),COLUMNS($F$7:M$7))))</f>
        <v>0</v>
      </c>
      <c r="N232" s="2223" cm="1">
        <f t="array" ref="N232">IF($D232&lt;COLUMNS($F$7:N$7),"",INDEX(TableDiv[[GASB]:[GASB]],_xlfn.AGGREGATE(15,3,(TableDiv[[Agency]:[Agency]]=$E232)/(TableDiv[[Agency]:[Agency]]=$E232)*(ROW(TableDiv[Agency])-ROW(TableDiv[[#Headers],[Agency]])),COLUMNS($F$7:N$7))))</f>
        <v>0</v>
      </c>
      <c r="O232" s="2223" cm="1">
        <f t="array" ref="O232">IF($D232&lt;COLUMNS($F$7:O$7),"",INDEX(TableDiv[[GASB]:[GASB]],_xlfn.AGGREGATE(15,3,(TableDiv[[Agency]:[Agency]]=$E232)/(TableDiv[[Agency]:[Agency]]=$E232)*(ROW(TableDiv[Agency])-ROW(TableDiv[[#Headers],[Agency]])),COLUMNS($F$7:O$7))))</f>
        <v>0</v>
      </c>
      <c r="P232" s="2223" cm="1">
        <f t="array" ref="P232">IF($D232&lt;COLUMNS($F$7:P$7),"",INDEX(TableDiv[[GASB]:[GASB]],_xlfn.AGGREGATE(15,3,(TableDiv[[Agency]:[Agency]]=$E232)/(TableDiv[[Agency]:[Agency]]=$E232)*(ROW(TableDiv[Agency])-ROW(TableDiv[[#Headers],[Agency]])),COLUMNS($F$7:P$7))))</f>
        <v>0</v>
      </c>
      <c r="Q232" s="2223" cm="1">
        <f t="array" ref="Q232">IF($D232&lt;COLUMNS($F$7:Q$7),"",INDEX(TableDiv[[GASB]:[GASB]],_xlfn.AGGREGATE(15,3,(TableDiv[[Agency]:[Agency]]=$E232)/(TableDiv[[Agency]:[Agency]]=$E232)*(ROW(TableDiv[Agency])-ROW(TableDiv[[#Headers],[Agency]])),COLUMNS($F$7:Q$7))))</f>
        <v>0</v>
      </c>
      <c r="R232" s="2223" cm="1">
        <f t="array" ref="R232">IF($D232&lt;COLUMNS($F$7:R$7),"",INDEX(TableDiv[[GASB]:[GASB]],_xlfn.AGGREGATE(15,3,(TableDiv[[Agency]:[Agency]]=$E232)/(TableDiv[[Agency]:[Agency]]=$E232)*(ROW(TableDiv[Agency])-ROW(TableDiv[[#Headers],[Agency]])),COLUMNS($F$7:R$7))))</f>
        <v>0</v>
      </c>
      <c r="S232" s="2223" cm="1">
        <f t="array" ref="S232">IF($D232&lt;COLUMNS($F$7:S$7),"",INDEX(TableDiv[[GASB]:[GASB]],_xlfn.AGGREGATE(15,3,(TableDiv[[Agency]:[Agency]]=$E232)/(TableDiv[[Agency]:[Agency]]=$E232)*(ROW(TableDiv[Agency])-ROW(TableDiv[[#Headers],[Agency]])),COLUMNS($F$7:S$7))))</f>
        <v>0</v>
      </c>
      <c r="T232" s="2223" cm="1">
        <f t="array" ref="T232">IF($D232&lt;COLUMNS($F$7:T$7),"",INDEX(TableDiv[[GASB]:[GASB]],_xlfn.AGGREGATE(15,3,(TableDiv[[Agency]:[Agency]]=$E232)/(TableDiv[[Agency]:[Agency]]=$E232)*(ROW(TableDiv[Agency])-ROW(TableDiv[[#Headers],[Agency]])),COLUMNS($F$7:T$7))))</f>
        <v>0</v>
      </c>
      <c r="U232" s="2223" cm="1">
        <f t="array" ref="U232">IF($D232&lt;COLUMNS($F$7:U$7),"",INDEX(TableDiv[[GASB]:[GASB]],_xlfn.AGGREGATE(15,3,(TableDiv[[Agency]:[Agency]]=$E232)/(TableDiv[[Agency]:[Agency]]=$E232)*(ROW(TableDiv[Agency])-ROW(TableDiv[[#Headers],[Agency]])),COLUMNS($F$7:U$7))))</f>
        <v>0</v>
      </c>
      <c r="V232" s="2223" cm="1">
        <f t="array" ref="V232">IF($D232&lt;COLUMNS($F$7:V$7),"",INDEX(TableDiv[[GASB]:[GASB]],_xlfn.AGGREGATE(15,3,(TableDiv[[Agency]:[Agency]]=$E232)/(TableDiv[[Agency]:[Agency]]=$E232)*(ROW(TableDiv[Agency])-ROW(TableDiv[[#Headers],[Agency]])),COLUMNS($F$7:V$7))))</f>
        <v>0</v>
      </c>
      <c r="W232" s="2223" cm="1">
        <f t="array" ref="W232">IF($D232&lt;COLUMNS($F$7:W$7),"",INDEX(TableDiv[[GASB]:[GASB]],_xlfn.AGGREGATE(15,3,(TableDiv[[Agency]:[Agency]]=$E232)/(TableDiv[[Agency]:[Agency]]=$E232)*(ROW(TableDiv[Agency])-ROW(TableDiv[[#Headers],[Agency]])),COLUMNS($F$7:W$7))))</f>
        <v>0</v>
      </c>
      <c r="X232" s="2223" cm="1">
        <f t="array" ref="X232">IF($D232&lt;COLUMNS($F$7:X$7),"",INDEX(TableDiv[[GASB]:[GASB]],_xlfn.AGGREGATE(15,3,(TableDiv[[Agency]:[Agency]]=$E232)/(TableDiv[[Agency]:[Agency]]=$E232)*(ROW(TableDiv[Agency])-ROW(TableDiv[[#Headers],[Agency]])),COLUMNS($F$7:X$7))))</f>
        <v>0</v>
      </c>
      <c r="Y232" s="2223" cm="1">
        <f t="array" ref="Y232">IF($D232&lt;COLUMNS($F$7:Y$7),"",INDEX(TableDiv[[GASB]:[GASB]],_xlfn.AGGREGATE(15,3,(TableDiv[[Agency]:[Agency]]=$E232)/(TableDiv[[Agency]:[Agency]]=$E232)*(ROW(TableDiv[Agency])-ROW(TableDiv[[#Headers],[Agency]])),COLUMNS($F$7:Y$7))))</f>
        <v>0</v>
      </c>
      <c r="Z232" s="2223" cm="1">
        <f t="array" ref="Z232">IF($D232&lt;COLUMNS($F$7:Z$7),"",INDEX(TableDiv[[GASB]:[GASB]],_xlfn.AGGREGATE(15,3,(TableDiv[[Agency]:[Agency]]=$E232)/(TableDiv[[Agency]:[Agency]]=$E232)*(ROW(TableDiv[Agency])-ROW(TableDiv[[#Headers],[Agency]])),COLUMNS($F$7:Z$7))))</f>
        <v>0</v>
      </c>
      <c r="AA232" s="2223" cm="1">
        <f t="array" ref="AA232">IF($D232&lt;COLUMNS($F$7:AA$7),"",INDEX(TableDiv[[GASB]:[GASB]],_xlfn.AGGREGATE(15,3,(TableDiv[[Agency]:[Agency]]=$E232)/(TableDiv[[Agency]:[Agency]]=$E232)*(ROW(TableDiv[Agency])-ROW(TableDiv[[#Headers],[Agency]])),COLUMNS($F$7:AA$7))))</f>
        <v>0</v>
      </c>
      <c r="AB232" s="2223" cm="1">
        <f t="array" ref="AB232">IF($D232&lt;COLUMNS($F$7:AB$7),"",INDEX(TableDiv[[GASB]:[GASB]],_xlfn.AGGREGATE(15,3,(TableDiv[[Agency]:[Agency]]=$E232)/(TableDiv[[Agency]:[Agency]]=$E232)*(ROW(TableDiv[Agency])-ROW(TableDiv[[#Headers],[Agency]])),COLUMNS($F$7:AB$7))))</f>
        <v>0</v>
      </c>
      <c r="AC232" s="2223" cm="1">
        <f t="array" ref="AC232">IF($D232&lt;COLUMNS($F$7:AC$7),"",INDEX(TableDiv[[GASB]:[GASB]],_xlfn.AGGREGATE(15,3,(TableDiv[[Agency]:[Agency]]=$E232)/(TableDiv[[Agency]:[Agency]]=$E232)*(ROW(TableDiv[Agency])-ROW(TableDiv[[#Headers],[Agency]])),COLUMNS($F$7:AC$7))))</f>
        <v>0</v>
      </c>
      <c r="AD232" s="2223" cm="1">
        <f t="array" ref="AD232">IF($D232&lt;COLUMNS($F$7:AD$7),"",INDEX(TableDiv[[GASB]:[GASB]],_xlfn.AGGREGATE(15,3,(TableDiv[[Agency]:[Agency]]=$E232)/(TableDiv[[Agency]:[Agency]]=$E232)*(ROW(TableDiv[Agency])-ROW(TableDiv[[#Headers],[Agency]])),COLUMNS($F$7:AD$7))))</f>
        <v>0</v>
      </c>
      <c r="AE232" s="2223" cm="1">
        <f t="array" ref="AE232">IF($D232&lt;COLUMNS($F$7:AE$7),"",INDEX(TableDiv[[GASB]:[GASB]],_xlfn.AGGREGATE(15,3,(TableDiv[[Agency]:[Agency]]=$E232)/(TableDiv[[Agency]:[Agency]]=$E232)*(ROW(TableDiv[Agency])-ROW(TableDiv[[#Headers],[Agency]])),COLUMNS($F$7:AE$7))))</f>
        <v>0</v>
      </c>
      <c r="AF232" s="2223" cm="1">
        <f t="array" ref="AF232">IF($D232&lt;COLUMNS($F$7:AF$7),"",INDEX(TableDiv[[GASB]:[GASB]],_xlfn.AGGREGATE(15,3,(TableDiv[[Agency]:[Agency]]=$E232)/(TableDiv[[Agency]:[Agency]]=$E232)*(ROW(TableDiv[Agency])-ROW(TableDiv[[#Headers],[Agency]])),COLUMNS($F$7:AF$7))))</f>
        <v>0</v>
      </c>
      <c r="AG232" s="2223" cm="1">
        <f t="array" ref="AG232">IF($D232&lt;COLUMNS($F$7:AG$7),"",INDEX(TableDiv[[GASB]:[GASB]],_xlfn.AGGREGATE(15,3,(TableDiv[[Agency]:[Agency]]=$E232)/(TableDiv[[Agency]:[Agency]]=$E232)*(ROW(TableDiv[Agency])-ROW(TableDiv[[#Headers],[Agency]])),COLUMNS($F$7:AG$7))))</f>
        <v>0</v>
      </c>
      <c r="AH232" s="2223" cm="1">
        <f t="array" ref="AH232">IF($D232&lt;COLUMNS($F$7:AH$7),"",INDEX(TableDiv[[GASB]:[GASB]],_xlfn.AGGREGATE(15,3,(TableDiv[[Agency]:[Agency]]=$E232)/(TableDiv[[Agency]:[Agency]]=$E232)*(ROW(TableDiv[Agency])-ROW(TableDiv[[#Headers],[Agency]])),COLUMNS($F$7:AH$7))))</f>
        <v>0</v>
      </c>
      <c r="AI232" s="2223" cm="1">
        <f t="array" ref="AI232">IF($D232&lt;COLUMNS($F$7:AI$7),"",INDEX(TableDiv[[GASB]:[GASB]],_xlfn.AGGREGATE(15,3,(TableDiv[[Agency]:[Agency]]=$E232)/(TableDiv[[Agency]:[Agency]]=$E232)*(ROW(TableDiv[Agency])-ROW(TableDiv[[#Headers],[Agency]])),COLUMNS($F$7:AI$7))))</f>
        <v>0</v>
      </c>
      <c r="AJ232" s="2223" cm="1">
        <f t="array" ref="AJ232">IF($D232&lt;COLUMNS($F$7:AJ$7),"",INDEX(TableDiv[[GASB]:[GASB]],_xlfn.AGGREGATE(15,3,(TableDiv[[Agency]:[Agency]]=$E232)/(TableDiv[[Agency]:[Agency]]=$E232)*(ROW(TableDiv[Agency])-ROW(TableDiv[[#Headers],[Agency]])),COLUMNS($F$7:AJ$7))))</f>
        <v>0</v>
      </c>
      <c r="AK232" s="2223" t="str" cm="1">
        <f t="array" ref="AK232">IF($D232&lt;COLUMNS($F$7:AK$7),"",INDEX(TableDiv[[GASB]:[GASB]],_xlfn.AGGREGATE(15,3,(TableDiv[[Agency]:[Agency]]=$E232)/(TableDiv[[Agency]:[Agency]]=$E232)*(ROW(TableDiv[Agency])-ROW(TableDiv[[#Headers],[Agency]])),COLUMNS($F$7:AK$7))))</f>
        <v/>
      </c>
      <c r="AL232" s="2223" t="str" cm="1">
        <f t="array" ref="AL232">IF($D232&lt;COLUMNS($F$7:AL$7),"",INDEX(TableDiv[[GASB]:[GASB]],_xlfn.AGGREGATE(15,3,(TableDiv[[Agency]:[Agency]]=$E232)/(TableDiv[[Agency]:[Agency]]=$E232)*(ROW(TableDiv[Agency])-ROW(TableDiv[[#Headers],[Agency]])),COLUMNS($F$7:AL$7))))</f>
        <v/>
      </c>
      <c r="AM232" s="2223" t="str" cm="1">
        <f t="array" ref="AM232">IF($D232&lt;COLUMNS($F$7:AM$7),"",INDEX(TableDiv[[GASB]:[GASB]],_xlfn.AGGREGATE(15,3,(TableDiv[[Agency]:[Agency]]=$E232)/(TableDiv[[Agency]:[Agency]]=$E232)*(ROW(TableDiv[Agency])-ROW(TableDiv[[#Headers],[Agency]])),COLUMNS($F$7:AM$7))))</f>
        <v/>
      </c>
      <c r="AN232" s="2223"/>
      <c r="AO232" s="2223"/>
      <c r="AP232" s="2223"/>
      <c r="AQ232" s="2223"/>
      <c r="AR232" s="2223"/>
      <c r="AS232" s="2223"/>
    </row>
    <row r="233" spans="1:45" ht="15" x14ac:dyDescent="0.25">
      <c r="A233" s="2219" t="s">
        <v>6460</v>
      </c>
      <c r="B233" s="2219" t="s">
        <v>6393</v>
      </c>
      <c r="C233" s="2223"/>
      <c r="D233" s="2223">
        <f>COUNTIF(TableDiv[Agency],E233)</f>
        <v>31</v>
      </c>
      <c r="E233" s="2230" t="str" cm="1">
        <f t="array" ref="E233">IFERROR(INDEX(TableDiv[Agency],MATCH(0,INDEX(COUNTIF($E$7:E232,TableDiv[Agency]),),0)),"")</f>
        <v/>
      </c>
      <c r="F233" s="2223" cm="1">
        <f t="array" ref="F233">IF($D233&lt;COLUMNS($F$7:F$7),"",INDEX(TableDiv[[GASB]:[GASB]],_xlfn.AGGREGATE(15,3,(TableDiv[[Agency]:[Agency]]=$E233)/(TableDiv[[Agency]:[Agency]]=$E233)*(ROW(TableDiv[Agency])-ROW(TableDiv[[#Headers],[Agency]])),COLUMNS($F$7:F$7))))</f>
        <v>0</v>
      </c>
      <c r="G233" s="2223" cm="1">
        <f t="array" ref="G233">IF($D233&lt;COLUMNS($F$7:G$7),"",INDEX(TableDiv[[GASB]:[GASB]],_xlfn.AGGREGATE(15,3,(TableDiv[[Agency]:[Agency]]=$E233)/(TableDiv[[Agency]:[Agency]]=$E233)*(ROW(TableDiv[Agency])-ROW(TableDiv[[#Headers],[Agency]])),COLUMNS($F$7:G$7))))</f>
        <v>0</v>
      </c>
      <c r="H233" s="2223" cm="1">
        <f t="array" ref="H233">IF($D233&lt;COLUMNS($F$7:H$7),"",INDEX(TableDiv[[GASB]:[GASB]],_xlfn.AGGREGATE(15,3,(TableDiv[[Agency]:[Agency]]=$E233)/(TableDiv[[Agency]:[Agency]]=$E233)*(ROW(TableDiv[Agency])-ROW(TableDiv[[#Headers],[Agency]])),COLUMNS($F$7:H$7))))</f>
        <v>0</v>
      </c>
      <c r="I233" s="2223" cm="1">
        <f t="array" ref="I233">IF($D233&lt;COLUMNS($F$7:I$7),"",INDEX(TableDiv[[GASB]:[GASB]],_xlfn.AGGREGATE(15,3,(TableDiv[[Agency]:[Agency]]=$E233)/(TableDiv[[Agency]:[Agency]]=$E233)*(ROW(TableDiv[Agency])-ROW(TableDiv[[#Headers],[Agency]])),COLUMNS($F$7:I$7))))</f>
        <v>0</v>
      </c>
      <c r="J233" s="2223" cm="1">
        <f t="array" ref="J233">IF($D233&lt;COLUMNS($F$7:J$7),"",INDEX(TableDiv[[GASB]:[GASB]],_xlfn.AGGREGATE(15,3,(TableDiv[[Agency]:[Agency]]=$E233)/(TableDiv[[Agency]:[Agency]]=$E233)*(ROW(TableDiv[Agency])-ROW(TableDiv[[#Headers],[Agency]])),COLUMNS($F$7:J$7))))</f>
        <v>0</v>
      </c>
      <c r="K233" s="2223" cm="1">
        <f t="array" ref="K233">IF($D233&lt;COLUMNS($F$7:K$7),"",INDEX(TableDiv[[GASB]:[GASB]],_xlfn.AGGREGATE(15,3,(TableDiv[[Agency]:[Agency]]=$E233)/(TableDiv[[Agency]:[Agency]]=$E233)*(ROW(TableDiv[Agency])-ROW(TableDiv[[#Headers],[Agency]])),COLUMNS($F$7:K$7))))</f>
        <v>0</v>
      </c>
      <c r="L233" s="2223" cm="1">
        <f t="array" ref="L233">IF($D233&lt;COLUMNS($F$7:L$7),"",INDEX(TableDiv[[GASB]:[GASB]],_xlfn.AGGREGATE(15,3,(TableDiv[[Agency]:[Agency]]=$E233)/(TableDiv[[Agency]:[Agency]]=$E233)*(ROW(TableDiv[Agency])-ROW(TableDiv[[#Headers],[Agency]])),COLUMNS($F$7:L$7))))</f>
        <v>0</v>
      </c>
      <c r="M233" s="2223" cm="1">
        <f t="array" ref="M233">IF($D233&lt;COLUMNS($F$7:M$7),"",INDEX(TableDiv[[GASB]:[GASB]],_xlfn.AGGREGATE(15,3,(TableDiv[[Agency]:[Agency]]=$E233)/(TableDiv[[Agency]:[Agency]]=$E233)*(ROW(TableDiv[Agency])-ROW(TableDiv[[#Headers],[Agency]])),COLUMNS($F$7:M$7))))</f>
        <v>0</v>
      </c>
      <c r="N233" s="2223" cm="1">
        <f t="array" ref="N233">IF($D233&lt;COLUMNS($F$7:N$7),"",INDEX(TableDiv[[GASB]:[GASB]],_xlfn.AGGREGATE(15,3,(TableDiv[[Agency]:[Agency]]=$E233)/(TableDiv[[Agency]:[Agency]]=$E233)*(ROW(TableDiv[Agency])-ROW(TableDiv[[#Headers],[Agency]])),COLUMNS($F$7:N$7))))</f>
        <v>0</v>
      </c>
      <c r="O233" s="2223" cm="1">
        <f t="array" ref="O233">IF($D233&lt;COLUMNS($F$7:O$7),"",INDEX(TableDiv[[GASB]:[GASB]],_xlfn.AGGREGATE(15,3,(TableDiv[[Agency]:[Agency]]=$E233)/(TableDiv[[Agency]:[Agency]]=$E233)*(ROW(TableDiv[Agency])-ROW(TableDiv[[#Headers],[Agency]])),COLUMNS($F$7:O$7))))</f>
        <v>0</v>
      </c>
      <c r="P233" s="2223" cm="1">
        <f t="array" ref="P233">IF($D233&lt;COLUMNS($F$7:P$7),"",INDEX(TableDiv[[GASB]:[GASB]],_xlfn.AGGREGATE(15,3,(TableDiv[[Agency]:[Agency]]=$E233)/(TableDiv[[Agency]:[Agency]]=$E233)*(ROW(TableDiv[Agency])-ROW(TableDiv[[#Headers],[Agency]])),COLUMNS($F$7:P$7))))</f>
        <v>0</v>
      </c>
      <c r="Q233" s="2223" cm="1">
        <f t="array" ref="Q233">IF($D233&lt;COLUMNS($F$7:Q$7),"",INDEX(TableDiv[[GASB]:[GASB]],_xlfn.AGGREGATE(15,3,(TableDiv[[Agency]:[Agency]]=$E233)/(TableDiv[[Agency]:[Agency]]=$E233)*(ROW(TableDiv[Agency])-ROW(TableDiv[[#Headers],[Agency]])),COLUMNS($F$7:Q$7))))</f>
        <v>0</v>
      </c>
      <c r="R233" s="2223" cm="1">
        <f t="array" ref="R233">IF($D233&lt;COLUMNS($F$7:R$7),"",INDEX(TableDiv[[GASB]:[GASB]],_xlfn.AGGREGATE(15,3,(TableDiv[[Agency]:[Agency]]=$E233)/(TableDiv[[Agency]:[Agency]]=$E233)*(ROW(TableDiv[Agency])-ROW(TableDiv[[#Headers],[Agency]])),COLUMNS($F$7:R$7))))</f>
        <v>0</v>
      </c>
      <c r="S233" s="2223" cm="1">
        <f t="array" ref="S233">IF($D233&lt;COLUMNS($F$7:S$7),"",INDEX(TableDiv[[GASB]:[GASB]],_xlfn.AGGREGATE(15,3,(TableDiv[[Agency]:[Agency]]=$E233)/(TableDiv[[Agency]:[Agency]]=$E233)*(ROW(TableDiv[Agency])-ROW(TableDiv[[#Headers],[Agency]])),COLUMNS($F$7:S$7))))</f>
        <v>0</v>
      </c>
      <c r="T233" s="2223" cm="1">
        <f t="array" ref="T233">IF($D233&lt;COLUMNS($F$7:T$7),"",INDEX(TableDiv[[GASB]:[GASB]],_xlfn.AGGREGATE(15,3,(TableDiv[[Agency]:[Agency]]=$E233)/(TableDiv[[Agency]:[Agency]]=$E233)*(ROW(TableDiv[Agency])-ROW(TableDiv[[#Headers],[Agency]])),COLUMNS($F$7:T$7))))</f>
        <v>0</v>
      </c>
      <c r="U233" s="2223" cm="1">
        <f t="array" ref="U233">IF($D233&lt;COLUMNS($F$7:U$7),"",INDEX(TableDiv[[GASB]:[GASB]],_xlfn.AGGREGATE(15,3,(TableDiv[[Agency]:[Agency]]=$E233)/(TableDiv[[Agency]:[Agency]]=$E233)*(ROW(TableDiv[Agency])-ROW(TableDiv[[#Headers],[Agency]])),COLUMNS($F$7:U$7))))</f>
        <v>0</v>
      </c>
      <c r="V233" s="2223" cm="1">
        <f t="array" ref="V233">IF($D233&lt;COLUMNS($F$7:V$7),"",INDEX(TableDiv[[GASB]:[GASB]],_xlfn.AGGREGATE(15,3,(TableDiv[[Agency]:[Agency]]=$E233)/(TableDiv[[Agency]:[Agency]]=$E233)*(ROW(TableDiv[Agency])-ROW(TableDiv[[#Headers],[Agency]])),COLUMNS($F$7:V$7))))</f>
        <v>0</v>
      </c>
      <c r="W233" s="2223" cm="1">
        <f t="array" ref="W233">IF($D233&lt;COLUMNS($F$7:W$7),"",INDEX(TableDiv[[GASB]:[GASB]],_xlfn.AGGREGATE(15,3,(TableDiv[[Agency]:[Agency]]=$E233)/(TableDiv[[Agency]:[Agency]]=$E233)*(ROW(TableDiv[Agency])-ROW(TableDiv[[#Headers],[Agency]])),COLUMNS($F$7:W$7))))</f>
        <v>0</v>
      </c>
      <c r="X233" s="2223" cm="1">
        <f t="array" ref="X233">IF($D233&lt;COLUMNS($F$7:X$7),"",INDEX(TableDiv[[GASB]:[GASB]],_xlfn.AGGREGATE(15,3,(TableDiv[[Agency]:[Agency]]=$E233)/(TableDiv[[Agency]:[Agency]]=$E233)*(ROW(TableDiv[Agency])-ROW(TableDiv[[#Headers],[Agency]])),COLUMNS($F$7:X$7))))</f>
        <v>0</v>
      </c>
      <c r="Y233" s="2223" cm="1">
        <f t="array" ref="Y233">IF($D233&lt;COLUMNS($F$7:Y$7),"",INDEX(TableDiv[[GASB]:[GASB]],_xlfn.AGGREGATE(15,3,(TableDiv[[Agency]:[Agency]]=$E233)/(TableDiv[[Agency]:[Agency]]=$E233)*(ROW(TableDiv[Agency])-ROW(TableDiv[[#Headers],[Agency]])),COLUMNS($F$7:Y$7))))</f>
        <v>0</v>
      </c>
      <c r="Z233" s="2223" cm="1">
        <f t="array" ref="Z233">IF($D233&lt;COLUMNS($F$7:Z$7),"",INDEX(TableDiv[[GASB]:[GASB]],_xlfn.AGGREGATE(15,3,(TableDiv[[Agency]:[Agency]]=$E233)/(TableDiv[[Agency]:[Agency]]=$E233)*(ROW(TableDiv[Agency])-ROW(TableDiv[[#Headers],[Agency]])),COLUMNS($F$7:Z$7))))</f>
        <v>0</v>
      </c>
      <c r="AA233" s="2223" cm="1">
        <f t="array" ref="AA233">IF($D233&lt;COLUMNS($F$7:AA$7),"",INDEX(TableDiv[[GASB]:[GASB]],_xlfn.AGGREGATE(15,3,(TableDiv[[Agency]:[Agency]]=$E233)/(TableDiv[[Agency]:[Agency]]=$E233)*(ROW(TableDiv[Agency])-ROW(TableDiv[[#Headers],[Agency]])),COLUMNS($F$7:AA$7))))</f>
        <v>0</v>
      </c>
      <c r="AB233" s="2223" cm="1">
        <f t="array" ref="AB233">IF($D233&lt;COLUMNS($F$7:AB$7),"",INDEX(TableDiv[[GASB]:[GASB]],_xlfn.AGGREGATE(15,3,(TableDiv[[Agency]:[Agency]]=$E233)/(TableDiv[[Agency]:[Agency]]=$E233)*(ROW(TableDiv[Agency])-ROW(TableDiv[[#Headers],[Agency]])),COLUMNS($F$7:AB$7))))</f>
        <v>0</v>
      </c>
      <c r="AC233" s="2223" cm="1">
        <f t="array" ref="AC233">IF($D233&lt;COLUMNS($F$7:AC$7),"",INDEX(TableDiv[[GASB]:[GASB]],_xlfn.AGGREGATE(15,3,(TableDiv[[Agency]:[Agency]]=$E233)/(TableDiv[[Agency]:[Agency]]=$E233)*(ROW(TableDiv[Agency])-ROW(TableDiv[[#Headers],[Agency]])),COLUMNS($F$7:AC$7))))</f>
        <v>0</v>
      </c>
      <c r="AD233" s="2223" cm="1">
        <f t="array" ref="AD233">IF($D233&lt;COLUMNS($F$7:AD$7),"",INDEX(TableDiv[[GASB]:[GASB]],_xlfn.AGGREGATE(15,3,(TableDiv[[Agency]:[Agency]]=$E233)/(TableDiv[[Agency]:[Agency]]=$E233)*(ROW(TableDiv[Agency])-ROW(TableDiv[[#Headers],[Agency]])),COLUMNS($F$7:AD$7))))</f>
        <v>0</v>
      </c>
      <c r="AE233" s="2223" cm="1">
        <f t="array" ref="AE233">IF($D233&lt;COLUMNS($F$7:AE$7),"",INDEX(TableDiv[[GASB]:[GASB]],_xlfn.AGGREGATE(15,3,(TableDiv[[Agency]:[Agency]]=$E233)/(TableDiv[[Agency]:[Agency]]=$E233)*(ROW(TableDiv[Agency])-ROW(TableDiv[[#Headers],[Agency]])),COLUMNS($F$7:AE$7))))</f>
        <v>0</v>
      </c>
      <c r="AF233" s="2223" cm="1">
        <f t="array" ref="AF233">IF($D233&lt;COLUMNS($F$7:AF$7),"",INDEX(TableDiv[[GASB]:[GASB]],_xlfn.AGGREGATE(15,3,(TableDiv[[Agency]:[Agency]]=$E233)/(TableDiv[[Agency]:[Agency]]=$E233)*(ROW(TableDiv[Agency])-ROW(TableDiv[[#Headers],[Agency]])),COLUMNS($F$7:AF$7))))</f>
        <v>0</v>
      </c>
      <c r="AG233" s="2223" cm="1">
        <f t="array" ref="AG233">IF($D233&lt;COLUMNS($F$7:AG$7),"",INDEX(TableDiv[[GASB]:[GASB]],_xlfn.AGGREGATE(15,3,(TableDiv[[Agency]:[Agency]]=$E233)/(TableDiv[[Agency]:[Agency]]=$E233)*(ROW(TableDiv[Agency])-ROW(TableDiv[[#Headers],[Agency]])),COLUMNS($F$7:AG$7))))</f>
        <v>0</v>
      </c>
      <c r="AH233" s="2223" cm="1">
        <f t="array" ref="AH233">IF($D233&lt;COLUMNS($F$7:AH$7),"",INDEX(TableDiv[[GASB]:[GASB]],_xlfn.AGGREGATE(15,3,(TableDiv[[Agency]:[Agency]]=$E233)/(TableDiv[[Agency]:[Agency]]=$E233)*(ROW(TableDiv[Agency])-ROW(TableDiv[[#Headers],[Agency]])),COLUMNS($F$7:AH$7))))</f>
        <v>0</v>
      </c>
      <c r="AI233" s="2223" cm="1">
        <f t="array" ref="AI233">IF($D233&lt;COLUMNS($F$7:AI$7),"",INDEX(TableDiv[[GASB]:[GASB]],_xlfn.AGGREGATE(15,3,(TableDiv[[Agency]:[Agency]]=$E233)/(TableDiv[[Agency]:[Agency]]=$E233)*(ROW(TableDiv[Agency])-ROW(TableDiv[[#Headers],[Agency]])),COLUMNS($F$7:AI$7))))</f>
        <v>0</v>
      </c>
      <c r="AJ233" s="2223" cm="1">
        <f t="array" ref="AJ233">IF($D233&lt;COLUMNS($F$7:AJ$7),"",INDEX(TableDiv[[GASB]:[GASB]],_xlfn.AGGREGATE(15,3,(TableDiv[[Agency]:[Agency]]=$E233)/(TableDiv[[Agency]:[Agency]]=$E233)*(ROW(TableDiv[Agency])-ROW(TableDiv[[#Headers],[Agency]])),COLUMNS($F$7:AJ$7))))</f>
        <v>0</v>
      </c>
      <c r="AK233" s="2223" t="str" cm="1">
        <f t="array" ref="AK233">IF($D233&lt;COLUMNS($F$7:AK$7),"",INDEX(TableDiv[[GASB]:[GASB]],_xlfn.AGGREGATE(15,3,(TableDiv[[Agency]:[Agency]]=$E233)/(TableDiv[[Agency]:[Agency]]=$E233)*(ROW(TableDiv[Agency])-ROW(TableDiv[[#Headers],[Agency]])),COLUMNS($F$7:AK$7))))</f>
        <v/>
      </c>
      <c r="AL233" s="2223" t="str" cm="1">
        <f t="array" ref="AL233">IF($D233&lt;COLUMNS($F$7:AL$7),"",INDEX(TableDiv[[GASB]:[GASB]],_xlfn.AGGREGATE(15,3,(TableDiv[[Agency]:[Agency]]=$E233)/(TableDiv[[Agency]:[Agency]]=$E233)*(ROW(TableDiv[Agency])-ROW(TableDiv[[#Headers],[Agency]])),COLUMNS($F$7:AL$7))))</f>
        <v/>
      </c>
      <c r="AM233" s="2223" t="str" cm="1">
        <f t="array" ref="AM233">IF($D233&lt;COLUMNS($F$7:AM$7),"",INDEX(TableDiv[[GASB]:[GASB]],_xlfn.AGGREGATE(15,3,(TableDiv[[Agency]:[Agency]]=$E233)/(TableDiv[[Agency]:[Agency]]=$E233)*(ROW(TableDiv[Agency])-ROW(TableDiv[[#Headers],[Agency]])),COLUMNS($F$7:AM$7))))</f>
        <v/>
      </c>
      <c r="AN233" s="2223"/>
      <c r="AO233" s="2223"/>
      <c r="AP233" s="2223"/>
      <c r="AQ233" s="2223"/>
      <c r="AR233" s="2223"/>
      <c r="AS233" s="2223"/>
    </row>
    <row r="234" spans="1:45" ht="15" x14ac:dyDescent="0.25">
      <c r="A234" s="2219" t="s">
        <v>6461</v>
      </c>
      <c r="B234" s="2219" t="s">
        <v>6361</v>
      </c>
      <c r="C234" s="2223"/>
      <c r="D234" s="2223">
        <f>COUNTIF(TableDiv[Agency],E234)</f>
        <v>31</v>
      </c>
      <c r="E234" s="2230" t="str" cm="1">
        <f t="array" ref="E234">IFERROR(INDEX(TableDiv[Agency],MATCH(0,INDEX(COUNTIF($E$7:E233,TableDiv[Agency]),),0)),"")</f>
        <v/>
      </c>
      <c r="F234" s="2223" cm="1">
        <f t="array" ref="F234">IF($D234&lt;COLUMNS($F$7:F$7),"",INDEX(TableDiv[[GASB]:[GASB]],_xlfn.AGGREGATE(15,3,(TableDiv[[Agency]:[Agency]]=$E234)/(TableDiv[[Agency]:[Agency]]=$E234)*(ROW(TableDiv[Agency])-ROW(TableDiv[[#Headers],[Agency]])),COLUMNS($F$7:F$7))))</f>
        <v>0</v>
      </c>
      <c r="G234" s="2223" cm="1">
        <f t="array" ref="G234">IF($D234&lt;COLUMNS($F$7:G$7),"",INDEX(TableDiv[[GASB]:[GASB]],_xlfn.AGGREGATE(15,3,(TableDiv[[Agency]:[Agency]]=$E234)/(TableDiv[[Agency]:[Agency]]=$E234)*(ROW(TableDiv[Agency])-ROW(TableDiv[[#Headers],[Agency]])),COLUMNS($F$7:G$7))))</f>
        <v>0</v>
      </c>
      <c r="H234" s="2223" cm="1">
        <f t="array" ref="H234">IF($D234&lt;COLUMNS($F$7:H$7),"",INDEX(TableDiv[[GASB]:[GASB]],_xlfn.AGGREGATE(15,3,(TableDiv[[Agency]:[Agency]]=$E234)/(TableDiv[[Agency]:[Agency]]=$E234)*(ROW(TableDiv[Agency])-ROW(TableDiv[[#Headers],[Agency]])),COLUMNS($F$7:H$7))))</f>
        <v>0</v>
      </c>
      <c r="I234" s="2223" cm="1">
        <f t="array" ref="I234">IF($D234&lt;COLUMNS($F$7:I$7),"",INDEX(TableDiv[[GASB]:[GASB]],_xlfn.AGGREGATE(15,3,(TableDiv[[Agency]:[Agency]]=$E234)/(TableDiv[[Agency]:[Agency]]=$E234)*(ROW(TableDiv[Agency])-ROW(TableDiv[[#Headers],[Agency]])),COLUMNS($F$7:I$7))))</f>
        <v>0</v>
      </c>
      <c r="J234" s="2223" cm="1">
        <f t="array" ref="J234">IF($D234&lt;COLUMNS($F$7:J$7),"",INDEX(TableDiv[[GASB]:[GASB]],_xlfn.AGGREGATE(15,3,(TableDiv[[Agency]:[Agency]]=$E234)/(TableDiv[[Agency]:[Agency]]=$E234)*(ROW(TableDiv[Agency])-ROW(TableDiv[[#Headers],[Agency]])),COLUMNS($F$7:J$7))))</f>
        <v>0</v>
      </c>
      <c r="K234" s="2223" cm="1">
        <f t="array" ref="K234">IF($D234&lt;COLUMNS($F$7:K$7),"",INDEX(TableDiv[[GASB]:[GASB]],_xlfn.AGGREGATE(15,3,(TableDiv[[Agency]:[Agency]]=$E234)/(TableDiv[[Agency]:[Agency]]=$E234)*(ROW(TableDiv[Agency])-ROW(TableDiv[[#Headers],[Agency]])),COLUMNS($F$7:K$7))))</f>
        <v>0</v>
      </c>
      <c r="L234" s="2223" cm="1">
        <f t="array" ref="L234">IF($D234&lt;COLUMNS($F$7:L$7),"",INDEX(TableDiv[[GASB]:[GASB]],_xlfn.AGGREGATE(15,3,(TableDiv[[Agency]:[Agency]]=$E234)/(TableDiv[[Agency]:[Agency]]=$E234)*(ROW(TableDiv[Agency])-ROW(TableDiv[[#Headers],[Agency]])),COLUMNS($F$7:L$7))))</f>
        <v>0</v>
      </c>
      <c r="M234" s="2223" cm="1">
        <f t="array" ref="M234">IF($D234&lt;COLUMNS($F$7:M$7),"",INDEX(TableDiv[[GASB]:[GASB]],_xlfn.AGGREGATE(15,3,(TableDiv[[Agency]:[Agency]]=$E234)/(TableDiv[[Agency]:[Agency]]=$E234)*(ROW(TableDiv[Agency])-ROW(TableDiv[[#Headers],[Agency]])),COLUMNS($F$7:M$7))))</f>
        <v>0</v>
      </c>
      <c r="N234" s="2223" cm="1">
        <f t="array" ref="N234">IF($D234&lt;COLUMNS($F$7:N$7),"",INDEX(TableDiv[[GASB]:[GASB]],_xlfn.AGGREGATE(15,3,(TableDiv[[Agency]:[Agency]]=$E234)/(TableDiv[[Agency]:[Agency]]=$E234)*(ROW(TableDiv[Agency])-ROW(TableDiv[[#Headers],[Agency]])),COLUMNS($F$7:N$7))))</f>
        <v>0</v>
      </c>
      <c r="O234" s="2223" cm="1">
        <f t="array" ref="O234">IF($D234&lt;COLUMNS($F$7:O$7),"",INDEX(TableDiv[[GASB]:[GASB]],_xlfn.AGGREGATE(15,3,(TableDiv[[Agency]:[Agency]]=$E234)/(TableDiv[[Agency]:[Agency]]=$E234)*(ROW(TableDiv[Agency])-ROW(TableDiv[[#Headers],[Agency]])),COLUMNS($F$7:O$7))))</f>
        <v>0</v>
      </c>
      <c r="P234" s="2223" cm="1">
        <f t="array" ref="P234">IF($D234&lt;COLUMNS($F$7:P$7),"",INDEX(TableDiv[[GASB]:[GASB]],_xlfn.AGGREGATE(15,3,(TableDiv[[Agency]:[Agency]]=$E234)/(TableDiv[[Agency]:[Agency]]=$E234)*(ROW(TableDiv[Agency])-ROW(TableDiv[[#Headers],[Agency]])),COLUMNS($F$7:P$7))))</f>
        <v>0</v>
      </c>
      <c r="Q234" s="2223" cm="1">
        <f t="array" ref="Q234">IF($D234&lt;COLUMNS($F$7:Q$7),"",INDEX(TableDiv[[GASB]:[GASB]],_xlfn.AGGREGATE(15,3,(TableDiv[[Agency]:[Agency]]=$E234)/(TableDiv[[Agency]:[Agency]]=$E234)*(ROW(TableDiv[Agency])-ROW(TableDiv[[#Headers],[Agency]])),COLUMNS($F$7:Q$7))))</f>
        <v>0</v>
      </c>
      <c r="R234" s="2223" cm="1">
        <f t="array" ref="R234">IF($D234&lt;COLUMNS($F$7:R$7),"",INDEX(TableDiv[[GASB]:[GASB]],_xlfn.AGGREGATE(15,3,(TableDiv[[Agency]:[Agency]]=$E234)/(TableDiv[[Agency]:[Agency]]=$E234)*(ROW(TableDiv[Agency])-ROW(TableDiv[[#Headers],[Agency]])),COLUMNS($F$7:R$7))))</f>
        <v>0</v>
      </c>
      <c r="S234" s="2223" cm="1">
        <f t="array" ref="S234">IF($D234&lt;COLUMNS($F$7:S$7),"",INDEX(TableDiv[[GASB]:[GASB]],_xlfn.AGGREGATE(15,3,(TableDiv[[Agency]:[Agency]]=$E234)/(TableDiv[[Agency]:[Agency]]=$E234)*(ROW(TableDiv[Agency])-ROW(TableDiv[[#Headers],[Agency]])),COLUMNS($F$7:S$7))))</f>
        <v>0</v>
      </c>
      <c r="T234" s="2223" cm="1">
        <f t="array" ref="T234">IF($D234&lt;COLUMNS($F$7:T$7),"",INDEX(TableDiv[[GASB]:[GASB]],_xlfn.AGGREGATE(15,3,(TableDiv[[Agency]:[Agency]]=$E234)/(TableDiv[[Agency]:[Agency]]=$E234)*(ROW(TableDiv[Agency])-ROW(TableDiv[[#Headers],[Agency]])),COLUMNS($F$7:T$7))))</f>
        <v>0</v>
      </c>
      <c r="U234" s="2223" cm="1">
        <f t="array" ref="U234">IF($D234&lt;COLUMNS($F$7:U$7),"",INDEX(TableDiv[[GASB]:[GASB]],_xlfn.AGGREGATE(15,3,(TableDiv[[Agency]:[Agency]]=$E234)/(TableDiv[[Agency]:[Agency]]=$E234)*(ROW(TableDiv[Agency])-ROW(TableDiv[[#Headers],[Agency]])),COLUMNS($F$7:U$7))))</f>
        <v>0</v>
      </c>
      <c r="V234" s="2223" cm="1">
        <f t="array" ref="V234">IF($D234&lt;COLUMNS($F$7:V$7),"",INDEX(TableDiv[[GASB]:[GASB]],_xlfn.AGGREGATE(15,3,(TableDiv[[Agency]:[Agency]]=$E234)/(TableDiv[[Agency]:[Agency]]=$E234)*(ROW(TableDiv[Agency])-ROW(TableDiv[[#Headers],[Agency]])),COLUMNS($F$7:V$7))))</f>
        <v>0</v>
      </c>
      <c r="W234" s="2223" cm="1">
        <f t="array" ref="W234">IF($D234&lt;COLUMNS($F$7:W$7),"",INDEX(TableDiv[[GASB]:[GASB]],_xlfn.AGGREGATE(15,3,(TableDiv[[Agency]:[Agency]]=$E234)/(TableDiv[[Agency]:[Agency]]=$E234)*(ROW(TableDiv[Agency])-ROW(TableDiv[[#Headers],[Agency]])),COLUMNS($F$7:W$7))))</f>
        <v>0</v>
      </c>
      <c r="X234" s="2223" cm="1">
        <f t="array" ref="X234">IF($D234&lt;COLUMNS($F$7:X$7),"",INDEX(TableDiv[[GASB]:[GASB]],_xlfn.AGGREGATE(15,3,(TableDiv[[Agency]:[Agency]]=$E234)/(TableDiv[[Agency]:[Agency]]=$E234)*(ROW(TableDiv[Agency])-ROW(TableDiv[[#Headers],[Agency]])),COLUMNS($F$7:X$7))))</f>
        <v>0</v>
      </c>
      <c r="Y234" s="2223" cm="1">
        <f t="array" ref="Y234">IF($D234&lt;COLUMNS($F$7:Y$7),"",INDEX(TableDiv[[GASB]:[GASB]],_xlfn.AGGREGATE(15,3,(TableDiv[[Agency]:[Agency]]=$E234)/(TableDiv[[Agency]:[Agency]]=$E234)*(ROW(TableDiv[Agency])-ROW(TableDiv[[#Headers],[Agency]])),COLUMNS($F$7:Y$7))))</f>
        <v>0</v>
      </c>
      <c r="Z234" s="2223" cm="1">
        <f t="array" ref="Z234">IF($D234&lt;COLUMNS($F$7:Z$7),"",INDEX(TableDiv[[GASB]:[GASB]],_xlfn.AGGREGATE(15,3,(TableDiv[[Agency]:[Agency]]=$E234)/(TableDiv[[Agency]:[Agency]]=$E234)*(ROW(TableDiv[Agency])-ROW(TableDiv[[#Headers],[Agency]])),COLUMNS($F$7:Z$7))))</f>
        <v>0</v>
      </c>
      <c r="AA234" s="2223" cm="1">
        <f t="array" ref="AA234">IF($D234&lt;COLUMNS($F$7:AA$7),"",INDEX(TableDiv[[GASB]:[GASB]],_xlfn.AGGREGATE(15,3,(TableDiv[[Agency]:[Agency]]=$E234)/(TableDiv[[Agency]:[Agency]]=$E234)*(ROW(TableDiv[Agency])-ROW(TableDiv[[#Headers],[Agency]])),COLUMNS($F$7:AA$7))))</f>
        <v>0</v>
      </c>
      <c r="AB234" s="2223" cm="1">
        <f t="array" ref="AB234">IF($D234&lt;COLUMNS($F$7:AB$7),"",INDEX(TableDiv[[GASB]:[GASB]],_xlfn.AGGREGATE(15,3,(TableDiv[[Agency]:[Agency]]=$E234)/(TableDiv[[Agency]:[Agency]]=$E234)*(ROW(TableDiv[Agency])-ROW(TableDiv[[#Headers],[Agency]])),COLUMNS($F$7:AB$7))))</f>
        <v>0</v>
      </c>
      <c r="AC234" s="2223" cm="1">
        <f t="array" ref="AC234">IF($D234&lt;COLUMNS($F$7:AC$7),"",INDEX(TableDiv[[GASB]:[GASB]],_xlfn.AGGREGATE(15,3,(TableDiv[[Agency]:[Agency]]=$E234)/(TableDiv[[Agency]:[Agency]]=$E234)*(ROW(TableDiv[Agency])-ROW(TableDiv[[#Headers],[Agency]])),COLUMNS($F$7:AC$7))))</f>
        <v>0</v>
      </c>
      <c r="AD234" s="2223" cm="1">
        <f t="array" ref="AD234">IF($D234&lt;COLUMNS($F$7:AD$7),"",INDEX(TableDiv[[GASB]:[GASB]],_xlfn.AGGREGATE(15,3,(TableDiv[[Agency]:[Agency]]=$E234)/(TableDiv[[Agency]:[Agency]]=$E234)*(ROW(TableDiv[Agency])-ROW(TableDiv[[#Headers],[Agency]])),COLUMNS($F$7:AD$7))))</f>
        <v>0</v>
      </c>
      <c r="AE234" s="2223" cm="1">
        <f t="array" ref="AE234">IF($D234&lt;COLUMNS($F$7:AE$7),"",INDEX(TableDiv[[GASB]:[GASB]],_xlfn.AGGREGATE(15,3,(TableDiv[[Agency]:[Agency]]=$E234)/(TableDiv[[Agency]:[Agency]]=$E234)*(ROW(TableDiv[Agency])-ROW(TableDiv[[#Headers],[Agency]])),COLUMNS($F$7:AE$7))))</f>
        <v>0</v>
      </c>
      <c r="AF234" s="2223" cm="1">
        <f t="array" ref="AF234">IF($D234&lt;COLUMNS($F$7:AF$7),"",INDEX(TableDiv[[GASB]:[GASB]],_xlfn.AGGREGATE(15,3,(TableDiv[[Agency]:[Agency]]=$E234)/(TableDiv[[Agency]:[Agency]]=$E234)*(ROW(TableDiv[Agency])-ROW(TableDiv[[#Headers],[Agency]])),COLUMNS($F$7:AF$7))))</f>
        <v>0</v>
      </c>
      <c r="AG234" s="2223" cm="1">
        <f t="array" ref="AG234">IF($D234&lt;COLUMNS($F$7:AG$7),"",INDEX(TableDiv[[GASB]:[GASB]],_xlfn.AGGREGATE(15,3,(TableDiv[[Agency]:[Agency]]=$E234)/(TableDiv[[Agency]:[Agency]]=$E234)*(ROW(TableDiv[Agency])-ROW(TableDiv[[#Headers],[Agency]])),COLUMNS($F$7:AG$7))))</f>
        <v>0</v>
      </c>
      <c r="AH234" s="2223" cm="1">
        <f t="array" ref="AH234">IF($D234&lt;COLUMNS($F$7:AH$7),"",INDEX(TableDiv[[GASB]:[GASB]],_xlfn.AGGREGATE(15,3,(TableDiv[[Agency]:[Agency]]=$E234)/(TableDiv[[Agency]:[Agency]]=$E234)*(ROW(TableDiv[Agency])-ROW(TableDiv[[#Headers],[Agency]])),COLUMNS($F$7:AH$7))))</f>
        <v>0</v>
      </c>
      <c r="AI234" s="2223" cm="1">
        <f t="array" ref="AI234">IF($D234&lt;COLUMNS($F$7:AI$7),"",INDEX(TableDiv[[GASB]:[GASB]],_xlfn.AGGREGATE(15,3,(TableDiv[[Agency]:[Agency]]=$E234)/(TableDiv[[Agency]:[Agency]]=$E234)*(ROW(TableDiv[Agency])-ROW(TableDiv[[#Headers],[Agency]])),COLUMNS($F$7:AI$7))))</f>
        <v>0</v>
      </c>
      <c r="AJ234" s="2223" cm="1">
        <f t="array" ref="AJ234">IF($D234&lt;COLUMNS($F$7:AJ$7),"",INDEX(TableDiv[[GASB]:[GASB]],_xlfn.AGGREGATE(15,3,(TableDiv[[Agency]:[Agency]]=$E234)/(TableDiv[[Agency]:[Agency]]=$E234)*(ROW(TableDiv[Agency])-ROW(TableDiv[[#Headers],[Agency]])),COLUMNS($F$7:AJ$7))))</f>
        <v>0</v>
      </c>
      <c r="AK234" s="2223" t="str" cm="1">
        <f t="array" ref="AK234">IF($D234&lt;COLUMNS($F$7:AK$7),"",INDEX(TableDiv[[GASB]:[GASB]],_xlfn.AGGREGATE(15,3,(TableDiv[[Agency]:[Agency]]=$E234)/(TableDiv[[Agency]:[Agency]]=$E234)*(ROW(TableDiv[Agency])-ROW(TableDiv[[#Headers],[Agency]])),COLUMNS($F$7:AK$7))))</f>
        <v/>
      </c>
      <c r="AL234" s="2223" t="str" cm="1">
        <f t="array" ref="AL234">IF($D234&lt;COLUMNS($F$7:AL$7),"",INDEX(TableDiv[[GASB]:[GASB]],_xlfn.AGGREGATE(15,3,(TableDiv[[Agency]:[Agency]]=$E234)/(TableDiv[[Agency]:[Agency]]=$E234)*(ROW(TableDiv[Agency])-ROW(TableDiv[[#Headers],[Agency]])),COLUMNS($F$7:AL$7))))</f>
        <v/>
      </c>
      <c r="AM234" s="2223" t="str" cm="1">
        <f t="array" ref="AM234">IF($D234&lt;COLUMNS($F$7:AM$7),"",INDEX(TableDiv[[GASB]:[GASB]],_xlfn.AGGREGATE(15,3,(TableDiv[[Agency]:[Agency]]=$E234)/(TableDiv[[Agency]:[Agency]]=$E234)*(ROW(TableDiv[Agency])-ROW(TableDiv[[#Headers],[Agency]])),COLUMNS($F$7:AM$7))))</f>
        <v/>
      </c>
      <c r="AN234" s="2223"/>
      <c r="AO234" s="2223"/>
      <c r="AP234" s="2223"/>
      <c r="AQ234" s="2223"/>
      <c r="AR234" s="2223"/>
      <c r="AS234" s="2223"/>
    </row>
    <row r="235" spans="1:45" ht="15" x14ac:dyDescent="0.25">
      <c r="A235" s="2219" t="s">
        <v>6461</v>
      </c>
      <c r="B235" s="2219" t="s">
        <v>6358</v>
      </c>
      <c r="C235" s="2223"/>
      <c r="D235" s="2223">
        <f>COUNTIF(TableDiv[Agency],E235)</f>
        <v>31</v>
      </c>
      <c r="E235" s="2230" t="str" cm="1">
        <f t="array" ref="E235">IFERROR(INDEX(TableDiv[Agency],MATCH(0,INDEX(COUNTIF($E$7:E234,TableDiv[Agency]),),0)),"")</f>
        <v/>
      </c>
      <c r="F235" s="2223" cm="1">
        <f t="array" ref="F235">IF($D235&lt;COLUMNS($F$7:F$7),"",INDEX(TableDiv[[GASB]:[GASB]],_xlfn.AGGREGATE(15,3,(TableDiv[[Agency]:[Agency]]=$E235)/(TableDiv[[Agency]:[Agency]]=$E235)*(ROW(TableDiv[Agency])-ROW(TableDiv[[#Headers],[Agency]])),COLUMNS($F$7:F$7))))</f>
        <v>0</v>
      </c>
      <c r="G235" s="2223" cm="1">
        <f t="array" ref="G235">IF($D235&lt;COLUMNS($F$7:G$7),"",INDEX(TableDiv[[GASB]:[GASB]],_xlfn.AGGREGATE(15,3,(TableDiv[[Agency]:[Agency]]=$E235)/(TableDiv[[Agency]:[Agency]]=$E235)*(ROW(TableDiv[Agency])-ROW(TableDiv[[#Headers],[Agency]])),COLUMNS($F$7:G$7))))</f>
        <v>0</v>
      </c>
      <c r="H235" s="2223" cm="1">
        <f t="array" ref="H235">IF($D235&lt;COLUMNS($F$7:H$7),"",INDEX(TableDiv[[GASB]:[GASB]],_xlfn.AGGREGATE(15,3,(TableDiv[[Agency]:[Agency]]=$E235)/(TableDiv[[Agency]:[Agency]]=$E235)*(ROW(TableDiv[Agency])-ROW(TableDiv[[#Headers],[Agency]])),COLUMNS($F$7:H$7))))</f>
        <v>0</v>
      </c>
      <c r="I235" s="2223" cm="1">
        <f t="array" ref="I235">IF($D235&lt;COLUMNS($F$7:I$7),"",INDEX(TableDiv[[GASB]:[GASB]],_xlfn.AGGREGATE(15,3,(TableDiv[[Agency]:[Agency]]=$E235)/(TableDiv[[Agency]:[Agency]]=$E235)*(ROW(TableDiv[Agency])-ROW(TableDiv[[#Headers],[Agency]])),COLUMNS($F$7:I$7))))</f>
        <v>0</v>
      </c>
      <c r="J235" s="2223" cm="1">
        <f t="array" ref="J235">IF($D235&lt;COLUMNS($F$7:J$7),"",INDEX(TableDiv[[GASB]:[GASB]],_xlfn.AGGREGATE(15,3,(TableDiv[[Agency]:[Agency]]=$E235)/(TableDiv[[Agency]:[Agency]]=$E235)*(ROW(TableDiv[Agency])-ROW(TableDiv[[#Headers],[Agency]])),COLUMNS($F$7:J$7))))</f>
        <v>0</v>
      </c>
      <c r="K235" s="2223" cm="1">
        <f t="array" ref="K235">IF($D235&lt;COLUMNS($F$7:K$7),"",INDEX(TableDiv[[GASB]:[GASB]],_xlfn.AGGREGATE(15,3,(TableDiv[[Agency]:[Agency]]=$E235)/(TableDiv[[Agency]:[Agency]]=$E235)*(ROW(TableDiv[Agency])-ROW(TableDiv[[#Headers],[Agency]])),COLUMNS($F$7:K$7))))</f>
        <v>0</v>
      </c>
      <c r="L235" s="2223" cm="1">
        <f t="array" ref="L235">IF($D235&lt;COLUMNS($F$7:L$7),"",INDEX(TableDiv[[GASB]:[GASB]],_xlfn.AGGREGATE(15,3,(TableDiv[[Agency]:[Agency]]=$E235)/(TableDiv[[Agency]:[Agency]]=$E235)*(ROW(TableDiv[Agency])-ROW(TableDiv[[#Headers],[Agency]])),COLUMNS($F$7:L$7))))</f>
        <v>0</v>
      </c>
      <c r="M235" s="2223" cm="1">
        <f t="array" ref="M235">IF($D235&lt;COLUMNS($F$7:M$7),"",INDEX(TableDiv[[GASB]:[GASB]],_xlfn.AGGREGATE(15,3,(TableDiv[[Agency]:[Agency]]=$E235)/(TableDiv[[Agency]:[Agency]]=$E235)*(ROW(TableDiv[Agency])-ROW(TableDiv[[#Headers],[Agency]])),COLUMNS($F$7:M$7))))</f>
        <v>0</v>
      </c>
      <c r="N235" s="2223" cm="1">
        <f t="array" ref="N235">IF($D235&lt;COLUMNS($F$7:N$7),"",INDEX(TableDiv[[GASB]:[GASB]],_xlfn.AGGREGATE(15,3,(TableDiv[[Agency]:[Agency]]=$E235)/(TableDiv[[Agency]:[Agency]]=$E235)*(ROW(TableDiv[Agency])-ROW(TableDiv[[#Headers],[Agency]])),COLUMNS($F$7:N$7))))</f>
        <v>0</v>
      </c>
      <c r="O235" s="2223" cm="1">
        <f t="array" ref="O235">IF($D235&lt;COLUMNS($F$7:O$7),"",INDEX(TableDiv[[GASB]:[GASB]],_xlfn.AGGREGATE(15,3,(TableDiv[[Agency]:[Agency]]=$E235)/(TableDiv[[Agency]:[Agency]]=$E235)*(ROW(TableDiv[Agency])-ROW(TableDiv[[#Headers],[Agency]])),COLUMNS($F$7:O$7))))</f>
        <v>0</v>
      </c>
      <c r="P235" s="2223" cm="1">
        <f t="array" ref="P235">IF($D235&lt;COLUMNS($F$7:P$7),"",INDEX(TableDiv[[GASB]:[GASB]],_xlfn.AGGREGATE(15,3,(TableDiv[[Agency]:[Agency]]=$E235)/(TableDiv[[Agency]:[Agency]]=$E235)*(ROW(TableDiv[Agency])-ROW(TableDiv[[#Headers],[Agency]])),COLUMNS($F$7:P$7))))</f>
        <v>0</v>
      </c>
      <c r="Q235" s="2223" cm="1">
        <f t="array" ref="Q235">IF($D235&lt;COLUMNS($F$7:Q$7),"",INDEX(TableDiv[[GASB]:[GASB]],_xlfn.AGGREGATE(15,3,(TableDiv[[Agency]:[Agency]]=$E235)/(TableDiv[[Agency]:[Agency]]=$E235)*(ROW(TableDiv[Agency])-ROW(TableDiv[[#Headers],[Agency]])),COLUMNS($F$7:Q$7))))</f>
        <v>0</v>
      </c>
      <c r="R235" s="2223" cm="1">
        <f t="array" ref="R235">IF($D235&lt;COLUMNS($F$7:R$7),"",INDEX(TableDiv[[GASB]:[GASB]],_xlfn.AGGREGATE(15,3,(TableDiv[[Agency]:[Agency]]=$E235)/(TableDiv[[Agency]:[Agency]]=$E235)*(ROW(TableDiv[Agency])-ROW(TableDiv[[#Headers],[Agency]])),COLUMNS($F$7:R$7))))</f>
        <v>0</v>
      </c>
      <c r="S235" s="2223" cm="1">
        <f t="array" ref="S235">IF($D235&lt;COLUMNS($F$7:S$7),"",INDEX(TableDiv[[GASB]:[GASB]],_xlfn.AGGREGATE(15,3,(TableDiv[[Agency]:[Agency]]=$E235)/(TableDiv[[Agency]:[Agency]]=$E235)*(ROW(TableDiv[Agency])-ROW(TableDiv[[#Headers],[Agency]])),COLUMNS($F$7:S$7))))</f>
        <v>0</v>
      </c>
      <c r="T235" s="2223" cm="1">
        <f t="array" ref="T235">IF($D235&lt;COLUMNS($F$7:T$7),"",INDEX(TableDiv[[GASB]:[GASB]],_xlfn.AGGREGATE(15,3,(TableDiv[[Agency]:[Agency]]=$E235)/(TableDiv[[Agency]:[Agency]]=$E235)*(ROW(TableDiv[Agency])-ROW(TableDiv[[#Headers],[Agency]])),COLUMNS($F$7:T$7))))</f>
        <v>0</v>
      </c>
      <c r="U235" s="2223" cm="1">
        <f t="array" ref="U235">IF($D235&lt;COLUMNS($F$7:U$7),"",INDEX(TableDiv[[GASB]:[GASB]],_xlfn.AGGREGATE(15,3,(TableDiv[[Agency]:[Agency]]=$E235)/(TableDiv[[Agency]:[Agency]]=$E235)*(ROW(TableDiv[Agency])-ROW(TableDiv[[#Headers],[Agency]])),COLUMNS($F$7:U$7))))</f>
        <v>0</v>
      </c>
      <c r="V235" s="2223" cm="1">
        <f t="array" ref="V235">IF($D235&lt;COLUMNS($F$7:V$7),"",INDEX(TableDiv[[GASB]:[GASB]],_xlfn.AGGREGATE(15,3,(TableDiv[[Agency]:[Agency]]=$E235)/(TableDiv[[Agency]:[Agency]]=$E235)*(ROW(TableDiv[Agency])-ROW(TableDiv[[#Headers],[Agency]])),COLUMNS($F$7:V$7))))</f>
        <v>0</v>
      </c>
      <c r="W235" s="2223" cm="1">
        <f t="array" ref="W235">IF($D235&lt;COLUMNS($F$7:W$7),"",INDEX(TableDiv[[GASB]:[GASB]],_xlfn.AGGREGATE(15,3,(TableDiv[[Agency]:[Agency]]=$E235)/(TableDiv[[Agency]:[Agency]]=$E235)*(ROW(TableDiv[Agency])-ROW(TableDiv[[#Headers],[Agency]])),COLUMNS($F$7:W$7))))</f>
        <v>0</v>
      </c>
      <c r="X235" s="2223" cm="1">
        <f t="array" ref="X235">IF($D235&lt;COLUMNS($F$7:X$7),"",INDEX(TableDiv[[GASB]:[GASB]],_xlfn.AGGREGATE(15,3,(TableDiv[[Agency]:[Agency]]=$E235)/(TableDiv[[Agency]:[Agency]]=$E235)*(ROW(TableDiv[Agency])-ROW(TableDiv[[#Headers],[Agency]])),COLUMNS($F$7:X$7))))</f>
        <v>0</v>
      </c>
      <c r="Y235" s="2223" cm="1">
        <f t="array" ref="Y235">IF($D235&lt;COLUMNS($F$7:Y$7),"",INDEX(TableDiv[[GASB]:[GASB]],_xlfn.AGGREGATE(15,3,(TableDiv[[Agency]:[Agency]]=$E235)/(TableDiv[[Agency]:[Agency]]=$E235)*(ROW(TableDiv[Agency])-ROW(TableDiv[[#Headers],[Agency]])),COLUMNS($F$7:Y$7))))</f>
        <v>0</v>
      </c>
      <c r="Z235" s="2223" cm="1">
        <f t="array" ref="Z235">IF($D235&lt;COLUMNS($F$7:Z$7),"",INDEX(TableDiv[[GASB]:[GASB]],_xlfn.AGGREGATE(15,3,(TableDiv[[Agency]:[Agency]]=$E235)/(TableDiv[[Agency]:[Agency]]=$E235)*(ROW(TableDiv[Agency])-ROW(TableDiv[[#Headers],[Agency]])),COLUMNS($F$7:Z$7))))</f>
        <v>0</v>
      </c>
      <c r="AA235" s="2223" cm="1">
        <f t="array" ref="AA235">IF($D235&lt;COLUMNS($F$7:AA$7),"",INDEX(TableDiv[[GASB]:[GASB]],_xlfn.AGGREGATE(15,3,(TableDiv[[Agency]:[Agency]]=$E235)/(TableDiv[[Agency]:[Agency]]=$E235)*(ROW(TableDiv[Agency])-ROW(TableDiv[[#Headers],[Agency]])),COLUMNS($F$7:AA$7))))</f>
        <v>0</v>
      </c>
      <c r="AB235" s="2223" cm="1">
        <f t="array" ref="AB235">IF($D235&lt;COLUMNS($F$7:AB$7),"",INDEX(TableDiv[[GASB]:[GASB]],_xlfn.AGGREGATE(15,3,(TableDiv[[Agency]:[Agency]]=$E235)/(TableDiv[[Agency]:[Agency]]=$E235)*(ROW(TableDiv[Agency])-ROW(TableDiv[[#Headers],[Agency]])),COLUMNS($F$7:AB$7))))</f>
        <v>0</v>
      </c>
      <c r="AC235" s="2223" cm="1">
        <f t="array" ref="AC235">IF($D235&lt;COLUMNS($F$7:AC$7),"",INDEX(TableDiv[[GASB]:[GASB]],_xlfn.AGGREGATE(15,3,(TableDiv[[Agency]:[Agency]]=$E235)/(TableDiv[[Agency]:[Agency]]=$E235)*(ROW(TableDiv[Agency])-ROW(TableDiv[[#Headers],[Agency]])),COLUMNS($F$7:AC$7))))</f>
        <v>0</v>
      </c>
      <c r="AD235" s="2223" cm="1">
        <f t="array" ref="AD235">IF($D235&lt;COLUMNS($F$7:AD$7),"",INDEX(TableDiv[[GASB]:[GASB]],_xlfn.AGGREGATE(15,3,(TableDiv[[Agency]:[Agency]]=$E235)/(TableDiv[[Agency]:[Agency]]=$E235)*(ROW(TableDiv[Agency])-ROW(TableDiv[[#Headers],[Agency]])),COLUMNS($F$7:AD$7))))</f>
        <v>0</v>
      </c>
      <c r="AE235" s="2223" cm="1">
        <f t="array" ref="AE235">IF($D235&lt;COLUMNS($F$7:AE$7),"",INDEX(TableDiv[[GASB]:[GASB]],_xlfn.AGGREGATE(15,3,(TableDiv[[Agency]:[Agency]]=$E235)/(TableDiv[[Agency]:[Agency]]=$E235)*(ROW(TableDiv[Agency])-ROW(TableDiv[[#Headers],[Agency]])),COLUMNS($F$7:AE$7))))</f>
        <v>0</v>
      </c>
      <c r="AF235" s="2223" cm="1">
        <f t="array" ref="AF235">IF($D235&lt;COLUMNS($F$7:AF$7),"",INDEX(TableDiv[[GASB]:[GASB]],_xlfn.AGGREGATE(15,3,(TableDiv[[Agency]:[Agency]]=$E235)/(TableDiv[[Agency]:[Agency]]=$E235)*(ROW(TableDiv[Agency])-ROW(TableDiv[[#Headers],[Agency]])),COLUMNS($F$7:AF$7))))</f>
        <v>0</v>
      </c>
      <c r="AG235" s="2223" cm="1">
        <f t="array" ref="AG235">IF($D235&lt;COLUMNS($F$7:AG$7),"",INDEX(TableDiv[[GASB]:[GASB]],_xlfn.AGGREGATE(15,3,(TableDiv[[Agency]:[Agency]]=$E235)/(TableDiv[[Agency]:[Agency]]=$E235)*(ROW(TableDiv[Agency])-ROW(TableDiv[[#Headers],[Agency]])),COLUMNS($F$7:AG$7))))</f>
        <v>0</v>
      </c>
      <c r="AH235" s="2223" cm="1">
        <f t="array" ref="AH235">IF($D235&lt;COLUMNS($F$7:AH$7),"",INDEX(TableDiv[[GASB]:[GASB]],_xlfn.AGGREGATE(15,3,(TableDiv[[Agency]:[Agency]]=$E235)/(TableDiv[[Agency]:[Agency]]=$E235)*(ROW(TableDiv[Agency])-ROW(TableDiv[[#Headers],[Agency]])),COLUMNS($F$7:AH$7))))</f>
        <v>0</v>
      </c>
      <c r="AI235" s="2223" cm="1">
        <f t="array" ref="AI235">IF($D235&lt;COLUMNS($F$7:AI$7),"",INDEX(TableDiv[[GASB]:[GASB]],_xlfn.AGGREGATE(15,3,(TableDiv[[Agency]:[Agency]]=$E235)/(TableDiv[[Agency]:[Agency]]=$E235)*(ROW(TableDiv[Agency])-ROW(TableDiv[[#Headers],[Agency]])),COLUMNS($F$7:AI$7))))</f>
        <v>0</v>
      </c>
      <c r="AJ235" s="2223" cm="1">
        <f t="array" ref="AJ235">IF($D235&lt;COLUMNS($F$7:AJ$7),"",INDEX(TableDiv[[GASB]:[GASB]],_xlfn.AGGREGATE(15,3,(TableDiv[[Agency]:[Agency]]=$E235)/(TableDiv[[Agency]:[Agency]]=$E235)*(ROW(TableDiv[Agency])-ROW(TableDiv[[#Headers],[Agency]])),COLUMNS($F$7:AJ$7))))</f>
        <v>0</v>
      </c>
      <c r="AK235" s="2223" t="str" cm="1">
        <f t="array" ref="AK235">IF($D235&lt;COLUMNS($F$7:AK$7),"",INDEX(TableDiv[[GASB]:[GASB]],_xlfn.AGGREGATE(15,3,(TableDiv[[Agency]:[Agency]]=$E235)/(TableDiv[[Agency]:[Agency]]=$E235)*(ROW(TableDiv[Agency])-ROW(TableDiv[[#Headers],[Agency]])),COLUMNS($F$7:AK$7))))</f>
        <v/>
      </c>
      <c r="AL235" s="2223" t="str" cm="1">
        <f t="array" ref="AL235">IF($D235&lt;COLUMNS($F$7:AL$7),"",INDEX(TableDiv[[GASB]:[GASB]],_xlfn.AGGREGATE(15,3,(TableDiv[[Agency]:[Agency]]=$E235)/(TableDiv[[Agency]:[Agency]]=$E235)*(ROW(TableDiv[Agency])-ROW(TableDiv[[#Headers],[Agency]])),COLUMNS($F$7:AL$7))))</f>
        <v/>
      </c>
      <c r="AM235" s="2223" t="str" cm="1">
        <f t="array" ref="AM235">IF($D235&lt;COLUMNS($F$7:AM$7),"",INDEX(TableDiv[[GASB]:[GASB]],_xlfn.AGGREGATE(15,3,(TableDiv[[Agency]:[Agency]]=$E235)/(TableDiv[[Agency]:[Agency]]=$E235)*(ROW(TableDiv[Agency])-ROW(TableDiv[[#Headers],[Agency]])),COLUMNS($F$7:AM$7))))</f>
        <v/>
      </c>
      <c r="AN235" s="2223"/>
      <c r="AO235" s="2223"/>
      <c r="AP235" s="2223"/>
      <c r="AQ235" s="2223"/>
      <c r="AR235" s="2223"/>
      <c r="AS235" s="2223"/>
    </row>
    <row r="236" spans="1:45" ht="15" x14ac:dyDescent="0.25">
      <c r="A236" s="2219" t="s">
        <v>6461</v>
      </c>
      <c r="B236" s="2219" t="s">
        <v>6402</v>
      </c>
      <c r="C236" s="2223"/>
      <c r="D236" s="2223">
        <f>COUNTIF(TableDiv[Agency],E236)</f>
        <v>31</v>
      </c>
      <c r="E236" s="2230" t="str" cm="1">
        <f t="array" ref="E236">IFERROR(INDEX(TableDiv[Agency],MATCH(0,INDEX(COUNTIF($E$7:E235,TableDiv[Agency]),),0)),"")</f>
        <v/>
      </c>
      <c r="F236" s="2223" cm="1">
        <f t="array" ref="F236">IF($D236&lt;COLUMNS($F$7:F$7),"",INDEX(TableDiv[[GASB]:[GASB]],_xlfn.AGGREGATE(15,3,(TableDiv[[Agency]:[Agency]]=$E236)/(TableDiv[[Agency]:[Agency]]=$E236)*(ROW(TableDiv[Agency])-ROW(TableDiv[[#Headers],[Agency]])),COLUMNS($F$7:F$7))))</f>
        <v>0</v>
      </c>
      <c r="G236" s="2223" cm="1">
        <f t="array" ref="G236">IF($D236&lt;COLUMNS($F$7:G$7),"",INDEX(TableDiv[[GASB]:[GASB]],_xlfn.AGGREGATE(15,3,(TableDiv[[Agency]:[Agency]]=$E236)/(TableDiv[[Agency]:[Agency]]=$E236)*(ROW(TableDiv[Agency])-ROW(TableDiv[[#Headers],[Agency]])),COLUMNS($F$7:G$7))))</f>
        <v>0</v>
      </c>
      <c r="H236" s="2223" cm="1">
        <f t="array" ref="H236">IF($D236&lt;COLUMNS($F$7:H$7),"",INDEX(TableDiv[[GASB]:[GASB]],_xlfn.AGGREGATE(15,3,(TableDiv[[Agency]:[Agency]]=$E236)/(TableDiv[[Agency]:[Agency]]=$E236)*(ROW(TableDiv[Agency])-ROW(TableDiv[[#Headers],[Agency]])),COLUMNS($F$7:H$7))))</f>
        <v>0</v>
      </c>
      <c r="I236" s="2223" cm="1">
        <f t="array" ref="I236">IF($D236&lt;COLUMNS($F$7:I$7),"",INDEX(TableDiv[[GASB]:[GASB]],_xlfn.AGGREGATE(15,3,(TableDiv[[Agency]:[Agency]]=$E236)/(TableDiv[[Agency]:[Agency]]=$E236)*(ROW(TableDiv[Agency])-ROW(TableDiv[[#Headers],[Agency]])),COLUMNS($F$7:I$7))))</f>
        <v>0</v>
      </c>
      <c r="J236" s="2223" cm="1">
        <f t="array" ref="J236">IF($D236&lt;COLUMNS($F$7:J$7),"",INDEX(TableDiv[[GASB]:[GASB]],_xlfn.AGGREGATE(15,3,(TableDiv[[Agency]:[Agency]]=$E236)/(TableDiv[[Agency]:[Agency]]=$E236)*(ROW(TableDiv[Agency])-ROW(TableDiv[[#Headers],[Agency]])),COLUMNS($F$7:J$7))))</f>
        <v>0</v>
      </c>
      <c r="K236" s="2223" cm="1">
        <f t="array" ref="K236">IF($D236&lt;COLUMNS($F$7:K$7),"",INDEX(TableDiv[[GASB]:[GASB]],_xlfn.AGGREGATE(15,3,(TableDiv[[Agency]:[Agency]]=$E236)/(TableDiv[[Agency]:[Agency]]=$E236)*(ROW(TableDiv[Agency])-ROW(TableDiv[[#Headers],[Agency]])),COLUMNS($F$7:K$7))))</f>
        <v>0</v>
      </c>
      <c r="L236" s="2223" cm="1">
        <f t="array" ref="L236">IF($D236&lt;COLUMNS($F$7:L$7),"",INDEX(TableDiv[[GASB]:[GASB]],_xlfn.AGGREGATE(15,3,(TableDiv[[Agency]:[Agency]]=$E236)/(TableDiv[[Agency]:[Agency]]=$E236)*(ROW(TableDiv[Agency])-ROW(TableDiv[[#Headers],[Agency]])),COLUMNS($F$7:L$7))))</f>
        <v>0</v>
      </c>
      <c r="M236" s="2223" cm="1">
        <f t="array" ref="M236">IF($D236&lt;COLUMNS($F$7:M$7),"",INDEX(TableDiv[[GASB]:[GASB]],_xlfn.AGGREGATE(15,3,(TableDiv[[Agency]:[Agency]]=$E236)/(TableDiv[[Agency]:[Agency]]=$E236)*(ROW(TableDiv[Agency])-ROW(TableDiv[[#Headers],[Agency]])),COLUMNS($F$7:M$7))))</f>
        <v>0</v>
      </c>
      <c r="N236" s="2223" cm="1">
        <f t="array" ref="N236">IF($D236&lt;COLUMNS($F$7:N$7),"",INDEX(TableDiv[[GASB]:[GASB]],_xlfn.AGGREGATE(15,3,(TableDiv[[Agency]:[Agency]]=$E236)/(TableDiv[[Agency]:[Agency]]=$E236)*(ROW(TableDiv[Agency])-ROW(TableDiv[[#Headers],[Agency]])),COLUMNS($F$7:N$7))))</f>
        <v>0</v>
      </c>
      <c r="O236" s="2223" cm="1">
        <f t="array" ref="O236">IF($D236&lt;COLUMNS($F$7:O$7),"",INDEX(TableDiv[[GASB]:[GASB]],_xlfn.AGGREGATE(15,3,(TableDiv[[Agency]:[Agency]]=$E236)/(TableDiv[[Agency]:[Agency]]=$E236)*(ROW(TableDiv[Agency])-ROW(TableDiv[[#Headers],[Agency]])),COLUMNS($F$7:O$7))))</f>
        <v>0</v>
      </c>
      <c r="P236" s="2223" cm="1">
        <f t="array" ref="P236">IF($D236&lt;COLUMNS($F$7:P$7),"",INDEX(TableDiv[[GASB]:[GASB]],_xlfn.AGGREGATE(15,3,(TableDiv[[Agency]:[Agency]]=$E236)/(TableDiv[[Agency]:[Agency]]=$E236)*(ROW(TableDiv[Agency])-ROW(TableDiv[[#Headers],[Agency]])),COLUMNS($F$7:P$7))))</f>
        <v>0</v>
      </c>
      <c r="Q236" s="2223" cm="1">
        <f t="array" ref="Q236">IF($D236&lt;COLUMNS($F$7:Q$7),"",INDEX(TableDiv[[GASB]:[GASB]],_xlfn.AGGREGATE(15,3,(TableDiv[[Agency]:[Agency]]=$E236)/(TableDiv[[Agency]:[Agency]]=$E236)*(ROW(TableDiv[Agency])-ROW(TableDiv[[#Headers],[Agency]])),COLUMNS($F$7:Q$7))))</f>
        <v>0</v>
      </c>
      <c r="R236" s="2223" cm="1">
        <f t="array" ref="R236">IF($D236&lt;COLUMNS($F$7:R$7),"",INDEX(TableDiv[[GASB]:[GASB]],_xlfn.AGGREGATE(15,3,(TableDiv[[Agency]:[Agency]]=$E236)/(TableDiv[[Agency]:[Agency]]=$E236)*(ROW(TableDiv[Agency])-ROW(TableDiv[[#Headers],[Agency]])),COLUMNS($F$7:R$7))))</f>
        <v>0</v>
      </c>
      <c r="S236" s="2223" cm="1">
        <f t="array" ref="S236">IF($D236&lt;COLUMNS($F$7:S$7),"",INDEX(TableDiv[[GASB]:[GASB]],_xlfn.AGGREGATE(15,3,(TableDiv[[Agency]:[Agency]]=$E236)/(TableDiv[[Agency]:[Agency]]=$E236)*(ROW(TableDiv[Agency])-ROW(TableDiv[[#Headers],[Agency]])),COLUMNS($F$7:S$7))))</f>
        <v>0</v>
      </c>
      <c r="T236" s="2223" cm="1">
        <f t="array" ref="T236">IF($D236&lt;COLUMNS($F$7:T$7),"",INDEX(TableDiv[[GASB]:[GASB]],_xlfn.AGGREGATE(15,3,(TableDiv[[Agency]:[Agency]]=$E236)/(TableDiv[[Agency]:[Agency]]=$E236)*(ROW(TableDiv[Agency])-ROW(TableDiv[[#Headers],[Agency]])),COLUMNS($F$7:T$7))))</f>
        <v>0</v>
      </c>
      <c r="U236" s="2223" cm="1">
        <f t="array" ref="U236">IF($D236&lt;COLUMNS($F$7:U$7),"",INDEX(TableDiv[[GASB]:[GASB]],_xlfn.AGGREGATE(15,3,(TableDiv[[Agency]:[Agency]]=$E236)/(TableDiv[[Agency]:[Agency]]=$E236)*(ROW(TableDiv[Agency])-ROW(TableDiv[[#Headers],[Agency]])),COLUMNS($F$7:U$7))))</f>
        <v>0</v>
      </c>
      <c r="V236" s="2223" cm="1">
        <f t="array" ref="V236">IF($D236&lt;COLUMNS($F$7:V$7),"",INDEX(TableDiv[[GASB]:[GASB]],_xlfn.AGGREGATE(15,3,(TableDiv[[Agency]:[Agency]]=$E236)/(TableDiv[[Agency]:[Agency]]=$E236)*(ROW(TableDiv[Agency])-ROW(TableDiv[[#Headers],[Agency]])),COLUMNS($F$7:V$7))))</f>
        <v>0</v>
      </c>
      <c r="W236" s="2223" cm="1">
        <f t="array" ref="W236">IF($D236&lt;COLUMNS($F$7:W$7),"",INDEX(TableDiv[[GASB]:[GASB]],_xlfn.AGGREGATE(15,3,(TableDiv[[Agency]:[Agency]]=$E236)/(TableDiv[[Agency]:[Agency]]=$E236)*(ROW(TableDiv[Agency])-ROW(TableDiv[[#Headers],[Agency]])),COLUMNS($F$7:W$7))))</f>
        <v>0</v>
      </c>
      <c r="X236" s="2223" cm="1">
        <f t="array" ref="X236">IF($D236&lt;COLUMNS($F$7:X$7),"",INDEX(TableDiv[[GASB]:[GASB]],_xlfn.AGGREGATE(15,3,(TableDiv[[Agency]:[Agency]]=$E236)/(TableDiv[[Agency]:[Agency]]=$E236)*(ROW(TableDiv[Agency])-ROW(TableDiv[[#Headers],[Agency]])),COLUMNS($F$7:X$7))))</f>
        <v>0</v>
      </c>
      <c r="Y236" s="2223" cm="1">
        <f t="array" ref="Y236">IF($D236&lt;COLUMNS($F$7:Y$7),"",INDEX(TableDiv[[GASB]:[GASB]],_xlfn.AGGREGATE(15,3,(TableDiv[[Agency]:[Agency]]=$E236)/(TableDiv[[Agency]:[Agency]]=$E236)*(ROW(TableDiv[Agency])-ROW(TableDiv[[#Headers],[Agency]])),COLUMNS($F$7:Y$7))))</f>
        <v>0</v>
      </c>
      <c r="Z236" s="2223" cm="1">
        <f t="array" ref="Z236">IF($D236&lt;COLUMNS($F$7:Z$7),"",INDEX(TableDiv[[GASB]:[GASB]],_xlfn.AGGREGATE(15,3,(TableDiv[[Agency]:[Agency]]=$E236)/(TableDiv[[Agency]:[Agency]]=$E236)*(ROW(TableDiv[Agency])-ROW(TableDiv[[#Headers],[Agency]])),COLUMNS($F$7:Z$7))))</f>
        <v>0</v>
      </c>
      <c r="AA236" s="2223" cm="1">
        <f t="array" ref="AA236">IF($D236&lt;COLUMNS($F$7:AA$7),"",INDEX(TableDiv[[GASB]:[GASB]],_xlfn.AGGREGATE(15,3,(TableDiv[[Agency]:[Agency]]=$E236)/(TableDiv[[Agency]:[Agency]]=$E236)*(ROW(TableDiv[Agency])-ROW(TableDiv[[#Headers],[Agency]])),COLUMNS($F$7:AA$7))))</f>
        <v>0</v>
      </c>
      <c r="AB236" s="2223" cm="1">
        <f t="array" ref="AB236">IF($D236&lt;COLUMNS($F$7:AB$7),"",INDEX(TableDiv[[GASB]:[GASB]],_xlfn.AGGREGATE(15,3,(TableDiv[[Agency]:[Agency]]=$E236)/(TableDiv[[Agency]:[Agency]]=$E236)*(ROW(TableDiv[Agency])-ROW(TableDiv[[#Headers],[Agency]])),COLUMNS($F$7:AB$7))))</f>
        <v>0</v>
      </c>
      <c r="AC236" s="2223" cm="1">
        <f t="array" ref="AC236">IF($D236&lt;COLUMNS($F$7:AC$7),"",INDEX(TableDiv[[GASB]:[GASB]],_xlfn.AGGREGATE(15,3,(TableDiv[[Agency]:[Agency]]=$E236)/(TableDiv[[Agency]:[Agency]]=$E236)*(ROW(TableDiv[Agency])-ROW(TableDiv[[#Headers],[Agency]])),COLUMNS($F$7:AC$7))))</f>
        <v>0</v>
      </c>
      <c r="AD236" s="2223" cm="1">
        <f t="array" ref="AD236">IF($D236&lt;COLUMNS($F$7:AD$7),"",INDEX(TableDiv[[GASB]:[GASB]],_xlfn.AGGREGATE(15,3,(TableDiv[[Agency]:[Agency]]=$E236)/(TableDiv[[Agency]:[Agency]]=$E236)*(ROW(TableDiv[Agency])-ROW(TableDiv[[#Headers],[Agency]])),COLUMNS($F$7:AD$7))))</f>
        <v>0</v>
      </c>
      <c r="AE236" s="2223" cm="1">
        <f t="array" ref="AE236">IF($D236&lt;COLUMNS($F$7:AE$7),"",INDEX(TableDiv[[GASB]:[GASB]],_xlfn.AGGREGATE(15,3,(TableDiv[[Agency]:[Agency]]=$E236)/(TableDiv[[Agency]:[Agency]]=$E236)*(ROW(TableDiv[Agency])-ROW(TableDiv[[#Headers],[Agency]])),COLUMNS($F$7:AE$7))))</f>
        <v>0</v>
      </c>
      <c r="AF236" s="2223" cm="1">
        <f t="array" ref="AF236">IF($D236&lt;COLUMNS($F$7:AF$7),"",INDEX(TableDiv[[GASB]:[GASB]],_xlfn.AGGREGATE(15,3,(TableDiv[[Agency]:[Agency]]=$E236)/(TableDiv[[Agency]:[Agency]]=$E236)*(ROW(TableDiv[Agency])-ROW(TableDiv[[#Headers],[Agency]])),COLUMNS($F$7:AF$7))))</f>
        <v>0</v>
      </c>
      <c r="AG236" s="2223" cm="1">
        <f t="array" ref="AG236">IF($D236&lt;COLUMNS($F$7:AG$7),"",INDEX(TableDiv[[GASB]:[GASB]],_xlfn.AGGREGATE(15,3,(TableDiv[[Agency]:[Agency]]=$E236)/(TableDiv[[Agency]:[Agency]]=$E236)*(ROW(TableDiv[Agency])-ROW(TableDiv[[#Headers],[Agency]])),COLUMNS($F$7:AG$7))))</f>
        <v>0</v>
      </c>
      <c r="AH236" s="2223" cm="1">
        <f t="array" ref="AH236">IF($D236&lt;COLUMNS($F$7:AH$7),"",INDEX(TableDiv[[GASB]:[GASB]],_xlfn.AGGREGATE(15,3,(TableDiv[[Agency]:[Agency]]=$E236)/(TableDiv[[Agency]:[Agency]]=$E236)*(ROW(TableDiv[Agency])-ROW(TableDiv[[#Headers],[Agency]])),COLUMNS($F$7:AH$7))))</f>
        <v>0</v>
      </c>
      <c r="AI236" s="2223" cm="1">
        <f t="array" ref="AI236">IF($D236&lt;COLUMNS($F$7:AI$7),"",INDEX(TableDiv[[GASB]:[GASB]],_xlfn.AGGREGATE(15,3,(TableDiv[[Agency]:[Agency]]=$E236)/(TableDiv[[Agency]:[Agency]]=$E236)*(ROW(TableDiv[Agency])-ROW(TableDiv[[#Headers],[Agency]])),COLUMNS($F$7:AI$7))))</f>
        <v>0</v>
      </c>
      <c r="AJ236" s="2223" cm="1">
        <f t="array" ref="AJ236">IF($D236&lt;COLUMNS($F$7:AJ$7),"",INDEX(TableDiv[[GASB]:[GASB]],_xlfn.AGGREGATE(15,3,(TableDiv[[Agency]:[Agency]]=$E236)/(TableDiv[[Agency]:[Agency]]=$E236)*(ROW(TableDiv[Agency])-ROW(TableDiv[[#Headers],[Agency]])),COLUMNS($F$7:AJ$7))))</f>
        <v>0</v>
      </c>
      <c r="AK236" s="2223" t="str" cm="1">
        <f t="array" ref="AK236">IF($D236&lt;COLUMNS($F$7:AK$7),"",INDEX(TableDiv[[GASB]:[GASB]],_xlfn.AGGREGATE(15,3,(TableDiv[[Agency]:[Agency]]=$E236)/(TableDiv[[Agency]:[Agency]]=$E236)*(ROW(TableDiv[Agency])-ROW(TableDiv[[#Headers],[Agency]])),COLUMNS($F$7:AK$7))))</f>
        <v/>
      </c>
      <c r="AL236" s="2223" t="str" cm="1">
        <f t="array" ref="AL236">IF($D236&lt;COLUMNS($F$7:AL$7),"",INDEX(TableDiv[[GASB]:[GASB]],_xlfn.AGGREGATE(15,3,(TableDiv[[Agency]:[Agency]]=$E236)/(TableDiv[[Agency]:[Agency]]=$E236)*(ROW(TableDiv[Agency])-ROW(TableDiv[[#Headers],[Agency]])),COLUMNS($F$7:AL$7))))</f>
        <v/>
      </c>
      <c r="AM236" s="2223" t="str" cm="1">
        <f t="array" ref="AM236">IF($D236&lt;COLUMNS($F$7:AM$7),"",INDEX(TableDiv[[GASB]:[GASB]],_xlfn.AGGREGATE(15,3,(TableDiv[[Agency]:[Agency]]=$E236)/(TableDiv[[Agency]:[Agency]]=$E236)*(ROW(TableDiv[Agency])-ROW(TableDiv[[#Headers],[Agency]])),COLUMNS($F$7:AM$7))))</f>
        <v/>
      </c>
      <c r="AN236" s="2223"/>
      <c r="AO236" s="2223"/>
      <c r="AP236" s="2223"/>
      <c r="AQ236" s="2223"/>
      <c r="AR236" s="2223"/>
      <c r="AS236" s="2223"/>
    </row>
    <row r="237" spans="1:45" ht="15" x14ac:dyDescent="0.25">
      <c r="A237" s="2219" t="s">
        <v>6461</v>
      </c>
      <c r="B237" s="2219" t="s">
        <v>6393</v>
      </c>
      <c r="C237" s="2223"/>
      <c r="D237" s="2223">
        <f>COUNTIF(TableDiv[Agency],E237)</f>
        <v>31</v>
      </c>
      <c r="E237" s="2230" t="str" cm="1">
        <f t="array" ref="E237">IFERROR(INDEX(TableDiv[Agency],MATCH(0,INDEX(COUNTIF($E$7:E236,TableDiv[Agency]),),0)),"")</f>
        <v/>
      </c>
      <c r="F237" s="2223" cm="1">
        <f t="array" ref="F237">IF($D237&lt;COLUMNS($F$7:F$7),"",INDEX(TableDiv[[GASB]:[GASB]],_xlfn.AGGREGATE(15,3,(TableDiv[[Agency]:[Agency]]=$E237)/(TableDiv[[Agency]:[Agency]]=$E237)*(ROW(TableDiv[Agency])-ROW(TableDiv[[#Headers],[Agency]])),COLUMNS($F$7:F$7))))</f>
        <v>0</v>
      </c>
      <c r="G237" s="2223" cm="1">
        <f t="array" ref="G237">IF($D237&lt;COLUMNS($F$7:G$7),"",INDEX(TableDiv[[GASB]:[GASB]],_xlfn.AGGREGATE(15,3,(TableDiv[[Agency]:[Agency]]=$E237)/(TableDiv[[Agency]:[Agency]]=$E237)*(ROW(TableDiv[Agency])-ROW(TableDiv[[#Headers],[Agency]])),COLUMNS($F$7:G$7))))</f>
        <v>0</v>
      </c>
      <c r="H237" s="2223" cm="1">
        <f t="array" ref="H237">IF($D237&lt;COLUMNS($F$7:H$7),"",INDEX(TableDiv[[GASB]:[GASB]],_xlfn.AGGREGATE(15,3,(TableDiv[[Agency]:[Agency]]=$E237)/(TableDiv[[Agency]:[Agency]]=$E237)*(ROW(TableDiv[Agency])-ROW(TableDiv[[#Headers],[Agency]])),COLUMNS($F$7:H$7))))</f>
        <v>0</v>
      </c>
      <c r="I237" s="2223" cm="1">
        <f t="array" ref="I237">IF($D237&lt;COLUMNS($F$7:I$7),"",INDEX(TableDiv[[GASB]:[GASB]],_xlfn.AGGREGATE(15,3,(TableDiv[[Agency]:[Agency]]=$E237)/(TableDiv[[Agency]:[Agency]]=$E237)*(ROW(TableDiv[Agency])-ROW(TableDiv[[#Headers],[Agency]])),COLUMNS($F$7:I$7))))</f>
        <v>0</v>
      </c>
      <c r="J237" s="2223" cm="1">
        <f t="array" ref="J237">IF($D237&lt;COLUMNS($F$7:J$7),"",INDEX(TableDiv[[GASB]:[GASB]],_xlfn.AGGREGATE(15,3,(TableDiv[[Agency]:[Agency]]=$E237)/(TableDiv[[Agency]:[Agency]]=$E237)*(ROW(TableDiv[Agency])-ROW(TableDiv[[#Headers],[Agency]])),COLUMNS($F$7:J$7))))</f>
        <v>0</v>
      </c>
      <c r="K237" s="2223" cm="1">
        <f t="array" ref="K237">IF($D237&lt;COLUMNS($F$7:K$7),"",INDEX(TableDiv[[GASB]:[GASB]],_xlfn.AGGREGATE(15,3,(TableDiv[[Agency]:[Agency]]=$E237)/(TableDiv[[Agency]:[Agency]]=$E237)*(ROW(TableDiv[Agency])-ROW(TableDiv[[#Headers],[Agency]])),COLUMNS($F$7:K$7))))</f>
        <v>0</v>
      </c>
      <c r="L237" s="2223" cm="1">
        <f t="array" ref="L237">IF($D237&lt;COLUMNS($F$7:L$7),"",INDEX(TableDiv[[GASB]:[GASB]],_xlfn.AGGREGATE(15,3,(TableDiv[[Agency]:[Agency]]=$E237)/(TableDiv[[Agency]:[Agency]]=$E237)*(ROW(TableDiv[Agency])-ROW(TableDiv[[#Headers],[Agency]])),COLUMNS($F$7:L$7))))</f>
        <v>0</v>
      </c>
      <c r="M237" s="2223" cm="1">
        <f t="array" ref="M237">IF($D237&lt;COLUMNS($F$7:M$7),"",INDEX(TableDiv[[GASB]:[GASB]],_xlfn.AGGREGATE(15,3,(TableDiv[[Agency]:[Agency]]=$E237)/(TableDiv[[Agency]:[Agency]]=$E237)*(ROW(TableDiv[Agency])-ROW(TableDiv[[#Headers],[Agency]])),COLUMNS($F$7:M$7))))</f>
        <v>0</v>
      </c>
      <c r="N237" s="2223" cm="1">
        <f t="array" ref="N237">IF($D237&lt;COLUMNS($F$7:N$7),"",INDEX(TableDiv[[GASB]:[GASB]],_xlfn.AGGREGATE(15,3,(TableDiv[[Agency]:[Agency]]=$E237)/(TableDiv[[Agency]:[Agency]]=$E237)*(ROW(TableDiv[Agency])-ROW(TableDiv[[#Headers],[Agency]])),COLUMNS($F$7:N$7))))</f>
        <v>0</v>
      </c>
      <c r="O237" s="2223" cm="1">
        <f t="array" ref="O237">IF($D237&lt;COLUMNS($F$7:O$7),"",INDEX(TableDiv[[GASB]:[GASB]],_xlfn.AGGREGATE(15,3,(TableDiv[[Agency]:[Agency]]=$E237)/(TableDiv[[Agency]:[Agency]]=$E237)*(ROW(TableDiv[Agency])-ROW(TableDiv[[#Headers],[Agency]])),COLUMNS($F$7:O$7))))</f>
        <v>0</v>
      </c>
      <c r="P237" s="2223" cm="1">
        <f t="array" ref="P237">IF($D237&lt;COLUMNS($F$7:P$7),"",INDEX(TableDiv[[GASB]:[GASB]],_xlfn.AGGREGATE(15,3,(TableDiv[[Agency]:[Agency]]=$E237)/(TableDiv[[Agency]:[Agency]]=$E237)*(ROW(TableDiv[Agency])-ROW(TableDiv[[#Headers],[Agency]])),COLUMNS($F$7:P$7))))</f>
        <v>0</v>
      </c>
      <c r="Q237" s="2223" cm="1">
        <f t="array" ref="Q237">IF($D237&lt;COLUMNS($F$7:Q$7),"",INDEX(TableDiv[[GASB]:[GASB]],_xlfn.AGGREGATE(15,3,(TableDiv[[Agency]:[Agency]]=$E237)/(TableDiv[[Agency]:[Agency]]=$E237)*(ROW(TableDiv[Agency])-ROW(TableDiv[[#Headers],[Agency]])),COLUMNS($F$7:Q$7))))</f>
        <v>0</v>
      </c>
      <c r="R237" s="2223" cm="1">
        <f t="array" ref="R237">IF($D237&lt;COLUMNS($F$7:R$7),"",INDEX(TableDiv[[GASB]:[GASB]],_xlfn.AGGREGATE(15,3,(TableDiv[[Agency]:[Agency]]=$E237)/(TableDiv[[Agency]:[Agency]]=$E237)*(ROW(TableDiv[Agency])-ROW(TableDiv[[#Headers],[Agency]])),COLUMNS($F$7:R$7))))</f>
        <v>0</v>
      </c>
      <c r="S237" s="2223" cm="1">
        <f t="array" ref="S237">IF($D237&lt;COLUMNS($F$7:S$7),"",INDEX(TableDiv[[GASB]:[GASB]],_xlfn.AGGREGATE(15,3,(TableDiv[[Agency]:[Agency]]=$E237)/(TableDiv[[Agency]:[Agency]]=$E237)*(ROW(TableDiv[Agency])-ROW(TableDiv[[#Headers],[Agency]])),COLUMNS($F$7:S$7))))</f>
        <v>0</v>
      </c>
      <c r="T237" s="2223" cm="1">
        <f t="array" ref="T237">IF($D237&lt;COLUMNS($F$7:T$7),"",INDEX(TableDiv[[GASB]:[GASB]],_xlfn.AGGREGATE(15,3,(TableDiv[[Agency]:[Agency]]=$E237)/(TableDiv[[Agency]:[Agency]]=$E237)*(ROW(TableDiv[Agency])-ROW(TableDiv[[#Headers],[Agency]])),COLUMNS($F$7:T$7))))</f>
        <v>0</v>
      </c>
      <c r="U237" s="2223" cm="1">
        <f t="array" ref="U237">IF($D237&lt;COLUMNS($F$7:U$7),"",INDEX(TableDiv[[GASB]:[GASB]],_xlfn.AGGREGATE(15,3,(TableDiv[[Agency]:[Agency]]=$E237)/(TableDiv[[Agency]:[Agency]]=$E237)*(ROW(TableDiv[Agency])-ROW(TableDiv[[#Headers],[Agency]])),COLUMNS($F$7:U$7))))</f>
        <v>0</v>
      </c>
      <c r="V237" s="2223" cm="1">
        <f t="array" ref="V237">IF($D237&lt;COLUMNS($F$7:V$7),"",INDEX(TableDiv[[GASB]:[GASB]],_xlfn.AGGREGATE(15,3,(TableDiv[[Agency]:[Agency]]=$E237)/(TableDiv[[Agency]:[Agency]]=$E237)*(ROW(TableDiv[Agency])-ROW(TableDiv[[#Headers],[Agency]])),COLUMNS($F$7:V$7))))</f>
        <v>0</v>
      </c>
      <c r="W237" s="2223" cm="1">
        <f t="array" ref="W237">IF($D237&lt;COLUMNS($F$7:W$7),"",INDEX(TableDiv[[GASB]:[GASB]],_xlfn.AGGREGATE(15,3,(TableDiv[[Agency]:[Agency]]=$E237)/(TableDiv[[Agency]:[Agency]]=$E237)*(ROW(TableDiv[Agency])-ROW(TableDiv[[#Headers],[Agency]])),COLUMNS($F$7:W$7))))</f>
        <v>0</v>
      </c>
      <c r="X237" s="2223" cm="1">
        <f t="array" ref="X237">IF($D237&lt;COLUMNS($F$7:X$7),"",INDEX(TableDiv[[GASB]:[GASB]],_xlfn.AGGREGATE(15,3,(TableDiv[[Agency]:[Agency]]=$E237)/(TableDiv[[Agency]:[Agency]]=$E237)*(ROW(TableDiv[Agency])-ROW(TableDiv[[#Headers],[Agency]])),COLUMNS($F$7:X$7))))</f>
        <v>0</v>
      </c>
      <c r="Y237" s="2223" cm="1">
        <f t="array" ref="Y237">IF($D237&lt;COLUMNS($F$7:Y$7),"",INDEX(TableDiv[[GASB]:[GASB]],_xlfn.AGGREGATE(15,3,(TableDiv[[Agency]:[Agency]]=$E237)/(TableDiv[[Agency]:[Agency]]=$E237)*(ROW(TableDiv[Agency])-ROW(TableDiv[[#Headers],[Agency]])),COLUMNS($F$7:Y$7))))</f>
        <v>0</v>
      </c>
      <c r="Z237" s="2223" cm="1">
        <f t="array" ref="Z237">IF($D237&lt;COLUMNS($F$7:Z$7),"",INDEX(TableDiv[[GASB]:[GASB]],_xlfn.AGGREGATE(15,3,(TableDiv[[Agency]:[Agency]]=$E237)/(TableDiv[[Agency]:[Agency]]=$E237)*(ROW(TableDiv[Agency])-ROW(TableDiv[[#Headers],[Agency]])),COLUMNS($F$7:Z$7))))</f>
        <v>0</v>
      </c>
      <c r="AA237" s="2223" cm="1">
        <f t="array" ref="AA237">IF($D237&lt;COLUMNS($F$7:AA$7),"",INDEX(TableDiv[[GASB]:[GASB]],_xlfn.AGGREGATE(15,3,(TableDiv[[Agency]:[Agency]]=$E237)/(TableDiv[[Agency]:[Agency]]=$E237)*(ROW(TableDiv[Agency])-ROW(TableDiv[[#Headers],[Agency]])),COLUMNS($F$7:AA$7))))</f>
        <v>0</v>
      </c>
      <c r="AB237" s="2223" cm="1">
        <f t="array" ref="AB237">IF($D237&lt;COLUMNS($F$7:AB$7),"",INDEX(TableDiv[[GASB]:[GASB]],_xlfn.AGGREGATE(15,3,(TableDiv[[Agency]:[Agency]]=$E237)/(TableDiv[[Agency]:[Agency]]=$E237)*(ROW(TableDiv[Agency])-ROW(TableDiv[[#Headers],[Agency]])),COLUMNS($F$7:AB$7))))</f>
        <v>0</v>
      </c>
      <c r="AC237" s="2223" cm="1">
        <f t="array" ref="AC237">IF($D237&lt;COLUMNS($F$7:AC$7),"",INDEX(TableDiv[[GASB]:[GASB]],_xlfn.AGGREGATE(15,3,(TableDiv[[Agency]:[Agency]]=$E237)/(TableDiv[[Agency]:[Agency]]=$E237)*(ROW(TableDiv[Agency])-ROW(TableDiv[[#Headers],[Agency]])),COLUMNS($F$7:AC$7))))</f>
        <v>0</v>
      </c>
      <c r="AD237" s="2223" cm="1">
        <f t="array" ref="AD237">IF($D237&lt;COLUMNS($F$7:AD$7),"",INDEX(TableDiv[[GASB]:[GASB]],_xlfn.AGGREGATE(15,3,(TableDiv[[Agency]:[Agency]]=$E237)/(TableDiv[[Agency]:[Agency]]=$E237)*(ROW(TableDiv[Agency])-ROW(TableDiv[[#Headers],[Agency]])),COLUMNS($F$7:AD$7))))</f>
        <v>0</v>
      </c>
      <c r="AE237" s="2223" cm="1">
        <f t="array" ref="AE237">IF($D237&lt;COLUMNS($F$7:AE$7),"",INDEX(TableDiv[[GASB]:[GASB]],_xlfn.AGGREGATE(15,3,(TableDiv[[Agency]:[Agency]]=$E237)/(TableDiv[[Agency]:[Agency]]=$E237)*(ROW(TableDiv[Agency])-ROW(TableDiv[[#Headers],[Agency]])),COLUMNS($F$7:AE$7))))</f>
        <v>0</v>
      </c>
      <c r="AF237" s="2223" cm="1">
        <f t="array" ref="AF237">IF($D237&lt;COLUMNS($F$7:AF$7),"",INDEX(TableDiv[[GASB]:[GASB]],_xlfn.AGGREGATE(15,3,(TableDiv[[Agency]:[Agency]]=$E237)/(TableDiv[[Agency]:[Agency]]=$E237)*(ROW(TableDiv[Agency])-ROW(TableDiv[[#Headers],[Agency]])),COLUMNS($F$7:AF$7))))</f>
        <v>0</v>
      </c>
      <c r="AG237" s="2223" cm="1">
        <f t="array" ref="AG237">IF($D237&lt;COLUMNS($F$7:AG$7),"",INDEX(TableDiv[[GASB]:[GASB]],_xlfn.AGGREGATE(15,3,(TableDiv[[Agency]:[Agency]]=$E237)/(TableDiv[[Agency]:[Agency]]=$E237)*(ROW(TableDiv[Agency])-ROW(TableDiv[[#Headers],[Agency]])),COLUMNS($F$7:AG$7))))</f>
        <v>0</v>
      </c>
      <c r="AH237" s="2223" cm="1">
        <f t="array" ref="AH237">IF($D237&lt;COLUMNS($F$7:AH$7),"",INDEX(TableDiv[[GASB]:[GASB]],_xlfn.AGGREGATE(15,3,(TableDiv[[Agency]:[Agency]]=$E237)/(TableDiv[[Agency]:[Agency]]=$E237)*(ROW(TableDiv[Agency])-ROW(TableDiv[[#Headers],[Agency]])),COLUMNS($F$7:AH$7))))</f>
        <v>0</v>
      </c>
      <c r="AI237" s="2223" cm="1">
        <f t="array" ref="AI237">IF($D237&lt;COLUMNS($F$7:AI$7),"",INDEX(TableDiv[[GASB]:[GASB]],_xlfn.AGGREGATE(15,3,(TableDiv[[Agency]:[Agency]]=$E237)/(TableDiv[[Agency]:[Agency]]=$E237)*(ROW(TableDiv[Agency])-ROW(TableDiv[[#Headers],[Agency]])),COLUMNS($F$7:AI$7))))</f>
        <v>0</v>
      </c>
      <c r="AJ237" s="2223" cm="1">
        <f t="array" ref="AJ237">IF($D237&lt;COLUMNS($F$7:AJ$7),"",INDEX(TableDiv[[GASB]:[GASB]],_xlfn.AGGREGATE(15,3,(TableDiv[[Agency]:[Agency]]=$E237)/(TableDiv[[Agency]:[Agency]]=$E237)*(ROW(TableDiv[Agency])-ROW(TableDiv[[#Headers],[Agency]])),COLUMNS($F$7:AJ$7))))</f>
        <v>0</v>
      </c>
      <c r="AK237" s="2223" t="str" cm="1">
        <f t="array" ref="AK237">IF($D237&lt;COLUMNS($F$7:AK$7),"",INDEX(TableDiv[[GASB]:[GASB]],_xlfn.AGGREGATE(15,3,(TableDiv[[Agency]:[Agency]]=$E237)/(TableDiv[[Agency]:[Agency]]=$E237)*(ROW(TableDiv[Agency])-ROW(TableDiv[[#Headers],[Agency]])),COLUMNS($F$7:AK$7))))</f>
        <v/>
      </c>
      <c r="AL237" s="2223" t="str" cm="1">
        <f t="array" ref="AL237">IF($D237&lt;COLUMNS($F$7:AL$7),"",INDEX(TableDiv[[GASB]:[GASB]],_xlfn.AGGREGATE(15,3,(TableDiv[[Agency]:[Agency]]=$E237)/(TableDiv[[Agency]:[Agency]]=$E237)*(ROW(TableDiv[Agency])-ROW(TableDiv[[#Headers],[Agency]])),COLUMNS($F$7:AL$7))))</f>
        <v/>
      </c>
      <c r="AM237" s="2223" t="str" cm="1">
        <f t="array" ref="AM237">IF($D237&lt;COLUMNS($F$7:AM$7),"",INDEX(TableDiv[[GASB]:[GASB]],_xlfn.AGGREGATE(15,3,(TableDiv[[Agency]:[Agency]]=$E237)/(TableDiv[[Agency]:[Agency]]=$E237)*(ROW(TableDiv[Agency])-ROW(TableDiv[[#Headers],[Agency]])),COLUMNS($F$7:AM$7))))</f>
        <v/>
      </c>
      <c r="AN237" s="2223"/>
      <c r="AO237" s="2223"/>
      <c r="AP237" s="2223"/>
      <c r="AQ237" s="2223"/>
      <c r="AR237" s="2223"/>
      <c r="AS237" s="2223"/>
    </row>
    <row r="238" spans="1:45" ht="15" x14ac:dyDescent="0.25">
      <c r="A238" s="2219" t="s">
        <v>6462</v>
      </c>
      <c r="B238" s="2219" t="s">
        <v>6361</v>
      </c>
      <c r="C238" s="2223"/>
      <c r="D238" s="2223">
        <f>COUNTIF(TableDiv[Agency],E238)</f>
        <v>31</v>
      </c>
      <c r="E238" s="2230" t="str" cm="1">
        <f t="array" ref="E238">IFERROR(INDEX(TableDiv[Agency],MATCH(0,INDEX(COUNTIF($E$7:E237,TableDiv[Agency]),),0)),"")</f>
        <v/>
      </c>
      <c r="F238" s="2223" cm="1">
        <f t="array" ref="F238">IF($D238&lt;COLUMNS($F$7:F$7),"",INDEX(TableDiv[[GASB]:[GASB]],_xlfn.AGGREGATE(15,3,(TableDiv[[Agency]:[Agency]]=$E238)/(TableDiv[[Agency]:[Agency]]=$E238)*(ROW(TableDiv[Agency])-ROW(TableDiv[[#Headers],[Agency]])),COLUMNS($F$7:F$7))))</f>
        <v>0</v>
      </c>
      <c r="G238" s="2223" cm="1">
        <f t="array" ref="G238">IF($D238&lt;COLUMNS($F$7:G$7),"",INDEX(TableDiv[[GASB]:[GASB]],_xlfn.AGGREGATE(15,3,(TableDiv[[Agency]:[Agency]]=$E238)/(TableDiv[[Agency]:[Agency]]=$E238)*(ROW(TableDiv[Agency])-ROW(TableDiv[[#Headers],[Agency]])),COLUMNS($F$7:G$7))))</f>
        <v>0</v>
      </c>
      <c r="H238" s="2223" cm="1">
        <f t="array" ref="H238">IF($D238&lt;COLUMNS($F$7:H$7),"",INDEX(TableDiv[[GASB]:[GASB]],_xlfn.AGGREGATE(15,3,(TableDiv[[Agency]:[Agency]]=$E238)/(TableDiv[[Agency]:[Agency]]=$E238)*(ROW(TableDiv[Agency])-ROW(TableDiv[[#Headers],[Agency]])),COLUMNS($F$7:H$7))))</f>
        <v>0</v>
      </c>
      <c r="I238" s="2223" cm="1">
        <f t="array" ref="I238">IF($D238&lt;COLUMNS($F$7:I$7),"",INDEX(TableDiv[[GASB]:[GASB]],_xlfn.AGGREGATE(15,3,(TableDiv[[Agency]:[Agency]]=$E238)/(TableDiv[[Agency]:[Agency]]=$E238)*(ROW(TableDiv[Agency])-ROW(TableDiv[[#Headers],[Agency]])),COLUMNS($F$7:I$7))))</f>
        <v>0</v>
      </c>
      <c r="J238" s="2223" cm="1">
        <f t="array" ref="J238">IF($D238&lt;COLUMNS($F$7:J$7),"",INDEX(TableDiv[[GASB]:[GASB]],_xlfn.AGGREGATE(15,3,(TableDiv[[Agency]:[Agency]]=$E238)/(TableDiv[[Agency]:[Agency]]=$E238)*(ROW(TableDiv[Agency])-ROW(TableDiv[[#Headers],[Agency]])),COLUMNS($F$7:J$7))))</f>
        <v>0</v>
      </c>
      <c r="K238" s="2223" cm="1">
        <f t="array" ref="K238">IF($D238&lt;COLUMNS($F$7:K$7),"",INDEX(TableDiv[[GASB]:[GASB]],_xlfn.AGGREGATE(15,3,(TableDiv[[Agency]:[Agency]]=$E238)/(TableDiv[[Agency]:[Agency]]=$E238)*(ROW(TableDiv[Agency])-ROW(TableDiv[[#Headers],[Agency]])),COLUMNS($F$7:K$7))))</f>
        <v>0</v>
      </c>
      <c r="L238" s="2223" cm="1">
        <f t="array" ref="L238">IF($D238&lt;COLUMNS($F$7:L$7),"",INDEX(TableDiv[[GASB]:[GASB]],_xlfn.AGGREGATE(15,3,(TableDiv[[Agency]:[Agency]]=$E238)/(TableDiv[[Agency]:[Agency]]=$E238)*(ROW(TableDiv[Agency])-ROW(TableDiv[[#Headers],[Agency]])),COLUMNS($F$7:L$7))))</f>
        <v>0</v>
      </c>
      <c r="M238" s="2223" cm="1">
        <f t="array" ref="M238">IF($D238&lt;COLUMNS($F$7:M$7),"",INDEX(TableDiv[[GASB]:[GASB]],_xlfn.AGGREGATE(15,3,(TableDiv[[Agency]:[Agency]]=$E238)/(TableDiv[[Agency]:[Agency]]=$E238)*(ROW(TableDiv[Agency])-ROW(TableDiv[[#Headers],[Agency]])),COLUMNS($F$7:M$7))))</f>
        <v>0</v>
      </c>
      <c r="N238" s="2223" cm="1">
        <f t="array" ref="N238">IF($D238&lt;COLUMNS($F$7:N$7),"",INDEX(TableDiv[[GASB]:[GASB]],_xlfn.AGGREGATE(15,3,(TableDiv[[Agency]:[Agency]]=$E238)/(TableDiv[[Agency]:[Agency]]=$E238)*(ROW(TableDiv[Agency])-ROW(TableDiv[[#Headers],[Agency]])),COLUMNS($F$7:N$7))))</f>
        <v>0</v>
      </c>
      <c r="O238" s="2223" cm="1">
        <f t="array" ref="O238">IF($D238&lt;COLUMNS($F$7:O$7),"",INDEX(TableDiv[[GASB]:[GASB]],_xlfn.AGGREGATE(15,3,(TableDiv[[Agency]:[Agency]]=$E238)/(TableDiv[[Agency]:[Agency]]=$E238)*(ROW(TableDiv[Agency])-ROW(TableDiv[[#Headers],[Agency]])),COLUMNS($F$7:O$7))))</f>
        <v>0</v>
      </c>
      <c r="P238" s="2223" cm="1">
        <f t="array" ref="P238">IF($D238&lt;COLUMNS($F$7:P$7),"",INDEX(TableDiv[[GASB]:[GASB]],_xlfn.AGGREGATE(15,3,(TableDiv[[Agency]:[Agency]]=$E238)/(TableDiv[[Agency]:[Agency]]=$E238)*(ROW(TableDiv[Agency])-ROW(TableDiv[[#Headers],[Agency]])),COLUMNS($F$7:P$7))))</f>
        <v>0</v>
      </c>
      <c r="Q238" s="2223" cm="1">
        <f t="array" ref="Q238">IF($D238&lt;COLUMNS($F$7:Q$7),"",INDEX(TableDiv[[GASB]:[GASB]],_xlfn.AGGREGATE(15,3,(TableDiv[[Agency]:[Agency]]=$E238)/(TableDiv[[Agency]:[Agency]]=$E238)*(ROW(TableDiv[Agency])-ROW(TableDiv[[#Headers],[Agency]])),COLUMNS($F$7:Q$7))))</f>
        <v>0</v>
      </c>
      <c r="R238" s="2223" cm="1">
        <f t="array" ref="R238">IF($D238&lt;COLUMNS($F$7:R$7),"",INDEX(TableDiv[[GASB]:[GASB]],_xlfn.AGGREGATE(15,3,(TableDiv[[Agency]:[Agency]]=$E238)/(TableDiv[[Agency]:[Agency]]=$E238)*(ROW(TableDiv[Agency])-ROW(TableDiv[[#Headers],[Agency]])),COLUMNS($F$7:R$7))))</f>
        <v>0</v>
      </c>
      <c r="S238" s="2223" cm="1">
        <f t="array" ref="S238">IF($D238&lt;COLUMNS($F$7:S$7),"",INDEX(TableDiv[[GASB]:[GASB]],_xlfn.AGGREGATE(15,3,(TableDiv[[Agency]:[Agency]]=$E238)/(TableDiv[[Agency]:[Agency]]=$E238)*(ROW(TableDiv[Agency])-ROW(TableDiv[[#Headers],[Agency]])),COLUMNS($F$7:S$7))))</f>
        <v>0</v>
      </c>
      <c r="T238" s="2223" cm="1">
        <f t="array" ref="T238">IF($D238&lt;COLUMNS($F$7:T$7),"",INDEX(TableDiv[[GASB]:[GASB]],_xlfn.AGGREGATE(15,3,(TableDiv[[Agency]:[Agency]]=$E238)/(TableDiv[[Agency]:[Agency]]=$E238)*(ROW(TableDiv[Agency])-ROW(TableDiv[[#Headers],[Agency]])),COLUMNS($F$7:T$7))))</f>
        <v>0</v>
      </c>
      <c r="U238" s="2223" cm="1">
        <f t="array" ref="U238">IF($D238&lt;COLUMNS($F$7:U$7),"",INDEX(TableDiv[[GASB]:[GASB]],_xlfn.AGGREGATE(15,3,(TableDiv[[Agency]:[Agency]]=$E238)/(TableDiv[[Agency]:[Agency]]=$E238)*(ROW(TableDiv[Agency])-ROW(TableDiv[[#Headers],[Agency]])),COLUMNS($F$7:U$7))))</f>
        <v>0</v>
      </c>
      <c r="V238" s="2223" cm="1">
        <f t="array" ref="V238">IF($D238&lt;COLUMNS($F$7:V$7),"",INDEX(TableDiv[[GASB]:[GASB]],_xlfn.AGGREGATE(15,3,(TableDiv[[Agency]:[Agency]]=$E238)/(TableDiv[[Agency]:[Agency]]=$E238)*(ROW(TableDiv[Agency])-ROW(TableDiv[[#Headers],[Agency]])),COLUMNS($F$7:V$7))))</f>
        <v>0</v>
      </c>
      <c r="W238" s="2223" cm="1">
        <f t="array" ref="W238">IF($D238&lt;COLUMNS($F$7:W$7),"",INDEX(TableDiv[[GASB]:[GASB]],_xlfn.AGGREGATE(15,3,(TableDiv[[Agency]:[Agency]]=$E238)/(TableDiv[[Agency]:[Agency]]=$E238)*(ROW(TableDiv[Agency])-ROW(TableDiv[[#Headers],[Agency]])),COLUMNS($F$7:W$7))))</f>
        <v>0</v>
      </c>
      <c r="X238" s="2223" cm="1">
        <f t="array" ref="X238">IF($D238&lt;COLUMNS($F$7:X$7),"",INDEX(TableDiv[[GASB]:[GASB]],_xlfn.AGGREGATE(15,3,(TableDiv[[Agency]:[Agency]]=$E238)/(TableDiv[[Agency]:[Agency]]=$E238)*(ROW(TableDiv[Agency])-ROW(TableDiv[[#Headers],[Agency]])),COLUMNS($F$7:X$7))))</f>
        <v>0</v>
      </c>
      <c r="Y238" s="2223" cm="1">
        <f t="array" ref="Y238">IF($D238&lt;COLUMNS($F$7:Y$7),"",INDEX(TableDiv[[GASB]:[GASB]],_xlfn.AGGREGATE(15,3,(TableDiv[[Agency]:[Agency]]=$E238)/(TableDiv[[Agency]:[Agency]]=$E238)*(ROW(TableDiv[Agency])-ROW(TableDiv[[#Headers],[Agency]])),COLUMNS($F$7:Y$7))))</f>
        <v>0</v>
      </c>
      <c r="Z238" s="2223" cm="1">
        <f t="array" ref="Z238">IF($D238&lt;COLUMNS($F$7:Z$7),"",INDEX(TableDiv[[GASB]:[GASB]],_xlfn.AGGREGATE(15,3,(TableDiv[[Agency]:[Agency]]=$E238)/(TableDiv[[Agency]:[Agency]]=$E238)*(ROW(TableDiv[Agency])-ROW(TableDiv[[#Headers],[Agency]])),COLUMNS($F$7:Z$7))))</f>
        <v>0</v>
      </c>
      <c r="AA238" s="2223" cm="1">
        <f t="array" ref="AA238">IF($D238&lt;COLUMNS($F$7:AA$7),"",INDEX(TableDiv[[GASB]:[GASB]],_xlfn.AGGREGATE(15,3,(TableDiv[[Agency]:[Agency]]=$E238)/(TableDiv[[Agency]:[Agency]]=$E238)*(ROW(TableDiv[Agency])-ROW(TableDiv[[#Headers],[Agency]])),COLUMNS($F$7:AA$7))))</f>
        <v>0</v>
      </c>
      <c r="AB238" s="2223" cm="1">
        <f t="array" ref="AB238">IF($D238&lt;COLUMNS($F$7:AB$7),"",INDEX(TableDiv[[GASB]:[GASB]],_xlfn.AGGREGATE(15,3,(TableDiv[[Agency]:[Agency]]=$E238)/(TableDiv[[Agency]:[Agency]]=$E238)*(ROW(TableDiv[Agency])-ROW(TableDiv[[#Headers],[Agency]])),COLUMNS($F$7:AB$7))))</f>
        <v>0</v>
      </c>
      <c r="AC238" s="2223" cm="1">
        <f t="array" ref="AC238">IF($D238&lt;COLUMNS($F$7:AC$7),"",INDEX(TableDiv[[GASB]:[GASB]],_xlfn.AGGREGATE(15,3,(TableDiv[[Agency]:[Agency]]=$E238)/(TableDiv[[Agency]:[Agency]]=$E238)*(ROW(TableDiv[Agency])-ROW(TableDiv[[#Headers],[Agency]])),COLUMNS($F$7:AC$7))))</f>
        <v>0</v>
      </c>
      <c r="AD238" s="2223" cm="1">
        <f t="array" ref="AD238">IF($D238&lt;COLUMNS($F$7:AD$7),"",INDEX(TableDiv[[GASB]:[GASB]],_xlfn.AGGREGATE(15,3,(TableDiv[[Agency]:[Agency]]=$E238)/(TableDiv[[Agency]:[Agency]]=$E238)*(ROW(TableDiv[Agency])-ROW(TableDiv[[#Headers],[Agency]])),COLUMNS($F$7:AD$7))))</f>
        <v>0</v>
      </c>
      <c r="AE238" s="2223" cm="1">
        <f t="array" ref="AE238">IF($D238&lt;COLUMNS($F$7:AE$7),"",INDEX(TableDiv[[GASB]:[GASB]],_xlfn.AGGREGATE(15,3,(TableDiv[[Agency]:[Agency]]=$E238)/(TableDiv[[Agency]:[Agency]]=$E238)*(ROW(TableDiv[Agency])-ROW(TableDiv[[#Headers],[Agency]])),COLUMNS($F$7:AE$7))))</f>
        <v>0</v>
      </c>
      <c r="AF238" s="2223" cm="1">
        <f t="array" ref="AF238">IF($D238&lt;COLUMNS($F$7:AF$7),"",INDEX(TableDiv[[GASB]:[GASB]],_xlfn.AGGREGATE(15,3,(TableDiv[[Agency]:[Agency]]=$E238)/(TableDiv[[Agency]:[Agency]]=$E238)*(ROW(TableDiv[Agency])-ROW(TableDiv[[#Headers],[Agency]])),COLUMNS($F$7:AF$7))))</f>
        <v>0</v>
      </c>
      <c r="AG238" s="2223" cm="1">
        <f t="array" ref="AG238">IF($D238&lt;COLUMNS($F$7:AG$7),"",INDEX(TableDiv[[GASB]:[GASB]],_xlfn.AGGREGATE(15,3,(TableDiv[[Agency]:[Agency]]=$E238)/(TableDiv[[Agency]:[Agency]]=$E238)*(ROW(TableDiv[Agency])-ROW(TableDiv[[#Headers],[Agency]])),COLUMNS($F$7:AG$7))))</f>
        <v>0</v>
      </c>
      <c r="AH238" s="2223" cm="1">
        <f t="array" ref="AH238">IF($D238&lt;COLUMNS($F$7:AH$7),"",INDEX(TableDiv[[GASB]:[GASB]],_xlfn.AGGREGATE(15,3,(TableDiv[[Agency]:[Agency]]=$E238)/(TableDiv[[Agency]:[Agency]]=$E238)*(ROW(TableDiv[Agency])-ROW(TableDiv[[#Headers],[Agency]])),COLUMNS($F$7:AH$7))))</f>
        <v>0</v>
      </c>
      <c r="AI238" s="2223" cm="1">
        <f t="array" ref="AI238">IF($D238&lt;COLUMNS($F$7:AI$7),"",INDEX(TableDiv[[GASB]:[GASB]],_xlfn.AGGREGATE(15,3,(TableDiv[[Agency]:[Agency]]=$E238)/(TableDiv[[Agency]:[Agency]]=$E238)*(ROW(TableDiv[Agency])-ROW(TableDiv[[#Headers],[Agency]])),COLUMNS($F$7:AI$7))))</f>
        <v>0</v>
      </c>
      <c r="AJ238" s="2223" cm="1">
        <f t="array" ref="AJ238">IF($D238&lt;COLUMNS($F$7:AJ$7),"",INDEX(TableDiv[[GASB]:[GASB]],_xlfn.AGGREGATE(15,3,(TableDiv[[Agency]:[Agency]]=$E238)/(TableDiv[[Agency]:[Agency]]=$E238)*(ROW(TableDiv[Agency])-ROW(TableDiv[[#Headers],[Agency]])),COLUMNS($F$7:AJ$7))))</f>
        <v>0</v>
      </c>
      <c r="AK238" s="2223" t="str" cm="1">
        <f t="array" ref="AK238">IF($D238&lt;COLUMNS($F$7:AK$7),"",INDEX(TableDiv[[GASB]:[GASB]],_xlfn.AGGREGATE(15,3,(TableDiv[[Agency]:[Agency]]=$E238)/(TableDiv[[Agency]:[Agency]]=$E238)*(ROW(TableDiv[Agency])-ROW(TableDiv[[#Headers],[Agency]])),COLUMNS($F$7:AK$7))))</f>
        <v/>
      </c>
      <c r="AL238" s="2223" t="str" cm="1">
        <f t="array" ref="AL238">IF($D238&lt;COLUMNS($F$7:AL$7),"",INDEX(TableDiv[[GASB]:[GASB]],_xlfn.AGGREGATE(15,3,(TableDiv[[Agency]:[Agency]]=$E238)/(TableDiv[[Agency]:[Agency]]=$E238)*(ROW(TableDiv[Agency])-ROW(TableDiv[[#Headers],[Agency]])),COLUMNS($F$7:AL$7))))</f>
        <v/>
      </c>
      <c r="AM238" s="2223" t="str" cm="1">
        <f t="array" ref="AM238">IF($D238&lt;COLUMNS($F$7:AM$7),"",INDEX(TableDiv[[GASB]:[GASB]],_xlfn.AGGREGATE(15,3,(TableDiv[[Agency]:[Agency]]=$E238)/(TableDiv[[Agency]:[Agency]]=$E238)*(ROW(TableDiv[Agency])-ROW(TableDiv[[#Headers],[Agency]])),COLUMNS($F$7:AM$7))))</f>
        <v/>
      </c>
      <c r="AN238" s="2223"/>
      <c r="AO238" s="2223"/>
      <c r="AP238" s="2223"/>
      <c r="AQ238" s="2223"/>
      <c r="AR238" s="2223"/>
      <c r="AS238" s="2223"/>
    </row>
    <row r="239" spans="1:45" ht="15" x14ac:dyDescent="0.25">
      <c r="A239" s="2219" t="s">
        <v>6462</v>
      </c>
      <c r="B239" s="2219" t="s">
        <v>6358</v>
      </c>
      <c r="C239" s="2223"/>
      <c r="D239" s="2223">
        <f>COUNTIF(TableDiv[Agency],E239)</f>
        <v>31</v>
      </c>
      <c r="E239" s="2230" t="str" cm="1">
        <f t="array" ref="E239">IFERROR(INDEX(TableDiv[Agency],MATCH(0,INDEX(COUNTIF($E$7:E238,TableDiv[Agency]),),0)),"")</f>
        <v/>
      </c>
      <c r="F239" s="2223" cm="1">
        <f t="array" ref="F239">IF($D239&lt;COLUMNS($F$7:F$7),"",INDEX(TableDiv[[GASB]:[GASB]],_xlfn.AGGREGATE(15,3,(TableDiv[[Agency]:[Agency]]=$E239)/(TableDiv[[Agency]:[Agency]]=$E239)*(ROW(TableDiv[Agency])-ROW(TableDiv[[#Headers],[Agency]])),COLUMNS($F$7:F$7))))</f>
        <v>0</v>
      </c>
      <c r="G239" s="2223" cm="1">
        <f t="array" ref="G239">IF($D239&lt;COLUMNS($F$7:G$7),"",INDEX(TableDiv[[GASB]:[GASB]],_xlfn.AGGREGATE(15,3,(TableDiv[[Agency]:[Agency]]=$E239)/(TableDiv[[Agency]:[Agency]]=$E239)*(ROW(TableDiv[Agency])-ROW(TableDiv[[#Headers],[Agency]])),COLUMNS($F$7:G$7))))</f>
        <v>0</v>
      </c>
      <c r="H239" s="2223" cm="1">
        <f t="array" ref="H239">IF($D239&lt;COLUMNS($F$7:H$7),"",INDEX(TableDiv[[GASB]:[GASB]],_xlfn.AGGREGATE(15,3,(TableDiv[[Agency]:[Agency]]=$E239)/(TableDiv[[Agency]:[Agency]]=$E239)*(ROW(TableDiv[Agency])-ROW(TableDiv[[#Headers],[Agency]])),COLUMNS($F$7:H$7))))</f>
        <v>0</v>
      </c>
      <c r="I239" s="2223" cm="1">
        <f t="array" ref="I239">IF($D239&lt;COLUMNS($F$7:I$7),"",INDEX(TableDiv[[GASB]:[GASB]],_xlfn.AGGREGATE(15,3,(TableDiv[[Agency]:[Agency]]=$E239)/(TableDiv[[Agency]:[Agency]]=$E239)*(ROW(TableDiv[Agency])-ROW(TableDiv[[#Headers],[Agency]])),COLUMNS($F$7:I$7))))</f>
        <v>0</v>
      </c>
      <c r="J239" s="2223" cm="1">
        <f t="array" ref="J239">IF($D239&lt;COLUMNS($F$7:J$7),"",INDEX(TableDiv[[GASB]:[GASB]],_xlfn.AGGREGATE(15,3,(TableDiv[[Agency]:[Agency]]=$E239)/(TableDiv[[Agency]:[Agency]]=$E239)*(ROW(TableDiv[Agency])-ROW(TableDiv[[#Headers],[Agency]])),COLUMNS($F$7:J$7))))</f>
        <v>0</v>
      </c>
      <c r="K239" s="2223" cm="1">
        <f t="array" ref="K239">IF($D239&lt;COLUMNS($F$7:K$7),"",INDEX(TableDiv[[GASB]:[GASB]],_xlfn.AGGREGATE(15,3,(TableDiv[[Agency]:[Agency]]=$E239)/(TableDiv[[Agency]:[Agency]]=$E239)*(ROW(TableDiv[Agency])-ROW(TableDiv[[#Headers],[Agency]])),COLUMNS($F$7:K$7))))</f>
        <v>0</v>
      </c>
      <c r="L239" s="2223" cm="1">
        <f t="array" ref="L239">IF($D239&lt;COLUMNS($F$7:L$7),"",INDEX(TableDiv[[GASB]:[GASB]],_xlfn.AGGREGATE(15,3,(TableDiv[[Agency]:[Agency]]=$E239)/(TableDiv[[Agency]:[Agency]]=$E239)*(ROW(TableDiv[Agency])-ROW(TableDiv[[#Headers],[Agency]])),COLUMNS($F$7:L$7))))</f>
        <v>0</v>
      </c>
      <c r="M239" s="2223" cm="1">
        <f t="array" ref="M239">IF($D239&lt;COLUMNS($F$7:M$7),"",INDEX(TableDiv[[GASB]:[GASB]],_xlfn.AGGREGATE(15,3,(TableDiv[[Agency]:[Agency]]=$E239)/(TableDiv[[Agency]:[Agency]]=$E239)*(ROW(TableDiv[Agency])-ROW(TableDiv[[#Headers],[Agency]])),COLUMNS($F$7:M$7))))</f>
        <v>0</v>
      </c>
      <c r="N239" s="2223" cm="1">
        <f t="array" ref="N239">IF($D239&lt;COLUMNS($F$7:N$7),"",INDEX(TableDiv[[GASB]:[GASB]],_xlfn.AGGREGATE(15,3,(TableDiv[[Agency]:[Agency]]=$E239)/(TableDiv[[Agency]:[Agency]]=$E239)*(ROW(TableDiv[Agency])-ROW(TableDiv[[#Headers],[Agency]])),COLUMNS($F$7:N$7))))</f>
        <v>0</v>
      </c>
      <c r="O239" s="2223" cm="1">
        <f t="array" ref="O239">IF($D239&lt;COLUMNS($F$7:O$7),"",INDEX(TableDiv[[GASB]:[GASB]],_xlfn.AGGREGATE(15,3,(TableDiv[[Agency]:[Agency]]=$E239)/(TableDiv[[Agency]:[Agency]]=$E239)*(ROW(TableDiv[Agency])-ROW(TableDiv[[#Headers],[Agency]])),COLUMNS($F$7:O$7))))</f>
        <v>0</v>
      </c>
      <c r="P239" s="2223" cm="1">
        <f t="array" ref="P239">IF($D239&lt;COLUMNS($F$7:P$7),"",INDEX(TableDiv[[GASB]:[GASB]],_xlfn.AGGREGATE(15,3,(TableDiv[[Agency]:[Agency]]=$E239)/(TableDiv[[Agency]:[Agency]]=$E239)*(ROW(TableDiv[Agency])-ROW(TableDiv[[#Headers],[Agency]])),COLUMNS($F$7:P$7))))</f>
        <v>0</v>
      </c>
      <c r="Q239" s="2223" cm="1">
        <f t="array" ref="Q239">IF($D239&lt;COLUMNS($F$7:Q$7),"",INDEX(TableDiv[[GASB]:[GASB]],_xlfn.AGGREGATE(15,3,(TableDiv[[Agency]:[Agency]]=$E239)/(TableDiv[[Agency]:[Agency]]=$E239)*(ROW(TableDiv[Agency])-ROW(TableDiv[[#Headers],[Agency]])),COLUMNS($F$7:Q$7))))</f>
        <v>0</v>
      </c>
      <c r="R239" s="2223" cm="1">
        <f t="array" ref="R239">IF($D239&lt;COLUMNS($F$7:R$7),"",INDEX(TableDiv[[GASB]:[GASB]],_xlfn.AGGREGATE(15,3,(TableDiv[[Agency]:[Agency]]=$E239)/(TableDiv[[Agency]:[Agency]]=$E239)*(ROW(TableDiv[Agency])-ROW(TableDiv[[#Headers],[Agency]])),COLUMNS($F$7:R$7))))</f>
        <v>0</v>
      </c>
      <c r="S239" s="2223" cm="1">
        <f t="array" ref="S239">IF($D239&lt;COLUMNS($F$7:S$7),"",INDEX(TableDiv[[GASB]:[GASB]],_xlfn.AGGREGATE(15,3,(TableDiv[[Agency]:[Agency]]=$E239)/(TableDiv[[Agency]:[Agency]]=$E239)*(ROW(TableDiv[Agency])-ROW(TableDiv[[#Headers],[Agency]])),COLUMNS($F$7:S$7))))</f>
        <v>0</v>
      </c>
      <c r="T239" s="2223" cm="1">
        <f t="array" ref="T239">IF($D239&lt;COLUMNS($F$7:T$7),"",INDEX(TableDiv[[GASB]:[GASB]],_xlfn.AGGREGATE(15,3,(TableDiv[[Agency]:[Agency]]=$E239)/(TableDiv[[Agency]:[Agency]]=$E239)*(ROW(TableDiv[Agency])-ROW(TableDiv[[#Headers],[Agency]])),COLUMNS($F$7:T$7))))</f>
        <v>0</v>
      </c>
      <c r="U239" s="2223" cm="1">
        <f t="array" ref="U239">IF($D239&lt;COLUMNS($F$7:U$7),"",INDEX(TableDiv[[GASB]:[GASB]],_xlfn.AGGREGATE(15,3,(TableDiv[[Agency]:[Agency]]=$E239)/(TableDiv[[Agency]:[Agency]]=$E239)*(ROW(TableDiv[Agency])-ROW(TableDiv[[#Headers],[Agency]])),COLUMNS($F$7:U$7))))</f>
        <v>0</v>
      </c>
      <c r="V239" s="2223" cm="1">
        <f t="array" ref="V239">IF($D239&lt;COLUMNS($F$7:V$7),"",INDEX(TableDiv[[GASB]:[GASB]],_xlfn.AGGREGATE(15,3,(TableDiv[[Agency]:[Agency]]=$E239)/(TableDiv[[Agency]:[Agency]]=$E239)*(ROW(TableDiv[Agency])-ROW(TableDiv[[#Headers],[Agency]])),COLUMNS($F$7:V$7))))</f>
        <v>0</v>
      </c>
      <c r="W239" s="2223" cm="1">
        <f t="array" ref="W239">IF($D239&lt;COLUMNS($F$7:W$7),"",INDEX(TableDiv[[GASB]:[GASB]],_xlfn.AGGREGATE(15,3,(TableDiv[[Agency]:[Agency]]=$E239)/(TableDiv[[Agency]:[Agency]]=$E239)*(ROW(TableDiv[Agency])-ROW(TableDiv[[#Headers],[Agency]])),COLUMNS($F$7:W$7))))</f>
        <v>0</v>
      </c>
      <c r="X239" s="2223" cm="1">
        <f t="array" ref="X239">IF($D239&lt;COLUMNS($F$7:X$7),"",INDEX(TableDiv[[GASB]:[GASB]],_xlfn.AGGREGATE(15,3,(TableDiv[[Agency]:[Agency]]=$E239)/(TableDiv[[Agency]:[Agency]]=$E239)*(ROW(TableDiv[Agency])-ROW(TableDiv[[#Headers],[Agency]])),COLUMNS($F$7:X$7))))</f>
        <v>0</v>
      </c>
      <c r="Y239" s="2223" cm="1">
        <f t="array" ref="Y239">IF($D239&lt;COLUMNS($F$7:Y$7),"",INDEX(TableDiv[[GASB]:[GASB]],_xlfn.AGGREGATE(15,3,(TableDiv[[Agency]:[Agency]]=$E239)/(TableDiv[[Agency]:[Agency]]=$E239)*(ROW(TableDiv[Agency])-ROW(TableDiv[[#Headers],[Agency]])),COLUMNS($F$7:Y$7))))</f>
        <v>0</v>
      </c>
      <c r="Z239" s="2223" cm="1">
        <f t="array" ref="Z239">IF($D239&lt;COLUMNS($F$7:Z$7),"",INDEX(TableDiv[[GASB]:[GASB]],_xlfn.AGGREGATE(15,3,(TableDiv[[Agency]:[Agency]]=$E239)/(TableDiv[[Agency]:[Agency]]=$E239)*(ROW(TableDiv[Agency])-ROW(TableDiv[[#Headers],[Agency]])),COLUMNS($F$7:Z$7))))</f>
        <v>0</v>
      </c>
      <c r="AA239" s="2223" cm="1">
        <f t="array" ref="AA239">IF($D239&lt;COLUMNS($F$7:AA$7),"",INDEX(TableDiv[[GASB]:[GASB]],_xlfn.AGGREGATE(15,3,(TableDiv[[Agency]:[Agency]]=$E239)/(TableDiv[[Agency]:[Agency]]=$E239)*(ROW(TableDiv[Agency])-ROW(TableDiv[[#Headers],[Agency]])),COLUMNS($F$7:AA$7))))</f>
        <v>0</v>
      </c>
      <c r="AB239" s="2223" cm="1">
        <f t="array" ref="AB239">IF($D239&lt;COLUMNS($F$7:AB$7),"",INDEX(TableDiv[[GASB]:[GASB]],_xlfn.AGGREGATE(15,3,(TableDiv[[Agency]:[Agency]]=$E239)/(TableDiv[[Agency]:[Agency]]=$E239)*(ROW(TableDiv[Agency])-ROW(TableDiv[[#Headers],[Agency]])),COLUMNS($F$7:AB$7))))</f>
        <v>0</v>
      </c>
      <c r="AC239" s="2223" cm="1">
        <f t="array" ref="AC239">IF($D239&lt;COLUMNS($F$7:AC$7),"",INDEX(TableDiv[[GASB]:[GASB]],_xlfn.AGGREGATE(15,3,(TableDiv[[Agency]:[Agency]]=$E239)/(TableDiv[[Agency]:[Agency]]=$E239)*(ROW(TableDiv[Agency])-ROW(TableDiv[[#Headers],[Agency]])),COLUMNS($F$7:AC$7))))</f>
        <v>0</v>
      </c>
      <c r="AD239" s="2223" cm="1">
        <f t="array" ref="AD239">IF($D239&lt;COLUMNS($F$7:AD$7),"",INDEX(TableDiv[[GASB]:[GASB]],_xlfn.AGGREGATE(15,3,(TableDiv[[Agency]:[Agency]]=$E239)/(TableDiv[[Agency]:[Agency]]=$E239)*(ROW(TableDiv[Agency])-ROW(TableDiv[[#Headers],[Agency]])),COLUMNS($F$7:AD$7))))</f>
        <v>0</v>
      </c>
      <c r="AE239" s="2223" cm="1">
        <f t="array" ref="AE239">IF($D239&lt;COLUMNS($F$7:AE$7),"",INDEX(TableDiv[[GASB]:[GASB]],_xlfn.AGGREGATE(15,3,(TableDiv[[Agency]:[Agency]]=$E239)/(TableDiv[[Agency]:[Agency]]=$E239)*(ROW(TableDiv[Agency])-ROW(TableDiv[[#Headers],[Agency]])),COLUMNS($F$7:AE$7))))</f>
        <v>0</v>
      </c>
      <c r="AF239" s="2223" cm="1">
        <f t="array" ref="AF239">IF($D239&lt;COLUMNS($F$7:AF$7),"",INDEX(TableDiv[[GASB]:[GASB]],_xlfn.AGGREGATE(15,3,(TableDiv[[Agency]:[Agency]]=$E239)/(TableDiv[[Agency]:[Agency]]=$E239)*(ROW(TableDiv[Agency])-ROW(TableDiv[[#Headers],[Agency]])),COLUMNS($F$7:AF$7))))</f>
        <v>0</v>
      </c>
      <c r="AG239" s="2223" cm="1">
        <f t="array" ref="AG239">IF($D239&lt;COLUMNS($F$7:AG$7),"",INDEX(TableDiv[[GASB]:[GASB]],_xlfn.AGGREGATE(15,3,(TableDiv[[Agency]:[Agency]]=$E239)/(TableDiv[[Agency]:[Agency]]=$E239)*(ROW(TableDiv[Agency])-ROW(TableDiv[[#Headers],[Agency]])),COLUMNS($F$7:AG$7))))</f>
        <v>0</v>
      </c>
      <c r="AH239" s="2223" cm="1">
        <f t="array" ref="AH239">IF($D239&lt;COLUMNS($F$7:AH$7),"",INDEX(TableDiv[[GASB]:[GASB]],_xlfn.AGGREGATE(15,3,(TableDiv[[Agency]:[Agency]]=$E239)/(TableDiv[[Agency]:[Agency]]=$E239)*(ROW(TableDiv[Agency])-ROW(TableDiv[[#Headers],[Agency]])),COLUMNS($F$7:AH$7))))</f>
        <v>0</v>
      </c>
      <c r="AI239" s="2223" cm="1">
        <f t="array" ref="AI239">IF($D239&lt;COLUMNS($F$7:AI$7),"",INDEX(TableDiv[[GASB]:[GASB]],_xlfn.AGGREGATE(15,3,(TableDiv[[Agency]:[Agency]]=$E239)/(TableDiv[[Agency]:[Agency]]=$E239)*(ROW(TableDiv[Agency])-ROW(TableDiv[[#Headers],[Agency]])),COLUMNS($F$7:AI$7))))</f>
        <v>0</v>
      </c>
      <c r="AJ239" s="2223" cm="1">
        <f t="array" ref="AJ239">IF($D239&lt;COLUMNS($F$7:AJ$7),"",INDEX(TableDiv[[GASB]:[GASB]],_xlfn.AGGREGATE(15,3,(TableDiv[[Agency]:[Agency]]=$E239)/(TableDiv[[Agency]:[Agency]]=$E239)*(ROW(TableDiv[Agency])-ROW(TableDiv[[#Headers],[Agency]])),COLUMNS($F$7:AJ$7))))</f>
        <v>0</v>
      </c>
      <c r="AK239" s="2223" t="str" cm="1">
        <f t="array" ref="AK239">IF($D239&lt;COLUMNS($F$7:AK$7),"",INDEX(TableDiv[[GASB]:[GASB]],_xlfn.AGGREGATE(15,3,(TableDiv[[Agency]:[Agency]]=$E239)/(TableDiv[[Agency]:[Agency]]=$E239)*(ROW(TableDiv[Agency])-ROW(TableDiv[[#Headers],[Agency]])),COLUMNS($F$7:AK$7))))</f>
        <v/>
      </c>
      <c r="AL239" s="2223" t="str" cm="1">
        <f t="array" ref="AL239">IF($D239&lt;COLUMNS($F$7:AL$7),"",INDEX(TableDiv[[GASB]:[GASB]],_xlfn.AGGREGATE(15,3,(TableDiv[[Agency]:[Agency]]=$E239)/(TableDiv[[Agency]:[Agency]]=$E239)*(ROW(TableDiv[Agency])-ROW(TableDiv[[#Headers],[Agency]])),COLUMNS($F$7:AL$7))))</f>
        <v/>
      </c>
      <c r="AM239" s="2223" t="str" cm="1">
        <f t="array" ref="AM239">IF($D239&lt;COLUMNS($F$7:AM$7),"",INDEX(TableDiv[[GASB]:[GASB]],_xlfn.AGGREGATE(15,3,(TableDiv[[Agency]:[Agency]]=$E239)/(TableDiv[[Agency]:[Agency]]=$E239)*(ROW(TableDiv[Agency])-ROW(TableDiv[[#Headers],[Agency]])),COLUMNS($F$7:AM$7))))</f>
        <v/>
      </c>
      <c r="AN239" s="2223"/>
      <c r="AO239" s="2223"/>
      <c r="AP239" s="2223"/>
      <c r="AQ239" s="2223"/>
      <c r="AR239" s="2223"/>
      <c r="AS239" s="2223"/>
    </row>
    <row r="240" spans="1:45" ht="15" x14ac:dyDescent="0.25">
      <c r="A240" s="2219" t="s">
        <v>6462</v>
      </c>
      <c r="B240" s="2219" t="s">
        <v>6402</v>
      </c>
      <c r="C240" s="2223"/>
      <c r="D240" s="2223">
        <f>COUNTIF(TableDiv[Agency],E240)</f>
        <v>31</v>
      </c>
      <c r="E240" s="2230" t="str" cm="1">
        <f t="array" ref="E240">IFERROR(INDEX(TableDiv[Agency],MATCH(0,INDEX(COUNTIF($E$7:E239,TableDiv[Agency]),),0)),"")</f>
        <v/>
      </c>
      <c r="F240" s="2223" cm="1">
        <f t="array" ref="F240">IF($D240&lt;COLUMNS($F$7:F$7),"",INDEX(TableDiv[[GASB]:[GASB]],_xlfn.AGGREGATE(15,3,(TableDiv[[Agency]:[Agency]]=$E240)/(TableDiv[[Agency]:[Agency]]=$E240)*(ROW(TableDiv[Agency])-ROW(TableDiv[[#Headers],[Agency]])),COLUMNS($F$7:F$7))))</f>
        <v>0</v>
      </c>
      <c r="G240" s="2223" cm="1">
        <f t="array" ref="G240">IF($D240&lt;COLUMNS($F$7:G$7),"",INDEX(TableDiv[[GASB]:[GASB]],_xlfn.AGGREGATE(15,3,(TableDiv[[Agency]:[Agency]]=$E240)/(TableDiv[[Agency]:[Agency]]=$E240)*(ROW(TableDiv[Agency])-ROW(TableDiv[[#Headers],[Agency]])),COLUMNS($F$7:G$7))))</f>
        <v>0</v>
      </c>
      <c r="H240" s="2223" cm="1">
        <f t="array" ref="H240">IF($D240&lt;COLUMNS($F$7:H$7),"",INDEX(TableDiv[[GASB]:[GASB]],_xlfn.AGGREGATE(15,3,(TableDiv[[Agency]:[Agency]]=$E240)/(TableDiv[[Agency]:[Agency]]=$E240)*(ROW(TableDiv[Agency])-ROW(TableDiv[[#Headers],[Agency]])),COLUMNS($F$7:H$7))))</f>
        <v>0</v>
      </c>
      <c r="I240" s="2223" cm="1">
        <f t="array" ref="I240">IF($D240&lt;COLUMNS($F$7:I$7),"",INDEX(TableDiv[[GASB]:[GASB]],_xlfn.AGGREGATE(15,3,(TableDiv[[Agency]:[Agency]]=$E240)/(TableDiv[[Agency]:[Agency]]=$E240)*(ROW(TableDiv[Agency])-ROW(TableDiv[[#Headers],[Agency]])),COLUMNS($F$7:I$7))))</f>
        <v>0</v>
      </c>
      <c r="J240" s="2223" cm="1">
        <f t="array" ref="J240">IF($D240&lt;COLUMNS($F$7:J$7),"",INDEX(TableDiv[[GASB]:[GASB]],_xlfn.AGGREGATE(15,3,(TableDiv[[Agency]:[Agency]]=$E240)/(TableDiv[[Agency]:[Agency]]=$E240)*(ROW(TableDiv[Agency])-ROW(TableDiv[[#Headers],[Agency]])),COLUMNS($F$7:J$7))))</f>
        <v>0</v>
      </c>
      <c r="K240" s="2223" cm="1">
        <f t="array" ref="K240">IF($D240&lt;COLUMNS($F$7:K$7),"",INDEX(TableDiv[[GASB]:[GASB]],_xlfn.AGGREGATE(15,3,(TableDiv[[Agency]:[Agency]]=$E240)/(TableDiv[[Agency]:[Agency]]=$E240)*(ROW(TableDiv[Agency])-ROW(TableDiv[[#Headers],[Agency]])),COLUMNS($F$7:K$7))))</f>
        <v>0</v>
      </c>
      <c r="L240" s="2223" cm="1">
        <f t="array" ref="L240">IF($D240&lt;COLUMNS($F$7:L$7),"",INDEX(TableDiv[[GASB]:[GASB]],_xlfn.AGGREGATE(15,3,(TableDiv[[Agency]:[Agency]]=$E240)/(TableDiv[[Agency]:[Agency]]=$E240)*(ROW(TableDiv[Agency])-ROW(TableDiv[[#Headers],[Agency]])),COLUMNS($F$7:L$7))))</f>
        <v>0</v>
      </c>
      <c r="M240" s="2223" cm="1">
        <f t="array" ref="M240">IF($D240&lt;COLUMNS($F$7:M$7),"",INDEX(TableDiv[[GASB]:[GASB]],_xlfn.AGGREGATE(15,3,(TableDiv[[Agency]:[Agency]]=$E240)/(TableDiv[[Agency]:[Agency]]=$E240)*(ROW(TableDiv[Agency])-ROW(TableDiv[[#Headers],[Agency]])),COLUMNS($F$7:M$7))))</f>
        <v>0</v>
      </c>
      <c r="N240" s="2223" cm="1">
        <f t="array" ref="N240">IF($D240&lt;COLUMNS($F$7:N$7),"",INDEX(TableDiv[[GASB]:[GASB]],_xlfn.AGGREGATE(15,3,(TableDiv[[Agency]:[Agency]]=$E240)/(TableDiv[[Agency]:[Agency]]=$E240)*(ROW(TableDiv[Agency])-ROW(TableDiv[[#Headers],[Agency]])),COLUMNS($F$7:N$7))))</f>
        <v>0</v>
      </c>
      <c r="O240" s="2223" cm="1">
        <f t="array" ref="O240">IF($D240&lt;COLUMNS($F$7:O$7),"",INDEX(TableDiv[[GASB]:[GASB]],_xlfn.AGGREGATE(15,3,(TableDiv[[Agency]:[Agency]]=$E240)/(TableDiv[[Agency]:[Agency]]=$E240)*(ROW(TableDiv[Agency])-ROW(TableDiv[[#Headers],[Agency]])),COLUMNS($F$7:O$7))))</f>
        <v>0</v>
      </c>
      <c r="P240" s="2223" cm="1">
        <f t="array" ref="P240">IF($D240&lt;COLUMNS($F$7:P$7),"",INDEX(TableDiv[[GASB]:[GASB]],_xlfn.AGGREGATE(15,3,(TableDiv[[Agency]:[Agency]]=$E240)/(TableDiv[[Agency]:[Agency]]=$E240)*(ROW(TableDiv[Agency])-ROW(TableDiv[[#Headers],[Agency]])),COLUMNS($F$7:P$7))))</f>
        <v>0</v>
      </c>
      <c r="Q240" s="2223" cm="1">
        <f t="array" ref="Q240">IF($D240&lt;COLUMNS($F$7:Q$7),"",INDEX(TableDiv[[GASB]:[GASB]],_xlfn.AGGREGATE(15,3,(TableDiv[[Agency]:[Agency]]=$E240)/(TableDiv[[Agency]:[Agency]]=$E240)*(ROW(TableDiv[Agency])-ROW(TableDiv[[#Headers],[Agency]])),COLUMNS($F$7:Q$7))))</f>
        <v>0</v>
      </c>
      <c r="R240" s="2223" cm="1">
        <f t="array" ref="R240">IF($D240&lt;COLUMNS($F$7:R$7),"",INDEX(TableDiv[[GASB]:[GASB]],_xlfn.AGGREGATE(15,3,(TableDiv[[Agency]:[Agency]]=$E240)/(TableDiv[[Agency]:[Agency]]=$E240)*(ROW(TableDiv[Agency])-ROW(TableDiv[[#Headers],[Agency]])),COLUMNS($F$7:R$7))))</f>
        <v>0</v>
      </c>
      <c r="S240" s="2223" cm="1">
        <f t="array" ref="S240">IF($D240&lt;COLUMNS($F$7:S$7),"",INDEX(TableDiv[[GASB]:[GASB]],_xlfn.AGGREGATE(15,3,(TableDiv[[Agency]:[Agency]]=$E240)/(TableDiv[[Agency]:[Agency]]=$E240)*(ROW(TableDiv[Agency])-ROW(TableDiv[[#Headers],[Agency]])),COLUMNS($F$7:S$7))))</f>
        <v>0</v>
      </c>
      <c r="T240" s="2223" cm="1">
        <f t="array" ref="T240">IF($D240&lt;COLUMNS($F$7:T$7),"",INDEX(TableDiv[[GASB]:[GASB]],_xlfn.AGGREGATE(15,3,(TableDiv[[Agency]:[Agency]]=$E240)/(TableDiv[[Agency]:[Agency]]=$E240)*(ROW(TableDiv[Agency])-ROW(TableDiv[[#Headers],[Agency]])),COLUMNS($F$7:T$7))))</f>
        <v>0</v>
      </c>
      <c r="U240" s="2223" cm="1">
        <f t="array" ref="U240">IF($D240&lt;COLUMNS($F$7:U$7),"",INDEX(TableDiv[[GASB]:[GASB]],_xlfn.AGGREGATE(15,3,(TableDiv[[Agency]:[Agency]]=$E240)/(TableDiv[[Agency]:[Agency]]=$E240)*(ROW(TableDiv[Agency])-ROW(TableDiv[[#Headers],[Agency]])),COLUMNS($F$7:U$7))))</f>
        <v>0</v>
      </c>
      <c r="V240" s="2223" cm="1">
        <f t="array" ref="V240">IF($D240&lt;COLUMNS($F$7:V$7),"",INDEX(TableDiv[[GASB]:[GASB]],_xlfn.AGGREGATE(15,3,(TableDiv[[Agency]:[Agency]]=$E240)/(TableDiv[[Agency]:[Agency]]=$E240)*(ROW(TableDiv[Agency])-ROW(TableDiv[[#Headers],[Agency]])),COLUMNS($F$7:V$7))))</f>
        <v>0</v>
      </c>
      <c r="W240" s="2223" cm="1">
        <f t="array" ref="W240">IF($D240&lt;COLUMNS($F$7:W$7),"",INDEX(TableDiv[[GASB]:[GASB]],_xlfn.AGGREGATE(15,3,(TableDiv[[Agency]:[Agency]]=$E240)/(TableDiv[[Agency]:[Agency]]=$E240)*(ROW(TableDiv[Agency])-ROW(TableDiv[[#Headers],[Agency]])),COLUMNS($F$7:W$7))))</f>
        <v>0</v>
      </c>
      <c r="X240" s="2223" cm="1">
        <f t="array" ref="X240">IF($D240&lt;COLUMNS($F$7:X$7),"",INDEX(TableDiv[[GASB]:[GASB]],_xlfn.AGGREGATE(15,3,(TableDiv[[Agency]:[Agency]]=$E240)/(TableDiv[[Agency]:[Agency]]=$E240)*(ROW(TableDiv[Agency])-ROW(TableDiv[[#Headers],[Agency]])),COLUMNS($F$7:X$7))))</f>
        <v>0</v>
      </c>
      <c r="Y240" s="2223" cm="1">
        <f t="array" ref="Y240">IF($D240&lt;COLUMNS($F$7:Y$7),"",INDEX(TableDiv[[GASB]:[GASB]],_xlfn.AGGREGATE(15,3,(TableDiv[[Agency]:[Agency]]=$E240)/(TableDiv[[Agency]:[Agency]]=$E240)*(ROW(TableDiv[Agency])-ROW(TableDiv[[#Headers],[Agency]])),COLUMNS($F$7:Y$7))))</f>
        <v>0</v>
      </c>
      <c r="Z240" s="2223" cm="1">
        <f t="array" ref="Z240">IF($D240&lt;COLUMNS($F$7:Z$7),"",INDEX(TableDiv[[GASB]:[GASB]],_xlfn.AGGREGATE(15,3,(TableDiv[[Agency]:[Agency]]=$E240)/(TableDiv[[Agency]:[Agency]]=$E240)*(ROW(TableDiv[Agency])-ROW(TableDiv[[#Headers],[Agency]])),COLUMNS($F$7:Z$7))))</f>
        <v>0</v>
      </c>
      <c r="AA240" s="2223" cm="1">
        <f t="array" ref="AA240">IF($D240&lt;COLUMNS($F$7:AA$7),"",INDEX(TableDiv[[GASB]:[GASB]],_xlfn.AGGREGATE(15,3,(TableDiv[[Agency]:[Agency]]=$E240)/(TableDiv[[Agency]:[Agency]]=$E240)*(ROW(TableDiv[Agency])-ROW(TableDiv[[#Headers],[Agency]])),COLUMNS($F$7:AA$7))))</f>
        <v>0</v>
      </c>
      <c r="AB240" s="2223" cm="1">
        <f t="array" ref="AB240">IF($D240&lt;COLUMNS($F$7:AB$7),"",INDEX(TableDiv[[GASB]:[GASB]],_xlfn.AGGREGATE(15,3,(TableDiv[[Agency]:[Agency]]=$E240)/(TableDiv[[Agency]:[Agency]]=$E240)*(ROW(TableDiv[Agency])-ROW(TableDiv[[#Headers],[Agency]])),COLUMNS($F$7:AB$7))))</f>
        <v>0</v>
      </c>
      <c r="AC240" s="2223" cm="1">
        <f t="array" ref="AC240">IF($D240&lt;COLUMNS($F$7:AC$7),"",INDEX(TableDiv[[GASB]:[GASB]],_xlfn.AGGREGATE(15,3,(TableDiv[[Agency]:[Agency]]=$E240)/(TableDiv[[Agency]:[Agency]]=$E240)*(ROW(TableDiv[Agency])-ROW(TableDiv[[#Headers],[Agency]])),COLUMNS($F$7:AC$7))))</f>
        <v>0</v>
      </c>
      <c r="AD240" s="2223" cm="1">
        <f t="array" ref="AD240">IF($D240&lt;COLUMNS($F$7:AD$7),"",INDEX(TableDiv[[GASB]:[GASB]],_xlfn.AGGREGATE(15,3,(TableDiv[[Agency]:[Agency]]=$E240)/(TableDiv[[Agency]:[Agency]]=$E240)*(ROW(TableDiv[Agency])-ROW(TableDiv[[#Headers],[Agency]])),COLUMNS($F$7:AD$7))))</f>
        <v>0</v>
      </c>
      <c r="AE240" s="2223" cm="1">
        <f t="array" ref="AE240">IF($D240&lt;COLUMNS($F$7:AE$7),"",INDEX(TableDiv[[GASB]:[GASB]],_xlfn.AGGREGATE(15,3,(TableDiv[[Agency]:[Agency]]=$E240)/(TableDiv[[Agency]:[Agency]]=$E240)*(ROW(TableDiv[Agency])-ROW(TableDiv[[#Headers],[Agency]])),COLUMNS($F$7:AE$7))))</f>
        <v>0</v>
      </c>
      <c r="AF240" s="2223" cm="1">
        <f t="array" ref="AF240">IF($D240&lt;COLUMNS($F$7:AF$7),"",INDEX(TableDiv[[GASB]:[GASB]],_xlfn.AGGREGATE(15,3,(TableDiv[[Agency]:[Agency]]=$E240)/(TableDiv[[Agency]:[Agency]]=$E240)*(ROW(TableDiv[Agency])-ROW(TableDiv[[#Headers],[Agency]])),COLUMNS($F$7:AF$7))))</f>
        <v>0</v>
      </c>
      <c r="AG240" s="2223" cm="1">
        <f t="array" ref="AG240">IF($D240&lt;COLUMNS($F$7:AG$7),"",INDEX(TableDiv[[GASB]:[GASB]],_xlfn.AGGREGATE(15,3,(TableDiv[[Agency]:[Agency]]=$E240)/(TableDiv[[Agency]:[Agency]]=$E240)*(ROW(TableDiv[Agency])-ROW(TableDiv[[#Headers],[Agency]])),COLUMNS($F$7:AG$7))))</f>
        <v>0</v>
      </c>
      <c r="AH240" s="2223" cm="1">
        <f t="array" ref="AH240">IF($D240&lt;COLUMNS($F$7:AH$7),"",INDEX(TableDiv[[GASB]:[GASB]],_xlfn.AGGREGATE(15,3,(TableDiv[[Agency]:[Agency]]=$E240)/(TableDiv[[Agency]:[Agency]]=$E240)*(ROW(TableDiv[Agency])-ROW(TableDiv[[#Headers],[Agency]])),COLUMNS($F$7:AH$7))))</f>
        <v>0</v>
      </c>
      <c r="AI240" s="2223" cm="1">
        <f t="array" ref="AI240">IF($D240&lt;COLUMNS($F$7:AI$7),"",INDEX(TableDiv[[GASB]:[GASB]],_xlfn.AGGREGATE(15,3,(TableDiv[[Agency]:[Agency]]=$E240)/(TableDiv[[Agency]:[Agency]]=$E240)*(ROW(TableDiv[Agency])-ROW(TableDiv[[#Headers],[Agency]])),COLUMNS($F$7:AI$7))))</f>
        <v>0</v>
      </c>
      <c r="AJ240" s="2223" cm="1">
        <f t="array" ref="AJ240">IF($D240&lt;COLUMNS($F$7:AJ$7),"",INDEX(TableDiv[[GASB]:[GASB]],_xlfn.AGGREGATE(15,3,(TableDiv[[Agency]:[Agency]]=$E240)/(TableDiv[[Agency]:[Agency]]=$E240)*(ROW(TableDiv[Agency])-ROW(TableDiv[[#Headers],[Agency]])),COLUMNS($F$7:AJ$7))))</f>
        <v>0</v>
      </c>
      <c r="AK240" s="2223" t="str" cm="1">
        <f t="array" ref="AK240">IF($D240&lt;COLUMNS($F$7:AK$7),"",INDEX(TableDiv[[GASB]:[GASB]],_xlfn.AGGREGATE(15,3,(TableDiv[[Agency]:[Agency]]=$E240)/(TableDiv[[Agency]:[Agency]]=$E240)*(ROW(TableDiv[Agency])-ROW(TableDiv[[#Headers],[Agency]])),COLUMNS($F$7:AK$7))))</f>
        <v/>
      </c>
      <c r="AL240" s="2223" t="str" cm="1">
        <f t="array" ref="AL240">IF($D240&lt;COLUMNS($F$7:AL$7),"",INDEX(TableDiv[[GASB]:[GASB]],_xlfn.AGGREGATE(15,3,(TableDiv[[Agency]:[Agency]]=$E240)/(TableDiv[[Agency]:[Agency]]=$E240)*(ROW(TableDiv[Agency])-ROW(TableDiv[[#Headers],[Agency]])),COLUMNS($F$7:AL$7))))</f>
        <v/>
      </c>
      <c r="AM240" s="2223" t="str" cm="1">
        <f t="array" ref="AM240">IF($D240&lt;COLUMNS($F$7:AM$7),"",INDEX(TableDiv[[GASB]:[GASB]],_xlfn.AGGREGATE(15,3,(TableDiv[[Agency]:[Agency]]=$E240)/(TableDiv[[Agency]:[Agency]]=$E240)*(ROW(TableDiv[Agency])-ROW(TableDiv[[#Headers],[Agency]])),COLUMNS($F$7:AM$7))))</f>
        <v/>
      </c>
      <c r="AN240" s="2223"/>
      <c r="AO240" s="2223"/>
      <c r="AP240" s="2223"/>
      <c r="AQ240" s="2223"/>
      <c r="AR240" s="2223"/>
      <c r="AS240" s="2223"/>
    </row>
    <row r="241" spans="1:45" ht="15" x14ac:dyDescent="0.25">
      <c r="A241" s="2219" t="s">
        <v>6462</v>
      </c>
      <c r="B241" s="2219" t="s">
        <v>6393</v>
      </c>
      <c r="C241" s="2223"/>
      <c r="D241" s="2223">
        <f>COUNTIF(TableDiv[Agency],E241)</f>
        <v>31</v>
      </c>
      <c r="E241" s="2230" t="str" cm="1">
        <f t="array" ref="E241">IFERROR(INDEX(TableDiv[Agency],MATCH(0,INDEX(COUNTIF($E$7:E240,TableDiv[Agency]),),0)),"")</f>
        <v/>
      </c>
      <c r="F241" s="2223" cm="1">
        <f t="array" ref="F241">IF($D241&lt;COLUMNS($F$7:F$7),"",INDEX(TableDiv[[GASB]:[GASB]],_xlfn.AGGREGATE(15,3,(TableDiv[[Agency]:[Agency]]=$E241)/(TableDiv[[Agency]:[Agency]]=$E241)*(ROW(TableDiv[Agency])-ROW(TableDiv[[#Headers],[Agency]])),COLUMNS($F$7:F$7))))</f>
        <v>0</v>
      </c>
      <c r="G241" s="2223" cm="1">
        <f t="array" ref="G241">IF($D241&lt;COLUMNS($F$7:G$7),"",INDEX(TableDiv[[GASB]:[GASB]],_xlfn.AGGREGATE(15,3,(TableDiv[[Agency]:[Agency]]=$E241)/(TableDiv[[Agency]:[Agency]]=$E241)*(ROW(TableDiv[Agency])-ROW(TableDiv[[#Headers],[Agency]])),COLUMNS($F$7:G$7))))</f>
        <v>0</v>
      </c>
      <c r="H241" s="2223" cm="1">
        <f t="array" ref="H241">IF($D241&lt;COLUMNS($F$7:H$7),"",INDEX(TableDiv[[GASB]:[GASB]],_xlfn.AGGREGATE(15,3,(TableDiv[[Agency]:[Agency]]=$E241)/(TableDiv[[Agency]:[Agency]]=$E241)*(ROW(TableDiv[Agency])-ROW(TableDiv[[#Headers],[Agency]])),COLUMNS($F$7:H$7))))</f>
        <v>0</v>
      </c>
      <c r="I241" s="2223" cm="1">
        <f t="array" ref="I241">IF($D241&lt;COLUMNS($F$7:I$7),"",INDEX(TableDiv[[GASB]:[GASB]],_xlfn.AGGREGATE(15,3,(TableDiv[[Agency]:[Agency]]=$E241)/(TableDiv[[Agency]:[Agency]]=$E241)*(ROW(TableDiv[Agency])-ROW(TableDiv[[#Headers],[Agency]])),COLUMNS($F$7:I$7))))</f>
        <v>0</v>
      </c>
      <c r="J241" s="2223" cm="1">
        <f t="array" ref="J241">IF($D241&lt;COLUMNS($F$7:J$7),"",INDEX(TableDiv[[GASB]:[GASB]],_xlfn.AGGREGATE(15,3,(TableDiv[[Agency]:[Agency]]=$E241)/(TableDiv[[Agency]:[Agency]]=$E241)*(ROW(TableDiv[Agency])-ROW(TableDiv[[#Headers],[Agency]])),COLUMNS($F$7:J$7))))</f>
        <v>0</v>
      </c>
      <c r="K241" s="2223" cm="1">
        <f t="array" ref="K241">IF($D241&lt;COLUMNS($F$7:K$7),"",INDEX(TableDiv[[GASB]:[GASB]],_xlfn.AGGREGATE(15,3,(TableDiv[[Agency]:[Agency]]=$E241)/(TableDiv[[Agency]:[Agency]]=$E241)*(ROW(TableDiv[Agency])-ROW(TableDiv[[#Headers],[Agency]])),COLUMNS($F$7:K$7))))</f>
        <v>0</v>
      </c>
      <c r="L241" s="2223" cm="1">
        <f t="array" ref="L241">IF($D241&lt;COLUMNS($F$7:L$7),"",INDEX(TableDiv[[GASB]:[GASB]],_xlfn.AGGREGATE(15,3,(TableDiv[[Agency]:[Agency]]=$E241)/(TableDiv[[Agency]:[Agency]]=$E241)*(ROW(TableDiv[Agency])-ROW(TableDiv[[#Headers],[Agency]])),COLUMNS($F$7:L$7))))</f>
        <v>0</v>
      </c>
      <c r="M241" s="2223" cm="1">
        <f t="array" ref="M241">IF($D241&lt;COLUMNS($F$7:M$7),"",INDEX(TableDiv[[GASB]:[GASB]],_xlfn.AGGREGATE(15,3,(TableDiv[[Agency]:[Agency]]=$E241)/(TableDiv[[Agency]:[Agency]]=$E241)*(ROW(TableDiv[Agency])-ROW(TableDiv[[#Headers],[Agency]])),COLUMNS($F$7:M$7))))</f>
        <v>0</v>
      </c>
      <c r="N241" s="2223" cm="1">
        <f t="array" ref="N241">IF($D241&lt;COLUMNS($F$7:N$7),"",INDEX(TableDiv[[GASB]:[GASB]],_xlfn.AGGREGATE(15,3,(TableDiv[[Agency]:[Agency]]=$E241)/(TableDiv[[Agency]:[Agency]]=$E241)*(ROW(TableDiv[Agency])-ROW(TableDiv[[#Headers],[Agency]])),COLUMNS($F$7:N$7))))</f>
        <v>0</v>
      </c>
      <c r="O241" s="2223" cm="1">
        <f t="array" ref="O241">IF($D241&lt;COLUMNS($F$7:O$7),"",INDEX(TableDiv[[GASB]:[GASB]],_xlfn.AGGREGATE(15,3,(TableDiv[[Agency]:[Agency]]=$E241)/(TableDiv[[Agency]:[Agency]]=$E241)*(ROW(TableDiv[Agency])-ROW(TableDiv[[#Headers],[Agency]])),COLUMNS($F$7:O$7))))</f>
        <v>0</v>
      </c>
      <c r="P241" s="2223" cm="1">
        <f t="array" ref="P241">IF($D241&lt;COLUMNS($F$7:P$7),"",INDEX(TableDiv[[GASB]:[GASB]],_xlfn.AGGREGATE(15,3,(TableDiv[[Agency]:[Agency]]=$E241)/(TableDiv[[Agency]:[Agency]]=$E241)*(ROW(TableDiv[Agency])-ROW(TableDiv[[#Headers],[Agency]])),COLUMNS($F$7:P$7))))</f>
        <v>0</v>
      </c>
      <c r="Q241" s="2223" cm="1">
        <f t="array" ref="Q241">IF($D241&lt;COLUMNS($F$7:Q$7),"",INDEX(TableDiv[[GASB]:[GASB]],_xlfn.AGGREGATE(15,3,(TableDiv[[Agency]:[Agency]]=$E241)/(TableDiv[[Agency]:[Agency]]=$E241)*(ROW(TableDiv[Agency])-ROW(TableDiv[[#Headers],[Agency]])),COLUMNS($F$7:Q$7))))</f>
        <v>0</v>
      </c>
      <c r="R241" s="2223" cm="1">
        <f t="array" ref="R241">IF($D241&lt;COLUMNS($F$7:R$7),"",INDEX(TableDiv[[GASB]:[GASB]],_xlfn.AGGREGATE(15,3,(TableDiv[[Agency]:[Agency]]=$E241)/(TableDiv[[Agency]:[Agency]]=$E241)*(ROW(TableDiv[Agency])-ROW(TableDiv[[#Headers],[Agency]])),COLUMNS($F$7:R$7))))</f>
        <v>0</v>
      </c>
      <c r="S241" s="2223" cm="1">
        <f t="array" ref="S241">IF($D241&lt;COLUMNS($F$7:S$7),"",INDEX(TableDiv[[GASB]:[GASB]],_xlfn.AGGREGATE(15,3,(TableDiv[[Agency]:[Agency]]=$E241)/(TableDiv[[Agency]:[Agency]]=$E241)*(ROW(TableDiv[Agency])-ROW(TableDiv[[#Headers],[Agency]])),COLUMNS($F$7:S$7))))</f>
        <v>0</v>
      </c>
      <c r="T241" s="2223" cm="1">
        <f t="array" ref="T241">IF($D241&lt;COLUMNS($F$7:T$7),"",INDEX(TableDiv[[GASB]:[GASB]],_xlfn.AGGREGATE(15,3,(TableDiv[[Agency]:[Agency]]=$E241)/(TableDiv[[Agency]:[Agency]]=$E241)*(ROW(TableDiv[Agency])-ROW(TableDiv[[#Headers],[Agency]])),COLUMNS($F$7:T$7))))</f>
        <v>0</v>
      </c>
      <c r="U241" s="2223" cm="1">
        <f t="array" ref="U241">IF($D241&lt;COLUMNS($F$7:U$7),"",INDEX(TableDiv[[GASB]:[GASB]],_xlfn.AGGREGATE(15,3,(TableDiv[[Agency]:[Agency]]=$E241)/(TableDiv[[Agency]:[Agency]]=$E241)*(ROW(TableDiv[Agency])-ROW(TableDiv[[#Headers],[Agency]])),COLUMNS($F$7:U$7))))</f>
        <v>0</v>
      </c>
      <c r="V241" s="2223" cm="1">
        <f t="array" ref="V241">IF($D241&lt;COLUMNS($F$7:V$7),"",INDEX(TableDiv[[GASB]:[GASB]],_xlfn.AGGREGATE(15,3,(TableDiv[[Agency]:[Agency]]=$E241)/(TableDiv[[Agency]:[Agency]]=$E241)*(ROW(TableDiv[Agency])-ROW(TableDiv[[#Headers],[Agency]])),COLUMNS($F$7:V$7))))</f>
        <v>0</v>
      </c>
      <c r="W241" s="2223" cm="1">
        <f t="array" ref="W241">IF($D241&lt;COLUMNS($F$7:W$7),"",INDEX(TableDiv[[GASB]:[GASB]],_xlfn.AGGREGATE(15,3,(TableDiv[[Agency]:[Agency]]=$E241)/(TableDiv[[Agency]:[Agency]]=$E241)*(ROW(TableDiv[Agency])-ROW(TableDiv[[#Headers],[Agency]])),COLUMNS($F$7:W$7))))</f>
        <v>0</v>
      </c>
      <c r="X241" s="2223" cm="1">
        <f t="array" ref="X241">IF($D241&lt;COLUMNS($F$7:X$7),"",INDEX(TableDiv[[GASB]:[GASB]],_xlfn.AGGREGATE(15,3,(TableDiv[[Agency]:[Agency]]=$E241)/(TableDiv[[Agency]:[Agency]]=$E241)*(ROW(TableDiv[Agency])-ROW(TableDiv[[#Headers],[Agency]])),COLUMNS($F$7:X$7))))</f>
        <v>0</v>
      </c>
      <c r="Y241" s="2223" cm="1">
        <f t="array" ref="Y241">IF($D241&lt;COLUMNS($F$7:Y$7),"",INDEX(TableDiv[[GASB]:[GASB]],_xlfn.AGGREGATE(15,3,(TableDiv[[Agency]:[Agency]]=$E241)/(TableDiv[[Agency]:[Agency]]=$E241)*(ROW(TableDiv[Agency])-ROW(TableDiv[[#Headers],[Agency]])),COLUMNS($F$7:Y$7))))</f>
        <v>0</v>
      </c>
      <c r="Z241" s="2223" cm="1">
        <f t="array" ref="Z241">IF($D241&lt;COLUMNS($F$7:Z$7),"",INDEX(TableDiv[[GASB]:[GASB]],_xlfn.AGGREGATE(15,3,(TableDiv[[Agency]:[Agency]]=$E241)/(TableDiv[[Agency]:[Agency]]=$E241)*(ROW(TableDiv[Agency])-ROW(TableDiv[[#Headers],[Agency]])),COLUMNS($F$7:Z$7))))</f>
        <v>0</v>
      </c>
      <c r="AA241" s="2223" cm="1">
        <f t="array" ref="AA241">IF($D241&lt;COLUMNS($F$7:AA$7),"",INDEX(TableDiv[[GASB]:[GASB]],_xlfn.AGGREGATE(15,3,(TableDiv[[Agency]:[Agency]]=$E241)/(TableDiv[[Agency]:[Agency]]=$E241)*(ROW(TableDiv[Agency])-ROW(TableDiv[[#Headers],[Agency]])),COLUMNS($F$7:AA$7))))</f>
        <v>0</v>
      </c>
      <c r="AB241" s="2223" cm="1">
        <f t="array" ref="AB241">IF($D241&lt;COLUMNS($F$7:AB$7),"",INDEX(TableDiv[[GASB]:[GASB]],_xlfn.AGGREGATE(15,3,(TableDiv[[Agency]:[Agency]]=$E241)/(TableDiv[[Agency]:[Agency]]=$E241)*(ROW(TableDiv[Agency])-ROW(TableDiv[[#Headers],[Agency]])),COLUMNS($F$7:AB$7))))</f>
        <v>0</v>
      </c>
      <c r="AC241" s="2223" cm="1">
        <f t="array" ref="AC241">IF($D241&lt;COLUMNS($F$7:AC$7),"",INDEX(TableDiv[[GASB]:[GASB]],_xlfn.AGGREGATE(15,3,(TableDiv[[Agency]:[Agency]]=$E241)/(TableDiv[[Agency]:[Agency]]=$E241)*(ROW(TableDiv[Agency])-ROW(TableDiv[[#Headers],[Agency]])),COLUMNS($F$7:AC$7))))</f>
        <v>0</v>
      </c>
      <c r="AD241" s="2223" cm="1">
        <f t="array" ref="AD241">IF($D241&lt;COLUMNS($F$7:AD$7),"",INDEX(TableDiv[[GASB]:[GASB]],_xlfn.AGGREGATE(15,3,(TableDiv[[Agency]:[Agency]]=$E241)/(TableDiv[[Agency]:[Agency]]=$E241)*(ROW(TableDiv[Agency])-ROW(TableDiv[[#Headers],[Agency]])),COLUMNS($F$7:AD$7))))</f>
        <v>0</v>
      </c>
      <c r="AE241" s="2223" cm="1">
        <f t="array" ref="AE241">IF($D241&lt;COLUMNS($F$7:AE$7),"",INDEX(TableDiv[[GASB]:[GASB]],_xlfn.AGGREGATE(15,3,(TableDiv[[Agency]:[Agency]]=$E241)/(TableDiv[[Agency]:[Agency]]=$E241)*(ROW(TableDiv[Agency])-ROW(TableDiv[[#Headers],[Agency]])),COLUMNS($F$7:AE$7))))</f>
        <v>0</v>
      </c>
      <c r="AF241" s="2223" cm="1">
        <f t="array" ref="AF241">IF($D241&lt;COLUMNS($F$7:AF$7),"",INDEX(TableDiv[[GASB]:[GASB]],_xlfn.AGGREGATE(15,3,(TableDiv[[Agency]:[Agency]]=$E241)/(TableDiv[[Agency]:[Agency]]=$E241)*(ROW(TableDiv[Agency])-ROW(TableDiv[[#Headers],[Agency]])),COLUMNS($F$7:AF$7))))</f>
        <v>0</v>
      </c>
      <c r="AG241" s="2223" cm="1">
        <f t="array" ref="AG241">IF($D241&lt;COLUMNS($F$7:AG$7),"",INDEX(TableDiv[[GASB]:[GASB]],_xlfn.AGGREGATE(15,3,(TableDiv[[Agency]:[Agency]]=$E241)/(TableDiv[[Agency]:[Agency]]=$E241)*(ROW(TableDiv[Agency])-ROW(TableDiv[[#Headers],[Agency]])),COLUMNS($F$7:AG$7))))</f>
        <v>0</v>
      </c>
      <c r="AH241" s="2223" cm="1">
        <f t="array" ref="AH241">IF($D241&lt;COLUMNS($F$7:AH$7),"",INDEX(TableDiv[[GASB]:[GASB]],_xlfn.AGGREGATE(15,3,(TableDiv[[Agency]:[Agency]]=$E241)/(TableDiv[[Agency]:[Agency]]=$E241)*(ROW(TableDiv[Agency])-ROW(TableDiv[[#Headers],[Agency]])),COLUMNS($F$7:AH$7))))</f>
        <v>0</v>
      </c>
      <c r="AI241" s="2223" cm="1">
        <f t="array" ref="AI241">IF($D241&lt;COLUMNS($F$7:AI$7),"",INDEX(TableDiv[[GASB]:[GASB]],_xlfn.AGGREGATE(15,3,(TableDiv[[Agency]:[Agency]]=$E241)/(TableDiv[[Agency]:[Agency]]=$E241)*(ROW(TableDiv[Agency])-ROW(TableDiv[[#Headers],[Agency]])),COLUMNS($F$7:AI$7))))</f>
        <v>0</v>
      </c>
      <c r="AJ241" s="2223" cm="1">
        <f t="array" ref="AJ241">IF($D241&lt;COLUMNS($F$7:AJ$7),"",INDEX(TableDiv[[GASB]:[GASB]],_xlfn.AGGREGATE(15,3,(TableDiv[[Agency]:[Agency]]=$E241)/(TableDiv[[Agency]:[Agency]]=$E241)*(ROW(TableDiv[Agency])-ROW(TableDiv[[#Headers],[Agency]])),COLUMNS($F$7:AJ$7))))</f>
        <v>0</v>
      </c>
      <c r="AK241" s="2223" t="str" cm="1">
        <f t="array" ref="AK241">IF($D241&lt;COLUMNS($F$7:AK$7),"",INDEX(TableDiv[[GASB]:[GASB]],_xlfn.AGGREGATE(15,3,(TableDiv[[Agency]:[Agency]]=$E241)/(TableDiv[[Agency]:[Agency]]=$E241)*(ROW(TableDiv[Agency])-ROW(TableDiv[[#Headers],[Agency]])),COLUMNS($F$7:AK$7))))</f>
        <v/>
      </c>
      <c r="AL241" s="2223" t="str" cm="1">
        <f t="array" ref="AL241">IF($D241&lt;COLUMNS($F$7:AL$7),"",INDEX(TableDiv[[GASB]:[GASB]],_xlfn.AGGREGATE(15,3,(TableDiv[[Agency]:[Agency]]=$E241)/(TableDiv[[Agency]:[Agency]]=$E241)*(ROW(TableDiv[Agency])-ROW(TableDiv[[#Headers],[Agency]])),COLUMNS($F$7:AL$7))))</f>
        <v/>
      </c>
      <c r="AM241" s="2223" t="str" cm="1">
        <f t="array" ref="AM241">IF($D241&lt;COLUMNS($F$7:AM$7),"",INDEX(TableDiv[[GASB]:[GASB]],_xlfn.AGGREGATE(15,3,(TableDiv[[Agency]:[Agency]]=$E241)/(TableDiv[[Agency]:[Agency]]=$E241)*(ROW(TableDiv[Agency])-ROW(TableDiv[[#Headers],[Agency]])),COLUMNS($F$7:AM$7))))</f>
        <v/>
      </c>
      <c r="AN241" s="2223"/>
      <c r="AO241" s="2223"/>
      <c r="AP241" s="2223"/>
      <c r="AQ241" s="2223"/>
      <c r="AR241" s="2223"/>
      <c r="AS241" s="2223"/>
    </row>
    <row r="242" spans="1:45" ht="15" x14ac:dyDescent="0.25">
      <c r="A242" s="2219" t="s">
        <v>6463</v>
      </c>
      <c r="B242" s="2219" t="s">
        <v>6361</v>
      </c>
      <c r="C242" s="2223"/>
      <c r="D242" s="2223">
        <f>COUNTIF(TableDiv[Agency],E242)</f>
        <v>31</v>
      </c>
      <c r="E242" s="2230" t="str" cm="1">
        <f t="array" ref="E242">IFERROR(INDEX(TableDiv[Agency],MATCH(0,INDEX(COUNTIF($E$7:E241,TableDiv[Agency]),),0)),"")</f>
        <v/>
      </c>
      <c r="F242" s="2223" cm="1">
        <f t="array" ref="F242">IF($D242&lt;COLUMNS($F$7:F$7),"",INDEX(TableDiv[[GASB]:[GASB]],_xlfn.AGGREGATE(15,3,(TableDiv[[Agency]:[Agency]]=$E242)/(TableDiv[[Agency]:[Agency]]=$E242)*(ROW(TableDiv[Agency])-ROW(TableDiv[[#Headers],[Agency]])),COLUMNS($F$7:F$7))))</f>
        <v>0</v>
      </c>
      <c r="G242" s="2223" cm="1">
        <f t="array" ref="G242">IF($D242&lt;COLUMNS($F$7:G$7),"",INDEX(TableDiv[[GASB]:[GASB]],_xlfn.AGGREGATE(15,3,(TableDiv[[Agency]:[Agency]]=$E242)/(TableDiv[[Agency]:[Agency]]=$E242)*(ROW(TableDiv[Agency])-ROW(TableDiv[[#Headers],[Agency]])),COLUMNS($F$7:G$7))))</f>
        <v>0</v>
      </c>
      <c r="H242" s="2223" cm="1">
        <f t="array" ref="H242">IF($D242&lt;COLUMNS($F$7:H$7),"",INDEX(TableDiv[[GASB]:[GASB]],_xlfn.AGGREGATE(15,3,(TableDiv[[Agency]:[Agency]]=$E242)/(TableDiv[[Agency]:[Agency]]=$E242)*(ROW(TableDiv[Agency])-ROW(TableDiv[[#Headers],[Agency]])),COLUMNS($F$7:H$7))))</f>
        <v>0</v>
      </c>
      <c r="I242" s="2223" cm="1">
        <f t="array" ref="I242">IF($D242&lt;COLUMNS($F$7:I$7),"",INDEX(TableDiv[[GASB]:[GASB]],_xlfn.AGGREGATE(15,3,(TableDiv[[Agency]:[Agency]]=$E242)/(TableDiv[[Agency]:[Agency]]=$E242)*(ROW(TableDiv[Agency])-ROW(TableDiv[[#Headers],[Agency]])),COLUMNS($F$7:I$7))))</f>
        <v>0</v>
      </c>
      <c r="J242" s="2223" cm="1">
        <f t="array" ref="J242">IF($D242&lt;COLUMNS($F$7:J$7),"",INDEX(TableDiv[[GASB]:[GASB]],_xlfn.AGGREGATE(15,3,(TableDiv[[Agency]:[Agency]]=$E242)/(TableDiv[[Agency]:[Agency]]=$E242)*(ROW(TableDiv[Agency])-ROW(TableDiv[[#Headers],[Agency]])),COLUMNS($F$7:J$7))))</f>
        <v>0</v>
      </c>
      <c r="K242" s="2223" cm="1">
        <f t="array" ref="K242">IF($D242&lt;COLUMNS($F$7:K$7),"",INDEX(TableDiv[[GASB]:[GASB]],_xlfn.AGGREGATE(15,3,(TableDiv[[Agency]:[Agency]]=$E242)/(TableDiv[[Agency]:[Agency]]=$E242)*(ROW(TableDiv[Agency])-ROW(TableDiv[[#Headers],[Agency]])),COLUMNS($F$7:K$7))))</f>
        <v>0</v>
      </c>
      <c r="L242" s="2223" cm="1">
        <f t="array" ref="L242">IF($D242&lt;COLUMNS($F$7:L$7),"",INDEX(TableDiv[[GASB]:[GASB]],_xlfn.AGGREGATE(15,3,(TableDiv[[Agency]:[Agency]]=$E242)/(TableDiv[[Agency]:[Agency]]=$E242)*(ROW(TableDiv[Agency])-ROW(TableDiv[[#Headers],[Agency]])),COLUMNS($F$7:L$7))))</f>
        <v>0</v>
      </c>
      <c r="M242" s="2223" cm="1">
        <f t="array" ref="M242">IF($D242&lt;COLUMNS($F$7:M$7),"",INDEX(TableDiv[[GASB]:[GASB]],_xlfn.AGGREGATE(15,3,(TableDiv[[Agency]:[Agency]]=$E242)/(TableDiv[[Agency]:[Agency]]=$E242)*(ROW(TableDiv[Agency])-ROW(TableDiv[[#Headers],[Agency]])),COLUMNS($F$7:M$7))))</f>
        <v>0</v>
      </c>
      <c r="N242" s="2223" cm="1">
        <f t="array" ref="N242">IF($D242&lt;COLUMNS($F$7:N$7),"",INDEX(TableDiv[[GASB]:[GASB]],_xlfn.AGGREGATE(15,3,(TableDiv[[Agency]:[Agency]]=$E242)/(TableDiv[[Agency]:[Agency]]=$E242)*(ROW(TableDiv[Agency])-ROW(TableDiv[[#Headers],[Agency]])),COLUMNS($F$7:N$7))))</f>
        <v>0</v>
      </c>
      <c r="O242" s="2223" cm="1">
        <f t="array" ref="O242">IF($D242&lt;COLUMNS($F$7:O$7),"",INDEX(TableDiv[[GASB]:[GASB]],_xlfn.AGGREGATE(15,3,(TableDiv[[Agency]:[Agency]]=$E242)/(TableDiv[[Agency]:[Agency]]=$E242)*(ROW(TableDiv[Agency])-ROW(TableDiv[[#Headers],[Agency]])),COLUMNS($F$7:O$7))))</f>
        <v>0</v>
      </c>
      <c r="P242" s="2223" cm="1">
        <f t="array" ref="P242">IF($D242&lt;COLUMNS($F$7:P$7),"",INDEX(TableDiv[[GASB]:[GASB]],_xlfn.AGGREGATE(15,3,(TableDiv[[Agency]:[Agency]]=$E242)/(TableDiv[[Agency]:[Agency]]=$E242)*(ROW(TableDiv[Agency])-ROW(TableDiv[[#Headers],[Agency]])),COLUMNS($F$7:P$7))))</f>
        <v>0</v>
      </c>
      <c r="Q242" s="2223" cm="1">
        <f t="array" ref="Q242">IF($D242&lt;COLUMNS($F$7:Q$7),"",INDEX(TableDiv[[GASB]:[GASB]],_xlfn.AGGREGATE(15,3,(TableDiv[[Agency]:[Agency]]=$E242)/(TableDiv[[Agency]:[Agency]]=$E242)*(ROW(TableDiv[Agency])-ROW(TableDiv[[#Headers],[Agency]])),COLUMNS($F$7:Q$7))))</f>
        <v>0</v>
      </c>
      <c r="R242" s="2223" cm="1">
        <f t="array" ref="R242">IF($D242&lt;COLUMNS($F$7:R$7),"",INDEX(TableDiv[[GASB]:[GASB]],_xlfn.AGGREGATE(15,3,(TableDiv[[Agency]:[Agency]]=$E242)/(TableDiv[[Agency]:[Agency]]=$E242)*(ROW(TableDiv[Agency])-ROW(TableDiv[[#Headers],[Agency]])),COLUMNS($F$7:R$7))))</f>
        <v>0</v>
      </c>
      <c r="S242" s="2223" cm="1">
        <f t="array" ref="S242">IF($D242&lt;COLUMNS($F$7:S$7),"",INDEX(TableDiv[[GASB]:[GASB]],_xlfn.AGGREGATE(15,3,(TableDiv[[Agency]:[Agency]]=$E242)/(TableDiv[[Agency]:[Agency]]=$E242)*(ROW(TableDiv[Agency])-ROW(TableDiv[[#Headers],[Agency]])),COLUMNS($F$7:S$7))))</f>
        <v>0</v>
      </c>
      <c r="T242" s="2223" cm="1">
        <f t="array" ref="T242">IF($D242&lt;COLUMNS($F$7:T$7),"",INDEX(TableDiv[[GASB]:[GASB]],_xlfn.AGGREGATE(15,3,(TableDiv[[Agency]:[Agency]]=$E242)/(TableDiv[[Agency]:[Agency]]=$E242)*(ROW(TableDiv[Agency])-ROW(TableDiv[[#Headers],[Agency]])),COLUMNS($F$7:T$7))))</f>
        <v>0</v>
      </c>
      <c r="U242" s="2223" cm="1">
        <f t="array" ref="U242">IF($D242&lt;COLUMNS($F$7:U$7),"",INDEX(TableDiv[[GASB]:[GASB]],_xlfn.AGGREGATE(15,3,(TableDiv[[Agency]:[Agency]]=$E242)/(TableDiv[[Agency]:[Agency]]=$E242)*(ROW(TableDiv[Agency])-ROW(TableDiv[[#Headers],[Agency]])),COLUMNS($F$7:U$7))))</f>
        <v>0</v>
      </c>
      <c r="V242" s="2223" cm="1">
        <f t="array" ref="V242">IF($D242&lt;COLUMNS($F$7:V$7),"",INDEX(TableDiv[[GASB]:[GASB]],_xlfn.AGGREGATE(15,3,(TableDiv[[Agency]:[Agency]]=$E242)/(TableDiv[[Agency]:[Agency]]=$E242)*(ROW(TableDiv[Agency])-ROW(TableDiv[[#Headers],[Agency]])),COLUMNS($F$7:V$7))))</f>
        <v>0</v>
      </c>
      <c r="W242" s="2223" cm="1">
        <f t="array" ref="W242">IF($D242&lt;COLUMNS($F$7:W$7),"",INDEX(TableDiv[[GASB]:[GASB]],_xlfn.AGGREGATE(15,3,(TableDiv[[Agency]:[Agency]]=$E242)/(TableDiv[[Agency]:[Agency]]=$E242)*(ROW(TableDiv[Agency])-ROW(TableDiv[[#Headers],[Agency]])),COLUMNS($F$7:W$7))))</f>
        <v>0</v>
      </c>
      <c r="X242" s="2223" cm="1">
        <f t="array" ref="X242">IF($D242&lt;COLUMNS($F$7:X$7),"",INDEX(TableDiv[[GASB]:[GASB]],_xlfn.AGGREGATE(15,3,(TableDiv[[Agency]:[Agency]]=$E242)/(TableDiv[[Agency]:[Agency]]=$E242)*(ROW(TableDiv[Agency])-ROW(TableDiv[[#Headers],[Agency]])),COLUMNS($F$7:X$7))))</f>
        <v>0</v>
      </c>
      <c r="Y242" s="2223" cm="1">
        <f t="array" ref="Y242">IF($D242&lt;COLUMNS($F$7:Y$7),"",INDEX(TableDiv[[GASB]:[GASB]],_xlfn.AGGREGATE(15,3,(TableDiv[[Agency]:[Agency]]=$E242)/(TableDiv[[Agency]:[Agency]]=$E242)*(ROW(TableDiv[Agency])-ROW(TableDiv[[#Headers],[Agency]])),COLUMNS($F$7:Y$7))))</f>
        <v>0</v>
      </c>
      <c r="Z242" s="2223" cm="1">
        <f t="array" ref="Z242">IF($D242&lt;COLUMNS($F$7:Z$7),"",INDEX(TableDiv[[GASB]:[GASB]],_xlfn.AGGREGATE(15,3,(TableDiv[[Agency]:[Agency]]=$E242)/(TableDiv[[Agency]:[Agency]]=$E242)*(ROW(TableDiv[Agency])-ROW(TableDiv[[#Headers],[Agency]])),COLUMNS($F$7:Z$7))))</f>
        <v>0</v>
      </c>
      <c r="AA242" s="2223" cm="1">
        <f t="array" ref="AA242">IF($D242&lt;COLUMNS($F$7:AA$7),"",INDEX(TableDiv[[GASB]:[GASB]],_xlfn.AGGREGATE(15,3,(TableDiv[[Agency]:[Agency]]=$E242)/(TableDiv[[Agency]:[Agency]]=$E242)*(ROW(TableDiv[Agency])-ROW(TableDiv[[#Headers],[Agency]])),COLUMNS($F$7:AA$7))))</f>
        <v>0</v>
      </c>
      <c r="AB242" s="2223" cm="1">
        <f t="array" ref="AB242">IF($D242&lt;COLUMNS($F$7:AB$7),"",INDEX(TableDiv[[GASB]:[GASB]],_xlfn.AGGREGATE(15,3,(TableDiv[[Agency]:[Agency]]=$E242)/(TableDiv[[Agency]:[Agency]]=$E242)*(ROW(TableDiv[Agency])-ROW(TableDiv[[#Headers],[Agency]])),COLUMNS($F$7:AB$7))))</f>
        <v>0</v>
      </c>
      <c r="AC242" s="2223" cm="1">
        <f t="array" ref="AC242">IF($D242&lt;COLUMNS($F$7:AC$7),"",INDEX(TableDiv[[GASB]:[GASB]],_xlfn.AGGREGATE(15,3,(TableDiv[[Agency]:[Agency]]=$E242)/(TableDiv[[Agency]:[Agency]]=$E242)*(ROW(TableDiv[Agency])-ROW(TableDiv[[#Headers],[Agency]])),COLUMNS($F$7:AC$7))))</f>
        <v>0</v>
      </c>
      <c r="AD242" s="2223" cm="1">
        <f t="array" ref="AD242">IF($D242&lt;COLUMNS($F$7:AD$7),"",INDEX(TableDiv[[GASB]:[GASB]],_xlfn.AGGREGATE(15,3,(TableDiv[[Agency]:[Agency]]=$E242)/(TableDiv[[Agency]:[Agency]]=$E242)*(ROW(TableDiv[Agency])-ROW(TableDiv[[#Headers],[Agency]])),COLUMNS($F$7:AD$7))))</f>
        <v>0</v>
      </c>
      <c r="AE242" s="2223" cm="1">
        <f t="array" ref="AE242">IF($D242&lt;COLUMNS($F$7:AE$7),"",INDEX(TableDiv[[GASB]:[GASB]],_xlfn.AGGREGATE(15,3,(TableDiv[[Agency]:[Agency]]=$E242)/(TableDiv[[Agency]:[Agency]]=$E242)*(ROW(TableDiv[Agency])-ROW(TableDiv[[#Headers],[Agency]])),COLUMNS($F$7:AE$7))))</f>
        <v>0</v>
      </c>
      <c r="AF242" s="2223" cm="1">
        <f t="array" ref="AF242">IF($D242&lt;COLUMNS($F$7:AF$7),"",INDEX(TableDiv[[GASB]:[GASB]],_xlfn.AGGREGATE(15,3,(TableDiv[[Agency]:[Agency]]=$E242)/(TableDiv[[Agency]:[Agency]]=$E242)*(ROW(TableDiv[Agency])-ROW(TableDiv[[#Headers],[Agency]])),COLUMNS($F$7:AF$7))))</f>
        <v>0</v>
      </c>
      <c r="AG242" s="2223" cm="1">
        <f t="array" ref="AG242">IF($D242&lt;COLUMNS($F$7:AG$7),"",INDEX(TableDiv[[GASB]:[GASB]],_xlfn.AGGREGATE(15,3,(TableDiv[[Agency]:[Agency]]=$E242)/(TableDiv[[Agency]:[Agency]]=$E242)*(ROW(TableDiv[Agency])-ROW(TableDiv[[#Headers],[Agency]])),COLUMNS($F$7:AG$7))))</f>
        <v>0</v>
      </c>
      <c r="AH242" s="2223" cm="1">
        <f t="array" ref="AH242">IF($D242&lt;COLUMNS($F$7:AH$7),"",INDEX(TableDiv[[GASB]:[GASB]],_xlfn.AGGREGATE(15,3,(TableDiv[[Agency]:[Agency]]=$E242)/(TableDiv[[Agency]:[Agency]]=$E242)*(ROW(TableDiv[Agency])-ROW(TableDiv[[#Headers],[Agency]])),COLUMNS($F$7:AH$7))))</f>
        <v>0</v>
      </c>
      <c r="AI242" s="2223" cm="1">
        <f t="array" ref="AI242">IF($D242&lt;COLUMNS($F$7:AI$7),"",INDEX(TableDiv[[GASB]:[GASB]],_xlfn.AGGREGATE(15,3,(TableDiv[[Agency]:[Agency]]=$E242)/(TableDiv[[Agency]:[Agency]]=$E242)*(ROW(TableDiv[Agency])-ROW(TableDiv[[#Headers],[Agency]])),COLUMNS($F$7:AI$7))))</f>
        <v>0</v>
      </c>
      <c r="AJ242" s="2223" cm="1">
        <f t="array" ref="AJ242">IF($D242&lt;COLUMNS($F$7:AJ$7),"",INDEX(TableDiv[[GASB]:[GASB]],_xlfn.AGGREGATE(15,3,(TableDiv[[Agency]:[Agency]]=$E242)/(TableDiv[[Agency]:[Agency]]=$E242)*(ROW(TableDiv[Agency])-ROW(TableDiv[[#Headers],[Agency]])),COLUMNS($F$7:AJ$7))))</f>
        <v>0</v>
      </c>
      <c r="AK242" s="2223" t="str" cm="1">
        <f t="array" ref="AK242">IF($D242&lt;COLUMNS($F$7:AK$7),"",INDEX(TableDiv[[GASB]:[GASB]],_xlfn.AGGREGATE(15,3,(TableDiv[[Agency]:[Agency]]=$E242)/(TableDiv[[Agency]:[Agency]]=$E242)*(ROW(TableDiv[Agency])-ROW(TableDiv[[#Headers],[Agency]])),COLUMNS($F$7:AK$7))))</f>
        <v/>
      </c>
      <c r="AL242" s="2223" t="str" cm="1">
        <f t="array" ref="AL242">IF($D242&lt;COLUMNS($F$7:AL$7),"",INDEX(TableDiv[[GASB]:[GASB]],_xlfn.AGGREGATE(15,3,(TableDiv[[Agency]:[Agency]]=$E242)/(TableDiv[[Agency]:[Agency]]=$E242)*(ROW(TableDiv[Agency])-ROW(TableDiv[[#Headers],[Agency]])),COLUMNS($F$7:AL$7))))</f>
        <v/>
      </c>
      <c r="AM242" s="2223" t="str" cm="1">
        <f t="array" ref="AM242">IF($D242&lt;COLUMNS($F$7:AM$7),"",INDEX(TableDiv[[GASB]:[GASB]],_xlfn.AGGREGATE(15,3,(TableDiv[[Agency]:[Agency]]=$E242)/(TableDiv[[Agency]:[Agency]]=$E242)*(ROW(TableDiv[Agency])-ROW(TableDiv[[#Headers],[Agency]])),COLUMNS($F$7:AM$7))))</f>
        <v/>
      </c>
      <c r="AN242" s="2223"/>
      <c r="AO242" s="2223"/>
      <c r="AP242" s="2223"/>
      <c r="AQ242" s="2223"/>
      <c r="AR242" s="2223"/>
      <c r="AS242" s="2223"/>
    </row>
    <row r="243" spans="1:45" ht="15" x14ac:dyDescent="0.25">
      <c r="A243" s="2219" t="s">
        <v>6463</v>
      </c>
      <c r="B243" s="2219" t="s">
        <v>6358</v>
      </c>
      <c r="C243" s="2223"/>
      <c r="D243" s="2223">
        <f>COUNTIF(TableDiv[Agency],E243)</f>
        <v>31</v>
      </c>
      <c r="E243" s="2230" t="str" cm="1">
        <f t="array" ref="E243">IFERROR(INDEX(TableDiv[Agency],MATCH(0,INDEX(COUNTIF($E$7:E242,TableDiv[Agency]),),0)),"")</f>
        <v/>
      </c>
      <c r="F243" s="2223" cm="1">
        <f t="array" ref="F243">IF($D243&lt;COLUMNS($F$7:F$7),"",INDEX(TableDiv[[GASB]:[GASB]],_xlfn.AGGREGATE(15,3,(TableDiv[[Agency]:[Agency]]=$E243)/(TableDiv[[Agency]:[Agency]]=$E243)*(ROW(TableDiv[Agency])-ROW(TableDiv[[#Headers],[Agency]])),COLUMNS($F$7:F$7))))</f>
        <v>0</v>
      </c>
      <c r="G243" s="2223" cm="1">
        <f t="array" ref="G243">IF($D243&lt;COLUMNS($F$7:G$7),"",INDEX(TableDiv[[GASB]:[GASB]],_xlfn.AGGREGATE(15,3,(TableDiv[[Agency]:[Agency]]=$E243)/(TableDiv[[Agency]:[Agency]]=$E243)*(ROW(TableDiv[Agency])-ROW(TableDiv[[#Headers],[Agency]])),COLUMNS($F$7:G$7))))</f>
        <v>0</v>
      </c>
      <c r="H243" s="2223" cm="1">
        <f t="array" ref="H243">IF($D243&lt;COLUMNS($F$7:H$7),"",INDEX(TableDiv[[GASB]:[GASB]],_xlfn.AGGREGATE(15,3,(TableDiv[[Agency]:[Agency]]=$E243)/(TableDiv[[Agency]:[Agency]]=$E243)*(ROW(TableDiv[Agency])-ROW(TableDiv[[#Headers],[Agency]])),COLUMNS($F$7:H$7))))</f>
        <v>0</v>
      </c>
      <c r="I243" s="2223" cm="1">
        <f t="array" ref="I243">IF($D243&lt;COLUMNS($F$7:I$7),"",INDEX(TableDiv[[GASB]:[GASB]],_xlfn.AGGREGATE(15,3,(TableDiv[[Agency]:[Agency]]=$E243)/(TableDiv[[Agency]:[Agency]]=$E243)*(ROW(TableDiv[Agency])-ROW(TableDiv[[#Headers],[Agency]])),COLUMNS($F$7:I$7))))</f>
        <v>0</v>
      </c>
      <c r="J243" s="2223" cm="1">
        <f t="array" ref="J243">IF($D243&lt;COLUMNS($F$7:J$7),"",INDEX(TableDiv[[GASB]:[GASB]],_xlfn.AGGREGATE(15,3,(TableDiv[[Agency]:[Agency]]=$E243)/(TableDiv[[Agency]:[Agency]]=$E243)*(ROW(TableDiv[Agency])-ROW(TableDiv[[#Headers],[Agency]])),COLUMNS($F$7:J$7))))</f>
        <v>0</v>
      </c>
      <c r="K243" s="2223" cm="1">
        <f t="array" ref="K243">IF($D243&lt;COLUMNS($F$7:K$7),"",INDEX(TableDiv[[GASB]:[GASB]],_xlfn.AGGREGATE(15,3,(TableDiv[[Agency]:[Agency]]=$E243)/(TableDiv[[Agency]:[Agency]]=$E243)*(ROW(TableDiv[Agency])-ROW(TableDiv[[#Headers],[Agency]])),COLUMNS($F$7:K$7))))</f>
        <v>0</v>
      </c>
      <c r="L243" s="2223" cm="1">
        <f t="array" ref="L243">IF($D243&lt;COLUMNS($F$7:L$7),"",INDEX(TableDiv[[GASB]:[GASB]],_xlfn.AGGREGATE(15,3,(TableDiv[[Agency]:[Agency]]=$E243)/(TableDiv[[Agency]:[Agency]]=$E243)*(ROW(TableDiv[Agency])-ROW(TableDiv[[#Headers],[Agency]])),COLUMNS($F$7:L$7))))</f>
        <v>0</v>
      </c>
      <c r="M243" s="2223" cm="1">
        <f t="array" ref="M243">IF($D243&lt;COLUMNS($F$7:M$7),"",INDEX(TableDiv[[GASB]:[GASB]],_xlfn.AGGREGATE(15,3,(TableDiv[[Agency]:[Agency]]=$E243)/(TableDiv[[Agency]:[Agency]]=$E243)*(ROW(TableDiv[Agency])-ROW(TableDiv[[#Headers],[Agency]])),COLUMNS($F$7:M$7))))</f>
        <v>0</v>
      </c>
      <c r="N243" s="2223" cm="1">
        <f t="array" ref="N243">IF($D243&lt;COLUMNS($F$7:N$7),"",INDEX(TableDiv[[GASB]:[GASB]],_xlfn.AGGREGATE(15,3,(TableDiv[[Agency]:[Agency]]=$E243)/(TableDiv[[Agency]:[Agency]]=$E243)*(ROW(TableDiv[Agency])-ROW(TableDiv[[#Headers],[Agency]])),COLUMNS($F$7:N$7))))</f>
        <v>0</v>
      </c>
      <c r="O243" s="2223" cm="1">
        <f t="array" ref="O243">IF($D243&lt;COLUMNS($F$7:O$7),"",INDEX(TableDiv[[GASB]:[GASB]],_xlfn.AGGREGATE(15,3,(TableDiv[[Agency]:[Agency]]=$E243)/(TableDiv[[Agency]:[Agency]]=$E243)*(ROW(TableDiv[Agency])-ROW(TableDiv[[#Headers],[Agency]])),COLUMNS($F$7:O$7))))</f>
        <v>0</v>
      </c>
      <c r="P243" s="2223" cm="1">
        <f t="array" ref="P243">IF($D243&lt;COLUMNS($F$7:P$7),"",INDEX(TableDiv[[GASB]:[GASB]],_xlfn.AGGREGATE(15,3,(TableDiv[[Agency]:[Agency]]=$E243)/(TableDiv[[Agency]:[Agency]]=$E243)*(ROW(TableDiv[Agency])-ROW(TableDiv[[#Headers],[Agency]])),COLUMNS($F$7:P$7))))</f>
        <v>0</v>
      </c>
      <c r="Q243" s="2223" cm="1">
        <f t="array" ref="Q243">IF($D243&lt;COLUMNS($F$7:Q$7),"",INDEX(TableDiv[[GASB]:[GASB]],_xlfn.AGGREGATE(15,3,(TableDiv[[Agency]:[Agency]]=$E243)/(TableDiv[[Agency]:[Agency]]=$E243)*(ROW(TableDiv[Agency])-ROW(TableDiv[[#Headers],[Agency]])),COLUMNS($F$7:Q$7))))</f>
        <v>0</v>
      </c>
      <c r="R243" s="2223" cm="1">
        <f t="array" ref="R243">IF($D243&lt;COLUMNS($F$7:R$7),"",INDEX(TableDiv[[GASB]:[GASB]],_xlfn.AGGREGATE(15,3,(TableDiv[[Agency]:[Agency]]=$E243)/(TableDiv[[Agency]:[Agency]]=$E243)*(ROW(TableDiv[Agency])-ROW(TableDiv[[#Headers],[Agency]])),COLUMNS($F$7:R$7))))</f>
        <v>0</v>
      </c>
      <c r="S243" s="2223" cm="1">
        <f t="array" ref="S243">IF($D243&lt;COLUMNS($F$7:S$7),"",INDEX(TableDiv[[GASB]:[GASB]],_xlfn.AGGREGATE(15,3,(TableDiv[[Agency]:[Agency]]=$E243)/(TableDiv[[Agency]:[Agency]]=$E243)*(ROW(TableDiv[Agency])-ROW(TableDiv[[#Headers],[Agency]])),COLUMNS($F$7:S$7))))</f>
        <v>0</v>
      </c>
      <c r="T243" s="2223" cm="1">
        <f t="array" ref="T243">IF($D243&lt;COLUMNS($F$7:T$7),"",INDEX(TableDiv[[GASB]:[GASB]],_xlfn.AGGREGATE(15,3,(TableDiv[[Agency]:[Agency]]=$E243)/(TableDiv[[Agency]:[Agency]]=$E243)*(ROW(TableDiv[Agency])-ROW(TableDiv[[#Headers],[Agency]])),COLUMNS($F$7:T$7))))</f>
        <v>0</v>
      </c>
      <c r="U243" s="2223" cm="1">
        <f t="array" ref="U243">IF($D243&lt;COLUMNS($F$7:U$7),"",INDEX(TableDiv[[GASB]:[GASB]],_xlfn.AGGREGATE(15,3,(TableDiv[[Agency]:[Agency]]=$E243)/(TableDiv[[Agency]:[Agency]]=$E243)*(ROW(TableDiv[Agency])-ROW(TableDiv[[#Headers],[Agency]])),COLUMNS($F$7:U$7))))</f>
        <v>0</v>
      </c>
      <c r="V243" s="2223" cm="1">
        <f t="array" ref="V243">IF($D243&lt;COLUMNS($F$7:V$7),"",INDEX(TableDiv[[GASB]:[GASB]],_xlfn.AGGREGATE(15,3,(TableDiv[[Agency]:[Agency]]=$E243)/(TableDiv[[Agency]:[Agency]]=$E243)*(ROW(TableDiv[Agency])-ROW(TableDiv[[#Headers],[Agency]])),COLUMNS($F$7:V$7))))</f>
        <v>0</v>
      </c>
      <c r="W243" s="2223" cm="1">
        <f t="array" ref="W243">IF($D243&lt;COLUMNS($F$7:W$7),"",INDEX(TableDiv[[GASB]:[GASB]],_xlfn.AGGREGATE(15,3,(TableDiv[[Agency]:[Agency]]=$E243)/(TableDiv[[Agency]:[Agency]]=$E243)*(ROW(TableDiv[Agency])-ROW(TableDiv[[#Headers],[Agency]])),COLUMNS($F$7:W$7))))</f>
        <v>0</v>
      </c>
      <c r="X243" s="2223" cm="1">
        <f t="array" ref="X243">IF($D243&lt;COLUMNS($F$7:X$7),"",INDEX(TableDiv[[GASB]:[GASB]],_xlfn.AGGREGATE(15,3,(TableDiv[[Agency]:[Agency]]=$E243)/(TableDiv[[Agency]:[Agency]]=$E243)*(ROW(TableDiv[Agency])-ROW(TableDiv[[#Headers],[Agency]])),COLUMNS($F$7:X$7))))</f>
        <v>0</v>
      </c>
      <c r="Y243" s="2223" cm="1">
        <f t="array" ref="Y243">IF($D243&lt;COLUMNS($F$7:Y$7),"",INDEX(TableDiv[[GASB]:[GASB]],_xlfn.AGGREGATE(15,3,(TableDiv[[Agency]:[Agency]]=$E243)/(TableDiv[[Agency]:[Agency]]=$E243)*(ROW(TableDiv[Agency])-ROW(TableDiv[[#Headers],[Agency]])),COLUMNS($F$7:Y$7))))</f>
        <v>0</v>
      </c>
      <c r="Z243" s="2223" cm="1">
        <f t="array" ref="Z243">IF($D243&lt;COLUMNS($F$7:Z$7),"",INDEX(TableDiv[[GASB]:[GASB]],_xlfn.AGGREGATE(15,3,(TableDiv[[Agency]:[Agency]]=$E243)/(TableDiv[[Agency]:[Agency]]=$E243)*(ROW(TableDiv[Agency])-ROW(TableDiv[[#Headers],[Agency]])),COLUMNS($F$7:Z$7))))</f>
        <v>0</v>
      </c>
      <c r="AA243" s="2223" cm="1">
        <f t="array" ref="AA243">IF($D243&lt;COLUMNS($F$7:AA$7),"",INDEX(TableDiv[[GASB]:[GASB]],_xlfn.AGGREGATE(15,3,(TableDiv[[Agency]:[Agency]]=$E243)/(TableDiv[[Agency]:[Agency]]=$E243)*(ROW(TableDiv[Agency])-ROW(TableDiv[[#Headers],[Agency]])),COLUMNS($F$7:AA$7))))</f>
        <v>0</v>
      </c>
      <c r="AB243" s="2223" cm="1">
        <f t="array" ref="AB243">IF($D243&lt;COLUMNS($F$7:AB$7),"",INDEX(TableDiv[[GASB]:[GASB]],_xlfn.AGGREGATE(15,3,(TableDiv[[Agency]:[Agency]]=$E243)/(TableDiv[[Agency]:[Agency]]=$E243)*(ROW(TableDiv[Agency])-ROW(TableDiv[[#Headers],[Agency]])),COLUMNS($F$7:AB$7))))</f>
        <v>0</v>
      </c>
      <c r="AC243" s="2223" cm="1">
        <f t="array" ref="AC243">IF($D243&lt;COLUMNS($F$7:AC$7),"",INDEX(TableDiv[[GASB]:[GASB]],_xlfn.AGGREGATE(15,3,(TableDiv[[Agency]:[Agency]]=$E243)/(TableDiv[[Agency]:[Agency]]=$E243)*(ROW(TableDiv[Agency])-ROW(TableDiv[[#Headers],[Agency]])),COLUMNS($F$7:AC$7))))</f>
        <v>0</v>
      </c>
      <c r="AD243" s="2223" cm="1">
        <f t="array" ref="AD243">IF($D243&lt;COLUMNS($F$7:AD$7),"",INDEX(TableDiv[[GASB]:[GASB]],_xlfn.AGGREGATE(15,3,(TableDiv[[Agency]:[Agency]]=$E243)/(TableDiv[[Agency]:[Agency]]=$E243)*(ROW(TableDiv[Agency])-ROW(TableDiv[[#Headers],[Agency]])),COLUMNS($F$7:AD$7))))</f>
        <v>0</v>
      </c>
      <c r="AE243" s="2223" cm="1">
        <f t="array" ref="AE243">IF($D243&lt;COLUMNS($F$7:AE$7),"",INDEX(TableDiv[[GASB]:[GASB]],_xlfn.AGGREGATE(15,3,(TableDiv[[Agency]:[Agency]]=$E243)/(TableDiv[[Agency]:[Agency]]=$E243)*(ROW(TableDiv[Agency])-ROW(TableDiv[[#Headers],[Agency]])),COLUMNS($F$7:AE$7))))</f>
        <v>0</v>
      </c>
      <c r="AF243" s="2223" cm="1">
        <f t="array" ref="AF243">IF($D243&lt;COLUMNS($F$7:AF$7),"",INDEX(TableDiv[[GASB]:[GASB]],_xlfn.AGGREGATE(15,3,(TableDiv[[Agency]:[Agency]]=$E243)/(TableDiv[[Agency]:[Agency]]=$E243)*(ROW(TableDiv[Agency])-ROW(TableDiv[[#Headers],[Agency]])),COLUMNS($F$7:AF$7))))</f>
        <v>0</v>
      </c>
      <c r="AG243" s="2223" cm="1">
        <f t="array" ref="AG243">IF($D243&lt;COLUMNS($F$7:AG$7),"",INDEX(TableDiv[[GASB]:[GASB]],_xlfn.AGGREGATE(15,3,(TableDiv[[Agency]:[Agency]]=$E243)/(TableDiv[[Agency]:[Agency]]=$E243)*(ROW(TableDiv[Agency])-ROW(TableDiv[[#Headers],[Agency]])),COLUMNS($F$7:AG$7))))</f>
        <v>0</v>
      </c>
      <c r="AH243" s="2223" cm="1">
        <f t="array" ref="AH243">IF($D243&lt;COLUMNS($F$7:AH$7),"",INDEX(TableDiv[[GASB]:[GASB]],_xlfn.AGGREGATE(15,3,(TableDiv[[Agency]:[Agency]]=$E243)/(TableDiv[[Agency]:[Agency]]=$E243)*(ROW(TableDiv[Agency])-ROW(TableDiv[[#Headers],[Agency]])),COLUMNS($F$7:AH$7))))</f>
        <v>0</v>
      </c>
      <c r="AI243" s="2223" cm="1">
        <f t="array" ref="AI243">IF($D243&lt;COLUMNS($F$7:AI$7),"",INDEX(TableDiv[[GASB]:[GASB]],_xlfn.AGGREGATE(15,3,(TableDiv[[Agency]:[Agency]]=$E243)/(TableDiv[[Agency]:[Agency]]=$E243)*(ROW(TableDiv[Agency])-ROW(TableDiv[[#Headers],[Agency]])),COLUMNS($F$7:AI$7))))</f>
        <v>0</v>
      </c>
      <c r="AJ243" s="2223" cm="1">
        <f t="array" ref="AJ243">IF($D243&lt;COLUMNS($F$7:AJ$7),"",INDEX(TableDiv[[GASB]:[GASB]],_xlfn.AGGREGATE(15,3,(TableDiv[[Agency]:[Agency]]=$E243)/(TableDiv[[Agency]:[Agency]]=$E243)*(ROW(TableDiv[Agency])-ROW(TableDiv[[#Headers],[Agency]])),COLUMNS($F$7:AJ$7))))</f>
        <v>0</v>
      </c>
      <c r="AK243" s="2223" t="str" cm="1">
        <f t="array" ref="AK243">IF($D243&lt;COLUMNS($F$7:AK$7),"",INDEX(TableDiv[[GASB]:[GASB]],_xlfn.AGGREGATE(15,3,(TableDiv[[Agency]:[Agency]]=$E243)/(TableDiv[[Agency]:[Agency]]=$E243)*(ROW(TableDiv[Agency])-ROW(TableDiv[[#Headers],[Agency]])),COLUMNS($F$7:AK$7))))</f>
        <v/>
      </c>
      <c r="AL243" s="2223" t="str" cm="1">
        <f t="array" ref="AL243">IF($D243&lt;COLUMNS($F$7:AL$7),"",INDEX(TableDiv[[GASB]:[GASB]],_xlfn.AGGREGATE(15,3,(TableDiv[[Agency]:[Agency]]=$E243)/(TableDiv[[Agency]:[Agency]]=$E243)*(ROW(TableDiv[Agency])-ROW(TableDiv[[#Headers],[Agency]])),COLUMNS($F$7:AL$7))))</f>
        <v/>
      </c>
      <c r="AM243" s="2223" t="str" cm="1">
        <f t="array" ref="AM243">IF($D243&lt;COLUMNS($F$7:AM$7),"",INDEX(TableDiv[[GASB]:[GASB]],_xlfn.AGGREGATE(15,3,(TableDiv[[Agency]:[Agency]]=$E243)/(TableDiv[[Agency]:[Agency]]=$E243)*(ROW(TableDiv[Agency])-ROW(TableDiv[[#Headers],[Agency]])),COLUMNS($F$7:AM$7))))</f>
        <v/>
      </c>
      <c r="AN243" s="2223"/>
      <c r="AO243" s="2223"/>
      <c r="AP243" s="2223"/>
      <c r="AQ243" s="2223"/>
      <c r="AR243" s="2223"/>
      <c r="AS243" s="2223"/>
    </row>
    <row r="244" spans="1:45" ht="15" x14ac:dyDescent="0.25">
      <c r="A244" s="2219" t="s">
        <v>6463</v>
      </c>
      <c r="B244" s="2219" t="s">
        <v>6402</v>
      </c>
      <c r="C244" s="2223"/>
      <c r="D244" s="2223">
        <f>COUNTIF(TableDiv[Agency],E244)</f>
        <v>31</v>
      </c>
      <c r="E244" s="2230" t="str" cm="1">
        <f t="array" ref="E244">IFERROR(INDEX(TableDiv[Agency],MATCH(0,INDEX(COUNTIF($E$7:E243,TableDiv[Agency]),),0)),"")</f>
        <v/>
      </c>
      <c r="F244" s="2223" cm="1">
        <f t="array" ref="F244">IF($D244&lt;COLUMNS($F$7:F$7),"",INDEX(TableDiv[[GASB]:[GASB]],_xlfn.AGGREGATE(15,3,(TableDiv[[Agency]:[Agency]]=$E244)/(TableDiv[[Agency]:[Agency]]=$E244)*(ROW(TableDiv[Agency])-ROW(TableDiv[[#Headers],[Agency]])),COLUMNS($F$7:F$7))))</f>
        <v>0</v>
      </c>
      <c r="G244" s="2223" cm="1">
        <f t="array" ref="G244">IF($D244&lt;COLUMNS($F$7:G$7),"",INDEX(TableDiv[[GASB]:[GASB]],_xlfn.AGGREGATE(15,3,(TableDiv[[Agency]:[Agency]]=$E244)/(TableDiv[[Agency]:[Agency]]=$E244)*(ROW(TableDiv[Agency])-ROW(TableDiv[[#Headers],[Agency]])),COLUMNS($F$7:G$7))))</f>
        <v>0</v>
      </c>
      <c r="H244" s="2223" cm="1">
        <f t="array" ref="H244">IF($D244&lt;COLUMNS($F$7:H$7),"",INDEX(TableDiv[[GASB]:[GASB]],_xlfn.AGGREGATE(15,3,(TableDiv[[Agency]:[Agency]]=$E244)/(TableDiv[[Agency]:[Agency]]=$E244)*(ROW(TableDiv[Agency])-ROW(TableDiv[[#Headers],[Agency]])),COLUMNS($F$7:H$7))))</f>
        <v>0</v>
      </c>
      <c r="I244" s="2223" cm="1">
        <f t="array" ref="I244">IF($D244&lt;COLUMNS($F$7:I$7),"",INDEX(TableDiv[[GASB]:[GASB]],_xlfn.AGGREGATE(15,3,(TableDiv[[Agency]:[Agency]]=$E244)/(TableDiv[[Agency]:[Agency]]=$E244)*(ROW(TableDiv[Agency])-ROW(TableDiv[[#Headers],[Agency]])),COLUMNS($F$7:I$7))))</f>
        <v>0</v>
      </c>
      <c r="J244" s="2223" cm="1">
        <f t="array" ref="J244">IF($D244&lt;COLUMNS($F$7:J$7),"",INDEX(TableDiv[[GASB]:[GASB]],_xlfn.AGGREGATE(15,3,(TableDiv[[Agency]:[Agency]]=$E244)/(TableDiv[[Agency]:[Agency]]=$E244)*(ROW(TableDiv[Agency])-ROW(TableDiv[[#Headers],[Agency]])),COLUMNS($F$7:J$7))))</f>
        <v>0</v>
      </c>
      <c r="K244" s="2223" cm="1">
        <f t="array" ref="K244">IF($D244&lt;COLUMNS($F$7:K$7),"",INDEX(TableDiv[[GASB]:[GASB]],_xlfn.AGGREGATE(15,3,(TableDiv[[Agency]:[Agency]]=$E244)/(TableDiv[[Agency]:[Agency]]=$E244)*(ROW(TableDiv[Agency])-ROW(TableDiv[[#Headers],[Agency]])),COLUMNS($F$7:K$7))))</f>
        <v>0</v>
      </c>
      <c r="L244" s="2223" cm="1">
        <f t="array" ref="L244">IF($D244&lt;COLUMNS($F$7:L$7),"",INDEX(TableDiv[[GASB]:[GASB]],_xlfn.AGGREGATE(15,3,(TableDiv[[Agency]:[Agency]]=$E244)/(TableDiv[[Agency]:[Agency]]=$E244)*(ROW(TableDiv[Agency])-ROW(TableDiv[[#Headers],[Agency]])),COLUMNS($F$7:L$7))))</f>
        <v>0</v>
      </c>
      <c r="M244" s="2223" cm="1">
        <f t="array" ref="M244">IF($D244&lt;COLUMNS($F$7:M$7),"",INDEX(TableDiv[[GASB]:[GASB]],_xlfn.AGGREGATE(15,3,(TableDiv[[Agency]:[Agency]]=$E244)/(TableDiv[[Agency]:[Agency]]=$E244)*(ROW(TableDiv[Agency])-ROW(TableDiv[[#Headers],[Agency]])),COLUMNS($F$7:M$7))))</f>
        <v>0</v>
      </c>
      <c r="N244" s="2223" cm="1">
        <f t="array" ref="N244">IF($D244&lt;COLUMNS($F$7:N$7),"",INDEX(TableDiv[[GASB]:[GASB]],_xlfn.AGGREGATE(15,3,(TableDiv[[Agency]:[Agency]]=$E244)/(TableDiv[[Agency]:[Agency]]=$E244)*(ROW(TableDiv[Agency])-ROW(TableDiv[[#Headers],[Agency]])),COLUMNS($F$7:N$7))))</f>
        <v>0</v>
      </c>
      <c r="O244" s="2223" cm="1">
        <f t="array" ref="O244">IF($D244&lt;COLUMNS($F$7:O$7),"",INDEX(TableDiv[[GASB]:[GASB]],_xlfn.AGGREGATE(15,3,(TableDiv[[Agency]:[Agency]]=$E244)/(TableDiv[[Agency]:[Agency]]=$E244)*(ROW(TableDiv[Agency])-ROW(TableDiv[[#Headers],[Agency]])),COLUMNS($F$7:O$7))))</f>
        <v>0</v>
      </c>
      <c r="P244" s="2223" cm="1">
        <f t="array" ref="P244">IF($D244&lt;COLUMNS($F$7:P$7),"",INDEX(TableDiv[[GASB]:[GASB]],_xlfn.AGGREGATE(15,3,(TableDiv[[Agency]:[Agency]]=$E244)/(TableDiv[[Agency]:[Agency]]=$E244)*(ROW(TableDiv[Agency])-ROW(TableDiv[[#Headers],[Agency]])),COLUMNS($F$7:P$7))))</f>
        <v>0</v>
      </c>
      <c r="Q244" s="2223" cm="1">
        <f t="array" ref="Q244">IF($D244&lt;COLUMNS($F$7:Q$7),"",INDEX(TableDiv[[GASB]:[GASB]],_xlfn.AGGREGATE(15,3,(TableDiv[[Agency]:[Agency]]=$E244)/(TableDiv[[Agency]:[Agency]]=$E244)*(ROW(TableDiv[Agency])-ROW(TableDiv[[#Headers],[Agency]])),COLUMNS($F$7:Q$7))))</f>
        <v>0</v>
      </c>
      <c r="R244" s="2223" cm="1">
        <f t="array" ref="R244">IF($D244&lt;COLUMNS($F$7:R$7),"",INDEX(TableDiv[[GASB]:[GASB]],_xlfn.AGGREGATE(15,3,(TableDiv[[Agency]:[Agency]]=$E244)/(TableDiv[[Agency]:[Agency]]=$E244)*(ROW(TableDiv[Agency])-ROW(TableDiv[[#Headers],[Agency]])),COLUMNS($F$7:R$7))))</f>
        <v>0</v>
      </c>
      <c r="S244" s="2223" cm="1">
        <f t="array" ref="S244">IF($D244&lt;COLUMNS($F$7:S$7),"",INDEX(TableDiv[[GASB]:[GASB]],_xlfn.AGGREGATE(15,3,(TableDiv[[Agency]:[Agency]]=$E244)/(TableDiv[[Agency]:[Agency]]=$E244)*(ROW(TableDiv[Agency])-ROW(TableDiv[[#Headers],[Agency]])),COLUMNS($F$7:S$7))))</f>
        <v>0</v>
      </c>
      <c r="T244" s="2223" cm="1">
        <f t="array" ref="T244">IF($D244&lt;COLUMNS($F$7:T$7),"",INDEX(TableDiv[[GASB]:[GASB]],_xlfn.AGGREGATE(15,3,(TableDiv[[Agency]:[Agency]]=$E244)/(TableDiv[[Agency]:[Agency]]=$E244)*(ROW(TableDiv[Agency])-ROW(TableDiv[[#Headers],[Agency]])),COLUMNS($F$7:T$7))))</f>
        <v>0</v>
      </c>
      <c r="U244" s="2223" cm="1">
        <f t="array" ref="U244">IF($D244&lt;COLUMNS($F$7:U$7),"",INDEX(TableDiv[[GASB]:[GASB]],_xlfn.AGGREGATE(15,3,(TableDiv[[Agency]:[Agency]]=$E244)/(TableDiv[[Agency]:[Agency]]=$E244)*(ROW(TableDiv[Agency])-ROW(TableDiv[[#Headers],[Agency]])),COLUMNS($F$7:U$7))))</f>
        <v>0</v>
      </c>
      <c r="V244" s="2223" cm="1">
        <f t="array" ref="V244">IF($D244&lt;COLUMNS($F$7:V$7),"",INDEX(TableDiv[[GASB]:[GASB]],_xlfn.AGGREGATE(15,3,(TableDiv[[Agency]:[Agency]]=$E244)/(TableDiv[[Agency]:[Agency]]=$E244)*(ROW(TableDiv[Agency])-ROW(TableDiv[[#Headers],[Agency]])),COLUMNS($F$7:V$7))))</f>
        <v>0</v>
      </c>
      <c r="W244" s="2223" cm="1">
        <f t="array" ref="W244">IF($D244&lt;COLUMNS($F$7:W$7),"",INDEX(TableDiv[[GASB]:[GASB]],_xlfn.AGGREGATE(15,3,(TableDiv[[Agency]:[Agency]]=$E244)/(TableDiv[[Agency]:[Agency]]=$E244)*(ROW(TableDiv[Agency])-ROW(TableDiv[[#Headers],[Agency]])),COLUMNS($F$7:W$7))))</f>
        <v>0</v>
      </c>
      <c r="X244" s="2223" cm="1">
        <f t="array" ref="X244">IF($D244&lt;COLUMNS($F$7:X$7),"",INDEX(TableDiv[[GASB]:[GASB]],_xlfn.AGGREGATE(15,3,(TableDiv[[Agency]:[Agency]]=$E244)/(TableDiv[[Agency]:[Agency]]=$E244)*(ROW(TableDiv[Agency])-ROW(TableDiv[[#Headers],[Agency]])),COLUMNS($F$7:X$7))))</f>
        <v>0</v>
      </c>
      <c r="Y244" s="2223" cm="1">
        <f t="array" ref="Y244">IF($D244&lt;COLUMNS($F$7:Y$7),"",INDEX(TableDiv[[GASB]:[GASB]],_xlfn.AGGREGATE(15,3,(TableDiv[[Agency]:[Agency]]=$E244)/(TableDiv[[Agency]:[Agency]]=$E244)*(ROW(TableDiv[Agency])-ROW(TableDiv[[#Headers],[Agency]])),COLUMNS($F$7:Y$7))))</f>
        <v>0</v>
      </c>
      <c r="Z244" s="2223" cm="1">
        <f t="array" ref="Z244">IF($D244&lt;COLUMNS($F$7:Z$7),"",INDEX(TableDiv[[GASB]:[GASB]],_xlfn.AGGREGATE(15,3,(TableDiv[[Agency]:[Agency]]=$E244)/(TableDiv[[Agency]:[Agency]]=$E244)*(ROW(TableDiv[Agency])-ROW(TableDiv[[#Headers],[Agency]])),COLUMNS($F$7:Z$7))))</f>
        <v>0</v>
      </c>
      <c r="AA244" s="2223" cm="1">
        <f t="array" ref="AA244">IF($D244&lt;COLUMNS($F$7:AA$7),"",INDEX(TableDiv[[GASB]:[GASB]],_xlfn.AGGREGATE(15,3,(TableDiv[[Agency]:[Agency]]=$E244)/(TableDiv[[Agency]:[Agency]]=$E244)*(ROW(TableDiv[Agency])-ROW(TableDiv[[#Headers],[Agency]])),COLUMNS($F$7:AA$7))))</f>
        <v>0</v>
      </c>
      <c r="AB244" s="2223" cm="1">
        <f t="array" ref="AB244">IF($D244&lt;COLUMNS($F$7:AB$7),"",INDEX(TableDiv[[GASB]:[GASB]],_xlfn.AGGREGATE(15,3,(TableDiv[[Agency]:[Agency]]=$E244)/(TableDiv[[Agency]:[Agency]]=$E244)*(ROW(TableDiv[Agency])-ROW(TableDiv[[#Headers],[Agency]])),COLUMNS($F$7:AB$7))))</f>
        <v>0</v>
      </c>
      <c r="AC244" s="2223" cm="1">
        <f t="array" ref="AC244">IF($D244&lt;COLUMNS($F$7:AC$7),"",INDEX(TableDiv[[GASB]:[GASB]],_xlfn.AGGREGATE(15,3,(TableDiv[[Agency]:[Agency]]=$E244)/(TableDiv[[Agency]:[Agency]]=$E244)*(ROW(TableDiv[Agency])-ROW(TableDiv[[#Headers],[Agency]])),COLUMNS($F$7:AC$7))))</f>
        <v>0</v>
      </c>
      <c r="AD244" s="2223" cm="1">
        <f t="array" ref="AD244">IF($D244&lt;COLUMNS($F$7:AD$7),"",INDEX(TableDiv[[GASB]:[GASB]],_xlfn.AGGREGATE(15,3,(TableDiv[[Agency]:[Agency]]=$E244)/(TableDiv[[Agency]:[Agency]]=$E244)*(ROW(TableDiv[Agency])-ROW(TableDiv[[#Headers],[Agency]])),COLUMNS($F$7:AD$7))))</f>
        <v>0</v>
      </c>
      <c r="AE244" s="2223" cm="1">
        <f t="array" ref="AE244">IF($D244&lt;COLUMNS($F$7:AE$7),"",INDEX(TableDiv[[GASB]:[GASB]],_xlfn.AGGREGATE(15,3,(TableDiv[[Agency]:[Agency]]=$E244)/(TableDiv[[Agency]:[Agency]]=$E244)*(ROW(TableDiv[Agency])-ROW(TableDiv[[#Headers],[Agency]])),COLUMNS($F$7:AE$7))))</f>
        <v>0</v>
      </c>
      <c r="AF244" s="2223" cm="1">
        <f t="array" ref="AF244">IF($D244&lt;COLUMNS($F$7:AF$7),"",INDEX(TableDiv[[GASB]:[GASB]],_xlfn.AGGREGATE(15,3,(TableDiv[[Agency]:[Agency]]=$E244)/(TableDiv[[Agency]:[Agency]]=$E244)*(ROW(TableDiv[Agency])-ROW(TableDiv[[#Headers],[Agency]])),COLUMNS($F$7:AF$7))))</f>
        <v>0</v>
      </c>
      <c r="AG244" s="2223" cm="1">
        <f t="array" ref="AG244">IF($D244&lt;COLUMNS($F$7:AG$7),"",INDEX(TableDiv[[GASB]:[GASB]],_xlfn.AGGREGATE(15,3,(TableDiv[[Agency]:[Agency]]=$E244)/(TableDiv[[Agency]:[Agency]]=$E244)*(ROW(TableDiv[Agency])-ROW(TableDiv[[#Headers],[Agency]])),COLUMNS($F$7:AG$7))))</f>
        <v>0</v>
      </c>
      <c r="AH244" s="2223" cm="1">
        <f t="array" ref="AH244">IF($D244&lt;COLUMNS($F$7:AH$7),"",INDEX(TableDiv[[GASB]:[GASB]],_xlfn.AGGREGATE(15,3,(TableDiv[[Agency]:[Agency]]=$E244)/(TableDiv[[Agency]:[Agency]]=$E244)*(ROW(TableDiv[Agency])-ROW(TableDiv[[#Headers],[Agency]])),COLUMNS($F$7:AH$7))))</f>
        <v>0</v>
      </c>
      <c r="AI244" s="2223" cm="1">
        <f t="array" ref="AI244">IF($D244&lt;COLUMNS($F$7:AI$7),"",INDEX(TableDiv[[GASB]:[GASB]],_xlfn.AGGREGATE(15,3,(TableDiv[[Agency]:[Agency]]=$E244)/(TableDiv[[Agency]:[Agency]]=$E244)*(ROW(TableDiv[Agency])-ROW(TableDiv[[#Headers],[Agency]])),COLUMNS($F$7:AI$7))))</f>
        <v>0</v>
      </c>
      <c r="AJ244" s="2223" cm="1">
        <f t="array" ref="AJ244">IF($D244&lt;COLUMNS($F$7:AJ$7),"",INDEX(TableDiv[[GASB]:[GASB]],_xlfn.AGGREGATE(15,3,(TableDiv[[Agency]:[Agency]]=$E244)/(TableDiv[[Agency]:[Agency]]=$E244)*(ROW(TableDiv[Agency])-ROW(TableDiv[[#Headers],[Agency]])),COLUMNS($F$7:AJ$7))))</f>
        <v>0</v>
      </c>
      <c r="AK244" s="2223" t="str" cm="1">
        <f t="array" ref="AK244">IF($D244&lt;COLUMNS($F$7:AK$7),"",INDEX(TableDiv[[GASB]:[GASB]],_xlfn.AGGREGATE(15,3,(TableDiv[[Agency]:[Agency]]=$E244)/(TableDiv[[Agency]:[Agency]]=$E244)*(ROW(TableDiv[Agency])-ROW(TableDiv[[#Headers],[Agency]])),COLUMNS($F$7:AK$7))))</f>
        <v/>
      </c>
      <c r="AL244" s="2223" t="str" cm="1">
        <f t="array" ref="AL244">IF($D244&lt;COLUMNS($F$7:AL$7),"",INDEX(TableDiv[[GASB]:[GASB]],_xlfn.AGGREGATE(15,3,(TableDiv[[Agency]:[Agency]]=$E244)/(TableDiv[[Agency]:[Agency]]=$E244)*(ROW(TableDiv[Agency])-ROW(TableDiv[[#Headers],[Agency]])),COLUMNS($F$7:AL$7))))</f>
        <v/>
      </c>
      <c r="AM244" s="2223" t="str" cm="1">
        <f t="array" ref="AM244">IF($D244&lt;COLUMNS($F$7:AM$7),"",INDEX(TableDiv[[GASB]:[GASB]],_xlfn.AGGREGATE(15,3,(TableDiv[[Agency]:[Agency]]=$E244)/(TableDiv[[Agency]:[Agency]]=$E244)*(ROW(TableDiv[Agency])-ROW(TableDiv[[#Headers],[Agency]])),COLUMNS($F$7:AM$7))))</f>
        <v/>
      </c>
      <c r="AN244" s="2223"/>
      <c r="AO244" s="2223"/>
      <c r="AP244" s="2223"/>
      <c r="AQ244" s="2223"/>
      <c r="AR244" s="2223"/>
      <c r="AS244" s="2223"/>
    </row>
    <row r="245" spans="1:45" ht="15" x14ac:dyDescent="0.25">
      <c r="A245" s="2219" t="s">
        <v>6463</v>
      </c>
      <c r="B245" s="2219" t="s">
        <v>6393</v>
      </c>
      <c r="C245" s="2223"/>
      <c r="D245" s="2223">
        <f>COUNTIF(TableDiv[Agency],E245)</f>
        <v>31</v>
      </c>
      <c r="E245" s="2230" t="str" cm="1">
        <f t="array" ref="E245">IFERROR(INDEX(TableDiv[Agency],MATCH(0,INDEX(COUNTIF($E$7:E244,TableDiv[Agency]),),0)),"")</f>
        <v/>
      </c>
      <c r="F245" s="2223" cm="1">
        <f t="array" ref="F245">IF($D245&lt;COLUMNS($F$7:F$7),"",INDEX(TableDiv[[GASB]:[GASB]],_xlfn.AGGREGATE(15,3,(TableDiv[[Agency]:[Agency]]=$E245)/(TableDiv[[Agency]:[Agency]]=$E245)*(ROW(TableDiv[Agency])-ROW(TableDiv[[#Headers],[Agency]])),COLUMNS($F$7:F$7))))</f>
        <v>0</v>
      </c>
      <c r="G245" s="2223" cm="1">
        <f t="array" ref="G245">IF($D245&lt;COLUMNS($F$7:G$7),"",INDEX(TableDiv[[GASB]:[GASB]],_xlfn.AGGREGATE(15,3,(TableDiv[[Agency]:[Agency]]=$E245)/(TableDiv[[Agency]:[Agency]]=$E245)*(ROW(TableDiv[Agency])-ROW(TableDiv[[#Headers],[Agency]])),COLUMNS($F$7:G$7))))</f>
        <v>0</v>
      </c>
      <c r="H245" s="2223" cm="1">
        <f t="array" ref="H245">IF($D245&lt;COLUMNS($F$7:H$7),"",INDEX(TableDiv[[GASB]:[GASB]],_xlfn.AGGREGATE(15,3,(TableDiv[[Agency]:[Agency]]=$E245)/(TableDiv[[Agency]:[Agency]]=$E245)*(ROW(TableDiv[Agency])-ROW(TableDiv[[#Headers],[Agency]])),COLUMNS($F$7:H$7))))</f>
        <v>0</v>
      </c>
      <c r="I245" s="2223" cm="1">
        <f t="array" ref="I245">IF($D245&lt;COLUMNS($F$7:I$7),"",INDEX(TableDiv[[GASB]:[GASB]],_xlfn.AGGREGATE(15,3,(TableDiv[[Agency]:[Agency]]=$E245)/(TableDiv[[Agency]:[Agency]]=$E245)*(ROW(TableDiv[Agency])-ROW(TableDiv[[#Headers],[Agency]])),COLUMNS($F$7:I$7))))</f>
        <v>0</v>
      </c>
      <c r="J245" s="2223" cm="1">
        <f t="array" ref="J245">IF($D245&lt;COLUMNS($F$7:J$7),"",INDEX(TableDiv[[GASB]:[GASB]],_xlfn.AGGREGATE(15,3,(TableDiv[[Agency]:[Agency]]=$E245)/(TableDiv[[Agency]:[Agency]]=$E245)*(ROW(TableDiv[Agency])-ROW(TableDiv[[#Headers],[Agency]])),COLUMNS($F$7:J$7))))</f>
        <v>0</v>
      </c>
      <c r="K245" s="2223" cm="1">
        <f t="array" ref="K245">IF($D245&lt;COLUMNS($F$7:K$7),"",INDEX(TableDiv[[GASB]:[GASB]],_xlfn.AGGREGATE(15,3,(TableDiv[[Agency]:[Agency]]=$E245)/(TableDiv[[Agency]:[Agency]]=$E245)*(ROW(TableDiv[Agency])-ROW(TableDiv[[#Headers],[Agency]])),COLUMNS($F$7:K$7))))</f>
        <v>0</v>
      </c>
      <c r="L245" s="2223" cm="1">
        <f t="array" ref="L245">IF($D245&lt;COLUMNS($F$7:L$7),"",INDEX(TableDiv[[GASB]:[GASB]],_xlfn.AGGREGATE(15,3,(TableDiv[[Agency]:[Agency]]=$E245)/(TableDiv[[Agency]:[Agency]]=$E245)*(ROW(TableDiv[Agency])-ROW(TableDiv[[#Headers],[Agency]])),COLUMNS($F$7:L$7))))</f>
        <v>0</v>
      </c>
      <c r="M245" s="2223" cm="1">
        <f t="array" ref="M245">IF($D245&lt;COLUMNS($F$7:M$7),"",INDEX(TableDiv[[GASB]:[GASB]],_xlfn.AGGREGATE(15,3,(TableDiv[[Agency]:[Agency]]=$E245)/(TableDiv[[Agency]:[Agency]]=$E245)*(ROW(TableDiv[Agency])-ROW(TableDiv[[#Headers],[Agency]])),COLUMNS($F$7:M$7))))</f>
        <v>0</v>
      </c>
      <c r="N245" s="2223" cm="1">
        <f t="array" ref="N245">IF($D245&lt;COLUMNS($F$7:N$7),"",INDEX(TableDiv[[GASB]:[GASB]],_xlfn.AGGREGATE(15,3,(TableDiv[[Agency]:[Agency]]=$E245)/(TableDiv[[Agency]:[Agency]]=$E245)*(ROW(TableDiv[Agency])-ROW(TableDiv[[#Headers],[Agency]])),COLUMNS($F$7:N$7))))</f>
        <v>0</v>
      </c>
      <c r="O245" s="2223" cm="1">
        <f t="array" ref="O245">IF($D245&lt;COLUMNS($F$7:O$7),"",INDEX(TableDiv[[GASB]:[GASB]],_xlfn.AGGREGATE(15,3,(TableDiv[[Agency]:[Agency]]=$E245)/(TableDiv[[Agency]:[Agency]]=$E245)*(ROW(TableDiv[Agency])-ROW(TableDiv[[#Headers],[Agency]])),COLUMNS($F$7:O$7))))</f>
        <v>0</v>
      </c>
      <c r="P245" s="2223" cm="1">
        <f t="array" ref="P245">IF($D245&lt;COLUMNS($F$7:P$7),"",INDEX(TableDiv[[GASB]:[GASB]],_xlfn.AGGREGATE(15,3,(TableDiv[[Agency]:[Agency]]=$E245)/(TableDiv[[Agency]:[Agency]]=$E245)*(ROW(TableDiv[Agency])-ROW(TableDiv[[#Headers],[Agency]])),COLUMNS($F$7:P$7))))</f>
        <v>0</v>
      </c>
      <c r="Q245" s="2223" cm="1">
        <f t="array" ref="Q245">IF($D245&lt;COLUMNS($F$7:Q$7),"",INDEX(TableDiv[[GASB]:[GASB]],_xlfn.AGGREGATE(15,3,(TableDiv[[Agency]:[Agency]]=$E245)/(TableDiv[[Agency]:[Agency]]=$E245)*(ROW(TableDiv[Agency])-ROW(TableDiv[[#Headers],[Agency]])),COLUMNS($F$7:Q$7))))</f>
        <v>0</v>
      </c>
      <c r="R245" s="2223" cm="1">
        <f t="array" ref="R245">IF($D245&lt;COLUMNS($F$7:R$7),"",INDEX(TableDiv[[GASB]:[GASB]],_xlfn.AGGREGATE(15,3,(TableDiv[[Agency]:[Agency]]=$E245)/(TableDiv[[Agency]:[Agency]]=$E245)*(ROW(TableDiv[Agency])-ROW(TableDiv[[#Headers],[Agency]])),COLUMNS($F$7:R$7))))</f>
        <v>0</v>
      </c>
      <c r="S245" s="2223" cm="1">
        <f t="array" ref="S245">IF($D245&lt;COLUMNS($F$7:S$7),"",INDEX(TableDiv[[GASB]:[GASB]],_xlfn.AGGREGATE(15,3,(TableDiv[[Agency]:[Agency]]=$E245)/(TableDiv[[Agency]:[Agency]]=$E245)*(ROW(TableDiv[Agency])-ROW(TableDiv[[#Headers],[Agency]])),COLUMNS($F$7:S$7))))</f>
        <v>0</v>
      </c>
      <c r="T245" s="2223" cm="1">
        <f t="array" ref="T245">IF($D245&lt;COLUMNS($F$7:T$7),"",INDEX(TableDiv[[GASB]:[GASB]],_xlfn.AGGREGATE(15,3,(TableDiv[[Agency]:[Agency]]=$E245)/(TableDiv[[Agency]:[Agency]]=$E245)*(ROW(TableDiv[Agency])-ROW(TableDiv[[#Headers],[Agency]])),COLUMNS($F$7:T$7))))</f>
        <v>0</v>
      </c>
      <c r="U245" s="2223" cm="1">
        <f t="array" ref="U245">IF($D245&lt;COLUMNS($F$7:U$7),"",INDEX(TableDiv[[GASB]:[GASB]],_xlfn.AGGREGATE(15,3,(TableDiv[[Agency]:[Agency]]=$E245)/(TableDiv[[Agency]:[Agency]]=$E245)*(ROW(TableDiv[Agency])-ROW(TableDiv[[#Headers],[Agency]])),COLUMNS($F$7:U$7))))</f>
        <v>0</v>
      </c>
      <c r="V245" s="2223" cm="1">
        <f t="array" ref="V245">IF($D245&lt;COLUMNS($F$7:V$7),"",INDEX(TableDiv[[GASB]:[GASB]],_xlfn.AGGREGATE(15,3,(TableDiv[[Agency]:[Agency]]=$E245)/(TableDiv[[Agency]:[Agency]]=$E245)*(ROW(TableDiv[Agency])-ROW(TableDiv[[#Headers],[Agency]])),COLUMNS($F$7:V$7))))</f>
        <v>0</v>
      </c>
      <c r="W245" s="2223" cm="1">
        <f t="array" ref="W245">IF($D245&lt;COLUMNS($F$7:W$7),"",INDEX(TableDiv[[GASB]:[GASB]],_xlfn.AGGREGATE(15,3,(TableDiv[[Agency]:[Agency]]=$E245)/(TableDiv[[Agency]:[Agency]]=$E245)*(ROW(TableDiv[Agency])-ROW(TableDiv[[#Headers],[Agency]])),COLUMNS($F$7:W$7))))</f>
        <v>0</v>
      </c>
      <c r="X245" s="2223" cm="1">
        <f t="array" ref="X245">IF($D245&lt;COLUMNS($F$7:X$7),"",INDEX(TableDiv[[GASB]:[GASB]],_xlfn.AGGREGATE(15,3,(TableDiv[[Agency]:[Agency]]=$E245)/(TableDiv[[Agency]:[Agency]]=$E245)*(ROW(TableDiv[Agency])-ROW(TableDiv[[#Headers],[Agency]])),COLUMNS($F$7:X$7))))</f>
        <v>0</v>
      </c>
      <c r="Y245" s="2223" cm="1">
        <f t="array" ref="Y245">IF($D245&lt;COLUMNS($F$7:Y$7),"",INDEX(TableDiv[[GASB]:[GASB]],_xlfn.AGGREGATE(15,3,(TableDiv[[Agency]:[Agency]]=$E245)/(TableDiv[[Agency]:[Agency]]=$E245)*(ROW(TableDiv[Agency])-ROW(TableDiv[[#Headers],[Agency]])),COLUMNS($F$7:Y$7))))</f>
        <v>0</v>
      </c>
      <c r="Z245" s="2223" cm="1">
        <f t="array" ref="Z245">IF($D245&lt;COLUMNS($F$7:Z$7),"",INDEX(TableDiv[[GASB]:[GASB]],_xlfn.AGGREGATE(15,3,(TableDiv[[Agency]:[Agency]]=$E245)/(TableDiv[[Agency]:[Agency]]=$E245)*(ROW(TableDiv[Agency])-ROW(TableDiv[[#Headers],[Agency]])),COLUMNS($F$7:Z$7))))</f>
        <v>0</v>
      </c>
      <c r="AA245" s="2223" cm="1">
        <f t="array" ref="AA245">IF($D245&lt;COLUMNS($F$7:AA$7),"",INDEX(TableDiv[[GASB]:[GASB]],_xlfn.AGGREGATE(15,3,(TableDiv[[Agency]:[Agency]]=$E245)/(TableDiv[[Agency]:[Agency]]=$E245)*(ROW(TableDiv[Agency])-ROW(TableDiv[[#Headers],[Agency]])),COLUMNS($F$7:AA$7))))</f>
        <v>0</v>
      </c>
      <c r="AB245" s="2223" cm="1">
        <f t="array" ref="AB245">IF($D245&lt;COLUMNS($F$7:AB$7),"",INDEX(TableDiv[[GASB]:[GASB]],_xlfn.AGGREGATE(15,3,(TableDiv[[Agency]:[Agency]]=$E245)/(TableDiv[[Agency]:[Agency]]=$E245)*(ROW(TableDiv[Agency])-ROW(TableDiv[[#Headers],[Agency]])),COLUMNS($F$7:AB$7))))</f>
        <v>0</v>
      </c>
      <c r="AC245" s="2223" cm="1">
        <f t="array" ref="AC245">IF($D245&lt;COLUMNS($F$7:AC$7),"",INDEX(TableDiv[[GASB]:[GASB]],_xlfn.AGGREGATE(15,3,(TableDiv[[Agency]:[Agency]]=$E245)/(TableDiv[[Agency]:[Agency]]=$E245)*(ROW(TableDiv[Agency])-ROW(TableDiv[[#Headers],[Agency]])),COLUMNS($F$7:AC$7))))</f>
        <v>0</v>
      </c>
      <c r="AD245" s="2223" cm="1">
        <f t="array" ref="AD245">IF($D245&lt;COLUMNS($F$7:AD$7),"",INDEX(TableDiv[[GASB]:[GASB]],_xlfn.AGGREGATE(15,3,(TableDiv[[Agency]:[Agency]]=$E245)/(TableDiv[[Agency]:[Agency]]=$E245)*(ROW(TableDiv[Agency])-ROW(TableDiv[[#Headers],[Agency]])),COLUMNS($F$7:AD$7))))</f>
        <v>0</v>
      </c>
      <c r="AE245" s="2223" cm="1">
        <f t="array" ref="AE245">IF($D245&lt;COLUMNS($F$7:AE$7),"",INDEX(TableDiv[[GASB]:[GASB]],_xlfn.AGGREGATE(15,3,(TableDiv[[Agency]:[Agency]]=$E245)/(TableDiv[[Agency]:[Agency]]=$E245)*(ROW(TableDiv[Agency])-ROW(TableDiv[[#Headers],[Agency]])),COLUMNS($F$7:AE$7))))</f>
        <v>0</v>
      </c>
      <c r="AF245" s="2223" cm="1">
        <f t="array" ref="AF245">IF($D245&lt;COLUMNS($F$7:AF$7),"",INDEX(TableDiv[[GASB]:[GASB]],_xlfn.AGGREGATE(15,3,(TableDiv[[Agency]:[Agency]]=$E245)/(TableDiv[[Agency]:[Agency]]=$E245)*(ROW(TableDiv[Agency])-ROW(TableDiv[[#Headers],[Agency]])),COLUMNS($F$7:AF$7))))</f>
        <v>0</v>
      </c>
      <c r="AG245" s="2223" cm="1">
        <f t="array" ref="AG245">IF($D245&lt;COLUMNS($F$7:AG$7),"",INDEX(TableDiv[[GASB]:[GASB]],_xlfn.AGGREGATE(15,3,(TableDiv[[Agency]:[Agency]]=$E245)/(TableDiv[[Agency]:[Agency]]=$E245)*(ROW(TableDiv[Agency])-ROW(TableDiv[[#Headers],[Agency]])),COLUMNS($F$7:AG$7))))</f>
        <v>0</v>
      </c>
      <c r="AH245" s="2223" cm="1">
        <f t="array" ref="AH245">IF($D245&lt;COLUMNS($F$7:AH$7),"",INDEX(TableDiv[[GASB]:[GASB]],_xlfn.AGGREGATE(15,3,(TableDiv[[Agency]:[Agency]]=$E245)/(TableDiv[[Agency]:[Agency]]=$E245)*(ROW(TableDiv[Agency])-ROW(TableDiv[[#Headers],[Agency]])),COLUMNS($F$7:AH$7))))</f>
        <v>0</v>
      </c>
      <c r="AI245" s="2223" cm="1">
        <f t="array" ref="AI245">IF($D245&lt;COLUMNS($F$7:AI$7),"",INDEX(TableDiv[[GASB]:[GASB]],_xlfn.AGGREGATE(15,3,(TableDiv[[Agency]:[Agency]]=$E245)/(TableDiv[[Agency]:[Agency]]=$E245)*(ROW(TableDiv[Agency])-ROW(TableDiv[[#Headers],[Agency]])),COLUMNS($F$7:AI$7))))</f>
        <v>0</v>
      </c>
      <c r="AJ245" s="2223" cm="1">
        <f t="array" ref="AJ245">IF($D245&lt;COLUMNS($F$7:AJ$7),"",INDEX(TableDiv[[GASB]:[GASB]],_xlfn.AGGREGATE(15,3,(TableDiv[[Agency]:[Agency]]=$E245)/(TableDiv[[Agency]:[Agency]]=$E245)*(ROW(TableDiv[Agency])-ROW(TableDiv[[#Headers],[Agency]])),COLUMNS($F$7:AJ$7))))</f>
        <v>0</v>
      </c>
      <c r="AK245" s="2223" t="str" cm="1">
        <f t="array" ref="AK245">IF($D245&lt;COLUMNS($F$7:AK$7),"",INDEX(TableDiv[[GASB]:[GASB]],_xlfn.AGGREGATE(15,3,(TableDiv[[Agency]:[Agency]]=$E245)/(TableDiv[[Agency]:[Agency]]=$E245)*(ROW(TableDiv[Agency])-ROW(TableDiv[[#Headers],[Agency]])),COLUMNS($F$7:AK$7))))</f>
        <v/>
      </c>
      <c r="AL245" s="2223" t="str" cm="1">
        <f t="array" ref="AL245">IF($D245&lt;COLUMNS($F$7:AL$7),"",INDEX(TableDiv[[GASB]:[GASB]],_xlfn.AGGREGATE(15,3,(TableDiv[[Agency]:[Agency]]=$E245)/(TableDiv[[Agency]:[Agency]]=$E245)*(ROW(TableDiv[Agency])-ROW(TableDiv[[#Headers],[Agency]])),COLUMNS($F$7:AL$7))))</f>
        <v/>
      </c>
      <c r="AM245" s="2223" t="str" cm="1">
        <f t="array" ref="AM245">IF($D245&lt;COLUMNS($F$7:AM$7),"",INDEX(TableDiv[[GASB]:[GASB]],_xlfn.AGGREGATE(15,3,(TableDiv[[Agency]:[Agency]]=$E245)/(TableDiv[[Agency]:[Agency]]=$E245)*(ROW(TableDiv[Agency])-ROW(TableDiv[[#Headers],[Agency]])),COLUMNS($F$7:AM$7))))</f>
        <v/>
      </c>
      <c r="AN245" s="2223"/>
      <c r="AO245" s="2223"/>
      <c r="AP245" s="2223"/>
      <c r="AQ245" s="2223"/>
      <c r="AR245" s="2223"/>
      <c r="AS245" s="2223"/>
    </row>
    <row r="246" spans="1:45" ht="15" x14ac:dyDescent="0.25">
      <c r="A246" s="2219" t="s">
        <v>6464</v>
      </c>
      <c r="B246" s="2219" t="s">
        <v>6358</v>
      </c>
      <c r="C246" s="2223"/>
      <c r="D246" s="2223">
        <f>COUNTIF(TableDiv[Agency],E246)</f>
        <v>31</v>
      </c>
      <c r="E246" s="2230" t="str" cm="1">
        <f t="array" ref="E246">IFERROR(INDEX(TableDiv[Agency],MATCH(0,INDEX(COUNTIF($E$7:E245,TableDiv[Agency]),),0)),"")</f>
        <v/>
      </c>
      <c r="F246" s="2223" cm="1">
        <f t="array" ref="F246">IF($D246&lt;COLUMNS($F$7:F$7),"",INDEX(TableDiv[[GASB]:[GASB]],_xlfn.AGGREGATE(15,3,(TableDiv[[Agency]:[Agency]]=$E246)/(TableDiv[[Agency]:[Agency]]=$E246)*(ROW(TableDiv[Agency])-ROW(TableDiv[[#Headers],[Agency]])),COLUMNS($F$7:F$7))))</f>
        <v>0</v>
      </c>
      <c r="G246" s="2223" cm="1">
        <f t="array" ref="G246">IF($D246&lt;COLUMNS($F$7:G$7),"",INDEX(TableDiv[[GASB]:[GASB]],_xlfn.AGGREGATE(15,3,(TableDiv[[Agency]:[Agency]]=$E246)/(TableDiv[[Agency]:[Agency]]=$E246)*(ROW(TableDiv[Agency])-ROW(TableDiv[[#Headers],[Agency]])),COLUMNS($F$7:G$7))))</f>
        <v>0</v>
      </c>
      <c r="H246" s="2223" cm="1">
        <f t="array" ref="H246">IF($D246&lt;COLUMNS($F$7:H$7),"",INDEX(TableDiv[[GASB]:[GASB]],_xlfn.AGGREGATE(15,3,(TableDiv[[Agency]:[Agency]]=$E246)/(TableDiv[[Agency]:[Agency]]=$E246)*(ROW(TableDiv[Agency])-ROW(TableDiv[[#Headers],[Agency]])),COLUMNS($F$7:H$7))))</f>
        <v>0</v>
      </c>
      <c r="I246" s="2223" cm="1">
        <f t="array" ref="I246">IF($D246&lt;COLUMNS($F$7:I$7),"",INDEX(TableDiv[[GASB]:[GASB]],_xlfn.AGGREGATE(15,3,(TableDiv[[Agency]:[Agency]]=$E246)/(TableDiv[[Agency]:[Agency]]=$E246)*(ROW(TableDiv[Agency])-ROW(TableDiv[[#Headers],[Agency]])),COLUMNS($F$7:I$7))))</f>
        <v>0</v>
      </c>
      <c r="J246" s="2223" cm="1">
        <f t="array" ref="J246">IF($D246&lt;COLUMNS($F$7:J$7),"",INDEX(TableDiv[[GASB]:[GASB]],_xlfn.AGGREGATE(15,3,(TableDiv[[Agency]:[Agency]]=$E246)/(TableDiv[[Agency]:[Agency]]=$E246)*(ROW(TableDiv[Agency])-ROW(TableDiv[[#Headers],[Agency]])),COLUMNS($F$7:J$7))))</f>
        <v>0</v>
      </c>
      <c r="K246" s="2223" cm="1">
        <f t="array" ref="K246">IF($D246&lt;COLUMNS($F$7:K$7),"",INDEX(TableDiv[[GASB]:[GASB]],_xlfn.AGGREGATE(15,3,(TableDiv[[Agency]:[Agency]]=$E246)/(TableDiv[[Agency]:[Agency]]=$E246)*(ROW(TableDiv[Agency])-ROW(TableDiv[[#Headers],[Agency]])),COLUMNS($F$7:K$7))))</f>
        <v>0</v>
      </c>
      <c r="L246" s="2223" cm="1">
        <f t="array" ref="L246">IF($D246&lt;COLUMNS($F$7:L$7),"",INDEX(TableDiv[[GASB]:[GASB]],_xlfn.AGGREGATE(15,3,(TableDiv[[Agency]:[Agency]]=$E246)/(TableDiv[[Agency]:[Agency]]=$E246)*(ROW(TableDiv[Agency])-ROW(TableDiv[[#Headers],[Agency]])),COLUMNS($F$7:L$7))))</f>
        <v>0</v>
      </c>
      <c r="M246" s="2223" cm="1">
        <f t="array" ref="M246">IF($D246&lt;COLUMNS($F$7:M$7),"",INDEX(TableDiv[[GASB]:[GASB]],_xlfn.AGGREGATE(15,3,(TableDiv[[Agency]:[Agency]]=$E246)/(TableDiv[[Agency]:[Agency]]=$E246)*(ROW(TableDiv[Agency])-ROW(TableDiv[[#Headers],[Agency]])),COLUMNS($F$7:M$7))))</f>
        <v>0</v>
      </c>
      <c r="N246" s="2223" cm="1">
        <f t="array" ref="N246">IF($D246&lt;COLUMNS($F$7:N$7),"",INDEX(TableDiv[[GASB]:[GASB]],_xlfn.AGGREGATE(15,3,(TableDiv[[Agency]:[Agency]]=$E246)/(TableDiv[[Agency]:[Agency]]=$E246)*(ROW(TableDiv[Agency])-ROW(TableDiv[[#Headers],[Agency]])),COLUMNS($F$7:N$7))))</f>
        <v>0</v>
      </c>
      <c r="O246" s="2223" cm="1">
        <f t="array" ref="O246">IF($D246&lt;COLUMNS($F$7:O$7),"",INDEX(TableDiv[[GASB]:[GASB]],_xlfn.AGGREGATE(15,3,(TableDiv[[Agency]:[Agency]]=$E246)/(TableDiv[[Agency]:[Agency]]=$E246)*(ROW(TableDiv[Agency])-ROW(TableDiv[[#Headers],[Agency]])),COLUMNS($F$7:O$7))))</f>
        <v>0</v>
      </c>
      <c r="P246" s="2223" cm="1">
        <f t="array" ref="P246">IF($D246&lt;COLUMNS($F$7:P$7),"",INDEX(TableDiv[[GASB]:[GASB]],_xlfn.AGGREGATE(15,3,(TableDiv[[Agency]:[Agency]]=$E246)/(TableDiv[[Agency]:[Agency]]=$E246)*(ROW(TableDiv[Agency])-ROW(TableDiv[[#Headers],[Agency]])),COLUMNS($F$7:P$7))))</f>
        <v>0</v>
      </c>
      <c r="Q246" s="2223" cm="1">
        <f t="array" ref="Q246">IF($D246&lt;COLUMNS($F$7:Q$7),"",INDEX(TableDiv[[GASB]:[GASB]],_xlfn.AGGREGATE(15,3,(TableDiv[[Agency]:[Agency]]=$E246)/(TableDiv[[Agency]:[Agency]]=$E246)*(ROW(TableDiv[Agency])-ROW(TableDiv[[#Headers],[Agency]])),COLUMNS($F$7:Q$7))))</f>
        <v>0</v>
      </c>
      <c r="R246" s="2223" cm="1">
        <f t="array" ref="R246">IF($D246&lt;COLUMNS($F$7:R$7),"",INDEX(TableDiv[[GASB]:[GASB]],_xlfn.AGGREGATE(15,3,(TableDiv[[Agency]:[Agency]]=$E246)/(TableDiv[[Agency]:[Agency]]=$E246)*(ROW(TableDiv[Agency])-ROW(TableDiv[[#Headers],[Agency]])),COLUMNS($F$7:R$7))))</f>
        <v>0</v>
      </c>
      <c r="S246" s="2223" cm="1">
        <f t="array" ref="S246">IF($D246&lt;COLUMNS($F$7:S$7),"",INDEX(TableDiv[[GASB]:[GASB]],_xlfn.AGGREGATE(15,3,(TableDiv[[Agency]:[Agency]]=$E246)/(TableDiv[[Agency]:[Agency]]=$E246)*(ROW(TableDiv[Agency])-ROW(TableDiv[[#Headers],[Agency]])),COLUMNS($F$7:S$7))))</f>
        <v>0</v>
      </c>
      <c r="T246" s="2223" cm="1">
        <f t="array" ref="T246">IF($D246&lt;COLUMNS($F$7:T$7),"",INDEX(TableDiv[[GASB]:[GASB]],_xlfn.AGGREGATE(15,3,(TableDiv[[Agency]:[Agency]]=$E246)/(TableDiv[[Agency]:[Agency]]=$E246)*(ROW(TableDiv[Agency])-ROW(TableDiv[[#Headers],[Agency]])),COLUMNS($F$7:T$7))))</f>
        <v>0</v>
      </c>
      <c r="U246" s="2223" cm="1">
        <f t="array" ref="U246">IF($D246&lt;COLUMNS($F$7:U$7),"",INDEX(TableDiv[[GASB]:[GASB]],_xlfn.AGGREGATE(15,3,(TableDiv[[Agency]:[Agency]]=$E246)/(TableDiv[[Agency]:[Agency]]=$E246)*(ROW(TableDiv[Agency])-ROW(TableDiv[[#Headers],[Agency]])),COLUMNS($F$7:U$7))))</f>
        <v>0</v>
      </c>
      <c r="V246" s="2223" cm="1">
        <f t="array" ref="V246">IF($D246&lt;COLUMNS($F$7:V$7),"",INDEX(TableDiv[[GASB]:[GASB]],_xlfn.AGGREGATE(15,3,(TableDiv[[Agency]:[Agency]]=$E246)/(TableDiv[[Agency]:[Agency]]=$E246)*(ROW(TableDiv[Agency])-ROW(TableDiv[[#Headers],[Agency]])),COLUMNS($F$7:V$7))))</f>
        <v>0</v>
      </c>
      <c r="W246" s="2223" cm="1">
        <f t="array" ref="W246">IF($D246&lt;COLUMNS($F$7:W$7),"",INDEX(TableDiv[[GASB]:[GASB]],_xlfn.AGGREGATE(15,3,(TableDiv[[Agency]:[Agency]]=$E246)/(TableDiv[[Agency]:[Agency]]=$E246)*(ROW(TableDiv[Agency])-ROW(TableDiv[[#Headers],[Agency]])),COLUMNS($F$7:W$7))))</f>
        <v>0</v>
      </c>
      <c r="X246" s="2223" cm="1">
        <f t="array" ref="X246">IF($D246&lt;COLUMNS($F$7:X$7),"",INDEX(TableDiv[[GASB]:[GASB]],_xlfn.AGGREGATE(15,3,(TableDiv[[Agency]:[Agency]]=$E246)/(TableDiv[[Agency]:[Agency]]=$E246)*(ROW(TableDiv[Agency])-ROW(TableDiv[[#Headers],[Agency]])),COLUMNS($F$7:X$7))))</f>
        <v>0</v>
      </c>
      <c r="Y246" s="2223" cm="1">
        <f t="array" ref="Y246">IF($D246&lt;COLUMNS($F$7:Y$7),"",INDEX(TableDiv[[GASB]:[GASB]],_xlfn.AGGREGATE(15,3,(TableDiv[[Agency]:[Agency]]=$E246)/(TableDiv[[Agency]:[Agency]]=$E246)*(ROW(TableDiv[Agency])-ROW(TableDiv[[#Headers],[Agency]])),COLUMNS($F$7:Y$7))))</f>
        <v>0</v>
      </c>
      <c r="Z246" s="2223" cm="1">
        <f t="array" ref="Z246">IF($D246&lt;COLUMNS($F$7:Z$7),"",INDEX(TableDiv[[GASB]:[GASB]],_xlfn.AGGREGATE(15,3,(TableDiv[[Agency]:[Agency]]=$E246)/(TableDiv[[Agency]:[Agency]]=$E246)*(ROW(TableDiv[Agency])-ROW(TableDiv[[#Headers],[Agency]])),COLUMNS($F$7:Z$7))))</f>
        <v>0</v>
      </c>
      <c r="AA246" s="2223" cm="1">
        <f t="array" ref="AA246">IF($D246&lt;COLUMNS($F$7:AA$7),"",INDEX(TableDiv[[GASB]:[GASB]],_xlfn.AGGREGATE(15,3,(TableDiv[[Agency]:[Agency]]=$E246)/(TableDiv[[Agency]:[Agency]]=$E246)*(ROW(TableDiv[Agency])-ROW(TableDiv[[#Headers],[Agency]])),COLUMNS($F$7:AA$7))))</f>
        <v>0</v>
      </c>
      <c r="AB246" s="2223" cm="1">
        <f t="array" ref="AB246">IF($D246&lt;COLUMNS($F$7:AB$7),"",INDEX(TableDiv[[GASB]:[GASB]],_xlfn.AGGREGATE(15,3,(TableDiv[[Agency]:[Agency]]=$E246)/(TableDiv[[Agency]:[Agency]]=$E246)*(ROW(TableDiv[Agency])-ROW(TableDiv[[#Headers],[Agency]])),COLUMNS($F$7:AB$7))))</f>
        <v>0</v>
      </c>
      <c r="AC246" s="2223" cm="1">
        <f t="array" ref="AC246">IF($D246&lt;COLUMNS($F$7:AC$7),"",INDEX(TableDiv[[GASB]:[GASB]],_xlfn.AGGREGATE(15,3,(TableDiv[[Agency]:[Agency]]=$E246)/(TableDiv[[Agency]:[Agency]]=$E246)*(ROW(TableDiv[Agency])-ROW(TableDiv[[#Headers],[Agency]])),COLUMNS($F$7:AC$7))))</f>
        <v>0</v>
      </c>
      <c r="AD246" s="2223" cm="1">
        <f t="array" ref="AD246">IF($D246&lt;COLUMNS($F$7:AD$7),"",INDEX(TableDiv[[GASB]:[GASB]],_xlfn.AGGREGATE(15,3,(TableDiv[[Agency]:[Agency]]=$E246)/(TableDiv[[Agency]:[Agency]]=$E246)*(ROW(TableDiv[Agency])-ROW(TableDiv[[#Headers],[Agency]])),COLUMNS($F$7:AD$7))))</f>
        <v>0</v>
      </c>
      <c r="AE246" s="2223" cm="1">
        <f t="array" ref="AE246">IF($D246&lt;COLUMNS($F$7:AE$7),"",INDEX(TableDiv[[GASB]:[GASB]],_xlfn.AGGREGATE(15,3,(TableDiv[[Agency]:[Agency]]=$E246)/(TableDiv[[Agency]:[Agency]]=$E246)*(ROW(TableDiv[Agency])-ROW(TableDiv[[#Headers],[Agency]])),COLUMNS($F$7:AE$7))))</f>
        <v>0</v>
      </c>
      <c r="AF246" s="2223" cm="1">
        <f t="array" ref="AF246">IF($D246&lt;COLUMNS($F$7:AF$7),"",INDEX(TableDiv[[GASB]:[GASB]],_xlfn.AGGREGATE(15,3,(TableDiv[[Agency]:[Agency]]=$E246)/(TableDiv[[Agency]:[Agency]]=$E246)*(ROW(TableDiv[Agency])-ROW(TableDiv[[#Headers],[Agency]])),COLUMNS($F$7:AF$7))))</f>
        <v>0</v>
      </c>
      <c r="AG246" s="2223" cm="1">
        <f t="array" ref="AG246">IF($D246&lt;COLUMNS($F$7:AG$7),"",INDEX(TableDiv[[GASB]:[GASB]],_xlfn.AGGREGATE(15,3,(TableDiv[[Agency]:[Agency]]=$E246)/(TableDiv[[Agency]:[Agency]]=$E246)*(ROW(TableDiv[Agency])-ROW(TableDiv[[#Headers],[Agency]])),COLUMNS($F$7:AG$7))))</f>
        <v>0</v>
      </c>
      <c r="AH246" s="2223" cm="1">
        <f t="array" ref="AH246">IF($D246&lt;COLUMNS($F$7:AH$7),"",INDEX(TableDiv[[GASB]:[GASB]],_xlfn.AGGREGATE(15,3,(TableDiv[[Agency]:[Agency]]=$E246)/(TableDiv[[Agency]:[Agency]]=$E246)*(ROW(TableDiv[Agency])-ROW(TableDiv[[#Headers],[Agency]])),COLUMNS($F$7:AH$7))))</f>
        <v>0</v>
      </c>
      <c r="AI246" s="2223" cm="1">
        <f t="array" ref="AI246">IF($D246&lt;COLUMNS($F$7:AI$7),"",INDEX(TableDiv[[GASB]:[GASB]],_xlfn.AGGREGATE(15,3,(TableDiv[[Agency]:[Agency]]=$E246)/(TableDiv[[Agency]:[Agency]]=$E246)*(ROW(TableDiv[Agency])-ROW(TableDiv[[#Headers],[Agency]])),COLUMNS($F$7:AI$7))))</f>
        <v>0</v>
      </c>
      <c r="AJ246" s="2223" cm="1">
        <f t="array" ref="AJ246">IF($D246&lt;COLUMNS($F$7:AJ$7),"",INDEX(TableDiv[[GASB]:[GASB]],_xlfn.AGGREGATE(15,3,(TableDiv[[Agency]:[Agency]]=$E246)/(TableDiv[[Agency]:[Agency]]=$E246)*(ROW(TableDiv[Agency])-ROW(TableDiv[[#Headers],[Agency]])),COLUMNS($F$7:AJ$7))))</f>
        <v>0</v>
      </c>
      <c r="AK246" s="2223" t="str" cm="1">
        <f t="array" ref="AK246">IF($D246&lt;COLUMNS($F$7:AK$7),"",INDEX(TableDiv[[GASB]:[GASB]],_xlfn.AGGREGATE(15,3,(TableDiv[[Agency]:[Agency]]=$E246)/(TableDiv[[Agency]:[Agency]]=$E246)*(ROW(TableDiv[Agency])-ROW(TableDiv[[#Headers],[Agency]])),COLUMNS($F$7:AK$7))))</f>
        <v/>
      </c>
      <c r="AL246" s="2223" t="str" cm="1">
        <f t="array" ref="AL246">IF($D246&lt;COLUMNS($F$7:AL$7),"",INDEX(TableDiv[[GASB]:[GASB]],_xlfn.AGGREGATE(15,3,(TableDiv[[Agency]:[Agency]]=$E246)/(TableDiv[[Agency]:[Agency]]=$E246)*(ROW(TableDiv[Agency])-ROW(TableDiv[[#Headers],[Agency]])),COLUMNS($F$7:AL$7))))</f>
        <v/>
      </c>
      <c r="AM246" s="2223" t="str" cm="1">
        <f t="array" ref="AM246">IF($D246&lt;COLUMNS($F$7:AM$7),"",INDEX(TableDiv[[GASB]:[GASB]],_xlfn.AGGREGATE(15,3,(TableDiv[[Agency]:[Agency]]=$E246)/(TableDiv[[Agency]:[Agency]]=$E246)*(ROW(TableDiv[Agency])-ROW(TableDiv[[#Headers],[Agency]])),COLUMNS($F$7:AM$7))))</f>
        <v/>
      </c>
      <c r="AN246" s="2223"/>
      <c r="AO246" s="2223"/>
      <c r="AP246" s="2223"/>
      <c r="AQ246" s="2223"/>
      <c r="AR246" s="2223"/>
      <c r="AS246" s="2223"/>
    </row>
    <row r="247" spans="1:45" ht="15" x14ac:dyDescent="0.25">
      <c r="A247" s="2219" t="s">
        <v>6464</v>
      </c>
      <c r="B247" s="2219" t="s">
        <v>6402</v>
      </c>
      <c r="C247" s="2223"/>
      <c r="D247" s="2223">
        <f>COUNTIF(TableDiv[Agency],E247)</f>
        <v>31</v>
      </c>
      <c r="E247" s="2230" t="str" cm="1">
        <f t="array" ref="E247">IFERROR(INDEX(TableDiv[Agency],MATCH(0,INDEX(COUNTIF($E$7:E246,TableDiv[Agency]),),0)),"")</f>
        <v/>
      </c>
      <c r="F247" s="2223" cm="1">
        <f t="array" ref="F247">IF($D247&lt;COLUMNS($F$7:F$7),"",INDEX(TableDiv[[GASB]:[GASB]],_xlfn.AGGREGATE(15,3,(TableDiv[[Agency]:[Agency]]=$E247)/(TableDiv[[Agency]:[Agency]]=$E247)*(ROW(TableDiv[Agency])-ROW(TableDiv[[#Headers],[Agency]])),COLUMNS($F$7:F$7))))</f>
        <v>0</v>
      </c>
      <c r="G247" s="2223" cm="1">
        <f t="array" ref="G247">IF($D247&lt;COLUMNS($F$7:G$7),"",INDEX(TableDiv[[GASB]:[GASB]],_xlfn.AGGREGATE(15,3,(TableDiv[[Agency]:[Agency]]=$E247)/(TableDiv[[Agency]:[Agency]]=$E247)*(ROW(TableDiv[Agency])-ROW(TableDiv[[#Headers],[Agency]])),COLUMNS($F$7:G$7))))</f>
        <v>0</v>
      </c>
      <c r="H247" s="2223" cm="1">
        <f t="array" ref="H247">IF($D247&lt;COLUMNS($F$7:H$7),"",INDEX(TableDiv[[GASB]:[GASB]],_xlfn.AGGREGATE(15,3,(TableDiv[[Agency]:[Agency]]=$E247)/(TableDiv[[Agency]:[Agency]]=$E247)*(ROW(TableDiv[Agency])-ROW(TableDiv[[#Headers],[Agency]])),COLUMNS($F$7:H$7))))</f>
        <v>0</v>
      </c>
      <c r="I247" s="2223" cm="1">
        <f t="array" ref="I247">IF($D247&lt;COLUMNS($F$7:I$7),"",INDEX(TableDiv[[GASB]:[GASB]],_xlfn.AGGREGATE(15,3,(TableDiv[[Agency]:[Agency]]=$E247)/(TableDiv[[Agency]:[Agency]]=$E247)*(ROW(TableDiv[Agency])-ROW(TableDiv[[#Headers],[Agency]])),COLUMNS($F$7:I$7))))</f>
        <v>0</v>
      </c>
      <c r="J247" s="2223" cm="1">
        <f t="array" ref="J247">IF($D247&lt;COLUMNS($F$7:J$7),"",INDEX(TableDiv[[GASB]:[GASB]],_xlfn.AGGREGATE(15,3,(TableDiv[[Agency]:[Agency]]=$E247)/(TableDiv[[Agency]:[Agency]]=$E247)*(ROW(TableDiv[Agency])-ROW(TableDiv[[#Headers],[Agency]])),COLUMNS($F$7:J$7))))</f>
        <v>0</v>
      </c>
      <c r="K247" s="2223" cm="1">
        <f t="array" ref="K247">IF($D247&lt;COLUMNS($F$7:K$7),"",INDEX(TableDiv[[GASB]:[GASB]],_xlfn.AGGREGATE(15,3,(TableDiv[[Agency]:[Agency]]=$E247)/(TableDiv[[Agency]:[Agency]]=$E247)*(ROW(TableDiv[Agency])-ROW(TableDiv[[#Headers],[Agency]])),COLUMNS($F$7:K$7))))</f>
        <v>0</v>
      </c>
      <c r="L247" s="2223" cm="1">
        <f t="array" ref="L247">IF($D247&lt;COLUMNS($F$7:L$7),"",INDEX(TableDiv[[GASB]:[GASB]],_xlfn.AGGREGATE(15,3,(TableDiv[[Agency]:[Agency]]=$E247)/(TableDiv[[Agency]:[Agency]]=$E247)*(ROW(TableDiv[Agency])-ROW(TableDiv[[#Headers],[Agency]])),COLUMNS($F$7:L$7))))</f>
        <v>0</v>
      </c>
      <c r="M247" s="2223" cm="1">
        <f t="array" ref="M247">IF($D247&lt;COLUMNS($F$7:M$7),"",INDEX(TableDiv[[GASB]:[GASB]],_xlfn.AGGREGATE(15,3,(TableDiv[[Agency]:[Agency]]=$E247)/(TableDiv[[Agency]:[Agency]]=$E247)*(ROW(TableDiv[Agency])-ROW(TableDiv[[#Headers],[Agency]])),COLUMNS($F$7:M$7))))</f>
        <v>0</v>
      </c>
      <c r="N247" s="2223" cm="1">
        <f t="array" ref="N247">IF($D247&lt;COLUMNS($F$7:N$7),"",INDEX(TableDiv[[GASB]:[GASB]],_xlfn.AGGREGATE(15,3,(TableDiv[[Agency]:[Agency]]=$E247)/(TableDiv[[Agency]:[Agency]]=$E247)*(ROW(TableDiv[Agency])-ROW(TableDiv[[#Headers],[Agency]])),COLUMNS($F$7:N$7))))</f>
        <v>0</v>
      </c>
      <c r="O247" s="2223" cm="1">
        <f t="array" ref="O247">IF($D247&lt;COLUMNS($F$7:O$7),"",INDEX(TableDiv[[GASB]:[GASB]],_xlfn.AGGREGATE(15,3,(TableDiv[[Agency]:[Agency]]=$E247)/(TableDiv[[Agency]:[Agency]]=$E247)*(ROW(TableDiv[Agency])-ROW(TableDiv[[#Headers],[Agency]])),COLUMNS($F$7:O$7))))</f>
        <v>0</v>
      </c>
      <c r="P247" s="2223" cm="1">
        <f t="array" ref="P247">IF($D247&lt;COLUMNS($F$7:P$7),"",INDEX(TableDiv[[GASB]:[GASB]],_xlfn.AGGREGATE(15,3,(TableDiv[[Agency]:[Agency]]=$E247)/(TableDiv[[Agency]:[Agency]]=$E247)*(ROW(TableDiv[Agency])-ROW(TableDiv[[#Headers],[Agency]])),COLUMNS($F$7:P$7))))</f>
        <v>0</v>
      </c>
      <c r="Q247" s="2223" cm="1">
        <f t="array" ref="Q247">IF($D247&lt;COLUMNS($F$7:Q$7),"",INDEX(TableDiv[[GASB]:[GASB]],_xlfn.AGGREGATE(15,3,(TableDiv[[Agency]:[Agency]]=$E247)/(TableDiv[[Agency]:[Agency]]=$E247)*(ROW(TableDiv[Agency])-ROW(TableDiv[[#Headers],[Agency]])),COLUMNS($F$7:Q$7))))</f>
        <v>0</v>
      </c>
      <c r="R247" s="2223" cm="1">
        <f t="array" ref="R247">IF($D247&lt;COLUMNS($F$7:R$7),"",INDEX(TableDiv[[GASB]:[GASB]],_xlfn.AGGREGATE(15,3,(TableDiv[[Agency]:[Agency]]=$E247)/(TableDiv[[Agency]:[Agency]]=$E247)*(ROW(TableDiv[Agency])-ROW(TableDiv[[#Headers],[Agency]])),COLUMNS($F$7:R$7))))</f>
        <v>0</v>
      </c>
      <c r="S247" s="2223" cm="1">
        <f t="array" ref="S247">IF($D247&lt;COLUMNS($F$7:S$7),"",INDEX(TableDiv[[GASB]:[GASB]],_xlfn.AGGREGATE(15,3,(TableDiv[[Agency]:[Agency]]=$E247)/(TableDiv[[Agency]:[Agency]]=$E247)*(ROW(TableDiv[Agency])-ROW(TableDiv[[#Headers],[Agency]])),COLUMNS($F$7:S$7))))</f>
        <v>0</v>
      </c>
      <c r="T247" s="2223" cm="1">
        <f t="array" ref="T247">IF($D247&lt;COLUMNS($F$7:T$7),"",INDEX(TableDiv[[GASB]:[GASB]],_xlfn.AGGREGATE(15,3,(TableDiv[[Agency]:[Agency]]=$E247)/(TableDiv[[Agency]:[Agency]]=$E247)*(ROW(TableDiv[Agency])-ROW(TableDiv[[#Headers],[Agency]])),COLUMNS($F$7:T$7))))</f>
        <v>0</v>
      </c>
      <c r="U247" s="2223" cm="1">
        <f t="array" ref="U247">IF($D247&lt;COLUMNS($F$7:U$7),"",INDEX(TableDiv[[GASB]:[GASB]],_xlfn.AGGREGATE(15,3,(TableDiv[[Agency]:[Agency]]=$E247)/(TableDiv[[Agency]:[Agency]]=$E247)*(ROW(TableDiv[Agency])-ROW(TableDiv[[#Headers],[Agency]])),COLUMNS($F$7:U$7))))</f>
        <v>0</v>
      </c>
      <c r="V247" s="2223" cm="1">
        <f t="array" ref="V247">IF($D247&lt;COLUMNS($F$7:V$7),"",INDEX(TableDiv[[GASB]:[GASB]],_xlfn.AGGREGATE(15,3,(TableDiv[[Agency]:[Agency]]=$E247)/(TableDiv[[Agency]:[Agency]]=$E247)*(ROW(TableDiv[Agency])-ROW(TableDiv[[#Headers],[Agency]])),COLUMNS($F$7:V$7))))</f>
        <v>0</v>
      </c>
      <c r="W247" s="2223" cm="1">
        <f t="array" ref="W247">IF($D247&lt;COLUMNS($F$7:W$7),"",INDEX(TableDiv[[GASB]:[GASB]],_xlfn.AGGREGATE(15,3,(TableDiv[[Agency]:[Agency]]=$E247)/(TableDiv[[Agency]:[Agency]]=$E247)*(ROW(TableDiv[Agency])-ROW(TableDiv[[#Headers],[Agency]])),COLUMNS($F$7:W$7))))</f>
        <v>0</v>
      </c>
      <c r="X247" s="2223" cm="1">
        <f t="array" ref="X247">IF($D247&lt;COLUMNS($F$7:X$7),"",INDEX(TableDiv[[GASB]:[GASB]],_xlfn.AGGREGATE(15,3,(TableDiv[[Agency]:[Agency]]=$E247)/(TableDiv[[Agency]:[Agency]]=$E247)*(ROW(TableDiv[Agency])-ROW(TableDiv[[#Headers],[Agency]])),COLUMNS($F$7:X$7))))</f>
        <v>0</v>
      </c>
      <c r="Y247" s="2223" cm="1">
        <f t="array" ref="Y247">IF($D247&lt;COLUMNS($F$7:Y$7),"",INDEX(TableDiv[[GASB]:[GASB]],_xlfn.AGGREGATE(15,3,(TableDiv[[Agency]:[Agency]]=$E247)/(TableDiv[[Agency]:[Agency]]=$E247)*(ROW(TableDiv[Agency])-ROW(TableDiv[[#Headers],[Agency]])),COLUMNS($F$7:Y$7))))</f>
        <v>0</v>
      </c>
      <c r="Z247" s="2223" cm="1">
        <f t="array" ref="Z247">IF($D247&lt;COLUMNS($F$7:Z$7),"",INDEX(TableDiv[[GASB]:[GASB]],_xlfn.AGGREGATE(15,3,(TableDiv[[Agency]:[Agency]]=$E247)/(TableDiv[[Agency]:[Agency]]=$E247)*(ROW(TableDiv[Agency])-ROW(TableDiv[[#Headers],[Agency]])),COLUMNS($F$7:Z$7))))</f>
        <v>0</v>
      </c>
      <c r="AA247" s="2223" cm="1">
        <f t="array" ref="AA247">IF($D247&lt;COLUMNS($F$7:AA$7),"",INDEX(TableDiv[[GASB]:[GASB]],_xlfn.AGGREGATE(15,3,(TableDiv[[Agency]:[Agency]]=$E247)/(TableDiv[[Agency]:[Agency]]=$E247)*(ROW(TableDiv[Agency])-ROW(TableDiv[[#Headers],[Agency]])),COLUMNS($F$7:AA$7))))</f>
        <v>0</v>
      </c>
      <c r="AB247" s="2223" cm="1">
        <f t="array" ref="AB247">IF($D247&lt;COLUMNS($F$7:AB$7),"",INDEX(TableDiv[[GASB]:[GASB]],_xlfn.AGGREGATE(15,3,(TableDiv[[Agency]:[Agency]]=$E247)/(TableDiv[[Agency]:[Agency]]=$E247)*(ROW(TableDiv[Agency])-ROW(TableDiv[[#Headers],[Agency]])),COLUMNS($F$7:AB$7))))</f>
        <v>0</v>
      </c>
      <c r="AC247" s="2223" cm="1">
        <f t="array" ref="AC247">IF($D247&lt;COLUMNS($F$7:AC$7),"",INDEX(TableDiv[[GASB]:[GASB]],_xlfn.AGGREGATE(15,3,(TableDiv[[Agency]:[Agency]]=$E247)/(TableDiv[[Agency]:[Agency]]=$E247)*(ROW(TableDiv[Agency])-ROW(TableDiv[[#Headers],[Agency]])),COLUMNS($F$7:AC$7))))</f>
        <v>0</v>
      </c>
      <c r="AD247" s="2223" cm="1">
        <f t="array" ref="AD247">IF($D247&lt;COLUMNS($F$7:AD$7),"",INDEX(TableDiv[[GASB]:[GASB]],_xlfn.AGGREGATE(15,3,(TableDiv[[Agency]:[Agency]]=$E247)/(TableDiv[[Agency]:[Agency]]=$E247)*(ROW(TableDiv[Agency])-ROW(TableDiv[[#Headers],[Agency]])),COLUMNS($F$7:AD$7))))</f>
        <v>0</v>
      </c>
      <c r="AE247" s="2223" cm="1">
        <f t="array" ref="AE247">IF($D247&lt;COLUMNS($F$7:AE$7),"",INDEX(TableDiv[[GASB]:[GASB]],_xlfn.AGGREGATE(15,3,(TableDiv[[Agency]:[Agency]]=$E247)/(TableDiv[[Agency]:[Agency]]=$E247)*(ROW(TableDiv[Agency])-ROW(TableDiv[[#Headers],[Agency]])),COLUMNS($F$7:AE$7))))</f>
        <v>0</v>
      </c>
      <c r="AF247" s="2223" cm="1">
        <f t="array" ref="AF247">IF($D247&lt;COLUMNS($F$7:AF$7),"",INDEX(TableDiv[[GASB]:[GASB]],_xlfn.AGGREGATE(15,3,(TableDiv[[Agency]:[Agency]]=$E247)/(TableDiv[[Agency]:[Agency]]=$E247)*(ROW(TableDiv[Agency])-ROW(TableDiv[[#Headers],[Agency]])),COLUMNS($F$7:AF$7))))</f>
        <v>0</v>
      </c>
      <c r="AG247" s="2223" cm="1">
        <f t="array" ref="AG247">IF($D247&lt;COLUMNS($F$7:AG$7),"",INDEX(TableDiv[[GASB]:[GASB]],_xlfn.AGGREGATE(15,3,(TableDiv[[Agency]:[Agency]]=$E247)/(TableDiv[[Agency]:[Agency]]=$E247)*(ROW(TableDiv[Agency])-ROW(TableDiv[[#Headers],[Agency]])),COLUMNS($F$7:AG$7))))</f>
        <v>0</v>
      </c>
      <c r="AH247" s="2223" cm="1">
        <f t="array" ref="AH247">IF($D247&lt;COLUMNS($F$7:AH$7),"",INDEX(TableDiv[[GASB]:[GASB]],_xlfn.AGGREGATE(15,3,(TableDiv[[Agency]:[Agency]]=$E247)/(TableDiv[[Agency]:[Agency]]=$E247)*(ROW(TableDiv[Agency])-ROW(TableDiv[[#Headers],[Agency]])),COLUMNS($F$7:AH$7))))</f>
        <v>0</v>
      </c>
      <c r="AI247" s="2223" cm="1">
        <f t="array" ref="AI247">IF($D247&lt;COLUMNS($F$7:AI$7),"",INDEX(TableDiv[[GASB]:[GASB]],_xlfn.AGGREGATE(15,3,(TableDiv[[Agency]:[Agency]]=$E247)/(TableDiv[[Agency]:[Agency]]=$E247)*(ROW(TableDiv[Agency])-ROW(TableDiv[[#Headers],[Agency]])),COLUMNS($F$7:AI$7))))</f>
        <v>0</v>
      </c>
      <c r="AJ247" s="2223" cm="1">
        <f t="array" ref="AJ247">IF($D247&lt;COLUMNS($F$7:AJ$7),"",INDEX(TableDiv[[GASB]:[GASB]],_xlfn.AGGREGATE(15,3,(TableDiv[[Agency]:[Agency]]=$E247)/(TableDiv[[Agency]:[Agency]]=$E247)*(ROW(TableDiv[Agency])-ROW(TableDiv[[#Headers],[Agency]])),COLUMNS($F$7:AJ$7))))</f>
        <v>0</v>
      </c>
      <c r="AK247" s="2223" t="str" cm="1">
        <f t="array" ref="AK247">IF($D247&lt;COLUMNS($F$7:AK$7),"",INDEX(TableDiv[[GASB]:[GASB]],_xlfn.AGGREGATE(15,3,(TableDiv[[Agency]:[Agency]]=$E247)/(TableDiv[[Agency]:[Agency]]=$E247)*(ROW(TableDiv[Agency])-ROW(TableDiv[[#Headers],[Agency]])),COLUMNS($F$7:AK$7))))</f>
        <v/>
      </c>
      <c r="AL247" s="2223" t="str" cm="1">
        <f t="array" ref="AL247">IF($D247&lt;COLUMNS($F$7:AL$7),"",INDEX(TableDiv[[GASB]:[GASB]],_xlfn.AGGREGATE(15,3,(TableDiv[[Agency]:[Agency]]=$E247)/(TableDiv[[Agency]:[Agency]]=$E247)*(ROW(TableDiv[Agency])-ROW(TableDiv[[#Headers],[Agency]])),COLUMNS($F$7:AL$7))))</f>
        <v/>
      </c>
      <c r="AM247" s="2223" t="str" cm="1">
        <f t="array" ref="AM247">IF($D247&lt;COLUMNS($F$7:AM$7),"",INDEX(TableDiv[[GASB]:[GASB]],_xlfn.AGGREGATE(15,3,(TableDiv[[Agency]:[Agency]]=$E247)/(TableDiv[[Agency]:[Agency]]=$E247)*(ROW(TableDiv[Agency])-ROW(TableDiv[[#Headers],[Agency]])),COLUMNS($F$7:AM$7))))</f>
        <v/>
      </c>
      <c r="AN247" s="2223"/>
      <c r="AO247" s="2223"/>
      <c r="AP247" s="2223"/>
      <c r="AQ247" s="2223"/>
      <c r="AR247" s="2223"/>
      <c r="AS247" s="2223"/>
    </row>
    <row r="248" spans="1:45" ht="15" x14ac:dyDescent="0.25">
      <c r="A248" s="2219" t="s">
        <v>6464</v>
      </c>
      <c r="B248" s="2219" t="s">
        <v>6393</v>
      </c>
      <c r="C248" s="2223"/>
      <c r="D248" s="2223">
        <f>COUNTIF(TableDiv[Agency],E248)</f>
        <v>31</v>
      </c>
      <c r="E248" s="2230" t="str" cm="1">
        <f t="array" ref="E248">IFERROR(INDEX(TableDiv[Agency],MATCH(0,INDEX(COUNTIF($E$7:E247,TableDiv[Agency]),),0)),"")</f>
        <v/>
      </c>
      <c r="F248" s="2223" cm="1">
        <f t="array" ref="F248">IF($D248&lt;COLUMNS($F$7:F$7),"",INDEX(TableDiv[[GASB]:[GASB]],_xlfn.AGGREGATE(15,3,(TableDiv[[Agency]:[Agency]]=$E248)/(TableDiv[[Agency]:[Agency]]=$E248)*(ROW(TableDiv[Agency])-ROW(TableDiv[[#Headers],[Agency]])),COLUMNS($F$7:F$7))))</f>
        <v>0</v>
      </c>
      <c r="G248" s="2223" cm="1">
        <f t="array" ref="G248">IF($D248&lt;COLUMNS($F$7:G$7),"",INDEX(TableDiv[[GASB]:[GASB]],_xlfn.AGGREGATE(15,3,(TableDiv[[Agency]:[Agency]]=$E248)/(TableDiv[[Agency]:[Agency]]=$E248)*(ROW(TableDiv[Agency])-ROW(TableDiv[[#Headers],[Agency]])),COLUMNS($F$7:G$7))))</f>
        <v>0</v>
      </c>
      <c r="H248" s="2223" cm="1">
        <f t="array" ref="H248">IF($D248&lt;COLUMNS($F$7:H$7),"",INDEX(TableDiv[[GASB]:[GASB]],_xlfn.AGGREGATE(15,3,(TableDiv[[Agency]:[Agency]]=$E248)/(TableDiv[[Agency]:[Agency]]=$E248)*(ROW(TableDiv[Agency])-ROW(TableDiv[[#Headers],[Agency]])),COLUMNS($F$7:H$7))))</f>
        <v>0</v>
      </c>
      <c r="I248" s="2223" cm="1">
        <f t="array" ref="I248">IF($D248&lt;COLUMNS($F$7:I$7),"",INDEX(TableDiv[[GASB]:[GASB]],_xlfn.AGGREGATE(15,3,(TableDiv[[Agency]:[Agency]]=$E248)/(TableDiv[[Agency]:[Agency]]=$E248)*(ROW(TableDiv[Agency])-ROW(TableDiv[[#Headers],[Agency]])),COLUMNS($F$7:I$7))))</f>
        <v>0</v>
      </c>
      <c r="J248" s="2223" cm="1">
        <f t="array" ref="J248">IF($D248&lt;COLUMNS($F$7:J$7),"",INDEX(TableDiv[[GASB]:[GASB]],_xlfn.AGGREGATE(15,3,(TableDiv[[Agency]:[Agency]]=$E248)/(TableDiv[[Agency]:[Agency]]=$E248)*(ROW(TableDiv[Agency])-ROW(TableDiv[[#Headers],[Agency]])),COLUMNS($F$7:J$7))))</f>
        <v>0</v>
      </c>
      <c r="K248" s="2223" cm="1">
        <f t="array" ref="K248">IF($D248&lt;COLUMNS($F$7:K$7),"",INDEX(TableDiv[[GASB]:[GASB]],_xlfn.AGGREGATE(15,3,(TableDiv[[Agency]:[Agency]]=$E248)/(TableDiv[[Agency]:[Agency]]=$E248)*(ROW(TableDiv[Agency])-ROW(TableDiv[[#Headers],[Agency]])),COLUMNS($F$7:K$7))))</f>
        <v>0</v>
      </c>
      <c r="L248" s="2223" cm="1">
        <f t="array" ref="L248">IF($D248&lt;COLUMNS($F$7:L$7),"",INDEX(TableDiv[[GASB]:[GASB]],_xlfn.AGGREGATE(15,3,(TableDiv[[Agency]:[Agency]]=$E248)/(TableDiv[[Agency]:[Agency]]=$E248)*(ROW(TableDiv[Agency])-ROW(TableDiv[[#Headers],[Agency]])),COLUMNS($F$7:L$7))))</f>
        <v>0</v>
      </c>
      <c r="M248" s="2223" cm="1">
        <f t="array" ref="M248">IF($D248&lt;COLUMNS($F$7:M$7),"",INDEX(TableDiv[[GASB]:[GASB]],_xlfn.AGGREGATE(15,3,(TableDiv[[Agency]:[Agency]]=$E248)/(TableDiv[[Agency]:[Agency]]=$E248)*(ROW(TableDiv[Agency])-ROW(TableDiv[[#Headers],[Agency]])),COLUMNS($F$7:M$7))))</f>
        <v>0</v>
      </c>
      <c r="N248" s="2223" cm="1">
        <f t="array" ref="N248">IF($D248&lt;COLUMNS($F$7:N$7),"",INDEX(TableDiv[[GASB]:[GASB]],_xlfn.AGGREGATE(15,3,(TableDiv[[Agency]:[Agency]]=$E248)/(TableDiv[[Agency]:[Agency]]=$E248)*(ROW(TableDiv[Agency])-ROW(TableDiv[[#Headers],[Agency]])),COLUMNS($F$7:N$7))))</f>
        <v>0</v>
      </c>
      <c r="O248" s="2223" cm="1">
        <f t="array" ref="O248">IF($D248&lt;COLUMNS($F$7:O$7),"",INDEX(TableDiv[[GASB]:[GASB]],_xlfn.AGGREGATE(15,3,(TableDiv[[Agency]:[Agency]]=$E248)/(TableDiv[[Agency]:[Agency]]=$E248)*(ROW(TableDiv[Agency])-ROW(TableDiv[[#Headers],[Agency]])),COLUMNS($F$7:O$7))))</f>
        <v>0</v>
      </c>
      <c r="P248" s="2223" cm="1">
        <f t="array" ref="P248">IF($D248&lt;COLUMNS($F$7:P$7),"",INDEX(TableDiv[[GASB]:[GASB]],_xlfn.AGGREGATE(15,3,(TableDiv[[Agency]:[Agency]]=$E248)/(TableDiv[[Agency]:[Agency]]=$E248)*(ROW(TableDiv[Agency])-ROW(TableDiv[[#Headers],[Agency]])),COLUMNS($F$7:P$7))))</f>
        <v>0</v>
      </c>
      <c r="Q248" s="2223" cm="1">
        <f t="array" ref="Q248">IF($D248&lt;COLUMNS($F$7:Q$7),"",INDEX(TableDiv[[GASB]:[GASB]],_xlfn.AGGREGATE(15,3,(TableDiv[[Agency]:[Agency]]=$E248)/(TableDiv[[Agency]:[Agency]]=$E248)*(ROW(TableDiv[Agency])-ROW(TableDiv[[#Headers],[Agency]])),COLUMNS($F$7:Q$7))))</f>
        <v>0</v>
      </c>
      <c r="R248" s="2223" cm="1">
        <f t="array" ref="R248">IF($D248&lt;COLUMNS($F$7:R$7),"",INDEX(TableDiv[[GASB]:[GASB]],_xlfn.AGGREGATE(15,3,(TableDiv[[Agency]:[Agency]]=$E248)/(TableDiv[[Agency]:[Agency]]=$E248)*(ROW(TableDiv[Agency])-ROW(TableDiv[[#Headers],[Agency]])),COLUMNS($F$7:R$7))))</f>
        <v>0</v>
      </c>
      <c r="S248" s="2223" cm="1">
        <f t="array" ref="S248">IF($D248&lt;COLUMNS($F$7:S$7),"",INDEX(TableDiv[[GASB]:[GASB]],_xlfn.AGGREGATE(15,3,(TableDiv[[Agency]:[Agency]]=$E248)/(TableDiv[[Agency]:[Agency]]=$E248)*(ROW(TableDiv[Agency])-ROW(TableDiv[[#Headers],[Agency]])),COLUMNS($F$7:S$7))))</f>
        <v>0</v>
      </c>
      <c r="T248" s="2223" cm="1">
        <f t="array" ref="T248">IF($D248&lt;COLUMNS($F$7:T$7),"",INDEX(TableDiv[[GASB]:[GASB]],_xlfn.AGGREGATE(15,3,(TableDiv[[Agency]:[Agency]]=$E248)/(TableDiv[[Agency]:[Agency]]=$E248)*(ROW(TableDiv[Agency])-ROW(TableDiv[[#Headers],[Agency]])),COLUMNS($F$7:T$7))))</f>
        <v>0</v>
      </c>
      <c r="U248" s="2223" cm="1">
        <f t="array" ref="U248">IF($D248&lt;COLUMNS($F$7:U$7),"",INDEX(TableDiv[[GASB]:[GASB]],_xlfn.AGGREGATE(15,3,(TableDiv[[Agency]:[Agency]]=$E248)/(TableDiv[[Agency]:[Agency]]=$E248)*(ROW(TableDiv[Agency])-ROW(TableDiv[[#Headers],[Agency]])),COLUMNS($F$7:U$7))))</f>
        <v>0</v>
      </c>
      <c r="V248" s="2223" cm="1">
        <f t="array" ref="V248">IF($D248&lt;COLUMNS($F$7:V$7),"",INDEX(TableDiv[[GASB]:[GASB]],_xlfn.AGGREGATE(15,3,(TableDiv[[Agency]:[Agency]]=$E248)/(TableDiv[[Agency]:[Agency]]=$E248)*(ROW(TableDiv[Agency])-ROW(TableDiv[[#Headers],[Agency]])),COLUMNS($F$7:V$7))))</f>
        <v>0</v>
      </c>
      <c r="W248" s="2223" cm="1">
        <f t="array" ref="W248">IF($D248&lt;COLUMNS($F$7:W$7),"",INDEX(TableDiv[[GASB]:[GASB]],_xlfn.AGGREGATE(15,3,(TableDiv[[Agency]:[Agency]]=$E248)/(TableDiv[[Agency]:[Agency]]=$E248)*(ROW(TableDiv[Agency])-ROW(TableDiv[[#Headers],[Agency]])),COLUMNS($F$7:W$7))))</f>
        <v>0</v>
      </c>
      <c r="X248" s="2223" cm="1">
        <f t="array" ref="X248">IF($D248&lt;COLUMNS($F$7:X$7),"",INDEX(TableDiv[[GASB]:[GASB]],_xlfn.AGGREGATE(15,3,(TableDiv[[Agency]:[Agency]]=$E248)/(TableDiv[[Agency]:[Agency]]=$E248)*(ROW(TableDiv[Agency])-ROW(TableDiv[[#Headers],[Agency]])),COLUMNS($F$7:X$7))))</f>
        <v>0</v>
      </c>
      <c r="Y248" s="2223" cm="1">
        <f t="array" ref="Y248">IF($D248&lt;COLUMNS($F$7:Y$7),"",INDEX(TableDiv[[GASB]:[GASB]],_xlfn.AGGREGATE(15,3,(TableDiv[[Agency]:[Agency]]=$E248)/(TableDiv[[Agency]:[Agency]]=$E248)*(ROW(TableDiv[Agency])-ROW(TableDiv[[#Headers],[Agency]])),COLUMNS($F$7:Y$7))))</f>
        <v>0</v>
      </c>
      <c r="Z248" s="2223" cm="1">
        <f t="array" ref="Z248">IF($D248&lt;COLUMNS($F$7:Z$7),"",INDEX(TableDiv[[GASB]:[GASB]],_xlfn.AGGREGATE(15,3,(TableDiv[[Agency]:[Agency]]=$E248)/(TableDiv[[Agency]:[Agency]]=$E248)*(ROW(TableDiv[Agency])-ROW(TableDiv[[#Headers],[Agency]])),COLUMNS($F$7:Z$7))))</f>
        <v>0</v>
      </c>
      <c r="AA248" s="2223" cm="1">
        <f t="array" ref="AA248">IF($D248&lt;COLUMNS($F$7:AA$7),"",INDEX(TableDiv[[GASB]:[GASB]],_xlfn.AGGREGATE(15,3,(TableDiv[[Agency]:[Agency]]=$E248)/(TableDiv[[Agency]:[Agency]]=$E248)*(ROW(TableDiv[Agency])-ROW(TableDiv[[#Headers],[Agency]])),COLUMNS($F$7:AA$7))))</f>
        <v>0</v>
      </c>
      <c r="AB248" s="2223" cm="1">
        <f t="array" ref="AB248">IF($D248&lt;COLUMNS($F$7:AB$7),"",INDEX(TableDiv[[GASB]:[GASB]],_xlfn.AGGREGATE(15,3,(TableDiv[[Agency]:[Agency]]=$E248)/(TableDiv[[Agency]:[Agency]]=$E248)*(ROW(TableDiv[Agency])-ROW(TableDiv[[#Headers],[Agency]])),COLUMNS($F$7:AB$7))))</f>
        <v>0</v>
      </c>
      <c r="AC248" s="2223" cm="1">
        <f t="array" ref="AC248">IF($D248&lt;COLUMNS($F$7:AC$7),"",INDEX(TableDiv[[GASB]:[GASB]],_xlfn.AGGREGATE(15,3,(TableDiv[[Agency]:[Agency]]=$E248)/(TableDiv[[Agency]:[Agency]]=$E248)*(ROW(TableDiv[Agency])-ROW(TableDiv[[#Headers],[Agency]])),COLUMNS($F$7:AC$7))))</f>
        <v>0</v>
      </c>
      <c r="AD248" s="2223" cm="1">
        <f t="array" ref="AD248">IF($D248&lt;COLUMNS($F$7:AD$7),"",INDEX(TableDiv[[GASB]:[GASB]],_xlfn.AGGREGATE(15,3,(TableDiv[[Agency]:[Agency]]=$E248)/(TableDiv[[Agency]:[Agency]]=$E248)*(ROW(TableDiv[Agency])-ROW(TableDiv[[#Headers],[Agency]])),COLUMNS($F$7:AD$7))))</f>
        <v>0</v>
      </c>
      <c r="AE248" s="2223" cm="1">
        <f t="array" ref="AE248">IF($D248&lt;COLUMNS($F$7:AE$7),"",INDEX(TableDiv[[GASB]:[GASB]],_xlfn.AGGREGATE(15,3,(TableDiv[[Agency]:[Agency]]=$E248)/(TableDiv[[Agency]:[Agency]]=$E248)*(ROW(TableDiv[Agency])-ROW(TableDiv[[#Headers],[Agency]])),COLUMNS($F$7:AE$7))))</f>
        <v>0</v>
      </c>
      <c r="AF248" s="2223" cm="1">
        <f t="array" ref="AF248">IF($D248&lt;COLUMNS($F$7:AF$7),"",INDEX(TableDiv[[GASB]:[GASB]],_xlfn.AGGREGATE(15,3,(TableDiv[[Agency]:[Agency]]=$E248)/(TableDiv[[Agency]:[Agency]]=$E248)*(ROW(TableDiv[Agency])-ROW(TableDiv[[#Headers],[Agency]])),COLUMNS($F$7:AF$7))))</f>
        <v>0</v>
      </c>
      <c r="AG248" s="2223" cm="1">
        <f t="array" ref="AG248">IF($D248&lt;COLUMNS($F$7:AG$7),"",INDEX(TableDiv[[GASB]:[GASB]],_xlfn.AGGREGATE(15,3,(TableDiv[[Agency]:[Agency]]=$E248)/(TableDiv[[Agency]:[Agency]]=$E248)*(ROW(TableDiv[Agency])-ROW(TableDiv[[#Headers],[Agency]])),COLUMNS($F$7:AG$7))))</f>
        <v>0</v>
      </c>
      <c r="AH248" s="2223" cm="1">
        <f t="array" ref="AH248">IF($D248&lt;COLUMNS($F$7:AH$7),"",INDEX(TableDiv[[GASB]:[GASB]],_xlfn.AGGREGATE(15,3,(TableDiv[[Agency]:[Agency]]=$E248)/(TableDiv[[Agency]:[Agency]]=$E248)*(ROW(TableDiv[Agency])-ROW(TableDiv[[#Headers],[Agency]])),COLUMNS($F$7:AH$7))))</f>
        <v>0</v>
      </c>
      <c r="AI248" s="2223" cm="1">
        <f t="array" ref="AI248">IF($D248&lt;COLUMNS($F$7:AI$7),"",INDEX(TableDiv[[GASB]:[GASB]],_xlfn.AGGREGATE(15,3,(TableDiv[[Agency]:[Agency]]=$E248)/(TableDiv[[Agency]:[Agency]]=$E248)*(ROW(TableDiv[Agency])-ROW(TableDiv[[#Headers],[Agency]])),COLUMNS($F$7:AI$7))))</f>
        <v>0</v>
      </c>
      <c r="AJ248" s="2223" cm="1">
        <f t="array" ref="AJ248">IF($D248&lt;COLUMNS($F$7:AJ$7),"",INDEX(TableDiv[[GASB]:[GASB]],_xlfn.AGGREGATE(15,3,(TableDiv[[Agency]:[Agency]]=$E248)/(TableDiv[[Agency]:[Agency]]=$E248)*(ROW(TableDiv[Agency])-ROW(TableDiv[[#Headers],[Agency]])),COLUMNS($F$7:AJ$7))))</f>
        <v>0</v>
      </c>
      <c r="AK248" s="2223" t="str" cm="1">
        <f t="array" ref="AK248">IF($D248&lt;COLUMNS($F$7:AK$7),"",INDEX(TableDiv[[GASB]:[GASB]],_xlfn.AGGREGATE(15,3,(TableDiv[[Agency]:[Agency]]=$E248)/(TableDiv[[Agency]:[Agency]]=$E248)*(ROW(TableDiv[Agency])-ROW(TableDiv[[#Headers],[Agency]])),COLUMNS($F$7:AK$7))))</f>
        <v/>
      </c>
      <c r="AL248" s="2223" t="str" cm="1">
        <f t="array" ref="AL248">IF($D248&lt;COLUMNS($F$7:AL$7),"",INDEX(TableDiv[[GASB]:[GASB]],_xlfn.AGGREGATE(15,3,(TableDiv[[Agency]:[Agency]]=$E248)/(TableDiv[[Agency]:[Agency]]=$E248)*(ROW(TableDiv[Agency])-ROW(TableDiv[[#Headers],[Agency]])),COLUMNS($F$7:AL$7))))</f>
        <v/>
      </c>
      <c r="AM248" s="2223" t="str" cm="1">
        <f t="array" ref="AM248">IF($D248&lt;COLUMNS($F$7:AM$7),"",INDEX(TableDiv[[GASB]:[GASB]],_xlfn.AGGREGATE(15,3,(TableDiv[[Agency]:[Agency]]=$E248)/(TableDiv[[Agency]:[Agency]]=$E248)*(ROW(TableDiv[Agency])-ROW(TableDiv[[#Headers],[Agency]])),COLUMNS($F$7:AM$7))))</f>
        <v/>
      </c>
      <c r="AN248" s="2223"/>
      <c r="AO248" s="2223"/>
      <c r="AP248" s="2223"/>
      <c r="AQ248" s="2223"/>
      <c r="AR248" s="2223"/>
      <c r="AS248" s="2223"/>
    </row>
    <row r="249" spans="1:45" ht="15" x14ac:dyDescent="0.25">
      <c r="A249" s="2219" t="s">
        <v>6465</v>
      </c>
      <c r="B249" s="2219" t="s">
        <v>6361</v>
      </c>
      <c r="C249" s="2223"/>
      <c r="D249" s="2223">
        <f>COUNTIF(TableDiv[Agency],E249)</f>
        <v>31</v>
      </c>
      <c r="E249" s="2230" t="str" cm="1">
        <f t="array" ref="E249">IFERROR(INDEX(TableDiv[Agency],MATCH(0,INDEX(COUNTIF($E$7:E248,TableDiv[Agency]),),0)),"")</f>
        <v/>
      </c>
      <c r="F249" s="2223" cm="1">
        <f t="array" ref="F249">IF($D249&lt;COLUMNS($F$7:F$7),"",INDEX(TableDiv[[GASB]:[GASB]],_xlfn.AGGREGATE(15,3,(TableDiv[[Agency]:[Agency]]=$E249)/(TableDiv[[Agency]:[Agency]]=$E249)*(ROW(TableDiv[Agency])-ROW(TableDiv[[#Headers],[Agency]])),COLUMNS($F$7:F$7))))</f>
        <v>0</v>
      </c>
      <c r="G249" s="2223" cm="1">
        <f t="array" ref="G249">IF($D249&lt;COLUMNS($F$7:G$7),"",INDEX(TableDiv[[GASB]:[GASB]],_xlfn.AGGREGATE(15,3,(TableDiv[[Agency]:[Agency]]=$E249)/(TableDiv[[Agency]:[Agency]]=$E249)*(ROW(TableDiv[Agency])-ROW(TableDiv[[#Headers],[Agency]])),COLUMNS($F$7:G$7))))</f>
        <v>0</v>
      </c>
      <c r="H249" s="2223" cm="1">
        <f t="array" ref="H249">IF($D249&lt;COLUMNS($F$7:H$7),"",INDEX(TableDiv[[GASB]:[GASB]],_xlfn.AGGREGATE(15,3,(TableDiv[[Agency]:[Agency]]=$E249)/(TableDiv[[Agency]:[Agency]]=$E249)*(ROW(TableDiv[Agency])-ROW(TableDiv[[#Headers],[Agency]])),COLUMNS($F$7:H$7))))</f>
        <v>0</v>
      </c>
      <c r="I249" s="2223" cm="1">
        <f t="array" ref="I249">IF($D249&lt;COLUMNS($F$7:I$7),"",INDEX(TableDiv[[GASB]:[GASB]],_xlfn.AGGREGATE(15,3,(TableDiv[[Agency]:[Agency]]=$E249)/(TableDiv[[Agency]:[Agency]]=$E249)*(ROW(TableDiv[Agency])-ROW(TableDiv[[#Headers],[Agency]])),COLUMNS($F$7:I$7))))</f>
        <v>0</v>
      </c>
      <c r="J249" s="2223" cm="1">
        <f t="array" ref="J249">IF($D249&lt;COLUMNS($F$7:J$7),"",INDEX(TableDiv[[GASB]:[GASB]],_xlfn.AGGREGATE(15,3,(TableDiv[[Agency]:[Agency]]=$E249)/(TableDiv[[Agency]:[Agency]]=$E249)*(ROW(TableDiv[Agency])-ROW(TableDiv[[#Headers],[Agency]])),COLUMNS($F$7:J$7))))</f>
        <v>0</v>
      </c>
      <c r="K249" s="2223" cm="1">
        <f t="array" ref="K249">IF($D249&lt;COLUMNS($F$7:K$7),"",INDEX(TableDiv[[GASB]:[GASB]],_xlfn.AGGREGATE(15,3,(TableDiv[[Agency]:[Agency]]=$E249)/(TableDiv[[Agency]:[Agency]]=$E249)*(ROW(TableDiv[Agency])-ROW(TableDiv[[#Headers],[Agency]])),COLUMNS($F$7:K$7))))</f>
        <v>0</v>
      </c>
      <c r="L249" s="2223" cm="1">
        <f t="array" ref="L249">IF($D249&lt;COLUMNS($F$7:L$7),"",INDEX(TableDiv[[GASB]:[GASB]],_xlfn.AGGREGATE(15,3,(TableDiv[[Agency]:[Agency]]=$E249)/(TableDiv[[Agency]:[Agency]]=$E249)*(ROW(TableDiv[Agency])-ROW(TableDiv[[#Headers],[Agency]])),COLUMNS($F$7:L$7))))</f>
        <v>0</v>
      </c>
      <c r="M249" s="2223" cm="1">
        <f t="array" ref="M249">IF($D249&lt;COLUMNS($F$7:M$7),"",INDEX(TableDiv[[GASB]:[GASB]],_xlfn.AGGREGATE(15,3,(TableDiv[[Agency]:[Agency]]=$E249)/(TableDiv[[Agency]:[Agency]]=$E249)*(ROW(TableDiv[Agency])-ROW(TableDiv[[#Headers],[Agency]])),COLUMNS($F$7:M$7))))</f>
        <v>0</v>
      </c>
      <c r="N249" s="2223" cm="1">
        <f t="array" ref="N249">IF($D249&lt;COLUMNS($F$7:N$7),"",INDEX(TableDiv[[GASB]:[GASB]],_xlfn.AGGREGATE(15,3,(TableDiv[[Agency]:[Agency]]=$E249)/(TableDiv[[Agency]:[Agency]]=$E249)*(ROW(TableDiv[Agency])-ROW(TableDiv[[#Headers],[Agency]])),COLUMNS($F$7:N$7))))</f>
        <v>0</v>
      </c>
      <c r="O249" s="2223" cm="1">
        <f t="array" ref="O249">IF($D249&lt;COLUMNS($F$7:O$7),"",INDEX(TableDiv[[GASB]:[GASB]],_xlfn.AGGREGATE(15,3,(TableDiv[[Agency]:[Agency]]=$E249)/(TableDiv[[Agency]:[Agency]]=$E249)*(ROW(TableDiv[Agency])-ROW(TableDiv[[#Headers],[Agency]])),COLUMNS($F$7:O$7))))</f>
        <v>0</v>
      </c>
      <c r="P249" s="2223" cm="1">
        <f t="array" ref="P249">IF($D249&lt;COLUMNS($F$7:P$7),"",INDEX(TableDiv[[GASB]:[GASB]],_xlfn.AGGREGATE(15,3,(TableDiv[[Agency]:[Agency]]=$E249)/(TableDiv[[Agency]:[Agency]]=$E249)*(ROW(TableDiv[Agency])-ROW(TableDiv[[#Headers],[Agency]])),COLUMNS($F$7:P$7))))</f>
        <v>0</v>
      </c>
      <c r="Q249" s="2223" cm="1">
        <f t="array" ref="Q249">IF($D249&lt;COLUMNS($F$7:Q$7),"",INDEX(TableDiv[[GASB]:[GASB]],_xlfn.AGGREGATE(15,3,(TableDiv[[Agency]:[Agency]]=$E249)/(TableDiv[[Agency]:[Agency]]=$E249)*(ROW(TableDiv[Agency])-ROW(TableDiv[[#Headers],[Agency]])),COLUMNS($F$7:Q$7))))</f>
        <v>0</v>
      </c>
      <c r="R249" s="2223" cm="1">
        <f t="array" ref="R249">IF($D249&lt;COLUMNS($F$7:R$7),"",INDEX(TableDiv[[GASB]:[GASB]],_xlfn.AGGREGATE(15,3,(TableDiv[[Agency]:[Agency]]=$E249)/(TableDiv[[Agency]:[Agency]]=$E249)*(ROW(TableDiv[Agency])-ROW(TableDiv[[#Headers],[Agency]])),COLUMNS($F$7:R$7))))</f>
        <v>0</v>
      </c>
      <c r="S249" s="2223" cm="1">
        <f t="array" ref="S249">IF($D249&lt;COLUMNS($F$7:S$7),"",INDEX(TableDiv[[GASB]:[GASB]],_xlfn.AGGREGATE(15,3,(TableDiv[[Agency]:[Agency]]=$E249)/(TableDiv[[Agency]:[Agency]]=$E249)*(ROW(TableDiv[Agency])-ROW(TableDiv[[#Headers],[Agency]])),COLUMNS($F$7:S$7))))</f>
        <v>0</v>
      </c>
      <c r="T249" s="2223" cm="1">
        <f t="array" ref="T249">IF($D249&lt;COLUMNS($F$7:T$7),"",INDEX(TableDiv[[GASB]:[GASB]],_xlfn.AGGREGATE(15,3,(TableDiv[[Agency]:[Agency]]=$E249)/(TableDiv[[Agency]:[Agency]]=$E249)*(ROW(TableDiv[Agency])-ROW(TableDiv[[#Headers],[Agency]])),COLUMNS($F$7:T$7))))</f>
        <v>0</v>
      </c>
      <c r="U249" s="2223" cm="1">
        <f t="array" ref="U249">IF($D249&lt;COLUMNS($F$7:U$7),"",INDEX(TableDiv[[GASB]:[GASB]],_xlfn.AGGREGATE(15,3,(TableDiv[[Agency]:[Agency]]=$E249)/(TableDiv[[Agency]:[Agency]]=$E249)*(ROW(TableDiv[Agency])-ROW(TableDiv[[#Headers],[Agency]])),COLUMNS($F$7:U$7))))</f>
        <v>0</v>
      </c>
      <c r="V249" s="2223" cm="1">
        <f t="array" ref="V249">IF($D249&lt;COLUMNS($F$7:V$7),"",INDEX(TableDiv[[GASB]:[GASB]],_xlfn.AGGREGATE(15,3,(TableDiv[[Agency]:[Agency]]=$E249)/(TableDiv[[Agency]:[Agency]]=$E249)*(ROW(TableDiv[Agency])-ROW(TableDiv[[#Headers],[Agency]])),COLUMNS($F$7:V$7))))</f>
        <v>0</v>
      </c>
      <c r="W249" s="2223" cm="1">
        <f t="array" ref="W249">IF($D249&lt;COLUMNS($F$7:W$7),"",INDEX(TableDiv[[GASB]:[GASB]],_xlfn.AGGREGATE(15,3,(TableDiv[[Agency]:[Agency]]=$E249)/(TableDiv[[Agency]:[Agency]]=$E249)*(ROW(TableDiv[Agency])-ROW(TableDiv[[#Headers],[Agency]])),COLUMNS($F$7:W$7))))</f>
        <v>0</v>
      </c>
      <c r="X249" s="2223" cm="1">
        <f t="array" ref="X249">IF($D249&lt;COLUMNS($F$7:X$7),"",INDEX(TableDiv[[GASB]:[GASB]],_xlfn.AGGREGATE(15,3,(TableDiv[[Agency]:[Agency]]=$E249)/(TableDiv[[Agency]:[Agency]]=$E249)*(ROW(TableDiv[Agency])-ROW(TableDiv[[#Headers],[Agency]])),COLUMNS($F$7:X$7))))</f>
        <v>0</v>
      </c>
      <c r="Y249" s="2223" cm="1">
        <f t="array" ref="Y249">IF($D249&lt;COLUMNS($F$7:Y$7),"",INDEX(TableDiv[[GASB]:[GASB]],_xlfn.AGGREGATE(15,3,(TableDiv[[Agency]:[Agency]]=$E249)/(TableDiv[[Agency]:[Agency]]=$E249)*(ROW(TableDiv[Agency])-ROW(TableDiv[[#Headers],[Agency]])),COLUMNS($F$7:Y$7))))</f>
        <v>0</v>
      </c>
      <c r="Z249" s="2223" cm="1">
        <f t="array" ref="Z249">IF($D249&lt;COLUMNS($F$7:Z$7),"",INDEX(TableDiv[[GASB]:[GASB]],_xlfn.AGGREGATE(15,3,(TableDiv[[Agency]:[Agency]]=$E249)/(TableDiv[[Agency]:[Agency]]=$E249)*(ROW(TableDiv[Agency])-ROW(TableDiv[[#Headers],[Agency]])),COLUMNS($F$7:Z$7))))</f>
        <v>0</v>
      </c>
      <c r="AA249" s="2223" cm="1">
        <f t="array" ref="AA249">IF($D249&lt;COLUMNS($F$7:AA$7),"",INDEX(TableDiv[[GASB]:[GASB]],_xlfn.AGGREGATE(15,3,(TableDiv[[Agency]:[Agency]]=$E249)/(TableDiv[[Agency]:[Agency]]=$E249)*(ROW(TableDiv[Agency])-ROW(TableDiv[[#Headers],[Agency]])),COLUMNS($F$7:AA$7))))</f>
        <v>0</v>
      </c>
      <c r="AB249" s="2223" cm="1">
        <f t="array" ref="AB249">IF($D249&lt;COLUMNS($F$7:AB$7),"",INDEX(TableDiv[[GASB]:[GASB]],_xlfn.AGGREGATE(15,3,(TableDiv[[Agency]:[Agency]]=$E249)/(TableDiv[[Agency]:[Agency]]=$E249)*(ROW(TableDiv[Agency])-ROW(TableDiv[[#Headers],[Agency]])),COLUMNS($F$7:AB$7))))</f>
        <v>0</v>
      </c>
      <c r="AC249" s="2223" cm="1">
        <f t="array" ref="AC249">IF($D249&lt;COLUMNS($F$7:AC$7),"",INDEX(TableDiv[[GASB]:[GASB]],_xlfn.AGGREGATE(15,3,(TableDiv[[Agency]:[Agency]]=$E249)/(TableDiv[[Agency]:[Agency]]=$E249)*(ROW(TableDiv[Agency])-ROW(TableDiv[[#Headers],[Agency]])),COLUMNS($F$7:AC$7))))</f>
        <v>0</v>
      </c>
      <c r="AD249" s="2223" cm="1">
        <f t="array" ref="AD249">IF($D249&lt;COLUMNS($F$7:AD$7),"",INDEX(TableDiv[[GASB]:[GASB]],_xlfn.AGGREGATE(15,3,(TableDiv[[Agency]:[Agency]]=$E249)/(TableDiv[[Agency]:[Agency]]=$E249)*(ROW(TableDiv[Agency])-ROW(TableDiv[[#Headers],[Agency]])),COLUMNS($F$7:AD$7))))</f>
        <v>0</v>
      </c>
      <c r="AE249" s="2223" cm="1">
        <f t="array" ref="AE249">IF($D249&lt;COLUMNS($F$7:AE$7),"",INDEX(TableDiv[[GASB]:[GASB]],_xlfn.AGGREGATE(15,3,(TableDiv[[Agency]:[Agency]]=$E249)/(TableDiv[[Agency]:[Agency]]=$E249)*(ROW(TableDiv[Agency])-ROW(TableDiv[[#Headers],[Agency]])),COLUMNS($F$7:AE$7))))</f>
        <v>0</v>
      </c>
      <c r="AF249" s="2223" cm="1">
        <f t="array" ref="AF249">IF($D249&lt;COLUMNS($F$7:AF$7),"",INDEX(TableDiv[[GASB]:[GASB]],_xlfn.AGGREGATE(15,3,(TableDiv[[Agency]:[Agency]]=$E249)/(TableDiv[[Agency]:[Agency]]=$E249)*(ROW(TableDiv[Agency])-ROW(TableDiv[[#Headers],[Agency]])),COLUMNS($F$7:AF$7))))</f>
        <v>0</v>
      </c>
      <c r="AG249" s="2223" cm="1">
        <f t="array" ref="AG249">IF($D249&lt;COLUMNS($F$7:AG$7),"",INDEX(TableDiv[[GASB]:[GASB]],_xlfn.AGGREGATE(15,3,(TableDiv[[Agency]:[Agency]]=$E249)/(TableDiv[[Agency]:[Agency]]=$E249)*(ROW(TableDiv[Agency])-ROW(TableDiv[[#Headers],[Agency]])),COLUMNS($F$7:AG$7))))</f>
        <v>0</v>
      </c>
      <c r="AH249" s="2223" cm="1">
        <f t="array" ref="AH249">IF($D249&lt;COLUMNS($F$7:AH$7),"",INDEX(TableDiv[[GASB]:[GASB]],_xlfn.AGGREGATE(15,3,(TableDiv[[Agency]:[Agency]]=$E249)/(TableDiv[[Agency]:[Agency]]=$E249)*(ROW(TableDiv[Agency])-ROW(TableDiv[[#Headers],[Agency]])),COLUMNS($F$7:AH$7))))</f>
        <v>0</v>
      </c>
      <c r="AI249" s="2223" cm="1">
        <f t="array" ref="AI249">IF($D249&lt;COLUMNS($F$7:AI$7),"",INDEX(TableDiv[[GASB]:[GASB]],_xlfn.AGGREGATE(15,3,(TableDiv[[Agency]:[Agency]]=$E249)/(TableDiv[[Agency]:[Agency]]=$E249)*(ROW(TableDiv[Agency])-ROW(TableDiv[[#Headers],[Agency]])),COLUMNS($F$7:AI$7))))</f>
        <v>0</v>
      </c>
      <c r="AJ249" s="2223" cm="1">
        <f t="array" ref="AJ249">IF($D249&lt;COLUMNS($F$7:AJ$7),"",INDEX(TableDiv[[GASB]:[GASB]],_xlfn.AGGREGATE(15,3,(TableDiv[[Agency]:[Agency]]=$E249)/(TableDiv[[Agency]:[Agency]]=$E249)*(ROW(TableDiv[Agency])-ROW(TableDiv[[#Headers],[Agency]])),COLUMNS($F$7:AJ$7))))</f>
        <v>0</v>
      </c>
      <c r="AK249" s="2223" t="str" cm="1">
        <f t="array" ref="AK249">IF($D249&lt;COLUMNS($F$7:AK$7),"",INDEX(TableDiv[[GASB]:[GASB]],_xlfn.AGGREGATE(15,3,(TableDiv[[Agency]:[Agency]]=$E249)/(TableDiv[[Agency]:[Agency]]=$E249)*(ROW(TableDiv[Agency])-ROW(TableDiv[[#Headers],[Agency]])),COLUMNS($F$7:AK$7))))</f>
        <v/>
      </c>
      <c r="AL249" s="2223" t="str" cm="1">
        <f t="array" ref="AL249">IF($D249&lt;COLUMNS($F$7:AL$7),"",INDEX(TableDiv[[GASB]:[GASB]],_xlfn.AGGREGATE(15,3,(TableDiv[[Agency]:[Agency]]=$E249)/(TableDiv[[Agency]:[Agency]]=$E249)*(ROW(TableDiv[Agency])-ROW(TableDiv[[#Headers],[Agency]])),COLUMNS($F$7:AL$7))))</f>
        <v/>
      </c>
      <c r="AM249" s="2223" t="str" cm="1">
        <f t="array" ref="AM249">IF($D249&lt;COLUMNS($F$7:AM$7),"",INDEX(TableDiv[[GASB]:[GASB]],_xlfn.AGGREGATE(15,3,(TableDiv[[Agency]:[Agency]]=$E249)/(TableDiv[[Agency]:[Agency]]=$E249)*(ROW(TableDiv[Agency])-ROW(TableDiv[[#Headers],[Agency]])),COLUMNS($F$7:AM$7))))</f>
        <v/>
      </c>
      <c r="AN249" s="2223"/>
      <c r="AO249" s="2223"/>
      <c r="AP249" s="2223"/>
      <c r="AQ249" s="2223"/>
      <c r="AR249" s="2223"/>
      <c r="AS249" s="2223"/>
    </row>
    <row r="250" spans="1:45" ht="15" x14ac:dyDescent="0.25">
      <c r="A250" s="2219" t="s">
        <v>6465</v>
      </c>
      <c r="B250" s="2219" t="s">
        <v>6358</v>
      </c>
      <c r="C250" s="2223"/>
      <c r="D250" s="2223">
        <f>COUNTIF(TableDiv[Agency],E250)</f>
        <v>31</v>
      </c>
      <c r="E250" s="2230" t="str" cm="1">
        <f t="array" ref="E250">IFERROR(INDEX(TableDiv[Agency],MATCH(0,INDEX(COUNTIF($E$7:E249,TableDiv[Agency]),),0)),"")</f>
        <v/>
      </c>
      <c r="F250" s="2223" cm="1">
        <f t="array" ref="F250">IF($D250&lt;COLUMNS($F$7:F$7),"",INDEX(TableDiv[[GASB]:[GASB]],_xlfn.AGGREGATE(15,3,(TableDiv[[Agency]:[Agency]]=$E250)/(TableDiv[[Agency]:[Agency]]=$E250)*(ROW(TableDiv[Agency])-ROW(TableDiv[[#Headers],[Agency]])),COLUMNS($F$7:F$7))))</f>
        <v>0</v>
      </c>
      <c r="G250" s="2223" cm="1">
        <f t="array" ref="G250">IF($D250&lt;COLUMNS($F$7:G$7),"",INDEX(TableDiv[[GASB]:[GASB]],_xlfn.AGGREGATE(15,3,(TableDiv[[Agency]:[Agency]]=$E250)/(TableDiv[[Agency]:[Agency]]=$E250)*(ROW(TableDiv[Agency])-ROW(TableDiv[[#Headers],[Agency]])),COLUMNS($F$7:G$7))))</f>
        <v>0</v>
      </c>
      <c r="H250" s="2223" cm="1">
        <f t="array" ref="H250">IF($D250&lt;COLUMNS($F$7:H$7),"",INDEX(TableDiv[[GASB]:[GASB]],_xlfn.AGGREGATE(15,3,(TableDiv[[Agency]:[Agency]]=$E250)/(TableDiv[[Agency]:[Agency]]=$E250)*(ROW(TableDiv[Agency])-ROW(TableDiv[[#Headers],[Agency]])),COLUMNS($F$7:H$7))))</f>
        <v>0</v>
      </c>
      <c r="I250" s="2223" cm="1">
        <f t="array" ref="I250">IF($D250&lt;COLUMNS($F$7:I$7),"",INDEX(TableDiv[[GASB]:[GASB]],_xlfn.AGGREGATE(15,3,(TableDiv[[Agency]:[Agency]]=$E250)/(TableDiv[[Agency]:[Agency]]=$E250)*(ROW(TableDiv[Agency])-ROW(TableDiv[[#Headers],[Agency]])),COLUMNS($F$7:I$7))))</f>
        <v>0</v>
      </c>
      <c r="J250" s="2223" cm="1">
        <f t="array" ref="J250">IF($D250&lt;COLUMNS($F$7:J$7),"",INDEX(TableDiv[[GASB]:[GASB]],_xlfn.AGGREGATE(15,3,(TableDiv[[Agency]:[Agency]]=$E250)/(TableDiv[[Agency]:[Agency]]=$E250)*(ROW(TableDiv[Agency])-ROW(TableDiv[[#Headers],[Agency]])),COLUMNS($F$7:J$7))))</f>
        <v>0</v>
      </c>
      <c r="K250" s="2223" cm="1">
        <f t="array" ref="K250">IF($D250&lt;COLUMNS($F$7:K$7),"",INDEX(TableDiv[[GASB]:[GASB]],_xlfn.AGGREGATE(15,3,(TableDiv[[Agency]:[Agency]]=$E250)/(TableDiv[[Agency]:[Agency]]=$E250)*(ROW(TableDiv[Agency])-ROW(TableDiv[[#Headers],[Agency]])),COLUMNS($F$7:K$7))))</f>
        <v>0</v>
      </c>
      <c r="L250" s="2223" cm="1">
        <f t="array" ref="L250">IF($D250&lt;COLUMNS($F$7:L$7),"",INDEX(TableDiv[[GASB]:[GASB]],_xlfn.AGGREGATE(15,3,(TableDiv[[Agency]:[Agency]]=$E250)/(TableDiv[[Agency]:[Agency]]=$E250)*(ROW(TableDiv[Agency])-ROW(TableDiv[[#Headers],[Agency]])),COLUMNS($F$7:L$7))))</f>
        <v>0</v>
      </c>
      <c r="M250" s="2223" cm="1">
        <f t="array" ref="M250">IF($D250&lt;COLUMNS($F$7:M$7),"",INDEX(TableDiv[[GASB]:[GASB]],_xlfn.AGGREGATE(15,3,(TableDiv[[Agency]:[Agency]]=$E250)/(TableDiv[[Agency]:[Agency]]=$E250)*(ROW(TableDiv[Agency])-ROW(TableDiv[[#Headers],[Agency]])),COLUMNS($F$7:M$7))))</f>
        <v>0</v>
      </c>
      <c r="N250" s="2223" cm="1">
        <f t="array" ref="N250">IF($D250&lt;COLUMNS($F$7:N$7),"",INDEX(TableDiv[[GASB]:[GASB]],_xlfn.AGGREGATE(15,3,(TableDiv[[Agency]:[Agency]]=$E250)/(TableDiv[[Agency]:[Agency]]=$E250)*(ROW(TableDiv[Agency])-ROW(TableDiv[[#Headers],[Agency]])),COLUMNS($F$7:N$7))))</f>
        <v>0</v>
      </c>
      <c r="O250" s="2223" cm="1">
        <f t="array" ref="O250">IF($D250&lt;COLUMNS($F$7:O$7),"",INDEX(TableDiv[[GASB]:[GASB]],_xlfn.AGGREGATE(15,3,(TableDiv[[Agency]:[Agency]]=$E250)/(TableDiv[[Agency]:[Agency]]=$E250)*(ROW(TableDiv[Agency])-ROW(TableDiv[[#Headers],[Agency]])),COLUMNS($F$7:O$7))))</f>
        <v>0</v>
      </c>
      <c r="P250" s="2223" cm="1">
        <f t="array" ref="P250">IF($D250&lt;COLUMNS($F$7:P$7),"",INDEX(TableDiv[[GASB]:[GASB]],_xlfn.AGGREGATE(15,3,(TableDiv[[Agency]:[Agency]]=$E250)/(TableDiv[[Agency]:[Agency]]=$E250)*(ROW(TableDiv[Agency])-ROW(TableDiv[[#Headers],[Agency]])),COLUMNS($F$7:P$7))))</f>
        <v>0</v>
      </c>
      <c r="Q250" s="2223" cm="1">
        <f t="array" ref="Q250">IF($D250&lt;COLUMNS($F$7:Q$7),"",INDEX(TableDiv[[GASB]:[GASB]],_xlfn.AGGREGATE(15,3,(TableDiv[[Agency]:[Agency]]=$E250)/(TableDiv[[Agency]:[Agency]]=$E250)*(ROW(TableDiv[Agency])-ROW(TableDiv[[#Headers],[Agency]])),COLUMNS($F$7:Q$7))))</f>
        <v>0</v>
      </c>
      <c r="R250" s="2223" cm="1">
        <f t="array" ref="R250">IF($D250&lt;COLUMNS($F$7:R$7),"",INDEX(TableDiv[[GASB]:[GASB]],_xlfn.AGGREGATE(15,3,(TableDiv[[Agency]:[Agency]]=$E250)/(TableDiv[[Agency]:[Agency]]=$E250)*(ROW(TableDiv[Agency])-ROW(TableDiv[[#Headers],[Agency]])),COLUMNS($F$7:R$7))))</f>
        <v>0</v>
      </c>
      <c r="S250" s="2223" cm="1">
        <f t="array" ref="S250">IF($D250&lt;COLUMNS($F$7:S$7),"",INDEX(TableDiv[[GASB]:[GASB]],_xlfn.AGGREGATE(15,3,(TableDiv[[Agency]:[Agency]]=$E250)/(TableDiv[[Agency]:[Agency]]=$E250)*(ROW(TableDiv[Agency])-ROW(TableDiv[[#Headers],[Agency]])),COLUMNS($F$7:S$7))))</f>
        <v>0</v>
      </c>
      <c r="T250" s="2223" cm="1">
        <f t="array" ref="T250">IF($D250&lt;COLUMNS($F$7:T$7),"",INDEX(TableDiv[[GASB]:[GASB]],_xlfn.AGGREGATE(15,3,(TableDiv[[Agency]:[Agency]]=$E250)/(TableDiv[[Agency]:[Agency]]=$E250)*(ROW(TableDiv[Agency])-ROW(TableDiv[[#Headers],[Agency]])),COLUMNS($F$7:T$7))))</f>
        <v>0</v>
      </c>
      <c r="U250" s="2223" cm="1">
        <f t="array" ref="U250">IF($D250&lt;COLUMNS($F$7:U$7),"",INDEX(TableDiv[[GASB]:[GASB]],_xlfn.AGGREGATE(15,3,(TableDiv[[Agency]:[Agency]]=$E250)/(TableDiv[[Agency]:[Agency]]=$E250)*(ROW(TableDiv[Agency])-ROW(TableDiv[[#Headers],[Agency]])),COLUMNS($F$7:U$7))))</f>
        <v>0</v>
      </c>
      <c r="V250" s="2223" cm="1">
        <f t="array" ref="V250">IF($D250&lt;COLUMNS($F$7:V$7),"",INDEX(TableDiv[[GASB]:[GASB]],_xlfn.AGGREGATE(15,3,(TableDiv[[Agency]:[Agency]]=$E250)/(TableDiv[[Agency]:[Agency]]=$E250)*(ROW(TableDiv[Agency])-ROW(TableDiv[[#Headers],[Agency]])),COLUMNS($F$7:V$7))))</f>
        <v>0</v>
      </c>
      <c r="W250" s="2223" cm="1">
        <f t="array" ref="W250">IF($D250&lt;COLUMNS($F$7:W$7),"",INDEX(TableDiv[[GASB]:[GASB]],_xlfn.AGGREGATE(15,3,(TableDiv[[Agency]:[Agency]]=$E250)/(TableDiv[[Agency]:[Agency]]=$E250)*(ROW(TableDiv[Agency])-ROW(TableDiv[[#Headers],[Agency]])),COLUMNS($F$7:W$7))))</f>
        <v>0</v>
      </c>
      <c r="X250" s="2223" cm="1">
        <f t="array" ref="X250">IF($D250&lt;COLUMNS($F$7:X$7),"",INDEX(TableDiv[[GASB]:[GASB]],_xlfn.AGGREGATE(15,3,(TableDiv[[Agency]:[Agency]]=$E250)/(TableDiv[[Agency]:[Agency]]=$E250)*(ROW(TableDiv[Agency])-ROW(TableDiv[[#Headers],[Agency]])),COLUMNS($F$7:X$7))))</f>
        <v>0</v>
      </c>
      <c r="Y250" s="2223" cm="1">
        <f t="array" ref="Y250">IF($D250&lt;COLUMNS($F$7:Y$7),"",INDEX(TableDiv[[GASB]:[GASB]],_xlfn.AGGREGATE(15,3,(TableDiv[[Agency]:[Agency]]=$E250)/(TableDiv[[Agency]:[Agency]]=$E250)*(ROW(TableDiv[Agency])-ROW(TableDiv[[#Headers],[Agency]])),COLUMNS($F$7:Y$7))))</f>
        <v>0</v>
      </c>
      <c r="Z250" s="2223" cm="1">
        <f t="array" ref="Z250">IF($D250&lt;COLUMNS($F$7:Z$7),"",INDEX(TableDiv[[GASB]:[GASB]],_xlfn.AGGREGATE(15,3,(TableDiv[[Agency]:[Agency]]=$E250)/(TableDiv[[Agency]:[Agency]]=$E250)*(ROW(TableDiv[Agency])-ROW(TableDiv[[#Headers],[Agency]])),COLUMNS($F$7:Z$7))))</f>
        <v>0</v>
      </c>
      <c r="AA250" s="2223" cm="1">
        <f t="array" ref="AA250">IF($D250&lt;COLUMNS($F$7:AA$7),"",INDEX(TableDiv[[GASB]:[GASB]],_xlfn.AGGREGATE(15,3,(TableDiv[[Agency]:[Agency]]=$E250)/(TableDiv[[Agency]:[Agency]]=$E250)*(ROW(TableDiv[Agency])-ROW(TableDiv[[#Headers],[Agency]])),COLUMNS($F$7:AA$7))))</f>
        <v>0</v>
      </c>
      <c r="AB250" s="2223" cm="1">
        <f t="array" ref="AB250">IF($D250&lt;COLUMNS($F$7:AB$7),"",INDEX(TableDiv[[GASB]:[GASB]],_xlfn.AGGREGATE(15,3,(TableDiv[[Agency]:[Agency]]=$E250)/(TableDiv[[Agency]:[Agency]]=$E250)*(ROW(TableDiv[Agency])-ROW(TableDiv[[#Headers],[Agency]])),COLUMNS($F$7:AB$7))))</f>
        <v>0</v>
      </c>
      <c r="AC250" s="2223" cm="1">
        <f t="array" ref="AC250">IF($D250&lt;COLUMNS($F$7:AC$7),"",INDEX(TableDiv[[GASB]:[GASB]],_xlfn.AGGREGATE(15,3,(TableDiv[[Agency]:[Agency]]=$E250)/(TableDiv[[Agency]:[Agency]]=$E250)*(ROW(TableDiv[Agency])-ROW(TableDiv[[#Headers],[Agency]])),COLUMNS($F$7:AC$7))))</f>
        <v>0</v>
      </c>
      <c r="AD250" s="2223" cm="1">
        <f t="array" ref="AD250">IF($D250&lt;COLUMNS($F$7:AD$7),"",INDEX(TableDiv[[GASB]:[GASB]],_xlfn.AGGREGATE(15,3,(TableDiv[[Agency]:[Agency]]=$E250)/(TableDiv[[Agency]:[Agency]]=$E250)*(ROW(TableDiv[Agency])-ROW(TableDiv[[#Headers],[Agency]])),COLUMNS($F$7:AD$7))))</f>
        <v>0</v>
      </c>
      <c r="AE250" s="2223" cm="1">
        <f t="array" ref="AE250">IF($D250&lt;COLUMNS($F$7:AE$7),"",INDEX(TableDiv[[GASB]:[GASB]],_xlfn.AGGREGATE(15,3,(TableDiv[[Agency]:[Agency]]=$E250)/(TableDiv[[Agency]:[Agency]]=$E250)*(ROW(TableDiv[Agency])-ROW(TableDiv[[#Headers],[Agency]])),COLUMNS($F$7:AE$7))))</f>
        <v>0</v>
      </c>
      <c r="AF250" s="2223" cm="1">
        <f t="array" ref="AF250">IF($D250&lt;COLUMNS($F$7:AF$7),"",INDEX(TableDiv[[GASB]:[GASB]],_xlfn.AGGREGATE(15,3,(TableDiv[[Agency]:[Agency]]=$E250)/(TableDiv[[Agency]:[Agency]]=$E250)*(ROW(TableDiv[Agency])-ROW(TableDiv[[#Headers],[Agency]])),COLUMNS($F$7:AF$7))))</f>
        <v>0</v>
      </c>
      <c r="AG250" s="2223" cm="1">
        <f t="array" ref="AG250">IF($D250&lt;COLUMNS($F$7:AG$7),"",INDEX(TableDiv[[GASB]:[GASB]],_xlfn.AGGREGATE(15,3,(TableDiv[[Agency]:[Agency]]=$E250)/(TableDiv[[Agency]:[Agency]]=$E250)*(ROW(TableDiv[Agency])-ROW(TableDiv[[#Headers],[Agency]])),COLUMNS($F$7:AG$7))))</f>
        <v>0</v>
      </c>
      <c r="AH250" s="2223" cm="1">
        <f t="array" ref="AH250">IF($D250&lt;COLUMNS($F$7:AH$7),"",INDEX(TableDiv[[GASB]:[GASB]],_xlfn.AGGREGATE(15,3,(TableDiv[[Agency]:[Agency]]=$E250)/(TableDiv[[Agency]:[Agency]]=$E250)*(ROW(TableDiv[Agency])-ROW(TableDiv[[#Headers],[Agency]])),COLUMNS($F$7:AH$7))))</f>
        <v>0</v>
      </c>
      <c r="AI250" s="2223" cm="1">
        <f t="array" ref="AI250">IF($D250&lt;COLUMNS($F$7:AI$7),"",INDEX(TableDiv[[GASB]:[GASB]],_xlfn.AGGREGATE(15,3,(TableDiv[[Agency]:[Agency]]=$E250)/(TableDiv[[Agency]:[Agency]]=$E250)*(ROW(TableDiv[Agency])-ROW(TableDiv[[#Headers],[Agency]])),COLUMNS($F$7:AI$7))))</f>
        <v>0</v>
      </c>
      <c r="AJ250" s="2223" cm="1">
        <f t="array" ref="AJ250">IF($D250&lt;COLUMNS($F$7:AJ$7),"",INDEX(TableDiv[[GASB]:[GASB]],_xlfn.AGGREGATE(15,3,(TableDiv[[Agency]:[Agency]]=$E250)/(TableDiv[[Agency]:[Agency]]=$E250)*(ROW(TableDiv[Agency])-ROW(TableDiv[[#Headers],[Agency]])),COLUMNS($F$7:AJ$7))))</f>
        <v>0</v>
      </c>
      <c r="AK250" s="2223" t="str" cm="1">
        <f t="array" ref="AK250">IF($D250&lt;COLUMNS($F$7:AK$7),"",INDEX(TableDiv[[GASB]:[GASB]],_xlfn.AGGREGATE(15,3,(TableDiv[[Agency]:[Agency]]=$E250)/(TableDiv[[Agency]:[Agency]]=$E250)*(ROW(TableDiv[Agency])-ROW(TableDiv[[#Headers],[Agency]])),COLUMNS($F$7:AK$7))))</f>
        <v/>
      </c>
      <c r="AL250" s="2223" t="str" cm="1">
        <f t="array" ref="AL250">IF($D250&lt;COLUMNS($F$7:AL$7),"",INDEX(TableDiv[[GASB]:[GASB]],_xlfn.AGGREGATE(15,3,(TableDiv[[Agency]:[Agency]]=$E250)/(TableDiv[[Agency]:[Agency]]=$E250)*(ROW(TableDiv[Agency])-ROW(TableDiv[[#Headers],[Agency]])),COLUMNS($F$7:AL$7))))</f>
        <v/>
      </c>
      <c r="AM250" s="2223" t="str" cm="1">
        <f t="array" ref="AM250">IF($D250&lt;COLUMNS($F$7:AM$7),"",INDEX(TableDiv[[GASB]:[GASB]],_xlfn.AGGREGATE(15,3,(TableDiv[[Agency]:[Agency]]=$E250)/(TableDiv[[Agency]:[Agency]]=$E250)*(ROW(TableDiv[Agency])-ROW(TableDiv[[#Headers],[Agency]])),COLUMNS($F$7:AM$7))))</f>
        <v/>
      </c>
      <c r="AN250" s="2223"/>
      <c r="AO250" s="2223"/>
      <c r="AP250" s="2223"/>
      <c r="AQ250" s="2223"/>
      <c r="AR250" s="2223"/>
      <c r="AS250" s="2223"/>
    </row>
    <row r="251" spans="1:45" ht="15" x14ac:dyDescent="0.25">
      <c r="A251" s="2219" t="s">
        <v>6465</v>
      </c>
      <c r="B251" s="2219" t="s">
        <v>6393</v>
      </c>
      <c r="C251" s="2223"/>
      <c r="D251" s="2223">
        <f>COUNTIF(TableDiv[Agency],E251)</f>
        <v>31</v>
      </c>
      <c r="E251" s="2230" t="str" cm="1">
        <f t="array" ref="E251">IFERROR(INDEX(TableDiv[Agency],MATCH(0,INDEX(COUNTIF($E$7:E250,TableDiv[Agency]),),0)),"")</f>
        <v/>
      </c>
      <c r="F251" s="2223" cm="1">
        <f t="array" ref="F251">IF($D251&lt;COLUMNS($F$7:F$7),"",INDEX(TableDiv[[GASB]:[GASB]],_xlfn.AGGREGATE(15,3,(TableDiv[[Agency]:[Agency]]=$E251)/(TableDiv[[Agency]:[Agency]]=$E251)*(ROW(TableDiv[Agency])-ROW(TableDiv[[#Headers],[Agency]])),COLUMNS($F$7:F$7))))</f>
        <v>0</v>
      </c>
      <c r="G251" s="2223" cm="1">
        <f t="array" ref="G251">IF($D251&lt;COLUMNS($F$7:G$7),"",INDEX(TableDiv[[GASB]:[GASB]],_xlfn.AGGREGATE(15,3,(TableDiv[[Agency]:[Agency]]=$E251)/(TableDiv[[Agency]:[Agency]]=$E251)*(ROW(TableDiv[Agency])-ROW(TableDiv[[#Headers],[Agency]])),COLUMNS($F$7:G$7))))</f>
        <v>0</v>
      </c>
      <c r="H251" s="2223" cm="1">
        <f t="array" ref="H251">IF($D251&lt;COLUMNS($F$7:H$7),"",INDEX(TableDiv[[GASB]:[GASB]],_xlfn.AGGREGATE(15,3,(TableDiv[[Agency]:[Agency]]=$E251)/(TableDiv[[Agency]:[Agency]]=$E251)*(ROW(TableDiv[Agency])-ROW(TableDiv[[#Headers],[Agency]])),COLUMNS($F$7:H$7))))</f>
        <v>0</v>
      </c>
      <c r="I251" s="2223" cm="1">
        <f t="array" ref="I251">IF($D251&lt;COLUMNS($F$7:I$7),"",INDEX(TableDiv[[GASB]:[GASB]],_xlfn.AGGREGATE(15,3,(TableDiv[[Agency]:[Agency]]=$E251)/(TableDiv[[Agency]:[Agency]]=$E251)*(ROW(TableDiv[Agency])-ROW(TableDiv[[#Headers],[Agency]])),COLUMNS($F$7:I$7))))</f>
        <v>0</v>
      </c>
      <c r="J251" s="2223" cm="1">
        <f t="array" ref="J251">IF($D251&lt;COLUMNS($F$7:J$7),"",INDEX(TableDiv[[GASB]:[GASB]],_xlfn.AGGREGATE(15,3,(TableDiv[[Agency]:[Agency]]=$E251)/(TableDiv[[Agency]:[Agency]]=$E251)*(ROW(TableDiv[Agency])-ROW(TableDiv[[#Headers],[Agency]])),COLUMNS($F$7:J$7))))</f>
        <v>0</v>
      </c>
      <c r="K251" s="2223" cm="1">
        <f t="array" ref="K251">IF($D251&lt;COLUMNS($F$7:K$7),"",INDEX(TableDiv[[GASB]:[GASB]],_xlfn.AGGREGATE(15,3,(TableDiv[[Agency]:[Agency]]=$E251)/(TableDiv[[Agency]:[Agency]]=$E251)*(ROW(TableDiv[Agency])-ROW(TableDiv[[#Headers],[Agency]])),COLUMNS($F$7:K$7))))</f>
        <v>0</v>
      </c>
      <c r="L251" s="2223" cm="1">
        <f t="array" ref="L251">IF($D251&lt;COLUMNS($F$7:L$7),"",INDEX(TableDiv[[GASB]:[GASB]],_xlfn.AGGREGATE(15,3,(TableDiv[[Agency]:[Agency]]=$E251)/(TableDiv[[Agency]:[Agency]]=$E251)*(ROW(TableDiv[Agency])-ROW(TableDiv[[#Headers],[Agency]])),COLUMNS($F$7:L$7))))</f>
        <v>0</v>
      </c>
      <c r="M251" s="2223" cm="1">
        <f t="array" ref="M251">IF($D251&lt;COLUMNS($F$7:M$7),"",INDEX(TableDiv[[GASB]:[GASB]],_xlfn.AGGREGATE(15,3,(TableDiv[[Agency]:[Agency]]=$E251)/(TableDiv[[Agency]:[Agency]]=$E251)*(ROW(TableDiv[Agency])-ROW(TableDiv[[#Headers],[Agency]])),COLUMNS($F$7:M$7))))</f>
        <v>0</v>
      </c>
      <c r="N251" s="2223" cm="1">
        <f t="array" ref="N251">IF($D251&lt;COLUMNS($F$7:N$7),"",INDEX(TableDiv[[GASB]:[GASB]],_xlfn.AGGREGATE(15,3,(TableDiv[[Agency]:[Agency]]=$E251)/(TableDiv[[Agency]:[Agency]]=$E251)*(ROW(TableDiv[Agency])-ROW(TableDiv[[#Headers],[Agency]])),COLUMNS($F$7:N$7))))</f>
        <v>0</v>
      </c>
      <c r="O251" s="2223" cm="1">
        <f t="array" ref="O251">IF($D251&lt;COLUMNS($F$7:O$7),"",INDEX(TableDiv[[GASB]:[GASB]],_xlfn.AGGREGATE(15,3,(TableDiv[[Agency]:[Agency]]=$E251)/(TableDiv[[Agency]:[Agency]]=$E251)*(ROW(TableDiv[Agency])-ROW(TableDiv[[#Headers],[Agency]])),COLUMNS($F$7:O$7))))</f>
        <v>0</v>
      </c>
      <c r="P251" s="2223" cm="1">
        <f t="array" ref="P251">IF($D251&lt;COLUMNS($F$7:P$7),"",INDEX(TableDiv[[GASB]:[GASB]],_xlfn.AGGREGATE(15,3,(TableDiv[[Agency]:[Agency]]=$E251)/(TableDiv[[Agency]:[Agency]]=$E251)*(ROW(TableDiv[Agency])-ROW(TableDiv[[#Headers],[Agency]])),COLUMNS($F$7:P$7))))</f>
        <v>0</v>
      </c>
      <c r="Q251" s="2223" cm="1">
        <f t="array" ref="Q251">IF($D251&lt;COLUMNS($F$7:Q$7),"",INDEX(TableDiv[[GASB]:[GASB]],_xlfn.AGGREGATE(15,3,(TableDiv[[Agency]:[Agency]]=$E251)/(TableDiv[[Agency]:[Agency]]=$E251)*(ROW(TableDiv[Agency])-ROW(TableDiv[[#Headers],[Agency]])),COLUMNS($F$7:Q$7))))</f>
        <v>0</v>
      </c>
      <c r="R251" s="2223" cm="1">
        <f t="array" ref="R251">IF($D251&lt;COLUMNS($F$7:R$7),"",INDEX(TableDiv[[GASB]:[GASB]],_xlfn.AGGREGATE(15,3,(TableDiv[[Agency]:[Agency]]=$E251)/(TableDiv[[Agency]:[Agency]]=$E251)*(ROW(TableDiv[Agency])-ROW(TableDiv[[#Headers],[Agency]])),COLUMNS($F$7:R$7))))</f>
        <v>0</v>
      </c>
      <c r="S251" s="2223" cm="1">
        <f t="array" ref="S251">IF($D251&lt;COLUMNS($F$7:S$7),"",INDEX(TableDiv[[GASB]:[GASB]],_xlfn.AGGREGATE(15,3,(TableDiv[[Agency]:[Agency]]=$E251)/(TableDiv[[Agency]:[Agency]]=$E251)*(ROW(TableDiv[Agency])-ROW(TableDiv[[#Headers],[Agency]])),COLUMNS($F$7:S$7))))</f>
        <v>0</v>
      </c>
      <c r="T251" s="2223" cm="1">
        <f t="array" ref="T251">IF($D251&lt;COLUMNS($F$7:T$7),"",INDEX(TableDiv[[GASB]:[GASB]],_xlfn.AGGREGATE(15,3,(TableDiv[[Agency]:[Agency]]=$E251)/(TableDiv[[Agency]:[Agency]]=$E251)*(ROW(TableDiv[Agency])-ROW(TableDiv[[#Headers],[Agency]])),COLUMNS($F$7:T$7))))</f>
        <v>0</v>
      </c>
      <c r="U251" s="2223" cm="1">
        <f t="array" ref="U251">IF($D251&lt;COLUMNS($F$7:U$7),"",INDEX(TableDiv[[GASB]:[GASB]],_xlfn.AGGREGATE(15,3,(TableDiv[[Agency]:[Agency]]=$E251)/(TableDiv[[Agency]:[Agency]]=$E251)*(ROW(TableDiv[Agency])-ROW(TableDiv[[#Headers],[Agency]])),COLUMNS($F$7:U$7))))</f>
        <v>0</v>
      </c>
      <c r="V251" s="2223" cm="1">
        <f t="array" ref="V251">IF($D251&lt;COLUMNS($F$7:V$7),"",INDEX(TableDiv[[GASB]:[GASB]],_xlfn.AGGREGATE(15,3,(TableDiv[[Agency]:[Agency]]=$E251)/(TableDiv[[Agency]:[Agency]]=$E251)*(ROW(TableDiv[Agency])-ROW(TableDiv[[#Headers],[Agency]])),COLUMNS($F$7:V$7))))</f>
        <v>0</v>
      </c>
      <c r="W251" s="2223" cm="1">
        <f t="array" ref="W251">IF($D251&lt;COLUMNS($F$7:W$7),"",INDEX(TableDiv[[GASB]:[GASB]],_xlfn.AGGREGATE(15,3,(TableDiv[[Agency]:[Agency]]=$E251)/(TableDiv[[Agency]:[Agency]]=$E251)*(ROW(TableDiv[Agency])-ROW(TableDiv[[#Headers],[Agency]])),COLUMNS($F$7:W$7))))</f>
        <v>0</v>
      </c>
      <c r="X251" s="2223" cm="1">
        <f t="array" ref="X251">IF($D251&lt;COLUMNS($F$7:X$7),"",INDEX(TableDiv[[GASB]:[GASB]],_xlfn.AGGREGATE(15,3,(TableDiv[[Agency]:[Agency]]=$E251)/(TableDiv[[Agency]:[Agency]]=$E251)*(ROW(TableDiv[Agency])-ROW(TableDiv[[#Headers],[Agency]])),COLUMNS($F$7:X$7))))</f>
        <v>0</v>
      </c>
      <c r="Y251" s="2223" cm="1">
        <f t="array" ref="Y251">IF($D251&lt;COLUMNS($F$7:Y$7),"",INDEX(TableDiv[[GASB]:[GASB]],_xlfn.AGGREGATE(15,3,(TableDiv[[Agency]:[Agency]]=$E251)/(TableDiv[[Agency]:[Agency]]=$E251)*(ROW(TableDiv[Agency])-ROW(TableDiv[[#Headers],[Agency]])),COLUMNS($F$7:Y$7))))</f>
        <v>0</v>
      </c>
      <c r="Z251" s="2223" cm="1">
        <f t="array" ref="Z251">IF($D251&lt;COLUMNS($F$7:Z$7),"",INDEX(TableDiv[[GASB]:[GASB]],_xlfn.AGGREGATE(15,3,(TableDiv[[Agency]:[Agency]]=$E251)/(TableDiv[[Agency]:[Agency]]=$E251)*(ROW(TableDiv[Agency])-ROW(TableDiv[[#Headers],[Agency]])),COLUMNS($F$7:Z$7))))</f>
        <v>0</v>
      </c>
      <c r="AA251" s="2223" cm="1">
        <f t="array" ref="AA251">IF($D251&lt;COLUMNS($F$7:AA$7),"",INDEX(TableDiv[[GASB]:[GASB]],_xlfn.AGGREGATE(15,3,(TableDiv[[Agency]:[Agency]]=$E251)/(TableDiv[[Agency]:[Agency]]=$E251)*(ROW(TableDiv[Agency])-ROW(TableDiv[[#Headers],[Agency]])),COLUMNS($F$7:AA$7))))</f>
        <v>0</v>
      </c>
      <c r="AB251" s="2223" cm="1">
        <f t="array" ref="AB251">IF($D251&lt;COLUMNS($F$7:AB$7),"",INDEX(TableDiv[[GASB]:[GASB]],_xlfn.AGGREGATE(15,3,(TableDiv[[Agency]:[Agency]]=$E251)/(TableDiv[[Agency]:[Agency]]=$E251)*(ROW(TableDiv[Agency])-ROW(TableDiv[[#Headers],[Agency]])),COLUMNS($F$7:AB$7))))</f>
        <v>0</v>
      </c>
      <c r="AC251" s="2223" cm="1">
        <f t="array" ref="AC251">IF($D251&lt;COLUMNS($F$7:AC$7),"",INDEX(TableDiv[[GASB]:[GASB]],_xlfn.AGGREGATE(15,3,(TableDiv[[Agency]:[Agency]]=$E251)/(TableDiv[[Agency]:[Agency]]=$E251)*(ROW(TableDiv[Agency])-ROW(TableDiv[[#Headers],[Agency]])),COLUMNS($F$7:AC$7))))</f>
        <v>0</v>
      </c>
      <c r="AD251" s="2223" cm="1">
        <f t="array" ref="AD251">IF($D251&lt;COLUMNS($F$7:AD$7),"",INDEX(TableDiv[[GASB]:[GASB]],_xlfn.AGGREGATE(15,3,(TableDiv[[Agency]:[Agency]]=$E251)/(TableDiv[[Agency]:[Agency]]=$E251)*(ROW(TableDiv[Agency])-ROW(TableDiv[[#Headers],[Agency]])),COLUMNS($F$7:AD$7))))</f>
        <v>0</v>
      </c>
      <c r="AE251" s="2223" cm="1">
        <f t="array" ref="AE251">IF($D251&lt;COLUMNS($F$7:AE$7),"",INDEX(TableDiv[[GASB]:[GASB]],_xlfn.AGGREGATE(15,3,(TableDiv[[Agency]:[Agency]]=$E251)/(TableDiv[[Agency]:[Agency]]=$E251)*(ROW(TableDiv[Agency])-ROW(TableDiv[[#Headers],[Agency]])),COLUMNS($F$7:AE$7))))</f>
        <v>0</v>
      </c>
      <c r="AF251" s="2223" cm="1">
        <f t="array" ref="AF251">IF($D251&lt;COLUMNS($F$7:AF$7),"",INDEX(TableDiv[[GASB]:[GASB]],_xlfn.AGGREGATE(15,3,(TableDiv[[Agency]:[Agency]]=$E251)/(TableDiv[[Agency]:[Agency]]=$E251)*(ROW(TableDiv[Agency])-ROW(TableDiv[[#Headers],[Agency]])),COLUMNS($F$7:AF$7))))</f>
        <v>0</v>
      </c>
      <c r="AG251" s="2223" cm="1">
        <f t="array" ref="AG251">IF($D251&lt;COLUMNS($F$7:AG$7),"",INDEX(TableDiv[[GASB]:[GASB]],_xlfn.AGGREGATE(15,3,(TableDiv[[Agency]:[Agency]]=$E251)/(TableDiv[[Agency]:[Agency]]=$E251)*(ROW(TableDiv[Agency])-ROW(TableDiv[[#Headers],[Agency]])),COLUMNS($F$7:AG$7))))</f>
        <v>0</v>
      </c>
      <c r="AH251" s="2223" cm="1">
        <f t="array" ref="AH251">IF($D251&lt;COLUMNS($F$7:AH$7),"",INDEX(TableDiv[[GASB]:[GASB]],_xlfn.AGGREGATE(15,3,(TableDiv[[Agency]:[Agency]]=$E251)/(TableDiv[[Agency]:[Agency]]=$E251)*(ROW(TableDiv[Agency])-ROW(TableDiv[[#Headers],[Agency]])),COLUMNS($F$7:AH$7))))</f>
        <v>0</v>
      </c>
      <c r="AI251" s="2223" cm="1">
        <f t="array" ref="AI251">IF($D251&lt;COLUMNS($F$7:AI$7),"",INDEX(TableDiv[[GASB]:[GASB]],_xlfn.AGGREGATE(15,3,(TableDiv[[Agency]:[Agency]]=$E251)/(TableDiv[[Agency]:[Agency]]=$E251)*(ROW(TableDiv[Agency])-ROW(TableDiv[[#Headers],[Agency]])),COLUMNS($F$7:AI$7))))</f>
        <v>0</v>
      </c>
      <c r="AJ251" s="2223" cm="1">
        <f t="array" ref="AJ251">IF($D251&lt;COLUMNS($F$7:AJ$7),"",INDEX(TableDiv[[GASB]:[GASB]],_xlfn.AGGREGATE(15,3,(TableDiv[[Agency]:[Agency]]=$E251)/(TableDiv[[Agency]:[Agency]]=$E251)*(ROW(TableDiv[Agency])-ROW(TableDiv[[#Headers],[Agency]])),COLUMNS($F$7:AJ$7))))</f>
        <v>0</v>
      </c>
      <c r="AK251" s="2223" t="str" cm="1">
        <f t="array" ref="AK251">IF($D251&lt;COLUMNS($F$7:AK$7),"",INDEX(TableDiv[[GASB]:[GASB]],_xlfn.AGGREGATE(15,3,(TableDiv[[Agency]:[Agency]]=$E251)/(TableDiv[[Agency]:[Agency]]=$E251)*(ROW(TableDiv[Agency])-ROW(TableDiv[[#Headers],[Agency]])),COLUMNS($F$7:AK$7))))</f>
        <v/>
      </c>
      <c r="AL251" s="2223" t="str" cm="1">
        <f t="array" ref="AL251">IF($D251&lt;COLUMNS($F$7:AL$7),"",INDEX(TableDiv[[GASB]:[GASB]],_xlfn.AGGREGATE(15,3,(TableDiv[[Agency]:[Agency]]=$E251)/(TableDiv[[Agency]:[Agency]]=$E251)*(ROW(TableDiv[Agency])-ROW(TableDiv[[#Headers],[Agency]])),COLUMNS($F$7:AL$7))))</f>
        <v/>
      </c>
      <c r="AM251" s="2223" t="str" cm="1">
        <f t="array" ref="AM251">IF($D251&lt;COLUMNS($F$7:AM$7),"",INDEX(TableDiv[[GASB]:[GASB]],_xlfn.AGGREGATE(15,3,(TableDiv[[Agency]:[Agency]]=$E251)/(TableDiv[[Agency]:[Agency]]=$E251)*(ROW(TableDiv[Agency])-ROW(TableDiv[[#Headers],[Agency]])),COLUMNS($F$7:AM$7))))</f>
        <v/>
      </c>
      <c r="AN251" s="2223"/>
      <c r="AO251" s="2223"/>
      <c r="AP251" s="2223"/>
      <c r="AQ251" s="2223"/>
      <c r="AR251" s="2223"/>
      <c r="AS251" s="2223"/>
    </row>
    <row r="252" spans="1:45" ht="15" x14ac:dyDescent="0.25">
      <c r="A252" s="2219" t="s">
        <v>6466</v>
      </c>
      <c r="B252" s="2219" t="s">
        <v>6361</v>
      </c>
      <c r="C252" s="2223"/>
      <c r="D252" s="2223">
        <f>COUNTIF(TableDiv[Agency],E252)</f>
        <v>31</v>
      </c>
      <c r="E252" s="2230" t="str" cm="1">
        <f t="array" ref="E252">IFERROR(INDEX(TableDiv[Agency],MATCH(0,INDEX(COUNTIF($E$7:E251,TableDiv[Agency]),),0)),"")</f>
        <v/>
      </c>
      <c r="F252" s="2223" cm="1">
        <f t="array" ref="F252">IF($D252&lt;COLUMNS($F$7:F$7),"",INDEX(TableDiv[[GASB]:[GASB]],_xlfn.AGGREGATE(15,3,(TableDiv[[Agency]:[Agency]]=$E252)/(TableDiv[[Agency]:[Agency]]=$E252)*(ROW(TableDiv[Agency])-ROW(TableDiv[[#Headers],[Agency]])),COLUMNS($F$7:F$7))))</f>
        <v>0</v>
      </c>
      <c r="G252" s="2223" cm="1">
        <f t="array" ref="G252">IF($D252&lt;COLUMNS($F$7:G$7),"",INDEX(TableDiv[[GASB]:[GASB]],_xlfn.AGGREGATE(15,3,(TableDiv[[Agency]:[Agency]]=$E252)/(TableDiv[[Agency]:[Agency]]=$E252)*(ROW(TableDiv[Agency])-ROW(TableDiv[[#Headers],[Agency]])),COLUMNS($F$7:G$7))))</f>
        <v>0</v>
      </c>
      <c r="H252" s="2223" cm="1">
        <f t="array" ref="H252">IF($D252&lt;COLUMNS($F$7:H$7),"",INDEX(TableDiv[[GASB]:[GASB]],_xlfn.AGGREGATE(15,3,(TableDiv[[Agency]:[Agency]]=$E252)/(TableDiv[[Agency]:[Agency]]=$E252)*(ROW(TableDiv[Agency])-ROW(TableDiv[[#Headers],[Agency]])),COLUMNS($F$7:H$7))))</f>
        <v>0</v>
      </c>
      <c r="I252" s="2223" cm="1">
        <f t="array" ref="I252">IF($D252&lt;COLUMNS($F$7:I$7),"",INDEX(TableDiv[[GASB]:[GASB]],_xlfn.AGGREGATE(15,3,(TableDiv[[Agency]:[Agency]]=$E252)/(TableDiv[[Agency]:[Agency]]=$E252)*(ROW(TableDiv[Agency])-ROW(TableDiv[[#Headers],[Agency]])),COLUMNS($F$7:I$7))))</f>
        <v>0</v>
      </c>
      <c r="J252" s="2223" cm="1">
        <f t="array" ref="J252">IF($D252&lt;COLUMNS($F$7:J$7),"",INDEX(TableDiv[[GASB]:[GASB]],_xlfn.AGGREGATE(15,3,(TableDiv[[Agency]:[Agency]]=$E252)/(TableDiv[[Agency]:[Agency]]=$E252)*(ROW(TableDiv[Agency])-ROW(TableDiv[[#Headers],[Agency]])),COLUMNS($F$7:J$7))))</f>
        <v>0</v>
      </c>
      <c r="K252" s="2223" cm="1">
        <f t="array" ref="K252">IF($D252&lt;COLUMNS($F$7:K$7),"",INDEX(TableDiv[[GASB]:[GASB]],_xlfn.AGGREGATE(15,3,(TableDiv[[Agency]:[Agency]]=$E252)/(TableDiv[[Agency]:[Agency]]=$E252)*(ROW(TableDiv[Agency])-ROW(TableDiv[[#Headers],[Agency]])),COLUMNS($F$7:K$7))))</f>
        <v>0</v>
      </c>
      <c r="L252" s="2223" cm="1">
        <f t="array" ref="L252">IF($D252&lt;COLUMNS($F$7:L$7),"",INDEX(TableDiv[[GASB]:[GASB]],_xlfn.AGGREGATE(15,3,(TableDiv[[Agency]:[Agency]]=$E252)/(TableDiv[[Agency]:[Agency]]=$E252)*(ROW(TableDiv[Agency])-ROW(TableDiv[[#Headers],[Agency]])),COLUMNS($F$7:L$7))))</f>
        <v>0</v>
      </c>
      <c r="M252" s="2223" cm="1">
        <f t="array" ref="M252">IF($D252&lt;COLUMNS($F$7:M$7),"",INDEX(TableDiv[[GASB]:[GASB]],_xlfn.AGGREGATE(15,3,(TableDiv[[Agency]:[Agency]]=$E252)/(TableDiv[[Agency]:[Agency]]=$E252)*(ROW(TableDiv[Agency])-ROW(TableDiv[[#Headers],[Agency]])),COLUMNS($F$7:M$7))))</f>
        <v>0</v>
      </c>
      <c r="N252" s="2223" cm="1">
        <f t="array" ref="N252">IF($D252&lt;COLUMNS($F$7:N$7),"",INDEX(TableDiv[[GASB]:[GASB]],_xlfn.AGGREGATE(15,3,(TableDiv[[Agency]:[Agency]]=$E252)/(TableDiv[[Agency]:[Agency]]=$E252)*(ROW(TableDiv[Agency])-ROW(TableDiv[[#Headers],[Agency]])),COLUMNS($F$7:N$7))))</f>
        <v>0</v>
      </c>
      <c r="O252" s="2223" cm="1">
        <f t="array" ref="O252">IF($D252&lt;COLUMNS($F$7:O$7),"",INDEX(TableDiv[[GASB]:[GASB]],_xlfn.AGGREGATE(15,3,(TableDiv[[Agency]:[Agency]]=$E252)/(TableDiv[[Agency]:[Agency]]=$E252)*(ROW(TableDiv[Agency])-ROW(TableDiv[[#Headers],[Agency]])),COLUMNS($F$7:O$7))))</f>
        <v>0</v>
      </c>
      <c r="P252" s="2223" cm="1">
        <f t="array" ref="P252">IF($D252&lt;COLUMNS($F$7:P$7),"",INDEX(TableDiv[[GASB]:[GASB]],_xlfn.AGGREGATE(15,3,(TableDiv[[Agency]:[Agency]]=$E252)/(TableDiv[[Agency]:[Agency]]=$E252)*(ROW(TableDiv[Agency])-ROW(TableDiv[[#Headers],[Agency]])),COLUMNS($F$7:P$7))))</f>
        <v>0</v>
      </c>
      <c r="Q252" s="2223" cm="1">
        <f t="array" ref="Q252">IF($D252&lt;COLUMNS($F$7:Q$7),"",INDEX(TableDiv[[GASB]:[GASB]],_xlfn.AGGREGATE(15,3,(TableDiv[[Agency]:[Agency]]=$E252)/(TableDiv[[Agency]:[Agency]]=$E252)*(ROW(TableDiv[Agency])-ROW(TableDiv[[#Headers],[Agency]])),COLUMNS($F$7:Q$7))))</f>
        <v>0</v>
      </c>
      <c r="R252" s="2223" cm="1">
        <f t="array" ref="R252">IF($D252&lt;COLUMNS($F$7:R$7),"",INDEX(TableDiv[[GASB]:[GASB]],_xlfn.AGGREGATE(15,3,(TableDiv[[Agency]:[Agency]]=$E252)/(TableDiv[[Agency]:[Agency]]=$E252)*(ROW(TableDiv[Agency])-ROW(TableDiv[[#Headers],[Agency]])),COLUMNS($F$7:R$7))))</f>
        <v>0</v>
      </c>
      <c r="S252" s="2223" cm="1">
        <f t="array" ref="S252">IF($D252&lt;COLUMNS($F$7:S$7),"",INDEX(TableDiv[[GASB]:[GASB]],_xlfn.AGGREGATE(15,3,(TableDiv[[Agency]:[Agency]]=$E252)/(TableDiv[[Agency]:[Agency]]=$E252)*(ROW(TableDiv[Agency])-ROW(TableDiv[[#Headers],[Agency]])),COLUMNS($F$7:S$7))))</f>
        <v>0</v>
      </c>
      <c r="T252" s="2223" cm="1">
        <f t="array" ref="T252">IF($D252&lt;COLUMNS($F$7:T$7),"",INDEX(TableDiv[[GASB]:[GASB]],_xlfn.AGGREGATE(15,3,(TableDiv[[Agency]:[Agency]]=$E252)/(TableDiv[[Agency]:[Agency]]=$E252)*(ROW(TableDiv[Agency])-ROW(TableDiv[[#Headers],[Agency]])),COLUMNS($F$7:T$7))))</f>
        <v>0</v>
      </c>
      <c r="U252" s="2223" cm="1">
        <f t="array" ref="U252">IF($D252&lt;COLUMNS($F$7:U$7),"",INDEX(TableDiv[[GASB]:[GASB]],_xlfn.AGGREGATE(15,3,(TableDiv[[Agency]:[Agency]]=$E252)/(TableDiv[[Agency]:[Agency]]=$E252)*(ROW(TableDiv[Agency])-ROW(TableDiv[[#Headers],[Agency]])),COLUMNS($F$7:U$7))))</f>
        <v>0</v>
      </c>
      <c r="V252" s="2223" cm="1">
        <f t="array" ref="V252">IF($D252&lt;COLUMNS($F$7:V$7),"",INDEX(TableDiv[[GASB]:[GASB]],_xlfn.AGGREGATE(15,3,(TableDiv[[Agency]:[Agency]]=$E252)/(TableDiv[[Agency]:[Agency]]=$E252)*(ROW(TableDiv[Agency])-ROW(TableDiv[[#Headers],[Agency]])),COLUMNS($F$7:V$7))))</f>
        <v>0</v>
      </c>
      <c r="W252" s="2223" cm="1">
        <f t="array" ref="W252">IF($D252&lt;COLUMNS($F$7:W$7),"",INDEX(TableDiv[[GASB]:[GASB]],_xlfn.AGGREGATE(15,3,(TableDiv[[Agency]:[Agency]]=$E252)/(TableDiv[[Agency]:[Agency]]=$E252)*(ROW(TableDiv[Agency])-ROW(TableDiv[[#Headers],[Agency]])),COLUMNS($F$7:W$7))))</f>
        <v>0</v>
      </c>
      <c r="X252" s="2223" cm="1">
        <f t="array" ref="X252">IF($D252&lt;COLUMNS($F$7:X$7),"",INDEX(TableDiv[[GASB]:[GASB]],_xlfn.AGGREGATE(15,3,(TableDiv[[Agency]:[Agency]]=$E252)/(TableDiv[[Agency]:[Agency]]=$E252)*(ROW(TableDiv[Agency])-ROW(TableDiv[[#Headers],[Agency]])),COLUMNS($F$7:X$7))))</f>
        <v>0</v>
      </c>
      <c r="Y252" s="2223" cm="1">
        <f t="array" ref="Y252">IF($D252&lt;COLUMNS($F$7:Y$7),"",INDEX(TableDiv[[GASB]:[GASB]],_xlfn.AGGREGATE(15,3,(TableDiv[[Agency]:[Agency]]=$E252)/(TableDiv[[Agency]:[Agency]]=$E252)*(ROW(TableDiv[Agency])-ROW(TableDiv[[#Headers],[Agency]])),COLUMNS($F$7:Y$7))))</f>
        <v>0</v>
      </c>
      <c r="Z252" s="2223" cm="1">
        <f t="array" ref="Z252">IF($D252&lt;COLUMNS($F$7:Z$7),"",INDEX(TableDiv[[GASB]:[GASB]],_xlfn.AGGREGATE(15,3,(TableDiv[[Agency]:[Agency]]=$E252)/(TableDiv[[Agency]:[Agency]]=$E252)*(ROW(TableDiv[Agency])-ROW(TableDiv[[#Headers],[Agency]])),COLUMNS($F$7:Z$7))))</f>
        <v>0</v>
      </c>
      <c r="AA252" s="2223" cm="1">
        <f t="array" ref="AA252">IF($D252&lt;COLUMNS($F$7:AA$7),"",INDEX(TableDiv[[GASB]:[GASB]],_xlfn.AGGREGATE(15,3,(TableDiv[[Agency]:[Agency]]=$E252)/(TableDiv[[Agency]:[Agency]]=$E252)*(ROW(TableDiv[Agency])-ROW(TableDiv[[#Headers],[Agency]])),COLUMNS($F$7:AA$7))))</f>
        <v>0</v>
      </c>
      <c r="AB252" s="2223" cm="1">
        <f t="array" ref="AB252">IF($D252&lt;COLUMNS($F$7:AB$7),"",INDEX(TableDiv[[GASB]:[GASB]],_xlfn.AGGREGATE(15,3,(TableDiv[[Agency]:[Agency]]=$E252)/(TableDiv[[Agency]:[Agency]]=$E252)*(ROW(TableDiv[Agency])-ROW(TableDiv[[#Headers],[Agency]])),COLUMNS($F$7:AB$7))))</f>
        <v>0</v>
      </c>
      <c r="AC252" s="2223" cm="1">
        <f t="array" ref="AC252">IF($D252&lt;COLUMNS($F$7:AC$7),"",INDEX(TableDiv[[GASB]:[GASB]],_xlfn.AGGREGATE(15,3,(TableDiv[[Agency]:[Agency]]=$E252)/(TableDiv[[Agency]:[Agency]]=$E252)*(ROW(TableDiv[Agency])-ROW(TableDiv[[#Headers],[Agency]])),COLUMNS($F$7:AC$7))))</f>
        <v>0</v>
      </c>
      <c r="AD252" s="2223" cm="1">
        <f t="array" ref="AD252">IF($D252&lt;COLUMNS($F$7:AD$7),"",INDEX(TableDiv[[GASB]:[GASB]],_xlfn.AGGREGATE(15,3,(TableDiv[[Agency]:[Agency]]=$E252)/(TableDiv[[Agency]:[Agency]]=$E252)*(ROW(TableDiv[Agency])-ROW(TableDiv[[#Headers],[Agency]])),COLUMNS($F$7:AD$7))))</f>
        <v>0</v>
      </c>
      <c r="AE252" s="2223" cm="1">
        <f t="array" ref="AE252">IF($D252&lt;COLUMNS($F$7:AE$7),"",INDEX(TableDiv[[GASB]:[GASB]],_xlfn.AGGREGATE(15,3,(TableDiv[[Agency]:[Agency]]=$E252)/(TableDiv[[Agency]:[Agency]]=$E252)*(ROW(TableDiv[Agency])-ROW(TableDiv[[#Headers],[Agency]])),COLUMNS($F$7:AE$7))))</f>
        <v>0</v>
      </c>
      <c r="AF252" s="2223" cm="1">
        <f t="array" ref="AF252">IF($D252&lt;COLUMNS($F$7:AF$7),"",INDEX(TableDiv[[GASB]:[GASB]],_xlfn.AGGREGATE(15,3,(TableDiv[[Agency]:[Agency]]=$E252)/(TableDiv[[Agency]:[Agency]]=$E252)*(ROW(TableDiv[Agency])-ROW(TableDiv[[#Headers],[Agency]])),COLUMNS($F$7:AF$7))))</f>
        <v>0</v>
      </c>
      <c r="AG252" s="2223" cm="1">
        <f t="array" ref="AG252">IF($D252&lt;COLUMNS($F$7:AG$7),"",INDEX(TableDiv[[GASB]:[GASB]],_xlfn.AGGREGATE(15,3,(TableDiv[[Agency]:[Agency]]=$E252)/(TableDiv[[Agency]:[Agency]]=$E252)*(ROW(TableDiv[Agency])-ROW(TableDiv[[#Headers],[Agency]])),COLUMNS($F$7:AG$7))))</f>
        <v>0</v>
      </c>
      <c r="AH252" s="2223" cm="1">
        <f t="array" ref="AH252">IF($D252&lt;COLUMNS($F$7:AH$7),"",INDEX(TableDiv[[GASB]:[GASB]],_xlfn.AGGREGATE(15,3,(TableDiv[[Agency]:[Agency]]=$E252)/(TableDiv[[Agency]:[Agency]]=$E252)*(ROW(TableDiv[Agency])-ROW(TableDiv[[#Headers],[Agency]])),COLUMNS($F$7:AH$7))))</f>
        <v>0</v>
      </c>
      <c r="AI252" s="2223" cm="1">
        <f t="array" ref="AI252">IF($D252&lt;COLUMNS($F$7:AI$7),"",INDEX(TableDiv[[GASB]:[GASB]],_xlfn.AGGREGATE(15,3,(TableDiv[[Agency]:[Agency]]=$E252)/(TableDiv[[Agency]:[Agency]]=$E252)*(ROW(TableDiv[Agency])-ROW(TableDiv[[#Headers],[Agency]])),COLUMNS($F$7:AI$7))))</f>
        <v>0</v>
      </c>
      <c r="AJ252" s="2223" cm="1">
        <f t="array" ref="AJ252">IF($D252&lt;COLUMNS($F$7:AJ$7),"",INDEX(TableDiv[[GASB]:[GASB]],_xlfn.AGGREGATE(15,3,(TableDiv[[Agency]:[Agency]]=$E252)/(TableDiv[[Agency]:[Agency]]=$E252)*(ROW(TableDiv[Agency])-ROW(TableDiv[[#Headers],[Agency]])),COLUMNS($F$7:AJ$7))))</f>
        <v>0</v>
      </c>
      <c r="AK252" s="2223" t="str" cm="1">
        <f t="array" ref="AK252">IF($D252&lt;COLUMNS($F$7:AK$7),"",INDEX(TableDiv[[GASB]:[GASB]],_xlfn.AGGREGATE(15,3,(TableDiv[[Agency]:[Agency]]=$E252)/(TableDiv[[Agency]:[Agency]]=$E252)*(ROW(TableDiv[Agency])-ROW(TableDiv[[#Headers],[Agency]])),COLUMNS($F$7:AK$7))))</f>
        <v/>
      </c>
      <c r="AL252" s="2223" t="str" cm="1">
        <f t="array" ref="AL252">IF($D252&lt;COLUMNS($F$7:AL$7),"",INDEX(TableDiv[[GASB]:[GASB]],_xlfn.AGGREGATE(15,3,(TableDiv[[Agency]:[Agency]]=$E252)/(TableDiv[[Agency]:[Agency]]=$E252)*(ROW(TableDiv[Agency])-ROW(TableDiv[[#Headers],[Agency]])),COLUMNS($F$7:AL$7))))</f>
        <v/>
      </c>
      <c r="AM252" s="2223" t="str" cm="1">
        <f t="array" ref="AM252">IF($D252&lt;COLUMNS($F$7:AM$7),"",INDEX(TableDiv[[GASB]:[GASB]],_xlfn.AGGREGATE(15,3,(TableDiv[[Agency]:[Agency]]=$E252)/(TableDiv[[Agency]:[Agency]]=$E252)*(ROW(TableDiv[Agency])-ROW(TableDiv[[#Headers],[Agency]])),COLUMNS($F$7:AM$7))))</f>
        <v/>
      </c>
      <c r="AN252" s="2223"/>
      <c r="AO252" s="2223"/>
      <c r="AP252" s="2223"/>
      <c r="AQ252" s="2223"/>
      <c r="AR252" s="2223"/>
      <c r="AS252" s="2223"/>
    </row>
    <row r="253" spans="1:45" ht="15" x14ac:dyDescent="0.25">
      <c r="A253" s="2219" t="s">
        <v>6466</v>
      </c>
      <c r="B253" s="2219" t="s">
        <v>6358</v>
      </c>
      <c r="C253" s="2223"/>
      <c r="D253" s="2223">
        <f>COUNTIF(TableDiv[Agency],E253)</f>
        <v>31</v>
      </c>
      <c r="E253" s="2230" t="str" cm="1">
        <f t="array" ref="E253">IFERROR(INDEX(TableDiv[Agency],MATCH(0,INDEX(COUNTIF($E$7:E252,TableDiv[Agency]),),0)),"")</f>
        <v/>
      </c>
      <c r="F253" s="2223" cm="1">
        <f t="array" ref="F253">IF($D253&lt;COLUMNS($F$7:F$7),"",INDEX(TableDiv[[GASB]:[GASB]],_xlfn.AGGREGATE(15,3,(TableDiv[[Agency]:[Agency]]=$E253)/(TableDiv[[Agency]:[Agency]]=$E253)*(ROW(TableDiv[Agency])-ROW(TableDiv[[#Headers],[Agency]])),COLUMNS($F$7:F$7))))</f>
        <v>0</v>
      </c>
      <c r="G253" s="2223" cm="1">
        <f t="array" ref="G253">IF($D253&lt;COLUMNS($F$7:G$7),"",INDEX(TableDiv[[GASB]:[GASB]],_xlfn.AGGREGATE(15,3,(TableDiv[[Agency]:[Agency]]=$E253)/(TableDiv[[Agency]:[Agency]]=$E253)*(ROW(TableDiv[Agency])-ROW(TableDiv[[#Headers],[Agency]])),COLUMNS($F$7:G$7))))</f>
        <v>0</v>
      </c>
      <c r="H253" s="2223" cm="1">
        <f t="array" ref="H253">IF($D253&lt;COLUMNS($F$7:H$7),"",INDEX(TableDiv[[GASB]:[GASB]],_xlfn.AGGREGATE(15,3,(TableDiv[[Agency]:[Agency]]=$E253)/(TableDiv[[Agency]:[Agency]]=$E253)*(ROW(TableDiv[Agency])-ROW(TableDiv[[#Headers],[Agency]])),COLUMNS($F$7:H$7))))</f>
        <v>0</v>
      </c>
      <c r="I253" s="2223" cm="1">
        <f t="array" ref="I253">IF($D253&lt;COLUMNS($F$7:I$7),"",INDEX(TableDiv[[GASB]:[GASB]],_xlfn.AGGREGATE(15,3,(TableDiv[[Agency]:[Agency]]=$E253)/(TableDiv[[Agency]:[Agency]]=$E253)*(ROW(TableDiv[Agency])-ROW(TableDiv[[#Headers],[Agency]])),COLUMNS($F$7:I$7))))</f>
        <v>0</v>
      </c>
      <c r="J253" s="2223" cm="1">
        <f t="array" ref="J253">IF($D253&lt;COLUMNS($F$7:J$7),"",INDEX(TableDiv[[GASB]:[GASB]],_xlfn.AGGREGATE(15,3,(TableDiv[[Agency]:[Agency]]=$E253)/(TableDiv[[Agency]:[Agency]]=$E253)*(ROW(TableDiv[Agency])-ROW(TableDiv[[#Headers],[Agency]])),COLUMNS($F$7:J$7))))</f>
        <v>0</v>
      </c>
      <c r="K253" s="2223" cm="1">
        <f t="array" ref="K253">IF($D253&lt;COLUMNS($F$7:K$7),"",INDEX(TableDiv[[GASB]:[GASB]],_xlfn.AGGREGATE(15,3,(TableDiv[[Agency]:[Agency]]=$E253)/(TableDiv[[Agency]:[Agency]]=$E253)*(ROW(TableDiv[Agency])-ROW(TableDiv[[#Headers],[Agency]])),COLUMNS($F$7:K$7))))</f>
        <v>0</v>
      </c>
      <c r="L253" s="2223" cm="1">
        <f t="array" ref="L253">IF($D253&lt;COLUMNS($F$7:L$7),"",INDEX(TableDiv[[GASB]:[GASB]],_xlfn.AGGREGATE(15,3,(TableDiv[[Agency]:[Agency]]=$E253)/(TableDiv[[Agency]:[Agency]]=$E253)*(ROW(TableDiv[Agency])-ROW(TableDiv[[#Headers],[Agency]])),COLUMNS($F$7:L$7))))</f>
        <v>0</v>
      </c>
      <c r="M253" s="2223" cm="1">
        <f t="array" ref="M253">IF($D253&lt;COLUMNS($F$7:M$7),"",INDEX(TableDiv[[GASB]:[GASB]],_xlfn.AGGREGATE(15,3,(TableDiv[[Agency]:[Agency]]=$E253)/(TableDiv[[Agency]:[Agency]]=$E253)*(ROW(TableDiv[Agency])-ROW(TableDiv[[#Headers],[Agency]])),COLUMNS($F$7:M$7))))</f>
        <v>0</v>
      </c>
      <c r="N253" s="2223" cm="1">
        <f t="array" ref="N253">IF($D253&lt;COLUMNS($F$7:N$7),"",INDEX(TableDiv[[GASB]:[GASB]],_xlfn.AGGREGATE(15,3,(TableDiv[[Agency]:[Agency]]=$E253)/(TableDiv[[Agency]:[Agency]]=$E253)*(ROW(TableDiv[Agency])-ROW(TableDiv[[#Headers],[Agency]])),COLUMNS($F$7:N$7))))</f>
        <v>0</v>
      </c>
      <c r="O253" s="2223" cm="1">
        <f t="array" ref="O253">IF($D253&lt;COLUMNS($F$7:O$7),"",INDEX(TableDiv[[GASB]:[GASB]],_xlfn.AGGREGATE(15,3,(TableDiv[[Agency]:[Agency]]=$E253)/(TableDiv[[Agency]:[Agency]]=$E253)*(ROW(TableDiv[Agency])-ROW(TableDiv[[#Headers],[Agency]])),COLUMNS($F$7:O$7))))</f>
        <v>0</v>
      </c>
      <c r="P253" s="2223" cm="1">
        <f t="array" ref="P253">IF($D253&lt;COLUMNS($F$7:P$7),"",INDEX(TableDiv[[GASB]:[GASB]],_xlfn.AGGREGATE(15,3,(TableDiv[[Agency]:[Agency]]=$E253)/(TableDiv[[Agency]:[Agency]]=$E253)*(ROW(TableDiv[Agency])-ROW(TableDiv[[#Headers],[Agency]])),COLUMNS($F$7:P$7))))</f>
        <v>0</v>
      </c>
      <c r="Q253" s="2223" cm="1">
        <f t="array" ref="Q253">IF($D253&lt;COLUMNS($F$7:Q$7),"",INDEX(TableDiv[[GASB]:[GASB]],_xlfn.AGGREGATE(15,3,(TableDiv[[Agency]:[Agency]]=$E253)/(TableDiv[[Agency]:[Agency]]=$E253)*(ROW(TableDiv[Agency])-ROW(TableDiv[[#Headers],[Agency]])),COLUMNS($F$7:Q$7))))</f>
        <v>0</v>
      </c>
      <c r="R253" s="2223" cm="1">
        <f t="array" ref="R253">IF($D253&lt;COLUMNS($F$7:R$7),"",INDEX(TableDiv[[GASB]:[GASB]],_xlfn.AGGREGATE(15,3,(TableDiv[[Agency]:[Agency]]=$E253)/(TableDiv[[Agency]:[Agency]]=$E253)*(ROW(TableDiv[Agency])-ROW(TableDiv[[#Headers],[Agency]])),COLUMNS($F$7:R$7))))</f>
        <v>0</v>
      </c>
      <c r="S253" s="2223" cm="1">
        <f t="array" ref="S253">IF($D253&lt;COLUMNS($F$7:S$7),"",INDEX(TableDiv[[GASB]:[GASB]],_xlfn.AGGREGATE(15,3,(TableDiv[[Agency]:[Agency]]=$E253)/(TableDiv[[Agency]:[Agency]]=$E253)*(ROW(TableDiv[Agency])-ROW(TableDiv[[#Headers],[Agency]])),COLUMNS($F$7:S$7))))</f>
        <v>0</v>
      </c>
      <c r="T253" s="2223" cm="1">
        <f t="array" ref="T253">IF($D253&lt;COLUMNS($F$7:T$7),"",INDEX(TableDiv[[GASB]:[GASB]],_xlfn.AGGREGATE(15,3,(TableDiv[[Agency]:[Agency]]=$E253)/(TableDiv[[Agency]:[Agency]]=$E253)*(ROW(TableDiv[Agency])-ROW(TableDiv[[#Headers],[Agency]])),COLUMNS($F$7:T$7))))</f>
        <v>0</v>
      </c>
      <c r="U253" s="2223" cm="1">
        <f t="array" ref="U253">IF($D253&lt;COLUMNS($F$7:U$7),"",INDEX(TableDiv[[GASB]:[GASB]],_xlfn.AGGREGATE(15,3,(TableDiv[[Agency]:[Agency]]=$E253)/(TableDiv[[Agency]:[Agency]]=$E253)*(ROW(TableDiv[Agency])-ROW(TableDiv[[#Headers],[Agency]])),COLUMNS($F$7:U$7))))</f>
        <v>0</v>
      </c>
      <c r="V253" s="2223" cm="1">
        <f t="array" ref="V253">IF($D253&lt;COLUMNS($F$7:V$7),"",INDEX(TableDiv[[GASB]:[GASB]],_xlfn.AGGREGATE(15,3,(TableDiv[[Agency]:[Agency]]=$E253)/(TableDiv[[Agency]:[Agency]]=$E253)*(ROW(TableDiv[Agency])-ROW(TableDiv[[#Headers],[Agency]])),COLUMNS($F$7:V$7))))</f>
        <v>0</v>
      </c>
      <c r="W253" s="2223" cm="1">
        <f t="array" ref="W253">IF($D253&lt;COLUMNS($F$7:W$7),"",INDEX(TableDiv[[GASB]:[GASB]],_xlfn.AGGREGATE(15,3,(TableDiv[[Agency]:[Agency]]=$E253)/(TableDiv[[Agency]:[Agency]]=$E253)*(ROW(TableDiv[Agency])-ROW(TableDiv[[#Headers],[Agency]])),COLUMNS($F$7:W$7))))</f>
        <v>0</v>
      </c>
      <c r="X253" s="2223" cm="1">
        <f t="array" ref="X253">IF($D253&lt;COLUMNS($F$7:X$7),"",INDEX(TableDiv[[GASB]:[GASB]],_xlfn.AGGREGATE(15,3,(TableDiv[[Agency]:[Agency]]=$E253)/(TableDiv[[Agency]:[Agency]]=$E253)*(ROW(TableDiv[Agency])-ROW(TableDiv[[#Headers],[Agency]])),COLUMNS($F$7:X$7))))</f>
        <v>0</v>
      </c>
      <c r="Y253" s="2223" cm="1">
        <f t="array" ref="Y253">IF($D253&lt;COLUMNS($F$7:Y$7),"",INDEX(TableDiv[[GASB]:[GASB]],_xlfn.AGGREGATE(15,3,(TableDiv[[Agency]:[Agency]]=$E253)/(TableDiv[[Agency]:[Agency]]=$E253)*(ROW(TableDiv[Agency])-ROW(TableDiv[[#Headers],[Agency]])),COLUMNS($F$7:Y$7))))</f>
        <v>0</v>
      </c>
      <c r="Z253" s="2223" cm="1">
        <f t="array" ref="Z253">IF($D253&lt;COLUMNS($F$7:Z$7),"",INDEX(TableDiv[[GASB]:[GASB]],_xlfn.AGGREGATE(15,3,(TableDiv[[Agency]:[Agency]]=$E253)/(TableDiv[[Agency]:[Agency]]=$E253)*(ROW(TableDiv[Agency])-ROW(TableDiv[[#Headers],[Agency]])),COLUMNS($F$7:Z$7))))</f>
        <v>0</v>
      </c>
      <c r="AA253" s="2223" cm="1">
        <f t="array" ref="AA253">IF($D253&lt;COLUMNS($F$7:AA$7),"",INDEX(TableDiv[[GASB]:[GASB]],_xlfn.AGGREGATE(15,3,(TableDiv[[Agency]:[Agency]]=$E253)/(TableDiv[[Agency]:[Agency]]=$E253)*(ROW(TableDiv[Agency])-ROW(TableDiv[[#Headers],[Agency]])),COLUMNS($F$7:AA$7))))</f>
        <v>0</v>
      </c>
      <c r="AB253" s="2223" cm="1">
        <f t="array" ref="AB253">IF($D253&lt;COLUMNS($F$7:AB$7),"",INDEX(TableDiv[[GASB]:[GASB]],_xlfn.AGGREGATE(15,3,(TableDiv[[Agency]:[Agency]]=$E253)/(TableDiv[[Agency]:[Agency]]=$E253)*(ROW(TableDiv[Agency])-ROW(TableDiv[[#Headers],[Agency]])),COLUMNS($F$7:AB$7))))</f>
        <v>0</v>
      </c>
      <c r="AC253" s="2223" cm="1">
        <f t="array" ref="AC253">IF($D253&lt;COLUMNS($F$7:AC$7),"",INDEX(TableDiv[[GASB]:[GASB]],_xlfn.AGGREGATE(15,3,(TableDiv[[Agency]:[Agency]]=$E253)/(TableDiv[[Agency]:[Agency]]=$E253)*(ROW(TableDiv[Agency])-ROW(TableDiv[[#Headers],[Agency]])),COLUMNS($F$7:AC$7))))</f>
        <v>0</v>
      </c>
      <c r="AD253" s="2223" cm="1">
        <f t="array" ref="AD253">IF($D253&lt;COLUMNS($F$7:AD$7),"",INDEX(TableDiv[[GASB]:[GASB]],_xlfn.AGGREGATE(15,3,(TableDiv[[Agency]:[Agency]]=$E253)/(TableDiv[[Agency]:[Agency]]=$E253)*(ROW(TableDiv[Agency])-ROW(TableDiv[[#Headers],[Agency]])),COLUMNS($F$7:AD$7))))</f>
        <v>0</v>
      </c>
      <c r="AE253" s="2223" cm="1">
        <f t="array" ref="AE253">IF($D253&lt;COLUMNS($F$7:AE$7),"",INDEX(TableDiv[[GASB]:[GASB]],_xlfn.AGGREGATE(15,3,(TableDiv[[Agency]:[Agency]]=$E253)/(TableDiv[[Agency]:[Agency]]=$E253)*(ROW(TableDiv[Agency])-ROW(TableDiv[[#Headers],[Agency]])),COLUMNS($F$7:AE$7))))</f>
        <v>0</v>
      </c>
      <c r="AF253" s="2223" cm="1">
        <f t="array" ref="AF253">IF($D253&lt;COLUMNS($F$7:AF$7),"",INDEX(TableDiv[[GASB]:[GASB]],_xlfn.AGGREGATE(15,3,(TableDiv[[Agency]:[Agency]]=$E253)/(TableDiv[[Agency]:[Agency]]=$E253)*(ROW(TableDiv[Agency])-ROW(TableDiv[[#Headers],[Agency]])),COLUMNS($F$7:AF$7))))</f>
        <v>0</v>
      </c>
      <c r="AG253" s="2223" cm="1">
        <f t="array" ref="AG253">IF($D253&lt;COLUMNS($F$7:AG$7),"",INDEX(TableDiv[[GASB]:[GASB]],_xlfn.AGGREGATE(15,3,(TableDiv[[Agency]:[Agency]]=$E253)/(TableDiv[[Agency]:[Agency]]=$E253)*(ROW(TableDiv[Agency])-ROW(TableDiv[[#Headers],[Agency]])),COLUMNS($F$7:AG$7))))</f>
        <v>0</v>
      </c>
      <c r="AH253" s="2223" cm="1">
        <f t="array" ref="AH253">IF($D253&lt;COLUMNS($F$7:AH$7),"",INDEX(TableDiv[[GASB]:[GASB]],_xlfn.AGGREGATE(15,3,(TableDiv[[Agency]:[Agency]]=$E253)/(TableDiv[[Agency]:[Agency]]=$E253)*(ROW(TableDiv[Agency])-ROW(TableDiv[[#Headers],[Agency]])),COLUMNS($F$7:AH$7))))</f>
        <v>0</v>
      </c>
      <c r="AI253" s="2223" cm="1">
        <f t="array" ref="AI253">IF($D253&lt;COLUMNS($F$7:AI$7),"",INDEX(TableDiv[[GASB]:[GASB]],_xlfn.AGGREGATE(15,3,(TableDiv[[Agency]:[Agency]]=$E253)/(TableDiv[[Agency]:[Agency]]=$E253)*(ROW(TableDiv[Agency])-ROW(TableDiv[[#Headers],[Agency]])),COLUMNS($F$7:AI$7))))</f>
        <v>0</v>
      </c>
      <c r="AJ253" s="2223" cm="1">
        <f t="array" ref="AJ253">IF($D253&lt;COLUMNS($F$7:AJ$7),"",INDEX(TableDiv[[GASB]:[GASB]],_xlfn.AGGREGATE(15,3,(TableDiv[[Agency]:[Agency]]=$E253)/(TableDiv[[Agency]:[Agency]]=$E253)*(ROW(TableDiv[Agency])-ROW(TableDiv[[#Headers],[Agency]])),COLUMNS($F$7:AJ$7))))</f>
        <v>0</v>
      </c>
      <c r="AK253" s="2223" t="str" cm="1">
        <f t="array" ref="AK253">IF($D253&lt;COLUMNS($F$7:AK$7),"",INDEX(TableDiv[[GASB]:[GASB]],_xlfn.AGGREGATE(15,3,(TableDiv[[Agency]:[Agency]]=$E253)/(TableDiv[[Agency]:[Agency]]=$E253)*(ROW(TableDiv[Agency])-ROW(TableDiv[[#Headers],[Agency]])),COLUMNS($F$7:AK$7))))</f>
        <v/>
      </c>
      <c r="AL253" s="2223" t="str" cm="1">
        <f t="array" ref="AL253">IF($D253&lt;COLUMNS($F$7:AL$7),"",INDEX(TableDiv[[GASB]:[GASB]],_xlfn.AGGREGATE(15,3,(TableDiv[[Agency]:[Agency]]=$E253)/(TableDiv[[Agency]:[Agency]]=$E253)*(ROW(TableDiv[Agency])-ROW(TableDiv[[#Headers],[Agency]])),COLUMNS($F$7:AL$7))))</f>
        <v/>
      </c>
      <c r="AM253" s="2223" t="str" cm="1">
        <f t="array" ref="AM253">IF($D253&lt;COLUMNS($F$7:AM$7),"",INDEX(TableDiv[[GASB]:[GASB]],_xlfn.AGGREGATE(15,3,(TableDiv[[Agency]:[Agency]]=$E253)/(TableDiv[[Agency]:[Agency]]=$E253)*(ROW(TableDiv[Agency])-ROW(TableDiv[[#Headers],[Agency]])),COLUMNS($F$7:AM$7))))</f>
        <v/>
      </c>
      <c r="AN253" s="2223"/>
      <c r="AO253" s="2223"/>
      <c r="AP253" s="2223"/>
      <c r="AQ253" s="2223"/>
      <c r="AR253" s="2223"/>
      <c r="AS253" s="2223"/>
    </row>
    <row r="254" spans="1:45" ht="15" x14ac:dyDescent="0.25">
      <c r="A254" s="2219" t="s">
        <v>6466</v>
      </c>
      <c r="B254" s="2219" t="s">
        <v>6393</v>
      </c>
      <c r="C254" s="2223"/>
      <c r="D254" s="2223">
        <f>COUNTIF(TableDiv[Agency],E254)</f>
        <v>31</v>
      </c>
      <c r="E254" s="2230" t="str" cm="1">
        <f t="array" ref="E254">IFERROR(INDEX(TableDiv[Agency],MATCH(0,INDEX(COUNTIF($E$7:E253,TableDiv[Agency]),),0)),"")</f>
        <v/>
      </c>
      <c r="F254" s="2223" cm="1">
        <f t="array" ref="F254">IF($D254&lt;COLUMNS($F$7:F$7),"",INDEX(TableDiv[[GASB]:[GASB]],_xlfn.AGGREGATE(15,3,(TableDiv[[Agency]:[Agency]]=$E254)/(TableDiv[[Agency]:[Agency]]=$E254)*(ROW(TableDiv[Agency])-ROW(TableDiv[[#Headers],[Agency]])),COLUMNS($F$7:F$7))))</f>
        <v>0</v>
      </c>
      <c r="G254" s="2223" cm="1">
        <f t="array" ref="G254">IF($D254&lt;COLUMNS($F$7:G$7),"",INDEX(TableDiv[[GASB]:[GASB]],_xlfn.AGGREGATE(15,3,(TableDiv[[Agency]:[Agency]]=$E254)/(TableDiv[[Agency]:[Agency]]=$E254)*(ROW(TableDiv[Agency])-ROW(TableDiv[[#Headers],[Agency]])),COLUMNS($F$7:G$7))))</f>
        <v>0</v>
      </c>
      <c r="H254" s="2223" cm="1">
        <f t="array" ref="H254">IF($D254&lt;COLUMNS($F$7:H$7),"",INDEX(TableDiv[[GASB]:[GASB]],_xlfn.AGGREGATE(15,3,(TableDiv[[Agency]:[Agency]]=$E254)/(TableDiv[[Agency]:[Agency]]=$E254)*(ROW(TableDiv[Agency])-ROW(TableDiv[[#Headers],[Agency]])),COLUMNS($F$7:H$7))))</f>
        <v>0</v>
      </c>
      <c r="I254" s="2223" cm="1">
        <f t="array" ref="I254">IF($D254&lt;COLUMNS($F$7:I$7),"",INDEX(TableDiv[[GASB]:[GASB]],_xlfn.AGGREGATE(15,3,(TableDiv[[Agency]:[Agency]]=$E254)/(TableDiv[[Agency]:[Agency]]=$E254)*(ROW(TableDiv[Agency])-ROW(TableDiv[[#Headers],[Agency]])),COLUMNS($F$7:I$7))))</f>
        <v>0</v>
      </c>
      <c r="J254" s="2223" cm="1">
        <f t="array" ref="J254">IF($D254&lt;COLUMNS($F$7:J$7),"",INDEX(TableDiv[[GASB]:[GASB]],_xlfn.AGGREGATE(15,3,(TableDiv[[Agency]:[Agency]]=$E254)/(TableDiv[[Agency]:[Agency]]=$E254)*(ROW(TableDiv[Agency])-ROW(TableDiv[[#Headers],[Agency]])),COLUMNS($F$7:J$7))))</f>
        <v>0</v>
      </c>
      <c r="K254" s="2223" cm="1">
        <f t="array" ref="K254">IF($D254&lt;COLUMNS($F$7:K$7),"",INDEX(TableDiv[[GASB]:[GASB]],_xlfn.AGGREGATE(15,3,(TableDiv[[Agency]:[Agency]]=$E254)/(TableDiv[[Agency]:[Agency]]=$E254)*(ROW(TableDiv[Agency])-ROW(TableDiv[[#Headers],[Agency]])),COLUMNS($F$7:K$7))))</f>
        <v>0</v>
      </c>
      <c r="L254" s="2223" cm="1">
        <f t="array" ref="L254">IF($D254&lt;COLUMNS($F$7:L$7),"",INDEX(TableDiv[[GASB]:[GASB]],_xlfn.AGGREGATE(15,3,(TableDiv[[Agency]:[Agency]]=$E254)/(TableDiv[[Agency]:[Agency]]=$E254)*(ROW(TableDiv[Agency])-ROW(TableDiv[[#Headers],[Agency]])),COLUMNS($F$7:L$7))))</f>
        <v>0</v>
      </c>
      <c r="M254" s="2223" cm="1">
        <f t="array" ref="M254">IF($D254&lt;COLUMNS($F$7:M$7),"",INDEX(TableDiv[[GASB]:[GASB]],_xlfn.AGGREGATE(15,3,(TableDiv[[Agency]:[Agency]]=$E254)/(TableDiv[[Agency]:[Agency]]=$E254)*(ROW(TableDiv[Agency])-ROW(TableDiv[[#Headers],[Agency]])),COLUMNS($F$7:M$7))))</f>
        <v>0</v>
      </c>
      <c r="N254" s="2223" cm="1">
        <f t="array" ref="N254">IF($D254&lt;COLUMNS($F$7:N$7),"",INDEX(TableDiv[[GASB]:[GASB]],_xlfn.AGGREGATE(15,3,(TableDiv[[Agency]:[Agency]]=$E254)/(TableDiv[[Agency]:[Agency]]=$E254)*(ROW(TableDiv[Agency])-ROW(TableDiv[[#Headers],[Agency]])),COLUMNS($F$7:N$7))))</f>
        <v>0</v>
      </c>
      <c r="O254" s="2223" cm="1">
        <f t="array" ref="O254">IF($D254&lt;COLUMNS($F$7:O$7),"",INDEX(TableDiv[[GASB]:[GASB]],_xlfn.AGGREGATE(15,3,(TableDiv[[Agency]:[Agency]]=$E254)/(TableDiv[[Agency]:[Agency]]=$E254)*(ROW(TableDiv[Agency])-ROW(TableDiv[[#Headers],[Agency]])),COLUMNS($F$7:O$7))))</f>
        <v>0</v>
      </c>
      <c r="P254" s="2223" cm="1">
        <f t="array" ref="P254">IF($D254&lt;COLUMNS($F$7:P$7),"",INDEX(TableDiv[[GASB]:[GASB]],_xlfn.AGGREGATE(15,3,(TableDiv[[Agency]:[Agency]]=$E254)/(TableDiv[[Agency]:[Agency]]=$E254)*(ROW(TableDiv[Agency])-ROW(TableDiv[[#Headers],[Agency]])),COLUMNS($F$7:P$7))))</f>
        <v>0</v>
      </c>
      <c r="Q254" s="2223" cm="1">
        <f t="array" ref="Q254">IF($D254&lt;COLUMNS($F$7:Q$7),"",INDEX(TableDiv[[GASB]:[GASB]],_xlfn.AGGREGATE(15,3,(TableDiv[[Agency]:[Agency]]=$E254)/(TableDiv[[Agency]:[Agency]]=$E254)*(ROW(TableDiv[Agency])-ROW(TableDiv[[#Headers],[Agency]])),COLUMNS($F$7:Q$7))))</f>
        <v>0</v>
      </c>
      <c r="R254" s="2223" cm="1">
        <f t="array" ref="R254">IF($D254&lt;COLUMNS($F$7:R$7),"",INDEX(TableDiv[[GASB]:[GASB]],_xlfn.AGGREGATE(15,3,(TableDiv[[Agency]:[Agency]]=$E254)/(TableDiv[[Agency]:[Agency]]=$E254)*(ROW(TableDiv[Agency])-ROW(TableDiv[[#Headers],[Agency]])),COLUMNS($F$7:R$7))))</f>
        <v>0</v>
      </c>
      <c r="S254" s="2223" cm="1">
        <f t="array" ref="S254">IF($D254&lt;COLUMNS($F$7:S$7),"",INDEX(TableDiv[[GASB]:[GASB]],_xlfn.AGGREGATE(15,3,(TableDiv[[Agency]:[Agency]]=$E254)/(TableDiv[[Agency]:[Agency]]=$E254)*(ROW(TableDiv[Agency])-ROW(TableDiv[[#Headers],[Agency]])),COLUMNS($F$7:S$7))))</f>
        <v>0</v>
      </c>
      <c r="T254" s="2223" cm="1">
        <f t="array" ref="T254">IF($D254&lt;COLUMNS($F$7:T$7),"",INDEX(TableDiv[[GASB]:[GASB]],_xlfn.AGGREGATE(15,3,(TableDiv[[Agency]:[Agency]]=$E254)/(TableDiv[[Agency]:[Agency]]=$E254)*(ROW(TableDiv[Agency])-ROW(TableDiv[[#Headers],[Agency]])),COLUMNS($F$7:T$7))))</f>
        <v>0</v>
      </c>
      <c r="U254" s="2223" cm="1">
        <f t="array" ref="U254">IF($D254&lt;COLUMNS($F$7:U$7),"",INDEX(TableDiv[[GASB]:[GASB]],_xlfn.AGGREGATE(15,3,(TableDiv[[Agency]:[Agency]]=$E254)/(TableDiv[[Agency]:[Agency]]=$E254)*(ROW(TableDiv[Agency])-ROW(TableDiv[[#Headers],[Agency]])),COLUMNS($F$7:U$7))))</f>
        <v>0</v>
      </c>
      <c r="V254" s="2223" cm="1">
        <f t="array" ref="V254">IF($D254&lt;COLUMNS($F$7:V$7),"",INDEX(TableDiv[[GASB]:[GASB]],_xlfn.AGGREGATE(15,3,(TableDiv[[Agency]:[Agency]]=$E254)/(TableDiv[[Agency]:[Agency]]=$E254)*(ROW(TableDiv[Agency])-ROW(TableDiv[[#Headers],[Agency]])),COLUMNS($F$7:V$7))))</f>
        <v>0</v>
      </c>
      <c r="W254" s="2223" cm="1">
        <f t="array" ref="W254">IF($D254&lt;COLUMNS($F$7:W$7),"",INDEX(TableDiv[[GASB]:[GASB]],_xlfn.AGGREGATE(15,3,(TableDiv[[Agency]:[Agency]]=$E254)/(TableDiv[[Agency]:[Agency]]=$E254)*(ROW(TableDiv[Agency])-ROW(TableDiv[[#Headers],[Agency]])),COLUMNS($F$7:W$7))))</f>
        <v>0</v>
      </c>
      <c r="X254" s="2223" cm="1">
        <f t="array" ref="X254">IF($D254&lt;COLUMNS($F$7:X$7),"",INDEX(TableDiv[[GASB]:[GASB]],_xlfn.AGGREGATE(15,3,(TableDiv[[Agency]:[Agency]]=$E254)/(TableDiv[[Agency]:[Agency]]=$E254)*(ROW(TableDiv[Agency])-ROW(TableDiv[[#Headers],[Agency]])),COLUMNS($F$7:X$7))))</f>
        <v>0</v>
      </c>
      <c r="Y254" s="2223" cm="1">
        <f t="array" ref="Y254">IF($D254&lt;COLUMNS($F$7:Y$7),"",INDEX(TableDiv[[GASB]:[GASB]],_xlfn.AGGREGATE(15,3,(TableDiv[[Agency]:[Agency]]=$E254)/(TableDiv[[Agency]:[Agency]]=$E254)*(ROW(TableDiv[Agency])-ROW(TableDiv[[#Headers],[Agency]])),COLUMNS($F$7:Y$7))))</f>
        <v>0</v>
      </c>
      <c r="Z254" s="2223" cm="1">
        <f t="array" ref="Z254">IF($D254&lt;COLUMNS($F$7:Z$7),"",INDEX(TableDiv[[GASB]:[GASB]],_xlfn.AGGREGATE(15,3,(TableDiv[[Agency]:[Agency]]=$E254)/(TableDiv[[Agency]:[Agency]]=$E254)*(ROW(TableDiv[Agency])-ROW(TableDiv[[#Headers],[Agency]])),COLUMNS($F$7:Z$7))))</f>
        <v>0</v>
      </c>
      <c r="AA254" s="2223" cm="1">
        <f t="array" ref="AA254">IF($D254&lt;COLUMNS($F$7:AA$7),"",INDEX(TableDiv[[GASB]:[GASB]],_xlfn.AGGREGATE(15,3,(TableDiv[[Agency]:[Agency]]=$E254)/(TableDiv[[Agency]:[Agency]]=$E254)*(ROW(TableDiv[Agency])-ROW(TableDiv[[#Headers],[Agency]])),COLUMNS($F$7:AA$7))))</f>
        <v>0</v>
      </c>
      <c r="AB254" s="2223" cm="1">
        <f t="array" ref="AB254">IF($D254&lt;COLUMNS($F$7:AB$7),"",INDEX(TableDiv[[GASB]:[GASB]],_xlfn.AGGREGATE(15,3,(TableDiv[[Agency]:[Agency]]=$E254)/(TableDiv[[Agency]:[Agency]]=$E254)*(ROW(TableDiv[Agency])-ROW(TableDiv[[#Headers],[Agency]])),COLUMNS($F$7:AB$7))))</f>
        <v>0</v>
      </c>
      <c r="AC254" s="2223" cm="1">
        <f t="array" ref="AC254">IF($D254&lt;COLUMNS($F$7:AC$7),"",INDEX(TableDiv[[GASB]:[GASB]],_xlfn.AGGREGATE(15,3,(TableDiv[[Agency]:[Agency]]=$E254)/(TableDiv[[Agency]:[Agency]]=$E254)*(ROW(TableDiv[Agency])-ROW(TableDiv[[#Headers],[Agency]])),COLUMNS($F$7:AC$7))))</f>
        <v>0</v>
      </c>
      <c r="AD254" s="2223" cm="1">
        <f t="array" ref="AD254">IF($D254&lt;COLUMNS($F$7:AD$7),"",INDEX(TableDiv[[GASB]:[GASB]],_xlfn.AGGREGATE(15,3,(TableDiv[[Agency]:[Agency]]=$E254)/(TableDiv[[Agency]:[Agency]]=$E254)*(ROW(TableDiv[Agency])-ROW(TableDiv[[#Headers],[Agency]])),COLUMNS($F$7:AD$7))))</f>
        <v>0</v>
      </c>
      <c r="AE254" s="2223" cm="1">
        <f t="array" ref="AE254">IF($D254&lt;COLUMNS($F$7:AE$7),"",INDEX(TableDiv[[GASB]:[GASB]],_xlfn.AGGREGATE(15,3,(TableDiv[[Agency]:[Agency]]=$E254)/(TableDiv[[Agency]:[Agency]]=$E254)*(ROW(TableDiv[Agency])-ROW(TableDiv[[#Headers],[Agency]])),COLUMNS($F$7:AE$7))))</f>
        <v>0</v>
      </c>
      <c r="AF254" s="2223" cm="1">
        <f t="array" ref="AF254">IF($D254&lt;COLUMNS($F$7:AF$7),"",INDEX(TableDiv[[GASB]:[GASB]],_xlfn.AGGREGATE(15,3,(TableDiv[[Agency]:[Agency]]=$E254)/(TableDiv[[Agency]:[Agency]]=$E254)*(ROW(TableDiv[Agency])-ROW(TableDiv[[#Headers],[Agency]])),COLUMNS($F$7:AF$7))))</f>
        <v>0</v>
      </c>
      <c r="AG254" s="2223" cm="1">
        <f t="array" ref="AG254">IF($D254&lt;COLUMNS($F$7:AG$7),"",INDEX(TableDiv[[GASB]:[GASB]],_xlfn.AGGREGATE(15,3,(TableDiv[[Agency]:[Agency]]=$E254)/(TableDiv[[Agency]:[Agency]]=$E254)*(ROW(TableDiv[Agency])-ROW(TableDiv[[#Headers],[Agency]])),COLUMNS($F$7:AG$7))))</f>
        <v>0</v>
      </c>
      <c r="AH254" s="2223" cm="1">
        <f t="array" ref="AH254">IF($D254&lt;COLUMNS($F$7:AH$7),"",INDEX(TableDiv[[GASB]:[GASB]],_xlfn.AGGREGATE(15,3,(TableDiv[[Agency]:[Agency]]=$E254)/(TableDiv[[Agency]:[Agency]]=$E254)*(ROW(TableDiv[Agency])-ROW(TableDiv[[#Headers],[Agency]])),COLUMNS($F$7:AH$7))))</f>
        <v>0</v>
      </c>
      <c r="AI254" s="2223" cm="1">
        <f t="array" ref="AI254">IF($D254&lt;COLUMNS($F$7:AI$7),"",INDEX(TableDiv[[GASB]:[GASB]],_xlfn.AGGREGATE(15,3,(TableDiv[[Agency]:[Agency]]=$E254)/(TableDiv[[Agency]:[Agency]]=$E254)*(ROW(TableDiv[Agency])-ROW(TableDiv[[#Headers],[Agency]])),COLUMNS($F$7:AI$7))))</f>
        <v>0</v>
      </c>
      <c r="AJ254" s="2223" cm="1">
        <f t="array" ref="AJ254">IF($D254&lt;COLUMNS($F$7:AJ$7),"",INDEX(TableDiv[[GASB]:[GASB]],_xlfn.AGGREGATE(15,3,(TableDiv[[Agency]:[Agency]]=$E254)/(TableDiv[[Agency]:[Agency]]=$E254)*(ROW(TableDiv[Agency])-ROW(TableDiv[[#Headers],[Agency]])),COLUMNS($F$7:AJ$7))))</f>
        <v>0</v>
      </c>
      <c r="AK254" s="2223" t="str" cm="1">
        <f t="array" ref="AK254">IF($D254&lt;COLUMNS($F$7:AK$7),"",INDEX(TableDiv[[GASB]:[GASB]],_xlfn.AGGREGATE(15,3,(TableDiv[[Agency]:[Agency]]=$E254)/(TableDiv[[Agency]:[Agency]]=$E254)*(ROW(TableDiv[Agency])-ROW(TableDiv[[#Headers],[Agency]])),COLUMNS($F$7:AK$7))))</f>
        <v/>
      </c>
      <c r="AL254" s="2223" t="str" cm="1">
        <f t="array" ref="AL254">IF($D254&lt;COLUMNS($F$7:AL$7),"",INDEX(TableDiv[[GASB]:[GASB]],_xlfn.AGGREGATE(15,3,(TableDiv[[Agency]:[Agency]]=$E254)/(TableDiv[[Agency]:[Agency]]=$E254)*(ROW(TableDiv[Agency])-ROW(TableDiv[[#Headers],[Agency]])),COLUMNS($F$7:AL$7))))</f>
        <v/>
      </c>
      <c r="AM254" s="2223" t="str" cm="1">
        <f t="array" ref="AM254">IF($D254&lt;COLUMNS($F$7:AM$7),"",INDEX(TableDiv[[GASB]:[GASB]],_xlfn.AGGREGATE(15,3,(TableDiv[[Agency]:[Agency]]=$E254)/(TableDiv[[Agency]:[Agency]]=$E254)*(ROW(TableDiv[Agency])-ROW(TableDiv[[#Headers],[Agency]])),COLUMNS($F$7:AM$7))))</f>
        <v/>
      </c>
      <c r="AN254" s="2223"/>
      <c r="AO254" s="2223"/>
      <c r="AP254" s="2223"/>
      <c r="AQ254" s="2223"/>
      <c r="AR254" s="2223"/>
      <c r="AS254" s="2223"/>
    </row>
    <row r="255" spans="1:45" ht="15" x14ac:dyDescent="0.25">
      <c r="A255" s="2219" t="s">
        <v>5115</v>
      </c>
      <c r="B255" s="2219" t="s">
        <v>6357</v>
      </c>
      <c r="C255" s="2223"/>
      <c r="D255" s="2223">
        <f>COUNTIF(TableDiv[Agency],E255)</f>
        <v>31</v>
      </c>
      <c r="E255" s="2230" t="str" cm="1">
        <f t="array" ref="E255">IFERROR(INDEX(TableDiv[Agency],MATCH(0,INDEX(COUNTIF($E$7:E254,TableDiv[Agency]),),0)),"")</f>
        <v/>
      </c>
      <c r="F255" s="2223" cm="1">
        <f t="array" ref="F255">IF($D255&lt;COLUMNS($F$7:F$7),"",INDEX(TableDiv[[GASB]:[GASB]],_xlfn.AGGREGATE(15,3,(TableDiv[[Agency]:[Agency]]=$E255)/(TableDiv[[Agency]:[Agency]]=$E255)*(ROW(TableDiv[Agency])-ROW(TableDiv[[#Headers],[Agency]])),COLUMNS($F$7:F$7))))</f>
        <v>0</v>
      </c>
      <c r="G255" s="2223" cm="1">
        <f t="array" ref="G255">IF($D255&lt;COLUMNS($F$7:G$7),"",INDEX(TableDiv[[GASB]:[GASB]],_xlfn.AGGREGATE(15,3,(TableDiv[[Agency]:[Agency]]=$E255)/(TableDiv[[Agency]:[Agency]]=$E255)*(ROW(TableDiv[Agency])-ROW(TableDiv[[#Headers],[Agency]])),COLUMNS($F$7:G$7))))</f>
        <v>0</v>
      </c>
      <c r="H255" s="2223" cm="1">
        <f t="array" ref="H255">IF($D255&lt;COLUMNS($F$7:H$7),"",INDEX(TableDiv[[GASB]:[GASB]],_xlfn.AGGREGATE(15,3,(TableDiv[[Agency]:[Agency]]=$E255)/(TableDiv[[Agency]:[Agency]]=$E255)*(ROW(TableDiv[Agency])-ROW(TableDiv[[#Headers],[Agency]])),COLUMNS($F$7:H$7))))</f>
        <v>0</v>
      </c>
      <c r="I255" s="2223" cm="1">
        <f t="array" ref="I255">IF($D255&lt;COLUMNS($F$7:I$7),"",INDEX(TableDiv[[GASB]:[GASB]],_xlfn.AGGREGATE(15,3,(TableDiv[[Agency]:[Agency]]=$E255)/(TableDiv[[Agency]:[Agency]]=$E255)*(ROW(TableDiv[Agency])-ROW(TableDiv[[#Headers],[Agency]])),COLUMNS($F$7:I$7))))</f>
        <v>0</v>
      </c>
      <c r="J255" s="2223" cm="1">
        <f t="array" ref="J255">IF($D255&lt;COLUMNS($F$7:J$7),"",INDEX(TableDiv[[GASB]:[GASB]],_xlfn.AGGREGATE(15,3,(TableDiv[[Agency]:[Agency]]=$E255)/(TableDiv[[Agency]:[Agency]]=$E255)*(ROW(TableDiv[Agency])-ROW(TableDiv[[#Headers],[Agency]])),COLUMNS($F$7:J$7))))</f>
        <v>0</v>
      </c>
      <c r="K255" s="2223" cm="1">
        <f t="array" ref="K255">IF($D255&lt;COLUMNS($F$7:K$7),"",INDEX(TableDiv[[GASB]:[GASB]],_xlfn.AGGREGATE(15,3,(TableDiv[[Agency]:[Agency]]=$E255)/(TableDiv[[Agency]:[Agency]]=$E255)*(ROW(TableDiv[Agency])-ROW(TableDiv[[#Headers],[Agency]])),COLUMNS($F$7:K$7))))</f>
        <v>0</v>
      </c>
      <c r="L255" s="2223" cm="1">
        <f t="array" ref="L255">IF($D255&lt;COLUMNS($F$7:L$7),"",INDEX(TableDiv[[GASB]:[GASB]],_xlfn.AGGREGATE(15,3,(TableDiv[[Agency]:[Agency]]=$E255)/(TableDiv[[Agency]:[Agency]]=$E255)*(ROW(TableDiv[Agency])-ROW(TableDiv[[#Headers],[Agency]])),COLUMNS($F$7:L$7))))</f>
        <v>0</v>
      </c>
      <c r="M255" s="2223" cm="1">
        <f t="array" ref="M255">IF($D255&lt;COLUMNS($F$7:M$7),"",INDEX(TableDiv[[GASB]:[GASB]],_xlfn.AGGREGATE(15,3,(TableDiv[[Agency]:[Agency]]=$E255)/(TableDiv[[Agency]:[Agency]]=$E255)*(ROW(TableDiv[Agency])-ROW(TableDiv[[#Headers],[Agency]])),COLUMNS($F$7:M$7))))</f>
        <v>0</v>
      </c>
      <c r="N255" s="2223" cm="1">
        <f t="array" ref="N255">IF($D255&lt;COLUMNS($F$7:N$7),"",INDEX(TableDiv[[GASB]:[GASB]],_xlfn.AGGREGATE(15,3,(TableDiv[[Agency]:[Agency]]=$E255)/(TableDiv[[Agency]:[Agency]]=$E255)*(ROW(TableDiv[Agency])-ROW(TableDiv[[#Headers],[Agency]])),COLUMNS($F$7:N$7))))</f>
        <v>0</v>
      </c>
      <c r="O255" s="2223" cm="1">
        <f t="array" ref="O255">IF($D255&lt;COLUMNS($F$7:O$7),"",INDEX(TableDiv[[GASB]:[GASB]],_xlfn.AGGREGATE(15,3,(TableDiv[[Agency]:[Agency]]=$E255)/(TableDiv[[Agency]:[Agency]]=$E255)*(ROW(TableDiv[Agency])-ROW(TableDiv[[#Headers],[Agency]])),COLUMNS($F$7:O$7))))</f>
        <v>0</v>
      </c>
      <c r="P255" s="2223" cm="1">
        <f t="array" ref="P255">IF($D255&lt;COLUMNS($F$7:P$7),"",INDEX(TableDiv[[GASB]:[GASB]],_xlfn.AGGREGATE(15,3,(TableDiv[[Agency]:[Agency]]=$E255)/(TableDiv[[Agency]:[Agency]]=$E255)*(ROW(TableDiv[Agency])-ROW(TableDiv[[#Headers],[Agency]])),COLUMNS($F$7:P$7))))</f>
        <v>0</v>
      </c>
      <c r="Q255" s="2223" cm="1">
        <f t="array" ref="Q255">IF($D255&lt;COLUMNS($F$7:Q$7),"",INDEX(TableDiv[[GASB]:[GASB]],_xlfn.AGGREGATE(15,3,(TableDiv[[Agency]:[Agency]]=$E255)/(TableDiv[[Agency]:[Agency]]=$E255)*(ROW(TableDiv[Agency])-ROW(TableDiv[[#Headers],[Agency]])),COLUMNS($F$7:Q$7))))</f>
        <v>0</v>
      </c>
      <c r="R255" s="2223" cm="1">
        <f t="array" ref="R255">IF($D255&lt;COLUMNS($F$7:R$7),"",INDEX(TableDiv[[GASB]:[GASB]],_xlfn.AGGREGATE(15,3,(TableDiv[[Agency]:[Agency]]=$E255)/(TableDiv[[Agency]:[Agency]]=$E255)*(ROW(TableDiv[Agency])-ROW(TableDiv[[#Headers],[Agency]])),COLUMNS($F$7:R$7))))</f>
        <v>0</v>
      </c>
      <c r="S255" s="2223" cm="1">
        <f t="array" ref="S255">IF($D255&lt;COLUMNS($F$7:S$7),"",INDEX(TableDiv[[GASB]:[GASB]],_xlfn.AGGREGATE(15,3,(TableDiv[[Agency]:[Agency]]=$E255)/(TableDiv[[Agency]:[Agency]]=$E255)*(ROW(TableDiv[Agency])-ROW(TableDiv[[#Headers],[Agency]])),COLUMNS($F$7:S$7))))</f>
        <v>0</v>
      </c>
      <c r="T255" s="2223" cm="1">
        <f t="array" ref="T255">IF($D255&lt;COLUMNS($F$7:T$7),"",INDEX(TableDiv[[GASB]:[GASB]],_xlfn.AGGREGATE(15,3,(TableDiv[[Agency]:[Agency]]=$E255)/(TableDiv[[Agency]:[Agency]]=$E255)*(ROW(TableDiv[Agency])-ROW(TableDiv[[#Headers],[Agency]])),COLUMNS($F$7:T$7))))</f>
        <v>0</v>
      </c>
      <c r="U255" s="2223" cm="1">
        <f t="array" ref="U255">IF($D255&lt;COLUMNS($F$7:U$7),"",INDEX(TableDiv[[GASB]:[GASB]],_xlfn.AGGREGATE(15,3,(TableDiv[[Agency]:[Agency]]=$E255)/(TableDiv[[Agency]:[Agency]]=$E255)*(ROW(TableDiv[Agency])-ROW(TableDiv[[#Headers],[Agency]])),COLUMNS($F$7:U$7))))</f>
        <v>0</v>
      </c>
      <c r="V255" s="2223" cm="1">
        <f t="array" ref="V255">IF($D255&lt;COLUMNS($F$7:V$7),"",INDEX(TableDiv[[GASB]:[GASB]],_xlfn.AGGREGATE(15,3,(TableDiv[[Agency]:[Agency]]=$E255)/(TableDiv[[Agency]:[Agency]]=$E255)*(ROW(TableDiv[Agency])-ROW(TableDiv[[#Headers],[Agency]])),COLUMNS($F$7:V$7))))</f>
        <v>0</v>
      </c>
      <c r="W255" s="2223" cm="1">
        <f t="array" ref="W255">IF($D255&lt;COLUMNS($F$7:W$7),"",INDEX(TableDiv[[GASB]:[GASB]],_xlfn.AGGREGATE(15,3,(TableDiv[[Agency]:[Agency]]=$E255)/(TableDiv[[Agency]:[Agency]]=$E255)*(ROW(TableDiv[Agency])-ROW(TableDiv[[#Headers],[Agency]])),COLUMNS($F$7:W$7))))</f>
        <v>0</v>
      </c>
      <c r="X255" s="2223" cm="1">
        <f t="array" ref="X255">IF($D255&lt;COLUMNS($F$7:X$7),"",INDEX(TableDiv[[GASB]:[GASB]],_xlfn.AGGREGATE(15,3,(TableDiv[[Agency]:[Agency]]=$E255)/(TableDiv[[Agency]:[Agency]]=$E255)*(ROW(TableDiv[Agency])-ROW(TableDiv[[#Headers],[Agency]])),COLUMNS($F$7:X$7))))</f>
        <v>0</v>
      </c>
      <c r="Y255" s="2223" cm="1">
        <f t="array" ref="Y255">IF($D255&lt;COLUMNS($F$7:Y$7),"",INDEX(TableDiv[[GASB]:[GASB]],_xlfn.AGGREGATE(15,3,(TableDiv[[Agency]:[Agency]]=$E255)/(TableDiv[[Agency]:[Agency]]=$E255)*(ROW(TableDiv[Agency])-ROW(TableDiv[[#Headers],[Agency]])),COLUMNS($F$7:Y$7))))</f>
        <v>0</v>
      </c>
      <c r="Z255" s="2223" cm="1">
        <f t="array" ref="Z255">IF($D255&lt;COLUMNS($F$7:Z$7),"",INDEX(TableDiv[[GASB]:[GASB]],_xlfn.AGGREGATE(15,3,(TableDiv[[Agency]:[Agency]]=$E255)/(TableDiv[[Agency]:[Agency]]=$E255)*(ROW(TableDiv[Agency])-ROW(TableDiv[[#Headers],[Agency]])),COLUMNS($F$7:Z$7))))</f>
        <v>0</v>
      </c>
      <c r="AA255" s="2223" cm="1">
        <f t="array" ref="AA255">IF($D255&lt;COLUMNS($F$7:AA$7),"",INDEX(TableDiv[[GASB]:[GASB]],_xlfn.AGGREGATE(15,3,(TableDiv[[Agency]:[Agency]]=$E255)/(TableDiv[[Agency]:[Agency]]=$E255)*(ROW(TableDiv[Agency])-ROW(TableDiv[[#Headers],[Agency]])),COLUMNS($F$7:AA$7))))</f>
        <v>0</v>
      </c>
      <c r="AB255" s="2223" cm="1">
        <f t="array" ref="AB255">IF($D255&lt;COLUMNS($F$7:AB$7),"",INDEX(TableDiv[[GASB]:[GASB]],_xlfn.AGGREGATE(15,3,(TableDiv[[Agency]:[Agency]]=$E255)/(TableDiv[[Agency]:[Agency]]=$E255)*(ROW(TableDiv[Agency])-ROW(TableDiv[[#Headers],[Agency]])),COLUMNS($F$7:AB$7))))</f>
        <v>0</v>
      </c>
      <c r="AC255" s="2223" cm="1">
        <f t="array" ref="AC255">IF($D255&lt;COLUMNS($F$7:AC$7),"",INDEX(TableDiv[[GASB]:[GASB]],_xlfn.AGGREGATE(15,3,(TableDiv[[Agency]:[Agency]]=$E255)/(TableDiv[[Agency]:[Agency]]=$E255)*(ROW(TableDiv[Agency])-ROW(TableDiv[[#Headers],[Agency]])),COLUMNS($F$7:AC$7))))</f>
        <v>0</v>
      </c>
      <c r="AD255" s="2223" cm="1">
        <f t="array" ref="AD255">IF($D255&lt;COLUMNS($F$7:AD$7),"",INDEX(TableDiv[[GASB]:[GASB]],_xlfn.AGGREGATE(15,3,(TableDiv[[Agency]:[Agency]]=$E255)/(TableDiv[[Agency]:[Agency]]=$E255)*(ROW(TableDiv[Agency])-ROW(TableDiv[[#Headers],[Agency]])),COLUMNS($F$7:AD$7))))</f>
        <v>0</v>
      </c>
      <c r="AE255" s="2223" cm="1">
        <f t="array" ref="AE255">IF($D255&lt;COLUMNS($F$7:AE$7),"",INDEX(TableDiv[[GASB]:[GASB]],_xlfn.AGGREGATE(15,3,(TableDiv[[Agency]:[Agency]]=$E255)/(TableDiv[[Agency]:[Agency]]=$E255)*(ROW(TableDiv[Agency])-ROW(TableDiv[[#Headers],[Agency]])),COLUMNS($F$7:AE$7))))</f>
        <v>0</v>
      </c>
      <c r="AF255" s="2223" cm="1">
        <f t="array" ref="AF255">IF($D255&lt;COLUMNS($F$7:AF$7),"",INDEX(TableDiv[[GASB]:[GASB]],_xlfn.AGGREGATE(15,3,(TableDiv[[Agency]:[Agency]]=$E255)/(TableDiv[[Agency]:[Agency]]=$E255)*(ROW(TableDiv[Agency])-ROW(TableDiv[[#Headers],[Agency]])),COLUMNS($F$7:AF$7))))</f>
        <v>0</v>
      </c>
      <c r="AG255" s="2223" cm="1">
        <f t="array" ref="AG255">IF($D255&lt;COLUMNS($F$7:AG$7),"",INDEX(TableDiv[[GASB]:[GASB]],_xlfn.AGGREGATE(15,3,(TableDiv[[Agency]:[Agency]]=$E255)/(TableDiv[[Agency]:[Agency]]=$E255)*(ROW(TableDiv[Agency])-ROW(TableDiv[[#Headers],[Agency]])),COLUMNS($F$7:AG$7))))</f>
        <v>0</v>
      </c>
      <c r="AH255" s="2223" cm="1">
        <f t="array" ref="AH255">IF($D255&lt;COLUMNS($F$7:AH$7),"",INDEX(TableDiv[[GASB]:[GASB]],_xlfn.AGGREGATE(15,3,(TableDiv[[Agency]:[Agency]]=$E255)/(TableDiv[[Agency]:[Agency]]=$E255)*(ROW(TableDiv[Agency])-ROW(TableDiv[[#Headers],[Agency]])),COLUMNS($F$7:AH$7))))</f>
        <v>0</v>
      </c>
      <c r="AI255" s="2223" cm="1">
        <f t="array" ref="AI255">IF($D255&lt;COLUMNS($F$7:AI$7),"",INDEX(TableDiv[[GASB]:[GASB]],_xlfn.AGGREGATE(15,3,(TableDiv[[Agency]:[Agency]]=$E255)/(TableDiv[[Agency]:[Agency]]=$E255)*(ROW(TableDiv[Agency])-ROW(TableDiv[[#Headers],[Agency]])),COLUMNS($F$7:AI$7))))</f>
        <v>0</v>
      </c>
      <c r="AJ255" s="2223" cm="1">
        <f t="array" ref="AJ255">IF($D255&lt;COLUMNS($F$7:AJ$7),"",INDEX(TableDiv[[GASB]:[GASB]],_xlfn.AGGREGATE(15,3,(TableDiv[[Agency]:[Agency]]=$E255)/(TableDiv[[Agency]:[Agency]]=$E255)*(ROW(TableDiv[Agency])-ROW(TableDiv[[#Headers],[Agency]])),COLUMNS($F$7:AJ$7))))</f>
        <v>0</v>
      </c>
      <c r="AK255" s="2223" t="str" cm="1">
        <f t="array" ref="AK255">IF($D255&lt;COLUMNS($F$7:AK$7),"",INDEX(TableDiv[[GASB]:[GASB]],_xlfn.AGGREGATE(15,3,(TableDiv[[Agency]:[Agency]]=$E255)/(TableDiv[[Agency]:[Agency]]=$E255)*(ROW(TableDiv[Agency])-ROW(TableDiv[[#Headers],[Agency]])),COLUMNS($F$7:AK$7))))</f>
        <v/>
      </c>
      <c r="AL255" s="2223" t="str" cm="1">
        <f t="array" ref="AL255">IF($D255&lt;COLUMNS($F$7:AL$7),"",INDEX(TableDiv[[GASB]:[GASB]],_xlfn.AGGREGATE(15,3,(TableDiv[[Agency]:[Agency]]=$E255)/(TableDiv[[Agency]:[Agency]]=$E255)*(ROW(TableDiv[Agency])-ROW(TableDiv[[#Headers],[Agency]])),COLUMNS($F$7:AL$7))))</f>
        <v/>
      </c>
      <c r="AM255" s="2223" t="str" cm="1">
        <f t="array" ref="AM255">IF($D255&lt;COLUMNS($F$7:AM$7),"",INDEX(TableDiv[[GASB]:[GASB]],_xlfn.AGGREGATE(15,3,(TableDiv[[Agency]:[Agency]]=$E255)/(TableDiv[[Agency]:[Agency]]=$E255)*(ROW(TableDiv[Agency])-ROW(TableDiv[[#Headers],[Agency]])),COLUMNS($F$7:AM$7))))</f>
        <v/>
      </c>
      <c r="AN255" s="2223"/>
      <c r="AO255" s="2223"/>
      <c r="AP255" s="2223"/>
      <c r="AQ255" s="2223"/>
      <c r="AR255" s="2223"/>
      <c r="AS255" s="2223"/>
    </row>
    <row r="256" spans="1:45" ht="15" x14ac:dyDescent="0.25">
      <c r="A256" s="2219" t="s">
        <v>5115</v>
      </c>
      <c r="B256" s="2219" t="s">
        <v>1878</v>
      </c>
      <c r="C256" s="2223"/>
      <c r="D256" s="2223">
        <f>COUNTIF(TableDiv[Agency],E256)</f>
        <v>31</v>
      </c>
      <c r="E256" s="2230" t="str" cm="1">
        <f t="array" ref="E256">IFERROR(INDEX(TableDiv[Agency],MATCH(0,INDEX(COUNTIF($E$7:E255,TableDiv[Agency]),),0)),"")</f>
        <v/>
      </c>
      <c r="F256" s="2223" cm="1">
        <f t="array" ref="F256">IF($D256&lt;COLUMNS($F$7:F$7),"",INDEX(TableDiv[[GASB]:[GASB]],_xlfn.AGGREGATE(15,3,(TableDiv[[Agency]:[Agency]]=$E256)/(TableDiv[[Agency]:[Agency]]=$E256)*(ROW(TableDiv[Agency])-ROW(TableDiv[[#Headers],[Agency]])),COLUMNS($F$7:F$7))))</f>
        <v>0</v>
      </c>
      <c r="G256" s="2223" cm="1">
        <f t="array" ref="G256">IF($D256&lt;COLUMNS($F$7:G$7),"",INDEX(TableDiv[[GASB]:[GASB]],_xlfn.AGGREGATE(15,3,(TableDiv[[Agency]:[Agency]]=$E256)/(TableDiv[[Agency]:[Agency]]=$E256)*(ROW(TableDiv[Agency])-ROW(TableDiv[[#Headers],[Agency]])),COLUMNS($F$7:G$7))))</f>
        <v>0</v>
      </c>
      <c r="H256" s="2223" cm="1">
        <f t="array" ref="H256">IF($D256&lt;COLUMNS($F$7:H$7),"",INDEX(TableDiv[[GASB]:[GASB]],_xlfn.AGGREGATE(15,3,(TableDiv[[Agency]:[Agency]]=$E256)/(TableDiv[[Agency]:[Agency]]=$E256)*(ROW(TableDiv[Agency])-ROW(TableDiv[[#Headers],[Agency]])),COLUMNS($F$7:H$7))))</f>
        <v>0</v>
      </c>
      <c r="I256" s="2223" cm="1">
        <f t="array" ref="I256">IF($D256&lt;COLUMNS($F$7:I$7),"",INDEX(TableDiv[[GASB]:[GASB]],_xlfn.AGGREGATE(15,3,(TableDiv[[Agency]:[Agency]]=$E256)/(TableDiv[[Agency]:[Agency]]=$E256)*(ROW(TableDiv[Agency])-ROW(TableDiv[[#Headers],[Agency]])),COLUMNS($F$7:I$7))))</f>
        <v>0</v>
      </c>
      <c r="J256" s="2223" cm="1">
        <f t="array" ref="J256">IF($D256&lt;COLUMNS($F$7:J$7),"",INDEX(TableDiv[[GASB]:[GASB]],_xlfn.AGGREGATE(15,3,(TableDiv[[Agency]:[Agency]]=$E256)/(TableDiv[[Agency]:[Agency]]=$E256)*(ROW(TableDiv[Agency])-ROW(TableDiv[[#Headers],[Agency]])),COLUMNS($F$7:J$7))))</f>
        <v>0</v>
      </c>
      <c r="K256" s="2223" cm="1">
        <f t="array" ref="K256">IF($D256&lt;COLUMNS($F$7:K$7),"",INDEX(TableDiv[[GASB]:[GASB]],_xlfn.AGGREGATE(15,3,(TableDiv[[Agency]:[Agency]]=$E256)/(TableDiv[[Agency]:[Agency]]=$E256)*(ROW(TableDiv[Agency])-ROW(TableDiv[[#Headers],[Agency]])),COLUMNS($F$7:K$7))))</f>
        <v>0</v>
      </c>
      <c r="L256" s="2223" cm="1">
        <f t="array" ref="L256">IF($D256&lt;COLUMNS($F$7:L$7),"",INDEX(TableDiv[[GASB]:[GASB]],_xlfn.AGGREGATE(15,3,(TableDiv[[Agency]:[Agency]]=$E256)/(TableDiv[[Agency]:[Agency]]=$E256)*(ROW(TableDiv[Agency])-ROW(TableDiv[[#Headers],[Agency]])),COLUMNS($F$7:L$7))))</f>
        <v>0</v>
      </c>
      <c r="M256" s="2223" cm="1">
        <f t="array" ref="M256">IF($D256&lt;COLUMNS($F$7:M$7),"",INDEX(TableDiv[[GASB]:[GASB]],_xlfn.AGGREGATE(15,3,(TableDiv[[Agency]:[Agency]]=$E256)/(TableDiv[[Agency]:[Agency]]=$E256)*(ROW(TableDiv[Agency])-ROW(TableDiv[[#Headers],[Agency]])),COLUMNS($F$7:M$7))))</f>
        <v>0</v>
      </c>
      <c r="N256" s="2223" cm="1">
        <f t="array" ref="N256">IF($D256&lt;COLUMNS($F$7:N$7),"",INDEX(TableDiv[[GASB]:[GASB]],_xlfn.AGGREGATE(15,3,(TableDiv[[Agency]:[Agency]]=$E256)/(TableDiv[[Agency]:[Agency]]=$E256)*(ROW(TableDiv[Agency])-ROW(TableDiv[[#Headers],[Agency]])),COLUMNS($F$7:N$7))))</f>
        <v>0</v>
      </c>
      <c r="O256" s="2223" cm="1">
        <f t="array" ref="O256">IF($D256&lt;COLUMNS($F$7:O$7),"",INDEX(TableDiv[[GASB]:[GASB]],_xlfn.AGGREGATE(15,3,(TableDiv[[Agency]:[Agency]]=$E256)/(TableDiv[[Agency]:[Agency]]=$E256)*(ROW(TableDiv[Agency])-ROW(TableDiv[[#Headers],[Agency]])),COLUMNS($F$7:O$7))))</f>
        <v>0</v>
      </c>
      <c r="P256" s="2223" cm="1">
        <f t="array" ref="P256">IF($D256&lt;COLUMNS($F$7:P$7),"",INDEX(TableDiv[[GASB]:[GASB]],_xlfn.AGGREGATE(15,3,(TableDiv[[Agency]:[Agency]]=$E256)/(TableDiv[[Agency]:[Agency]]=$E256)*(ROW(TableDiv[Agency])-ROW(TableDiv[[#Headers],[Agency]])),COLUMNS($F$7:P$7))))</f>
        <v>0</v>
      </c>
      <c r="Q256" s="2223" cm="1">
        <f t="array" ref="Q256">IF($D256&lt;COLUMNS($F$7:Q$7),"",INDEX(TableDiv[[GASB]:[GASB]],_xlfn.AGGREGATE(15,3,(TableDiv[[Agency]:[Agency]]=$E256)/(TableDiv[[Agency]:[Agency]]=$E256)*(ROW(TableDiv[Agency])-ROW(TableDiv[[#Headers],[Agency]])),COLUMNS($F$7:Q$7))))</f>
        <v>0</v>
      </c>
      <c r="R256" s="2223" cm="1">
        <f t="array" ref="R256">IF($D256&lt;COLUMNS($F$7:R$7),"",INDEX(TableDiv[[GASB]:[GASB]],_xlfn.AGGREGATE(15,3,(TableDiv[[Agency]:[Agency]]=$E256)/(TableDiv[[Agency]:[Agency]]=$E256)*(ROW(TableDiv[Agency])-ROW(TableDiv[[#Headers],[Agency]])),COLUMNS($F$7:R$7))))</f>
        <v>0</v>
      </c>
      <c r="S256" s="2223" cm="1">
        <f t="array" ref="S256">IF($D256&lt;COLUMNS($F$7:S$7),"",INDEX(TableDiv[[GASB]:[GASB]],_xlfn.AGGREGATE(15,3,(TableDiv[[Agency]:[Agency]]=$E256)/(TableDiv[[Agency]:[Agency]]=$E256)*(ROW(TableDiv[Agency])-ROW(TableDiv[[#Headers],[Agency]])),COLUMNS($F$7:S$7))))</f>
        <v>0</v>
      </c>
      <c r="T256" s="2223" cm="1">
        <f t="array" ref="T256">IF($D256&lt;COLUMNS($F$7:T$7),"",INDEX(TableDiv[[GASB]:[GASB]],_xlfn.AGGREGATE(15,3,(TableDiv[[Agency]:[Agency]]=$E256)/(TableDiv[[Agency]:[Agency]]=$E256)*(ROW(TableDiv[Agency])-ROW(TableDiv[[#Headers],[Agency]])),COLUMNS($F$7:T$7))))</f>
        <v>0</v>
      </c>
      <c r="U256" s="2223" cm="1">
        <f t="array" ref="U256">IF($D256&lt;COLUMNS($F$7:U$7),"",INDEX(TableDiv[[GASB]:[GASB]],_xlfn.AGGREGATE(15,3,(TableDiv[[Agency]:[Agency]]=$E256)/(TableDiv[[Agency]:[Agency]]=$E256)*(ROW(TableDiv[Agency])-ROW(TableDiv[[#Headers],[Agency]])),COLUMNS($F$7:U$7))))</f>
        <v>0</v>
      </c>
      <c r="V256" s="2223" cm="1">
        <f t="array" ref="V256">IF($D256&lt;COLUMNS($F$7:V$7),"",INDEX(TableDiv[[GASB]:[GASB]],_xlfn.AGGREGATE(15,3,(TableDiv[[Agency]:[Agency]]=$E256)/(TableDiv[[Agency]:[Agency]]=$E256)*(ROW(TableDiv[Agency])-ROW(TableDiv[[#Headers],[Agency]])),COLUMNS($F$7:V$7))))</f>
        <v>0</v>
      </c>
      <c r="W256" s="2223" cm="1">
        <f t="array" ref="W256">IF($D256&lt;COLUMNS($F$7:W$7),"",INDEX(TableDiv[[GASB]:[GASB]],_xlfn.AGGREGATE(15,3,(TableDiv[[Agency]:[Agency]]=$E256)/(TableDiv[[Agency]:[Agency]]=$E256)*(ROW(TableDiv[Agency])-ROW(TableDiv[[#Headers],[Agency]])),COLUMNS($F$7:W$7))))</f>
        <v>0</v>
      </c>
      <c r="X256" s="2223" cm="1">
        <f t="array" ref="X256">IF($D256&lt;COLUMNS($F$7:X$7),"",INDEX(TableDiv[[GASB]:[GASB]],_xlfn.AGGREGATE(15,3,(TableDiv[[Agency]:[Agency]]=$E256)/(TableDiv[[Agency]:[Agency]]=$E256)*(ROW(TableDiv[Agency])-ROW(TableDiv[[#Headers],[Agency]])),COLUMNS($F$7:X$7))))</f>
        <v>0</v>
      </c>
      <c r="Y256" s="2223" cm="1">
        <f t="array" ref="Y256">IF($D256&lt;COLUMNS($F$7:Y$7),"",INDEX(TableDiv[[GASB]:[GASB]],_xlfn.AGGREGATE(15,3,(TableDiv[[Agency]:[Agency]]=$E256)/(TableDiv[[Agency]:[Agency]]=$E256)*(ROW(TableDiv[Agency])-ROW(TableDiv[[#Headers],[Agency]])),COLUMNS($F$7:Y$7))))</f>
        <v>0</v>
      </c>
      <c r="Z256" s="2223" cm="1">
        <f t="array" ref="Z256">IF($D256&lt;COLUMNS($F$7:Z$7),"",INDEX(TableDiv[[GASB]:[GASB]],_xlfn.AGGREGATE(15,3,(TableDiv[[Agency]:[Agency]]=$E256)/(TableDiv[[Agency]:[Agency]]=$E256)*(ROW(TableDiv[Agency])-ROW(TableDiv[[#Headers],[Agency]])),COLUMNS($F$7:Z$7))))</f>
        <v>0</v>
      </c>
      <c r="AA256" s="2223" cm="1">
        <f t="array" ref="AA256">IF($D256&lt;COLUMNS($F$7:AA$7),"",INDEX(TableDiv[[GASB]:[GASB]],_xlfn.AGGREGATE(15,3,(TableDiv[[Agency]:[Agency]]=$E256)/(TableDiv[[Agency]:[Agency]]=$E256)*(ROW(TableDiv[Agency])-ROW(TableDiv[[#Headers],[Agency]])),COLUMNS($F$7:AA$7))))</f>
        <v>0</v>
      </c>
      <c r="AB256" s="2223" cm="1">
        <f t="array" ref="AB256">IF($D256&lt;COLUMNS($F$7:AB$7),"",INDEX(TableDiv[[GASB]:[GASB]],_xlfn.AGGREGATE(15,3,(TableDiv[[Agency]:[Agency]]=$E256)/(TableDiv[[Agency]:[Agency]]=$E256)*(ROW(TableDiv[Agency])-ROW(TableDiv[[#Headers],[Agency]])),COLUMNS($F$7:AB$7))))</f>
        <v>0</v>
      </c>
      <c r="AC256" s="2223" cm="1">
        <f t="array" ref="AC256">IF($D256&lt;COLUMNS($F$7:AC$7),"",INDEX(TableDiv[[GASB]:[GASB]],_xlfn.AGGREGATE(15,3,(TableDiv[[Agency]:[Agency]]=$E256)/(TableDiv[[Agency]:[Agency]]=$E256)*(ROW(TableDiv[Agency])-ROW(TableDiv[[#Headers],[Agency]])),COLUMNS($F$7:AC$7))))</f>
        <v>0</v>
      </c>
      <c r="AD256" s="2223" cm="1">
        <f t="array" ref="AD256">IF($D256&lt;COLUMNS($F$7:AD$7),"",INDEX(TableDiv[[GASB]:[GASB]],_xlfn.AGGREGATE(15,3,(TableDiv[[Agency]:[Agency]]=$E256)/(TableDiv[[Agency]:[Agency]]=$E256)*(ROW(TableDiv[Agency])-ROW(TableDiv[[#Headers],[Agency]])),COLUMNS($F$7:AD$7))))</f>
        <v>0</v>
      </c>
      <c r="AE256" s="2223" cm="1">
        <f t="array" ref="AE256">IF($D256&lt;COLUMNS($F$7:AE$7),"",INDEX(TableDiv[[GASB]:[GASB]],_xlfn.AGGREGATE(15,3,(TableDiv[[Agency]:[Agency]]=$E256)/(TableDiv[[Agency]:[Agency]]=$E256)*(ROW(TableDiv[Agency])-ROW(TableDiv[[#Headers],[Agency]])),COLUMNS($F$7:AE$7))))</f>
        <v>0</v>
      </c>
      <c r="AF256" s="2223" cm="1">
        <f t="array" ref="AF256">IF($D256&lt;COLUMNS($F$7:AF$7),"",INDEX(TableDiv[[GASB]:[GASB]],_xlfn.AGGREGATE(15,3,(TableDiv[[Agency]:[Agency]]=$E256)/(TableDiv[[Agency]:[Agency]]=$E256)*(ROW(TableDiv[Agency])-ROW(TableDiv[[#Headers],[Agency]])),COLUMNS($F$7:AF$7))))</f>
        <v>0</v>
      </c>
      <c r="AG256" s="2223" cm="1">
        <f t="array" ref="AG256">IF($D256&lt;COLUMNS($F$7:AG$7),"",INDEX(TableDiv[[GASB]:[GASB]],_xlfn.AGGREGATE(15,3,(TableDiv[[Agency]:[Agency]]=$E256)/(TableDiv[[Agency]:[Agency]]=$E256)*(ROW(TableDiv[Agency])-ROW(TableDiv[[#Headers],[Agency]])),COLUMNS($F$7:AG$7))))</f>
        <v>0</v>
      </c>
      <c r="AH256" s="2223" cm="1">
        <f t="array" ref="AH256">IF($D256&lt;COLUMNS($F$7:AH$7),"",INDEX(TableDiv[[GASB]:[GASB]],_xlfn.AGGREGATE(15,3,(TableDiv[[Agency]:[Agency]]=$E256)/(TableDiv[[Agency]:[Agency]]=$E256)*(ROW(TableDiv[Agency])-ROW(TableDiv[[#Headers],[Agency]])),COLUMNS($F$7:AH$7))))</f>
        <v>0</v>
      </c>
      <c r="AI256" s="2223" cm="1">
        <f t="array" ref="AI256">IF($D256&lt;COLUMNS($F$7:AI$7),"",INDEX(TableDiv[[GASB]:[GASB]],_xlfn.AGGREGATE(15,3,(TableDiv[[Agency]:[Agency]]=$E256)/(TableDiv[[Agency]:[Agency]]=$E256)*(ROW(TableDiv[Agency])-ROW(TableDiv[[#Headers],[Agency]])),COLUMNS($F$7:AI$7))))</f>
        <v>0</v>
      </c>
      <c r="AJ256" s="2223" cm="1">
        <f t="array" ref="AJ256">IF($D256&lt;COLUMNS($F$7:AJ$7),"",INDEX(TableDiv[[GASB]:[GASB]],_xlfn.AGGREGATE(15,3,(TableDiv[[Agency]:[Agency]]=$E256)/(TableDiv[[Agency]:[Agency]]=$E256)*(ROW(TableDiv[Agency])-ROW(TableDiv[[#Headers],[Agency]])),COLUMNS($F$7:AJ$7))))</f>
        <v>0</v>
      </c>
      <c r="AK256" s="2223" t="str" cm="1">
        <f t="array" ref="AK256">IF($D256&lt;COLUMNS($F$7:AK$7),"",INDEX(TableDiv[[GASB]:[GASB]],_xlfn.AGGREGATE(15,3,(TableDiv[[Agency]:[Agency]]=$E256)/(TableDiv[[Agency]:[Agency]]=$E256)*(ROW(TableDiv[Agency])-ROW(TableDiv[[#Headers],[Agency]])),COLUMNS($F$7:AK$7))))</f>
        <v/>
      </c>
      <c r="AL256" s="2223" t="str" cm="1">
        <f t="array" ref="AL256">IF($D256&lt;COLUMNS($F$7:AL$7),"",INDEX(TableDiv[[GASB]:[GASB]],_xlfn.AGGREGATE(15,3,(TableDiv[[Agency]:[Agency]]=$E256)/(TableDiv[[Agency]:[Agency]]=$E256)*(ROW(TableDiv[Agency])-ROW(TableDiv[[#Headers],[Agency]])),COLUMNS($F$7:AL$7))))</f>
        <v/>
      </c>
      <c r="AM256" s="2223" t="str" cm="1">
        <f t="array" ref="AM256">IF($D256&lt;COLUMNS($F$7:AM$7),"",INDEX(TableDiv[[GASB]:[GASB]],_xlfn.AGGREGATE(15,3,(TableDiv[[Agency]:[Agency]]=$E256)/(TableDiv[[Agency]:[Agency]]=$E256)*(ROW(TableDiv[Agency])-ROW(TableDiv[[#Headers],[Agency]])),COLUMNS($F$7:AM$7))))</f>
        <v/>
      </c>
      <c r="AN256" s="2223"/>
      <c r="AO256" s="2223"/>
      <c r="AP256" s="2223"/>
      <c r="AQ256" s="2223"/>
      <c r="AR256" s="2223"/>
      <c r="AS256" s="2223"/>
    </row>
    <row r="257" spans="1:45" ht="15" x14ac:dyDescent="0.25">
      <c r="A257" s="2219" t="s">
        <v>5115</v>
      </c>
      <c r="B257" s="2219" t="s">
        <v>6416</v>
      </c>
      <c r="C257" s="2223"/>
      <c r="D257" s="2223">
        <f>COUNTIF(TableDiv[Agency],E257)</f>
        <v>31</v>
      </c>
      <c r="E257" s="2230" t="str" cm="1">
        <f t="array" ref="E257">IFERROR(INDEX(TableDiv[Agency],MATCH(0,INDEX(COUNTIF($E$7:E256,TableDiv[Agency]),),0)),"")</f>
        <v/>
      </c>
      <c r="F257" s="2223" cm="1">
        <f t="array" ref="F257">IF($D257&lt;COLUMNS($F$7:F$7),"",INDEX(TableDiv[[GASB]:[GASB]],_xlfn.AGGREGATE(15,3,(TableDiv[[Agency]:[Agency]]=$E257)/(TableDiv[[Agency]:[Agency]]=$E257)*(ROW(TableDiv[Agency])-ROW(TableDiv[[#Headers],[Agency]])),COLUMNS($F$7:F$7))))</f>
        <v>0</v>
      </c>
      <c r="G257" s="2223" cm="1">
        <f t="array" ref="G257">IF($D257&lt;COLUMNS($F$7:G$7),"",INDEX(TableDiv[[GASB]:[GASB]],_xlfn.AGGREGATE(15,3,(TableDiv[[Agency]:[Agency]]=$E257)/(TableDiv[[Agency]:[Agency]]=$E257)*(ROW(TableDiv[Agency])-ROW(TableDiv[[#Headers],[Agency]])),COLUMNS($F$7:G$7))))</f>
        <v>0</v>
      </c>
      <c r="H257" s="2223" cm="1">
        <f t="array" ref="H257">IF($D257&lt;COLUMNS($F$7:H$7),"",INDEX(TableDiv[[GASB]:[GASB]],_xlfn.AGGREGATE(15,3,(TableDiv[[Agency]:[Agency]]=$E257)/(TableDiv[[Agency]:[Agency]]=$E257)*(ROW(TableDiv[Agency])-ROW(TableDiv[[#Headers],[Agency]])),COLUMNS($F$7:H$7))))</f>
        <v>0</v>
      </c>
      <c r="I257" s="2223" cm="1">
        <f t="array" ref="I257">IF($D257&lt;COLUMNS($F$7:I$7),"",INDEX(TableDiv[[GASB]:[GASB]],_xlfn.AGGREGATE(15,3,(TableDiv[[Agency]:[Agency]]=$E257)/(TableDiv[[Agency]:[Agency]]=$E257)*(ROW(TableDiv[Agency])-ROW(TableDiv[[#Headers],[Agency]])),COLUMNS($F$7:I$7))))</f>
        <v>0</v>
      </c>
      <c r="J257" s="2223" cm="1">
        <f t="array" ref="J257">IF($D257&lt;COLUMNS($F$7:J$7),"",INDEX(TableDiv[[GASB]:[GASB]],_xlfn.AGGREGATE(15,3,(TableDiv[[Agency]:[Agency]]=$E257)/(TableDiv[[Agency]:[Agency]]=$E257)*(ROW(TableDiv[Agency])-ROW(TableDiv[[#Headers],[Agency]])),COLUMNS($F$7:J$7))))</f>
        <v>0</v>
      </c>
      <c r="K257" s="2223" cm="1">
        <f t="array" ref="K257">IF($D257&lt;COLUMNS($F$7:K$7),"",INDEX(TableDiv[[GASB]:[GASB]],_xlfn.AGGREGATE(15,3,(TableDiv[[Agency]:[Agency]]=$E257)/(TableDiv[[Agency]:[Agency]]=$E257)*(ROW(TableDiv[Agency])-ROW(TableDiv[[#Headers],[Agency]])),COLUMNS($F$7:K$7))))</f>
        <v>0</v>
      </c>
      <c r="L257" s="2223" cm="1">
        <f t="array" ref="L257">IF($D257&lt;COLUMNS($F$7:L$7),"",INDEX(TableDiv[[GASB]:[GASB]],_xlfn.AGGREGATE(15,3,(TableDiv[[Agency]:[Agency]]=$E257)/(TableDiv[[Agency]:[Agency]]=$E257)*(ROW(TableDiv[Agency])-ROW(TableDiv[[#Headers],[Agency]])),COLUMNS($F$7:L$7))))</f>
        <v>0</v>
      </c>
      <c r="M257" s="2223" cm="1">
        <f t="array" ref="M257">IF($D257&lt;COLUMNS($F$7:M$7),"",INDEX(TableDiv[[GASB]:[GASB]],_xlfn.AGGREGATE(15,3,(TableDiv[[Agency]:[Agency]]=$E257)/(TableDiv[[Agency]:[Agency]]=$E257)*(ROW(TableDiv[Agency])-ROW(TableDiv[[#Headers],[Agency]])),COLUMNS($F$7:M$7))))</f>
        <v>0</v>
      </c>
      <c r="N257" s="2223" cm="1">
        <f t="array" ref="N257">IF($D257&lt;COLUMNS($F$7:N$7),"",INDEX(TableDiv[[GASB]:[GASB]],_xlfn.AGGREGATE(15,3,(TableDiv[[Agency]:[Agency]]=$E257)/(TableDiv[[Agency]:[Agency]]=$E257)*(ROW(TableDiv[Agency])-ROW(TableDiv[[#Headers],[Agency]])),COLUMNS($F$7:N$7))))</f>
        <v>0</v>
      </c>
      <c r="O257" s="2223" cm="1">
        <f t="array" ref="O257">IF($D257&lt;COLUMNS($F$7:O$7),"",INDEX(TableDiv[[GASB]:[GASB]],_xlfn.AGGREGATE(15,3,(TableDiv[[Agency]:[Agency]]=$E257)/(TableDiv[[Agency]:[Agency]]=$E257)*(ROW(TableDiv[Agency])-ROW(TableDiv[[#Headers],[Agency]])),COLUMNS($F$7:O$7))))</f>
        <v>0</v>
      </c>
      <c r="P257" s="2223" cm="1">
        <f t="array" ref="P257">IF($D257&lt;COLUMNS($F$7:P$7),"",INDEX(TableDiv[[GASB]:[GASB]],_xlfn.AGGREGATE(15,3,(TableDiv[[Agency]:[Agency]]=$E257)/(TableDiv[[Agency]:[Agency]]=$E257)*(ROW(TableDiv[Agency])-ROW(TableDiv[[#Headers],[Agency]])),COLUMNS($F$7:P$7))))</f>
        <v>0</v>
      </c>
      <c r="Q257" s="2223" cm="1">
        <f t="array" ref="Q257">IF($D257&lt;COLUMNS($F$7:Q$7),"",INDEX(TableDiv[[GASB]:[GASB]],_xlfn.AGGREGATE(15,3,(TableDiv[[Agency]:[Agency]]=$E257)/(TableDiv[[Agency]:[Agency]]=$E257)*(ROW(TableDiv[Agency])-ROW(TableDiv[[#Headers],[Agency]])),COLUMNS($F$7:Q$7))))</f>
        <v>0</v>
      </c>
      <c r="R257" s="2223" cm="1">
        <f t="array" ref="R257">IF($D257&lt;COLUMNS($F$7:R$7),"",INDEX(TableDiv[[GASB]:[GASB]],_xlfn.AGGREGATE(15,3,(TableDiv[[Agency]:[Agency]]=$E257)/(TableDiv[[Agency]:[Agency]]=$E257)*(ROW(TableDiv[Agency])-ROW(TableDiv[[#Headers],[Agency]])),COLUMNS($F$7:R$7))))</f>
        <v>0</v>
      </c>
      <c r="S257" s="2223" cm="1">
        <f t="array" ref="S257">IF($D257&lt;COLUMNS($F$7:S$7),"",INDEX(TableDiv[[GASB]:[GASB]],_xlfn.AGGREGATE(15,3,(TableDiv[[Agency]:[Agency]]=$E257)/(TableDiv[[Agency]:[Agency]]=$E257)*(ROW(TableDiv[Agency])-ROW(TableDiv[[#Headers],[Agency]])),COLUMNS($F$7:S$7))))</f>
        <v>0</v>
      </c>
      <c r="T257" s="2223" cm="1">
        <f t="array" ref="T257">IF($D257&lt;COLUMNS($F$7:T$7),"",INDEX(TableDiv[[GASB]:[GASB]],_xlfn.AGGREGATE(15,3,(TableDiv[[Agency]:[Agency]]=$E257)/(TableDiv[[Agency]:[Agency]]=$E257)*(ROW(TableDiv[Agency])-ROW(TableDiv[[#Headers],[Agency]])),COLUMNS($F$7:T$7))))</f>
        <v>0</v>
      </c>
      <c r="U257" s="2223" cm="1">
        <f t="array" ref="U257">IF($D257&lt;COLUMNS($F$7:U$7),"",INDEX(TableDiv[[GASB]:[GASB]],_xlfn.AGGREGATE(15,3,(TableDiv[[Agency]:[Agency]]=$E257)/(TableDiv[[Agency]:[Agency]]=$E257)*(ROW(TableDiv[Agency])-ROW(TableDiv[[#Headers],[Agency]])),COLUMNS($F$7:U$7))))</f>
        <v>0</v>
      </c>
      <c r="V257" s="2223" cm="1">
        <f t="array" ref="V257">IF($D257&lt;COLUMNS($F$7:V$7),"",INDEX(TableDiv[[GASB]:[GASB]],_xlfn.AGGREGATE(15,3,(TableDiv[[Agency]:[Agency]]=$E257)/(TableDiv[[Agency]:[Agency]]=$E257)*(ROW(TableDiv[Agency])-ROW(TableDiv[[#Headers],[Agency]])),COLUMNS($F$7:V$7))))</f>
        <v>0</v>
      </c>
      <c r="W257" s="2223" cm="1">
        <f t="array" ref="W257">IF($D257&lt;COLUMNS($F$7:W$7),"",INDEX(TableDiv[[GASB]:[GASB]],_xlfn.AGGREGATE(15,3,(TableDiv[[Agency]:[Agency]]=$E257)/(TableDiv[[Agency]:[Agency]]=$E257)*(ROW(TableDiv[Agency])-ROW(TableDiv[[#Headers],[Agency]])),COLUMNS($F$7:W$7))))</f>
        <v>0</v>
      </c>
      <c r="X257" s="2223" cm="1">
        <f t="array" ref="X257">IF($D257&lt;COLUMNS($F$7:X$7),"",INDEX(TableDiv[[GASB]:[GASB]],_xlfn.AGGREGATE(15,3,(TableDiv[[Agency]:[Agency]]=$E257)/(TableDiv[[Agency]:[Agency]]=$E257)*(ROW(TableDiv[Agency])-ROW(TableDiv[[#Headers],[Agency]])),COLUMNS($F$7:X$7))))</f>
        <v>0</v>
      </c>
      <c r="Y257" s="2223" cm="1">
        <f t="array" ref="Y257">IF($D257&lt;COLUMNS($F$7:Y$7),"",INDEX(TableDiv[[GASB]:[GASB]],_xlfn.AGGREGATE(15,3,(TableDiv[[Agency]:[Agency]]=$E257)/(TableDiv[[Agency]:[Agency]]=$E257)*(ROW(TableDiv[Agency])-ROW(TableDiv[[#Headers],[Agency]])),COLUMNS($F$7:Y$7))))</f>
        <v>0</v>
      </c>
      <c r="Z257" s="2223" cm="1">
        <f t="array" ref="Z257">IF($D257&lt;COLUMNS($F$7:Z$7),"",INDEX(TableDiv[[GASB]:[GASB]],_xlfn.AGGREGATE(15,3,(TableDiv[[Agency]:[Agency]]=$E257)/(TableDiv[[Agency]:[Agency]]=$E257)*(ROW(TableDiv[Agency])-ROW(TableDiv[[#Headers],[Agency]])),COLUMNS($F$7:Z$7))))</f>
        <v>0</v>
      </c>
      <c r="AA257" s="2223" cm="1">
        <f t="array" ref="AA257">IF($D257&lt;COLUMNS($F$7:AA$7),"",INDEX(TableDiv[[GASB]:[GASB]],_xlfn.AGGREGATE(15,3,(TableDiv[[Agency]:[Agency]]=$E257)/(TableDiv[[Agency]:[Agency]]=$E257)*(ROW(TableDiv[Agency])-ROW(TableDiv[[#Headers],[Agency]])),COLUMNS($F$7:AA$7))))</f>
        <v>0</v>
      </c>
      <c r="AB257" s="2223" cm="1">
        <f t="array" ref="AB257">IF($D257&lt;COLUMNS($F$7:AB$7),"",INDEX(TableDiv[[GASB]:[GASB]],_xlfn.AGGREGATE(15,3,(TableDiv[[Agency]:[Agency]]=$E257)/(TableDiv[[Agency]:[Agency]]=$E257)*(ROW(TableDiv[Agency])-ROW(TableDiv[[#Headers],[Agency]])),COLUMNS($F$7:AB$7))))</f>
        <v>0</v>
      </c>
      <c r="AC257" s="2223" cm="1">
        <f t="array" ref="AC257">IF($D257&lt;COLUMNS($F$7:AC$7),"",INDEX(TableDiv[[GASB]:[GASB]],_xlfn.AGGREGATE(15,3,(TableDiv[[Agency]:[Agency]]=$E257)/(TableDiv[[Agency]:[Agency]]=$E257)*(ROW(TableDiv[Agency])-ROW(TableDiv[[#Headers],[Agency]])),COLUMNS($F$7:AC$7))))</f>
        <v>0</v>
      </c>
      <c r="AD257" s="2223" cm="1">
        <f t="array" ref="AD257">IF($D257&lt;COLUMNS($F$7:AD$7),"",INDEX(TableDiv[[GASB]:[GASB]],_xlfn.AGGREGATE(15,3,(TableDiv[[Agency]:[Agency]]=$E257)/(TableDiv[[Agency]:[Agency]]=$E257)*(ROW(TableDiv[Agency])-ROW(TableDiv[[#Headers],[Agency]])),COLUMNS($F$7:AD$7))))</f>
        <v>0</v>
      </c>
      <c r="AE257" s="2223" cm="1">
        <f t="array" ref="AE257">IF($D257&lt;COLUMNS($F$7:AE$7),"",INDEX(TableDiv[[GASB]:[GASB]],_xlfn.AGGREGATE(15,3,(TableDiv[[Agency]:[Agency]]=$E257)/(TableDiv[[Agency]:[Agency]]=$E257)*(ROW(TableDiv[Agency])-ROW(TableDiv[[#Headers],[Agency]])),COLUMNS($F$7:AE$7))))</f>
        <v>0</v>
      </c>
      <c r="AF257" s="2223" cm="1">
        <f t="array" ref="AF257">IF($D257&lt;COLUMNS($F$7:AF$7),"",INDEX(TableDiv[[GASB]:[GASB]],_xlfn.AGGREGATE(15,3,(TableDiv[[Agency]:[Agency]]=$E257)/(TableDiv[[Agency]:[Agency]]=$E257)*(ROW(TableDiv[Agency])-ROW(TableDiv[[#Headers],[Agency]])),COLUMNS($F$7:AF$7))))</f>
        <v>0</v>
      </c>
      <c r="AG257" s="2223" cm="1">
        <f t="array" ref="AG257">IF($D257&lt;COLUMNS($F$7:AG$7),"",INDEX(TableDiv[[GASB]:[GASB]],_xlfn.AGGREGATE(15,3,(TableDiv[[Agency]:[Agency]]=$E257)/(TableDiv[[Agency]:[Agency]]=$E257)*(ROW(TableDiv[Agency])-ROW(TableDiv[[#Headers],[Agency]])),COLUMNS($F$7:AG$7))))</f>
        <v>0</v>
      </c>
      <c r="AH257" s="2223" cm="1">
        <f t="array" ref="AH257">IF($D257&lt;COLUMNS($F$7:AH$7),"",INDEX(TableDiv[[GASB]:[GASB]],_xlfn.AGGREGATE(15,3,(TableDiv[[Agency]:[Agency]]=$E257)/(TableDiv[[Agency]:[Agency]]=$E257)*(ROW(TableDiv[Agency])-ROW(TableDiv[[#Headers],[Agency]])),COLUMNS($F$7:AH$7))))</f>
        <v>0</v>
      </c>
      <c r="AI257" s="2223" cm="1">
        <f t="array" ref="AI257">IF($D257&lt;COLUMNS($F$7:AI$7),"",INDEX(TableDiv[[GASB]:[GASB]],_xlfn.AGGREGATE(15,3,(TableDiv[[Agency]:[Agency]]=$E257)/(TableDiv[[Agency]:[Agency]]=$E257)*(ROW(TableDiv[Agency])-ROW(TableDiv[[#Headers],[Agency]])),COLUMNS($F$7:AI$7))))</f>
        <v>0</v>
      </c>
      <c r="AJ257" s="2223" cm="1">
        <f t="array" ref="AJ257">IF($D257&lt;COLUMNS($F$7:AJ$7),"",INDEX(TableDiv[[GASB]:[GASB]],_xlfn.AGGREGATE(15,3,(TableDiv[[Agency]:[Agency]]=$E257)/(TableDiv[[Agency]:[Agency]]=$E257)*(ROW(TableDiv[Agency])-ROW(TableDiv[[#Headers],[Agency]])),COLUMNS($F$7:AJ$7))))</f>
        <v>0</v>
      </c>
      <c r="AK257" s="2223" t="str" cm="1">
        <f t="array" ref="AK257">IF($D257&lt;COLUMNS($F$7:AK$7),"",INDEX(TableDiv[[GASB]:[GASB]],_xlfn.AGGREGATE(15,3,(TableDiv[[Agency]:[Agency]]=$E257)/(TableDiv[[Agency]:[Agency]]=$E257)*(ROW(TableDiv[Agency])-ROW(TableDiv[[#Headers],[Agency]])),COLUMNS($F$7:AK$7))))</f>
        <v/>
      </c>
      <c r="AL257" s="2223" t="str" cm="1">
        <f t="array" ref="AL257">IF($D257&lt;COLUMNS($F$7:AL$7),"",INDEX(TableDiv[[GASB]:[GASB]],_xlfn.AGGREGATE(15,3,(TableDiv[[Agency]:[Agency]]=$E257)/(TableDiv[[Agency]:[Agency]]=$E257)*(ROW(TableDiv[Agency])-ROW(TableDiv[[#Headers],[Agency]])),COLUMNS($F$7:AL$7))))</f>
        <v/>
      </c>
      <c r="AM257" s="2223" t="str" cm="1">
        <f t="array" ref="AM257">IF($D257&lt;COLUMNS($F$7:AM$7),"",INDEX(TableDiv[[GASB]:[GASB]],_xlfn.AGGREGATE(15,3,(TableDiv[[Agency]:[Agency]]=$E257)/(TableDiv[[Agency]:[Agency]]=$E257)*(ROW(TableDiv[Agency])-ROW(TableDiv[[#Headers],[Agency]])),COLUMNS($F$7:AM$7))))</f>
        <v/>
      </c>
      <c r="AN257" s="2223"/>
      <c r="AO257" s="2223"/>
      <c r="AP257" s="2223"/>
      <c r="AQ257" s="2223"/>
      <c r="AR257" s="2223"/>
      <c r="AS257" s="2223"/>
    </row>
    <row r="258" spans="1:45" ht="15" x14ac:dyDescent="0.25">
      <c r="A258" s="2219" t="s">
        <v>5115</v>
      </c>
      <c r="B258" s="2219" t="s">
        <v>6361</v>
      </c>
      <c r="C258" s="2223"/>
      <c r="D258" s="2223">
        <f>COUNTIF(TableDiv[Agency],E258)</f>
        <v>31</v>
      </c>
      <c r="E258" s="2230" t="str" cm="1">
        <f t="array" ref="E258">IFERROR(INDEX(TableDiv[Agency],MATCH(0,INDEX(COUNTIF($E$7:E257,TableDiv[Agency]),),0)),"")</f>
        <v/>
      </c>
      <c r="F258" s="2223" cm="1">
        <f t="array" ref="F258">IF($D258&lt;COLUMNS($F$7:F$7),"",INDEX(TableDiv[[GASB]:[GASB]],_xlfn.AGGREGATE(15,3,(TableDiv[[Agency]:[Agency]]=$E258)/(TableDiv[[Agency]:[Agency]]=$E258)*(ROW(TableDiv[Agency])-ROW(TableDiv[[#Headers],[Agency]])),COLUMNS($F$7:F$7))))</f>
        <v>0</v>
      </c>
      <c r="G258" s="2223" cm="1">
        <f t="array" ref="G258">IF($D258&lt;COLUMNS($F$7:G$7),"",INDEX(TableDiv[[GASB]:[GASB]],_xlfn.AGGREGATE(15,3,(TableDiv[[Agency]:[Agency]]=$E258)/(TableDiv[[Agency]:[Agency]]=$E258)*(ROW(TableDiv[Agency])-ROW(TableDiv[[#Headers],[Agency]])),COLUMNS($F$7:G$7))))</f>
        <v>0</v>
      </c>
      <c r="H258" s="2223" cm="1">
        <f t="array" ref="H258">IF($D258&lt;COLUMNS($F$7:H$7),"",INDEX(TableDiv[[GASB]:[GASB]],_xlfn.AGGREGATE(15,3,(TableDiv[[Agency]:[Agency]]=$E258)/(TableDiv[[Agency]:[Agency]]=$E258)*(ROW(TableDiv[Agency])-ROW(TableDiv[[#Headers],[Agency]])),COLUMNS($F$7:H$7))))</f>
        <v>0</v>
      </c>
      <c r="I258" s="2223" cm="1">
        <f t="array" ref="I258">IF($D258&lt;COLUMNS($F$7:I$7),"",INDEX(TableDiv[[GASB]:[GASB]],_xlfn.AGGREGATE(15,3,(TableDiv[[Agency]:[Agency]]=$E258)/(TableDiv[[Agency]:[Agency]]=$E258)*(ROW(TableDiv[Agency])-ROW(TableDiv[[#Headers],[Agency]])),COLUMNS($F$7:I$7))))</f>
        <v>0</v>
      </c>
      <c r="J258" s="2223" cm="1">
        <f t="array" ref="J258">IF($D258&lt;COLUMNS($F$7:J$7),"",INDEX(TableDiv[[GASB]:[GASB]],_xlfn.AGGREGATE(15,3,(TableDiv[[Agency]:[Agency]]=$E258)/(TableDiv[[Agency]:[Agency]]=$E258)*(ROW(TableDiv[Agency])-ROW(TableDiv[[#Headers],[Agency]])),COLUMNS($F$7:J$7))))</f>
        <v>0</v>
      </c>
      <c r="K258" s="2223" cm="1">
        <f t="array" ref="K258">IF($D258&lt;COLUMNS($F$7:K$7),"",INDEX(TableDiv[[GASB]:[GASB]],_xlfn.AGGREGATE(15,3,(TableDiv[[Agency]:[Agency]]=$E258)/(TableDiv[[Agency]:[Agency]]=$E258)*(ROW(TableDiv[Agency])-ROW(TableDiv[[#Headers],[Agency]])),COLUMNS($F$7:K$7))))</f>
        <v>0</v>
      </c>
      <c r="L258" s="2223" cm="1">
        <f t="array" ref="L258">IF($D258&lt;COLUMNS($F$7:L$7),"",INDEX(TableDiv[[GASB]:[GASB]],_xlfn.AGGREGATE(15,3,(TableDiv[[Agency]:[Agency]]=$E258)/(TableDiv[[Agency]:[Agency]]=$E258)*(ROW(TableDiv[Agency])-ROW(TableDiv[[#Headers],[Agency]])),COLUMNS($F$7:L$7))))</f>
        <v>0</v>
      </c>
      <c r="M258" s="2223" cm="1">
        <f t="array" ref="M258">IF($D258&lt;COLUMNS($F$7:M$7),"",INDEX(TableDiv[[GASB]:[GASB]],_xlfn.AGGREGATE(15,3,(TableDiv[[Agency]:[Agency]]=$E258)/(TableDiv[[Agency]:[Agency]]=$E258)*(ROW(TableDiv[Agency])-ROW(TableDiv[[#Headers],[Agency]])),COLUMNS($F$7:M$7))))</f>
        <v>0</v>
      </c>
      <c r="N258" s="2223" cm="1">
        <f t="array" ref="N258">IF($D258&lt;COLUMNS($F$7:N$7),"",INDEX(TableDiv[[GASB]:[GASB]],_xlfn.AGGREGATE(15,3,(TableDiv[[Agency]:[Agency]]=$E258)/(TableDiv[[Agency]:[Agency]]=$E258)*(ROW(TableDiv[Agency])-ROW(TableDiv[[#Headers],[Agency]])),COLUMNS($F$7:N$7))))</f>
        <v>0</v>
      </c>
      <c r="O258" s="2223" cm="1">
        <f t="array" ref="O258">IF($D258&lt;COLUMNS($F$7:O$7),"",INDEX(TableDiv[[GASB]:[GASB]],_xlfn.AGGREGATE(15,3,(TableDiv[[Agency]:[Agency]]=$E258)/(TableDiv[[Agency]:[Agency]]=$E258)*(ROW(TableDiv[Agency])-ROW(TableDiv[[#Headers],[Agency]])),COLUMNS($F$7:O$7))))</f>
        <v>0</v>
      </c>
      <c r="P258" s="2223" cm="1">
        <f t="array" ref="P258">IF($D258&lt;COLUMNS($F$7:P$7),"",INDEX(TableDiv[[GASB]:[GASB]],_xlfn.AGGREGATE(15,3,(TableDiv[[Agency]:[Agency]]=$E258)/(TableDiv[[Agency]:[Agency]]=$E258)*(ROW(TableDiv[Agency])-ROW(TableDiv[[#Headers],[Agency]])),COLUMNS($F$7:P$7))))</f>
        <v>0</v>
      </c>
      <c r="Q258" s="2223" cm="1">
        <f t="array" ref="Q258">IF($D258&lt;COLUMNS($F$7:Q$7),"",INDEX(TableDiv[[GASB]:[GASB]],_xlfn.AGGREGATE(15,3,(TableDiv[[Agency]:[Agency]]=$E258)/(TableDiv[[Agency]:[Agency]]=$E258)*(ROW(TableDiv[Agency])-ROW(TableDiv[[#Headers],[Agency]])),COLUMNS($F$7:Q$7))))</f>
        <v>0</v>
      </c>
      <c r="R258" s="2223" cm="1">
        <f t="array" ref="R258">IF($D258&lt;COLUMNS($F$7:R$7),"",INDEX(TableDiv[[GASB]:[GASB]],_xlfn.AGGREGATE(15,3,(TableDiv[[Agency]:[Agency]]=$E258)/(TableDiv[[Agency]:[Agency]]=$E258)*(ROW(TableDiv[Agency])-ROW(TableDiv[[#Headers],[Agency]])),COLUMNS($F$7:R$7))))</f>
        <v>0</v>
      </c>
      <c r="S258" s="2223" cm="1">
        <f t="array" ref="S258">IF($D258&lt;COLUMNS($F$7:S$7),"",INDEX(TableDiv[[GASB]:[GASB]],_xlfn.AGGREGATE(15,3,(TableDiv[[Agency]:[Agency]]=$E258)/(TableDiv[[Agency]:[Agency]]=$E258)*(ROW(TableDiv[Agency])-ROW(TableDiv[[#Headers],[Agency]])),COLUMNS($F$7:S$7))))</f>
        <v>0</v>
      </c>
      <c r="T258" s="2223" cm="1">
        <f t="array" ref="T258">IF($D258&lt;COLUMNS($F$7:T$7),"",INDEX(TableDiv[[GASB]:[GASB]],_xlfn.AGGREGATE(15,3,(TableDiv[[Agency]:[Agency]]=$E258)/(TableDiv[[Agency]:[Agency]]=$E258)*(ROW(TableDiv[Agency])-ROW(TableDiv[[#Headers],[Agency]])),COLUMNS($F$7:T$7))))</f>
        <v>0</v>
      </c>
      <c r="U258" s="2223" cm="1">
        <f t="array" ref="U258">IF($D258&lt;COLUMNS($F$7:U$7),"",INDEX(TableDiv[[GASB]:[GASB]],_xlfn.AGGREGATE(15,3,(TableDiv[[Agency]:[Agency]]=$E258)/(TableDiv[[Agency]:[Agency]]=$E258)*(ROW(TableDiv[Agency])-ROW(TableDiv[[#Headers],[Agency]])),COLUMNS($F$7:U$7))))</f>
        <v>0</v>
      </c>
      <c r="V258" s="2223" cm="1">
        <f t="array" ref="V258">IF($D258&lt;COLUMNS($F$7:V$7),"",INDEX(TableDiv[[GASB]:[GASB]],_xlfn.AGGREGATE(15,3,(TableDiv[[Agency]:[Agency]]=$E258)/(TableDiv[[Agency]:[Agency]]=$E258)*(ROW(TableDiv[Agency])-ROW(TableDiv[[#Headers],[Agency]])),COLUMNS($F$7:V$7))))</f>
        <v>0</v>
      </c>
      <c r="W258" s="2223" cm="1">
        <f t="array" ref="W258">IF($D258&lt;COLUMNS($F$7:W$7),"",INDEX(TableDiv[[GASB]:[GASB]],_xlfn.AGGREGATE(15,3,(TableDiv[[Agency]:[Agency]]=$E258)/(TableDiv[[Agency]:[Agency]]=$E258)*(ROW(TableDiv[Agency])-ROW(TableDiv[[#Headers],[Agency]])),COLUMNS($F$7:W$7))))</f>
        <v>0</v>
      </c>
      <c r="X258" s="2223" cm="1">
        <f t="array" ref="X258">IF($D258&lt;COLUMNS($F$7:X$7),"",INDEX(TableDiv[[GASB]:[GASB]],_xlfn.AGGREGATE(15,3,(TableDiv[[Agency]:[Agency]]=$E258)/(TableDiv[[Agency]:[Agency]]=$E258)*(ROW(TableDiv[Agency])-ROW(TableDiv[[#Headers],[Agency]])),COLUMNS($F$7:X$7))))</f>
        <v>0</v>
      </c>
      <c r="Y258" s="2223" cm="1">
        <f t="array" ref="Y258">IF($D258&lt;COLUMNS($F$7:Y$7),"",INDEX(TableDiv[[GASB]:[GASB]],_xlfn.AGGREGATE(15,3,(TableDiv[[Agency]:[Agency]]=$E258)/(TableDiv[[Agency]:[Agency]]=$E258)*(ROW(TableDiv[Agency])-ROW(TableDiv[[#Headers],[Agency]])),COLUMNS($F$7:Y$7))))</f>
        <v>0</v>
      </c>
      <c r="Z258" s="2223" cm="1">
        <f t="array" ref="Z258">IF($D258&lt;COLUMNS($F$7:Z$7),"",INDEX(TableDiv[[GASB]:[GASB]],_xlfn.AGGREGATE(15,3,(TableDiv[[Agency]:[Agency]]=$E258)/(TableDiv[[Agency]:[Agency]]=$E258)*(ROW(TableDiv[Agency])-ROW(TableDiv[[#Headers],[Agency]])),COLUMNS($F$7:Z$7))))</f>
        <v>0</v>
      </c>
      <c r="AA258" s="2223" cm="1">
        <f t="array" ref="AA258">IF($D258&lt;COLUMNS($F$7:AA$7),"",INDEX(TableDiv[[GASB]:[GASB]],_xlfn.AGGREGATE(15,3,(TableDiv[[Agency]:[Agency]]=$E258)/(TableDiv[[Agency]:[Agency]]=$E258)*(ROW(TableDiv[Agency])-ROW(TableDiv[[#Headers],[Agency]])),COLUMNS($F$7:AA$7))))</f>
        <v>0</v>
      </c>
      <c r="AB258" s="2223" cm="1">
        <f t="array" ref="AB258">IF($D258&lt;COLUMNS($F$7:AB$7),"",INDEX(TableDiv[[GASB]:[GASB]],_xlfn.AGGREGATE(15,3,(TableDiv[[Agency]:[Agency]]=$E258)/(TableDiv[[Agency]:[Agency]]=$E258)*(ROW(TableDiv[Agency])-ROW(TableDiv[[#Headers],[Agency]])),COLUMNS($F$7:AB$7))))</f>
        <v>0</v>
      </c>
      <c r="AC258" s="2223" cm="1">
        <f t="array" ref="AC258">IF($D258&lt;COLUMNS($F$7:AC$7),"",INDEX(TableDiv[[GASB]:[GASB]],_xlfn.AGGREGATE(15,3,(TableDiv[[Agency]:[Agency]]=$E258)/(TableDiv[[Agency]:[Agency]]=$E258)*(ROW(TableDiv[Agency])-ROW(TableDiv[[#Headers],[Agency]])),COLUMNS($F$7:AC$7))))</f>
        <v>0</v>
      </c>
      <c r="AD258" s="2223" cm="1">
        <f t="array" ref="AD258">IF($D258&lt;COLUMNS($F$7:AD$7),"",INDEX(TableDiv[[GASB]:[GASB]],_xlfn.AGGREGATE(15,3,(TableDiv[[Agency]:[Agency]]=$E258)/(TableDiv[[Agency]:[Agency]]=$E258)*(ROW(TableDiv[Agency])-ROW(TableDiv[[#Headers],[Agency]])),COLUMNS($F$7:AD$7))))</f>
        <v>0</v>
      </c>
      <c r="AE258" s="2223" cm="1">
        <f t="array" ref="AE258">IF($D258&lt;COLUMNS($F$7:AE$7),"",INDEX(TableDiv[[GASB]:[GASB]],_xlfn.AGGREGATE(15,3,(TableDiv[[Agency]:[Agency]]=$E258)/(TableDiv[[Agency]:[Agency]]=$E258)*(ROW(TableDiv[Agency])-ROW(TableDiv[[#Headers],[Agency]])),COLUMNS($F$7:AE$7))))</f>
        <v>0</v>
      </c>
      <c r="AF258" s="2223" cm="1">
        <f t="array" ref="AF258">IF($D258&lt;COLUMNS($F$7:AF$7),"",INDEX(TableDiv[[GASB]:[GASB]],_xlfn.AGGREGATE(15,3,(TableDiv[[Agency]:[Agency]]=$E258)/(TableDiv[[Agency]:[Agency]]=$E258)*(ROW(TableDiv[Agency])-ROW(TableDiv[[#Headers],[Agency]])),COLUMNS($F$7:AF$7))))</f>
        <v>0</v>
      </c>
      <c r="AG258" s="2223" cm="1">
        <f t="array" ref="AG258">IF($D258&lt;COLUMNS($F$7:AG$7),"",INDEX(TableDiv[[GASB]:[GASB]],_xlfn.AGGREGATE(15,3,(TableDiv[[Agency]:[Agency]]=$E258)/(TableDiv[[Agency]:[Agency]]=$E258)*(ROW(TableDiv[Agency])-ROW(TableDiv[[#Headers],[Agency]])),COLUMNS($F$7:AG$7))))</f>
        <v>0</v>
      </c>
      <c r="AH258" s="2223" cm="1">
        <f t="array" ref="AH258">IF($D258&lt;COLUMNS($F$7:AH$7),"",INDEX(TableDiv[[GASB]:[GASB]],_xlfn.AGGREGATE(15,3,(TableDiv[[Agency]:[Agency]]=$E258)/(TableDiv[[Agency]:[Agency]]=$E258)*(ROW(TableDiv[Agency])-ROW(TableDiv[[#Headers],[Agency]])),COLUMNS($F$7:AH$7))))</f>
        <v>0</v>
      </c>
      <c r="AI258" s="2223" cm="1">
        <f t="array" ref="AI258">IF($D258&lt;COLUMNS($F$7:AI$7),"",INDEX(TableDiv[[GASB]:[GASB]],_xlfn.AGGREGATE(15,3,(TableDiv[[Agency]:[Agency]]=$E258)/(TableDiv[[Agency]:[Agency]]=$E258)*(ROW(TableDiv[Agency])-ROW(TableDiv[[#Headers],[Agency]])),COLUMNS($F$7:AI$7))))</f>
        <v>0</v>
      </c>
      <c r="AJ258" s="2223" cm="1">
        <f t="array" ref="AJ258">IF($D258&lt;COLUMNS($F$7:AJ$7),"",INDEX(TableDiv[[GASB]:[GASB]],_xlfn.AGGREGATE(15,3,(TableDiv[[Agency]:[Agency]]=$E258)/(TableDiv[[Agency]:[Agency]]=$E258)*(ROW(TableDiv[Agency])-ROW(TableDiv[[#Headers],[Agency]])),COLUMNS($F$7:AJ$7))))</f>
        <v>0</v>
      </c>
      <c r="AK258" s="2223" t="str" cm="1">
        <f t="array" ref="AK258">IF($D258&lt;COLUMNS($F$7:AK$7),"",INDEX(TableDiv[[GASB]:[GASB]],_xlfn.AGGREGATE(15,3,(TableDiv[[Agency]:[Agency]]=$E258)/(TableDiv[[Agency]:[Agency]]=$E258)*(ROW(TableDiv[Agency])-ROW(TableDiv[[#Headers],[Agency]])),COLUMNS($F$7:AK$7))))</f>
        <v/>
      </c>
      <c r="AL258" s="2223" t="str" cm="1">
        <f t="array" ref="AL258">IF($D258&lt;COLUMNS($F$7:AL$7),"",INDEX(TableDiv[[GASB]:[GASB]],_xlfn.AGGREGATE(15,3,(TableDiv[[Agency]:[Agency]]=$E258)/(TableDiv[[Agency]:[Agency]]=$E258)*(ROW(TableDiv[Agency])-ROW(TableDiv[[#Headers],[Agency]])),COLUMNS($F$7:AL$7))))</f>
        <v/>
      </c>
      <c r="AM258" s="2223" t="str" cm="1">
        <f t="array" ref="AM258">IF($D258&lt;COLUMNS($F$7:AM$7),"",INDEX(TableDiv[[GASB]:[GASB]],_xlfn.AGGREGATE(15,3,(TableDiv[[Agency]:[Agency]]=$E258)/(TableDiv[[Agency]:[Agency]]=$E258)*(ROW(TableDiv[Agency])-ROW(TableDiv[[#Headers],[Agency]])),COLUMNS($F$7:AM$7))))</f>
        <v/>
      </c>
      <c r="AN258" s="2223"/>
      <c r="AO258" s="2223"/>
      <c r="AP258" s="2223"/>
      <c r="AQ258" s="2223"/>
      <c r="AR258" s="2223"/>
      <c r="AS258" s="2223"/>
    </row>
    <row r="259" spans="1:45" ht="15" x14ac:dyDescent="0.25">
      <c r="A259" s="2219" t="s">
        <v>5115</v>
      </c>
      <c r="B259" s="2219" t="s">
        <v>6358</v>
      </c>
      <c r="C259" s="2223"/>
      <c r="D259" s="2223">
        <f>COUNTIF(TableDiv[Agency],E259)</f>
        <v>31</v>
      </c>
      <c r="E259" s="2230" t="str" cm="1">
        <f t="array" ref="E259">IFERROR(INDEX(TableDiv[Agency],MATCH(0,INDEX(COUNTIF($E$7:E258,TableDiv[Agency]),),0)),"")</f>
        <v/>
      </c>
      <c r="F259" s="2223" cm="1">
        <f t="array" ref="F259">IF($D259&lt;COLUMNS($F$7:F$7),"",INDEX(TableDiv[[GASB]:[GASB]],_xlfn.AGGREGATE(15,3,(TableDiv[[Agency]:[Agency]]=$E259)/(TableDiv[[Agency]:[Agency]]=$E259)*(ROW(TableDiv[Agency])-ROW(TableDiv[[#Headers],[Agency]])),COLUMNS($F$7:F$7))))</f>
        <v>0</v>
      </c>
      <c r="G259" s="2223" cm="1">
        <f t="array" ref="G259">IF($D259&lt;COLUMNS($F$7:G$7),"",INDEX(TableDiv[[GASB]:[GASB]],_xlfn.AGGREGATE(15,3,(TableDiv[[Agency]:[Agency]]=$E259)/(TableDiv[[Agency]:[Agency]]=$E259)*(ROW(TableDiv[Agency])-ROW(TableDiv[[#Headers],[Agency]])),COLUMNS($F$7:G$7))))</f>
        <v>0</v>
      </c>
      <c r="H259" s="2223" cm="1">
        <f t="array" ref="H259">IF($D259&lt;COLUMNS($F$7:H$7),"",INDEX(TableDiv[[GASB]:[GASB]],_xlfn.AGGREGATE(15,3,(TableDiv[[Agency]:[Agency]]=$E259)/(TableDiv[[Agency]:[Agency]]=$E259)*(ROW(TableDiv[Agency])-ROW(TableDiv[[#Headers],[Agency]])),COLUMNS($F$7:H$7))))</f>
        <v>0</v>
      </c>
      <c r="I259" s="2223" cm="1">
        <f t="array" ref="I259">IF($D259&lt;COLUMNS($F$7:I$7),"",INDEX(TableDiv[[GASB]:[GASB]],_xlfn.AGGREGATE(15,3,(TableDiv[[Agency]:[Agency]]=$E259)/(TableDiv[[Agency]:[Agency]]=$E259)*(ROW(TableDiv[Agency])-ROW(TableDiv[[#Headers],[Agency]])),COLUMNS($F$7:I$7))))</f>
        <v>0</v>
      </c>
      <c r="J259" s="2223" cm="1">
        <f t="array" ref="J259">IF($D259&lt;COLUMNS($F$7:J$7),"",INDEX(TableDiv[[GASB]:[GASB]],_xlfn.AGGREGATE(15,3,(TableDiv[[Agency]:[Agency]]=$E259)/(TableDiv[[Agency]:[Agency]]=$E259)*(ROW(TableDiv[Agency])-ROW(TableDiv[[#Headers],[Agency]])),COLUMNS($F$7:J$7))))</f>
        <v>0</v>
      </c>
      <c r="K259" s="2223" cm="1">
        <f t="array" ref="K259">IF($D259&lt;COLUMNS($F$7:K$7),"",INDEX(TableDiv[[GASB]:[GASB]],_xlfn.AGGREGATE(15,3,(TableDiv[[Agency]:[Agency]]=$E259)/(TableDiv[[Agency]:[Agency]]=$E259)*(ROW(TableDiv[Agency])-ROW(TableDiv[[#Headers],[Agency]])),COLUMNS($F$7:K$7))))</f>
        <v>0</v>
      </c>
      <c r="L259" s="2223" cm="1">
        <f t="array" ref="L259">IF($D259&lt;COLUMNS($F$7:L$7),"",INDEX(TableDiv[[GASB]:[GASB]],_xlfn.AGGREGATE(15,3,(TableDiv[[Agency]:[Agency]]=$E259)/(TableDiv[[Agency]:[Agency]]=$E259)*(ROW(TableDiv[Agency])-ROW(TableDiv[[#Headers],[Agency]])),COLUMNS($F$7:L$7))))</f>
        <v>0</v>
      </c>
      <c r="M259" s="2223" cm="1">
        <f t="array" ref="M259">IF($D259&lt;COLUMNS($F$7:M$7),"",INDEX(TableDiv[[GASB]:[GASB]],_xlfn.AGGREGATE(15,3,(TableDiv[[Agency]:[Agency]]=$E259)/(TableDiv[[Agency]:[Agency]]=$E259)*(ROW(TableDiv[Agency])-ROW(TableDiv[[#Headers],[Agency]])),COLUMNS($F$7:M$7))))</f>
        <v>0</v>
      </c>
      <c r="N259" s="2223" cm="1">
        <f t="array" ref="N259">IF($D259&lt;COLUMNS($F$7:N$7),"",INDEX(TableDiv[[GASB]:[GASB]],_xlfn.AGGREGATE(15,3,(TableDiv[[Agency]:[Agency]]=$E259)/(TableDiv[[Agency]:[Agency]]=$E259)*(ROW(TableDiv[Agency])-ROW(TableDiv[[#Headers],[Agency]])),COLUMNS($F$7:N$7))))</f>
        <v>0</v>
      </c>
      <c r="O259" s="2223" cm="1">
        <f t="array" ref="O259">IF($D259&lt;COLUMNS($F$7:O$7),"",INDEX(TableDiv[[GASB]:[GASB]],_xlfn.AGGREGATE(15,3,(TableDiv[[Agency]:[Agency]]=$E259)/(TableDiv[[Agency]:[Agency]]=$E259)*(ROW(TableDiv[Agency])-ROW(TableDiv[[#Headers],[Agency]])),COLUMNS($F$7:O$7))))</f>
        <v>0</v>
      </c>
      <c r="P259" s="2223" cm="1">
        <f t="array" ref="P259">IF($D259&lt;COLUMNS($F$7:P$7),"",INDEX(TableDiv[[GASB]:[GASB]],_xlfn.AGGREGATE(15,3,(TableDiv[[Agency]:[Agency]]=$E259)/(TableDiv[[Agency]:[Agency]]=$E259)*(ROW(TableDiv[Agency])-ROW(TableDiv[[#Headers],[Agency]])),COLUMNS($F$7:P$7))))</f>
        <v>0</v>
      </c>
      <c r="Q259" s="2223" cm="1">
        <f t="array" ref="Q259">IF($D259&lt;COLUMNS($F$7:Q$7),"",INDEX(TableDiv[[GASB]:[GASB]],_xlfn.AGGREGATE(15,3,(TableDiv[[Agency]:[Agency]]=$E259)/(TableDiv[[Agency]:[Agency]]=$E259)*(ROW(TableDiv[Agency])-ROW(TableDiv[[#Headers],[Agency]])),COLUMNS($F$7:Q$7))))</f>
        <v>0</v>
      </c>
      <c r="R259" s="2223" cm="1">
        <f t="array" ref="R259">IF($D259&lt;COLUMNS($F$7:R$7),"",INDEX(TableDiv[[GASB]:[GASB]],_xlfn.AGGREGATE(15,3,(TableDiv[[Agency]:[Agency]]=$E259)/(TableDiv[[Agency]:[Agency]]=$E259)*(ROW(TableDiv[Agency])-ROW(TableDiv[[#Headers],[Agency]])),COLUMNS($F$7:R$7))))</f>
        <v>0</v>
      </c>
      <c r="S259" s="2223" cm="1">
        <f t="array" ref="S259">IF($D259&lt;COLUMNS($F$7:S$7),"",INDEX(TableDiv[[GASB]:[GASB]],_xlfn.AGGREGATE(15,3,(TableDiv[[Agency]:[Agency]]=$E259)/(TableDiv[[Agency]:[Agency]]=$E259)*(ROW(TableDiv[Agency])-ROW(TableDiv[[#Headers],[Agency]])),COLUMNS($F$7:S$7))))</f>
        <v>0</v>
      </c>
      <c r="T259" s="2223" cm="1">
        <f t="array" ref="T259">IF($D259&lt;COLUMNS($F$7:T$7),"",INDEX(TableDiv[[GASB]:[GASB]],_xlfn.AGGREGATE(15,3,(TableDiv[[Agency]:[Agency]]=$E259)/(TableDiv[[Agency]:[Agency]]=$E259)*(ROW(TableDiv[Agency])-ROW(TableDiv[[#Headers],[Agency]])),COLUMNS($F$7:T$7))))</f>
        <v>0</v>
      </c>
      <c r="U259" s="2223" cm="1">
        <f t="array" ref="U259">IF($D259&lt;COLUMNS($F$7:U$7),"",INDEX(TableDiv[[GASB]:[GASB]],_xlfn.AGGREGATE(15,3,(TableDiv[[Agency]:[Agency]]=$E259)/(TableDiv[[Agency]:[Agency]]=$E259)*(ROW(TableDiv[Agency])-ROW(TableDiv[[#Headers],[Agency]])),COLUMNS($F$7:U$7))))</f>
        <v>0</v>
      </c>
      <c r="V259" s="2223" cm="1">
        <f t="array" ref="V259">IF($D259&lt;COLUMNS($F$7:V$7),"",INDEX(TableDiv[[GASB]:[GASB]],_xlfn.AGGREGATE(15,3,(TableDiv[[Agency]:[Agency]]=$E259)/(TableDiv[[Agency]:[Agency]]=$E259)*(ROW(TableDiv[Agency])-ROW(TableDiv[[#Headers],[Agency]])),COLUMNS($F$7:V$7))))</f>
        <v>0</v>
      </c>
      <c r="W259" s="2223" cm="1">
        <f t="array" ref="W259">IF($D259&lt;COLUMNS($F$7:W$7),"",INDEX(TableDiv[[GASB]:[GASB]],_xlfn.AGGREGATE(15,3,(TableDiv[[Agency]:[Agency]]=$E259)/(TableDiv[[Agency]:[Agency]]=$E259)*(ROW(TableDiv[Agency])-ROW(TableDiv[[#Headers],[Agency]])),COLUMNS($F$7:W$7))))</f>
        <v>0</v>
      </c>
      <c r="X259" s="2223" cm="1">
        <f t="array" ref="X259">IF($D259&lt;COLUMNS($F$7:X$7),"",INDEX(TableDiv[[GASB]:[GASB]],_xlfn.AGGREGATE(15,3,(TableDiv[[Agency]:[Agency]]=$E259)/(TableDiv[[Agency]:[Agency]]=$E259)*(ROW(TableDiv[Agency])-ROW(TableDiv[[#Headers],[Agency]])),COLUMNS($F$7:X$7))))</f>
        <v>0</v>
      </c>
      <c r="Y259" s="2223" cm="1">
        <f t="array" ref="Y259">IF($D259&lt;COLUMNS($F$7:Y$7),"",INDEX(TableDiv[[GASB]:[GASB]],_xlfn.AGGREGATE(15,3,(TableDiv[[Agency]:[Agency]]=$E259)/(TableDiv[[Agency]:[Agency]]=$E259)*(ROW(TableDiv[Agency])-ROW(TableDiv[[#Headers],[Agency]])),COLUMNS($F$7:Y$7))))</f>
        <v>0</v>
      </c>
      <c r="Z259" s="2223" cm="1">
        <f t="array" ref="Z259">IF($D259&lt;COLUMNS($F$7:Z$7),"",INDEX(TableDiv[[GASB]:[GASB]],_xlfn.AGGREGATE(15,3,(TableDiv[[Agency]:[Agency]]=$E259)/(TableDiv[[Agency]:[Agency]]=$E259)*(ROW(TableDiv[Agency])-ROW(TableDiv[[#Headers],[Agency]])),COLUMNS($F$7:Z$7))))</f>
        <v>0</v>
      </c>
      <c r="AA259" s="2223" cm="1">
        <f t="array" ref="AA259">IF($D259&lt;COLUMNS($F$7:AA$7),"",INDEX(TableDiv[[GASB]:[GASB]],_xlfn.AGGREGATE(15,3,(TableDiv[[Agency]:[Agency]]=$E259)/(TableDiv[[Agency]:[Agency]]=$E259)*(ROW(TableDiv[Agency])-ROW(TableDiv[[#Headers],[Agency]])),COLUMNS($F$7:AA$7))))</f>
        <v>0</v>
      </c>
      <c r="AB259" s="2223" cm="1">
        <f t="array" ref="AB259">IF($D259&lt;COLUMNS($F$7:AB$7),"",INDEX(TableDiv[[GASB]:[GASB]],_xlfn.AGGREGATE(15,3,(TableDiv[[Agency]:[Agency]]=$E259)/(TableDiv[[Agency]:[Agency]]=$E259)*(ROW(TableDiv[Agency])-ROW(TableDiv[[#Headers],[Agency]])),COLUMNS($F$7:AB$7))))</f>
        <v>0</v>
      </c>
      <c r="AC259" s="2223" cm="1">
        <f t="array" ref="AC259">IF($D259&lt;COLUMNS($F$7:AC$7),"",INDEX(TableDiv[[GASB]:[GASB]],_xlfn.AGGREGATE(15,3,(TableDiv[[Agency]:[Agency]]=$E259)/(TableDiv[[Agency]:[Agency]]=$E259)*(ROW(TableDiv[Agency])-ROW(TableDiv[[#Headers],[Agency]])),COLUMNS($F$7:AC$7))))</f>
        <v>0</v>
      </c>
      <c r="AD259" s="2223" cm="1">
        <f t="array" ref="AD259">IF($D259&lt;COLUMNS($F$7:AD$7),"",INDEX(TableDiv[[GASB]:[GASB]],_xlfn.AGGREGATE(15,3,(TableDiv[[Agency]:[Agency]]=$E259)/(TableDiv[[Agency]:[Agency]]=$E259)*(ROW(TableDiv[Agency])-ROW(TableDiv[[#Headers],[Agency]])),COLUMNS($F$7:AD$7))))</f>
        <v>0</v>
      </c>
      <c r="AE259" s="2223" cm="1">
        <f t="array" ref="AE259">IF($D259&lt;COLUMNS($F$7:AE$7),"",INDEX(TableDiv[[GASB]:[GASB]],_xlfn.AGGREGATE(15,3,(TableDiv[[Agency]:[Agency]]=$E259)/(TableDiv[[Agency]:[Agency]]=$E259)*(ROW(TableDiv[Agency])-ROW(TableDiv[[#Headers],[Agency]])),COLUMNS($F$7:AE$7))))</f>
        <v>0</v>
      </c>
      <c r="AF259" s="2223" cm="1">
        <f t="array" ref="AF259">IF($D259&lt;COLUMNS($F$7:AF$7),"",INDEX(TableDiv[[GASB]:[GASB]],_xlfn.AGGREGATE(15,3,(TableDiv[[Agency]:[Agency]]=$E259)/(TableDiv[[Agency]:[Agency]]=$E259)*(ROW(TableDiv[Agency])-ROW(TableDiv[[#Headers],[Agency]])),COLUMNS($F$7:AF$7))))</f>
        <v>0</v>
      </c>
      <c r="AG259" s="2223" cm="1">
        <f t="array" ref="AG259">IF($D259&lt;COLUMNS($F$7:AG$7),"",INDEX(TableDiv[[GASB]:[GASB]],_xlfn.AGGREGATE(15,3,(TableDiv[[Agency]:[Agency]]=$E259)/(TableDiv[[Agency]:[Agency]]=$E259)*(ROW(TableDiv[Agency])-ROW(TableDiv[[#Headers],[Agency]])),COLUMNS($F$7:AG$7))))</f>
        <v>0</v>
      </c>
      <c r="AH259" s="2223" cm="1">
        <f t="array" ref="AH259">IF($D259&lt;COLUMNS($F$7:AH$7),"",INDEX(TableDiv[[GASB]:[GASB]],_xlfn.AGGREGATE(15,3,(TableDiv[[Agency]:[Agency]]=$E259)/(TableDiv[[Agency]:[Agency]]=$E259)*(ROW(TableDiv[Agency])-ROW(TableDiv[[#Headers],[Agency]])),COLUMNS($F$7:AH$7))))</f>
        <v>0</v>
      </c>
      <c r="AI259" s="2223" cm="1">
        <f t="array" ref="AI259">IF($D259&lt;COLUMNS($F$7:AI$7),"",INDEX(TableDiv[[GASB]:[GASB]],_xlfn.AGGREGATE(15,3,(TableDiv[[Agency]:[Agency]]=$E259)/(TableDiv[[Agency]:[Agency]]=$E259)*(ROW(TableDiv[Agency])-ROW(TableDiv[[#Headers],[Agency]])),COLUMNS($F$7:AI$7))))</f>
        <v>0</v>
      </c>
      <c r="AJ259" s="2223" cm="1">
        <f t="array" ref="AJ259">IF($D259&lt;COLUMNS($F$7:AJ$7),"",INDEX(TableDiv[[GASB]:[GASB]],_xlfn.AGGREGATE(15,3,(TableDiv[[Agency]:[Agency]]=$E259)/(TableDiv[[Agency]:[Agency]]=$E259)*(ROW(TableDiv[Agency])-ROW(TableDiv[[#Headers],[Agency]])),COLUMNS($F$7:AJ$7))))</f>
        <v>0</v>
      </c>
      <c r="AK259" s="2223" t="str" cm="1">
        <f t="array" ref="AK259">IF($D259&lt;COLUMNS($F$7:AK$7),"",INDEX(TableDiv[[GASB]:[GASB]],_xlfn.AGGREGATE(15,3,(TableDiv[[Agency]:[Agency]]=$E259)/(TableDiv[[Agency]:[Agency]]=$E259)*(ROW(TableDiv[Agency])-ROW(TableDiv[[#Headers],[Agency]])),COLUMNS($F$7:AK$7))))</f>
        <v/>
      </c>
      <c r="AL259" s="2223" t="str" cm="1">
        <f t="array" ref="AL259">IF($D259&lt;COLUMNS($F$7:AL$7),"",INDEX(TableDiv[[GASB]:[GASB]],_xlfn.AGGREGATE(15,3,(TableDiv[[Agency]:[Agency]]=$E259)/(TableDiv[[Agency]:[Agency]]=$E259)*(ROW(TableDiv[Agency])-ROW(TableDiv[[#Headers],[Agency]])),COLUMNS($F$7:AL$7))))</f>
        <v/>
      </c>
      <c r="AM259" s="2223" t="str" cm="1">
        <f t="array" ref="AM259">IF($D259&lt;COLUMNS($F$7:AM$7),"",INDEX(TableDiv[[GASB]:[GASB]],_xlfn.AGGREGATE(15,3,(TableDiv[[Agency]:[Agency]]=$E259)/(TableDiv[[Agency]:[Agency]]=$E259)*(ROW(TableDiv[Agency])-ROW(TableDiv[[#Headers],[Agency]])),COLUMNS($F$7:AM$7))))</f>
        <v/>
      </c>
      <c r="AN259" s="2223"/>
      <c r="AO259" s="2223"/>
      <c r="AP259" s="2223"/>
      <c r="AQ259" s="2223"/>
      <c r="AR259" s="2223"/>
      <c r="AS259" s="2223"/>
    </row>
    <row r="260" spans="1:45" ht="15" x14ac:dyDescent="0.25">
      <c r="A260" s="2219" t="s">
        <v>5115</v>
      </c>
      <c r="B260" s="2219" t="s">
        <v>6402</v>
      </c>
      <c r="C260" s="2223"/>
      <c r="D260" s="2223">
        <f>COUNTIF(TableDiv[Agency],E260)</f>
        <v>31</v>
      </c>
      <c r="E260" s="2230" t="str" cm="1">
        <f t="array" ref="E260">IFERROR(INDEX(TableDiv[Agency],MATCH(0,INDEX(COUNTIF($E$7:E259,TableDiv[Agency]),),0)),"")</f>
        <v/>
      </c>
      <c r="F260" s="2223" cm="1">
        <f t="array" ref="F260">IF($D260&lt;COLUMNS($F$7:F$7),"",INDEX(TableDiv[[GASB]:[GASB]],_xlfn.AGGREGATE(15,3,(TableDiv[[Agency]:[Agency]]=$E260)/(TableDiv[[Agency]:[Agency]]=$E260)*(ROW(TableDiv[Agency])-ROW(TableDiv[[#Headers],[Agency]])),COLUMNS($F$7:F$7))))</f>
        <v>0</v>
      </c>
      <c r="G260" s="2223" cm="1">
        <f t="array" ref="G260">IF($D260&lt;COLUMNS($F$7:G$7),"",INDEX(TableDiv[[GASB]:[GASB]],_xlfn.AGGREGATE(15,3,(TableDiv[[Agency]:[Agency]]=$E260)/(TableDiv[[Agency]:[Agency]]=$E260)*(ROW(TableDiv[Agency])-ROW(TableDiv[[#Headers],[Agency]])),COLUMNS($F$7:G$7))))</f>
        <v>0</v>
      </c>
      <c r="H260" s="2223" cm="1">
        <f t="array" ref="H260">IF($D260&lt;COLUMNS($F$7:H$7),"",INDEX(TableDiv[[GASB]:[GASB]],_xlfn.AGGREGATE(15,3,(TableDiv[[Agency]:[Agency]]=$E260)/(TableDiv[[Agency]:[Agency]]=$E260)*(ROW(TableDiv[Agency])-ROW(TableDiv[[#Headers],[Agency]])),COLUMNS($F$7:H$7))))</f>
        <v>0</v>
      </c>
      <c r="I260" s="2223" cm="1">
        <f t="array" ref="I260">IF($D260&lt;COLUMNS($F$7:I$7),"",INDEX(TableDiv[[GASB]:[GASB]],_xlfn.AGGREGATE(15,3,(TableDiv[[Agency]:[Agency]]=$E260)/(TableDiv[[Agency]:[Agency]]=$E260)*(ROW(TableDiv[Agency])-ROW(TableDiv[[#Headers],[Agency]])),COLUMNS($F$7:I$7))))</f>
        <v>0</v>
      </c>
      <c r="J260" s="2223" cm="1">
        <f t="array" ref="J260">IF($D260&lt;COLUMNS($F$7:J$7),"",INDEX(TableDiv[[GASB]:[GASB]],_xlfn.AGGREGATE(15,3,(TableDiv[[Agency]:[Agency]]=$E260)/(TableDiv[[Agency]:[Agency]]=$E260)*(ROW(TableDiv[Agency])-ROW(TableDiv[[#Headers],[Agency]])),COLUMNS($F$7:J$7))))</f>
        <v>0</v>
      </c>
      <c r="K260" s="2223" cm="1">
        <f t="array" ref="K260">IF($D260&lt;COLUMNS($F$7:K$7),"",INDEX(TableDiv[[GASB]:[GASB]],_xlfn.AGGREGATE(15,3,(TableDiv[[Agency]:[Agency]]=$E260)/(TableDiv[[Agency]:[Agency]]=$E260)*(ROW(TableDiv[Agency])-ROW(TableDiv[[#Headers],[Agency]])),COLUMNS($F$7:K$7))))</f>
        <v>0</v>
      </c>
      <c r="L260" s="2223" cm="1">
        <f t="array" ref="L260">IF($D260&lt;COLUMNS($F$7:L$7),"",INDEX(TableDiv[[GASB]:[GASB]],_xlfn.AGGREGATE(15,3,(TableDiv[[Agency]:[Agency]]=$E260)/(TableDiv[[Agency]:[Agency]]=$E260)*(ROW(TableDiv[Agency])-ROW(TableDiv[[#Headers],[Agency]])),COLUMNS($F$7:L$7))))</f>
        <v>0</v>
      </c>
      <c r="M260" s="2223" cm="1">
        <f t="array" ref="M260">IF($D260&lt;COLUMNS($F$7:M$7),"",INDEX(TableDiv[[GASB]:[GASB]],_xlfn.AGGREGATE(15,3,(TableDiv[[Agency]:[Agency]]=$E260)/(TableDiv[[Agency]:[Agency]]=$E260)*(ROW(TableDiv[Agency])-ROW(TableDiv[[#Headers],[Agency]])),COLUMNS($F$7:M$7))))</f>
        <v>0</v>
      </c>
      <c r="N260" s="2223" cm="1">
        <f t="array" ref="N260">IF($D260&lt;COLUMNS($F$7:N$7),"",INDEX(TableDiv[[GASB]:[GASB]],_xlfn.AGGREGATE(15,3,(TableDiv[[Agency]:[Agency]]=$E260)/(TableDiv[[Agency]:[Agency]]=$E260)*(ROW(TableDiv[Agency])-ROW(TableDiv[[#Headers],[Agency]])),COLUMNS($F$7:N$7))))</f>
        <v>0</v>
      </c>
      <c r="O260" s="2223" cm="1">
        <f t="array" ref="O260">IF($D260&lt;COLUMNS($F$7:O$7),"",INDEX(TableDiv[[GASB]:[GASB]],_xlfn.AGGREGATE(15,3,(TableDiv[[Agency]:[Agency]]=$E260)/(TableDiv[[Agency]:[Agency]]=$E260)*(ROW(TableDiv[Agency])-ROW(TableDiv[[#Headers],[Agency]])),COLUMNS($F$7:O$7))))</f>
        <v>0</v>
      </c>
      <c r="P260" s="2223" cm="1">
        <f t="array" ref="P260">IF($D260&lt;COLUMNS($F$7:P$7),"",INDEX(TableDiv[[GASB]:[GASB]],_xlfn.AGGREGATE(15,3,(TableDiv[[Agency]:[Agency]]=$E260)/(TableDiv[[Agency]:[Agency]]=$E260)*(ROW(TableDiv[Agency])-ROW(TableDiv[[#Headers],[Agency]])),COLUMNS($F$7:P$7))))</f>
        <v>0</v>
      </c>
      <c r="Q260" s="2223" cm="1">
        <f t="array" ref="Q260">IF($D260&lt;COLUMNS($F$7:Q$7),"",INDEX(TableDiv[[GASB]:[GASB]],_xlfn.AGGREGATE(15,3,(TableDiv[[Agency]:[Agency]]=$E260)/(TableDiv[[Agency]:[Agency]]=$E260)*(ROW(TableDiv[Agency])-ROW(TableDiv[[#Headers],[Agency]])),COLUMNS($F$7:Q$7))))</f>
        <v>0</v>
      </c>
      <c r="R260" s="2223" cm="1">
        <f t="array" ref="R260">IF($D260&lt;COLUMNS($F$7:R$7),"",INDEX(TableDiv[[GASB]:[GASB]],_xlfn.AGGREGATE(15,3,(TableDiv[[Agency]:[Agency]]=$E260)/(TableDiv[[Agency]:[Agency]]=$E260)*(ROW(TableDiv[Agency])-ROW(TableDiv[[#Headers],[Agency]])),COLUMNS($F$7:R$7))))</f>
        <v>0</v>
      </c>
      <c r="S260" s="2223" cm="1">
        <f t="array" ref="S260">IF($D260&lt;COLUMNS($F$7:S$7),"",INDEX(TableDiv[[GASB]:[GASB]],_xlfn.AGGREGATE(15,3,(TableDiv[[Agency]:[Agency]]=$E260)/(TableDiv[[Agency]:[Agency]]=$E260)*(ROW(TableDiv[Agency])-ROW(TableDiv[[#Headers],[Agency]])),COLUMNS($F$7:S$7))))</f>
        <v>0</v>
      </c>
      <c r="T260" s="2223" cm="1">
        <f t="array" ref="T260">IF($D260&lt;COLUMNS($F$7:T$7),"",INDEX(TableDiv[[GASB]:[GASB]],_xlfn.AGGREGATE(15,3,(TableDiv[[Agency]:[Agency]]=$E260)/(TableDiv[[Agency]:[Agency]]=$E260)*(ROW(TableDiv[Agency])-ROW(TableDiv[[#Headers],[Agency]])),COLUMNS($F$7:T$7))))</f>
        <v>0</v>
      </c>
      <c r="U260" s="2223" cm="1">
        <f t="array" ref="U260">IF($D260&lt;COLUMNS($F$7:U$7),"",INDEX(TableDiv[[GASB]:[GASB]],_xlfn.AGGREGATE(15,3,(TableDiv[[Agency]:[Agency]]=$E260)/(TableDiv[[Agency]:[Agency]]=$E260)*(ROW(TableDiv[Agency])-ROW(TableDiv[[#Headers],[Agency]])),COLUMNS($F$7:U$7))))</f>
        <v>0</v>
      </c>
      <c r="V260" s="2223" cm="1">
        <f t="array" ref="V260">IF($D260&lt;COLUMNS($F$7:V$7),"",INDEX(TableDiv[[GASB]:[GASB]],_xlfn.AGGREGATE(15,3,(TableDiv[[Agency]:[Agency]]=$E260)/(TableDiv[[Agency]:[Agency]]=$E260)*(ROW(TableDiv[Agency])-ROW(TableDiv[[#Headers],[Agency]])),COLUMNS($F$7:V$7))))</f>
        <v>0</v>
      </c>
      <c r="W260" s="2223" cm="1">
        <f t="array" ref="W260">IF($D260&lt;COLUMNS($F$7:W$7),"",INDEX(TableDiv[[GASB]:[GASB]],_xlfn.AGGREGATE(15,3,(TableDiv[[Agency]:[Agency]]=$E260)/(TableDiv[[Agency]:[Agency]]=$E260)*(ROW(TableDiv[Agency])-ROW(TableDiv[[#Headers],[Agency]])),COLUMNS($F$7:W$7))))</f>
        <v>0</v>
      </c>
      <c r="X260" s="2223" cm="1">
        <f t="array" ref="X260">IF($D260&lt;COLUMNS($F$7:X$7),"",INDEX(TableDiv[[GASB]:[GASB]],_xlfn.AGGREGATE(15,3,(TableDiv[[Agency]:[Agency]]=$E260)/(TableDiv[[Agency]:[Agency]]=$E260)*(ROW(TableDiv[Agency])-ROW(TableDiv[[#Headers],[Agency]])),COLUMNS($F$7:X$7))))</f>
        <v>0</v>
      </c>
      <c r="Y260" s="2223" cm="1">
        <f t="array" ref="Y260">IF($D260&lt;COLUMNS($F$7:Y$7),"",INDEX(TableDiv[[GASB]:[GASB]],_xlfn.AGGREGATE(15,3,(TableDiv[[Agency]:[Agency]]=$E260)/(TableDiv[[Agency]:[Agency]]=$E260)*(ROW(TableDiv[Agency])-ROW(TableDiv[[#Headers],[Agency]])),COLUMNS($F$7:Y$7))))</f>
        <v>0</v>
      </c>
      <c r="Z260" s="2223" cm="1">
        <f t="array" ref="Z260">IF($D260&lt;COLUMNS($F$7:Z$7),"",INDEX(TableDiv[[GASB]:[GASB]],_xlfn.AGGREGATE(15,3,(TableDiv[[Agency]:[Agency]]=$E260)/(TableDiv[[Agency]:[Agency]]=$E260)*(ROW(TableDiv[Agency])-ROW(TableDiv[[#Headers],[Agency]])),COLUMNS($F$7:Z$7))))</f>
        <v>0</v>
      </c>
      <c r="AA260" s="2223" cm="1">
        <f t="array" ref="AA260">IF($D260&lt;COLUMNS($F$7:AA$7),"",INDEX(TableDiv[[GASB]:[GASB]],_xlfn.AGGREGATE(15,3,(TableDiv[[Agency]:[Agency]]=$E260)/(TableDiv[[Agency]:[Agency]]=$E260)*(ROW(TableDiv[Agency])-ROW(TableDiv[[#Headers],[Agency]])),COLUMNS($F$7:AA$7))))</f>
        <v>0</v>
      </c>
      <c r="AB260" s="2223" cm="1">
        <f t="array" ref="AB260">IF($D260&lt;COLUMNS($F$7:AB$7),"",INDEX(TableDiv[[GASB]:[GASB]],_xlfn.AGGREGATE(15,3,(TableDiv[[Agency]:[Agency]]=$E260)/(TableDiv[[Agency]:[Agency]]=$E260)*(ROW(TableDiv[Agency])-ROW(TableDiv[[#Headers],[Agency]])),COLUMNS($F$7:AB$7))))</f>
        <v>0</v>
      </c>
      <c r="AC260" s="2223" cm="1">
        <f t="array" ref="AC260">IF($D260&lt;COLUMNS($F$7:AC$7),"",INDEX(TableDiv[[GASB]:[GASB]],_xlfn.AGGREGATE(15,3,(TableDiv[[Agency]:[Agency]]=$E260)/(TableDiv[[Agency]:[Agency]]=$E260)*(ROW(TableDiv[Agency])-ROW(TableDiv[[#Headers],[Agency]])),COLUMNS($F$7:AC$7))))</f>
        <v>0</v>
      </c>
      <c r="AD260" s="2223" cm="1">
        <f t="array" ref="AD260">IF($D260&lt;COLUMNS($F$7:AD$7),"",INDEX(TableDiv[[GASB]:[GASB]],_xlfn.AGGREGATE(15,3,(TableDiv[[Agency]:[Agency]]=$E260)/(TableDiv[[Agency]:[Agency]]=$E260)*(ROW(TableDiv[Agency])-ROW(TableDiv[[#Headers],[Agency]])),COLUMNS($F$7:AD$7))))</f>
        <v>0</v>
      </c>
      <c r="AE260" s="2223" cm="1">
        <f t="array" ref="AE260">IF($D260&lt;COLUMNS($F$7:AE$7),"",INDEX(TableDiv[[GASB]:[GASB]],_xlfn.AGGREGATE(15,3,(TableDiv[[Agency]:[Agency]]=$E260)/(TableDiv[[Agency]:[Agency]]=$E260)*(ROW(TableDiv[Agency])-ROW(TableDiv[[#Headers],[Agency]])),COLUMNS($F$7:AE$7))))</f>
        <v>0</v>
      </c>
      <c r="AF260" s="2223" cm="1">
        <f t="array" ref="AF260">IF($D260&lt;COLUMNS($F$7:AF$7),"",INDEX(TableDiv[[GASB]:[GASB]],_xlfn.AGGREGATE(15,3,(TableDiv[[Agency]:[Agency]]=$E260)/(TableDiv[[Agency]:[Agency]]=$E260)*(ROW(TableDiv[Agency])-ROW(TableDiv[[#Headers],[Agency]])),COLUMNS($F$7:AF$7))))</f>
        <v>0</v>
      </c>
      <c r="AG260" s="2223" cm="1">
        <f t="array" ref="AG260">IF($D260&lt;COLUMNS($F$7:AG$7),"",INDEX(TableDiv[[GASB]:[GASB]],_xlfn.AGGREGATE(15,3,(TableDiv[[Agency]:[Agency]]=$E260)/(TableDiv[[Agency]:[Agency]]=$E260)*(ROW(TableDiv[Agency])-ROW(TableDiv[[#Headers],[Agency]])),COLUMNS($F$7:AG$7))))</f>
        <v>0</v>
      </c>
      <c r="AH260" s="2223" cm="1">
        <f t="array" ref="AH260">IF($D260&lt;COLUMNS($F$7:AH$7),"",INDEX(TableDiv[[GASB]:[GASB]],_xlfn.AGGREGATE(15,3,(TableDiv[[Agency]:[Agency]]=$E260)/(TableDiv[[Agency]:[Agency]]=$E260)*(ROW(TableDiv[Agency])-ROW(TableDiv[[#Headers],[Agency]])),COLUMNS($F$7:AH$7))))</f>
        <v>0</v>
      </c>
      <c r="AI260" s="2223" cm="1">
        <f t="array" ref="AI260">IF($D260&lt;COLUMNS($F$7:AI$7),"",INDEX(TableDiv[[GASB]:[GASB]],_xlfn.AGGREGATE(15,3,(TableDiv[[Agency]:[Agency]]=$E260)/(TableDiv[[Agency]:[Agency]]=$E260)*(ROW(TableDiv[Agency])-ROW(TableDiv[[#Headers],[Agency]])),COLUMNS($F$7:AI$7))))</f>
        <v>0</v>
      </c>
      <c r="AJ260" s="2223" cm="1">
        <f t="array" ref="AJ260">IF($D260&lt;COLUMNS($F$7:AJ$7),"",INDEX(TableDiv[[GASB]:[GASB]],_xlfn.AGGREGATE(15,3,(TableDiv[[Agency]:[Agency]]=$E260)/(TableDiv[[Agency]:[Agency]]=$E260)*(ROW(TableDiv[Agency])-ROW(TableDiv[[#Headers],[Agency]])),COLUMNS($F$7:AJ$7))))</f>
        <v>0</v>
      </c>
      <c r="AK260" s="2223" t="str" cm="1">
        <f t="array" ref="AK260">IF($D260&lt;COLUMNS($F$7:AK$7),"",INDEX(TableDiv[[GASB]:[GASB]],_xlfn.AGGREGATE(15,3,(TableDiv[[Agency]:[Agency]]=$E260)/(TableDiv[[Agency]:[Agency]]=$E260)*(ROW(TableDiv[Agency])-ROW(TableDiv[[#Headers],[Agency]])),COLUMNS($F$7:AK$7))))</f>
        <v/>
      </c>
      <c r="AL260" s="2223" t="str" cm="1">
        <f t="array" ref="AL260">IF($D260&lt;COLUMNS($F$7:AL$7),"",INDEX(TableDiv[[GASB]:[GASB]],_xlfn.AGGREGATE(15,3,(TableDiv[[Agency]:[Agency]]=$E260)/(TableDiv[[Agency]:[Agency]]=$E260)*(ROW(TableDiv[Agency])-ROW(TableDiv[[#Headers],[Agency]])),COLUMNS($F$7:AL$7))))</f>
        <v/>
      </c>
      <c r="AM260" s="2223" t="str" cm="1">
        <f t="array" ref="AM260">IF($D260&lt;COLUMNS($F$7:AM$7),"",INDEX(TableDiv[[GASB]:[GASB]],_xlfn.AGGREGATE(15,3,(TableDiv[[Agency]:[Agency]]=$E260)/(TableDiv[[Agency]:[Agency]]=$E260)*(ROW(TableDiv[Agency])-ROW(TableDiv[[#Headers],[Agency]])),COLUMNS($F$7:AM$7))))</f>
        <v/>
      </c>
      <c r="AN260" s="2223"/>
      <c r="AO260" s="2223"/>
      <c r="AP260" s="2223"/>
      <c r="AQ260" s="2223"/>
      <c r="AR260" s="2223"/>
      <c r="AS260" s="2223"/>
    </row>
    <row r="261" spans="1:45" ht="15" x14ac:dyDescent="0.25">
      <c r="A261" s="2219" t="s">
        <v>5116</v>
      </c>
      <c r="B261" s="2219" t="s">
        <v>6357</v>
      </c>
      <c r="C261" s="2223"/>
      <c r="D261" s="2223">
        <f>COUNTIF(TableDiv[Agency],E261)</f>
        <v>31</v>
      </c>
      <c r="E261" s="2230" t="str" cm="1">
        <f t="array" ref="E261">IFERROR(INDEX(TableDiv[Agency],MATCH(0,INDEX(COUNTIF($E$7:E260,TableDiv[Agency]),),0)),"")</f>
        <v/>
      </c>
      <c r="F261" s="2223" cm="1">
        <f t="array" ref="F261">IF($D261&lt;COLUMNS($F$7:F$7),"",INDEX(TableDiv[[GASB]:[GASB]],_xlfn.AGGREGATE(15,3,(TableDiv[[Agency]:[Agency]]=$E261)/(TableDiv[[Agency]:[Agency]]=$E261)*(ROW(TableDiv[Agency])-ROW(TableDiv[[#Headers],[Agency]])),COLUMNS($F$7:F$7))))</f>
        <v>0</v>
      </c>
      <c r="G261" s="2223" cm="1">
        <f t="array" ref="G261">IF($D261&lt;COLUMNS($F$7:G$7),"",INDEX(TableDiv[[GASB]:[GASB]],_xlfn.AGGREGATE(15,3,(TableDiv[[Agency]:[Agency]]=$E261)/(TableDiv[[Agency]:[Agency]]=$E261)*(ROW(TableDiv[Agency])-ROW(TableDiv[[#Headers],[Agency]])),COLUMNS($F$7:G$7))))</f>
        <v>0</v>
      </c>
      <c r="H261" s="2223" cm="1">
        <f t="array" ref="H261">IF($D261&lt;COLUMNS($F$7:H$7),"",INDEX(TableDiv[[GASB]:[GASB]],_xlfn.AGGREGATE(15,3,(TableDiv[[Agency]:[Agency]]=$E261)/(TableDiv[[Agency]:[Agency]]=$E261)*(ROW(TableDiv[Agency])-ROW(TableDiv[[#Headers],[Agency]])),COLUMNS($F$7:H$7))))</f>
        <v>0</v>
      </c>
      <c r="I261" s="2223" cm="1">
        <f t="array" ref="I261">IF($D261&lt;COLUMNS($F$7:I$7),"",INDEX(TableDiv[[GASB]:[GASB]],_xlfn.AGGREGATE(15,3,(TableDiv[[Agency]:[Agency]]=$E261)/(TableDiv[[Agency]:[Agency]]=$E261)*(ROW(TableDiv[Agency])-ROW(TableDiv[[#Headers],[Agency]])),COLUMNS($F$7:I$7))))</f>
        <v>0</v>
      </c>
      <c r="J261" s="2223" cm="1">
        <f t="array" ref="J261">IF($D261&lt;COLUMNS($F$7:J$7),"",INDEX(TableDiv[[GASB]:[GASB]],_xlfn.AGGREGATE(15,3,(TableDiv[[Agency]:[Agency]]=$E261)/(TableDiv[[Agency]:[Agency]]=$E261)*(ROW(TableDiv[Agency])-ROW(TableDiv[[#Headers],[Agency]])),COLUMNS($F$7:J$7))))</f>
        <v>0</v>
      </c>
      <c r="K261" s="2223" cm="1">
        <f t="array" ref="K261">IF($D261&lt;COLUMNS($F$7:K$7),"",INDEX(TableDiv[[GASB]:[GASB]],_xlfn.AGGREGATE(15,3,(TableDiv[[Agency]:[Agency]]=$E261)/(TableDiv[[Agency]:[Agency]]=$E261)*(ROW(TableDiv[Agency])-ROW(TableDiv[[#Headers],[Agency]])),COLUMNS($F$7:K$7))))</f>
        <v>0</v>
      </c>
      <c r="L261" s="2223" cm="1">
        <f t="array" ref="L261">IF($D261&lt;COLUMNS($F$7:L$7),"",INDEX(TableDiv[[GASB]:[GASB]],_xlfn.AGGREGATE(15,3,(TableDiv[[Agency]:[Agency]]=$E261)/(TableDiv[[Agency]:[Agency]]=$E261)*(ROW(TableDiv[Agency])-ROW(TableDiv[[#Headers],[Agency]])),COLUMNS($F$7:L$7))))</f>
        <v>0</v>
      </c>
      <c r="M261" s="2223" cm="1">
        <f t="array" ref="M261">IF($D261&lt;COLUMNS($F$7:M$7),"",INDEX(TableDiv[[GASB]:[GASB]],_xlfn.AGGREGATE(15,3,(TableDiv[[Agency]:[Agency]]=$E261)/(TableDiv[[Agency]:[Agency]]=$E261)*(ROW(TableDiv[Agency])-ROW(TableDiv[[#Headers],[Agency]])),COLUMNS($F$7:M$7))))</f>
        <v>0</v>
      </c>
      <c r="N261" s="2223" cm="1">
        <f t="array" ref="N261">IF($D261&lt;COLUMNS($F$7:N$7),"",INDEX(TableDiv[[GASB]:[GASB]],_xlfn.AGGREGATE(15,3,(TableDiv[[Agency]:[Agency]]=$E261)/(TableDiv[[Agency]:[Agency]]=$E261)*(ROW(TableDiv[Agency])-ROW(TableDiv[[#Headers],[Agency]])),COLUMNS($F$7:N$7))))</f>
        <v>0</v>
      </c>
      <c r="O261" s="2223" cm="1">
        <f t="array" ref="O261">IF($D261&lt;COLUMNS($F$7:O$7),"",INDEX(TableDiv[[GASB]:[GASB]],_xlfn.AGGREGATE(15,3,(TableDiv[[Agency]:[Agency]]=$E261)/(TableDiv[[Agency]:[Agency]]=$E261)*(ROW(TableDiv[Agency])-ROW(TableDiv[[#Headers],[Agency]])),COLUMNS($F$7:O$7))))</f>
        <v>0</v>
      </c>
      <c r="P261" s="2223" cm="1">
        <f t="array" ref="P261">IF($D261&lt;COLUMNS($F$7:P$7),"",INDEX(TableDiv[[GASB]:[GASB]],_xlfn.AGGREGATE(15,3,(TableDiv[[Agency]:[Agency]]=$E261)/(TableDiv[[Agency]:[Agency]]=$E261)*(ROW(TableDiv[Agency])-ROW(TableDiv[[#Headers],[Agency]])),COLUMNS($F$7:P$7))))</f>
        <v>0</v>
      </c>
      <c r="Q261" s="2223" cm="1">
        <f t="array" ref="Q261">IF($D261&lt;COLUMNS($F$7:Q$7),"",INDEX(TableDiv[[GASB]:[GASB]],_xlfn.AGGREGATE(15,3,(TableDiv[[Agency]:[Agency]]=$E261)/(TableDiv[[Agency]:[Agency]]=$E261)*(ROW(TableDiv[Agency])-ROW(TableDiv[[#Headers],[Agency]])),COLUMNS($F$7:Q$7))))</f>
        <v>0</v>
      </c>
      <c r="R261" s="2223" cm="1">
        <f t="array" ref="R261">IF($D261&lt;COLUMNS($F$7:R$7),"",INDEX(TableDiv[[GASB]:[GASB]],_xlfn.AGGREGATE(15,3,(TableDiv[[Agency]:[Agency]]=$E261)/(TableDiv[[Agency]:[Agency]]=$E261)*(ROW(TableDiv[Agency])-ROW(TableDiv[[#Headers],[Agency]])),COLUMNS($F$7:R$7))))</f>
        <v>0</v>
      </c>
      <c r="S261" s="2223" cm="1">
        <f t="array" ref="S261">IF($D261&lt;COLUMNS($F$7:S$7),"",INDEX(TableDiv[[GASB]:[GASB]],_xlfn.AGGREGATE(15,3,(TableDiv[[Agency]:[Agency]]=$E261)/(TableDiv[[Agency]:[Agency]]=$E261)*(ROW(TableDiv[Agency])-ROW(TableDiv[[#Headers],[Agency]])),COLUMNS($F$7:S$7))))</f>
        <v>0</v>
      </c>
      <c r="T261" s="2223" cm="1">
        <f t="array" ref="T261">IF($D261&lt;COLUMNS($F$7:T$7),"",INDEX(TableDiv[[GASB]:[GASB]],_xlfn.AGGREGATE(15,3,(TableDiv[[Agency]:[Agency]]=$E261)/(TableDiv[[Agency]:[Agency]]=$E261)*(ROW(TableDiv[Agency])-ROW(TableDiv[[#Headers],[Agency]])),COLUMNS($F$7:T$7))))</f>
        <v>0</v>
      </c>
      <c r="U261" s="2223" cm="1">
        <f t="array" ref="U261">IF($D261&lt;COLUMNS($F$7:U$7),"",INDEX(TableDiv[[GASB]:[GASB]],_xlfn.AGGREGATE(15,3,(TableDiv[[Agency]:[Agency]]=$E261)/(TableDiv[[Agency]:[Agency]]=$E261)*(ROW(TableDiv[Agency])-ROW(TableDiv[[#Headers],[Agency]])),COLUMNS($F$7:U$7))))</f>
        <v>0</v>
      </c>
      <c r="V261" s="2223" cm="1">
        <f t="array" ref="V261">IF($D261&lt;COLUMNS($F$7:V$7),"",INDEX(TableDiv[[GASB]:[GASB]],_xlfn.AGGREGATE(15,3,(TableDiv[[Agency]:[Agency]]=$E261)/(TableDiv[[Agency]:[Agency]]=$E261)*(ROW(TableDiv[Agency])-ROW(TableDiv[[#Headers],[Agency]])),COLUMNS($F$7:V$7))))</f>
        <v>0</v>
      </c>
      <c r="W261" s="2223" cm="1">
        <f t="array" ref="W261">IF($D261&lt;COLUMNS($F$7:W$7),"",INDEX(TableDiv[[GASB]:[GASB]],_xlfn.AGGREGATE(15,3,(TableDiv[[Agency]:[Agency]]=$E261)/(TableDiv[[Agency]:[Agency]]=$E261)*(ROW(TableDiv[Agency])-ROW(TableDiv[[#Headers],[Agency]])),COLUMNS($F$7:W$7))))</f>
        <v>0</v>
      </c>
      <c r="X261" s="2223" cm="1">
        <f t="array" ref="X261">IF($D261&lt;COLUMNS($F$7:X$7),"",INDEX(TableDiv[[GASB]:[GASB]],_xlfn.AGGREGATE(15,3,(TableDiv[[Agency]:[Agency]]=$E261)/(TableDiv[[Agency]:[Agency]]=$E261)*(ROW(TableDiv[Agency])-ROW(TableDiv[[#Headers],[Agency]])),COLUMNS($F$7:X$7))))</f>
        <v>0</v>
      </c>
      <c r="Y261" s="2223" cm="1">
        <f t="array" ref="Y261">IF($D261&lt;COLUMNS($F$7:Y$7),"",INDEX(TableDiv[[GASB]:[GASB]],_xlfn.AGGREGATE(15,3,(TableDiv[[Agency]:[Agency]]=$E261)/(TableDiv[[Agency]:[Agency]]=$E261)*(ROW(TableDiv[Agency])-ROW(TableDiv[[#Headers],[Agency]])),COLUMNS($F$7:Y$7))))</f>
        <v>0</v>
      </c>
      <c r="Z261" s="2223" cm="1">
        <f t="array" ref="Z261">IF($D261&lt;COLUMNS($F$7:Z$7),"",INDEX(TableDiv[[GASB]:[GASB]],_xlfn.AGGREGATE(15,3,(TableDiv[[Agency]:[Agency]]=$E261)/(TableDiv[[Agency]:[Agency]]=$E261)*(ROW(TableDiv[Agency])-ROW(TableDiv[[#Headers],[Agency]])),COLUMNS($F$7:Z$7))))</f>
        <v>0</v>
      </c>
      <c r="AA261" s="2223" cm="1">
        <f t="array" ref="AA261">IF($D261&lt;COLUMNS($F$7:AA$7),"",INDEX(TableDiv[[GASB]:[GASB]],_xlfn.AGGREGATE(15,3,(TableDiv[[Agency]:[Agency]]=$E261)/(TableDiv[[Agency]:[Agency]]=$E261)*(ROW(TableDiv[Agency])-ROW(TableDiv[[#Headers],[Agency]])),COLUMNS($F$7:AA$7))))</f>
        <v>0</v>
      </c>
      <c r="AB261" s="2223" cm="1">
        <f t="array" ref="AB261">IF($D261&lt;COLUMNS($F$7:AB$7),"",INDEX(TableDiv[[GASB]:[GASB]],_xlfn.AGGREGATE(15,3,(TableDiv[[Agency]:[Agency]]=$E261)/(TableDiv[[Agency]:[Agency]]=$E261)*(ROW(TableDiv[Agency])-ROW(TableDiv[[#Headers],[Agency]])),COLUMNS($F$7:AB$7))))</f>
        <v>0</v>
      </c>
      <c r="AC261" s="2223" cm="1">
        <f t="array" ref="AC261">IF($D261&lt;COLUMNS($F$7:AC$7),"",INDEX(TableDiv[[GASB]:[GASB]],_xlfn.AGGREGATE(15,3,(TableDiv[[Agency]:[Agency]]=$E261)/(TableDiv[[Agency]:[Agency]]=$E261)*(ROW(TableDiv[Agency])-ROW(TableDiv[[#Headers],[Agency]])),COLUMNS($F$7:AC$7))))</f>
        <v>0</v>
      </c>
      <c r="AD261" s="2223" cm="1">
        <f t="array" ref="AD261">IF($D261&lt;COLUMNS($F$7:AD$7),"",INDEX(TableDiv[[GASB]:[GASB]],_xlfn.AGGREGATE(15,3,(TableDiv[[Agency]:[Agency]]=$E261)/(TableDiv[[Agency]:[Agency]]=$E261)*(ROW(TableDiv[Agency])-ROW(TableDiv[[#Headers],[Agency]])),COLUMNS($F$7:AD$7))))</f>
        <v>0</v>
      </c>
      <c r="AE261" s="2223" cm="1">
        <f t="array" ref="AE261">IF($D261&lt;COLUMNS($F$7:AE$7),"",INDEX(TableDiv[[GASB]:[GASB]],_xlfn.AGGREGATE(15,3,(TableDiv[[Agency]:[Agency]]=$E261)/(TableDiv[[Agency]:[Agency]]=$E261)*(ROW(TableDiv[Agency])-ROW(TableDiv[[#Headers],[Agency]])),COLUMNS($F$7:AE$7))))</f>
        <v>0</v>
      </c>
      <c r="AF261" s="2223" cm="1">
        <f t="array" ref="AF261">IF($D261&lt;COLUMNS($F$7:AF$7),"",INDEX(TableDiv[[GASB]:[GASB]],_xlfn.AGGREGATE(15,3,(TableDiv[[Agency]:[Agency]]=$E261)/(TableDiv[[Agency]:[Agency]]=$E261)*(ROW(TableDiv[Agency])-ROW(TableDiv[[#Headers],[Agency]])),COLUMNS($F$7:AF$7))))</f>
        <v>0</v>
      </c>
      <c r="AG261" s="2223" cm="1">
        <f t="array" ref="AG261">IF($D261&lt;COLUMNS($F$7:AG$7),"",INDEX(TableDiv[[GASB]:[GASB]],_xlfn.AGGREGATE(15,3,(TableDiv[[Agency]:[Agency]]=$E261)/(TableDiv[[Agency]:[Agency]]=$E261)*(ROW(TableDiv[Agency])-ROW(TableDiv[[#Headers],[Agency]])),COLUMNS($F$7:AG$7))))</f>
        <v>0</v>
      </c>
      <c r="AH261" s="2223" cm="1">
        <f t="array" ref="AH261">IF($D261&lt;COLUMNS($F$7:AH$7),"",INDEX(TableDiv[[GASB]:[GASB]],_xlfn.AGGREGATE(15,3,(TableDiv[[Agency]:[Agency]]=$E261)/(TableDiv[[Agency]:[Agency]]=$E261)*(ROW(TableDiv[Agency])-ROW(TableDiv[[#Headers],[Agency]])),COLUMNS($F$7:AH$7))))</f>
        <v>0</v>
      </c>
      <c r="AI261" s="2223" cm="1">
        <f t="array" ref="AI261">IF($D261&lt;COLUMNS($F$7:AI$7),"",INDEX(TableDiv[[GASB]:[GASB]],_xlfn.AGGREGATE(15,3,(TableDiv[[Agency]:[Agency]]=$E261)/(TableDiv[[Agency]:[Agency]]=$E261)*(ROW(TableDiv[Agency])-ROW(TableDiv[[#Headers],[Agency]])),COLUMNS($F$7:AI$7))))</f>
        <v>0</v>
      </c>
      <c r="AJ261" s="2223" cm="1">
        <f t="array" ref="AJ261">IF($D261&lt;COLUMNS($F$7:AJ$7),"",INDEX(TableDiv[[GASB]:[GASB]],_xlfn.AGGREGATE(15,3,(TableDiv[[Agency]:[Agency]]=$E261)/(TableDiv[[Agency]:[Agency]]=$E261)*(ROW(TableDiv[Agency])-ROW(TableDiv[[#Headers],[Agency]])),COLUMNS($F$7:AJ$7))))</f>
        <v>0</v>
      </c>
      <c r="AK261" s="2223" t="str" cm="1">
        <f t="array" ref="AK261">IF($D261&lt;COLUMNS($F$7:AK$7),"",INDEX(TableDiv[[GASB]:[GASB]],_xlfn.AGGREGATE(15,3,(TableDiv[[Agency]:[Agency]]=$E261)/(TableDiv[[Agency]:[Agency]]=$E261)*(ROW(TableDiv[Agency])-ROW(TableDiv[[#Headers],[Agency]])),COLUMNS($F$7:AK$7))))</f>
        <v/>
      </c>
      <c r="AL261" s="2223" t="str" cm="1">
        <f t="array" ref="AL261">IF($D261&lt;COLUMNS($F$7:AL$7),"",INDEX(TableDiv[[GASB]:[GASB]],_xlfn.AGGREGATE(15,3,(TableDiv[[Agency]:[Agency]]=$E261)/(TableDiv[[Agency]:[Agency]]=$E261)*(ROW(TableDiv[Agency])-ROW(TableDiv[[#Headers],[Agency]])),COLUMNS($F$7:AL$7))))</f>
        <v/>
      </c>
      <c r="AM261" s="2223" t="str" cm="1">
        <f t="array" ref="AM261">IF($D261&lt;COLUMNS($F$7:AM$7),"",INDEX(TableDiv[[GASB]:[GASB]],_xlfn.AGGREGATE(15,3,(TableDiv[[Agency]:[Agency]]=$E261)/(TableDiv[[Agency]:[Agency]]=$E261)*(ROW(TableDiv[Agency])-ROW(TableDiv[[#Headers],[Agency]])),COLUMNS($F$7:AM$7))))</f>
        <v/>
      </c>
      <c r="AN261" s="2223"/>
      <c r="AO261" s="2223"/>
      <c r="AP261" s="2223"/>
      <c r="AQ261" s="2223"/>
      <c r="AR261" s="2223"/>
      <c r="AS261" s="2223"/>
    </row>
    <row r="262" spans="1:45" ht="15" x14ac:dyDescent="0.25">
      <c r="A262" s="2219" t="s">
        <v>5116</v>
      </c>
      <c r="B262" s="2219" t="s">
        <v>6467</v>
      </c>
      <c r="C262" s="2223"/>
      <c r="D262" s="2223">
        <f>COUNTIF(TableDiv[Agency],E262)</f>
        <v>31</v>
      </c>
      <c r="E262" s="2230" t="str" cm="1">
        <f t="array" ref="E262">IFERROR(INDEX(TableDiv[Agency],MATCH(0,INDEX(COUNTIF($E$7:E261,TableDiv[Agency]),),0)),"")</f>
        <v/>
      </c>
      <c r="F262" s="2223" cm="1">
        <f t="array" ref="F262">IF($D262&lt;COLUMNS($F$7:F$7),"",INDEX(TableDiv[[GASB]:[GASB]],_xlfn.AGGREGATE(15,3,(TableDiv[[Agency]:[Agency]]=$E262)/(TableDiv[[Agency]:[Agency]]=$E262)*(ROW(TableDiv[Agency])-ROW(TableDiv[[#Headers],[Agency]])),COLUMNS($F$7:F$7))))</f>
        <v>0</v>
      </c>
      <c r="G262" s="2223" cm="1">
        <f t="array" ref="G262">IF($D262&lt;COLUMNS($F$7:G$7),"",INDEX(TableDiv[[GASB]:[GASB]],_xlfn.AGGREGATE(15,3,(TableDiv[[Agency]:[Agency]]=$E262)/(TableDiv[[Agency]:[Agency]]=$E262)*(ROW(TableDiv[Agency])-ROW(TableDiv[[#Headers],[Agency]])),COLUMNS($F$7:G$7))))</f>
        <v>0</v>
      </c>
      <c r="H262" s="2223" cm="1">
        <f t="array" ref="H262">IF($D262&lt;COLUMNS($F$7:H$7),"",INDEX(TableDiv[[GASB]:[GASB]],_xlfn.AGGREGATE(15,3,(TableDiv[[Agency]:[Agency]]=$E262)/(TableDiv[[Agency]:[Agency]]=$E262)*(ROW(TableDiv[Agency])-ROW(TableDiv[[#Headers],[Agency]])),COLUMNS($F$7:H$7))))</f>
        <v>0</v>
      </c>
      <c r="I262" s="2223" cm="1">
        <f t="array" ref="I262">IF($D262&lt;COLUMNS($F$7:I$7),"",INDEX(TableDiv[[GASB]:[GASB]],_xlfn.AGGREGATE(15,3,(TableDiv[[Agency]:[Agency]]=$E262)/(TableDiv[[Agency]:[Agency]]=$E262)*(ROW(TableDiv[Agency])-ROW(TableDiv[[#Headers],[Agency]])),COLUMNS($F$7:I$7))))</f>
        <v>0</v>
      </c>
      <c r="J262" s="2223" cm="1">
        <f t="array" ref="J262">IF($D262&lt;COLUMNS($F$7:J$7),"",INDEX(TableDiv[[GASB]:[GASB]],_xlfn.AGGREGATE(15,3,(TableDiv[[Agency]:[Agency]]=$E262)/(TableDiv[[Agency]:[Agency]]=$E262)*(ROW(TableDiv[Agency])-ROW(TableDiv[[#Headers],[Agency]])),COLUMNS($F$7:J$7))))</f>
        <v>0</v>
      </c>
      <c r="K262" s="2223" cm="1">
        <f t="array" ref="K262">IF($D262&lt;COLUMNS($F$7:K$7),"",INDEX(TableDiv[[GASB]:[GASB]],_xlfn.AGGREGATE(15,3,(TableDiv[[Agency]:[Agency]]=$E262)/(TableDiv[[Agency]:[Agency]]=$E262)*(ROW(TableDiv[Agency])-ROW(TableDiv[[#Headers],[Agency]])),COLUMNS($F$7:K$7))))</f>
        <v>0</v>
      </c>
      <c r="L262" s="2223" cm="1">
        <f t="array" ref="L262">IF($D262&lt;COLUMNS($F$7:L$7),"",INDEX(TableDiv[[GASB]:[GASB]],_xlfn.AGGREGATE(15,3,(TableDiv[[Agency]:[Agency]]=$E262)/(TableDiv[[Agency]:[Agency]]=$E262)*(ROW(TableDiv[Agency])-ROW(TableDiv[[#Headers],[Agency]])),COLUMNS($F$7:L$7))))</f>
        <v>0</v>
      </c>
      <c r="M262" s="2223" cm="1">
        <f t="array" ref="M262">IF($D262&lt;COLUMNS($F$7:M$7),"",INDEX(TableDiv[[GASB]:[GASB]],_xlfn.AGGREGATE(15,3,(TableDiv[[Agency]:[Agency]]=$E262)/(TableDiv[[Agency]:[Agency]]=$E262)*(ROW(TableDiv[Agency])-ROW(TableDiv[[#Headers],[Agency]])),COLUMNS($F$7:M$7))))</f>
        <v>0</v>
      </c>
      <c r="N262" s="2223" cm="1">
        <f t="array" ref="N262">IF($D262&lt;COLUMNS($F$7:N$7),"",INDEX(TableDiv[[GASB]:[GASB]],_xlfn.AGGREGATE(15,3,(TableDiv[[Agency]:[Agency]]=$E262)/(TableDiv[[Agency]:[Agency]]=$E262)*(ROW(TableDiv[Agency])-ROW(TableDiv[[#Headers],[Agency]])),COLUMNS($F$7:N$7))))</f>
        <v>0</v>
      </c>
      <c r="O262" s="2223" cm="1">
        <f t="array" ref="O262">IF($D262&lt;COLUMNS($F$7:O$7),"",INDEX(TableDiv[[GASB]:[GASB]],_xlfn.AGGREGATE(15,3,(TableDiv[[Agency]:[Agency]]=$E262)/(TableDiv[[Agency]:[Agency]]=$E262)*(ROW(TableDiv[Agency])-ROW(TableDiv[[#Headers],[Agency]])),COLUMNS($F$7:O$7))))</f>
        <v>0</v>
      </c>
      <c r="P262" s="2223" cm="1">
        <f t="array" ref="P262">IF($D262&lt;COLUMNS($F$7:P$7),"",INDEX(TableDiv[[GASB]:[GASB]],_xlfn.AGGREGATE(15,3,(TableDiv[[Agency]:[Agency]]=$E262)/(TableDiv[[Agency]:[Agency]]=$E262)*(ROW(TableDiv[Agency])-ROW(TableDiv[[#Headers],[Agency]])),COLUMNS($F$7:P$7))))</f>
        <v>0</v>
      </c>
      <c r="Q262" s="2223" cm="1">
        <f t="array" ref="Q262">IF($D262&lt;COLUMNS($F$7:Q$7),"",INDEX(TableDiv[[GASB]:[GASB]],_xlfn.AGGREGATE(15,3,(TableDiv[[Agency]:[Agency]]=$E262)/(TableDiv[[Agency]:[Agency]]=$E262)*(ROW(TableDiv[Agency])-ROW(TableDiv[[#Headers],[Agency]])),COLUMNS($F$7:Q$7))))</f>
        <v>0</v>
      </c>
      <c r="R262" s="2223" cm="1">
        <f t="array" ref="R262">IF($D262&lt;COLUMNS($F$7:R$7),"",INDEX(TableDiv[[GASB]:[GASB]],_xlfn.AGGREGATE(15,3,(TableDiv[[Agency]:[Agency]]=$E262)/(TableDiv[[Agency]:[Agency]]=$E262)*(ROW(TableDiv[Agency])-ROW(TableDiv[[#Headers],[Agency]])),COLUMNS($F$7:R$7))))</f>
        <v>0</v>
      </c>
      <c r="S262" s="2223" cm="1">
        <f t="array" ref="S262">IF($D262&lt;COLUMNS($F$7:S$7),"",INDEX(TableDiv[[GASB]:[GASB]],_xlfn.AGGREGATE(15,3,(TableDiv[[Agency]:[Agency]]=$E262)/(TableDiv[[Agency]:[Agency]]=$E262)*(ROW(TableDiv[Agency])-ROW(TableDiv[[#Headers],[Agency]])),COLUMNS($F$7:S$7))))</f>
        <v>0</v>
      </c>
      <c r="T262" s="2223" cm="1">
        <f t="array" ref="T262">IF($D262&lt;COLUMNS($F$7:T$7),"",INDEX(TableDiv[[GASB]:[GASB]],_xlfn.AGGREGATE(15,3,(TableDiv[[Agency]:[Agency]]=$E262)/(TableDiv[[Agency]:[Agency]]=$E262)*(ROW(TableDiv[Agency])-ROW(TableDiv[[#Headers],[Agency]])),COLUMNS($F$7:T$7))))</f>
        <v>0</v>
      </c>
      <c r="U262" s="2223" cm="1">
        <f t="array" ref="U262">IF($D262&lt;COLUMNS($F$7:U$7),"",INDEX(TableDiv[[GASB]:[GASB]],_xlfn.AGGREGATE(15,3,(TableDiv[[Agency]:[Agency]]=$E262)/(TableDiv[[Agency]:[Agency]]=$E262)*(ROW(TableDiv[Agency])-ROW(TableDiv[[#Headers],[Agency]])),COLUMNS($F$7:U$7))))</f>
        <v>0</v>
      </c>
      <c r="V262" s="2223" cm="1">
        <f t="array" ref="V262">IF($D262&lt;COLUMNS($F$7:V$7),"",INDEX(TableDiv[[GASB]:[GASB]],_xlfn.AGGREGATE(15,3,(TableDiv[[Agency]:[Agency]]=$E262)/(TableDiv[[Agency]:[Agency]]=$E262)*(ROW(TableDiv[Agency])-ROW(TableDiv[[#Headers],[Agency]])),COLUMNS($F$7:V$7))))</f>
        <v>0</v>
      </c>
      <c r="W262" s="2223" cm="1">
        <f t="array" ref="W262">IF($D262&lt;COLUMNS($F$7:W$7),"",INDEX(TableDiv[[GASB]:[GASB]],_xlfn.AGGREGATE(15,3,(TableDiv[[Agency]:[Agency]]=$E262)/(TableDiv[[Agency]:[Agency]]=$E262)*(ROW(TableDiv[Agency])-ROW(TableDiv[[#Headers],[Agency]])),COLUMNS($F$7:W$7))))</f>
        <v>0</v>
      </c>
      <c r="X262" s="2223" cm="1">
        <f t="array" ref="X262">IF($D262&lt;COLUMNS($F$7:X$7),"",INDEX(TableDiv[[GASB]:[GASB]],_xlfn.AGGREGATE(15,3,(TableDiv[[Agency]:[Agency]]=$E262)/(TableDiv[[Agency]:[Agency]]=$E262)*(ROW(TableDiv[Agency])-ROW(TableDiv[[#Headers],[Agency]])),COLUMNS($F$7:X$7))))</f>
        <v>0</v>
      </c>
      <c r="Y262" s="2223" cm="1">
        <f t="array" ref="Y262">IF($D262&lt;COLUMNS($F$7:Y$7),"",INDEX(TableDiv[[GASB]:[GASB]],_xlfn.AGGREGATE(15,3,(TableDiv[[Agency]:[Agency]]=$E262)/(TableDiv[[Agency]:[Agency]]=$E262)*(ROW(TableDiv[Agency])-ROW(TableDiv[[#Headers],[Agency]])),COLUMNS($F$7:Y$7))))</f>
        <v>0</v>
      </c>
      <c r="Z262" s="2223" cm="1">
        <f t="array" ref="Z262">IF($D262&lt;COLUMNS($F$7:Z$7),"",INDEX(TableDiv[[GASB]:[GASB]],_xlfn.AGGREGATE(15,3,(TableDiv[[Agency]:[Agency]]=$E262)/(TableDiv[[Agency]:[Agency]]=$E262)*(ROW(TableDiv[Agency])-ROW(TableDiv[[#Headers],[Agency]])),COLUMNS($F$7:Z$7))))</f>
        <v>0</v>
      </c>
      <c r="AA262" s="2223" cm="1">
        <f t="array" ref="AA262">IF($D262&lt;COLUMNS($F$7:AA$7),"",INDEX(TableDiv[[GASB]:[GASB]],_xlfn.AGGREGATE(15,3,(TableDiv[[Agency]:[Agency]]=$E262)/(TableDiv[[Agency]:[Agency]]=$E262)*(ROW(TableDiv[Agency])-ROW(TableDiv[[#Headers],[Agency]])),COLUMNS($F$7:AA$7))))</f>
        <v>0</v>
      </c>
      <c r="AB262" s="2223" cm="1">
        <f t="array" ref="AB262">IF($D262&lt;COLUMNS($F$7:AB$7),"",INDEX(TableDiv[[GASB]:[GASB]],_xlfn.AGGREGATE(15,3,(TableDiv[[Agency]:[Agency]]=$E262)/(TableDiv[[Agency]:[Agency]]=$E262)*(ROW(TableDiv[Agency])-ROW(TableDiv[[#Headers],[Agency]])),COLUMNS($F$7:AB$7))))</f>
        <v>0</v>
      </c>
      <c r="AC262" s="2223" cm="1">
        <f t="array" ref="AC262">IF($D262&lt;COLUMNS($F$7:AC$7),"",INDEX(TableDiv[[GASB]:[GASB]],_xlfn.AGGREGATE(15,3,(TableDiv[[Agency]:[Agency]]=$E262)/(TableDiv[[Agency]:[Agency]]=$E262)*(ROW(TableDiv[Agency])-ROW(TableDiv[[#Headers],[Agency]])),COLUMNS($F$7:AC$7))))</f>
        <v>0</v>
      </c>
      <c r="AD262" s="2223" cm="1">
        <f t="array" ref="AD262">IF($D262&lt;COLUMNS($F$7:AD$7),"",INDEX(TableDiv[[GASB]:[GASB]],_xlfn.AGGREGATE(15,3,(TableDiv[[Agency]:[Agency]]=$E262)/(TableDiv[[Agency]:[Agency]]=$E262)*(ROW(TableDiv[Agency])-ROW(TableDiv[[#Headers],[Agency]])),COLUMNS($F$7:AD$7))))</f>
        <v>0</v>
      </c>
      <c r="AE262" s="2223" cm="1">
        <f t="array" ref="AE262">IF($D262&lt;COLUMNS($F$7:AE$7),"",INDEX(TableDiv[[GASB]:[GASB]],_xlfn.AGGREGATE(15,3,(TableDiv[[Agency]:[Agency]]=$E262)/(TableDiv[[Agency]:[Agency]]=$E262)*(ROW(TableDiv[Agency])-ROW(TableDiv[[#Headers],[Agency]])),COLUMNS($F$7:AE$7))))</f>
        <v>0</v>
      </c>
      <c r="AF262" s="2223" cm="1">
        <f t="array" ref="AF262">IF($D262&lt;COLUMNS($F$7:AF$7),"",INDEX(TableDiv[[GASB]:[GASB]],_xlfn.AGGREGATE(15,3,(TableDiv[[Agency]:[Agency]]=$E262)/(TableDiv[[Agency]:[Agency]]=$E262)*(ROW(TableDiv[Agency])-ROW(TableDiv[[#Headers],[Agency]])),COLUMNS($F$7:AF$7))))</f>
        <v>0</v>
      </c>
      <c r="AG262" s="2223" cm="1">
        <f t="array" ref="AG262">IF($D262&lt;COLUMNS($F$7:AG$7),"",INDEX(TableDiv[[GASB]:[GASB]],_xlfn.AGGREGATE(15,3,(TableDiv[[Agency]:[Agency]]=$E262)/(TableDiv[[Agency]:[Agency]]=$E262)*(ROW(TableDiv[Agency])-ROW(TableDiv[[#Headers],[Agency]])),COLUMNS($F$7:AG$7))))</f>
        <v>0</v>
      </c>
      <c r="AH262" s="2223" cm="1">
        <f t="array" ref="AH262">IF($D262&lt;COLUMNS($F$7:AH$7),"",INDEX(TableDiv[[GASB]:[GASB]],_xlfn.AGGREGATE(15,3,(TableDiv[[Agency]:[Agency]]=$E262)/(TableDiv[[Agency]:[Agency]]=$E262)*(ROW(TableDiv[Agency])-ROW(TableDiv[[#Headers],[Agency]])),COLUMNS($F$7:AH$7))))</f>
        <v>0</v>
      </c>
      <c r="AI262" s="2223" cm="1">
        <f t="array" ref="AI262">IF($D262&lt;COLUMNS($F$7:AI$7),"",INDEX(TableDiv[[GASB]:[GASB]],_xlfn.AGGREGATE(15,3,(TableDiv[[Agency]:[Agency]]=$E262)/(TableDiv[[Agency]:[Agency]]=$E262)*(ROW(TableDiv[Agency])-ROW(TableDiv[[#Headers],[Agency]])),COLUMNS($F$7:AI$7))))</f>
        <v>0</v>
      </c>
      <c r="AJ262" s="2223" cm="1">
        <f t="array" ref="AJ262">IF($D262&lt;COLUMNS($F$7:AJ$7),"",INDEX(TableDiv[[GASB]:[GASB]],_xlfn.AGGREGATE(15,3,(TableDiv[[Agency]:[Agency]]=$E262)/(TableDiv[[Agency]:[Agency]]=$E262)*(ROW(TableDiv[Agency])-ROW(TableDiv[[#Headers],[Agency]])),COLUMNS($F$7:AJ$7))))</f>
        <v>0</v>
      </c>
      <c r="AK262" s="2223" t="str" cm="1">
        <f t="array" ref="AK262">IF($D262&lt;COLUMNS($F$7:AK$7),"",INDEX(TableDiv[[GASB]:[GASB]],_xlfn.AGGREGATE(15,3,(TableDiv[[Agency]:[Agency]]=$E262)/(TableDiv[[Agency]:[Agency]]=$E262)*(ROW(TableDiv[Agency])-ROW(TableDiv[[#Headers],[Agency]])),COLUMNS($F$7:AK$7))))</f>
        <v/>
      </c>
      <c r="AL262" s="2223" t="str" cm="1">
        <f t="array" ref="AL262">IF($D262&lt;COLUMNS($F$7:AL$7),"",INDEX(TableDiv[[GASB]:[GASB]],_xlfn.AGGREGATE(15,3,(TableDiv[[Agency]:[Agency]]=$E262)/(TableDiv[[Agency]:[Agency]]=$E262)*(ROW(TableDiv[Agency])-ROW(TableDiv[[#Headers],[Agency]])),COLUMNS($F$7:AL$7))))</f>
        <v/>
      </c>
      <c r="AM262" s="2223" t="str" cm="1">
        <f t="array" ref="AM262">IF($D262&lt;COLUMNS($F$7:AM$7),"",INDEX(TableDiv[[GASB]:[GASB]],_xlfn.AGGREGATE(15,3,(TableDiv[[Agency]:[Agency]]=$E262)/(TableDiv[[Agency]:[Agency]]=$E262)*(ROW(TableDiv[Agency])-ROW(TableDiv[[#Headers],[Agency]])),COLUMNS($F$7:AM$7))))</f>
        <v/>
      </c>
      <c r="AN262" s="2223"/>
      <c r="AO262" s="2223"/>
      <c r="AP262" s="2223"/>
      <c r="AQ262" s="2223"/>
      <c r="AR262" s="2223"/>
      <c r="AS262" s="2223"/>
    </row>
    <row r="263" spans="1:45" ht="15" x14ac:dyDescent="0.25">
      <c r="A263" s="2219" t="s">
        <v>5116</v>
      </c>
      <c r="B263" s="2219" t="s">
        <v>6361</v>
      </c>
      <c r="C263" s="2223"/>
      <c r="D263" s="2223">
        <f>COUNTIF(TableDiv[Agency],E263)</f>
        <v>31</v>
      </c>
      <c r="E263" s="2230" t="str" cm="1">
        <f t="array" ref="E263">IFERROR(INDEX(TableDiv[Agency],MATCH(0,INDEX(COUNTIF($E$7:E262,TableDiv[Agency]),),0)),"")</f>
        <v/>
      </c>
      <c r="F263" s="2223" cm="1">
        <f t="array" ref="F263">IF($D263&lt;COLUMNS($F$7:F$7),"",INDEX(TableDiv[[GASB]:[GASB]],_xlfn.AGGREGATE(15,3,(TableDiv[[Agency]:[Agency]]=$E263)/(TableDiv[[Agency]:[Agency]]=$E263)*(ROW(TableDiv[Agency])-ROW(TableDiv[[#Headers],[Agency]])),COLUMNS($F$7:F$7))))</f>
        <v>0</v>
      </c>
      <c r="G263" s="2223" cm="1">
        <f t="array" ref="G263">IF($D263&lt;COLUMNS($F$7:G$7),"",INDEX(TableDiv[[GASB]:[GASB]],_xlfn.AGGREGATE(15,3,(TableDiv[[Agency]:[Agency]]=$E263)/(TableDiv[[Agency]:[Agency]]=$E263)*(ROW(TableDiv[Agency])-ROW(TableDiv[[#Headers],[Agency]])),COLUMNS($F$7:G$7))))</f>
        <v>0</v>
      </c>
      <c r="H263" s="2223" cm="1">
        <f t="array" ref="H263">IF($D263&lt;COLUMNS($F$7:H$7),"",INDEX(TableDiv[[GASB]:[GASB]],_xlfn.AGGREGATE(15,3,(TableDiv[[Agency]:[Agency]]=$E263)/(TableDiv[[Agency]:[Agency]]=$E263)*(ROW(TableDiv[Agency])-ROW(TableDiv[[#Headers],[Agency]])),COLUMNS($F$7:H$7))))</f>
        <v>0</v>
      </c>
      <c r="I263" s="2223" cm="1">
        <f t="array" ref="I263">IF($D263&lt;COLUMNS($F$7:I$7),"",INDEX(TableDiv[[GASB]:[GASB]],_xlfn.AGGREGATE(15,3,(TableDiv[[Agency]:[Agency]]=$E263)/(TableDiv[[Agency]:[Agency]]=$E263)*(ROW(TableDiv[Agency])-ROW(TableDiv[[#Headers],[Agency]])),COLUMNS($F$7:I$7))))</f>
        <v>0</v>
      </c>
      <c r="J263" s="2223" cm="1">
        <f t="array" ref="J263">IF($D263&lt;COLUMNS($F$7:J$7),"",INDEX(TableDiv[[GASB]:[GASB]],_xlfn.AGGREGATE(15,3,(TableDiv[[Agency]:[Agency]]=$E263)/(TableDiv[[Agency]:[Agency]]=$E263)*(ROW(TableDiv[Agency])-ROW(TableDiv[[#Headers],[Agency]])),COLUMNS($F$7:J$7))))</f>
        <v>0</v>
      </c>
      <c r="K263" s="2223" cm="1">
        <f t="array" ref="K263">IF($D263&lt;COLUMNS($F$7:K$7),"",INDEX(TableDiv[[GASB]:[GASB]],_xlfn.AGGREGATE(15,3,(TableDiv[[Agency]:[Agency]]=$E263)/(TableDiv[[Agency]:[Agency]]=$E263)*(ROW(TableDiv[Agency])-ROW(TableDiv[[#Headers],[Agency]])),COLUMNS($F$7:K$7))))</f>
        <v>0</v>
      </c>
      <c r="L263" s="2223" cm="1">
        <f t="array" ref="L263">IF($D263&lt;COLUMNS($F$7:L$7),"",INDEX(TableDiv[[GASB]:[GASB]],_xlfn.AGGREGATE(15,3,(TableDiv[[Agency]:[Agency]]=$E263)/(TableDiv[[Agency]:[Agency]]=$E263)*(ROW(TableDiv[Agency])-ROW(TableDiv[[#Headers],[Agency]])),COLUMNS($F$7:L$7))))</f>
        <v>0</v>
      </c>
      <c r="M263" s="2223" cm="1">
        <f t="array" ref="M263">IF($D263&lt;COLUMNS($F$7:M$7),"",INDEX(TableDiv[[GASB]:[GASB]],_xlfn.AGGREGATE(15,3,(TableDiv[[Agency]:[Agency]]=$E263)/(TableDiv[[Agency]:[Agency]]=$E263)*(ROW(TableDiv[Agency])-ROW(TableDiv[[#Headers],[Agency]])),COLUMNS($F$7:M$7))))</f>
        <v>0</v>
      </c>
      <c r="N263" s="2223" cm="1">
        <f t="array" ref="N263">IF($D263&lt;COLUMNS($F$7:N$7),"",INDEX(TableDiv[[GASB]:[GASB]],_xlfn.AGGREGATE(15,3,(TableDiv[[Agency]:[Agency]]=$E263)/(TableDiv[[Agency]:[Agency]]=$E263)*(ROW(TableDiv[Agency])-ROW(TableDiv[[#Headers],[Agency]])),COLUMNS($F$7:N$7))))</f>
        <v>0</v>
      </c>
      <c r="O263" s="2223" cm="1">
        <f t="array" ref="O263">IF($D263&lt;COLUMNS($F$7:O$7),"",INDEX(TableDiv[[GASB]:[GASB]],_xlfn.AGGREGATE(15,3,(TableDiv[[Agency]:[Agency]]=$E263)/(TableDiv[[Agency]:[Agency]]=$E263)*(ROW(TableDiv[Agency])-ROW(TableDiv[[#Headers],[Agency]])),COLUMNS($F$7:O$7))))</f>
        <v>0</v>
      </c>
      <c r="P263" s="2223" cm="1">
        <f t="array" ref="P263">IF($D263&lt;COLUMNS($F$7:P$7),"",INDEX(TableDiv[[GASB]:[GASB]],_xlfn.AGGREGATE(15,3,(TableDiv[[Agency]:[Agency]]=$E263)/(TableDiv[[Agency]:[Agency]]=$E263)*(ROW(TableDiv[Agency])-ROW(TableDiv[[#Headers],[Agency]])),COLUMNS($F$7:P$7))))</f>
        <v>0</v>
      </c>
      <c r="Q263" s="2223" cm="1">
        <f t="array" ref="Q263">IF($D263&lt;COLUMNS($F$7:Q$7),"",INDEX(TableDiv[[GASB]:[GASB]],_xlfn.AGGREGATE(15,3,(TableDiv[[Agency]:[Agency]]=$E263)/(TableDiv[[Agency]:[Agency]]=$E263)*(ROW(TableDiv[Agency])-ROW(TableDiv[[#Headers],[Agency]])),COLUMNS($F$7:Q$7))))</f>
        <v>0</v>
      </c>
      <c r="R263" s="2223" cm="1">
        <f t="array" ref="R263">IF($D263&lt;COLUMNS($F$7:R$7),"",INDEX(TableDiv[[GASB]:[GASB]],_xlfn.AGGREGATE(15,3,(TableDiv[[Agency]:[Agency]]=$E263)/(TableDiv[[Agency]:[Agency]]=$E263)*(ROW(TableDiv[Agency])-ROW(TableDiv[[#Headers],[Agency]])),COLUMNS($F$7:R$7))))</f>
        <v>0</v>
      </c>
      <c r="S263" s="2223" cm="1">
        <f t="array" ref="S263">IF($D263&lt;COLUMNS($F$7:S$7),"",INDEX(TableDiv[[GASB]:[GASB]],_xlfn.AGGREGATE(15,3,(TableDiv[[Agency]:[Agency]]=$E263)/(TableDiv[[Agency]:[Agency]]=$E263)*(ROW(TableDiv[Agency])-ROW(TableDiv[[#Headers],[Agency]])),COLUMNS($F$7:S$7))))</f>
        <v>0</v>
      </c>
      <c r="T263" s="2223" cm="1">
        <f t="array" ref="T263">IF($D263&lt;COLUMNS($F$7:T$7),"",INDEX(TableDiv[[GASB]:[GASB]],_xlfn.AGGREGATE(15,3,(TableDiv[[Agency]:[Agency]]=$E263)/(TableDiv[[Agency]:[Agency]]=$E263)*(ROW(TableDiv[Agency])-ROW(TableDiv[[#Headers],[Agency]])),COLUMNS($F$7:T$7))))</f>
        <v>0</v>
      </c>
      <c r="U263" s="2223" cm="1">
        <f t="array" ref="U263">IF($D263&lt;COLUMNS($F$7:U$7),"",INDEX(TableDiv[[GASB]:[GASB]],_xlfn.AGGREGATE(15,3,(TableDiv[[Agency]:[Agency]]=$E263)/(TableDiv[[Agency]:[Agency]]=$E263)*(ROW(TableDiv[Agency])-ROW(TableDiv[[#Headers],[Agency]])),COLUMNS($F$7:U$7))))</f>
        <v>0</v>
      </c>
      <c r="V263" s="2223" cm="1">
        <f t="array" ref="V263">IF($D263&lt;COLUMNS($F$7:V$7),"",INDEX(TableDiv[[GASB]:[GASB]],_xlfn.AGGREGATE(15,3,(TableDiv[[Agency]:[Agency]]=$E263)/(TableDiv[[Agency]:[Agency]]=$E263)*(ROW(TableDiv[Agency])-ROW(TableDiv[[#Headers],[Agency]])),COLUMNS($F$7:V$7))))</f>
        <v>0</v>
      </c>
      <c r="W263" s="2223" cm="1">
        <f t="array" ref="W263">IF($D263&lt;COLUMNS($F$7:W$7),"",INDEX(TableDiv[[GASB]:[GASB]],_xlfn.AGGREGATE(15,3,(TableDiv[[Agency]:[Agency]]=$E263)/(TableDiv[[Agency]:[Agency]]=$E263)*(ROW(TableDiv[Agency])-ROW(TableDiv[[#Headers],[Agency]])),COLUMNS($F$7:W$7))))</f>
        <v>0</v>
      </c>
      <c r="X263" s="2223" cm="1">
        <f t="array" ref="X263">IF($D263&lt;COLUMNS($F$7:X$7),"",INDEX(TableDiv[[GASB]:[GASB]],_xlfn.AGGREGATE(15,3,(TableDiv[[Agency]:[Agency]]=$E263)/(TableDiv[[Agency]:[Agency]]=$E263)*(ROW(TableDiv[Agency])-ROW(TableDiv[[#Headers],[Agency]])),COLUMNS($F$7:X$7))))</f>
        <v>0</v>
      </c>
      <c r="Y263" s="2223" cm="1">
        <f t="array" ref="Y263">IF($D263&lt;COLUMNS($F$7:Y$7),"",INDEX(TableDiv[[GASB]:[GASB]],_xlfn.AGGREGATE(15,3,(TableDiv[[Agency]:[Agency]]=$E263)/(TableDiv[[Agency]:[Agency]]=$E263)*(ROW(TableDiv[Agency])-ROW(TableDiv[[#Headers],[Agency]])),COLUMNS($F$7:Y$7))))</f>
        <v>0</v>
      </c>
      <c r="Z263" s="2223" cm="1">
        <f t="array" ref="Z263">IF($D263&lt;COLUMNS($F$7:Z$7),"",INDEX(TableDiv[[GASB]:[GASB]],_xlfn.AGGREGATE(15,3,(TableDiv[[Agency]:[Agency]]=$E263)/(TableDiv[[Agency]:[Agency]]=$E263)*(ROW(TableDiv[Agency])-ROW(TableDiv[[#Headers],[Agency]])),COLUMNS($F$7:Z$7))))</f>
        <v>0</v>
      </c>
      <c r="AA263" s="2223" cm="1">
        <f t="array" ref="AA263">IF($D263&lt;COLUMNS($F$7:AA$7),"",INDEX(TableDiv[[GASB]:[GASB]],_xlfn.AGGREGATE(15,3,(TableDiv[[Agency]:[Agency]]=$E263)/(TableDiv[[Agency]:[Agency]]=$E263)*(ROW(TableDiv[Agency])-ROW(TableDiv[[#Headers],[Agency]])),COLUMNS($F$7:AA$7))))</f>
        <v>0</v>
      </c>
      <c r="AB263" s="2223" cm="1">
        <f t="array" ref="AB263">IF($D263&lt;COLUMNS($F$7:AB$7),"",INDEX(TableDiv[[GASB]:[GASB]],_xlfn.AGGREGATE(15,3,(TableDiv[[Agency]:[Agency]]=$E263)/(TableDiv[[Agency]:[Agency]]=$E263)*(ROW(TableDiv[Agency])-ROW(TableDiv[[#Headers],[Agency]])),COLUMNS($F$7:AB$7))))</f>
        <v>0</v>
      </c>
      <c r="AC263" s="2223" cm="1">
        <f t="array" ref="AC263">IF($D263&lt;COLUMNS($F$7:AC$7),"",INDEX(TableDiv[[GASB]:[GASB]],_xlfn.AGGREGATE(15,3,(TableDiv[[Agency]:[Agency]]=$E263)/(TableDiv[[Agency]:[Agency]]=$E263)*(ROW(TableDiv[Agency])-ROW(TableDiv[[#Headers],[Agency]])),COLUMNS($F$7:AC$7))))</f>
        <v>0</v>
      </c>
      <c r="AD263" s="2223" cm="1">
        <f t="array" ref="AD263">IF($D263&lt;COLUMNS($F$7:AD$7),"",INDEX(TableDiv[[GASB]:[GASB]],_xlfn.AGGREGATE(15,3,(TableDiv[[Agency]:[Agency]]=$E263)/(TableDiv[[Agency]:[Agency]]=$E263)*(ROW(TableDiv[Agency])-ROW(TableDiv[[#Headers],[Agency]])),COLUMNS($F$7:AD$7))))</f>
        <v>0</v>
      </c>
      <c r="AE263" s="2223" cm="1">
        <f t="array" ref="AE263">IF($D263&lt;COLUMNS($F$7:AE$7),"",INDEX(TableDiv[[GASB]:[GASB]],_xlfn.AGGREGATE(15,3,(TableDiv[[Agency]:[Agency]]=$E263)/(TableDiv[[Agency]:[Agency]]=$E263)*(ROW(TableDiv[Agency])-ROW(TableDiv[[#Headers],[Agency]])),COLUMNS($F$7:AE$7))))</f>
        <v>0</v>
      </c>
      <c r="AF263" s="2223" cm="1">
        <f t="array" ref="AF263">IF($D263&lt;COLUMNS($F$7:AF$7),"",INDEX(TableDiv[[GASB]:[GASB]],_xlfn.AGGREGATE(15,3,(TableDiv[[Agency]:[Agency]]=$E263)/(TableDiv[[Agency]:[Agency]]=$E263)*(ROW(TableDiv[Agency])-ROW(TableDiv[[#Headers],[Agency]])),COLUMNS($F$7:AF$7))))</f>
        <v>0</v>
      </c>
      <c r="AG263" s="2223" cm="1">
        <f t="array" ref="AG263">IF($D263&lt;COLUMNS($F$7:AG$7),"",INDEX(TableDiv[[GASB]:[GASB]],_xlfn.AGGREGATE(15,3,(TableDiv[[Agency]:[Agency]]=$E263)/(TableDiv[[Agency]:[Agency]]=$E263)*(ROW(TableDiv[Agency])-ROW(TableDiv[[#Headers],[Agency]])),COLUMNS($F$7:AG$7))))</f>
        <v>0</v>
      </c>
      <c r="AH263" s="2223" cm="1">
        <f t="array" ref="AH263">IF($D263&lt;COLUMNS($F$7:AH$7),"",INDEX(TableDiv[[GASB]:[GASB]],_xlfn.AGGREGATE(15,3,(TableDiv[[Agency]:[Agency]]=$E263)/(TableDiv[[Agency]:[Agency]]=$E263)*(ROW(TableDiv[Agency])-ROW(TableDiv[[#Headers],[Agency]])),COLUMNS($F$7:AH$7))))</f>
        <v>0</v>
      </c>
      <c r="AI263" s="2223" cm="1">
        <f t="array" ref="AI263">IF($D263&lt;COLUMNS($F$7:AI$7),"",INDEX(TableDiv[[GASB]:[GASB]],_xlfn.AGGREGATE(15,3,(TableDiv[[Agency]:[Agency]]=$E263)/(TableDiv[[Agency]:[Agency]]=$E263)*(ROW(TableDiv[Agency])-ROW(TableDiv[[#Headers],[Agency]])),COLUMNS($F$7:AI$7))))</f>
        <v>0</v>
      </c>
      <c r="AJ263" s="2223" cm="1">
        <f t="array" ref="AJ263">IF($D263&lt;COLUMNS($F$7:AJ$7),"",INDEX(TableDiv[[GASB]:[GASB]],_xlfn.AGGREGATE(15,3,(TableDiv[[Agency]:[Agency]]=$E263)/(TableDiv[[Agency]:[Agency]]=$E263)*(ROW(TableDiv[Agency])-ROW(TableDiv[[#Headers],[Agency]])),COLUMNS($F$7:AJ$7))))</f>
        <v>0</v>
      </c>
      <c r="AK263" s="2223" t="str" cm="1">
        <f t="array" ref="AK263">IF($D263&lt;COLUMNS($F$7:AK$7),"",INDEX(TableDiv[[GASB]:[GASB]],_xlfn.AGGREGATE(15,3,(TableDiv[[Agency]:[Agency]]=$E263)/(TableDiv[[Agency]:[Agency]]=$E263)*(ROW(TableDiv[Agency])-ROW(TableDiv[[#Headers],[Agency]])),COLUMNS($F$7:AK$7))))</f>
        <v/>
      </c>
      <c r="AL263" s="2223" t="str" cm="1">
        <f t="array" ref="AL263">IF($D263&lt;COLUMNS($F$7:AL$7),"",INDEX(TableDiv[[GASB]:[GASB]],_xlfn.AGGREGATE(15,3,(TableDiv[[Agency]:[Agency]]=$E263)/(TableDiv[[Agency]:[Agency]]=$E263)*(ROW(TableDiv[Agency])-ROW(TableDiv[[#Headers],[Agency]])),COLUMNS($F$7:AL$7))))</f>
        <v/>
      </c>
      <c r="AM263" s="2223" t="str" cm="1">
        <f t="array" ref="AM263">IF($D263&lt;COLUMNS($F$7:AM$7),"",INDEX(TableDiv[[GASB]:[GASB]],_xlfn.AGGREGATE(15,3,(TableDiv[[Agency]:[Agency]]=$E263)/(TableDiv[[Agency]:[Agency]]=$E263)*(ROW(TableDiv[Agency])-ROW(TableDiv[[#Headers],[Agency]])),COLUMNS($F$7:AM$7))))</f>
        <v/>
      </c>
      <c r="AN263" s="2223"/>
      <c r="AO263" s="2223"/>
      <c r="AP263" s="2223"/>
      <c r="AQ263" s="2223"/>
      <c r="AR263" s="2223"/>
      <c r="AS263" s="2223"/>
    </row>
    <row r="264" spans="1:45" ht="15" x14ac:dyDescent="0.25">
      <c r="A264" s="2219" t="s">
        <v>5116</v>
      </c>
      <c r="B264" s="2219" t="s">
        <v>6446</v>
      </c>
      <c r="C264" s="2223"/>
      <c r="D264" s="2223">
        <f>COUNTIF(TableDiv[Agency],E264)</f>
        <v>31</v>
      </c>
      <c r="E264" s="2230" t="str" cm="1">
        <f t="array" ref="E264">IFERROR(INDEX(TableDiv[Agency],MATCH(0,INDEX(COUNTIF($E$7:E263,TableDiv[Agency]),),0)),"")</f>
        <v/>
      </c>
      <c r="F264" s="2223" cm="1">
        <f t="array" ref="F264">IF($D264&lt;COLUMNS($F$7:F$7),"",INDEX(TableDiv[[GASB]:[GASB]],_xlfn.AGGREGATE(15,3,(TableDiv[[Agency]:[Agency]]=$E264)/(TableDiv[[Agency]:[Agency]]=$E264)*(ROW(TableDiv[Agency])-ROW(TableDiv[[#Headers],[Agency]])),COLUMNS($F$7:F$7))))</f>
        <v>0</v>
      </c>
      <c r="G264" s="2223" cm="1">
        <f t="array" ref="G264">IF($D264&lt;COLUMNS($F$7:G$7),"",INDEX(TableDiv[[GASB]:[GASB]],_xlfn.AGGREGATE(15,3,(TableDiv[[Agency]:[Agency]]=$E264)/(TableDiv[[Agency]:[Agency]]=$E264)*(ROW(TableDiv[Agency])-ROW(TableDiv[[#Headers],[Agency]])),COLUMNS($F$7:G$7))))</f>
        <v>0</v>
      </c>
      <c r="H264" s="2223" cm="1">
        <f t="array" ref="H264">IF($D264&lt;COLUMNS($F$7:H$7),"",INDEX(TableDiv[[GASB]:[GASB]],_xlfn.AGGREGATE(15,3,(TableDiv[[Agency]:[Agency]]=$E264)/(TableDiv[[Agency]:[Agency]]=$E264)*(ROW(TableDiv[Agency])-ROW(TableDiv[[#Headers],[Agency]])),COLUMNS($F$7:H$7))))</f>
        <v>0</v>
      </c>
      <c r="I264" s="2223" cm="1">
        <f t="array" ref="I264">IF($D264&lt;COLUMNS($F$7:I$7),"",INDEX(TableDiv[[GASB]:[GASB]],_xlfn.AGGREGATE(15,3,(TableDiv[[Agency]:[Agency]]=$E264)/(TableDiv[[Agency]:[Agency]]=$E264)*(ROW(TableDiv[Agency])-ROW(TableDiv[[#Headers],[Agency]])),COLUMNS($F$7:I$7))))</f>
        <v>0</v>
      </c>
      <c r="J264" s="2223" cm="1">
        <f t="array" ref="J264">IF($D264&lt;COLUMNS($F$7:J$7),"",INDEX(TableDiv[[GASB]:[GASB]],_xlfn.AGGREGATE(15,3,(TableDiv[[Agency]:[Agency]]=$E264)/(TableDiv[[Agency]:[Agency]]=$E264)*(ROW(TableDiv[Agency])-ROW(TableDiv[[#Headers],[Agency]])),COLUMNS($F$7:J$7))))</f>
        <v>0</v>
      </c>
      <c r="K264" s="2223" cm="1">
        <f t="array" ref="K264">IF($D264&lt;COLUMNS($F$7:K$7),"",INDEX(TableDiv[[GASB]:[GASB]],_xlfn.AGGREGATE(15,3,(TableDiv[[Agency]:[Agency]]=$E264)/(TableDiv[[Agency]:[Agency]]=$E264)*(ROW(TableDiv[Agency])-ROW(TableDiv[[#Headers],[Agency]])),COLUMNS($F$7:K$7))))</f>
        <v>0</v>
      </c>
      <c r="L264" s="2223" cm="1">
        <f t="array" ref="L264">IF($D264&lt;COLUMNS($F$7:L$7),"",INDEX(TableDiv[[GASB]:[GASB]],_xlfn.AGGREGATE(15,3,(TableDiv[[Agency]:[Agency]]=$E264)/(TableDiv[[Agency]:[Agency]]=$E264)*(ROW(TableDiv[Agency])-ROW(TableDiv[[#Headers],[Agency]])),COLUMNS($F$7:L$7))))</f>
        <v>0</v>
      </c>
      <c r="M264" s="2223" cm="1">
        <f t="array" ref="M264">IF($D264&lt;COLUMNS($F$7:M$7),"",INDEX(TableDiv[[GASB]:[GASB]],_xlfn.AGGREGATE(15,3,(TableDiv[[Agency]:[Agency]]=$E264)/(TableDiv[[Agency]:[Agency]]=$E264)*(ROW(TableDiv[Agency])-ROW(TableDiv[[#Headers],[Agency]])),COLUMNS($F$7:M$7))))</f>
        <v>0</v>
      </c>
      <c r="N264" s="2223" cm="1">
        <f t="array" ref="N264">IF($D264&lt;COLUMNS($F$7:N$7),"",INDEX(TableDiv[[GASB]:[GASB]],_xlfn.AGGREGATE(15,3,(TableDiv[[Agency]:[Agency]]=$E264)/(TableDiv[[Agency]:[Agency]]=$E264)*(ROW(TableDiv[Agency])-ROW(TableDiv[[#Headers],[Agency]])),COLUMNS($F$7:N$7))))</f>
        <v>0</v>
      </c>
      <c r="O264" s="2223" cm="1">
        <f t="array" ref="O264">IF($D264&lt;COLUMNS($F$7:O$7),"",INDEX(TableDiv[[GASB]:[GASB]],_xlfn.AGGREGATE(15,3,(TableDiv[[Agency]:[Agency]]=$E264)/(TableDiv[[Agency]:[Agency]]=$E264)*(ROW(TableDiv[Agency])-ROW(TableDiv[[#Headers],[Agency]])),COLUMNS($F$7:O$7))))</f>
        <v>0</v>
      </c>
      <c r="P264" s="2223" cm="1">
        <f t="array" ref="P264">IF($D264&lt;COLUMNS($F$7:P$7),"",INDEX(TableDiv[[GASB]:[GASB]],_xlfn.AGGREGATE(15,3,(TableDiv[[Agency]:[Agency]]=$E264)/(TableDiv[[Agency]:[Agency]]=$E264)*(ROW(TableDiv[Agency])-ROW(TableDiv[[#Headers],[Agency]])),COLUMNS($F$7:P$7))))</f>
        <v>0</v>
      </c>
      <c r="Q264" s="2223" cm="1">
        <f t="array" ref="Q264">IF($D264&lt;COLUMNS($F$7:Q$7),"",INDEX(TableDiv[[GASB]:[GASB]],_xlfn.AGGREGATE(15,3,(TableDiv[[Agency]:[Agency]]=$E264)/(TableDiv[[Agency]:[Agency]]=$E264)*(ROW(TableDiv[Agency])-ROW(TableDiv[[#Headers],[Agency]])),COLUMNS($F$7:Q$7))))</f>
        <v>0</v>
      </c>
      <c r="R264" s="2223" cm="1">
        <f t="array" ref="R264">IF($D264&lt;COLUMNS($F$7:R$7),"",INDEX(TableDiv[[GASB]:[GASB]],_xlfn.AGGREGATE(15,3,(TableDiv[[Agency]:[Agency]]=$E264)/(TableDiv[[Agency]:[Agency]]=$E264)*(ROW(TableDiv[Agency])-ROW(TableDiv[[#Headers],[Agency]])),COLUMNS($F$7:R$7))))</f>
        <v>0</v>
      </c>
      <c r="S264" s="2223" cm="1">
        <f t="array" ref="S264">IF($D264&lt;COLUMNS($F$7:S$7),"",INDEX(TableDiv[[GASB]:[GASB]],_xlfn.AGGREGATE(15,3,(TableDiv[[Agency]:[Agency]]=$E264)/(TableDiv[[Agency]:[Agency]]=$E264)*(ROW(TableDiv[Agency])-ROW(TableDiv[[#Headers],[Agency]])),COLUMNS($F$7:S$7))))</f>
        <v>0</v>
      </c>
      <c r="T264" s="2223" cm="1">
        <f t="array" ref="T264">IF($D264&lt;COLUMNS($F$7:T$7),"",INDEX(TableDiv[[GASB]:[GASB]],_xlfn.AGGREGATE(15,3,(TableDiv[[Agency]:[Agency]]=$E264)/(TableDiv[[Agency]:[Agency]]=$E264)*(ROW(TableDiv[Agency])-ROW(TableDiv[[#Headers],[Agency]])),COLUMNS($F$7:T$7))))</f>
        <v>0</v>
      </c>
      <c r="U264" s="2223" cm="1">
        <f t="array" ref="U264">IF($D264&lt;COLUMNS($F$7:U$7),"",INDEX(TableDiv[[GASB]:[GASB]],_xlfn.AGGREGATE(15,3,(TableDiv[[Agency]:[Agency]]=$E264)/(TableDiv[[Agency]:[Agency]]=$E264)*(ROW(TableDiv[Agency])-ROW(TableDiv[[#Headers],[Agency]])),COLUMNS($F$7:U$7))))</f>
        <v>0</v>
      </c>
      <c r="V264" s="2223" cm="1">
        <f t="array" ref="V264">IF($D264&lt;COLUMNS($F$7:V$7),"",INDEX(TableDiv[[GASB]:[GASB]],_xlfn.AGGREGATE(15,3,(TableDiv[[Agency]:[Agency]]=$E264)/(TableDiv[[Agency]:[Agency]]=$E264)*(ROW(TableDiv[Agency])-ROW(TableDiv[[#Headers],[Agency]])),COLUMNS($F$7:V$7))))</f>
        <v>0</v>
      </c>
      <c r="W264" s="2223" cm="1">
        <f t="array" ref="W264">IF($D264&lt;COLUMNS($F$7:W$7),"",INDEX(TableDiv[[GASB]:[GASB]],_xlfn.AGGREGATE(15,3,(TableDiv[[Agency]:[Agency]]=$E264)/(TableDiv[[Agency]:[Agency]]=$E264)*(ROW(TableDiv[Agency])-ROW(TableDiv[[#Headers],[Agency]])),COLUMNS($F$7:W$7))))</f>
        <v>0</v>
      </c>
      <c r="X264" s="2223" cm="1">
        <f t="array" ref="X264">IF($D264&lt;COLUMNS($F$7:X$7),"",INDEX(TableDiv[[GASB]:[GASB]],_xlfn.AGGREGATE(15,3,(TableDiv[[Agency]:[Agency]]=$E264)/(TableDiv[[Agency]:[Agency]]=$E264)*(ROW(TableDiv[Agency])-ROW(TableDiv[[#Headers],[Agency]])),COLUMNS($F$7:X$7))))</f>
        <v>0</v>
      </c>
      <c r="Y264" s="2223" cm="1">
        <f t="array" ref="Y264">IF($D264&lt;COLUMNS($F$7:Y$7),"",INDEX(TableDiv[[GASB]:[GASB]],_xlfn.AGGREGATE(15,3,(TableDiv[[Agency]:[Agency]]=$E264)/(TableDiv[[Agency]:[Agency]]=$E264)*(ROW(TableDiv[Agency])-ROW(TableDiv[[#Headers],[Agency]])),COLUMNS($F$7:Y$7))))</f>
        <v>0</v>
      </c>
      <c r="Z264" s="2223" cm="1">
        <f t="array" ref="Z264">IF($D264&lt;COLUMNS($F$7:Z$7),"",INDEX(TableDiv[[GASB]:[GASB]],_xlfn.AGGREGATE(15,3,(TableDiv[[Agency]:[Agency]]=$E264)/(TableDiv[[Agency]:[Agency]]=$E264)*(ROW(TableDiv[Agency])-ROW(TableDiv[[#Headers],[Agency]])),COLUMNS($F$7:Z$7))))</f>
        <v>0</v>
      </c>
      <c r="AA264" s="2223" cm="1">
        <f t="array" ref="AA264">IF($D264&lt;COLUMNS($F$7:AA$7),"",INDEX(TableDiv[[GASB]:[GASB]],_xlfn.AGGREGATE(15,3,(TableDiv[[Agency]:[Agency]]=$E264)/(TableDiv[[Agency]:[Agency]]=$E264)*(ROW(TableDiv[Agency])-ROW(TableDiv[[#Headers],[Agency]])),COLUMNS($F$7:AA$7))))</f>
        <v>0</v>
      </c>
      <c r="AB264" s="2223" cm="1">
        <f t="array" ref="AB264">IF($D264&lt;COLUMNS($F$7:AB$7),"",INDEX(TableDiv[[GASB]:[GASB]],_xlfn.AGGREGATE(15,3,(TableDiv[[Agency]:[Agency]]=$E264)/(TableDiv[[Agency]:[Agency]]=$E264)*(ROW(TableDiv[Agency])-ROW(TableDiv[[#Headers],[Agency]])),COLUMNS($F$7:AB$7))))</f>
        <v>0</v>
      </c>
      <c r="AC264" s="2223" cm="1">
        <f t="array" ref="AC264">IF($D264&lt;COLUMNS($F$7:AC$7),"",INDEX(TableDiv[[GASB]:[GASB]],_xlfn.AGGREGATE(15,3,(TableDiv[[Agency]:[Agency]]=$E264)/(TableDiv[[Agency]:[Agency]]=$E264)*(ROW(TableDiv[Agency])-ROW(TableDiv[[#Headers],[Agency]])),COLUMNS($F$7:AC$7))))</f>
        <v>0</v>
      </c>
      <c r="AD264" s="2223" cm="1">
        <f t="array" ref="AD264">IF($D264&lt;COLUMNS($F$7:AD$7),"",INDEX(TableDiv[[GASB]:[GASB]],_xlfn.AGGREGATE(15,3,(TableDiv[[Agency]:[Agency]]=$E264)/(TableDiv[[Agency]:[Agency]]=$E264)*(ROW(TableDiv[Agency])-ROW(TableDiv[[#Headers],[Agency]])),COLUMNS($F$7:AD$7))))</f>
        <v>0</v>
      </c>
      <c r="AE264" s="2223" cm="1">
        <f t="array" ref="AE264">IF($D264&lt;COLUMNS($F$7:AE$7),"",INDEX(TableDiv[[GASB]:[GASB]],_xlfn.AGGREGATE(15,3,(TableDiv[[Agency]:[Agency]]=$E264)/(TableDiv[[Agency]:[Agency]]=$E264)*(ROW(TableDiv[Agency])-ROW(TableDiv[[#Headers],[Agency]])),COLUMNS($F$7:AE$7))))</f>
        <v>0</v>
      </c>
      <c r="AF264" s="2223" cm="1">
        <f t="array" ref="AF264">IF($D264&lt;COLUMNS($F$7:AF$7),"",INDEX(TableDiv[[GASB]:[GASB]],_xlfn.AGGREGATE(15,3,(TableDiv[[Agency]:[Agency]]=$E264)/(TableDiv[[Agency]:[Agency]]=$E264)*(ROW(TableDiv[Agency])-ROW(TableDiv[[#Headers],[Agency]])),COLUMNS($F$7:AF$7))))</f>
        <v>0</v>
      </c>
      <c r="AG264" s="2223" cm="1">
        <f t="array" ref="AG264">IF($D264&lt;COLUMNS($F$7:AG$7),"",INDEX(TableDiv[[GASB]:[GASB]],_xlfn.AGGREGATE(15,3,(TableDiv[[Agency]:[Agency]]=$E264)/(TableDiv[[Agency]:[Agency]]=$E264)*(ROW(TableDiv[Agency])-ROW(TableDiv[[#Headers],[Agency]])),COLUMNS($F$7:AG$7))))</f>
        <v>0</v>
      </c>
      <c r="AH264" s="2223" cm="1">
        <f t="array" ref="AH264">IF($D264&lt;COLUMNS($F$7:AH$7),"",INDEX(TableDiv[[GASB]:[GASB]],_xlfn.AGGREGATE(15,3,(TableDiv[[Agency]:[Agency]]=$E264)/(TableDiv[[Agency]:[Agency]]=$E264)*(ROW(TableDiv[Agency])-ROW(TableDiv[[#Headers],[Agency]])),COLUMNS($F$7:AH$7))))</f>
        <v>0</v>
      </c>
      <c r="AI264" s="2223" cm="1">
        <f t="array" ref="AI264">IF($D264&lt;COLUMNS($F$7:AI$7),"",INDEX(TableDiv[[GASB]:[GASB]],_xlfn.AGGREGATE(15,3,(TableDiv[[Agency]:[Agency]]=$E264)/(TableDiv[[Agency]:[Agency]]=$E264)*(ROW(TableDiv[Agency])-ROW(TableDiv[[#Headers],[Agency]])),COLUMNS($F$7:AI$7))))</f>
        <v>0</v>
      </c>
      <c r="AJ264" s="2223" cm="1">
        <f t="array" ref="AJ264">IF($D264&lt;COLUMNS($F$7:AJ$7),"",INDEX(TableDiv[[GASB]:[GASB]],_xlfn.AGGREGATE(15,3,(TableDiv[[Agency]:[Agency]]=$E264)/(TableDiv[[Agency]:[Agency]]=$E264)*(ROW(TableDiv[Agency])-ROW(TableDiv[[#Headers],[Agency]])),COLUMNS($F$7:AJ$7))))</f>
        <v>0</v>
      </c>
      <c r="AK264" s="2223" t="str" cm="1">
        <f t="array" ref="AK264">IF($D264&lt;COLUMNS($F$7:AK$7),"",INDEX(TableDiv[[GASB]:[GASB]],_xlfn.AGGREGATE(15,3,(TableDiv[[Agency]:[Agency]]=$E264)/(TableDiv[[Agency]:[Agency]]=$E264)*(ROW(TableDiv[Agency])-ROW(TableDiv[[#Headers],[Agency]])),COLUMNS($F$7:AK$7))))</f>
        <v/>
      </c>
      <c r="AL264" s="2223" t="str" cm="1">
        <f t="array" ref="AL264">IF($D264&lt;COLUMNS($F$7:AL$7),"",INDEX(TableDiv[[GASB]:[GASB]],_xlfn.AGGREGATE(15,3,(TableDiv[[Agency]:[Agency]]=$E264)/(TableDiv[[Agency]:[Agency]]=$E264)*(ROW(TableDiv[Agency])-ROW(TableDiv[[#Headers],[Agency]])),COLUMNS($F$7:AL$7))))</f>
        <v/>
      </c>
      <c r="AM264" s="2223" t="str" cm="1">
        <f t="array" ref="AM264">IF($D264&lt;COLUMNS($F$7:AM$7),"",INDEX(TableDiv[[GASB]:[GASB]],_xlfn.AGGREGATE(15,3,(TableDiv[[Agency]:[Agency]]=$E264)/(TableDiv[[Agency]:[Agency]]=$E264)*(ROW(TableDiv[Agency])-ROW(TableDiv[[#Headers],[Agency]])),COLUMNS($F$7:AM$7))))</f>
        <v/>
      </c>
      <c r="AN264" s="2223"/>
      <c r="AO264" s="2223"/>
      <c r="AP264" s="2223"/>
      <c r="AQ264" s="2223"/>
      <c r="AR264" s="2223"/>
      <c r="AS264" s="2223"/>
    </row>
    <row r="265" spans="1:45" ht="15" x14ac:dyDescent="0.25">
      <c r="A265" s="2219" t="s">
        <v>5116</v>
      </c>
      <c r="B265" s="2219" t="s">
        <v>6468</v>
      </c>
      <c r="C265" s="2223"/>
      <c r="D265" s="2223">
        <f>COUNTIF(TableDiv[Agency],E265)</f>
        <v>31</v>
      </c>
      <c r="E265" s="2230" t="str" cm="1">
        <f t="array" ref="E265">IFERROR(INDEX(TableDiv[Agency],MATCH(0,INDEX(COUNTIF($E$7:E264,TableDiv[Agency]),),0)),"")</f>
        <v/>
      </c>
      <c r="F265" s="2223" cm="1">
        <f t="array" ref="F265">IF($D265&lt;COLUMNS($F$7:F$7),"",INDEX(TableDiv[[GASB]:[GASB]],_xlfn.AGGREGATE(15,3,(TableDiv[[Agency]:[Agency]]=$E265)/(TableDiv[[Agency]:[Agency]]=$E265)*(ROW(TableDiv[Agency])-ROW(TableDiv[[#Headers],[Agency]])),COLUMNS($F$7:F$7))))</f>
        <v>0</v>
      </c>
      <c r="G265" s="2223" cm="1">
        <f t="array" ref="G265">IF($D265&lt;COLUMNS($F$7:G$7),"",INDEX(TableDiv[[GASB]:[GASB]],_xlfn.AGGREGATE(15,3,(TableDiv[[Agency]:[Agency]]=$E265)/(TableDiv[[Agency]:[Agency]]=$E265)*(ROW(TableDiv[Agency])-ROW(TableDiv[[#Headers],[Agency]])),COLUMNS($F$7:G$7))))</f>
        <v>0</v>
      </c>
      <c r="H265" s="2223" cm="1">
        <f t="array" ref="H265">IF($D265&lt;COLUMNS($F$7:H$7),"",INDEX(TableDiv[[GASB]:[GASB]],_xlfn.AGGREGATE(15,3,(TableDiv[[Agency]:[Agency]]=$E265)/(TableDiv[[Agency]:[Agency]]=$E265)*(ROW(TableDiv[Agency])-ROW(TableDiv[[#Headers],[Agency]])),COLUMNS($F$7:H$7))))</f>
        <v>0</v>
      </c>
      <c r="I265" s="2223" cm="1">
        <f t="array" ref="I265">IF($D265&lt;COLUMNS($F$7:I$7),"",INDEX(TableDiv[[GASB]:[GASB]],_xlfn.AGGREGATE(15,3,(TableDiv[[Agency]:[Agency]]=$E265)/(TableDiv[[Agency]:[Agency]]=$E265)*(ROW(TableDiv[Agency])-ROW(TableDiv[[#Headers],[Agency]])),COLUMNS($F$7:I$7))))</f>
        <v>0</v>
      </c>
      <c r="J265" s="2223" cm="1">
        <f t="array" ref="J265">IF($D265&lt;COLUMNS($F$7:J$7),"",INDEX(TableDiv[[GASB]:[GASB]],_xlfn.AGGREGATE(15,3,(TableDiv[[Agency]:[Agency]]=$E265)/(TableDiv[[Agency]:[Agency]]=$E265)*(ROW(TableDiv[Agency])-ROW(TableDiv[[#Headers],[Agency]])),COLUMNS($F$7:J$7))))</f>
        <v>0</v>
      </c>
      <c r="K265" s="2223" cm="1">
        <f t="array" ref="K265">IF($D265&lt;COLUMNS($F$7:K$7),"",INDEX(TableDiv[[GASB]:[GASB]],_xlfn.AGGREGATE(15,3,(TableDiv[[Agency]:[Agency]]=$E265)/(TableDiv[[Agency]:[Agency]]=$E265)*(ROW(TableDiv[Agency])-ROW(TableDiv[[#Headers],[Agency]])),COLUMNS($F$7:K$7))))</f>
        <v>0</v>
      </c>
      <c r="L265" s="2223" cm="1">
        <f t="array" ref="L265">IF($D265&lt;COLUMNS($F$7:L$7),"",INDEX(TableDiv[[GASB]:[GASB]],_xlfn.AGGREGATE(15,3,(TableDiv[[Agency]:[Agency]]=$E265)/(TableDiv[[Agency]:[Agency]]=$E265)*(ROW(TableDiv[Agency])-ROW(TableDiv[[#Headers],[Agency]])),COLUMNS($F$7:L$7))))</f>
        <v>0</v>
      </c>
      <c r="M265" s="2223" cm="1">
        <f t="array" ref="M265">IF($D265&lt;COLUMNS($F$7:M$7),"",INDEX(TableDiv[[GASB]:[GASB]],_xlfn.AGGREGATE(15,3,(TableDiv[[Agency]:[Agency]]=$E265)/(TableDiv[[Agency]:[Agency]]=$E265)*(ROW(TableDiv[Agency])-ROW(TableDiv[[#Headers],[Agency]])),COLUMNS($F$7:M$7))))</f>
        <v>0</v>
      </c>
      <c r="N265" s="2223" cm="1">
        <f t="array" ref="N265">IF($D265&lt;COLUMNS($F$7:N$7),"",INDEX(TableDiv[[GASB]:[GASB]],_xlfn.AGGREGATE(15,3,(TableDiv[[Agency]:[Agency]]=$E265)/(TableDiv[[Agency]:[Agency]]=$E265)*(ROW(TableDiv[Agency])-ROW(TableDiv[[#Headers],[Agency]])),COLUMNS($F$7:N$7))))</f>
        <v>0</v>
      </c>
      <c r="O265" s="2223" cm="1">
        <f t="array" ref="O265">IF($D265&lt;COLUMNS($F$7:O$7),"",INDEX(TableDiv[[GASB]:[GASB]],_xlfn.AGGREGATE(15,3,(TableDiv[[Agency]:[Agency]]=$E265)/(TableDiv[[Agency]:[Agency]]=$E265)*(ROW(TableDiv[Agency])-ROW(TableDiv[[#Headers],[Agency]])),COLUMNS($F$7:O$7))))</f>
        <v>0</v>
      </c>
      <c r="P265" s="2223" cm="1">
        <f t="array" ref="P265">IF($D265&lt;COLUMNS($F$7:P$7),"",INDEX(TableDiv[[GASB]:[GASB]],_xlfn.AGGREGATE(15,3,(TableDiv[[Agency]:[Agency]]=$E265)/(TableDiv[[Agency]:[Agency]]=$E265)*(ROW(TableDiv[Agency])-ROW(TableDiv[[#Headers],[Agency]])),COLUMNS($F$7:P$7))))</f>
        <v>0</v>
      </c>
      <c r="Q265" s="2223" cm="1">
        <f t="array" ref="Q265">IF($D265&lt;COLUMNS($F$7:Q$7),"",INDEX(TableDiv[[GASB]:[GASB]],_xlfn.AGGREGATE(15,3,(TableDiv[[Agency]:[Agency]]=$E265)/(TableDiv[[Agency]:[Agency]]=$E265)*(ROW(TableDiv[Agency])-ROW(TableDiv[[#Headers],[Agency]])),COLUMNS($F$7:Q$7))))</f>
        <v>0</v>
      </c>
      <c r="R265" s="2223" cm="1">
        <f t="array" ref="R265">IF($D265&lt;COLUMNS($F$7:R$7),"",INDEX(TableDiv[[GASB]:[GASB]],_xlfn.AGGREGATE(15,3,(TableDiv[[Agency]:[Agency]]=$E265)/(TableDiv[[Agency]:[Agency]]=$E265)*(ROW(TableDiv[Agency])-ROW(TableDiv[[#Headers],[Agency]])),COLUMNS($F$7:R$7))))</f>
        <v>0</v>
      </c>
      <c r="S265" s="2223" cm="1">
        <f t="array" ref="S265">IF($D265&lt;COLUMNS($F$7:S$7),"",INDEX(TableDiv[[GASB]:[GASB]],_xlfn.AGGREGATE(15,3,(TableDiv[[Agency]:[Agency]]=$E265)/(TableDiv[[Agency]:[Agency]]=$E265)*(ROW(TableDiv[Agency])-ROW(TableDiv[[#Headers],[Agency]])),COLUMNS($F$7:S$7))))</f>
        <v>0</v>
      </c>
      <c r="T265" s="2223" cm="1">
        <f t="array" ref="T265">IF($D265&lt;COLUMNS($F$7:T$7),"",INDEX(TableDiv[[GASB]:[GASB]],_xlfn.AGGREGATE(15,3,(TableDiv[[Agency]:[Agency]]=$E265)/(TableDiv[[Agency]:[Agency]]=$E265)*(ROW(TableDiv[Agency])-ROW(TableDiv[[#Headers],[Agency]])),COLUMNS($F$7:T$7))))</f>
        <v>0</v>
      </c>
      <c r="U265" s="2223" cm="1">
        <f t="array" ref="U265">IF($D265&lt;COLUMNS($F$7:U$7),"",INDEX(TableDiv[[GASB]:[GASB]],_xlfn.AGGREGATE(15,3,(TableDiv[[Agency]:[Agency]]=$E265)/(TableDiv[[Agency]:[Agency]]=$E265)*(ROW(TableDiv[Agency])-ROW(TableDiv[[#Headers],[Agency]])),COLUMNS($F$7:U$7))))</f>
        <v>0</v>
      </c>
      <c r="V265" s="2223" cm="1">
        <f t="array" ref="V265">IF($D265&lt;COLUMNS($F$7:V$7),"",INDEX(TableDiv[[GASB]:[GASB]],_xlfn.AGGREGATE(15,3,(TableDiv[[Agency]:[Agency]]=$E265)/(TableDiv[[Agency]:[Agency]]=$E265)*(ROW(TableDiv[Agency])-ROW(TableDiv[[#Headers],[Agency]])),COLUMNS($F$7:V$7))))</f>
        <v>0</v>
      </c>
      <c r="W265" s="2223" cm="1">
        <f t="array" ref="W265">IF($D265&lt;COLUMNS($F$7:W$7),"",INDEX(TableDiv[[GASB]:[GASB]],_xlfn.AGGREGATE(15,3,(TableDiv[[Agency]:[Agency]]=$E265)/(TableDiv[[Agency]:[Agency]]=$E265)*(ROW(TableDiv[Agency])-ROW(TableDiv[[#Headers],[Agency]])),COLUMNS($F$7:W$7))))</f>
        <v>0</v>
      </c>
      <c r="X265" s="2223" cm="1">
        <f t="array" ref="X265">IF($D265&lt;COLUMNS($F$7:X$7),"",INDEX(TableDiv[[GASB]:[GASB]],_xlfn.AGGREGATE(15,3,(TableDiv[[Agency]:[Agency]]=$E265)/(TableDiv[[Agency]:[Agency]]=$E265)*(ROW(TableDiv[Agency])-ROW(TableDiv[[#Headers],[Agency]])),COLUMNS($F$7:X$7))))</f>
        <v>0</v>
      </c>
      <c r="Y265" s="2223" cm="1">
        <f t="array" ref="Y265">IF($D265&lt;COLUMNS($F$7:Y$7),"",INDEX(TableDiv[[GASB]:[GASB]],_xlfn.AGGREGATE(15,3,(TableDiv[[Agency]:[Agency]]=$E265)/(TableDiv[[Agency]:[Agency]]=$E265)*(ROW(TableDiv[Agency])-ROW(TableDiv[[#Headers],[Agency]])),COLUMNS($F$7:Y$7))))</f>
        <v>0</v>
      </c>
      <c r="Z265" s="2223" cm="1">
        <f t="array" ref="Z265">IF($D265&lt;COLUMNS($F$7:Z$7),"",INDEX(TableDiv[[GASB]:[GASB]],_xlfn.AGGREGATE(15,3,(TableDiv[[Agency]:[Agency]]=$E265)/(TableDiv[[Agency]:[Agency]]=$E265)*(ROW(TableDiv[Agency])-ROW(TableDiv[[#Headers],[Agency]])),COLUMNS($F$7:Z$7))))</f>
        <v>0</v>
      </c>
      <c r="AA265" s="2223" cm="1">
        <f t="array" ref="AA265">IF($D265&lt;COLUMNS($F$7:AA$7),"",INDEX(TableDiv[[GASB]:[GASB]],_xlfn.AGGREGATE(15,3,(TableDiv[[Agency]:[Agency]]=$E265)/(TableDiv[[Agency]:[Agency]]=$E265)*(ROW(TableDiv[Agency])-ROW(TableDiv[[#Headers],[Agency]])),COLUMNS($F$7:AA$7))))</f>
        <v>0</v>
      </c>
      <c r="AB265" s="2223" cm="1">
        <f t="array" ref="AB265">IF($D265&lt;COLUMNS($F$7:AB$7),"",INDEX(TableDiv[[GASB]:[GASB]],_xlfn.AGGREGATE(15,3,(TableDiv[[Agency]:[Agency]]=$E265)/(TableDiv[[Agency]:[Agency]]=$E265)*(ROW(TableDiv[Agency])-ROW(TableDiv[[#Headers],[Agency]])),COLUMNS($F$7:AB$7))))</f>
        <v>0</v>
      </c>
      <c r="AC265" s="2223" cm="1">
        <f t="array" ref="AC265">IF($D265&lt;COLUMNS($F$7:AC$7),"",INDEX(TableDiv[[GASB]:[GASB]],_xlfn.AGGREGATE(15,3,(TableDiv[[Agency]:[Agency]]=$E265)/(TableDiv[[Agency]:[Agency]]=$E265)*(ROW(TableDiv[Agency])-ROW(TableDiv[[#Headers],[Agency]])),COLUMNS($F$7:AC$7))))</f>
        <v>0</v>
      </c>
      <c r="AD265" s="2223" cm="1">
        <f t="array" ref="AD265">IF($D265&lt;COLUMNS($F$7:AD$7),"",INDEX(TableDiv[[GASB]:[GASB]],_xlfn.AGGREGATE(15,3,(TableDiv[[Agency]:[Agency]]=$E265)/(TableDiv[[Agency]:[Agency]]=$E265)*(ROW(TableDiv[Agency])-ROW(TableDiv[[#Headers],[Agency]])),COLUMNS($F$7:AD$7))))</f>
        <v>0</v>
      </c>
      <c r="AE265" s="2223" cm="1">
        <f t="array" ref="AE265">IF($D265&lt;COLUMNS($F$7:AE$7),"",INDEX(TableDiv[[GASB]:[GASB]],_xlfn.AGGREGATE(15,3,(TableDiv[[Agency]:[Agency]]=$E265)/(TableDiv[[Agency]:[Agency]]=$E265)*(ROW(TableDiv[Agency])-ROW(TableDiv[[#Headers],[Agency]])),COLUMNS($F$7:AE$7))))</f>
        <v>0</v>
      </c>
      <c r="AF265" s="2223" cm="1">
        <f t="array" ref="AF265">IF($D265&lt;COLUMNS($F$7:AF$7),"",INDEX(TableDiv[[GASB]:[GASB]],_xlfn.AGGREGATE(15,3,(TableDiv[[Agency]:[Agency]]=$E265)/(TableDiv[[Agency]:[Agency]]=$E265)*(ROW(TableDiv[Agency])-ROW(TableDiv[[#Headers],[Agency]])),COLUMNS($F$7:AF$7))))</f>
        <v>0</v>
      </c>
      <c r="AG265" s="2223" cm="1">
        <f t="array" ref="AG265">IF($D265&lt;COLUMNS($F$7:AG$7),"",INDEX(TableDiv[[GASB]:[GASB]],_xlfn.AGGREGATE(15,3,(TableDiv[[Agency]:[Agency]]=$E265)/(TableDiv[[Agency]:[Agency]]=$E265)*(ROW(TableDiv[Agency])-ROW(TableDiv[[#Headers],[Agency]])),COLUMNS($F$7:AG$7))))</f>
        <v>0</v>
      </c>
      <c r="AH265" s="2223" cm="1">
        <f t="array" ref="AH265">IF($D265&lt;COLUMNS($F$7:AH$7),"",INDEX(TableDiv[[GASB]:[GASB]],_xlfn.AGGREGATE(15,3,(TableDiv[[Agency]:[Agency]]=$E265)/(TableDiv[[Agency]:[Agency]]=$E265)*(ROW(TableDiv[Agency])-ROW(TableDiv[[#Headers],[Agency]])),COLUMNS($F$7:AH$7))))</f>
        <v>0</v>
      </c>
      <c r="AI265" s="2223" cm="1">
        <f t="array" ref="AI265">IF($D265&lt;COLUMNS($F$7:AI$7),"",INDEX(TableDiv[[GASB]:[GASB]],_xlfn.AGGREGATE(15,3,(TableDiv[[Agency]:[Agency]]=$E265)/(TableDiv[[Agency]:[Agency]]=$E265)*(ROW(TableDiv[Agency])-ROW(TableDiv[[#Headers],[Agency]])),COLUMNS($F$7:AI$7))))</f>
        <v>0</v>
      </c>
      <c r="AJ265" s="2223" cm="1">
        <f t="array" ref="AJ265">IF($D265&lt;COLUMNS($F$7:AJ$7),"",INDEX(TableDiv[[GASB]:[GASB]],_xlfn.AGGREGATE(15,3,(TableDiv[[Agency]:[Agency]]=$E265)/(TableDiv[[Agency]:[Agency]]=$E265)*(ROW(TableDiv[Agency])-ROW(TableDiv[[#Headers],[Agency]])),COLUMNS($F$7:AJ$7))))</f>
        <v>0</v>
      </c>
      <c r="AK265" s="2223" t="str" cm="1">
        <f t="array" ref="AK265">IF($D265&lt;COLUMNS($F$7:AK$7),"",INDEX(TableDiv[[GASB]:[GASB]],_xlfn.AGGREGATE(15,3,(TableDiv[[Agency]:[Agency]]=$E265)/(TableDiv[[Agency]:[Agency]]=$E265)*(ROW(TableDiv[Agency])-ROW(TableDiv[[#Headers],[Agency]])),COLUMNS($F$7:AK$7))))</f>
        <v/>
      </c>
      <c r="AL265" s="2223" t="str" cm="1">
        <f t="array" ref="AL265">IF($D265&lt;COLUMNS($F$7:AL$7),"",INDEX(TableDiv[[GASB]:[GASB]],_xlfn.AGGREGATE(15,3,(TableDiv[[Agency]:[Agency]]=$E265)/(TableDiv[[Agency]:[Agency]]=$E265)*(ROW(TableDiv[Agency])-ROW(TableDiv[[#Headers],[Agency]])),COLUMNS($F$7:AL$7))))</f>
        <v/>
      </c>
      <c r="AM265" s="2223" t="str" cm="1">
        <f t="array" ref="AM265">IF($D265&lt;COLUMNS($F$7:AM$7),"",INDEX(TableDiv[[GASB]:[GASB]],_xlfn.AGGREGATE(15,3,(TableDiv[[Agency]:[Agency]]=$E265)/(TableDiv[[Agency]:[Agency]]=$E265)*(ROW(TableDiv[Agency])-ROW(TableDiv[[#Headers],[Agency]])),COLUMNS($F$7:AM$7))))</f>
        <v/>
      </c>
      <c r="AN265" s="2223"/>
      <c r="AO265" s="2223"/>
      <c r="AP265" s="2223"/>
      <c r="AQ265" s="2223"/>
      <c r="AR265" s="2223"/>
      <c r="AS265" s="2223"/>
    </row>
    <row r="266" spans="1:45" ht="15" x14ac:dyDescent="0.25">
      <c r="A266" s="2219" t="s">
        <v>5116</v>
      </c>
      <c r="B266" s="2219" t="s">
        <v>6358</v>
      </c>
      <c r="C266" s="2223"/>
      <c r="D266" s="2223">
        <f>COUNTIF(TableDiv[Agency],E266)</f>
        <v>31</v>
      </c>
      <c r="E266" s="2230" t="str" cm="1">
        <f t="array" ref="E266">IFERROR(INDEX(TableDiv[Agency],MATCH(0,INDEX(COUNTIF($E$7:E265,TableDiv[Agency]),),0)),"")</f>
        <v/>
      </c>
      <c r="F266" s="2223" cm="1">
        <f t="array" ref="F266">IF($D266&lt;COLUMNS($F$7:F$7),"",INDEX(TableDiv[[GASB]:[GASB]],_xlfn.AGGREGATE(15,3,(TableDiv[[Agency]:[Agency]]=$E266)/(TableDiv[[Agency]:[Agency]]=$E266)*(ROW(TableDiv[Agency])-ROW(TableDiv[[#Headers],[Agency]])),COLUMNS($F$7:F$7))))</f>
        <v>0</v>
      </c>
      <c r="G266" s="2223" cm="1">
        <f t="array" ref="G266">IF($D266&lt;COLUMNS($F$7:G$7),"",INDEX(TableDiv[[GASB]:[GASB]],_xlfn.AGGREGATE(15,3,(TableDiv[[Agency]:[Agency]]=$E266)/(TableDiv[[Agency]:[Agency]]=$E266)*(ROW(TableDiv[Agency])-ROW(TableDiv[[#Headers],[Agency]])),COLUMNS($F$7:G$7))))</f>
        <v>0</v>
      </c>
      <c r="H266" s="2223" cm="1">
        <f t="array" ref="H266">IF($D266&lt;COLUMNS($F$7:H$7),"",INDEX(TableDiv[[GASB]:[GASB]],_xlfn.AGGREGATE(15,3,(TableDiv[[Agency]:[Agency]]=$E266)/(TableDiv[[Agency]:[Agency]]=$E266)*(ROW(TableDiv[Agency])-ROW(TableDiv[[#Headers],[Agency]])),COLUMNS($F$7:H$7))))</f>
        <v>0</v>
      </c>
      <c r="I266" s="2223" cm="1">
        <f t="array" ref="I266">IF($D266&lt;COLUMNS($F$7:I$7),"",INDEX(TableDiv[[GASB]:[GASB]],_xlfn.AGGREGATE(15,3,(TableDiv[[Agency]:[Agency]]=$E266)/(TableDiv[[Agency]:[Agency]]=$E266)*(ROW(TableDiv[Agency])-ROW(TableDiv[[#Headers],[Agency]])),COLUMNS($F$7:I$7))))</f>
        <v>0</v>
      </c>
      <c r="J266" s="2223" cm="1">
        <f t="array" ref="J266">IF($D266&lt;COLUMNS($F$7:J$7),"",INDEX(TableDiv[[GASB]:[GASB]],_xlfn.AGGREGATE(15,3,(TableDiv[[Agency]:[Agency]]=$E266)/(TableDiv[[Agency]:[Agency]]=$E266)*(ROW(TableDiv[Agency])-ROW(TableDiv[[#Headers],[Agency]])),COLUMNS($F$7:J$7))))</f>
        <v>0</v>
      </c>
      <c r="K266" s="2223" cm="1">
        <f t="array" ref="K266">IF($D266&lt;COLUMNS($F$7:K$7),"",INDEX(TableDiv[[GASB]:[GASB]],_xlfn.AGGREGATE(15,3,(TableDiv[[Agency]:[Agency]]=$E266)/(TableDiv[[Agency]:[Agency]]=$E266)*(ROW(TableDiv[Agency])-ROW(TableDiv[[#Headers],[Agency]])),COLUMNS($F$7:K$7))))</f>
        <v>0</v>
      </c>
      <c r="L266" s="2223" cm="1">
        <f t="array" ref="L266">IF($D266&lt;COLUMNS($F$7:L$7),"",INDEX(TableDiv[[GASB]:[GASB]],_xlfn.AGGREGATE(15,3,(TableDiv[[Agency]:[Agency]]=$E266)/(TableDiv[[Agency]:[Agency]]=$E266)*(ROW(TableDiv[Agency])-ROW(TableDiv[[#Headers],[Agency]])),COLUMNS($F$7:L$7))))</f>
        <v>0</v>
      </c>
      <c r="M266" s="2223" cm="1">
        <f t="array" ref="M266">IF($D266&lt;COLUMNS($F$7:M$7),"",INDEX(TableDiv[[GASB]:[GASB]],_xlfn.AGGREGATE(15,3,(TableDiv[[Agency]:[Agency]]=$E266)/(TableDiv[[Agency]:[Agency]]=$E266)*(ROW(TableDiv[Agency])-ROW(TableDiv[[#Headers],[Agency]])),COLUMNS($F$7:M$7))))</f>
        <v>0</v>
      </c>
      <c r="N266" s="2223" cm="1">
        <f t="array" ref="N266">IF($D266&lt;COLUMNS($F$7:N$7),"",INDEX(TableDiv[[GASB]:[GASB]],_xlfn.AGGREGATE(15,3,(TableDiv[[Agency]:[Agency]]=$E266)/(TableDiv[[Agency]:[Agency]]=$E266)*(ROW(TableDiv[Agency])-ROW(TableDiv[[#Headers],[Agency]])),COLUMNS($F$7:N$7))))</f>
        <v>0</v>
      </c>
      <c r="O266" s="2223" cm="1">
        <f t="array" ref="O266">IF($D266&lt;COLUMNS($F$7:O$7),"",INDEX(TableDiv[[GASB]:[GASB]],_xlfn.AGGREGATE(15,3,(TableDiv[[Agency]:[Agency]]=$E266)/(TableDiv[[Agency]:[Agency]]=$E266)*(ROW(TableDiv[Agency])-ROW(TableDiv[[#Headers],[Agency]])),COLUMNS($F$7:O$7))))</f>
        <v>0</v>
      </c>
      <c r="P266" s="2223" cm="1">
        <f t="array" ref="P266">IF($D266&lt;COLUMNS($F$7:P$7),"",INDEX(TableDiv[[GASB]:[GASB]],_xlfn.AGGREGATE(15,3,(TableDiv[[Agency]:[Agency]]=$E266)/(TableDiv[[Agency]:[Agency]]=$E266)*(ROW(TableDiv[Agency])-ROW(TableDiv[[#Headers],[Agency]])),COLUMNS($F$7:P$7))))</f>
        <v>0</v>
      </c>
      <c r="Q266" s="2223" cm="1">
        <f t="array" ref="Q266">IF($D266&lt;COLUMNS($F$7:Q$7),"",INDEX(TableDiv[[GASB]:[GASB]],_xlfn.AGGREGATE(15,3,(TableDiv[[Agency]:[Agency]]=$E266)/(TableDiv[[Agency]:[Agency]]=$E266)*(ROW(TableDiv[Agency])-ROW(TableDiv[[#Headers],[Agency]])),COLUMNS($F$7:Q$7))))</f>
        <v>0</v>
      </c>
      <c r="R266" s="2223" cm="1">
        <f t="array" ref="R266">IF($D266&lt;COLUMNS($F$7:R$7),"",INDEX(TableDiv[[GASB]:[GASB]],_xlfn.AGGREGATE(15,3,(TableDiv[[Agency]:[Agency]]=$E266)/(TableDiv[[Agency]:[Agency]]=$E266)*(ROW(TableDiv[Agency])-ROW(TableDiv[[#Headers],[Agency]])),COLUMNS($F$7:R$7))))</f>
        <v>0</v>
      </c>
      <c r="S266" s="2223" cm="1">
        <f t="array" ref="S266">IF($D266&lt;COLUMNS($F$7:S$7),"",INDEX(TableDiv[[GASB]:[GASB]],_xlfn.AGGREGATE(15,3,(TableDiv[[Agency]:[Agency]]=$E266)/(TableDiv[[Agency]:[Agency]]=$E266)*(ROW(TableDiv[Agency])-ROW(TableDiv[[#Headers],[Agency]])),COLUMNS($F$7:S$7))))</f>
        <v>0</v>
      </c>
      <c r="T266" s="2223" cm="1">
        <f t="array" ref="T266">IF($D266&lt;COLUMNS($F$7:T$7),"",INDEX(TableDiv[[GASB]:[GASB]],_xlfn.AGGREGATE(15,3,(TableDiv[[Agency]:[Agency]]=$E266)/(TableDiv[[Agency]:[Agency]]=$E266)*(ROW(TableDiv[Agency])-ROW(TableDiv[[#Headers],[Agency]])),COLUMNS($F$7:T$7))))</f>
        <v>0</v>
      </c>
      <c r="U266" s="2223" cm="1">
        <f t="array" ref="U266">IF($D266&lt;COLUMNS($F$7:U$7),"",INDEX(TableDiv[[GASB]:[GASB]],_xlfn.AGGREGATE(15,3,(TableDiv[[Agency]:[Agency]]=$E266)/(TableDiv[[Agency]:[Agency]]=$E266)*(ROW(TableDiv[Agency])-ROW(TableDiv[[#Headers],[Agency]])),COLUMNS($F$7:U$7))))</f>
        <v>0</v>
      </c>
      <c r="V266" s="2223" cm="1">
        <f t="array" ref="V266">IF($D266&lt;COLUMNS($F$7:V$7),"",INDEX(TableDiv[[GASB]:[GASB]],_xlfn.AGGREGATE(15,3,(TableDiv[[Agency]:[Agency]]=$E266)/(TableDiv[[Agency]:[Agency]]=$E266)*(ROW(TableDiv[Agency])-ROW(TableDiv[[#Headers],[Agency]])),COLUMNS($F$7:V$7))))</f>
        <v>0</v>
      </c>
      <c r="W266" s="2223" cm="1">
        <f t="array" ref="W266">IF($D266&lt;COLUMNS($F$7:W$7),"",INDEX(TableDiv[[GASB]:[GASB]],_xlfn.AGGREGATE(15,3,(TableDiv[[Agency]:[Agency]]=$E266)/(TableDiv[[Agency]:[Agency]]=$E266)*(ROW(TableDiv[Agency])-ROW(TableDiv[[#Headers],[Agency]])),COLUMNS($F$7:W$7))))</f>
        <v>0</v>
      </c>
      <c r="X266" s="2223" cm="1">
        <f t="array" ref="X266">IF($D266&lt;COLUMNS($F$7:X$7),"",INDEX(TableDiv[[GASB]:[GASB]],_xlfn.AGGREGATE(15,3,(TableDiv[[Agency]:[Agency]]=$E266)/(TableDiv[[Agency]:[Agency]]=$E266)*(ROW(TableDiv[Agency])-ROW(TableDiv[[#Headers],[Agency]])),COLUMNS($F$7:X$7))))</f>
        <v>0</v>
      </c>
      <c r="Y266" s="2223" cm="1">
        <f t="array" ref="Y266">IF($D266&lt;COLUMNS($F$7:Y$7),"",INDEX(TableDiv[[GASB]:[GASB]],_xlfn.AGGREGATE(15,3,(TableDiv[[Agency]:[Agency]]=$E266)/(TableDiv[[Agency]:[Agency]]=$E266)*(ROW(TableDiv[Agency])-ROW(TableDiv[[#Headers],[Agency]])),COLUMNS($F$7:Y$7))))</f>
        <v>0</v>
      </c>
      <c r="Z266" s="2223" cm="1">
        <f t="array" ref="Z266">IF($D266&lt;COLUMNS($F$7:Z$7),"",INDEX(TableDiv[[GASB]:[GASB]],_xlfn.AGGREGATE(15,3,(TableDiv[[Agency]:[Agency]]=$E266)/(TableDiv[[Agency]:[Agency]]=$E266)*(ROW(TableDiv[Agency])-ROW(TableDiv[[#Headers],[Agency]])),COLUMNS($F$7:Z$7))))</f>
        <v>0</v>
      </c>
      <c r="AA266" s="2223" cm="1">
        <f t="array" ref="AA266">IF($D266&lt;COLUMNS($F$7:AA$7),"",INDEX(TableDiv[[GASB]:[GASB]],_xlfn.AGGREGATE(15,3,(TableDiv[[Agency]:[Agency]]=$E266)/(TableDiv[[Agency]:[Agency]]=$E266)*(ROW(TableDiv[Agency])-ROW(TableDiv[[#Headers],[Agency]])),COLUMNS($F$7:AA$7))))</f>
        <v>0</v>
      </c>
      <c r="AB266" s="2223" cm="1">
        <f t="array" ref="AB266">IF($D266&lt;COLUMNS($F$7:AB$7),"",INDEX(TableDiv[[GASB]:[GASB]],_xlfn.AGGREGATE(15,3,(TableDiv[[Agency]:[Agency]]=$E266)/(TableDiv[[Agency]:[Agency]]=$E266)*(ROW(TableDiv[Agency])-ROW(TableDiv[[#Headers],[Agency]])),COLUMNS($F$7:AB$7))))</f>
        <v>0</v>
      </c>
      <c r="AC266" s="2223" cm="1">
        <f t="array" ref="AC266">IF($D266&lt;COLUMNS($F$7:AC$7),"",INDEX(TableDiv[[GASB]:[GASB]],_xlfn.AGGREGATE(15,3,(TableDiv[[Agency]:[Agency]]=$E266)/(TableDiv[[Agency]:[Agency]]=$E266)*(ROW(TableDiv[Agency])-ROW(TableDiv[[#Headers],[Agency]])),COLUMNS($F$7:AC$7))))</f>
        <v>0</v>
      </c>
      <c r="AD266" s="2223" cm="1">
        <f t="array" ref="AD266">IF($D266&lt;COLUMNS($F$7:AD$7),"",INDEX(TableDiv[[GASB]:[GASB]],_xlfn.AGGREGATE(15,3,(TableDiv[[Agency]:[Agency]]=$E266)/(TableDiv[[Agency]:[Agency]]=$E266)*(ROW(TableDiv[Agency])-ROW(TableDiv[[#Headers],[Agency]])),COLUMNS($F$7:AD$7))))</f>
        <v>0</v>
      </c>
      <c r="AE266" s="2223" cm="1">
        <f t="array" ref="AE266">IF($D266&lt;COLUMNS($F$7:AE$7),"",INDEX(TableDiv[[GASB]:[GASB]],_xlfn.AGGREGATE(15,3,(TableDiv[[Agency]:[Agency]]=$E266)/(TableDiv[[Agency]:[Agency]]=$E266)*(ROW(TableDiv[Agency])-ROW(TableDiv[[#Headers],[Agency]])),COLUMNS($F$7:AE$7))))</f>
        <v>0</v>
      </c>
      <c r="AF266" s="2223" cm="1">
        <f t="array" ref="AF266">IF($D266&lt;COLUMNS($F$7:AF$7),"",INDEX(TableDiv[[GASB]:[GASB]],_xlfn.AGGREGATE(15,3,(TableDiv[[Agency]:[Agency]]=$E266)/(TableDiv[[Agency]:[Agency]]=$E266)*(ROW(TableDiv[Agency])-ROW(TableDiv[[#Headers],[Agency]])),COLUMNS($F$7:AF$7))))</f>
        <v>0</v>
      </c>
      <c r="AG266" s="2223" cm="1">
        <f t="array" ref="AG266">IF($D266&lt;COLUMNS($F$7:AG$7),"",INDEX(TableDiv[[GASB]:[GASB]],_xlfn.AGGREGATE(15,3,(TableDiv[[Agency]:[Agency]]=$E266)/(TableDiv[[Agency]:[Agency]]=$E266)*(ROW(TableDiv[Agency])-ROW(TableDiv[[#Headers],[Agency]])),COLUMNS($F$7:AG$7))))</f>
        <v>0</v>
      </c>
      <c r="AH266" s="2223" cm="1">
        <f t="array" ref="AH266">IF($D266&lt;COLUMNS($F$7:AH$7),"",INDEX(TableDiv[[GASB]:[GASB]],_xlfn.AGGREGATE(15,3,(TableDiv[[Agency]:[Agency]]=$E266)/(TableDiv[[Agency]:[Agency]]=$E266)*(ROW(TableDiv[Agency])-ROW(TableDiv[[#Headers],[Agency]])),COLUMNS($F$7:AH$7))))</f>
        <v>0</v>
      </c>
      <c r="AI266" s="2223" cm="1">
        <f t="array" ref="AI266">IF($D266&lt;COLUMNS($F$7:AI$7),"",INDEX(TableDiv[[GASB]:[GASB]],_xlfn.AGGREGATE(15,3,(TableDiv[[Agency]:[Agency]]=$E266)/(TableDiv[[Agency]:[Agency]]=$E266)*(ROW(TableDiv[Agency])-ROW(TableDiv[[#Headers],[Agency]])),COLUMNS($F$7:AI$7))))</f>
        <v>0</v>
      </c>
      <c r="AJ266" s="2223" cm="1">
        <f t="array" ref="AJ266">IF($D266&lt;COLUMNS($F$7:AJ$7),"",INDEX(TableDiv[[GASB]:[GASB]],_xlfn.AGGREGATE(15,3,(TableDiv[[Agency]:[Agency]]=$E266)/(TableDiv[[Agency]:[Agency]]=$E266)*(ROW(TableDiv[Agency])-ROW(TableDiv[[#Headers],[Agency]])),COLUMNS($F$7:AJ$7))))</f>
        <v>0</v>
      </c>
      <c r="AK266" s="2223" t="str" cm="1">
        <f t="array" ref="AK266">IF($D266&lt;COLUMNS($F$7:AK$7),"",INDEX(TableDiv[[GASB]:[GASB]],_xlfn.AGGREGATE(15,3,(TableDiv[[Agency]:[Agency]]=$E266)/(TableDiv[[Agency]:[Agency]]=$E266)*(ROW(TableDiv[Agency])-ROW(TableDiv[[#Headers],[Agency]])),COLUMNS($F$7:AK$7))))</f>
        <v/>
      </c>
      <c r="AL266" s="2223" t="str" cm="1">
        <f t="array" ref="AL266">IF($D266&lt;COLUMNS($F$7:AL$7),"",INDEX(TableDiv[[GASB]:[GASB]],_xlfn.AGGREGATE(15,3,(TableDiv[[Agency]:[Agency]]=$E266)/(TableDiv[[Agency]:[Agency]]=$E266)*(ROW(TableDiv[Agency])-ROW(TableDiv[[#Headers],[Agency]])),COLUMNS($F$7:AL$7))))</f>
        <v/>
      </c>
      <c r="AM266" s="2223" t="str" cm="1">
        <f t="array" ref="AM266">IF($D266&lt;COLUMNS($F$7:AM$7),"",INDEX(TableDiv[[GASB]:[GASB]],_xlfn.AGGREGATE(15,3,(TableDiv[[Agency]:[Agency]]=$E266)/(TableDiv[[Agency]:[Agency]]=$E266)*(ROW(TableDiv[Agency])-ROW(TableDiv[[#Headers],[Agency]])),COLUMNS($F$7:AM$7))))</f>
        <v/>
      </c>
      <c r="AN266" s="2223"/>
      <c r="AO266" s="2223"/>
      <c r="AP266" s="2223"/>
      <c r="AQ266" s="2223"/>
      <c r="AR266" s="2223"/>
      <c r="AS266" s="2223"/>
    </row>
    <row r="267" spans="1:45" ht="15" x14ac:dyDescent="0.25">
      <c r="A267" s="2219" t="s">
        <v>5116</v>
      </c>
      <c r="B267" s="2219" t="s">
        <v>6469</v>
      </c>
      <c r="C267" s="2223"/>
      <c r="D267" s="2223">
        <f>COUNTIF(TableDiv[Agency],E267)</f>
        <v>31</v>
      </c>
      <c r="E267" s="2230" t="str" cm="1">
        <f t="array" ref="E267">IFERROR(INDEX(TableDiv[Agency],MATCH(0,INDEX(COUNTIF($E$7:E266,TableDiv[Agency]),),0)),"")</f>
        <v/>
      </c>
      <c r="F267" s="2223" cm="1">
        <f t="array" ref="F267">IF($D267&lt;COLUMNS($F$7:F$7),"",INDEX(TableDiv[[GASB]:[GASB]],_xlfn.AGGREGATE(15,3,(TableDiv[[Agency]:[Agency]]=$E267)/(TableDiv[[Agency]:[Agency]]=$E267)*(ROW(TableDiv[Agency])-ROW(TableDiv[[#Headers],[Agency]])),COLUMNS($F$7:F$7))))</f>
        <v>0</v>
      </c>
      <c r="G267" s="2223" cm="1">
        <f t="array" ref="G267">IF($D267&lt;COLUMNS($F$7:G$7),"",INDEX(TableDiv[[GASB]:[GASB]],_xlfn.AGGREGATE(15,3,(TableDiv[[Agency]:[Agency]]=$E267)/(TableDiv[[Agency]:[Agency]]=$E267)*(ROW(TableDiv[Agency])-ROW(TableDiv[[#Headers],[Agency]])),COLUMNS($F$7:G$7))))</f>
        <v>0</v>
      </c>
      <c r="H267" s="2223" cm="1">
        <f t="array" ref="H267">IF($D267&lt;COLUMNS($F$7:H$7),"",INDEX(TableDiv[[GASB]:[GASB]],_xlfn.AGGREGATE(15,3,(TableDiv[[Agency]:[Agency]]=$E267)/(TableDiv[[Agency]:[Agency]]=$E267)*(ROW(TableDiv[Agency])-ROW(TableDiv[[#Headers],[Agency]])),COLUMNS($F$7:H$7))))</f>
        <v>0</v>
      </c>
      <c r="I267" s="2223" cm="1">
        <f t="array" ref="I267">IF($D267&lt;COLUMNS($F$7:I$7),"",INDEX(TableDiv[[GASB]:[GASB]],_xlfn.AGGREGATE(15,3,(TableDiv[[Agency]:[Agency]]=$E267)/(TableDiv[[Agency]:[Agency]]=$E267)*(ROW(TableDiv[Agency])-ROW(TableDiv[[#Headers],[Agency]])),COLUMNS($F$7:I$7))))</f>
        <v>0</v>
      </c>
      <c r="J267" s="2223" cm="1">
        <f t="array" ref="J267">IF($D267&lt;COLUMNS($F$7:J$7),"",INDEX(TableDiv[[GASB]:[GASB]],_xlfn.AGGREGATE(15,3,(TableDiv[[Agency]:[Agency]]=$E267)/(TableDiv[[Agency]:[Agency]]=$E267)*(ROW(TableDiv[Agency])-ROW(TableDiv[[#Headers],[Agency]])),COLUMNS($F$7:J$7))))</f>
        <v>0</v>
      </c>
      <c r="K267" s="2223" cm="1">
        <f t="array" ref="K267">IF($D267&lt;COLUMNS($F$7:K$7),"",INDEX(TableDiv[[GASB]:[GASB]],_xlfn.AGGREGATE(15,3,(TableDiv[[Agency]:[Agency]]=$E267)/(TableDiv[[Agency]:[Agency]]=$E267)*(ROW(TableDiv[Agency])-ROW(TableDiv[[#Headers],[Agency]])),COLUMNS($F$7:K$7))))</f>
        <v>0</v>
      </c>
      <c r="L267" s="2223" cm="1">
        <f t="array" ref="L267">IF($D267&lt;COLUMNS($F$7:L$7),"",INDEX(TableDiv[[GASB]:[GASB]],_xlfn.AGGREGATE(15,3,(TableDiv[[Agency]:[Agency]]=$E267)/(TableDiv[[Agency]:[Agency]]=$E267)*(ROW(TableDiv[Agency])-ROW(TableDiv[[#Headers],[Agency]])),COLUMNS($F$7:L$7))))</f>
        <v>0</v>
      </c>
      <c r="M267" s="2223" cm="1">
        <f t="array" ref="M267">IF($D267&lt;COLUMNS($F$7:M$7),"",INDEX(TableDiv[[GASB]:[GASB]],_xlfn.AGGREGATE(15,3,(TableDiv[[Agency]:[Agency]]=$E267)/(TableDiv[[Agency]:[Agency]]=$E267)*(ROW(TableDiv[Agency])-ROW(TableDiv[[#Headers],[Agency]])),COLUMNS($F$7:M$7))))</f>
        <v>0</v>
      </c>
      <c r="N267" s="2223" cm="1">
        <f t="array" ref="N267">IF($D267&lt;COLUMNS($F$7:N$7),"",INDEX(TableDiv[[GASB]:[GASB]],_xlfn.AGGREGATE(15,3,(TableDiv[[Agency]:[Agency]]=$E267)/(TableDiv[[Agency]:[Agency]]=$E267)*(ROW(TableDiv[Agency])-ROW(TableDiv[[#Headers],[Agency]])),COLUMNS($F$7:N$7))))</f>
        <v>0</v>
      </c>
      <c r="O267" s="2223" cm="1">
        <f t="array" ref="O267">IF($D267&lt;COLUMNS($F$7:O$7),"",INDEX(TableDiv[[GASB]:[GASB]],_xlfn.AGGREGATE(15,3,(TableDiv[[Agency]:[Agency]]=$E267)/(TableDiv[[Agency]:[Agency]]=$E267)*(ROW(TableDiv[Agency])-ROW(TableDiv[[#Headers],[Agency]])),COLUMNS($F$7:O$7))))</f>
        <v>0</v>
      </c>
      <c r="P267" s="2223" cm="1">
        <f t="array" ref="P267">IF($D267&lt;COLUMNS($F$7:P$7),"",INDEX(TableDiv[[GASB]:[GASB]],_xlfn.AGGREGATE(15,3,(TableDiv[[Agency]:[Agency]]=$E267)/(TableDiv[[Agency]:[Agency]]=$E267)*(ROW(TableDiv[Agency])-ROW(TableDiv[[#Headers],[Agency]])),COLUMNS($F$7:P$7))))</f>
        <v>0</v>
      </c>
      <c r="Q267" s="2223" cm="1">
        <f t="array" ref="Q267">IF($D267&lt;COLUMNS($F$7:Q$7),"",INDEX(TableDiv[[GASB]:[GASB]],_xlfn.AGGREGATE(15,3,(TableDiv[[Agency]:[Agency]]=$E267)/(TableDiv[[Agency]:[Agency]]=$E267)*(ROW(TableDiv[Agency])-ROW(TableDiv[[#Headers],[Agency]])),COLUMNS($F$7:Q$7))))</f>
        <v>0</v>
      </c>
      <c r="R267" s="2223" cm="1">
        <f t="array" ref="R267">IF($D267&lt;COLUMNS($F$7:R$7),"",INDEX(TableDiv[[GASB]:[GASB]],_xlfn.AGGREGATE(15,3,(TableDiv[[Agency]:[Agency]]=$E267)/(TableDiv[[Agency]:[Agency]]=$E267)*(ROW(TableDiv[Agency])-ROW(TableDiv[[#Headers],[Agency]])),COLUMNS($F$7:R$7))))</f>
        <v>0</v>
      </c>
      <c r="S267" s="2223" cm="1">
        <f t="array" ref="S267">IF($D267&lt;COLUMNS($F$7:S$7),"",INDEX(TableDiv[[GASB]:[GASB]],_xlfn.AGGREGATE(15,3,(TableDiv[[Agency]:[Agency]]=$E267)/(TableDiv[[Agency]:[Agency]]=$E267)*(ROW(TableDiv[Agency])-ROW(TableDiv[[#Headers],[Agency]])),COLUMNS($F$7:S$7))))</f>
        <v>0</v>
      </c>
      <c r="T267" s="2223" cm="1">
        <f t="array" ref="T267">IF($D267&lt;COLUMNS($F$7:T$7),"",INDEX(TableDiv[[GASB]:[GASB]],_xlfn.AGGREGATE(15,3,(TableDiv[[Agency]:[Agency]]=$E267)/(TableDiv[[Agency]:[Agency]]=$E267)*(ROW(TableDiv[Agency])-ROW(TableDiv[[#Headers],[Agency]])),COLUMNS($F$7:T$7))))</f>
        <v>0</v>
      </c>
      <c r="U267" s="2223" cm="1">
        <f t="array" ref="U267">IF($D267&lt;COLUMNS($F$7:U$7),"",INDEX(TableDiv[[GASB]:[GASB]],_xlfn.AGGREGATE(15,3,(TableDiv[[Agency]:[Agency]]=$E267)/(TableDiv[[Agency]:[Agency]]=$E267)*(ROW(TableDiv[Agency])-ROW(TableDiv[[#Headers],[Agency]])),COLUMNS($F$7:U$7))))</f>
        <v>0</v>
      </c>
      <c r="V267" s="2223" cm="1">
        <f t="array" ref="V267">IF($D267&lt;COLUMNS($F$7:V$7),"",INDEX(TableDiv[[GASB]:[GASB]],_xlfn.AGGREGATE(15,3,(TableDiv[[Agency]:[Agency]]=$E267)/(TableDiv[[Agency]:[Agency]]=$E267)*(ROW(TableDiv[Agency])-ROW(TableDiv[[#Headers],[Agency]])),COLUMNS($F$7:V$7))))</f>
        <v>0</v>
      </c>
      <c r="W267" s="2223" cm="1">
        <f t="array" ref="W267">IF($D267&lt;COLUMNS($F$7:W$7),"",INDEX(TableDiv[[GASB]:[GASB]],_xlfn.AGGREGATE(15,3,(TableDiv[[Agency]:[Agency]]=$E267)/(TableDiv[[Agency]:[Agency]]=$E267)*(ROW(TableDiv[Agency])-ROW(TableDiv[[#Headers],[Agency]])),COLUMNS($F$7:W$7))))</f>
        <v>0</v>
      </c>
      <c r="X267" s="2223" cm="1">
        <f t="array" ref="X267">IF($D267&lt;COLUMNS($F$7:X$7),"",INDEX(TableDiv[[GASB]:[GASB]],_xlfn.AGGREGATE(15,3,(TableDiv[[Agency]:[Agency]]=$E267)/(TableDiv[[Agency]:[Agency]]=$E267)*(ROW(TableDiv[Agency])-ROW(TableDiv[[#Headers],[Agency]])),COLUMNS($F$7:X$7))))</f>
        <v>0</v>
      </c>
      <c r="Y267" s="2223" cm="1">
        <f t="array" ref="Y267">IF($D267&lt;COLUMNS($F$7:Y$7),"",INDEX(TableDiv[[GASB]:[GASB]],_xlfn.AGGREGATE(15,3,(TableDiv[[Agency]:[Agency]]=$E267)/(TableDiv[[Agency]:[Agency]]=$E267)*(ROW(TableDiv[Agency])-ROW(TableDiv[[#Headers],[Agency]])),COLUMNS($F$7:Y$7))))</f>
        <v>0</v>
      </c>
      <c r="Z267" s="2223" cm="1">
        <f t="array" ref="Z267">IF($D267&lt;COLUMNS($F$7:Z$7),"",INDEX(TableDiv[[GASB]:[GASB]],_xlfn.AGGREGATE(15,3,(TableDiv[[Agency]:[Agency]]=$E267)/(TableDiv[[Agency]:[Agency]]=$E267)*(ROW(TableDiv[Agency])-ROW(TableDiv[[#Headers],[Agency]])),COLUMNS($F$7:Z$7))))</f>
        <v>0</v>
      </c>
      <c r="AA267" s="2223" cm="1">
        <f t="array" ref="AA267">IF($D267&lt;COLUMNS($F$7:AA$7),"",INDEX(TableDiv[[GASB]:[GASB]],_xlfn.AGGREGATE(15,3,(TableDiv[[Agency]:[Agency]]=$E267)/(TableDiv[[Agency]:[Agency]]=$E267)*(ROW(TableDiv[Agency])-ROW(TableDiv[[#Headers],[Agency]])),COLUMNS($F$7:AA$7))))</f>
        <v>0</v>
      </c>
      <c r="AB267" s="2223" cm="1">
        <f t="array" ref="AB267">IF($D267&lt;COLUMNS($F$7:AB$7),"",INDEX(TableDiv[[GASB]:[GASB]],_xlfn.AGGREGATE(15,3,(TableDiv[[Agency]:[Agency]]=$E267)/(TableDiv[[Agency]:[Agency]]=$E267)*(ROW(TableDiv[Agency])-ROW(TableDiv[[#Headers],[Agency]])),COLUMNS($F$7:AB$7))))</f>
        <v>0</v>
      </c>
      <c r="AC267" s="2223" cm="1">
        <f t="array" ref="AC267">IF($D267&lt;COLUMNS($F$7:AC$7),"",INDEX(TableDiv[[GASB]:[GASB]],_xlfn.AGGREGATE(15,3,(TableDiv[[Agency]:[Agency]]=$E267)/(TableDiv[[Agency]:[Agency]]=$E267)*(ROW(TableDiv[Agency])-ROW(TableDiv[[#Headers],[Agency]])),COLUMNS($F$7:AC$7))))</f>
        <v>0</v>
      </c>
      <c r="AD267" s="2223" cm="1">
        <f t="array" ref="AD267">IF($D267&lt;COLUMNS($F$7:AD$7),"",INDEX(TableDiv[[GASB]:[GASB]],_xlfn.AGGREGATE(15,3,(TableDiv[[Agency]:[Agency]]=$E267)/(TableDiv[[Agency]:[Agency]]=$E267)*(ROW(TableDiv[Agency])-ROW(TableDiv[[#Headers],[Agency]])),COLUMNS($F$7:AD$7))))</f>
        <v>0</v>
      </c>
      <c r="AE267" s="2223" cm="1">
        <f t="array" ref="AE267">IF($D267&lt;COLUMNS($F$7:AE$7),"",INDEX(TableDiv[[GASB]:[GASB]],_xlfn.AGGREGATE(15,3,(TableDiv[[Agency]:[Agency]]=$E267)/(TableDiv[[Agency]:[Agency]]=$E267)*(ROW(TableDiv[Agency])-ROW(TableDiv[[#Headers],[Agency]])),COLUMNS($F$7:AE$7))))</f>
        <v>0</v>
      </c>
      <c r="AF267" s="2223" cm="1">
        <f t="array" ref="AF267">IF($D267&lt;COLUMNS($F$7:AF$7),"",INDEX(TableDiv[[GASB]:[GASB]],_xlfn.AGGREGATE(15,3,(TableDiv[[Agency]:[Agency]]=$E267)/(TableDiv[[Agency]:[Agency]]=$E267)*(ROW(TableDiv[Agency])-ROW(TableDiv[[#Headers],[Agency]])),COLUMNS($F$7:AF$7))))</f>
        <v>0</v>
      </c>
      <c r="AG267" s="2223" cm="1">
        <f t="array" ref="AG267">IF($D267&lt;COLUMNS($F$7:AG$7),"",INDEX(TableDiv[[GASB]:[GASB]],_xlfn.AGGREGATE(15,3,(TableDiv[[Agency]:[Agency]]=$E267)/(TableDiv[[Agency]:[Agency]]=$E267)*(ROW(TableDiv[Agency])-ROW(TableDiv[[#Headers],[Agency]])),COLUMNS($F$7:AG$7))))</f>
        <v>0</v>
      </c>
      <c r="AH267" s="2223" cm="1">
        <f t="array" ref="AH267">IF($D267&lt;COLUMNS($F$7:AH$7),"",INDEX(TableDiv[[GASB]:[GASB]],_xlfn.AGGREGATE(15,3,(TableDiv[[Agency]:[Agency]]=$E267)/(TableDiv[[Agency]:[Agency]]=$E267)*(ROW(TableDiv[Agency])-ROW(TableDiv[[#Headers],[Agency]])),COLUMNS($F$7:AH$7))))</f>
        <v>0</v>
      </c>
      <c r="AI267" s="2223" cm="1">
        <f t="array" ref="AI267">IF($D267&lt;COLUMNS($F$7:AI$7),"",INDEX(TableDiv[[GASB]:[GASB]],_xlfn.AGGREGATE(15,3,(TableDiv[[Agency]:[Agency]]=$E267)/(TableDiv[[Agency]:[Agency]]=$E267)*(ROW(TableDiv[Agency])-ROW(TableDiv[[#Headers],[Agency]])),COLUMNS($F$7:AI$7))))</f>
        <v>0</v>
      </c>
      <c r="AJ267" s="2223" cm="1">
        <f t="array" ref="AJ267">IF($D267&lt;COLUMNS($F$7:AJ$7),"",INDEX(TableDiv[[GASB]:[GASB]],_xlfn.AGGREGATE(15,3,(TableDiv[[Agency]:[Agency]]=$E267)/(TableDiv[[Agency]:[Agency]]=$E267)*(ROW(TableDiv[Agency])-ROW(TableDiv[[#Headers],[Agency]])),COLUMNS($F$7:AJ$7))))</f>
        <v>0</v>
      </c>
      <c r="AK267" s="2223" t="str" cm="1">
        <f t="array" ref="AK267">IF($D267&lt;COLUMNS($F$7:AK$7),"",INDEX(TableDiv[[GASB]:[GASB]],_xlfn.AGGREGATE(15,3,(TableDiv[[Agency]:[Agency]]=$E267)/(TableDiv[[Agency]:[Agency]]=$E267)*(ROW(TableDiv[Agency])-ROW(TableDiv[[#Headers],[Agency]])),COLUMNS($F$7:AK$7))))</f>
        <v/>
      </c>
      <c r="AL267" s="2223" t="str" cm="1">
        <f t="array" ref="AL267">IF($D267&lt;COLUMNS($F$7:AL$7),"",INDEX(TableDiv[[GASB]:[GASB]],_xlfn.AGGREGATE(15,3,(TableDiv[[Agency]:[Agency]]=$E267)/(TableDiv[[Agency]:[Agency]]=$E267)*(ROW(TableDiv[Agency])-ROW(TableDiv[[#Headers],[Agency]])),COLUMNS($F$7:AL$7))))</f>
        <v/>
      </c>
      <c r="AM267" s="2223" t="str" cm="1">
        <f t="array" ref="AM267">IF($D267&lt;COLUMNS($F$7:AM$7),"",INDEX(TableDiv[[GASB]:[GASB]],_xlfn.AGGREGATE(15,3,(TableDiv[[Agency]:[Agency]]=$E267)/(TableDiv[[Agency]:[Agency]]=$E267)*(ROW(TableDiv[Agency])-ROW(TableDiv[[#Headers],[Agency]])),COLUMNS($F$7:AM$7))))</f>
        <v/>
      </c>
      <c r="AN267" s="2223"/>
      <c r="AO267" s="2223"/>
      <c r="AP267" s="2223"/>
      <c r="AQ267" s="2223"/>
      <c r="AR267" s="2223"/>
      <c r="AS267" s="2223"/>
    </row>
    <row r="268" spans="1:45" ht="15" x14ac:dyDescent="0.25">
      <c r="A268" s="2219" t="s">
        <v>5116</v>
      </c>
      <c r="B268" s="2219" t="s">
        <v>6470</v>
      </c>
      <c r="C268" s="2223"/>
      <c r="D268" s="2223">
        <f>COUNTIF(TableDiv[Agency],E268)</f>
        <v>31</v>
      </c>
      <c r="E268" s="2230" t="str" cm="1">
        <f t="array" ref="E268">IFERROR(INDEX(TableDiv[Agency],MATCH(0,INDEX(COUNTIF($E$7:E267,TableDiv[Agency]),),0)),"")</f>
        <v/>
      </c>
      <c r="F268" s="2223" cm="1">
        <f t="array" ref="F268">IF($D268&lt;COLUMNS($F$7:F$7),"",INDEX(TableDiv[[GASB]:[GASB]],_xlfn.AGGREGATE(15,3,(TableDiv[[Agency]:[Agency]]=$E268)/(TableDiv[[Agency]:[Agency]]=$E268)*(ROW(TableDiv[Agency])-ROW(TableDiv[[#Headers],[Agency]])),COLUMNS($F$7:F$7))))</f>
        <v>0</v>
      </c>
      <c r="G268" s="2223" cm="1">
        <f t="array" ref="G268">IF($D268&lt;COLUMNS($F$7:G$7),"",INDEX(TableDiv[[GASB]:[GASB]],_xlfn.AGGREGATE(15,3,(TableDiv[[Agency]:[Agency]]=$E268)/(TableDiv[[Agency]:[Agency]]=$E268)*(ROW(TableDiv[Agency])-ROW(TableDiv[[#Headers],[Agency]])),COLUMNS($F$7:G$7))))</f>
        <v>0</v>
      </c>
      <c r="H268" s="2223" cm="1">
        <f t="array" ref="H268">IF($D268&lt;COLUMNS($F$7:H$7),"",INDEX(TableDiv[[GASB]:[GASB]],_xlfn.AGGREGATE(15,3,(TableDiv[[Agency]:[Agency]]=$E268)/(TableDiv[[Agency]:[Agency]]=$E268)*(ROW(TableDiv[Agency])-ROW(TableDiv[[#Headers],[Agency]])),COLUMNS($F$7:H$7))))</f>
        <v>0</v>
      </c>
      <c r="I268" s="2223" cm="1">
        <f t="array" ref="I268">IF($D268&lt;COLUMNS($F$7:I$7),"",INDEX(TableDiv[[GASB]:[GASB]],_xlfn.AGGREGATE(15,3,(TableDiv[[Agency]:[Agency]]=$E268)/(TableDiv[[Agency]:[Agency]]=$E268)*(ROW(TableDiv[Agency])-ROW(TableDiv[[#Headers],[Agency]])),COLUMNS($F$7:I$7))))</f>
        <v>0</v>
      </c>
      <c r="J268" s="2223" cm="1">
        <f t="array" ref="J268">IF($D268&lt;COLUMNS($F$7:J$7),"",INDEX(TableDiv[[GASB]:[GASB]],_xlfn.AGGREGATE(15,3,(TableDiv[[Agency]:[Agency]]=$E268)/(TableDiv[[Agency]:[Agency]]=$E268)*(ROW(TableDiv[Agency])-ROW(TableDiv[[#Headers],[Agency]])),COLUMNS($F$7:J$7))))</f>
        <v>0</v>
      </c>
      <c r="K268" s="2223" cm="1">
        <f t="array" ref="K268">IF($D268&lt;COLUMNS($F$7:K$7),"",INDEX(TableDiv[[GASB]:[GASB]],_xlfn.AGGREGATE(15,3,(TableDiv[[Agency]:[Agency]]=$E268)/(TableDiv[[Agency]:[Agency]]=$E268)*(ROW(TableDiv[Agency])-ROW(TableDiv[[#Headers],[Agency]])),COLUMNS($F$7:K$7))))</f>
        <v>0</v>
      </c>
      <c r="L268" s="2223" cm="1">
        <f t="array" ref="L268">IF($D268&lt;COLUMNS($F$7:L$7),"",INDEX(TableDiv[[GASB]:[GASB]],_xlfn.AGGREGATE(15,3,(TableDiv[[Agency]:[Agency]]=$E268)/(TableDiv[[Agency]:[Agency]]=$E268)*(ROW(TableDiv[Agency])-ROW(TableDiv[[#Headers],[Agency]])),COLUMNS($F$7:L$7))))</f>
        <v>0</v>
      </c>
      <c r="M268" s="2223" cm="1">
        <f t="array" ref="M268">IF($D268&lt;COLUMNS($F$7:M$7),"",INDEX(TableDiv[[GASB]:[GASB]],_xlfn.AGGREGATE(15,3,(TableDiv[[Agency]:[Agency]]=$E268)/(TableDiv[[Agency]:[Agency]]=$E268)*(ROW(TableDiv[Agency])-ROW(TableDiv[[#Headers],[Agency]])),COLUMNS($F$7:M$7))))</f>
        <v>0</v>
      </c>
      <c r="N268" s="2223" cm="1">
        <f t="array" ref="N268">IF($D268&lt;COLUMNS($F$7:N$7),"",INDEX(TableDiv[[GASB]:[GASB]],_xlfn.AGGREGATE(15,3,(TableDiv[[Agency]:[Agency]]=$E268)/(TableDiv[[Agency]:[Agency]]=$E268)*(ROW(TableDiv[Agency])-ROW(TableDiv[[#Headers],[Agency]])),COLUMNS($F$7:N$7))))</f>
        <v>0</v>
      </c>
      <c r="O268" s="2223" cm="1">
        <f t="array" ref="O268">IF($D268&lt;COLUMNS($F$7:O$7),"",INDEX(TableDiv[[GASB]:[GASB]],_xlfn.AGGREGATE(15,3,(TableDiv[[Agency]:[Agency]]=$E268)/(TableDiv[[Agency]:[Agency]]=$E268)*(ROW(TableDiv[Agency])-ROW(TableDiv[[#Headers],[Agency]])),COLUMNS($F$7:O$7))))</f>
        <v>0</v>
      </c>
      <c r="P268" s="2223" cm="1">
        <f t="array" ref="P268">IF($D268&lt;COLUMNS($F$7:P$7),"",INDEX(TableDiv[[GASB]:[GASB]],_xlfn.AGGREGATE(15,3,(TableDiv[[Agency]:[Agency]]=$E268)/(TableDiv[[Agency]:[Agency]]=$E268)*(ROW(TableDiv[Agency])-ROW(TableDiv[[#Headers],[Agency]])),COLUMNS($F$7:P$7))))</f>
        <v>0</v>
      </c>
      <c r="Q268" s="2223" cm="1">
        <f t="array" ref="Q268">IF($D268&lt;COLUMNS($F$7:Q$7),"",INDEX(TableDiv[[GASB]:[GASB]],_xlfn.AGGREGATE(15,3,(TableDiv[[Agency]:[Agency]]=$E268)/(TableDiv[[Agency]:[Agency]]=$E268)*(ROW(TableDiv[Agency])-ROW(TableDiv[[#Headers],[Agency]])),COLUMNS($F$7:Q$7))))</f>
        <v>0</v>
      </c>
      <c r="R268" s="2223" cm="1">
        <f t="array" ref="R268">IF($D268&lt;COLUMNS($F$7:R$7),"",INDEX(TableDiv[[GASB]:[GASB]],_xlfn.AGGREGATE(15,3,(TableDiv[[Agency]:[Agency]]=$E268)/(TableDiv[[Agency]:[Agency]]=$E268)*(ROW(TableDiv[Agency])-ROW(TableDiv[[#Headers],[Agency]])),COLUMNS($F$7:R$7))))</f>
        <v>0</v>
      </c>
      <c r="S268" s="2223" cm="1">
        <f t="array" ref="S268">IF($D268&lt;COLUMNS($F$7:S$7),"",INDEX(TableDiv[[GASB]:[GASB]],_xlfn.AGGREGATE(15,3,(TableDiv[[Agency]:[Agency]]=$E268)/(TableDiv[[Agency]:[Agency]]=$E268)*(ROW(TableDiv[Agency])-ROW(TableDiv[[#Headers],[Agency]])),COLUMNS($F$7:S$7))))</f>
        <v>0</v>
      </c>
      <c r="T268" s="2223" cm="1">
        <f t="array" ref="T268">IF($D268&lt;COLUMNS($F$7:T$7),"",INDEX(TableDiv[[GASB]:[GASB]],_xlfn.AGGREGATE(15,3,(TableDiv[[Agency]:[Agency]]=$E268)/(TableDiv[[Agency]:[Agency]]=$E268)*(ROW(TableDiv[Agency])-ROW(TableDiv[[#Headers],[Agency]])),COLUMNS($F$7:T$7))))</f>
        <v>0</v>
      </c>
      <c r="U268" s="2223" cm="1">
        <f t="array" ref="U268">IF($D268&lt;COLUMNS($F$7:U$7),"",INDEX(TableDiv[[GASB]:[GASB]],_xlfn.AGGREGATE(15,3,(TableDiv[[Agency]:[Agency]]=$E268)/(TableDiv[[Agency]:[Agency]]=$E268)*(ROW(TableDiv[Agency])-ROW(TableDiv[[#Headers],[Agency]])),COLUMNS($F$7:U$7))))</f>
        <v>0</v>
      </c>
      <c r="V268" s="2223" cm="1">
        <f t="array" ref="V268">IF($D268&lt;COLUMNS($F$7:V$7),"",INDEX(TableDiv[[GASB]:[GASB]],_xlfn.AGGREGATE(15,3,(TableDiv[[Agency]:[Agency]]=$E268)/(TableDiv[[Agency]:[Agency]]=$E268)*(ROW(TableDiv[Agency])-ROW(TableDiv[[#Headers],[Agency]])),COLUMNS($F$7:V$7))))</f>
        <v>0</v>
      </c>
      <c r="W268" s="2223" cm="1">
        <f t="array" ref="W268">IF($D268&lt;COLUMNS($F$7:W$7),"",INDEX(TableDiv[[GASB]:[GASB]],_xlfn.AGGREGATE(15,3,(TableDiv[[Agency]:[Agency]]=$E268)/(TableDiv[[Agency]:[Agency]]=$E268)*(ROW(TableDiv[Agency])-ROW(TableDiv[[#Headers],[Agency]])),COLUMNS($F$7:W$7))))</f>
        <v>0</v>
      </c>
      <c r="X268" s="2223" cm="1">
        <f t="array" ref="X268">IF($D268&lt;COLUMNS($F$7:X$7),"",INDEX(TableDiv[[GASB]:[GASB]],_xlfn.AGGREGATE(15,3,(TableDiv[[Agency]:[Agency]]=$E268)/(TableDiv[[Agency]:[Agency]]=$E268)*(ROW(TableDiv[Agency])-ROW(TableDiv[[#Headers],[Agency]])),COLUMNS($F$7:X$7))))</f>
        <v>0</v>
      </c>
      <c r="Y268" s="2223" cm="1">
        <f t="array" ref="Y268">IF($D268&lt;COLUMNS($F$7:Y$7),"",INDEX(TableDiv[[GASB]:[GASB]],_xlfn.AGGREGATE(15,3,(TableDiv[[Agency]:[Agency]]=$E268)/(TableDiv[[Agency]:[Agency]]=$E268)*(ROW(TableDiv[Agency])-ROW(TableDiv[[#Headers],[Agency]])),COLUMNS($F$7:Y$7))))</f>
        <v>0</v>
      </c>
      <c r="Z268" s="2223" cm="1">
        <f t="array" ref="Z268">IF($D268&lt;COLUMNS($F$7:Z$7),"",INDEX(TableDiv[[GASB]:[GASB]],_xlfn.AGGREGATE(15,3,(TableDiv[[Agency]:[Agency]]=$E268)/(TableDiv[[Agency]:[Agency]]=$E268)*(ROW(TableDiv[Agency])-ROW(TableDiv[[#Headers],[Agency]])),COLUMNS($F$7:Z$7))))</f>
        <v>0</v>
      </c>
      <c r="AA268" s="2223" cm="1">
        <f t="array" ref="AA268">IF($D268&lt;COLUMNS($F$7:AA$7),"",INDEX(TableDiv[[GASB]:[GASB]],_xlfn.AGGREGATE(15,3,(TableDiv[[Agency]:[Agency]]=$E268)/(TableDiv[[Agency]:[Agency]]=$E268)*(ROW(TableDiv[Agency])-ROW(TableDiv[[#Headers],[Agency]])),COLUMNS($F$7:AA$7))))</f>
        <v>0</v>
      </c>
      <c r="AB268" s="2223" cm="1">
        <f t="array" ref="AB268">IF($D268&lt;COLUMNS($F$7:AB$7),"",INDEX(TableDiv[[GASB]:[GASB]],_xlfn.AGGREGATE(15,3,(TableDiv[[Agency]:[Agency]]=$E268)/(TableDiv[[Agency]:[Agency]]=$E268)*(ROW(TableDiv[Agency])-ROW(TableDiv[[#Headers],[Agency]])),COLUMNS($F$7:AB$7))))</f>
        <v>0</v>
      </c>
      <c r="AC268" s="2223" cm="1">
        <f t="array" ref="AC268">IF($D268&lt;COLUMNS($F$7:AC$7),"",INDEX(TableDiv[[GASB]:[GASB]],_xlfn.AGGREGATE(15,3,(TableDiv[[Agency]:[Agency]]=$E268)/(TableDiv[[Agency]:[Agency]]=$E268)*(ROW(TableDiv[Agency])-ROW(TableDiv[[#Headers],[Agency]])),COLUMNS($F$7:AC$7))))</f>
        <v>0</v>
      </c>
      <c r="AD268" s="2223" cm="1">
        <f t="array" ref="AD268">IF($D268&lt;COLUMNS($F$7:AD$7),"",INDEX(TableDiv[[GASB]:[GASB]],_xlfn.AGGREGATE(15,3,(TableDiv[[Agency]:[Agency]]=$E268)/(TableDiv[[Agency]:[Agency]]=$E268)*(ROW(TableDiv[Agency])-ROW(TableDiv[[#Headers],[Agency]])),COLUMNS($F$7:AD$7))))</f>
        <v>0</v>
      </c>
      <c r="AE268" s="2223" cm="1">
        <f t="array" ref="AE268">IF($D268&lt;COLUMNS($F$7:AE$7),"",INDEX(TableDiv[[GASB]:[GASB]],_xlfn.AGGREGATE(15,3,(TableDiv[[Agency]:[Agency]]=$E268)/(TableDiv[[Agency]:[Agency]]=$E268)*(ROW(TableDiv[Agency])-ROW(TableDiv[[#Headers],[Agency]])),COLUMNS($F$7:AE$7))))</f>
        <v>0</v>
      </c>
      <c r="AF268" s="2223" cm="1">
        <f t="array" ref="AF268">IF($D268&lt;COLUMNS($F$7:AF$7),"",INDEX(TableDiv[[GASB]:[GASB]],_xlfn.AGGREGATE(15,3,(TableDiv[[Agency]:[Agency]]=$E268)/(TableDiv[[Agency]:[Agency]]=$E268)*(ROW(TableDiv[Agency])-ROW(TableDiv[[#Headers],[Agency]])),COLUMNS($F$7:AF$7))))</f>
        <v>0</v>
      </c>
      <c r="AG268" s="2223" cm="1">
        <f t="array" ref="AG268">IF($D268&lt;COLUMNS($F$7:AG$7),"",INDEX(TableDiv[[GASB]:[GASB]],_xlfn.AGGREGATE(15,3,(TableDiv[[Agency]:[Agency]]=$E268)/(TableDiv[[Agency]:[Agency]]=$E268)*(ROW(TableDiv[Agency])-ROW(TableDiv[[#Headers],[Agency]])),COLUMNS($F$7:AG$7))))</f>
        <v>0</v>
      </c>
      <c r="AH268" s="2223" cm="1">
        <f t="array" ref="AH268">IF($D268&lt;COLUMNS($F$7:AH$7),"",INDEX(TableDiv[[GASB]:[GASB]],_xlfn.AGGREGATE(15,3,(TableDiv[[Agency]:[Agency]]=$E268)/(TableDiv[[Agency]:[Agency]]=$E268)*(ROW(TableDiv[Agency])-ROW(TableDiv[[#Headers],[Agency]])),COLUMNS($F$7:AH$7))))</f>
        <v>0</v>
      </c>
      <c r="AI268" s="2223" cm="1">
        <f t="array" ref="AI268">IF($D268&lt;COLUMNS($F$7:AI$7),"",INDEX(TableDiv[[GASB]:[GASB]],_xlfn.AGGREGATE(15,3,(TableDiv[[Agency]:[Agency]]=$E268)/(TableDiv[[Agency]:[Agency]]=$E268)*(ROW(TableDiv[Agency])-ROW(TableDiv[[#Headers],[Agency]])),COLUMNS($F$7:AI$7))))</f>
        <v>0</v>
      </c>
      <c r="AJ268" s="2223" cm="1">
        <f t="array" ref="AJ268">IF($D268&lt;COLUMNS($F$7:AJ$7),"",INDEX(TableDiv[[GASB]:[GASB]],_xlfn.AGGREGATE(15,3,(TableDiv[[Agency]:[Agency]]=$E268)/(TableDiv[[Agency]:[Agency]]=$E268)*(ROW(TableDiv[Agency])-ROW(TableDiv[[#Headers],[Agency]])),COLUMNS($F$7:AJ$7))))</f>
        <v>0</v>
      </c>
      <c r="AK268" s="2223" t="str" cm="1">
        <f t="array" ref="AK268">IF($D268&lt;COLUMNS($F$7:AK$7),"",INDEX(TableDiv[[GASB]:[GASB]],_xlfn.AGGREGATE(15,3,(TableDiv[[Agency]:[Agency]]=$E268)/(TableDiv[[Agency]:[Agency]]=$E268)*(ROW(TableDiv[Agency])-ROW(TableDiv[[#Headers],[Agency]])),COLUMNS($F$7:AK$7))))</f>
        <v/>
      </c>
      <c r="AL268" s="2223" t="str" cm="1">
        <f t="array" ref="AL268">IF($D268&lt;COLUMNS($F$7:AL$7),"",INDEX(TableDiv[[GASB]:[GASB]],_xlfn.AGGREGATE(15,3,(TableDiv[[Agency]:[Agency]]=$E268)/(TableDiv[[Agency]:[Agency]]=$E268)*(ROW(TableDiv[Agency])-ROW(TableDiv[[#Headers],[Agency]])),COLUMNS($F$7:AL$7))))</f>
        <v/>
      </c>
      <c r="AM268" s="2223" t="str" cm="1">
        <f t="array" ref="AM268">IF($D268&lt;COLUMNS($F$7:AM$7),"",INDEX(TableDiv[[GASB]:[GASB]],_xlfn.AGGREGATE(15,3,(TableDiv[[Agency]:[Agency]]=$E268)/(TableDiv[[Agency]:[Agency]]=$E268)*(ROW(TableDiv[Agency])-ROW(TableDiv[[#Headers],[Agency]])),COLUMNS($F$7:AM$7))))</f>
        <v/>
      </c>
      <c r="AN268" s="2223"/>
      <c r="AO268" s="2223"/>
      <c r="AP268" s="2223"/>
      <c r="AQ268" s="2223"/>
      <c r="AR268" s="2223"/>
      <c r="AS268" s="2223"/>
    </row>
    <row r="269" spans="1:45" ht="15" x14ac:dyDescent="0.25">
      <c r="A269" s="2219" t="s">
        <v>5117</v>
      </c>
      <c r="B269" s="2219" t="s">
        <v>6357</v>
      </c>
      <c r="C269" s="2223"/>
      <c r="D269" s="2223">
        <f>COUNTIF(TableDiv[Agency],E269)</f>
        <v>31</v>
      </c>
      <c r="E269" s="2230" t="str" cm="1">
        <f t="array" ref="E269">IFERROR(INDEX(TableDiv[Agency],MATCH(0,INDEX(COUNTIF($E$7:E268,TableDiv[Agency]),),0)),"")</f>
        <v/>
      </c>
      <c r="F269" s="2223" cm="1">
        <f t="array" ref="F269">IF($D269&lt;COLUMNS($F$7:F$7),"",INDEX(TableDiv[[GASB]:[GASB]],_xlfn.AGGREGATE(15,3,(TableDiv[[Agency]:[Agency]]=$E269)/(TableDiv[[Agency]:[Agency]]=$E269)*(ROW(TableDiv[Agency])-ROW(TableDiv[[#Headers],[Agency]])),COLUMNS($F$7:F$7))))</f>
        <v>0</v>
      </c>
      <c r="G269" s="2223" cm="1">
        <f t="array" ref="G269">IF($D269&lt;COLUMNS($F$7:G$7),"",INDEX(TableDiv[[GASB]:[GASB]],_xlfn.AGGREGATE(15,3,(TableDiv[[Agency]:[Agency]]=$E269)/(TableDiv[[Agency]:[Agency]]=$E269)*(ROW(TableDiv[Agency])-ROW(TableDiv[[#Headers],[Agency]])),COLUMNS($F$7:G$7))))</f>
        <v>0</v>
      </c>
      <c r="H269" s="2223" cm="1">
        <f t="array" ref="H269">IF($D269&lt;COLUMNS($F$7:H$7),"",INDEX(TableDiv[[GASB]:[GASB]],_xlfn.AGGREGATE(15,3,(TableDiv[[Agency]:[Agency]]=$E269)/(TableDiv[[Agency]:[Agency]]=$E269)*(ROW(TableDiv[Agency])-ROW(TableDiv[[#Headers],[Agency]])),COLUMNS($F$7:H$7))))</f>
        <v>0</v>
      </c>
      <c r="I269" s="2223" cm="1">
        <f t="array" ref="I269">IF($D269&lt;COLUMNS($F$7:I$7),"",INDEX(TableDiv[[GASB]:[GASB]],_xlfn.AGGREGATE(15,3,(TableDiv[[Agency]:[Agency]]=$E269)/(TableDiv[[Agency]:[Agency]]=$E269)*(ROW(TableDiv[Agency])-ROW(TableDiv[[#Headers],[Agency]])),COLUMNS($F$7:I$7))))</f>
        <v>0</v>
      </c>
      <c r="J269" s="2223" cm="1">
        <f t="array" ref="J269">IF($D269&lt;COLUMNS($F$7:J$7),"",INDEX(TableDiv[[GASB]:[GASB]],_xlfn.AGGREGATE(15,3,(TableDiv[[Agency]:[Agency]]=$E269)/(TableDiv[[Agency]:[Agency]]=$E269)*(ROW(TableDiv[Agency])-ROW(TableDiv[[#Headers],[Agency]])),COLUMNS($F$7:J$7))))</f>
        <v>0</v>
      </c>
      <c r="K269" s="2223" cm="1">
        <f t="array" ref="K269">IF($D269&lt;COLUMNS($F$7:K$7),"",INDEX(TableDiv[[GASB]:[GASB]],_xlfn.AGGREGATE(15,3,(TableDiv[[Agency]:[Agency]]=$E269)/(TableDiv[[Agency]:[Agency]]=$E269)*(ROW(TableDiv[Agency])-ROW(TableDiv[[#Headers],[Agency]])),COLUMNS($F$7:K$7))))</f>
        <v>0</v>
      </c>
      <c r="L269" s="2223" cm="1">
        <f t="array" ref="L269">IF($D269&lt;COLUMNS($F$7:L$7),"",INDEX(TableDiv[[GASB]:[GASB]],_xlfn.AGGREGATE(15,3,(TableDiv[[Agency]:[Agency]]=$E269)/(TableDiv[[Agency]:[Agency]]=$E269)*(ROW(TableDiv[Agency])-ROW(TableDiv[[#Headers],[Agency]])),COLUMNS($F$7:L$7))))</f>
        <v>0</v>
      </c>
      <c r="M269" s="2223" cm="1">
        <f t="array" ref="M269">IF($D269&lt;COLUMNS($F$7:M$7),"",INDEX(TableDiv[[GASB]:[GASB]],_xlfn.AGGREGATE(15,3,(TableDiv[[Agency]:[Agency]]=$E269)/(TableDiv[[Agency]:[Agency]]=$E269)*(ROW(TableDiv[Agency])-ROW(TableDiv[[#Headers],[Agency]])),COLUMNS($F$7:M$7))))</f>
        <v>0</v>
      </c>
      <c r="N269" s="2223" cm="1">
        <f t="array" ref="N269">IF($D269&lt;COLUMNS($F$7:N$7),"",INDEX(TableDiv[[GASB]:[GASB]],_xlfn.AGGREGATE(15,3,(TableDiv[[Agency]:[Agency]]=$E269)/(TableDiv[[Agency]:[Agency]]=$E269)*(ROW(TableDiv[Agency])-ROW(TableDiv[[#Headers],[Agency]])),COLUMNS($F$7:N$7))))</f>
        <v>0</v>
      </c>
      <c r="O269" s="2223" cm="1">
        <f t="array" ref="O269">IF($D269&lt;COLUMNS($F$7:O$7),"",INDEX(TableDiv[[GASB]:[GASB]],_xlfn.AGGREGATE(15,3,(TableDiv[[Agency]:[Agency]]=$E269)/(TableDiv[[Agency]:[Agency]]=$E269)*(ROW(TableDiv[Agency])-ROW(TableDiv[[#Headers],[Agency]])),COLUMNS($F$7:O$7))))</f>
        <v>0</v>
      </c>
      <c r="P269" s="2223" cm="1">
        <f t="array" ref="P269">IF($D269&lt;COLUMNS($F$7:P$7),"",INDEX(TableDiv[[GASB]:[GASB]],_xlfn.AGGREGATE(15,3,(TableDiv[[Agency]:[Agency]]=$E269)/(TableDiv[[Agency]:[Agency]]=$E269)*(ROW(TableDiv[Agency])-ROW(TableDiv[[#Headers],[Agency]])),COLUMNS($F$7:P$7))))</f>
        <v>0</v>
      </c>
      <c r="Q269" s="2223" cm="1">
        <f t="array" ref="Q269">IF($D269&lt;COLUMNS($F$7:Q$7),"",INDEX(TableDiv[[GASB]:[GASB]],_xlfn.AGGREGATE(15,3,(TableDiv[[Agency]:[Agency]]=$E269)/(TableDiv[[Agency]:[Agency]]=$E269)*(ROW(TableDiv[Agency])-ROW(TableDiv[[#Headers],[Agency]])),COLUMNS($F$7:Q$7))))</f>
        <v>0</v>
      </c>
      <c r="R269" s="2223" cm="1">
        <f t="array" ref="R269">IF($D269&lt;COLUMNS($F$7:R$7),"",INDEX(TableDiv[[GASB]:[GASB]],_xlfn.AGGREGATE(15,3,(TableDiv[[Agency]:[Agency]]=$E269)/(TableDiv[[Agency]:[Agency]]=$E269)*(ROW(TableDiv[Agency])-ROW(TableDiv[[#Headers],[Agency]])),COLUMNS($F$7:R$7))))</f>
        <v>0</v>
      </c>
      <c r="S269" s="2223" cm="1">
        <f t="array" ref="S269">IF($D269&lt;COLUMNS($F$7:S$7),"",INDEX(TableDiv[[GASB]:[GASB]],_xlfn.AGGREGATE(15,3,(TableDiv[[Agency]:[Agency]]=$E269)/(TableDiv[[Agency]:[Agency]]=$E269)*(ROW(TableDiv[Agency])-ROW(TableDiv[[#Headers],[Agency]])),COLUMNS($F$7:S$7))))</f>
        <v>0</v>
      </c>
      <c r="T269" s="2223" cm="1">
        <f t="array" ref="T269">IF($D269&lt;COLUMNS($F$7:T$7),"",INDEX(TableDiv[[GASB]:[GASB]],_xlfn.AGGREGATE(15,3,(TableDiv[[Agency]:[Agency]]=$E269)/(TableDiv[[Agency]:[Agency]]=$E269)*(ROW(TableDiv[Agency])-ROW(TableDiv[[#Headers],[Agency]])),COLUMNS($F$7:T$7))))</f>
        <v>0</v>
      </c>
      <c r="U269" s="2223" cm="1">
        <f t="array" ref="U269">IF($D269&lt;COLUMNS($F$7:U$7),"",INDEX(TableDiv[[GASB]:[GASB]],_xlfn.AGGREGATE(15,3,(TableDiv[[Agency]:[Agency]]=$E269)/(TableDiv[[Agency]:[Agency]]=$E269)*(ROW(TableDiv[Agency])-ROW(TableDiv[[#Headers],[Agency]])),COLUMNS($F$7:U$7))))</f>
        <v>0</v>
      </c>
      <c r="V269" s="2223" cm="1">
        <f t="array" ref="V269">IF($D269&lt;COLUMNS($F$7:V$7),"",INDEX(TableDiv[[GASB]:[GASB]],_xlfn.AGGREGATE(15,3,(TableDiv[[Agency]:[Agency]]=$E269)/(TableDiv[[Agency]:[Agency]]=$E269)*(ROW(TableDiv[Agency])-ROW(TableDiv[[#Headers],[Agency]])),COLUMNS($F$7:V$7))))</f>
        <v>0</v>
      </c>
      <c r="W269" s="2223" cm="1">
        <f t="array" ref="W269">IF($D269&lt;COLUMNS($F$7:W$7),"",INDEX(TableDiv[[GASB]:[GASB]],_xlfn.AGGREGATE(15,3,(TableDiv[[Agency]:[Agency]]=$E269)/(TableDiv[[Agency]:[Agency]]=$E269)*(ROW(TableDiv[Agency])-ROW(TableDiv[[#Headers],[Agency]])),COLUMNS($F$7:W$7))))</f>
        <v>0</v>
      </c>
      <c r="X269" s="2223" cm="1">
        <f t="array" ref="X269">IF($D269&lt;COLUMNS($F$7:X$7),"",INDEX(TableDiv[[GASB]:[GASB]],_xlfn.AGGREGATE(15,3,(TableDiv[[Agency]:[Agency]]=$E269)/(TableDiv[[Agency]:[Agency]]=$E269)*(ROW(TableDiv[Agency])-ROW(TableDiv[[#Headers],[Agency]])),COLUMNS($F$7:X$7))))</f>
        <v>0</v>
      </c>
      <c r="Y269" s="2223" cm="1">
        <f t="array" ref="Y269">IF($D269&lt;COLUMNS($F$7:Y$7),"",INDEX(TableDiv[[GASB]:[GASB]],_xlfn.AGGREGATE(15,3,(TableDiv[[Agency]:[Agency]]=$E269)/(TableDiv[[Agency]:[Agency]]=$E269)*(ROW(TableDiv[Agency])-ROW(TableDiv[[#Headers],[Agency]])),COLUMNS($F$7:Y$7))))</f>
        <v>0</v>
      </c>
      <c r="Z269" s="2223" cm="1">
        <f t="array" ref="Z269">IF($D269&lt;COLUMNS($F$7:Z$7),"",INDEX(TableDiv[[GASB]:[GASB]],_xlfn.AGGREGATE(15,3,(TableDiv[[Agency]:[Agency]]=$E269)/(TableDiv[[Agency]:[Agency]]=$E269)*(ROW(TableDiv[Agency])-ROW(TableDiv[[#Headers],[Agency]])),COLUMNS($F$7:Z$7))))</f>
        <v>0</v>
      </c>
      <c r="AA269" s="2223" cm="1">
        <f t="array" ref="AA269">IF($D269&lt;COLUMNS($F$7:AA$7),"",INDEX(TableDiv[[GASB]:[GASB]],_xlfn.AGGREGATE(15,3,(TableDiv[[Agency]:[Agency]]=$E269)/(TableDiv[[Agency]:[Agency]]=$E269)*(ROW(TableDiv[Agency])-ROW(TableDiv[[#Headers],[Agency]])),COLUMNS($F$7:AA$7))))</f>
        <v>0</v>
      </c>
      <c r="AB269" s="2223" cm="1">
        <f t="array" ref="AB269">IF($D269&lt;COLUMNS($F$7:AB$7),"",INDEX(TableDiv[[GASB]:[GASB]],_xlfn.AGGREGATE(15,3,(TableDiv[[Agency]:[Agency]]=$E269)/(TableDiv[[Agency]:[Agency]]=$E269)*(ROW(TableDiv[Agency])-ROW(TableDiv[[#Headers],[Agency]])),COLUMNS($F$7:AB$7))))</f>
        <v>0</v>
      </c>
      <c r="AC269" s="2223" cm="1">
        <f t="array" ref="AC269">IF($D269&lt;COLUMNS($F$7:AC$7),"",INDEX(TableDiv[[GASB]:[GASB]],_xlfn.AGGREGATE(15,3,(TableDiv[[Agency]:[Agency]]=$E269)/(TableDiv[[Agency]:[Agency]]=$E269)*(ROW(TableDiv[Agency])-ROW(TableDiv[[#Headers],[Agency]])),COLUMNS($F$7:AC$7))))</f>
        <v>0</v>
      </c>
      <c r="AD269" s="2223" cm="1">
        <f t="array" ref="AD269">IF($D269&lt;COLUMNS($F$7:AD$7),"",INDEX(TableDiv[[GASB]:[GASB]],_xlfn.AGGREGATE(15,3,(TableDiv[[Agency]:[Agency]]=$E269)/(TableDiv[[Agency]:[Agency]]=$E269)*(ROW(TableDiv[Agency])-ROW(TableDiv[[#Headers],[Agency]])),COLUMNS($F$7:AD$7))))</f>
        <v>0</v>
      </c>
      <c r="AE269" s="2223" cm="1">
        <f t="array" ref="AE269">IF($D269&lt;COLUMNS($F$7:AE$7),"",INDEX(TableDiv[[GASB]:[GASB]],_xlfn.AGGREGATE(15,3,(TableDiv[[Agency]:[Agency]]=$E269)/(TableDiv[[Agency]:[Agency]]=$E269)*(ROW(TableDiv[Agency])-ROW(TableDiv[[#Headers],[Agency]])),COLUMNS($F$7:AE$7))))</f>
        <v>0</v>
      </c>
      <c r="AF269" s="2223" cm="1">
        <f t="array" ref="AF269">IF($D269&lt;COLUMNS($F$7:AF$7),"",INDEX(TableDiv[[GASB]:[GASB]],_xlfn.AGGREGATE(15,3,(TableDiv[[Agency]:[Agency]]=$E269)/(TableDiv[[Agency]:[Agency]]=$E269)*(ROW(TableDiv[Agency])-ROW(TableDiv[[#Headers],[Agency]])),COLUMNS($F$7:AF$7))))</f>
        <v>0</v>
      </c>
      <c r="AG269" s="2223" cm="1">
        <f t="array" ref="AG269">IF($D269&lt;COLUMNS($F$7:AG$7),"",INDEX(TableDiv[[GASB]:[GASB]],_xlfn.AGGREGATE(15,3,(TableDiv[[Agency]:[Agency]]=$E269)/(TableDiv[[Agency]:[Agency]]=$E269)*(ROW(TableDiv[Agency])-ROW(TableDiv[[#Headers],[Agency]])),COLUMNS($F$7:AG$7))))</f>
        <v>0</v>
      </c>
      <c r="AH269" s="2223" cm="1">
        <f t="array" ref="AH269">IF($D269&lt;COLUMNS($F$7:AH$7),"",INDEX(TableDiv[[GASB]:[GASB]],_xlfn.AGGREGATE(15,3,(TableDiv[[Agency]:[Agency]]=$E269)/(TableDiv[[Agency]:[Agency]]=$E269)*(ROW(TableDiv[Agency])-ROW(TableDiv[[#Headers],[Agency]])),COLUMNS($F$7:AH$7))))</f>
        <v>0</v>
      </c>
      <c r="AI269" s="2223" cm="1">
        <f t="array" ref="AI269">IF($D269&lt;COLUMNS($F$7:AI$7),"",INDEX(TableDiv[[GASB]:[GASB]],_xlfn.AGGREGATE(15,3,(TableDiv[[Agency]:[Agency]]=$E269)/(TableDiv[[Agency]:[Agency]]=$E269)*(ROW(TableDiv[Agency])-ROW(TableDiv[[#Headers],[Agency]])),COLUMNS($F$7:AI$7))))</f>
        <v>0</v>
      </c>
      <c r="AJ269" s="2223" cm="1">
        <f t="array" ref="AJ269">IF($D269&lt;COLUMNS($F$7:AJ$7),"",INDEX(TableDiv[[GASB]:[GASB]],_xlfn.AGGREGATE(15,3,(TableDiv[[Agency]:[Agency]]=$E269)/(TableDiv[[Agency]:[Agency]]=$E269)*(ROW(TableDiv[Agency])-ROW(TableDiv[[#Headers],[Agency]])),COLUMNS($F$7:AJ$7))))</f>
        <v>0</v>
      </c>
      <c r="AK269" s="2223" t="str" cm="1">
        <f t="array" ref="AK269">IF($D269&lt;COLUMNS($F$7:AK$7),"",INDEX(TableDiv[[GASB]:[GASB]],_xlfn.AGGREGATE(15,3,(TableDiv[[Agency]:[Agency]]=$E269)/(TableDiv[[Agency]:[Agency]]=$E269)*(ROW(TableDiv[Agency])-ROW(TableDiv[[#Headers],[Agency]])),COLUMNS($F$7:AK$7))))</f>
        <v/>
      </c>
      <c r="AL269" s="2223" t="str" cm="1">
        <f t="array" ref="AL269">IF($D269&lt;COLUMNS($F$7:AL$7),"",INDEX(TableDiv[[GASB]:[GASB]],_xlfn.AGGREGATE(15,3,(TableDiv[[Agency]:[Agency]]=$E269)/(TableDiv[[Agency]:[Agency]]=$E269)*(ROW(TableDiv[Agency])-ROW(TableDiv[[#Headers],[Agency]])),COLUMNS($F$7:AL$7))))</f>
        <v/>
      </c>
      <c r="AM269" s="2223" t="str" cm="1">
        <f t="array" ref="AM269">IF($D269&lt;COLUMNS($F$7:AM$7),"",INDEX(TableDiv[[GASB]:[GASB]],_xlfn.AGGREGATE(15,3,(TableDiv[[Agency]:[Agency]]=$E269)/(TableDiv[[Agency]:[Agency]]=$E269)*(ROW(TableDiv[Agency])-ROW(TableDiv[[#Headers],[Agency]])),COLUMNS($F$7:AM$7))))</f>
        <v/>
      </c>
      <c r="AN269" s="2223"/>
      <c r="AO269" s="2223"/>
      <c r="AP269" s="2223"/>
      <c r="AQ269" s="2223"/>
      <c r="AR269" s="2223"/>
      <c r="AS269" s="2223"/>
    </row>
    <row r="270" spans="1:45" ht="15" x14ac:dyDescent="0.25">
      <c r="A270" s="2219" t="s">
        <v>5117</v>
      </c>
      <c r="B270" s="2219" t="s">
        <v>1878</v>
      </c>
      <c r="C270" s="2223"/>
      <c r="D270" s="2223">
        <f>COUNTIF(TableDiv[Agency],E270)</f>
        <v>31</v>
      </c>
      <c r="E270" s="2230" t="str" cm="1">
        <f t="array" ref="E270">IFERROR(INDEX(TableDiv[Agency],MATCH(0,INDEX(COUNTIF($E$7:E269,TableDiv[Agency]),),0)),"")</f>
        <v/>
      </c>
      <c r="F270" s="2223" cm="1">
        <f t="array" ref="F270">IF($D270&lt;COLUMNS($F$7:F$7),"",INDEX(TableDiv[[GASB]:[GASB]],_xlfn.AGGREGATE(15,3,(TableDiv[[Agency]:[Agency]]=$E270)/(TableDiv[[Agency]:[Agency]]=$E270)*(ROW(TableDiv[Agency])-ROW(TableDiv[[#Headers],[Agency]])),COLUMNS($F$7:F$7))))</f>
        <v>0</v>
      </c>
      <c r="G270" s="2223" cm="1">
        <f t="array" ref="G270">IF($D270&lt;COLUMNS($F$7:G$7),"",INDEX(TableDiv[[GASB]:[GASB]],_xlfn.AGGREGATE(15,3,(TableDiv[[Agency]:[Agency]]=$E270)/(TableDiv[[Agency]:[Agency]]=$E270)*(ROW(TableDiv[Agency])-ROW(TableDiv[[#Headers],[Agency]])),COLUMNS($F$7:G$7))))</f>
        <v>0</v>
      </c>
      <c r="H270" s="2223" cm="1">
        <f t="array" ref="H270">IF($D270&lt;COLUMNS($F$7:H$7),"",INDEX(TableDiv[[GASB]:[GASB]],_xlfn.AGGREGATE(15,3,(TableDiv[[Agency]:[Agency]]=$E270)/(TableDiv[[Agency]:[Agency]]=$E270)*(ROW(TableDiv[Agency])-ROW(TableDiv[[#Headers],[Agency]])),COLUMNS($F$7:H$7))))</f>
        <v>0</v>
      </c>
      <c r="I270" s="2223" cm="1">
        <f t="array" ref="I270">IF($D270&lt;COLUMNS($F$7:I$7),"",INDEX(TableDiv[[GASB]:[GASB]],_xlfn.AGGREGATE(15,3,(TableDiv[[Agency]:[Agency]]=$E270)/(TableDiv[[Agency]:[Agency]]=$E270)*(ROW(TableDiv[Agency])-ROW(TableDiv[[#Headers],[Agency]])),COLUMNS($F$7:I$7))))</f>
        <v>0</v>
      </c>
      <c r="J270" s="2223" cm="1">
        <f t="array" ref="J270">IF($D270&lt;COLUMNS($F$7:J$7),"",INDEX(TableDiv[[GASB]:[GASB]],_xlfn.AGGREGATE(15,3,(TableDiv[[Agency]:[Agency]]=$E270)/(TableDiv[[Agency]:[Agency]]=$E270)*(ROW(TableDiv[Agency])-ROW(TableDiv[[#Headers],[Agency]])),COLUMNS($F$7:J$7))))</f>
        <v>0</v>
      </c>
      <c r="K270" s="2223" cm="1">
        <f t="array" ref="K270">IF($D270&lt;COLUMNS($F$7:K$7),"",INDEX(TableDiv[[GASB]:[GASB]],_xlfn.AGGREGATE(15,3,(TableDiv[[Agency]:[Agency]]=$E270)/(TableDiv[[Agency]:[Agency]]=$E270)*(ROW(TableDiv[Agency])-ROW(TableDiv[[#Headers],[Agency]])),COLUMNS($F$7:K$7))))</f>
        <v>0</v>
      </c>
      <c r="L270" s="2223" cm="1">
        <f t="array" ref="L270">IF($D270&lt;COLUMNS($F$7:L$7),"",INDEX(TableDiv[[GASB]:[GASB]],_xlfn.AGGREGATE(15,3,(TableDiv[[Agency]:[Agency]]=$E270)/(TableDiv[[Agency]:[Agency]]=$E270)*(ROW(TableDiv[Agency])-ROW(TableDiv[[#Headers],[Agency]])),COLUMNS($F$7:L$7))))</f>
        <v>0</v>
      </c>
      <c r="M270" s="2223" cm="1">
        <f t="array" ref="M270">IF($D270&lt;COLUMNS($F$7:M$7),"",INDEX(TableDiv[[GASB]:[GASB]],_xlfn.AGGREGATE(15,3,(TableDiv[[Agency]:[Agency]]=$E270)/(TableDiv[[Agency]:[Agency]]=$E270)*(ROW(TableDiv[Agency])-ROW(TableDiv[[#Headers],[Agency]])),COLUMNS($F$7:M$7))))</f>
        <v>0</v>
      </c>
      <c r="N270" s="2223" cm="1">
        <f t="array" ref="N270">IF($D270&lt;COLUMNS($F$7:N$7),"",INDEX(TableDiv[[GASB]:[GASB]],_xlfn.AGGREGATE(15,3,(TableDiv[[Agency]:[Agency]]=$E270)/(TableDiv[[Agency]:[Agency]]=$E270)*(ROW(TableDiv[Agency])-ROW(TableDiv[[#Headers],[Agency]])),COLUMNS($F$7:N$7))))</f>
        <v>0</v>
      </c>
      <c r="O270" s="2223" cm="1">
        <f t="array" ref="O270">IF($D270&lt;COLUMNS($F$7:O$7),"",INDEX(TableDiv[[GASB]:[GASB]],_xlfn.AGGREGATE(15,3,(TableDiv[[Agency]:[Agency]]=$E270)/(TableDiv[[Agency]:[Agency]]=$E270)*(ROW(TableDiv[Agency])-ROW(TableDiv[[#Headers],[Agency]])),COLUMNS($F$7:O$7))))</f>
        <v>0</v>
      </c>
      <c r="P270" s="2223" cm="1">
        <f t="array" ref="P270">IF($D270&lt;COLUMNS($F$7:P$7),"",INDEX(TableDiv[[GASB]:[GASB]],_xlfn.AGGREGATE(15,3,(TableDiv[[Agency]:[Agency]]=$E270)/(TableDiv[[Agency]:[Agency]]=$E270)*(ROW(TableDiv[Agency])-ROW(TableDiv[[#Headers],[Agency]])),COLUMNS($F$7:P$7))))</f>
        <v>0</v>
      </c>
      <c r="Q270" s="2223" cm="1">
        <f t="array" ref="Q270">IF($D270&lt;COLUMNS($F$7:Q$7),"",INDEX(TableDiv[[GASB]:[GASB]],_xlfn.AGGREGATE(15,3,(TableDiv[[Agency]:[Agency]]=$E270)/(TableDiv[[Agency]:[Agency]]=$E270)*(ROW(TableDiv[Agency])-ROW(TableDiv[[#Headers],[Agency]])),COLUMNS($F$7:Q$7))))</f>
        <v>0</v>
      </c>
      <c r="R270" s="2223" cm="1">
        <f t="array" ref="R270">IF($D270&lt;COLUMNS($F$7:R$7),"",INDEX(TableDiv[[GASB]:[GASB]],_xlfn.AGGREGATE(15,3,(TableDiv[[Agency]:[Agency]]=$E270)/(TableDiv[[Agency]:[Agency]]=$E270)*(ROW(TableDiv[Agency])-ROW(TableDiv[[#Headers],[Agency]])),COLUMNS($F$7:R$7))))</f>
        <v>0</v>
      </c>
      <c r="S270" s="2223" cm="1">
        <f t="array" ref="S270">IF($D270&lt;COLUMNS($F$7:S$7),"",INDEX(TableDiv[[GASB]:[GASB]],_xlfn.AGGREGATE(15,3,(TableDiv[[Agency]:[Agency]]=$E270)/(TableDiv[[Agency]:[Agency]]=$E270)*(ROW(TableDiv[Agency])-ROW(TableDiv[[#Headers],[Agency]])),COLUMNS($F$7:S$7))))</f>
        <v>0</v>
      </c>
      <c r="T270" s="2223" cm="1">
        <f t="array" ref="T270">IF($D270&lt;COLUMNS($F$7:T$7),"",INDEX(TableDiv[[GASB]:[GASB]],_xlfn.AGGREGATE(15,3,(TableDiv[[Agency]:[Agency]]=$E270)/(TableDiv[[Agency]:[Agency]]=$E270)*(ROW(TableDiv[Agency])-ROW(TableDiv[[#Headers],[Agency]])),COLUMNS($F$7:T$7))))</f>
        <v>0</v>
      </c>
      <c r="U270" s="2223" cm="1">
        <f t="array" ref="U270">IF($D270&lt;COLUMNS($F$7:U$7),"",INDEX(TableDiv[[GASB]:[GASB]],_xlfn.AGGREGATE(15,3,(TableDiv[[Agency]:[Agency]]=$E270)/(TableDiv[[Agency]:[Agency]]=$E270)*(ROW(TableDiv[Agency])-ROW(TableDiv[[#Headers],[Agency]])),COLUMNS($F$7:U$7))))</f>
        <v>0</v>
      </c>
      <c r="V270" s="2223" cm="1">
        <f t="array" ref="V270">IF($D270&lt;COLUMNS($F$7:V$7),"",INDEX(TableDiv[[GASB]:[GASB]],_xlfn.AGGREGATE(15,3,(TableDiv[[Agency]:[Agency]]=$E270)/(TableDiv[[Agency]:[Agency]]=$E270)*(ROW(TableDiv[Agency])-ROW(TableDiv[[#Headers],[Agency]])),COLUMNS($F$7:V$7))))</f>
        <v>0</v>
      </c>
      <c r="W270" s="2223" cm="1">
        <f t="array" ref="W270">IF($D270&lt;COLUMNS($F$7:W$7),"",INDEX(TableDiv[[GASB]:[GASB]],_xlfn.AGGREGATE(15,3,(TableDiv[[Agency]:[Agency]]=$E270)/(TableDiv[[Agency]:[Agency]]=$E270)*(ROW(TableDiv[Agency])-ROW(TableDiv[[#Headers],[Agency]])),COLUMNS($F$7:W$7))))</f>
        <v>0</v>
      </c>
      <c r="X270" s="2223" cm="1">
        <f t="array" ref="X270">IF($D270&lt;COLUMNS($F$7:X$7),"",INDEX(TableDiv[[GASB]:[GASB]],_xlfn.AGGREGATE(15,3,(TableDiv[[Agency]:[Agency]]=$E270)/(TableDiv[[Agency]:[Agency]]=$E270)*(ROW(TableDiv[Agency])-ROW(TableDiv[[#Headers],[Agency]])),COLUMNS($F$7:X$7))))</f>
        <v>0</v>
      </c>
      <c r="Y270" s="2223" cm="1">
        <f t="array" ref="Y270">IF($D270&lt;COLUMNS($F$7:Y$7),"",INDEX(TableDiv[[GASB]:[GASB]],_xlfn.AGGREGATE(15,3,(TableDiv[[Agency]:[Agency]]=$E270)/(TableDiv[[Agency]:[Agency]]=$E270)*(ROW(TableDiv[Agency])-ROW(TableDiv[[#Headers],[Agency]])),COLUMNS($F$7:Y$7))))</f>
        <v>0</v>
      </c>
      <c r="Z270" s="2223" cm="1">
        <f t="array" ref="Z270">IF($D270&lt;COLUMNS($F$7:Z$7),"",INDEX(TableDiv[[GASB]:[GASB]],_xlfn.AGGREGATE(15,3,(TableDiv[[Agency]:[Agency]]=$E270)/(TableDiv[[Agency]:[Agency]]=$E270)*(ROW(TableDiv[Agency])-ROW(TableDiv[[#Headers],[Agency]])),COLUMNS($F$7:Z$7))))</f>
        <v>0</v>
      </c>
      <c r="AA270" s="2223" cm="1">
        <f t="array" ref="AA270">IF($D270&lt;COLUMNS($F$7:AA$7),"",INDEX(TableDiv[[GASB]:[GASB]],_xlfn.AGGREGATE(15,3,(TableDiv[[Agency]:[Agency]]=$E270)/(TableDiv[[Agency]:[Agency]]=$E270)*(ROW(TableDiv[Agency])-ROW(TableDiv[[#Headers],[Agency]])),COLUMNS($F$7:AA$7))))</f>
        <v>0</v>
      </c>
      <c r="AB270" s="2223" cm="1">
        <f t="array" ref="AB270">IF($D270&lt;COLUMNS($F$7:AB$7),"",INDEX(TableDiv[[GASB]:[GASB]],_xlfn.AGGREGATE(15,3,(TableDiv[[Agency]:[Agency]]=$E270)/(TableDiv[[Agency]:[Agency]]=$E270)*(ROW(TableDiv[Agency])-ROW(TableDiv[[#Headers],[Agency]])),COLUMNS($F$7:AB$7))))</f>
        <v>0</v>
      </c>
      <c r="AC270" s="2223" cm="1">
        <f t="array" ref="AC270">IF($D270&lt;COLUMNS($F$7:AC$7),"",INDEX(TableDiv[[GASB]:[GASB]],_xlfn.AGGREGATE(15,3,(TableDiv[[Agency]:[Agency]]=$E270)/(TableDiv[[Agency]:[Agency]]=$E270)*(ROW(TableDiv[Agency])-ROW(TableDiv[[#Headers],[Agency]])),COLUMNS($F$7:AC$7))))</f>
        <v>0</v>
      </c>
      <c r="AD270" s="2223" cm="1">
        <f t="array" ref="AD270">IF($D270&lt;COLUMNS($F$7:AD$7),"",INDEX(TableDiv[[GASB]:[GASB]],_xlfn.AGGREGATE(15,3,(TableDiv[[Agency]:[Agency]]=$E270)/(TableDiv[[Agency]:[Agency]]=$E270)*(ROW(TableDiv[Agency])-ROW(TableDiv[[#Headers],[Agency]])),COLUMNS($F$7:AD$7))))</f>
        <v>0</v>
      </c>
      <c r="AE270" s="2223" cm="1">
        <f t="array" ref="AE270">IF($D270&lt;COLUMNS($F$7:AE$7),"",INDEX(TableDiv[[GASB]:[GASB]],_xlfn.AGGREGATE(15,3,(TableDiv[[Agency]:[Agency]]=$E270)/(TableDiv[[Agency]:[Agency]]=$E270)*(ROW(TableDiv[Agency])-ROW(TableDiv[[#Headers],[Agency]])),COLUMNS($F$7:AE$7))))</f>
        <v>0</v>
      </c>
      <c r="AF270" s="2223" cm="1">
        <f t="array" ref="AF270">IF($D270&lt;COLUMNS($F$7:AF$7),"",INDEX(TableDiv[[GASB]:[GASB]],_xlfn.AGGREGATE(15,3,(TableDiv[[Agency]:[Agency]]=$E270)/(TableDiv[[Agency]:[Agency]]=$E270)*(ROW(TableDiv[Agency])-ROW(TableDiv[[#Headers],[Agency]])),COLUMNS($F$7:AF$7))))</f>
        <v>0</v>
      </c>
      <c r="AG270" s="2223" cm="1">
        <f t="array" ref="AG270">IF($D270&lt;COLUMNS($F$7:AG$7),"",INDEX(TableDiv[[GASB]:[GASB]],_xlfn.AGGREGATE(15,3,(TableDiv[[Agency]:[Agency]]=$E270)/(TableDiv[[Agency]:[Agency]]=$E270)*(ROW(TableDiv[Agency])-ROW(TableDiv[[#Headers],[Agency]])),COLUMNS($F$7:AG$7))))</f>
        <v>0</v>
      </c>
      <c r="AH270" s="2223" cm="1">
        <f t="array" ref="AH270">IF($D270&lt;COLUMNS($F$7:AH$7),"",INDEX(TableDiv[[GASB]:[GASB]],_xlfn.AGGREGATE(15,3,(TableDiv[[Agency]:[Agency]]=$E270)/(TableDiv[[Agency]:[Agency]]=$E270)*(ROW(TableDiv[Agency])-ROW(TableDiv[[#Headers],[Agency]])),COLUMNS($F$7:AH$7))))</f>
        <v>0</v>
      </c>
      <c r="AI270" s="2223" cm="1">
        <f t="array" ref="AI270">IF($D270&lt;COLUMNS($F$7:AI$7),"",INDEX(TableDiv[[GASB]:[GASB]],_xlfn.AGGREGATE(15,3,(TableDiv[[Agency]:[Agency]]=$E270)/(TableDiv[[Agency]:[Agency]]=$E270)*(ROW(TableDiv[Agency])-ROW(TableDiv[[#Headers],[Agency]])),COLUMNS($F$7:AI$7))))</f>
        <v>0</v>
      </c>
      <c r="AJ270" s="2223" cm="1">
        <f t="array" ref="AJ270">IF($D270&lt;COLUMNS($F$7:AJ$7),"",INDEX(TableDiv[[GASB]:[GASB]],_xlfn.AGGREGATE(15,3,(TableDiv[[Agency]:[Agency]]=$E270)/(TableDiv[[Agency]:[Agency]]=$E270)*(ROW(TableDiv[Agency])-ROW(TableDiv[[#Headers],[Agency]])),COLUMNS($F$7:AJ$7))))</f>
        <v>0</v>
      </c>
      <c r="AK270" s="2223" t="str" cm="1">
        <f t="array" ref="AK270">IF($D270&lt;COLUMNS($F$7:AK$7),"",INDEX(TableDiv[[GASB]:[GASB]],_xlfn.AGGREGATE(15,3,(TableDiv[[Agency]:[Agency]]=$E270)/(TableDiv[[Agency]:[Agency]]=$E270)*(ROW(TableDiv[Agency])-ROW(TableDiv[[#Headers],[Agency]])),COLUMNS($F$7:AK$7))))</f>
        <v/>
      </c>
      <c r="AL270" s="2223" t="str" cm="1">
        <f t="array" ref="AL270">IF($D270&lt;COLUMNS($F$7:AL$7),"",INDEX(TableDiv[[GASB]:[GASB]],_xlfn.AGGREGATE(15,3,(TableDiv[[Agency]:[Agency]]=$E270)/(TableDiv[[Agency]:[Agency]]=$E270)*(ROW(TableDiv[Agency])-ROW(TableDiv[[#Headers],[Agency]])),COLUMNS($F$7:AL$7))))</f>
        <v/>
      </c>
      <c r="AM270" s="2223" t="str" cm="1">
        <f t="array" ref="AM270">IF($D270&lt;COLUMNS($F$7:AM$7),"",INDEX(TableDiv[[GASB]:[GASB]],_xlfn.AGGREGATE(15,3,(TableDiv[[Agency]:[Agency]]=$E270)/(TableDiv[[Agency]:[Agency]]=$E270)*(ROW(TableDiv[Agency])-ROW(TableDiv[[#Headers],[Agency]])),COLUMNS($F$7:AM$7))))</f>
        <v/>
      </c>
      <c r="AN270" s="2223"/>
      <c r="AO270" s="2223"/>
      <c r="AP270" s="2223"/>
      <c r="AQ270" s="2223"/>
      <c r="AR270" s="2223"/>
      <c r="AS270" s="2223"/>
    </row>
    <row r="271" spans="1:45" ht="15" x14ac:dyDescent="0.25">
      <c r="A271" s="2219" t="s">
        <v>5117</v>
      </c>
      <c r="B271" s="2219" t="s">
        <v>6365</v>
      </c>
      <c r="C271" s="2223"/>
      <c r="D271" s="2223">
        <f>COUNTIF(TableDiv[Agency],E271)</f>
        <v>31</v>
      </c>
      <c r="E271" s="2230" t="str" cm="1">
        <f t="array" ref="E271">IFERROR(INDEX(TableDiv[Agency],MATCH(0,INDEX(COUNTIF($E$7:E270,TableDiv[Agency]),),0)),"")</f>
        <v/>
      </c>
      <c r="F271" s="2223" cm="1">
        <f t="array" ref="F271">IF($D271&lt;COLUMNS($F$7:F$7),"",INDEX(TableDiv[[GASB]:[GASB]],_xlfn.AGGREGATE(15,3,(TableDiv[[Agency]:[Agency]]=$E271)/(TableDiv[[Agency]:[Agency]]=$E271)*(ROW(TableDiv[Agency])-ROW(TableDiv[[#Headers],[Agency]])),COLUMNS($F$7:F$7))))</f>
        <v>0</v>
      </c>
      <c r="G271" s="2223" cm="1">
        <f t="array" ref="G271">IF($D271&lt;COLUMNS($F$7:G$7),"",INDEX(TableDiv[[GASB]:[GASB]],_xlfn.AGGREGATE(15,3,(TableDiv[[Agency]:[Agency]]=$E271)/(TableDiv[[Agency]:[Agency]]=$E271)*(ROW(TableDiv[Agency])-ROW(TableDiv[[#Headers],[Agency]])),COLUMNS($F$7:G$7))))</f>
        <v>0</v>
      </c>
      <c r="H271" s="2223" cm="1">
        <f t="array" ref="H271">IF($D271&lt;COLUMNS($F$7:H$7),"",INDEX(TableDiv[[GASB]:[GASB]],_xlfn.AGGREGATE(15,3,(TableDiv[[Agency]:[Agency]]=$E271)/(TableDiv[[Agency]:[Agency]]=$E271)*(ROW(TableDiv[Agency])-ROW(TableDiv[[#Headers],[Agency]])),COLUMNS($F$7:H$7))))</f>
        <v>0</v>
      </c>
      <c r="I271" s="2223" cm="1">
        <f t="array" ref="I271">IF($D271&lt;COLUMNS($F$7:I$7),"",INDEX(TableDiv[[GASB]:[GASB]],_xlfn.AGGREGATE(15,3,(TableDiv[[Agency]:[Agency]]=$E271)/(TableDiv[[Agency]:[Agency]]=$E271)*(ROW(TableDiv[Agency])-ROW(TableDiv[[#Headers],[Agency]])),COLUMNS($F$7:I$7))))</f>
        <v>0</v>
      </c>
      <c r="J271" s="2223" cm="1">
        <f t="array" ref="J271">IF($D271&lt;COLUMNS($F$7:J$7),"",INDEX(TableDiv[[GASB]:[GASB]],_xlfn.AGGREGATE(15,3,(TableDiv[[Agency]:[Agency]]=$E271)/(TableDiv[[Agency]:[Agency]]=$E271)*(ROW(TableDiv[Agency])-ROW(TableDiv[[#Headers],[Agency]])),COLUMNS($F$7:J$7))))</f>
        <v>0</v>
      </c>
      <c r="K271" s="2223" cm="1">
        <f t="array" ref="K271">IF($D271&lt;COLUMNS($F$7:K$7),"",INDEX(TableDiv[[GASB]:[GASB]],_xlfn.AGGREGATE(15,3,(TableDiv[[Agency]:[Agency]]=$E271)/(TableDiv[[Agency]:[Agency]]=$E271)*(ROW(TableDiv[Agency])-ROW(TableDiv[[#Headers],[Agency]])),COLUMNS($F$7:K$7))))</f>
        <v>0</v>
      </c>
      <c r="L271" s="2223" cm="1">
        <f t="array" ref="L271">IF($D271&lt;COLUMNS($F$7:L$7),"",INDEX(TableDiv[[GASB]:[GASB]],_xlfn.AGGREGATE(15,3,(TableDiv[[Agency]:[Agency]]=$E271)/(TableDiv[[Agency]:[Agency]]=$E271)*(ROW(TableDiv[Agency])-ROW(TableDiv[[#Headers],[Agency]])),COLUMNS($F$7:L$7))))</f>
        <v>0</v>
      </c>
      <c r="M271" s="2223" cm="1">
        <f t="array" ref="M271">IF($D271&lt;COLUMNS($F$7:M$7),"",INDEX(TableDiv[[GASB]:[GASB]],_xlfn.AGGREGATE(15,3,(TableDiv[[Agency]:[Agency]]=$E271)/(TableDiv[[Agency]:[Agency]]=$E271)*(ROW(TableDiv[Agency])-ROW(TableDiv[[#Headers],[Agency]])),COLUMNS($F$7:M$7))))</f>
        <v>0</v>
      </c>
      <c r="N271" s="2223" cm="1">
        <f t="array" ref="N271">IF($D271&lt;COLUMNS($F$7:N$7),"",INDEX(TableDiv[[GASB]:[GASB]],_xlfn.AGGREGATE(15,3,(TableDiv[[Agency]:[Agency]]=$E271)/(TableDiv[[Agency]:[Agency]]=$E271)*(ROW(TableDiv[Agency])-ROW(TableDiv[[#Headers],[Agency]])),COLUMNS($F$7:N$7))))</f>
        <v>0</v>
      </c>
      <c r="O271" s="2223" cm="1">
        <f t="array" ref="O271">IF($D271&lt;COLUMNS($F$7:O$7),"",INDEX(TableDiv[[GASB]:[GASB]],_xlfn.AGGREGATE(15,3,(TableDiv[[Agency]:[Agency]]=$E271)/(TableDiv[[Agency]:[Agency]]=$E271)*(ROW(TableDiv[Agency])-ROW(TableDiv[[#Headers],[Agency]])),COLUMNS($F$7:O$7))))</f>
        <v>0</v>
      </c>
      <c r="P271" s="2223" cm="1">
        <f t="array" ref="P271">IF($D271&lt;COLUMNS($F$7:P$7),"",INDEX(TableDiv[[GASB]:[GASB]],_xlfn.AGGREGATE(15,3,(TableDiv[[Agency]:[Agency]]=$E271)/(TableDiv[[Agency]:[Agency]]=$E271)*(ROW(TableDiv[Agency])-ROW(TableDiv[[#Headers],[Agency]])),COLUMNS($F$7:P$7))))</f>
        <v>0</v>
      </c>
      <c r="Q271" s="2223" cm="1">
        <f t="array" ref="Q271">IF($D271&lt;COLUMNS($F$7:Q$7),"",INDEX(TableDiv[[GASB]:[GASB]],_xlfn.AGGREGATE(15,3,(TableDiv[[Agency]:[Agency]]=$E271)/(TableDiv[[Agency]:[Agency]]=$E271)*(ROW(TableDiv[Agency])-ROW(TableDiv[[#Headers],[Agency]])),COLUMNS($F$7:Q$7))))</f>
        <v>0</v>
      </c>
      <c r="R271" s="2223" cm="1">
        <f t="array" ref="R271">IF($D271&lt;COLUMNS($F$7:R$7),"",INDEX(TableDiv[[GASB]:[GASB]],_xlfn.AGGREGATE(15,3,(TableDiv[[Agency]:[Agency]]=$E271)/(TableDiv[[Agency]:[Agency]]=$E271)*(ROW(TableDiv[Agency])-ROW(TableDiv[[#Headers],[Agency]])),COLUMNS($F$7:R$7))))</f>
        <v>0</v>
      </c>
      <c r="S271" s="2223" cm="1">
        <f t="array" ref="S271">IF($D271&lt;COLUMNS($F$7:S$7),"",INDEX(TableDiv[[GASB]:[GASB]],_xlfn.AGGREGATE(15,3,(TableDiv[[Agency]:[Agency]]=$E271)/(TableDiv[[Agency]:[Agency]]=$E271)*(ROW(TableDiv[Agency])-ROW(TableDiv[[#Headers],[Agency]])),COLUMNS($F$7:S$7))))</f>
        <v>0</v>
      </c>
      <c r="T271" s="2223" cm="1">
        <f t="array" ref="T271">IF($D271&lt;COLUMNS($F$7:T$7),"",INDEX(TableDiv[[GASB]:[GASB]],_xlfn.AGGREGATE(15,3,(TableDiv[[Agency]:[Agency]]=$E271)/(TableDiv[[Agency]:[Agency]]=$E271)*(ROW(TableDiv[Agency])-ROW(TableDiv[[#Headers],[Agency]])),COLUMNS($F$7:T$7))))</f>
        <v>0</v>
      </c>
      <c r="U271" s="2223" cm="1">
        <f t="array" ref="U271">IF($D271&lt;COLUMNS($F$7:U$7),"",INDEX(TableDiv[[GASB]:[GASB]],_xlfn.AGGREGATE(15,3,(TableDiv[[Agency]:[Agency]]=$E271)/(TableDiv[[Agency]:[Agency]]=$E271)*(ROW(TableDiv[Agency])-ROW(TableDiv[[#Headers],[Agency]])),COLUMNS($F$7:U$7))))</f>
        <v>0</v>
      </c>
      <c r="V271" s="2223" cm="1">
        <f t="array" ref="V271">IF($D271&lt;COLUMNS($F$7:V$7),"",INDEX(TableDiv[[GASB]:[GASB]],_xlfn.AGGREGATE(15,3,(TableDiv[[Agency]:[Agency]]=$E271)/(TableDiv[[Agency]:[Agency]]=$E271)*(ROW(TableDiv[Agency])-ROW(TableDiv[[#Headers],[Agency]])),COLUMNS($F$7:V$7))))</f>
        <v>0</v>
      </c>
      <c r="W271" s="2223" cm="1">
        <f t="array" ref="W271">IF($D271&lt;COLUMNS($F$7:W$7),"",INDEX(TableDiv[[GASB]:[GASB]],_xlfn.AGGREGATE(15,3,(TableDiv[[Agency]:[Agency]]=$E271)/(TableDiv[[Agency]:[Agency]]=$E271)*(ROW(TableDiv[Agency])-ROW(TableDiv[[#Headers],[Agency]])),COLUMNS($F$7:W$7))))</f>
        <v>0</v>
      </c>
      <c r="X271" s="2223" cm="1">
        <f t="array" ref="X271">IF($D271&lt;COLUMNS($F$7:X$7),"",INDEX(TableDiv[[GASB]:[GASB]],_xlfn.AGGREGATE(15,3,(TableDiv[[Agency]:[Agency]]=$E271)/(TableDiv[[Agency]:[Agency]]=$E271)*(ROW(TableDiv[Agency])-ROW(TableDiv[[#Headers],[Agency]])),COLUMNS($F$7:X$7))))</f>
        <v>0</v>
      </c>
      <c r="Y271" s="2223" cm="1">
        <f t="array" ref="Y271">IF($D271&lt;COLUMNS($F$7:Y$7),"",INDEX(TableDiv[[GASB]:[GASB]],_xlfn.AGGREGATE(15,3,(TableDiv[[Agency]:[Agency]]=$E271)/(TableDiv[[Agency]:[Agency]]=$E271)*(ROW(TableDiv[Agency])-ROW(TableDiv[[#Headers],[Agency]])),COLUMNS($F$7:Y$7))))</f>
        <v>0</v>
      </c>
      <c r="Z271" s="2223" cm="1">
        <f t="array" ref="Z271">IF($D271&lt;COLUMNS($F$7:Z$7),"",INDEX(TableDiv[[GASB]:[GASB]],_xlfn.AGGREGATE(15,3,(TableDiv[[Agency]:[Agency]]=$E271)/(TableDiv[[Agency]:[Agency]]=$E271)*(ROW(TableDiv[Agency])-ROW(TableDiv[[#Headers],[Agency]])),COLUMNS($F$7:Z$7))))</f>
        <v>0</v>
      </c>
      <c r="AA271" s="2223" cm="1">
        <f t="array" ref="AA271">IF($D271&lt;COLUMNS($F$7:AA$7),"",INDEX(TableDiv[[GASB]:[GASB]],_xlfn.AGGREGATE(15,3,(TableDiv[[Agency]:[Agency]]=$E271)/(TableDiv[[Agency]:[Agency]]=$E271)*(ROW(TableDiv[Agency])-ROW(TableDiv[[#Headers],[Agency]])),COLUMNS($F$7:AA$7))))</f>
        <v>0</v>
      </c>
      <c r="AB271" s="2223" cm="1">
        <f t="array" ref="AB271">IF($D271&lt;COLUMNS($F$7:AB$7),"",INDEX(TableDiv[[GASB]:[GASB]],_xlfn.AGGREGATE(15,3,(TableDiv[[Agency]:[Agency]]=$E271)/(TableDiv[[Agency]:[Agency]]=$E271)*(ROW(TableDiv[Agency])-ROW(TableDiv[[#Headers],[Agency]])),COLUMNS($F$7:AB$7))))</f>
        <v>0</v>
      </c>
      <c r="AC271" s="2223" cm="1">
        <f t="array" ref="AC271">IF($D271&lt;COLUMNS($F$7:AC$7),"",INDEX(TableDiv[[GASB]:[GASB]],_xlfn.AGGREGATE(15,3,(TableDiv[[Agency]:[Agency]]=$E271)/(TableDiv[[Agency]:[Agency]]=$E271)*(ROW(TableDiv[Agency])-ROW(TableDiv[[#Headers],[Agency]])),COLUMNS($F$7:AC$7))))</f>
        <v>0</v>
      </c>
      <c r="AD271" s="2223" cm="1">
        <f t="array" ref="AD271">IF($D271&lt;COLUMNS($F$7:AD$7),"",INDEX(TableDiv[[GASB]:[GASB]],_xlfn.AGGREGATE(15,3,(TableDiv[[Agency]:[Agency]]=$E271)/(TableDiv[[Agency]:[Agency]]=$E271)*(ROW(TableDiv[Agency])-ROW(TableDiv[[#Headers],[Agency]])),COLUMNS($F$7:AD$7))))</f>
        <v>0</v>
      </c>
      <c r="AE271" s="2223" cm="1">
        <f t="array" ref="AE271">IF($D271&lt;COLUMNS($F$7:AE$7),"",INDEX(TableDiv[[GASB]:[GASB]],_xlfn.AGGREGATE(15,3,(TableDiv[[Agency]:[Agency]]=$E271)/(TableDiv[[Agency]:[Agency]]=$E271)*(ROW(TableDiv[Agency])-ROW(TableDiv[[#Headers],[Agency]])),COLUMNS($F$7:AE$7))))</f>
        <v>0</v>
      </c>
      <c r="AF271" s="2223" cm="1">
        <f t="array" ref="AF271">IF($D271&lt;COLUMNS($F$7:AF$7),"",INDEX(TableDiv[[GASB]:[GASB]],_xlfn.AGGREGATE(15,3,(TableDiv[[Agency]:[Agency]]=$E271)/(TableDiv[[Agency]:[Agency]]=$E271)*(ROW(TableDiv[Agency])-ROW(TableDiv[[#Headers],[Agency]])),COLUMNS($F$7:AF$7))))</f>
        <v>0</v>
      </c>
      <c r="AG271" s="2223" cm="1">
        <f t="array" ref="AG271">IF($D271&lt;COLUMNS($F$7:AG$7),"",INDEX(TableDiv[[GASB]:[GASB]],_xlfn.AGGREGATE(15,3,(TableDiv[[Agency]:[Agency]]=$E271)/(TableDiv[[Agency]:[Agency]]=$E271)*(ROW(TableDiv[Agency])-ROW(TableDiv[[#Headers],[Agency]])),COLUMNS($F$7:AG$7))))</f>
        <v>0</v>
      </c>
      <c r="AH271" s="2223" cm="1">
        <f t="array" ref="AH271">IF($D271&lt;COLUMNS($F$7:AH$7),"",INDEX(TableDiv[[GASB]:[GASB]],_xlfn.AGGREGATE(15,3,(TableDiv[[Agency]:[Agency]]=$E271)/(TableDiv[[Agency]:[Agency]]=$E271)*(ROW(TableDiv[Agency])-ROW(TableDiv[[#Headers],[Agency]])),COLUMNS($F$7:AH$7))))</f>
        <v>0</v>
      </c>
      <c r="AI271" s="2223" cm="1">
        <f t="array" ref="AI271">IF($D271&lt;COLUMNS($F$7:AI$7),"",INDEX(TableDiv[[GASB]:[GASB]],_xlfn.AGGREGATE(15,3,(TableDiv[[Agency]:[Agency]]=$E271)/(TableDiv[[Agency]:[Agency]]=$E271)*(ROW(TableDiv[Agency])-ROW(TableDiv[[#Headers],[Agency]])),COLUMNS($F$7:AI$7))))</f>
        <v>0</v>
      </c>
      <c r="AJ271" s="2223" cm="1">
        <f t="array" ref="AJ271">IF($D271&lt;COLUMNS($F$7:AJ$7),"",INDEX(TableDiv[[GASB]:[GASB]],_xlfn.AGGREGATE(15,3,(TableDiv[[Agency]:[Agency]]=$E271)/(TableDiv[[Agency]:[Agency]]=$E271)*(ROW(TableDiv[Agency])-ROW(TableDiv[[#Headers],[Agency]])),COLUMNS($F$7:AJ$7))))</f>
        <v>0</v>
      </c>
      <c r="AK271" s="2223" t="str" cm="1">
        <f t="array" ref="AK271">IF($D271&lt;COLUMNS($F$7:AK$7),"",INDEX(TableDiv[[GASB]:[GASB]],_xlfn.AGGREGATE(15,3,(TableDiv[[Agency]:[Agency]]=$E271)/(TableDiv[[Agency]:[Agency]]=$E271)*(ROW(TableDiv[Agency])-ROW(TableDiv[[#Headers],[Agency]])),COLUMNS($F$7:AK$7))))</f>
        <v/>
      </c>
      <c r="AL271" s="2223" t="str" cm="1">
        <f t="array" ref="AL271">IF($D271&lt;COLUMNS($F$7:AL$7),"",INDEX(TableDiv[[GASB]:[GASB]],_xlfn.AGGREGATE(15,3,(TableDiv[[Agency]:[Agency]]=$E271)/(TableDiv[[Agency]:[Agency]]=$E271)*(ROW(TableDiv[Agency])-ROW(TableDiv[[#Headers],[Agency]])),COLUMNS($F$7:AL$7))))</f>
        <v/>
      </c>
      <c r="AM271" s="2223" t="str" cm="1">
        <f t="array" ref="AM271">IF($D271&lt;COLUMNS($F$7:AM$7),"",INDEX(TableDiv[[GASB]:[GASB]],_xlfn.AGGREGATE(15,3,(TableDiv[[Agency]:[Agency]]=$E271)/(TableDiv[[Agency]:[Agency]]=$E271)*(ROW(TableDiv[Agency])-ROW(TableDiv[[#Headers],[Agency]])),COLUMNS($F$7:AM$7))))</f>
        <v/>
      </c>
      <c r="AN271" s="2223"/>
      <c r="AO271" s="2223"/>
      <c r="AP271" s="2223"/>
      <c r="AQ271" s="2223"/>
      <c r="AR271" s="2223"/>
      <c r="AS271" s="2223"/>
    </row>
    <row r="272" spans="1:45" ht="15" x14ac:dyDescent="0.25">
      <c r="A272" s="2219" t="s">
        <v>5117</v>
      </c>
      <c r="B272" s="2219" t="s">
        <v>6372</v>
      </c>
      <c r="C272" s="2223"/>
      <c r="D272" s="2223">
        <f>COUNTIF(TableDiv[Agency],E272)</f>
        <v>31</v>
      </c>
      <c r="E272" s="2230" t="str" cm="1">
        <f t="array" ref="E272">IFERROR(INDEX(TableDiv[Agency],MATCH(0,INDEX(COUNTIF($E$7:E271,TableDiv[Agency]),),0)),"")</f>
        <v/>
      </c>
      <c r="F272" s="2223" cm="1">
        <f t="array" ref="F272">IF($D272&lt;COLUMNS($F$7:F$7),"",INDEX(TableDiv[[GASB]:[GASB]],_xlfn.AGGREGATE(15,3,(TableDiv[[Agency]:[Agency]]=$E272)/(TableDiv[[Agency]:[Agency]]=$E272)*(ROW(TableDiv[Agency])-ROW(TableDiv[[#Headers],[Agency]])),COLUMNS($F$7:F$7))))</f>
        <v>0</v>
      </c>
      <c r="G272" s="2223" cm="1">
        <f t="array" ref="G272">IF($D272&lt;COLUMNS($F$7:G$7),"",INDEX(TableDiv[[GASB]:[GASB]],_xlfn.AGGREGATE(15,3,(TableDiv[[Agency]:[Agency]]=$E272)/(TableDiv[[Agency]:[Agency]]=$E272)*(ROW(TableDiv[Agency])-ROW(TableDiv[[#Headers],[Agency]])),COLUMNS($F$7:G$7))))</f>
        <v>0</v>
      </c>
      <c r="H272" s="2223" cm="1">
        <f t="array" ref="H272">IF($D272&lt;COLUMNS($F$7:H$7),"",INDEX(TableDiv[[GASB]:[GASB]],_xlfn.AGGREGATE(15,3,(TableDiv[[Agency]:[Agency]]=$E272)/(TableDiv[[Agency]:[Agency]]=$E272)*(ROW(TableDiv[Agency])-ROW(TableDiv[[#Headers],[Agency]])),COLUMNS($F$7:H$7))))</f>
        <v>0</v>
      </c>
      <c r="I272" s="2223" cm="1">
        <f t="array" ref="I272">IF($D272&lt;COLUMNS($F$7:I$7),"",INDEX(TableDiv[[GASB]:[GASB]],_xlfn.AGGREGATE(15,3,(TableDiv[[Agency]:[Agency]]=$E272)/(TableDiv[[Agency]:[Agency]]=$E272)*(ROW(TableDiv[Agency])-ROW(TableDiv[[#Headers],[Agency]])),COLUMNS($F$7:I$7))))</f>
        <v>0</v>
      </c>
      <c r="J272" s="2223" cm="1">
        <f t="array" ref="J272">IF($D272&lt;COLUMNS($F$7:J$7),"",INDEX(TableDiv[[GASB]:[GASB]],_xlfn.AGGREGATE(15,3,(TableDiv[[Agency]:[Agency]]=$E272)/(TableDiv[[Agency]:[Agency]]=$E272)*(ROW(TableDiv[Agency])-ROW(TableDiv[[#Headers],[Agency]])),COLUMNS($F$7:J$7))))</f>
        <v>0</v>
      </c>
      <c r="K272" s="2223" cm="1">
        <f t="array" ref="K272">IF($D272&lt;COLUMNS($F$7:K$7),"",INDEX(TableDiv[[GASB]:[GASB]],_xlfn.AGGREGATE(15,3,(TableDiv[[Agency]:[Agency]]=$E272)/(TableDiv[[Agency]:[Agency]]=$E272)*(ROW(TableDiv[Agency])-ROW(TableDiv[[#Headers],[Agency]])),COLUMNS($F$7:K$7))))</f>
        <v>0</v>
      </c>
      <c r="L272" s="2223" cm="1">
        <f t="array" ref="L272">IF($D272&lt;COLUMNS($F$7:L$7),"",INDEX(TableDiv[[GASB]:[GASB]],_xlfn.AGGREGATE(15,3,(TableDiv[[Agency]:[Agency]]=$E272)/(TableDiv[[Agency]:[Agency]]=$E272)*(ROW(TableDiv[Agency])-ROW(TableDiv[[#Headers],[Agency]])),COLUMNS($F$7:L$7))))</f>
        <v>0</v>
      </c>
      <c r="M272" s="2223" cm="1">
        <f t="array" ref="M272">IF($D272&lt;COLUMNS($F$7:M$7),"",INDEX(TableDiv[[GASB]:[GASB]],_xlfn.AGGREGATE(15,3,(TableDiv[[Agency]:[Agency]]=$E272)/(TableDiv[[Agency]:[Agency]]=$E272)*(ROW(TableDiv[Agency])-ROW(TableDiv[[#Headers],[Agency]])),COLUMNS($F$7:M$7))))</f>
        <v>0</v>
      </c>
      <c r="N272" s="2223" cm="1">
        <f t="array" ref="N272">IF($D272&lt;COLUMNS($F$7:N$7),"",INDEX(TableDiv[[GASB]:[GASB]],_xlfn.AGGREGATE(15,3,(TableDiv[[Agency]:[Agency]]=$E272)/(TableDiv[[Agency]:[Agency]]=$E272)*(ROW(TableDiv[Agency])-ROW(TableDiv[[#Headers],[Agency]])),COLUMNS($F$7:N$7))))</f>
        <v>0</v>
      </c>
      <c r="O272" s="2223" cm="1">
        <f t="array" ref="O272">IF($D272&lt;COLUMNS($F$7:O$7),"",INDEX(TableDiv[[GASB]:[GASB]],_xlfn.AGGREGATE(15,3,(TableDiv[[Agency]:[Agency]]=$E272)/(TableDiv[[Agency]:[Agency]]=$E272)*(ROW(TableDiv[Agency])-ROW(TableDiv[[#Headers],[Agency]])),COLUMNS($F$7:O$7))))</f>
        <v>0</v>
      </c>
      <c r="P272" s="2223" cm="1">
        <f t="array" ref="P272">IF($D272&lt;COLUMNS($F$7:P$7),"",INDEX(TableDiv[[GASB]:[GASB]],_xlfn.AGGREGATE(15,3,(TableDiv[[Agency]:[Agency]]=$E272)/(TableDiv[[Agency]:[Agency]]=$E272)*(ROW(TableDiv[Agency])-ROW(TableDiv[[#Headers],[Agency]])),COLUMNS($F$7:P$7))))</f>
        <v>0</v>
      </c>
      <c r="Q272" s="2223" cm="1">
        <f t="array" ref="Q272">IF($D272&lt;COLUMNS($F$7:Q$7),"",INDEX(TableDiv[[GASB]:[GASB]],_xlfn.AGGREGATE(15,3,(TableDiv[[Agency]:[Agency]]=$E272)/(TableDiv[[Agency]:[Agency]]=$E272)*(ROW(TableDiv[Agency])-ROW(TableDiv[[#Headers],[Agency]])),COLUMNS($F$7:Q$7))))</f>
        <v>0</v>
      </c>
      <c r="R272" s="2223" cm="1">
        <f t="array" ref="R272">IF($D272&lt;COLUMNS($F$7:R$7),"",INDEX(TableDiv[[GASB]:[GASB]],_xlfn.AGGREGATE(15,3,(TableDiv[[Agency]:[Agency]]=$E272)/(TableDiv[[Agency]:[Agency]]=$E272)*(ROW(TableDiv[Agency])-ROW(TableDiv[[#Headers],[Agency]])),COLUMNS($F$7:R$7))))</f>
        <v>0</v>
      </c>
      <c r="S272" s="2223" cm="1">
        <f t="array" ref="S272">IF($D272&lt;COLUMNS($F$7:S$7),"",INDEX(TableDiv[[GASB]:[GASB]],_xlfn.AGGREGATE(15,3,(TableDiv[[Agency]:[Agency]]=$E272)/(TableDiv[[Agency]:[Agency]]=$E272)*(ROW(TableDiv[Agency])-ROW(TableDiv[[#Headers],[Agency]])),COLUMNS($F$7:S$7))))</f>
        <v>0</v>
      </c>
      <c r="T272" s="2223" cm="1">
        <f t="array" ref="T272">IF($D272&lt;COLUMNS($F$7:T$7),"",INDEX(TableDiv[[GASB]:[GASB]],_xlfn.AGGREGATE(15,3,(TableDiv[[Agency]:[Agency]]=$E272)/(TableDiv[[Agency]:[Agency]]=$E272)*(ROW(TableDiv[Agency])-ROW(TableDiv[[#Headers],[Agency]])),COLUMNS($F$7:T$7))))</f>
        <v>0</v>
      </c>
      <c r="U272" s="2223" cm="1">
        <f t="array" ref="U272">IF($D272&lt;COLUMNS($F$7:U$7),"",INDEX(TableDiv[[GASB]:[GASB]],_xlfn.AGGREGATE(15,3,(TableDiv[[Agency]:[Agency]]=$E272)/(TableDiv[[Agency]:[Agency]]=$E272)*(ROW(TableDiv[Agency])-ROW(TableDiv[[#Headers],[Agency]])),COLUMNS($F$7:U$7))))</f>
        <v>0</v>
      </c>
      <c r="V272" s="2223" cm="1">
        <f t="array" ref="V272">IF($D272&lt;COLUMNS($F$7:V$7),"",INDEX(TableDiv[[GASB]:[GASB]],_xlfn.AGGREGATE(15,3,(TableDiv[[Agency]:[Agency]]=$E272)/(TableDiv[[Agency]:[Agency]]=$E272)*(ROW(TableDiv[Agency])-ROW(TableDiv[[#Headers],[Agency]])),COLUMNS($F$7:V$7))))</f>
        <v>0</v>
      </c>
      <c r="W272" s="2223" cm="1">
        <f t="array" ref="W272">IF($D272&lt;COLUMNS($F$7:W$7),"",INDEX(TableDiv[[GASB]:[GASB]],_xlfn.AGGREGATE(15,3,(TableDiv[[Agency]:[Agency]]=$E272)/(TableDiv[[Agency]:[Agency]]=$E272)*(ROW(TableDiv[Agency])-ROW(TableDiv[[#Headers],[Agency]])),COLUMNS($F$7:W$7))))</f>
        <v>0</v>
      </c>
      <c r="X272" s="2223" cm="1">
        <f t="array" ref="X272">IF($D272&lt;COLUMNS($F$7:X$7),"",INDEX(TableDiv[[GASB]:[GASB]],_xlfn.AGGREGATE(15,3,(TableDiv[[Agency]:[Agency]]=$E272)/(TableDiv[[Agency]:[Agency]]=$E272)*(ROW(TableDiv[Agency])-ROW(TableDiv[[#Headers],[Agency]])),COLUMNS($F$7:X$7))))</f>
        <v>0</v>
      </c>
      <c r="Y272" s="2223" cm="1">
        <f t="array" ref="Y272">IF($D272&lt;COLUMNS($F$7:Y$7),"",INDEX(TableDiv[[GASB]:[GASB]],_xlfn.AGGREGATE(15,3,(TableDiv[[Agency]:[Agency]]=$E272)/(TableDiv[[Agency]:[Agency]]=$E272)*(ROW(TableDiv[Agency])-ROW(TableDiv[[#Headers],[Agency]])),COLUMNS($F$7:Y$7))))</f>
        <v>0</v>
      </c>
      <c r="Z272" s="2223" cm="1">
        <f t="array" ref="Z272">IF($D272&lt;COLUMNS($F$7:Z$7),"",INDEX(TableDiv[[GASB]:[GASB]],_xlfn.AGGREGATE(15,3,(TableDiv[[Agency]:[Agency]]=$E272)/(TableDiv[[Agency]:[Agency]]=$E272)*(ROW(TableDiv[Agency])-ROW(TableDiv[[#Headers],[Agency]])),COLUMNS($F$7:Z$7))))</f>
        <v>0</v>
      </c>
      <c r="AA272" s="2223" cm="1">
        <f t="array" ref="AA272">IF($D272&lt;COLUMNS($F$7:AA$7),"",INDEX(TableDiv[[GASB]:[GASB]],_xlfn.AGGREGATE(15,3,(TableDiv[[Agency]:[Agency]]=$E272)/(TableDiv[[Agency]:[Agency]]=$E272)*(ROW(TableDiv[Agency])-ROW(TableDiv[[#Headers],[Agency]])),COLUMNS($F$7:AA$7))))</f>
        <v>0</v>
      </c>
      <c r="AB272" s="2223" cm="1">
        <f t="array" ref="AB272">IF($D272&lt;COLUMNS($F$7:AB$7),"",INDEX(TableDiv[[GASB]:[GASB]],_xlfn.AGGREGATE(15,3,(TableDiv[[Agency]:[Agency]]=$E272)/(TableDiv[[Agency]:[Agency]]=$E272)*(ROW(TableDiv[Agency])-ROW(TableDiv[[#Headers],[Agency]])),COLUMNS($F$7:AB$7))))</f>
        <v>0</v>
      </c>
      <c r="AC272" s="2223" cm="1">
        <f t="array" ref="AC272">IF($D272&lt;COLUMNS($F$7:AC$7),"",INDEX(TableDiv[[GASB]:[GASB]],_xlfn.AGGREGATE(15,3,(TableDiv[[Agency]:[Agency]]=$E272)/(TableDiv[[Agency]:[Agency]]=$E272)*(ROW(TableDiv[Agency])-ROW(TableDiv[[#Headers],[Agency]])),COLUMNS($F$7:AC$7))))</f>
        <v>0</v>
      </c>
      <c r="AD272" s="2223" cm="1">
        <f t="array" ref="AD272">IF($D272&lt;COLUMNS($F$7:AD$7),"",INDEX(TableDiv[[GASB]:[GASB]],_xlfn.AGGREGATE(15,3,(TableDiv[[Agency]:[Agency]]=$E272)/(TableDiv[[Agency]:[Agency]]=$E272)*(ROW(TableDiv[Agency])-ROW(TableDiv[[#Headers],[Agency]])),COLUMNS($F$7:AD$7))))</f>
        <v>0</v>
      </c>
      <c r="AE272" s="2223" cm="1">
        <f t="array" ref="AE272">IF($D272&lt;COLUMNS($F$7:AE$7),"",INDEX(TableDiv[[GASB]:[GASB]],_xlfn.AGGREGATE(15,3,(TableDiv[[Agency]:[Agency]]=$E272)/(TableDiv[[Agency]:[Agency]]=$E272)*(ROW(TableDiv[Agency])-ROW(TableDiv[[#Headers],[Agency]])),COLUMNS($F$7:AE$7))))</f>
        <v>0</v>
      </c>
      <c r="AF272" s="2223" cm="1">
        <f t="array" ref="AF272">IF($D272&lt;COLUMNS($F$7:AF$7),"",INDEX(TableDiv[[GASB]:[GASB]],_xlfn.AGGREGATE(15,3,(TableDiv[[Agency]:[Agency]]=$E272)/(TableDiv[[Agency]:[Agency]]=$E272)*(ROW(TableDiv[Agency])-ROW(TableDiv[[#Headers],[Agency]])),COLUMNS($F$7:AF$7))))</f>
        <v>0</v>
      </c>
      <c r="AG272" s="2223" cm="1">
        <f t="array" ref="AG272">IF($D272&lt;COLUMNS($F$7:AG$7),"",INDEX(TableDiv[[GASB]:[GASB]],_xlfn.AGGREGATE(15,3,(TableDiv[[Agency]:[Agency]]=$E272)/(TableDiv[[Agency]:[Agency]]=$E272)*(ROW(TableDiv[Agency])-ROW(TableDiv[[#Headers],[Agency]])),COLUMNS($F$7:AG$7))))</f>
        <v>0</v>
      </c>
      <c r="AH272" s="2223" cm="1">
        <f t="array" ref="AH272">IF($D272&lt;COLUMNS($F$7:AH$7),"",INDEX(TableDiv[[GASB]:[GASB]],_xlfn.AGGREGATE(15,3,(TableDiv[[Agency]:[Agency]]=$E272)/(TableDiv[[Agency]:[Agency]]=$E272)*(ROW(TableDiv[Agency])-ROW(TableDiv[[#Headers],[Agency]])),COLUMNS($F$7:AH$7))))</f>
        <v>0</v>
      </c>
      <c r="AI272" s="2223" cm="1">
        <f t="array" ref="AI272">IF($D272&lt;COLUMNS($F$7:AI$7),"",INDEX(TableDiv[[GASB]:[GASB]],_xlfn.AGGREGATE(15,3,(TableDiv[[Agency]:[Agency]]=$E272)/(TableDiv[[Agency]:[Agency]]=$E272)*(ROW(TableDiv[Agency])-ROW(TableDiv[[#Headers],[Agency]])),COLUMNS($F$7:AI$7))))</f>
        <v>0</v>
      </c>
      <c r="AJ272" s="2223" cm="1">
        <f t="array" ref="AJ272">IF($D272&lt;COLUMNS($F$7:AJ$7),"",INDEX(TableDiv[[GASB]:[GASB]],_xlfn.AGGREGATE(15,3,(TableDiv[[Agency]:[Agency]]=$E272)/(TableDiv[[Agency]:[Agency]]=$E272)*(ROW(TableDiv[Agency])-ROW(TableDiv[[#Headers],[Agency]])),COLUMNS($F$7:AJ$7))))</f>
        <v>0</v>
      </c>
      <c r="AK272" s="2223" t="str" cm="1">
        <f t="array" ref="AK272">IF($D272&lt;COLUMNS($F$7:AK$7),"",INDEX(TableDiv[[GASB]:[GASB]],_xlfn.AGGREGATE(15,3,(TableDiv[[Agency]:[Agency]]=$E272)/(TableDiv[[Agency]:[Agency]]=$E272)*(ROW(TableDiv[Agency])-ROW(TableDiv[[#Headers],[Agency]])),COLUMNS($F$7:AK$7))))</f>
        <v/>
      </c>
      <c r="AL272" s="2223" t="str" cm="1">
        <f t="array" ref="AL272">IF($D272&lt;COLUMNS($F$7:AL$7),"",INDEX(TableDiv[[GASB]:[GASB]],_xlfn.AGGREGATE(15,3,(TableDiv[[Agency]:[Agency]]=$E272)/(TableDiv[[Agency]:[Agency]]=$E272)*(ROW(TableDiv[Agency])-ROW(TableDiv[[#Headers],[Agency]])),COLUMNS($F$7:AL$7))))</f>
        <v/>
      </c>
      <c r="AM272" s="2223" t="str" cm="1">
        <f t="array" ref="AM272">IF($D272&lt;COLUMNS($F$7:AM$7),"",INDEX(TableDiv[[GASB]:[GASB]],_xlfn.AGGREGATE(15,3,(TableDiv[[Agency]:[Agency]]=$E272)/(TableDiv[[Agency]:[Agency]]=$E272)*(ROW(TableDiv[Agency])-ROW(TableDiv[[#Headers],[Agency]])),COLUMNS($F$7:AM$7))))</f>
        <v/>
      </c>
      <c r="AN272" s="2223"/>
      <c r="AO272" s="2223"/>
      <c r="AP272" s="2223"/>
      <c r="AQ272" s="2223"/>
      <c r="AR272" s="2223"/>
      <c r="AS272" s="2223"/>
    </row>
    <row r="273" spans="1:45" ht="15" x14ac:dyDescent="0.25">
      <c r="A273" s="2219" t="s">
        <v>5117</v>
      </c>
      <c r="B273" s="2219" t="s">
        <v>6361</v>
      </c>
      <c r="C273" s="2223"/>
      <c r="D273" s="2223">
        <f>COUNTIF(TableDiv[Agency],E273)</f>
        <v>31</v>
      </c>
      <c r="E273" s="2230" t="str" cm="1">
        <f t="array" ref="E273">IFERROR(INDEX(TableDiv[Agency],MATCH(0,INDEX(COUNTIF($E$7:E272,TableDiv[Agency]),),0)),"")</f>
        <v/>
      </c>
      <c r="F273" s="2223" cm="1">
        <f t="array" ref="F273">IF($D273&lt;COLUMNS($F$7:F$7),"",INDEX(TableDiv[[GASB]:[GASB]],_xlfn.AGGREGATE(15,3,(TableDiv[[Agency]:[Agency]]=$E273)/(TableDiv[[Agency]:[Agency]]=$E273)*(ROW(TableDiv[Agency])-ROW(TableDiv[[#Headers],[Agency]])),COLUMNS($F$7:F$7))))</f>
        <v>0</v>
      </c>
      <c r="G273" s="2223" cm="1">
        <f t="array" ref="G273">IF($D273&lt;COLUMNS($F$7:G$7),"",INDEX(TableDiv[[GASB]:[GASB]],_xlfn.AGGREGATE(15,3,(TableDiv[[Agency]:[Agency]]=$E273)/(TableDiv[[Agency]:[Agency]]=$E273)*(ROW(TableDiv[Agency])-ROW(TableDiv[[#Headers],[Agency]])),COLUMNS($F$7:G$7))))</f>
        <v>0</v>
      </c>
      <c r="H273" s="2223" cm="1">
        <f t="array" ref="H273">IF($D273&lt;COLUMNS($F$7:H$7),"",INDEX(TableDiv[[GASB]:[GASB]],_xlfn.AGGREGATE(15,3,(TableDiv[[Agency]:[Agency]]=$E273)/(TableDiv[[Agency]:[Agency]]=$E273)*(ROW(TableDiv[Agency])-ROW(TableDiv[[#Headers],[Agency]])),COLUMNS($F$7:H$7))))</f>
        <v>0</v>
      </c>
      <c r="I273" s="2223" cm="1">
        <f t="array" ref="I273">IF($D273&lt;COLUMNS($F$7:I$7),"",INDEX(TableDiv[[GASB]:[GASB]],_xlfn.AGGREGATE(15,3,(TableDiv[[Agency]:[Agency]]=$E273)/(TableDiv[[Agency]:[Agency]]=$E273)*(ROW(TableDiv[Agency])-ROW(TableDiv[[#Headers],[Agency]])),COLUMNS($F$7:I$7))))</f>
        <v>0</v>
      </c>
      <c r="J273" s="2223" cm="1">
        <f t="array" ref="J273">IF($D273&lt;COLUMNS($F$7:J$7),"",INDEX(TableDiv[[GASB]:[GASB]],_xlfn.AGGREGATE(15,3,(TableDiv[[Agency]:[Agency]]=$E273)/(TableDiv[[Agency]:[Agency]]=$E273)*(ROW(TableDiv[Agency])-ROW(TableDiv[[#Headers],[Agency]])),COLUMNS($F$7:J$7))))</f>
        <v>0</v>
      </c>
      <c r="K273" s="2223" cm="1">
        <f t="array" ref="K273">IF($D273&lt;COLUMNS($F$7:K$7),"",INDEX(TableDiv[[GASB]:[GASB]],_xlfn.AGGREGATE(15,3,(TableDiv[[Agency]:[Agency]]=$E273)/(TableDiv[[Agency]:[Agency]]=$E273)*(ROW(TableDiv[Agency])-ROW(TableDiv[[#Headers],[Agency]])),COLUMNS($F$7:K$7))))</f>
        <v>0</v>
      </c>
      <c r="L273" s="2223" cm="1">
        <f t="array" ref="L273">IF($D273&lt;COLUMNS($F$7:L$7),"",INDEX(TableDiv[[GASB]:[GASB]],_xlfn.AGGREGATE(15,3,(TableDiv[[Agency]:[Agency]]=$E273)/(TableDiv[[Agency]:[Agency]]=$E273)*(ROW(TableDiv[Agency])-ROW(TableDiv[[#Headers],[Agency]])),COLUMNS($F$7:L$7))))</f>
        <v>0</v>
      </c>
      <c r="M273" s="2223" cm="1">
        <f t="array" ref="M273">IF($D273&lt;COLUMNS($F$7:M$7),"",INDEX(TableDiv[[GASB]:[GASB]],_xlfn.AGGREGATE(15,3,(TableDiv[[Agency]:[Agency]]=$E273)/(TableDiv[[Agency]:[Agency]]=$E273)*(ROW(TableDiv[Agency])-ROW(TableDiv[[#Headers],[Agency]])),COLUMNS($F$7:M$7))))</f>
        <v>0</v>
      </c>
      <c r="N273" s="2223" cm="1">
        <f t="array" ref="N273">IF($D273&lt;COLUMNS($F$7:N$7),"",INDEX(TableDiv[[GASB]:[GASB]],_xlfn.AGGREGATE(15,3,(TableDiv[[Agency]:[Agency]]=$E273)/(TableDiv[[Agency]:[Agency]]=$E273)*(ROW(TableDiv[Agency])-ROW(TableDiv[[#Headers],[Agency]])),COLUMNS($F$7:N$7))))</f>
        <v>0</v>
      </c>
      <c r="O273" s="2223" cm="1">
        <f t="array" ref="O273">IF($D273&lt;COLUMNS($F$7:O$7),"",INDEX(TableDiv[[GASB]:[GASB]],_xlfn.AGGREGATE(15,3,(TableDiv[[Agency]:[Agency]]=$E273)/(TableDiv[[Agency]:[Agency]]=$E273)*(ROW(TableDiv[Agency])-ROW(TableDiv[[#Headers],[Agency]])),COLUMNS($F$7:O$7))))</f>
        <v>0</v>
      </c>
      <c r="P273" s="2223" cm="1">
        <f t="array" ref="P273">IF($D273&lt;COLUMNS($F$7:P$7),"",INDEX(TableDiv[[GASB]:[GASB]],_xlfn.AGGREGATE(15,3,(TableDiv[[Agency]:[Agency]]=$E273)/(TableDiv[[Agency]:[Agency]]=$E273)*(ROW(TableDiv[Agency])-ROW(TableDiv[[#Headers],[Agency]])),COLUMNS($F$7:P$7))))</f>
        <v>0</v>
      </c>
      <c r="Q273" s="2223" cm="1">
        <f t="array" ref="Q273">IF($D273&lt;COLUMNS($F$7:Q$7),"",INDEX(TableDiv[[GASB]:[GASB]],_xlfn.AGGREGATE(15,3,(TableDiv[[Agency]:[Agency]]=$E273)/(TableDiv[[Agency]:[Agency]]=$E273)*(ROW(TableDiv[Agency])-ROW(TableDiv[[#Headers],[Agency]])),COLUMNS($F$7:Q$7))))</f>
        <v>0</v>
      </c>
      <c r="R273" s="2223" cm="1">
        <f t="array" ref="R273">IF($D273&lt;COLUMNS($F$7:R$7),"",INDEX(TableDiv[[GASB]:[GASB]],_xlfn.AGGREGATE(15,3,(TableDiv[[Agency]:[Agency]]=$E273)/(TableDiv[[Agency]:[Agency]]=$E273)*(ROW(TableDiv[Agency])-ROW(TableDiv[[#Headers],[Agency]])),COLUMNS($F$7:R$7))))</f>
        <v>0</v>
      </c>
      <c r="S273" s="2223" cm="1">
        <f t="array" ref="S273">IF($D273&lt;COLUMNS($F$7:S$7),"",INDEX(TableDiv[[GASB]:[GASB]],_xlfn.AGGREGATE(15,3,(TableDiv[[Agency]:[Agency]]=$E273)/(TableDiv[[Agency]:[Agency]]=$E273)*(ROW(TableDiv[Agency])-ROW(TableDiv[[#Headers],[Agency]])),COLUMNS($F$7:S$7))))</f>
        <v>0</v>
      </c>
      <c r="T273" s="2223" cm="1">
        <f t="array" ref="T273">IF($D273&lt;COLUMNS($F$7:T$7),"",INDEX(TableDiv[[GASB]:[GASB]],_xlfn.AGGREGATE(15,3,(TableDiv[[Agency]:[Agency]]=$E273)/(TableDiv[[Agency]:[Agency]]=$E273)*(ROW(TableDiv[Agency])-ROW(TableDiv[[#Headers],[Agency]])),COLUMNS($F$7:T$7))))</f>
        <v>0</v>
      </c>
      <c r="U273" s="2223" cm="1">
        <f t="array" ref="U273">IF($D273&lt;COLUMNS($F$7:U$7),"",INDEX(TableDiv[[GASB]:[GASB]],_xlfn.AGGREGATE(15,3,(TableDiv[[Agency]:[Agency]]=$E273)/(TableDiv[[Agency]:[Agency]]=$E273)*(ROW(TableDiv[Agency])-ROW(TableDiv[[#Headers],[Agency]])),COLUMNS($F$7:U$7))))</f>
        <v>0</v>
      </c>
      <c r="V273" s="2223" cm="1">
        <f t="array" ref="V273">IF($D273&lt;COLUMNS($F$7:V$7),"",INDEX(TableDiv[[GASB]:[GASB]],_xlfn.AGGREGATE(15,3,(TableDiv[[Agency]:[Agency]]=$E273)/(TableDiv[[Agency]:[Agency]]=$E273)*(ROW(TableDiv[Agency])-ROW(TableDiv[[#Headers],[Agency]])),COLUMNS($F$7:V$7))))</f>
        <v>0</v>
      </c>
      <c r="W273" s="2223" cm="1">
        <f t="array" ref="W273">IF($D273&lt;COLUMNS($F$7:W$7),"",INDEX(TableDiv[[GASB]:[GASB]],_xlfn.AGGREGATE(15,3,(TableDiv[[Agency]:[Agency]]=$E273)/(TableDiv[[Agency]:[Agency]]=$E273)*(ROW(TableDiv[Agency])-ROW(TableDiv[[#Headers],[Agency]])),COLUMNS($F$7:W$7))))</f>
        <v>0</v>
      </c>
      <c r="X273" s="2223" cm="1">
        <f t="array" ref="X273">IF($D273&lt;COLUMNS($F$7:X$7),"",INDEX(TableDiv[[GASB]:[GASB]],_xlfn.AGGREGATE(15,3,(TableDiv[[Agency]:[Agency]]=$E273)/(TableDiv[[Agency]:[Agency]]=$E273)*(ROW(TableDiv[Agency])-ROW(TableDiv[[#Headers],[Agency]])),COLUMNS($F$7:X$7))))</f>
        <v>0</v>
      </c>
      <c r="Y273" s="2223" cm="1">
        <f t="array" ref="Y273">IF($D273&lt;COLUMNS($F$7:Y$7),"",INDEX(TableDiv[[GASB]:[GASB]],_xlfn.AGGREGATE(15,3,(TableDiv[[Agency]:[Agency]]=$E273)/(TableDiv[[Agency]:[Agency]]=$E273)*(ROW(TableDiv[Agency])-ROW(TableDiv[[#Headers],[Agency]])),COLUMNS($F$7:Y$7))))</f>
        <v>0</v>
      </c>
      <c r="Z273" s="2223" cm="1">
        <f t="array" ref="Z273">IF($D273&lt;COLUMNS($F$7:Z$7),"",INDEX(TableDiv[[GASB]:[GASB]],_xlfn.AGGREGATE(15,3,(TableDiv[[Agency]:[Agency]]=$E273)/(TableDiv[[Agency]:[Agency]]=$E273)*(ROW(TableDiv[Agency])-ROW(TableDiv[[#Headers],[Agency]])),COLUMNS($F$7:Z$7))))</f>
        <v>0</v>
      </c>
      <c r="AA273" s="2223" cm="1">
        <f t="array" ref="AA273">IF($D273&lt;COLUMNS($F$7:AA$7),"",INDEX(TableDiv[[GASB]:[GASB]],_xlfn.AGGREGATE(15,3,(TableDiv[[Agency]:[Agency]]=$E273)/(TableDiv[[Agency]:[Agency]]=$E273)*(ROW(TableDiv[Agency])-ROW(TableDiv[[#Headers],[Agency]])),COLUMNS($F$7:AA$7))))</f>
        <v>0</v>
      </c>
      <c r="AB273" s="2223" cm="1">
        <f t="array" ref="AB273">IF($D273&lt;COLUMNS($F$7:AB$7),"",INDEX(TableDiv[[GASB]:[GASB]],_xlfn.AGGREGATE(15,3,(TableDiv[[Agency]:[Agency]]=$E273)/(TableDiv[[Agency]:[Agency]]=$E273)*(ROW(TableDiv[Agency])-ROW(TableDiv[[#Headers],[Agency]])),COLUMNS($F$7:AB$7))))</f>
        <v>0</v>
      </c>
      <c r="AC273" s="2223" cm="1">
        <f t="array" ref="AC273">IF($D273&lt;COLUMNS($F$7:AC$7),"",INDEX(TableDiv[[GASB]:[GASB]],_xlfn.AGGREGATE(15,3,(TableDiv[[Agency]:[Agency]]=$E273)/(TableDiv[[Agency]:[Agency]]=$E273)*(ROW(TableDiv[Agency])-ROW(TableDiv[[#Headers],[Agency]])),COLUMNS($F$7:AC$7))))</f>
        <v>0</v>
      </c>
      <c r="AD273" s="2223" cm="1">
        <f t="array" ref="AD273">IF($D273&lt;COLUMNS($F$7:AD$7),"",INDEX(TableDiv[[GASB]:[GASB]],_xlfn.AGGREGATE(15,3,(TableDiv[[Agency]:[Agency]]=$E273)/(TableDiv[[Agency]:[Agency]]=$E273)*(ROW(TableDiv[Agency])-ROW(TableDiv[[#Headers],[Agency]])),COLUMNS($F$7:AD$7))))</f>
        <v>0</v>
      </c>
      <c r="AE273" s="2223" cm="1">
        <f t="array" ref="AE273">IF($D273&lt;COLUMNS($F$7:AE$7),"",INDEX(TableDiv[[GASB]:[GASB]],_xlfn.AGGREGATE(15,3,(TableDiv[[Agency]:[Agency]]=$E273)/(TableDiv[[Agency]:[Agency]]=$E273)*(ROW(TableDiv[Agency])-ROW(TableDiv[[#Headers],[Agency]])),COLUMNS($F$7:AE$7))))</f>
        <v>0</v>
      </c>
      <c r="AF273" s="2223" cm="1">
        <f t="array" ref="AF273">IF($D273&lt;COLUMNS($F$7:AF$7),"",INDEX(TableDiv[[GASB]:[GASB]],_xlfn.AGGREGATE(15,3,(TableDiv[[Agency]:[Agency]]=$E273)/(TableDiv[[Agency]:[Agency]]=$E273)*(ROW(TableDiv[Agency])-ROW(TableDiv[[#Headers],[Agency]])),COLUMNS($F$7:AF$7))))</f>
        <v>0</v>
      </c>
      <c r="AG273" s="2223" cm="1">
        <f t="array" ref="AG273">IF($D273&lt;COLUMNS($F$7:AG$7),"",INDEX(TableDiv[[GASB]:[GASB]],_xlfn.AGGREGATE(15,3,(TableDiv[[Agency]:[Agency]]=$E273)/(TableDiv[[Agency]:[Agency]]=$E273)*(ROW(TableDiv[Agency])-ROW(TableDiv[[#Headers],[Agency]])),COLUMNS($F$7:AG$7))))</f>
        <v>0</v>
      </c>
      <c r="AH273" s="2223" cm="1">
        <f t="array" ref="AH273">IF($D273&lt;COLUMNS($F$7:AH$7),"",INDEX(TableDiv[[GASB]:[GASB]],_xlfn.AGGREGATE(15,3,(TableDiv[[Agency]:[Agency]]=$E273)/(TableDiv[[Agency]:[Agency]]=$E273)*(ROW(TableDiv[Agency])-ROW(TableDiv[[#Headers],[Agency]])),COLUMNS($F$7:AH$7))))</f>
        <v>0</v>
      </c>
      <c r="AI273" s="2223" cm="1">
        <f t="array" ref="AI273">IF($D273&lt;COLUMNS($F$7:AI$7),"",INDEX(TableDiv[[GASB]:[GASB]],_xlfn.AGGREGATE(15,3,(TableDiv[[Agency]:[Agency]]=$E273)/(TableDiv[[Agency]:[Agency]]=$E273)*(ROW(TableDiv[Agency])-ROW(TableDiv[[#Headers],[Agency]])),COLUMNS($F$7:AI$7))))</f>
        <v>0</v>
      </c>
      <c r="AJ273" s="2223" cm="1">
        <f t="array" ref="AJ273">IF($D273&lt;COLUMNS($F$7:AJ$7),"",INDEX(TableDiv[[GASB]:[GASB]],_xlfn.AGGREGATE(15,3,(TableDiv[[Agency]:[Agency]]=$E273)/(TableDiv[[Agency]:[Agency]]=$E273)*(ROW(TableDiv[Agency])-ROW(TableDiv[[#Headers],[Agency]])),COLUMNS($F$7:AJ$7))))</f>
        <v>0</v>
      </c>
      <c r="AK273" s="2223" t="str" cm="1">
        <f t="array" ref="AK273">IF($D273&lt;COLUMNS($F$7:AK$7),"",INDEX(TableDiv[[GASB]:[GASB]],_xlfn.AGGREGATE(15,3,(TableDiv[[Agency]:[Agency]]=$E273)/(TableDiv[[Agency]:[Agency]]=$E273)*(ROW(TableDiv[Agency])-ROW(TableDiv[[#Headers],[Agency]])),COLUMNS($F$7:AK$7))))</f>
        <v/>
      </c>
      <c r="AL273" s="2223" t="str" cm="1">
        <f t="array" ref="AL273">IF($D273&lt;COLUMNS($F$7:AL$7),"",INDEX(TableDiv[[GASB]:[GASB]],_xlfn.AGGREGATE(15,3,(TableDiv[[Agency]:[Agency]]=$E273)/(TableDiv[[Agency]:[Agency]]=$E273)*(ROW(TableDiv[Agency])-ROW(TableDiv[[#Headers],[Agency]])),COLUMNS($F$7:AL$7))))</f>
        <v/>
      </c>
      <c r="AM273" s="2223" t="str" cm="1">
        <f t="array" ref="AM273">IF($D273&lt;COLUMNS($F$7:AM$7),"",INDEX(TableDiv[[GASB]:[GASB]],_xlfn.AGGREGATE(15,3,(TableDiv[[Agency]:[Agency]]=$E273)/(TableDiv[[Agency]:[Agency]]=$E273)*(ROW(TableDiv[Agency])-ROW(TableDiv[[#Headers],[Agency]])),COLUMNS($F$7:AM$7))))</f>
        <v/>
      </c>
      <c r="AN273" s="2223"/>
      <c r="AO273" s="2223"/>
      <c r="AP273" s="2223"/>
      <c r="AQ273" s="2223"/>
      <c r="AR273" s="2223"/>
      <c r="AS273" s="2223"/>
    </row>
    <row r="274" spans="1:45" ht="15" x14ac:dyDescent="0.25">
      <c r="A274" s="2219" t="s">
        <v>5117</v>
      </c>
      <c r="B274" s="2219" t="s">
        <v>6471</v>
      </c>
      <c r="C274" s="2223"/>
      <c r="D274" s="2223">
        <f>COUNTIF(TableDiv[Agency],E274)</f>
        <v>31</v>
      </c>
      <c r="E274" s="2230" t="str" cm="1">
        <f t="array" ref="E274">IFERROR(INDEX(TableDiv[Agency],MATCH(0,INDEX(COUNTIF($E$7:E273,TableDiv[Agency]),),0)),"")</f>
        <v/>
      </c>
      <c r="F274" s="2223" cm="1">
        <f t="array" ref="F274">IF($D274&lt;COLUMNS($F$7:F$7),"",INDEX(TableDiv[[GASB]:[GASB]],_xlfn.AGGREGATE(15,3,(TableDiv[[Agency]:[Agency]]=$E274)/(TableDiv[[Agency]:[Agency]]=$E274)*(ROW(TableDiv[Agency])-ROW(TableDiv[[#Headers],[Agency]])),COLUMNS($F$7:F$7))))</f>
        <v>0</v>
      </c>
      <c r="G274" s="2223" cm="1">
        <f t="array" ref="G274">IF($D274&lt;COLUMNS($F$7:G$7),"",INDEX(TableDiv[[GASB]:[GASB]],_xlfn.AGGREGATE(15,3,(TableDiv[[Agency]:[Agency]]=$E274)/(TableDiv[[Agency]:[Agency]]=$E274)*(ROW(TableDiv[Agency])-ROW(TableDiv[[#Headers],[Agency]])),COLUMNS($F$7:G$7))))</f>
        <v>0</v>
      </c>
      <c r="H274" s="2223" cm="1">
        <f t="array" ref="H274">IF($D274&lt;COLUMNS($F$7:H$7),"",INDEX(TableDiv[[GASB]:[GASB]],_xlfn.AGGREGATE(15,3,(TableDiv[[Agency]:[Agency]]=$E274)/(TableDiv[[Agency]:[Agency]]=$E274)*(ROW(TableDiv[Agency])-ROW(TableDiv[[#Headers],[Agency]])),COLUMNS($F$7:H$7))))</f>
        <v>0</v>
      </c>
      <c r="I274" s="2223" cm="1">
        <f t="array" ref="I274">IF($D274&lt;COLUMNS($F$7:I$7),"",INDEX(TableDiv[[GASB]:[GASB]],_xlfn.AGGREGATE(15,3,(TableDiv[[Agency]:[Agency]]=$E274)/(TableDiv[[Agency]:[Agency]]=$E274)*(ROW(TableDiv[Agency])-ROW(TableDiv[[#Headers],[Agency]])),COLUMNS($F$7:I$7))))</f>
        <v>0</v>
      </c>
      <c r="J274" s="2223" cm="1">
        <f t="array" ref="J274">IF($D274&lt;COLUMNS($F$7:J$7),"",INDEX(TableDiv[[GASB]:[GASB]],_xlfn.AGGREGATE(15,3,(TableDiv[[Agency]:[Agency]]=$E274)/(TableDiv[[Agency]:[Agency]]=$E274)*(ROW(TableDiv[Agency])-ROW(TableDiv[[#Headers],[Agency]])),COLUMNS($F$7:J$7))))</f>
        <v>0</v>
      </c>
      <c r="K274" s="2223" cm="1">
        <f t="array" ref="K274">IF($D274&lt;COLUMNS($F$7:K$7),"",INDEX(TableDiv[[GASB]:[GASB]],_xlfn.AGGREGATE(15,3,(TableDiv[[Agency]:[Agency]]=$E274)/(TableDiv[[Agency]:[Agency]]=$E274)*(ROW(TableDiv[Agency])-ROW(TableDiv[[#Headers],[Agency]])),COLUMNS($F$7:K$7))))</f>
        <v>0</v>
      </c>
      <c r="L274" s="2223" cm="1">
        <f t="array" ref="L274">IF($D274&lt;COLUMNS($F$7:L$7),"",INDEX(TableDiv[[GASB]:[GASB]],_xlfn.AGGREGATE(15,3,(TableDiv[[Agency]:[Agency]]=$E274)/(TableDiv[[Agency]:[Agency]]=$E274)*(ROW(TableDiv[Agency])-ROW(TableDiv[[#Headers],[Agency]])),COLUMNS($F$7:L$7))))</f>
        <v>0</v>
      </c>
      <c r="M274" s="2223" cm="1">
        <f t="array" ref="M274">IF($D274&lt;COLUMNS($F$7:M$7),"",INDEX(TableDiv[[GASB]:[GASB]],_xlfn.AGGREGATE(15,3,(TableDiv[[Agency]:[Agency]]=$E274)/(TableDiv[[Agency]:[Agency]]=$E274)*(ROW(TableDiv[Agency])-ROW(TableDiv[[#Headers],[Agency]])),COLUMNS($F$7:M$7))))</f>
        <v>0</v>
      </c>
      <c r="N274" s="2223" cm="1">
        <f t="array" ref="N274">IF($D274&lt;COLUMNS($F$7:N$7),"",INDEX(TableDiv[[GASB]:[GASB]],_xlfn.AGGREGATE(15,3,(TableDiv[[Agency]:[Agency]]=$E274)/(TableDiv[[Agency]:[Agency]]=$E274)*(ROW(TableDiv[Agency])-ROW(TableDiv[[#Headers],[Agency]])),COLUMNS($F$7:N$7))))</f>
        <v>0</v>
      </c>
      <c r="O274" s="2223" cm="1">
        <f t="array" ref="O274">IF($D274&lt;COLUMNS($F$7:O$7),"",INDEX(TableDiv[[GASB]:[GASB]],_xlfn.AGGREGATE(15,3,(TableDiv[[Agency]:[Agency]]=$E274)/(TableDiv[[Agency]:[Agency]]=$E274)*(ROW(TableDiv[Agency])-ROW(TableDiv[[#Headers],[Agency]])),COLUMNS($F$7:O$7))))</f>
        <v>0</v>
      </c>
      <c r="P274" s="2223" cm="1">
        <f t="array" ref="P274">IF($D274&lt;COLUMNS($F$7:P$7),"",INDEX(TableDiv[[GASB]:[GASB]],_xlfn.AGGREGATE(15,3,(TableDiv[[Agency]:[Agency]]=$E274)/(TableDiv[[Agency]:[Agency]]=$E274)*(ROW(TableDiv[Agency])-ROW(TableDiv[[#Headers],[Agency]])),COLUMNS($F$7:P$7))))</f>
        <v>0</v>
      </c>
      <c r="Q274" s="2223" cm="1">
        <f t="array" ref="Q274">IF($D274&lt;COLUMNS($F$7:Q$7),"",INDEX(TableDiv[[GASB]:[GASB]],_xlfn.AGGREGATE(15,3,(TableDiv[[Agency]:[Agency]]=$E274)/(TableDiv[[Agency]:[Agency]]=$E274)*(ROW(TableDiv[Agency])-ROW(TableDiv[[#Headers],[Agency]])),COLUMNS($F$7:Q$7))))</f>
        <v>0</v>
      </c>
      <c r="R274" s="2223" cm="1">
        <f t="array" ref="R274">IF($D274&lt;COLUMNS($F$7:R$7),"",INDEX(TableDiv[[GASB]:[GASB]],_xlfn.AGGREGATE(15,3,(TableDiv[[Agency]:[Agency]]=$E274)/(TableDiv[[Agency]:[Agency]]=$E274)*(ROW(TableDiv[Agency])-ROW(TableDiv[[#Headers],[Agency]])),COLUMNS($F$7:R$7))))</f>
        <v>0</v>
      </c>
      <c r="S274" s="2223" cm="1">
        <f t="array" ref="S274">IF($D274&lt;COLUMNS($F$7:S$7),"",INDEX(TableDiv[[GASB]:[GASB]],_xlfn.AGGREGATE(15,3,(TableDiv[[Agency]:[Agency]]=$E274)/(TableDiv[[Agency]:[Agency]]=$E274)*(ROW(TableDiv[Agency])-ROW(TableDiv[[#Headers],[Agency]])),COLUMNS($F$7:S$7))))</f>
        <v>0</v>
      </c>
      <c r="T274" s="2223" cm="1">
        <f t="array" ref="T274">IF($D274&lt;COLUMNS($F$7:T$7),"",INDEX(TableDiv[[GASB]:[GASB]],_xlfn.AGGREGATE(15,3,(TableDiv[[Agency]:[Agency]]=$E274)/(TableDiv[[Agency]:[Agency]]=$E274)*(ROW(TableDiv[Agency])-ROW(TableDiv[[#Headers],[Agency]])),COLUMNS($F$7:T$7))))</f>
        <v>0</v>
      </c>
      <c r="U274" s="2223" cm="1">
        <f t="array" ref="U274">IF($D274&lt;COLUMNS($F$7:U$7),"",INDEX(TableDiv[[GASB]:[GASB]],_xlfn.AGGREGATE(15,3,(TableDiv[[Agency]:[Agency]]=$E274)/(TableDiv[[Agency]:[Agency]]=$E274)*(ROW(TableDiv[Agency])-ROW(TableDiv[[#Headers],[Agency]])),COLUMNS($F$7:U$7))))</f>
        <v>0</v>
      </c>
      <c r="V274" s="2223" cm="1">
        <f t="array" ref="V274">IF($D274&lt;COLUMNS($F$7:V$7),"",INDEX(TableDiv[[GASB]:[GASB]],_xlfn.AGGREGATE(15,3,(TableDiv[[Agency]:[Agency]]=$E274)/(TableDiv[[Agency]:[Agency]]=$E274)*(ROW(TableDiv[Agency])-ROW(TableDiv[[#Headers],[Agency]])),COLUMNS($F$7:V$7))))</f>
        <v>0</v>
      </c>
      <c r="W274" s="2223" cm="1">
        <f t="array" ref="W274">IF($D274&lt;COLUMNS($F$7:W$7),"",INDEX(TableDiv[[GASB]:[GASB]],_xlfn.AGGREGATE(15,3,(TableDiv[[Agency]:[Agency]]=$E274)/(TableDiv[[Agency]:[Agency]]=$E274)*(ROW(TableDiv[Agency])-ROW(TableDiv[[#Headers],[Agency]])),COLUMNS($F$7:W$7))))</f>
        <v>0</v>
      </c>
      <c r="X274" s="2223" cm="1">
        <f t="array" ref="X274">IF($D274&lt;COLUMNS($F$7:X$7),"",INDEX(TableDiv[[GASB]:[GASB]],_xlfn.AGGREGATE(15,3,(TableDiv[[Agency]:[Agency]]=$E274)/(TableDiv[[Agency]:[Agency]]=$E274)*(ROW(TableDiv[Agency])-ROW(TableDiv[[#Headers],[Agency]])),COLUMNS($F$7:X$7))))</f>
        <v>0</v>
      </c>
      <c r="Y274" s="2223" cm="1">
        <f t="array" ref="Y274">IF($D274&lt;COLUMNS($F$7:Y$7),"",INDEX(TableDiv[[GASB]:[GASB]],_xlfn.AGGREGATE(15,3,(TableDiv[[Agency]:[Agency]]=$E274)/(TableDiv[[Agency]:[Agency]]=$E274)*(ROW(TableDiv[Agency])-ROW(TableDiv[[#Headers],[Agency]])),COLUMNS($F$7:Y$7))))</f>
        <v>0</v>
      </c>
      <c r="Z274" s="2223" cm="1">
        <f t="array" ref="Z274">IF($D274&lt;COLUMNS($F$7:Z$7),"",INDEX(TableDiv[[GASB]:[GASB]],_xlfn.AGGREGATE(15,3,(TableDiv[[Agency]:[Agency]]=$E274)/(TableDiv[[Agency]:[Agency]]=$E274)*(ROW(TableDiv[Agency])-ROW(TableDiv[[#Headers],[Agency]])),COLUMNS($F$7:Z$7))))</f>
        <v>0</v>
      </c>
      <c r="AA274" s="2223" cm="1">
        <f t="array" ref="AA274">IF($D274&lt;COLUMNS($F$7:AA$7),"",INDEX(TableDiv[[GASB]:[GASB]],_xlfn.AGGREGATE(15,3,(TableDiv[[Agency]:[Agency]]=$E274)/(TableDiv[[Agency]:[Agency]]=$E274)*(ROW(TableDiv[Agency])-ROW(TableDiv[[#Headers],[Agency]])),COLUMNS($F$7:AA$7))))</f>
        <v>0</v>
      </c>
      <c r="AB274" s="2223" cm="1">
        <f t="array" ref="AB274">IF($D274&lt;COLUMNS($F$7:AB$7),"",INDEX(TableDiv[[GASB]:[GASB]],_xlfn.AGGREGATE(15,3,(TableDiv[[Agency]:[Agency]]=$E274)/(TableDiv[[Agency]:[Agency]]=$E274)*(ROW(TableDiv[Agency])-ROW(TableDiv[[#Headers],[Agency]])),COLUMNS($F$7:AB$7))))</f>
        <v>0</v>
      </c>
      <c r="AC274" s="2223" cm="1">
        <f t="array" ref="AC274">IF($D274&lt;COLUMNS($F$7:AC$7),"",INDEX(TableDiv[[GASB]:[GASB]],_xlfn.AGGREGATE(15,3,(TableDiv[[Agency]:[Agency]]=$E274)/(TableDiv[[Agency]:[Agency]]=$E274)*(ROW(TableDiv[Agency])-ROW(TableDiv[[#Headers],[Agency]])),COLUMNS($F$7:AC$7))))</f>
        <v>0</v>
      </c>
      <c r="AD274" s="2223" cm="1">
        <f t="array" ref="AD274">IF($D274&lt;COLUMNS($F$7:AD$7),"",INDEX(TableDiv[[GASB]:[GASB]],_xlfn.AGGREGATE(15,3,(TableDiv[[Agency]:[Agency]]=$E274)/(TableDiv[[Agency]:[Agency]]=$E274)*(ROW(TableDiv[Agency])-ROW(TableDiv[[#Headers],[Agency]])),COLUMNS($F$7:AD$7))))</f>
        <v>0</v>
      </c>
      <c r="AE274" s="2223" cm="1">
        <f t="array" ref="AE274">IF($D274&lt;COLUMNS($F$7:AE$7),"",INDEX(TableDiv[[GASB]:[GASB]],_xlfn.AGGREGATE(15,3,(TableDiv[[Agency]:[Agency]]=$E274)/(TableDiv[[Agency]:[Agency]]=$E274)*(ROW(TableDiv[Agency])-ROW(TableDiv[[#Headers],[Agency]])),COLUMNS($F$7:AE$7))))</f>
        <v>0</v>
      </c>
      <c r="AF274" s="2223" cm="1">
        <f t="array" ref="AF274">IF($D274&lt;COLUMNS($F$7:AF$7),"",INDEX(TableDiv[[GASB]:[GASB]],_xlfn.AGGREGATE(15,3,(TableDiv[[Agency]:[Agency]]=$E274)/(TableDiv[[Agency]:[Agency]]=$E274)*(ROW(TableDiv[Agency])-ROW(TableDiv[[#Headers],[Agency]])),COLUMNS($F$7:AF$7))))</f>
        <v>0</v>
      </c>
      <c r="AG274" s="2223" cm="1">
        <f t="array" ref="AG274">IF($D274&lt;COLUMNS($F$7:AG$7),"",INDEX(TableDiv[[GASB]:[GASB]],_xlfn.AGGREGATE(15,3,(TableDiv[[Agency]:[Agency]]=$E274)/(TableDiv[[Agency]:[Agency]]=$E274)*(ROW(TableDiv[Agency])-ROW(TableDiv[[#Headers],[Agency]])),COLUMNS($F$7:AG$7))))</f>
        <v>0</v>
      </c>
      <c r="AH274" s="2223" cm="1">
        <f t="array" ref="AH274">IF($D274&lt;COLUMNS($F$7:AH$7),"",INDEX(TableDiv[[GASB]:[GASB]],_xlfn.AGGREGATE(15,3,(TableDiv[[Agency]:[Agency]]=$E274)/(TableDiv[[Agency]:[Agency]]=$E274)*(ROW(TableDiv[Agency])-ROW(TableDiv[[#Headers],[Agency]])),COLUMNS($F$7:AH$7))))</f>
        <v>0</v>
      </c>
      <c r="AI274" s="2223" cm="1">
        <f t="array" ref="AI274">IF($D274&lt;COLUMNS($F$7:AI$7),"",INDEX(TableDiv[[GASB]:[GASB]],_xlfn.AGGREGATE(15,3,(TableDiv[[Agency]:[Agency]]=$E274)/(TableDiv[[Agency]:[Agency]]=$E274)*(ROW(TableDiv[Agency])-ROW(TableDiv[[#Headers],[Agency]])),COLUMNS($F$7:AI$7))))</f>
        <v>0</v>
      </c>
      <c r="AJ274" s="2223" cm="1">
        <f t="array" ref="AJ274">IF($D274&lt;COLUMNS($F$7:AJ$7),"",INDEX(TableDiv[[GASB]:[GASB]],_xlfn.AGGREGATE(15,3,(TableDiv[[Agency]:[Agency]]=$E274)/(TableDiv[[Agency]:[Agency]]=$E274)*(ROW(TableDiv[Agency])-ROW(TableDiv[[#Headers],[Agency]])),COLUMNS($F$7:AJ$7))))</f>
        <v>0</v>
      </c>
      <c r="AK274" s="2223" t="str" cm="1">
        <f t="array" ref="AK274">IF($D274&lt;COLUMNS($F$7:AK$7),"",INDEX(TableDiv[[GASB]:[GASB]],_xlfn.AGGREGATE(15,3,(TableDiv[[Agency]:[Agency]]=$E274)/(TableDiv[[Agency]:[Agency]]=$E274)*(ROW(TableDiv[Agency])-ROW(TableDiv[[#Headers],[Agency]])),COLUMNS($F$7:AK$7))))</f>
        <v/>
      </c>
      <c r="AL274" s="2223" t="str" cm="1">
        <f t="array" ref="AL274">IF($D274&lt;COLUMNS($F$7:AL$7),"",INDEX(TableDiv[[GASB]:[GASB]],_xlfn.AGGREGATE(15,3,(TableDiv[[Agency]:[Agency]]=$E274)/(TableDiv[[Agency]:[Agency]]=$E274)*(ROW(TableDiv[Agency])-ROW(TableDiv[[#Headers],[Agency]])),COLUMNS($F$7:AL$7))))</f>
        <v/>
      </c>
      <c r="AM274" s="2223" t="str" cm="1">
        <f t="array" ref="AM274">IF($D274&lt;COLUMNS($F$7:AM$7),"",INDEX(TableDiv[[GASB]:[GASB]],_xlfn.AGGREGATE(15,3,(TableDiv[[Agency]:[Agency]]=$E274)/(TableDiv[[Agency]:[Agency]]=$E274)*(ROW(TableDiv[Agency])-ROW(TableDiv[[#Headers],[Agency]])),COLUMNS($F$7:AM$7))))</f>
        <v/>
      </c>
      <c r="AN274" s="2223"/>
      <c r="AO274" s="2223"/>
      <c r="AP274" s="2223"/>
      <c r="AQ274" s="2223"/>
      <c r="AR274" s="2223"/>
      <c r="AS274" s="2223"/>
    </row>
    <row r="275" spans="1:45" ht="15" x14ac:dyDescent="0.25">
      <c r="A275" s="2219" t="s">
        <v>5117</v>
      </c>
      <c r="B275" s="2219" t="s">
        <v>6472</v>
      </c>
      <c r="C275" s="2223"/>
      <c r="D275" s="2223">
        <f>COUNTIF(TableDiv[Agency],E275)</f>
        <v>31</v>
      </c>
      <c r="E275" s="2230" t="str" cm="1">
        <f t="array" ref="E275">IFERROR(INDEX(TableDiv[Agency],MATCH(0,INDEX(COUNTIF($E$7:E274,TableDiv[Agency]),),0)),"")</f>
        <v/>
      </c>
      <c r="F275" s="2223" cm="1">
        <f t="array" ref="F275">IF($D275&lt;COLUMNS($F$7:F$7),"",INDEX(TableDiv[[GASB]:[GASB]],_xlfn.AGGREGATE(15,3,(TableDiv[[Agency]:[Agency]]=$E275)/(TableDiv[[Agency]:[Agency]]=$E275)*(ROW(TableDiv[Agency])-ROW(TableDiv[[#Headers],[Agency]])),COLUMNS($F$7:F$7))))</f>
        <v>0</v>
      </c>
      <c r="G275" s="2223" cm="1">
        <f t="array" ref="G275">IF($D275&lt;COLUMNS($F$7:G$7),"",INDEX(TableDiv[[GASB]:[GASB]],_xlfn.AGGREGATE(15,3,(TableDiv[[Agency]:[Agency]]=$E275)/(TableDiv[[Agency]:[Agency]]=$E275)*(ROW(TableDiv[Agency])-ROW(TableDiv[[#Headers],[Agency]])),COLUMNS($F$7:G$7))))</f>
        <v>0</v>
      </c>
      <c r="H275" s="2223" cm="1">
        <f t="array" ref="H275">IF($D275&lt;COLUMNS($F$7:H$7),"",INDEX(TableDiv[[GASB]:[GASB]],_xlfn.AGGREGATE(15,3,(TableDiv[[Agency]:[Agency]]=$E275)/(TableDiv[[Agency]:[Agency]]=$E275)*(ROW(TableDiv[Agency])-ROW(TableDiv[[#Headers],[Agency]])),COLUMNS($F$7:H$7))))</f>
        <v>0</v>
      </c>
      <c r="I275" s="2223" cm="1">
        <f t="array" ref="I275">IF($D275&lt;COLUMNS($F$7:I$7),"",INDEX(TableDiv[[GASB]:[GASB]],_xlfn.AGGREGATE(15,3,(TableDiv[[Agency]:[Agency]]=$E275)/(TableDiv[[Agency]:[Agency]]=$E275)*(ROW(TableDiv[Agency])-ROW(TableDiv[[#Headers],[Agency]])),COLUMNS($F$7:I$7))))</f>
        <v>0</v>
      </c>
      <c r="J275" s="2223" cm="1">
        <f t="array" ref="J275">IF($D275&lt;COLUMNS($F$7:J$7),"",INDEX(TableDiv[[GASB]:[GASB]],_xlfn.AGGREGATE(15,3,(TableDiv[[Agency]:[Agency]]=$E275)/(TableDiv[[Agency]:[Agency]]=$E275)*(ROW(TableDiv[Agency])-ROW(TableDiv[[#Headers],[Agency]])),COLUMNS($F$7:J$7))))</f>
        <v>0</v>
      </c>
      <c r="K275" s="2223" cm="1">
        <f t="array" ref="K275">IF($D275&lt;COLUMNS($F$7:K$7),"",INDEX(TableDiv[[GASB]:[GASB]],_xlfn.AGGREGATE(15,3,(TableDiv[[Agency]:[Agency]]=$E275)/(TableDiv[[Agency]:[Agency]]=$E275)*(ROW(TableDiv[Agency])-ROW(TableDiv[[#Headers],[Agency]])),COLUMNS($F$7:K$7))))</f>
        <v>0</v>
      </c>
      <c r="L275" s="2223" cm="1">
        <f t="array" ref="L275">IF($D275&lt;COLUMNS($F$7:L$7),"",INDEX(TableDiv[[GASB]:[GASB]],_xlfn.AGGREGATE(15,3,(TableDiv[[Agency]:[Agency]]=$E275)/(TableDiv[[Agency]:[Agency]]=$E275)*(ROW(TableDiv[Agency])-ROW(TableDiv[[#Headers],[Agency]])),COLUMNS($F$7:L$7))))</f>
        <v>0</v>
      </c>
      <c r="M275" s="2223" cm="1">
        <f t="array" ref="M275">IF($D275&lt;COLUMNS($F$7:M$7),"",INDEX(TableDiv[[GASB]:[GASB]],_xlfn.AGGREGATE(15,3,(TableDiv[[Agency]:[Agency]]=$E275)/(TableDiv[[Agency]:[Agency]]=$E275)*(ROW(TableDiv[Agency])-ROW(TableDiv[[#Headers],[Agency]])),COLUMNS($F$7:M$7))))</f>
        <v>0</v>
      </c>
      <c r="N275" s="2223" cm="1">
        <f t="array" ref="N275">IF($D275&lt;COLUMNS($F$7:N$7),"",INDEX(TableDiv[[GASB]:[GASB]],_xlfn.AGGREGATE(15,3,(TableDiv[[Agency]:[Agency]]=$E275)/(TableDiv[[Agency]:[Agency]]=$E275)*(ROW(TableDiv[Agency])-ROW(TableDiv[[#Headers],[Agency]])),COLUMNS($F$7:N$7))))</f>
        <v>0</v>
      </c>
      <c r="O275" s="2223" cm="1">
        <f t="array" ref="O275">IF($D275&lt;COLUMNS($F$7:O$7),"",INDEX(TableDiv[[GASB]:[GASB]],_xlfn.AGGREGATE(15,3,(TableDiv[[Agency]:[Agency]]=$E275)/(TableDiv[[Agency]:[Agency]]=$E275)*(ROW(TableDiv[Agency])-ROW(TableDiv[[#Headers],[Agency]])),COLUMNS($F$7:O$7))))</f>
        <v>0</v>
      </c>
      <c r="P275" s="2223" cm="1">
        <f t="array" ref="P275">IF($D275&lt;COLUMNS($F$7:P$7),"",INDEX(TableDiv[[GASB]:[GASB]],_xlfn.AGGREGATE(15,3,(TableDiv[[Agency]:[Agency]]=$E275)/(TableDiv[[Agency]:[Agency]]=$E275)*(ROW(TableDiv[Agency])-ROW(TableDiv[[#Headers],[Agency]])),COLUMNS($F$7:P$7))))</f>
        <v>0</v>
      </c>
      <c r="Q275" s="2223" cm="1">
        <f t="array" ref="Q275">IF($D275&lt;COLUMNS($F$7:Q$7),"",INDEX(TableDiv[[GASB]:[GASB]],_xlfn.AGGREGATE(15,3,(TableDiv[[Agency]:[Agency]]=$E275)/(TableDiv[[Agency]:[Agency]]=$E275)*(ROW(TableDiv[Agency])-ROW(TableDiv[[#Headers],[Agency]])),COLUMNS($F$7:Q$7))))</f>
        <v>0</v>
      </c>
      <c r="R275" s="2223" cm="1">
        <f t="array" ref="R275">IF($D275&lt;COLUMNS($F$7:R$7),"",INDEX(TableDiv[[GASB]:[GASB]],_xlfn.AGGREGATE(15,3,(TableDiv[[Agency]:[Agency]]=$E275)/(TableDiv[[Agency]:[Agency]]=$E275)*(ROW(TableDiv[Agency])-ROW(TableDiv[[#Headers],[Agency]])),COLUMNS($F$7:R$7))))</f>
        <v>0</v>
      </c>
      <c r="S275" s="2223" cm="1">
        <f t="array" ref="S275">IF($D275&lt;COLUMNS($F$7:S$7),"",INDEX(TableDiv[[GASB]:[GASB]],_xlfn.AGGREGATE(15,3,(TableDiv[[Agency]:[Agency]]=$E275)/(TableDiv[[Agency]:[Agency]]=$E275)*(ROW(TableDiv[Agency])-ROW(TableDiv[[#Headers],[Agency]])),COLUMNS($F$7:S$7))))</f>
        <v>0</v>
      </c>
      <c r="T275" s="2223" cm="1">
        <f t="array" ref="T275">IF($D275&lt;COLUMNS($F$7:T$7),"",INDEX(TableDiv[[GASB]:[GASB]],_xlfn.AGGREGATE(15,3,(TableDiv[[Agency]:[Agency]]=$E275)/(TableDiv[[Agency]:[Agency]]=$E275)*(ROW(TableDiv[Agency])-ROW(TableDiv[[#Headers],[Agency]])),COLUMNS($F$7:T$7))))</f>
        <v>0</v>
      </c>
      <c r="U275" s="2223" cm="1">
        <f t="array" ref="U275">IF($D275&lt;COLUMNS($F$7:U$7),"",INDEX(TableDiv[[GASB]:[GASB]],_xlfn.AGGREGATE(15,3,(TableDiv[[Agency]:[Agency]]=$E275)/(TableDiv[[Agency]:[Agency]]=$E275)*(ROW(TableDiv[Agency])-ROW(TableDiv[[#Headers],[Agency]])),COLUMNS($F$7:U$7))))</f>
        <v>0</v>
      </c>
      <c r="V275" s="2223" cm="1">
        <f t="array" ref="V275">IF($D275&lt;COLUMNS($F$7:V$7),"",INDEX(TableDiv[[GASB]:[GASB]],_xlfn.AGGREGATE(15,3,(TableDiv[[Agency]:[Agency]]=$E275)/(TableDiv[[Agency]:[Agency]]=$E275)*(ROW(TableDiv[Agency])-ROW(TableDiv[[#Headers],[Agency]])),COLUMNS($F$7:V$7))))</f>
        <v>0</v>
      </c>
      <c r="W275" s="2223" cm="1">
        <f t="array" ref="W275">IF($D275&lt;COLUMNS($F$7:W$7),"",INDEX(TableDiv[[GASB]:[GASB]],_xlfn.AGGREGATE(15,3,(TableDiv[[Agency]:[Agency]]=$E275)/(TableDiv[[Agency]:[Agency]]=$E275)*(ROW(TableDiv[Agency])-ROW(TableDiv[[#Headers],[Agency]])),COLUMNS($F$7:W$7))))</f>
        <v>0</v>
      </c>
      <c r="X275" s="2223" cm="1">
        <f t="array" ref="X275">IF($D275&lt;COLUMNS($F$7:X$7),"",INDEX(TableDiv[[GASB]:[GASB]],_xlfn.AGGREGATE(15,3,(TableDiv[[Agency]:[Agency]]=$E275)/(TableDiv[[Agency]:[Agency]]=$E275)*(ROW(TableDiv[Agency])-ROW(TableDiv[[#Headers],[Agency]])),COLUMNS($F$7:X$7))))</f>
        <v>0</v>
      </c>
      <c r="Y275" s="2223" cm="1">
        <f t="array" ref="Y275">IF($D275&lt;COLUMNS($F$7:Y$7),"",INDEX(TableDiv[[GASB]:[GASB]],_xlfn.AGGREGATE(15,3,(TableDiv[[Agency]:[Agency]]=$E275)/(TableDiv[[Agency]:[Agency]]=$E275)*(ROW(TableDiv[Agency])-ROW(TableDiv[[#Headers],[Agency]])),COLUMNS($F$7:Y$7))))</f>
        <v>0</v>
      </c>
      <c r="Z275" s="2223" cm="1">
        <f t="array" ref="Z275">IF($D275&lt;COLUMNS($F$7:Z$7),"",INDEX(TableDiv[[GASB]:[GASB]],_xlfn.AGGREGATE(15,3,(TableDiv[[Agency]:[Agency]]=$E275)/(TableDiv[[Agency]:[Agency]]=$E275)*(ROW(TableDiv[Agency])-ROW(TableDiv[[#Headers],[Agency]])),COLUMNS($F$7:Z$7))))</f>
        <v>0</v>
      </c>
      <c r="AA275" s="2223" cm="1">
        <f t="array" ref="AA275">IF($D275&lt;COLUMNS($F$7:AA$7),"",INDEX(TableDiv[[GASB]:[GASB]],_xlfn.AGGREGATE(15,3,(TableDiv[[Agency]:[Agency]]=$E275)/(TableDiv[[Agency]:[Agency]]=$E275)*(ROW(TableDiv[Agency])-ROW(TableDiv[[#Headers],[Agency]])),COLUMNS($F$7:AA$7))))</f>
        <v>0</v>
      </c>
      <c r="AB275" s="2223" cm="1">
        <f t="array" ref="AB275">IF($D275&lt;COLUMNS($F$7:AB$7),"",INDEX(TableDiv[[GASB]:[GASB]],_xlfn.AGGREGATE(15,3,(TableDiv[[Agency]:[Agency]]=$E275)/(TableDiv[[Agency]:[Agency]]=$E275)*(ROW(TableDiv[Agency])-ROW(TableDiv[[#Headers],[Agency]])),COLUMNS($F$7:AB$7))))</f>
        <v>0</v>
      </c>
      <c r="AC275" s="2223" cm="1">
        <f t="array" ref="AC275">IF($D275&lt;COLUMNS($F$7:AC$7),"",INDEX(TableDiv[[GASB]:[GASB]],_xlfn.AGGREGATE(15,3,(TableDiv[[Agency]:[Agency]]=$E275)/(TableDiv[[Agency]:[Agency]]=$E275)*(ROW(TableDiv[Agency])-ROW(TableDiv[[#Headers],[Agency]])),COLUMNS($F$7:AC$7))))</f>
        <v>0</v>
      </c>
      <c r="AD275" s="2223" cm="1">
        <f t="array" ref="AD275">IF($D275&lt;COLUMNS($F$7:AD$7),"",INDEX(TableDiv[[GASB]:[GASB]],_xlfn.AGGREGATE(15,3,(TableDiv[[Agency]:[Agency]]=$E275)/(TableDiv[[Agency]:[Agency]]=$E275)*(ROW(TableDiv[Agency])-ROW(TableDiv[[#Headers],[Agency]])),COLUMNS($F$7:AD$7))))</f>
        <v>0</v>
      </c>
      <c r="AE275" s="2223" cm="1">
        <f t="array" ref="AE275">IF($D275&lt;COLUMNS($F$7:AE$7),"",INDEX(TableDiv[[GASB]:[GASB]],_xlfn.AGGREGATE(15,3,(TableDiv[[Agency]:[Agency]]=$E275)/(TableDiv[[Agency]:[Agency]]=$E275)*(ROW(TableDiv[Agency])-ROW(TableDiv[[#Headers],[Agency]])),COLUMNS($F$7:AE$7))))</f>
        <v>0</v>
      </c>
      <c r="AF275" s="2223" cm="1">
        <f t="array" ref="AF275">IF($D275&lt;COLUMNS($F$7:AF$7),"",INDEX(TableDiv[[GASB]:[GASB]],_xlfn.AGGREGATE(15,3,(TableDiv[[Agency]:[Agency]]=$E275)/(TableDiv[[Agency]:[Agency]]=$E275)*(ROW(TableDiv[Agency])-ROW(TableDiv[[#Headers],[Agency]])),COLUMNS($F$7:AF$7))))</f>
        <v>0</v>
      </c>
      <c r="AG275" s="2223" cm="1">
        <f t="array" ref="AG275">IF($D275&lt;COLUMNS($F$7:AG$7),"",INDEX(TableDiv[[GASB]:[GASB]],_xlfn.AGGREGATE(15,3,(TableDiv[[Agency]:[Agency]]=$E275)/(TableDiv[[Agency]:[Agency]]=$E275)*(ROW(TableDiv[Agency])-ROW(TableDiv[[#Headers],[Agency]])),COLUMNS($F$7:AG$7))))</f>
        <v>0</v>
      </c>
      <c r="AH275" s="2223" cm="1">
        <f t="array" ref="AH275">IF($D275&lt;COLUMNS($F$7:AH$7),"",INDEX(TableDiv[[GASB]:[GASB]],_xlfn.AGGREGATE(15,3,(TableDiv[[Agency]:[Agency]]=$E275)/(TableDiv[[Agency]:[Agency]]=$E275)*(ROW(TableDiv[Agency])-ROW(TableDiv[[#Headers],[Agency]])),COLUMNS($F$7:AH$7))))</f>
        <v>0</v>
      </c>
      <c r="AI275" s="2223" cm="1">
        <f t="array" ref="AI275">IF($D275&lt;COLUMNS($F$7:AI$7),"",INDEX(TableDiv[[GASB]:[GASB]],_xlfn.AGGREGATE(15,3,(TableDiv[[Agency]:[Agency]]=$E275)/(TableDiv[[Agency]:[Agency]]=$E275)*(ROW(TableDiv[Agency])-ROW(TableDiv[[#Headers],[Agency]])),COLUMNS($F$7:AI$7))))</f>
        <v>0</v>
      </c>
      <c r="AJ275" s="2223" cm="1">
        <f t="array" ref="AJ275">IF($D275&lt;COLUMNS($F$7:AJ$7),"",INDEX(TableDiv[[GASB]:[GASB]],_xlfn.AGGREGATE(15,3,(TableDiv[[Agency]:[Agency]]=$E275)/(TableDiv[[Agency]:[Agency]]=$E275)*(ROW(TableDiv[Agency])-ROW(TableDiv[[#Headers],[Agency]])),COLUMNS($F$7:AJ$7))))</f>
        <v>0</v>
      </c>
      <c r="AK275" s="2223" t="str" cm="1">
        <f t="array" ref="AK275">IF($D275&lt;COLUMNS($F$7:AK$7),"",INDEX(TableDiv[[GASB]:[GASB]],_xlfn.AGGREGATE(15,3,(TableDiv[[Agency]:[Agency]]=$E275)/(TableDiv[[Agency]:[Agency]]=$E275)*(ROW(TableDiv[Agency])-ROW(TableDiv[[#Headers],[Agency]])),COLUMNS($F$7:AK$7))))</f>
        <v/>
      </c>
      <c r="AL275" s="2223" t="str" cm="1">
        <f t="array" ref="AL275">IF($D275&lt;COLUMNS($F$7:AL$7),"",INDEX(TableDiv[[GASB]:[GASB]],_xlfn.AGGREGATE(15,3,(TableDiv[[Agency]:[Agency]]=$E275)/(TableDiv[[Agency]:[Agency]]=$E275)*(ROW(TableDiv[Agency])-ROW(TableDiv[[#Headers],[Agency]])),COLUMNS($F$7:AL$7))))</f>
        <v/>
      </c>
      <c r="AM275" s="2223" t="str" cm="1">
        <f t="array" ref="AM275">IF($D275&lt;COLUMNS($F$7:AM$7),"",INDEX(TableDiv[[GASB]:[GASB]],_xlfn.AGGREGATE(15,3,(TableDiv[[Agency]:[Agency]]=$E275)/(TableDiv[[Agency]:[Agency]]=$E275)*(ROW(TableDiv[Agency])-ROW(TableDiv[[#Headers],[Agency]])),COLUMNS($F$7:AM$7))))</f>
        <v/>
      </c>
      <c r="AN275" s="2223"/>
      <c r="AO275" s="2223"/>
      <c r="AP275" s="2223"/>
      <c r="AQ275" s="2223"/>
      <c r="AR275" s="2223"/>
      <c r="AS275" s="2223"/>
    </row>
    <row r="276" spans="1:45" ht="15" x14ac:dyDescent="0.25">
      <c r="A276" s="2219" t="s">
        <v>5117</v>
      </c>
      <c r="B276" s="2219" t="s">
        <v>6358</v>
      </c>
      <c r="C276" s="2223"/>
      <c r="D276" s="2223">
        <f>COUNTIF(TableDiv[Agency],E276)</f>
        <v>31</v>
      </c>
      <c r="E276" s="2230" t="str" cm="1">
        <f t="array" ref="E276">IFERROR(INDEX(TableDiv[Agency],MATCH(0,INDEX(COUNTIF($E$7:E275,TableDiv[Agency]),),0)),"")</f>
        <v/>
      </c>
      <c r="F276" s="2223" cm="1">
        <f t="array" ref="F276">IF($D276&lt;COLUMNS($F$7:F$7),"",INDEX(TableDiv[[GASB]:[GASB]],_xlfn.AGGREGATE(15,3,(TableDiv[[Agency]:[Agency]]=$E276)/(TableDiv[[Agency]:[Agency]]=$E276)*(ROW(TableDiv[Agency])-ROW(TableDiv[[#Headers],[Agency]])),COLUMNS($F$7:F$7))))</f>
        <v>0</v>
      </c>
      <c r="G276" s="2223" cm="1">
        <f t="array" ref="G276">IF($D276&lt;COLUMNS($F$7:G$7),"",INDEX(TableDiv[[GASB]:[GASB]],_xlfn.AGGREGATE(15,3,(TableDiv[[Agency]:[Agency]]=$E276)/(TableDiv[[Agency]:[Agency]]=$E276)*(ROW(TableDiv[Agency])-ROW(TableDiv[[#Headers],[Agency]])),COLUMNS($F$7:G$7))))</f>
        <v>0</v>
      </c>
      <c r="H276" s="2223" cm="1">
        <f t="array" ref="H276">IF($D276&lt;COLUMNS($F$7:H$7),"",INDEX(TableDiv[[GASB]:[GASB]],_xlfn.AGGREGATE(15,3,(TableDiv[[Agency]:[Agency]]=$E276)/(TableDiv[[Agency]:[Agency]]=$E276)*(ROW(TableDiv[Agency])-ROW(TableDiv[[#Headers],[Agency]])),COLUMNS($F$7:H$7))))</f>
        <v>0</v>
      </c>
      <c r="I276" s="2223" cm="1">
        <f t="array" ref="I276">IF($D276&lt;COLUMNS($F$7:I$7),"",INDEX(TableDiv[[GASB]:[GASB]],_xlfn.AGGREGATE(15,3,(TableDiv[[Agency]:[Agency]]=$E276)/(TableDiv[[Agency]:[Agency]]=$E276)*(ROW(TableDiv[Agency])-ROW(TableDiv[[#Headers],[Agency]])),COLUMNS($F$7:I$7))))</f>
        <v>0</v>
      </c>
      <c r="J276" s="2223" cm="1">
        <f t="array" ref="J276">IF($D276&lt;COLUMNS($F$7:J$7),"",INDEX(TableDiv[[GASB]:[GASB]],_xlfn.AGGREGATE(15,3,(TableDiv[[Agency]:[Agency]]=$E276)/(TableDiv[[Agency]:[Agency]]=$E276)*(ROW(TableDiv[Agency])-ROW(TableDiv[[#Headers],[Agency]])),COLUMNS($F$7:J$7))))</f>
        <v>0</v>
      </c>
      <c r="K276" s="2223" cm="1">
        <f t="array" ref="K276">IF($D276&lt;COLUMNS($F$7:K$7),"",INDEX(TableDiv[[GASB]:[GASB]],_xlfn.AGGREGATE(15,3,(TableDiv[[Agency]:[Agency]]=$E276)/(TableDiv[[Agency]:[Agency]]=$E276)*(ROW(TableDiv[Agency])-ROW(TableDiv[[#Headers],[Agency]])),COLUMNS($F$7:K$7))))</f>
        <v>0</v>
      </c>
      <c r="L276" s="2223" cm="1">
        <f t="array" ref="L276">IF($D276&lt;COLUMNS($F$7:L$7),"",INDEX(TableDiv[[GASB]:[GASB]],_xlfn.AGGREGATE(15,3,(TableDiv[[Agency]:[Agency]]=$E276)/(TableDiv[[Agency]:[Agency]]=$E276)*(ROW(TableDiv[Agency])-ROW(TableDiv[[#Headers],[Agency]])),COLUMNS($F$7:L$7))))</f>
        <v>0</v>
      </c>
      <c r="M276" s="2223" cm="1">
        <f t="array" ref="M276">IF($D276&lt;COLUMNS($F$7:M$7),"",INDEX(TableDiv[[GASB]:[GASB]],_xlfn.AGGREGATE(15,3,(TableDiv[[Agency]:[Agency]]=$E276)/(TableDiv[[Agency]:[Agency]]=$E276)*(ROW(TableDiv[Agency])-ROW(TableDiv[[#Headers],[Agency]])),COLUMNS($F$7:M$7))))</f>
        <v>0</v>
      </c>
      <c r="N276" s="2223" cm="1">
        <f t="array" ref="N276">IF($D276&lt;COLUMNS($F$7:N$7),"",INDEX(TableDiv[[GASB]:[GASB]],_xlfn.AGGREGATE(15,3,(TableDiv[[Agency]:[Agency]]=$E276)/(TableDiv[[Agency]:[Agency]]=$E276)*(ROW(TableDiv[Agency])-ROW(TableDiv[[#Headers],[Agency]])),COLUMNS($F$7:N$7))))</f>
        <v>0</v>
      </c>
      <c r="O276" s="2223" cm="1">
        <f t="array" ref="O276">IF($D276&lt;COLUMNS($F$7:O$7),"",INDEX(TableDiv[[GASB]:[GASB]],_xlfn.AGGREGATE(15,3,(TableDiv[[Agency]:[Agency]]=$E276)/(TableDiv[[Agency]:[Agency]]=$E276)*(ROW(TableDiv[Agency])-ROW(TableDiv[[#Headers],[Agency]])),COLUMNS($F$7:O$7))))</f>
        <v>0</v>
      </c>
      <c r="P276" s="2223" cm="1">
        <f t="array" ref="P276">IF($D276&lt;COLUMNS($F$7:P$7),"",INDEX(TableDiv[[GASB]:[GASB]],_xlfn.AGGREGATE(15,3,(TableDiv[[Agency]:[Agency]]=$E276)/(TableDiv[[Agency]:[Agency]]=$E276)*(ROW(TableDiv[Agency])-ROW(TableDiv[[#Headers],[Agency]])),COLUMNS($F$7:P$7))))</f>
        <v>0</v>
      </c>
      <c r="Q276" s="2223" cm="1">
        <f t="array" ref="Q276">IF($D276&lt;COLUMNS($F$7:Q$7),"",INDEX(TableDiv[[GASB]:[GASB]],_xlfn.AGGREGATE(15,3,(TableDiv[[Agency]:[Agency]]=$E276)/(TableDiv[[Agency]:[Agency]]=$E276)*(ROW(TableDiv[Agency])-ROW(TableDiv[[#Headers],[Agency]])),COLUMNS($F$7:Q$7))))</f>
        <v>0</v>
      </c>
      <c r="R276" s="2223" cm="1">
        <f t="array" ref="R276">IF($D276&lt;COLUMNS($F$7:R$7),"",INDEX(TableDiv[[GASB]:[GASB]],_xlfn.AGGREGATE(15,3,(TableDiv[[Agency]:[Agency]]=$E276)/(TableDiv[[Agency]:[Agency]]=$E276)*(ROW(TableDiv[Agency])-ROW(TableDiv[[#Headers],[Agency]])),COLUMNS($F$7:R$7))))</f>
        <v>0</v>
      </c>
      <c r="S276" s="2223" cm="1">
        <f t="array" ref="S276">IF($D276&lt;COLUMNS($F$7:S$7),"",INDEX(TableDiv[[GASB]:[GASB]],_xlfn.AGGREGATE(15,3,(TableDiv[[Agency]:[Agency]]=$E276)/(TableDiv[[Agency]:[Agency]]=$E276)*(ROW(TableDiv[Agency])-ROW(TableDiv[[#Headers],[Agency]])),COLUMNS($F$7:S$7))))</f>
        <v>0</v>
      </c>
      <c r="T276" s="2223" cm="1">
        <f t="array" ref="T276">IF($D276&lt;COLUMNS($F$7:T$7),"",INDEX(TableDiv[[GASB]:[GASB]],_xlfn.AGGREGATE(15,3,(TableDiv[[Agency]:[Agency]]=$E276)/(TableDiv[[Agency]:[Agency]]=$E276)*(ROW(TableDiv[Agency])-ROW(TableDiv[[#Headers],[Agency]])),COLUMNS($F$7:T$7))))</f>
        <v>0</v>
      </c>
      <c r="U276" s="2223" cm="1">
        <f t="array" ref="U276">IF($D276&lt;COLUMNS($F$7:U$7),"",INDEX(TableDiv[[GASB]:[GASB]],_xlfn.AGGREGATE(15,3,(TableDiv[[Agency]:[Agency]]=$E276)/(TableDiv[[Agency]:[Agency]]=$E276)*(ROW(TableDiv[Agency])-ROW(TableDiv[[#Headers],[Agency]])),COLUMNS($F$7:U$7))))</f>
        <v>0</v>
      </c>
      <c r="V276" s="2223" cm="1">
        <f t="array" ref="V276">IF($D276&lt;COLUMNS($F$7:V$7),"",INDEX(TableDiv[[GASB]:[GASB]],_xlfn.AGGREGATE(15,3,(TableDiv[[Agency]:[Agency]]=$E276)/(TableDiv[[Agency]:[Agency]]=$E276)*(ROW(TableDiv[Agency])-ROW(TableDiv[[#Headers],[Agency]])),COLUMNS($F$7:V$7))))</f>
        <v>0</v>
      </c>
      <c r="W276" s="2223" cm="1">
        <f t="array" ref="W276">IF($D276&lt;COLUMNS($F$7:W$7),"",INDEX(TableDiv[[GASB]:[GASB]],_xlfn.AGGREGATE(15,3,(TableDiv[[Agency]:[Agency]]=$E276)/(TableDiv[[Agency]:[Agency]]=$E276)*(ROW(TableDiv[Agency])-ROW(TableDiv[[#Headers],[Agency]])),COLUMNS($F$7:W$7))))</f>
        <v>0</v>
      </c>
      <c r="X276" s="2223" cm="1">
        <f t="array" ref="X276">IF($D276&lt;COLUMNS($F$7:X$7),"",INDEX(TableDiv[[GASB]:[GASB]],_xlfn.AGGREGATE(15,3,(TableDiv[[Agency]:[Agency]]=$E276)/(TableDiv[[Agency]:[Agency]]=$E276)*(ROW(TableDiv[Agency])-ROW(TableDiv[[#Headers],[Agency]])),COLUMNS($F$7:X$7))))</f>
        <v>0</v>
      </c>
      <c r="Y276" s="2223" cm="1">
        <f t="array" ref="Y276">IF($D276&lt;COLUMNS($F$7:Y$7),"",INDEX(TableDiv[[GASB]:[GASB]],_xlfn.AGGREGATE(15,3,(TableDiv[[Agency]:[Agency]]=$E276)/(TableDiv[[Agency]:[Agency]]=$E276)*(ROW(TableDiv[Agency])-ROW(TableDiv[[#Headers],[Agency]])),COLUMNS($F$7:Y$7))))</f>
        <v>0</v>
      </c>
      <c r="Z276" s="2223" cm="1">
        <f t="array" ref="Z276">IF($D276&lt;COLUMNS($F$7:Z$7),"",INDEX(TableDiv[[GASB]:[GASB]],_xlfn.AGGREGATE(15,3,(TableDiv[[Agency]:[Agency]]=$E276)/(TableDiv[[Agency]:[Agency]]=$E276)*(ROW(TableDiv[Agency])-ROW(TableDiv[[#Headers],[Agency]])),COLUMNS($F$7:Z$7))))</f>
        <v>0</v>
      </c>
      <c r="AA276" s="2223" cm="1">
        <f t="array" ref="AA276">IF($D276&lt;COLUMNS($F$7:AA$7),"",INDEX(TableDiv[[GASB]:[GASB]],_xlfn.AGGREGATE(15,3,(TableDiv[[Agency]:[Agency]]=$E276)/(TableDiv[[Agency]:[Agency]]=$E276)*(ROW(TableDiv[Agency])-ROW(TableDiv[[#Headers],[Agency]])),COLUMNS($F$7:AA$7))))</f>
        <v>0</v>
      </c>
      <c r="AB276" s="2223" cm="1">
        <f t="array" ref="AB276">IF($D276&lt;COLUMNS($F$7:AB$7),"",INDEX(TableDiv[[GASB]:[GASB]],_xlfn.AGGREGATE(15,3,(TableDiv[[Agency]:[Agency]]=$E276)/(TableDiv[[Agency]:[Agency]]=$E276)*(ROW(TableDiv[Agency])-ROW(TableDiv[[#Headers],[Agency]])),COLUMNS($F$7:AB$7))))</f>
        <v>0</v>
      </c>
      <c r="AC276" s="2223" cm="1">
        <f t="array" ref="AC276">IF($D276&lt;COLUMNS($F$7:AC$7),"",INDEX(TableDiv[[GASB]:[GASB]],_xlfn.AGGREGATE(15,3,(TableDiv[[Agency]:[Agency]]=$E276)/(TableDiv[[Agency]:[Agency]]=$E276)*(ROW(TableDiv[Agency])-ROW(TableDiv[[#Headers],[Agency]])),COLUMNS($F$7:AC$7))))</f>
        <v>0</v>
      </c>
      <c r="AD276" s="2223" cm="1">
        <f t="array" ref="AD276">IF($D276&lt;COLUMNS($F$7:AD$7),"",INDEX(TableDiv[[GASB]:[GASB]],_xlfn.AGGREGATE(15,3,(TableDiv[[Agency]:[Agency]]=$E276)/(TableDiv[[Agency]:[Agency]]=$E276)*(ROW(TableDiv[Agency])-ROW(TableDiv[[#Headers],[Agency]])),COLUMNS($F$7:AD$7))))</f>
        <v>0</v>
      </c>
      <c r="AE276" s="2223" cm="1">
        <f t="array" ref="AE276">IF($D276&lt;COLUMNS($F$7:AE$7),"",INDEX(TableDiv[[GASB]:[GASB]],_xlfn.AGGREGATE(15,3,(TableDiv[[Agency]:[Agency]]=$E276)/(TableDiv[[Agency]:[Agency]]=$E276)*(ROW(TableDiv[Agency])-ROW(TableDiv[[#Headers],[Agency]])),COLUMNS($F$7:AE$7))))</f>
        <v>0</v>
      </c>
      <c r="AF276" s="2223" cm="1">
        <f t="array" ref="AF276">IF($D276&lt;COLUMNS($F$7:AF$7),"",INDEX(TableDiv[[GASB]:[GASB]],_xlfn.AGGREGATE(15,3,(TableDiv[[Agency]:[Agency]]=$E276)/(TableDiv[[Agency]:[Agency]]=$E276)*(ROW(TableDiv[Agency])-ROW(TableDiv[[#Headers],[Agency]])),COLUMNS($F$7:AF$7))))</f>
        <v>0</v>
      </c>
      <c r="AG276" s="2223" cm="1">
        <f t="array" ref="AG276">IF($D276&lt;COLUMNS($F$7:AG$7),"",INDEX(TableDiv[[GASB]:[GASB]],_xlfn.AGGREGATE(15,3,(TableDiv[[Agency]:[Agency]]=$E276)/(TableDiv[[Agency]:[Agency]]=$E276)*(ROW(TableDiv[Agency])-ROW(TableDiv[[#Headers],[Agency]])),COLUMNS($F$7:AG$7))))</f>
        <v>0</v>
      </c>
      <c r="AH276" s="2223" cm="1">
        <f t="array" ref="AH276">IF($D276&lt;COLUMNS($F$7:AH$7),"",INDEX(TableDiv[[GASB]:[GASB]],_xlfn.AGGREGATE(15,3,(TableDiv[[Agency]:[Agency]]=$E276)/(TableDiv[[Agency]:[Agency]]=$E276)*(ROW(TableDiv[Agency])-ROW(TableDiv[[#Headers],[Agency]])),COLUMNS($F$7:AH$7))))</f>
        <v>0</v>
      </c>
      <c r="AI276" s="2223" cm="1">
        <f t="array" ref="AI276">IF($D276&lt;COLUMNS($F$7:AI$7),"",INDEX(TableDiv[[GASB]:[GASB]],_xlfn.AGGREGATE(15,3,(TableDiv[[Agency]:[Agency]]=$E276)/(TableDiv[[Agency]:[Agency]]=$E276)*(ROW(TableDiv[Agency])-ROW(TableDiv[[#Headers],[Agency]])),COLUMNS($F$7:AI$7))))</f>
        <v>0</v>
      </c>
      <c r="AJ276" s="2223" cm="1">
        <f t="array" ref="AJ276">IF($D276&lt;COLUMNS($F$7:AJ$7),"",INDEX(TableDiv[[GASB]:[GASB]],_xlfn.AGGREGATE(15,3,(TableDiv[[Agency]:[Agency]]=$E276)/(TableDiv[[Agency]:[Agency]]=$E276)*(ROW(TableDiv[Agency])-ROW(TableDiv[[#Headers],[Agency]])),COLUMNS($F$7:AJ$7))))</f>
        <v>0</v>
      </c>
      <c r="AK276" s="2223" t="str" cm="1">
        <f t="array" ref="AK276">IF($D276&lt;COLUMNS($F$7:AK$7),"",INDEX(TableDiv[[GASB]:[GASB]],_xlfn.AGGREGATE(15,3,(TableDiv[[Agency]:[Agency]]=$E276)/(TableDiv[[Agency]:[Agency]]=$E276)*(ROW(TableDiv[Agency])-ROW(TableDiv[[#Headers],[Agency]])),COLUMNS($F$7:AK$7))))</f>
        <v/>
      </c>
      <c r="AL276" s="2223" t="str" cm="1">
        <f t="array" ref="AL276">IF($D276&lt;COLUMNS($F$7:AL$7),"",INDEX(TableDiv[[GASB]:[GASB]],_xlfn.AGGREGATE(15,3,(TableDiv[[Agency]:[Agency]]=$E276)/(TableDiv[[Agency]:[Agency]]=$E276)*(ROW(TableDiv[Agency])-ROW(TableDiv[[#Headers],[Agency]])),COLUMNS($F$7:AL$7))))</f>
        <v/>
      </c>
      <c r="AM276" s="2223" t="str" cm="1">
        <f t="array" ref="AM276">IF($D276&lt;COLUMNS($F$7:AM$7),"",INDEX(TableDiv[[GASB]:[GASB]],_xlfn.AGGREGATE(15,3,(TableDiv[[Agency]:[Agency]]=$E276)/(TableDiv[[Agency]:[Agency]]=$E276)*(ROW(TableDiv[Agency])-ROW(TableDiv[[#Headers],[Agency]])),COLUMNS($F$7:AM$7))))</f>
        <v/>
      </c>
      <c r="AN276" s="2223"/>
      <c r="AO276" s="2223"/>
      <c r="AP276" s="2223"/>
      <c r="AQ276" s="2223"/>
      <c r="AR276" s="2223"/>
      <c r="AS276" s="2223"/>
    </row>
    <row r="277" spans="1:45" ht="15" x14ac:dyDescent="0.25">
      <c r="A277" s="2219" t="s">
        <v>5117</v>
      </c>
      <c r="B277" s="2219" t="s">
        <v>6368</v>
      </c>
      <c r="C277" s="2223"/>
      <c r="D277" s="2223">
        <f>COUNTIF(TableDiv[Agency],E277)</f>
        <v>31</v>
      </c>
      <c r="E277" s="2230" t="str" cm="1">
        <f t="array" ref="E277">IFERROR(INDEX(TableDiv[Agency],MATCH(0,INDEX(COUNTIF($E$7:E276,TableDiv[Agency]),),0)),"")</f>
        <v/>
      </c>
      <c r="F277" s="2223" cm="1">
        <f t="array" ref="F277">IF($D277&lt;COLUMNS($F$7:F$7),"",INDEX(TableDiv[[GASB]:[GASB]],_xlfn.AGGREGATE(15,3,(TableDiv[[Agency]:[Agency]]=$E277)/(TableDiv[[Agency]:[Agency]]=$E277)*(ROW(TableDiv[Agency])-ROW(TableDiv[[#Headers],[Agency]])),COLUMNS($F$7:F$7))))</f>
        <v>0</v>
      </c>
      <c r="G277" s="2223" cm="1">
        <f t="array" ref="G277">IF($D277&lt;COLUMNS($F$7:G$7),"",INDEX(TableDiv[[GASB]:[GASB]],_xlfn.AGGREGATE(15,3,(TableDiv[[Agency]:[Agency]]=$E277)/(TableDiv[[Agency]:[Agency]]=$E277)*(ROW(TableDiv[Agency])-ROW(TableDiv[[#Headers],[Agency]])),COLUMNS($F$7:G$7))))</f>
        <v>0</v>
      </c>
      <c r="H277" s="2223" cm="1">
        <f t="array" ref="H277">IF($D277&lt;COLUMNS($F$7:H$7),"",INDEX(TableDiv[[GASB]:[GASB]],_xlfn.AGGREGATE(15,3,(TableDiv[[Agency]:[Agency]]=$E277)/(TableDiv[[Agency]:[Agency]]=$E277)*(ROW(TableDiv[Agency])-ROW(TableDiv[[#Headers],[Agency]])),COLUMNS($F$7:H$7))))</f>
        <v>0</v>
      </c>
      <c r="I277" s="2223" cm="1">
        <f t="array" ref="I277">IF($D277&lt;COLUMNS($F$7:I$7),"",INDEX(TableDiv[[GASB]:[GASB]],_xlfn.AGGREGATE(15,3,(TableDiv[[Agency]:[Agency]]=$E277)/(TableDiv[[Agency]:[Agency]]=$E277)*(ROW(TableDiv[Agency])-ROW(TableDiv[[#Headers],[Agency]])),COLUMNS($F$7:I$7))))</f>
        <v>0</v>
      </c>
      <c r="J277" s="2223" cm="1">
        <f t="array" ref="J277">IF($D277&lt;COLUMNS($F$7:J$7),"",INDEX(TableDiv[[GASB]:[GASB]],_xlfn.AGGREGATE(15,3,(TableDiv[[Agency]:[Agency]]=$E277)/(TableDiv[[Agency]:[Agency]]=$E277)*(ROW(TableDiv[Agency])-ROW(TableDiv[[#Headers],[Agency]])),COLUMNS($F$7:J$7))))</f>
        <v>0</v>
      </c>
      <c r="K277" s="2223" cm="1">
        <f t="array" ref="K277">IF($D277&lt;COLUMNS($F$7:K$7),"",INDEX(TableDiv[[GASB]:[GASB]],_xlfn.AGGREGATE(15,3,(TableDiv[[Agency]:[Agency]]=$E277)/(TableDiv[[Agency]:[Agency]]=$E277)*(ROW(TableDiv[Agency])-ROW(TableDiv[[#Headers],[Agency]])),COLUMNS($F$7:K$7))))</f>
        <v>0</v>
      </c>
      <c r="L277" s="2223" cm="1">
        <f t="array" ref="L277">IF($D277&lt;COLUMNS($F$7:L$7),"",INDEX(TableDiv[[GASB]:[GASB]],_xlfn.AGGREGATE(15,3,(TableDiv[[Agency]:[Agency]]=$E277)/(TableDiv[[Agency]:[Agency]]=$E277)*(ROW(TableDiv[Agency])-ROW(TableDiv[[#Headers],[Agency]])),COLUMNS($F$7:L$7))))</f>
        <v>0</v>
      </c>
      <c r="M277" s="2223" cm="1">
        <f t="array" ref="M277">IF($D277&lt;COLUMNS($F$7:M$7),"",INDEX(TableDiv[[GASB]:[GASB]],_xlfn.AGGREGATE(15,3,(TableDiv[[Agency]:[Agency]]=$E277)/(TableDiv[[Agency]:[Agency]]=$E277)*(ROW(TableDiv[Agency])-ROW(TableDiv[[#Headers],[Agency]])),COLUMNS($F$7:M$7))))</f>
        <v>0</v>
      </c>
      <c r="N277" s="2223" cm="1">
        <f t="array" ref="N277">IF($D277&lt;COLUMNS($F$7:N$7),"",INDEX(TableDiv[[GASB]:[GASB]],_xlfn.AGGREGATE(15,3,(TableDiv[[Agency]:[Agency]]=$E277)/(TableDiv[[Agency]:[Agency]]=$E277)*(ROW(TableDiv[Agency])-ROW(TableDiv[[#Headers],[Agency]])),COLUMNS($F$7:N$7))))</f>
        <v>0</v>
      </c>
      <c r="O277" s="2223" cm="1">
        <f t="array" ref="O277">IF($D277&lt;COLUMNS($F$7:O$7),"",INDEX(TableDiv[[GASB]:[GASB]],_xlfn.AGGREGATE(15,3,(TableDiv[[Agency]:[Agency]]=$E277)/(TableDiv[[Agency]:[Agency]]=$E277)*(ROW(TableDiv[Agency])-ROW(TableDiv[[#Headers],[Agency]])),COLUMNS($F$7:O$7))))</f>
        <v>0</v>
      </c>
      <c r="P277" s="2223" cm="1">
        <f t="array" ref="P277">IF($D277&lt;COLUMNS($F$7:P$7),"",INDEX(TableDiv[[GASB]:[GASB]],_xlfn.AGGREGATE(15,3,(TableDiv[[Agency]:[Agency]]=$E277)/(TableDiv[[Agency]:[Agency]]=$E277)*(ROW(TableDiv[Agency])-ROW(TableDiv[[#Headers],[Agency]])),COLUMNS($F$7:P$7))))</f>
        <v>0</v>
      </c>
      <c r="Q277" s="2223" cm="1">
        <f t="array" ref="Q277">IF($D277&lt;COLUMNS($F$7:Q$7),"",INDEX(TableDiv[[GASB]:[GASB]],_xlfn.AGGREGATE(15,3,(TableDiv[[Agency]:[Agency]]=$E277)/(TableDiv[[Agency]:[Agency]]=$E277)*(ROW(TableDiv[Agency])-ROW(TableDiv[[#Headers],[Agency]])),COLUMNS($F$7:Q$7))))</f>
        <v>0</v>
      </c>
      <c r="R277" s="2223" cm="1">
        <f t="array" ref="R277">IF($D277&lt;COLUMNS($F$7:R$7),"",INDEX(TableDiv[[GASB]:[GASB]],_xlfn.AGGREGATE(15,3,(TableDiv[[Agency]:[Agency]]=$E277)/(TableDiv[[Agency]:[Agency]]=$E277)*(ROW(TableDiv[Agency])-ROW(TableDiv[[#Headers],[Agency]])),COLUMNS($F$7:R$7))))</f>
        <v>0</v>
      </c>
      <c r="S277" s="2223" cm="1">
        <f t="array" ref="S277">IF($D277&lt;COLUMNS($F$7:S$7),"",INDEX(TableDiv[[GASB]:[GASB]],_xlfn.AGGREGATE(15,3,(TableDiv[[Agency]:[Agency]]=$E277)/(TableDiv[[Agency]:[Agency]]=$E277)*(ROW(TableDiv[Agency])-ROW(TableDiv[[#Headers],[Agency]])),COLUMNS($F$7:S$7))))</f>
        <v>0</v>
      </c>
      <c r="T277" s="2223" cm="1">
        <f t="array" ref="T277">IF($D277&lt;COLUMNS($F$7:T$7),"",INDEX(TableDiv[[GASB]:[GASB]],_xlfn.AGGREGATE(15,3,(TableDiv[[Agency]:[Agency]]=$E277)/(TableDiv[[Agency]:[Agency]]=$E277)*(ROW(TableDiv[Agency])-ROW(TableDiv[[#Headers],[Agency]])),COLUMNS($F$7:T$7))))</f>
        <v>0</v>
      </c>
      <c r="U277" s="2223" cm="1">
        <f t="array" ref="U277">IF($D277&lt;COLUMNS($F$7:U$7),"",INDEX(TableDiv[[GASB]:[GASB]],_xlfn.AGGREGATE(15,3,(TableDiv[[Agency]:[Agency]]=$E277)/(TableDiv[[Agency]:[Agency]]=$E277)*(ROW(TableDiv[Agency])-ROW(TableDiv[[#Headers],[Agency]])),COLUMNS($F$7:U$7))))</f>
        <v>0</v>
      </c>
      <c r="V277" s="2223" cm="1">
        <f t="array" ref="V277">IF($D277&lt;COLUMNS($F$7:V$7),"",INDEX(TableDiv[[GASB]:[GASB]],_xlfn.AGGREGATE(15,3,(TableDiv[[Agency]:[Agency]]=$E277)/(TableDiv[[Agency]:[Agency]]=$E277)*(ROW(TableDiv[Agency])-ROW(TableDiv[[#Headers],[Agency]])),COLUMNS($F$7:V$7))))</f>
        <v>0</v>
      </c>
      <c r="W277" s="2223" cm="1">
        <f t="array" ref="W277">IF($D277&lt;COLUMNS($F$7:W$7),"",INDEX(TableDiv[[GASB]:[GASB]],_xlfn.AGGREGATE(15,3,(TableDiv[[Agency]:[Agency]]=$E277)/(TableDiv[[Agency]:[Agency]]=$E277)*(ROW(TableDiv[Agency])-ROW(TableDiv[[#Headers],[Agency]])),COLUMNS($F$7:W$7))))</f>
        <v>0</v>
      </c>
      <c r="X277" s="2223" cm="1">
        <f t="array" ref="X277">IF($D277&lt;COLUMNS($F$7:X$7),"",INDEX(TableDiv[[GASB]:[GASB]],_xlfn.AGGREGATE(15,3,(TableDiv[[Agency]:[Agency]]=$E277)/(TableDiv[[Agency]:[Agency]]=$E277)*(ROW(TableDiv[Agency])-ROW(TableDiv[[#Headers],[Agency]])),COLUMNS($F$7:X$7))))</f>
        <v>0</v>
      </c>
      <c r="Y277" s="2223" cm="1">
        <f t="array" ref="Y277">IF($D277&lt;COLUMNS($F$7:Y$7),"",INDEX(TableDiv[[GASB]:[GASB]],_xlfn.AGGREGATE(15,3,(TableDiv[[Agency]:[Agency]]=$E277)/(TableDiv[[Agency]:[Agency]]=$E277)*(ROW(TableDiv[Agency])-ROW(TableDiv[[#Headers],[Agency]])),COLUMNS($F$7:Y$7))))</f>
        <v>0</v>
      </c>
      <c r="Z277" s="2223" cm="1">
        <f t="array" ref="Z277">IF($D277&lt;COLUMNS($F$7:Z$7),"",INDEX(TableDiv[[GASB]:[GASB]],_xlfn.AGGREGATE(15,3,(TableDiv[[Agency]:[Agency]]=$E277)/(TableDiv[[Agency]:[Agency]]=$E277)*(ROW(TableDiv[Agency])-ROW(TableDiv[[#Headers],[Agency]])),COLUMNS($F$7:Z$7))))</f>
        <v>0</v>
      </c>
      <c r="AA277" s="2223" cm="1">
        <f t="array" ref="AA277">IF($D277&lt;COLUMNS($F$7:AA$7),"",INDEX(TableDiv[[GASB]:[GASB]],_xlfn.AGGREGATE(15,3,(TableDiv[[Agency]:[Agency]]=$E277)/(TableDiv[[Agency]:[Agency]]=$E277)*(ROW(TableDiv[Agency])-ROW(TableDiv[[#Headers],[Agency]])),COLUMNS($F$7:AA$7))))</f>
        <v>0</v>
      </c>
      <c r="AB277" s="2223" cm="1">
        <f t="array" ref="AB277">IF($D277&lt;COLUMNS($F$7:AB$7),"",INDEX(TableDiv[[GASB]:[GASB]],_xlfn.AGGREGATE(15,3,(TableDiv[[Agency]:[Agency]]=$E277)/(TableDiv[[Agency]:[Agency]]=$E277)*(ROW(TableDiv[Agency])-ROW(TableDiv[[#Headers],[Agency]])),COLUMNS($F$7:AB$7))))</f>
        <v>0</v>
      </c>
      <c r="AC277" s="2223" cm="1">
        <f t="array" ref="AC277">IF($D277&lt;COLUMNS($F$7:AC$7),"",INDEX(TableDiv[[GASB]:[GASB]],_xlfn.AGGREGATE(15,3,(TableDiv[[Agency]:[Agency]]=$E277)/(TableDiv[[Agency]:[Agency]]=$E277)*(ROW(TableDiv[Agency])-ROW(TableDiv[[#Headers],[Agency]])),COLUMNS($F$7:AC$7))))</f>
        <v>0</v>
      </c>
      <c r="AD277" s="2223" cm="1">
        <f t="array" ref="AD277">IF($D277&lt;COLUMNS($F$7:AD$7),"",INDEX(TableDiv[[GASB]:[GASB]],_xlfn.AGGREGATE(15,3,(TableDiv[[Agency]:[Agency]]=$E277)/(TableDiv[[Agency]:[Agency]]=$E277)*(ROW(TableDiv[Agency])-ROW(TableDiv[[#Headers],[Agency]])),COLUMNS($F$7:AD$7))))</f>
        <v>0</v>
      </c>
      <c r="AE277" s="2223" cm="1">
        <f t="array" ref="AE277">IF($D277&lt;COLUMNS($F$7:AE$7),"",INDEX(TableDiv[[GASB]:[GASB]],_xlfn.AGGREGATE(15,3,(TableDiv[[Agency]:[Agency]]=$E277)/(TableDiv[[Agency]:[Agency]]=$E277)*(ROW(TableDiv[Agency])-ROW(TableDiv[[#Headers],[Agency]])),COLUMNS($F$7:AE$7))))</f>
        <v>0</v>
      </c>
      <c r="AF277" s="2223" cm="1">
        <f t="array" ref="AF277">IF($D277&lt;COLUMNS($F$7:AF$7),"",INDEX(TableDiv[[GASB]:[GASB]],_xlfn.AGGREGATE(15,3,(TableDiv[[Agency]:[Agency]]=$E277)/(TableDiv[[Agency]:[Agency]]=$E277)*(ROW(TableDiv[Agency])-ROW(TableDiv[[#Headers],[Agency]])),COLUMNS($F$7:AF$7))))</f>
        <v>0</v>
      </c>
      <c r="AG277" s="2223" cm="1">
        <f t="array" ref="AG277">IF($D277&lt;COLUMNS($F$7:AG$7),"",INDEX(TableDiv[[GASB]:[GASB]],_xlfn.AGGREGATE(15,3,(TableDiv[[Agency]:[Agency]]=$E277)/(TableDiv[[Agency]:[Agency]]=$E277)*(ROW(TableDiv[Agency])-ROW(TableDiv[[#Headers],[Agency]])),COLUMNS($F$7:AG$7))))</f>
        <v>0</v>
      </c>
      <c r="AH277" s="2223" cm="1">
        <f t="array" ref="AH277">IF($D277&lt;COLUMNS($F$7:AH$7),"",INDEX(TableDiv[[GASB]:[GASB]],_xlfn.AGGREGATE(15,3,(TableDiv[[Agency]:[Agency]]=$E277)/(TableDiv[[Agency]:[Agency]]=$E277)*(ROW(TableDiv[Agency])-ROW(TableDiv[[#Headers],[Agency]])),COLUMNS($F$7:AH$7))))</f>
        <v>0</v>
      </c>
      <c r="AI277" s="2223" cm="1">
        <f t="array" ref="AI277">IF($D277&lt;COLUMNS($F$7:AI$7),"",INDEX(TableDiv[[GASB]:[GASB]],_xlfn.AGGREGATE(15,3,(TableDiv[[Agency]:[Agency]]=$E277)/(TableDiv[[Agency]:[Agency]]=$E277)*(ROW(TableDiv[Agency])-ROW(TableDiv[[#Headers],[Agency]])),COLUMNS($F$7:AI$7))))</f>
        <v>0</v>
      </c>
      <c r="AJ277" s="2223" cm="1">
        <f t="array" ref="AJ277">IF($D277&lt;COLUMNS($F$7:AJ$7),"",INDEX(TableDiv[[GASB]:[GASB]],_xlfn.AGGREGATE(15,3,(TableDiv[[Agency]:[Agency]]=$E277)/(TableDiv[[Agency]:[Agency]]=$E277)*(ROW(TableDiv[Agency])-ROW(TableDiv[[#Headers],[Agency]])),COLUMNS($F$7:AJ$7))))</f>
        <v>0</v>
      </c>
      <c r="AK277" s="2223" t="str" cm="1">
        <f t="array" ref="AK277">IF($D277&lt;COLUMNS($F$7:AK$7),"",INDEX(TableDiv[[GASB]:[GASB]],_xlfn.AGGREGATE(15,3,(TableDiv[[Agency]:[Agency]]=$E277)/(TableDiv[[Agency]:[Agency]]=$E277)*(ROW(TableDiv[Agency])-ROW(TableDiv[[#Headers],[Agency]])),COLUMNS($F$7:AK$7))))</f>
        <v/>
      </c>
      <c r="AL277" s="2223" t="str" cm="1">
        <f t="array" ref="AL277">IF($D277&lt;COLUMNS($F$7:AL$7),"",INDEX(TableDiv[[GASB]:[GASB]],_xlfn.AGGREGATE(15,3,(TableDiv[[Agency]:[Agency]]=$E277)/(TableDiv[[Agency]:[Agency]]=$E277)*(ROW(TableDiv[Agency])-ROW(TableDiv[[#Headers],[Agency]])),COLUMNS($F$7:AL$7))))</f>
        <v/>
      </c>
      <c r="AM277" s="2223" t="str" cm="1">
        <f t="array" ref="AM277">IF($D277&lt;COLUMNS($F$7:AM$7),"",INDEX(TableDiv[[GASB]:[GASB]],_xlfn.AGGREGATE(15,3,(TableDiv[[Agency]:[Agency]]=$E277)/(TableDiv[[Agency]:[Agency]]=$E277)*(ROW(TableDiv[Agency])-ROW(TableDiv[[#Headers],[Agency]])),COLUMNS($F$7:AM$7))))</f>
        <v/>
      </c>
      <c r="AN277" s="2223"/>
      <c r="AO277" s="2223"/>
      <c r="AP277" s="2223"/>
      <c r="AQ277" s="2223"/>
      <c r="AR277" s="2223"/>
      <c r="AS277" s="2223"/>
    </row>
    <row r="278" spans="1:45" ht="15" x14ac:dyDescent="0.25">
      <c r="A278" s="2219" t="s">
        <v>5117</v>
      </c>
      <c r="B278" s="2219" t="s">
        <v>6402</v>
      </c>
      <c r="C278" s="2223"/>
      <c r="D278" s="2223">
        <f>COUNTIF(TableDiv[Agency],E278)</f>
        <v>31</v>
      </c>
      <c r="E278" s="2230" t="str" cm="1">
        <f t="array" ref="E278">IFERROR(INDEX(TableDiv[Agency],MATCH(0,INDEX(COUNTIF($E$7:E277,TableDiv[Agency]),),0)),"")</f>
        <v/>
      </c>
      <c r="F278" s="2223" cm="1">
        <f t="array" ref="F278">IF($D278&lt;COLUMNS($F$7:F$7),"",INDEX(TableDiv[[GASB]:[GASB]],_xlfn.AGGREGATE(15,3,(TableDiv[[Agency]:[Agency]]=$E278)/(TableDiv[[Agency]:[Agency]]=$E278)*(ROW(TableDiv[Agency])-ROW(TableDiv[[#Headers],[Agency]])),COLUMNS($F$7:F$7))))</f>
        <v>0</v>
      </c>
      <c r="G278" s="2223" cm="1">
        <f t="array" ref="G278">IF($D278&lt;COLUMNS($F$7:G$7),"",INDEX(TableDiv[[GASB]:[GASB]],_xlfn.AGGREGATE(15,3,(TableDiv[[Agency]:[Agency]]=$E278)/(TableDiv[[Agency]:[Agency]]=$E278)*(ROW(TableDiv[Agency])-ROW(TableDiv[[#Headers],[Agency]])),COLUMNS($F$7:G$7))))</f>
        <v>0</v>
      </c>
      <c r="H278" s="2223" cm="1">
        <f t="array" ref="H278">IF($D278&lt;COLUMNS($F$7:H$7),"",INDEX(TableDiv[[GASB]:[GASB]],_xlfn.AGGREGATE(15,3,(TableDiv[[Agency]:[Agency]]=$E278)/(TableDiv[[Agency]:[Agency]]=$E278)*(ROW(TableDiv[Agency])-ROW(TableDiv[[#Headers],[Agency]])),COLUMNS($F$7:H$7))))</f>
        <v>0</v>
      </c>
      <c r="I278" s="2223" cm="1">
        <f t="array" ref="I278">IF($D278&lt;COLUMNS($F$7:I$7),"",INDEX(TableDiv[[GASB]:[GASB]],_xlfn.AGGREGATE(15,3,(TableDiv[[Agency]:[Agency]]=$E278)/(TableDiv[[Agency]:[Agency]]=$E278)*(ROW(TableDiv[Agency])-ROW(TableDiv[[#Headers],[Agency]])),COLUMNS($F$7:I$7))))</f>
        <v>0</v>
      </c>
      <c r="J278" s="2223" cm="1">
        <f t="array" ref="J278">IF($D278&lt;COLUMNS($F$7:J$7),"",INDEX(TableDiv[[GASB]:[GASB]],_xlfn.AGGREGATE(15,3,(TableDiv[[Agency]:[Agency]]=$E278)/(TableDiv[[Agency]:[Agency]]=$E278)*(ROW(TableDiv[Agency])-ROW(TableDiv[[#Headers],[Agency]])),COLUMNS($F$7:J$7))))</f>
        <v>0</v>
      </c>
      <c r="K278" s="2223" cm="1">
        <f t="array" ref="K278">IF($D278&lt;COLUMNS($F$7:K$7),"",INDEX(TableDiv[[GASB]:[GASB]],_xlfn.AGGREGATE(15,3,(TableDiv[[Agency]:[Agency]]=$E278)/(TableDiv[[Agency]:[Agency]]=$E278)*(ROW(TableDiv[Agency])-ROW(TableDiv[[#Headers],[Agency]])),COLUMNS($F$7:K$7))))</f>
        <v>0</v>
      </c>
      <c r="L278" s="2223" cm="1">
        <f t="array" ref="L278">IF($D278&lt;COLUMNS($F$7:L$7),"",INDEX(TableDiv[[GASB]:[GASB]],_xlfn.AGGREGATE(15,3,(TableDiv[[Agency]:[Agency]]=$E278)/(TableDiv[[Agency]:[Agency]]=$E278)*(ROW(TableDiv[Agency])-ROW(TableDiv[[#Headers],[Agency]])),COLUMNS($F$7:L$7))))</f>
        <v>0</v>
      </c>
      <c r="M278" s="2223" cm="1">
        <f t="array" ref="M278">IF($D278&lt;COLUMNS($F$7:M$7),"",INDEX(TableDiv[[GASB]:[GASB]],_xlfn.AGGREGATE(15,3,(TableDiv[[Agency]:[Agency]]=$E278)/(TableDiv[[Agency]:[Agency]]=$E278)*(ROW(TableDiv[Agency])-ROW(TableDiv[[#Headers],[Agency]])),COLUMNS($F$7:M$7))))</f>
        <v>0</v>
      </c>
      <c r="N278" s="2223" cm="1">
        <f t="array" ref="N278">IF($D278&lt;COLUMNS($F$7:N$7),"",INDEX(TableDiv[[GASB]:[GASB]],_xlfn.AGGREGATE(15,3,(TableDiv[[Agency]:[Agency]]=$E278)/(TableDiv[[Agency]:[Agency]]=$E278)*(ROW(TableDiv[Agency])-ROW(TableDiv[[#Headers],[Agency]])),COLUMNS($F$7:N$7))))</f>
        <v>0</v>
      </c>
      <c r="O278" s="2223" cm="1">
        <f t="array" ref="O278">IF($D278&lt;COLUMNS($F$7:O$7),"",INDEX(TableDiv[[GASB]:[GASB]],_xlfn.AGGREGATE(15,3,(TableDiv[[Agency]:[Agency]]=$E278)/(TableDiv[[Agency]:[Agency]]=$E278)*(ROW(TableDiv[Agency])-ROW(TableDiv[[#Headers],[Agency]])),COLUMNS($F$7:O$7))))</f>
        <v>0</v>
      </c>
      <c r="P278" s="2223" cm="1">
        <f t="array" ref="P278">IF($D278&lt;COLUMNS($F$7:P$7),"",INDEX(TableDiv[[GASB]:[GASB]],_xlfn.AGGREGATE(15,3,(TableDiv[[Agency]:[Agency]]=$E278)/(TableDiv[[Agency]:[Agency]]=$E278)*(ROW(TableDiv[Agency])-ROW(TableDiv[[#Headers],[Agency]])),COLUMNS($F$7:P$7))))</f>
        <v>0</v>
      </c>
      <c r="Q278" s="2223" cm="1">
        <f t="array" ref="Q278">IF($D278&lt;COLUMNS($F$7:Q$7),"",INDEX(TableDiv[[GASB]:[GASB]],_xlfn.AGGREGATE(15,3,(TableDiv[[Agency]:[Agency]]=$E278)/(TableDiv[[Agency]:[Agency]]=$E278)*(ROW(TableDiv[Agency])-ROW(TableDiv[[#Headers],[Agency]])),COLUMNS($F$7:Q$7))))</f>
        <v>0</v>
      </c>
      <c r="R278" s="2223" cm="1">
        <f t="array" ref="R278">IF($D278&lt;COLUMNS($F$7:R$7),"",INDEX(TableDiv[[GASB]:[GASB]],_xlfn.AGGREGATE(15,3,(TableDiv[[Agency]:[Agency]]=$E278)/(TableDiv[[Agency]:[Agency]]=$E278)*(ROW(TableDiv[Agency])-ROW(TableDiv[[#Headers],[Agency]])),COLUMNS($F$7:R$7))))</f>
        <v>0</v>
      </c>
      <c r="S278" s="2223" cm="1">
        <f t="array" ref="S278">IF($D278&lt;COLUMNS($F$7:S$7),"",INDEX(TableDiv[[GASB]:[GASB]],_xlfn.AGGREGATE(15,3,(TableDiv[[Agency]:[Agency]]=$E278)/(TableDiv[[Agency]:[Agency]]=$E278)*(ROW(TableDiv[Agency])-ROW(TableDiv[[#Headers],[Agency]])),COLUMNS($F$7:S$7))))</f>
        <v>0</v>
      </c>
      <c r="T278" s="2223" cm="1">
        <f t="array" ref="T278">IF($D278&lt;COLUMNS($F$7:T$7),"",INDEX(TableDiv[[GASB]:[GASB]],_xlfn.AGGREGATE(15,3,(TableDiv[[Agency]:[Agency]]=$E278)/(TableDiv[[Agency]:[Agency]]=$E278)*(ROW(TableDiv[Agency])-ROW(TableDiv[[#Headers],[Agency]])),COLUMNS($F$7:T$7))))</f>
        <v>0</v>
      </c>
      <c r="U278" s="2223" cm="1">
        <f t="array" ref="U278">IF($D278&lt;COLUMNS($F$7:U$7),"",INDEX(TableDiv[[GASB]:[GASB]],_xlfn.AGGREGATE(15,3,(TableDiv[[Agency]:[Agency]]=$E278)/(TableDiv[[Agency]:[Agency]]=$E278)*(ROW(TableDiv[Agency])-ROW(TableDiv[[#Headers],[Agency]])),COLUMNS($F$7:U$7))))</f>
        <v>0</v>
      </c>
      <c r="V278" s="2223" cm="1">
        <f t="array" ref="V278">IF($D278&lt;COLUMNS($F$7:V$7),"",INDEX(TableDiv[[GASB]:[GASB]],_xlfn.AGGREGATE(15,3,(TableDiv[[Agency]:[Agency]]=$E278)/(TableDiv[[Agency]:[Agency]]=$E278)*(ROW(TableDiv[Agency])-ROW(TableDiv[[#Headers],[Agency]])),COLUMNS($F$7:V$7))))</f>
        <v>0</v>
      </c>
      <c r="W278" s="2223" cm="1">
        <f t="array" ref="W278">IF($D278&lt;COLUMNS($F$7:W$7),"",INDEX(TableDiv[[GASB]:[GASB]],_xlfn.AGGREGATE(15,3,(TableDiv[[Agency]:[Agency]]=$E278)/(TableDiv[[Agency]:[Agency]]=$E278)*(ROW(TableDiv[Agency])-ROW(TableDiv[[#Headers],[Agency]])),COLUMNS($F$7:W$7))))</f>
        <v>0</v>
      </c>
      <c r="X278" s="2223" cm="1">
        <f t="array" ref="X278">IF($D278&lt;COLUMNS($F$7:X$7),"",INDEX(TableDiv[[GASB]:[GASB]],_xlfn.AGGREGATE(15,3,(TableDiv[[Agency]:[Agency]]=$E278)/(TableDiv[[Agency]:[Agency]]=$E278)*(ROW(TableDiv[Agency])-ROW(TableDiv[[#Headers],[Agency]])),COLUMNS($F$7:X$7))))</f>
        <v>0</v>
      </c>
      <c r="Y278" s="2223" cm="1">
        <f t="array" ref="Y278">IF($D278&lt;COLUMNS($F$7:Y$7),"",INDEX(TableDiv[[GASB]:[GASB]],_xlfn.AGGREGATE(15,3,(TableDiv[[Agency]:[Agency]]=$E278)/(TableDiv[[Agency]:[Agency]]=$E278)*(ROW(TableDiv[Agency])-ROW(TableDiv[[#Headers],[Agency]])),COLUMNS($F$7:Y$7))))</f>
        <v>0</v>
      </c>
      <c r="Z278" s="2223" cm="1">
        <f t="array" ref="Z278">IF($D278&lt;COLUMNS($F$7:Z$7),"",INDEX(TableDiv[[GASB]:[GASB]],_xlfn.AGGREGATE(15,3,(TableDiv[[Agency]:[Agency]]=$E278)/(TableDiv[[Agency]:[Agency]]=$E278)*(ROW(TableDiv[Agency])-ROW(TableDiv[[#Headers],[Agency]])),COLUMNS($F$7:Z$7))))</f>
        <v>0</v>
      </c>
      <c r="AA278" s="2223" cm="1">
        <f t="array" ref="AA278">IF($D278&lt;COLUMNS($F$7:AA$7),"",INDEX(TableDiv[[GASB]:[GASB]],_xlfn.AGGREGATE(15,3,(TableDiv[[Agency]:[Agency]]=$E278)/(TableDiv[[Agency]:[Agency]]=$E278)*(ROW(TableDiv[Agency])-ROW(TableDiv[[#Headers],[Agency]])),COLUMNS($F$7:AA$7))))</f>
        <v>0</v>
      </c>
      <c r="AB278" s="2223" cm="1">
        <f t="array" ref="AB278">IF($D278&lt;COLUMNS($F$7:AB$7),"",INDEX(TableDiv[[GASB]:[GASB]],_xlfn.AGGREGATE(15,3,(TableDiv[[Agency]:[Agency]]=$E278)/(TableDiv[[Agency]:[Agency]]=$E278)*(ROW(TableDiv[Agency])-ROW(TableDiv[[#Headers],[Agency]])),COLUMNS($F$7:AB$7))))</f>
        <v>0</v>
      </c>
      <c r="AC278" s="2223" cm="1">
        <f t="array" ref="AC278">IF($D278&lt;COLUMNS($F$7:AC$7),"",INDEX(TableDiv[[GASB]:[GASB]],_xlfn.AGGREGATE(15,3,(TableDiv[[Agency]:[Agency]]=$E278)/(TableDiv[[Agency]:[Agency]]=$E278)*(ROW(TableDiv[Agency])-ROW(TableDiv[[#Headers],[Agency]])),COLUMNS($F$7:AC$7))))</f>
        <v>0</v>
      </c>
      <c r="AD278" s="2223" cm="1">
        <f t="array" ref="AD278">IF($D278&lt;COLUMNS($F$7:AD$7),"",INDEX(TableDiv[[GASB]:[GASB]],_xlfn.AGGREGATE(15,3,(TableDiv[[Agency]:[Agency]]=$E278)/(TableDiv[[Agency]:[Agency]]=$E278)*(ROW(TableDiv[Agency])-ROW(TableDiv[[#Headers],[Agency]])),COLUMNS($F$7:AD$7))))</f>
        <v>0</v>
      </c>
      <c r="AE278" s="2223" cm="1">
        <f t="array" ref="AE278">IF($D278&lt;COLUMNS($F$7:AE$7),"",INDEX(TableDiv[[GASB]:[GASB]],_xlfn.AGGREGATE(15,3,(TableDiv[[Agency]:[Agency]]=$E278)/(TableDiv[[Agency]:[Agency]]=$E278)*(ROW(TableDiv[Agency])-ROW(TableDiv[[#Headers],[Agency]])),COLUMNS($F$7:AE$7))))</f>
        <v>0</v>
      </c>
      <c r="AF278" s="2223" cm="1">
        <f t="array" ref="AF278">IF($D278&lt;COLUMNS($F$7:AF$7),"",INDEX(TableDiv[[GASB]:[GASB]],_xlfn.AGGREGATE(15,3,(TableDiv[[Agency]:[Agency]]=$E278)/(TableDiv[[Agency]:[Agency]]=$E278)*(ROW(TableDiv[Agency])-ROW(TableDiv[[#Headers],[Agency]])),COLUMNS($F$7:AF$7))))</f>
        <v>0</v>
      </c>
      <c r="AG278" s="2223" cm="1">
        <f t="array" ref="AG278">IF($D278&lt;COLUMNS($F$7:AG$7),"",INDEX(TableDiv[[GASB]:[GASB]],_xlfn.AGGREGATE(15,3,(TableDiv[[Agency]:[Agency]]=$E278)/(TableDiv[[Agency]:[Agency]]=$E278)*(ROW(TableDiv[Agency])-ROW(TableDiv[[#Headers],[Agency]])),COLUMNS($F$7:AG$7))))</f>
        <v>0</v>
      </c>
      <c r="AH278" s="2223" cm="1">
        <f t="array" ref="AH278">IF($D278&lt;COLUMNS($F$7:AH$7),"",INDEX(TableDiv[[GASB]:[GASB]],_xlfn.AGGREGATE(15,3,(TableDiv[[Agency]:[Agency]]=$E278)/(TableDiv[[Agency]:[Agency]]=$E278)*(ROW(TableDiv[Agency])-ROW(TableDiv[[#Headers],[Agency]])),COLUMNS($F$7:AH$7))))</f>
        <v>0</v>
      </c>
      <c r="AI278" s="2223" cm="1">
        <f t="array" ref="AI278">IF($D278&lt;COLUMNS($F$7:AI$7),"",INDEX(TableDiv[[GASB]:[GASB]],_xlfn.AGGREGATE(15,3,(TableDiv[[Agency]:[Agency]]=$E278)/(TableDiv[[Agency]:[Agency]]=$E278)*(ROW(TableDiv[Agency])-ROW(TableDiv[[#Headers],[Agency]])),COLUMNS($F$7:AI$7))))</f>
        <v>0</v>
      </c>
      <c r="AJ278" s="2223" cm="1">
        <f t="array" ref="AJ278">IF($D278&lt;COLUMNS($F$7:AJ$7),"",INDEX(TableDiv[[GASB]:[GASB]],_xlfn.AGGREGATE(15,3,(TableDiv[[Agency]:[Agency]]=$E278)/(TableDiv[[Agency]:[Agency]]=$E278)*(ROW(TableDiv[Agency])-ROW(TableDiv[[#Headers],[Agency]])),COLUMNS($F$7:AJ$7))))</f>
        <v>0</v>
      </c>
      <c r="AK278" s="2223" t="str" cm="1">
        <f t="array" ref="AK278">IF($D278&lt;COLUMNS($F$7:AK$7),"",INDEX(TableDiv[[GASB]:[GASB]],_xlfn.AGGREGATE(15,3,(TableDiv[[Agency]:[Agency]]=$E278)/(TableDiv[[Agency]:[Agency]]=$E278)*(ROW(TableDiv[Agency])-ROW(TableDiv[[#Headers],[Agency]])),COLUMNS($F$7:AK$7))))</f>
        <v/>
      </c>
      <c r="AL278" s="2223" t="str" cm="1">
        <f t="array" ref="AL278">IF($D278&lt;COLUMNS($F$7:AL$7),"",INDEX(TableDiv[[GASB]:[GASB]],_xlfn.AGGREGATE(15,3,(TableDiv[[Agency]:[Agency]]=$E278)/(TableDiv[[Agency]:[Agency]]=$E278)*(ROW(TableDiv[Agency])-ROW(TableDiv[[#Headers],[Agency]])),COLUMNS($F$7:AL$7))))</f>
        <v/>
      </c>
      <c r="AM278" s="2223" t="str" cm="1">
        <f t="array" ref="AM278">IF($D278&lt;COLUMNS($F$7:AM$7),"",INDEX(TableDiv[[GASB]:[GASB]],_xlfn.AGGREGATE(15,3,(TableDiv[[Agency]:[Agency]]=$E278)/(TableDiv[[Agency]:[Agency]]=$E278)*(ROW(TableDiv[Agency])-ROW(TableDiv[[#Headers],[Agency]])),COLUMNS($F$7:AM$7))))</f>
        <v/>
      </c>
      <c r="AN278" s="2223"/>
      <c r="AO278" s="2223"/>
      <c r="AP278" s="2223"/>
      <c r="AQ278" s="2223"/>
      <c r="AR278" s="2223"/>
      <c r="AS278" s="2223"/>
    </row>
    <row r="279" spans="1:45" ht="15" x14ac:dyDescent="0.25">
      <c r="A279" s="2219" t="s">
        <v>5117</v>
      </c>
      <c r="B279" s="2219" t="s">
        <v>6369</v>
      </c>
      <c r="C279" s="2223"/>
      <c r="D279" s="2223">
        <f>COUNTIF(TableDiv[Agency],E279)</f>
        <v>31</v>
      </c>
      <c r="E279" s="2230" t="str" cm="1">
        <f t="array" ref="E279">IFERROR(INDEX(TableDiv[Agency],MATCH(0,INDEX(COUNTIF($E$7:E278,TableDiv[Agency]),),0)),"")</f>
        <v/>
      </c>
      <c r="F279" s="2223" cm="1">
        <f t="array" ref="F279">IF($D279&lt;COLUMNS($F$7:F$7),"",INDEX(TableDiv[[GASB]:[GASB]],_xlfn.AGGREGATE(15,3,(TableDiv[[Agency]:[Agency]]=$E279)/(TableDiv[[Agency]:[Agency]]=$E279)*(ROW(TableDiv[Agency])-ROW(TableDiv[[#Headers],[Agency]])),COLUMNS($F$7:F$7))))</f>
        <v>0</v>
      </c>
      <c r="G279" s="2223" cm="1">
        <f t="array" ref="G279">IF($D279&lt;COLUMNS($F$7:G$7),"",INDEX(TableDiv[[GASB]:[GASB]],_xlfn.AGGREGATE(15,3,(TableDiv[[Agency]:[Agency]]=$E279)/(TableDiv[[Agency]:[Agency]]=$E279)*(ROW(TableDiv[Agency])-ROW(TableDiv[[#Headers],[Agency]])),COLUMNS($F$7:G$7))))</f>
        <v>0</v>
      </c>
      <c r="H279" s="2223" cm="1">
        <f t="array" ref="H279">IF($D279&lt;COLUMNS($F$7:H$7),"",INDEX(TableDiv[[GASB]:[GASB]],_xlfn.AGGREGATE(15,3,(TableDiv[[Agency]:[Agency]]=$E279)/(TableDiv[[Agency]:[Agency]]=$E279)*(ROW(TableDiv[Agency])-ROW(TableDiv[[#Headers],[Agency]])),COLUMNS($F$7:H$7))))</f>
        <v>0</v>
      </c>
      <c r="I279" s="2223" cm="1">
        <f t="array" ref="I279">IF($D279&lt;COLUMNS($F$7:I$7),"",INDEX(TableDiv[[GASB]:[GASB]],_xlfn.AGGREGATE(15,3,(TableDiv[[Agency]:[Agency]]=$E279)/(TableDiv[[Agency]:[Agency]]=$E279)*(ROW(TableDiv[Agency])-ROW(TableDiv[[#Headers],[Agency]])),COLUMNS($F$7:I$7))))</f>
        <v>0</v>
      </c>
      <c r="J279" s="2223" cm="1">
        <f t="array" ref="J279">IF($D279&lt;COLUMNS($F$7:J$7),"",INDEX(TableDiv[[GASB]:[GASB]],_xlfn.AGGREGATE(15,3,(TableDiv[[Agency]:[Agency]]=$E279)/(TableDiv[[Agency]:[Agency]]=$E279)*(ROW(TableDiv[Agency])-ROW(TableDiv[[#Headers],[Agency]])),COLUMNS($F$7:J$7))))</f>
        <v>0</v>
      </c>
      <c r="K279" s="2223" cm="1">
        <f t="array" ref="K279">IF($D279&lt;COLUMNS($F$7:K$7),"",INDEX(TableDiv[[GASB]:[GASB]],_xlfn.AGGREGATE(15,3,(TableDiv[[Agency]:[Agency]]=$E279)/(TableDiv[[Agency]:[Agency]]=$E279)*(ROW(TableDiv[Agency])-ROW(TableDiv[[#Headers],[Agency]])),COLUMNS($F$7:K$7))))</f>
        <v>0</v>
      </c>
      <c r="L279" s="2223" cm="1">
        <f t="array" ref="L279">IF($D279&lt;COLUMNS($F$7:L$7),"",INDEX(TableDiv[[GASB]:[GASB]],_xlfn.AGGREGATE(15,3,(TableDiv[[Agency]:[Agency]]=$E279)/(TableDiv[[Agency]:[Agency]]=$E279)*(ROW(TableDiv[Agency])-ROW(TableDiv[[#Headers],[Agency]])),COLUMNS($F$7:L$7))))</f>
        <v>0</v>
      </c>
      <c r="M279" s="2223" cm="1">
        <f t="array" ref="M279">IF($D279&lt;COLUMNS($F$7:M$7),"",INDEX(TableDiv[[GASB]:[GASB]],_xlfn.AGGREGATE(15,3,(TableDiv[[Agency]:[Agency]]=$E279)/(TableDiv[[Agency]:[Agency]]=$E279)*(ROW(TableDiv[Agency])-ROW(TableDiv[[#Headers],[Agency]])),COLUMNS($F$7:M$7))))</f>
        <v>0</v>
      </c>
      <c r="N279" s="2223" cm="1">
        <f t="array" ref="N279">IF($D279&lt;COLUMNS($F$7:N$7),"",INDEX(TableDiv[[GASB]:[GASB]],_xlfn.AGGREGATE(15,3,(TableDiv[[Agency]:[Agency]]=$E279)/(TableDiv[[Agency]:[Agency]]=$E279)*(ROW(TableDiv[Agency])-ROW(TableDiv[[#Headers],[Agency]])),COLUMNS($F$7:N$7))))</f>
        <v>0</v>
      </c>
      <c r="O279" s="2223" cm="1">
        <f t="array" ref="O279">IF($D279&lt;COLUMNS($F$7:O$7),"",INDEX(TableDiv[[GASB]:[GASB]],_xlfn.AGGREGATE(15,3,(TableDiv[[Agency]:[Agency]]=$E279)/(TableDiv[[Agency]:[Agency]]=$E279)*(ROW(TableDiv[Agency])-ROW(TableDiv[[#Headers],[Agency]])),COLUMNS($F$7:O$7))))</f>
        <v>0</v>
      </c>
      <c r="P279" s="2223" cm="1">
        <f t="array" ref="P279">IF($D279&lt;COLUMNS($F$7:P$7),"",INDEX(TableDiv[[GASB]:[GASB]],_xlfn.AGGREGATE(15,3,(TableDiv[[Agency]:[Agency]]=$E279)/(TableDiv[[Agency]:[Agency]]=$E279)*(ROW(TableDiv[Agency])-ROW(TableDiv[[#Headers],[Agency]])),COLUMNS($F$7:P$7))))</f>
        <v>0</v>
      </c>
      <c r="Q279" s="2223" cm="1">
        <f t="array" ref="Q279">IF($D279&lt;COLUMNS($F$7:Q$7),"",INDEX(TableDiv[[GASB]:[GASB]],_xlfn.AGGREGATE(15,3,(TableDiv[[Agency]:[Agency]]=$E279)/(TableDiv[[Agency]:[Agency]]=$E279)*(ROW(TableDiv[Agency])-ROW(TableDiv[[#Headers],[Agency]])),COLUMNS($F$7:Q$7))))</f>
        <v>0</v>
      </c>
      <c r="R279" s="2223" cm="1">
        <f t="array" ref="R279">IF($D279&lt;COLUMNS($F$7:R$7),"",INDEX(TableDiv[[GASB]:[GASB]],_xlfn.AGGREGATE(15,3,(TableDiv[[Agency]:[Agency]]=$E279)/(TableDiv[[Agency]:[Agency]]=$E279)*(ROW(TableDiv[Agency])-ROW(TableDiv[[#Headers],[Agency]])),COLUMNS($F$7:R$7))))</f>
        <v>0</v>
      </c>
      <c r="S279" s="2223" cm="1">
        <f t="array" ref="S279">IF($D279&lt;COLUMNS($F$7:S$7),"",INDEX(TableDiv[[GASB]:[GASB]],_xlfn.AGGREGATE(15,3,(TableDiv[[Agency]:[Agency]]=$E279)/(TableDiv[[Agency]:[Agency]]=$E279)*(ROW(TableDiv[Agency])-ROW(TableDiv[[#Headers],[Agency]])),COLUMNS($F$7:S$7))))</f>
        <v>0</v>
      </c>
      <c r="T279" s="2223" cm="1">
        <f t="array" ref="T279">IF($D279&lt;COLUMNS($F$7:T$7),"",INDEX(TableDiv[[GASB]:[GASB]],_xlfn.AGGREGATE(15,3,(TableDiv[[Agency]:[Agency]]=$E279)/(TableDiv[[Agency]:[Agency]]=$E279)*(ROW(TableDiv[Agency])-ROW(TableDiv[[#Headers],[Agency]])),COLUMNS($F$7:T$7))))</f>
        <v>0</v>
      </c>
      <c r="U279" s="2223" cm="1">
        <f t="array" ref="U279">IF($D279&lt;COLUMNS($F$7:U$7),"",INDEX(TableDiv[[GASB]:[GASB]],_xlfn.AGGREGATE(15,3,(TableDiv[[Agency]:[Agency]]=$E279)/(TableDiv[[Agency]:[Agency]]=$E279)*(ROW(TableDiv[Agency])-ROW(TableDiv[[#Headers],[Agency]])),COLUMNS($F$7:U$7))))</f>
        <v>0</v>
      </c>
      <c r="V279" s="2223" cm="1">
        <f t="array" ref="V279">IF($D279&lt;COLUMNS($F$7:V$7),"",INDEX(TableDiv[[GASB]:[GASB]],_xlfn.AGGREGATE(15,3,(TableDiv[[Agency]:[Agency]]=$E279)/(TableDiv[[Agency]:[Agency]]=$E279)*(ROW(TableDiv[Agency])-ROW(TableDiv[[#Headers],[Agency]])),COLUMNS($F$7:V$7))))</f>
        <v>0</v>
      </c>
      <c r="W279" s="2223" cm="1">
        <f t="array" ref="W279">IF($D279&lt;COLUMNS($F$7:W$7),"",INDEX(TableDiv[[GASB]:[GASB]],_xlfn.AGGREGATE(15,3,(TableDiv[[Agency]:[Agency]]=$E279)/(TableDiv[[Agency]:[Agency]]=$E279)*(ROW(TableDiv[Agency])-ROW(TableDiv[[#Headers],[Agency]])),COLUMNS($F$7:W$7))))</f>
        <v>0</v>
      </c>
      <c r="X279" s="2223" cm="1">
        <f t="array" ref="X279">IF($D279&lt;COLUMNS($F$7:X$7),"",INDEX(TableDiv[[GASB]:[GASB]],_xlfn.AGGREGATE(15,3,(TableDiv[[Agency]:[Agency]]=$E279)/(TableDiv[[Agency]:[Agency]]=$E279)*(ROW(TableDiv[Agency])-ROW(TableDiv[[#Headers],[Agency]])),COLUMNS($F$7:X$7))))</f>
        <v>0</v>
      </c>
      <c r="Y279" s="2223" cm="1">
        <f t="array" ref="Y279">IF($D279&lt;COLUMNS($F$7:Y$7),"",INDEX(TableDiv[[GASB]:[GASB]],_xlfn.AGGREGATE(15,3,(TableDiv[[Agency]:[Agency]]=$E279)/(TableDiv[[Agency]:[Agency]]=$E279)*(ROW(TableDiv[Agency])-ROW(TableDiv[[#Headers],[Agency]])),COLUMNS($F$7:Y$7))))</f>
        <v>0</v>
      </c>
      <c r="Z279" s="2223" cm="1">
        <f t="array" ref="Z279">IF($D279&lt;COLUMNS($F$7:Z$7),"",INDEX(TableDiv[[GASB]:[GASB]],_xlfn.AGGREGATE(15,3,(TableDiv[[Agency]:[Agency]]=$E279)/(TableDiv[[Agency]:[Agency]]=$E279)*(ROW(TableDiv[Agency])-ROW(TableDiv[[#Headers],[Agency]])),COLUMNS($F$7:Z$7))))</f>
        <v>0</v>
      </c>
      <c r="AA279" s="2223" cm="1">
        <f t="array" ref="AA279">IF($D279&lt;COLUMNS($F$7:AA$7),"",INDEX(TableDiv[[GASB]:[GASB]],_xlfn.AGGREGATE(15,3,(TableDiv[[Agency]:[Agency]]=$E279)/(TableDiv[[Agency]:[Agency]]=$E279)*(ROW(TableDiv[Agency])-ROW(TableDiv[[#Headers],[Agency]])),COLUMNS($F$7:AA$7))))</f>
        <v>0</v>
      </c>
      <c r="AB279" s="2223" cm="1">
        <f t="array" ref="AB279">IF($D279&lt;COLUMNS($F$7:AB$7),"",INDEX(TableDiv[[GASB]:[GASB]],_xlfn.AGGREGATE(15,3,(TableDiv[[Agency]:[Agency]]=$E279)/(TableDiv[[Agency]:[Agency]]=$E279)*(ROW(TableDiv[Agency])-ROW(TableDiv[[#Headers],[Agency]])),COLUMNS($F$7:AB$7))))</f>
        <v>0</v>
      </c>
      <c r="AC279" s="2223" cm="1">
        <f t="array" ref="AC279">IF($D279&lt;COLUMNS($F$7:AC$7),"",INDEX(TableDiv[[GASB]:[GASB]],_xlfn.AGGREGATE(15,3,(TableDiv[[Agency]:[Agency]]=$E279)/(TableDiv[[Agency]:[Agency]]=$E279)*(ROW(TableDiv[Agency])-ROW(TableDiv[[#Headers],[Agency]])),COLUMNS($F$7:AC$7))))</f>
        <v>0</v>
      </c>
      <c r="AD279" s="2223" cm="1">
        <f t="array" ref="AD279">IF($D279&lt;COLUMNS($F$7:AD$7),"",INDEX(TableDiv[[GASB]:[GASB]],_xlfn.AGGREGATE(15,3,(TableDiv[[Agency]:[Agency]]=$E279)/(TableDiv[[Agency]:[Agency]]=$E279)*(ROW(TableDiv[Agency])-ROW(TableDiv[[#Headers],[Agency]])),COLUMNS($F$7:AD$7))))</f>
        <v>0</v>
      </c>
      <c r="AE279" s="2223" cm="1">
        <f t="array" ref="AE279">IF($D279&lt;COLUMNS($F$7:AE$7),"",INDEX(TableDiv[[GASB]:[GASB]],_xlfn.AGGREGATE(15,3,(TableDiv[[Agency]:[Agency]]=$E279)/(TableDiv[[Agency]:[Agency]]=$E279)*(ROW(TableDiv[Agency])-ROW(TableDiv[[#Headers],[Agency]])),COLUMNS($F$7:AE$7))))</f>
        <v>0</v>
      </c>
      <c r="AF279" s="2223" cm="1">
        <f t="array" ref="AF279">IF($D279&lt;COLUMNS($F$7:AF$7),"",INDEX(TableDiv[[GASB]:[GASB]],_xlfn.AGGREGATE(15,3,(TableDiv[[Agency]:[Agency]]=$E279)/(TableDiv[[Agency]:[Agency]]=$E279)*(ROW(TableDiv[Agency])-ROW(TableDiv[[#Headers],[Agency]])),COLUMNS($F$7:AF$7))))</f>
        <v>0</v>
      </c>
      <c r="AG279" s="2223" cm="1">
        <f t="array" ref="AG279">IF($D279&lt;COLUMNS($F$7:AG$7),"",INDEX(TableDiv[[GASB]:[GASB]],_xlfn.AGGREGATE(15,3,(TableDiv[[Agency]:[Agency]]=$E279)/(TableDiv[[Agency]:[Agency]]=$E279)*(ROW(TableDiv[Agency])-ROW(TableDiv[[#Headers],[Agency]])),COLUMNS($F$7:AG$7))))</f>
        <v>0</v>
      </c>
      <c r="AH279" s="2223" cm="1">
        <f t="array" ref="AH279">IF($D279&lt;COLUMNS($F$7:AH$7),"",INDEX(TableDiv[[GASB]:[GASB]],_xlfn.AGGREGATE(15,3,(TableDiv[[Agency]:[Agency]]=$E279)/(TableDiv[[Agency]:[Agency]]=$E279)*(ROW(TableDiv[Agency])-ROW(TableDiv[[#Headers],[Agency]])),COLUMNS($F$7:AH$7))))</f>
        <v>0</v>
      </c>
      <c r="AI279" s="2223" cm="1">
        <f t="array" ref="AI279">IF($D279&lt;COLUMNS($F$7:AI$7),"",INDEX(TableDiv[[GASB]:[GASB]],_xlfn.AGGREGATE(15,3,(TableDiv[[Agency]:[Agency]]=$E279)/(TableDiv[[Agency]:[Agency]]=$E279)*(ROW(TableDiv[Agency])-ROW(TableDiv[[#Headers],[Agency]])),COLUMNS($F$7:AI$7))))</f>
        <v>0</v>
      </c>
      <c r="AJ279" s="2223" cm="1">
        <f t="array" ref="AJ279">IF($D279&lt;COLUMNS($F$7:AJ$7),"",INDEX(TableDiv[[GASB]:[GASB]],_xlfn.AGGREGATE(15,3,(TableDiv[[Agency]:[Agency]]=$E279)/(TableDiv[[Agency]:[Agency]]=$E279)*(ROW(TableDiv[Agency])-ROW(TableDiv[[#Headers],[Agency]])),COLUMNS($F$7:AJ$7))))</f>
        <v>0</v>
      </c>
      <c r="AK279" s="2223" t="str" cm="1">
        <f t="array" ref="AK279">IF($D279&lt;COLUMNS($F$7:AK$7),"",INDEX(TableDiv[[GASB]:[GASB]],_xlfn.AGGREGATE(15,3,(TableDiv[[Agency]:[Agency]]=$E279)/(TableDiv[[Agency]:[Agency]]=$E279)*(ROW(TableDiv[Agency])-ROW(TableDiv[[#Headers],[Agency]])),COLUMNS($F$7:AK$7))))</f>
        <v/>
      </c>
      <c r="AL279" s="2223" t="str" cm="1">
        <f t="array" ref="AL279">IF($D279&lt;COLUMNS($F$7:AL$7),"",INDEX(TableDiv[[GASB]:[GASB]],_xlfn.AGGREGATE(15,3,(TableDiv[[Agency]:[Agency]]=$E279)/(TableDiv[[Agency]:[Agency]]=$E279)*(ROW(TableDiv[Agency])-ROW(TableDiv[[#Headers],[Agency]])),COLUMNS($F$7:AL$7))))</f>
        <v/>
      </c>
      <c r="AM279" s="2223" t="str" cm="1">
        <f t="array" ref="AM279">IF($D279&lt;COLUMNS($F$7:AM$7),"",INDEX(TableDiv[[GASB]:[GASB]],_xlfn.AGGREGATE(15,3,(TableDiv[[Agency]:[Agency]]=$E279)/(TableDiv[[Agency]:[Agency]]=$E279)*(ROW(TableDiv[Agency])-ROW(TableDiv[[#Headers],[Agency]])),COLUMNS($F$7:AM$7))))</f>
        <v/>
      </c>
      <c r="AN279" s="2223"/>
      <c r="AO279" s="2223"/>
      <c r="AP279" s="2223"/>
      <c r="AQ279" s="2223"/>
      <c r="AR279" s="2223"/>
      <c r="AS279" s="2223"/>
    </row>
    <row r="280" spans="1:45" ht="15" x14ac:dyDescent="0.25">
      <c r="A280" s="2219" t="s">
        <v>5117</v>
      </c>
      <c r="B280" s="2219" t="s">
        <v>6407</v>
      </c>
      <c r="C280" s="2223"/>
      <c r="D280" s="2223">
        <f>COUNTIF(TableDiv[Agency],E280)</f>
        <v>31</v>
      </c>
      <c r="E280" s="2230" t="str" cm="1">
        <f t="array" ref="E280">IFERROR(INDEX(TableDiv[Agency],MATCH(0,INDEX(COUNTIF($E$7:E279,TableDiv[Agency]),),0)),"")</f>
        <v/>
      </c>
      <c r="F280" s="2223" cm="1">
        <f t="array" ref="F280">IF($D280&lt;COLUMNS($F$7:F$7),"",INDEX(TableDiv[[GASB]:[GASB]],_xlfn.AGGREGATE(15,3,(TableDiv[[Agency]:[Agency]]=$E280)/(TableDiv[[Agency]:[Agency]]=$E280)*(ROW(TableDiv[Agency])-ROW(TableDiv[[#Headers],[Agency]])),COLUMNS($F$7:F$7))))</f>
        <v>0</v>
      </c>
      <c r="G280" s="2223" cm="1">
        <f t="array" ref="G280">IF($D280&lt;COLUMNS($F$7:G$7),"",INDEX(TableDiv[[GASB]:[GASB]],_xlfn.AGGREGATE(15,3,(TableDiv[[Agency]:[Agency]]=$E280)/(TableDiv[[Agency]:[Agency]]=$E280)*(ROW(TableDiv[Agency])-ROW(TableDiv[[#Headers],[Agency]])),COLUMNS($F$7:G$7))))</f>
        <v>0</v>
      </c>
      <c r="H280" s="2223" cm="1">
        <f t="array" ref="H280">IF($D280&lt;COLUMNS($F$7:H$7),"",INDEX(TableDiv[[GASB]:[GASB]],_xlfn.AGGREGATE(15,3,(TableDiv[[Agency]:[Agency]]=$E280)/(TableDiv[[Agency]:[Agency]]=$E280)*(ROW(TableDiv[Agency])-ROW(TableDiv[[#Headers],[Agency]])),COLUMNS($F$7:H$7))))</f>
        <v>0</v>
      </c>
      <c r="I280" s="2223" cm="1">
        <f t="array" ref="I280">IF($D280&lt;COLUMNS($F$7:I$7),"",INDEX(TableDiv[[GASB]:[GASB]],_xlfn.AGGREGATE(15,3,(TableDiv[[Agency]:[Agency]]=$E280)/(TableDiv[[Agency]:[Agency]]=$E280)*(ROW(TableDiv[Agency])-ROW(TableDiv[[#Headers],[Agency]])),COLUMNS($F$7:I$7))))</f>
        <v>0</v>
      </c>
      <c r="J280" s="2223" cm="1">
        <f t="array" ref="J280">IF($D280&lt;COLUMNS($F$7:J$7),"",INDEX(TableDiv[[GASB]:[GASB]],_xlfn.AGGREGATE(15,3,(TableDiv[[Agency]:[Agency]]=$E280)/(TableDiv[[Agency]:[Agency]]=$E280)*(ROW(TableDiv[Agency])-ROW(TableDiv[[#Headers],[Agency]])),COLUMNS($F$7:J$7))))</f>
        <v>0</v>
      </c>
      <c r="K280" s="2223" cm="1">
        <f t="array" ref="K280">IF($D280&lt;COLUMNS($F$7:K$7),"",INDEX(TableDiv[[GASB]:[GASB]],_xlfn.AGGREGATE(15,3,(TableDiv[[Agency]:[Agency]]=$E280)/(TableDiv[[Agency]:[Agency]]=$E280)*(ROW(TableDiv[Agency])-ROW(TableDiv[[#Headers],[Agency]])),COLUMNS($F$7:K$7))))</f>
        <v>0</v>
      </c>
      <c r="L280" s="2223" cm="1">
        <f t="array" ref="L280">IF($D280&lt;COLUMNS($F$7:L$7),"",INDEX(TableDiv[[GASB]:[GASB]],_xlfn.AGGREGATE(15,3,(TableDiv[[Agency]:[Agency]]=$E280)/(TableDiv[[Agency]:[Agency]]=$E280)*(ROW(TableDiv[Agency])-ROW(TableDiv[[#Headers],[Agency]])),COLUMNS($F$7:L$7))))</f>
        <v>0</v>
      </c>
      <c r="M280" s="2223" cm="1">
        <f t="array" ref="M280">IF($D280&lt;COLUMNS($F$7:M$7),"",INDEX(TableDiv[[GASB]:[GASB]],_xlfn.AGGREGATE(15,3,(TableDiv[[Agency]:[Agency]]=$E280)/(TableDiv[[Agency]:[Agency]]=$E280)*(ROW(TableDiv[Agency])-ROW(TableDiv[[#Headers],[Agency]])),COLUMNS($F$7:M$7))))</f>
        <v>0</v>
      </c>
      <c r="N280" s="2223" cm="1">
        <f t="array" ref="N280">IF($D280&lt;COLUMNS($F$7:N$7),"",INDEX(TableDiv[[GASB]:[GASB]],_xlfn.AGGREGATE(15,3,(TableDiv[[Agency]:[Agency]]=$E280)/(TableDiv[[Agency]:[Agency]]=$E280)*(ROW(TableDiv[Agency])-ROW(TableDiv[[#Headers],[Agency]])),COLUMNS($F$7:N$7))))</f>
        <v>0</v>
      </c>
      <c r="O280" s="2223" cm="1">
        <f t="array" ref="O280">IF($D280&lt;COLUMNS($F$7:O$7),"",INDEX(TableDiv[[GASB]:[GASB]],_xlfn.AGGREGATE(15,3,(TableDiv[[Agency]:[Agency]]=$E280)/(TableDiv[[Agency]:[Agency]]=$E280)*(ROW(TableDiv[Agency])-ROW(TableDiv[[#Headers],[Agency]])),COLUMNS($F$7:O$7))))</f>
        <v>0</v>
      </c>
      <c r="P280" s="2223" cm="1">
        <f t="array" ref="P280">IF($D280&lt;COLUMNS($F$7:P$7),"",INDEX(TableDiv[[GASB]:[GASB]],_xlfn.AGGREGATE(15,3,(TableDiv[[Agency]:[Agency]]=$E280)/(TableDiv[[Agency]:[Agency]]=$E280)*(ROW(TableDiv[Agency])-ROW(TableDiv[[#Headers],[Agency]])),COLUMNS($F$7:P$7))))</f>
        <v>0</v>
      </c>
      <c r="Q280" s="2223" cm="1">
        <f t="array" ref="Q280">IF($D280&lt;COLUMNS($F$7:Q$7),"",INDEX(TableDiv[[GASB]:[GASB]],_xlfn.AGGREGATE(15,3,(TableDiv[[Agency]:[Agency]]=$E280)/(TableDiv[[Agency]:[Agency]]=$E280)*(ROW(TableDiv[Agency])-ROW(TableDiv[[#Headers],[Agency]])),COLUMNS($F$7:Q$7))))</f>
        <v>0</v>
      </c>
      <c r="R280" s="2223" cm="1">
        <f t="array" ref="R280">IF($D280&lt;COLUMNS($F$7:R$7),"",INDEX(TableDiv[[GASB]:[GASB]],_xlfn.AGGREGATE(15,3,(TableDiv[[Agency]:[Agency]]=$E280)/(TableDiv[[Agency]:[Agency]]=$E280)*(ROW(TableDiv[Agency])-ROW(TableDiv[[#Headers],[Agency]])),COLUMNS($F$7:R$7))))</f>
        <v>0</v>
      </c>
      <c r="S280" s="2223" cm="1">
        <f t="array" ref="S280">IF($D280&lt;COLUMNS($F$7:S$7),"",INDEX(TableDiv[[GASB]:[GASB]],_xlfn.AGGREGATE(15,3,(TableDiv[[Agency]:[Agency]]=$E280)/(TableDiv[[Agency]:[Agency]]=$E280)*(ROW(TableDiv[Agency])-ROW(TableDiv[[#Headers],[Agency]])),COLUMNS($F$7:S$7))))</f>
        <v>0</v>
      </c>
      <c r="T280" s="2223" cm="1">
        <f t="array" ref="T280">IF($D280&lt;COLUMNS($F$7:T$7),"",INDEX(TableDiv[[GASB]:[GASB]],_xlfn.AGGREGATE(15,3,(TableDiv[[Agency]:[Agency]]=$E280)/(TableDiv[[Agency]:[Agency]]=$E280)*(ROW(TableDiv[Agency])-ROW(TableDiv[[#Headers],[Agency]])),COLUMNS($F$7:T$7))))</f>
        <v>0</v>
      </c>
      <c r="U280" s="2223" cm="1">
        <f t="array" ref="U280">IF($D280&lt;COLUMNS($F$7:U$7),"",INDEX(TableDiv[[GASB]:[GASB]],_xlfn.AGGREGATE(15,3,(TableDiv[[Agency]:[Agency]]=$E280)/(TableDiv[[Agency]:[Agency]]=$E280)*(ROW(TableDiv[Agency])-ROW(TableDiv[[#Headers],[Agency]])),COLUMNS($F$7:U$7))))</f>
        <v>0</v>
      </c>
      <c r="V280" s="2223" cm="1">
        <f t="array" ref="V280">IF($D280&lt;COLUMNS($F$7:V$7),"",INDEX(TableDiv[[GASB]:[GASB]],_xlfn.AGGREGATE(15,3,(TableDiv[[Agency]:[Agency]]=$E280)/(TableDiv[[Agency]:[Agency]]=$E280)*(ROW(TableDiv[Agency])-ROW(TableDiv[[#Headers],[Agency]])),COLUMNS($F$7:V$7))))</f>
        <v>0</v>
      </c>
      <c r="W280" s="2223" cm="1">
        <f t="array" ref="W280">IF($D280&lt;COLUMNS($F$7:W$7),"",INDEX(TableDiv[[GASB]:[GASB]],_xlfn.AGGREGATE(15,3,(TableDiv[[Agency]:[Agency]]=$E280)/(TableDiv[[Agency]:[Agency]]=$E280)*(ROW(TableDiv[Agency])-ROW(TableDiv[[#Headers],[Agency]])),COLUMNS($F$7:W$7))))</f>
        <v>0</v>
      </c>
      <c r="X280" s="2223" cm="1">
        <f t="array" ref="X280">IF($D280&lt;COLUMNS($F$7:X$7),"",INDEX(TableDiv[[GASB]:[GASB]],_xlfn.AGGREGATE(15,3,(TableDiv[[Agency]:[Agency]]=$E280)/(TableDiv[[Agency]:[Agency]]=$E280)*(ROW(TableDiv[Agency])-ROW(TableDiv[[#Headers],[Agency]])),COLUMNS($F$7:X$7))))</f>
        <v>0</v>
      </c>
      <c r="Y280" s="2223" cm="1">
        <f t="array" ref="Y280">IF($D280&lt;COLUMNS($F$7:Y$7),"",INDEX(TableDiv[[GASB]:[GASB]],_xlfn.AGGREGATE(15,3,(TableDiv[[Agency]:[Agency]]=$E280)/(TableDiv[[Agency]:[Agency]]=$E280)*(ROW(TableDiv[Agency])-ROW(TableDiv[[#Headers],[Agency]])),COLUMNS($F$7:Y$7))))</f>
        <v>0</v>
      </c>
      <c r="Z280" s="2223" cm="1">
        <f t="array" ref="Z280">IF($D280&lt;COLUMNS($F$7:Z$7),"",INDEX(TableDiv[[GASB]:[GASB]],_xlfn.AGGREGATE(15,3,(TableDiv[[Agency]:[Agency]]=$E280)/(TableDiv[[Agency]:[Agency]]=$E280)*(ROW(TableDiv[Agency])-ROW(TableDiv[[#Headers],[Agency]])),COLUMNS($F$7:Z$7))))</f>
        <v>0</v>
      </c>
      <c r="AA280" s="2223" cm="1">
        <f t="array" ref="AA280">IF($D280&lt;COLUMNS($F$7:AA$7),"",INDEX(TableDiv[[GASB]:[GASB]],_xlfn.AGGREGATE(15,3,(TableDiv[[Agency]:[Agency]]=$E280)/(TableDiv[[Agency]:[Agency]]=$E280)*(ROW(TableDiv[Agency])-ROW(TableDiv[[#Headers],[Agency]])),COLUMNS($F$7:AA$7))))</f>
        <v>0</v>
      </c>
      <c r="AB280" s="2223" cm="1">
        <f t="array" ref="AB280">IF($D280&lt;COLUMNS($F$7:AB$7),"",INDEX(TableDiv[[GASB]:[GASB]],_xlfn.AGGREGATE(15,3,(TableDiv[[Agency]:[Agency]]=$E280)/(TableDiv[[Agency]:[Agency]]=$E280)*(ROW(TableDiv[Agency])-ROW(TableDiv[[#Headers],[Agency]])),COLUMNS($F$7:AB$7))))</f>
        <v>0</v>
      </c>
      <c r="AC280" s="2223" cm="1">
        <f t="array" ref="AC280">IF($D280&lt;COLUMNS($F$7:AC$7),"",INDEX(TableDiv[[GASB]:[GASB]],_xlfn.AGGREGATE(15,3,(TableDiv[[Agency]:[Agency]]=$E280)/(TableDiv[[Agency]:[Agency]]=$E280)*(ROW(TableDiv[Agency])-ROW(TableDiv[[#Headers],[Agency]])),COLUMNS($F$7:AC$7))))</f>
        <v>0</v>
      </c>
      <c r="AD280" s="2223" cm="1">
        <f t="array" ref="AD280">IF($D280&lt;COLUMNS($F$7:AD$7),"",INDEX(TableDiv[[GASB]:[GASB]],_xlfn.AGGREGATE(15,3,(TableDiv[[Agency]:[Agency]]=$E280)/(TableDiv[[Agency]:[Agency]]=$E280)*(ROW(TableDiv[Agency])-ROW(TableDiv[[#Headers],[Agency]])),COLUMNS($F$7:AD$7))))</f>
        <v>0</v>
      </c>
      <c r="AE280" s="2223" cm="1">
        <f t="array" ref="AE280">IF($D280&lt;COLUMNS($F$7:AE$7),"",INDEX(TableDiv[[GASB]:[GASB]],_xlfn.AGGREGATE(15,3,(TableDiv[[Agency]:[Agency]]=$E280)/(TableDiv[[Agency]:[Agency]]=$E280)*(ROW(TableDiv[Agency])-ROW(TableDiv[[#Headers],[Agency]])),COLUMNS($F$7:AE$7))))</f>
        <v>0</v>
      </c>
      <c r="AF280" s="2223" cm="1">
        <f t="array" ref="AF280">IF($D280&lt;COLUMNS($F$7:AF$7),"",INDEX(TableDiv[[GASB]:[GASB]],_xlfn.AGGREGATE(15,3,(TableDiv[[Agency]:[Agency]]=$E280)/(TableDiv[[Agency]:[Agency]]=$E280)*(ROW(TableDiv[Agency])-ROW(TableDiv[[#Headers],[Agency]])),COLUMNS($F$7:AF$7))))</f>
        <v>0</v>
      </c>
      <c r="AG280" s="2223" cm="1">
        <f t="array" ref="AG280">IF($D280&lt;COLUMNS($F$7:AG$7),"",INDEX(TableDiv[[GASB]:[GASB]],_xlfn.AGGREGATE(15,3,(TableDiv[[Agency]:[Agency]]=$E280)/(TableDiv[[Agency]:[Agency]]=$E280)*(ROW(TableDiv[Agency])-ROW(TableDiv[[#Headers],[Agency]])),COLUMNS($F$7:AG$7))))</f>
        <v>0</v>
      </c>
      <c r="AH280" s="2223" cm="1">
        <f t="array" ref="AH280">IF($D280&lt;COLUMNS($F$7:AH$7),"",INDEX(TableDiv[[GASB]:[GASB]],_xlfn.AGGREGATE(15,3,(TableDiv[[Agency]:[Agency]]=$E280)/(TableDiv[[Agency]:[Agency]]=$E280)*(ROW(TableDiv[Agency])-ROW(TableDiv[[#Headers],[Agency]])),COLUMNS($F$7:AH$7))))</f>
        <v>0</v>
      </c>
      <c r="AI280" s="2223" cm="1">
        <f t="array" ref="AI280">IF($D280&lt;COLUMNS($F$7:AI$7),"",INDEX(TableDiv[[GASB]:[GASB]],_xlfn.AGGREGATE(15,3,(TableDiv[[Agency]:[Agency]]=$E280)/(TableDiv[[Agency]:[Agency]]=$E280)*(ROW(TableDiv[Agency])-ROW(TableDiv[[#Headers],[Agency]])),COLUMNS($F$7:AI$7))))</f>
        <v>0</v>
      </c>
      <c r="AJ280" s="2223" cm="1">
        <f t="array" ref="AJ280">IF($D280&lt;COLUMNS($F$7:AJ$7),"",INDEX(TableDiv[[GASB]:[GASB]],_xlfn.AGGREGATE(15,3,(TableDiv[[Agency]:[Agency]]=$E280)/(TableDiv[[Agency]:[Agency]]=$E280)*(ROW(TableDiv[Agency])-ROW(TableDiv[[#Headers],[Agency]])),COLUMNS($F$7:AJ$7))))</f>
        <v>0</v>
      </c>
      <c r="AK280" s="2223" t="str" cm="1">
        <f t="array" ref="AK280">IF($D280&lt;COLUMNS($F$7:AK$7),"",INDEX(TableDiv[[GASB]:[GASB]],_xlfn.AGGREGATE(15,3,(TableDiv[[Agency]:[Agency]]=$E280)/(TableDiv[[Agency]:[Agency]]=$E280)*(ROW(TableDiv[Agency])-ROW(TableDiv[[#Headers],[Agency]])),COLUMNS($F$7:AK$7))))</f>
        <v/>
      </c>
      <c r="AL280" s="2223" t="str" cm="1">
        <f t="array" ref="AL280">IF($D280&lt;COLUMNS($F$7:AL$7),"",INDEX(TableDiv[[GASB]:[GASB]],_xlfn.AGGREGATE(15,3,(TableDiv[[Agency]:[Agency]]=$E280)/(TableDiv[[Agency]:[Agency]]=$E280)*(ROW(TableDiv[Agency])-ROW(TableDiv[[#Headers],[Agency]])),COLUMNS($F$7:AL$7))))</f>
        <v/>
      </c>
      <c r="AM280" s="2223" t="str" cm="1">
        <f t="array" ref="AM280">IF($D280&lt;COLUMNS($F$7:AM$7),"",INDEX(TableDiv[[GASB]:[GASB]],_xlfn.AGGREGATE(15,3,(TableDiv[[Agency]:[Agency]]=$E280)/(TableDiv[[Agency]:[Agency]]=$E280)*(ROW(TableDiv[Agency])-ROW(TableDiv[[#Headers],[Agency]])),COLUMNS($F$7:AM$7))))</f>
        <v/>
      </c>
      <c r="AN280" s="2223"/>
      <c r="AO280" s="2223"/>
      <c r="AP280" s="2223"/>
      <c r="AQ280" s="2223"/>
      <c r="AR280" s="2223"/>
      <c r="AS280" s="2223"/>
    </row>
    <row r="281" spans="1:45" ht="15" x14ac:dyDescent="0.25">
      <c r="A281" s="2219" t="s">
        <v>5117</v>
      </c>
      <c r="B281" s="2219" t="s">
        <v>6377</v>
      </c>
      <c r="C281" s="2223"/>
      <c r="D281" s="2223">
        <f>COUNTIF(TableDiv[Agency],E281)</f>
        <v>31</v>
      </c>
      <c r="E281" s="2230" t="str" cm="1">
        <f t="array" ref="E281">IFERROR(INDEX(TableDiv[Agency],MATCH(0,INDEX(COUNTIF($E$7:E280,TableDiv[Agency]),),0)),"")</f>
        <v/>
      </c>
      <c r="F281" s="2223" cm="1">
        <f t="array" ref="F281">IF($D281&lt;COLUMNS($F$7:F$7),"",INDEX(TableDiv[[GASB]:[GASB]],_xlfn.AGGREGATE(15,3,(TableDiv[[Agency]:[Agency]]=$E281)/(TableDiv[[Agency]:[Agency]]=$E281)*(ROW(TableDiv[Agency])-ROW(TableDiv[[#Headers],[Agency]])),COLUMNS($F$7:F$7))))</f>
        <v>0</v>
      </c>
      <c r="G281" s="2223" cm="1">
        <f t="array" ref="G281">IF($D281&lt;COLUMNS($F$7:G$7),"",INDEX(TableDiv[[GASB]:[GASB]],_xlfn.AGGREGATE(15,3,(TableDiv[[Agency]:[Agency]]=$E281)/(TableDiv[[Agency]:[Agency]]=$E281)*(ROW(TableDiv[Agency])-ROW(TableDiv[[#Headers],[Agency]])),COLUMNS($F$7:G$7))))</f>
        <v>0</v>
      </c>
      <c r="H281" s="2223" cm="1">
        <f t="array" ref="H281">IF($D281&lt;COLUMNS($F$7:H$7),"",INDEX(TableDiv[[GASB]:[GASB]],_xlfn.AGGREGATE(15,3,(TableDiv[[Agency]:[Agency]]=$E281)/(TableDiv[[Agency]:[Agency]]=$E281)*(ROW(TableDiv[Agency])-ROW(TableDiv[[#Headers],[Agency]])),COLUMNS($F$7:H$7))))</f>
        <v>0</v>
      </c>
      <c r="I281" s="2223" cm="1">
        <f t="array" ref="I281">IF($D281&lt;COLUMNS($F$7:I$7),"",INDEX(TableDiv[[GASB]:[GASB]],_xlfn.AGGREGATE(15,3,(TableDiv[[Agency]:[Agency]]=$E281)/(TableDiv[[Agency]:[Agency]]=$E281)*(ROW(TableDiv[Agency])-ROW(TableDiv[[#Headers],[Agency]])),COLUMNS($F$7:I$7))))</f>
        <v>0</v>
      </c>
      <c r="J281" s="2223" cm="1">
        <f t="array" ref="J281">IF($D281&lt;COLUMNS($F$7:J$7),"",INDEX(TableDiv[[GASB]:[GASB]],_xlfn.AGGREGATE(15,3,(TableDiv[[Agency]:[Agency]]=$E281)/(TableDiv[[Agency]:[Agency]]=$E281)*(ROW(TableDiv[Agency])-ROW(TableDiv[[#Headers],[Agency]])),COLUMNS($F$7:J$7))))</f>
        <v>0</v>
      </c>
      <c r="K281" s="2223" cm="1">
        <f t="array" ref="K281">IF($D281&lt;COLUMNS($F$7:K$7),"",INDEX(TableDiv[[GASB]:[GASB]],_xlfn.AGGREGATE(15,3,(TableDiv[[Agency]:[Agency]]=$E281)/(TableDiv[[Agency]:[Agency]]=$E281)*(ROW(TableDiv[Agency])-ROW(TableDiv[[#Headers],[Agency]])),COLUMNS($F$7:K$7))))</f>
        <v>0</v>
      </c>
      <c r="L281" s="2223" cm="1">
        <f t="array" ref="L281">IF($D281&lt;COLUMNS($F$7:L$7),"",INDEX(TableDiv[[GASB]:[GASB]],_xlfn.AGGREGATE(15,3,(TableDiv[[Agency]:[Agency]]=$E281)/(TableDiv[[Agency]:[Agency]]=$E281)*(ROW(TableDiv[Agency])-ROW(TableDiv[[#Headers],[Agency]])),COLUMNS($F$7:L$7))))</f>
        <v>0</v>
      </c>
      <c r="M281" s="2223" cm="1">
        <f t="array" ref="M281">IF($D281&lt;COLUMNS($F$7:M$7),"",INDEX(TableDiv[[GASB]:[GASB]],_xlfn.AGGREGATE(15,3,(TableDiv[[Agency]:[Agency]]=$E281)/(TableDiv[[Agency]:[Agency]]=$E281)*(ROW(TableDiv[Agency])-ROW(TableDiv[[#Headers],[Agency]])),COLUMNS($F$7:M$7))))</f>
        <v>0</v>
      </c>
      <c r="N281" s="2223" cm="1">
        <f t="array" ref="N281">IF($D281&lt;COLUMNS($F$7:N$7),"",INDEX(TableDiv[[GASB]:[GASB]],_xlfn.AGGREGATE(15,3,(TableDiv[[Agency]:[Agency]]=$E281)/(TableDiv[[Agency]:[Agency]]=$E281)*(ROW(TableDiv[Agency])-ROW(TableDiv[[#Headers],[Agency]])),COLUMNS($F$7:N$7))))</f>
        <v>0</v>
      </c>
      <c r="O281" s="2223" cm="1">
        <f t="array" ref="O281">IF($D281&lt;COLUMNS($F$7:O$7),"",INDEX(TableDiv[[GASB]:[GASB]],_xlfn.AGGREGATE(15,3,(TableDiv[[Agency]:[Agency]]=$E281)/(TableDiv[[Agency]:[Agency]]=$E281)*(ROW(TableDiv[Agency])-ROW(TableDiv[[#Headers],[Agency]])),COLUMNS($F$7:O$7))))</f>
        <v>0</v>
      </c>
      <c r="P281" s="2223" cm="1">
        <f t="array" ref="P281">IF($D281&lt;COLUMNS($F$7:P$7),"",INDEX(TableDiv[[GASB]:[GASB]],_xlfn.AGGREGATE(15,3,(TableDiv[[Agency]:[Agency]]=$E281)/(TableDiv[[Agency]:[Agency]]=$E281)*(ROW(TableDiv[Agency])-ROW(TableDiv[[#Headers],[Agency]])),COLUMNS($F$7:P$7))))</f>
        <v>0</v>
      </c>
      <c r="Q281" s="2223" cm="1">
        <f t="array" ref="Q281">IF($D281&lt;COLUMNS($F$7:Q$7),"",INDEX(TableDiv[[GASB]:[GASB]],_xlfn.AGGREGATE(15,3,(TableDiv[[Agency]:[Agency]]=$E281)/(TableDiv[[Agency]:[Agency]]=$E281)*(ROW(TableDiv[Agency])-ROW(TableDiv[[#Headers],[Agency]])),COLUMNS($F$7:Q$7))))</f>
        <v>0</v>
      </c>
      <c r="R281" s="2223" cm="1">
        <f t="array" ref="R281">IF($D281&lt;COLUMNS($F$7:R$7),"",INDEX(TableDiv[[GASB]:[GASB]],_xlfn.AGGREGATE(15,3,(TableDiv[[Agency]:[Agency]]=$E281)/(TableDiv[[Agency]:[Agency]]=$E281)*(ROW(TableDiv[Agency])-ROW(TableDiv[[#Headers],[Agency]])),COLUMNS($F$7:R$7))))</f>
        <v>0</v>
      </c>
      <c r="S281" s="2223" cm="1">
        <f t="array" ref="S281">IF($D281&lt;COLUMNS($F$7:S$7),"",INDEX(TableDiv[[GASB]:[GASB]],_xlfn.AGGREGATE(15,3,(TableDiv[[Agency]:[Agency]]=$E281)/(TableDiv[[Agency]:[Agency]]=$E281)*(ROW(TableDiv[Agency])-ROW(TableDiv[[#Headers],[Agency]])),COLUMNS($F$7:S$7))))</f>
        <v>0</v>
      </c>
      <c r="T281" s="2223" cm="1">
        <f t="array" ref="T281">IF($D281&lt;COLUMNS($F$7:T$7),"",INDEX(TableDiv[[GASB]:[GASB]],_xlfn.AGGREGATE(15,3,(TableDiv[[Agency]:[Agency]]=$E281)/(TableDiv[[Agency]:[Agency]]=$E281)*(ROW(TableDiv[Agency])-ROW(TableDiv[[#Headers],[Agency]])),COLUMNS($F$7:T$7))))</f>
        <v>0</v>
      </c>
      <c r="U281" s="2223" cm="1">
        <f t="array" ref="U281">IF($D281&lt;COLUMNS($F$7:U$7),"",INDEX(TableDiv[[GASB]:[GASB]],_xlfn.AGGREGATE(15,3,(TableDiv[[Agency]:[Agency]]=$E281)/(TableDiv[[Agency]:[Agency]]=$E281)*(ROW(TableDiv[Agency])-ROW(TableDiv[[#Headers],[Agency]])),COLUMNS($F$7:U$7))))</f>
        <v>0</v>
      </c>
      <c r="V281" s="2223" cm="1">
        <f t="array" ref="V281">IF($D281&lt;COLUMNS($F$7:V$7),"",INDEX(TableDiv[[GASB]:[GASB]],_xlfn.AGGREGATE(15,3,(TableDiv[[Agency]:[Agency]]=$E281)/(TableDiv[[Agency]:[Agency]]=$E281)*(ROW(TableDiv[Agency])-ROW(TableDiv[[#Headers],[Agency]])),COLUMNS($F$7:V$7))))</f>
        <v>0</v>
      </c>
      <c r="W281" s="2223" cm="1">
        <f t="array" ref="W281">IF($D281&lt;COLUMNS($F$7:W$7),"",INDEX(TableDiv[[GASB]:[GASB]],_xlfn.AGGREGATE(15,3,(TableDiv[[Agency]:[Agency]]=$E281)/(TableDiv[[Agency]:[Agency]]=$E281)*(ROW(TableDiv[Agency])-ROW(TableDiv[[#Headers],[Agency]])),COLUMNS($F$7:W$7))))</f>
        <v>0</v>
      </c>
      <c r="X281" s="2223" cm="1">
        <f t="array" ref="X281">IF($D281&lt;COLUMNS($F$7:X$7),"",INDEX(TableDiv[[GASB]:[GASB]],_xlfn.AGGREGATE(15,3,(TableDiv[[Agency]:[Agency]]=$E281)/(TableDiv[[Agency]:[Agency]]=$E281)*(ROW(TableDiv[Agency])-ROW(TableDiv[[#Headers],[Agency]])),COLUMNS($F$7:X$7))))</f>
        <v>0</v>
      </c>
      <c r="Y281" s="2223" cm="1">
        <f t="array" ref="Y281">IF($D281&lt;COLUMNS($F$7:Y$7),"",INDEX(TableDiv[[GASB]:[GASB]],_xlfn.AGGREGATE(15,3,(TableDiv[[Agency]:[Agency]]=$E281)/(TableDiv[[Agency]:[Agency]]=$E281)*(ROW(TableDiv[Agency])-ROW(TableDiv[[#Headers],[Agency]])),COLUMNS($F$7:Y$7))))</f>
        <v>0</v>
      </c>
      <c r="Z281" s="2223" cm="1">
        <f t="array" ref="Z281">IF($D281&lt;COLUMNS($F$7:Z$7),"",INDEX(TableDiv[[GASB]:[GASB]],_xlfn.AGGREGATE(15,3,(TableDiv[[Agency]:[Agency]]=$E281)/(TableDiv[[Agency]:[Agency]]=$E281)*(ROW(TableDiv[Agency])-ROW(TableDiv[[#Headers],[Agency]])),COLUMNS($F$7:Z$7))))</f>
        <v>0</v>
      </c>
      <c r="AA281" s="2223" cm="1">
        <f t="array" ref="AA281">IF($D281&lt;COLUMNS($F$7:AA$7),"",INDEX(TableDiv[[GASB]:[GASB]],_xlfn.AGGREGATE(15,3,(TableDiv[[Agency]:[Agency]]=$E281)/(TableDiv[[Agency]:[Agency]]=$E281)*(ROW(TableDiv[Agency])-ROW(TableDiv[[#Headers],[Agency]])),COLUMNS($F$7:AA$7))))</f>
        <v>0</v>
      </c>
      <c r="AB281" s="2223" cm="1">
        <f t="array" ref="AB281">IF($D281&lt;COLUMNS($F$7:AB$7),"",INDEX(TableDiv[[GASB]:[GASB]],_xlfn.AGGREGATE(15,3,(TableDiv[[Agency]:[Agency]]=$E281)/(TableDiv[[Agency]:[Agency]]=$E281)*(ROW(TableDiv[Agency])-ROW(TableDiv[[#Headers],[Agency]])),COLUMNS($F$7:AB$7))))</f>
        <v>0</v>
      </c>
      <c r="AC281" s="2223" cm="1">
        <f t="array" ref="AC281">IF($D281&lt;COLUMNS($F$7:AC$7),"",INDEX(TableDiv[[GASB]:[GASB]],_xlfn.AGGREGATE(15,3,(TableDiv[[Agency]:[Agency]]=$E281)/(TableDiv[[Agency]:[Agency]]=$E281)*(ROW(TableDiv[Agency])-ROW(TableDiv[[#Headers],[Agency]])),COLUMNS($F$7:AC$7))))</f>
        <v>0</v>
      </c>
      <c r="AD281" s="2223" cm="1">
        <f t="array" ref="AD281">IF($D281&lt;COLUMNS($F$7:AD$7),"",INDEX(TableDiv[[GASB]:[GASB]],_xlfn.AGGREGATE(15,3,(TableDiv[[Agency]:[Agency]]=$E281)/(TableDiv[[Agency]:[Agency]]=$E281)*(ROW(TableDiv[Agency])-ROW(TableDiv[[#Headers],[Agency]])),COLUMNS($F$7:AD$7))))</f>
        <v>0</v>
      </c>
      <c r="AE281" s="2223" cm="1">
        <f t="array" ref="AE281">IF($D281&lt;COLUMNS($F$7:AE$7),"",INDEX(TableDiv[[GASB]:[GASB]],_xlfn.AGGREGATE(15,3,(TableDiv[[Agency]:[Agency]]=$E281)/(TableDiv[[Agency]:[Agency]]=$E281)*(ROW(TableDiv[Agency])-ROW(TableDiv[[#Headers],[Agency]])),COLUMNS($F$7:AE$7))))</f>
        <v>0</v>
      </c>
      <c r="AF281" s="2223" cm="1">
        <f t="array" ref="AF281">IF($D281&lt;COLUMNS($F$7:AF$7),"",INDEX(TableDiv[[GASB]:[GASB]],_xlfn.AGGREGATE(15,3,(TableDiv[[Agency]:[Agency]]=$E281)/(TableDiv[[Agency]:[Agency]]=$E281)*(ROW(TableDiv[Agency])-ROW(TableDiv[[#Headers],[Agency]])),COLUMNS($F$7:AF$7))))</f>
        <v>0</v>
      </c>
      <c r="AG281" s="2223" cm="1">
        <f t="array" ref="AG281">IF($D281&lt;COLUMNS($F$7:AG$7),"",INDEX(TableDiv[[GASB]:[GASB]],_xlfn.AGGREGATE(15,3,(TableDiv[[Agency]:[Agency]]=$E281)/(TableDiv[[Agency]:[Agency]]=$E281)*(ROW(TableDiv[Agency])-ROW(TableDiv[[#Headers],[Agency]])),COLUMNS($F$7:AG$7))))</f>
        <v>0</v>
      </c>
      <c r="AH281" s="2223" cm="1">
        <f t="array" ref="AH281">IF($D281&lt;COLUMNS($F$7:AH$7),"",INDEX(TableDiv[[GASB]:[GASB]],_xlfn.AGGREGATE(15,3,(TableDiv[[Agency]:[Agency]]=$E281)/(TableDiv[[Agency]:[Agency]]=$E281)*(ROW(TableDiv[Agency])-ROW(TableDiv[[#Headers],[Agency]])),COLUMNS($F$7:AH$7))))</f>
        <v>0</v>
      </c>
      <c r="AI281" s="2223" cm="1">
        <f t="array" ref="AI281">IF($D281&lt;COLUMNS($F$7:AI$7),"",INDEX(TableDiv[[GASB]:[GASB]],_xlfn.AGGREGATE(15,3,(TableDiv[[Agency]:[Agency]]=$E281)/(TableDiv[[Agency]:[Agency]]=$E281)*(ROW(TableDiv[Agency])-ROW(TableDiv[[#Headers],[Agency]])),COLUMNS($F$7:AI$7))))</f>
        <v>0</v>
      </c>
      <c r="AJ281" s="2223" cm="1">
        <f t="array" ref="AJ281">IF($D281&lt;COLUMNS($F$7:AJ$7),"",INDEX(TableDiv[[GASB]:[GASB]],_xlfn.AGGREGATE(15,3,(TableDiv[[Agency]:[Agency]]=$E281)/(TableDiv[[Agency]:[Agency]]=$E281)*(ROW(TableDiv[Agency])-ROW(TableDiv[[#Headers],[Agency]])),COLUMNS($F$7:AJ$7))))</f>
        <v>0</v>
      </c>
      <c r="AK281" s="2223" t="str" cm="1">
        <f t="array" ref="AK281">IF($D281&lt;COLUMNS($F$7:AK$7),"",INDEX(TableDiv[[GASB]:[GASB]],_xlfn.AGGREGATE(15,3,(TableDiv[[Agency]:[Agency]]=$E281)/(TableDiv[[Agency]:[Agency]]=$E281)*(ROW(TableDiv[Agency])-ROW(TableDiv[[#Headers],[Agency]])),COLUMNS($F$7:AK$7))))</f>
        <v/>
      </c>
      <c r="AL281" s="2223" t="str" cm="1">
        <f t="array" ref="AL281">IF($D281&lt;COLUMNS($F$7:AL$7),"",INDEX(TableDiv[[GASB]:[GASB]],_xlfn.AGGREGATE(15,3,(TableDiv[[Agency]:[Agency]]=$E281)/(TableDiv[[Agency]:[Agency]]=$E281)*(ROW(TableDiv[Agency])-ROW(TableDiv[[#Headers],[Agency]])),COLUMNS($F$7:AL$7))))</f>
        <v/>
      </c>
      <c r="AM281" s="2223" t="str" cm="1">
        <f t="array" ref="AM281">IF($D281&lt;COLUMNS($F$7:AM$7),"",INDEX(TableDiv[[GASB]:[GASB]],_xlfn.AGGREGATE(15,3,(TableDiv[[Agency]:[Agency]]=$E281)/(TableDiv[[Agency]:[Agency]]=$E281)*(ROW(TableDiv[Agency])-ROW(TableDiv[[#Headers],[Agency]])),COLUMNS($F$7:AM$7))))</f>
        <v/>
      </c>
      <c r="AN281" s="2223"/>
      <c r="AO281" s="2223"/>
      <c r="AP281" s="2223"/>
      <c r="AQ281" s="2223"/>
      <c r="AR281" s="2223"/>
      <c r="AS281" s="2223"/>
    </row>
    <row r="282" spans="1:45" ht="15" x14ac:dyDescent="0.25">
      <c r="A282" s="2219" t="s">
        <v>5117</v>
      </c>
      <c r="B282" s="2219" t="s">
        <v>6473</v>
      </c>
      <c r="C282" s="2223"/>
      <c r="D282" s="2223">
        <f>COUNTIF(TableDiv[Agency],E282)</f>
        <v>31</v>
      </c>
      <c r="E282" s="2230" t="str" cm="1">
        <f t="array" ref="E282">IFERROR(INDEX(TableDiv[Agency],MATCH(0,INDEX(COUNTIF($E$7:E281,TableDiv[Agency]),),0)),"")</f>
        <v/>
      </c>
      <c r="F282" s="2223" cm="1">
        <f t="array" ref="F282">IF($D282&lt;COLUMNS($F$7:F$7),"",INDEX(TableDiv[[GASB]:[GASB]],_xlfn.AGGREGATE(15,3,(TableDiv[[Agency]:[Agency]]=$E282)/(TableDiv[[Agency]:[Agency]]=$E282)*(ROW(TableDiv[Agency])-ROW(TableDiv[[#Headers],[Agency]])),COLUMNS($F$7:F$7))))</f>
        <v>0</v>
      </c>
      <c r="G282" s="2223" cm="1">
        <f t="array" ref="G282">IF($D282&lt;COLUMNS($F$7:G$7),"",INDEX(TableDiv[[GASB]:[GASB]],_xlfn.AGGREGATE(15,3,(TableDiv[[Agency]:[Agency]]=$E282)/(TableDiv[[Agency]:[Agency]]=$E282)*(ROW(TableDiv[Agency])-ROW(TableDiv[[#Headers],[Agency]])),COLUMNS($F$7:G$7))))</f>
        <v>0</v>
      </c>
      <c r="H282" s="2223" cm="1">
        <f t="array" ref="H282">IF($D282&lt;COLUMNS($F$7:H$7),"",INDEX(TableDiv[[GASB]:[GASB]],_xlfn.AGGREGATE(15,3,(TableDiv[[Agency]:[Agency]]=$E282)/(TableDiv[[Agency]:[Agency]]=$E282)*(ROW(TableDiv[Agency])-ROW(TableDiv[[#Headers],[Agency]])),COLUMNS($F$7:H$7))))</f>
        <v>0</v>
      </c>
      <c r="I282" s="2223" cm="1">
        <f t="array" ref="I282">IF($D282&lt;COLUMNS($F$7:I$7),"",INDEX(TableDiv[[GASB]:[GASB]],_xlfn.AGGREGATE(15,3,(TableDiv[[Agency]:[Agency]]=$E282)/(TableDiv[[Agency]:[Agency]]=$E282)*(ROW(TableDiv[Agency])-ROW(TableDiv[[#Headers],[Agency]])),COLUMNS($F$7:I$7))))</f>
        <v>0</v>
      </c>
      <c r="J282" s="2223" cm="1">
        <f t="array" ref="J282">IF($D282&lt;COLUMNS($F$7:J$7),"",INDEX(TableDiv[[GASB]:[GASB]],_xlfn.AGGREGATE(15,3,(TableDiv[[Agency]:[Agency]]=$E282)/(TableDiv[[Agency]:[Agency]]=$E282)*(ROW(TableDiv[Agency])-ROW(TableDiv[[#Headers],[Agency]])),COLUMNS($F$7:J$7))))</f>
        <v>0</v>
      </c>
      <c r="K282" s="2223" cm="1">
        <f t="array" ref="K282">IF($D282&lt;COLUMNS($F$7:K$7),"",INDEX(TableDiv[[GASB]:[GASB]],_xlfn.AGGREGATE(15,3,(TableDiv[[Agency]:[Agency]]=$E282)/(TableDiv[[Agency]:[Agency]]=$E282)*(ROW(TableDiv[Agency])-ROW(TableDiv[[#Headers],[Agency]])),COLUMNS($F$7:K$7))))</f>
        <v>0</v>
      </c>
      <c r="L282" s="2223" cm="1">
        <f t="array" ref="L282">IF($D282&lt;COLUMNS($F$7:L$7),"",INDEX(TableDiv[[GASB]:[GASB]],_xlfn.AGGREGATE(15,3,(TableDiv[[Agency]:[Agency]]=$E282)/(TableDiv[[Agency]:[Agency]]=$E282)*(ROW(TableDiv[Agency])-ROW(TableDiv[[#Headers],[Agency]])),COLUMNS($F$7:L$7))))</f>
        <v>0</v>
      </c>
      <c r="M282" s="2223" cm="1">
        <f t="array" ref="M282">IF($D282&lt;COLUMNS($F$7:M$7),"",INDEX(TableDiv[[GASB]:[GASB]],_xlfn.AGGREGATE(15,3,(TableDiv[[Agency]:[Agency]]=$E282)/(TableDiv[[Agency]:[Agency]]=$E282)*(ROW(TableDiv[Agency])-ROW(TableDiv[[#Headers],[Agency]])),COLUMNS($F$7:M$7))))</f>
        <v>0</v>
      </c>
      <c r="N282" s="2223" cm="1">
        <f t="array" ref="N282">IF($D282&lt;COLUMNS($F$7:N$7),"",INDEX(TableDiv[[GASB]:[GASB]],_xlfn.AGGREGATE(15,3,(TableDiv[[Agency]:[Agency]]=$E282)/(TableDiv[[Agency]:[Agency]]=$E282)*(ROW(TableDiv[Agency])-ROW(TableDiv[[#Headers],[Agency]])),COLUMNS($F$7:N$7))))</f>
        <v>0</v>
      </c>
      <c r="O282" s="2223" cm="1">
        <f t="array" ref="O282">IF($D282&lt;COLUMNS($F$7:O$7),"",INDEX(TableDiv[[GASB]:[GASB]],_xlfn.AGGREGATE(15,3,(TableDiv[[Agency]:[Agency]]=$E282)/(TableDiv[[Agency]:[Agency]]=$E282)*(ROW(TableDiv[Agency])-ROW(TableDiv[[#Headers],[Agency]])),COLUMNS($F$7:O$7))))</f>
        <v>0</v>
      </c>
      <c r="P282" s="2223" cm="1">
        <f t="array" ref="P282">IF($D282&lt;COLUMNS($F$7:P$7),"",INDEX(TableDiv[[GASB]:[GASB]],_xlfn.AGGREGATE(15,3,(TableDiv[[Agency]:[Agency]]=$E282)/(TableDiv[[Agency]:[Agency]]=$E282)*(ROW(TableDiv[Agency])-ROW(TableDiv[[#Headers],[Agency]])),COLUMNS($F$7:P$7))))</f>
        <v>0</v>
      </c>
      <c r="Q282" s="2223" cm="1">
        <f t="array" ref="Q282">IF($D282&lt;COLUMNS($F$7:Q$7),"",INDEX(TableDiv[[GASB]:[GASB]],_xlfn.AGGREGATE(15,3,(TableDiv[[Agency]:[Agency]]=$E282)/(TableDiv[[Agency]:[Agency]]=$E282)*(ROW(TableDiv[Agency])-ROW(TableDiv[[#Headers],[Agency]])),COLUMNS($F$7:Q$7))))</f>
        <v>0</v>
      </c>
      <c r="R282" s="2223" cm="1">
        <f t="array" ref="R282">IF($D282&lt;COLUMNS($F$7:R$7),"",INDEX(TableDiv[[GASB]:[GASB]],_xlfn.AGGREGATE(15,3,(TableDiv[[Agency]:[Agency]]=$E282)/(TableDiv[[Agency]:[Agency]]=$E282)*(ROW(TableDiv[Agency])-ROW(TableDiv[[#Headers],[Agency]])),COLUMNS($F$7:R$7))))</f>
        <v>0</v>
      </c>
      <c r="S282" s="2223" cm="1">
        <f t="array" ref="S282">IF($D282&lt;COLUMNS($F$7:S$7),"",INDEX(TableDiv[[GASB]:[GASB]],_xlfn.AGGREGATE(15,3,(TableDiv[[Agency]:[Agency]]=$E282)/(TableDiv[[Agency]:[Agency]]=$E282)*(ROW(TableDiv[Agency])-ROW(TableDiv[[#Headers],[Agency]])),COLUMNS($F$7:S$7))))</f>
        <v>0</v>
      </c>
      <c r="T282" s="2223" cm="1">
        <f t="array" ref="T282">IF($D282&lt;COLUMNS($F$7:T$7),"",INDEX(TableDiv[[GASB]:[GASB]],_xlfn.AGGREGATE(15,3,(TableDiv[[Agency]:[Agency]]=$E282)/(TableDiv[[Agency]:[Agency]]=$E282)*(ROW(TableDiv[Agency])-ROW(TableDiv[[#Headers],[Agency]])),COLUMNS($F$7:T$7))))</f>
        <v>0</v>
      </c>
      <c r="U282" s="2223" cm="1">
        <f t="array" ref="U282">IF($D282&lt;COLUMNS($F$7:U$7),"",INDEX(TableDiv[[GASB]:[GASB]],_xlfn.AGGREGATE(15,3,(TableDiv[[Agency]:[Agency]]=$E282)/(TableDiv[[Agency]:[Agency]]=$E282)*(ROW(TableDiv[Agency])-ROW(TableDiv[[#Headers],[Agency]])),COLUMNS($F$7:U$7))))</f>
        <v>0</v>
      </c>
      <c r="V282" s="2223" cm="1">
        <f t="array" ref="V282">IF($D282&lt;COLUMNS($F$7:V$7),"",INDEX(TableDiv[[GASB]:[GASB]],_xlfn.AGGREGATE(15,3,(TableDiv[[Agency]:[Agency]]=$E282)/(TableDiv[[Agency]:[Agency]]=$E282)*(ROW(TableDiv[Agency])-ROW(TableDiv[[#Headers],[Agency]])),COLUMNS($F$7:V$7))))</f>
        <v>0</v>
      </c>
      <c r="W282" s="2223" cm="1">
        <f t="array" ref="W282">IF($D282&lt;COLUMNS($F$7:W$7),"",INDEX(TableDiv[[GASB]:[GASB]],_xlfn.AGGREGATE(15,3,(TableDiv[[Agency]:[Agency]]=$E282)/(TableDiv[[Agency]:[Agency]]=$E282)*(ROW(TableDiv[Agency])-ROW(TableDiv[[#Headers],[Agency]])),COLUMNS($F$7:W$7))))</f>
        <v>0</v>
      </c>
      <c r="X282" s="2223" cm="1">
        <f t="array" ref="X282">IF($D282&lt;COLUMNS($F$7:X$7),"",INDEX(TableDiv[[GASB]:[GASB]],_xlfn.AGGREGATE(15,3,(TableDiv[[Agency]:[Agency]]=$E282)/(TableDiv[[Agency]:[Agency]]=$E282)*(ROW(TableDiv[Agency])-ROW(TableDiv[[#Headers],[Agency]])),COLUMNS($F$7:X$7))))</f>
        <v>0</v>
      </c>
      <c r="Y282" s="2223" cm="1">
        <f t="array" ref="Y282">IF($D282&lt;COLUMNS($F$7:Y$7),"",INDEX(TableDiv[[GASB]:[GASB]],_xlfn.AGGREGATE(15,3,(TableDiv[[Agency]:[Agency]]=$E282)/(TableDiv[[Agency]:[Agency]]=$E282)*(ROW(TableDiv[Agency])-ROW(TableDiv[[#Headers],[Agency]])),COLUMNS($F$7:Y$7))))</f>
        <v>0</v>
      </c>
      <c r="Z282" s="2223" cm="1">
        <f t="array" ref="Z282">IF($D282&lt;COLUMNS($F$7:Z$7),"",INDEX(TableDiv[[GASB]:[GASB]],_xlfn.AGGREGATE(15,3,(TableDiv[[Agency]:[Agency]]=$E282)/(TableDiv[[Agency]:[Agency]]=$E282)*(ROW(TableDiv[Agency])-ROW(TableDiv[[#Headers],[Agency]])),COLUMNS($F$7:Z$7))))</f>
        <v>0</v>
      </c>
      <c r="AA282" s="2223" cm="1">
        <f t="array" ref="AA282">IF($D282&lt;COLUMNS($F$7:AA$7),"",INDEX(TableDiv[[GASB]:[GASB]],_xlfn.AGGREGATE(15,3,(TableDiv[[Agency]:[Agency]]=$E282)/(TableDiv[[Agency]:[Agency]]=$E282)*(ROW(TableDiv[Agency])-ROW(TableDiv[[#Headers],[Agency]])),COLUMNS($F$7:AA$7))))</f>
        <v>0</v>
      </c>
      <c r="AB282" s="2223" cm="1">
        <f t="array" ref="AB282">IF($D282&lt;COLUMNS($F$7:AB$7),"",INDEX(TableDiv[[GASB]:[GASB]],_xlfn.AGGREGATE(15,3,(TableDiv[[Agency]:[Agency]]=$E282)/(TableDiv[[Agency]:[Agency]]=$E282)*(ROW(TableDiv[Agency])-ROW(TableDiv[[#Headers],[Agency]])),COLUMNS($F$7:AB$7))))</f>
        <v>0</v>
      </c>
      <c r="AC282" s="2223" cm="1">
        <f t="array" ref="AC282">IF($D282&lt;COLUMNS($F$7:AC$7),"",INDEX(TableDiv[[GASB]:[GASB]],_xlfn.AGGREGATE(15,3,(TableDiv[[Agency]:[Agency]]=$E282)/(TableDiv[[Agency]:[Agency]]=$E282)*(ROW(TableDiv[Agency])-ROW(TableDiv[[#Headers],[Agency]])),COLUMNS($F$7:AC$7))))</f>
        <v>0</v>
      </c>
      <c r="AD282" s="2223" cm="1">
        <f t="array" ref="AD282">IF($D282&lt;COLUMNS($F$7:AD$7),"",INDEX(TableDiv[[GASB]:[GASB]],_xlfn.AGGREGATE(15,3,(TableDiv[[Agency]:[Agency]]=$E282)/(TableDiv[[Agency]:[Agency]]=$E282)*(ROW(TableDiv[Agency])-ROW(TableDiv[[#Headers],[Agency]])),COLUMNS($F$7:AD$7))))</f>
        <v>0</v>
      </c>
      <c r="AE282" s="2223" cm="1">
        <f t="array" ref="AE282">IF($D282&lt;COLUMNS($F$7:AE$7),"",INDEX(TableDiv[[GASB]:[GASB]],_xlfn.AGGREGATE(15,3,(TableDiv[[Agency]:[Agency]]=$E282)/(TableDiv[[Agency]:[Agency]]=$E282)*(ROW(TableDiv[Agency])-ROW(TableDiv[[#Headers],[Agency]])),COLUMNS($F$7:AE$7))))</f>
        <v>0</v>
      </c>
      <c r="AF282" s="2223" cm="1">
        <f t="array" ref="AF282">IF($D282&lt;COLUMNS($F$7:AF$7),"",INDEX(TableDiv[[GASB]:[GASB]],_xlfn.AGGREGATE(15,3,(TableDiv[[Agency]:[Agency]]=$E282)/(TableDiv[[Agency]:[Agency]]=$E282)*(ROW(TableDiv[Agency])-ROW(TableDiv[[#Headers],[Agency]])),COLUMNS($F$7:AF$7))))</f>
        <v>0</v>
      </c>
      <c r="AG282" s="2223" cm="1">
        <f t="array" ref="AG282">IF($D282&lt;COLUMNS($F$7:AG$7),"",INDEX(TableDiv[[GASB]:[GASB]],_xlfn.AGGREGATE(15,3,(TableDiv[[Agency]:[Agency]]=$E282)/(TableDiv[[Agency]:[Agency]]=$E282)*(ROW(TableDiv[Agency])-ROW(TableDiv[[#Headers],[Agency]])),COLUMNS($F$7:AG$7))))</f>
        <v>0</v>
      </c>
      <c r="AH282" s="2223" cm="1">
        <f t="array" ref="AH282">IF($D282&lt;COLUMNS($F$7:AH$7),"",INDEX(TableDiv[[GASB]:[GASB]],_xlfn.AGGREGATE(15,3,(TableDiv[[Agency]:[Agency]]=$E282)/(TableDiv[[Agency]:[Agency]]=$E282)*(ROW(TableDiv[Agency])-ROW(TableDiv[[#Headers],[Agency]])),COLUMNS($F$7:AH$7))))</f>
        <v>0</v>
      </c>
      <c r="AI282" s="2223" cm="1">
        <f t="array" ref="AI282">IF($D282&lt;COLUMNS($F$7:AI$7),"",INDEX(TableDiv[[GASB]:[GASB]],_xlfn.AGGREGATE(15,3,(TableDiv[[Agency]:[Agency]]=$E282)/(TableDiv[[Agency]:[Agency]]=$E282)*(ROW(TableDiv[Agency])-ROW(TableDiv[[#Headers],[Agency]])),COLUMNS($F$7:AI$7))))</f>
        <v>0</v>
      </c>
      <c r="AJ282" s="2223" cm="1">
        <f t="array" ref="AJ282">IF($D282&lt;COLUMNS($F$7:AJ$7),"",INDEX(TableDiv[[GASB]:[GASB]],_xlfn.AGGREGATE(15,3,(TableDiv[[Agency]:[Agency]]=$E282)/(TableDiv[[Agency]:[Agency]]=$E282)*(ROW(TableDiv[Agency])-ROW(TableDiv[[#Headers],[Agency]])),COLUMNS($F$7:AJ$7))))</f>
        <v>0</v>
      </c>
      <c r="AK282" s="2223" t="str" cm="1">
        <f t="array" ref="AK282">IF($D282&lt;COLUMNS($F$7:AK$7),"",INDEX(TableDiv[[GASB]:[GASB]],_xlfn.AGGREGATE(15,3,(TableDiv[[Agency]:[Agency]]=$E282)/(TableDiv[[Agency]:[Agency]]=$E282)*(ROW(TableDiv[Agency])-ROW(TableDiv[[#Headers],[Agency]])),COLUMNS($F$7:AK$7))))</f>
        <v/>
      </c>
      <c r="AL282" s="2223" t="str" cm="1">
        <f t="array" ref="AL282">IF($D282&lt;COLUMNS($F$7:AL$7),"",INDEX(TableDiv[[GASB]:[GASB]],_xlfn.AGGREGATE(15,3,(TableDiv[[Agency]:[Agency]]=$E282)/(TableDiv[[Agency]:[Agency]]=$E282)*(ROW(TableDiv[Agency])-ROW(TableDiv[[#Headers],[Agency]])),COLUMNS($F$7:AL$7))))</f>
        <v/>
      </c>
      <c r="AM282" s="2223" t="str" cm="1">
        <f t="array" ref="AM282">IF($D282&lt;COLUMNS($F$7:AM$7),"",INDEX(TableDiv[[GASB]:[GASB]],_xlfn.AGGREGATE(15,3,(TableDiv[[Agency]:[Agency]]=$E282)/(TableDiv[[Agency]:[Agency]]=$E282)*(ROW(TableDiv[Agency])-ROW(TableDiv[[#Headers],[Agency]])),COLUMNS($F$7:AM$7))))</f>
        <v/>
      </c>
      <c r="AN282" s="2223"/>
      <c r="AO282" s="2223"/>
      <c r="AP282" s="2223"/>
      <c r="AQ282" s="2223"/>
      <c r="AR282" s="2223"/>
      <c r="AS282" s="2223"/>
    </row>
    <row r="283" spans="1:45" ht="15" x14ac:dyDescent="0.25">
      <c r="A283" s="2219" t="s">
        <v>5117</v>
      </c>
      <c r="B283" s="2219" t="s">
        <v>6437</v>
      </c>
      <c r="C283" s="2223"/>
      <c r="D283" s="2223">
        <f>COUNTIF(TableDiv[Agency],E283)</f>
        <v>31</v>
      </c>
      <c r="E283" s="2230" t="str" cm="1">
        <f t="array" ref="E283">IFERROR(INDEX(TableDiv[Agency],MATCH(0,INDEX(COUNTIF($E$7:E282,TableDiv[Agency]),),0)),"")</f>
        <v/>
      </c>
      <c r="F283" s="2223" cm="1">
        <f t="array" ref="F283">IF($D283&lt;COLUMNS($F$7:F$7),"",INDEX(TableDiv[[GASB]:[GASB]],_xlfn.AGGREGATE(15,3,(TableDiv[[Agency]:[Agency]]=$E283)/(TableDiv[[Agency]:[Agency]]=$E283)*(ROW(TableDiv[Agency])-ROW(TableDiv[[#Headers],[Agency]])),COLUMNS($F$7:F$7))))</f>
        <v>0</v>
      </c>
      <c r="G283" s="2223" cm="1">
        <f t="array" ref="G283">IF($D283&lt;COLUMNS($F$7:G$7),"",INDEX(TableDiv[[GASB]:[GASB]],_xlfn.AGGREGATE(15,3,(TableDiv[[Agency]:[Agency]]=$E283)/(TableDiv[[Agency]:[Agency]]=$E283)*(ROW(TableDiv[Agency])-ROW(TableDiv[[#Headers],[Agency]])),COLUMNS($F$7:G$7))))</f>
        <v>0</v>
      </c>
      <c r="H283" s="2223" cm="1">
        <f t="array" ref="H283">IF($D283&lt;COLUMNS($F$7:H$7),"",INDEX(TableDiv[[GASB]:[GASB]],_xlfn.AGGREGATE(15,3,(TableDiv[[Agency]:[Agency]]=$E283)/(TableDiv[[Agency]:[Agency]]=$E283)*(ROW(TableDiv[Agency])-ROW(TableDiv[[#Headers],[Agency]])),COLUMNS($F$7:H$7))))</f>
        <v>0</v>
      </c>
      <c r="I283" s="2223" cm="1">
        <f t="array" ref="I283">IF($D283&lt;COLUMNS($F$7:I$7),"",INDEX(TableDiv[[GASB]:[GASB]],_xlfn.AGGREGATE(15,3,(TableDiv[[Agency]:[Agency]]=$E283)/(TableDiv[[Agency]:[Agency]]=$E283)*(ROW(TableDiv[Agency])-ROW(TableDiv[[#Headers],[Agency]])),COLUMNS($F$7:I$7))))</f>
        <v>0</v>
      </c>
      <c r="J283" s="2223" cm="1">
        <f t="array" ref="J283">IF($D283&lt;COLUMNS($F$7:J$7),"",INDEX(TableDiv[[GASB]:[GASB]],_xlfn.AGGREGATE(15,3,(TableDiv[[Agency]:[Agency]]=$E283)/(TableDiv[[Agency]:[Agency]]=$E283)*(ROW(TableDiv[Agency])-ROW(TableDiv[[#Headers],[Agency]])),COLUMNS($F$7:J$7))))</f>
        <v>0</v>
      </c>
      <c r="K283" s="2223" cm="1">
        <f t="array" ref="K283">IF($D283&lt;COLUMNS($F$7:K$7),"",INDEX(TableDiv[[GASB]:[GASB]],_xlfn.AGGREGATE(15,3,(TableDiv[[Agency]:[Agency]]=$E283)/(TableDiv[[Agency]:[Agency]]=$E283)*(ROW(TableDiv[Agency])-ROW(TableDiv[[#Headers],[Agency]])),COLUMNS($F$7:K$7))))</f>
        <v>0</v>
      </c>
      <c r="L283" s="2223" cm="1">
        <f t="array" ref="L283">IF($D283&lt;COLUMNS($F$7:L$7),"",INDEX(TableDiv[[GASB]:[GASB]],_xlfn.AGGREGATE(15,3,(TableDiv[[Agency]:[Agency]]=$E283)/(TableDiv[[Agency]:[Agency]]=$E283)*(ROW(TableDiv[Agency])-ROW(TableDiv[[#Headers],[Agency]])),COLUMNS($F$7:L$7))))</f>
        <v>0</v>
      </c>
      <c r="M283" s="2223" cm="1">
        <f t="array" ref="M283">IF($D283&lt;COLUMNS($F$7:M$7),"",INDEX(TableDiv[[GASB]:[GASB]],_xlfn.AGGREGATE(15,3,(TableDiv[[Agency]:[Agency]]=$E283)/(TableDiv[[Agency]:[Agency]]=$E283)*(ROW(TableDiv[Agency])-ROW(TableDiv[[#Headers],[Agency]])),COLUMNS($F$7:M$7))))</f>
        <v>0</v>
      </c>
      <c r="N283" s="2223" cm="1">
        <f t="array" ref="N283">IF($D283&lt;COLUMNS($F$7:N$7),"",INDEX(TableDiv[[GASB]:[GASB]],_xlfn.AGGREGATE(15,3,(TableDiv[[Agency]:[Agency]]=$E283)/(TableDiv[[Agency]:[Agency]]=$E283)*(ROW(TableDiv[Agency])-ROW(TableDiv[[#Headers],[Agency]])),COLUMNS($F$7:N$7))))</f>
        <v>0</v>
      </c>
      <c r="O283" s="2223" cm="1">
        <f t="array" ref="O283">IF($D283&lt;COLUMNS($F$7:O$7),"",INDEX(TableDiv[[GASB]:[GASB]],_xlfn.AGGREGATE(15,3,(TableDiv[[Agency]:[Agency]]=$E283)/(TableDiv[[Agency]:[Agency]]=$E283)*(ROW(TableDiv[Agency])-ROW(TableDiv[[#Headers],[Agency]])),COLUMNS($F$7:O$7))))</f>
        <v>0</v>
      </c>
      <c r="P283" s="2223" cm="1">
        <f t="array" ref="P283">IF($D283&lt;COLUMNS($F$7:P$7),"",INDEX(TableDiv[[GASB]:[GASB]],_xlfn.AGGREGATE(15,3,(TableDiv[[Agency]:[Agency]]=$E283)/(TableDiv[[Agency]:[Agency]]=$E283)*(ROW(TableDiv[Agency])-ROW(TableDiv[[#Headers],[Agency]])),COLUMNS($F$7:P$7))))</f>
        <v>0</v>
      </c>
      <c r="Q283" s="2223" cm="1">
        <f t="array" ref="Q283">IF($D283&lt;COLUMNS($F$7:Q$7),"",INDEX(TableDiv[[GASB]:[GASB]],_xlfn.AGGREGATE(15,3,(TableDiv[[Agency]:[Agency]]=$E283)/(TableDiv[[Agency]:[Agency]]=$E283)*(ROW(TableDiv[Agency])-ROW(TableDiv[[#Headers],[Agency]])),COLUMNS($F$7:Q$7))))</f>
        <v>0</v>
      </c>
      <c r="R283" s="2223" cm="1">
        <f t="array" ref="R283">IF($D283&lt;COLUMNS($F$7:R$7),"",INDEX(TableDiv[[GASB]:[GASB]],_xlfn.AGGREGATE(15,3,(TableDiv[[Agency]:[Agency]]=$E283)/(TableDiv[[Agency]:[Agency]]=$E283)*(ROW(TableDiv[Agency])-ROW(TableDiv[[#Headers],[Agency]])),COLUMNS($F$7:R$7))))</f>
        <v>0</v>
      </c>
      <c r="S283" s="2223" cm="1">
        <f t="array" ref="S283">IF($D283&lt;COLUMNS($F$7:S$7),"",INDEX(TableDiv[[GASB]:[GASB]],_xlfn.AGGREGATE(15,3,(TableDiv[[Agency]:[Agency]]=$E283)/(TableDiv[[Agency]:[Agency]]=$E283)*(ROW(TableDiv[Agency])-ROW(TableDiv[[#Headers],[Agency]])),COLUMNS($F$7:S$7))))</f>
        <v>0</v>
      </c>
      <c r="T283" s="2223" cm="1">
        <f t="array" ref="T283">IF($D283&lt;COLUMNS($F$7:T$7),"",INDEX(TableDiv[[GASB]:[GASB]],_xlfn.AGGREGATE(15,3,(TableDiv[[Agency]:[Agency]]=$E283)/(TableDiv[[Agency]:[Agency]]=$E283)*(ROW(TableDiv[Agency])-ROW(TableDiv[[#Headers],[Agency]])),COLUMNS($F$7:T$7))))</f>
        <v>0</v>
      </c>
      <c r="U283" s="2223" cm="1">
        <f t="array" ref="U283">IF($D283&lt;COLUMNS($F$7:U$7),"",INDEX(TableDiv[[GASB]:[GASB]],_xlfn.AGGREGATE(15,3,(TableDiv[[Agency]:[Agency]]=$E283)/(TableDiv[[Agency]:[Agency]]=$E283)*(ROW(TableDiv[Agency])-ROW(TableDiv[[#Headers],[Agency]])),COLUMNS($F$7:U$7))))</f>
        <v>0</v>
      </c>
      <c r="V283" s="2223" cm="1">
        <f t="array" ref="V283">IF($D283&lt;COLUMNS($F$7:V$7),"",INDEX(TableDiv[[GASB]:[GASB]],_xlfn.AGGREGATE(15,3,(TableDiv[[Agency]:[Agency]]=$E283)/(TableDiv[[Agency]:[Agency]]=$E283)*(ROW(TableDiv[Agency])-ROW(TableDiv[[#Headers],[Agency]])),COLUMNS($F$7:V$7))))</f>
        <v>0</v>
      </c>
      <c r="W283" s="2223" cm="1">
        <f t="array" ref="W283">IF($D283&lt;COLUMNS($F$7:W$7),"",INDEX(TableDiv[[GASB]:[GASB]],_xlfn.AGGREGATE(15,3,(TableDiv[[Agency]:[Agency]]=$E283)/(TableDiv[[Agency]:[Agency]]=$E283)*(ROW(TableDiv[Agency])-ROW(TableDiv[[#Headers],[Agency]])),COLUMNS($F$7:W$7))))</f>
        <v>0</v>
      </c>
      <c r="X283" s="2223" cm="1">
        <f t="array" ref="X283">IF($D283&lt;COLUMNS($F$7:X$7),"",INDEX(TableDiv[[GASB]:[GASB]],_xlfn.AGGREGATE(15,3,(TableDiv[[Agency]:[Agency]]=$E283)/(TableDiv[[Agency]:[Agency]]=$E283)*(ROW(TableDiv[Agency])-ROW(TableDiv[[#Headers],[Agency]])),COLUMNS($F$7:X$7))))</f>
        <v>0</v>
      </c>
      <c r="Y283" s="2223" cm="1">
        <f t="array" ref="Y283">IF($D283&lt;COLUMNS($F$7:Y$7),"",INDEX(TableDiv[[GASB]:[GASB]],_xlfn.AGGREGATE(15,3,(TableDiv[[Agency]:[Agency]]=$E283)/(TableDiv[[Agency]:[Agency]]=$E283)*(ROW(TableDiv[Agency])-ROW(TableDiv[[#Headers],[Agency]])),COLUMNS($F$7:Y$7))))</f>
        <v>0</v>
      </c>
      <c r="Z283" s="2223" cm="1">
        <f t="array" ref="Z283">IF($D283&lt;COLUMNS($F$7:Z$7),"",INDEX(TableDiv[[GASB]:[GASB]],_xlfn.AGGREGATE(15,3,(TableDiv[[Agency]:[Agency]]=$E283)/(TableDiv[[Agency]:[Agency]]=$E283)*(ROW(TableDiv[Agency])-ROW(TableDiv[[#Headers],[Agency]])),COLUMNS($F$7:Z$7))))</f>
        <v>0</v>
      </c>
      <c r="AA283" s="2223" cm="1">
        <f t="array" ref="AA283">IF($D283&lt;COLUMNS($F$7:AA$7),"",INDEX(TableDiv[[GASB]:[GASB]],_xlfn.AGGREGATE(15,3,(TableDiv[[Agency]:[Agency]]=$E283)/(TableDiv[[Agency]:[Agency]]=$E283)*(ROW(TableDiv[Agency])-ROW(TableDiv[[#Headers],[Agency]])),COLUMNS($F$7:AA$7))))</f>
        <v>0</v>
      </c>
      <c r="AB283" s="2223" cm="1">
        <f t="array" ref="AB283">IF($D283&lt;COLUMNS($F$7:AB$7),"",INDEX(TableDiv[[GASB]:[GASB]],_xlfn.AGGREGATE(15,3,(TableDiv[[Agency]:[Agency]]=$E283)/(TableDiv[[Agency]:[Agency]]=$E283)*(ROW(TableDiv[Agency])-ROW(TableDiv[[#Headers],[Agency]])),COLUMNS($F$7:AB$7))))</f>
        <v>0</v>
      </c>
      <c r="AC283" s="2223" cm="1">
        <f t="array" ref="AC283">IF($D283&lt;COLUMNS($F$7:AC$7),"",INDEX(TableDiv[[GASB]:[GASB]],_xlfn.AGGREGATE(15,3,(TableDiv[[Agency]:[Agency]]=$E283)/(TableDiv[[Agency]:[Agency]]=$E283)*(ROW(TableDiv[Agency])-ROW(TableDiv[[#Headers],[Agency]])),COLUMNS($F$7:AC$7))))</f>
        <v>0</v>
      </c>
      <c r="AD283" s="2223" cm="1">
        <f t="array" ref="AD283">IF($D283&lt;COLUMNS($F$7:AD$7),"",INDEX(TableDiv[[GASB]:[GASB]],_xlfn.AGGREGATE(15,3,(TableDiv[[Agency]:[Agency]]=$E283)/(TableDiv[[Agency]:[Agency]]=$E283)*(ROW(TableDiv[Agency])-ROW(TableDiv[[#Headers],[Agency]])),COLUMNS($F$7:AD$7))))</f>
        <v>0</v>
      </c>
      <c r="AE283" s="2223" cm="1">
        <f t="array" ref="AE283">IF($D283&lt;COLUMNS($F$7:AE$7),"",INDEX(TableDiv[[GASB]:[GASB]],_xlfn.AGGREGATE(15,3,(TableDiv[[Agency]:[Agency]]=$E283)/(TableDiv[[Agency]:[Agency]]=$E283)*(ROW(TableDiv[Agency])-ROW(TableDiv[[#Headers],[Agency]])),COLUMNS($F$7:AE$7))))</f>
        <v>0</v>
      </c>
      <c r="AF283" s="2223" cm="1">
        <f t="array" ref="AF283">IF($D283&lt;COLUMNS($F$7:AF$7),"",INDEX(TableDiv[[GASB]:[GASB]],_xlfn.AGGREGATE(15,3,(TableDiv[[Agency]:[Agency]]=$E283)/(TableDiv[[Agency]:[Agency]]=$E283)*(ROW(TableDiv[Agency])-ROW(TableDiv[[#Headers],[Agency]])),COLUMNS($F$7:AF$7))))</f>
        <v>0</v>
      </c>
      <c r="AG283" s="2223" cm="1">
        <f t="array" ref="AG283">IF($D283&lt;COLUMNS($F$7:AG$7),"",INDEX(TableDiv[[GASB]:[GASB]],_xlfn.AGGREGATE(15,3,(TableDiv[[Agency]:[Agency]]=$E283)/(TableDiv[[Agency]:[Agency]]=$E283)*(ROW(TableDiv[Agency])-ROW(TableDiv[[#Headers],[Agency]])),COLUMNS($F$7:AG$7))))</f>
        <v>0</v>
      </c>
      <c r="AH283" s="2223" cm="1">
        <f t="array" ref="AH283">IF($D283&lt;COLUMNS($F$7:AH$7),"",INDEX(TableDiv[[GASB]:[GASB]],_xlfn.AGGREGATE(15,3,(TableDiv[[Agency]:[Agency]]=$E283)/(TableDiv[[Agency]:[Agency]]=$E283)*(ROW(TableDiv[Agency])-ROW(TableDiv[[#Headers],[Agency]])),COLUMNS($F$7:AH$7))))</f>
        <v>0</v>
      </c>
      <c r="AI283" s="2223" cm="1">
        <f t="array" ref="AI283">IF($D283&lt;COLUMNS($F$7:AI$7),"",INDEX(TableDiv[[GASB]:[GASB]],_xlfn.AGGREGATE(15,3,(TableDiv[[Agency]:[Agency]]=$E283)/(TableDiv[[Agency]:[Agency]]=$E283)*(ROW(TableDiv[Agency])-ROW(TableDiv[[#Headers],[Agency]])),COLUMNS($F$7:AI$7))))</f>
        <v>0</v>
      </c>
      <c r="AJ283" s="2223" cm="1">
        <f t="array" ref="AJ283">IF($D283&lt;COLUMNS($F$7:AJ$7),"",INDEX(TableDiv[[GASB]:[GASB]],_xlfn.AGGREGATE(15,3,(TableDiv[[Agency]:[Agency]]=$E283)/(TableDiv[[Agency]:[Agency]]=$E283)*(ROW(TableDiv[Agency])-ROW(TableDiv[[#Headers],[Agency]])),COLUMNS($F$7:AJ$7))))</f>
        <v>0</v>
      </c>
      <c r="AK283" s="2223" t="str" cm="1">
        <f t="array" ref="AK283">IF($D283&lt;COLUMNS($F$7:AK$7),"",INDEX(TableDiv[[GASB]:[GASB]],_xlfn.AGGREGATE(15,3,(TableDiv[[Agency]:[Agency]]=$E283)/(TableDiv[[Agency]:[Agency]]=$E283)*(ROW(TableDiv[Agency])-ROW(TableDiv[[#Headers],[Agency]])),COLUMNS($F$7:AK$7))))</f>
        <v/>
      </c>
      <c r="AL283" s="2223" t="str" cm="1">
        <f t="array" ref="AL283">IF($D283&lt;COLUMNS($F$7:AL$7),"",INDEX(TableDiv[[GASB]:[GASB]],_xlfn.AGGREGATE(15,3,(TableDiv[[Agency]:[Agency]]=$E283)/(TableDiv[[Agency]:[Agency]]=$E283)*(ROW(TableDiv[Agency])-ROW(TableDiv[[#Headers],[Agency]])),COLUMNS($F$7:AL$7))))</f>
        <v/>
      </c>
      <c r="AM283" s="2223" t="str" cm="1">
        <f t="array" ref="AM283">IF($D283&lt;COLUMNS($F$7:AM$7),"",INDEX(TableDiv[[GASB]:[GASB]],_xlfn.AGGREGATE(15,3,(TableDiv[[Agency]:[Agency]]=$E283)/(TableDiv[[Agency]:[Agency]]=$E283)*(ROW(TableDiv[Agency])-ROW(TableDiv[[#Headers],[Agency]])),COLUMNS($F$7:AM$7))))</f>
        <v/>
      </c>
      <c r="AN283" s="2223"/>
      <c r="AO283" s="2223"/>
      <c r="AP283" s="2223"/>
      <c r="AQ283" s="2223"/>
      <c r="AR283" s="2223"/>
      <c r="AS283" s="2223"/>
    </row>
    <row r="284" spans="1:45" ht="15" x14ac:dyDescent="0.25">
      <c r="A284" s="2219" t="s">
        <v>5117</v>
      </c>
      <c r="B284" s="2219" t="s">
        <v>6474</v>
      </c>
      <c r="C284" s="2223"/>
      <c r="D284" s="2223">
        <f>COUNTIF(TableDiv[Agency],E284)</f>
        <v>31</v>
      </c>
      <c r="E284" s="2230" t="str" cm="1">
        <f t="array" ref="E284">IFERROR(INDEX(TableDiv[Agency],MATCH(0,INDEX(COUNTIF($E$7:E283,TableDiv[Agency]),),0)),"")</f>
        <v/>
      </c>
      <c r="F284" s="2223" cm="1">
        <f t="array" ref="F284">IF($D284&lt;COLUMNS($F$7:F$7),"",INDEX(TableDiv[[GASB]:[GASB]],_xlfn.AGGREGATE(15,3,(TableDiv[[Agency]:[Agency]]=$E284)/(TableDiv[[Agency]:[Agency]]=$E284)*(ROW(TableDiv[Agency])-ROW(TableDiv[[#Headers],[Agency]])),COLUMNS($F$7:F$7))))</f>
        <v>0</v>
      </c>
      <c r="G284" s="2223" cm="1">
        <f t="array" ref="G284">IF($D284&lt;COLUMNS($F$7:G$7),"",INDEX(TableDiv[[GASB]:[GASB]],_xlfn.AGGREGATE(15,3,(TableDiv[[Agency]:[Agency]]=$E284)/(TableDiv[[Agency]:[Agency]]=$E284)*(ROW(TableDiv[Agency])-ROW(TableDiv[[#Headers],[Agency]])),COLUMNS($F$7:G$7))))</f>
        <v>0</v>
      </c>
      <c r="H284" s="2223" cm="1">
        <f t="array" ref="H284">IF($D284&lt;COLUMNS($F$7:H$7),"",INDEX(TableDiv[[GASB]:[GASB]],_xlfn.AGGREGATE(15,3,(TableDiv[[Agency]:[Agency]]=$E284)/(TableDiv[[Agency]:[Agency]]=$E284)*(ROW(TableDiv[Agency])-ROW(TableDiv[[#Headers],[Agency]])),COLUMNS($F$7:H$7))))</f>
        <v>0</v>
      </c>
      <c r="I284" s="2223" cm="1">
        <f t="array" ref="I284">IF($D284&lt;COLUMNS($F$7:I$7),"",INDEX(TableDiv[[GASB]:[GASB]],_xlfn.AGGREGATE(15,3,(TableDiv[[Agency]:[Agency]]=$E284)/(TableDiv[[Agency]:[Agency]]=$E284)*(ROW(TableDiv[Agency])-ROW(TableDiv[[#Headers],[Agency]])),COLUMNS($F$7:I$7))))</f>
        <v>0</v>
      </c>
      <c r="J284" s="2223" cm="1">
        <f t="array" ref="J284">IF($D284&lt;COLUMNS($F$7:J$7),"",INDEX(TableDiv[[GASB]:[GASB]],_xlfn.AGGREGATE(15,3,(TableDiv[[Agency]:[Agency]]=$E284)/(TableDiv[[Agency]:[Agency]]=$E284)*(ROW(TableDiv[Agency])-ROW(TableDiv[[#Headers],[Agency]])),COLUMNS($F$7:J$7))))</f>
        <v>0</v>
      </c>
      <c r="K284" s="2223" cm="1">
        <f t="array" ref="K284">IF($D284&lt;COLUMNS($F$7:K$7),"",INDEX(TableDiv[[GASB]:[GASB]],_xlfn.AGGREGATE(15,3,(TableDiv[[Agency]:[Agency]]=$E284)/(TableDiv[[Agency]:[Agency]]=$E284)*(ROW(TableDiv[Agency])-ROW(TableDiv[[#Headers],[Agency]])),COLUMNS($F$7:K$7))))</f>
        <v>0</v>
      </c>
      <c r="L284" s="2223" cm="1">
        <f t="array" ref="L284">IF($D284&lt;COLUMNS($F$7:L$7),"",INDEX(TableDiv[[GASB]:[GASB]],_xlfn.AGGREGATE(15,3,(TableDiv[[Agency]:[Agency]]=$E284)/(TableDiv[[Agency]:[Agency]]=$E284)*(ROW(TableDiv[Agency])-ROW(TableDiv[[#Headers],[Agency]])),COLUMNS($F$7:L$7))))</f>
        <v>0</v>
      </c>
      <c r="M284" s="2223" cm="1">
        <f t="array" ref="M284">IF($D284&lt;COLUMNS($F$7:M$7),"",INDEX(TableDiv[[GASB]:[GASB]],_xlfn.AGGREGATE(15,3,(TableDiv[[Agency]:[Agency]]=$E284)/(TableDiv[[Agency]:[Agency]]=$E284)*(ROW(TableDiv[Agency])-ROW(TableDiv[[#Headers],[Agency]])),COLUMNS($F$7:M$7))))</f>
        <v>0</v>
      </c>
      <c r="N284" s="2223" cm="1">
        <f t="array" ref="N284">IF($D284&lt;COLUMNS($F$7:N$7),"",INDEX(TableDiv[[GASB]:[GASB]],_xlfn.AGGREGATE(15,3,(TableDiv[[Agency]:[Agency]]=$E284)/(TableDiv[[Agency]:[Agency]]=$E284)*(ROW(TableDiv[Agency])-ROW(TableDiv[[#Headers],[Agency]])),COLUMNS($F$7:N$7))))</f>
        <v>0</v>
      </c>
      <c r="O284" s="2223" cm="1">
        <f t="array" ref="O284">IF($D284&lt;COLUMNS($F$7:O$7),"",INDEX(TableDiv[[GASB]:[GASB]],_xlfn.AGGREGATE(15,3,(TableDiv[[Agency]:[Agency]]=$E284)/(TableDiv[[Agency]:[Agency]]=$E284)*(ROW(TableDiv[Agency])-ROW(TableDiv[[#Headers],[Agency]])),COLUMNS($F$7:O$7))))</f>
        <v>0</v>
      </c>
      <c r="P284" s="2223" cm="1">
        <f t="array" ref="P284">IF($D284&lt;COLUMNS($F$7:P$7),"",INDEX(TableDiv[[GASB]:[GASB]],_xlfn.AGGREGATE(15,3,(TableDiv[[Agency]:[Agency]]=$E284)/(TableDiv[[Agency]:[Agency]]=$E284)*(ROW(TableDiv[Agency])-ROW(TableDiv[[#Headers],[Agency]])),COLUMNS($F$7:P$7))))</f>
        <v>0</v>
      </c>
      <c r="Q284" s="2223" cm="1">
        <f t="array" ref="Q284">IF($D284&lt;COLUMNS($F$7:Q$7),"",INDEX(TableDiv[[GASB]:[GASB]],_xlfn.AGGREGATE(15,3,(TableDiv[[Agency]:[Agency]]=$E284)/(TableDiv[[Agency]:[Agency]]=$E284)*(ROW(TableDiv[Agency])-ROW(TableDiv[[#Headers],[Agency]])),COLUMNS($F$7:Q$7))))</f>
        <v>0</v>
      </c>
      <c r="R284" s="2223" cm="1">
        <f t="array" ref="R284">IF($D284&lt;COLUMNS($F$7:R$7),"",INDEX(TableDiv[[GASB]:[GASB]],_xlfn.AGGREGATE(15,3,(TableDiv[[Agency]:[Agency]]=$E284)/(TableDiv[[Agency]:[Agency]]=$E284)*(ROW(TableDiv[Agency])-ROW(TableDiv[[#Headers],[Agency]])),COLUMNS($F$7:R$7))))</f>
        <v>0</v>
      </c>
      <c r="S284" s="2223" cm="1">
        <f t="array" ref="S284">IF($D284&lt;COLUMNS($F$7:S$7),"",INDEX(TableDiv[[GASB]:[GASB]],_xlfn.AGGREGATE(15,3,(TableDiv[[Agency]:[Agency]]=$E284)/(TableDiv[[Agency]:[Agency]]=$E284)*(ROW(TableDiv[Agency])-ROW(TableDiv[[#Headers],[Agency]])),COLUMNS($F$7:S$7))))</f>
        <v>0</v>
      </c>
      <c r="T284" s="2223" cm="1">
        <f t="array" ref="T284">IF($D284&lt;COLUMNS($F$7:T$7),"",INDEX(TableDiv[[GASB]:[GASB]],_xlfn.AGGREGATE(15,3,(TableDiv[[Agency]:[Agency]]=$E284)/(TableDiv[[Agency]:[Agency]]=$E284)*(ROW(TableDiv[Agency])-ROW(TableDiv[[#Headers],[Agency]])),COLUMNS($F$7:T$7))))</f>
        <v>0</v>
      </c>
      <c r="U284" s="2223" cm="1">
        <f t="array" ref="U284">IF($D284&lt;COLUMNS($F$7:U$7),"",INDEX(TableDiv[[GASB]:[GASB]],_xlfn.AGGREGATE(15,3,(TableDiv[[Agency]:[Agency]]=$E284)/(TableDiv[[Agency]:[Agency]]=$E284)*(ROW(TableDiv[Agency])-ROW(TableDiv[[#Headers],[Agency]])),COLUMNS($F$7:U$7))))</f>
        <v>0</v>
      </c>
      <c r="V284" s="2223" cm="1">
        <f t="array" ref="V284">IF($D284&lt;COLUMNS($F$7:V$7),"",INDEX(TableDiv[[GASB]:[GASB]],_xlfn.AGGREGATE(15,3,(TableDiv[[Agency]:[Agency]]=$E284)/(TableDiv[[Agency]:[Agency]]=$E284)*(ROW(TableDiv[Agency])-ROW(TableDiv[[#Headers],[Agency]])),COLUMNS($F$7:V$7))))</f>
        <v>0</v>
      </c>
      <c r="W284" s="2223" cm="1">
        <f t="array" ref="W284">IF($D284&lt;COLUMNS($F$7:W$7),"",INDEX(TableDiv[[GASB]:[GASB]],_xlfn.AGGREGATE(15,3,(TableDiv[[Agency]:[Agency]]=$E284)/(TableDiv[[Agency]:[Agency]]=$E284)*(ROW(TableDiv[Agency])-ROW(TableDiv[[#Headers],[Agency]])),COLUMNS($F$7:W$7))))</f>
        <v>0</v>
      </c>
      <c r="X284" s="2223" cm="1">
        <f t="array" ref="X284">IF($D284&lt;COLUMNS($F$7:X$7),"",INDEX(TableDiv[[GASB]:[GASB]],_xlfn.AGGREGATE(15,3,(TableDiv[[Agency]:[Agency]]=$E284)/(TableDiv[[Agency]:[Agency]]=$E284)*(ROW(TableDiv[Agency])-ROW(TableDiv[[#Headers],[Agency]])),COLUMNS($F$7:X$7))))</f>
        <v>0</v>
      </c>
      <c r="Y284" s="2223" cm="1">
        <f t="array" ref="Y284">IF($D284&lt;COLUMNS($F$7:Y$7),"",INDEX(TableDiv[[GASB]:[GASB]],_xlfn.AGGREGATE(15,3,(TableDiv[[Agency]:[Agency]]=$E284)/(TableDiv[[Agency]:[Agency]]=$E284)*(ROW(TableDiv[Agency])-ROW(TableDiv[[#Headers],[Agency]])),COLUMNS($F$7:Y$7))))</f>
        <v>0</v>
      </c>
      <c r="Z284" s="2223" cm="1">
        <f t="array" ref="Z284">IF($D284&lt;COLUMNS($F$7:Z$7),"",INDEX(TableDiv[[GASB]:[GASB]],_xlfn.AGGREGATE(15,3,(TableDiv[[Agency]:[Agency]]=$E284)/(TableDiv[[Agency]:[Agency]]=$E284)*(ROW(TableDiv[Agency])-ROW(TableDiv[[#Headers],[Agency]])),COLUMNS($F$7:Z$7))))</f>
        <v>0</v>
      </c>
      <c r="AA284" s="2223" cm="1">
        <f t="array" ref="AA284">IF($D284&lt;COLUMNS($F$7:AA$7),"",INDEX(TableDiv[[GASB]:[GASB]],_xlfn.AGGREGATE(15,3,(TableDiv[[Agency]:[Agency]]=$E284)/(TableDiv[[Agency]:[Agency]]=$E284)*(ROW(TableDiv[Agency])-ROW(TableDiv[[#Headers],[Agency]])),COLUMNS($F$7:AA$7))))</f>
        <v>0</v>
      </c>
      <c r="AB284" s="2223" cm="1">
        <f t="array" ref="AB284">IF($D284&lt;COLUMNS($F$7:AB$7),"",INDEX(TableDiv[[GASB]:[GASB]],_xlfn.AGGREGATE(15,3,(TableDiv[[Agency]:[Agency]]=$E284)/(TableDiv[[Agency]:[Agency]]=$E284)*(ROW(TableDiv[Agency])-ROW(TableDiv[[#Headers],[Agency]])),COLUMNS($F$7:AB$7))))</f>
        <v>0</v>
      </c>
      <c r="AC284" s="2223" cm="1">
        <f t="array" ref="AC284">IF($D284&lt;COLUMNS($F$7:AC$7),"",INDEX(TableDiv[[GASB]:[GASB]],_xlfn.AGGREGATE(15,3,(TableDiv[[Agency]:[Agency]]=$E284)/(TableDiv[[Agency]:[Agency]]=$E284)*(ROW(TableDiv[Agency])-ROW(TableDiv[[#Headers],[Agency]])),COLUMNS($F$7:AC$7))))</f>
        <v>0</v>
      </c>
      <c r="AD284" s="2223" cm="1">
        <f t="array" ref="AD284">IF($D284&lt;COLUMNS($F$7:AD$7),"",INDEX(TableDiv[[GASB]:[GASB]],_xlfn.AGGREGATE(15,3,(TableDiv[[Agency]:[Agency]]=$E284)/(TableDiv[[Agency]:[Agency]]=$E284)*(ROW(TableDiv[Agency])-ROW(TableDiv[[#Headers],[Agency]])),COLUMNS($F$7:AD$7))))</f>
        <v>0</v>
      </c>
      <c r="AE284" s="2223" cm="1">
        <f t="array" ref="AE284">IF($D284&lt;COLUMNS($F$7:AE$7),"",INDEX(TableDiv[[GASB]:[GASB]],_xlfn.AGGREGATE(15,3,(TableDiv[[Agency]:[Agency]]=$E284)/(TableDiv[[Agency]:[Agency]]=$E284)*(ROW(TableDiv[Agency])-ROW(TableDiv[[#Headers],[Agency]])),COLUMNS($F$7:AE$7))))</f>
        <v>0</v>
      </c>
      <c r="AF284" s="2223" cm="1">
        <f t="array" ref="AF284">IF($D284&lt;COLUMNS($F$7:AF$7),"",INDEX(TableDiv[[GASB]:[GASB]],_xlfn.AGGREGATE(15,3,(TableDiv[[Agency]:[Agency]]=$E284)/(TableDiv[[Agency]:[Agency]]=$E284)*(ROW(TableDiv[Agency])-ROW(TableDiv[[#Headers],[Agency]])),COLUMNS($F$7:AF$7))))</f>
        <v>0</v>
      </c>
      <c r="AG284" s="2223" cm="1">
        <f t="array" ref="AG284">IF($D284&lt;COLUMNS($F$7:AG$7),"",INDEX(TableDiv[[GASB]:[GASB]],_xlfn.AGGREGATE(15,3,(TableDiv[[Agency]:[Agency]]=$E284)/(TableDiv[[Agency]:[Agency]]=$E284)*(ROW(TableDiv[Agency])-ROW(TableDiv[[#Headers],[Agency]])),COLUMNS($F$7:AG$7))))</f>
        <v>0</v>
      </c>
      <c r="AH284" s="2223" cm="1">
        <f t="array" ref="AH284">IF($D284&lt;COLUMNS($F$7:AH$7),"",INDEX(TableDiv[[GASB]:[GASB]],_xlfn.AGGREGATE(15,3,(TableDiv[[Agency]:[Agency]]=$E284)/(TableDiv[[Agency]:[Agency]]=$E284)*(ROW(TableDiv[Agency])-ROW(TableDiv[[#Headers],[Agency]])),COLUMNS($F$7:AH$7))))</f>
        <v>0</v>
      </c>
      <c r="AI284" s="2223" cm="1">
        <f t="array" ref="AI284">IF($D284&lt;COLUMNS($F$7:AI$7),"",INDEX(TableDiv[[GASB]:[GASB]],_xlfn.AGGREGATE(15,3,(TableDiv[[Agency]:[Agency]]=$E284)/(TableDiv[[Agency]:[Agency]]=$E284)*(ROW(TableDiv[Agency])-ROW(TableDiv[[#Headers],[Agency]])),COLUMNS($F$7:AI$7))))</f>
        <v>0</v>
      </c>
      <c r="AJ284" s="2223" cm="1">
        <f t="array" ref="AJ284">IF($D284&lt;COLUMNS($F$7:AJ$7),"",INDEX(TableDiv[[GASB]:[GASB]],_xlfn.AGGREGATE(15,3,(TableDiv[[Agency]:[Agency]]=$E284)/(TableDiv[[Agency]:[Agency]]=$E284)*(ROW(TableDiv[Agency])-ROW(TableDiv[[#Headers],[Agency]])),COLUMNS($F$7:AJ$7))))</f>
        <v>0</v>
      </c>
      <c r="AK284" s="2223" t="str" cm="1">
        <f t="array" ref="AK284">IF($D284&lt;COLUMNS($F$7:AK$7),"",INDEX(TableDiv[[GASB]:[GASB]],_xlfn.AGGREGATE(15,3,(TableDiv[[Agency]:[Agency]]=$E284)/(TableDiv[[Agency]:[Agency]]=$E284)*(ROW(TableDiv[Agency])-ROW(TableDiv[[#Headers],[Agency]])),COLUMNS($F$7:AK$7))))</f>
        <v/>
      </c>
      <c r="AL284" s="2223" t="str" cm="1">
        <f t="array" ref="AL284">IF($D284&lt;COLUMNS($F$7:AL$7),"",INDEX(TableDiv[[GASB]:[GASB]],_xlfn.AGGREGATE(15,3,(TableDiv[[Agency]:[Agency]]=$E284)/(TableDiv[[Agency]:[Agency]]=$E284)*(ROW(TableDiv[Agency])-ROW(TableDiv[[#Headers],[Agency]])),COLUMNS($F$7:AL$7))))</f>
        <v/>
      </c>
      <c r="AM284" s="2223" t="str" cm="1">
        <f t="array" ref="AM284">IF($D284&lt;COLUMNS($F$7:AM$7),"",INDEX(TableDiv[[GASB]:[GASB]],_xlfn.AGGREGATE(15,3,(TableDiv[[Agency]:[Agency]]=$E284)/(TableDiv[[Agency]:[Agency]]=$E284)*(ROW(TableDiv[Agency])-ROW(TableDiv[[#Headers],[Agency]])),COLUMNS($F$7:AM$7))))</f>
        <v/>
      </c>
      <c r="AN284" s="2223"/>
      <c r="AO284" s="2223"/>
      <c r="AP284" s="2223"/>
      <c r="AQ284" s="2223"/>
      <c r="AR284" s="2223"/>
      <c r="AS284" s="2223"/>
    </row>
    <row r="285" spans="1:45" ht="15" x14ac:dyDescent="0.25">
      <c r="A285" s="2219" t="s">
        <v>5118</v>
      </c>
      <c r="B285" s="2219" t="s">
        <v>6357</v>
      </c>
      <c r="C285" s="2223"/>
      <c r="D285" s="2223">
        <f>COUNTIF(TableDiv[Agency],E285)</f>
        <v>31</v>
      </c>
      <c r="E285" s="2230" t="str" cm="1">
        <f t="array" ref="E285">IFERROR(INDEX(TableDiv[Agency],MATCH(0,INDEX(COUNTIF($E$7:E284,TableDiv[Agency]),),0)),"")</f>
        <v/>
      </c>
      <c r="F285" s="2223" cm="1">
        <f t="array" ref="F285">IF($D285&lt;COLUMNS($F$7:F$7),"",INDEX(TableDiv[[GASB]:[GASB]],_xlfn.AGGREGATE(15,3,(TableDiv[[Agency]:[Agency]]=$E285)/(TableDiv[[Agency]:[Agency]]=$E285)*(ROW(TableDiv[Agency])-ROW(TableDiv[[#Headers],[Agency]])),COLUMNS($F$7:F$7))))</f>
        <v>0</v>
      </c>
      <c r="G285" s="2223" cm="1">
        <f t="array" ref="G285">IF($D285&lt;COLUMNS($F$7:G$7),"",INDEX(TableDiv[[GASB]:[GASB]],_xlfn.AGGREGATE(15,3,(TableDiv[[Agency]:[Agency]]=$E285)/(TableDiv[[Agency]:[Agency]]=$E285)*(ROW(TableDiv[Agency])-ROW(TableDiv[[#Headers],[Agency]])),COLUMNS($F$7:G$7))))</f>
        <v>0</v>
      </c>
      <c r="H285" s="2223" cm="1">
        <f t="array" ref="H285">IF($D285&lt;COLUMNS($F$7:H$7),"",INDEX(TableDiv[[GASB]:[GASB]],_xlfn.AGGREGATE(15,3,(TableDiv[[Agency]:[Agency]]=$E285)/(TableDiv[[Agency]:[Agency]]=$E285)*(ROW(TableDiv[Agency])-ROW(TableDiv[[#Headers],[Agency]])),COLUMNS($F$7:H$7))))</f>
        <v>0</v>
      </c>
      <c r="I285" s="2223" cm="1">
        <f t="array" ref="I285">IF($D285&lt;COLUMNS($F$7:I$7),"",INDEX(TableDiv[[GASB]:[GASB]],_xlfn.AGGREGATE(15,3,(TableDiv[[Agency]:[Agency]]=$E285)/(TableDiv[[Agency]:[Agency]]=$E285)*(ROW(TableDiv[Agency])-ROW(TableDiv[[#Headers],[Agency]])),COLUMNS($F$7:I$7))))</f>
        <v>0</v>
      </c>
      <c r="J285" s="2223" cm="1">
        <f t="array" ref="J285">IF($D285&lt;COLUMNS($F$7:J$7),"",INDEX(TableDiv[[GASB]:[GASB]],_xlfn.AGGREGATE(15,3,(TableDiv[[Agency]:[Agency]]=$E285)/(TableDiv[[Agency]:[Agency]]=$E285)*(ROW(TableDiv[Agency])-ROW(TableDiv[[#Headers],[Agency]])),COLUMNS($F$7:J$7))))</f>
        <v>0</v>
      </c>
      <c r="K285" s="2223" cm="1">
        <f t="array" ref="K285">IF($D285&lt;COLUMNS($F$7:K$7),"",INDEX(TableDiv[[GASB]:[GASB]],_xlfn.AGGREGATE(15,3,(TableDiv[[Agency]:[Agency]]=$E285)/(TableDiv[[Agency]:[Agency]]=$E285)*(ROW(TableDiv[Agency])-ROW(TableDiv[[#Headers],[Agency]])),COLUMNS($F$7:K$7))))</f>
        <v>0</v>
      </c>
      <c r="L285" s="2223" cm="1">
        <f t="array" ref="L285">IF($D285&lt;COLUMNS($F$7:L$7),"",INDEX(TableDiv[[GASB]:[GASB]],_xlfn.AGGREGATE(15,3,(TableDiv[[Agency]:[Agency]]=$E285)/(TableDiv[[Agency]:[Agency]]=$E285)*(ROW(TableDiv[Agency])-ROW(TableDiv[[#Headers],[Agency]])),COLUMNS($F$7:L$7))))</f>
        <v>0</v>
      </c>
      <c r="M285" s="2223" cm="1">
        <f t="array" ref="M285">IF($D285&lt;COLUMNS($F$7:M$7),"",INDEX(TableDiv[[GASB]:[GASB]],_xlfn.AGGREGATE(15,3,(TableDiv[[Agency]:[Agency]]=$E285)/(TableDiv[[Agency]:[Agency]]=$E285)*(ROW(TableDiv[Agency])-ROW(TableDiv[[#Headers],[Agency]])),COLUMNS($F$7:M$7))))</f>
        <v>0</v>
      </c>
      <c r="N285" s="2223" cm="1">
        <f t="array" ref="N285">IF($D285&lt;COLUMNS($F$7:N$7),"",INDEX(TableDiv[[GASB]:[GASB]],_xlfn.AGGREGATE(15,3,(TableDiv[[Agency]:[Agency]]=$E285)/(TableDiv[[Agency]:[Agency]]=$E285)*(ROW(TableDiv[Agency])-ROW(TableDiv[[#Headers],[Agency]])),COLUMNS($F$7:N$7))))</f>
        <v>0</v>
      </c>
      <c r="O285" s="2223" cm="1">
        <f t="array" ref="O285">IF($D285&lt;COLUMNS($F$7:O$7),"",INDEX(TableDiv[[GASB]:[GASB]],_xlfn.AGGREGATE(15,3,(TableDiv[[Agency]:[Agency]]=$E285)/(TableDiv[[Agency]:[Agency]]=$E285)*(ROW(TableDiv[Agency])-ROW(TableDiv[[#Headers],[Agency]])),COLUMNS($F$7:O$7))))</f>
        <v>0</v>
      </c>
      <c r="P285" s="2223" cm="1">
        <f t="array" ref="P285">IF($D285&lt;COLUMNS($F$7:P$7),"",INDEX(TableDiv[[GASB]:[GASB]],_xlfn.AGGREGATE(15,3,(TableDiv[[Agency]:[Agency]]=$E285)/(TableDiv[[Agency]:[Agency]]=$E285)*(ROW(TableDiv[Agency])-ROW(TableDiv[[#Headers],[Agency]])),COLUMNS($F$7:P$7))))</f>
        <v>0</v>
      </c>
      <c r="Q285" s="2223" cm="1">
        <f t="array" ref="Q285">IF($D285&lt;COLUMNS($F$7:Q$7),"",INDEX(TableDiv[[GASB]:[GASB]],_xlfn.AGGREGATE(15,3,(TableDiv[[Agency]:[Agency]]=$E285)/(TableDiv[[Agency]:[Agency]]=$E285)*(ROW(TableDiv[Agency])-ROW(TableDiv[[#Headers],[Agency]])),COLUMNS($F$7:Q$7))))</f>
        <v>0</v>
      </c>
      <c r="R285" s="2223" cm="1">
        <f t="array" ref="R285">IF($D285&lt;COLUMNS($F$7:R$7),"",INDEX(TableDiv[[GASB]:[GASB]],_xlfn.AGGREGATE(15,3,(TableDiv[[Agency]:[Agency]]=$E285)/(TableDiv[[Agency]:[Agency]]=$E285)*(ROW(TableDiv[Agency])-ROW(TableDiv[[#Headers],[Agency]])),COLUMNS($F$7:R$7))))</f>
        <v>0</v>
      </c>
      <c r="S285" s="2223" cm="1">
        <f t="array" ref="S285">IF($D285&lt;COLUMNS($F$7:S$7),"",INDEX(TableDiv[[GASB]:[GASB]],_xlfn.AGGREGATE(15,3,(TableDiv[[Agency]:[Agency]]=$E285)/(TableDiv[[Agency]:[Agency]]=$E285)*(ROW(TableDiv[Agency])-ROW(TableDiv[[#Headers],[Agency]])),COLUMNS($F$7:S$7))))</f>
        <v>0</v>
      </c>
      <c r="T285" s="2223" cm="1">
        <f t="array" ref="T285">IF($D285&lt;COLUMNS($F$7:T$7),"",INDEX(TableDiv[[GASB]:[GASB]],_xlfn.AGGREGATE(15,3,(TableDiv[[Agency]:[Agency]]=$E285)/(TableDiv[[Agency]:[Agency]]=$E285)*(ROW(TableDiv[Agency])-ROW(TableDiv[[#Headers],[Agency]])),COLUMNS($F$7:T$7))))</f>
        <v>0</v>
      </c>
      <c r="U285" s="2223" cm="1">
        <f t="array" ref="U285">IF($D285&lt;COLUMNS($F$7:U$7),"",INDEX(TableDiv[[GASB]:[GASB]],_xlfn.AGGREGATE(15,3,(TableDiv[[Agency]:[Agency]]=$E285)/(TableDiv[[Agency]:[Agency]]=$E285)*(ROW(TableDiv[Agency])-ROW(TableDiv[[#Headers],[Agency]])),COLUMNS($F$7:U$7))))</f>
        <v>0</v>
      </c>
      <c r="V285" s="2223" cm="1">
        <f t="array" ref="V285">IF($D285&lt;COLUMNS($F$7:V$7),"",INDEX(TableDiv[[GASB]:[GASB]],_xlfn.AGGREGATE(15,3,(TableDiv[[Agency]:[Agency]]=$E285)/(TableDiv[[Agency]:[Agency]]=$E285)*(ROW(TableDiv[Agency])-ROW(TableDiv[[#Headers],[Agency]])),COLUMNS($F$7:V$7))))</f>
        <v>0</v>
      </c>
      <c r="W285" s="2223" cm="1">
        <f t="array" ref="W285">IF($D285&lt;COLUMNS($F$7:W$7),"",INDEX(TableDiv[[GASB]:[GASB]],_xlfn.AGGREGATE(15,3,(TableDiv[[Agency]:[Agency]]=$E285)/(TableDiv[[Agency]:[Agency]]=$E285)*(ROW(TableDiv[Agency])-ROW(TableDiv[[#Headers],[Agency]])),COLUMNS($F$7:W$7))))</f>
        <v>0</v>
      </c>
      <c r="X285" s="2223" cm="1">
        <f t="array" ref="X285">IF($D285&lt;COLUMNS($F$7:X$7),"",INDEX(TableDiv[[GASB]:[GASB]],_xlfn.AGGREGATE(15,3,(TableDiv[[Agency]:[Agency]]=$E285)/(TableDiv[[Agency]:[Agency]]=$E285)*(ROW(TableDiv[Agency])-ROW(TableDiv[[#Headers],[Agency]])),COLUMNS($F$7:X$7))))</f>
        <v>0</v>
      </c>
      <c r="Y285" s="2223" cm="1">
        <f t="array" ref="Y285">IF($D285&lt;COLUMNS($F$7:Y$7),"",INDEX(TableDiv[[GASB]:[GASB]],_xlfn.AGGREGATE(15,3,(TableDiv[[Agency]:[Agency]]=$E285)/(TableDiv[[Agency]:[Agency]]=$E285)*(ROW(TableDiv[Agency])-ROW(TableDiv[[#Headers],[Agency]])),COLUMNS($F$7:Y$7))))</f>
        <v>0</v>
      </c>
      <c r="Z285" s="2223" cm="1">
        <f t="array" ref="Z285">IF($D285&lt;COLUMNS($F$7:Z$7),"",INDEX(TableDiv[[GASB]:[GASB]],_xlfn.AGGREGATE(15,3,(TableDiv[[Agency]:[Agency]]=$E285)/(TableDiv[[Agency]:[Agency]]=$E285)*(ROW(TableDiv[Agency])-ROW(TableDiv[[#Headers],[Agency]])),COLUMNS($F$7:Z$7))))</f>
        <v>0</v>
      </c>
      <c r="AA285" s="2223" cm="1">
        <f t="array" ref="AA285">IF($D285&lt;COLUMNS($F$7:AA$7),"",INDEX(TableDiv[[GASB]:[GASB]],_xlfn.AGGREGATE(15,3,(TableDiv[[Agency]:[Agency]]=$E285)/(TableDiv[[Agency]:[Agency]]=$E285)*(ROW(TableDiv[Agency])-ROW(TableDiv[[#Headers],[Agency]])),COLUMNS($F$7:AA$7))))</f>
        <v>0</v>
      </c>
      <c r="AB285" s="2223" cm="1">
        <f t="array" ref="AB285">IF($D285&lt;COLUMNS($F$7:AB$7),"",INDEX(TableDiv[[GASB]:[GASB]],_xlfn.AGGREGATE(15,3,(TableDiv[[Agency]:[Agency]]=$E285)/(TableDiv[[Agency]:[Agency]]=$E285)*(ROW(TableDiv[Agency])-ROW(TableDiv[[#Headers],[Agency]])),COLUMNS($F$7:AB$7))))</f>
        <v>0</v>
      </c>
      <c r="AC285" s="2223" cm="1">
        <f t="array" ref="AC285">IF($D285&lt;COLUMNS($F$7:AC$7),"",INDEX(TableDiv[[GASB]:[GASB]],_xlfn.AGGREGATE(15,3,(TableDiv[[Agency]:[Agency]]=$E285)/(TableDiv[[Agency]:[Agency]]=$E285)*(ROW(TableDiv[Agency])-ROW(TableDiv[[#Headers],[Agency]])),COLUMNS($F$7:AC$7))))</f>
        <v>0</v>
      </c>
      <c r="AD285" s="2223" cm="1">
        <f t="array" ref="AD285">IF($D285&lt;COLUMNS($F$7:AD$7),"",INDEX(TableDiv[[GASB]:[GASB]],_xlfn.AGGREGATE(15,3,(TableDiv[[Agency]:[Agency]]=$E285)/(TableDiv[[Agency]:[Agency]]=$E285)*(ROW(TableDiv[Agency])-ROW(TableDiv[[#Headers],[Agency]])),COLUMNS($F$7:AD$7))))</f>
        <v>0</v>
      </c>
      <c r="AE285" s="2223" cm="1">
        <f t="array" ref="AE285">IF($D285&lt;COLUMNS($F$7:AE$7),"",INDEX(TableDiv[[GASB]:[GASB]],_xlfn.AGGREGATE(15,3,(TableDiv[[Agency]:[Agency]]=$E285)/(TableDiv[[Agency]:[Agency]]=$E285)*(ROW(TableDiv[Agency])-ROW(TableDiv[[#Headers],[Agency]])),COLUMNS($F$7:AE$7))))</f>
        <v>0</v>
      </c>
      <c r="AF285" s="2223" cm="1">
        <f t="array" ref="AF285">IF($D285&lt;COLUMNS($F$7:AF$7),"",INDEX(TableDiv[[GASB]:[GASB]],_xlfn.AGGREGATE(15,3,(TableDiv[[Agency]:[Agency]]=$E285)/(TableDiv[[Agency]:[Agency]]=$E285)*(ROW(TableDiv[Agency])-ROW(TableDiv[[#Headers],[Agency]])),COLUMNS($F$7:AF$7))))</f>
        <v>0</v>
      </c>
      <c r="AG285" s="2223" cm="1">
        <f t="array" ref="AG285">IF($D285&lt;COLUMNS($F$7:AG$7),"",INDEX(TableDiv[[GASB]:[GASB]],_xlfn.AGGREGATE(15,3,(TableDiv[[Agency]:[Agency]]=$E285)/(TableDiv[[Agency]:[Agency]]=$E285)*(ROW(TableDiv[Agency])-ROW(TableDiv[[#Headers],[Agency]])),COLUMNS($F$7:AG$7))))</f>
        <v>0</v>
      </c>
      <c r="AH285" s="2223" cm="1">
        <f t="array" ref="AH285">IF($D285&lt;COLUMNS($F$7:AH$7),"",INDEX(TableDiv[[GASB]:[GASB]],_xlfn.AGGREGATE(15,3,(TableDiv[[Agency]:[Agency]]=$E285)/(TableDiv[[Agency]:[Agency]]=$E285)*(ROW(TableDiv[Agency])-ROW(TableDiv[[#Headers],[Agency]])),COLUMNS($F$7:AH$7))))</f>
        <v>0</v>
      </c>
      <c r="AI285" s="2223" cm="1">
        <f t="array" ref="AI285">IF($D285&lt;COLUMNS($F$7:AI$7),"",INDEX(TableDiv[[GASB]:[GASB]],_xlfn.AGGREGATE(15,3,(TableDiv[[Agency]:[Agency]]=$E285)/(TableDiv[[Agency]:[Agency]]=$E285)*(ROW(TableDiv[Agency])-ROW(TableDiv[[#Headers],[Agency]])),COLUMNS($F$7:AI$7))))</f>
        <v>0</v>
      </c>
      <c r="AJ285" s="2223" cm="1">
        <f t="array" ref="AJ285">IF($D285&lt;COLUMNS($F$7:AJ$7),"",INDEX(TableDiv[[GASB]:[GASB]],_xlfn.AGGREGATE(15,3,(TableDiv[[Agency]:[Agency]]=$E285)/(TableDiv[[Agency]:[Agency]]=$E285)*(ROW(TableDiv[Agency])-ROW(TableDiv[[#Headers],[Agency]])),COLUMNS($F$7:AJ$7))))</f>
        <v>0</v>
      </c>
      <c r="AK285" s="2223" t="str" cm="1">
        <f t="array" ref="AK285">IF($D285&lt;COLUMNS($F$7:AK$7),"",INDEX(TableDiv[[GASB]:[GASB]],_xlfn.AGGREGATE(15,3,(TableDiv[[Agency]:[Agency]]=$E285)/(TableDiv[[Agency]:[Agency]]=$E285)*(ROW(TableDiv[Agency])-ROW(TableDiv[[#Headers],[Agency]])),COLUMNS($F$7:AK$7))))</f>
        <v/>
      </c>
      <c r="AL285" s="2223" t="str" cm="1">
        <f t="array" ref="AL285">IF($D285&lt;COLUMNS($F$7:AL$7),"",INDEX(TableDiv[[GASB]:[GASB]],_xlfn.AGGREGATE(15,3,(TableDiv[[Agency]:[Agency]]=$E285)/(TableDiv[[Agency]:[Agency]]=$E285)*(ROW(TableDiv[Agency])-ROW(TableDiv[[#Headers],[Agency]])),COLUMNS($F$7:AL$7))))</f>
        <v/>
      </c>
      <c r="AM285" s="2223" t="str" cm="1">
        <f t="array" ref="AM285">IF($D285&lt;COLUMNS($F$7:AM$7),"",INDEX(TableDiv[[GASB]:[GASB]],_xlfn.AGGREGATE(15,3,(TableDiv[[Agency]:[Agency]]=$E285)/(TableDiv[[Agency]:[Agency]]=$E285)*(ROW(TableDiv[Agency])-ROW(TableDiv[[#Headers],[Agency]])),COLUMNS($F$7:AM$7))))</f>
        <v/>
      </c>
      <c r="AN285" s="2223"/>
      <c r="AO285" s="2223"/>
      <c r="AP285" s="2223"/>
      <c r="AQ285" s="2223"/>
      <c r="AR285" s="2223"/>
      <c r="AS285" s="2223"/>
    </row>
    <row r="286" spans="1:45" ht="15" x14ac:dyDescent="0.25">
      <c r="A286" s="2219" t="s">
        <v>5118</v>
      </c>
      <c r="B286" s="2219" t="s">
        <v>1878</v>
      </c>
      <c r="C286" s="2223"/>
      <c r="D286" s="2223">
        <f>COUNTIF(TableDiv[Agency],E286)</f>
        <v>31</v>
      </c>
      <c r="E286" s="2230" t="str" cm="1">
        <f t="array" ref="E286">IFERROR(INDEX(TableDiv[Agency],MATCH(0,INDEX(COUNTIF($E$7:E285,TableDiv[Agency]),),0)),"")</f>
        <v/>
      </c>
      <c r="F286" s="2223" cm="1">
        <f t="array" ref="F286">IF($D286&lt;COLUMNS($F$7:F$7),"",INDEX(TableDiv[[GASB]:[GASB]],_xlfn.AGGREGATE(15,3,(TableDiv[[Agency]:[Agency]]=$E286)/(TableDiv[[Agency]:[Agency]]=$E286)*(ROW(TableDiv[Agency])-ROW(TableDiv[[#Headers],[Agency]])),COLUMNS($F$7:F$7))))</f>
        <v>0</v>
      </c>
      <c r="G286" s="2223" cm="1">
        <f t="array" ref="G286">IF($D286&lt;COLUMNS($F$7:G$7),"",INDEX(TableDiv[[GASB]:[GASB]],_xlfn.AGGREGATE(15,3,(TableDiv[[Agency]:[Agency]]=$E286)/(TableDiv[[Agency]:[Agency]]=$E286)*(ROW(TableDiv[Agency])-ROW(TableDiv[[#Headers],[Agency]])),COLUMNS($F$7:G$7))))</f>
        <v>0</v>
      </c>
      <c r="H286" s="2223" cm="1">
        <f t="array" ref="H286">IF($D286&lt;COLUMNS($F$7:H$7),"",INDEX(TableDiv[[GASB]:[GASB]],_xlfn.AGGREGATE(15,3,(TableDiv[[Agency]:[Agency]]=$E286)/(TableDiv[[Agency]:[Agency]]=$E286)*(ROW(TableDiv[Agency])-ROW(TableDiv[[#Headers],[Agency]])),COLUMNS($F$7:H$7))))</f>
        <v>0</v>
      </c>
      <c r="I286" s="2223" cm="1">
        <f t="array" ref="I286">IF($D286&lt;COLUMNS($F$7:I$7),"",INDEX(TableDiv[[GASB]:[GASB]],_xlfn.AGGREGATE(15,3,(TableDiv[[Agency]:[Agency]]=$E286)/(TableDiv[[Agency]:[Agency]]=$E286)*(ROW(TableDiv[Agency])-ROW(TableDiv[[#Headers],[Agency]])),COLUMNS($F$7:I$7))))</f>
        <v>0</v>
      </c>
      <c r="J286" s="2223" cm="1">
        <f t="array" ref="J286">IF($D286&lt;COLUMNS($F$7:J$7),"",INDEX(TableDiv[[GASB]:[GASB]],_xlfn.AGGREGATE(15,3,(TableDiv[[Agency]:[Agency]]=$E286)/(TableDiv[[Agency]:[Agency]]=$E286)*(ROW(TableDiv[Agency])-ROW(TableDiv[[#Headers],[Agency]])),COLUMNS($F$7:J$7))))</f>
        <v>0</v>
      </c>
      <c r="K286" s="2223" cm="1">
        <f t="array" ref="K286">IF($D286&lt;COLUMNS($F$7:K$7),"",INDEX(TableDiv[[GASB]:[GASB]],_xlfn.AGGREGATE(15,3,(TableDiv[[Agency]:[Agency]]=$E286)/(TableDiv[[Agency]:[Agency]]=$E286)*(ROW(TableDiv[Agency])-ROW(TableDiv[[#Headers],[Agency]])),COLUMNS($F$7:K$7))))</f>
        <v>0</v>
      </c>
      <c r="L286" s="2223" cm="1">
        <f t="array" ref="L286">IF($D286&lt;COLUMNS($F$7:L$7),"",INDEX(TableDiv[[GASB]:[GASB]],_xlfn.AGGREGATE(15,3,(TableDiv[[Agency]:[Agency]]=$E286)/(TableDiv[[Agency]:[Agency]]=$E286)*(ROW(TableDiv[Agency])-ROW(TableDiv[[#Headers],[Agency]])),COLUMNS($F$7:L$7))))</f>
        <v>0</v>
      </c>
      <c r="M286" s="2223" cm="1">
        <f t="array" ref="M286">IF($D286&lt;COLUMNS($F$7:M$7),"",INDEX(TableDiv[[GASB]:[GASB]],_xlfn.AGGREGATE(15,3,(TableDiv[[Agency]:[Agency]]=$E286)/(TableDiv[[Agency]:[Agency]]=$E286)*(ROW(TableDiv[Agency])-ROW(TableDiv[[#Headers],[Agency]])),COLUMNS($F$7:M$7))))</f>
        <v>0</v>
      </c>
      <c r="N286" s="2223" cm="1">
        <f t="array" ref="N286">IF($D286&lt;COLUMNS($F$7:N$7),"",INDEX(TableDiv[[GASB]:[GASB]],_xlfn.AGGREGATE(15,3,(TableDiv[[Agency]:[Agency]]=$E286)/(TableDiv[[Agency]:[Agency]]=$E286)*(ROW(TableDiv[Agency])-ROW(TableDiv[[#Headers],[Agency]])),COLUMNS($F$7:N$7))))</f>
        <v>0</v>
      </c>
      <c r="O286" s="2223" cm="1">
        <f t="array" ref="O286">IF($D286&lt;COLUMNS($F$7:O$7),"",INDEX(TableDiv[[GASB]:[GASB]],_xlfn.AGGREGATE(15,3,(TableDiv[[Agency]:[Agency]]=$E286)/(TableDiv[[Agency]:[Agency]]=$E286)*(ROW(TableDiv[Agency])-ROW(TableDiv[[#Headers],[Agency]])),COLUMNS($F$7:O$7))))</f>
        <v>0</v>
      </c>
      <c r="P286" s="2223" cm="1">
        <f t="array" ref="P286">IF($D286&lt;COLUMNS($F$7:P$7),"",INDEX(TableDiv[[GASB]:[GASB]],_xlfn.AGGREGATE(15,3,(TableDiv[[Agency]:[Agency]]=$E286)/(TableDiv[[Agency]:[Agency]]=$E286)*(ROW(TableDiv[Agency])-ROW(TableDiv[[#Headers],[Agency]])),COLUMNS($F$7:P$7))))</f>
        <v>0</v>
      </c>
      <c r="Q286" s="2223" cm="1">
        <f t="array" ref="Q286">IF($D286&lt;COLUMNS($F$7:Q$7),"",INDEX(TableDiv[[GASB]:[GASB]],_xlfn.AGGREGATE(15,3,(TableDiv[[Agency]:[Agency]]=$E286)/(TableDiv[[Agency]:[Agency]]=$E286)*(ROW(TableDiv[Agency])-ROW(TableDiv[[#Headers],[Agency]])),COLUMNS($F$7:Q$7))))</f>
        <v>0</v>
      </c>
      <c r="R286" s="2223" cm="1">
        <f t="array" ref="R286">IF($D286&lt;COLUMNS($F$7:R$7),"",INDEX(TableDiv[[GASB]:[GASB]],_xlfn.AGGREGATE(15,3,(TableDiv[[Agency]:[Agency]]=$E286)/(TableDiv[[Agency]:[Agency]]=$E286)*(ROW(TableDiv[Agency])-ROW(TableDiv[[#Headers],[Agency]])),COLUMNS($F$7:R$7))))</f>
        <v>0</v>
      </c>
      <c r="S286" s="2223" cm="1">
        <f t="array" ref="S286">IF($D286&lt;COLUMNS($F$7:S$7),"",INDEX(TableDiv[[GASB]:[GASB]],_xlfn.AGGREGATE(15,3,(TableDiv[[Agency]:[Agency]]=$E286)/(TableDiv[[Agency]:[Agency]]=$E286)*(ROW(TableDiv[Agency])-ROW(TableDiv[[#Headers],[Agency]])),COLUMNS($F$7:S$7))))</f>
        <v>0</v>
      </c>
      <c r="T286" s="2223" cm="1">
        <f t="array" ref="T286">IF($D286&lt;COLUMNS($F$7:T$7),"",INDEX(TableDiv[[GASB]:[GASB]],_xlfn.AGGREGATE(15,3,(TableDiv[[Agency]:[Agency]]=$E286)/(TableDiv[[Agency]:[Agency]]=$E286)*(ROW(TableDiv[Agency])-ROW(TableDiv[[#Headers],[Agency]])),COLUMNS($F$7:T$7))))</f>
        <v>0</v>
      </c>
      <c r="U286" s="2223" cm="1">
        <f t="array" ref="U286">IF($D286&lt;COLUMNS($F$7:U$7),"",INDEX(TableDiv[[GASB]:[GASB]],_xlfn.AGGREGATE(15,3,(TableDiv[[Agency]:[Agency]]=$E286)/(TableDiv[[Agency]:[Agency]]=$E286)*(ROW(TableDiv[Agency])-ROW(TableDiv[[#Headers],[Agency]])),COLUMNS($F$7:U$7))))</f>
        <v>0</v>
      </c>
      <c r="V286" s="2223" cm="1">
        <f t="array" ref="V286">IF($D286&lt;COLUMNS($F$7:V$7),"",INDEX(TableDiv[[GASB]:[GASB]],_xlfn.AGGREGATE(15,3,(TableDiv[[Agency]:[Agency]]=$E286)/(TableDiv[[Agency]:[Agency]]=$E286)*(ROW(TableDiv[Agency])-ROW(TableDiv[[#Headers],[Agency]])),COLUMNS($F$7:V$7))))</f>
        <v>0</v>
      </c>
      <c r="W286" s="2223" cm="1">
        <f t="array" ref="W286">IF($D286&lt;COLUMNS($F$7:W$7),"",INDEX(TableDiv[[GASB]:[GASB]],_xlfn.AGGREGATE(15,3,(TableDiv[[Agency]:[Agency]]=$E286)/(TableDiv[[Agency]:[Agency]]=$E286)*(ROW(TableDiv[Agency])-ROW(TableDiv[[#Headers],[Agency]])),COLUMNS($F$7:W$7))))</f>
        <v>0</v>
      </c>
      <c r="X286" s="2223" cm="1">
        <f t="array" ref="X286">IF($D286&lt;COLUMNS($F$7:X$7),"",INDEX(TableDiv[[GASB]:[GASB]],_xlfn.AGGREGATE(15,3,(TableDiv[[Agency]:[Agency]]=$E286)/(TableDiv[[Agency]:[Agency]]=$E286)*(ROW(TableDiv[Agency])-ROW(TableDiv[[#Headers],[Agency]])),COLUMNS($F$7:X$7))))</f>
        <v>0</v>
      </c>
      <c r="Y286" s="2223" cm="1">
        <f t="array" ref="Y286">IF($D286&lt;COLUMNS($F$7:Y$7),"",INDEX(TableDiv[[GASB]:[GASB]],_xlfn.AGGREGATE(15,3,(TableDiv[[Agency]:[Agency]]=$E286)/(TableDiv[[Agency]:[Agency]]=$E286)*(ROW(TableDiv[Agency])-ROW(TableDiv[[#Headers],[Agency]])),COLUMNS($F$7:Y$7))))</f>
        <v>0</v>
      </c>
      <c r="Z286" s="2223" cm="1">
        <f t="array" ref="Z286">IF($D286&lt;COLUMNS($F$7:Z$7),"",INDEX(TableDiv[[GASB]:[GASB]],_xlfn.AGGREGATE(15,3,(TableDiv[[Agency]:[Agency]]=$E286)/(TableDiv[[Agency]:[Agency]]=$E286)*(ROW(TableDiv[Agency])-ROW(TableDiv[[#Headers],[Agency]])),COLUMNS($F$7:Z$7))))</f>
        <v>0</v>
      </c>
      <c r="AA286" s="2223" cm="1">
        <f t="array" ref="AA286">IF($D286&lt;COLUMNS($F$7:AA$7),"",INDEX(TableDiv[[GASB]:[GASB]],_xlfn.AGGREGATE(15,3,(TableDiv[[Agency]:[Agency]]=$E286)/(TableDiv[[Agency]:[Agency]]=$E286)*(ROW(TableDiv[Agency])-ROW(TableDiv[[#Headers],[Agency]])),COLUMNS($F$7:AA$7))))</f>
        <v>0</v>
      </c>
      <c r="AB286" s="2223" cm="1">
        <f t="array" ref="AB286">IF($D286&lt;COLUMNS($F$7:AB$7),"",INDEX(TableDiv[[GASB]:[GASB]],_xlfn.AGGREGATE(15,3,(TableDiv[[Agency]:[Agency]]=$E286)/(TableDiv[[Agency]:[Agency]]=$E286)*(ROW(TableDiv[Agency])-ROW(TableDiv[[#Headers],[Agency]])),COLUMNS($F$7:AB$7))))</f>
        <v>0</v>
      </c>
      <c r="AC286" s="2223" cm="1">
        <f t="array" ref="AC286">IF($D286&lt;COLUMNS($F$7:AC$7),"",INDEX(TableDiv[[GASB]:[GASB]],_xlfn.AGGREGATE(15,3,(TableDiv[[Agency]:[Agency]]=$E286)/(TableDiv[[Agency]:[Agency]]=$E286)*(ROW(TableDiv[Agency])-ROW(TableDiv[[#Headers],[Agency]])),COLUMNS($F$7:AC$7))))</f>
        <v>0</v>
      </c>
      <c r="AD286" s="2223" cm="1">
        <f t="array" ref="AD286">IF($D286&lt;COLUMNS($F$7:AD$7),"",INDEX(TableDiv[[GASB]:[GASB]],_xlfn.AGGREGATE(15,3,(TableDiv[[Agency]:[Agency]]=$E286)/(TableDiv[[Agency]:[Agency]]=$E286)*(ROW(TableDiv[Agency])-ROW(TableDiv[[#Headers],[Agency]])),COLUMNS($F$7:AD$7))))</f>
        <v>0</v>
      </c>
      <c r="AE286" s="2223" cm="1">
        <f t="array" ref="AE286">IF($D286&lt;COLUMNS($F$7:AE$7),"",INDEX(TableDiv[[GASB]:[GASB]],_xlfn.AGGREGATE(15,3,(TableDiv[[Agency]:[Agency]]=$E286)/(TableDiv[[Agency]:[Agency]]=$E286)*(ROW(TableDiv[Agency])-ROW(TableDiv[[#Headers],[Agency]])),COLUMNS($F$7:AE$7))))</f>
        <v>0</v>
      </c>
      <c r="AF286" s="2223" cm="1">
        <f t="array" ref="AF286">IF($D286&lt;COLUMNS($F$7:AF$7),"",INDEX(TableDiv[[GASB]:[GASB]],_xlfn.AGGREGATE(15,3,(TableDiv[[Agency]:[Agency]]=$E286)/(TableDiv[[Agency]:[Agency]]=$E286)*(ROW(TableDiv[Agency])-ROW(TableDiv[[#Headers],[Agency]])),COLUMNS($F$7:AF$7))))</f>
        <v>0</v>
      </c>
      <c r="AG286" s="2223" cm="1">
        <f t="array" ref="AG286">IF($D286&lt;COLUMNS($F$7:AG$7),"",INDEX(TableDiv[[GASB]:[GASB]],_xlfn.AGGREGATE(15,3,(TableDiv[[Agency]:[Agency]]=$E286)/(TableDiv[[Agency]:[Agency]]=$E286)*(ROW(TableDiv[Agency])-ROW(TableDiv[[#Headers],[Agency]])),COLUMNS($F$7:AG$7))))</f>
        <v>0</v>
      </c>
      <c r="AH286" s="2223" cm="1">
        <f t="array" ref="AH286">IF($D286&lt;COLUMNS($F$7:AH$7),"",INDEX(TableDiv[[GASB]:[GASB]],_xlfn.AGGREGATE(15,3,(TableDiv[[Agency]:[Agency]]=$E286)/(TableDiv[[Agency]:[Agency]]=$E286)*(ROW(TableDiv[Agency])-ROW(TableDiv[[#Headers],[Agency]])),COLUMNS($F$7:AH$7))))</f>
        <v>0</v>
      </c>
      <c r="AI286" s="2223" cm="1">
        <f t="array" ref="AI286">IF($D286&lt;COLUMNS($F$7:AI$7),"",INDEX(TableDiv[[GASB]:[GASB]],_xlfn.AGGREGATE(15,3,(TableDiv[[Agency]:[Agency]]=$E286)/(TableDiv[[Agency]:[Agency]]=$E286)*(ROW(TableDiv[Agency])-ROW(TableDiv[[#Headers],[Agency]])),COLUMNS($F$7:AI$7))))</f>
        <v>0</v>
      </c>
      <c r="AJ286" s="2223" cm="1">
        <f t="array" ref="AJ286">IF($D286&lt;COLUMNS($F$7:AJ$7),"",INDEX(TableDiv[[GASB]:[GASB]],_xlfn.AGGREGATE(15,3,(TableDiv[[Agency]:[Agency]]=$E286)/(TableDiv[[Agency]:[Agency]]=$E286)*(ROW(TableDiv[Agency])-ROW(TableDiv[[#Headers],[Agency]])),COLUMNS($F$7:AJ$7))))</f>
        <v>0</v>
      </c>
      <c r="AK286" s="2223" t="str" cm="1">
        <f t="array" ref="AK286">IF($D286&lt;COLUMNS($F$7:AK$7),"",INDEX(TableDiv[[GASB]:[GASB]],_xlfn.AGGREGATE(15,3,(TableDiv[[Agency]:[Agency]]=$E286)/(TableDiv[[Agency]:[Agency]]=$E286)*(ROW(TableDiv[Agency])-ROW(TableDiv[[#Headers],[Agency]])),COLUMNS($F$7:AK$7))))</f>
        <v/>
      </c>
      <c r="AL286" s="2223" t="str" cm="1">
        <f t="array" ref="AL286">IF($D286&lt;COLUMNS($F$7:AL$7),"",INDEX(TableDiv[[GASB]:[GASB]],_xlfn.AGGREGATE(15,3,(TableDiv[[Agency]:[Agency]]=$E286)/(TableDiv[[Agency]:[Agency]]=$E286)*(ROW(TableDiv[Agency])-ROW(TableDiv[[#Headers],[Agency]])),COLUMNS($F$7:AL$7))))</f>
        <v/>
      </c>
      <c r="AM286" s="2223" t="str" cm="1">
        <f t="array" ref="AM286">IF($D286&lt;COLUMNS($F$7:AM$7),"",INDEX(TableDiv[[GASB]:[GASB]],_xlfn.AGGREGATE(15,3,(TableDiv[[Agency]:[Agency]]=$E286)/(TableDiv[[Agency]:[Agency]]=$E286)*(ROW(TableDiv[Agency])-ROW(TableDiv[[#Headers],[Agency]])),COLUMNS($F$7:AM$7))))</f>
        <v/>
      </c>
      <c r="AN286" s="2223"/>
      <c r="AO286" s="2223"/>
      <c r="AP286" s="2223"/>
      <c r="AQ286" s="2223"/>
      <c r="AR286" s="2223"/>
      <c r="AS286" s="2223"/>
    </row>
    <row r="287" spans="1:45" ht="15" x14ac:dyDescent="0.25">
      <c r="A287" s="2219" t="s">
        <v>5118</v>
      </c>
      <c r="B287" s="2219" t="s">
        <v>6372</v>
      </c>
      <c r="C287" s="2223"/>
      <c r="D287" s="2223">
        <f>COUNTIF(TableDiv[Agency],E287)</f>
        <v>31</v>
      </c>
      <c r="E287" s="2230" t="str" cm="1">
        <f t="array" ref="E287">IFERROR(INDEX(TableDiv[Agency],MATCH(0,INDEX(COUNTIF($E$7:E286,TableDiv[Agency]),),0)),"")</f>
        <v/>
      </c>
      <c r="F287" s="2223" cm="1">
        <f t="array" ref="F287">IF($D287&lt;COLUMNS($F$7:F$7),"",INDEX(TableDiv[[GASB]:[GASB]],_xlfn.AGGREGATE(15,3,(TableDiv[[Agency]:[Agency]]=$E287)/(TableDiv[[Agency]:[Agency]]=$E287)*(ROW(TableDiv[Agency])-ROW(TableDiv[[#Headers],[Agency]])),COLUMNS($F$7:F$7))))</f>
        <v>0</v>
      </c>
      <c r="G287" s="2223" cm="1">
        <f t="array" ref="G287">IF($D287&lt;COLUMNS($F$7:G$7),"",INDEX(TableDiv[[GASB]:[GASB]],_xlfn.AGGREGATE(15,3,(TableDiv[[Agency]:[Agency]]=$E287)/(TableDiv[[Agency]:[Agency]]=$E287)*(ROW(TableDiv[Agency])-ROW(TableDiv[[#Headers],[Agency]])),COLUMNS($F$7:G$7))))</f>
        <v>0</v>
      </c>
      <c r="H287" s="2223" cm="1">
        <f t="array" ref="H287">IF($D287&lt;COLUMNS($F$7:H$7),"",INDEX(TableDiv[[GASB]:[GASB]],_xlfn.AGGREGATE(15,3,(TableDiv[[Agency]:[Agency]]=$E287)/(TableDiv[[Agency]:[Agency]]=$E287)*(ROW(TableDiv[Agency])-ROW(TableDiv[[#Headers],[Agency]])),COLUMNS($F$7:H$7))))</f>
        <v>0</v>
      </c>
      <c r="I287" s="2223" cm="1">
        <f t="array" ref="I287">IF($D287&lt;COLUMNS($F$7:I$7),"",INDEX(TableDiv[[GASB]:[GASB]],_xlfn.AGGREGATE(15,3,(TableDiv[[Agency]:[Agency]]=$E287)/(TableDiv[[Agency]:[Agency]]=$E287)*(ROW(TableDiv[Agency])-ROW(TableDiv[[#Headers],[Agency]])),COLUMNS($F$7:I$7))))</f>
        <v>0</v>
      </c>
      <c r="J287" s="2223" cm="1">
        <f t="array" ref="J287">IF($D287&lt;COLUMNS($F$7:J$7),"",INDEX(TableDiv[[GASB]:[GASB]],_xlfn.AGGREGATE(15,3,(TableDiv[[Agency]:[Agency]]=$E287)/(TableDiv[[Agency]:[Agency]]=$E287)*(ROW(TableDiv[Agency])-ROW(TableDiv[[#Headers],[Agency]])),COLUMNS($F$7:J$7))))</f>
        <v>0</v>
      </c>
      <c r="K287" s="2223" cm="1">
        <f t="array" ref="K287">IF($D287&lt;COLUMNS($F$7:K$7),"",INDEX(TableDiv[[GASB]:[GASB]],_xlfn.AGGREGATE(15,3,(TableDiv[[Agency]:[Agency]]=$E287)/(TableDiv[[Agency]:[Agency]]=$E287)*(ROW(TableDiv[Agency])-ROW(TableDiv[[#Headers],[Agency]])),COLUMNS($F$7:K$7))))</f>
        <v>0</v>
      </c>
      <c r="L287" s="2223" cm="1">
        <f t="array" ref="L287">IF($D287&lt;COLUMNS($F$7:L$7),"",INDEX(TableDiv[[GASB]:[GASB]],_xlfn.AGGREGATE(15,3,(TableDiv[[Agency]:[Agency]]=$E287)/(TableDiv[[Agency]:[Agency]]=$E287)*(ROW(TableDiv[Agency])-ROW(TableDiv[[#Headers],[Agency]])),COLUMNS($F$7:L$7))))</f>
        <v>0</v>
      </c>
      <c r="M287" s="2223" cm="1">
        <f t="array" ref="M287">IF($D287&lt;COLUMNS($F$7:M$7),"",INDEX(TableDiv[[GASB]:[GASB]],_xlfn.AGGREGATE(15,3,(TableDiv[[Agency]:[Agency]]=$E287)/(TableDiv[[Agency]:[Agency]]=$E287)*(ROW(TableDiv[Agency])-ROW(TableDiv[[#Headers],[Agency]])),COLUMNS($F$7:M$7))))</f>
        <v>0</v>
      </c>
      <c r="N287" s="2223" cm="1">
        <f t="array" ref="N287">IF($D287&lt;COLUMNS($F$7:N$7),"",INDEX(TableDiv[[GASB]:[GASB]],_xlfn.AGGREGATE(15,3,(TableDiv[[Agency]:[Agency]]=$E287)/(TableDiv[[Agency]:[Agency]]=$E287)*(ROW(TableDiv[Agency])-ROW(TableDiv[[#Headers],[Agency]])),COLUMNS($F$7:N$7))))</f>
        <v>0</v>
      </c>
      <c r="O287" s="2223" cm="1">
        <f t="array" ref="O287">IF($D287&lt;COLUMNS($F$7:O$7),"",INDEX(TableDiv[[GASB]:[GASB]],_xlfn.AGGREGATE(15,3,(TableDiv[[Agency]:[Agency]]=$E287)/(TableDiv[[Agency]:[Agency]]=$E287)*(ROW(TableDiv[Agency])-ROW(TableDiv[[#Headers],[Agency]])),COLUMNS($F$7:O$7))))</f>
        <v>0</v>
      </c>
      <c r="P287" s="2223" cm="1">
        <f t="array" ref="P287">IF($D287&lt;COLUMNS($F$7:P$7),"",INDEX(TableDiv[[GASB]:[GASB]],_xlfn.AGGREGATE(15,3,(TableDiv[[Agency]:[Agency]]=$E287)/(TableDiv[[Agency]:[Agency]]=$E287)*(ROW(TableDiv[Agency])-ROW(TableDiv[[#Headers],[Agency]])),COLUMNS($F$7:P$7))))</f>
        <v>0</v>
      </c>
      <c r="Q287" s="2223" cm="1">
        <f t="array" ref="Q287">IF($D287&lt;COLUMNS($F$7:Q$7),"",INDEX(TableDiv[[GASB]:[GASB]],_xlfn.AGGREGATE(15,3,(TableDiv[[Agency]:[Agency]]=$E287)/(TableDiv[[Agency]:[Agency]]=$E287)*(ROW(TableDiv[Agency])-ROW(TableDiv[[#Headers],[Agency]])),COLUMNS($F$7:Q$7))))</f>
        <v>0</v>
      </c>
      <c r="R287" s="2223" cm="1">
        <f t="array" ref="R287">IF($D287&lt;COLUMNS($F$7:R$7),"",INDEX(TableDiv[[GASB]:[GASB]],_xlfn.AGGREGATE(15,3,(TableDiv[[Agency]:[Agency]]=$E287)/(TableDiv[[Agency]:[Agency]]=$E287)*(ROW(TableDiv[Agency])-ROW(TableDiv[[#Headers],[Agency]])),COLUMNS($F$7:R$7))))</f>
        <v>0</v>
      </c>
      <c r="S287" s="2223" cm="1">
        <f t="array" ref="S287">IF($D287&lt;COLUMNS($F$7:S$7),"",INDEX(TableDiv[[GASB]:[GASB]],_xlfn.AGGREGATE(15,3,(TableDiv[[Agency]:[Agency]]=$E287)/(TableDiv[[Agency]:[Agency]]=$E287)*(ROW(TableDiv[Agency])-ROW(TableDiv[[#Headers],[Agency]])),COLUMNS($F$7:S$7))))</f>
        <v>0</v>
      </c>
      <c r="T287" s="2223" cm="1">
        <f t="array" ref="T287">IF($D287&lt;COLUMNS($F$7:T$7),"",INDEX(TableDiv[[GASB]:[GASB]],_xlfn.AGGREGATE(15,3,(TableDiv[[Agency]:[Agency]]=$E287)/(TableDiv[[Agency]:[Agency]]=$E287)*(ROW(TableDiv[Agency])-ROW(TableDiv[[#Headers],[Agency]])),COLUMNS($F$7:T$7))))</f>
        <v>0</v>
      </c>
      <c r="U287" s="2223" cm="1">
        <f t="array" ref="U287">IF($D287&lt;COLUMNS($F$7:U$7),"",INDEX(TableDiv[[GASB]:[GASB]],_xlfn.AGGREGATE(15,3,(TableDiv[[Agency]:[Agency]]=$E287)/(TableDiv[[Agency]:[Agency]]=$E287)*(ROW(TableDiv[Agency])-ROW(TableDiv[[#Headers],[Agency]])),COLUMNS($F$7:U$7))))</f>
        <v>0</v>
      </c>
      <c r="V287" s="2223" cm="1">
        <f t="array" ref="V287">IF($D287&lt;COLUMNS($F$7:V$7),"",INDEX(TableDiv[[GASB]:[GASB]],_xlfn.AGGREGATE(15,3,(TableDiv[[Agency]:[Agency]]=$E287)/(TableDiv[[Agency]:[Agency]]=$E287)*(ROW(TableDiv[Agency])-ROW(TableDiv[[#Headers],[Agency]])),COLUMNS($F$7:V$7))))</f>
        <v>0</v>
      </c>
      <c r="W287" s="2223" cm="1">
        <f t="array" ref="W287">IF($D287&lt;COLUMNS($F$7:W$7),"",INDEX(TableDiv[[GASB]:[GASB]],_xlfn.AGGREGATE(15,3,(TableDiv[[Agency]:[Agency]]=$E287)/(TableDiv[[Agency]:[Agency]]=$E287)*(ROW(TableDiv[Agency])-ROW(TableDiv[[#Headers],[Agency]])),COLUMNS($F$7:W$7))))</f>
        <v>0</v>
      </c>
      <c r="X287" s="2223" cm="1">
        <f t="array" ref="X287">IF($D287&lt;COLUMNS($F$7:X$7),"",INDEX(TableDiv[[GASB]:[GASB]],_xlfn.AGGREGATE(15,3,(TableDiv[[Agency]:[Agency]]=$E287)/(TableDiv[[Agency]:[Agency]]=$E287)*(ROW(TableDiv[Agency])-ROW(TableDiv[[#Headers],[Agency]])),COLUMNS($F$7:X$7))))</f>
        <v>0</v>
      </c>
      <c r="Y287" s="2223" cm="1">
        <f t="array" ref="Y287">IF($D287&lt;COLUMNS($F$7:Y$7),"",INDEX(TableDiv[[GASB]:[GASB]],_xlfn.AGGREGATE(15,3,(TableDiv[[Agency]:[Agency]]=$E287)/(TableDiv[[Agency]:[Agency]]=$E287)*(ROW(TableDiv[Agency])-ROW(TableDiv[[#Headers],[Agency]])),COLUMNS($F$7:Y$7))))</f>
        <v>0</v>
      </c>
      <c r="Z287" s="2223" cm="1">
        <f t="array" ref="Z287">IF($D287&lt;COLUMNS($F$7:Z$7),"",INDEX(TableDiv[[GASB]:[GASB]],_xlfn.AGGREGATE(15,3,(TableDiv[[Agency]:[Agency]]=$E287)/(TableDiv[[Agency]:[Agency]]=$E287)*(ROW(TableDiv[Agency])-ROW(TableDiv[[#Headers],[Agency]])),COLUMNS($F$7:Z$7))))</f>
        <v>0</v>
      </c>
      <c r="AA287" s="2223" cm="1">
        <f t="array" ref="AA287">IF($D287&lt;COLUMNS($F$7:AA$7),"",INDEX(TableDiv[[GASB]:[GASB]],_xlfn.AGGREGATE(15,3,(TableDiv[[Agency]:[Agency]]=$E287)/(TableDiv[[Agency]:[Agency]]=$E287)*(ROW(TableDiv[Agency])-ROW(TableDiv[[#Headers],[Agency]])),COLUMNS($F$7:AA$7))))</f>
        <v>0</v>
      </c>
      <c r="AB287" s="2223" cm="1">
        <f t="array" ref="AB287">IF($D287&lt;COLUMNS($F$7:AB$7),"",INDEX(TableDiv[[GASB]:[GASB]],_xlfn.AGGREGATE(15,3,(TableDiv[[Agency]:[Agency]]=$E287)/(TableDiv[[Agency]:[Agency]]=$E287)*(ROW(TableDiv[Agency])-ROW(TableDiv[[#Headers],[Agency]])),COLUMNS($F$7:AB$7))))</f>
        <v>0</v>
      </c>
      <c r="AC287" s="2223" cm="1">
        <f t="array" ref="AC287">IF($D287&lt;COLUMNS($F$7:AC$7),"",INDEX(TableDiv[[GASB]:[GASB]],_xlfn.AGGREGATE(15,3,(TableDiv[[Agency]:[Agency]]=$E287)/(TableDiv[[Agency]:[Agency]]=$E287)*(ROW(TableDiv[Agency])-ROW(TableDiv[[#Headers],[Agency]])),COLUMNS($F$7:AC$7))))</f>
        <v>0</v>
      </c>
      <c r="AD287" s="2223" cm="1">
        <f t="array" ref="AD287">IF($D287&lt;COLUMNS($F$7:AD$7),"",INDEX(TableDiv[[GASB]:[GASB]],_xlfn.AGGREGATE(15,3,(TableDiv[[Agency]:[Agency]]=$E287)/(TableDiv[[Agency]:[Agency]]=$E287)*(ROW(TableDiv[Agency])-ROW(TableDiv[[#Headers],[Agency]])),COLUMNS($F$7:AD$7))))</f>
        <v>0</v>
      </c>
      <c r="AE287" s="2223" cm="1">
        <f t="array" ref="AE287">IF($D287&lt;COLUMNS($F$7:AE$7),"",INDEX(TableDiv[[GASB]:[GASB]],_xlfn.AGGREGATE(15,3,(TableDiv[[Agency]:[Agency]]=$E287)/(TableDiv[[Agency]:[Agency]]=$E287)*(ROW(TableDiv[Agency])-ROW(TableDiv[[#Headers],[Agency]])),COLUMNS($F$7:AE$7))))</f>
        <v>0</v>
      </c>
      <c r="AF287" s="2223" cm="1">
        <f t="array" ref="AF287">IF($D287&lt;COLUMNS($F$7:AF$7),"",INDEX(TableDiv[[GASB]:[GASB]],_xlfn.AGGREGATE(15,3,(TableDiv[[Agency]:[Agency]]=$E287)/(TableDiv[[Agency]:[Agency]]=$E287)*(ROW(TableDiv[Agency])-ROW(TableDiv[[#Headers],[Agency]])),COLUMNS($F$7:AF$7))))</f>
        <v>0</v>
      </c>
      <c r="AG287" s="2223" cm="1">
        <f t="array" ref="AG287">IF($D287&lt;COLUMNS($F$7:AG$7),"",INDEX(TableDiv[[GASB]:[GASB]],_xlfn.AGGREGATE(15,3,(TableDiv[[Agency]:[Agency]]=$E287)/(TableDiv[[Agency]:[Agency]]=$E287)*(ROW(TableDiv[Agency])-ROW(TableDiv[[#Headers],[Agency]])),COLUMNS($F$7:AG$7))))</f>
        <v>0</v>
      </c>
      <c r="AH287" s="2223" cm="1">
        <f t="array" ref="AH287">IF($D287&lt;COLUMNS($F$7:AH$7),"",INDEX(TableDiv[[GASB]:[GASB]],_xlfn.AGGREGATE(15,3,(TableDiv[[Agency]:[Agency]]=$E287)/(TableDiv[[Agency]:[Agency]]=$E287)*(ROW(TableDiv[Agency])-ROW(TableDiv[[#Headers],[Agency]])),COLUMNS($F$7:AH$7))))</f>
        <v>0</v>
      </c>
      <c r="AI287" s="2223" cm="1">
        <f t="array" ref="AI287">IF($D287&lt;COLUMNS($F$7:AI$7),"",INDEX(TableDiv[[GASB]:[GASB]],_xlfn.AGGREGATE(15,3,(TableDiv[[Agency]:[Agency]]=$E287)/(TableDiv[[Agency]:[Agency]]=$E287)*(ROW(TableDiv[Agency])-ROW(TableDiv[[#Headers],[Agency]])),COLUMNS($F$7:AI$7))))</f>
        <v>0</v>
      </c>
      <c r="AJ287" s="2223" cm="1">
        <f t="array" ref="AJ287">IF($D287&lt;COLUMNS($F$7:AJ$7),"",INDEX(TableDiv[[GASB]:[GASB]],_xlfn.AGGREGATE(15,3,(TableDiv[[Agency]:[Agency]]=$E287)/(TableDiv[[Agency]:[Agency]]=$E287)*(ROW(TableDiv[Agency])-ROW(TableDiv[[#Headers],[Agency]])),COLUMNS($F$7:AJ$7))))</f>
        <v>0</v>
      </c>
      <c r="AK287" s="2223" t="str" cm="1">
        <f t="array" ref="AK287">IF($D287&lt;COLUMNS($F$7:AK$7),"",INDEX(TableDiv[[GASB]:[GASB]],_xlfn.AGGREGATE(15,3,(TableDiv[[Agency]:[Agency]]=$E287)/(TableDiv[[Agency]:[Agency]]=$E287)*(ROW(TableDiv[Agency])-ROW(TableDiv[[#Headers],[Agency]])),COLUMNS($F$7:AK$7))))</f>
        <v/>
      </c>
      <c r="AL287" s="2223" t="str" cm="1">
        <f t="array" ref="AL287">IF($D287&lt;COLUMNS($F$7:AL$7),"",INDEX(TableDiv[[GASB]:[GASB]],_xlfn.AGGREGATE(15,3,(TableDiv[[Agency]:[Agency]]=$E287)/(TableDiv[[Agency]:[Agency]]=$E287)*(ROW(TableDiv[Agency])-ROW(TableDiv[[#Headers],[Agency]])),COLUMNS($F$7:AL$7))))</f>
        <v/>
      </c>
      <c r="AM287" s="2223" t="str" cm="1">
        <f t="array" ref="AM287">IF($D287&lt;COLUMNS($F$7:AM$7),"",INDEX(TableDiv[[GASB]:[GASB]],_xlfn.AGGREGATE(15,3,(TableDiv[[Agency]:[Agency]]=$E287)/(TableDiv[[Agency]:[Agency]]=$E287)*(ROW(TableDiv[Agency])-ROW(TableDiv[[#Headers],[Agency]])),COLUMNS($F$7:AM$7))))</f>
        <v/>
      </c>
      <c r="AN287" s="2223"/>
      <c r="AO287" s="2223"/>
      <c r="AP287" s="2223"/>
      <c r="AQ287" s="2223"/>
      <c r="AR287" s="2223"/>
      <c r="AS287" s="2223"/>
    </row>
    <row r="288" spans="1:45" ht="15" x14ac:dyDescent="0.25">
      <c r="A288" s="2219" t="s">
        <v>5118</v>
      </c>
      <c r="B288" s="2219" t="s">
        <v>6361</v>
      </c>
      <c r="C288" s="2223"/>
      <c r="D288" s="2223">
        <f>COUNTIF(TableDiv[Agency],E288)</f>
        <v>31</v>
      </c>
      <c r="E288" s="2230" t="str" cm="1">
        <f t="array" ref="E288">IFERROR(INDEX(TableDiv[Agency],MATCH(0,INDEX(COUNTIF($E$7:E287,TableDiv[Agency]),),0)),"")</f>
        <v/>
      </c>
      <c r="F288" s="2223" cm="1">
        <f t="array" ref="F288">IF($D288&lt;COLUMNS($F$7:F$7),"",INDEX(TableDiv[[GASB]:[GASB]],_xlfn.AGGREGATE(15,3,(TableDiv[[Agency]:[Agency]]=$E288)/(TableDiv[[Agency]:[Agency]]=$E288)*(ROW(TableDiv[Agency])-ROW(TableDiv[[#Headers],[Agency]])),COLUMNS($F$7:F$7))))</f>
        <v>0</v>
      </c>
      <c r="G288" s="2223" cm="1">
        <f t="array" ref="G288">IF($D288&lt;COLUMNS($F$7:G$7),"",INDEX(TableDiv[[GASB]:[GASB]],_xlfn.AGGREGATE(15,3,(TableDiv[[Agency]:[Agency]]=$E288)/(TableDiv[[Agency]:[Agency]]=$E288)*(ROW(TableDiv[Agency])-ROW(TableDiv[[#Headers],[Agency]])),COLUMNS($F$7:G$7))))</f>
        <v>0</v>
      </c>
      <c r="H288" s="2223" cm="1">
        <f t="array" ref="H288">IF($D288&lt;COLUMNS($F$7:H$7),"",INDEX(TableDiv[[GASB]:[GASB]],_xlfn.AGGREGATE(15,3,(TableDiv[[Agency]:[Agency]]=$E288)/(TableDiv[[Agency]:[Agency]]=$E288)*(ROW(TableDiv[Agency])-ROW(TableDiv[[#Headers],[Agency]])),COLUMNS($F$7:H$7))))</f>
        <v>0</v>
      </c>
      <c r="I288" s="2223" cm="1">
        <f t="array" ref="I288">IF($D288&lt;COLUMNS($F$7:I$7),"",INDEX(TableDiv[[GASB]:[GASB]],_xlfn.AGGREGATE(15,3,(TableDiv[[Agency]:[Agency]]=$E288)/(TableDiv[[Agency]:[Agency]]=$E288)*(ROW(TableDiv[Agency])-ROW(TableDiv[[#Headers],[Agency]])),COLUMNS($F$7:I$7))))</f>
        <v>0</v>
      </c>
      <c r="J288" s="2223" cm="1">
        <f t="array" ref="J288">IF($D288&lt;COLUMNS($F$7:J$7),"",INDEX(TableDiv[[GASB]:[GASB]],_xlfn.AGGREGATE(15,3,(TableDiv[[Agency]:[Agency]]=$E288)/(TableDiv[[Agency]:[Agency]]=$E288)*(ROW(TableDiv[Agency])-ROW(TableDiv[[#Headers],[Agency]])),COLUMNS($F$7:J$7))))</f>
        <v>0</v>
      </c>
      <c r="K288" s="2223" cm="1">
        <f t="array" ref="K288">IF($D288&lt;COLUMNS($F$7:K$7),"",INDEX(TableDiv[[GASB]:[GASB]],_xlfn.AGGREGATE(15,3,(TableDiv[[Agency]:[Agency]]=$E288)/(TableDiv[[Agency]:[Agency]]=$E288)*(ROW(TableDiv[Agency])-ROW(TableDiv[[#Headers],[Agency]])),COLUMNS($F$7:K$7))))</f>
        <v>0</v>
      </c>
      <c r="L288" s="2223" cm="1">
        <f t="array" ref="L288">IF($D288&lt;COLUMNS($F$7:L$7),"",INDEX(TableDiv[[GASB]:[GASB]],_xlfn.AGGREGATE(15,3,(TableDiv[[Agency]:[Agency]]=$E288)/(TableDiv[[Agency]:[Agency]]=$E288)*(ROW(TableDiv[Agency])-ROW(TableDiv[[#Headers],[Agency]])),COLUMNS($F$7:L$7))))</f>
        <v>0</v>
      </c>
      <c r="M288" s="2223" cm="1">
        <f t="array" ref="M288">IF($D288&lt;COLUMNS($F$7:M$7),"",INDEX(TableDiv[[GASB]:[GASB]],_xlfn.AGGREGATE(15,3,(TableDiv[[Agency]:[Agency]]=$E288)/(TableDiv[[Agency]:[Agency]]=$E288)*(ROW(TableDiv[Agency])-ROW(TableDiv[[#Headers],[Agency]])),COLUMNS($F$7:M$7))))</f>
        <v>0</v>
      </c>
      <c r="N288" s="2223" cm="1">
        <f t="array" ref="N288">IF($D288&lt;COLUMNS($F$7:N$7),"",INDEX(TableDiv[[GASB]:[GASB]],_xlfn.AGGREGATE(15,3,(TableDiv[[Agency]:[Agency]]=$E288)/(TableDiv[[Agency]:[Agency]]=$E288)*(ROW(TableDiv[Agency])-ROW(TableDiv[[#Headers],[Agency]])),COLUMNS($F$7:N$7))))</f>
        <v>0</v>
      </c>
      <c r="O288" s="2223" cm="1">
        <f t="array" ref="O288">IF($D288&lt;COLUMNS($F$7:O$7),"",INDEX(TableDiv[[GASB]:[GASB]],_xlfn.AGGREGATE(15,3,(TableDiv[[Agency]:[Agency]]=$E288)/(TableDiv[[Agency]:[Agency]]=$E288)*(ROW(TableDiv[Agency])-ROW(TableDiv[[#Headers],[Agency]])),COLUMNS($F$7:O$7))))</f>
        <v>0</v>
      </c>
      <c r="P288" s="2223" cm="1">
        <f t="array" ref="P288">IF($D288&lt;COLUMNS($F$7:P$7),"",INDEX(TableDiv[[GASB]:[GASB]],_xlfn.AGGREGATE(15,3,(TableDiv[[Agency]:[Agency]]=$E288)/(TableDiv[[Agency]:[Agency]]=$E288)*(ROW(TableDiv[Agency])-ROW(TableDiv[[#Headers],[Agency]])),COLUMNS($F$7:P$7))))</f>
        <v>0</v>
      </c>
      <c r="Q288" s="2223" cm="1">
        <f t="array" ref="Q288">IF($D288&lt;COLUMNS($F$7:Q$7),"",INDEX(TableDiv[[GASB]:[GASB]],_xlfn.AGGREGATE(15,3,(TableDiv[[Agency]:[Agency]]=$E288)/(TableDiv[[Agency]:[Agency]]=$E288)*(ROW(TableDiv[Agency])-ROW(TableDiv[[#Headers],[Agency]])),COLUMNS($F$7:Q$7))))</f>
        <v>0</v>
      </c>
      <c r="R288" s="2223" cm="1">
        <f t="array" ref="R288">IF($D288&lt;COLUMNS($F$7:R$7),"",INDEX(TableDiv[[GASB]:[GASB]],_xlfn.AGGREGATE(15,3,(TableDiv[[Agency]:[Agency]]=$E288)/(TableDiv[[Agency]:[Agency]]=$E288)*(ROW(TableDiv[Agency])-ROW(TableDiv[[#Headers],[Agency]])),COLUMNS($F$7:R$7))))</f>
        <v>0</v>
      </c>
      <c r="S288" s="2223" cm="1">
        <f t="array" ref="S288">IF($D288&lt;COLUMNS($F$7:S$7),"",INDEX(TableDiv[[GASB]:[GASB]],_xlfn.AGGREGATE(15,3,(TableDiv[[Agency]:[Agency]]=$E288)/(TableDiv[[Agency]:[Agency]]=$E288)*(ROW(TableDiv[Agency])-ROW(TableDiv[[#Headers],[Agency]])),COLUMNS($F$7:S$7))))</f>
        <v>0</v>
      </c>
      <c r="T288" s="2223" cm="1">
        <f t="array" ref="T288">IF($D288&lt;COLUMNS($F$7:T$7),"",INDEX(TableDiv[[GASB]:[GASB]],_xlfn.AGGREGATE(15,3,(TableDiv[[Agency]:[Agency]]=$E288)/(TableDiv[[Agency]:[Agency]]=$E288)*(ROW(TableDiv[Agency])-ROW(TableDiv[[#Headers],[Agency]])),COLUMNS($F$7:T$7))))</f>
        <v>0</v>
      </c>
      <c r="U288" s="2223" cm="1">
        <f t="array" ref="U288">IF($D288&lt;COLUMNS($F$7:U$7),"",INDEX(TableDiv[[GASB]:[GASB]],_xlfn.AGGREGATE(15,3,(TableDiv[[Agency]:[Agency]]=$E288)/(TableDiv[[Agency]:[Agency]]=$E288)*(ROW(TableDiv[Agency])-ROW(TableDiv[[#Headers],[Agency]])),COLUMNS($F$7:U$7))))</f>
        <v>0</v>
      </c>
      <c r="V288" s="2223" cm="1">
        <f t="array" ref="V288">IF($D288&lt;COLUMNS($F$7:V$7),"",INDEX(TableDiv[[GASB]:[GASB]],_xlfn.AGGREGATE(15,3,(TableDiv[[Agency]:[Agency]]=$E288)/(TableDiv[[Agency]:[Agency]]=$E288)*(ROW(TableDiv[Agency])-ROW(TableDiv[[#Headers],[Agency]])),COLUMNS($F$7:V$7))))</f>
        <v>0</v>
      </c>
      <c r="W288" s="2223" cm="1">
        <f t="array" ref="W288">IF($D288&lt;COLUMNS($F$7:W$7),"",INDEX(TableDiv[[GASB]:[GASB]],_xlfn.AGGREGATE(15,3,(TableDiv[[Agency]:[Agency]]=$E288)/(TableDiv[[Agency]:[Agency]]=$E288)*(ROW(TableDiv[Agency])-ROW(TableDiv[[#Headers],[Agency]])),COLUMNS($F$7:W$7))))</f>
        <v>0</v>
      </c>
      <c r="X288" s="2223" cm="1">
        <f t="array" ref="X288">IF($D288&lt;COLUMNS($F$7:X$7),"",INDEX(TableDiv[[GASB]:[GASB]],_xlfn.AGGREGATE(15,3,(TableDiv[[Agency]:[Agency]]=$E288)/(TableDiv[[Agency]:[Agency]]=$E288)*(ROW(TableDiv[Agency])-ROW(TableDiv[[#Headers],[Agency]])),COLUMNS($F$7:X$7))))</f>
        <v>0</v>
      </c>
      <c r="Y288" s="2223" cm="1">
        <f t="array" ref="Y288">IF($D288&lt;COLUMNS($F$7:Y$7),"",INDEX(TableDiv[[GASB]:[GASB]],_xlfn.AGGREGATE(15,3,(TableDiv[[Agency]:[Agency]]=$E288)/(TableDiv[[Agency]:[Agency]]=$E288)*(ROW(TableDiv[Agency])-ROW(TableDiv[[#Headers],[Agency]])),COLUMNS($F$7:Y$7))))</f>
        <v>0</v>
      </c>
      <c r="Z288" s="2223" cm="1">
        <f t="array" ref="Z288">IF($D288&lt;COLUMNS($F$7:Z$7),"",INDEX(TableDiv[[GASB]:[GASB]],_xlfn.AGGREGATE(15,3,(TableDiv[[Agency]:[Agency]]=$E288)/(TableDiv[[Agency]:[Agency]]=$E288)*(ROW(TableDiv[Agency])-ROW(TableDiv[[#Headers],[Agency]])),COLUMNS($F$7:Z$7))))</f>
        <v>0</v>
      </c>
      <c r="AA288" s="2223" cm="1">
        <f t="array" ref="AA288">IF($D288&lt;COLUMNS($F$7:AA$7),"",INDEX(TableDiv[[GASB]:[GASB]],_xlfn.AGGREGATE(15,3,(TableDiv[[Agency]:[Agency]]=$E288)/(TableDiv[[Agency]:[Agency]]=$E288)*(ROW(TableDiv[Agency])-ROW(TableDiv[[#Headers],[Agency]])),COLUMNS($F$7:AA$7))))</f>
        <v>0</v>
      </c>
      <c r="AB288" s="2223" cm="1">
        <f t="array" ref="AB288">IF($D288&lt;COLUMNS($F$7:AB$7),"",INDEX(TableDiv[[GASB]:[GASB]],_xlfn.AGGREGATE(15,3,(TableDiv[[Agency]:[Agency]]=$E288)/(TableDiv[[Agency]:[Agency]]=$E288)*(ROW(TableDiv[Agency])-ROW(TableDiv[[#Headers],[Agency]])),COLUMNS($F$7:AB$7))))</f>
        <v>0</v>
      </c>
      <c r="AC288" s="2223" cm="1">
        <f t="array" ref="AC288">IF($D288&lt;COLUMNS($F$7:AC$7),"",INDEX(TableDiv[[GASB]:[GASB]],_xlfn.AGGREGATE(15,3,(TableDiv[[Agency]:[Agency]]=$E288)/(TableDiv[[Agency]:[Agency]]=$E288)*(ROW(TableDiv[Agency])-ROW(TableDiv[[#Headers],[Agency]])),COLUMNS($F$7:AC$7))))</f>
        <v>0</v>
      </c>
      <c r="AD288" s="2223" cm="1">
        <f t="array" ref="AD288">IF($D288&lt;COLUMNS($F$7:AD$7),"",INDEX(TableDiv[[GASB]:[GASB]],_xlfn.AGGREGATE(15,3,(TableDiv[[Agency]:[Agency]]=$E288)/(TableDiv[[Agency]:[Agency]]=$E288)*(ROW(TableDiv[Agency])-ROW(TableDiv[[#Headers],[Agency]])),COLUMNS($F$7:AD$7))))</f>
        <v>0</v>
      </c>
      <c r="AE288" s="2223" cm="1">
        <f t="array" ref="AE288">IF($D288&lt;COLUMNS($F$7:AE$7),"",INDEX(TableDiv[[GASB]:[GASB]],_xlfn.AGGREGATE(15,3,(TableDiv[[Agency]:[Agency]]=$E288)/(TableDiv[[Agency]:[Agency]]=$E288)*(ROW(TableDiv[Agency])-ROW(TableDiv[[#Headers],[Agency]])),COLUMNS($F$7:AE$7))))</f>
        <v>0</v>
      </c>
      <c r="AF288" s="2223" cm="1">
        <f t="array" ref="AF288">IF($D288&lt;COLUMNS($F$7:AF$7),"",INDEX(TableDiv[[GASB]:[GASB]],_xlfn.AGGREGATE(15,3,(TableDiv[[Agency]:[Agency]]=$E288)/(TableDiv[[Agency]:[Agency]]=$E288)*(ROW(TableDiv[Agency])-ROW(TableDiv[[#Headers],[Agency]])),COLUMNS($F$7:AF$7))))</f>
        <v>0</v>
      </c>
      <c r="AG288" s="2223" cm="1">
        <f t="array" ref="AG288">IF($D288&lt;COLUMNS($F$7:AG$7),"",INDEX(TableDiv[[GASB]:[GASB]],_xlfn.AGGREGATE(15,3,(TableDiv[[Agency]:[Agency]]=$E288)/(TableDiv[[Agency]:[Agency]]=$E288)*(ROW(TableDiv[Agency])-ROW(TableDiv[[#Headers],[Agency]])),COLUMNS($F$7:AG$7))))</f>
        <v>0</v>
      </c>
      <c r="AH288" s="2223" cm="1">
        <f t="array" ref="AH288">IF($D288&lt;COLUMNS($F$7:AH$7),"",INDEX(TableDiv[[GASB]:[GASB]],_xlfn.AGGREGATE(15,3,(TableDiv[[Agency]:[Agency]]=$E288)/(TableDiv[[Agency]:[Agency]]=$E288)*(ROW(TableDiv[Agency])-ROW(TableDiv[[#Headers],[Agency]])),COLUMNS($F$7:AH$7))))</f>
        <v>0</v>
      </c>
      <c r="AI288" s="2223" cm="1">
        <f t="array" ref="AI288">IF($D288&lt;COLUMNS($F$7:AI$7),"",INDEX(TableDiv[[GASB]:[GASB]],_xlfn.AGGREGATE(15,3,(TableDiv[[Agency]:[Agency]]=$E288)/(TableDiv[[Agency]:[Agency]]=$E288)*(ROW(TableDiv[Agency])-ROW(TableDiv[[#Headers],[Agency]])),COLUMNS($F$7:AI$7))))</f>
        <v>0</v>
      </c>
      <c r="AJ288" s="2223" cm="1">
        <f t="array" ref="AJ288">IF($D288&lt;COLUMNS($F$7:AJ$7),"",INDEX(TableDiv[[GASB]:[GASB]],_xlfn.AGGREGATE(15,3,(TableDiv[[Agency]:[Agency]]=$E288)/(TableDiv[[Agency]:[Agency]]=$E288)*(ROW(TableDiv[Agency])-ROW(TableDiv[[#Headers],[Agency]])),COLUMNS($F$7:AJ$7))))</f>
        <v>0</v>
      </c>
      <c r="AK288" s="2223" t="str" cm="1">
        <f t="array" ref="AK288">IF($D288&lt;COLUMNS($F$7:AK$7),"",INDEX(TableDiv[[GASB]:[GASB]],_xlfn.AGGREGATE(15,3,(TableDiv[[Agency]:[Agency]]=$E288)/(TableDiv[[Agency]:[Agency]]=$E288)*(ROW(TableDiv[Agency])-ROW(TableDiv[[#Headers],[Agency]])),COLUMNS($F$7:AK$7))))</f>
        <v/>
      </c>
      <c r="AL288" s="2223" t="str" cm="1">
        <f t="array" ref="AL288">IF($D288&lt;COLUMNS($F$7:AL$7),"",INDEX(TableDiv[[GASB]:[GASB]],_xlfn.AGGREGATE(15,3,(TableDiv[[Agency]:[Agency]]=$E288)/(TableDiv[[Agency]:[Agency]]=$E288)*(ROW(TableDiv[Agency])-ROW(TableDiv[[#Headers],[Agency]])),COLUMNS($F$7:AL$7))))</f>
        <v/>
      </c>
      <c r="AM288" s="2223" t="str" cm="1">
        <f t="array" ref="AM288">IF($D288&lt;COLUMNS($F$7:AM$7),"",INDEX(TableDiv[[GASB]:[GASB]],_xlfn.AGGREGATE(15,3,(TableDiv[[Agency]:[Agency]]=$E288)/(TableDiv[[Agency]:[Agency]]=$E288)*(ROW(TableDiv[Agency])-ROW(TableDiv[[#Headers],[Agency]])),COLUMNS($F$7:AM$7))))</f>
        <v/>
      </c>
      <c r="AN288" s="2223"/>
      <c r="AO288" s="2223"/>
      <c r="AP288" s="2223"/>
      <c r="AQ288" s="2223"/>
      <c r="AR288" s="2223"/>
      <c r="AS288" s="2223"/>
    </row>
    <row r="289" spans="1:45" ht="15" x14ac:dyDescent="0.25">
      <c r="A289" s="2219" t="s">
        <v>5119</v>
      </c>
      <c r="B289" s="2219" t="s">
        <v>6357</v>
      </c>
      <c r="C289" s="2223"/>
      <c r="D289" s="2223">
        <f>COUNTIF(TableDiv[Agency],E289)</f>
        <v>31</v>
      </c>
      <c r="E289" s="2230" t="str" cm="1">
        <f t="array" ref="E289">IFERROR(INDEX(TableDiv[Agency],MATCH(0,INDEX(COUNTIF($E$7:E288,TableDiv[Agency]),),0)),"")</f>
        <v/>
      </c>
      <c r="F289" s="2223" cm="1">
        <f t="array" ref="F289">IF($D289&lt;COLUMNS($F$7:F$7),"",INDEX(TableDiv[[GASB]:[GASB]],_xlfn.AGGREGATE(15,3,(TableDiv[[Agency]:[Agency]]=$E289)/(TableDiv[[Agency]:[Agency]]=$E289)*(ROW(TableDiv[Agency])-ROW(TableDiv[[#Headers],[Agency]])),COLUMNS($F$7:F$7))))</f>
        <v>0</v>
      </c>
      <c r="G289" s="2223" cm="1">
        <f t="array" ref="G289">IF($D289&lt;COLUMNS($F$7:G$7),"",INDEX(TableDiv[[GASB]:[GASB]],_xlfn.AGGREGATE(15,3,(TableDiv[[Agency]:[Agency]]=$E289)/(TableDiv[[Agency]:[Agency]]=$E289)*(ROW(TableDiv[Agency])-ROW(TableDiv[[#Headers],[Agency]])),COLUMNS($F$7:G$7))))</f>
        <v>0</v>
      </c>
      <c r="H289" s="2223" cm="1">
        <f t="array" ref="H289">IF($D289&lt;COLUMNS($F$7:H$7),"",INDEX(TableDiv[[GASB]:[GASB]],_xlfn.AGGREGATE(15,3,(TableDiv[[Agency]:[Agency]]=$E289)/(TableDiv[[Agency]:[Agency]]=$E289)*(ROW(TableDiv[Agency])-ROW(TableDiv[[#Headers],[Agency]])),COLUMNS($F$7:H$7))))</f>
        <v>0</v>
      </c>
      <c r="I289" s="2223" cm="1">
        <f t="array" ref="I289">IF($D289&lt;COLUMNS($F$7:I$7),"",INDEX(TableDiv[[GASB]:[GASB]],_xlfn.AGGREGATE(15,3,(TableDiv[[Agency]:[Agency]]=$E289)/(TableDiv[[Agency]:[Agency]]=$E289)*(ROW(TableDiv[Agency])-ROW(TableDiv[[#Headers],[Agency]])),COLUMNS($F$7:I$7))))</f>
        <v>0</v>
      </c>
      <c r="J289" s="2223" cm="1">
        <f t="array" ref="J289">IF($D289&lt;COLUMNS($F$7:J$7),"",INDEX(TableDiv[[GASB]:[GASB]],_xlfn.AGGREGATE(15,3,(TableDiv[[Agency]:[Agency]]=$E289)/(TableDiv[[Agency]:[Agency]]=$E289)*(ROW(TableDiv[Agency])-ROW(TableDiv[[#Headers],[Agency]])),COLUMNS($F$7:J$7))))</f>
        <v>0</v>
      </c>
      <c r="K289" s="2223" cm="1">
        <f t="array" ref="K289">IF($D289&lt;COLUMNS($F$7:K$7),"",INDEX(TableDiv[[GASB]:[GASB]],_xlfn.AGGREGATE(15,3,(TableDiv[[Agency]:[Agency]]=$E289)/(TableDiv[[Agency]:[Agency]]=$E289)*(ROW(TableDiv[Agency])-ROW(TableDiv[[#Headers],[Agency]])),COLUMNS($F$7:K$7))))</f>
        <v>0</v>
      </c>
      <c r="L289" s="2223" cm="1">
        <f t="array" ref="L289">IF($D289&lt;COLUMNS($F$7:L$7),"",INDEX(TableDiv[[GASB]:[GASB]],_xlfn.AGGREGATE(15,3,(TableDiv[[Agency]:[Agency]]=$E289)/(TableDiv[[Agency]:[Agency]]=$E289)*(ROW(TableDiv[Agency])-ROW(TableDiv[[#Headers],[Agency]])),COLUMNS($F$7:L$7))))</f>
        <v>0</v>
      </c>
      <c r="M289" s="2223" cm="1">
        <f t="array" ref="M289">IF($D289&lt;COLUMNS($F$7:M$7),"",INDEX(TableDiv[[GASB]:[GASB]],_xlfn.AGGREGATE(15,3,(TableDiv[[Agency]:[Agency]]=$E289)/(TableDiv[[Agency]:[Agency]]=$E289)*(ROW(TableDiv[Agency])-ROW(TableDiv[[#Headers],[Agency]])),COLUMNS($F$7:M$7))))</f>
        <v>0</v>
      </c>
      <c r="N289" s="2223" cm="1">
        <f t="array" ref="N289">IF($D289&lt;COLUMNS($F$7:N$7),"",INDEX(TableDiv[[GASB]:[GASB]],_xlfn.AGGREGATE(15,3,(TableDiv[[Agency]:[Agency]]=$E289)/(TableDiv[[Agency]:[Agency]]=$E289)*(ROW(TableDiv[Agency])-ROW(TableDiv[[#Headers],[Agency]])),COLUMNS($F$7:N$7))))</f>
        <v>0</v>
      </c>
      <c r="O289" s="2223" cm="1">
        <f t="array" ref="O289">IF($D289&lt;COLUMNS($F$7:O$7),"",INDEX(TableDiv[[GASB]:[GASB]],_xlfn.AGGREGATE(15,3,(TableDiv[[Agency]:[Agency]]=$E289)/(TableDiv[[Agency]:[Agency]]=$E289)*(ROW(TableDiv[Agency])-ROW(TableDiv[[#Headers],[Agency]])),COLUMNS($F$7:O$7))))</f>
        <v>0</v>
      </c>
      <c r="P289" s="2223" cm="1">
        <f t="array" ref="P289">IF($D289&lt;COLUMNS($F$7:P$7),"",INDEX(TableDiv[[GASB]:[GASB]],_xlfn.AGGREGATE(15,3,(TableDiv[[Agency]:[Agency]]=$E289)/(TableDiv[[Agency]:[Agency]]=$E289)*(ROW(TableDiv[Agency])-ROW(TableDiv[[#Headers],[Agency]])),COLUMNS($F$7:P$7))))</f>
        <v>0</v>
      </c>
      <c r="Q289" s="2223" cm="1">
        <f t="array" ref="Q289">IF($D289&lt;COLUMNS($F$7:Q$7),"",INDEX(TableDiv[[GASB]:[GASB]],_xlfn.AGGREGATE(15,3,(TableDiv[[Agency]:[Agency]]=$E289)/(TableDiv[[Agency]:[Agency]]=$E289)*(ROW(TableDiv[Agency])-ROW(TableDiv[[#Headers],[Agency]])),COLUMNS($F$7:Q$7))))</f>
        <v>0</v>
      </c>
      <c r="R289" s="2223" cm="1">
        <f t="array" ref="R289">IF($D289&lt;COLUMNS($F$7:R$7),"",INDEX(TableDiv[[GASB]:[GASB]],_xlfn.AGGREGATE(15,3,(TableDiv[[Agency]:[Agency]]=$E289)/(TableDiv[[Agency]:[Agency]]=$E289)*(ROW(TableDiv[Agency])-ROW(TableDiv[[#Headers],[Agency]])),COLUMNS($F$7:R$7))))</f>
        <v>0</v>
      </c>
      <c r="S289" s="2223" cm="1">
        <f t="array" ref="S289">IF($D289&lt;COLUMNS($F$7:S$7),"",INDEX(TableDiv[[GASB]:[GASB]],_xlfn.AGGREGATE(15,3,(TableDiv[[Agency]:[Agency]]=$E289)/(TableDiv[[Agency]:[Agency]]=$E289)*(ROW(TableDiv[Agency])-ROW(TableDiv[[#Headers],[Agency]])),COLUMNS($F$7:S$7))))</f>
        <v>0</v>
      </c>
      <c r="T289" s="2223" cm="1">
        <f t="array" ref="T289">IF($D289&lt;COLUMNS($F$7:T$7),"",INDEX(TableDiv[[GASB]:[GASB]],_xlfn.AGGREGATE(15,3,(TableDiv[[Agency]:[Agency]]=$E289)/(TableDiv[[Agency]:[Agency]]=$E289)*(ROW(TableDiv[Agency])-ROW(TableDiv[[#Headers],[Agency]])),COLUMNS($F$7:T$7))))</f>
        <v>0</v>
      </c>
      <c r="U289" s="2223" cm="1">
        <f t="array" ref="U289">IF($D289&lt;COLUMNS($F$7:U$7),"",INDEX(TableDiv[[GASB]:[GASB]],_xlfn.AGGREGATE(15,3,(TableDiv[[Agency]:[Agency]]=$E289)/(TableDiv[[Agency]:[Agency]]=$E289)*(ROW(TableDiv[Agency])-ROW(TableDiv[[#Headers],[Agency]])),COLUMNS($F$7:U$7))))</f>
        <v>0</v>
      </c>
      <c r="V289" s="2223" cm="1">
        <f t="array" ref="V289">IF($D289&lt;COLUMNS($F$7:V$7),"",INDEX(TableDiv[[GASB]:[GASB]],_xlfn.AGGREGATE(15,3,(TableDiv[[Agency]:[Agency]]=$E289)/(TableDiv[[Agency]:[Agency]]=$E289)*(ROW(TableDiv[Agency])-ROW(TableDiv[[#Headers],[Agency]])),COLUMNS($F$7:V$7))))</f>
        <v>0</v>
      </c>
      <c r="W289" s="2223" cm="1">
        <f t="array" ref="W289">IF($D289&lt;COLUMNS($F$7:W$7),"",INDEX(TableDiv[[GASB]:[GASB]],_xlfn.AGGREGATE(15,3,(TableDiv[[Agency]:[Agency]]=$E289)/(TableDiv[[Agency]:[Agency]]=$E289)*(ROW(TableDiv[Agency])-ROW(TableDiv[[#Headers],[Agency]])),COLUMNS($F$7:W$7))))</f>
        <v>0</v>
      </c>
      <c r="X289" s="2223" cm="1">
        <f t="array" ref="X289">IF($D289&lt;COLUMNS($F$7:X$7),"",INDEX(TableDiv[[GASB]:[GASB]],_xlfn.AGGREGATE(15,3,(TableDiv[[Agency]:[Agency]]=$E289)/(TableDiv[[Agency]:[Agency]]=$E289)*(ROW(TableDiv[Agency])-ROW(TableDiv[[#Headers],[Agency]])),COLUMNS($F$7:X$7))))</f>
        <v>0</v>
      </c>
      <c r="Y289" s="2223" cm="1">
        <f t="array" ref="Y289">IF($D289&lt;COLUMNS($F$7:Y$7),"",INDEX(TableDiv[[GASB]:[GASB]],_xlfn.AGGREGATE(15,3,(TableDiv[[Agency]:[Agency]]=$E289)/(TableDiv[[Agency]:[Agency]]=$E289)*(ROW(TableDiv[Agency])-ROW(TableDiv[[#Headers],[Agency]])),COLUMNS($F$7:Y$7))))</f>
        <v>0</v>
      </c>
      <c r="Z289" s="2223" cm="1">
        <f t="array" ref="Z289">IF($D289&lt;COLUMNS($F$7:Z$7),"",INDEX(TableDiv[[GASB]:[GASB]],_xlfn.AGGREGATE(15,3,(TableDiv[[Agency]:[Agency]]=$E289)/(TableDiv[[Agency]:[Agency]]=$E289)*(ROW(TableDiv[Agency])-ROW(TableDiv[[#Headers],[Agency]])),COLUMNS($F$7:Z$7))))</f>
        <v>0</v>
      </c>
      <c r="AA289" s="2223" cm="1">
        <f t="array" ref="AA289">IF($D289&lt;COLUMNS($F$7:AA$7),"",INDEX(TableDiv[[GASB]:[GASB]],_xlfn.AGGREGATE(15,3,(TableDiv[[Agency]:[Agency]]=$E289)/(TableDiv[[Agency]:[Agency]]=$E289)*(ROW(TableDiv[Agency])-ROW(TableDiv[[#Headers],[Agency]])),COLUMNS($F$7:AA$7))))</f>
        <v>0</v>
      </c>
      <c r="AB289" s="2223" cm="1">
        <f t="array" ref="AB289">IF($D289&lt;COLUMNS($F$7:AB$7),"",INDEX(TableDiv[[GASB]:[GASB]],_xlfn.AGGREGATE(15,3,(TableDiv[[Agency]:[Agency]]=$E289)/(TableDiv[[Agency]:[Agency]]=$E289)*(ROW(TableDiv[Agency])-ROW(TableDiv[[#Headers],[Agency]])),COLUMNS($F$7:AB$7))))</f>
        <v>0</v>
      </c>
      <c r="AC289" s="2223" cm="1">
        <f t="array" ref="AC289">IF($D289&lt;COLUMNS($F$7:AC$7),"",INDEX(TableDiv[[GASB]:[GASB]],_xlfn.AGGREGATE(15,3,(TableDiv[[Agency]:[Agency]]=$E289)/(TableDiv[[Agency]:[Agency]]=$E289)*(ROW(TableDiv[Agency])-ROW(TableDiv[[#Headers],[Agency]])),COLUMNS($F$7:AC$7))))</f>
        <v>0</v>
      </c>
      <c r="AD289" s="2223" cm="1">
        <f t="array" ref="AD289">IF($D289&lt;COLUMNS($F$7:AD$7),"",INDEX(TableDiv[[GASB]:[GASB]],_xlfn.AGGREGATE(15,3,(TableDiv[[Agency]:[Agency]]=$E289)/(TableDiv[[Agency]:[Agency]]=$E289)*(ROW(TableDiv[Agency])-ROW(TableDiv[[#Headers],[Agency]])),COLUMNS($F$7:AD$7))))</f>
        <v>0</v>
      </c>
      <c r="AE289" s="2223" cm="1">
        <f t="array" ref="AE289">IF($D289&lt;COLUMNS($F$7:AE$7),"",INDEX(TableDiv[[GASB]:[GASB]],_xlfn.AGGREGATE(15,3,(TableDiv[[Agency]:[Agency]]=$E289)/(TableDiv[[Agency]:[Agency]]=$E289)*(ROW(TableDiv[Agency])-ROW(TableDiv[[#Headers],[Agency]])),COLUMNS($F$7:AE$7))))</f>
        <v>0</v>
      </c>
      <c r="AF289" s="2223" cm="1">
        <f t="array" ref="AF289">IF($D289&lt;COLUMNS($F$7:AF$7),"",INDEX(TableDiv[[GASB]:[GASB]],_xlfn.AGGREGATE(15,3,(TableDiv[[Agency]:[Agency]]=$E289)/(TableDiv[[Agency]:[Agency]]=$E289)*(ROW(TableDiv[Agency])-ROW(TableDiv[[#Headers],[Agency]])),COLUMNS($F$7:AF$7))))</f>
        <v>0</v>
      </c>
      <c r="AG289" s="2223" cm="1">
        <f t="array" ref="AG289">IF($D289&lt;COLUMNS($F$7:AG$7),"",INDEX(TableDiv[[GASB]:[GASB]],_xlfn.AGGREGATE(15,3,(TableDiv[[Agency]:[Agency]]=$E289)/(TableDiv[[Agency]:[Agency]]=$E289)*(ROW(TableDiv[Agency])-ROW(TableDiv[[#Headers],[Agency]])),COLUMNS($F$7:AG$7))))</f>
        <v>0</v>
      </c>
      <c r="AH289" s="2223" cm="1">
        <f t="array" ref="AH289">IF($D289&lt;COLUMNS($F$7:AH$7),"",INDEX(TableDiv[[GASB]:[GASB]],_xlfn.AGGREGATE(15,3,(TableDiv[[Agency]:[Agency]]=$E289)/(TableDiv[[Agency]:[Agency]]=$E289)*(ROW(TableDiv[Agency])-ROW(TableDiv[[#Headers],[Agency]])),COLUMNS($F$7:AH$7))))</f>
        <v>0</v>
      </c>
      <c r="AI289" s="2223" cm="1">
        <f t="array" ref="AI289">IF($D289&lt;COLUMNS($F$7:AI$7),"",INDEX(TableDiv[[GASB]:[GASB]],_xlfn.AGGREGATE(15,3,(TableDiv[[Agency]:[Agency]]=$E289)/(TableDiv[[Agency]:[Agency]]=$E289)*(ROW(TableDiv[Agency])-ROW(TableDiv[[#Headers],[Agency]])),COLUMNS($F$7:AI$7))))</f>
        <v>0</v>
      </c>
      <c r="AJ289" s="2223" cm="1">
        <f t="array" ref="AJ289">IF($D289&lt;COLUMNS($F$7:AJ$7),"",INDEX(TableDiv[[GASB]:[GASB]],_xlfn.AGGREGATE(15,3,(TableDiv[[Agency]:[Agency]]=$E289)/(TableDiv[[Agency]:[Agency]]=$E289)*(ROW(TableDiv[Agency])-ROW(TableDiv[[#Headers],[Agency]])),COLUMNS($F$7:AJ$7))))</f>
        <v>0</v>
      </c>
      <c r="AK289" s="2223" t="str" cm="1">
        <f t="array" ref="AK289">IF($D289&lt;COLUMNS($F$7:AK$7),"",INDEX(TableDiv[[GASB]:[GASB]],_xlfn.AGGREGATE(15,3,(TableDiv[[Agency]:[Agency]]=$E289)/(TableDiv[[Agency]:[Agency]]=$E289)*(ROW(TableDiv[Agency])-ROW(TableDiv[[#Headers],[Agency]])),COLUMNS($F$7:AK$7))))</f>
        <v/>
      </c>
      <c r="AL289" s="2223" t="str" cm="1">
        <f t="array" ref="AL289">IF($D289&lt;COLUMNS($F$7:AL$7),"",INDEX(TableDiv[[GASB]:[GASB]],_xlfn.AGGREGATE(15,3,(TableDiv[[Agency]:[Agency]]=$E289)/(TableDiv[[Agency]:[Agency]]=$E289)*(ROW(TableDiv[Agency])-ROW(TableDiv[[#Headers],[Agency]])),COLUMNS($F$7:AL$7))))</f>
        <v/>
      </c>
      <c r="AM289" s="2223" t="str" cm="1">
        <f t="array" ref="AM289">IF($D289&lt;COLUMNS($F$7:AM$7),"",INDEX(TableDiv[[GASB]:[GASB]],_xlfn.AGGREGATE(15,3,(TableDiv[[Agency]:[Agency]]=$E289)/(TableDiv[[Agency]:[Agency]]=$E289)*(ROW(TableDiv[Agency])-ROW(TableDiv[[#Headers],[Agency]])),COLUMNS($F$7:AM$7))))</f>
        <v/>
      </c>
      <c r="AN289" s="2223"/>
      <c r="AO289" s="2223"/>
      <c r="AP289" s="2223"/>
      <c r="AQ289" s="2223"/>
      <c r="AR289" s="2223"/>
      <c r="AS289" s="2223"/>
    </row>
    <row r="290" spans="1:45" ht="15" x14ac:dyDescent="0.25">
      <c r="A290" s="2219" t="s">
        <v>5119</v>
      </c>
      <c r="B290" s="2219" t="s">
        <v>1878</v>
      </c>
      <c r="C290" s="2223"/>
      <c r="D290" s="2223">
        <f>COUNTIF(TableDiv[Agency],E290)</f>
        <v>31</v>
      </c>
      <c r="E290" s="2230" t="str" cm="1">
        <f t="array" ref="E290">IFERROR(INDEX(TableDiv[Agency],MATCH(0,INDEX(COUNTIF($E$7:E289,TableDiv[Agency]),),0)),"")</f>
        <v/>
      </c>
      <c r="F290" s="2223" cm="1">
        <f t="array" ref="F290">IF($D290&lt;COLUMNS($F$7:F$7),"",INDEX(TableDiv[[GASB]:[GASB]],_xlfn.AGGREGATE(15,3,(TableDiv[[Agency]:[Agency]]=$E290)/(TableDiv[[Agency]:[Agency]]=$E290)*(ROW(TableDiv[Agency])-ROW(TableDiv[[#Headers],[Agency]])),COLUMNS($F$7:F$7))))</f>
        <v>0</v>
      </c>
      <c r="G290" s="2223" cm="1">
        <f t="array" ref="G290">IF($D290&lt;COLUMNS($F$7:G$7),"",INDEX(TableDiv[[GASB]:[GASB]],_xlfn.AGGREGATE(15,3,(TableDiv[[Agency]:[Agency]]=$E290)/(TableDiv[[Agency]:[Agency]]=$E290)*(ROW(TableDiv[Agency])-ROW(TableDiv[[#Headers],[Agency]])),COLUMNS($F$7:G$7))))</f>
        <v>0</v>
      </c>
      <c r="H290" s="2223" cm="1">
        <f t="array" ref="H290">IF($D290&lt;COLUMNS($F$7:H$7),"",INDEX(TableDiv[[GASB]:[GASB]],_xlfn.AGGREGATE(15,3,(TableDiv[[Agency]:[Agency]]=$E290)/(TableDiv[[Agency]:[Agency]]=$E290)*(ROW(TableDiv[Agency])-ROW(TableDiv[[#Headers],[Agency]])),COLUMNS($F$7:H$7))))</f>
        <v>0</v>
      </c>
      <c r="I290" s="2223" cm="1">
        <f t="array" ref="I290">IF($D290&lt;COLUMNS($F$7:I$7),"",INDEX(TableDiv[[GASB]:[GASB]],_xlfn.AGGREGATE(15,3,(TableDiv[[Agency]:[Agency]]=$E290)/(TableDiv[[Agency]:[Agency]]=$E290)*(ROW(TableDiv[Agency])-ROW(TableDiv[[#Headers],[Agency]])),COLUMNS($F$7:I$7))))</f>
        <v>0</v>
      </c>
      <c r="J290" s="2223" cm="1">
        <f t="array" ref="J290">IF($D290&lt;COLUMNS($F$7:J$7),"",INDEX(TableDiv[[GASB]:[GASB]],_xlfn.AGGREGATE(15,3,(TableDiv[[Agency]:[Agency]]=$E290)/(TableDiv[[Agency]:[Agency]]=$E290)*(ROW(TableDiv[Agency])-ROW(TableDiv[[#Headers],[Agency]])),COLUMNS($F$7:J$7))))</f>
        <v>0</v>
      </c>
      <c r="K290" s="2223" cm="1">
        <f t="array" ref="K290">IF($D290&lt;COLUMNS($F$7:K$7),"",INDEX(TableDiv[[GASB]:[GASB]],_xlfn.AGGREGATE(15,3,(TableDiv[[Agency]:[Agency]]=$E290)/(TableDiv[[Agency]:[Agency]]=$E290)*(ROW(TableDiv[Agency])-ROW(TableDiv[[#Headers],[Agency]])),COLUMNS($F$7:K$7))))</f>
        <v>0</v>
      </c>
      <c r="L290" s="2223" cm="1">
        <f t="array" ref="L290">IF($D290&lt;COLUMNS($F$7:L$7),"",INDEX(TableDiv[[GASB]:[GASB]],_xlfn.AGGREGATE(15,3,(TableDiv[[Agency]:[Agency]]=$E290)/(TableDiv[[Agency]:[Agency]]=$E290)*(ROW(TableDiv[Agency])-ROW(TableDiv[[#Headers],[Agency]])),COLUMNS($F$7:L$7))))</f>
        <v>0</v>
      </c>
      <c r="M290" s="2223" cm="1">
        <f t="array" ref="M290">IF($D290&lt;COLUMNS($F$7:M$7),"",INDEX(TableDiv[[GASB]:[GASB]],_xlfn.AGGREGATE(15,3,(TableDiv[[Agency]:[Agency]]=$E290)/(TableDiv[[Agency]:[Agency]]=$E290)*(ROW(TableDiv[Agency])-ROW(TableDiv[[#Headers],[Agency]])),COLUMNS($F$7:M$7))))</f>
        <v>0</v>
      </c>
      <c r="N290" s="2223" cm="1">
        <f t="array" ref="N290">IF($D290&lt;COLUMNS($F$7:N$7),"",INDEX(TableDiv[[GASB]:[GASB]],_xlfn.AGGREGATE(15,3,(TableDiv[[Agency]:[Agency]]=$E290)/(TableDiv[[Agency]:[Agency]]=$E290)*(ROW(TableDiv[Agency])-ROW(TableDiv[[#Headers],[Agency]])),COLUMNS($F$7:N$7))))</f>
        <v>0</v>
      </c>
      <c r="O290" s="2223" cm="1">
        <f t="array" ref="O290">IF($D290&lt;COLUMNS($F$7:O$7),"",INDEX(TableDiv[[GASB]:[GASB]],_xlfn.AGGREGATE(15,3,(TableDiv[[Agency]:[Agency]]=$E290)/(TableDiv[[Agency]:[Agency]]=$E290)*(ROW(TableDiv[Agency])-ROW(TableDiv[[#Headers],[Agency]])),COLUMNS($F$7:O$7))))</f>
        <v>0</v>
      </c>
      <c r="P290" s="2223" cm="1">
        <f t="array" ref="P290">IF($D290&lt;COLUMNS($F$7:P$7),"",INDEX(TableDiv[[GASB]:[GASB]],_xlfn.AGGREGATE(15,3,(TableDiv[[Agency]:[Agency]]=$E290)/(TableDiv[[Agency]:[Agency]]=$E290)*(ROW(TableDiv[Agency])-ROW(TableDiv[[#Headers],[Agency]])),COLUMNS($F$7:P$7))))</f>
        <v>0</v>
      </c>
      <c r="Q290" s="2223" cm="1">
        <f t="array" ref="Q290">IF($D290&lt;COLUMNS($F$7:Q$7),"",INDEX(TableDiv[[GASB]:[GASB]],_xlfn.AGGREGATE(15,3,(TableDiv[[Agency]:[Agency]]=$E290)/(TableDiv[[Agency]:[Agency]]=$E290)*(ROW(TableDiv[Agency])-ROW(TableDiv[[#Headers],[Agency]])),COLUMNS($F$7:Q$7))))</f>
        <v>0</v>
      </c>
      <c r="R290" s="2223" cm="1">
        <f t="array" ref="R290">IF($D290&lt;COLUMNS($F$7:R$7),"",INDEX(TableDiv[[GASB]:[GASB]],_xlfn.AGGREGATE(15,3,(TableDiv[[Agency]:[Agency]]=$E290)/(TableDiv[[Agency]:[Agency]]=$E290)*(ROW(TableDiv[Agency])-ROW(TableDiv[[#Headers],[Agency]])),COLUMNS($F$7:R$7))))</f>
        <v>0</v>
      </c>
      <c r="S290" s="2223" cm="1">
        <f t="array" ref="S290">IF($D290&lt;COLUMNS($F$7:S$7),"",INDEX(TableDiv[[GASB]:[GASB]],_xlfn.AGGREGATE(15,3,(TableDiv[[Agency]:[Agency]]=$E290)/(TableDiv[[Agency]:[Agency]]=$E290)*(ROW(TableDiv[Agency])-ROW(TableDiv[[#Headers],[Agency]])),COLUMNS($F$7:S$7))))</f>
        <v>0</v>
      </c>
      <c r="T290" s="2223" cm="1">
        <f t="array" ref="T290">IF($D290&lt;COLUMNS($F$7:T$7),"",INDEX(TableDiv[[GASB]:[GASB]],_xlfn.AGGREGATE(15,3,(TableDiv[[Agency]:[Agency]]=$E290)/(TableDiv[[Agency]:[Agency]]=$E290)*(ROW(TableDiv[Agency])-ROW(TableDiv[[#Headers],[Agency]])),COLUMNS($F$7:T$7))))</f>
        <v>0</v>
      </c>
      <c r="U290" s="2223" cm="1">
        <f t="array" ref="U290">IF($D290&lt;COLUMNS($F$7:U$7),"",INDEX(TableDiv[[GASB]:[GASB]],_xlfn.AGGREGATE(15,3,(TableDiv[[Agency]:[Agency]]=$E290)/(TableDiv[[Agency]:[Agency]]=$E290)*(ROW(TableDiv[Agency])-ROW(TableDiv[[#Headers],[Agency]])),COLUMNS($F$7:U$7))))</f>
        <v>0</v>
      </c>
      <c r="V290" s="2223" cm="1">
        <f t="array" ref="V290">IF($D290&lt;COLUMNS($F$7:V$7),"",INDEX(TableDiv[[GASB]:[GASB]],_xlfn.AGGREGATE(15,3,(TableDiv[[Agency]:[Agency]]=$E290)/(TableDiv[[Agency]:[Agency]]=$E290)*(ROW(TableDiv[Agency])-ROW(TableDiv[[#Headers],[Agency]])),COLUMNS($F$7:V$7))))</f>
        <v>0</v>
      </c>
      <c r="W290" s="2223" cm="1">
        <f t="array" ref="W290">IF($D290&lt;COLUMNS($F$7:W$7),"",INDEX(TableDiv[[GASB]:[GASB]],_xlfn.AGGREGATE(15,3,(TableDiv[[Agency]:[Agency]]=$E290)/(TableDiv[[Agency]:[Agency]]=$E290)*(ROW(TableDiv[Agency])-ROW(TableDiv[[#Headers],[Agency]])),COLUMNS($F$7:W$7))))</f>
        <v>0</v>
      </c>
      <c r="X290" s="2223" cm="1">
        <f t="array" ref="X290">IF($D290&lt;COLUMNS($F$7:X$7),"",INDEX(TableDiv[[GASB]:[GASB]],_xlfn.AGGREGATE(15,3,(TableDiv[[Agency]:[Agency]]=$E290)/(TableDiv[[Agency]:[Agency]]=$E290)*(ROW(TableDiv[Agency])-ROW(TableDiv[[#Headers],[Agency]])),COLUMNS($F$7:X$7))))</f>
        <v>0</v>
      </c>
      <c r="Y290" s="2223" cm="1">
        <f t="array" ref="Y290">IF($D290&lt;COLUMNS($F$7:Y$7),"",INDEX(TableDiv[[GASB]:[GASB]],_xlfn.AGGREGATE(15,3,(TableDiv[[Agency]:[Agency]]=$E290)/(TableDiv[[Agency]:[Agency]]=$E290)*(ROW(TableDiv[Agency])-ROW(TableDiv[[#Headers],[Agency]])),COLUMNS($F$7:Y$7))))</f>
        <v>0</v>
      </c>
      <c r="Z290" s="2223" cm="1">
        <f t="array" ref="Z290">IF($D290&lt;COLUMNS($F$7:Z$7),"",INDEX(TableDiv[[GASB]:[GASB]],_xlfn.AGGREGATE(15,3,(TableDiv[[Agency]:[Agency]]=$E290)/(TableDiv[[Agency]:[Agency]]=$E290)*(ROW(TableDiv[Agency])-ROW(TableDiv[[#Headers],[Agency]])),COLUMNS($F$7:Z$7))))</f>
        <v>0</v>
      </c>
      <c r="AA290" s="2223" cm="1">
        <f t="array" ref="AA290">IF($D290&lt;COLUMNS($F$7:AA$7),"",INDEX(TableDiv[[GASB]:[GASB]],_xlfn.AGGREGATE(15,3,(TableDiv[[Agency]:[Agency]]=$E290)/(TableDiv[[Agency]:[Agency]]=$E290)*(ROW(TableDiv[Agency])-ROW(TableDiv[[#Headers],[Agency]])),COLUMNS($F$7:AA$7))))</f>
        <v>0</v>
      </c>
      <c r="AB290" s="2223" cm="1">
        <f t="array" ref="AB290">IF($D290&lt;COLUMNS($F$7:AB$7),"",INDEX(TableDiv[[GASB]:[GASB]],_xlfn.AGGREGATE(15,3,(TableDiv[[Agency]:[Agency]]=$E290)/(TableDiv[[Agency]:[Agency]]=$E290)*(ROW(TableDiv[Agency])-ROW(TableDiv[[#Headers],[Agency]])),COLUMNS($F$7:AB$7))))</f>
        <v>0</v>
      </c>
      <c r="AC290" s="2223" cm="1">
        <f t="array" ref="AC290">IF($D290&lt;COLUMNS($F$7:AC$7),"",INDEX(TableDiv[[GASB]:[GASB]],_xlfn.AGGREGATE(15,3,(TableDiv[[Agency]:[Agency]]=$E290)/(TableDiv[[Agency]:[Agency]]=$E290)*(ROW(TableDiv[Agency])-ROW(TableDiv[[#Headers],[Agency]])),COLUMNS($F$7:AC$7))))</f>
        <v>0</v>
      </c>
      <c r="AD290" s="2223" cm="1">
        <f t="array" ref="AD290">IF($D290&lt;COLUMNS($F$7:AD$7),"",INDEX(TableDiv[[GASB]:[GASB]],_xlfn.AGGREGATE(15,3,(TableDiv[[Agency]:[Agency]]=$E290)/(TableDiv[[Agency]:[Agency]]=$E290)*(ROW(TableDiv[Agency])-ROW(TableDiv[[#Headers],[Agency]])),COLUMNS($F$7:AD$7))))</f>
        <v>0</v>
      </c>
      <c r="AE290" s="2223" cm="1">
        <f t="array" ref="AE290">IF($D290&lt;COLUMNS($F$7:AE$7),"",INDEX(TableDiv[[GASB]:[GASB]],_xlfn.AGGREGATE(15,3,(TableDiv[[Agency]:[Agency]]=$E290)/(TableDiv[[Agency]:[Agency]]=$E290)*(ROW(TableDiv[Agency])-ROW(TableDiv[[#Headers],[Agency]])),COLUMNS($F$7:AE$7))))</f>
        <v>0</v>
      </c>
      <c r="AF290" s="2223" cm="1">
        <f t="array" ref="AF290">IF($D290&lt;COLUMNS($F$7:AF$7),"",INDEX(TableDiv[[GASB]:[GASB]],_xlfn.AGGREGATE(15,3,(TableDiv[[Agency]:[Agency]]=$E290)/(TableDiv[[Agency]:[Agency]]=$E290)*(ROW(TableDiv[Agency])-ROW(TableDiv[[#Headers],[Agency]])),COLUMNS($F$7:AF$7))))</f>
        <v>0</v>
      </c>
      <c r="AG290" s="2223" cm="1">
        <f t="array" ref="AG290">IF($D290&lt;COLUMNS($F$7:AG$7),"",INDEX(TableDiv[[GASB]:[GASB]],_xlfn.AGGREGATE(15,3,(TableDiv[[Agency]:[Agency]]=$E290)/(TableDiv[[Agency]:[Agency]]=$E290)*(ROW(TableDiv[Agency])-ROW(TableDiv[[#Headers],[Agency]])),COLUMNS($F$7:AG$7))))</f>
        <v>0</v>
      </c>
      <c r="AH290" s="2223" cm="1">
        <f t="array" ref="AH290">IF($D290&lt;COLUMNS($F$7:AH$7),"",INDEX(TableDiv[[GASB]:[GASB]],_xlfn.AGGREGATE(15,3,(TableDiv[[Agency]:[Agency]]=$E290)/(TableDiv[[Agency]:[Agency]]=$E290)*(ROW(TableDiv[Agency])-ROW(TableDiv[[#Headers],[Agency]])),COLUMNS($F$7:AH$7))))</f>
        <v>0</v>
      </c>
      <c r="AI290" s="2223" cm="1">
        <f t="array" ref="AI290">IF($D290&lt;COLUMNS($F$7:AI$7),"",INDEX(TableDiv[[GASB]:[GASB]],_xlfn.AGGREGATE(15,3,(TableDiv[[Agency]:[Agency]]=$E290)/(TableDiv[[Agency]:[Agency]]=$E290)*(ROW(TableDiv[Agency])-ROW(TableDiv[[#Headers],[Agency]])),COLUMNS($F$7:AI$7))))</f>
        <v>0</v>
      </c>
      <c r="AJ290" s="2223" cm="1">
        <f t="array" ref="AJ290">IF($D290&lt;COLUMNS($F$7:AJ$7),"",INDEX(TableDiv[[GASB]:[GASB]],_xlfn.AGGREGATE(15,3,(TableDiv[[Agency]:[Agency]]=$E290)/(TableDiv[[Agency]:[Agency]]=$E290)*(ROW(TableDiv[Agency])-ROW(TableDiv[[#Headers],[Agency]])),COLUMNS($F$7:AJ$7))))</f>
        <v>0</v>
      </c>
      <c r="AK290" s="2223" t="str" cm="1">
        <f t="array" ref="AK290">IF($D290&lt;COLUMNS($F$7:AK$7),"",INDEX(TableDiv[[GASB]:[GASB]],_xlfn.AGGREGATE(15,3,(TableDiv[[Agency]:[Agency]]=$E290)/(TableDiv[[Agency]:[Agency]]=$E290)*(ROW(TableDiv[Agency])-ROW(TableDiv[[#Headers],[Agency]])),COLUMNS($F$7:AK$7))))</f>
        <v/>
      </c>
      <c r="AL290" s="2223" t="str" cm="1">
        <f t="array" ref="AL290">IF($D290&lt;COLUMNS($F$7:AL$7),"",INDEX(TableDiv[[GASB]:[GASB]],_xlfn.AGGREGATE(15,3,(TableDiv[[Agency]:[Agency]]=$E290)/(TableDiv[[Agency]:[Agency]]=$E290)*(ROW(TableDiv[Agency])-ROW(TableDiv[[#Headers],[Agency]])),COLUMNS($F$7:AL$7))))</f>
        <v/>
      </c>
      <c r="AM290" s="2223" t="str" cm="1">
        <f t="array" ref="AM290">IF($D290&lt;COLUMNS($F$7:AM$7),"",INDEX(TableDiv[[GASB]:[GASB]],_xlfn.AGGREGATE(15,3,(TableDiv[[Agency]:[Agency]]=$E290)/(TableDiv[[Agency]:[Agency]]=$E290)*(ROW(TableDiv[Agency])-ROW(TableDiv[[#Headers],[Agency]])),COLUMNS($F$7:AM$7))))</f>
        <v/>
      </c>
      <c r="AN290" s="2223"/>
      <c r="AO290" s="2223"/>
      <c r="AP290" s="2223"/>
      <c r="AQ290" s="2223"/>
      <c r="AR290" s="2223"/>
      <c r="AS290" s="2223"/>
    </row>
    <row r="291" spans="1:45" ht="15" x14ac:dyDescent="0.25">
      <c r="A291" s="2219" t="s">
        <v>5119</v>
      </c>
      <c r="B291" s="2219" t="s">
        <v>6365</v>
      </c>
      <c r="C291" s="2223"/>
      <c r="D291" s="2223">
        <f>COUNTIF(TableDiv[Agency],E291)</f>
        <v>31</v>
      </c>
      <c r="E291" s="2230" t="str" cm="1">
        <f t="array" ref="E291">IFERROR(INDEX(TableDiv[Agency],MATCH(0,INDEX(COUNTIF($E$7:E290,TableDiv[Agency]),),0)),"")</f>
        <v/>
      </c>
      <c r="F291" s="2223" cm="1">
        <f t="array" ref="F291">IF($D291&lt;COLUMNS($F$7:F$7),"",INDEX(TableDiv[[GASB]:[GASB]],_xlfn.AGGREGATE(15,3,(TableDiv[[Agency]:[Agency]]=$E291)/(TableDiv[[Agency]:[Agency]]=$E291)*(ROW(TableDiv[Agency])-ROW(TableDiv[[#Headers],[Agency]])),COLUMNS($F$7:F$7))))</f>
        <v>0</v>
      </c>
      <c r="G291" s="2223" cm="1">
        <f t="array" ref="G291">IF($D291&lt;COLUMNS($F$7:G$7),"",INDEX(TableDiv[[GASB]:[GASB]],_xlfn.AGGREGATE(15,3,(TableDiv[[Agency]:[Agency]]=$E291)/(TableDiv[[Agency]:[Agency]]=$E291)*(ROW(TableDiv[Agency])-ROW(TableDiv[[#Headers],[Agency]])),COLUMNS($F$7:G$7))))</f>
        <v>0</v>
      </c>
      <c r="H291" s="2223" cm="1">
        <f t="array" ref="H291">IF($D291&lt;COLUMNS($F$7:H$7),"",INDEX(TableDiv[[GASB]:[GASB]],_xlfn.AGGREGATE(15,3,(TableDiv[[Agency]:[Agency]]=$E291)/(TableDiv[[Agency]:[Agency]]=$E291)*(ROW(TableDiv[Agency])-ROW(TableDiv[[#Headers],[Agency]])),COLUMNS($F$7:H$7))))</f>
        <v>0</v>
      </c>
      <c r="I291" s="2223" cm="1">
        <f t="array" ref="I291">IF($D291&lt;COLUMNS($F$7:I$7),"",INDEX(TableDiv[[GASB]:[GASB]],_xlfn.AGGREGATE(15,3,(TableDiv[[Agency]:[Agency]]=$E291)/(TableDiv[[Agency]:[Agency]]=$E291)*(ROW(TableDiv[Agency])-ROW(TableDiv[[#Headers],[Agency]])),COLUMNS($F$7:I$7))))</f>
        <v>0</v>
      </c>
      <c r="J291" s="2223" cm="1">
        <f t="array" ref="J291">IF($D291&lt;COLUMNS($F$7:J$7),"",INDEX(TableDiv[[GASB]:[GASB]],_xlfn.AGGREGATE(15,3,(TableDiv[[Agency]:[Agency]]=$E291)/(TableDiv[[Agency]:[Agency]]=$E291)*(ROW(TableDiv[Agency])-ROW(TableDiv[[#Headers],[Agency]])),COLUMNS($F$7:J$7))))</f>
        <v>0</v>
      </c>
      <c r="K291" s="2223" cm="1">
        <f t="array" ref="K291">IF($D291&lt;COLUMNS($F$7:K$7),"",INDEX(TableDiv[[GASB]:[GASB]],_xlfn.AGGREGATE(15,3,(TableDiv[[Agency]:[Agency]]=$E291)/(TableDiv[[Agency]:[Agency]]=$E291)*(ROW(TableDiv[Agency])-ROW(TableDiv[[#Headers],[Agency]])),COLUMNS($F$7:K$7))))</f>
        <v>0</v>
      </c>
      <c r="L291" s="2223" cm="1">
        <f t="array" ref="L291">IF($D291&lt;COLUMNS($F$7:L$7),"",INDEX(TableDiv[[GASB]:[GASB]],_xlfn.AGGREGATE(15,3,(TableDiv[[Agency]:[Agency]]=$E291)/(TableDiv[[Agency]:[Agency]]=$E291)*(ROW(TableDiv[Agency])-ROW(TableDiv[[#Headers],[Agency]])),COLUMNS($F$7:L$7))))</f>
        <v>0</v>
      </c>
      <c r="M291" s="2223" cm="1">
        <f t="array" ref="M291">IF($D291&lt;COLUMNS($F$7:M$7),"",INDEX(TableDiv[[GASB]:[GASB]],_xlfn.AGGREGATE(15,3,(TableDiv[[Agency]:[Agency]]=$E291)/(TableDiv[[Agency]:[Agency]]=$E291)*(ROW(TableDiv[Agency])-ROW(TableDiv[[#Headers],[Agency]])),COLUMNS($F$7:M$7))))</f>
        <v>0</v>
      </c>
      <c r="N291" s="2223" cm="1">
        <f t="array" ref="N291">IF($D291&lt;COLUMNS($F$7:N$7),"",INDEX(TableDiv[[GASB]:[GASB]],_xlfn.AGGREGATE(15,3,(TableDiv[[Agency]:[Agency]]=$E291)/(TableDiv[[Agency]:[Agency]]=$E291)*(ROW(TableDiv[Agency])-ROW(TableDiv[[#Headers],[Agency]])),COLUMNS($F$7:N$7))))</f>
        <v>0</v>
      </c>
      <c r="O291" s="2223" cm="1">
        <f t="array" ref="O291">IF($D291&lt;COLUMNS($F$7:O$7),"",INDEX(TableDiv[[GASB]:[GASB]],_xlfn.AGGREGATE(15,3,(TableDiv[[Agency]:[Agency]]=$E291)/(TableDiv[[Agency]:[Agency]]=$E291)*(ROW(TableDiv[Agency])-ROW(TableDiv[[#Headers],[Agency]])),COLUMNS($F$7:O$7))))</f>
        <v>0</v>
      </c>
      <c r="P291" s="2223" cm="1">
        <f t="array" ref="P291">IF($D291&lt;COLUMNS($F$7:P$7),"",INDEX(TableDiv[[GASB]:[GASB]],_xlfn.AGGREGATE(15,3,(TableDiv[[Agency]:[Agency]]=$E291)/(TableDiv[[Agency]:[Agency]]=$E291)*(ROW(TableDiv[Agency])-ROW(TableDiv[[#Headers],[Agency]])),COLUMNS($F$7:P$7))))</f>
        <v>0</v>
      </c>
      <c r="Q291" s="2223" cm="1">
        <f t="array" ref="Q291">IF($D291&lt;COLUMNS($F$7:Q$7),"",INDEX(TableDiv[[GASB]:[GASB]],_xlfn.AGGREGATE(15,3,(TableDiv[[Agency]:[Agency]]=$E291)/(TableDiv[[Agency]:[Agency]]=$E291)*(ROW(TableDiv[Agency])-ROW(TableDiv[[#Headers],[Agency]])),COLUMNS($F$7:Q$7))))</f>
        <v>0</v>
      </c>
      <c r="R291" s="2223" cm="1">
        <f t="array" ref="R291">IF($D291&lt;COLUMNS($F$7:R$7),"",INDEX(TableDiv[[GASB]:[GASB]],_xlfn.AGGREGATE(15,3,(TableDiv[[Agency]:[Agency]]=$E291)/(TableDiv[[Agency]:[Agency]]=$E291)*(ROW(TableDiv[Agency])-ROW(TableDiv[[#Headers],[Agency]])),COLUMNS($F$7:R$7))))</f>
        <v>0</v>
      </c>
      <c r="S291" s="2223" cm="1">
        <f t="array" ref="S291">IF($D291&lt;COLUMNS($F$7:S$7),"",INDEX(TableDiv[[GASB]:[GASB]],_xlfn.AGGREGATE(15,3,(TableDiv[[Agency]:[Agency]]=$E291)/(TableDiv[[Agency]:[Agency]]=$E291)*(ROW(TableDiv[Agency])-ROW(TableDiv[[#Headers],[Agency]])),COLUMNS($F$7:S$7))))</f>
        <v>0</v>
      </c>
      <c r="T291" s="2223" cm="1">
        <f t="array" ref="T291">IF($D291&lt;COLUMNS($F$7:T$7),"",INDEX(TableDiv[[GASB]:[GASB]],_xlfn.AGGREGATE(15,3,(TableDiv[[Agency]:[Agency]]=$E291)/(TableDiv[[Agency]:[Agency]]=$E291)*(ROW(TableDiv[Agency])-ROW(TableDiv[[#Headers],[Agency]])),COLUMNS($F$7:T$7))))</f>
        <v>0</v>
      </c>
      <c r="U291" s="2223" cm="1">
        <f t="array" ref="U291">IF($D291&lt;COLUMNS($F$7:U$7),"",INDEX(TableDiv[[GASB]:[GASB]],_xlfn.AGGREGATE(15,3,(TableDiv[[Agency]:[Agency]]=$E291)/(TableDiv[[Agency]:[Agency]]=$E291)*(ROW(TableDiv[Agency])-ROW(TableDiv[[#Headers],[Agency]])),COLUMNS($F$7:U$7))))</f>
        <v>0</v>
      </c>
      <c r="V291" s="2223" cm="1">
        <f t="array" ref="V291">IF($D291&lt;COLUMNS($F$7:V$7),"",INDEX(TableDiv[[GASB]:[GASB]],_xlfn.AGGREGATE(15,3,(TableDiv[[Agency]:[Agency]]=$E291)/(TableDiv[[Agency]:[Agency]]=$E291)*(ROW(TableDiv[Agency])-ROW(TableDiv[[#Headers],[Agency]])),COLUMNS($F$7:V$7))))</f>
        <v>0</v>
      </c>
      <c r="W291" s="2223" cm="1">
        <f t="array" ref="W291">IF($D291&lt;COLUMNS($F$7:W$7),"",INDEX(TableDiv[[GASB]:[GASB]],_xlfn.AGGREGATE(15,3,(TableDiv[[Agency]:[Agency]]=$E291)/(TableDiv[[Agency]:[Agency]]=$E291)*(ROW(TableDiv[Agency])-ROW(TableDiv[[#Headers],[Agency]])),COLUMNS($F$7:W$7))))</f>
        <v>0</v>
      </c>
      <c r="X291" s="2223" cm="1">
        <f t="array" ref="X291">IF($D291&lt;COLUMNS($F$7:X$7),"",INDEX(TableDiv[[GASB]:[GASB]],_xlfn.AGGREGATE(15,3,(TableDiv[[Agency]:[Agency]]=$E291)/(TableDiv[[Agency]:[Agency]]=$E291)*(ROW(TableDiv[Agency])-ROW(TableDiv[[#Headers],[Agency]])),COLUMNS($F$7:X$7))))</f>
        <v>0</v>
      </c>
      <c r="Y291" s="2223" cm="1">
        <f t="array" ref="Y291">IF($D291&lt;COLUMNS($F$7:Y$7),"",INDEX(TableDiv[[GASB]:[GASB]],_xlfn.AGGREGATE(15,3,(TableDiv[[Agency]:[Agency]]=$E291)/(TableDiv[[Agency]:[Agency]]=$E291)*(ROW(TableDiv[Agency])-ROW(TableDiv[[#Headers],[Agency]])),COLUMNS($F$7:Y$7))))</f>
        <v>0</v>
      </c>
      <c r="Z291" s="2223" cm="1">
        <f t="array" ref="Z291">IF($D291&lt;COLUMNS($F$7:Z$7),"",INDEX(TableDiv[[GASB]:[GASB]],_xlfn.AGGREGATE(15,3,(TableDiv[[Agency]:[Agency]]=$E291)/(TableDiv[[Agency]:[Agency]]=$E291)*(ROW(TableDiv[Agency])-ROW(TableDiv[[#Headers],[Agency]])),COLUMNS($F$7:Z$7))))</f>
        <v>0</v>
      </c>
      <c r="AA291" s="2223" cm="1">
        <f t="array" ref="AA291">IF($D291&lt;COLUMNS($F$7:AA$7),"",INDEX(TableDiv[[GASB]:[GASB]],_xlfn.AGGREGATE(15,3,(TableDiv[[Agency]:[Agency]]=$E291)/(TableDiv[[Agency]:[Agency]]=$E291)*(ROW(TableDiv[Agency])-ROW(TableDiv[[#Headers],[Agency]])),COLUMNS($F$7:AA$7))))</f>
        <v>0</v>
      </c>
      <c r="AB291" s="2223" cm="1">
        <f t="array" ref="AB291">IF($D291&lt;COLUMNS($F$7:AB$7),"",INDEX(TableDiv[[GASB]:[GASB]],_xlfn.AGGREGATE(15,3,(TableDiv[[Agency]:[Agency]]=$E291)/(TableDiv[[Agency]:[Agency]]=$E291)*(ROW(TableDiv[Agency])-ROW(TableDiv[[#Headers],[Agency]])),COLUMNS($F$7:AB$7))))</f>
        <v>0</v>
      </c>
      <c r="AC291" s="2223" cm="1">
        <f t="array" ref="AC291">IF($D291&lt;COLUMNS($F$7:AC$7),"",INDEX(TableDiv[[GASB]:[GASB]],_xlfn.AGGREGATE(15,3,(TableDiv[[Agency]:[Agency]]=$E291)/(TableDiv[[Agency]:[Agency]]=$E291)*(ROW(TableDiv[Agency])-ROW(TableDiv[[#Headers],[Agency]])),COLUMNS($F$7:AC$7))))</f>
        <v>0</v>
      </c>
      <c r="AD291" s="2223" cm="1">
        <f t="array" ref="AD291">IF($D291&lt;COLUMNS($F$7:AD$7),"",INDEX(TableDiv[[GASB]:[GASB]],_xlfn.AGGREGATE(15,3,(TableDiv[[Agency]:[Agency]]=$E291)/(TableDiv[[Agency]:[Agency]]=$E291)*(ROW(TableDiv[Agency])-ROW(TableDiv[[#Headers],[Agency]])),COLUMNS($F$7:AD$7))))</f>
        <v>0</v>
      </c>
      <c r="AE291" s="2223" cm="1">
        <f t="array" ref="AE291">IF($D291&lt;COLUMNS($F$7:AE$7),"",INDEX(TableDiv[[GASB]:[GASB]],_xlfn.AGGREGATE(15,3,(TableDiv[[Agency]:[Agency]]=$E291)/(TableDiv[[Agency]:[Agency]]=$E291)*(ROW(TableDiv[Agency])-ROW(TableDiv[[#Headers],[Agency]])),COLUMNS($F$7:AE$7))))</f>
        <v>0</v>
      </c>
      <c r="AF291" s="2223" cm="1">
        <f t="array" ref="AF291">IF($D291&lt;COLUMNS($F$7:AF$7),"",INDEX(TableDiv[[GASB]:[GASB]],_xlfn.AGGREGATE(15,3,(TableDiv[[Agency]:[Agency]]=$E291)/(TableDiv[[Agency]:[Agency]]=$E291)*(ROW(TableDiv[Agency])-ROW(TableDiv[[#Headers],[Agency]])),COLUMNS($F$7:AF$7))))</f>
        <v>0</v>
      </c>
      <c r="AG291" s="2223" cm="1">
        <f t="array" ref="AG291">IF($D291&lt;COLUMNS($F$7:AG$7),"",INDEX(TableDiv[[GASB]:[GASB]],_xlfn.AGGREGATE(15,3,(TableDiv[[Agency]:[Agency]]=$E291)/(TableDiv[[Agency]:[Agency]]=$E291)*(ROW(TableDiv[Agency])-ROW(TableDiv[[#Headers],[Agency]])),COLUMNS($F$7:AG$7))))</f>
        <v>0</v>
      </c>
      <c r="AH291" s="2223" cm="1">
        <f t="array" ref="AH291">IF($D291&lt;COLUMNS($F$7:AH$7),"",INDEX(TableDiv[[GASB]:[GASB]],_xlfn.AGGREGATE(15,3,(TableDiv[[Agency]:[Agency]]=$E291)/(TableDiv[[Agency]:[Agency]]=$E291)*(ROW(TableDiv[Agency])-ROW(TableDiv[[#Headers],[Agency]])),COLUMNS($F$7:AH$7))))</f>
        <v>0</v>
      </c>
      <c r="AI291" s="2223" cm="1">
        <f t="array" ref="AI291">IF($D291&lt;COLUMNS($F$7:AI$7),"",INDEX(TableDiv[[GASB]:[GASB]],_xlfn.AGGREGATE(15,3,(TableDiv[[Agency]:[Agency]]=$E291)/(TableDiv[[Agency]:[Agency]]=$E291)*(ROW(TableDiv[Agency])-ROW(TableDiv[[#Headers],[Agency]])),COLUMNS($F$7:AI$7))))</f>
        <v>0</v>
      </c>
      <c r="AJ291" s="2223" cm="1">
        <f t="array" ref="AJ291">IF($D291&lt;COLUMNS($F$7:AJ$7),"",INDEX(TableDiv[[GASB]:[GASB]],_xlfn.AGGREGATE(15,3,(TableDiv[[Agency]:[Agency]]=$E291)/(TableDiv[[Agency]:[Agency]]=$E291)*(ROW(TableDiv[Agency])-ROW(TableDiv[[#Headers],[Agency]])),COLUMNS($F$7:AJ$7))))</f>
        <v>0</v>
      </c>
      <c r="AK291" s="2223" t="str" cm="1">
        <f t="array" ref="AK291">IF($D291&lt;COLUMNS($F$7:AK$7),"",INDEX(TableDiv[[GASB]:[GASB]],_xlfn.AGGREGATE(15,3,(TableDiv[[Agency]:[Agency]]=$E291)/(TableDiv[[Agency]:[Agency]]=$E291)*(ROW(TableDiv[Agency])-ROW(TableDiv[[#Headers],[Agency]])),COLUMNS($F$7:AK$7))))</f>
        <v/>
      </c>
      <c r="AL291" s="2223" t="str" cm="1">
        <f t="array" ref="AL291">IF($D291&lt;COLUMNS($F$7:AL$7),"",INDEX(TableDiv[[GASB]:[GASB]],_xlfn.AGGREGATE(15,3,(TableDiv[[Agency]:[Agency]]=$E291)/(TableDiv[[Agency]:[Agency]]=$E291)*(ROW(TableDiv[Agency])-ROW(TableDiv[[#Headers],[Agency]])),COLUMNS($F$7:AL$7))))</f>
        <v/>
      </c>
      <c r="AM291" s="2223" t="str" cm="1">
        <f t="array" ref="AM291">IF($D291&lt;COLUMNS($F$7:AM$7),"",INDEX(TableDiv[[GASB]:[GASB]],_xlfn.AGGREGATE(15,3,(TableDiv[[Agency]:[Agency]]=$E291)/(TableDiv[[Agency]:[Agency]]=$E291)*(ROW(TableDiv[Agency])-ROW(TableDiv[[#Headers],[Agency]])),COLUMNS($F$7:AM$7))))</f>
        <v/>
      </c>
      <c r="AN291" s="2223"/>
      <c r="AO291" s="2223"/>
      <c r="AP291" s="2223"/>
      <c r="AQ291" s="2223"/>
      <c r="AR291" s="2223"/>
      <c r="AS291" s="2223"/>
    </row>
    <row r="292" spans="1:45" ht="15" x14ac:dyDescent="0.25">
      <c r="A292" s="2219" t="s">
        <v>5119</v>
      </c>
      <c r="B292" s="2219" t="s">
        <v>6426</v>
      </c>
      <c r="C292" s="2223"/>
      <c r="D292" s="2223">
        <f>COUNTIF(TableDiv[Agency],E292)</f>
        <v>31</v>
      </c>
      <c r="E292" s="2230" t="str" cm="1">
        <f t="array" ref="E292">IFERROR(INDEX(TableDiv[Agency],MATCH(0,INDEX(COUNTIF($E$7:E291,TableDiv[Agency]),),0)),"")</f>
        <v/>
      </c>
      <c r="F292" s="2223" cm="1">
        <f t="array" ref="F292">IF($D292&lt;COLUMNS($F$7:F$7),"",INDEX(TableDiv[[GASB]:[GASB]],_xlfn.AGGREGATE(15,3,(TableDiv[[Agency]:[Agency]]=$E292)/(TableDiv[[Agency]:[Agency]]=$E292)*(ROW(TableDiv[Agency])-ROW(TableDiv[[#Headers],[Agency]])),COLUMNS($F$7:F$7))))</f>
        <v>0</v>
      </c>
      <c r="G292" s="2223" cm="1">
        <f t="array" ref="G292">IF($D292&lt;COLUMNS($F$7:G$7),"",INDEX(TableDiv[[GASB]:[GASB]],_xlfn.AGGREGATE(15,3,(TableDiv[[Agency]:[Agency]]=$E292)/(TableDiv[[Agency]:[Agency]]=$E292)*(ROW(TableDiv[Agency])-ROW(TableDiv[[#Headers],[Agency]])),COLUMNS($F$7:G$7))))</f>
        <v>0</v>
      </c>
      <c r="H292" s="2223" cm="1">
        <f t="array" ref="H292">IF($D292&lt;COLUMNS($F$7:H$7),"",INDEX(TableDiv[[GASB]:[GASB]],_xlfn.AGGREGATE(15,3,(TableDiv[[Agency]:[Agency]]=$E292)/(TableDiv[[Agency]:[Agency]]=$E292)*(ROW(TableDiv[Agency])-ROW(TableDiv[[#Headers],[Agency]])),COLUMNS($F$7:H$7))))</f>
        <v>0</v>
      </c>
      <c r="I292" s="2223" cm="1">
        <f t="array" ref="I292">IF($D292&lt;COLUMNS($F$7:I$7),"",INDEX(TableDiv[[GASB]:[GASB]],_xlfn.AGGREGATE(15,3,(TableDiv[[Agency]:[Agency]]=$E292)/(TableDiv[[Agency]:[Agency]]=$E292)*(ROW(TableDiv[Agency])-ROW(TableDiv[[#Headers],[Agency]])),COLUMNS($F$7:I$7))))</f>
        <v>0</v>
      </c>
      <c r="J292" s="2223" cm="1">
        <f t="array" ref="J292">IF($D292&lt;COLUMNS($F$7:J$7),"",INDEX(TableDiv[[GASB]:[GASB]],_xlfn.AGGREGATE(15,3,(TableDiv[[Agency]:[Agency]]=$E292)/(TableDiv[[Agency]:[Agency]]=$E292)*(ROW(TableDiv[Agency])-ROW(TableDiv[[#Headers],[Agency]])),COLUMNS($F$7:J$7))))</f>
        <v>0</v>
      </c>
      <c r="K292" s="2223" cm="1">
        <f t="array" ref="K292">IF($D292&lt;COLUMNS($F$7:K$7),"",INDEX(TableDiv[[GASB]:[GASB]],_xlfn.AGGREGATE(15,3,(TableDiv[[Agency]:[Agency]]=$E292)/(TableDiv[[Agency]:[Agency]]=$E292)*(ROW(TableDiv[Agency])-ROW(TableDiv[[#Headers],[Agency]])),COLUMNS($F$7:K$7))))</f>
        <v>0</v>
      </c>
      <c r="L292" s="2223" cm="1">
        <f t="array" ref="L292">IF($D292&lt;COLUMNS($F$7:L$7),"",INDEX(TableDiv[[GASB]:[GASB]],_xlfn.AGGREGATE(15,3,(TableDiv[[Agency]:[Agency]]=$E292)/(TableDiv[[Agency]:[Agency]]=$E292)*(ROW(TableDiv[Agency])-ROW(TableDiv[[#Headers],[Agency]])),COLUMNS($F$7:L$7))))</f>
        <v>0</v>
      </c>
      <c r="M292" s="2223" cm="1">
        <f t="array" ref="M292">IF($D292&lt;COLUMNS($F$7:M$7),"",INDEX(TableDiv[[GASB]:[GASB]],_xlfn.AGGREGATE(15,3,(TableDiv[[Agency]:[Agency]]=$E292)/(TableDiv[[Agency]:[Agency]]=$E292)*(ROW(TableDiv[Agency])-ROW(TableDiv[[#Headers],[Agency]])),COLUMNS($F$7:M$7))))</f>
        <v>0</v>
      </c>
      <c r="N292" s="2223" cm="1">
        <f t="array" ref="N292">IF($D292&lt;COLUMNS($F$7:N$7),"",INDEX(TableDiv[[GASB]:[GASB]],_xlfn.AGGREGATE(15,3,(TableDiv[[Agency]:[Agency]]=$E292)/(TableDiv[[Agency]:[Agency]]=$E292)*(ROW(TableDiv[Agency])-ROW(TableDiv[[#Headers],[Agency]])),COLUMNS($F$7:N$7))))</f>
        <v>0</v>
      </c>
      <c r="O292" s="2223" cm="1">
        <f t="array" ref="O292">IF($D292&lt;COLUMNS($F$7:O$7),"",INDEX(TableDiv[[GASB]:[GASB]],_xlfn.AGGREGATE(15,3,(TableDiv[[Agency]:[Agency]]=$E292)/(TableDiv[[Agency]:[Agency]]=$E292)*(ROW(TableDiv[Agency])-ROW(TableDiv[[#Headers],[Agency]])),COLUMNS($F$7:O$7))))</f>
        <v>0</v>
      </c>
      <c r="P292" s="2223" cm="1">
        <f t="array" ref="P292">IF($D292&lt;COLUMNS($F$7:P$7),"",INDEX(TableDiv[[GASB]:[GASB]],_xlfn.AGGREGATE(15,3,(TableDiv[[Agency]:[Agency]]=$E292)/(TableDiv[[Agency]:[Agency]]=$E292)*(ROW(TableDiv[Agency])-ROW(TableDiv[[#Headers],[Agency]])),COLUMNS($F$7:P$7))))</f>
        <v>0</v>
      </c>
      <c r="Q292" s="2223" cm="1">
        <f t="array" ref="Q292">IF($D292&lt;COLUMNS($F$7:Q$7),"",INDEX(TableDiv[[GASB]:[GASB]],_xlfn.AGGREGATE(15,3,(TableDiv[[Agency]:[Agency]]=$E292)/(TableDiv[[Agency]:[Agency]]=$E292)*(ROW(TableDiv[Agency])-ROW(TableDiv[[#Headers],[Agency]])),COLUMNS($F$7:Q$7))))</f>
        <v>0</v>
      </c>
      <c r="R292" s="2223" cm="1">
        <f t="array" ref="R292">IF($D292&lt;COLUMNS($F$7:R$7),"",INDEX(TableDiv[[GASB]:[GASB]],_xlfn.AGGREGATE(15,3,(TableDiv[[Agency]:[Agency]]=$E292)/(TableDiv[[Agency]:[Agency]]=$E292)*(ROW(TableDiv[Agency])-ROW(TableDiv[[#Headers],[Agency]])),COLUMNS($F$7:R$7))))</f>
        <v>0</v>
      </c>
      <c r="S292" s="2223" cm="1">
        <f t="array" ref="S292">IF($D292&lt;COLUMNS($F$7:S$7),"",INDEX(TableDiv[[GASB]:[GASB]],_xlfn.AGGREGATE(15,3,(TableDiv[[Agency]:[Agency]]=$E292)/(TableDiv[[Agency]:[Agency]]=$E292)*(ROW(TableDiv[Agency])-ROW(TableDiv[[#Headers],[Agency]])),COLUMNS($F$7:S$7))))</f>
        <v>0</v>
      </c>
      <c r="T292" s="2223" cm="1">
        <f t="array" ref="T292">IF($D292&lt;COLUMNS($F$7:T$7),"",INDEX(TableDiv[[GASB]:[GASB]],_xlfn.AGGREGATE(15,3,(TableDiv[[Agency]:[Agency]]=$E292)/(TableDiv[[Agency]:[Agency]]=$E292)*(ROW(TableDiv[Agency])-ROW(TableDiv[[#Headers],[Agency]])),COLUMNS($F$7:T$7))))</f>
        <v>0</v>
      </c>
      <c r="U292" s="2223" cm="1">
        <f t="array" ref="U292">IF($D292&lt;COLUMNS($F$7:U$7),"",INDEX(TableDiv[[GASB]:[GASB]],_xlfn.AGGREGATE(15,3,(TableDiv[[Agency]:[Agency]]=$E292)/(TableDiv[[Agency]:[Agency]]=$E292)*(ROW(TableDiv[Agency])-ROW(TableDiv[[#Headers],[Agency]])),COLUMNS($F$7:U$7))))</f>
        <v>0</v>
      </c>
      <c r="V292" s="2223" cm="1">
        <f t="array" ref="V292">IF($D292&lt;COLUMNS($F$7:V$7),"",INDEX(TableDiv[[GASB]:[GASB]],_xlfn.AGGREGATE(15,3,(TableDiv[[Agency]:[Agency]]=$E292)/(TableDiv[[Agency]:[Agency]]=$E292)*(ROW(TableDiv[Agency])-ROW(TableDiv[[#Headers],[Agency]])),COLUMNS($F$7:V$7))))</f>
        <v>0</v>
      </c>
      <c r="W292" s="2223" cm="1">
        <f t="array" ref="W292">IF($D292&lt;COLUMNS($F$7:W$7),"",INDEX(TableDiv[[GASB]:[GASB]],_xlfn.AGGREGATE(15,3,(TableDiv[[Agency]:[Agency]]=$E292)/(TableDiv[[Agency]:[Agency]]=$E292)*(ROW(TableDiv[Agency])-ROW(TableDiv[[#Headers],[Agency]])),COLUMNS($F$7:W$7))))</f>
        <v>0</v>
      </c>
      <c r="X292" s="2223" cm="1">
        <f t="array" ref="X292">IF($D292&lt;COLUMNS($F$7:X$7),"",INDEX(TableDiv[[GASB]:[GASB]],_xlfn.AGGREGATE(15,3,(TableDiv[[Agency]:[Agency]]=$E292)/(TableDiv[[Agency]:[Agency]]=$E292)*(ROW(TableDiv[Agency])-ROW(TableDiv[[#Headers],[Agency]])),COLUMNS($F$7:X$7))))</f>
        <v>0</v>
      </c>
      <c r="Y292" s="2223" cm="1">
        <f t="array" ref="Y292">IF($D292&lt;COLUMNS($F$7:Y$7),"",INDEX(TableDiv[[GASB]:[GASB]],_xlfn.AGGREGATE(15,3,(TableDiv[[Agency]:[Agency]]=$E292)/(TableDiv[[Agency]:[Agency]]=$E292)*(ROW(TableDiv[Agency])-ROW(TableDiv[[#Headers],[Agency]])),COLUMNS($F$7:Y$7))))</f>
        <v>0</v>
      </c>
      <c r="Z292" s="2223" cm="1">
        <f t="array" ref="Z292">IF($D292&lt;COLUMNS($F$7:Z$7),"",INDEX(TableDiv[[GASB]:[GASB]],_xlfn.AGGREGATE(15,3,(TableDiv[[Agency]:[Agency]]=$E292)/(TableDiv[[Agency]:[Agency]]=$E292)*(ROW(TableDiv[Agency])-ROW(TableDiv[[#Headers],[Agency]])),COLUMNS($F$7:Z$7))))</f>
        <v>0</v>
      </c>
      <c r="AA292" s="2223" cm="1">
        <f t="array" ref="AA292">IF($D292&lt;COLUMNS($F$7:AA$7),"",INDEX(TableDiv[[GASB]:[GASB]],_xlfn.AGGREGATE(15,3,(TableDiv[[Agency]:[Agency]]=$E292)/(TableDiv[[Agency]:[Agency]]=$E292)*(ROW(TableDiv[Agency])-ROW(TableDiv[[#Headers],[Agency]])),COLUMNS($F$7:AA$7))))</f>
        <v>0</v>
      </c>
      <c r="AB292" s="2223" cm="1">
        <f t="array" ref="AB292">IF($D292&lt;COLUMNS($F$7:AB$7),"",INDEX(TableDiv[[GASB]:[GASB]],_xlfn.AGGREGATE(15,3,(TableDiv[[Agency]:[Agency]]=$E292)/(TableDiv[[Agency]:[Agency]]=$E292)*(ROW(TableDiv[Agency])-ROW(TableDiv[[#Headers],[Agency]])),COLUMNS($F$7:AB$7))))</f>
        <v>0</v>
      </c>
      <c r="AC292" s="2223" cm="1">
        <f t="array" ref="AC292">IF($D292&lt;COLUMNS($F$7:AC$7),"",INDEX(TableDiv[[GASB]:[GASB]],_xlfn.AGGREGATE(15,3,(TableDiv[[Agency]:[Agency]]=$E292)/(TableDiv[[Agency]:[Agency]]=$E292)*(ROW(TableDiv[Agency])-ROW(TableDiv[[#Headers],[Agency]])),COLUMNS($F$7:AC$7))))</f>
        <v>0</v>
      </c>
      <c r="AD292" s="2223" cm="1">
        <f t="array" ref="AD292">IF($D292&lt;COLUMNS($F$7:AD$7),"",INDEX(TableDiv[[GASB]:[GASB]],_xlfn.AGGREGATE(15,3,(TableDiv[[Agency]:[Agency]]=$E292)/(TableDiv[[Agency]:[Agency]]=$E292)*(ROW(TableDiv[Agency])-ROW(TableDiv[[#Headers],[Agency]])),COLUMNS($F$7:AD$7))))</f>
        <v>0</v>
      </c>
      <c r="AE292" s="2223" cm="1">
        <f t="array" ref="AE292">IF($D292&lt;COLUMNS($F$7:AE$7),"",INDEX(TableDiv[[GASB]:[GASB]],_xlfn.AGGREGATE(15,3,(TableDiv[[Agency]:[Agency]]=$E292)/(TableDiv[[Agency]:[Agency]]=$E292)*(ROW(TableDiv[Agency])-ROW(TableDiv[[#Headers],[Agency]])),COLUMNS($F$7:AE$7))))</f>
        <v>0</v>
      </c>
      <c r="AF292" s="2223" cm="1">
        <f t="array" ref="AF292">IF($D292&lt;COLUMNS($F$7:AF$7),"",INDEX(TableDiv[[GASB]:[GASB]],_xlfn.AGGREGATE(15,3,(TableDiv[[Agency]:[Agency]]=$E292)/(TableDiv[[Agency]:[Agency]]=$E292)*(ROW(TableDiv[Agency])-ROW(TableDiv[[#Headers],[Agency]])),COLUMNS($F$7:AF$7))))</f>
        <v>0</v>
      </c>
      <c r="AG292" s="2223" cm="1">
        <f t="array" ref="AG292">IF($D292&lt;COLUMNS($F$7:AG$7),"",INDEX(TableDiv[[GASB]:[GASB]],_xlfn.AGGREGATE(15,3,(TableDiv[[Agency]:[Agency]]=$E292)/(TableDiv[[Agency]:[Agency]]=$E292)*(ROW(TableDiv[Agency])-ROW(TableDiv[[#Headers],[Agency]])),COLUMNS($F$7:AG$7))))</f>
        <v>0</v>
      </c>
      <c r="AH292" s="2223" cm="1">
        <f t="array" ref="AH292">IF($D292&lt;COLUMNS($F$7:AH$7),"",INDEX(TableDiv[[GASB]:[GASB]],_xlfn.AGGREGATE(15,3,(TableDiv[[Agency]:[Agency]]=$E292)/(TableDiv[[Agency]:[Agency]]=$E292)*(ROW(TableDiv[Agency])-ROW(TableDiv[[#Headers],[Agency]])),COLUMNS($F$7:AH$7))))</f>
        <v>0</v>
      </c>
      <c r="AI292" s="2223" cm="1">
        <f t="array" ref="AI292">IF($D292&lt;COLUMNS($F$7:AI$7),"",INDEX(TableDiv[[GASB]:[GASB]],_xlfn.AGGREGATE(15,3,(TableDiv[[Agency]:[Agency]]=$E292)/(TableDiv[[Agency]:[Agency]]=$E292)*(ROW(TableDiv[Agency])-ROW(TableDiv[[#Headers],[Agency]])),COLUMNS($F$7:AI$7))))</f>
        <v>0</v>
      </c>
      <c r="AJ292" s="2223" cm="1">
        <f t="array" ref="AJ292">IF($D292&lt;COLUMNS($F$7:AJ$7),"",INDEX(TableDiv[[GASB]:[GASB]],_xlfn.AGGREGATE(15,3,(TableDiv[[Agency]:[Agency]]=$E292)/(TableDiv[[Agency]:[Agency]]=$E292)*(ROW(TableDiv[Agency])-ROW(TableDiv[[#Headers],[Agency]])),COLUMNS($F$7:AJ$7))))</f>
        <v>0</v>
      </c>
      <c r="AK292" s="2223" t="str" cm="1">
        <f t="array" ref="AK292">IF($D292&lt;COLUMNS($F$7:AK$7),"",INDEX(TableDiv[[GASB]:[GASB]],_xlfn.AGGREGATE(15,3,(TableDiv[[Agency]:[Agency]]=$E292)/(TableDiv[[Agency]:[Agency]]=$E292)*(ROW(TableDiv[Agency])-ROW(TableDiv[[#Headers],[Agency]])),COLUMNS($F$7:AK$7))))</f>
        <v/>
      </c>
      <c r="AL292" s="2223" t="str" cm="1">
        <f t="array" ref="AL292">IF($D292&lt;COLUMNS($F$7:AL$7),"",INDEX(TableDiv[[GASB]:[GASB]],_xlfn.AGGREGATE(15,3,(TableDiv[[Agency]:[Agency]]=$E292)/(TableDiv[[Agency]:[Agency]]=$E292)*(ROW(TableDiv[Agency])-ROW(TableDiv[[#Headers],[Agency]])),COLUMNS($F$7:AL$7))))</f>
        <v/>
      </c>
      <c r="AM292" s="2223" t="str" cm="1">
        <f t="array" ref="AM292">IF($D292&lt;COLUMNS($F$7:AM$7),"",INDEX(TableDiv[[GASB]:[GASB]],_xlfn.AGGREGATE(15,3,(TableDiv[[Agency]:[Agency]]=$E292)/(TableDiv[[Agency]:[Agency]]=$E292)*(ROW(TableDiv[Agency])-ROW(TableDiv[[#Headers],[Agency]])),COLUMNS($F$7:AM$7))))</f>
        <v/>
      </c>
      <c r="AN292" s="2223"/>
      <c r="AO292" s="2223"/>
      <c r="AP292" s="2223"/>
      <c r="AQ292" s="2223"/>
      <c r="AR292" s="2223"/>
      <c r="AS292" s="2223"/>
    </row>
    <row r="293" spans="1:45" ht="15" x14ac:dyDescent="0.25">
      <c r="A293" s="2219" t="s">
        <v>5119</v>
      </c>
      <c r="B293" s="2219" t="s">
        <v>6361</v>
      </c>
      <c r="C293" s="2223"/>
      <c r="D293" s="2223">
        <f>COUNTIF(TableDiv[Agency],E293)</f>
        <v>31</v>
      </c>
      <c r="E293" s="2230" t="str" cm="1">
        <f t="array" ref="E293">IFERROR(INDEX(TableDiv[Agency],MATCH(0,INDEX(COUNTIF($E$7:E292,TableDiv[Agency]),),0)),"")</f>
        <v/>
      </c>
      <c r="F293" s="2223" cm="1">
        <f t="array" ref="F293">IF($D293&lt;COLUMNS($F$7:F$7),"",INDEX(TableDiv[[GASB]:[GASB]],_xlfn.AGGREGATE(15,3,(TableDiv[[Agency]:[Agency]]=$E293)/(TableDiv[[Agency]:[Agency]]=$E293)*(ROW(TableDiv[Agency])-ROW(TableDiv[[#Headers],[Agency]])),COLUMNS($F$7:F$7))))</f>
        <v>0</v>
      </c>
      <c r="G293" s="2223" cm="1">
        <f t="array" ref="G293">IF($D293&lt;COLUMNS($F$7:G$7),"",INDEX(TableDiv[[GASB]:[GASB]],_xlfn.AGGREGATE(15,3,(TableDiv[[Agency]:[Agency]]=$E293)/(TableDiv[[Agency]:[Agency]]=$E293)*(ROW(TableDiv[Agency])-ROW(TableDiv[[#Headers],[Agency]])),COLUMNS($F$7:G$7))))</f>
        <v>0</v>
      </c>
      <c r="H293" s="2223" cm="1">
        <f t="array" ref="H293">IF($D293&lt;COLUMNS($F$7:H$7),"",INDEX(TableDiv[[GASB]:[GASB]],_xlfn.AGGREGATE(15,3,(TableDiv[[Agency]:[Agency]]=$E293)/(TableDiv[[Agency]:[Agency]]=$E293)*(ROW(TableDiv[Agency])-ROW(TableDiv[[#Headers],[Agency]])),COLUMNS($F$7:H$7))))</f>
        <v>0</v>
      </c>
      <c r="I293" s="2223" cm="1">
        <f t="array" ref="I293">IF($D293&lt;COLUMNS($F$7:I$7),"",INDEX(TableDiv[[GASB]:[GASB]],_xlfn.AGGREGATE(15,3,(TableDiv[[Agency]:[Agency]]=$E293)/(TableDiv[[Agency]:[Agency]]=$E293)*(ROW(TableDiv[Agency])-ROW(TableDiv[[#Headers],[Agency]])),COLUMNS($F$7:I$7))))</f>
        <v>0</v>
      </c>
      <c r="J293" s="2223" cm="1">
        <f t="array" ref="J293">IF($D293&lt;COLUMNS($F$7:J$7),"",INDEX(TableDiv[[GASB]:[GASB]],_xlfn.AGGREGATE(15,3,(TableDiv[[Agency]:[Agency]]=$E293)/(TableDiv[[Agency]:[Agency]]=$E293)*(ROW(TableDiv[Agency])-ROW(TableDiv[[#Headers],[Agency]])),COLUMNS($F$7:J$7))))</f>
        <v>0</v>
      </c>
      <c r="K293" s="2223" cm="1">
        <f t="array" ref="K293">IF($D293&lt;COLUMNS($F$7:K$7),"",INDEX(TableDiv[[GASB]:[GASB]],_xlfn.AGGREGATE(15,3,(TableDiv[[Agency]:[Agency]]=$E293)/(TableDiv[[Agency]:[Agency]]=$E293)*(ROW(TableDiv[Agency])-ROW(TableDiv[[#Headers],[Agency]])),COLUMNS($F$7:K$7))))</f>
        <v>0</v>
      </c>
      <c r="L293" s="2223" cm="1">
        <f t="array" ref="L293">IF($D293&lt;COLUMNS($F$7:L$7),"",INDEX(TableDiv[[GASB]:[GASB]],_xlfn.AGGREGATE(15,3,(TableDiv[[Agency]:[Agency]]=$E293)/(TableDiv[[Agency]:[Agency]]=$E293)*(ROW(TableDiv[Agency])-ROW(TableDiv[[#Headers],[Agency]])),COLUMNS($F$7:L$7))))</f>
        <v>0</v>
      </c>
      <c r="M293" s="2223" cm="1">
        <f t="array" ref="M293">IF($D293&lt;COLUMNS($F$7:M$7),"",INDEX(TableDiv[[GASB]:[GASB]],_xlfn.AGGREGATE(15,3,(TableDiv[[Agency]:[Agency]]=$E293)/(TableDiv[[Agency]:[Agency]]=$E293)*(ROW(TableDiv[Agency])-ROW(TableDiv[[#Headers],[Agency]])),COLUMNS($F$7:M$7))))</f>
        <v>0</v>
      </c>
      <c r="N293" s="2223" cm="1">
        <f t="array" ref="N293">IF($D293&lt;COLUMNS($F$7:N$7),"",INDEX(TableDiv[[GASB]:[GASB]],_xlfn.AGGREGATE(15,3,(TableDiv[[Agency]:[Agency]]=$E293)/(TableDiv[[Agency]:[Agency]]=$E293)*(ROW(TableDiv[Agency])-ROW(TableDiv[[#Headers],[Agency]])),COLUMNS($F$7:N$7))))</f>
        <v>0</v>
      </c>
      <c r="O293" s="2223" cm="1">
        <f t="array" ref="O293">IF($D293&lt;COLUMNS($F$7:O$7),"",INDEX(TableDiv[[GASB]:[GASB]],_xlfn.AGGREGATE(15,3,(TableDiv[[Agency]:[Agency]]=$E293)/(TableDiv[[Agency]:[Agency]]=$E293)*(ROW(TableDiv[Agency])-ROW(TableDiv[[#Headers],[Agency]])),COLUMNS($F$7:O$7))))</f>
        <v>0</v>
      </c>
      <c r="P293" s="2223" cm="1">
        <f t="array" ref="P293">IF($D293&lt;COLUMNS($F$7:P$7),"",INDEX(TableDiv[[GASB]:[GASB]],_xlfn.AGGREGATE(15,3,(TableDiv[[Agency]:[Agency]]=$E293)/(TableDiv[[Agency]:[Agency]]=$E293)*(ROW(TableDiv[Agency])-ROW(TableDiv[[#Headers],[Agency]])),COLUMNS($F$7:P$7))))</f>
        <v>0</v>
      </c>
      <c r="Q293" s="2223" cm="1">
        <f t="array" ref="Q293">IF($D293&lt;COLUMNS($F$7:Q$7),"",INDEX(TableDiv[[GASB]:[GASB]],_xlfn.AGGREGATE(15,3,(TableDiv[[Agency]:[Agency]]=$E293)/(TableDiv[[Agency]:[Agency]]=$E293)*(ROW(TableDiv[Agency])-ROW(TableDiv[[#Headers],[Agency]])),COLUMNS($F$7:Q$7))))</f>
        <v>0</v>
      </c>
      <c r="R293" s="2223" cm="1">
        <f t="array" ref="R293">IF($D293&lt;COLUMNS($F$7:R$7),"",INDEX(TableDiv[[GASB]:[GASB]],_xlfn.AGGREGATE(15,3,(TableDiv[[Agency]:[Agency]]=$E293)/(TableDiv[[Agency]:[Agency]]=$E293)*(ROW(TableDiv[Agency])-ROW(TableDiv[[#Headers],[Agency]])),COLUMNS($F$7:R$7))))</f>
        <v>0</v>
      </c>
      <c r="S293" s="2223" cm="1">
        <f t="array" ref="S293">IF($D293&lt;COLUMNS($F$7:S$7),"",INDEX(TableDiv[[GASB]:[GASB]],_xlfn.AGGREGATE(15,3,(TableDiv[[Agency]:[Agency]]=$E293)/(TableDiv[[Agency]:[Agency]]=$E293)*(ROW(TableDiv[Agency])-ROW(TableDiv[[#Headers],[Agency]])),COLUMNS($F$7:S$7))))</f>
        <v>0</v>
      </c>
      <c r="T293" s="2223" cm="1">
        <f t="array" ref="T293">IF($D293&lt;COLUMNS($F$7:T$7),"",INDEX(TableDiv[[GASB]:[GASB]],_xlfn.AGGREGATE(15,3,(TableDiv[[Agency]:[Agency]]=$E293)/(TableDiv[[Agency]:[Agency]]=$E293)*(ROW(TableDiv[Agency])-ROW(TableDiv[[#Headers],[Agency]])),COLUMNS($F$7:T$7))))</f>
        <v>0</v>
      </c>
      <c r="U293" s="2223" cm="1">
        <f t="array" ref="U293">IF($D293&lt;COLUMNS($F$7:U$7),"",INDEX(TableDiv[[GASB]:[GASB]],_xlfn.AGGREGATE(15,3,(TableDiv[[Agency]:[Agency]]=$E293)/(TableDiv[[Agency]:[Agency]]=$E293)*(ROW(TableDiv[Agency])-ROW(TableDiv[[#Headers],[Agency]])),COLUMNS($F$7:U$7))))</f>
        <v>0</v>
      </c>
      <c r="V293" s="2223" cm="1">
        <f t="array" ref="V293">IF($D293&lt;COLUMNS($F$7:V$7),"",INDEX(TableDiv[[GASB]:[GASB]],_xlfn.AGGREGATE(15,3,(TableDiv[[Agency]:[Agency]]=$E293)/(TableDiv[[Agency]:[Agency]]=$E293)*(ROW(TableDiv[Agency])-ROW(TableDiv[[#Headers],[Agency]])),COLUMNS($F$7:V$7))))</f>
        <v>0</v>
      </c>
      <c r="W293" s="2223" cm="1">
        <f t="array" ref="W293">IF($D293&lt;COLUMNS($F$7:W$7),"",INDEX(TableDiv[[GASB]:[GASB]],_xlfn.AGGREGATE(15,3,(TableDiv[[Agency]:[Agency]]=$E293)/(TableDiv[[Agency]:[Agency]]=$E293)*(ROW(TableDiv[Agency])-ROW(TableDiv[[#Headers],[Agency]])),COLUMNS($F$7:W$7))))</f>
        <v>0</v>
      </c>
      <c r="X293" s="2223" cm="1">
        <f t="array" ref="X293">IF($D293&lt;COLUMNS($F$7:X$7),"",INDEX(TableDiv[[GASB]:[GASB]],_xlfn.AGGREGATE(15,3,(TableDiv[[Agency]:[Agency]]=$E293)/(TableDiv[[Agency]:[Agency]]=$E293)*(ROW(TableDiv[Agency])-ROW(TableDiv[[#Headers],[Agency]])),COLUMNS($F$7:X$7))))</f>
        <v>0</v>
      </c>
      <c r="Y293" s="2223" cm="1">
        <f t="array" ref="Y293">IF($D293&lt;COLUMNS($F$7:Y$7),"",INDEX(TableDiv[[GASB]:[GASB]],_xlfn.AGGREGATE(15,3,(TableDiv[[Agency]:[Agency]]=$E293)/(TableDiv[[Agency]:[Agency]]=$E293)*(ROW(TableDiv[Agency])-ROW(TableDiv[[#Headers],[Agency]])),COLUMNS($F$7:Y$7))))</f>
        <v>0</v>
      </c>
      <c r="Z293" s="2223" cm="1">
        <f t="array" ref="Z293">IF($D293&lt;COLUMNS($F$7:Z$7),"",INDEX(TableDiv[[GASB]:[GASB]],_xlfn.AGGREGATE(15,3,(TableDiv[[Agency]:[Agency]]=$E293)/(TableDiv[[Agency]:[Agency]]=$E293)*(ROW(TableDiv[Agency])-ROW(TableDiv[[#Headers],[Agency]])),COLUMNS($F$7:Z$7))))</f>
        <v>0</v>
      </c>
      <c r="AA293" s="2223" cm="1">
        <f t="array" ref="AA293">IF($D293&lt;COLUMNS($F$7:AA$7),"",INDEX(TableDiv[[GASB]:[GASB]],_xlfn.AGGREGATE(15,3,(TableDiv[[Agency]:[Agency]]=$E293)/(TableDiv[[Agency]:[Agency]]=$E293)*(ROW(TableDiv[Agency])-ROW(TableDiv[[#Headers],[Agency]])),COLUMNS($F$7:AA$7))))</f>
        <v>0</v>
      </c>
      <c r="AB293" s="2223" cm="1">
        <f t="array" ref="AB293">IF($D293&lt;COLUMNS($F$7:AB$7),"",INDEX(TableDiv[[GASB]:[GASB]],_xlfn.AGGREGATE(15,3,(TableDiv[[Agency]:[Agency]]=$E293)/(TableDiv[[Agency]:[Agency]]=$E293)*(ROW(TableDiv[Agency])-ROW(TableDiv[[#Headers],[Agency]])),COLUMNS($F$7:AB$7))))</f>
        <v>0</v>
      </c>
      <c r="AC293" s="2223" cm="1">
        <f t="array" ref="AC293">IF($D293&lt;COLUMNS($F$7:AC$7),"",INDEX(TableDiv[[GASB]:[GASB]],_xlfn.AGGREGATE(15,3,(TableDiv[[Agency]:[Agency]]=$E293)/(TableDiv[[Agency]:[Agency]]=$E293)*(ROW(TableDiv[Agency])-ROW(TableDiv[[#Headers],[Agency]])),COLUMNS($F$7:AC$7))))</f>
        <v>0</v>
      </c>
      <c r="AD293" s="2223" cm="1">
        <f t="array" ref="AD293">IF($D293&lt;COLUMNS($F$7:AD$7),"",INDEX(TableDiv[[GASB]:[GASB]],_xlfn.AGGREGATE(15,3,(TableDiv[[Agency]:[Agency]]=$E293)/(TableDiv[[Agency]:[Agency]]=$E293)*(ROW(TableDiv[Agency])-ROW(TableDiv[[#Headers],[Agency]])),COLUMNS($F$7:AD$7))))</f>
        <v>0</v>
      </c>
      <c r="AE293" s="2223" cm="1">
        <f t="array" ref="AE293">IF($D293&lt;COLUMNS($F$7:AE$7),"",INDEX(TableDiv[[GASB]:[GASB]],_xlfn.AGGREGATE(15,3,(TableDiv[[Agency]:[Agency]]=$E293)/(TableDiv[[Agency]:[Agency]]=$E293)*(ROW(TableDiv[Agency])-ROW(TableDiv[[#Headers],[Agency]])),COLUMNS($F$7:AE$7))))</f>
        <v>0</v>
      </c>
      <c r="AF293" s="2223" cm="1">
        <f t="array" ref="AF293">IF($D293&lt;COLUMNS($F$7:AF$7),"",INDEX(TableDiv[[GASB]:[GASB]],_xlfn.AGGREGATE(15,3,(TableDiv[[Agency]:[Agency]]=$E293)/(TableDiv[[Agency]:[Agency]]=$E293)*(ROW(TableDiv[Agency])-ROW(TableDiv[[#Headers],[Agency]])),COLUMNS($F$7:AF$7))))</f>
        <v>0</v>
      </c>
      <c r="AG293" s="2223" cm="1">
        <f t="array" ref="AG293">IF($D293&lt;COLUMNS($F$7:AG$7),"",INDEX(TableDiv[[GASB]:[GASB]],_xlfn.AGGREGATE(15,3,(TableDiv[[Agency]:[Agency]]=$E293)/(TableDiv[[Agency]:[Agency]]=$E293)*(ROW(TableDiv[Agency])-ROW(TableDiv[[#Headers],[Agency]])),COLUMNS($F$7:AG$7))))</f>
        <v>0</v>
      </c>
      <c r="AH293" s="2223" cm="1">
        <f t="array" ref="AH293">IF($D293&lt;COLUMNS($F$7:AH$7),"",INDEX(TableDiv[[GASB]:[GASB]],_xlfn.AGGREGATE(15,3,(TableDiv[[Agency]:[Agency]]=$E293)/(TableDiv[[Agency]:[Agency]]=$E293)*(ROW(TableDiv[Agency])-ROW(TableDiv[[#Headers],[Agency]])),COLUMNS($F$7:AH$7))))</f>
        <v>0</v>
      </c>
      <c r="AI293" s="2223" cm="1">
        <f t="array" ref="AI293">IF($D293&lt;COLUMNS($F$7:AI$7),"",INDEX(TableDiv[[GASB]:[GASB]],_xlfn.AGGREGATE(15,3,(TableDiv[[Agency]:[Agency]]=$E293)/(TableDiv[[Agency]:[Agency]]=$E293)*(ROW(TableDiv[Agency])-ROW(TableDiv[[#Headers],[Agency]])),COLUMNS($F$7:AI$7))))</f>
        <v>0</v>
      </c>
      <c r="AJ293" s="2223" cm="1">
        <f t="array" ref="AJ293">IF($D293&lt;COLUMNS($F$7:AJ$7),"",INDEX(TableDiv[[GASB]:[GASB]],_xlfn.AGGREGATE(15,3,(TableDiv[[Agency]:[Agency]]=$E293)/(TableDiv[[Agency]:[Agency]]=$E293)*(ROW(TableDiv[Agency])-ROW(TableDiv[[#Headers],[Agency]])),COLUMNS($F$7:AJ$7))))</f>
        <v>0</v>
      </c>
      <c r="AK293" s="2223" t="str" cm="1">
        <f t="array" ref="AK293">IF($D293&lt;COLUMNS($F$7:AK$7),"",INDEX(TableDiv[[GASB]:[GASB]],_xlfn.AGGREGATE(15,3,(TableDiv[[Agency]:[Agency]]=$E293)/(TableDiv[[Agency]:[Agency]]=$E293)*(ROW(TableDiv[Agency])-ROW(TableDiv[[#Headers],[Agency]])),COLUMNS($F$7:AK$7))))</f>
        <v/>
      </c>
      <c r="AL293" s="2223" t="str" cm="1">
        <f t="array" ref="AL293">IF($D293&lt;COLUMNS($F$7:AL$7),"",INDEX(TableDiv[[GASB]:[GASB]],_xlfn.AGGREGATE(15,3,(TableDiv[[Agency]:[Agency]]=$E293)/(TableDiv[[Agency]:[Agency]]=$E293)*(ROW(TableDiv[Agency])-ROW(TableDiv[[#Headers],[Agency]])),COLUMNS($F$7:AL$7))))</f>
        <v/>
      </c>
      <c r="AM293" s="2223" t="str" cm="1">
        <f t="array" ref="AM293">IF($D293&lt;COLUMNS($F$7:AM$7),"",INDEX(TableDiv[[GASB]:[GASB]],_xlfn.AGGREGATE(15,3,(TableDiv[[Agency]:[Agency]]=$E293)/(TableDiv[[Agency]:[Agency]]=$E293)*(ROW(TableDiv[Agency])-ROW(TableDiv[[#Headers],[Agency]])),COLUMNS($F$7:AM$7))))</f>
        <v/>
      </c>
      <c r="AN293" s="2223"/>
      <c r="AO293" s="2223"/>
      <c r="AP293" s="2223"/>
      <c r="AQ293" s="2223"/>
      <c r="AR293" s="2223"/>
      <c r="AS293" s="2223"/>
    </row>
    <row r="294" spans="1:45" ht="15" x14ac:dyDescent="0.25">
      <c r="A294" s="2219" t="s">
        <v>5119</v>
      </c>
      <c r="B294" s="2219" t="s">
        <v>6475</v>
      </c>
      <c r="C294" s="2223"/>
      <c r="D294" s="2223">
        <f>COUNTIF(TableDiv[Agency],E294)</f>
        <v>31</v>
      </c>
      <c r="E294" s="2230" t="str" cm="1">
        <f t="array" ref="E294">IFERROR(INDEX(TableDiv[Agency],MATCH(0,INDEX(COUNTIF($E$7:E293,TableDiv[Agency]),),0)),"")</f>
        <v/>
      </c>
      <c r="F294" s="2223" cm="1">
        <f t="array" ref="F294">IF($D294&lt;COLUMNS($F$7:F$7),"",INDEX(TableDiv[[GASB]:[GASB]],_xlfn.AGGREGATE(15,3,(TableDiv[[Agency]:[Agency]]=$E294)/(TableDiv[[Agency]:[Agency]]=$E294)*(ROW(TableDiv[Agency])-ROW(TableDiv[[#Headers],[Agency]])),COLUMNS($F$7:F$7))))</f>
        <v>0</v>
      </c>
      <c r="G294" s="2223" cm="1">
        <f t="array" ref="G294">IF($D294&lt;COLUMNS($F$7:G$7),"",INDEX(TableDiv[[GASB]:[GASB]],_xlfn.AGGREGATE(15,3,(TableDiv[[Agency]:[Agency]]=$E294)/(TableDiv[[Agency]:[Agency]]=$E294)*(ROW(TableDiv[Agency])-ROW(TableDiv[[#Headers],[Agency]])),COLUMNS($F$7:G$7))))</f>
        <v>0</v>
      </c>
      <c r="H294" s="2223" cm="1">
        <f t="array" ref="H294">IF($D294&lt;COLUMNS($F$7:H$7),"",INDEX(TableDiv[[GASB]:[GASB]],_xlfn.AGGREGATE(15,3,(TableDiv[[Agency]:[Agency]]=$E294)/(TableDiv[[Agency]:[Agency]]=$E294)*(ROW(TableDiv[Agency])-ROW(TableDiv[[#Headers],[Agency]])),COLUMNS($F$7:H$7))))</f>
        <v>0</v>
      </c>
      <c r="I294" s="2223" cm="1">
        <f t="array" ref="I294">IF($D294&lt;COLUMNS($F$7:I$7),"",INDEX(TableDiv[[GASB]:[GASB]],_xlfn.AGGREGATE(15,3,(TableDiv[[Agency]:[Agency]]=$E294)/(TableDiv[[Agency]:[Agency]]=$E294)*(ROW(TableDiv[Agency])-ROW(TableDiv[[#Headers],[Agency]])),COLUMNS($F$7:I$7))))</f>
        <v>0</v>
      </c>
      <c r="J294" s="2223" cm="1">
        <f t="array" ref="J294">IF($D294&lt;COLUMNS($F$7:J$7),"",INDEX(TableDiv[[GASB]:[GASB]],_xlfn.AGGREGATE(15,3,(TableDiv[[Agency]:[Agency]]=$E294)/(TableDiv[[Agency]:[Agency]]=$E294)*(ROW(TableDiv[Agency])-ROW(TableDiv[[#Headers],[Agency]])),COLUMNS($F$7:J$7))))</f>
        <v>0</v>
      </c>
      <c r="K294" s="2223" cm="1">
        <f t="array" ref="K294">IF($D294&lt;COLUMNS($F$7:K$7),"",INDEX(TableDiv[[GASB]:[GASB]],_xlfn.AGGREGATE(15,3,(TableDiv[[Agency]:[Agency]]=$E294)/(TableDiv[[Agency]:[Agency]]=$E294)*(ROW(TableDiv[Agency])-ROW(TableDiv[[#Headers],[Agency]])),COLUMNS($F$7:K$7))))</f>
        <v>0</v>
      </c>
      <c r="L294" s="2223" cm="1">
        <f t="array" ref="L294">IF($D294&lt;COLUMNS($F$7:L$7),"",INDEX(TableDiv[[GASB]:[GASB]],_xlfn.AGGREGATE(15,3,(TableDiv[[Agency]:[Agency]]=$E294)/(TableDiv[[Agency]:[Agency]]=$E294)*(ROW(TableDiv[Agency])-ROW(TableDiv[[#Headers],[Agency]])),COLUMNS($F$7:L$7))))</f>
        <v>0</v>
      </c>
      <c r="M294" s="2223" cm="1">
        <f t="array" ref="M294">IF($D294&lt;COLUMNS($F$7:M$7),"",INDEX(TableDiv[[GASB]:[GASB]],_xlfn.AGGREGATE(15,3,(TableDiv[[Agency]:[Agency]]=$E294)/(TableDiv[[Agency]:[Agency]]=$E294)*(ROW(TableDiv[Agency])-ROW(TableDiv[[#Headers],[Agency]])),COLUMNS($F$7:M$7))))</f>
        <v>0</v>
      </c>
      <c r="N294" s="2223" cm="1">
        <f t="array" ref="N294">IF($D294&lt;COLUMNS($F$7:N$7),"",INDEX(TableDiv[[GASB]:[GASB]],_xlfn.AGGREGATE(15,3,(TableDiv[[Agency]:[Agency]]=$E294)/(TableDiv[[Agency]:[Agency]]=$E294)*(ROW(TableDiv[Agency])-ROW(TableDiv[[#Headers],[Agency]])),COLUMNS($F$7:N$7))))</f>
        <v>0</v>
      </c>
      <c r="O294" s="2223" cm="1">
        <f t="array" ref="O294">IF($D294&lt;COLUMNS($F$7:O$7),"",INDEX(TableDiv[[GASB]:[GASB]],_xlfn.AGGREGATE(15,3,(TableDiv[[Agency]:[Agency]]=$E294)/(TableDiv[[Agency]:[Agency]]=$E294)*(ROW(TableDiv[Agency])-ROW(TableDiv[[#Headers],[Agency]])),COLUMNS($F$7:O$7))))</f>
        <v>0</v>
      </c>
      <c r="P294" s="2223" cm="1">
        <f t="array" ref="P294">IF($D294&lt;COLUMNS($F$7:P$7),"",INDEX(TableDiv[[GASB]:[GASB]],_xlfn.AGGREGATE(15,3,(TableDiv[[Agency]:[Agency]]=$E294)/(TableDiv[[Agency]:[Agency]]=$E294)*(ROW(TableDiv[Agency])-ROW(TableDiv[[#Headers],[Agency]])),COLUMNS($F$7:P$7))))</f>
        <v>0</v>
      </c>
      <c r="Q294" s="2223" cm="1">
        <f t="array" ref="Q294">IF($D294&lt;COLUMNS($F$7:Q$7),"",INDEX(TableDiv[[GASB]:[GASB]],_xlfn.AGGREGATE(15,3,(TableDiv[[Agency]:[Agency]]=$E294)/(TableDiv[[Agency]:[Agency]]=$E294)*(ROW(TableDiv[Agency])-ROW(TableDiv[[#Headers],[Agency]])),COLUMNS($F$7:Q$7))))</f>
        <v>0</v>
      </c>
      <c r="R294" s="2223" cm="1">
        <f t="array" ref="R294">IF($D294&lt;COLUMNS($F$7:R$7),"",INDEX(TableDiv[[GASB]:[GASB]],_xlfn.AGGREGATE(15,3,(TableDiv[[Agency]:[Agency]]=$E294)/(TableDiv[[Agency]:[Agency]]=$E294)*(ROW(TableDiv[Agency])-ROW(TableDiv[[#Headers],[Agency]])),COLUMNS($F$7:R$7))))</f>
        <v>0</v>
      </c>
      <c r="S294" s="2223" cm="1">
        <f t="array" ref="S294">IF($D294&lt;COLUMNS($F$7:S$7),"",INDEX(TableDiv[[GASB]:[GASB]],_xlfn.AGGREGATE(15,3,(TableDiv[[Agency]:[Agency]]=$E294)/(TableDiv[[Agency]:[Agency]]=$E294)*(ROW(TableDiv[Agency])-ROW(TableDiv[[#Headers],[Agency]])),COLUMNS($F$7:S$7))))</f>
        <v>0</v>
      </c>
      <c r="T294" s="2223" cm="1">
        <f t="array" ref="T294">IF($D294&lt;COLUMNS($F$7:T$7),"",INDEX(TableDiv[[GASB]:[GASB]],_xlfn.AGGREGATE(15,3,(TableDiv[[Agency]:[Agency]]=$E294)/(TableDiv[[Agency]:[Agency]]=$E294)*(ROW(TableDiv[Agency])-ROW(TableDiv[[#Headers],[Agency]])),COLUMNS($F$7:T$7))))</f>
        <v>0</v>
      </c>
      <c r="U294" s="2223" cm="1">
        <f t="array" ref="U294">IF($D294&lt;COLUMNS($F$7:U$7),"",INDEX(TableDiv[[GASB]:[GASB]],_xlfn.AGGREGATE(15,3,(TableDiv[[Agency]:[Agency]]=$E294)/(TableDiv[[Agency]:[Agency]]=$E294)*(ROW(TableDiv[Agency])-ROW(TableDiv[[#Headers],[Agency]])),COLUMNS($F$7:U$7))))</f>
        <v>0</v>
      </c>
      <c r="V294" s="2223" cm="1">
        <f t="array" ref="V294">IF($D294&lt;COLUMNS($F$7:V$7),"",INDEX(TableDiv[[GASB]:[GASB]],_xlfn.AGGREGATE(15,3,(TableDiv[[Agency]:[Agency]]=$E294)/(TableDiv[[Agency]:[Agency]]=$E294)*(ROW(TableDiv[Agency])-ROW(TableDiv[[#Headers],[Agency]])),COLUMNS($F$7:V$7))))</f>
        <v>0</v>
      </c>
      <c r="W294" s="2223" cm="1">
        <f t="array" ref="W294">IF($D294&lt;COLUMNS($F$7:W$7),"",INDEX(TableDiv[[GASB]:[GASB]],_xlfn.AGGREGATE(15,3,(TableDiv[[Agency]:[Agency]]=$E294)/(TableDiv[[Agency]:[Agency]]=$E294)*(ROW(TableDiv[Agency])-ROW(TableDiv[[#Headers],[Agency]])),COLUMNS($F$7:W$7))))</f>
        <v>0</v>
      </c>
      <c r="X294" s="2223" cm="1">
        <f t="array" ref="X294">IF($D294&lt;COLUMNS($F$7:X$7),"",INDEX(TableDiv[[GASB]:[GASB]],_xlfn.AGGREGATE(15,3,(TableDiv[[Agency]:[Agency]]=$E294)/(TableDiv[[Agency]:[Agency]]=$E294)*(ROW(TableDiv[Agency])-ROW(TableDiv[[#Headers],[Agency]])),COLUMNS($F$7:X$7))))</f>
        <v>0</v>
      </c>
      <c r="Y294" s="2223" cm="1">
        <f t="array" ref="Y294">IF($D294&lt;COLUMNS($F$7:Y$7),"",INDEX(TableDiv[[GASB]:[GASB]],_xlfn.AGGREGATE(15,3,(TableDiv[[Agency]:[Agency]]=$E294)/(TableDiv[[Agency]:[Agency]]=$E294)*(ROW(TableDiv[Agency])-ROW(TableDiv[[#Headers],[Agency]])),COLUMNS($F$7:Y$7))))</f>
        <v>0</v>
      </c>
      <c r="Z294" s="2223" cm="1">
        <f t="array" ref="Z294">IF($D294&lt;COLUMNS($F$7:Z$7),"",INDEX(TableDiv[[GASB]:[GASB]],_xlfn.AGGREGATE(15,3,(TableDiv[[Agency]:[Agency]]=$E294)/(TableDiv[[Agency]:[Agency]]=$E294)*(ROW(TableDiv[Agency])-ROW(TableDiv[[#Headers],[Agency]])),COLUMNS($F$7:Z$7))))</f>
        <v>0</v>
      </c>
      <c r="AA294" s="2223" cm="1">
        <f t="array" ref="AA294">IF($D294&lt;COLUMNS($F$7:AA$7),"",INDEX(TableDiv[[GASB]:[GASB]],_xlfn.AGGREGATE(15,3,(TableDiv[[Agency]:[Agency]]=$E294)/(TableDiv[[Agency]:[Agency]]=$E294)*(ROW(TableDiv[Agency])-ROW(TableDiv[[#Headers],[Agency]])),COLUMNS($F$7:AA$7))))</f>
        <v>0</v>
      </c>
      <c r="AB294" s="2223" cm="1">
        <f t="array" ref="AB294">IF($D294&lt;COLUMNS($F$7:AB$7),"",INDEX(TableDiv[[GASB]:[GASB]],_xlfn.AGGREGATE(15,3,(TableDiv[[Agency]:[Agency]]=$E294)/(TableDiv[[Agency]:[Agency]]=$E294)*(ROW(TableDiv[Agency])-ROW(TableDiv[[#Headers],[Agency]])),COLUMNS($F$7:AB$7))))</f>
        <v>0</v>
      </c>
      <c r="AC294" s="2223" cm="1">
        <f t="array" ref="AC294">IF($D294&lt;COLUMNS($F$7:AC$7),"",INDEX(TableDiv[[GASB]:[GASB]],_xlfn.AGGREGATE(15,3,(TableDiv[[Agency]:[Agency]]=$E294)/(TableDiv[[Agency]:[Agency]]=$E294)*(ROW(TableDiv[Agency])-ROW(TableDiv[[#Headers],[Agency]])),COLUMNS($F$7:AC$7))))</f>
        <v>0</v>
      </c>
      <c r="AD294" s="2223" cm="1">
        <f t="array" ref="AD294">IF($D294&lt;COLUMNS($F$7:AD$7),"",INDEX(TableDiv[[GASB]:[GASB]],_xlfn.AGGREGATE(15,3,(TableDiv[[Agency]:[Agency]]=$E294)/(TableDiv[[Agency]:[Agency]]=$E294)*(ROW(TableDiv[Agency])-ROW(TableDiv[[#Headers],[Agency]])),COLUMNS($F$7:AD$7))))</f>
        <v>0</v>
      </c>
      <c r="AE294" s="2223" cm="1">
        <f t="array" ref="AE294">IF($D294&lt;COLUMNS($F$7:AE$7),"",INDEX(TableDiv[[GASB]:[GASB]],_xlfn.AGGREGATE(15,3,(TableDiv[[Agency]:[Agency]]=$E294)/(TableDiv[[Agency]:[Agency]]=$E294)*(ROW(TableDiv[Agency])-ROW(TableDiv[[#Headers],[Agency]])),COLUMNS($F$7:AE$7))))</f>
        <v>0</v>
      </c>
      <c r="AF294" s="2223" cm="1">
        <f t="array" ref="AF294">IF($D294&lt;COLUMNS($F$7:AF$7),"",INDEX(TableDiv[[GASB]:[GASB]],_xlfn.AGGREGATE(15,3,(TableDiv[[Agency]:[Agency]]=$E294)/(TableDiv[[Agency]:[Agency]]=$E294)*(ROW(TableDiv[Agency])-ROW(TableDiv[[#Headers],[Agency]])),COLUMNS($F$7:AF$7))))</f>
        <v>0</v>
      </c>
      <c r="AG294" s="2223" cm="1">
        <f t="array" ref="AG294">IF($D294&lt;COLUMNS($F$7:AG$7),"",INDEX(TableDiv[[GASB]:[GASB]],_xlfn.AGGREGATE(15,3,(TableDiv[[Agency]:[Agency]]=$E294)/(TableDiv[[Agency]:[Agency]]=$E294)*(ROW(TableDiv[Agency])-ROW(TableDiv[[#Headers],[Agency]])),COLUMNS($F$7:AG$7))))</f>
        <v>0</v>
      </c>
      <c r="AH294" s="2223" cm="1">
        <f t="array" ref="AH294">IF($D294&lt;COLUMNS($F$7:AH$7),"",INDEX(TableDiv[[GASB]:[GASB]],_xlfn.AGGREGATE(15,3,(TableDiv[[Agency]:[Agency]]=$E294)/(TableDiv[[Agency]:[Agency]]=$E294)*(ROW(TableDiv[Agency])-ROW(TableDiv[[#Headers],[Agency]])),COLUMNS($F$7:AH$7))))</f>
        <v>0</v>
      </c>
      <c r="AI294" s="2223" cm="1">
        <f t="array" ref="AI294">IF($D294&lt;COLUMNS($F$7:AI$7),"",INDEX(TableDiv[[GASB]:[GASB]],_xlfn.AGGREGATE(15,3,(TableDiv[[Agency]:[Agency]]=$E294)/(TableDiv[[Agency]:[Agency]]=$E294)*(ROW(TableDiv[Agency])-ROW(TableDiv[[#Headers],[Agency]])),COLUMNS($F$7:AI$7))))</f>
        <v>0</v>
      </c>
      <c r="AJ294" s="2223" cm="1">
        <f t="array" ref="AJ294">IF($D294&lt;COLUMNS($F$7:AJ$7),"",INDEX(TableDiv[[GASB]:[GASB]],_xlfn.AGGREGATE(15,3,(TableDiv[[Agency]:[Agency]]=$E294)/(TableDiv[[Agency]:[Agency]]=$E294)*(ROW(TableDiv[Agency])-ROW(TableDiv[[#Headers],[Agency]])),COLUMNS($F$7:AJ$7))))</f>
        <v>0</v>
      </c>
      <c r="AK294" s="2223" t="str" cm="1">
        <f t="array" ref="AK294">IF($D294&lt;COLUMNS($F$7:AK$7),"",INDEX(TableDiv[[GASB]:[GASB]],_xlfn.AGGREGATE(15,3,(TableDiv[[Agency]:[Agency]]=$E294)/(TableDiv[[Agency]:[Agency]]=$E294)*(ROW(TableDiv[Agency])-ROW(TableDiv[[#Headers],[Agency]])),COLUMNS($F$7:AK$7))))</f>
        <v/>
      </c>
      <c r="AL294" s="2223" t="str" cm="1">
        <f t="array" ref="AL294">IF($D294&lt;COLUMNS($F$7:AL$7),"",INDEX(TableDiv[[GASB]:[GASB]],_xlfn.AGGREGATE(15,3,(TableDiv[[Agency]:[Agency]]=$E294)/(TableDiv[[Agency]:[Agency]]=$E294)*(ROW(TableDiv[Agency])-ROW(TableDiv[[#Headers],[Agency]])),COLUMNS($F$7:AL$7))))</f>
        <v/>
      </c>
      <c r="AM294" s="2223" t="str" cm="1">
        <f t="array" ref="AM294">IF($D294&lt;COLUMNS($F$7:AM$7),"",INDEX(TableDiv[[GASB]:[GASB]],_xlfn.AGGREGATE(15,3,(TableDiv[[Agency]:[Agency]]=$E294)/(TableDiv[[Agency]:[Agency]]=$E294)*(ROW(TableDiv[Agency])-ROW(TableDiv[[#Headers],[Agency]])),COLUMNS($F$7:AM$7))))</f>
        <v/>
      </c>
      <c r="AN294" s="2223"/>
      <c r="AO294" s="2223"/>
      <c r="AP294" s="2223"/>
      <c r="AQ294" s="2223"/>
      <c r="AR294" s="2223"/>
      <c r="AS294" s="2223"/>
    </row>
    <row r="295" spans="1:45" ht="15" x14ac:dyDescent="0.25">
      <c r="A295" s="2219" t="s">
        <v>5119</v>
      </c>
      <c r="B295" s="2219" t="s">
        <v>6476</v>
      </c>
      <c r="C295" s="2223"/>
      <c r="D295" s="2223">
        <f>COUNTIF(TableDiv[Agency],E295)</f>
        <v>31</v>
      </c>
      <c r="E295" s="2230" t="str" cm="1">
        <f t="array" ref="E295">IFERROR(INDEX(TableDiv[Agency],MATCH(0,INDEX(COUNTIF($E$7:E294,TableDiv[Agency]),),0)),"")</f>
        <v/>
      </c>
      <c r="F295" s="2223" cm="1">
        <f t="array" ref="F295">IF($D295&lt;COLUMNS($F$7:F$7),"",INDEX(TableDiv[[GASB]:[GASB]],_xlfn.AGGREGATE(15,3,(TableDiv[[Agency]:[Agency]]=$E295)/(TableDiv[[Agency]:[Agency]]=$E295)*(ROW(TableDiv[Agency])-ROW(TableDiv[[#Headers],[Agency]])),COLUMNS($F$7:F$7))))</f>
        <v>0</v>
      </c>
      <c r="G295" s="2223" cm="1">
        <f t="array" ref="G295">IF($D295&lt;COLUMNS($F$7:G$7),"",INDEX(TableDiv[[GASB]:[GASB]],_xlfn.AGGREGATE(15,3,(TableDiv[[Agency]:[Agency]]=$E295)/(TableDiv[[Agency]:[Agency]]=$E295)*(ROW(TableDiv[Agency])-ROW(TableDiv[[#Headers],[Agency]])),COLUMNS($F$7:G$7))))</f>
        <v>0</v>
      </c>
      <c r="H295" s="2223" cm="1">
        <f t="array" ref="H295">IF($D295&lt;COLUMNS($F$7:H$7),"",INDEX(TableDiv[[GASB]:[GASB]],_xlfn.AGGREGATE(15,3,(TableDiv[[Agency]:[Agency]]=$E295)/(TableDiv[[Agency]:[Agency]]=$E295)*(ROW(TableDiv[Agency])-ROW(TableDiv[[#Headers],[Agency]])),COLUMNS($F$7:H$7))))</f>
        <v>0</v>
      </c>
      <c r="I295" s="2223" cm="1">
        <f t="array" ref="I295">IF($D295&lt;COLUMNS($F$7:I$7),"",INDEX(TableDiv[[GASB]:[GASB]],_xlfn.AGGREGATE(15,3,(TableDiv[[Agency]:[Agency]]=$E295)/(TableDiv[[Agency]:[Agency]]=$E295)*(ROW(TableDiv[Agency])-ROW(TableDiv[[#Headers],[Agency]])),COLUMNS($F$7:I$7))))</f>
        <v>0</v>
      </c>
      <c r="J295" s="2223" cm="1">
        <f t="array" ref="J295">IF($D295&lt;COLUMNS($F$7:J$7),"",INDEX(TableDiv[[GASB]:[GASB]],_xlfn.AGGREGATE(15,3,(TableDiv[[Agency]:[Agency]]=$E295)/(TableDiv[[Agency]:[Agency]]=$E295)*(ROW(TableDiv[Agency])-ROW(TableDiv[[#Headers],[Agency]])),COLUMNS($F$7:J$7))))</f>
        <v>0</v>
      </c>
      <c r="K295" s="2223" cm="1">
        <f t="array" ref="K295">IF($D295&lt;COLUMNS($F$7:K$7),"",INDEX(TableDiv[[GASB]:[GASB]],_xlfn.AGGREGATE(15,3,(TableDiv[[Agency]:[Agency]]=$E295)/(TableDiv[[Agency]:[Agency]]=$E295)*(ROW(TableDiv[Agency])-ROW(TableDiv[[#Headers],[Agency]])),COLUMNS($F$7:K$7))))</f>
        <v>0</v>
      </c>
      <c r="L295" s="2223" cm="1">
        <f t="array" ref="L295">IF($D295&lt;COLUMNS($F$7:L$7),"",INDEX(TableDiv[[GASB]:[GASB]],_xlfn.AGGREGATE(15,3,(TableDiv[[Agency]:[Agency]]=$E295)/(TableDiv[[Agency]:[Agency]]=$E295)*(ROW(TableDiv[Agency])-ROW(TableDiv[[#Headers],[Agency]])),COLUMNS($F$7:L$7))))</f>
        <v>0</v>
      </c>
      <c r="M295" s="2223" cm="1">
        <f t="array" ref="M295">IF($D295&lt;COLUMNS($F$7:M$7),"",INDEX(TableDiv[[GASB]:[GASB]],_xlfn.AGGREGATE(15,3,(TableDiv[[Agency]:[Agency]]=$E295)/(TableDiv[[Agency]:[Agency]]=$E295)*(ROW(TableDiv[Agency])-ROW(TableDiv[[#Headers],[Agency]])),COLUMNS($F$7:M$7))))</f>
        <v>0</v>
      </c>
      <c r="N295" s="2223" cm="1">
        <f t="array" ref="N295">IF($D295&lt;COLUMNS($F$7:N$7),"",INDEX(TableDiv[[GASB]:[GASB]],_xlfn.AGGREGATE(15,3,(TableDiv[[Agency]:[Agency]]=$E295)/(TableDiv[[Agency]:[Agency]]=$E295)*(ROW(TableDiv[Agency])-ROW(TableDiv[[#Headers],[Agency]])),COLUMNS($F$7:N$7))))</f>
        <v>0</v>
      </c>
      <c r="O295" s="2223" cm="1">
        <f t="array" ref="O295">IF($D295&lt;COLUMNS($F$7:O$7),"",INDEX(TableDiv[[GASB]:[GASB]],_xlfn.AGGREGATE(15,3,(TableDiv[[Agency]:[Agency]]=$E295)/(TableDiv[[Agency]:[Agency]]=$E295)*(ROW(TableDiv[Agency])-ROW(TableDiv[[#Headers],[Agency]])),COLUMNS($F$7:O$7))))</f>
        <v>0</v>
      </c>
      <c r="P295" s="2223" cm="1">
        <f t="array" ref="P295">IF($D295&lt;COLUMNS($F$7:P$7),"",INDEX(TableDiv[[GASB]:[GASB]],_xlfn.AGGREGATE(15,3,(TableDiv[[Agency]:[Agency]]=$E295)/(TableDiv[[Agency]:[Agency]]=$E295)*(ROW(TableDiv[Agency])-ROW(TableDiv[[#Headers],[Agency]])),COLUMNS($F$7:P$7))))</f>
        <v>0</v>
      </c>
      <c r="Q295" s="2223" cm="1">
        <f t="array" ref="Q295">IF($D295&lt;COLUMNS($F$7:Q$7),"",INDEX(TableDiv[[GASB]:[GASB]],_xlfn.AGGREGATE(15,3,(TableDiv[[Agency]:[Agency]]=$E295)/(TableDiv[[Agency]:[Agency]]=$E295)*(ROW(TableDiv[Agency])-ROW(TableDiv[[#Headers],[Agency]])),COLUMNS($F$7:Q$7))))</f>
        <v>0</v>
      </c>
      <c r="R295" s="2223" cm="1">
        <f t="array" ref="R295">IF($D295&lt;COLUMNS($F$7:R$7),"",INDEX(TableDiv[[GASB]:[GASB]],_xlfn.AGGREGATE(15,3,(TableDiv[[Agency]:[Agency]]=$E295)/(TableDiv[[Agency]:[Agency]]=$E295)*(ROW(TableDiv[Agency])-ROW(TableDiv[[#Headers],[Agency]])),COLUMNS($F$7:R$7))))</f>
        <v>0</v>
      </c>
      <c r="S295" s="2223" cm="1">
        <f t="array" ref="S295">IF($D295&lt;COLUMNS($F$7:S$7),"",INDEX(TableDiv[[GASB]:[GASB]],_xlfn.AGGREGATE(15,3,(TableDiv[[Agency]:[Agency]]=$E295)/(TableDiv[[Agency]:[Agency]]=$E295)*(ROW(TableDiv[Agency])-ROW(TableDiv[[#Headers],[Agency]])),COLUMNS($F$7:S$7))))</f>
        <v>0</v>
      </c>
      <c r="T295" s="2223" cm="1">
        <f t="array" ref="T295">IF($D295&lt;COLUMNS($F$7:T$7),"",INDEX(TableDiv[[GASB]:[GASB]],_xlfn.AGGREGATE(15,3,(TableDiv[[Agency]:[Agency]]=$E295)/(TableDiv[[Agency]:[Agency]]=$E295)*(ROW(TableDiv[Agency])-ROW(TableDiv[[#Headers],[Agency]])),COLUMNS($F$7:T$7))))</f>
        <v>0</v>
      </c>
      <c r="U295" s="2223" cm="1">
        <f t="array" ref="U295">IF($D295&lt;COLUMNS($F$7:U$7),"",INDEX(TableDiv[[GASB]:[GASB]],_xlfn.AGGREGATE(15,3,(TableDiv[[Agency]:[Agency]]=$E295)/(TableDiv[[Agency]:[Agency]]=$E295)*(ROW(TableDiv[Agency])-ROW(TableDiv[[#Headers],[Agency]])),COLUMNS($F$7:U$7))))</f>
        <v>0</v>
      </c>
      <c r="V295" s="2223" cm="1">
        <f t="array" ref="V295">IF($D295&lt;COLUMNS($F$7:V$7),"",INDEX(TableDiv[[GASB]:[GASB]],_xlfn.AGGREGATE(15,3,(TableDiv[[Agency]:[Agency]]=$E295)/(TableDiv[[Agency]:[Agency]]=$E295)*(ROW(TableDiv[Agency])-ROW(TableDiv[[#Headers],[Agency]])),COLUMNS($F$7:V$7))))</f>
        <v>0</v>
      </c>
      <c r="W295" s="2223" cm="1">
        <f t="array" ref="W295">IF($D295&lt;COLUMNS($F$7:W$7),"",INDEX(TableDiv[[GASB]:[GASB]],_xlfn.AGGREGATE(15,3,(TableDiv[[Agency]:[Agency]]=$E295)/(TableDiv[[Agency]:[Agency]]=$E295)*(ROW(TableDiv[Agency])-ROW(TableDiv[[#Headers],[Agency]])),COLUMNS($F$7:W$7))))</f>
        <v>0</v>
      </c>
      <c r="X295" s="2223" cm="1">
        <f t="array" ref="X295">IF($D295&lt;COLUMNS($F$7:X$7),"",INDEX(TableDiv[[GASB]:[GASB]],_xlfn.AGGREGATE(15,3,(TableDiv[[Agency]:[Agency]]=$E295)/(TableDiv[[Agency]:[Agency]]=$E295)*(ROW(TableDiv[Agency])-ROW(TableDiv[[#Headers],[Agency]])),COLUMNS($F$7:X$7))))</f>
        <v>0</v>
      </c>
      <c r="Y295" s="2223" cm="1">
        <f t="array" ref="Y295">IF($D295&lt;COLUMNS($F$7:Y$7),"",INDEX(TableDiv[[GASB]:[GASB]],_xlfn.AGGREGATE(15,3,(TableDiv[[Agency]:[Agency]]=$E295)/(TableDiv[[Agency]:[Agency]]=$E295)*(ROW(TableDiv[Agency])-ROW(TableDiv[[#Headers],[Agency]])),COLUMNS($F$7:Y$7))))</f>
        <v>0</v>
      </c>
      <c r="Z295" s="2223" cm="1">
        <f t="array" ref="Z295">IF($D295&lt;COLUMNS($F$7:Z$7),"",INDEX(TableDiv[[GASB]:[GASB]],_xlfn.AGGREGATE(15,3,(TableDiv[[Agency]:[Agency]]=$E295)/(TableDiv[[Agency]:[Agency]]=$E295)*(ROW(TableDiv[Agency])-ROW(TableDiv[[#Headers],[Agency]])),COLUMNS($F$7:Z$7))))</f>
        <v>0</v>
      </c>
      <c r="AA295" s="2223" cm="1">
        <f t="array" ref="AA295">IF($D295&lt;COLUMNS($F$7:AA$7),"",INDEX(TableDiv[[GASB]:[GASB]],_xlfn.AGGREGATE(15,3,(TableDiv[[Agency]:[Agency]]=$E295)/(TableDiv[[Agency]:[Agency]]=$E295)*(ROW(TableDiv[Agency])-ROW(TableDiv[[#Headers],[Agency]])),COLUMNS($F$7:AA$7))))</f>
        <v>0</v>
      </c>
      <c r="AB295" s="2223" cm="1">
        <f t="array" ref="AB295">IF($D295&lt;COLUMNS($F$7:AB$7),"",INDEX(TableDiv[[GASB]:[GASB]],_xlfn.AGGREGATE(15,3,(TableDiv[[Agency]:[Agency]]=$E295)/(TableDiv[[Agency]:[Agency]]=$E295)*(ROW(TableDiv[Agency])-ROW(TableDiv[[#Headers],[Agency]])),COLUMNS($F$7:AB$7))))</f>
        <v>0</v>
      </c>
      <c r="AC295" s="2223" cm="1">
        <f t="array" ref="AC295">IF($D295&lt;COLUMNS($F$7:AC$7),"",INDEX(TableDiv[[GASB]:[GASB]],_xlfn.AGGREGATE(15,3,(TableDiv[[Agency]:[Agency]]=$E295)/(TableDiv[[Agency]:[Agency]]=$E295)*(ROW(TableDiv[Agency])-ROW(TableDiv[[#Headers],[Agency]])),COLUMNS($F$7:AC$7))))</f>
        <v>0</v>
      </c>
      <c r="AD295" s="2223" cm="1">
        <f t="array" ref="AD295">IF($D295&lt;COLUMNS($F$7:AD$7),"",INDEX(TableDiv[[GASB]:[GASB]],_xlfn.AGGREGATE(15,3,(TableDiv[[Agency]:[Agency]]=$E295)/(TableDiv[[Agency]:[Agency]]=$E295)*(ROW(TableDiv[Agency])-ROW(TableDiv[[#Headers],[Agency]])),COLUMNS($F$7:AD$7))))</f>
        <v>0</v>
      </c>
      <c r="AE295" s="2223" cm="1">
        <f t="array" ref="AE295">IF($D295&lt;COLUMNS($F$7:AE$7),"",INDEX(TableDiv[[GASB]:[GASB]],_xlfn.AGGREGATE(15,3,(TableDiv[[Agency]:[Agency]]=$E295)/(TableDiv[[Agency]:[Agency]]=$E295)*(ROW(TableDiv[Agency])-ROW(TableDiv[[#Headers],[Agency]])),COLUMNS($F$7:AE$7))))</f>
        <v>0</v>
      </c>
      <c r="AF295" s="2223" cm="1">
        <f t="array" ref="AF295">IF($D295&lt;COLUMNS($F$7:AF$7),"",INDEX(TableDiv[[GASB]:[GASB]],_xlfn.AGGREGATE(15,3,(TableDiv[[Agency]:[Agency]]=$E295)/(TableDiv[[Agency]:[Agency]]=$E295)*(ROW(TableDiv[Agency])-ROW(TableDiv[[#Headers],[Agency]])),COLUMNS($F$7:AF$7))))</f>
        <v>0</v>
      </c>
      <c r="AG295" s="2223" cm="1">
        <f t="array" ref="AG295">IF($D295&lt;COLUMNS($F$7:AG$7),"",INDEX(TableDiv[[GASB]:[GASB]],_xlfn.AGGREGATE(15,3,(TableDiv[[Agency]:[Agency]]=$E295)/(TableDiv[[Agency]:[Agency]]=$E295)*(ROW(TableDiv[Agency])-ROW(TableDiv[[#Headers],[Agency]])),COLUMNS($F$7:AG$7))))</f>
        <v>0</v>
      </c>
      <c r="AH295" s="2223" cm="1">
        <f t="array" ref="AH295">IF($D295&lt;COLUMNS($F$7:AH$7),"",INDEX(TableDiv[[GASB]:[GASB]],_xlfn.AGGREGATE(15,3,(TableDiv[[Agency]:[Agency]]=$E295)/(TableDiv[[Agency]:[Agency]]=$E295)*(ROW(TableDiv[Agency])-ROW(TableDiv[[#Headers],[Agency]])),COLUMNS($F$7:AH$7))))</f>
        <v>0</v>
      </c>
      <c r="AI295" s="2223" cm="1">
        <f t="array" ref="AI295">IF($D295&lt;COLUMNS($F$7:AI$7),"",INDEX(TableDiv[[GASB]:[GASB]],_xlfn.AGGREGATE(15,3,(TableDiv[[Agency]:[Agency]]=$E295)/(TableDiv[[Agency]:[Agency]]=$E295)*(ROW(TableDiv[Agency])-ROW(TableDiv[[#Headers],[Agency]])),COLUMNS($F$7:AI$7))))</f>
        <v>0</v>
      </c>
      <c r="AJ295" s="2223" cm="1">
        <f t="array" ref="AJ295">IF($D295&lt;COLUMNS($F$7:AJ$7),"",INDEX(TableDiv[[GASB]:[GASB]],_xlfn.AGGREGATE(15,3,(TableDiv[[Agency]:[Agency]]=$E295)/(TableDiv[[Agency]:[Agency]]=$E295)*(ROW(TableDiv[Agency])-ROW(TableDiv[[#Headers],[Agency]])),COLUMNS($F$7:AJ$7))))</f>
        <v>0</v>
      </c>
      <c r="AK295" s="2223" t="str" cm="1">
        <f t="array" ref="AK295">IF($D295&lt;COLUMNS($F$7:AK$7),"",INDEX(TableDiv[[GASB]:[GASB]],_xlfn.AGGREGATE(15,3,(TableDiv[[Agency]:[Agency]]=$E295)/(TableDiv[[Agency]:[Agency]]=$E295)*(ROW(TableDiv[Agency])-ROW(TableDiv[[#Headers],[Agency]])),COLUMNS($F$7:AK$7))))</f>
        <v/>
      </c>
      <c r="AL295" s="2223" t="str" cm="1">
        <f t="array" ref="AL295">IF($D295&lt;COLUMNS($F$7:AL$7),"",INDEX(TableDiv[[GASB]:[GASB]],_xlfn.AGGREGATE(15,3,(TableDiv[[Agency]:[Agency]]=$E295)/(TableDiv[[Agency]:[Agency]]=$E295)*(ROW(TableDiv[Agency])-ROW(TableDiv[[#Headers],[Agency]])),COLUMNS($F$7:AL$7))))</f>
        <v/>
      </c>
      <c r="AM295" s="2223" t="str" cm="1">
        <f t="array" ref="AM295">IF($D295&lt;COLUMNS($F$7:AM$7),"",INDEX(TableDiv[[GASB]:[GASB]],_xlfn.AGGREGATE(15,3,(TableDiv[[Agency]:[Agency]]=$E295)/(TableDiv[[Agency]:[Agency]]=$E295)*(ROW(TableDiv[Agency])-ROW(TableDiv[[#Headers],[Agency]])),COLUMNS($F$7:AM$7))))</f>
        <v/>
      </c>
      <c r="AN295" s="2223"/>
      <c r="AO295" s="2223"/>
      <c r="AP295" s="2223"/>
      <c r="AQ295" s="2223"/>
      <c r="AR295" s="2223"/>
      <c r="AS295" s="2223"/>
    </row>
    <row r="296" spans="1:45" ht="15" x14ac:dyDescent="0.25">
      <c r="A296" s="2219" t="s">
        <v>5119</v>
      </c>
      <c r="B296" s="2219" t="s">
        <v>6477</v>
      </c>
      <c r="C296" s="2223"/>
      <c r="D296" s="2223">
        <f>COUNTIF(TableDiv[Agency],E296)</f>
        <v>31</v>
      </c>
      <c r="E296" s="2230" t="str" cm="1">
        <f t="array" ref="E296">IFERROR(INDEX(TableDiv[Agency],MATCH(0,INDEX(COUNTIF($E$7:E295,TableDiv[Agency]),),0)),"")</f>
        <v/>
      </c>
      <c r="F296" s="2223" cm="1">
        <f t="array" ref="F296">IF($D296&lt;COLUMNS($F$7:F$7),"",INDEX(TableDiv[[GASB]:[GASB]],_xlfn.AGGREGATE(15,3,(TableDiv[[Agency]:[Agency]]=$E296)/(TableDiv[[Agency]:[Agency]]=$E296)*(ROW(TableDiv[Agency])-ROW(TableDiv[[#Headers],[Agency]])),COLUMNS($F$7:F$7))))</f>
        <v>0</v>
      </c>
      <c r="G296" s="2223" cm="1">
        <f t="array" ref="G296">IF($D296&lt;COLUMNS($F$7:G$7),"",INDEX(TableDiv[[GASB]:[GASB]],_xlfn.AGGREGATE(15,3,(TableDiv[[Agency]:[Agency]]=$E296)/(TableDiv[[Agency]:[Agency]]=$E296)*(ROW(TableDiv[Agency])-ROW(TableDiv[[#Headers],[Agency]])),COLUMNS($F$7:G$7))))</f>
        <v>0</v>
      </c>
      <c r="H296" s="2223" cm="1">
        <f t="array" ref="H296">IF($D296&lt;COLUMNS($F$7:H$7),"",INDEX(TableDiv[[GASB]:[GASB]],_xlfn.AGGREGATE(15,3,(TableDiv[[Agency]:[Agency]]=$E296)/(TableDiv[[Agency]:[Agency]]=$E296)*(ROW(TableDiv[Agency])-ROW(TableDiv[[#Headers],[Agency]])),COLUMNS($F$7:H$7))))</f>
        <v>0</v>
      </c>
      <c r="I296" s="2223" cm="1">
        <f t="array" ref="I296">IF($D296&lt;COLUMNS($F$7:I$7),"",INDEX(TableDiv[[GASB]:[GASB]],_xlfn.AGGREGATE(15,3,(TableDiv[[Agency]:[Agency]]=$E296)/(TableDiv[[Agency]:[Agency]]=$E296)*(ROW(TableDiv[Agency])-ROW(TableDiv[[#Headers],[Agency]])),COLUMNS($F$7:I$7))))</f>
        <v>0</v>
      </c>
      <c r="J296" s="2223" cm="1">
        <f t="array" ref="J296">IF($D296&lt;COLUMNS($F$7:J$7),"",INDEX(TableDiv[[GASB]:[GASB]],_xlfn.AGGREGATE(15,3,(TableDiv[[Agency]:[Agency]]=$E296)/(TableDiv[[Agency]:[Agency]]=$E296)*(ROW(TableDiv[Agency])-ROW(TableDiv[[#Headers],[Agency]])),COLUMNS($F$7:J$7))))</f>
        <v>0</v>
      </c>
      <c r="K296" s="2223" cm="1">
        <f t="array" ref="K296">IF($D296&lt;COLUMNS($F$7:K$7),"",INDEX(TableDiv[[GASB]:[GASB]],_xlfn.AGGREGATE(15,3,(TableDiv[[Agency]:[Agency]]=$E296)/(TableDiv[[Agency]:[Agency]]=$E296)*(ROW(TableDiv[Agency])-ROW(TableDiv[[#Headers],[Agency]])),COLUMNS($F$7:K$7))))</f>
        <v>0</v>
      </c>
      <c r="L296" s="2223" cm="1">
        <f t="array" ref="L296">IF($D296&lt;COLUMNS($F$7:L$7),"",INDEX(TableDiv[[GASB]:[GASB]],_xlfn.AGGREGATE(15,3,(TableDiv[[Agency]:[Agency]]=$E296)/(TableDiv[[Agency]:[Agency]]=$E296)*(ROW(TableDiv[Agency])-ROW(TableDiv[[#Headers],[Agency]])),COLUMNS($F$7:L$7))))</f>
        <v>0</v>
      </c>
      <c r="M296" s="2223" cm="1">
        <f t="array" ref="M296">IF($D296&lt;COLUMNS($F$7:M$7),"",INDEX(TableDiv[[GASB]:[GASB]],_xlfn.AGGREGATE(15,3,(TableDiv[[Agency]:[Agency]]=$E296)/(TableDiv[[Agency]:[Agency]]=$E296)*(ROW(TableDiv[Agency])-ROW(TableDiv[[#Headers],[Agency]])),COLUMNS($F$7:M$7))))</f>
        <v>0</v>
      </c>
      <c r="N296" s="2223" cm="1">
        <f t="array" ref="N296">IF($D296&lt;COLUMNS($F$7:N$7),"",INDEX(TableDiv[[GASB]:[GASB]],_xlfn.AGGREGATE(15,3,(TableDiv[[Agency]:[Agency]]=$E296)/(TableDiv[[Agency]:[Agency]]=$E296)*(ROW(TableDiv[Agency])-ROW(TableDiv[[#Headers],[Agency]])),COLUMNS($F$7:N$7))))</f>
        <v>0</v>
      </c>
      <c r="O296" s="2223" cm="1">
        <f t="array" ref="O296">IF($D296&lt;COLUMNS($F$7:O$7),"",INDEX(TableDiv[[GASB]:[GASB]],_xlfn.AGGREGATE(15,3,(TableDiv[[Agency]:[Agency]]=$E296)/(TableDiv[[Agency]:[Agency]]=$E296)*(ROW(TableDiv[Agency])-ROW(TableDiv[[#Headers],[Agency]])),COLUMNS($F$7:O$7))))</f>
        <v>0</v>
      </c>
      <c r="P296" s="2223" cm="1">
        <f t="array" ref="P296">IF($D296&lt;COLUMNS($F$7:P$7),"",INDEX(TableDiv[[GASB]:[GASB]],_xlfn.AGGREGATE(15,3,(TableDiv[[Agency]:[Agency]]=$E296)/(TableDiv[[Agency]:[Agency]]=$E296)*(ROW(TableDiv[Agency])-ROW(TableDiv[[#Headers],[Agency]])),COLUMNS($F$7:P$7))))</f>
        <v>0</v>
      </c>
      <c r="Q296" s="2223" cm="1">
        <f t="array" ref="Q296">IF($D296&lt;COLUMNS($F$7:Q$7),"",INDEX(TableDiv[[GASB]:[GASB]],_xlfn.AGGREGATE(15,3,(TableDiv[[Agency]:[Agency]]=$E296)/(TableDiv[[Agency]:[Agency]]=$E296)*(ROW(TableDiv[Agency])-ROW(TableDiv[[#Headers],[Agency]])),COLUMNS($F$7:Q$7))))</f>
        <v>0</v>
      </c>
      <c r="R296" s="2223" cm="1">
        <f t="array" ref="R296">IF($D296&lt;COLUMNS($F$7:R$7),"",INDEX(TableDiv[[GASB]:[GASB]],_xlfn.AGGREGATE(15,3,(TableDiv[[Agency]:[Agency]]=$E296)/(TableDiv[[Agency]:[Agency]]=$E296)*(ROW(TableDiv[Agency])-ROW(TableDiv[[#Headers],[Agency]])),COLUMNS($F$7:R$7))))</f>
        <v>0</v>
      </c>
      <c r="S296" s="2223" cm="1">
        <f t="array" ref="S296">IF($D296&lt;COLUMNS($F$7:S$7),"",INDEX(TableDiv[[GASB]:[GASB]],_xlfn.AGGREGATE(15,3,(TableDiv[[Agency]:[Agency]]=$E296)/(TableDiv[[Agency]:[Agency]]=$E296)*(ROW(TableDiv[Agency])-ROW(TableDiv[[#Headers],[Agency]])),COLUMNS($F$7:S$7))))</f>
        <v>0</v>
      </c>
      <c r="T296" s="2223" cm="1">
        <f t="array" ref="T296">IF($D296&lt;COLUMNS($F$7:T$7),"",INDEX(TableDiv[[GASB]:[GASB]],_xlfn.AGGREGATE(15,3,(TableDiv[[Agency]:[Agency]]=$E296)/(TableDiv[[Agency]:[Agency]]=$E296)*(ROW(TableDiv[Agency])-ROW(TableDiv[[#Headers],[Agency]])),COLUMNS($F$7:T$7))))</f>
        <v>0</v>
      </c>
      <c r="U296" s="2223" cm="1">
        <f t="array" ref="U296">IF($D296&lt;COLUMNS($F$7:U$7),"",INDEX(TableDiv[[GASB]:[GASB]],_xlfn.AGGREGATE(15,3,(TableDiv[[Agency]:[Agency]]=$E296)/(TableDiv[[Agency]:[Agency]]=$E296)*(ROW(TableDiv[Agency])-ROW(TableDiv[[#Headers],[Agency]])),COLUMNS($F$7:U$7))))</f>
        <v>0</v>
      </c>
      <c r="V296" s="2223" cm="1">
        <f t="array" ref="V296">IF($D296&lt;COLUMNS($F$7:V$7),"",INDEX(TableDiv[[GASB]:[GASB]],_xlfn.AGGREGATE(15,3,(TableDiv[[Agency]:[Agency]]=$E296)/(TableDiv[[Agency]:[Agency]]=$E296)*(ROW(TableDiv[Agency])-ROW(TableDiv[[#Headers],[Agency]])),COLUMNS($F$7:V$7))))</f>
        <v>0</v>
      </c>
      <c r="W296" s="2223" cm="1">
        <f t="array" ref="W296">IF($D296&lt;COLUMNS($F$7:W$7),"",INDEX(TableDiv[[GASB]:[GASB]],_xlfn.AGGREGATE(15,3,(TableDiv[[Agency]:[Agency]]=$E296)/(TableDiv[[Agency]:[Agency]]=$E296)*(ROW(TableDiv[Agency])-ROW(TableDiv[[#Headers],[Agency]])),COLUMNS($F$7:W$7))))</f>
        <v>0</v>
      </c>
      <c r="X296" s="2223" cm="1">
        <f t="array" ref="X296">IF($D296&lt;COLUMNS($F$7:X$7),"",INDEX(TableDiv[[GASB]:[GASB]],_xlfn.AGGREGATE(15,3,(TableDiv[[Agency]:[Agency]]=$E296)/(TableDiv[[Agency]:[Agency]]=$E296)*(ROW(TableDiv[Agency])-ROW(TableDiv[[#Headers],[Agency]])),COLUMNS($F$7:X$7))))</f>
        <v>0</v>
      </c>
      <c r="Y296" s="2223" cm="1">
        <f t="array" ref="Y296">IF($D296&lt;COLUMNS($F$7:Y$7),"",INDEX(TableDiv[[GASB]:[GASB]],_xlfn.AGGREGATE(15,3,(TableDiv[[Agency]:[Agency]]=$E296)/(TableDiv[[Agency]:[Agency]]=$E296)*(ROW(TableDiv[Agency])-ROW(TableDiv[[#Headers],[Agency]])),COLUMNS($F$7:Y$7))))</f>
        <v>0</v>
      </c>
      <c r="Z296" s="2223" cm="1">
        <f t="array" ref="Z296">IF($D296&lt;COLUMNS($F$7:Z$7),"",INDEX(TableDiv[[GASB]:[GASB]],_xlfn.AGGREGATE(15,3,(TableDiv[[Agency]:[Agency]]=$E296)/(TableDiv[[Agency]:[Agency]]=$E296)*(ROW(TableDiv[Agency])-ROW(TableDiv[[#Headers],[Agency]])),COLUMNS($F$7:Z$7))))</f>
        <v>0</v>
      </c>
      <c r="AA296" s="2223" cm="1">
        <f t="array" ref="AA296">IF($D296&lt;COLUMNS($F$7:AA$7),"",INDEX(TableDiv[[GASB]:[GASB]],_xlfn.AGGREGATE(15,3,(TableDiv[[Agency]:[Agency]]=$E296)/(TableDiv[[Agency]:[Agency]]=$E296)*(ROW(TableDiv[Agency])-ROW(TableDiv[[#Headers],[Agency]])),COLUMNS($F$7:AA$7))))</f>
        <v>0</v>
      </c>
      <c r="AB296" s="2223" cm="1">
        <f t="array" ref="AB296">IF($D296&lt;COLUMNS($F$7:AB$7),"",INDEX(TableDiv[[GASB]:[GASB]],_xlfn.AGGREGATE(15,3,(TableDiv[[Agency]:[Agency]]=$E296)/(TableDiv[[Agency]:[Agency]]=$E296)*(ROW(TableDiv[Agency])-ROW(TableDiv[[#Headers],[Agency]])),COLUMNS($F$7:AB$7))))</f>
        <v>0</v>
      </c>
      <c r="AC296" s="2223" cm="1">
        <f t="array" ref="AC296">IF($D296&lt;COLUMNS($F$7:AC$7),"",INDEX(TableDiv[[GASB]:[GASB]],_xlfn.AGGREGATE(15,3,(TableDiv[[Agency]:[Agency]]=$E296)/(TableDiv[[Agency]:[Agency]]=$E296)*(ROW(TableDiv[Agency])-ROW(TableDiv[[#Headers],[Agency]])),COLUMNS($F$7:AC$7))))</f>
        <v>0</v>
      </c>
      <c r="AD296" s="2223" cm="1">
        <f t="array" ref="AD296">IF($D296&lt;COLUMNS($F$7:AD$7),"",INDEX(TableDiv[[GASB]:[GASB]],_xlfn.AGGREGATE(15,3,(TableDiv[[Agency]:[Agency]]=$E296)/(TableDiv[[Agency]:[Agency]]=$E296)*(ROW(TableDiv[Agency])-ROW(TableDiv[[#Headers],[Agency]])),COLUMNS($F$7:AD$7))))</f>
        <v>0</v>
      </c>
      <c r="AE296" s="2223" cm="1">
        <f t="array" ref="AE296">IF($D296&lt;COLUMNS($F$7:AE$7),"",INDEX(TableDiv[[GASB]:[GASB]],_xlfn.AGGREGATE(15,3,(TableDiv[[Agency]:[Agency]]=$E296)/(TableDiv[[Agency]:[Agency]]=$E296)*(ROW(TableDiv[Agency])-ROW(TableDiv[[#Headers],[Agency]])),COLUMNS($F$7:AE$7))))</f>
        <v>0</v>
      </c>
      <c r="AF296" s="2223" cm="1">
        <f t="array" ref="AF296">IF($D296&lt;COLUMNS($F$7:AF$7),"",INDEX(TableDiv[[GASB]:[GASB]],_xlfn.AGGREGATE(15,3,(TableDiv[[Agency]:[Agency]]=$E296)/(TableDiv[[Agency]:[Agency]]=$E296)*(ROW(TableDiv[Agency])-ROW(TableDiv[[#Headers],[Agency]])),COLUMNS($F$7:AF$7))))</f>
        <v>0</v>
      </c>
      <c r="AG296" s="2223" cm="1">
        <f t="array" ref="AG296">IF($D296&lt;COLUMNS($F$7:AG$7),"",INDEX(TableDiv[[GASB]:[GASB]],_xlfn.AGGREGATE(15,3,(TableDiv[[Agency]:[Agency]]=$E296)/(TableDiv[[Agency]:[Agency]]=$E296)*(ROW(TableDiv[Agency])-ROW(TableDiv[[#Headers],[Agency]])),COLUMNS($F$7:AG$7))))</f>
        <v>0</v>
      </c>
      <c r="AH296" s="2223" cm="1">
        <f t="array" ref="AH296">IF($D296&lt;COLUMNS($F$7:AH$7),"",INDEX(TableDiv[[GASB]:[GASB]],_xlfn.AGGREGATE(15,3,(TableDiv[[Agency]:[Agency]]=$E296)/(TableDiv[[Agency]:[Agency]]=$E296)*(ROW(TableDiv[Agency])-ROW(TableDiv[[#Headers],[Agency]])),COLUMNS($F$7:AH$7))))</f>
        <v>0</v>
      </c>
      <c r="AI296" s="2223" cm="1">
        <f t="array" ref="AI296">IF($D296&lt;COLUMNS($F$7:AI$7),"",INDEX(TableDiv[[GASB]:[GASB]],_xlfn.AGGREGATE(15,3,(TableDiv[[Agency]:[Agency]]=$E296)/(TableDiv[[Agency]:[Agency]]=$E296)*(ROW(TableDiv[Agency])-ROW(TableDiv[[#Headers],[Agency]])),COLUMNS($F$7:AI$7))))</f>
        <v>0</v>
      </c>
      <c r="AJ296" s="2223" cm="1">
        <f t="array" ref="AJ296">IF($D296&lt;COLUMNS($F$7:AJ$7),"",INDEX(TableDiv[[GASB]:[GASB]],_xlfn.AGGREGATE(15,3,(TableDiv[[Agency]:[Agency]]=$E296)/(TableDiv[[Agency]:[Agency]]=$E296)*(ROW(TableDiv[Agency])-ROW(TableDiv[[#Headers],[Agency]])),COLUMNS($F$7:AJ$7))))</f>
        <v>0</v>
      </c>
      <c r="AK296" s="2223" t="str" cm="1">
        <f t="array" ref="AK296">IF($D296&lt;COLUMNS($F$7:AK$7),"",INDEX(TableDiv[[GASB]:[GASB]],_xlfn.AGGREGATE(15,3,(TableDiv[[Agency]:[Agency]]=$E296)/(TableDiv[[Agency]:[Agency]]=$E296)*(ROW(TableDiv[Agency])-ROW(TableDiv[[#Headers],[Agency]])),COLUMNS($F$7:AK$7))))</f>
        <v/>
      </c>
      <c r="AL296" s="2223" t="str" cm="1">
        <f t="array" ref="AL296">IF($D296&lt;COLUMNS($F$7:AL$7),"",INDEX(TableDiv[[GASB]:[GASB]],_xlfn.AGGREGATE(15,3,(TableDiv[[Agency]:[Agency]]=$E296)/(TableDiv[[Agency]:[Agency]]=$E296)*(ROW(TableDiv[Agency])-ROW(TableDiv[[#Headers],[Agency]])),COLUMNS($F$7:AL$7))))</f>
        <v/>
      </c>
      <c r="AM296" s="2223" t="str" cm="1">
        <f t="array" ref="AM296">IF($D296&lt;COLUMNS($F$7:AM$7),"",INDEX(TableDiv[[GASB]:[GASB]],_xlfn.AGGREGATE(15,3,(TableDiv[[Agency]:[Agency]]=$E296)/(TableDiv[[Agency]:[Agency]]=$E296)*(ROW(TableDiv[Agency])-ROW(TableDiv[[#Headers],[Agency]])),COLUMNS($F$7:AM$7))))</f>
        <v/>
      </c>
      <c r="AN296" s="2223"/>
      <c r="AO296" s="2223"/>
      <c r="AP296" s="2223"/>
      <c r="AQ296" s="2223"/>
      <c r="AR296" s="2223"/>
      <c r="AS296" s="2223"/>
    </row>
    <row r="297" spans="1:45" ht="15" x14ac:dyDescent="0.25">
      <c r="A297" s="2219" t="s">
        <v>5119</v>
      </c>
      <c r="B297" s="2219" t="s">
        <v>6478</v>
      </c>
      <c r="C297" s="2223"/>
      <c r="D297" s="2223">
        <f>COUNTIF(TableDiv[Agency],E297)</f>
        <v>31</v>
      </c>
      <c r="E297" s="2230" t="str" cm="1">
        <f t="array" ref="E297">IFERROR(INDEX(TableDiv[Agency],MATCH(0,INDEX(COUNTIF($E$7:E296,TableDiv[Agency]),),0)),"")</f>
        <v/>
      </c>
      <c r="F297" s="2223" cm="1">
        <f t="array" ref="F297">IF($D297&lt;COLUMNS($F$7:F$7),"",INDEX(TableDiv[[GASB]:[GASB]],_xlfn.AGGREGATE(15,3,(TableDiv[[Agency]:[Agency]]=$E297)/(TableDiv[[Agency]:[Agency]]=$E297)*(ROW(TableDiv[Agency])-ROW(TableDiv[[#Headers],[Agency]])),COLUMNS($F$7:F$7))))</f>
        <v>0</v>
      </c>
      <c r="G297" s="2223" cm="1">
        <f t="array" ref="G297">IF($D297&lt;COLUMNS($F$7:G$7),"",INDEX(TableDiv[[GASB]:[GASB]],_xlfn.AGGREGATE(15,3,(TableDiv[[Agency]:[Agency]]=$E297)/(TableDiv[[Agency]:[Agency]]=$E297)*(ROW(TableDiv[Agency])-ROW(TableDiv[[#Headers],[Agency]])),COLUMNS($F$7:G$7))))</f>
        <v>0</v>
      </c>
      <c r="H297" s="2223" cm="1">
        <f t="array" ref="H297">IF($D297&lt;COLUMNS($F$7:H$7),"",INDEX(TableDiv[[GASB]:[GASB]],_xlfn.AGGREGATE(15,3,(TableDiv[[Agency]:[Agency]]=$E297)/(TableDiv[[Agency]:[Agency]]=$E297)*(ROW(TableDiv[Agency])-ROW(TableDiv[[#Headers],[Agency]])),COLUMNS($F$7:H$7))))</f>
        <v>0</v>
      </c>
      <c r="I297" s="2223" cm="1">
        <f t="array" ref="I297">IF($D297&lt;COLUMNS($F$7:I$7),"",INDEX(TableDiv[[GASB]:[GASB]],_xlfn.AGGREGATE(15,3,(TableDiv[[Agency]:[Agency]]=$E297)/(TableDiv[[Agency]:[Agency]]=$E297)*(ROW(TableDiv[Agency])-ROW(TableDiv[[#Headers],[Agency]])),COLUMNS($F$7:I$7))))</f>
        <v>0</v>
      </c>
      <c r="J297" s="2223" cm="1">
        <f t="array" ref="J297">IF($D297&lt;COLUMNS($F$7:J$7),"",INDEX(TableDiv[[GASB]:[GASB]],_xlfn.AGGREGATE(15,3,(TableDiv[[Agency]:[Agency]]=$E297)/(TableDiv[[Agency]:[Agency]]=$E297)*(ROW(TableDiv[Agency])-ROW(TableDiv[[#Headers],[Agency]])),COLUMNS($F$7:J$7))))</f>
        <v>0</v>
      </c>
      <c r="K297" s="2223" cm="1">
        <f t="array" ref="K297">IF($D297&lt;COLUMNS($F$7:K$7),"",INDEX(TableDiv[[GASB]:[GASB]],_xlfn.AGGREGATE(15,3,(TableDiv[[Agency]:[Agency]]=$E297)/(TableDiv[[Agency]:[Agency]]=$E297)*(ROW(TableDiv[Agency])-ROW(TableDiv[[#Headers],[Agency]])),COLUMNS($F$7:K$7))))</f>
        <v>0</v>
      </c>
      <c r="L297" s="2223" cm="1">
        <f t="array" ref="L297">IF($D297&lt;COLUMNS($F$7:L$7),"",INDEX(TableDiv[[GASB]:[GASB]],_xlfn.AGGREGATE(15,3,(TableDiv[[Agency]:[Agency]]=$E297)/(TableDiv[[Agency]:[Agency]]=$E297)*(ROW(TableDiv[Agency])-ROW(TableDiv[[#Headers],[Agency]])),COLUMNS($F$7:L$7))))</f>
        <v>0</v>
      </c>
      <c r="M297" s="2223" cm="1">
        <f t="array" ref="M297">IF($D297&lt;COLUMNS($F$7:M$7),"",INDEX(TableDiv[[GASB]:[GASB]],_xlfn.AGGREGATE(15,3,(TableDiv[[Agency]:[Agency]]=$E297)/(TableDiv[[Agency]:[Agency]]=$E297)*(ROW(TableDiv[Agency])-ROW(TableDiv[[#Headers],[Agency]])),COLUMNS($F$7:M$7))))</f>
        <v>0</v>
      </c>
      <c r="N297" s="2223" cm="1">
        <f t="array" ref="N297">IF($D297&lt;COLUMNS($F$7:N$7),"",INDEX(TableDiv[[GASB]:[GASB]],_xlfn.AGGREGATE(15,3,(TableDiv[[Agency]:[Agency]]=$E297)/(TableDiv[[Agency]:[Agency]]=$E297)*(ROW(TableDiv[Agency])-ROW(TableDiv[[#Headers],[Agency]])),COLUMNS($F$7:N$7))))</f>
        <v>0</v>
      </c>
      <c r="O297" s="2223" cm="1">
        <f t="array" ref="O297">IF($D297&lt;COLUMNS($F$7:O$7),"",INDEX(TableDiv[[GASB]:[GASB]],_xlfn.AGGREGATE(15,3,(TableDiv[[Agency]:[Agency]]=$E297)/(TableDiv[[Agency]:[Agency]]=$E297)*(ROW(TableDiv[Agency])-ROW(TableDiv[[#Headers],[Agency]])),COLUMNS($F$7:O$7))))</f>
        <v>0</v>
      </c>
      <c r="P297" s="2223" cm="1">
        <f t="array" ref="P297">IF($D297&lt;COLUMNS($F$7:P$7),"",INDEX(TableDiv[[GASB]:[GASB]],_xlfn.AGGREGATE(15,3,(TableDiv[[Agency]:[Agency]]=$E297)/(TableDiv[[Agency]:[Agency]]=$E297)*(ROW(TableDiv[Agency])-ROW(TableDiv[[#Headers],[Agency]])),COLUMNS($F$7:P$7))))</f>
        <v>0</v>
      </c>
      <c r="Q297" s="2223" cm="1">
        <f t="array" ref="Q297">IF($D297&lt;COLUMNS($F$7:Q$7),"",INDEX(TableDiv[[GASB]:[GASB]],_xlfn.AGGREGATE(15,3,(TableDiv[[Agency]:[Agency]]=$E297)/(TableDiv[[Agency]:[Agency]]=$E297)*(ROW(TableDiv[Agency])-ROW(TableDiv[[#Headers],[Agency]])),COLUMNS($F$7:Q$7))))</f>
        <v>0</v>
      </c>
      <c r="R297" s="2223" cm="1">
        <f t="array" ref="R297">IF($D297&lt;COLUMNS($F$7:R$7),"",INDEX(TableDiv[[GASB]:[GASB]],_xlfn.AGGREGATE(15,3,(TableDiv[[Agency]:[Agency]]=$E297)/(TableDiv[[Agency]:[Agency]]=$E297)*(ROW(TableDiv[Agency])-ROW(TableDiv[[#Headers],[Agency]])),COLUMNS($F$7:R$7))))</f>
        <v>0</v>
      </c>
      <c r="S297" s="2223" cm="1">
        <f t="array" ref="S297">IF($D297&lt;COLUMNS($F$7:S$7),"",INDEX(TableDiv[[GASB]:[GASB]],_xlfn.AGGREGATE(15,3,(TableDiv[[Agency]:[Agency]]=$E297)/(TableDiv[[Agency]:[Agency]]=$E297)*(ROW(TableDiv[Agency])-ROW(TableDiv[[#Headers],[Agency]])),COLUMNS($F$7:S$7))))</f>
        <v>0</v>
      </c>
      <c r="T297" s="2223" cm="1">
        <f t="array" ref="T297">IF($D297&lt;COLUMNS($F$7:T$7),"",INDEX(TableDiv[[GASB]:[GASB]],_xlfn.AGGREGATE(15,3,(TableDiv[[Agency]:[Agency]]=$E297)/(TableDiv[[Agency]:[Agency]]=$E297)*(ROW(TableDiv[Agency])-ROW(TableDiv[[#Headers],[Agency]])),COLUMNS($F$7:T$7))))</f>
        <v>0</v>
      </c>
      <c r="U297" s="2223" cm="1">
        <f t="array" ref="U297">IF($D297&lt;COLUMNS($F$7:U$7),"",INDEX(TableDiv[[GASB]:[GASB]],_xlfn.AGGREGATE(15,3,(TableDiv[[Agency]:[Agency]]=$E297)/(TableDiv[[Agency]:[Agency]]=$E297)*(ROW(TableDiv[Agency])-ROW(TableDiv[[#Headers],[Agency]])),COLUMNS($F$7:U$7))))</f>
        <v>0</v>
      </c>
      <c r="V297" s="2223" cm="1">
        <f t="array" ref="V297">IF($D297&lt;COLUMNS($F$7:V$7),"",INDEX(TableDiv[[GASB]:[GASB]],_xlfn.AGGREGATE(15,3,(TableDiv[[Agency]:[Agency]]=$E297)/(TableDiv[[Agency]:[Agency]]=$E297)*(ROW(TableDiv[Agency])-ROW(TableDiv[[#Headers],[Agency]])),COLUMNS($F$7:V$7))))</f>
        <v>0</v>
      </c>
      <c r="W297" s="2223" cm="1">
        <f t="array" ref="W297">IF($D297&lt;COLUMNS($F$7:W$7),"",INDEX(TableDiv[[GASB]:[GASB]],_xlfn.AGGREGATE(15,3,(TableDiv[[Agency]:[Agency]]=$E297)/(TableDiv[[Agency]:[Agency]]=$E297)*(ROW(TableDiv[Agency])-ROW(TableDiv[[#Headers],[Agency]])),COLUMNS($F$7:W$7))))</f>
        <v>0</v>
      </c>
      <c r="X297" s="2223" cm="1">
        <f t="array" ref="X297">IF($D297&lt;COLUMNS($F$7:X$7),"",INDEX(TableDiv[[GASB]:[GASB]],_xlfn.AGGREGATE(15,3,(TableDiv[[Agency]:[Agency]]=$E297)/(TableDiv[[Agency]:[Agency]]=$E297)*(ROW(TableDiv[Agency])-ROW(TableDiv[[#Headers],[Agency]])),COLUMNS($F$7:X$7))))</f>
        <v>0</v>
      </c>
      <c r="Y297" s="2223" cm="1">
        <f t="array" ref="Y297">IF($D297&lt;COLUMNS($F$7:Y$7),"",INDEX(TableDiv[[GASB]:[GASB]],_xlfn.AGGREGATE(15,3,(TableDiv[[Agency]:[Agency]]=$E297)/(TableDiv[[Agency]:[Agency]]=$E297)*(ROW(TableDiv[Agency])-ROW(TableDiv[[#Headers],[Agency]])),COLUMNS($F$7:Y$7))))</f>
        <v>0</v>
      </c>
      <c r="Z297" s="2223" cm="1">
        <f t="array" ref="Z297">IF($D297&lt;COLUMNS($F$7:Z$7),"",INDEX(TableDiv[[GASB]:[GASB]],_xlfn.AGGREGATE(15,3,(TableDiv[[Agency]:[Agency]]=$E297)/(TableDiv[[Agency]:[Agency]]=$E297)*(ROW(TableDiv[Agency])-ROW(TableDiv[[#Headers],[Agency]])),COLUMNS($F$7:Z$7))))</f>
        <v>0</v>
      </c>
      <c r="AA297" s="2223" cm="1">
        <f t="array" ref="AA297">IF($D297&lt;COLUMNS($F$7:AA$7),"",INDEX(TableDiv[[GASB]:[GASB]],_xlfn.AGGREGATE(15,3,(TableDiv[[Agency]:[Agency]]=$E297)/(TableDiv[[Agency]:[Agency]]=$E297)*(ROW(TableDiv[Agency])-ROW(TableDiv[[#Headers],[Agency]])),COLUMNS($F$7:AA$7))))</f>
        <v>0</v>
      </c>
      <c r="AB297" s="2223" cm="1">
        <f t="array" ref="AB297">IF($D297&lt;COLUMNS($F$7:AB$7),"",INDEX(TableDiv[[GASB]:[GASB]],_xlfn.AGGREGATE(15,3,(TableDiv[[Agency]:[Agency]]=$E297)/(TableDiv[[Agency]:[Agency]]=$E297)*(ROW(TableDiv[Agency])-ROW(TableDiv[[#Headers],[Agency]])),COLUMNS($F$7:AB$7))))</f>
        <v>0</v>
      </c>
      <c r="AC297" s="2223" cm="1">
        <f t="array" ref="AC297">IF($D297&lt;COLUMNS($F$7:AC$7),"",INDEX(TableDiv[[GASB]:[GASB]],_xlfn.AGGREGATE(15,3,(TableDiv[[Agency]:[Agency]]=$E297)/(TableDiv[[Agency]:[Agency]]=$E297)*(ROW(TableDiv[Agency])-ROW(TableDiv[[#Headers],[Agency]])),COLUMNS($F$7:AC$7))))</f>
        <v>0</v>
      </c>
      <c r="AD297" s="2223" cm="1">
        <f t="array" ref="AD297">IF($D297&lt;COLUMNS($F$7:AD$7),"",INDEX(TableDiv[[GASB]:[GASB]],_xlfn.AGGREGATE(15,3,(TableDiv[[Agency]:[Agency]]=$E297)/(TableDiv[[Agency]:[Agency]]=$E297)*(ROW(TableDiv[Agency])-ROW(TableDiv[[#Headers],[Agency]])),COLUMNS($F$7:AD$7))))</f>
        <v>0</v>
      </c>
      <c r="AE297" s="2223" cm="1">
        <f t="array" ref="AE297">IF($D297&lt;COLUMNS($F$7:AE$7),"",INDEX(TableDiv[[GASB]:[GASB]],_xlfn.AGGREGATE(15,3,(TableDiv[[Agency]:[Agency]]=$E297)/(TableDiv[[Agency]:[Agency]]=$E297)*(ROW(TableDiv[Agency])-ROW(TableDiv[[#Headers],[Agency]])),COLUMNS($F$7:AE$7))))</f>
        <v>0</v>
      </c>
      <c r="AF297" s="2223" cm="1">
        <f t="array" ref="AF297">IF($D297&lt;COLUMNS($F$7:AF$7),"",INDEX(TableDiv[[GASB]:[GASB]],_xlfn.AGGREGATE(15,3,(TableDiv[[Agency]:[Agency]]=$E297)/(TableDiv[[Agency]:[Agency]]=$E297)*(ROW(TableDiv[Agency])-ROW(TableDiv[[#Headers],[Agency]])),COLUMNS($F$7:AF$7))))</f>
        <v>0</v>
      </c>
      <c r="AG297" s="2223" cm="1">
        <f t="array" ref="AG297">IF($D297&lt;COLUMNS($F$7:AG$7),"",INDEX(TableDiv[[GASB]:[GASB]],_xlfn.AGGREGATE(15,3,(TableDiv[[Agency]:[Agency]]=$E297)/(TableDiv[[Agency]:[Agency]]=$E297)*(ROW(TableDiv[Agency])-ROW(TableDiv[[#Headers],[Agency]])),COLUMNS($F$7:AG$7))))</f>
        <v>0</v>
      </c>
      <c r="AH297" s="2223" cm="1">
        <f t="array" ref="AH297">IF($D297&lt;COLUMNS($F$7:AH$7),"",INDEX(TableDiv[[GASB]:[GASB]],_xlfn.AGGREGATE(15,3,(TableDiv[[Agency]:[Agency]]=$E297)/(TableDiv[[Agency]:[Agency]]=$E297)*(ROW(TableDiv[Agency])-ROW(TableDiv[[#Headers],[Agency]])),COLUMNS($F$7:AH$7))))</f>
        <v>0</v>
      </c>
      <c r="AI297" s="2223" cm="1">
        <f t="array" ref="AI297">IF($D297&lt;COLUMNS($F$7:AI$7),"",INDEX(TableDiv[[GASB]:[GASB]],_xlfn.AGGREGATE(15,3,(TableDiv[[Agency]:[Agency]]=$E297)/(TableDiv[[Agency]:[Agency]]=$E297)*(ROW(TableDiv[Agency])-ROW(TableDiv[[#Headers],[Agency]])),COLUMNS($F$7:AI$7))))</f>
        <v>0</v>
      </c>
      <c r="AJ297" s="2223" cm="1">
        <f t="array" ref="AJ297">IF($D297&lt;COLUMNS($F$7:AJ$7),"",INDEX(TableDiv[[GASB]:[GASB]],_xlfn.AGGREGATE(15,3,(TableDiv[[Agency]:[Agency]]=$E297)/(TableDiv[[Agency]:[Agency]]=$E297)*(ROW(TableDiv[Agency])-ROW(TableDiv[[#Headers],[Agency]])),COLUMNS($F$7:AJ$7))))</f>
        <v>0</v>
      </c>
      <c r="AK297" s="2223" t="str" cm="1">
        <f t="array" ref="AK297">IF($D297&lt;COLUMNS($F$7:AK$7),"",INDEX(TableDiv[[GASB]:[GASB]],_xlfn.AGGREGATE(15,3,(TableDiv[[Agency]:[Agency]]=$E297)/(TableDiv[[Agency]:[Agency]]=$E297)*(ROW(TableDiv[Agency])-ROW(TableDiv[[#Headers],[Agency]])),COLUMNS($F$7:AK$7))))</f>
        <v/>
      </c>
      <c r="AL297" s="2223" t="str" cm="1">
        <f t="array" ref="AL297">IF($D297&lt;COLUMNS($F$7:AL$7),"",INDEX(TableDiv[[GASB]:[GASB]],_xlfn.AGGREGATE(15,3,(TableDiv[[Agency]:[Agency]]=$E297)/(TableDiv[[Agency]:[Agency]]=$E297)*(ROW(TableDiv[Agency])-ROW(TableDiv[[#Headers],[Agency]])),COLUMNS($F$7:AL$7))))</f>
        <v/>
      </c>
      <c r="AM297" s="2223" t="str" cm="1">
        <f t="array" ref="AM297">IF($D297&lt;COLUMNS($F$7:AM$7),"",INDEX(TableDiv[[GASB]:[GASB]],_xlfn.AGGREGATE(15,3,(TableDiv[[Agency]:[Agency]]=$E297)/(TableDiv[[Agency]:[Agency]]=$E297)*(ROW(TableDiv[Agency])-ROW(TableDiv[[#Headers],[Agency]])),COLUMNS($F$7:AM$7))))</f>
        <v/>
      </c>
      <c r="AN297" s="2223"/>
      <c r="AO297" s="2223"/>
      <c r="AP297" s="2223"/>
      <c r="AQ297" s="2223"/>
      <c r="AR297" s="2223"/>
      <c r="AS297" s="2223"/>
    </row>
    <row r="298" spans="1:45" ht="15" x14ac:dyDescent="0.25">
      <c r="A298" s="2219" t="s">
        <v>5119</v>
      </c>
      <c r="B298" s="2219" t="s">
        <v>6358</v>
      </c>
      <c r="C298" s="2223"/>
      <c r="D298" s="2223">
        <f>COUNTIF(TableDiv[Agency],E298)</f>
        <v>31</v>
      </c>
      <c r="E298" s="2230" t="str" cm="1">
        <f t="array" ref="E298">IFERROR(INDEX(TableDiv[Agency],MATCH(0,INDEX(COUNTIF($E$7:E297,TableDiv[Agency]),),0)),"")</f>
        <v/>
      </c>
      <c r="F298" s="2223" cm="1">
        <f t="array" ref="F298">IF($D298&lt;COLUMNS($F$7:F$7),"",INDEX(TableDiv[[GASB]:[GASB]],_xlfn.AGGREGATE(15,3,(TableDiv[[Agency]:[Agency]]=$E298)/(TableDiv[[Agency]:[Agency]]=$E298)*(ROW(TableDiv[Agency])-ROW(TableDiv[[#Headers],[Agency]])),COLUMNS($F$7:F$7))))</f>
        <v>0</v>
      </c>
      <c r="G298" s="2223" cm="1">
        <f t="array" ref="G298">IF($D298&lt;COLUMNS($F$7:G$7),"",INDEX(TableDiv[[GASB]:[GASB]],_xlfn.AGGREGATE(15,3,(TableDiv[[Agency]:[Agency]]=$E298)/(TableDiv[[Agency]:[Agency]]=$E298)*(ROW(TableDiv[Agency])-ROW(TableDiv[[#Headers],[Agency]])),COLUMNS($F$7:G$7))))</f>
        <v>0</v>
      </c>
      <c r="H298" s="2223" cm="1">
        <f t="array" ref="H298">IF($D298&lt;COLUMNS($F$7:H$7),"",INDEX(TableDiv[[GASB]:[GASB]],_xlfn.AGGREGATE(15,3,(TableDiv[[Agency]:[Agency]]=$E298)/(TableDiv[[Agency]:[Agency]]=$E298)*(ROW(TableDiv[Agency])-ROW(TableDiv[[#Headers],[Agency]])),COLUMNS($F$7:H$7))))</f>
        <v>0</v>
      </c>
      <c r="I298" s="2223" cm="1">
        <f t="array" ref="I298">IF($D298&lt;COLUMNS($F$7:I$7),"",INDEX(TableDiv[[GASB]:[GASB]],_xlfn.AGGREGATE(15,3,(TableDiv[[Agency]:[Agency]]=$E298)/(TableDiv[[Agency]:[Agency]]=$E298)*(ROW(TableDiv[Agency])-ROW(TableDiv[[#Headers],[Agency]])),COLUMNS($F$7:I$7))))</f>
        <v>0</v>
      </c>
      <c r="J298" s="2223" cm="1">
        <f t="array" ref="J298">IF($D298&lt;COLUMNS($F$7:J$7),"",INDEX(TableDiv[[GASB]:[GASB]],_xlfn.AGGREGATE(15,3,(TableDiv[[Agency]:[Agency]]=$E298)/(TableDiv[[Agency]:[Agency]]=$E298)*(ROW(TableDiv[Agency])-ROW(TableDiv[[#Headers],[Agency]])),COLUMNS($F$7:J$7))))</f>
        <v>0</v>
      </c>
      <c r="K298" s="2223" cm="1">
        <f t="array" ref="K298">IF($D298&lt;COLUMNS($F$7:K$7),"",INDEX(TableDiv[[GASB]:[GASB]],_xlfn.AGGREGATE(15,3,(TableDiv[[Agency]:[Agency]]=$E298)/(TableDiv[[Agency]:[Agency]]=$E298)*(ROW(TableDiv[Agency])-ROW(TableDiv[[#Headers],[Agency]])),COLUMNS($F$7:K$7))))</f>
        <v>0</v>
      </c>
      <c r="L298" s="2223" cm="1">
        <f t="array" ref="L298">IF($D298&lt;COLUMNS($F$7:L$7),"",INDEX(TableDiv[[GASB]:[GASB]],_xlfn.AGGREGATE(15,3,(TableDiv[[Agency]:[Agency]]=$E298)/(TableDiv[[Agency]:[Agency]]=$E298)*(ROW(TableDiv[Agency])-ROW(TableDiv[[#Headers],[Agency]])),COLUMNS($F$7:L$7))))</f>
        <v>0</v>
      </c>
      <c r="M298" s="2223" cm="1">
        <f t="array" ref="M298">IF($D298&lt;COLUMNS($F$7:M$7),"",INDEX(TableDiv[[GASB]:[GASB]],_xlfn.AGGREGATE(15,3,(TableDiv[[Agency]:[Agency]]=$E298)/(TableDiv[[Agency]:[Agency]]=$E298)*(ROW(TableDiv[Agency])-ROW(TableDiv[[#Headers],[Agency]])),COLUMNS($F$7:M$7))))</f>
        <v>0</v>
      </c>
      <c r="N298" s="2223" cm="1">
        <f t="array" ref="N298">IF($D298&lt;COLUMNS($F$7:N$7),"",INDEX(TableDiv[[GASB]:[GASB]],_xlfn.AGGREGATE(15,3,(TableDiv[[Agency]:[Agency]]=$E298)/(TableDiv[[Agency]:[Agency]]=$E298)*(ROW(TableDiv[Agency])-ROW(TableDiv[[#Headers],[Agency]])),COLUMNS($F$7:N$7))))</f>
        <v>0</v>
      </c>
      <c r="O298" s="2223" cm="1">
        <f t="array" ref="O298">IF($D298&lt;COLUMNS($F$7:O$7),"",INDEX(TableDiv[[GASB]:[GASB]],_xlfn.AGGREGATE(15,3,(TableDiv[[Agency]:[Agency]]=$E298)/(TableDiv[[Agency]:[Agency]]=$E298)*(ROW(TableDiv[Agency])-ROW(TableDiv[[#Headers],[Agency]])),COLUMNS($F$7:O$7))))</f>
        <v>0</v>
      </c>
      <c r="P298" s="2223" cm="1">
        <f t="array" ref="P298">IF($D298&lt;COLUMNS($F$7:P$7),"",INDEX(TableDiv[[GASB]:[GASB]],_xlfn.AGGREGATE(15,3,(TableDiv[[Agency]:[Agency]]=$E298)/(TableDiv[[Agency]:[Agency]]=$E298)*(ROW(TableDiv[Agency])-ROW(TableDiv[[#Headers],[Agency]])),COLUMNS($F$7:P$7))))</f>
        <v>0</v>
      </c>
      <c r="Q298" s="2223" cm="1">
        <f t="array" ref="Q298">IF($D298&lt;COLUMNS($F$7:Q$7),"",INDEX(TableDiv[[GASB]:[GASB]],_xlfn.AGGREGATE(15,3,(TableDiv[[Agency]:[Agency]]=$E298)/(TableDiv[[Agency]:[Agency]]=$E298)*(ROW(TableDiv[Agency])-ROW(TableDiv[[#Headers],[Agency]])),COLUMNS($F$7:Q$7))))</f>
        <v>0</v>
      </c>
      <c r="R298" s="2223" cm="1">
        <f t="array" ref="R298">IF($D298&lt;COLUMNS($F$7:R$7),"",INDEX(TableDiv[[GASB]:[GASB]],_xlfn.AGGREGATE(15,3,(TableDiv[[Agency]:[Agency]]=$E298)/(TableDiv[[Agency]:[Agency]]=$E298)*(ROW(TableDiv[Agency])-ROW(TableDiv[[#Headers],[Agency]])),COLUMNS($F$7:R$7))))</f>
        <v>0</v>
      </c>
      <c r="S298" s="2223" cm="1">
        <f t="array" ref="S298">IF($D298&lt;COLUMNS($F$7:S$7),"",INDEX(TableDiv[[GASB]:[GASB]],_xlfn.AGGREGATE(15,3,(TableDiv[[Agency]:[Agency]]=$E298)/(TableDiv[[Agency]:[Agency]]=$E298)*(ROW(TableDiv[Agency])-ROW(TableDiv[[#Headers],[Agency]])),COLUMNS($F$7:S$7))))</f>
        <v>0</v>
      </c>
      <c r="T298" s="2223" cm="1">
        <f t="array" ref="T298">IF($D298&lt;COLUMNS($F$7:T$7),"",INDEX(TableDiv[[GASB]:[GASB]],_xlfn.AGGREGATE(15,3,(TableDiv[[Agency]:[Agency]]=$E298)/(TableDiv[[Agency]:[Agency]]=$E298)*(ROW(TableDiv[Agency])-ROW(TableDiv[[#Headers],[Agency]])),COLUMNS($F$7:T$7))))</f>
        <v>0</v>
      </c>
      <c r="U298" s="2223" cm="1">
        <f t="array" ref="U298">IF($D298&lt;COLUMNS($F$7:U$7),"",INDEX(TableDiv[[GASB]:[GASB]],_xlfn.AGGREGATE(15,3,(TableDiv[[Agency]:[Agency]]=$E298)/(TableDiv[[Agency]:[Agency]]=$E298)*(ROW(TableDiv[Agency])-ROW(TableDiv[[#Headers],[Agency]])),COLUMNS($F$7:U$7))))</f>
        <v>0</v>
      </c>
      <c r="V298" s="2223" cm="1">
        <f t="array" ref="V298">IF($D298&lt;COLUMNS($F$7:V$7),"",INDEX(TableDiv[[GASB]:[GASB]],_xlfn.AGGREGATE(15,3,(TableDiv[[Agency]:[Agency]]=$E298)/(TableDiv[[Agency]:[Agency]]=$E298)*(ROW(TableDiv[Agency])-ROW(TableDiv[[#Headers],[Agency]])),COLUMNS($F$7:V$7))))</f>
        <v>0</v>
      </c>
      <c r="W298" s="2223" cm="1">
        <f t="array" ref="W298">IF($D298&lt;COLUMNS($F$7:W$7),"",INDEX(TableDiv[[GASB]:[GASB]],_xlfn.AGGREGATE(15,3,(TableDiv[[Agency]:[Agency]]=$E298)/(TableDiv[[Agency]:[Agency]]=$E298)*(ROW(TableDiv[Agency])-ROW(TableDiv[[#Headers],[Agency]])),COLUMNS($F$7:W$7))))</f>
        <v>0</v>
      </c>
      <c r="X298" s="2223" cm="1">
        <f t="array" ref="X298">IF($D298&lt;COLUMNS($F$7:X$7),"",INDEX(TableDiv[[GASB]:[GASB]],_xlfn.AGGREGATE(15,3,(TableDiv[[Agency]:[Agency]]=$E298)/(TableDiv[[Agency]:[Agency]]=$E298)*(ROW(TableDiv[Agency])-ROW(TableDiv[[#Headers],[Agency]])),COLUMNS($F$7:X$7))))</f>
        <v>0</v>
      </c>
      <c r="Y298" s="2223" cm="1">
        <f t="array" ref="Y298">IF($D298&lt;COLUMNS($F$7:Y$7),"",INDEX(TableDiv[[GASB]:[GASB]],_xlfn.AGGREGATE(15,3,(TableDiv[[Agency]:[Agency]]=$E298)/(TableDiv[[Agency]:[Agency]]=$E298)*(ROW(TableDiv[Agency])-ROW(TableDiv[[#Headers],[Agency]])),COLUMNS($F$7:Y$7))))</f>
        <v>0</v>
      </c>
      <c r="Z298" s="2223" cm="1">
        <f t="array" ref="Z298">IF($D298&lt;COLUMNS($F$7:Z$7),"",INDEX(TableDiv[[GASB]:[GASB]],_xlfn.AGGREGATE(15,3,(TableDiv[[Agency]:[Agency]]=$E298)/(TableDiv[[Agency]:[Agency]]=$E298)*(ROW(TableDiv[Agency])-ROW(TableDiv[[#Headers],[Agency]])),COLUMNS($F$7:Z$7))))</f>
        <v>0</v>
      </c>
      <c r="AA298" s="2223" cm="1">
        <f t="array" ref="AA298">IF($D298&lt;COLUMNS($F$7:AA$7),"",INDEX(TableDiv[[GASB]:[GASB]],_xlfn.AGGREGATE(15,3,(TableDiv[[Agency]:[Agency]]=$E298)/(TableDiv[[Agency]:[Agency]]=$E298)*(ROW(TableDiv[Agency])-ROW(TableDiv[[#Headers],[Agency]])),COLUMNS($F$7:AA$7))))</f>
        <v>0</v>
      </c>
      <c r="AB298" s="2223" cm="1">
        <f t="array" ref="AB298">IF($D298&lt;COLUMNS($F$7:AB$7),"",INDEX(TableDiv[[GASB]:[GASB]],_xlfn.AGGREGATE(15,3,(TableDiv[[Agency]:[Agency]]=$E298)/(TableDiv[[Agency]:[Agency]]=$E298)*(ROW(TableDiv[Agency])-ROW(TableDiv[[#Headers],[Agency]])),COLUMNS($F$7:AB$7))))</f>
        <v>0</v>
      </c>
      <c r="AC298" s="2223" cm="1">
        <f t="array" ref="AC298">IF($D298&lt;COLUMNS($F$7:AC$7),"",INDEX(TableDiv[[GASB]:[GASB]],_xlfn.AGGREGATE(15,3,(TableDiv[[Agency]:[Agency]]=$E298)/(TableDiv[[Agency]:[Agency]]=$E298)*(ROW(TableDiv[Agency])-ROW(TableDiv[[#Headers],[Agency]])),COLUMNS($F$7:AC$7))))</f>
        <v>0</v>
      </c>
      <c r="AD298" s="2223" cm="1">
        <f t="array" ref="AD298">IF($D298&lt;COLUMNS($F$7:AD$7),"",INDEX(TableDiv[[GASB]:[GASB]],_xlfn.AGGREGATE(15,3,(TableDiv[[Agency]:[Agency]]=$E298)/(TableDiv[[Agency]:[Agency]]=$E298)*(ROW(TableDiv[Agency])-ROW(TableDiv[[#Headers],[Agency]])),COLUMNS($F$7:AD$7))))</f>
        <v>0</v>
      </c>
      <c r="AE298" s="2223" cm="1">
        <f t="array" ref="AE298">IF($D298&lt;COLUMNS($F$7:AE$7),"",INDEX(TableDiv[[GASB]:[GASB]],_xlfn.AGGREGATE(15,3,(TableDiv[[Agency]:[Agency]]=$E298)/(TableDiv[[Agency]:[Agency]]=$E298)*(ROW(TableDiv[Agency])-ROW(TableDiv[[#Headers],[Agency]])),COLUMNS($F$7:AE$7))))</f>
        <v>0</v>
      </c>
      <c r="AF298" s="2223" cm="1">
        <f t="array" ref="AF298">IF($D298&lt;COLUMNS($F$7:AF$7),"",INDEX(TableDiv[[GASB]:[GASB]],_xlfn.AGGREGATE(15,3,(TableDiv[[Agency]:[Agency]]=$E298)/(TableDiv[[Agency]:[Agency]]=$E298)*(ROW(TableDiv[Agency])-ROW(TableDiv[[#Headers],[Agency]])),COLUMNS($F$7:AF$7))))</f>
        <v>0</v>
      </c>
      <c r="AG298" s="2223" cm="1">
        <f t="array" ref="AG298">IF($D298&lt;COLUMNS($F$7:AG$7),"",INDEX(TableDiv[[GASB]:[GASB]],_xlfn.AGGREGATE(15,3,(TableDiv[[Agency]:[Agency]]=$E298)/(TableDiv[[Agency]:[Agency]]=$E298)*(ROW(TableDiv[Agency])-ROW(TableDiv[[#Headers],[Agency]])),COLUMNS($F$7:AG$7))))</f>
        <v>0</v>
      </c>
      <c r="AH298" s="2223" cm="1">
        <f t="array" ref="AH298">IF($D298&lt;COLUMNS($F$7:AH$7),"",INDEX(TableDiv[[GASB]:[GASB]],_xlfn.AGGREGATE(15,3,(TableDiv[[Agency]:[Agency]]=$E298)/(TableDiv[[Agency]:[Agency]]=$E298)*(ROW(TableDiv[Agency])-ROW(TableDiv[[#Headers],[Agency]])),COLUMNS($F$7:AH$7))))</f>
        <v>0</v>
      </c>
      <c r="AI298" s="2223" cm="1">
        <f t="array" ref="AI298">IF($D298&lt;COLUMNS($F$7:AI$7),"",INDEX(TableDiv[[GASB]:[GASB]],_xlfn.AGGREGATE(15,3,(TableDiv[[Agency]:[Agency]]=$E298)/(TableDiv[[Agency]:[Agency]]=$E298)*(ROW(TableDiv[Agency])-ROW(TableDiv[[#Headers],[Agency]])),COLUMNS($F$7:AI$7))))</f>
        <v>0</v>
      </c>
      <c r="AJ298" s="2223" cm="1">
        <f t="array" ref="AJ298">IF($D298&lt;COLUMNS($F$7:AJ$7),"",INDEX(TableDiv[[GASB]:[GASB]],_xlfn.AGGREGATE(15,3,(TableDiv[[Agency]:[Agency]]=$E298)/(TableDiv[[Agency]:[Agency]]=$E298)*(ROW(TableDiv[Agency])-ROW(TableDiv[[#Headers],[Agency]])),COLUMNS($F$7:AJ$7))))</f>
        <v>0</v>
      </c>
      <c r="AK298" s="2223" t="str" cm="1">
        <f t="array" ref="AK298">IF($D298&lt;COLUMNS($F$7:AK$7),"",INDEX(TableDiv[[GASB]:[GASB]],_xlfn.AGGREGATE(15,3,(TableDiv[[Agency]:[Agency]]=$E298)/(TableDiv[[Agency]:[Agency]]=$E298)*(ROW(TableDiv[Agency])-ROW(TableDiv[[#Headers],[Agency]])),COLUMNS($F$7:AK$7))))</f>
        <v/>
      </c>
      <c r="AL298" s="2223" t="str" cm="1">
        <f t="array" ref="AL298">IF($D298&lt;COLUMNS($F$7:AL$7),"",INDEX(TableDiv[[GASB]:[GASB]],_xlfn.AGGREGATE(15,3,(TableDiv[[Agency]:[Agency]]=$E298)/(TableDiv[[Agency]:[Agency]]=$E298)*(ROW(TableDiv[Agency])-ROW(TableDiv[[#Headers],[Agency]])),COLUMNS($F$7:AL$7))))</f>
        <v/>
      </c>
      <c r="AM298" s="2223" t="str" cm="1">
        <f t="array" ref="AM298">IF($D298&lt;COLUMNS($F$7:AM$7),"",INDEX(TableDiv[[GASB]:[GASB]],_xlfn.AGGREGATE(15,3,(TableDiv[[Agency]:[Agency]]=$E298)/(TableDiv[[Agency]:[Agency]]=$E298)*(ROW(TableDiv[Agency])-ROW(TableDiv[[#Headers],[Agency]])),COLUMNS($F$7:AM$7))))</f>
        <v/>
      </c>
      <c r="AN298" s="2223"/>
      <c r="AO298" s="2223"/>
      <c r="AP298" s="2223"/>
      <c r="AQ298" s="2223"/>
      <c r="AR298" s="2223"/>
      <c r="AS298" s="2223"/>
    </row>
    <row r="299" spans="1:45" ht="15" x14ac:dyDescent="0.25">
      <c r="A299" s="2219" t="s">
        <v>5119</v>
      </c>
      <c r="B299" s="2219" t="s">
        <v>6368</v>
      </c>
      <c r="C299" s="2223"/>
      <c r="D299" s="2223">
        <f>COUNTIF(TableDiv[Agency],E299)</f>
        <v>31</v>
      </c>
      <c r="E299" s="2230" t="str" cm="1">
        <f t="array" ref="E299">IFERROR(INDEX(TableDiv[Agency],MATCH(0,INDEX(COUNTIF($E$7:E298,TableDiv[Agency]),),0)),"")</f>
        <v/>
      </c>
      <c r="F299" s="2223" cm="1">
        <f t="array" ref="F299">IF($D299&lt;COLUMNS($F$7:F$7),"",INDEX(TableDiv[[GASB]:[GASB]],_xlfn.AGGREGATE(15,3,(TableDiv[[Agency]:[Agency]]=$E299)/(TableDiv[[Agency]:[Agency]]=$E299)*(ROW(TableDiv[Agency])-ROW(TableDiv[[#Headers],[Agency]])),COLUMNS($F$7:F$7))))</f>
        <v>0</v>
      </c>
      <c r="G299" s="2223" cm="1">
        <f t="array" ref="G299">IF($D299&lt;COLUMNS($F$7:G$7),"",INDEX(TableDiv[[GASB]:[GASB]],_xlfn.AGGREGATE(15,3,(TableDiv[[Agency]:[Agency]]=$E299)/(TableDiv[[Agency]:[Agency]]=$E299)*(ROW(TableDiv[Agency])-ROW(TableDiv[[#Headers],[Agency]])),COLUMNS($F$7:G$7))))</f>
        <v>0</v>
      </c>
      <c r="H299" s="2223" cm="1">
        <f t="array" ref="H299">IF($D299&lt;COLUMNS($F$7:H$7),"",INDEX(TableDiv[[GASB]:[GASB]],_xlfn.AGGREGATE(15,3,(TableDiv[[Agency]:[Agency]]=$E299)/(TableDiv[[Agency]:[Agency]]=$E299)*(ROW(TableDiv[Agency])-ROW(TableDiv[[#Headers],[Agency]])),COLUMNS($F$7:H$7))))</f>
        <v>0</v>
      </c>
      <c r="I299" s="2223" cm="1">
        <f t="array" ref="I299">IF($D299&lt;COLUMNS($F$7:I$7),"",INDEX(TableDiv[[GASB]:[GASB]],_xlfn.AGGREGATE(15,3,(TableDiv[[Agency]:[Agency]]=$E299)/(TableDiv[[Agency]:[Agency]]=$E299)*(ROW(TableDiv[Agency])-ROW(TableDiv[[#Headers],[Agency]])),COLUMNS($F$7:I$7))))</f>
        <v>0</v>
      </c>
      <c r="J299" s="2223" cm="1">
        <f t="array" ref="J299">IF($D299&lt;COLUMNS($F$7:J$7),"",INDEX(TableDiv[[GASB]:[GASB]],_xlfn.AGGREGATE(15,3,(TableDiv[[Agency]:[Agency]]=$E299)/(TableDiv[[Agency]:[Agency]]=$E299)*(ROW(TableDiv[Agency])-ROW(TableDiv[[#Headers],[Agency]])),COLUMNS($F$7:J$7))))</f>
        <v>0</v>
      </c>
      <c r="K299" s="2223" cm="1">
        <f t="array" ref="K299">IF($D299&lt;COLUMNS($F$7:K$7),"",INDEX(TableDiv[[GASB]:[GASB]],_xlfn.AGGREGATE(15,3,(TableDiv[[Agency]:[Agency]]=$E299)/(TableDiv[[Agency]:[Agency]]=$E299)*(ROW(TableDiv[Agency])-ROW(TableDiv[[#Headers],[Agency]])),COLUMNS($F$7:K$7))))</f>
        <v>0</v>
      </c>
      <c r="L299" s="2223" cm="1">
        <f t="array" ref="L299">IF($D299&lt;COLUMNS($F$7:L$7),"",INDEX(TableDiv[[GASB]:[GASB]],_xlfn.AGGREGATE(15,3,(TableDiv[[Agency]:[Agency]]=$E299)/(TableDiv[[Agency]:[Agency]]=$E299)*(ROW(TableDiv[Agency])-ROW(TableDiv[[#Headers],[Agency]])),COLUMNS($F$7:L$7))))</f>
        <v>0</v>
      </c>
      <c r="M299" s="2223" cm="1">
        <f t="array" ref="M299">IF($D299&lt;COLUMNS($F$7:M$7),"",INDEX(TableDiv[[GASB]:[GASB]],_xlfn.AGGREGATE(15,3,(TableDiv[[Agency]:[Agency]]=$E299)/(TableDiv[[Agency]:[Agency]]=$E299)*(ROW(TableDiv[Agency])-ROW(TableDiv[[#Headers],[Agency]])),COLUMNS($F$7:M$7))))</f>
        <v>0</v>
      </c>
      <c r="N299" s="2223" cm="1">
        <f t="array" ref="N299">IF($D299&lt;COLUMNS($F$7:N$7),"",INDEX(TableDiv[[GASB]:[GASB]],_xlfn.AGGREGATE(15,3,(TableDiv[[Agency]:[Agency]]=$E299)/(TableDiv[[Agency]:[Agency]]=$E299)*(ROW(TableDiv[Agency])-ROW(TableDiv[[#Headers],[Agency]])),COLUMNS($F$7:N$7))))</f>
        <v>0</v>
      </c>
      <c r="O299" s="2223" cm="1">
        <f t="array" ref="O299">IF($D299&lt;COLUMNS($F$7:O$7),"",INDEX(TableDiv[[GASB]:[GASB]],_xlfn.AGGREGATE(15,3,(TableDiv[[Agency]:[Agency]]=$E299)/(TableDiv[[Agency]:[Agency]]=$E299)*(ROW(TableDiv[Agency])-ROW(TableDiv[[#Headers],[Agency]])),COLUMNS($F$7:O$7))))</f>
        <v>0</v>
      </c>
      <c r="P299" s="2223" cm="1">
        <f t="array" ref="P299">IF($D299&lt;COLUMNS($F$7:P$7),"",INDEX(TableDiv[[GASB]:[GASB]],_xlfn.AGGREGATE(15,3,(TableDiv[[Agency]:[Agency]]=$E299)/(TableDiv[[Agency]:[Agency]]=$E299)*(ROW(TableDiv[Agency])-ROW(TableDiv[[#Headers],[Agency]])),COLUMNS($F$7:P$7))))</f>
        <v>0</v>
      </c>
      <c r="Q299" s="2223" cm="1">
        <f t="array" ref="Q299">IF($D299&lt;COLUMNS($F$7:Q$7),"",INDEX(TableDiv[[GASB]:[GASB]],_xlfn.AGGREGATE(15,3,(TableDiv[[Agency]:[Agency]]=$E299)/(TableDiv[[Agency]:[Agency]]=$E299)*(ROW(TableDiv[Agency])-ROW(TableDiv[[#Headers],[Agency]])),COLUMNS($F$7:Q$7))))</f>
        <v>0</v>
      </c>
      <c r="R299" s="2223" cm="1">
        <f t="array" ref="R299">IF($D299&lt;COLUMNS($F$7:R$7),"",INDEX(TableDiv[[GASB]:[GASB]],_xlfn.AGGREGATE(15,3,(TableDiv[[Agency]:[Agency]]=$E299)/(TableDiv[[Agency]:[Agency]]=$E299)*(ROW(TableDiv[Agency])-ROW(TableDiv[[#Headers],[Agency]])),COLUMNS($F$7:R$7))))</f>
        <v>0</v>
      </c>
      <c r="S299" s="2223" cm="1">
        <f t="array" ref="S299">IF($D299&lt;COLUMNS($F$7:S$7),"",INDEX(TableDiv[[GASB]:[GASB]],_xlfn.AGGREGATE(15,3,(TableDiv[[Agency]:[Agency]]=$E299)/(TableDiv[[Agency]:[Agency]]=$E299)*(ROW(TableDiv[Agency])-ROW(TableDiv[[#Headers],[Agency]])),COLUMNS($F$7:S$7))))</f>
        <v>0</v>
      </c>
      <c r="T299" s="2223" cm="1">
        <f t="array" ref="T299">IF($D299&lt;COLUMNS($F$7:T$7),"",INDEX(TableDiv[[GASB]:[GASB]],_xlfn.AGGREGATE(15,3,(TableDiv[[Agency]:[Agency]]=$E299)/(TableDiv[[Agency]:[Agency]]=$E299)*(ROW(TableDiv[Agency])-ROW(TableDiv[[#Headers],[Agency]])),COLUMNS($F$7:T$7))))</f>
        <v>0</v>
      </c>
      <c r="U299" s="2223" cm="1">
        <f t="array" ref="U299">IF($D299&lt;COLUMNS($F$7:U$7),"",INDEX(TableDiv[[GASB]:[GASB]],_xlfn.AGGREGATE(15,3,(TableDiv[[Agency]:[Agency]]=$E299)/(TableDiv[[Agency]:[Agency]]=$E299)*(ROW(TableDiv[Agency])-ROW(TableDiv[[#Headers],[Agency]])),COLUMNS($F$7:U$7))))</f>
        <v>0</v>
      </c>
      <c r="V299" s="2223" cm="1">
        <f t="array" ref="V299">IF($D299&lt;COLUMNS($F$7:V$7),"",INDEX(TableDiv[[GASB]:[GASB]],_xlfn.AGGREGATE(15,3,(TableDiv[[Agency]:[Agency]]=$E299)/(TableDiv[[Agency]:[Agency]]=$E299)*(ROW(TableDiv[Agency])-ROW(TableDiv[[#Headers],[Agency]])),COLUMNS($F$7:V$7))))</f>
        <v>0</v>
      </c>
      <c r="W299" s="2223" cm="1">
        <f t="array" ref="W299">IF($D299&lt;COLUMNS($F$7:W$7),"",INDEX(TableDiv[[GASB]:[GASB]],_xlfn.AGGREGATE(15,3,(TableDiv[[Agency]:[Agency]]=$E299)/(TableDiv[[Agency]:[Agency]]=$E299)*(ROW(TableDiv[Agency])-ROW(TableDiv[[#Headers],[Agency]])),COLUMNS($F$7:W$7))))</f>
        <v>0</v>
      </c>
      <c r="X299" s="2223" cm="1">
        <f t="array" ref="X299">IF($D299&lt;COLUMNS($F$7:X$7),"",INDEX(TableDiv[[GASB]:[GASB]],_xlfn.AGGREGATE(15,3,(TableDiv[[Agency]:[Agency]]=$E299)/(TableDiv[[Agency]:[Agency]]=$E299)*(ROW(TableDiv[Agency])-ROW(TableDiv[[#Headers],[Agency]])),COLUMNS($F$7:X$7))))</f>
        <v>0</v>
      </c>
      <c r="Y299" s="2223" cm="1">
        <f t="array" ref="Y299">IF($D299&lt;COLUMNS($F$7:Y$7),"",INDEX(TableDiv[[GASB]:[GASB]],_xlfn.AGGREGATE(15,3,(TableDiv[[Agency]:[Agency]]=$E299)/(TableDiv[[Agency]:[Agency]]=$E299)*(ROW(TableDiv[Agency])-ROW(TableDiv[[#Headers],[Agency]])),COLUMNS($F$7:Y$7))))</f>
        <v>0</v>
      </c>
      <c r="Z299" s="2223" cm="1">
        <f t="array" ref="Z299">IF($D299&lt;COLUMNS($F$7:Z$7),"",INDEX(TableDiv[[GASB]:[GASB]],_xlfn.AGGREGATE(15,3,(TableDiv[[Agency]:[Agency]]=$E299)/(TableDiv[[Agency]:[Agency]]=$E299)*(ROW(TableDiv[Agency])-ROW(TableDiv[[#Headers],[Agency]])),COLUMNS($F$7:Z$7))))</f>
        <v>0</v>
      </c>
      <c r="AA299" s="2223" cm="1">
        <f t="array" ref="AA299">IF($D299&lt;COLUMNS($F$7:AA$7),"",INDEX(TableDiv[[GASB]:[GASB]],_xlfn.AGGREGATE(15,3,(TableDiv[[Agency]:[Agency]]=$E299)/(TableDiv[[Agency]:[Agency]]=$E299)*(ROW(TableDiv[Agency])-ROW(TableDiv[[#Headers],[Agency]])),COLUMNS($F$7:AA$7))))</f>
        <v>0</v>
      </c>
      <c r="AB299" s="2223" cm="1">
        <f t="array" ref="AB299">IF($D299&lt;COLUMNS($F$7:AB$7),"",INDEX(TableDiv[[GASB]:[GASB]],_xlfn.AGGREGATE(15,3,(TableDiv[[Agency]:[Agency]]=$E299)/(TableDiv[[Agency]:[Agency]]=$E299)*(ROW(TableDiv[Agency])-ROW(TableDiv[[#Headers],[Agency]])),COLUMNS($F$7:AB$7))))</f>
        <v>0</v>
      </c>
      <c r="AC299" s="2223" cm="1">
        <f t="array" ref="AC299">IF($D299&lt;COLUMNS($F$7:AC$7),"",INDEX(TableDiv[[GASB]:[GASB]],_xlfn.AGGREGATE(15,3,(TableDiv[[Agency]:[Agency]]=$E299)/(TableDiv[[Agency]:[Agency]]=$E299)*(ROW(TableDiv[Agency])-ROW(TableDiv[[#Headers],[Agency]])),COLUMNS($F$7:AC$7))))</f>
        <v>0</v>
      </c>
      <c r="AD299" s="2223" cm="1">
        <f t="array" ref="AD299">IF($D299&lt;COLUMNS($F$7:AD$7),"",INDEX(TableDiv[[GASB]:[GASB]],_xlfn.AGGREGATE(15,3,(TableDiv[[Agency]:[Agency]]=$E299)/(TableDiv[[Agency]:[Agency]]=$E299)*(ROW(TableDiv[Agency])-ROW(TableDiv[[#Headers],[Agency]])),COLUMNS($F$7:AD$7))))</f>
        <v>0</v>
      </c>
      <c r="AE299" s="2223" cm="1">
        <f t="array" ref="AE299">IF($D299&lt;COLUMNS($F$7:AE$7),"",INDEX(TableDiv[[GASB]:[GASB]],_xlfn.AGGREGATE(15,3,(TableDiv[[Agency]:[Agency]]=$E299)/(TableDiv[[Agency]:[Agency]]=$E299)*(ROW(TableDiv[Agency])-ROW(TableDiv[[#Headers],[Agency]])),COLUMNS($F$7:AE$7))))</f>
        <v>0</v>
      </c>
      <c r="AF299" s="2223" cm="1">
        <f t="array" ref="AF299">IF($D299&lt;COLUMNS($F$7:AF$7),"",INDEX(TableDiv[[GASB]:[GASB]],_xlfn.AGGREGATE(15,3,(TableDiv[[Agency]:[Agency]]=$E299)/(TableDiv[[Agency]:[Agency]]=$E299)*(ROW(TableDiv[Agency])-ROW(TableDiv[[#Headers],[Agency]])),COLUMNS($F$7:AF$7))))</f>
        <v>0</v>
      </c>
      <c r="AG299" s="2223" cm="1">
        <f t="array" ref="AG299">IF($D299&lt;COLUMNS($F$7:AG$7),"",INDEX(TableDiv[[GASB]:[GASB]],_xlfn.AGGREGATE(15,3,(TableDiv[[Agency]:[Agency]]=$E299)/(TableDiv[[Agency]:[Agency]]=$E299)*(ROW(TableDiv[Agency])-ROW(TableDiv[[#Headers],[Agency]])),COLUMNS($F$7:AG$7))))</f>
        <v>0</v>
      </c>
      <c r="AH299" s="2223" cm="1">
        <f t="array" ref="AH299">IF($D299&lt;COLUMNS($F$7:AH$7),"",INDEX(TableDiv[[GASB]:[GASB]],_xlfn.AGGREGATE(15,3,(TableDiv[[Agency]:[Agency]]=$E299)/(TableDiv[[Agency]:[Agency]]=$E299)*(ROW(TableDiv[Agency])-ROW(TableDiv[[#Headers],[Agency]])),COLUMNS($F$7:AH$7))))</f>
        <v>0</v>
      </c>
      <c r="AI299" s="2223" cm="1">
        <f t="array" ref="AI299">IF($D299&lt;COLUMNS($F$7:AI$7),"",INDEX(TableDiv[[GASB]:[GASB]],_xlfn.AGGREGATE(15,3,(TableDiv[[Agency]:[Agency]]=$E299)/(TableDiv[[Agency]:[Agency]]=$E299)*(ROW(TableDiv[Agency])-ROW(TableDiv[[#Headers],[Agency]])),COLUMNS($F$7:AI$7))))</f>
        <v>0</v>
      </c>
      <c r="AJ299" s="2223" cm="1">
        <f t="array" ref="AJ299">IF($D299&lt;COLUMNS($F$7:AJ$7),"",INDEX(TableDiv[[GASB]:[GASB]],_xlfn.AGGREGATE(15,3,(TableDiv[[Agency]:[Agency]]=$E299)/(TableDiv[[Agency]:[Agency]]=$E299)*(ROW(TableDiv[Agency])-ROW(TableDiv[[#Headers],[Agency]])),COLUMNS($F$7:AJ$7))))</f>
        <v>0</v>
      </c>
      <c r="AK299" s="2223" t="str" cm="1">
        <f t="array" ref="AK299">IF($D299&lt;COLUMNS($F$7:AK$7),"",INDEX(TableDiv[[GASB]:[GASB]],_xlfn.AGGREGATE(15,3,(TableDiv[[Agency]:[Agency]]=$E299)/(TableDiv[[Agency]:[Agency]]=$E299)*(ROW(TableDiv[Agency])-ROW(TableDiv[[#Headers],[Agency]])),COLUMNS($F$7:AK$7))))</f>
        <v/>
      </c>
      <c r="AL299" s="2223" t="str" cm="1">
        <f t="array" ref="AL299">IF($D299&lt;COLUMNS($F$7:AL$7),"",INDEX(TableDiv[[GASB]:[GASB]],_xlfn.AGGREGATE(15,3,(TableDiv[[Agency]:[Agency]]=$E299)/(TableDiv[[Agency]:[Agency]]=$E299)*(ROW(TableDiv[Agency])-ROW(TableDiv[[#Headers],[Agency]])),COLUMNS($F$7:AL$7))))</f>
        <v/>
      </c>
      <c r="AM299" s="2223" t="str" cm="1">
        <f t="array" ref="AM299">IF($D299&lt;COLUMNS($F$7:AM$7),"",INDEX(TableDiv[[GASB]:[GASB]],_xlfn.AGGREGATE(15,3,(TableDiv[[Agency]:[Agency]]=$E299)/(TableDiv[[Agency]:[Agency]]=$E299)*(ROW(TableDiv[Agency])-ROW(TableDiv[[#Headers],[Agency]])),COLUMNS($F$7:AM$7))))</f>
        <v/>
      </c>
      <c r="AN299" s="2223"/>
      <c r="AO299" s="2223"/>
      <c r="AP299" s="2223"/>
      <c r="AQ299" s="2223"/>
      <c r="AR299" s="2223"/>
      <c r="AS299" s="2223"/>
    </row>
    <row r="300" spans="1:45" ht="15" x14ac:dyDescent="0.25">
      <c r="A300" s="2219" t="s">
        <v>5119</v>
      </c>
      <c r="B300" s="2219" t="s">
        <v>6402</v>
      </c>
      <c r="C300" s="2223"/>
      <c r="D300" s="2223">
        <f>COUNTIF(TableDiv[Agency],E300)</f>
        <v>31</v>
      </c>
      <c r="E300" s="2230" t="str" cm="1">
        <f t="array" ref="E300">IFERROR(INDEX(TableDiv[Agency],MATCH(0,INDEX(COUNTIF($E$7:E299,TableDiv[Agency]),),0)),"")</f>
        <v/>
      </c>
      <c r="F300" s="2223" cm="1">
        <f t="array" ref="F300">IF($D300&lt;COLUMNS($F$7:F$7),"",INDEX(TableDiv[[GASB]:[GASB]],_xlfn.AGGREGATE(15,3,(TableDiv[[Agency]:[Agency]]=$E300)/(TableDiv[[Agency]:[Agency]]=$E300)*(ROW(TableDiv[Agency])-ROW(TableDiv[[#Headers],[Agency]])),COLUMNS($F$7:F$7))))</f>
        <v>0</v>
      </c>
      <c r="G300" s="2223" cm="1">
        <f t="array" ref="G300">IF($D300&lt;COLUMNS($F$7:G$7),"",INDEX(TableDiv[[GASB]:[GASB]],_xlfn.AGGREGATE(15,3,(TableDiv[[Agency]:[Agency]]=$E300)/(TableDiv[[Agency]:[Agency]]=$E300)*(ROW(TableDiv[Agency])-ROW(TableDiv[[#Headers],[Agency]])),COLUMNS($F$7:G$7))))</f>
        <v>0</v>
      </c>
      <c r="H300" s="2223" cm="1">
        <f t="array" ref="H300">IF($D300&lt;COLUMNS($F$7:H$7),"",INDEX(TableDiv[[GASB]:[GASB]],_xlfn.AGGREGATE(15,3,(TableDiv[[Agency]:[Agency]]=$E300)/(TableDiv[[Agency]:[Agency]]=$E300)*(ROW(TableDiv[Agency])-ROW(TableDiv[[#Headers],[Agency]])),COLUMNS($F$7:H$7))))</f>
        <v>0</v>
      </c>
      <c r="I300" s="2223" cm="1">
        <f t="array" ref="I300">IF($D300&lt;COLUMNS($F$7:I$7),"",INDEX(TableDiv[[GASB]:[GASB]],_xlfn.AGGREGATE(15,3,(TableDiv[[Agency]:[Agency]]=$E300)/(TableDiv[[Agency]:[Agency]]=$E300)*(ROW(TableDiv[Agency])-ROW(TableDiv[[#Headers],[Agency]])),COLUMNS($F$7:I$7))))</f>
        <v>0</v>
      </c>
      <c r="J300" s="2223" cm="1">
        <f t="array" ref="J300">IF($D300&lt;COLUMNS($F$7:J$7),"",INDEX(TableDiv[[GASB]:[GASB]],_xlfn.AGGREGATE(15,3,(TableDiv[[Agency]:[Agency]]=$E300)/(TableDiv[[Agency]:[Agency]]=$E300)*(ROW(TableDiv[Agency])-ROW(TableDiv[[#Headers],[Agency]])),COLUMNS($F$7:J$7))))</f>
        <v>0</v>
      </c>
      <c r="K300" s="2223" cm="1">
        <f t="array" ref="K300">IF($D300&lt;COLUMNS($F$7:K$7),"",INDEX(TableDiv[[GASB]:[GASB]],_xlfn.AGGREGATE(15,3,(TableDiv[[Agency]:[Agency]]=$E300)/(TableDiv[[Agency]:[Agency]]=$E300)*(ROW(TableDiv[Agency])-ROW(TableDiv[[#Headers],[Agency]])),COLUMNS($F$7:K$7))))</f>
        <v>0</v>
      </c>
      <c r="L300" s="2223" cm="1">
        <f t="array" ref="L300">IF($D300&lt;COLUMNS($F$7:L$7),"",INDEX(TableDiv[[GASB]:[GASB]],_xlfn.AGGREGATE(15,3,(TableDiv[[Agency]:[Agency]]=$E300)/(TableDiv[[Agency]:[Agency]]=$E300)*(ROW(TableDiv[Agency])-ROW(TableDiv[[#Headers],[Agency]])),COLUMNS($F$7:L$7))))</f>
        <v>0</v>
      </c>
      <c r="M300" s="2223" cm="1">
        <f t="array" ref="M300">IF($D300&lt;COLUMNS($F$7:M$7),"",INDEX(TableDiv[[GASB]:[GASB]],_xlfn.AGGREGATE(15,3,(TableDiv[[Agency]:[Agency]]=$E300)/(TableDiv[[Agency]:[Agency]]=$E300)*(ROW(TableDiv[Agency])-ROW(TableDiv[[#Headers],[Agency]])),COLUMNS($F$7:M$7))))</f>
        <v>0</v>
      </c>
      <c r="N300" s="2223" cm="1">
        <f t="array" ref="N300">IF($D300&lt;COLUMNS($F$7:N$7),"",INDEX(TableDiv[[GASB]:[GASB]],_xlfn.AGGREGATE(15,3,(TableDiv[[Agency]:[Agency]]=$E300)/(TableDiv[[Agency]:[Agency]]=$E300)*(ROW(TableDiv[Agency])-ROW(TableDiv[[#Headers],[Agency]])),COLUMNS($F$7:N$7))))</f>
        <v>0</v>
      </c>
      <c r="O300" s="2223" cm="1">
        <f t="array" ref="O300">IF($D300&lt;COLUMNS($F$7:O$7),"",INDEX(TableDiv[[GASB]:[GASB]],_xlfn.AGGREGATE(15,3,(TableDiv[[Agency]:[Agency]]=$E300)/(TableDiv[[Agency]:[Agency]]=$E300)*(ROW(TableDiv[Agency])-ROW(TableDiv[[#Headers],[Agency]])),COLUMNS($F$7:O$7))))</f>
        <v>0</v>
      </c>
      <c r="P300" s="2223" cm="1">
        <f t="array" ref="P300">IF($D300&lt;COLUMNS($F$7:P$7),"",INDEX(TableDiv[[GASB]:[GASB]],_xlfn.AGGREGATE(15,3,(TableDiv[[Agency]:[Agency]]=$E300)/(TableDiv[[Agency]:[Agency]]=$E300)*(ROW(TableDiv[Agency])-ROW(TableDiv[[#Headers],[Agency]])),COLUMNS($F$7:P$7))))</f>
        <v>0</v>
      </c>
      <c r="Q300" s="2223" cm="1">
        <f t="array" ref="Q300">IF($D300&lt;COLUMNS($F$7:Q$7),"",INDEX(TableDiv[[GASB]:[GASB]],_xlfn.AGGREGATE(15,3,(TableDiv[[Agency]:[Agency]]=$E300)/(TableDiv[[Agency]:[Agency]]=$E300)*(ROW(TableDiv[Agency])-ROW(TableDiv[[#Headers],[Agency]])),COLUMNS($F$7:Q$7))))</f>
        <v>0</v>
      </c>
      <c r="R300" s="2223" cm="1">
        <f t="array" ref="R300">IF($D300&lt;COLUMNS($F$7:R$7),"",INDEX(TableDiv[[GASB]:[GASB]],_xlfn.AGGREGATE(15,3,(TableDiv[[Agency]:[Agency]]=$E300)/(TableDiv[[Agency]:[Agency]]=$E300)*(ROW(TableDiv[Agency])-ROW(TableDiv[[#Headers],[Agency]])),COLUMNS($F$7:R$7))))</f>
        <v>0</v>
      </c>
      <c r="S300" s="2223" cm="1">
        <f t="array" ref="S300">IF($D300&lt;COLUMNS($F$7:S$7),"",INDEX(TableDiv[[GASB]:[GASB]],_xlfn.AGGREGATE(15,3,(TableDiv[[Agency]:[Agency]]=$E300)/(TableDiv[[Agency]:[Agency]]=$E300)*(ROW(TableDiv[Agency])-ROW(TableDiv[[#Headers],[Agency]])),COLUMNS($F$7:S$7))))</f>
        <v>0</v>
      </c>
      <c r="T300" s="2223" cm="1">
        <f t="array" ref="T300">IF($D300&lt;COLUMNS($F$7:T$7),"",INDEX(TableDiv[[GASB]:[GASB]],_xlfn.AGGREGATE(15,3,(TableDiv[[Agency]:[Agency]]=$E300)/(TableDiv[[Agency]:[Agency]]=$E300)*(ROW(TableDiv[Agency])-ROW(TableDiv[[#Headers],[Agency]])),COLUMNS($F$7:T$7))))</f>
        <v>0</v>
      </c>
      <c r="U300" s="2223" cm="1">
        <f t="array" ref="U300">IF($D300&lt;COLUMNS($F$7:U$7),"",INDEX(TableDiv[[GASB]:[GASB]],_xlfn.AGGREGATE(15,3,(TableDiv[[Agency]:[Agency]]=$E300)/(TableDiv[[Agency]:[Agency]]=$E300)*(ROW(TableDiv[Agency])-ROW(TableDiv[[#Headers],[Agency]])),COLUMNS($F$7:U$7))))</f>
        <v>0</v>
      </c>
      <c r="V300" s="2223" cm="1">
        <f t="array" ref="V300">IF($D300&lt;COLUMNS($F$7:V$7),"",INDEX(TableDiv[[GASB]:[GASB]],_xlfn.AGGREGATE(15,3,(TableDiv[[Agency]:[Agency]]=$E300)/(TableDiv[[Agency]:[Agency]]=$E300)*(ROW(TableDiv[Agency])-ROW(TableDiv[[#Headers],[Agency]])),COLUMNS($F$7:V$7))))</f>
        <v>0</v>
      </c>
      <c r="W300" s="2223" cm="1">
        <f t="array" ref="W300">IF($D300&lt;COLUMNS($F$7:W$7),"",INDEX(TableDiv[[GASB]:[GASB]],_xlfn.AGGREGATE(15,3,(TableDiv[[Agency]:[Agency]]=$E300)/(TableDiv[[Agency]:[Agency]]=$E300)*(ROW(TableDiv[Agency])-ROW(TableDiv[[#Headers],[Agency]])),COLUMNS($F$7:W$7))))</f>
        <v>0</v>
      </c>
      <c r="X300" s="2223" cm="1">
        <f t="array" ref="X300">IF($D300&lt;COLUMNS($F$7:X$7),"",INDEX(TableDiv[[GASB]:[GASB]],_xlfn.AGGREGATE(15,3,(TableDiv[[Agency]:[Agency]]=$E300)/(TableDiv[[Agency]:[Agency]]=$E300)*(ROW(TableDiv[Agency])-ROW(TableDiv[[#Headers],[Agency]])),COLUMNS($F$7:X$7))))</f>
        <v>0</v>
      </c>
      <c r="Y300" s="2223" cm="1">
        <f t="array" ref="Y300">IF($D300&lt;COLUMNS($F$7:Y$7),"",INDEX(TableDiv[[GASB]:[GASB]],_xlfn.AGGREGATE(15,3,(TableDiv[[Agency]:[Agency]]=$E300)/(TableDiv[[Agency]:[Agency]]=$E300)*(ROW(TableDiv[Agency])-ROW(TableDiv[[#Headers],[Agency]])),COLUMNS($F$7:Y$7))))</f>
        <v>0</v>
      </c>
      <c r="Z300" s="2223" cm="1">
        <f t="array" ref="Z300">IF($D300&lt;COLUMNS($F$7:Z$7),"",INDEX(TableDiv[[GASB]:[GASB]],_xlfn.AGGREGATE(15,3,(TableDiv[[Agency]:[Agency]]=$E300)/(TableDiv[[Agency]:[Agency]]=$E300)*(ROW(TableDiv[Agency])-ROW(TableDiv[[#Headers],[Agency]])),COLUMNS($F$7:Z$7))))</f>
        <v>0</v>
      </c>
      <c r="AA300" s="2223" cm="1">
        <f t="array" ref="AA300">IF($D300&lt;COLUMNS($F$7:AA$7),"",INDEX(TableDiv[[GASB]:[GASB]],_xlfn.AGGREGATE(15,3,(TableDiv[[Agency]:[Agency]]=$E300)/(TableDiv[[Agency]:[Agency]]=$E300)*(ROW(TableDiv[Agency])-ROW(TableDiv[[#Headers],[Agency]])),COLUMNS($F$7:AA$7))))</f>
        <v>0</v>
      </c>
      <c r="AB300" s="2223" cm="1">
        <f t="array" ref="AB300">IF($D300&lt;COLUMNS($F$7:AB$7),"",INDEX(TableDiv[[GASB]:[GASB]],_xlfn.AGGREGATE(15,3,(TableDiv[[Agency]:[Agency]]=$E300)/(TableDiv[[Agency]:[Agency]]=$E300)*(ROW(TableDiv[Agency])-ROW(TableDiv[[#Headers],[Agency]])),COLUMNS($F$7:AB$7))))</f>
        <v>0</v>
      </c>
      <c r="AC300" s="2223" cm="1">
        <f t="array" ref="AC300">IF($D300&lt;COLUMNS($F$7:AC$7),"",INDEX(TableDiv[[GASB]:[GASB]],_xlfn.AGGREGATE(15,3,(TableDiv[[Agency]:[Agency]]=$E300)/(TableDiv[[Agency]:[Agency]]=$E300)*(ROW(TableDiv[Agency])-ROW(TableDiv[[#Headers],[Agency]])),COLUMNS($F$7:AC$7))))</f>
        <v>0</v>
      </c>
      <c r="AD300" s="2223" cm="1">
        <f t="array" ref="AD300">IF($D300&lt;COLUMNS($F$7:AD$7),"",INDEX(TableDiv[[GASB]:[GASB]],_xlfn.AGGREGATE(15,3,(TableDiv[[Agency]:[Agency]]=$E300)/(TableDiv[[Agency]:[Agency]]=$E300)*(ROW(TableDiv[Agency])-ROW(TableDiv[[#Headers],[Agency]])),COLUMNS($F$7:AD$7))))</f>
        <v>0</v>
      </c>
      <c r="AE300" s="2223" cm="1">
        <f t="array" ref="AE300">IF($D300&lt;COLUMNS($F$7:AE$7),"",INDEX(TableDiv[[GASB]:[GASB]],_xlfn.AGGREGATE(15,3,(TableDiv[[Agency]:[Agency]]=$E300)/(TableDiv[[Agency]:[Agency]]=$E300)*(ROW(TableDiv[Agency])-ROW(TableDiv[[#Headers],[Agency]])),COLUMNS($F$7:AE$7))))</f>
        <v>0</v>
      </c>
      <c r="AF300" s="2223" cm="1">
        <f t="array" ref="AF300">IF($D300&lt;COLUMNS($F$7:AF$7),"",INDEX(TableDiv[[GASB]:[GASB]],_xlfn.AGGREGATE(15,3,(TableDiv[[Agency]:[Agency]]=$E300)/(TableDiv[[Agency]:[Agency]]=$E300)*(ROW(TableDiv[Agency])-ROW(TableDiv[[#Headers],[Agency]])),COLUMNS($F$7:AF$7))))</f>
        <v>0</v>
      </c>
      <c r="AG300" s="2223" cm="1">
        <f t="array" ref="AG300">IF($D300&lt;COLUMNS($F$7:AG$7),"",INDEX(TableDiv[[GASB]:[GASB]],_xlfn.AGGREGATE(15,3,(TableDiv[[Agency]:[Agency]]=$E300)/(TableDiv[[Agency]:[Agency]]=$E300)*(ROW(TableDiv[Agency])-ROW(TableDiv[[#Headers],[Agency]])),COLUMNS($F$7:AG$7))))</f>
        <v>0</v>
      </c>
      <c r="AH300" s="2223" cm="1">
        <f t="array" ref="AH300">IF($D300&lt;COLUMNS($F$7:AH$7),"",INDEX(TableDiv[[GASB]:[GASB]],_xlfn.AGGREGATE(15,3,(TableDiv[[Agency]:[Agency]]=$E300)/(TableDiv[[Agency]:[Agency]]=$E300)*(ROW(TableDiv[Agency])-ROW(TableDiv[[#Headers],[Agency]])),COLUMNS($F$7:AH$7))))</f>
        <v>0</v>
      </c>
      <c r="AI300" s="2223" cm="1">
        <f t="array" ref="AI300">IF($D300&lt;COLUMNS($F$7:AI$7),"",INDEX(TableDiv[[GASB]:[GASB]],_xlfn.AGGREGATE(15,3,(TableDiv[[Agency]:[Agency]]=$E300)/(TableDiv[[Agency]:[Agency]]=$E300)*(ROW(TableDiv[Agency])-ROW(TableDiv[[#Headers],[Agency]])),COLUMNS($F$7:AI$7))))</f>
        <v>0</v>
      </c>
      <c r="AJ300" s="2223" cm="1">
        <f t="array" ref="AJ300">IF($D300&lt;COLUMNS($F$7:AJ$7),"",INDEX(TableDiv[[GASB]:[GASB]],_xlfn.AGGREGATE(15,3,(TableDiv[[Agency]:[Agency]]=$E300)/(TableDiv[[Agency]:[Agency]]=$E300)*(ROW(TableDiv[Agency])-ROW(TableDiv[[#Headers],[Agency]])),COLUMNS($F$7:AJ$7))))</f>
        <v>0</v>
      </c>
      <c r="AK300" s="2223" t="str" cm="1">
        <f t="array" ref="AK300">IF($D300&lt;COLUMNS($F$7:AK$7),"",INDEX(TableDiv[[GASB]:[GASB]],_xlfn.AGGREGATE(15,3,(TableDiv[[Agency]:[Agency]]=$E300)/(TableDiv[[Agency]:[Agency]]=$E300)*(ROW(TableDiv[Agency])-ROW(TableDiv[[#Headers],[Agency]])),COLUMNS($F$7:AK$7))))</f>
        <v/>
      </c>
      <c r="AL300" s="2223" t="str" cm="1">
        <f t="array" ref="AL300">IF($D300&lt;COLUMNS($F$7:AL$7),"",INDEX(TableDiv[[GASB]:[GASB]],_xlfn.AGGREGATE(15,3,(TableDiv[[Agency]:[Agency]]=$E300)/(TableDiv[[Agency]:[Agency]]=$E300)*(ROW(TableDiv[Agency])-ROW(TableDiv[[#Headers],[Agency]])),COLUMNS($F$7:AL$7))))</f>
        <v/>
      </c>
      <c r="AM300" s="2223" t="str" cm="1">
        <f t="array" ref="AM300">IF($D300&lt;COLUMNS($F$7:AM$7),"",INDEX(TableDiv[[GASB]:[GASB]],_xlfn.AGGREGATE(15,3,(TableDiv[[Agency]:[Agency]]=$E300)/(TableDiv[[Agency]:[Agency]]=$E300)*(ROW(TableDiv[Agency])-ROW(TableDiv[[#Headers],[Agency]])),COLUMNS($F$7:AM$7))))</f>
        <v/>
      </c>
      <c r="AN300" s="2223"/>
      <c r="AO300" s="2223"/>
      <c r="AP300" s="2223"/>
      <c r="AQ300" s="2223"/>
      <c r="AR300" s="2223"/>
      <c r="AS300" s="2223"/>
    </row>
    <row r="301" spans="1:45" ht="15" x14ac:dyDescent="0.25">
      <c r="A301" s="2219" t="s">
        <v>5119</v>
      </c>
      <c r="B301" s="2219" t="s">
        <v>6407</v>
      </c>
      <c r="C301" s="2223"/>
      <c r="D301" s="2223">
        <f>COUNTIF(TableDiv[Agency],E301)</f>
        <v>31</v>
      </c>
      <c r="E301" s="2230" t="str" cm="1">
        <f t="array" ref="E301">IFERROR(INDEX(TableDiv[Agency],MATCH(0,INDEX(COUNTIF($E$7:E300,TableDiv[Agency]),),0)),"")</f>
        <v/>
      </c>
      <c r="F301" s="2223" cm="1">
        <f t="array" ref="F301">IF($D301&lt;COLUMNS($F$7:F$7),"",INDEX(TableDiv[[GASB]:[GASB]],_xlfn.AGGREGATE(15,3,(TableDiv[[Agency]:[Agency]]=$E301)/(TableDiv[[Agency]:[Agency]]=$E301)*(ROW(TableDiv[Agency])-ROW(TableDiv[[#Headers],[Agency]])),COLUMNS($F$7:F$7))))</f>
        <v>0</v>
      </c>
      <c r="G301" s="2223" cm="1">
        <f t="array" ref="G301">IF($D301&lt;COLUMNS($F$7:G$7),"",INDEX(TableDiv[[GASB]:[GASB]],_xlfn.AGGREGATE(15,3,(TableDiv[[Agency]:[Agency]]=$E301)/(TableDiv[[Agency]:[Agency]]=$E301)*(ROW(TableDiv[Agency])-ROW(TableDiv[[#Headers],[Agency]])),COLUMNS($F$7:G$7))))</f>
        <v>0</v>
      </c>
      <c r="H301" s="2223" cm="1">
        <f t="array" ref="H301">IF($D301&lt;COLUMNS($F$7:H$7),"",INDEX(TableDiv[[GASB]:[GASB]],_xlfn.AGGREGATE(15,3,(TableDiv[[Agency]:[Agency]]=$E301)/(TableDiv[[Agency]:[Agency]]=$E301)*(ROW(TableDiv[Agency])-ROW(TableDiv[[#Headers],[Agency]])),COLUMNS($F$7:H$7))))</f>
        <v>0</v>
      </c>
      <c r="I301" s="2223" cm="1">
        <f t="array" ref="I301">IF($D301&lt;COLUMNS($F$7:I$7),"",INDEX(TableDiv[[GASB]:[GASB]],_xlfn.AGGREGATE(15,3,(TableDiv[[Agency]:[Agency]]=$E301)/(TableDiv[[Agency]:[Agency]]=$E301)*(ROW(TableDiv[Agency])-ROW(TableDiv[[#Headers],[Agency]])),COLUMNS($F$7:I$7))))</f>
        <v>0</v>
      </c>
      <c r="J301" s="2223" cm="1">
        <f t="array" ref="J301">IF($D301&lt;COLUMNS($F$7:J$7),"",INDEX(TableDiv[[GASB]:[GASB]],_xlfn.AGGREGATE(15,3,(TableDiv[[Agency]:[Agency]]=$E301)/(TableDiv[[Agency]:[Agency]]=$E301)*(ROW(TableDiv[Agency])-ROW(TableDiv[[#Headers],[Agency]])),COLUMNS($F$7:J$7))))</f>
        <v>0</v>
      </c>
      <c r="K301" s="2223" cm="1">
        <f t="array" ref="K301">IF($D301&lt;COLUMNS($F$7:K$7),"",INDEX(TableDiv[[GASB]:[GASB]],_xlfn.AGGREGATE(15,3,(TableDiv[[Agency]:[Agency]]=$E301)/(TableDiv[[Agency]:[Agency]]=$E301)*(ROW(TableDiv[Agency])-ROW(TableDiv[[#Headers],[Agency]])),COLUMNS($F$7:K$7))))</f>
        <v>0</v>
      </c>
      <c r="L301" s="2223" cm="1">
        <f t="array" ref="L301">IF($D301&lt;COLUMNS($F$7:L$7),"",INDEX(TableDiv[[GASB]:[GASB]],_xlfn.AGGREGATE(15,3,(TableDiv[[Agency]:[Agency]]=$E301)/(TableDiv[[Agency]:[Agency]]=$E301)*(ROW(TableDiv[Agency])-ROW(TableDiv[[#Headers],[Agency]])),COLUMNS($F$7:L$7))))</f>
        <v>0</v>
      </c>
      <c r="M301" s="2223" cm="1">
        <f t="array" ref="M301">IF($D301&lt;COLUMNS($F$7:M$7),"",INDEX(TableDiv[[GASB]:[GASB]],_xlfn.AGGREGATE(15,3,(TableDiv[[Agency]:[Agency]]=$E301)/(TableDiv[[Agency]:[Agency]]=$E301)*(ROW(TableDiv[Agency])-ROW(TableDiv[[#Headers],[Agency]])),COLUMNS($F$7:M$7))))</f>
        <v>0</v>
      </c>
      <c r="N301" s="2223" cm="1">
        <f t="array" ref="N301">IF($D301&lt;COLUMNS($F$7:N$7),"",INDEX(TableDiv[[GASB]:[GASB]],_xlfn.AGGREGATE(15,3,(TableDiv[[Agency]:[Agency]]=$E301)/(TableDiv[[Agency]:[Agency]]=$E301)*(ROW(TableDiv[Agency])-ROW(TableDiv[[#Headers],[Agency]])),COLUMNS($F$7:N$7))))</f>
        <v>0</v>
      </c>
      <c r="O301" s="2223" cm="1">
        <f t="array" ref="O301">IF($D301&lt;COLUMNS($F$7:O$7),"",INDEX(TableDiv[[GASB]:[GASB]],_xlfn.AGGREGATE(15,3,(TableDiv[[Agency]:[Agency]]=$E301)/(TableDiv[[Agency]:[Agency]]=$E301)*(ROW(TableDiv[Agency])-ROW(TableDiv[[#Headers],[Agency]])),COLUMNS($F$7:O$7))))</f>
        <v>0</v>
      </c>
      <c r="P301" s="2223" cm="1">
        <f t="array" ref="P301">IF($D301&lt;COLUMNS($F$7:P$7),"",INDEX(TableDiv[[GASB]:[GASB]],_xlfn.AGGREGATE(15,3,(TableDiv[[Agency]:[Agency]]=$E301)/(TableDiv[[Agency]:[Agency]]=$E301)*(ROW(TableDiv[Agency])-ROW(TableDiv[[#Headers],[Agency]])),COLUMNS($F$7:P$7))))</f>
        <v>0</v>
      </c>
      <c r="Q301" s="2223" cm="1">
        <f t="array" ref="Q301">IF($D301&lt;COLUMNS($F$7:Q$7),"",INDEX(TableDiv[[GASB]:[GASB]],_xlfn.AGGREGATE(15,3,(TableDiv[[Agency]:[Agency]]=$E301)/(TableDiv[[Agency]:[Agency]]=$E301)*(ROW(TableDiv[Agency])-ROW(TableDiv[[#Headers],[Agency]])),COLUMNS($F$7:Q$7))))</f>
        <v>0</v>
      </c>
      <c r="R301" s="2223" cm="1">
        <f t="array" ref="R301">IF($D301&lt;COLUMNS($F$7:R$7),"",INDEX(TableDiv[[GASB]:[GASB]],_xlfn.AGGREGATE(15,3,(TableDiv[[Agency]:[Agency]]=$E301)/(TableDiv[[Agency]:[Agency]]=$E301)*(ROW(TableDiv[Agency])-ROW(TableDiv[[#Headers],[Agency]])),COLUMNS($F$7:R$7))))</f>
        <v>0</v>
      </c>
      <c r="S301" s="2223" cm="1">
        <f t="array" ref="S301">IF($D301&lt;COLUMNS($F$7:S$7),"",INDEX(TableDiv[[GASB]:[GASB]],_xlfn.AGGREGATE(15,3,(TableDiv[[Agency]:[Agency]]=$E301)/(TableDiv[[Agency]:[Agency]]=$E301)*(ROW(TableDiv[Agency])-ROW(TableDiv[[#Headers],[Agency]])),COLUMNS($F$7:S$7))))</f>
        <v>0</v>
      </c>
      <c r="T301" s="2223" cm="1">
        <f t="array" ref="T301">IF($D301&lt;COLUMNS($F$7:T$7),"",INDEX(TableDiv[[GASB]:[GASB]],_xlfn.AGGREGATE(15,3,(TableDiv[[Agency]:[Agency]]=$E301)/(TableDiv[[Agency]:[Agency]]=$E301)*(ROW(TableDiv[Agency])-ROW(TableDiv[[#Headers],[Agency]])),COLUMNS($F$7:T$7))))</f>
        <v>0</v>
      </c>
      <c r="U301" s="2223" cm="1">
        <f t="array" ref="U301">IF($D301&lt;COLUMNS($F$7:U$7),"",INDEX(TableDiv[[GASB]:[GASB]],_xlfn.AGGREGATE(15,3,(TableDiv[[Agency]:[Agency]]=$E301)/(TableDiv[[Agency]:[Agency]]=$E301)*(ROW(TableDiv[Agency])-ROW(TableDiv[[#Headers],[Agency]])),COLUMNS($F$7:U$7))))</f>
        <v>0</v>
      </c>
      <c r="V301" s="2223" cm="1">
        <f t="array" ref="V301">IF($D301&lt;COLUMNS($F$7:V$7),"",INDEX(TableDiv[[GASB]:[GASB]],_xlfn.AGGREGATE(15,3,(TableDiv[[Agency]:[Agency]]=$E301)/(TableDiv[[Agency]:[Agency]]=$E301)*(ROW(TableDiv[Agency])-ROW(TableDiv[[#Headers],[Agency]])),COLUMNS($F$7:V$7))))</f>
        <v>0</v>
      </c>
      <c r="W301" s="2223" cm="1">
        <f t="array" ref="W301">IF($D301&lt;COLUMNS($F$7:W$7),"",INDEX(TableDiv[[GASB]:[GASB]],_xlfn.AGGREGATE(15,3,(TableDiv[[Agency]:[Agency]]=$E301)/(TableDiv[[Agency]:[Agency]]=$E301)*(ROW(TableDiv[Agency])-ROW(TableDiv[[#Headers],[Agency]])),COLUMNS($F$7:W$7))))</f>
        <v>0</v>
      </c>
      <c r="X301" s="2223" cm="1">
        <f t="array" ref="X301">IF($D301&lt;COLUMNS($F$7:X$7),"",INDEX(TableDiv[[GASB]:[GASB]],_xlfn.AGGREGATE(15,3,(TableDiv[[Agency]:[Agency]]=$E301)/(TableDiv[[Agency]:[Agency]]=$E301)*(ROW(TableDiv[Agency])-ROW(TableDiv[[#Headers],[Agency]])),COLUMNS($F$7:X$7))))</f>
        <v>0</v>
      </c>
      <c r="Y301" s="2223" cm="1">
        <f t="array" ref="Y301">IF($D301&lt;COLUMNS($F$7:Y$7),"",INDEX(TableDiv[[GASB]:[GASB]],_xlfn.AGGREGATE(15,3,(TableDiv[[Agency]:[Agency]]=$E301)/(TableDiv[[Agency]:[Agency]]=$E301)*(ROW(TableDiv[Agency])-ROW(TableDiv[[#Headers],[Agency]])),COLUMNS($F$7:Y$7))))</f>
        <v>0</v>
      </c>
      <c r="Z301" s="2223" cm="1">
        <f t="array" ref="Z301">IF($D301&lt;COLUMNS($F$7:Z$7),"",INDEX(TableDiv[[GASB]:[GASB]],_xlfn.AGGREGATE(15,3,(TableDiv[[Agency]:[Agency]]=$E301)/(TableDiv[[Agency]:[Agency]]=$E301)*(ROW(TableDiv[Agency])-ROW(TableDiv[[#Headers],[Agency]])),COLUMNS($F$7:Z$7))))</f>
        <v>0</v>
      </c>
      <c r="AA301" s="2223" cm="1">
        <f t="array" ref="AA301">IF($D301&lt;COLUMNS($F$7:AA$7),"",INDEX(TableDiv[[GASB]:[GASB]],_xlfn.AGGREGATE(15,3,(TableDiv[[Agency]:[Agency]]=$E301)/(TableDiv[[Agency]:[Agency]]=$E301)*(ROW(TableDiv[Agency])-ROW(TableDiv[[#Headers],[Agency]])),COLUMNS($F$7:AA$7))))</f>
        <v>0</v>
      </c>
      <c r="AB301" s="2223" cm="1">
        <f t="array" ref="AB301">IF($D301&lt;COLUMNS($F$7:AB$7),"",INDEX(TableDiv[[GASB]:[GASB]],_xlfn.AGGREGATE(15,3,(TableDiv[[Agency]:[Agency]]=$E301)/(TableDiv[[Agency]:[Agency]]=$E301)*(ROW(TableDiv[Agency])-ROW(TableDiv[[#Headers],[Agency]])),COLUMNS($F$7:AB$7))))</f>
        <v>0</v>
      </c>
      <c r="AC301" s="2223" cm="1">
        <f t="array" ref="AC301">IF($D301&lt;COLUMNS($F$7:AC$7),"",INDEX(TableDiv[[GASB]:[GASB]],_xlfn.AGGREGATE(15,3,(TableDiv[[Agency]:[Agency]]=$E301)/(TableDiv[[Agency]:[Agency]]=$E301)*(ROW(TableDiv[Agency])-ROW(TableDiv[[#Headers],[Agency]])),COLUMNS($F$7:AC$7))))</f>
        <v>0</v>
      </c>
      <c r="AD301" s="2223" cm="1">
        <f t="array" ref="AD301">IF($D301&lt;COLUMNS($F$7:AD$7),"",INDEX(TableDiv[[GASB]:[GASB]],_xlfn.AGGREGATE(15,3,(TableDiv[[Agency]:[Agency]]=$E301)/(TableDiv[[Agency]:[Agency]]=$E301)*(ROW(TableDiv[Agency])-ROW(TableDiv[[#Headers],[Agency]])),COLUMNS($F$7:AD$7))))</f>
        <v>0</v>
      </c>
      <c r="AE301" s="2223" cm="1">
        <f t="array" ref="AE301">IF($D301&lt;COLUMNS($F$7:AE$7),"",INDEX(TableDiv[[GASB]:[GASB]],_xlfn.AGGREGATE(15,3,(TableDiv[[Agency]:[Agency]]=$E301)/(TableDiv[[Agency]:[Agency]]=$E301)*(ROW(TableDiv[Agency])-ROW(TableDiv[[#Headers],[Agency]])),COLUMNS($F$7:AE$7))))</f>
        <v>0</v>
      </c>
      <c r="AF301" s="2223" cm="1">
        <f t="array" ref="AF301">IF($D301&lt;COLUMNS($F$7:AF$7),"",INDEX(TableDiv[[GASB]:[GASB]],_xlfn.AGGREGATE(15,3,(TableDiv[[Agency]:[Agency]]=$E301)/(TableDiv[[Agency]:[Agency]]=$E301)*(ROW(TableDiv[Agency])-ROW(TableDiv[[#Headers],[Agency]])),COLUMNS($F$7:AF$7))))</f>
        <v>0</v>
      </c>
      <c r="AG301" s="2223" cm="1">
        <f t="array" ref="AG301">IF($D301&lt;COLUMNS($F$7:AG$7),"",INDEX(TableDiv[[GASB]:[GASB]],_xlfn.AGGREGATE(15,3,(TableDiv[[Agency]:[Agency]]=$E301)/(TableDiv[[Agency]:[Agency]]=$E301)*(ROW(TableDiv[Agency])-ROW(TableDiv[[#Headers],[Agency]])),COLUMNS($F$7:AG$7))))</f>
        <v>0</v>
      </c>
      <c r="AH301" s="2223" cm="1">
        <f t="array" ref="AH301">IF($D301&lt;COLUMNS($F$7:AH$7),"",INDEX(TableDiv[[GASB]:[GASB]],_xlfn.AGGREGATE(15,3,(TableDiv[[Agency]:[Agency]]=$E301)/(TableDiv[[Agency]:[Agency]]=$E301)*(ROW(TableDiv[Agency])-ROW(TableDiv[[#Headers],[Agency]])),COLUMNS($F$7:AH$7))))</f>
        <v>0</v>
      </c>
      <c r="AI301" s="2223" cm="1">
        <f t="array" ref="AI301">IF($D301&lt;COLUMNS($F$7:AI$7),"",INDEX(TableDiv[[GASB]:[GASB]],_xlfn.AGGREGATE(15,3,(TableDiv[[Agency]:[Agency]]=$E301)/(TableDiv[[Agency]:[Agency]]=$E301)*(ROW(TableDiv[Agency])-ROW(TableDiv[[#Headers],[Agency]])),COLUMNS($F$7:AI$7))))</f>
        <v>0</v>
      </c>
      <c r="AJ301" s="2223" cm="1">
        <f t="array" ref="AJ301">IF($D301&lt;COLUMNS($F$7:AJ$7),"",INDEX(TableDiv[[GASB]:[GASB]],_xlfn.AGGREGATE(15,3,(TableDiv[[Agency]:[Agency]]=$E301)/(TableDiv[[Agency]:[Agency]]=$E301)*(ROW(TableDiv[Agency])-ROW(TableDiv[[#Headers],[Agency]])),COLUMNS($F$7:AJ$7))))</f>
        <v>0</v>
      </c>
      <c r="AK301" s="2223" t="str" cm="1">
        <f t="array" ref="AK301">IF($D301&lt;COLUMNS($F$7:AK$7),"",INDEX(TableDiv[[GASB]:[GASB]],_xlfn.AGGREGATE(15,3,(TableDiv[[Agency]:[Agency]]=$E301)/(TableDiv[[Agency]:[Agency]]=$E301)*(ROW(TableDiv[Agency])-ROW(TableDiv[[#Headers],[Agency]])),COLUMNS($F$7:AK$7))))</f>
        <v/>
      </c>
      <c r="AL301" s="2223" t="str" cm="1">
        <f t="array" ref="AL301">IF($D301&lt;COLUMNS($F$7:AL$7),"",INDEX(TableDiv[[GASB]:[GASB]],_xlfn.AGGREGATE(15,3,(TableDiv[[Agency]:[Agency]]=$E301)/(TableDiv[[Agency]:[Agency]]=$E301)*(ROW(TableDiv[Agency])-ROW(TableDiv[[#Headers],[Agency]])),COLUMNS($F$7:AL$7))))</f>
        <v/>
      </c>
      <c r="AM301" s="2223" t="str" cm="1">
        <f t="array" ref="AM301">IF($D301&lt;COLUMNS($F$7:AM$7),"",INDEX(TableDiv[[GASB]:[GASB]],_xlfn.AGGREGATE(15,3,(TableDiv[[Agency]:[Agency]]=$E301)/(TableDiv[[Agency]:[Agency]]=$E301)*(ROW(TableDiv[Agency])-ROW(TableDiv[[#Headers],[Agency]])),COLUMNS($F$7:AM$7))))</f>
        <v/>
      </c>
      <c r="AN301" s="2223"/>
      <c r="AO301" s="2223"/>
      <c r="AP301" s="2223"/>
      <c r="AQ301" s="2223"/>
      <c r="AR301" s="2223"/>
      <c r="AS301" s="2223"/>
    </row>
    <row r="302" spans="1:45" ht="15" x14ac:dyDescent="0.25">
      <c r="A302" s="2219" t="s">
        <v>5119</v>
      </c>
      <c r="B302" s="2219" t="s">
        <v>6393</v>
      </c>
      <c r="C302" s="2223"/>
      <c r="D302" s="2223">
        <f>COUNTIF(TableDiv[Agency],E302)</f>
        <v>31</v>
      </c>
      <c r="E302" s="2230" t="str" cm="1">
        <f t="array" ref="E302">IFERROR(INDEX(TableDiv[Agency],MATCH(0,INDEX(COUNTIF($E$7:E301,TableDiv[Agency]),),0)),"")</f>
        <v/>
      </c>
      <c r="F302" s="2223" cm="1">
        <f t="array" ref="F302">IF($D302&lt;COLUMNS($F$7:F$7),"",INDEX(TableDiv[[GASB]:[GASB]],_xlfn.AGGREGATE(15,3,(TableDiv[[Agency]:[Agency]]=$E302)/(TableDiv[[Agency]:[Agency]]=$E302)*(ROW(TableDiv[Agency])-ROW(TableDiv[[#Headers],[Agency]])),COLUMNS($F$7:F$7))))</f>
        <v>0</v>
      </c>
      <c r="G302" s="2223" cm="1">
        <f t="array" ref="G302">IF($D302&lt;COLUMNS($F$7:G$7),"",INDEX(TableDiv[[GASB]:[GASB]],_xlfn.AGGREGATE(15,3,(TableDiv[[Agency]:[Agency]]=$E302)/(TableDiv[[Agency]:[Agency]]=$E302)*(ROW(TableDiv[Agency])-ROW(TableDiv[[#Headers],[Agency]])),COLUMNS($F$7:G$7))))</f>
        <v>0</v>
      </c>
      <c r="H302" s="2223" cm="1">
        <f t="array" ref="H302">IF($D302&lt;COLUMNS($F$7:H$7),"",INDEX(TableDiv[[GASB]:[GASB]],_xlfn.AGGREGATE(15,3,(TableDiv[[Agency]:[Agency]]=$E302)/(TableDiv[[Agency]:[Agency]]=$E302)*(ROW(TableDiv[Agency])-ROW(TableDiv[[#Headers],[Agency]])),COLUMNS($F$7:H$7))))</f>
        <v>0</v>
      </c>
      <c r="I302" s="2223" cm="1">
        <f t="array" ref="I302">IF($D302&lt;COLUMNS($F$7:I$7),"",INDEX(TableDiv[[GASB]:[GASB]],_xlfn.AGGREGATE(15,3,(TableDiv[[Agency]:[Agency]]=$E302)/(TableDiv[[Agency]:[Agency]]=$E302)*(ROW(TableDiv[Agency])-ROW(TableDiv[[#Headers],[Agency]])),COLUMNS($F$7:I$7))))</f>
        <v>0</v>
      </c>
      <c r="J302" s="2223" cm="1">
        <f t="array" ref="J302">IF($D302&lt;COLUMNS($F$7:J$7),"",INDEX(TableDiv[[GASB]:[GASB]],_xlfn.AGGREGATE(15,3,(TableDiv[[Agency]:[Agency]]=$E302)/(TableDiv[[Agency]:[Agency]]=$E302)*(ROW(TableDiv[Agency])-ROW(TableDiv[[#Headers],[Agency]])),COLUMNS($F$7:J$7))))</f>
        <v>0</v>
      </c>
      <c r="K302" s="2223" cm="1">
        <f t="array" ref="K302">IF($D302&lt;COLUMNS($F$7:K$7),"",INDEX(TableDiv[[GASB]:[GASB]],_xlfn.AGGREGATE(15,3,(TableDiv[[Agency]:[Agency]]=$E302)/(TableDiv[[Agency]:[Agency]]=$E302)*(ROW(TableDiv[Agency])-ROW(TableDiv[[#Headers],[Agency]])),COLUMNS($F$7:K$7))))</f>
        <v>0</v>
      </c>
      <c r="L302" s="2223" cm="1">
        <f t="array" ref="L302">IF($D302&lt;COLUMNS($F$7:L$7),"",INDEX(TableDiv[[GASB]:[GASB]],_xlfn.AGGREGATE(15,3,(TableDiv[[Agency]:[Agency]]=$E302)/(TableDiv[[Agency]:[Agency]]=$E302)*(ROW(TableDiv[Agency])-ROW(TableDiv[[#Headers],[Agency]])),COLUMNS($F$7:L$7))))</f>
        <v>0</v>
      </c>
      <c r="M302" s="2223" cm="1">
        <f t="array" ref="M302">IF($D302&lt;COLUMNS($F$7:M$7),"",INDEX(TableDiv[[GASB]:[GASB]],_xlfn.AGGREGATE(15,3,(TableDiv[[Agency]:[Agency]]=$E302)/(TableDiv[[Agency]:[Agency]]=$E302)*(ROW(TableDiv[Agency])-ROW(TableDiv[[#Headers],[Agency]])),COLUMNS($F$7:M$7))))</f>
        <v>0</v>
      </c>
      <c r="N302" s="2223" cm="1">
        <f t="array" ref="N302">IF($D302&lt;COLUMNS($F$7:N$7),"",INDEX(TableDiv[[GASB]:[GASB]],_xlfn.AGGREGATE(15,3,(TableDiv[[Agency]:[Agency]]=$E302)/(TableDiv[[Agency]:[Agency]]=$E302)*(ROW(TableDiv[Agency])-ROW(TableDiv[[#Headers],[Agency]])),COLUMNS($F$7:N$7))))</f>
        <v>0</v>
      </c>
      <c r="O302" s="2223" cm="1">
        <f t="array" ref="O302">IF($D302&lt;COLUMNS($F$7:O$7),"",INDEX(TableDiv[[GASB]:[GASB]],_xlfn.AGGREGATE(15,3,(TableDiv[[Agency]:[Agency]]=$E302)/(TableDiv[[Agency]:[Agency]]=$E302)*(ROW(TableDiv[Agency])-ROW(TableDiv[[#Headers],[Agency]])),COLUMNS($F$7:O$7))))</f>
        <v>0</v>
      </c>
      <c r="P302" s="2223" cm="1">
        <f t="array" ref="P302">IF($D302&lt;COLUMNS($F$7:P$7),"",INDEX(TableDiv[[GASB]:[GASB]],_xlfn.AGGREGATE(15,3,(TableDiv[[Agency]:[Agency]]=$E302)/(TableDiv[[Agency]:[Agency]]=$E302)*(ROW(TableDiv[Agency])-ROW(TableDiv[[#Headers],[Agency]])),COLUMNS($F$7:P$7))))</f>
        <v>0</v>
      </c>
      <c r="Q302" s="2223" cm="1">
        <f t="array" ref="Q302">IF($D302&lt;COLUMNS($F$7:Q$7),"",INDEX(TableDiv[[GASB]:[GASB]],_xlfn.AGGREGATE(15,3,(TableDiv[[Agency]:[Agency]]=$E302)/(TableDiv[[Agency]:[Agency]]=$E302)*(ROW(TableDiv[Agency])-ROW(TableDiv[[#Headers],[Agency]])),COLUMNS($F$7:Q$7))))</f>
        <v>0</v>
      </c>
      <c r="R302" s="2223" cm="1">
        <f t="array" ref="R302">IF($D302&lt;COLUMNS($F$7:R$7),"",INDEX(TableDiv[[GASB]:[GASB]],_xlfn.AGGREGATE(15,3,(TableDiv[[Agency]:[Agency]]=$E302)/(TableDiv[[Agency]:[Agency]]=$E302)*(ROW(TableDiv[Agency])-ROW(TableDiv[[#Headers],[Agency]])),COLUMNS($F$7:R$7))))</f>
        <v>0</v>
      </c>
      <c r="S302" s="2223" cm="1">
        <f t="array" ref="S302">IF($D302&lt;COLUMNS($F$7:S$7),"",INDEX(TableDiv[[GASB]:[GASB]],_xlfn.AGGREGATE(15,3,(TableDiv[[Agency]:[Agency]]=$E302)/(TableDiv[[Agency]:[Agency]]=$E302)*(ROW(TableDiv[Agency])-ROW(TableDiv[[#Headers],[Agency]])),COLUMNS($F$7:S$7))))</f>
        <v>0</v>
      </c>
      <c r="T302" s="2223" cm="1">
        <f t="array" ref="T302">IF($D302&lt;COLUMNS($F$7:T$7),"",INDEX(TableDiv[[GASB]:[GASB]],_xlfn.AGGREGATE(15,3,(TableDiv[[Agency]:[Agency]]=$E302)/(TableDiv[[Agency]:[Agency]]=$E302)*(ROW(TableDiv[Agency])-ROW(TableDiv[[#Headers],[Agency]])),COLUMNS($F$7:T$7))))</f>
        <v>0</v>
      </c>
      <c r="U302" s="2223" cm="1">
        <f t="array" ref="U302">IF($D302&lt;COLUMNS($F$7:U$7),"",INDEX(TableDiv[[GASB]:[GASB]],_xlfn.AGGREGATE(15,3,(TableDiv[[Agency]:[Agency]]=$E302)/(TableDiv[[Agency]:[Agency]]=$E302)*(ROW(TableDiv[Agency])-ROW(TableDiv[[#Headers],[Agency]])),COLUMNS($F$7:U$7))))</f>
        <v>0</v>
      </c>
      <c r="V302" s="2223" cm="1">
        <f t="array" ref="V302">IF($D302&lt;COLUMNS($F$7:V$7),"",INDEX(TableDiv[[GASB]:[GASB]],_xlfn.AGGREGATE(15,3,(TableDiv[[Agency]:[Agency]]=$E302)/(TableDiv[[Agency]:[Agency]]=$E302)*(ROW(TableDiv[Agency])-ROW(TableDiv[[#Headers],[Agency]])),COLUMNS($F$7:V$7))))</f>
        <v>0</v>
      </c>
      <c r="W302" s="2223" cm="1">
        <f t="array" ref="W302">IF($D302&lt;COLUMNS($F$7:W$7),"",INDEX(TableDiv[[GASB]:[GASB]],_xlfn.AGGREGATE(15,3,(TableDiv[[Agency]:[Agency]]=$E302)/(TableDiv[[Agency]:[Agency]]=$E302)*(ROW(TableDiv[Agency])-ROW(TableDiv[[#Headers],[Agency]])),COLUMNS($F$7:W$7))))</f>
        <v>0</v>
      </c>
      <c r="X302" s="2223" cm="1">
        <f t="array" ref="X302">IF($D302&lt;COLUMNS($F$7:X$7),"",INDEX(TableDiv[[GASB]:[GASB]],_xlfn.AGGREGATE(15,3,(TableDiv[[Agency]:[Agency]]=$E302)/(TableDiv[[Agency]:[Agency]]=$E302)*(ROW(TableDiv[Agency])-ROW(TableDiv[[#Headers],[Agency]])),COLUMNS($F$7:X$7))))</f>
        <v>0</v>
      </c>
      <c r="Y302" s="2223" cm="1">
        <f t="array" ref="Y302">IF($D302&lt;COLUMNS($F$7:Y$7),"",INDEX(TableDiv[[GASB]:[GASB]],_xlfn.AGGREGATE(15,3,(TableDiv[[Agency]:[Agency]]=$E302)/(TableDiv[[Agency]:[Agency]]=$E302)*(ROW(TableDiv[Agency])-ROW(TableDiv[[#Headers],[Agency]])),COLUMNS($F$7:Y$7))))</f>
        <v>0</v>
      </c>
      <c r="Z302" s="2223" cm="1">
        <f t="array" ref="Z302">IF($D302&lt;COLUMNS($F$7:Z$7),"",INDEX(TableDiv[[GASB]:[GASB]],_xlfn.AGGREGATE(15,3,(TableDiv[[Agency]:[Agency]]=$E302)/(TableDiv[[Agency]:[Agency]]=$E302)*(ROW(TableDiv[Agency])-ROW(TableDiv[[#Headers],[Agency]])),COLUMNS($F$7:Z$7))))</f>
        <v>0</v>
      </c>
      <c r="AA302" s="2223" cm="1">
        <f t="array" ref="AA302">IF($D302&lt;COLUMNS($F$7:AA$7),"",INDEX(TableDiv[[GASB]:[GASB]],_xlfn.AGGREGATE(15,3,(TableDiv[[Agency]:[Agency]]=$E302)/(TableDiv[[Agency]:[Agency]]=$E302)*(ROW(TableDiv[Agency])-ROW(TableDiv[[#Headers],[Agency]])),COLUMNS($F$7:AA$7))))</f>
        <v>0</v>
      </c>
      <c r="AB302" s="2223" cm="1">
        <f t="array" ref="AB302">IF($D302&lt;COLUMNS($F$7:AB$7),"",INDEX(TableDiv[[GASB]:[GASB]],_xlfn.AGGREGATE(15,3,(TableDiv[[Agency]:[Agency]]=$E302)/(TableDiv[[Agency]:[Agency]]=$E302)*(ROW(TableDiv[Agency])-ROW(TableDiv[[#Headers],[Agency]])),COLUMNS($F$7:AB$7))))</f>
        <v>0</v>
      </c>
      <c r="AC302" s="2223" cm="1">
        <f t="array" ref="AC302">IF($D302&lt;COLUMNS($F$7:AC$7),"",INDEX(TableDiv[[GASB]:[GASB]],_xlfn.AGGREGATE(15,3,(TableDiv[[Agency]:[Agency]]=$E302)/(TableDiv[[Agency]:[Agency]]=$E302)*(ROW(TableDiv[Agency])-ROW(TableDiv[[#Headers],[Agency]])),COLUMNS($F$7:AC$7))))</f>
        <v>0</v>
      </c>
      <c r="AD302" s="2223" cm="1">
        <f t="array" ref="AD302">IF($D302&lt;COLUMNS($F$7:AD$7),"",INDEX(TableDiv[[GASB]:[GASB]],_xlfn.AGGREGATE(15,3,(TableDiv[[Agency]:[Agency]]=$E302)/(TableDiv[[Agency]:[Agency]]=$E302)*(ROW(TableDiv[Agency])-ROW(TableDiv[[#Headers],[Agency]])),COLUMNS($F$7:AD$7))))</f>
        <v>0</v>
      </c>
      <c r="AE302" s="2223" cm="1">
        <f t="array" ref="AE302">IF($D302&lt;COLUMNS($F$7:AE$7),"",INDEX(TableDiv[[GASB]:[GASB]],_xlfn.AGGREGATE(15,3,(TableDiv[[Agency]:[Agency]]=$E302)/(TableDiv[[Agency]:[Agency]]=$E302)*(ROW(TableDiv[Agency])-ROW(TableDiv[[#Headers],[Agency]])),COLUMNS($F$7:AE$7))))</f>
        <v>0</v>
      </c>
      <c r="AF302" s="2223" cm="1">
        <f t="array" ref="AF302">IF($D302&lt;COLUMNS($F$7:AF$7),"",INDEX(TableDiv[[GASB]:[GASB]],_xlfn.AGGREGATE(15,3,(TableDiv[[Agency]:[Agency]]=$E302)/(TableDiv[[Agency]:[Agency]]=$E302)*(ROW(TableDiv[Agency])-ROW(TableDiv[[#Headers],[Agency]])),COLUMNS($F$7:AF$7))))</f>
        <v>0</v>
      </c>
      <c r="AG302" s="2223" cm="1">
        <f t="array" ref="AG302">IF($D302&lt;COLUMNS($F$7:AG$7),"",INDEX(TableDiv[[GASB]:[GASB]],_xlfn.AGGREGATE(15,3,(TableDiv[[Agency]:[Agency]]=$E302)/(TableDiv[[Agency]:[Agency]]=$E302)*(ROW(TableDiv[Agency])-ROW(TableDiv[[#Headers],[Agency]])),COLUMNS($F$7:AG$7))))</f>
        <v>0</v>
      </c>
      <c r="AH302" s="2223" cm="1">
        <f t="array" ref="AH302">IF($D302&lt;COLUMNS($F$7:AH$7),"",INDEX(TableDiv[[GASB]:[GASB]],_xlfn.AGGREGATE(15,3,(TableDiv[[Agency]:[Agency]]=$E302)/(TableDiv[[Agency]:[Agency]]=$E302)*(ROW(TableDiv[Agency])-ROW(TableDiv[[#Headers],[Agency]])),COLUMNS($F$7:AH$7))))</f>
        <v>0</v>
      </c>
      <c r="AI302" s="2223" cm="1">
        <f t="array" ref="AI302">IF($D302&lt;COLUMNS($F$7:AI$7),"",INDEX(TableDiv[[GASB]:[GASB]],_xlfn.AGGREGATE(15,3,(TableDiv[[Agency]:[Agency]]=$E302)/(TableDiv[[Agency]:[Agency]]=$E302)*(ROW(TableDiv[Agency])-ROW(TableDiv[[#Headers],[Agency]])),COLUMNS($F$7:AI$7))))</f>
        <v>0</v>
      </c>
      <c r="AJ302" s="2223" cm="1">
        <f t="array" ref="AJ302">IF($D302&lt;COLUMNS($F$7:AJ$7),"",INDEX(TableDiv[[GASB]:[GASB]],_xlfn.AGGREGATE(15,3,(TableDiv[[Agency]:[Agency]]=$E302)/(TableDiv[[Agency]:[Agency]]=$E302)*(ROW(TableDiv[Agency])-ROW(TableDiv[[#Headers],[Agency]])),COLUMNS($F$7:AJ$7))))</f>
        <v>0</v>
      </c>
      <c r="AK302" s="2223" t="str" cm="1">
        <f t="array" ref="AK302">IF($D302&lt;COLUMNS($F$7:AK$7),"",INDEX(TableDiv[[GASB]:[GASB]],_xlfn.AGGREGATE(15,3,(TableDiv[[Agency]:[Agency]]=$E302)/(TableDiv[[Agency]:[Agency]]=$E302)*(ROW(TableDiv[Agency])-ROW(TableDiv[[#Headers],[Agency]])),COLUMNS($F$7:AK$7))))</f>
        <v/>
      </c>
      <c r="AL302" s="2223" t="str" cm="1">
        <f t="array" ref="AL302">IF($D302&lt;COLUMNS($F$7:AL$7),"",INDEX(TableDiv[[GASB]:[GASB]],_xlfn.AGGREGATE(15,3,(TableDiv[[Agency]:[Agency]]=$E302)/(TableDiv[[Agency]:[Agency]]=$E302)*(ROW(TableDiv[Agency])-ROW(TableDiv[[#Headers],[Agency]])),COLUMNS($F$7:AL$7))))</f>
        <v/>
      </c>
      <c r="AM302" s="2223" t="str" cm="1">
        <f t="array" ref="AM302">IF($D302&lt;COLUMNS($F$7:AM$7),"",INDEX(TableDiv[[GASB]:[GASB]],_xlfn.AGGREGATE(15,3,(TableDiv[[Agency]:[Agency]]=$E302)/(TableDiv[[Agency]:[Agency]]=$E302)*(ROW(TableDiv[Agency])-ROW(TableDiv[[#Headers],[Agency]])),COLUMNS($F$7:AM$7))))</f>
        <v/>
      </c>
      <c r="AN302" s="2223"/>
      <c r="AO302" s="2223"/>
      <c r="AP302" s="2223"/>
      <c r="AQ302" s="2223"/>
      <c r="AR302" s="2223"/>
      <c r="AS302" s="2223"/>
    </row>
    <row r="303" spans="1:45" ht="15" x14ac:dyDescent="0.25">
      <c r="A303" s="2219" t="s">
        <v>5131</v>
      </c>
      <c r="B303" s="2219" t="s">
        <v>6479</v>
      </c>
      <c r="C303" s="2223"/>
      <c r="D303" s="2223">
        <f>COUNTIF(TableDiv[Agency],E303)</f>
        <v>31</v>
      </c>
      <c r="E303" s="2230" t="str" cm="1">
        <f t="array" ref="E303">IFERROR(INDEX(TableDiv[Agency],MATCH(0,INDEX(COUNTIF($E$7:E302,TableDiv[Agency]),),0)),"")</f>
        <v/>
      </c>
      <c r="F303" s="2223" cm="1">
        <f t="array" ref="F303">IF($D303&lt;COLUMNS($F$7:F$7),"",INDEX(TableDiv[[GASB]:[GASB]],_xlfn.AGGREGATE(15,3,(TableDiv[[Agency]:[Agency]]=$E303)/(TableDiv[[Agency]:[Agency]]=$E303)*(ROW(TableDiv[Agency])-ROW(TableDiv[[#Headers],[Agency]])),COLUMNS($F$7:F$7))))</f>
        <v>0</v>
      </c>
      <c r="G303" s="2223" cm="1">
        <f t="array" ref="G303">IF($D303&lt;COLUMNS($F$7:G$7),"",INDEX(TableDiv[[GASB]:[GASB]],_xlfn.AGGREGATE(15,3,(TableDiv[[Agency]:[Agency]]=$E303)/(TableDiv[[Agency]:[Agency]]=$E303)*(ROW(TableDiv[Agency])-ROW(TableDiv[[#Headers],[Agency]])),COLUMNS($F$7:G$7))))</f>
        <v>0</v>
      </c>
      <c r="H303" s="2223" cm="1">
        <f t="array" ref="H303">IF($D303&lt;COLUMNS($F$7:H$7),"",INDEX(TableDiv[[GASB]:[GASB]],_xlfn.AGGREGATE(15,3,(TableDiv[[Agency]:[Agency]]=$E303)/(TableDiv[[Agency]:[Agency]]=$E303)*(ROW(TableDiv[Agency])-ROW(TableDiv[[#Headers],[Agency]])),COLUMNS($F$7:H$7))))</f>
        <v>0</v>
      </c>
      <c r="I303" s="2223" cm="1">
        <f t="array" ref="I303">IF($D303&lt;COLUMNS($F$7:I$7),"",INDEX(TableDiv[[GASB]:[GASB]],_xlfn.AGGREGATE(15,3,(TableDiv[[Agency]:[Agency]]=$E303)/(TableDiv[[Agency]:[Agency]]=$E303)*(ROW(TableDiv[Agency])-ROW(TableDiv[[#Headers],[Agency]])),COLUMNS($F$7:I$7))))</f>
        <v>0</v>
      </c>
      <c r="J303" s="2223" cm="1">
        <f t="array" ref="J303">IF($D303&lt;COLUMNS($F$7:J$7),"",INDEX(TableDiv[[GASB]:[GASB]],_xlfn.AGGREGATE(15,3,(TableDiv[[Agency]:[Agency]]=$E303)/(TableDiv[[Agency]:[Agency]]=$E303)*(ROW(TableDiv[Agency])-ROW(TableDiv[[#Headers],[Agency]])),COLUMNS($F$7:J$7))))</f>
        <v>0</v>
      </c>
      <c r="K303" s="2223" cm="1">
        <f t="array" ref="K303">IF($D303&lt;COLUMNS($F$7:K$7),"",INDEX(TableDiv[[GASB]:[GASB]],_xlfn.AGGREGATE(15,3,(TableDiv[[Agency]:[Agency]]=$E303)/(TableDiv[[Agency]:[Agency]]=$E303)*(ROW(TableDiv[Agency])-ROW(TableDiv[[#Headers],[Agency]])),COLUMNS($F$7:K$7))))</f>
        <v>0</v>
      </c>
      <c r="L303" s="2223" cm="1">
        <f t="array" ref="L303">IF($D303&lt;COLUMNS($F$7:L$7),"",INDEX(TableDiv[[GASB]:[GASB]],_xlfn.AGGREGATE(15,3,(TableDiv[[Agency]:[Agency]]=$E303)/(TableDiv[[Agency]:[Agency]]=$E303)*(ROW(TableDiv[Agency])-ROW(TableDiv[[#Headers],[Agency]])),COLUMNS($F$7:L$7))))</f>
        <v>0</v>
      </c>
      <c r="M303" s="2223" cm="1">
        <f t="array" ref="M303">IF($D303&lt;COLUMNS($F$7:M$7),"",INDEX(TableDiv[[GASB]:[GASB]],_xlfn.AGGREGATE(15,3,(TableDiv[[Agency]:[Agency]]=$E303)/(TableDiv[[Agency]:[Agency]]=$E303)*(ROW(TableDiv[Agency])-ROW(TableDiv[[#Headers],[Agency]])),COLUMNS($F$7:M$7))))</f>
        <v>0</v>
      </c>
      <c r="N303" s="2223" cm="1">
        <f t="array" ref="N303">IF($D303&lt;COLUMNS($F$7:N$7),"",INDEX(TableDiv[[GASB]:[GASB]],_xlfn.AGGREGATE(15,3,(TableDiv[[Agency]:[Agency]]=$E303)/(TableDiv[[Agency]:[Agency]]=$E303)*(ROW(TableDiv[Agency])-ROW(TableDiv[[#Headers],[Agency]])),COLUMNS($F$7:N$7))))</f>
        <v>0</v>
      </c>
      <c r="O303" s="2223" cm="1">
        <f t="array" ref="O303">IF($D303&lt;COLUMNS($F$7:O$7),"",INDEX(TableDiv[[GASB]:[GASB]],_xlfn.AGGREGATE(15,3,(TableDiv[[Agency]:[Agency]]=$E303)/(TableDiv[[Agency]:[Agency]]=$E303)*(ROW(TableDiv[Agency])-ROW(TableDiv[[#Headers],[Agency]])),COLUMNS($F$7:O$7))))</f>
        <v>0</v>
      </c>
      <c r="P303" s="2223" cm="1">
        <f t="array" ref="P303">IF($D303&lt;COLUMNS($F$7:P$7),"",INDEX(TableDiv[[GASB]:[GASB]],_xlfn.AGGREGATE(15,3,(TableDiv[[Agency]:[Agency]]=$E303)/(TableDiv[[Agency]:[Agency]]=$E303)*(ROW(TableDiv[Agency])-ROW(TableDiv[[#Headers],[Agency]])),COLUMNS($F$7:P$7))))</f>
        <v>0</v>
      </c>
      <c r="Q303" s="2223" cm="1">
        <f t="array" ref="Q303">IF($D303&lt;COLUMNS($F$7:Q$7),"",INDEX(TableDiv[[GASB]:[GASB]],_xlfn.AGGREGATE(15,3,(TableDiv[[Agency]:[Agency]]=$E303)/(TableDiv[[Agency]:[Agency]]=$E303)*(ROW(TableDiv[Agency])-ROW(TableDiv[[#Headers],[Agency]])),COLUMNS($F$7:Q$7))))</f>
        <v>0</v>
      </c>
      <c r="R303" s="2223" cm="1">
        <f t="array" ref="R303">IF($D303&lt;COLUMNS($F$7:R$7),"",INDEX(TableDiv[[GASB]:[GASB]],_xlfn.AGGREGATE(15,3,(TableDiv[[Agency]:[Agency]]=$E303)/(TableDiv[[Agency]:[Agency]]=$E303)*(ROW(TableDiv[Agency])-ROW(TableDiv[[#Headers],[Agency]])),COLUMNS($F$7:R$7))))</f>
        <v>0</v>
      </c>
      <c r="S303" s="2223" cm="1">
        <f t="array" ref="S303">IF($D303&lt;COLUMNS($F$7:S$7),"",INDEX(TableDiv[[GASB]:[GASB]],_xlfn.AGGREGATE(15,3,(TableDiv[[Agency]:[Agency]]=$E303)/(TableDiv[[Agency]:[Agency]]=$E303)*(ROW(TableDiv[Agency])-ROW(TableDiv[[#Headers],[Agency]])),COLUMNS($F$7:S$7))))</f>
        <v>0</v>
      </c>
      <c r="T303" s="2223" cm="1">
        <f t="array" ref="T303">IF($D303&lt;COLUMNS($F$7:T$7),"",INDEX(TableDiv[[GASB]:[GASB]],_xlfn.AGGREGATE(15,3,(TableDiv[[Agency]:[Agency]]=$E303)/(TableDiv[[Agency]:[Agency]]=$E303)*(ROW(TableDiv[Agency])-ROW(TableDiv[[#Headers],[Agency]])),COLUMNS($F$7:T$7))))</f>
        <v>0</v>
      </c>
      <c r="U303" s="2223" cm="1">
        <f t="array" ref="U303">IF($D303&lt;COLUMNS($F$7:U$7),"",INDEX(TableDiv[[GASB]:[GASB]],_xlfn.AGGREGATE(15,3,(TableDiv[[Agency]:[Agency]]=$E303)/(TableDiv[[Agency]:[Agency]]=$E303)*(ROW(TableDiv[Agency])-ROW(TableDiv[[#Headers],[Agency]])),COLUMNS($F$7:U$7))))</f>
        <v>0</v>
      </c>
      <c r="V303" s="2223" cm="1">
        <f t="array" ref="V303">IF($D303&lt;COLUMNS($F$7:V$7),"",INDEX(TableDiv[[GASB]:[GASB]],_xlfn.AGGREGATE(15,3,(TableDiv[[Agency]:[Agency]]=$E303)/(TableDiv[[Agency]:[Agency]]=$E303)*(ROW(TableDiv[Agency])-ROW(TableDiv[[#Headers],[Agency]])),COLUMNS($F$7:V$7))))</f>
        <v>0</v>
      </c>
      <c r="W303" s="2223" cm="1">
        <f t="array" ref="W303">IF($D303&lt;COLUMNS($F$7:W$7),"",INDEX(TableDiv[[GASB]:[GASB]],_xlfn.AGGREGATE(15,3,(TableDiv[[Agency]:[Agency]]=$E303)/(TableDiv[[Agency]:[Agency]]=$E303)*(ROW(TableDiv[Agency])-ROW(TableDiv[[#Headers],[Agency]])),COLUMNS($F$7:W$7))))</f>
        <v>0</v>
      </c>
      <c r="X303" s="2223" cm="1">
        <f t="array" ref="X303">IF($D303&lt;COLUMNS($F$7:X$7),"",INDEX(TableDiv[[GASB]:[GASB]],_xlfn.AGGREGATE(15,3,(TableDiv[[Agency]:[Agency]]=$E303)/(TableDiv[[Agency]:[Agency]]=$E303)*(ROW(TableDiv[Agency])-ROW(TableDiv[[#Headers],[Agency]])),COLUMNS($F$7:X$7))))</f>
        <v>0</v>
      </c>
      <c r="Y303" s="2223" cm="1">
        <f t="array" ref="Y303">IF($D303&lt;COLUMNS($F$7:Y$7),"",INDEX(TableDiv[[GASB]:[GASB]],_xlfn.AGGREGATE(15,3,(TableDiv[[Agency]:[Agency]]=$E303)/(TableDiv[[Agency]:[Agency]]=$E303)*(ROW(TableDiv[Agency])-ROW(TableDiv[[#Headers],[Agency]])),COLUMNS($F$7:Y$7))))</f>
        <v>0</v>
      </c>
      <c r="Z303" s="2223" cm="1">
        <f t="array" ref="Z303">IF($D303&lt;COLUMNS($F$7:Z$7),"",INDEX(TableDiv[[GASB]:[GASB]],_xlfn.AGGREGATE(15,3,(TableDiv[[Agency]:[Agency]]=$E303)/(TableDiv[[Agency]:[Agency]]=$E303)*(ROW(TableDiv[Agency])-ROW(TableDiv[[#Headers],[Agency]])),COLUMNS($F$7:Z$7))))</f>
        <v>0</v>
      </c>
      <c r="AA303" s="2223" cm="1">
        <f t="array" ref="AA303">IF($D303&lt;COLUMNS($F$7:AA$7),"",INDEX(TableDiv[[GASB]:[GASB]],_xlfn.AGGREGATE(15,3,(TableDiv[[Agency]:[Agency]]=$E303)/(TableDiv[[Agency]:[Agency]]=$E303)*(ROW(TableDiv[Agency])-ROW(TableDiv[[#Headers],[Agency]])),COLUMNS($F$7:AA$7))))</f>
        <v>0</v>
      </c>
      <c r="AB303" s="2223" cm="1">
        <f t="array" ref="AB303">IF($D303&lt;COLUMNS($F$7:AB$7),"",INDEX(TableDiv[[GASB]:[GASB]],_xlfn.AGGREGATE(15,3,(TableDiv[[Agency]:[Agency]]=$E303)/(TableDiv[[Agency]:[Agency]]=$E303)*(ROW(TableDiv[Agency])-ROW(TableDiv[[#Headers],[Agency]])),COLUMNS($F$7:AB$7))))</f>
        <v>0</v>
      </c>
      <c r="AC303" s="2223" cm="1">
        <f t="array" ref="AC303">IF($D303&lt;COLUMNS($F$7:AC$7),"",INDEX(TableDiv[[GASB]:[GASB]],_xlfn.AGGREGATE(15,3,(TableDiv[[Agency]:[Agency]]=$E303)/(TableDiv[[Agency]:[Agency]]=$E303)*(ROW(TableDiv[Agency])-ROW(TableDiv[[#Headers],[Agency]])),COLUMNS($F$7:AC$7))))</f>
        <v>0</v>
      </c>
      <c r="AD303" s="2223" cm="1">
        <f t="array" ref="AD303">IF($D303&lt;COLUMNS($F$7:AD$7),"",INDEX(TableDiv[[GASB]:[GASB]],_xlfn.AGGREGATE(15,3,(TableDiv[[Agency]:[Agency]]=$E303)/(TableDiv[[Agency]:[Agency]]=$E303)*(ROW(TableDiv[Agency])-ROW(TableDiv[[#Headers],[Agency]])),COLUMNS($F$7:AD$7))))</f>
        <v>0</v>
      </c>
      <c r="AE303" s="2223" cm="1">
        <f t="array" ref="AE303">IF($D303&lt;COLUMNS($F$7:AE$7),"",INDEX(TableDiv[[GASB]:[GASB]],_xlfn.AGGREGATE(15,3,(TableDiv[[Agency]:[Agency]]=$E303)/(TableDiv[[Agency]:[Agency]]=$E303)*(ROW(TableDiv[Agency])-ROW(TableDiv[[#Headers],[Agency]])),COLUMNS($F$7:AE$7))))</f>
        <v>0</v>
      </c>
      <c r="AF303" s="2223" cm="1">
        <f t="array" ref="AF303">IF($D303&lt;COLUMNS($F$7:AF$7),"",INDEX(TableDiv[[GASB]:[GASB]],_xlfn.AGGREGATE(15,3,(TableDiv[[Agency]:[Agency]]=$E303)/(TableDiv[[Agency]:[Agency]]=$E303)*(ROW(TableDiv[Agency])-ROW(TableDiv[[#Headers],[Agency]])),COLUMNS($F$7:AF$7))))</f>
        <v>0</v>
      </c>
      <c r="AG303" s="2223" cm="1">
        <f t="array" ref="AG303">IF($D303&lt;COLUMNS($F$7:AG$7),"",INDEX(TableDiv[[GASB]:[GASB]],_xlfn.AGGREGATE(15,3,(TableDiv[[Agency]:[Agency]]=$E303)/(TableDiv[[Agency]:[Agency]]=$E303)*(ROW(TableDiv[Agency])-ROW(TableDiv[[#Headers],[Agency]])),COLUMNS($F$7:AG$7))))</f>
        <v>0</v>
      </c>
      <c r="AH303" s="2223" cm="1">
        <f t="array" ref="AH303">IF($D303&lt;COLUMNS($F$7:AH$7),"",INDEX(TableDiv[[GASB]:[GASB]],_xlfn.AGGREGATE(15,3,(TableDiv[[Agency]:[Agency]]=$E303)/(TableDiv[[Agency]:[Agency]]=$E303)*(ROW(TableDiv[Agency])-ROW(TableDiv[[#Headers],[Agency]])),COLUMNS($F$7:AH$7))))</f>
        <v>0</v>
      </c>
      <c r="AI303" s="2223" cm="1">
        <f t="array" ref="AI303">IF($D303&lt;COLUMNS($F$7:AI$7),"",INDEX(TableDiv[[GASB]:[GASB]],_xlfn.AGGREGATE(15,3,(TableDiv[[Agency]:[Agency]]=$E303)/(TableDiv[[Agency]:[Agency]]=$E303)*(ROW(TableDiv[Agency])-ROW(TableDiv[[#Headers],[Agency]])),COLUMNS($F$7:AI$7))))</f>
        <v>0</v>
      </c>
      <c r="AJ303" s="2223" cm="1">
        <f t="array" ref="AJ303">IF($D303&lt;COLUMNS($F$7:AJ$7),"",INDEX(TableDiv[[GASB]:[GASB]],_xlfn.AGGREGATE(15,3,(TableDiv[[Agency]:[Agency]]=$E303)/(TableDiv[[Agency]:[Agency]]=$E303)*(ROW(TableDiv[Agency])-ROW(TableDiv[[#Headers],[Agency]])),COLUMNS($F$7:AJ$7))))</f>
        <v>0</v>
      </c>
      <c r="AK303" s="2223" t="str" cm="1">
        <f t="array" ref="AK303">IF($D303&lt;COLUMNS($F$7:AK$7),"",INDEX(TableDiv[[GASB]:[GASB]],_xlfn.AGGREGATE(15,3,(TableDiv[[Agency]:[Agency]]=$E303)/(TableDiv[[Agency]:[Agency]]=$E303)*(ROW(TableDiv[Agency])-ROW(TableDiv[[#Headers],[Agency]])),COLUMNS($F$7:AK$7))))</f>
        <v/>
      </c>
      <c r="AL303" s="2223" t="str" cm="1">
        <f t="array" ref="AL303">IF($D303&lt;COLUMNS($F$7:AL$7),"",INDEX(TableDiv[[GASB]:[GASB]],_xlfn.AGGREGATE(15,3,(TableDiv[[Agency]:[Agency]]=$E303)/(TableDiv[[Agency]:[Agency]]=$E303)*(ROW(TableDiv[Agency])-ROW(TableDiv[[#Headers],[Agency]])),COLUMNS($F$7:AL$7))))</f>
        <v/>
      </c>
      <c r="AM303" s="2223" t="str" cm="1">
        <f t="array" ref="AM303">IF($D303&lt;COLUMNS($F$7:AM$7),"",INDEX(TableDiv[[GASB]:[GASB]],_xlfn.AGGREGATE(15,3,(TableDiv[[Agency]:[Agency]]=$E303)/(TableDiv[[Agency]:[Agency]]=$E303)*(ROW(TableDiv[Agency])-ROW(TableDiv[[#Headers],[Agency]])),COLUMNS($F$7:AM$7))))</f>
        <v/>
      </c>
      <c r="AN303" s="2223"/>
      <c r="AO303" s="2223"/>
      <c r="AP303" s="2223"/>
      <c r="AQ303" s="2223"/>
      <c r="AR303" s="2223"/>
      <c r="AS303" s="2223"/>
    </row>
    <row r="304" spans="1:45" ht="15" x14ac:dyDescent="0.25">
      <c r="A304" s="2219" t="s">
        <v>5131</v>
      </c>
      <c r="B304" s="2219" t="s">
        <v>6480</v>
      </c>
      <c r="C304" s="2223"/>
      <c r="D304" s="2223">
        <f>COUNTIF(TableDiv[Agency],E304)</f>
        <v>31</v>
      </c>
      <c r="E304" s="2230" t="str" cm="1">
        <f t="array" ref="E304">IFERROR(INDEX(TableDiv[Agency],MATCH(0,INDEX(COUNTIF($E$7:E303,TableDiv[Agency]),),0)),"")</f>
        <v/>
      </c>
      <c r="F304" s="2223" cm="1">
        <f t="array" ref="F304">IF($D304&lt;COLUMNS($F$7:F$7),"",INDEX(TableDiv[[GASB]:[GASB]],_xlfn.AGGREGATE(15,3,(TableDiv[[Agency]:[Agency]]=$E304)/(TableDiv[[Agency]:[Agency]]=$E304)*(ROW(TableDiv[Agency])-ROW(TableDiv[[#Headers],[Agency]])),COLUMNS($F$7:F$7))))</f>
        <v>0</v>
      </c>
      <c r="G304" s="2223" cm="1">
        <f t="array" ref="G304">IF($D304&lt;COLUMNS($F$7:G$7),"",INDEX(TableDiv[[GASB]:[GASB]],_xlfn.AGGREGATE(15,3,(TableDiv[[Agency]:[Agency]]=$E304)/(TableDiv[[Agency]:[Agency]]=$E304)*(ROW(TableDiv[Agency])-ROW(TableDiv[[#Headers],[Agency]])),COLUMNS($F$7:G$7))))</f>
        <v>0</v>
      </c>
      <c r="H304" s="2223" cm="1">
        <f t="array" ref="H304">IF($D304&lt;COLUMNS($F$7:H$7),"",INDEX(TableDiv[[GASB]:[GASB]],_xlfn.AGGREGATE(15,3,(TableDiv[[Agency]:[Agency]]=$E304)/(TableDiv[[Agency]:[Agency]]=$E304)*(ROW(TableDiv[Agency])-ROW(TableDiv[[#Headers],[Agency]])),COLUMNS($F$7:H$7))))</f>
        <v>0</v>
      </c>
      <c r="I304" s="2223" cm="1">
        <f t="array" ref="I304">IF($D304&lt;COLUMNS($F$7:I$7),"",INDEX(TableDiv[[GASB]:[GASB]],_xlfn.AGGREGATE(15,3,(TableDiv[[Agency]:[Agency]]=$E304)/(TableDiv[[Agency]:[Agency]]=$E304)*(ROW(TableDiv[Agency])-ROW(TableDiv[[#Headers],[Agency]])),COLUMNS($F$7:I$7))))</f>
        <v>0</v>
      </c>
      <c r="J304" s="2223" cm="1">
        <f t="array" ref="J304">IF($D304&lt;COLUMNS($F$7:J$7),"",INDEX(TableDiv[[GASB]:[GASB]],_xlfn.AGGREGATE(15,3,(TableDiv[[Agency]:[Agency]]=$E304)/(TableDiv[[Agency]:[Agency]]=$E304)*(ROW(TableDiv[Agency])-ROW(TableDiv[[#Headers],[Agency]])),COLUMNS($F$7:J$7))))</f>
        <v>0</v>
      </c>
      <c r="K304" s="2223" cm="1">
        <f t="array" ref="K304">IF($D304&lt;COLUMNS($F$7:K$7),"",INDEX(TableDiv[[GASB]:[GASB]],_xlfn.AGGREGATE(15,3,(TableDiv[[Agency]:[Agency]]=$E304)/(TableDiv[[Agency]:[Agency]]=$E304)*(ROW(TableDiv[Agency])-ROW(TableDiv[[#Headers],[Agency]])),COLUMNS($F$7:K$7))))</f>
        <v>0</v>
      </c>
      <c r="L304" s="2223" cm="1">
        <f t="array" ref="L304">IF($D304&lt;COLUMNS($F$7:L$7),"",INDEX(TableDiv[[GASB]:[GASB]],_xlfn.AGGREGATE(15,3,(TableDiv[[Agency]:[Agency]]=$E304)/(TableDiv[[Agency]:[Agency]]=$E304)*(ROW(TableDiv[Agency])-ROW(TableDiv[[#Headers],[Agency]])),COLUMNS($F$7:L$7))))</f>
        <v>0</v>
      </c>
      <c r="M304" s="2223" cm="1">
        <f t="array" ref="M304">IF($D304&lt;COLUMNS($F$7:M$7),"",INDEX(TableDiv[[GASB]:[GASB]],_xlfn.AGGREGATE(15,3,(TableDiv[[Agency]:[Agency]]=$E304)/(TableDiv[[Agency]:[Agency]]=$E304)*(ROW(TableDiv[Agency])-ROW(TableDiv[[#Headers],[Agency]])),COLUMNS($F$7:M$7))))</f>
        <v>0</v>
      </c>
      <c r="N304" s="2223" cm="1">
        <f t="array" ref="N304">IF($D304&lt;COLUMNS($F$7:N$7),"",INDEX(TableDiv[[GASB]:[GASB]],_xlfn.AGGREGATE(15,3,(TableDiv[[Agency]:[Agency]]=$E304)/(TableDiv[[Agency]:[Agency]]=$E304)*(ROW(TableDiv[Agency])-ROW(TableDiv[[#Headers],[Agency]])),COLUMNS($F$7:N$7))))</f>
        <v>0</v>
      </c>
      <c r="O304" s="2223" cm="1">
        <f t="array" ref="O304">IF($D304&lt;COLUMNS($F$7:O$7),"",INDEX(TableDiv[[GASB]:[GASB]],_xlfn.AGGREGATE(15,3,(TableDiv[[Agency]:[Agency]]=$E304)/(TableDiv[[Agency]:[Agency]]=$E304)*(ROW(TableDiv[Agency])-ROW(TableDiv[[#Headers],[Agency]])),COLUMNS($F$7:O$7))))</f>
        <v>0</v>
      </c>
      <c r="P304" s="2223" cm="1">
        <f t="array" ref="P304">IF($D304&lt;COLUMNS($F$7:P$7),"",INDEX(TableDiv[[GASB]:[GASB]],_xlfn.AGGREGATE(15,3,(TableDiv[[Agency]:[Agency]]=$E304)/(TableDiv[[Agency]:[Agency]]=$E304)*(ROW(TableDiv[Agency])-ROW(TableDiv[[#Headers],[Agency]])),COLUMNS($F$7:P$7))))</f>
        <v>0</v>
      </c>
      <c r="Q304" s="2223" cm="1">
        <f t="array" ref="Q304">IF($D304&lt;COLUMNS($F$7:Q$7),"",INDEX(TableDiv[[GASB]:[GASB]],_xlfn.AGGREGATE(15,3,(TableDiv[[Agency]:[Agency]]=$E304)/(TableDiv[[Agency]:[Agency]]=$E304)*(ROW(TableDiv[Agency])-ROW(TableDiv[[#Headers],[Agency]])),COLUMNS($F$7:Q$7))))</f>
        <v>0</v>
      </c>
      <c r="R304" s="2223" cm="1">
        <f t="array" ref="R304">IF($D304&lt;COLUMNS($F$7:R$7),"",INDEX(TableDiv[[GASB]:[GASB]],_xlfn.AGGREGATE(15,3,(TableDiv[[Agency]:[Agency]]=$E304)/(TableDiv[[Agency]:[Agency]]=$E304)*(ROW(TableDiv[Agency])-ROW(TableDiv[[#Headers],[Agency]])),COLUMNS($F$7:R$7))))</f>
        <v>0</v>
      </c>
      <c r="S304" s="2223" cm="1">
        <f t="array" ref="S304">IF($D304&lt;COLUMNS($F$7:S$7),"",INDEX(TableDiv[[GASB]:[GASB]],_xlfn.AGGREGATE(15,3,(TableDiv[[Agency]:[Agency]]=$E304)/(TableDiv[[Agency]:[Agency]]=$E304)*(ROW(TableDiv[Agency])-ROW(TableDiv[[#Headers],[Agency]])),COLUMNS($F$7:S$7))))</f>
        <v>0</v>
      </c>
      <c r="T304" s="2223" cm="1">
        <f t="array" ref="T304">IF($D304&lt;COLUMNS($F$7:T$7),"",INDEX(TableDiv[[GASB]:[GASB]],_xlfn.AGGREGATE(15,3,(TableDiv[[Agency]:[Agency]]=$E304)/(TableDiv[[Agency]:[Agency]]=$E304)*(ROW(TableDiv[Agency])-ROW(TableDiv[[#Headers],[Agency]])),COLUMNS($F$7:T$7))))</f>
        <v>0</v>
      </c>
      <c r="U304" s="2223" cm="1">
        <f t="array" ref="U304">IF($D304&lt;COLUMNS($F$7:U$7),"",INDEX(TableDiv[[GASB]:[GASB]],_xlfn.AGGREGATE(15,3,(TableDiv[[Agency]:[Agency]]=$E304)/(TableDiv[[Agency]:[Agency]]=$E304)*(ROW(TableDiv[Agency])-ROW(TableDiv[[#Headers],[Agency]])),COLUMNS($F$7:U$7))))</f>
        <v>0</v>
      </c>
      <c r="V304" s="2223" cm="1">
        <f t="array" ref="V304">IF($D304&lt;COLUMNS($F$7:V$7),"",INDEX(TableDiv[[GASB]:[GASB]],_xlfn.AGGREGATE(15,3,(TableDiv[[Agency]:[Agency]]=$E304)/(TableDiv[[Agency]:[Agency]]=$E304)*(ROW(TableDiv[Agency])-ROW(TableDiv[[#Headers],[Agency]])),COLUMNS($F$7:V$7))))</f>
        <v>0</v>
      </c>
      <c r="W304" s="2223" cm="1">
        <f t="array" ref="W304">IF($D304&lt;COLUMNS($F$7:W$7),"",INDEX(TableDiv[[GASB]:[GASB]],_xlfn.AGGREGATE(15,3,(TableDiv[[Agency]:[Agency]]=$E304)/(TableDiv[[Agency]:[Agency]]=$E304)*(ROW(TableDiv[Agency])-ROW(TableDiv[[#Headers],[Agency]])),COLUMNS($F$7:W$7))))</f>
        <v>0</v>
      </c>
      <c r="X304" s="2223" cm="1">
        <f t="array" ref="X304">IF($D304&lt;COLUMNS($F$7:X$7),"",INDEX(TableDiv[[GASB]:[GASB]],_xlfn.AGGREGATE(15,3,(TableDiv[[Agency]:[Agency]]=$E304)/(TableDiv[[Agency]:[Agency]]=$E304)*(ROW(TableDiv[Agency])-ROW(TableDiv[[#Headers],[Agency]])),COLUMNS($F$7:X$7))))</f>
        <v>0</v>
      </c>
      <c r="Y304" s="2223" cm="1">
        <f t="array" ref="Y304">IF($D304&lt;COLUMNS($F$7:Y$7),"",INDEX(TableDiv[[GASB]:[GASB]],_xlfn.AGGREGATE(15,3,(TableDiv[[Agency]:[Agency]]=$E304)/(TableDiv[[Agency]:[Agency]]=$E304)*(ROW(TableDiv[Agency])-ROW(TableDiv[[#Headers],[Agency]])),COLUMNS($F$7:Y$7))))</f>
        <v>0</v>
      </c>
      <c r="Z304" s="2223" cm="1">
        <f t="array" ref="Z304">IF($D304&lt;COLUMNS($F$7:Z$7),"",INDEX(TableDiv[[GASB]:[GASB]],_xlfn.AGGREGATE(15,3,(TableDiv[[Agency]:[Agency]]=$E304)/(TableDiv[[Agency]:[Agency]]=$E304)*(ROW(TableDiv[Agency])-ROW(TableDiv[[#Headers],[Agency]])),COLUMNS($F$7:Z$7))))</f>
        <v>0</v>
      </c>
      <c r="AA304" s="2223" cm="1">
        <f t="array" ref="AA304">IF($D304&lt;COLUMNS($F$7:AA$7),"",INDEX(TableDiv[[GASB]:[GASB]],_xlfn.AGGREGATE(15,3,(TableDiv[[Agency]:[Agency]]=$E304)/(TableDiv[[Agency]:[Agency]]=$E304)*(ROW(TableDiv[Agency])-ROW(TableDiv[[#Headers],[Agency]])),COLUMNS($F$7:AA$7))))</f>
        <v>0</v>
      </c>
      <c r="AB304" s="2223" cm="1">
        <f t="array" ref="AB304">IF($D304&lt;COLUMNS($F$7:AB$7),"",INDEX(TableDiv[[GASB]:[GASB]],_xlfn.AGGREGATE(15,3,(TableDiv[[Agency]:[Agency]]=$E304)/(TableDiv[[Agency]:[Agency]]=$E304)*(ROW(TableDiv[Agency])-ROW(TableDiv[[#Headers],[Agency]])),COLUMNS($F$7:AB$7))))</f>
        <v>0</v>
      </c>
      <c r="AC304" s="2223" cm="1">
        <f t="array" ref="AC304">IF($D304&lt;COLUMNS($F$7:AC$7),"",INDEX(TableDiv[[GASB]:[GASB]],_xlfn.AGGREGATE(15,3,(TableDiv[[Agency]:[Agency]]=$E304)/(TableDiv[[Agency]:[Agency]]=$E304)*(ROW(TableDiv[Agency])-ROW(TableDiv[[#Headers],[Agency]])),COLUMNS($F$7:AC$7))))</f>
        <v>0</v>
      </c>
      <c r="AD304" s="2223" cm="1">
        <f t="array" ref="AD304">IF($D304&lt;COLUMNS($F$7:AD$7),"",INDEX(TableDiv[[GASB]:[GASB]],_xlfn.AGGREGATE(15,3,(TableDiv[[Agency]:[Agency]]=$E304)/(TableDiv[[Agency]:[Agency]]=$E304)*(ROW(TableDiv[Agency])-ROW(TableDiv[[#Headers],[Agency]])),COLUMNS($F$7:AD$7))))</f>
        <v>0</v>
      </c>
      <c r="AE304" s="2223" cm="1">
        <f t="array" ref="AE304">IF($D304&lt;COLUMNS($F$7:AE$7),"",INDEX(TableDiv[[GASB]:[GASB]],_xlfn.AGGREGATE(15,3,(TableDiv[[Agency]:[Agency]]=$E304)/(TableDiv[[Agency]:[Agency]]=$E304)*(ROW(TableDiv[Agency])-ROW(TableDiv[[#Headers],[Agency]])),COLUMNS($F$7:AE$7))))</f>
        <v>0</v>
      </c>
      <c r="AF304" s="2223" cm="1">
        <f t="array" ref="AF304">IF($D304&lt;COLUMNS($F$7:AF$7),"",INDEX(TableDiv[[GASB]:[GASB]],_xlfn.AGGREGATE(15,3,(TableDiv[[Agency]:[Agency]]=$E304)/(TableDiv[[Agency]:[Agency]]=$E304)*(ROW(TableDiv[Agency])-ROW(TableDiv[[#Headers],[Agency]])),COLUMNS($F$7:AF$7))))</f>
        <v>0</v>
      </c>
      <c r="AG304" s="2223" cm="1">
        <f t="array" ref="AG304">IF($D304&lt;COLUMNS($F$7:AG$7),"",INDEX(TableDiv[[GASB]:[GASB]],_xlfn.AGGREGATE(15,3,(TableDiv[[Agency]:[Agency]]=$E304)/(TableDiv[[Agency]:[Agency]]=$E304)*(ROW(TableDiv[Agency])-ROW(TableDiv[[#Headers],[Agency]])),COLUMNS($F$7:AG$7))))</f>
        <v>0</v>
      </c>
      <c r="AH304" s="2223" cm="1">
        <f t="array" ref="AH304">IF($D304&lt;COLUMNS($F$7:AH$7),"",INDEX(TableDiv[[GASB]:[GASB]],_xlfn.AGGREGATE(15,3,(TableDiv[[Agency]:[Agency]]=$E304)/(TableDiv[[Agency]:[Agency]]=$E304)*(ROW(TableDiv[Agency])-ROW(TableDiv[[#Headers],[Agency]])),COLUMNS($F$7:AH$7))))</f>
        <v>0</v>
      </c>
      <c r="AI304" s="2223" cm="1">
        <f t="array" ref="AI304">IF($D304&lt;COLUMNS($F$7:AI$7),"",INDEX(TableDiv[[GASB]:[GASB]],_xlfn.AGGREGATE(15,3,(TableDiv[[Agency]:[Agency]]=$E304)/(TableDiv[[Agency]:[Agency]]=$E304)*(ROW(TableDiv[Agency])-ROW(TableDiv[[#Headers],[Agency]])),COLUMNS($F$7:AI$7))))</f>
        <v>0</v>
      </c>
      <c r="AJ304" s="2223" cm="1">
        <f t="array" ref="AJ304">IF($D304&lt;COLUMNS($F$7:AJ$7),"",INDEX(TableDiv[[GASB]:[GASB]],_xlfn.AGGREGATE(15,3,(TableDiv[[Agency]:[Agency]]=$E304)/(TableDiv[[Agency]:[Agency]]=$E304)*(ROW(TableDiv[Agency])-ROW(TableDiv[[#Headers],[Agency]])),COLUMNS($F$7:AJ$7))))</f>
        <v>0</v>
      </c>
      <c r="AK304" s="2223" t="str" cm="1">
        <f t="array" ref="AK304">IF($D304&lt;COLUMNS($F$7:AK$7),"",INDEX(TableDiv[[GASB]:[GASB]],_xlfn.AGGREGATE(15,3,(TableDiv[[Agency]:[Agency]]=$E304)/(TableDiv[[Agency]:[Agency]]=$E304)*(ROW(TableDiv[Agency])-ROW(TableDiv[[#Headers],[Agency]])),COLUMNS($F$7:AK$7))))</f>
        <v/>
      </c>
      <c r="AL304" s="2223" t="str" cm="1">
        <f t="array" ref="AL304">IF($D304&lt;COLUMNS($F$7:AL$7),"",INDEX(TableDiv[[GASB]:[GASB]],_xlfn.AGGREGATE(15,3,(TableDiv[[Agency]:[Agency]]=$E304)/(TableDiv[[Agency]:[Agency]]=$E304)*(ROW(TableDiv[Agency])-ROW(TableDiv[[#Headers],[Agency]])),COLUMNS($F$7:AL$7))))</f>
        <v/>
      </c>
      <c r="AM304" s="2223" t="str" cm="1">
        <f t="array" ref="AM304">IF($D304&lt;COLUMNS($F$7:AM$7),"",INDEX(TableDiv[[GASB]:[GASB]],_xlfn.AGGREGATE(15,3,(TableDiv[[Agency]:[Agency]]=$E304)/(TableDiv[[Agency]:[Agency]]=$E304)*(ROW(TableDiv[Agency])-ROW(TableDiv[[#Headers],[Agency]])),COLUMNS($F$7:AM$7))))</f>
        <v/>
      </c>
      <c r="AN304" s="2223"/>
      <c r="AO304" s="2223"/>
      <c r="AP304" s="2223"/>
      <c r="AQ304" s="2223"/>
      <c r="AR304" s="2223"/>
      <c r="AS304" s="2223"/>
    </row>
    <row r="305" spans="1:45" ht="15" x14ac:dyDescent="0.25">
      <c r="A305" s="2219" t="s">
        <v>5600</v>
      </c>
      <c r="B305" s="2219" t="s">
        <v>6357</v>
      </c>
      <c r="C305" s="2223"/>
      <c r="D305" s="2223">
        <f>COUNTIF(TableDiv[Agency],E305)</f>
        <v>31</v>
      </c>
      <c r="E305" s="2230" t="str" cm="1">
        <f t="array" ref="E305">IFERROR(INDEX(TableDiv[Agency],MATCH(0,INDEX(COUNTIF($E$7:E304,TableDiv[Agency]),),0)),"")</f>
        <v/>
      </c>
      <c r="F305" s="2223" cm="1">
        <f t="array" ref="F305">IF($D305&lt;COLUMNS($F$7:F$7),"",INDEX(TableDiv[[GASB]:[GASB]],_xlfn.AGGREGATE(15,3,(TableDiv[[Agency]:[Agency]]=$E305)/(TableDiv[[Agency]:[Agency]]=$E305)*(ROW(TableDiv[Agency])-ROW(TableDiv[[#Headers],[Agency]])),COLUMNS($F$7:F$7))))</f>
        <v>0</v>
      </c>
      <c r="G305" s="2223" cm="1">
        <f t="array" ref="G305">IF($D305&lt;COLUMNS($F$7:G$7),"",INDEX(TableDiv[[GASB]:[GASB]],_xlfn.AGGREGATE(15,3,(TableDiv[[Agency]:[Agency]]=$E305)/(TableDiv[[Agency]:[Agency]]=$E305)*(ROW(TableDiv[Agency])-ROW(TableDiv[[#Headers],[Agency]])),COLUMNS($F$7:G$7))))</f>
        <v>0</v>
      </c>
      <c r="H305" s="2223" cm="1">
        <f t="array" ref="H305">IF($D305&lt;COLUMNS($F$7:H$7),"",INDEX(TableDiv[[GASB]:[GASB]],_xlfn.AGGREGATE(15,3,(TableDiv[[Agency]:[Agency]]=$E305)/(TableDiv[[Agency]:[Agency]]=$E305)*(ROW(TableDiv[Agency])-ROW(TableDiv[[#Headers],[Agency]])),COLUMNS($F$7:H$7))))</f>
        <v>0</v>
      </c>
      <c r="I305" s="2223" cm="1">
        <f t="array" ref="I305">IF($D305&lt;COLUMNS($F$7:I$7),"",INDEX(TableDiv[[GASB]:[GASB]],_xlfn.AGGREGATE(15,3,(TableDiv[[Agency]:[Agency]]=$E305)/(TableDiv[[Agency]:[Agency]]=$E305)*(ROW(TableDiv[Agency])-ROW(TableDiv[[#Headers],[Agency]])),COLUMNS($F$7:I$7))))</f>
        <v>0</v>
      </c>
      <c r="J305" s="2223" cm="1">
        <f t="array" ref="J305">IF($D305&lt;COLUMNS($F$7:J$7),"",INDEX(TableDiv[[GASB]:[GASB]],_xlfn.AGGREGATE(15,3,(TableDiv[[Agency]:[Agency]]=$E305)/(TableDiv[[Agency]:[Agency]]=$E305)*(ROW(TableDiv[Agency])-ROW(TableDiv[[#Headers],[Agency]])),COLUMNS($F$7:J$7))))</f>
        <v>0</v>
      </c>
      <c r="K305" s="2223" cm="1">
        <f t="array" ref="K305">IF($D305&lt;COLUMNS($F$7:K$7),"",INDEX(TableDiv[[GASB]:[GASB]],_xlfn.AGGREGATE(15,3,(TableDiv[[Agency]:[Agency]]=$E305)/(TableDiv[[Agency]:[Agency]]=$E305)*(ROW(TableDiv[Agency])-ROW(TableDiv[[#Headers],[Agency]])),COLUMNS($F$7:K$7))))</f>
        <v>0</v>
      </c>
      <c r="L305" s="2223" cm="1">
        <f t="array" ref="L305">IF($D305&lt;COLUMNS($F$7:L$7),"",INDEX(TableDiv[[GASB]:[GASB]],_xlfn.AGGREGATE(15,3,(TableDiv[[Agency]:[Agency]]=$E305)/(TableDiv[[Agency]:[Agency]]=$E305)*(ROW(TableDiv[Agency])-ROW(TableDiv[[#Headers],[Agency]])),COLUMNS($F$7:L$7))))</f>
        <v>0</v>
      </c>
      <c r="M305" s="2223" cm="1">
        <f t="array" ref="M305">IF($D305&lt;COLUMNS($F$7:M$7),"",INDEX(TableDiv[[GASB]:[GASB]],_xlfn.AGGREGATE(15,3,(TableDiv[[Agency]:[Agency]]=$E305)/(TableDiv[[Agency]:[Agency]]=$E305)*(ROW(TableDiv[Agency])-ROW(TableDiv[[#Headers],[Agency]])),COLUMNS($F$7:M$7))))</f>
        <v>0</v>
      </c>
      <c r="N305" s="2223" cm="1">
        <f t="array" ref="N305">IF($D305&lt;COLUMNS($F$7:N$7),"",INDEX(TableDiv[[GASB]:[GASB]],_xlfn.AGGREGATE(15,3,(TableDiv[[Agency]:[Agency]]=$E305)/(TableDiv[[Agency]:[Agency]]=$E305)*(ROW(TableDiv[Agency])-ROW(TableDiv[[#Headers],[Agency]])),COLUMNS($F$7:N$7))))</f>
        <v>0</v>
      </c>
      <c r="O305" s="2223" cm="1">
        <f t="array" ref="O305">IF($D305&lt;COLUMNS($F$7:O$7),"",INDEX(TableDiv[[GASB]:[GASB]],_xlfn.AGGREGATE(15,3,(TableDiv[[Agency]:[Agency]]=$E305)/(TableDiv[[Agency]:[Agency]]=$E305)*(ROW(TableDiv[Agency])-ROW(TableDiv[[#Headers],[Agency]])),COLUMNS($F$7:O$7))))</f>
        <v>0</v>
      </c>
      <c r="P305" s="2223" cm="1">
        <f t="array" ref="P305">IF($D305&lt;COLUMNS($F$7:P$7),"",INDEX(TableDiv[[GASB]:[GASB]],_xlfn.AGGREGATE(15,3,(TableDiv[[Agency]:[Agency]]=$E305)/(TableDiv[[Agency]:[Agency]]=$E305)*(ROW(TableDiv[Agency])-ROW(TableDiv[[#Headers],[Agency]])),COLUMNS($F$7:P$7))))</f>
        <v>0</v>
      </c>
      <c r="Q305" s="2223" cm="1">
        <f t="array" ref="Q305">IF($D305&lt;COLUMNS($F$7:Q$7),"",INDEX(TableDiv[[GASB]:[GASB]],_xlfn.AGGREGATE(15,3,(TableDiv[[Agency]:[Agency]]=$E305)/(TableDiv[[Agency]:[Agency]]=$E305)*(ROW(TableDiv[Agency])-ROW(TableDiv[[#Headers],[Agency]])),COLUMNS($F$7:Q$7))))</f>
        <v>0</v>
      </c>
      <c r="R305" s="2223" cm="1">
        <f t="array" ref="R305">IF($D305&lt;COLUMNS($F$7:R$7),"",INDEX(TableDiv[[GASB]:[GASB]],_xlfn.AGGREGATE(15,3,(TableDiv[[Agency]:[Agency]]=$E305)/(TableDiv[[Agency]:[Agency]]=$E305)*(ROW(TableDiv[Agency])-ROW(TableDiv[[#Headers],[Agency]])),COLUMNS($F$7:R$7))))</f>
        <v>0</v>
      </c>
      <c r="S305" s="2223" cm="1">
        <f t="array" ref="S305">IF($D305&lt;COLUMNS($F$7:S$7),"",INDEX(TableDiv[[GASB]:[GASB]],_xlfn.AGGREGATE(15,3,(TableDiv[[Agency]:[Agency]]=$E305)/(TableDiv[[Agency]:[Agency]]=$E305)*(ROW(TableDiv[Agency])-ROW(TableDiv[[#Headers],[Agency]])),COLUMNS($F$7:S$7))))</f>
        <v>0</v>
      </c>
      <c r="T305" s="2223" cm="1">
        <f t="array" ref="T305">IF($D305&lt;COLUMNS($F$7:T$7),"",INDEX(TableDiv[[GASB]:[GASB]],_xlfn.AGGREGATE(15,3,(TableDiv[[Agency]:[Agency]]=$E305)/(TableDiv[[Agency]:[Agency]]=$E305)*(ROW(TableDiv[Agency])-ROW(TableDiv[[#Headers],[Agency]])),COLUMNS($F$7:T$7))))</f>
        <v>0</v>
      </c>
      <c r="U305" s="2223" cm="1">
        <f t="array" ref="U305">IF($D305&lt;COLUMNS($F$7:U$7),"",INDEX(TableDiv[[GASB]:[GASB]],_xlfn.AGGREGATE(15,3,(TableDiv[[Agency]:[Agency]]=$E305)/(TableDiv[[Agency]:[Agency]]=$E305)*(ROW(TableDiv[Agency])-ROW(TableDiv[[#Headers],[Agency]])),COLUMNS($F$7:U$7))))</f>
        <v>0</v>
      </c>
      <c r="V305" s="2223" cm="1">
        <f t="array" ref="V305">IF($D305&lt;COLUMNS($F$7:V$7),"",INDEX(TableDiv[[GASB]:[GASB]],_xlfn.AGGREGATE(15,3,(TableDiv[[Agency]:[Agency]]=$E305)/(TableDiv[[Agency]:[Agency]]=$E305)*(ROW(TableDiv[Agency])-ROW(TableDiv[[#Headers],[Agency]])),COLUMNS($F$7:V$7))))</f>
        <v>0</v>
      </c>
      <c r="W305" s="2223" cm="1">
        <f t="array" ref="W305">IF($D305&lt;COLUMNS($F$7:W$7),"",INDEX(TableDiv[[GASB]:[GASB]],_xlfn.AGGREGATE(15,3,(TableDiv[[Agency]:[Agency]]=$E305)/(TableDiv[[Agency]:[Agency]]=$E305)*(ROW(TableDiv[Agency])-ROW(TableDiv[[#Headers],[Agency]])),COLUMNS($F$7:W$7))))</f>
        <v>0</v>
      </c>
      <c r="X305" s="2223" cm="1">
        <f t="array" ref="X305">IF($D305&lt;COLUMNS($F$7:X$7),"",INDEX(TableDiv[[GASB]:[GASB]],_xlfn.AGGREGATE(15,3,(TableDiv[[Agency]:[Agency]]=$E305)/(TableDiv[[Agency]:[Agency]]=$E305)*(ROW(TableDiv[Agency])-ROW(TableDiv[[#Headers],[Agency]])),COLUMNS($F$7:X$7))))</f>
        <v>0</v>
      </c>
      <c r="Y305" s="2223" cm="1">
        <f t="array" ref="Y305">IF($D305&lt;COLUMNS($F$7:Y$7),"",INDEX(TableDiv[[GASB]:[GASB]],_xlfn.AGGREGATE(15,3,(TableDiv[[Agency]:[Agency]]=$E305)/(TableDiv[[Agency]:[Agency]]=$E305)*(ROW(TableDiv[Agency])-ROW(TableDiv[[#Headers],[Agency]])),COLUMNS($F$7:Y$7))))</f>
        <v>0</v>
      </c>
      <c r="Z305" s="2223" cm="1">
        <f t="array" ref="Z305">IF($D305&lt;COLUMNS($F$7:Z$7),"",INDEX(TableDiv[[GASB]:[GASB]],_xlfn.AGGREGATE(15,3,(TableDiv[[Agency]:[Agency]]=$E305)/(TableDiv[[Agency]:[Agency]]=$E305)*(ROW(TableDiv[Agency])-ROW(TableDiv[[#Headers],[Agency]])),COLUMNS($F$7:Z$7))))</f>
        <v>0</v>
      </c>
      <c r="AA305" s="2223" cm="1">
        <f t="array" ref="AA305">IF($D305&lt;COLUMNS($F$7:AA$7),"",INDEX(TableDiv[[GASB]:[GASB]],_xlfn.AGGREGATE(15,3,(TableDiv[[Agency]:[Agency]]=$E305)/(TableDiv[[Agency]:[Agency]]=$E305)*(ROW(TableDiv[Agency])-ROW(TableDiv[[#Headers],[Agency]])),COLUMNS($F$7:AA$7))))</f>
        <v>0</v>
      </c>
      <c r="AB305" s="2223" cm="1">
        <f t="array" ref="AB305">IF($D305&lt;COLUMNS($F$7:AB$7),"",INDEX(TableDiv[[GASB]:[GASB]],_xlfn.AGGREGATE(15,3,(TableDiv[[Agency]:[Agency]]=$E305)/(TableDiv[[Agency]:[Agency]]=$E305)*(ROW(TableDiv[Agency])-ROW(TableDiv[[#Headers],[Agency]])),COLUMNS($F$7:AB$7))))</f>
        <v>0</v>
      </c>
      <c r="AC305" s="2223" cm="1">
        <f t="array" ref="AC305">IF($D305&lt;COLUMNS($F$7:AC$7),"",INDEX(TableDiv[[GASB]:[GASB]],_xlfn.AGGREGATE(15,3,(TableDiv[[Agency]:[Agency]]=$E305)/(TableDiv[[Agency]:[Agency]]=$E305)*(ROW(TableDiv[Agency])-ROW(TableDiv[[#Headers],[Agency]])),COLUMNS($F$7:AC$7))))</f>
        <v>0</v>
      </c>
      <c r="AD305" s="2223" cm="1">
        <f t="array" ref="AD305">IF($D305&lt;COLUMNS($F$7:AD$7),"",INDEX(TableDiv[[GASB]:[GASB]],_xlfn.AGGREGATE(15,3,(TableDiv[[Agency]:[Agency]]=$E305)/(TableDiv[[Agency]:[Agency]]=$E305)*(ROW(TableDiv[Agency])-ROW(TableDiv[[#Headers],[Agency]])),COLUMNS($F$7:AD$7))))</f>
        <v>0</v>
      </c>
      <c r="AE305" s="2223" cm="1">
        <f t="array" ref="AE305">IF($D305&lt;COLUMNS($F$7:AE$7),"",INDEX(TableDiv[[GASB]:[GASB]],_xlfn.AGGREGATE(15,3,(TableDiv[[Agency]:[Agency]]=$E305)/(TableDiv[[Agency]:[Agency]]=$E305)*(ROW(TableDiv[Agency])-ROW(TableDiv[[#Headers],[Agency]])),COLUMNS($F$7:AE$7))))</f>
        <v>0</v>
      </c>
      <c r="AF305" s="2223" cm="1">
        <f t="array" ref="AF305">IF($D305&lt;COLUMNS($F$7:AF$7),"",INDEX(TableDiv[[GASB]:[GASB]],_xlfn.AGGREGATE(15,3,(TableDiv[[Agency]:[Agency]]=$E305)/(TableDiv[[Agency]:[Agency]]=$E305)*(ROW(TableDiv[Agency])-ROW(TableDiv[[#Headers],[Agency]])),COLUMNS($F$7:AF$7))))</f>
        <v>0</v>
      </c>
      <c r="AG305" s="2223" cm="1">
        <f t="array" ref="AG305">IF($D305&lt;COLUMNS($F$7:AG$7),"",INDEX(TableDiv[[GASB]:[GASB]],_xlfn.AGGREGATE(15,3,(TableDiv[[Agency]:[Agency]]=$E305)/(TableDiv[[Agency]:[Agency]]=$E305)*(ROW(TableDiv[Agency])-ROW(TableDiv[[#Headers],[Agency]])),COLUMNS($F$7:AG$7))))</f>
        <v>0</v>
      </c>
      <c r="AH305" s="2223" cm="1">
        <f t="array" ref="AH305">IF($D305&lt;COLUMNS($F$7:AH$7),"",INDEX(TableDiv[[GASB]:[GASB]],_xlfn.AGGREGATE(15,3,(TableDiv[[Agency]:[Agency]]=$E305)/(TableDiv[[Agency]:[Agency]]=$E305)*(ROW(TableDiv[Agency])-ROW(TableDiv[[#Headers],[Agency]])),COLUMNS($F$7:AH$7))))</f>
        <v>0</v>
      </c>
      <c r="AI305" s="2223" cm="1">
        <f t="array" ref="AI305">IF($D305&lt;COLUMNS($F$7:AI$7),"",INDEX(TableDiv[[GASB]:[GASB]],_xlfn.AGGREGATE(15,3,(TableDiv[[Agency]:[Agency]]=$E305)/(TableDiv[[Agency]:[Agency]]=$E305)*(ROW(TableDiv[Agency])-ROW(TableDiv[[#Headers],[Agency]])),COLUMNS($F$7:AI$7))))</f>
        <v>0</v>
      </c>
      <c r="AJ305" s="2223" cm="1">
        <f t="array" ref="AJ305">IF($D305&lt;COLUMNS($F$7:AJ$7),"",INDEX(TableDiv[[GASB]:[GASB]],_xlfn.AGGREGATE(15,3,(TableDiv[[Agency]:[Agency]]=$E305)/(TableDiv[[Agency]:[Agency]]=$E305)*(ROW(TableDiv[Agency])-ROW(TableDiv[[#Headers],[Agency]])),COLUMNS($F$7:AJ$7))))</f>
        <v>0</v>
      </c>
      <c r="AK305" s="2223" t="str" cm="1">
        <f t="array" ref="AK305">IF($D305&lt;COLUMNS($F$7:AK$7),"",INDEX(TableDiv[[GASB]:[GASB]],_xlfn.AGGREGATE(15,3,(TableDiv[[Agency]:[Agency]]=$E305)/(TableDiv[[Agency]:[Agency]]=$E305)*(ROW(TableDiv[Agency])-ROW(TableDiv[[#Headers],[Agency]])),COLUMNS($F$7:AK$7))))</f>
        <v/>
      </c>
      <c r="AL305" s="2223" t="str" cm="1">
        <f t="array" ref="AL305">IF($D305&lt;COLUMNS($F$7:AL$7),"",INDEX(TableDiv[[GASB]:[GASB]],_xlfn.AGGREGATE(15,3,(TableDiv[[Agency]:[Agency]]=$E305)/(TableDiv[[Agency]:[Agency]]=$E305)*(ROW(TableDiv[Agency])-ROW(TableDiv[[#Headers],[Agency]])),COLUMNS($F$7:AL$7))))</f>
        <v/>
      </c>
      <c r="AM305" s="2223" t="str" cm="1">
        <f t="array" ref="AM305">IF($D305&lt;COLUMNS($F$7:AM$7),"",INDEX(TableDiv[[GASB]:[GASB]],_xlfn.AGGREGATE(15,3,(TableDiv[[Agency]:[Agency]]=$E305)/(TableDiv[[Agency]:[Agency]]=$E305)*(ROW(TableDiv[Agency])-ROW(TableDiv[[#Headers],[Agency]])),COLUMNS($F$7:AM$7))))</f>
        <v/>
      </c>
      <c r="AN305" s="2223"/>
      <c r="AO305" s="2223"/>
      <c r="AP305" s="2223"/>
      <c r="AQ305" s="2223"/>
      <c r="AR305" s="2223"/>
      <c r="AS305" s="2223"/>
    </row>
    <row r="306" spans="1:45" ht="15" x14ac:dyDescent="0.25">
      <c r="A306" s="2219" t="s">
        <v>5600</v>
      </c>
      <c r="B306" s="2219" t="s">
        <v>1878</v>
      </c>
      <c r="C306" s="2223"/>
      <c r="D306" s="2223">
        <f>COUNTIF(TableDiv[Agency],E306)</f>
        <v>31</v>
      </c>
      <c r="E306" s="2230" t="str" cm="1">
        <f t="array" ref="E306">IFERROR(INDEX(TableDiv[Agency],MATCH(0,INDEX(COUNTIF($E$7:E305,TableDiv[Agency]),),0)),"")</f>
        <v/>
      </c>
      <c r="F306" s="2223" cm="1">
        <f t="array" ref="F306">IF($D306&lt;COLUMNS($F$7:F$7),"",INDEX(TableDiv[[GASB]:[GASB]],_xlfn.AGGREGATE(15,3,(TableDiv[[Agency]:[Agency]]=$E306)/(TableDiv[[Agency]:[Agency]]=$E306)*(ROW(TableDiv[Agency])-ROW(TableDiv[[#Headers],[Agency]])),COLUMNS($F$7:F$7))))</f>
        <v>0</v>
      </c>
      <c r="G306" s="2223" cm="1">
        <f t="array" ref="G306">IF($D306&lt;COLUMNS($F$7:G$7),"",INDEX(TableDiv[[GASB]:[GASB]],_xlfn.AGGREGATE(15,3,(TableDiv[[Agency]:[Agency]]=$E306)/(TableDiv[[Agency]:[Agency]]=$E306)*(ROW(TableDiv[Agency])-ROW(TableDiv[[#Headers],[Agency]])),COLUMNS($F$7:G$7))))</f>
        <v>0</v>
      </c>
      <c r="H306" s="2223" cm="1">
        <f t="array" ref="H306">IF($D306&lt;COLUMNS($F$7:H$7),"",INDEX(TableDiv[[GASB]:[GASB]],_xlfn.AGGREGATE(15,3,(TableDiv[[Agency]:[Agency]]=$E306)/(TableDiv[[Agency]:[Agency]]=$E306)*(ROW(TableDiv[Agency])-ROW(TableDiv[[#Headers],[Agency]])),COLUMNS($F$7:H$7))))</f>
        <v>0</v>
      </c>
      <c r="I306" s="2223" cm="1">
        <f t="array" ref="I306">IF($D306&lt;COLUMNS($F$7:I$7),"",INDEX(TableDiv[[GASB]:[GASB]],_xlfn.AGGREGATE(15,3,(TableDiv[[Agency]:[Agency]]=$E306)/(TableDiv[[Agency]:[Agency]]=$E306)*(ROW(TableDiv[Agency])-ROW(TableDiv[[#Headers],[Agency]])),COLUMNS($F$7:I$7))))</f>
        <v>0</v>
      </c>
      <c r="J306" s="2223" cm="1">
        <f t="array" ref="J306">IF($D306&lt;COLUMNS($F$7:J$7),"",INDEX(TableDiv[[GASB]:[GASB]],_xlfn.AGGREGATE(15,3,(TableDiv[[Agency]:[Agency]]=$E306)/(TableDiv[[Agency]:[Agency]]=$E306)*(ROW(TableDiv[Agency])-ROW(TableDiv[[#Headers],[Agency]])),COLUMNS($F$7:J$7))))</f>
        <v>0</v>
      </c>
      <c r="K306" s="2223" cm="1">
        <f t="array" ref="K306">IF($D306&lt;COLUMNS($F$7:K$7),"",INDEX(TableDiv[[GASB]:[GASB]],_xlfn.AGGREGATE(15,3,(TableDiv[[Agency]:[Agency]]=$E306)/(TableDiv[[Agency]:[Agency]]=$E306)*(ROW(TableDiv[Agency])-ROW(TableDiv[[#Headers],[Agency]])),COLUMNS($F$7:K$7))))</f>
        <v>0</v>
      </c>
      <c r="L306" s="2223" cm="1">
        <f t="array" ref="L306">IF($D306&lt;COLUMNS($F$7:L$7),"",INDEX(TableDiv[[GASB]:[GASB]],_xlfn.AGGREGATE(15,3,(TableDiv[[Agency]:[Agency]]=$E306)/(TableDiv[[Agency]:[Agency]]=$E306)*(ROW(TableDiv[Agency])-ROW(TableDiv[[#Headers],[Agency]])),COLUMNS($F$7:L$7))))</f>
        <v>0</v>
      </c>
      <c r="M306" s="2223" cm="1">
        <f t="array" ref="M306">IF($D306&lt;COLUMNS($F$7:M$7),"",INDEX(TableDiv[[GASB]:[GASB]],_xlfn.AGGREGATE(15,3,(TableDiv[[Agency]:[Agency]]=$E306)/(TableDiv[[Agency]:[Agency]]=$E306)*(ROW(TableDiv[Agency])-ROW(TableDiv[[#Headers],[Agency]])),COLUMNS($F$7:M$7))))</f>
        <v>0</v>
      </c>
      <c r="N306" s="2223" cm="1">
        <f t="array" ref="N306">IF($D306&lt;COLUMNS($F$7:N$7),"",INDEX(TableDiv[[GASB]:[GASB]],_xlfn.AGGREGATE(15,3,(TableDiv[[Agency]:[Agency]]=$E306)/(TableDiv[[Agency]:[Agency]]=$E306)*(ROW(TableDiv[Agency])-ROW(TableDiv[[#Headers],[Agency]])),COLUMNS($F$7:N$7))))</f>
        <v>0</v>
      </c>
      <c r="O306" s="2223" cm="1">
        <f t="array" ref="O306">IF($D306&lt;COLUMNS($F$7:O$7),"",INDEX(TableDiv[[GASB]:[GASB]],_xlfn.AGGREGATE(15,3,(TableDiv[[Agency]:[Agency]]=$E306)/(TableDiv[[Agency]:[Agency]]=$E306)*(ROW(TableDiv[Agency])-ROW(TableDiv[[#Headers],[Agency]])),COLUMNS($F$7:O$7))))</f>
        <v>0</v>
      </c>
      <c r="P306" s="2223" cm="1">
        <f t="array" ref="P306">IF($D306&lt;COLUMNS($F$7:P$7),"",INDEX(TableDiv[[GASB]:[GASB]],_xlfn.AGGREGATE(15,3,(TableDiv[[Agency]:[Agency]]=$E306)/(TableDiv[[Agency]:[Agency]]=$E306)*(ROW(TableDiv[Agency])-ROW(TableDiv[[#Headers],[Agency]])),COLUMNS($F$7:P$7))))</f>
        <v>0</v>
      </c>
      <c r="Q306" s="2223" cm="1">
        <f t="array" ref="Q306">IF($D306&lt;COLUMNS($F$7:Q$7),"",INDEX(TableDiv[[GASB]:[GASB]],_xlfn.AGGREGATE(15,3,(TableDiv[[Agency]:[Agency]]=$E306)/(TableDiv[[Agency]:[Agency]]=$E306)*(ROW(TableDiv[Agency])-ROW(TableDiv[[#Headers],[Agency]])),COLUMNS($F$7:Q$7))))</f>
        <v>0</v>
      </c>
      <c r="R306" s="2223" cm="1">
        <f t="array" ref="R306">IF($D306&lt;COLUMNS($F$7:R$7),"",INDEX(TableDiv[[GASB]:[GASB]],_xlfn.AGGREGATE(15,3,(TableDiv[[Agency]:[Agency]]=$E306)/(TableDiv[[Agency]:[Agency]]=$E306)*(ROW(TableDiv[Agency])-ROW(TableDiv[[#Headers],[Agency]])),COLUMNS($F$7:R$7))))</f>
        <v>0</v>
      </c>
      <c r="S306" s="2223" cm="1">
        <f t="array" ref="S306">IF($D306&lt;COLUMNS($F$7:S$7),"",INDEX(TableDiv[[GASB]:[GASB]],_xlfn.AGGREGATE(15,3,(TableDiv[[Agency]:[Agency]]=$E306)/(TableDiv[[Agency]:[Agency]]=$E306)*(ROW(TableDiv[Agency])-ROW(TableDiv[[#Headers],[Agency]])),COLUMNS($F$7:S$7))))</f>
        <v>0</v>
      </c>
      <c r="T306" s="2223" cm="1">
        <f t="array" ref="T306">IF($D306&lt;COLUMNS($F$7:T$7),"",INDEX(TableDiv[[GASB]:[GASB]],_xlfn.AGGREGATE(15,3,(TableDiv[[Agency]:[Agency]]=$E306)/(TableDiv[[Agency]:[Agency]]=$E306)*(ROW(TableDiv[Agency])-ROW(TableDiv[[#Headers],[Agency]])),COLUMNS($F$7:T$7))))</f>
        <v>0</v>
      </c>
      <c r="U306" s="2223" cm="1">
        <f t="array" ref="U306">IF($D306&lt;COLUMNS($F$7:U$7),"",INDEX(TableDiv[[GASB]:[GASB]],_xlfn.AGGREGATE(15,3,(TableDiv[[Agency]:[Agency]]=$E306)/(TableDiv[[Agency]:[Agency]]=$E306)*(ROW(TableDiv[Agency])-ROW(TableDiv[[#Headers],[Agency]])),COLUMNS($F$7:U$7))))</f>
        <v>0</v>
      </c>
      <c r="V306" s="2223" cm="1">
        <f t="array" ref="V306">IF($D306&lt;COLUMNS($F$7:V$7),"",INDEX(TableDiv[[GASB]:[GASB]],_xlfn.AGGREGATE(15,3,(TableDiv[[Agency]:[Agency]]=$E306)/(TableDiv[[Agency]:[Agency]]=$E306)*(ROW(TableDiv[Agency])-ROW(TableDiv[[#Headers],[Agency]])),COLUMNS($F$7:V$7))))</f>
        <v>0</v>
      </c>
      <c r="W306" s="2223" cm="1">
        <f t="array" ref="W306">IF($D306&lt;COLUMNS($F$7:W$7),"",INDEX(TableDiv[[GASB]:[GASB]],_xlfn.AGGREGATE(15,3,(TableDiv[[Agency]:[Agency]]=$E306)/(TableDiv[[Agency]:[Agency]]=$E306)*(ROW(TableDiv[Agency])-ROW(TableDiv[[#Headers],[Agency]])),COLUMNS($F$7:W$7))))</f>
        <v>0</v>
      </c>
      <c r="X306" s="2223" cm="1">
        <f t="array" ref="X306">IF($D306&lt;COLUMNS($F$7:X$7),"",INDEX(TableDiv[[GASB]:[GASB]],_xlfn.AGGREGATE(15,3,(TableDiv[[Agency]:[Agency]]=$E306)/(TableDiv[[Agency]:[Agency]]=$E306)*(ROW(TableDiv[Agency])-ROW(TableDiv[[#Headers],[Agency]])),COLUMNS($F$7:X$7))))</f>
        <v>0</v>
      </c>
      <c r="Y306" s="2223" cm="1">
        <f t="array" ref="Y306">IF($D306&lt;COLUMNS($F$7:Y$7),"",INDEX(TableDiv[[GASB]:[GASB]],_xlfn.AGGREGATE(15,3,(TableDiv[[Agency]:[Agency]]=$E306)/(TableDiv[[Agency]:[Agency]]=$E306)*(ROW(TableDiv[Agency])-ROW(TableDiv[[#Headers],[Agency]])),COLUMNS($F$7:Y$7))))</f>
        <v>0</v>
      </c>
      <c r="Z306" s="2223" cm="1">
        <f t="array" ref="Z306">IF($D306&lt;COLUMNS($F$7:Z$7),"",INDEX(TableDiv[[GASB]:[GASB]],_xlfn.AGGREGATE(15,3,(TableDiv[[Agency]:[Agency]]=$E306)/(TableDiv[[Agency]:[Agency]]=$E306)*(ROW(TableDiv[Agency])-ROW(TableDiv[[#Headers],[Agency]])),COLUMNS($F$7:Z$7))))</f>
        <v>0</v>
      </c>
      <c r="AA306" s="2223" cm="1">
        <f t="array" ref="AA306">IF($D306&lt;COLUMNS($F$7:AA$7),"",INDEX(TableDiv[[GASB]:[GASB]],_xlfn.AGGREGATE(15,3,(TableDiv[[Agency]:[Agency]]=$E306)/(TableDiv[[Agency]:[Agency]]=$E306)*(ROW(TableDiv[Agency])-ROW(TableDiv[[#Headers],[Agency]])),COLUMNS($F$7:AA$7))))</f>
        <v>0</v>
      </c>
      <c r="AB306" s="2223" cm="1">
        <f t="array" ref="AB306">IF($D306&lt;COLUMNS($F$7:AB$7),"",INDEX(TableDiv[[GASB]:[GASB]],_xlfn.AGGREGATE(15,3,(TableDiv[[Agency]:[Agency]]=$E306)/(TableDiv[[Agency]:[Agency]]=$E306)*(ROW(TableDiv[Agency])-ROW(TableDiv[[#Headers],[Agency]])),COLUMNS($F$7:AB$7))))</f>
        <v>0</v>
      </c>
      <c r="AC306" s="2223" cm="1">
        <f t="array" ref="AC306">IF($D306&lt;COLUMNS($F$7:AC$7),"",INDEX(TableDiv[[GASB]:[GASB]],_xlfn.AGGREGATE(15,3,(TableDiv[[Agency]:[Agency]]=$E306)/(TableDiv[[Agency]:[Agency]]=$E306)*(ROW(TableDiv[Agency])-ROW(TableDiv[[#Headers],[Agency]])),COLUMNS($F$7:AC$7))))</f>
        <v>0</v>
      </c>
      <c r="AD306" s="2223" cm="1">
        <f t="array" ref="AD306">IF($D306&lt;COLUMNS($F$7:AD$7),"",INDEX(TableDiv[[GASB]:[GASB]],_xlfn.AGGREGATE(15,3,(TableDiv[[Agency]:[Agency]]=$E306)/(TableDiv[[Agency]:[Agency]]=$E306)*(ROW(TableDiv[Agency])-ROW(TableDiv[[#Headers],[Agency]])),COLUMNS($F$7:AD$7))))</f>
        <v>0</v>
      </c>
      <c r="AE306" s="2223" cm="1">
        <f t="array" ref="AE306">IF($D306&lt;COLUMNS($F$7:AE$7),"",INDEX(TableDiv[[GASB]:[GASB]],_xlfn.AGGREGATE(15,3,(TableDiv[[Agency]:[Agency]]=$E306)/(TableDiv[[Agency]:[Agency]]=$E306)*(ROW(TableDiv[Agency])-ROW(TableDiv[[#Headers],[Agency]])),COLUMNS($F$7:AE$7))))</f>
        <v>0</v>
      </c>
      <c r="AF306" s="2223" cm="1">
        <f t="array" ref="AF306">IF($D306&lt;COLUMNS($F$7:AF$7),"",INDEX(TableDiv[[GASB]:[GASB]],_xlfn.AGGREGATE(15,3,(TableDiv[[Agency]:[Agency]]=$E306)/(TableDiv[[Agency]:[Agency]]=$E306)*(ROW(TableDiv[Agency])-ROW(TableDiv[[#Headers],[Agency]])),COLUMNS($F$7:AF$7))))</f>
        <v>0</v>
      </c>
      <c r="AG306" s="2223" cm="1">
        <f t="array" ref="AG306">IF($D306&lt;COLUMNS($F$7:AG$7),"",INDEX(TableDiv[[GASB]:[GASB]],_xlfn.AGGREGATE(15,3,(TableDiv[[Agency]:[Agency]]=$E306)/(TableDiv[[Agency]:[Agency]]=$E306)*(ROW(TableDiv[Agency])-ROW(TableDiv[[#Headers],[Agency]])),COLUMNS($F$7:AG$7))))</f>
        <v>0</v>
      </c>
      <c r="AH306" s="2223" cm="1">
        <f t="array" ref="AH306">IF($D306&lt;COLUMNS($F$7:AH$7),"",INDEX(TableDiv[[GASB]:[GASB]],_xlfn.AGGREGATE(15,3,(TableDiv[[Agency]:[Agency]]=$E306)/(TableDiv[[Agency]:[Agency]]=$E306)*(ROW(TableDiv[Agency])-ROW(TableDiv[[#Headers],[Agency]])),COLUMNS($F$7:AH$7))))</f>
        <v>0</v>
      </c>
      <c r="AI306" s="2223" cm="1">
        <f t="array" ref="AI306">IF($D306&lt;COLUMNS($F$7:AI$7),"",INDEX(TableDiv[[GASB]:[GASB]],_xlfn.AGGREGATE(15,3,(TableDiv[[Agency]:[Agency]]=$E306)/(TableDiv[[Agency]:[Agency]]=$E306)*(ROW(TableDiv[Agency])-ROW(TableDiv[[#Headers],[Agency]])),COLUMNS($F$7:AI$7))))</f>
        <v>0</v>
      </c>
      <c r="AJ306" s="2223" cm="1">
        <f t="array" ref="AJ306">IF($D306&lt;COLUMNS($F$7:AJ$7),"",INDEX(TableDiv[[GASB]:[GASB]],_xlfn.AGGREGATE(15,3,(TableDiv[[Agency]:[Agency]]=$E306)/(TableDiv[[Agency]:[Agency]]=$E306)*(ROW(TableDiv[Agency])-ROW(TableDiv[[#Headers],[Agency]])),COLUMNS($F$7:AJ$7))))</f>
        <v>0</v>
      </c>
      <c r="AK306" s="2223" t="str" cm="1">
        <f t="array" ref="AK306">IF($D306&lt;COLUMNS($F$7:AK$7),"",INDEX(TableDiv[[GASB]:[GASB]],_xlfn.AGGREGATE(15,3,(TableDiv[[Agency]:[Agency]]=$E306)/(TableDiv[[Agency]:[Agency]]=$E306)*(ROW(TableDiv[Agency])-ROW(TableDiv[[#Headers],[Agency]])),COLUMNS($F$7:AK$7))))</f>
        <v/>
      </c>
      <c r="AL306" s="2223" t="str" cm="1">
        <f t="array" ref="AL306">IF($D306&lt;COLUMNS($F$7:AL$7),"",INDEX(TableDiv[[GASB]:[GASB]],_xlfn.AGGREGATE(15,3,(TableDiv[[Agency]:[Agency]]=$E306)/(TableDiv[[Agency]:[Agency]]=$E306)*(ROW(TableDiv[Agency])-ROW(TableDiv[[#Headers],[Agency]])),COLUMNS($F$7:AL$7))))</f>
        <v/>
      </c>
      <c r="AM306" s="2223" t="str" cm="1">
        <f t="array" ref="AM306">IF($D306&lt;COLUMNS($F$7:AM$7),"",INDEX(TableDiv[[GASB]:[GASB]],_xlfn.AGGREGATE(15,3,(TableDiv[[Agency]:[Agency]]=$E306)/(TableDiv[[Agency]:[Agency]]=$E306)*(ROW(TableDiv[Agency])-ROW(TableDiv[[#Headers],[Agency]])),COLUMNS($F$7:AM$7))))</f>
        <v/>
      </c>
      <c r="AN306" s="2223"/>
      <c r="AO306" s="2223"/>
      <c r="AP306" s="2223"/>
      <c r="AQ306" s="2223"/>
      <c r="AR306" s="2223"/>
      <c r="AS306" s="2223"/>
    </row>
    <row r="307" spans="1:45" ht="15" x14ac:dyDescent="0.25">
      <c r="A307" s="2219" t="s">
        <v>5600</v>
      </c>
      <c r="B307" s="2219" t="s">
        <v>6365</v>
      </c>
      <c r="C307" s="2223"/>
      <c r="D307" s="2223">
        <f>COUNTIF(TableDiv[Agency],E307)</f>
        <v>31</v>
      </c>
      <c r="E307" s="2230" t="str" cm="1">
        <f t="array" ref="E307">IFERROR(INDEX(TableDiv[Agency],MATCH(0,INDEX(COUNTIF($E$7:E306,TableDiv[Agency]),),0)),"")</f>
        <v/>
      </c>
      <c r="F307" s="2223" cm="1">
        <f t="array" ref="F307">IF($D307&lt;COLUMNS($F$7:F$7),"",INDEX(TableDiv[[GASB]:[GASB]],_xlfn.AGGREGATE(15,3,(TableDiv[[Agency]:[Agency]]=$E307)/(TableDiv[[Agency]:[Agency]]=$E307)*(ROW(TableDiv[Agency])-ROW(TableDiv[[#Headers],[Agency]])),COLUMNS($F$7:F$7))))</f>
        <v>0</v>
      </c>
      <c r="G307" s="2223" cm="1">
        <f t="array" ref="G307">IF($D307&lt;COLUMNS($F$7:G$7),"",INDEX(TableDiv[[GASB]:[GASB]],_xlfn.AGGREGATE(15,3,(TableDiv[[Agency]:[Agency]]=$E307)/(TableDiv[[Agency]:[Agency]]=$E307)*(ROW(TableDiv[Agency])-ROW(TableDiv[[#Headers],[Agency]])),COLUMNS($F$7:G$7))))</f>
        <v>0</v>
      </c>
      <c r="H307" s="2223" cm="1">
        <f t="array" ref="H307">IF($D307&lt;COLUMNS($F$7:H$7),"",INDEX(TableDiv[[GASB]:[GASB]],_xlfn.AGGREGATE(15,3,(TableDiv[[Agency]:[Agency]]=$E307)/(TableDiv[[Agency]:[Agency]]=$E307)*(ROW(TableDiv[Agency])-ROW(TableDiv[[#Headers],[Agency]])),COLUMNS($F$7:H$7))))</f>
        <v>0</v>
      </c>
      <c r="I307" s="2223" cm="1">
        <f t="array" ref="I307">IF($D307&lt;COLUMNS($F$7:I$7),"",INDEX(TableDiv[[GASB]:[GASB]],_xlfn.AGGREGATE(15,3,(TableDiv[[Agency]:[Agency]]=$E307)/(TableDiv[[Agency]:[Agency]]=$E307)*(ROW(TableDiv[Agency])-ROW(TableDiv[[#Headers],[Agency]])),COLUMNS($F$7:I$7))))</f>
        <v>0</v>
      </c>
      <c r="J307" s="2223" cm="1">
        <f t="array" ref="J307">IF($D307&lt;COLUMNS($F$7:J$7),"",INDEX(TableDiv[[GASB]:[GASB]],_xlfn.AGGREGATE(15,3,(TableDiv[[Agency]:[Agency]]=$E307)/(TableDiv[[Agency]:[Agency]]=$E307)*(ROW(TableDiv[Agency])-ROW(TableDiv[[#Headers],[Agency]])),COLUMNS($F$7:J$7))))</f>
        <v>0</v>
      </c>
      <c r="K307" s="2223" cm="1">
        <f t="array" ref="K307">IF($D307&lt;COLUMNS($F$7:K$7),"",INDEX(TableDiv[[GASB]:[GASB]],_xlfn.AGGREGATE(15,3,(TableDiv[[Agency]:[Agency]]=$E307)/(TableDiv[[Agency]:[Agency]]=$E307)*(ROW(TableDiv[Agency])-ROW(TableDiv[[#Headers],[Agency]])),COLUMNS($F$7:K$7))))</f>
        <v>0</v>
      </c>
      <c r="L307" s="2223" cm="1">
        <f t="array" ref="L307">IF($D307&lt;COLUMNS($F$7:L$7),"",INDEX(TableDiv[[GASB]:[GASB]],_xlfn.AGGREGATE(15,3,(TableDiv[[Agency]:[Agency]]=$E307)/(TableDiv[[Agency]:[Agency]]=$E307)*(ROW(TableDiv[Agency])-ROW(TableDiv[[#Headers],[Agency]])),COLUMNS($F$7:L$7))))</f>
        <v>0</v>
      </c>
      <c r="M307" s="2223" cm="1">
        <f t="array" ref="M307">IF($D307&lt;COLUMNS($F$7:M$7),"",INDEX(TableDiv[[GASB]:[GASB]],_xlfn.AGGREGATE(15,3,(TableDiv[[Agency]:[Agency]]=$E307)/(TableDiv[[Agency]:[Agency]]=$E307)*(ROW(TableDiv[Agency])-ROW(TableDiv[[#Headers],[Agency]])),COLUMNS($F$7:M$7))))</f>
        <v>0</v>
      </c>
      <c r="N307" s="2223" cm="1">
        <f t="array" ref="N307">IF($D307&lt;COLUMNS($F$7:N$7),"",INDEX(TableDiv[[GASB]:[GASB]],_xlfn.AGGREGATE(15,3,(TableDiv[[Agency]:[Agency]]=$E307)/(TableDiv[[Agency]:[Agency]]=$E307)*(ROW(TableDiv[Agency])-ROW(TableDiv[[#Headers],[Agency]])),COLUMNS($F$7:N$7))))</f>
        <v>0</v>
      </c>
      <c r="O307" s="2223" cm="1">
        <f t="array" ref="O307">IF($D307&lt;COLUMNS($F$7:O$7),"",INDEX(TableDiv[[GASB]:[GASB]],_xlfn.AGGREGATE(15,3,(TableDiv[[Agency]:[Agency]]=$E307)/(TableDiv[[Agency]:[Agency]]=$E307)*(ROW(TableDiv[Agency])-ROW(TableDiv[[#Headers],[Agency]])),COLUMNS($F$7:O$7))))</f>
        <v>0</v>
      </c>
      <c r="P307" s="2223" cm="1">
        <f t="array" ref="P307">IF($D307&lt;COLUMNS($F$7:P$7),"",INDEX(TableDiv[[GASB]:[GASB]],_xlfn.AGGREGATE(15,3,(TableDiv[[Agency]:[Agency]]=$E307)/(TableDiv[[Agency]:[Agency]]=$E307)*(ROW(TableDiv[Agency])-ROW(TableDiv[[#Headers],[Agency]])),COLUMNS($F$7:P$7))))</f>
        <v>0</v>
      </c>
      <c r="Q307" s="2223" cm="1">
        <f t="array" ref="Q307">IF($D307&lt;COLUMNS($F$7:Q$7),"",INDEX(TableDiv[[GASB]:[GASB]],_xlfn.AGGREGATE(15,3,(TableDiv[[Agency]:[Agency]]=$E307)/(TableDiv[[Agency]:[Agency]]=$E307)*(ROW(TableDiv[Agency])-ROW(TableDiv[[#Headers],[Agency]])),COLUMNS($F$7:Q$7))))</f>
        <v>0</v>
      </c>
      <c r="R307" s="2223" cm="1">
        <f t="array" ref="R307">IF($D307&lt;COLUMNS($F$7:R$7),"",INDEX(TableDiv[[GASB]:[GASB]],_xlfn.AGGREGATE(15,3,(TableDiv[[Agency]:[Agency]]=$E307)/(TableDiv[[Agency]:[Agency]]=$E307)*(ROW(TableDiv[Agency])-ROW(TableDiv[[#Headers],[Agency]])),COLUMNS($F$7:R$7))))</f>
        <v>0</v>
      </c>
      <c r="S307" s="2223" cm="1">
        <f t="array" ref="S307">IF($D307&lt;COLUMNS($F$7:S$7),"",INDEX(TableDiv[[GASB]:[GASB]],_xlfn.AGGREGATE(15,3,(TableDiv[[Agency]:[Agency]]=$E307)/(TableDiv[[Agency]:[Agency]]=$E307)*(ROW(TableDiv[Agency])-ROW(TableDiv[[#Headers],[Agency]])),COLUMNS($F$7:S$7))))</f>
        <v>0</v>
      </c>
      <c r="T307" s="2223" cm="1">
        <f t="array" ref="T307">IF($D307&lt;COLUMNS($F$7:T$7),"",INDEX(TableDiv[[GASB]:[GASB]],_xlfn.AGGREGATE(15,3,(TableDiv[[Agency]:[Agency]]=$E307)/(TableDiv[[Agency]:[Agency]]=$E307)*(ROW(TableDiv[Agency])-ROW(TableDiv[[#Headers],[Agency]])),COLUMNS($F$7:T$7))))</f>
        <v>0</v>
      </c>
      <c r="U307" s="2223" cm="1">
        <f t="array" ref="U307">IF($D307&lt;COLUMNS($F$7:U$7),"",INDEX(TableDiv[[GASB]:[GASB]],_xlfn.AGGREGATE(15,3,(TableDiv[[Agency]:[Agency]]=$E307)/(TableDiv[[Agency]:[Agency]]=$E307)*(ROW(TableDiv[Agency])-ROW(TableDiv[[#Headers],[Agency]])),COLUMNS($F$7:U$7))))</f>
        <v>0</v>
      </c>
      <c r="V307" s="2223" cm="1">
        <f t="array" ref="V307">IF($D307&lt;COLUMNS($F$7:V$7),"",INDEX(TableDiv[[GASB]:[GASB]],_xlfn.AGGREGATE(15,3,(TableDiv[[Agency]:[Agency]]=$E307)/(TableDiv[[Agency]:[Agency]]=$E307)*(ROW(TableDiv[Agency])-ROW(TableDiv[[#Headers],[Agency]])),COLUMNS($F$7:V$7))))</f>
        <v>0</v>
      </c>
      <c r="W307" s="2223" cm="1">
        <f t="array" ref="W307">IF($D307&lt;COLUMNS($F$7:W$7),"",INDEX(TableDiv[[GASB]:[GASB]],_xlfn.AGGREGATE(15,3,(TableDiv[[Agency]:[Agency]]=$E307)/(TableDiv[[Agency]:[Agency]]=$E307)*(ROW(TableDiv[Agency])-ROW(TableDiv[[#Headers],[Agency]])),COLUMNS($F$7:W$7))))</f>
        <v>0</v>
      </c>
      <c r="X307" s="2223" cm="1">
        <f t="array" ref="X307">IF($D307&lt;COLUMNS($F$7:X$7),"",INDEX(TableDiv[[GASB]:[GASB]],_xlfn.AGGREGATE(15,3,(TableDiv[[Agency]:[Agency]]=$E307)/(TableDiv[[Agency]:[Agency]]=$E307)*(ROW(TableDiv[Agency])-ROW(TableDiv[[#Headers],[Agency]])),COLUMNS($F$7:X$7))))</f>
        <v>0</v>
      </c>
      <c r="Y307" s="2223" cm="1">
        <f t="array" ref="Y307">IF($D307&lt;COLUMNS($F$7:Y$7),"",INDEX(TableDiv[[GASB]:[GASB]],_xlfn.AGGREGATE(15,3,(TableDiv[[Agency]:[Agency]]=$E307)/(TableDiv[[Agency]:[Agency]]=$E307)*(ROW(TableDiv[Agency])-ROW(TableDiv[[#Headers],[Agency]])),COLUMNS($F$7:Y$7))))</f>
        <v>0</v>
      </c>
      <c r="Z307" s="2223" cm="1">
        <f t="array" ref="Z307">IF($D307&lt;COLUMNS($F$7:Z$7),"",INDEX(TableDiv[[GASB]:[GASB]],_xlfn.AGGREGATE(15,3,(TableDiv[[Agency]:[Agency]]=$E307)/(TableDiv[[Agency]:[Agency]]=$E307)*(ROW(TableDiv[Agency])-ROW(TableDiv[[#Headers],[Agency]])),COLUMNS($F$7:Z$7))))</f>
        <v>0</v>
      </c>
      <c r="AA307" s="2223" cm="1">
        <f t="array" ref="AA307">IF($D307&lt;COLUMNS($F$7:AA$7),"",INDEX(TableDiv[[GASB]:[GASB]],_xlfn.AGGREGATE(15,3,(TableDiv[[Agency]:[Agency]]=$E307)/(TableDiv[[Agency]:[Agency]]=$E307)*(ROW(TableDiv[Agency])-ROW(TableDiv[[#Headers],[Agency]])),COLUMNS($F$7:AA$7))))</f>
        <v>0</v>
      </c>
      <c r="AB307" s="2223" cm="1">
        <f t="array" ref="AB307">IF($D307&lt;COLUMNS($F$7:AB$7),"",INDEX(TableDiv[[GASB]:[GASB]],_xlfn.AGGREGATE(15,3,(TableDiv[[Agency]:[Agency]]=$E307)/(TableDiv[[Agency]:[Agency]]=$E307)*(ROW(TableDiv[Agency])-ROW(TableDiv[[#Headers],[Agency]])),COLUMNS($F$7:AB$7))))</f>
        <v>0</v>
      </c>
      <c r="AC307" s="2223" cm="1">
        <f t="array" ref="AC307">IF($D307&lt;COLUMNS($F$7:AC$7),"",INDEX(TableDiv[[GASB]:[GASB]],_xlfn.AGGREGATE(15,3,(TableDiv[[Agency]:[Agency]]=$E307)/(TableDiv[[Agency]:[Agency]]=$E307)*(ROW(TableDiv[Agency])-ROW(TableDiv[[#Headers],[Agency]])),COLUMNS($F$7:AC$7))))</f>
        <v>0</v>
      </c>
      <c r="AD307" s="2223" cm="1">
        <f t="array" ref="AD307">IF($D307&lt;COLUMNS($F$7:AD$7),"",INDEX(TableDiv[[GASB]:[GASB]],_xlfn.AGGREGATE(15,3,(TableDiv[[Agency]:[Agency]]=$E307)/(TableDiv[[Agency]:[Agency]]=$E307)*(ROW(TableDiv[Agency])-ROW(TableDiv[[#Headers],[Agency]])),COLUMNS($F$7:AD$7))))</f>
        <v>0</v>
      </c>
      <c r="AE307" s="2223" cm="1">
        <f t="array" ref="AE307">IF($D307&lt;COLUMNS($F$7:AE$7),"",INDEX(TableDiv[[GASB]:[GASB]],_xlfn.AGGREGATE(15,3,(TableDiv[[Agency]:[Agency]]=$E307)/(TableDiv[[Agency]:[Agency]]=$E307)*(ROW(TableDiv[Agency])-ROW(TableDiv[[#Headers],[Agency]])),COLUMNS($F$7:AE$7))))</f>
        <v>0</v>
      </c>
      <c r="AF307" s="2223" cm="1">
        <f t="array" ref="AF307">IF($D307&lt;COLUMNS($F$7:AF$7),"",INDEX(TableDiv[[GASB]:[GASB]],_xlfn.AGGREGATE(15,3,(TableDiv[[Agency]:[Agency]]=$E307)/(TableDiv[[Agency]:[Agency]]=$E307)*(ROW(TableDiv[Agency])-ROW(TableDiv[[#Headers],[Agency]])),COLUMNS($F$7:AF$7))))</f>
        <v>0</v>
      </c>
      <c r="AG307" s="2223" cm="1">
        <f t="array" ref="AG307">IF($D307&lt;COLUMNS($F$7:AG$7),"",INDEX(TableDiv[[GASB]:[GASB]],_xlfn.AGGREGATE(15,3,(TableDiv[[Agency]:[Agency]]=$E307)/(TableDiv[[Agency]:[Agency]]=$E307)*(ROW(TableDiv[Agency])-ROW(TableDiv[[#Headers],[Agency]])),COLUMNS($F$7:AG$7))))</f>
        <v>0</v>
      </c>
      <c r="AH307" s="2223" cm="1">
        <f t="array" ref="AH307">IF($D307&lt;COLUMNS($F$7:AH$7),"",INDEX(TableDiv[[GASB]:[GASB]],_xlfn.AGGREGATE(15,3,(TableDiv[[Agency]:[Agency]]=$E307)/(TableDiv[[Agency]:[Agency]]=$E307)*(ROW(TableDiv[Agency])-ROW(TableDiv[[#Headers],[Agency]])),COLUMNS($F$7:AH$7))))</f>
        <v>0</v>
      </c>
      <c r="AI307" s="2223" cm="1">
        <f t="array" ref="AI307">IF($D307&lt;COLUMNS($F$7:AI$7),"",INDEX(TableDiv[[GASB]:[GASB]],_xlfn.AGGREGATE(15,3,(TableDiv[[Agency]:[Agency]]=$E307)/(TableDiv[[Agency]:[Agency]]=$E307)*(ROW(TableDiv[Agency])-ROW(TableDiv[[#Headers],[Agency]])),COLUMNS($F$7:AI$7))))</f>
        <v>0</v>
      </c>
      <c r="AJ307" s="2223" cm="1">
        <f t="array" ref="AJ307">IF($D307&lt;COLUMNS($F$7:AJ$7),"",INDEX(TableDiv[[GASB]:[GASB]],_xlfn.AGGREGATE(15,3,(TableDiv[[Agency]:[Agency]]=$E307)/(TableDiv[[Agency]:[Agency]]=$E307)*(ROW(TableDiv[Agency])-ROW(TableDiv[[#Headers],[Agency]])),COLUMNS($F$7:AJ$7))))</f>
        <v>0</v>
      </c>
      <c r="AK307" s="2223" t="str" cm="1">
        <f t="array" ref="AK307">IF($D307&lt;COLUMNS($F$7:AK$7),"",INDEX(TableDiv[[GASB]:[GASB]],_xlfn.AGGREGATE(15,3,(TableDiv[[Agency]:[Agency]]=$E307)/(TableDiv[[Agency]:[Agency]]=$E307)*(ROW(TableDiv[Agency])-ROW(TableDiv[[#Headers],[Agency]])),COLUMNS($F$7:AK$7))))</f>
        <v/>
      </c>
      <c r="AL307" s="2223" t="str" cm="1">
        <f t="array" ref="AL307">IF($D307&lt;COLUMNS($F$7:AL$7),"",INDEX(TableDiv[[GASB]:[GASB]],_xlfn.AGGREGATE(15,3,(TableDiv[[Agency]:[Agency]]=$E307)/(TableDiv[[Agency]:[Agency]]=$E307)*(ROW(TableDiv[Agency])-ROW(TableDiv[[#Headers],[Agency]])),COLUMNS($F$7:AL$7))))</f>
        <v/>
      </c>
      <c r="AM307" s="2223" t="str" cm="1">
        <f t="array" ref="AM307">IF($D307&lt;COLUMNS($F$7:AM$7),"",INDEX(TableDiv[[GASB]:[GASB]],_xlfn.AGGREGATE(15,3,(TableDiv[[Agency]:[Agency]]=$E307)/(TableDiv[[Agency]:[Agency]]=$E307)*(ROW(TableDiv[Agency])-ROW(TableDiv[[#Headers],[Agency]])),COLUMNS($F$7:AM$7))))</f>
        <v/>
      </c>
      <c r="AN307" s="2223"/>
      <c r="AO307" s="2223"/>
      <c r="AP307" s="2223"/>
      <c r="AQ307" s="2223"/>
      <c r="AR307" s="2223"/>
      <c r="AS307" s="2223"/>
    </row>
    <row r="308" spans="1:45" ht="15" x14ac:dyDescent="0.25">
      <c r="A308" s="2219" t="s">
        <v>5600</v>
      </c>
      <c r="B308" s="2219" t="s">
        <v>6358</v>
      </c>
      <c r="C308" s="2223"/>
      <c r="D308" s="2223">
        <f>COUNTIF(TableDiv[Agency],E308)</f>
        <v>31</v>
      </c>
      <c r="E308" s="2230" t="str" cm="1">
        <f t="array" ref="E308">IFERROR(INDEX(TableDiv[Agency],MATCH(0,INDEX(COUNTIF($E$7:E307,TableDiv[Agency]),),0)),"")</f>
        <v/>
      </c>
      <c r="F308" s="2223" cm="1">
        <f t="array" ref="F308">IF($D308&lt;COLUMNS($F$7:F$7),"",INDEX(TableDiv[[GASB]:[GASB]],_xlfn.AGGREGATE(15,3,(TableDiv[[Agency]:[Agency]]=$E308)/(TableDiv[[Agency]:[Agency]]=$E308)*(ROW(TableDiv[Agency])-ROW(TableDiv[[#Headers],[Agency]])),COLUMNS($F$7:F$7))))</f>
        <v>0</v>
      </c>
      <c r="G308" s="2223" cm="1">
        <f t="array" ref="G308">IF($D308&lt;COLUMNS($F$7:G$7),"",INDEX(TableDiv[[GASB]:[GASB]],_xlfn.AGGREGATE(15,3,(TableDiv[[Agency]:[Agency]]=$E308)/(TableDiv[[Agency]:[Agency]]=$E308)*(ROW(TableDiv[Agency])-ROW(TableDiv[[#Headers],[Agency]])),COLUMNS($F$7:G$7))))</f>
        <v>0</v>
      </c>
      <c r="H308" s="2223" cm="1">
        <f t="array" ref="H308">IF($D308&lt;COLUMNS($F$7:H$7),"",INDEX(TableDiv[[GASB]:[GASB]],_xlfn.AGGREGATE(15,3,(TableDiv[[Agency]:[Agency]]=$E308)/(TableDiv[[Agency]:[Agency]]=$E308)*(ROW(TableDiv[Agency])-ROW(TableDiv[[#Headers],[Agency]])),COLUMNS($F$7:H$7))))</f>
        <v>0</v>
      </c>
      <c r="I308" s="2223" cm="1">
        <f t="array" ref="I308">IF($D308&lt;COLUMNS($F$7:I$7),"",INDEX(TableDiv[[GASB]:[GASB]],_xlfn.AGGREGATE(15,3,(TableDiv[[Agency]:[Agency]]=$E308)/(TableDiv[[Agency]:[Agency]]=$E308)*(ROW(TableDiv[Agency])-ROW(TableDiv[[#Headers],[Agency]])),COLUMNS($F$7:I$7))))</f>
        <v>0</v>
      </c>
      <c r="J308" s="2223" cm="1">
        <f t="array" ref="J308">IF($D308&lt;COLUMNS($F$7:J$7),"",INDEX(TableDiv[[GASB]:[GASB]],_xlfn.AGGREGATE(15,3,(TableDiv[[Agency]:[Agency]]=$E308)/(TableDiv[[Agency]:[Agency]]=$E308)*(ROW(TableDiv[Agency])-ROW(TableDiv[[#Headers],[Agency]])),COLUMNS($F$7:J$7))))</f>
        <v>0</v>
      </c>
      <c r="K308" s="2223" cm="1">
        <f t="array" ref="K308">IF($D308&lt;COLUMNS($F$7:K$7),"",INDEX(TableDiv[[GASB]:[GASB]],_xlfn.AGGREGATE(15,3,(TableDiv[[Agency]:[Agency]]=$E308)/(TableDiv[[Agency]:[Agency]]=$E308)*(ROW(TableDiv[Agency])-ROW(TableDiv[[#Headers],[Agency]])),COLUMNS($F$7:K$7))))</f>
        <v>0</v>
      </c>
      <c r="L308" s="2223" cm="1">
        <f t="array" ref="L308">IF($D308&lt;COLUMNS($F$7:L$7),"",INDEX(TableDiv[[GASB]:[GASB]],_xlfn.AGGREGATE(15,3,(TableDiv[[Agency]:[Agency]]=$E308)/(TableDiv[[Agency]:[Agency]]=$E308)*(ROW(TableDiv[Agency])-ROW(TableDiv[[#Headers],[Agency]])),COLUMNS($F$7:L$7))))</f>
        <v>0</v>
      </c>
      <c r="M308" s="2223" cm="1">
        <f t="array" ref="M308">IF($D308&lt;COLUMNS($F$7:M$7),"",INDEX(TableDiv[[GASB]:[GASB]],_xlfn.AGGREGATE(15,3,(TableDiv[[Agency]:[Agency]]=$E308)/(TableDiv[[Agency]:[Agency]]=$E308)*(ROW(TableDiv[Agency])-ROW(TableDiv[[#Headers],[Agency]])),COLUMNS($F$7:M$7))))</f>
        <v>0</v>
      </c>
      <c r="N308" s="2223" cm="1">
        <f t="array" ref="N308">IF($D308&lt;COLUMNS($F$7:N$7),"",INDEX(TableDiv[[GASB]:[GASB]],_xlfn.AGGREGATE(15,3,(TableDiv[[Agency]:[Agency]]=$E308)/(TableDiv[[Agency]:[Agency]]=$E308)*(ROW(TableDiv[Agency])-ROW(TableDiv[[#Headers],[Agency]])),COLUMNS($F$7:N$7))))</f>
        <v>0</v>
      </c>
      <c r="O308" s="2223" cm="1">
        <f t="array" ref="O308">IF($D308&lt;COLUMNS($F$7:O$7),"",INDEX(TableDiv[[GASB]:[GASB]],_xlfn.AGGREGATE(15,3,(TableDiv[[Agency]:[Agency]]=$E308)/(TableDiv[[Agency]:[Agency]]=$E308)*(ROW(TableDiv[Agency])-ROW(TableDiv[[#Headers],[Agency]])),COLUMNS($F$7:O$7))))</f>
        <v>0</v>
      </c>
      <c r="P308" s="2223" cm="1">
        <f t="array" ref="P308">IF($D308&lt;COLUMNS($F$7:P$7),"",INDEX(TableDiv[[GASB]:[GASB]],_xlfn.AGGREGATE(15,3,(TableDiv[[Agency]:[Agency]]=$E308)/(TableDiv[[Agency]:[Agency]]=$E308)*(ROW(TableDiv[Agency])-ROW(TableDiv[[#Headers],[Agency]])),COLUMNS($F$7:P$7))))</f>
        <v>0</v>
      </c>
      <c r="Q308" s="2223" cm="1">
        <f t="array" ref="Q308">IF($D308&lt;COLUMNS($F$7:Q$7),"",INDEX(TableDiv[[GASB]:[GASB]],_xlfn.AGGREGATE(15,3,(TableDiv[[Agency]:[Agency]]=$E308)/(TableDiv[[Agency]:[Agency]]=$E308)*(ROW(TableDiv[Agency])-ROW(TableDiv[[#Headers],[Agency]])),COLUMNS($F$7:Q$7))))</f>
        <v>0</v>
      </c>
      <c r="R308" s="2223" cm="1">
        <f t="array" ref="R308">IF($D308&lt;COLUMNS($F$7:R$7),"",INDEX(TableDiv[[GASB]:[GASB]],_xlfn.AGGREGATE(15,3,(TableDiv[[Agency]:[Agency]]=$E308)/(TableDiv[[Agency]:[Agency]]=$E308)*(ROW(TableDiv[Agency])-ROW(TableDiv[[#Headers],[Agency]])),COLUMNS($F$7:R$7))))</f>
        <v>0</v>
      </c>
      <c r="S308" s="2223" cm="1">
        <f t="array" ref="S308">IF($D308&lt;COLUMNS($F$7:S$7),"",INDEX(TableDiv[[GASB]:[GASB]],_xlfn.AGGREGATE(15,3,(TableDiv[[Agency]:[Agency]]=$E308)/(TableDiv[[Agency]:[Agency]]=$E308)*(ROW(TableDiv[Agency])-ROW(TableDiv[[#Headers],[Agency]])),COLUMNS($F$7:S$7))))</f>
        <v>0</v>
      </c>
      <c r="T308" s="2223" cm="1">
        <f t="array" ref="T308">IF($D308&lt;COLUMNS($F$7:T$7),"",INDEX(TableDiv[[GASB]:[GASB]],_xlfn.AGGREGATE(15,3,(TableDiv[[Agency]:[Agency]]=$E308)/(TableDiv[[Agency]:[Agency]]=$E308)*(ROW(TableDiv[Agency])-ROW(TableDiv[[#Headers],[Agency]])),COLUMNS($F$7:T$7))))</f>
        <v>0</v>
      </c>
      <c r="U308" s="2223" cm="1">
        <f t="array" ref="U308">IF($D308&lt;COLUMNS($F$7:U$7),"",INDEX(TableDiv[[GASB]:[GASB]],_xlfn.AGGREGATE(15,3,(TableDiv[[Agency]:[Agency]]=$E308)/(TableDiv[[Agency]:[Agency]]=$E308)*(ROW(TableDiv[Agency])-ROW(TableDiv[[#Headers],[Agency]])),COLUMNS($F$7:U$7))))</f>
        <v>0</v>
      </c>
      <c r="V308" s="2223" cm="1">
        <f t="array" ref="V308">IF($D308&lt;COLUMNS($F$7:V$7),"",INDEX(TableDiv[[GASB]:[GASB]],_xlfn.AGGREGATE(15,3,(TableDiv[[Agency]:[Agency]]=$E308)/(TableDiv[[Agency]:[Agency]]=$E308)*(ROW(TableDiv[Agency])-ROW(TableDiv[[#Headers],[Agency]])),COLUMNS($F$7:V$7))))</f>
        <v>0</v>
      </c>
      <c r="W308" s="2223" cm="1">
        <f t="array" ref="W308">IF($D308&lt;COLUMNS($F$7:W$7),"",INDEX(TableDiv[[GASB]:[GASB]],_xlfn.AGGREGATE(15,3,(TableDiv[[Agency]:[Agency]]=$E308)/(TableDiv[[Agency]:[Agency]]=$E308)*(ROW(TableDiv[Agency])-ROW(TableDiv[[#Headers],[Agency]])),COLUMNS($F$7:W$7))))</f>
        <v>0</v>
      </c>
      <c r="X308" s="2223" cm="1">
        <f t="array" ref="X308">IF($D308&lt;COLUMNS($F$7:X$7),"",INDEX(TableDiv[[GASB]:[GASB]],_xlfn.AGGREGATE(15,3,(TableDiv[[Agency]:[Agency]]=$E308)/(TableDiv[[Agency]:[Agency]]=$E308)*(ROW(TableDiv[Agency])-ROW(TableDiv[[#Headers],[Agency]])),COLUMNS($F$7:X$7))))</f>
        <v>0</v>
      </c>
      <c r="Y308" s="2223" cm="1">
        <f t="array" ref="Y308">IF($D308&lt;COLUMNS($F$7:Y$7),"",INDEX(TableDiv[[GASB]:[GASB]],_xlfn.AGGREGATE(15,3,(TableDiv[[Agency]:[Agency]]=$E308)/(TableDiv[[Agency]:[Agency]]=$E308)*(ROW(TableDiv[Agency])-ROW(TableDiv[[#Headers],[Agency]])),COLUMNS($F$7:Y$7))))</f>
        <v>0</v>
      </c>
      <c r="Z308" s="2223" cm="1">
        <f t="array" ref="Z308">IF($D308&lt;COLUMNS($F$7:Z$7),"",INDEX(TableDiv[[GASB]:[GASB]],_xlfn.AGGREGATE(15,3,(TableDiv[[Agency]:[Agency]]=$E308)/(TableDiv[[Agency]:[Agency]]=$E308)*(ROW(TableDiv[Agency])-ROW(TableDiv[[#Headers],[Agency]])),COLUMNS($F$7:Z$7))))</f>
        <v>0</v>
      </c>
      <c r="AA308" s="2223" cm="1">
        <f t="array" ref="AA308">IF($D308&lt;COLUMNS($F$7:AA$7),"",INDEX(TableDiv[[GASB]:[GASB]],_xlfn.AGGREGATE(15,3,(TableDiv[[Agency]:[Agency]]=$E308)/(TableDiv[[Agency]:[Agency]]=$E308)*(ROW(TableDiv[Agency])-ROW(TableDiv[[#Headers],[Agency]])),COLUMNS($F$7:AA$7))))</f>
        <v>0</v>
      </c>
      <c r="AB308" s="2223" cm="1">
        <f t="array" ref="AB308">IF($D308&lt;COLUMNS($F$7:AB$7),"",INDEX(TableDiv[[GASB]:[GASB]],_xlfn.AGGREGATE(15,3,(TableDiv[[Agency]:[Agency]]=$E308)/(TableDiv[[Agency]:[Agency]]=$E308)*(ROW(TableDiv[Agency])-ROW(TableDiv[[#Headers],[Agency]])),COLUMNS($F$7:AB$7))))</f>
        <v>0</v>
      </c>
      <c r="AC308" s="2223" cm="1">
        <f t="array" ref="AC308">IF($D308&lt;COLUMNS($F$7:AC$7),"",INDEX(TableDiv[[GASB]:[GASB]],_xlfn.AGGREGATE(15,3,(TableDiv[[Agency]:[Agency]]=$E308)/(TableDiv[[Agency]:[Agency]]=$E308)*(ROW(TableDiv[Agency])-ROW(TableDiv[[#Headers],[Agency]])),COLUMNS($F$7:AC$7))))</f>
        <v>0</v>
      </c>
      <c r="AD308" s="2223" cm="1">
        <f t="array" ref="AD308">IF($D308&lt;COLUMNS($F$7:AD$7),"",INDEX(TableDiv[[GASB]:[GASB]],_xlfn.AGGREGATE(15,3,(TableDiv[[Agency]:[Agency]]=$E308)/(TableDiv[[Agency]:[Agency]]=$E308)*(ROW(TableDiv[Agency])-ROW(TableDiv[[#Headers],[Agency]])),COLUMNS($F$7:AD$7))))</f>
        <v>0</v>
      </c>
      <c r="AE308" s="2223" cm="1">
        <f t="array" ref="AE308">IF($D308&lt;COLUMNS($F$7:AE$7),"",INDEX(TableDiv[[GASB]:[GASB]],_xlfn.AGGREGATE(15,3,(TableDiv[[Agency]:[Agency]]=$E308)/(TableDiv[[Agency]:[Agency]]=$E308)*(ROW(TableDiv[Agency])-ROW(TableDiv[[#Headers],[Agency]])),COLUMNS($F$7:AE$7))))</f>
        <v>0</v>
      </c>
      <c r="AF308" s="2223" cm="1">
        <f t="array" ref="AF308">IF($D308&lt;COLUMNS($F$7:AF$7),"",INDEX(TableDiv[[GASB]:[GASB]],_xlfn.AGGREGATE(15,3,(TableDiv[[Agency]:[Agency]]=$E308)/(TableDiv[[Agency]:[Agency]]=$E308)*(ROW(TableDiv[Agency])-ROW(TableDiv[[#Headers],[Agency]])),COLUMNS($F$7:AF$7))))</f>
        <v>0</v>
      </c>
      <c r="AG308" s="2223" cm="1">
        <f t="array" ref="AG308">IF($D308&lt;COLUMNS($F$7:AG$7),"",INDEX(TableDiv[[GASB]:[GASB]],_xlfn.AGGREGATE(15,3,(TableDiv[[Agency]:[Agency]]=$E308)/(TableDiv[[Agency]:[Agency]]=$E308)*(ROW(TableDiv[Agency])-ROW(TableDiv[[#Headers],[Agency]])),COLUMNS($F$7:AG$7))))</f>
        <v>0</v>
      </c>
      <c r="AH308" s="2223" cm="1">
        <f t="array" ref="AH308">IF($D308&lt;COLUMNS($F$7:AH$7),"",INDEX(TableDiv[[GASB]:[GASB]],_xlfn.AGGREGATE(15,3,(TableDiv[[Agency]:[Agency]]=$E308)/(TableDiv[[Agency]:[Agency]]=$E308)*(ROW(TableDiv[Agency])-ROW(TableDiv[[#Headers],[Agency]])),COLUMNS($F$7:AH$7))))</f>
        <v>0</v>
      </c>
      <c r="AI308" s="2223" cm="1">
        <f t="array" ref="AI308">IF($D308&lt;COLUMNS($F$7:AI$7),"",INDEX(TableDiv[[GASB]:[GASB]],_xlfn.AGGREGATE(15,3,(TableDiv[[Agency]:[Agency]]=$E308)/(TableDiv[[Agency]:[Agency]]=$E308)*(ROW(TableDiv[Agency])-ROW(TableDiv[[#Headers],[Agency]])),COLUMNS($F$7:AI$7))))</f>
        <v>0</v>
      </c>
      <c r="AJ308" s="2223" cm="1">
        <f t="array" ref="AJ308">IF($D308&lt;COLUMNS($F$7:AJ$7),"",INDEX(TableDiv[[GASB]:[GASB]],_xlfn.AGGREGATE(15,3,(TableDiv[[Agency]:[Agency]]=$E308)/(TableDiv[[Agency]:[Agency]]=$E308)*(ROW(TableDiv[Agency])-ROW(TableDiv[[#Headers],[Agency]])),COLUMNS($F$7:AJ$7))))</f>
        <v>0</v>
      </c>
      <c r="AK308" s="2223" t="str" cm="1">
        <f t="array" ref="AK308">IF($D308&lt;COLUMNS($F$7:AK$7),"",INDEX(TableDiv[[GASB]:[GASB]],_xlfn.AGGREGATE(15,3,(TableDiv[[Agency]:[Agency]]=$E308)/(TableDiv[[Agency]:[Agency]]=$E308)*(ROW(TableDiv[Agency])-ROW(TableDiv[[#Headers],[Agency]])),COLUMNS($F$7:AK$7))))</f>
        <v/>
      </c>
      <c r="AL308" s="2223" t="str" cm="1">
        <f t="array" ref="AL308">IF($D308&lt;COLUMNS($F$7:AL$7),"",INDEX(TableDiv[[GASB]:[GASB]],_xlfn.AGGREGATE(15,3,(TableDiv[[Agency]:[Agency]]=$E308)/(TableDiv[[Agency]:[Agency]]=$E308)*(ROW(TableDiv[Agency])-ROW(TableDiv[[#Headers],[Agency]])),COLUMNS($F$7:AL$7))))</f>
        <v/>
      </c>
      <c r="AM308" s="2223" t="str" cm="1">
        <f t="array" ref="AM308">IF($D308&lt;COLUMNS($F$7:AM$7),"",INDEX(TableDiv[[GASB]:[GASB]],_xlfn.AGGREGATE(15,3,(TableDiv[[Agency]:[Agency]]=$E308)/(TableDiv[[Agency]:[Agency]]=$E308)*(ROW(TableDiv[Agency])-ROW(TableDiv[[#Headers],[Agency]])),COLUMNS($F$7:AM$7))))</f>
        <v/>
      </c>
      <c r="AN308" s="2223"/>
      <c r="AO308" s="2223"/>
      <c r="AP308" s="2223"/>
      <c r="AQ308" s="2223"/>
      <c r="AR308" s="2223"/>
      <c r="AS308" s="2223"/>
    </row>
    <row r="309" spans="1:45" ht="15" x14ac:dyDescent="0.25">
      <c r="A309" s="2219" t="s">
        <v>5121</v>
      </c>
      <c r="B309" s="2219" t="s">
        <v>6357</v>
      </c>
      <c r="C309" s="2223"/>
      <c r="D309" s="2223">
        <f>COUNTIF(TableDiv[Agency],E309)</f>
        <v>31</v>
      </c>
      <c r="E309" s="2230" t="str" cm="1">
        <f t="array" ref="E309">IFERROR(INDEX(TableDiv[Agency],MATCH(0,INDEX(COUNTIF($E$7:E308,TableDiv[Agency]),),0)),"")</f>
        <v/>
      </c>
      <c r="F309" s="2223" cm="1">
        <f t="array" ref="F309">IF($D309&lt;COLUMNS($F$7:F$7),"",INDEX(TableDiv[[GASB]:[GASB]],_xlfn.AGGREGATE(15,3,(TableDiv[[Agency]:[Agency]]=$E309)/(TableDiv[[Agency]:[Agency]]=$E309)*(ROW(TableDiv[Agency])-ROW(TableDiv[[#Headers],[Agency]])),COLUMNS($F$7:F$7))))</f>
        <v>0</v>
      </c>
      <c r="G309" s="2223" cm="1">
        <f t="array" ref="G309">IF($D309&lt;COLUMNS($F$7:G$7),"",INDEX(TableDiv[[GASB]:[GASB]],_xlfn.AGGREGATE(15,3,(TableDiv[[Agency]:[Agency]]=$E309)/(TableDiv[[Agency]:[Agency]]=$E309)*(ROW(TableDiv[Agency])-ROW(TableDiv[[#Headers],[Agency]])),COLUMNS($F$7:G$7))))</f>
        <v>0</v>
      </c>
      <c r="H309" s="2223" cm="1">
        <f t="array" ref="H309">IF($D309&lt;COLUMNS($F$7:H$7),"",INDEX(TableDiv[[GASB]:[GASB]],_xlfn.AGGREGATE(15,3,(TableDiv[[Agency]:[Agency]]=$E309)/(TableDiv[[Agency]:[Agency]]=$E309)*(ROW(TableDiv[Agency])-ROW(TableDiv[[#Headers],[Agency]])),COLUMNS($F$7:H$7))))</f>
        <v>0</v>
      </c>
      <c r="I309" s="2223" cm="1">
        <f t="array" ref="I309">IF($D309&lt;COLUMNS($F$7:I$7),"",INDEX(TableDiv[[GASB]:[GASB]],_xlfn.AGGREGATE(15,3,(TableDiv[[Agency]:[Agency]]=$E309)/(TableDiv[[Agency]:[Agency]]=$E309)*(ROW(TableDiv[Agency])-ROW(TableDiv[[#Headers],[Agency]])),COLUMNS($F$7:I$7))))</f>
        <v>0</v>
      </c>
      <c r="J309" s="2223" cm="1">
        <f t="array" ref="J309">IF($D309&lt;COLUMNS($F$7:J$7),"",INDEX(TableDiv[[GASB]:[GASB]],_xlfn.AGGREGATE(15,3,(TableDiv[[Agency]:[Agency]]=$E309)/(TableDiv[[Agency]:[Agency]]=$E309)*(ROW(TableDiv[Agency])-ROW(TableDiv[[#Headers],[Agency]])),COLUMNS($F$7:J$7))))</f>
        <v>0</v>
      </c>
      <c r="K309" s="2223" cm="1">
        <f t="array" ref="K309">IF($D309&lt;COLUMNS($F$7:K$7),"",INDEX(TableDiv[[GASB]:[GASB]],_xlfn.AGGREGATE(15,3,(TableDiv[[Agency]:[Agency]]=$E309)/(TableDiv[[Agency]:[Agency]]=$E309)*(ROW(TableDiv[Agency])-ROW(TableDiv[[#Headers],[Agency]])),COLUMNS($F$7:K$7))))</f>
        <v>0</v>
      </c>
      <c r="L309" s="2223" cm="1">
        <f t="array" ref="L309">IF($D309&lt;COLUMNS($F$7:L$7),"",INDEX(TableDiv[[GASB]:[GASB]],_xlfn.AGGREGATE(15,3,(TableDiv[[Agency]:[Agency]]=$E309)/(TableDiv[[Agency]:[Agency]]=$E309)*(ROW(TableDiv[Agency])-ROW(TableDiv[[#Headers],[Agency]])),COLUMNS($F$7:L$7))))</f>
        <v>0</v>
      </c>
      <c r="M309" s="2223" cm="1">
        <f t="array" ref="M309">IF($D309&lt;COLUMNS($F$7:M$7),"",INDEX(TableDiv[[GASB]:[GASB]],_xlfn.AGGREGATE(15,3,(TableDiv[[Agency]:[Agency]]=$E309)/(TableDiv[[Agency]:[Agency]]=$E309)*(ROW(TableDiv[Agency])-ROW(TableDiv[[#Headers],[Agency]])),COLUMNS($F$7:M$7))))</f>
        <v>0</v>
      </c>
      <c r="N309" s="2223" cm="1">
        <f t="array" ref="N309">IF($D309&lt;COLUMNS($F$7:N$7),"",INDEX(TableDiv[[GASB]:[GASB]],_xlfn.AGGREGATE(15,3,(TableDiv[[Agency]:[Agency]]=$E309)/(TableDiv[[Agency]:[Agency]]=$E309)*(ROW(TableDiv[Agency])-ROW(TableDiv[[#Headers],[Agency]])),COLUMNS($F$7:N$7))))</f>
        <v>0</v>
      </c>
      <c r="O309" s="2223" cm="1">
        <f t="array" ref="O309">IF($D309&lt;COLUMNS($F$7:O$7),"",INDEX(TableDiv[[GASB]:[GASB]],_xlfn.AGGREGATE(15,3,(TableDiv[[Agency]:[Agency]]=$E309)/(TableDiv[[Agency]:[Agency]]=$E309)*(ROW(TableDiv[Agency])-ROW(TableDiv[[#Headers],[Agency]])),COLUMNS($F$7:O$7))))</f>
        <v>0</v>
      </c>
      <c r="P309" s="2223" cm="1">
        <f t="array" ref="P309">IF($D309&lt;COLUMNS($F$7:P$7),"",INDEX(TableDiv[[GASB]:[GASB]],_xlfn.AGGREGATE(15,3,(TableDiv[[Agency]:[Agency]]=$E309)/(TableDiv[[Agency]:[Agency]]=$E309)*(ROW(TableDiv[Agency])-ROW(TableDiv[[#Headers],[Agency]])),COLUMNS($F$7:P$7))))</f>
        <v>0</v>
      </c>
      <c r="Q309" s="2223" cm="1">
        <f t="array" ref="Q309">IF($D309&lt;COLUMNS($F$7:Q$7),"",INDEX(TableDiv[[GASB]:[GASB]],_xlfn.AGGREGATE(15,3,(TableDiv[[Agency]:[Agency]]=$E309)/(TableDiv[[Agency]:[Agency]]=$E309)*(ROW(TableDiv[Agency])-ROW(TableDiv[[#Headers],[Agency]])),COLUMNS($F$7:Q$7))))</f>
        <v>0</v>
      </c>
      <c r="R309" s="2223" cm="1">
        <f t="array" ref="R309">IF($D309&lt;COLUMNS($F$7:R$7),"",INDEX(TableDiv[[GASB]:[GASB]],_xlfn.AGGREGATE(15,3,(TableDiv[[Agency]:[Agency]]=$E309)/(TableDiv[[Agency]:[Agency]]=$E309)*(ROW(TableDiv[Agency])-ROW(TableDiv[[#Headers],[Agency]])),COLUMNS($F$7:R$7))))</f>
        <v>0</v>
      </c>
      <c r="S309" s="2223" cm="1">
        <f t="array" ref="S309">IF($D309&lt;COLUMNS($F$7:S$7),"",INDEX(TableDiv[[GASB]:[GASB]],_xlfn.AGGREGATE(15,3,(TableDiv[[Agency]:[Agency]]=$E309)/(TableDiv[[Agency]:[Agency]]=$E309)*(ROW(TableDiv[Agency])-ROW(TableDiv[[#Headers],[Agency]])),COLUMNS($F$7:S$7))))</f>
        <v>0</v>
      </c>
      <c r="T309" s="2223" cm="1">
        <f t="array" ref="T309">IF($D309&lt;COLUMNS($F$7:T$7),"",INDEX(TableDiv[[GASB]:[GASB]],_xlfn.AGGREGATE(15,3,(TableDiv[[Agency]:[Agency]]=$E309)/(TableDiv[[Agency]:[Agency]]=$E309)*(ROW(TableDiv[Agency])-ROW(TableDiv[[#Headers],[Agency]])),COLUMNS($F$7:T$7))))</f>
        <v>0</v>
      </c>
      <c r="U309" s="2223" cm="1">
        <f t="array" ref="U309">IF($D309&lt;COLUMNS($F$7:U$7),"",INDEX(TableDiv[[GASB]:[GASB]],_xlfn.AGGREGATE(15,3,(TableDiv[[Agency]:[Agency]]=$E309)/(TableDiv[[Agency]:[Agency]]=$E309)*(ROW(TableDiv[Agency])-ROW(TableDiv[[#Headers],[Agency]])),COLUMNS($F$7:U$7))))</f>
        <v>0</v>
      </c>
      <c r="V309" s="2223" cm="1">
        <f t="array" ref="V309">IF($D309&lt;COLUMNS($F$7:V$7),"",INDEX(TableDiv[[GASB]:[GASB]],_xlfn.AGGREGATE(15,3,(TableDiv[[Agency]:[Agency]]=$E309)/(TableDiv[[Agency]:[Agency]]=$E309)*(ROW(TableDiv[Agency])-ROW(TableDiv[[#Headers],[Agency]])),COLUMNS($F$7:V$7))))</f>
        <v>0</v>
      </c>
      <c r="W309" s="2223" cm="1">
        <f t="array" ref="W309">IF($D309&lt;COLUMNS($F$7:W$7),"",INDEX(TableDiv[[GASB]:[GASB]],_xlfn.AGGREGATE(15,3,(TableDiv[[Agency]:[Agency]]=$E309)/(TableDiv[[Agency]:[Agency]]=$E309)*(ROW(TableDiv[Agency])-ROW(TableDiv[[#Headers],[Agency]])),COLUMNS($F$7:W$7))))</f>
        <v>0</v>
      </c>
      <c r="X309" s="2223" cm="1">
        <f t="array" ref="X309">IF($D309&lt;COLUMNS($F$7:X$7),"",INDEX(TableDiv[[GASB]:[GASB]],_xlfn.AGGREGATE(15,3,(TableDiv[[Agency]:[Agency]]=$E309)/(TableDiv[[Agency]:[Agency]]=$E309)*(ROW(TableDiv[Agency])-ROW(TableDiv[[#Headers],[Agency]])),COLUMNS($F$7:X$7))))</f>
        <v>0</v>
      </c>
      <c r="Y309" s="2223" cm="1">
        <f t="array" ref="Y309">IF($D309&lt;COLUMNS($F$7:Y$7),"",INDEX(TableDiv[[GASB]:[GASB]],_xlfn.AGGREGATE(15,3,(TableDiv[[Agency]:[Agency]]=$E309)/(TableDiv[[Agency]:[Agency]]=$E309)*(ROW(TableDiv[Agency])-ROW(TableDiv[[#Headers],[Agency]])),COLUMNS($F$7:Y$7))))</f>
        <v>0</v>
      </c>
      <c r="Z309" s="2223" cm="1">
        <f t="array" ref="Z309">IF($D309&lt;COLUMNS($F$7:Z$7),"",INDEX(TableDiv[[GASB]:[GASB]],_xlfn.AGGREGATE(15,3,(TableDiv[[Agency]:[Agency]]=$E309)/(TableDiv[[Agency]:[Agency]]=$E309)*(ROW(TableDiv[Agency])-ROW(TableDiv[[#Headers],[Agency]])),COLUMNS($F$7:Z$7))))</f>
        <v>0</v>
      </c>
      <c r="AA309" s="2223" cm="1">
        <f t="array" ref="AA309">IF($D309&lt;COLUMNS($F$7:AA$7),"",INDEX(TableDiv[[GASB]:[GASB]],_xlfn.AGGREGATE(15,3,(TableDiv[[Agency]:[Agency]]=$E309)/(TableDiv[[Agency]:[Agency]]=$E309)*(ROW(TableDiv[Agency])-ROW(TableDiv[[#Headers],[Agency]])),COLUMNS($F$7:AA$7))))</f>
        <v>0</v>
      </c>
      <c r="AB309" s="2223" cm="1">
        <f t="array" ref="AB309">IF($D309&lt;COLUMNS($F$7:AB$7),"",INDEX(TableDiv[[GASB]:[GASB]],_xlfn.AGGREGATE(15,3,(TableDiv[[Agency]:[Agency]]=$E309)/(TableDiv[[Agency]:[Agency]]=$E309)*(ROW(TableDiv[Agency])-ROW(TableDiv[[#Headers],[Agency]])),COLUMNS($F$7:AB$7))))</f>
        <v>0</v>
      </c>
      <c r="AC309" s="2223" cm="1">
        <f t="array" ref="AC309">IF($D309&lt;COLUMNS($F$7:AC$7),"",INDEX(TableDiv[[GASB]:[GASB]],_xlfn.AGGREGATE(15,3,(TableDiv[[Agency]:[Agency]]=$E309)/(TableDiv[[Agency]:[Agency]]=$E309)*(ROW(TableDiv[Agency])-ROW(TableDiv[[#Headers],[Agency]])),COLUMNS($F$7:AC$7))))</f>
        <v>0</v>
      </c>
      <c r="AD309" s="2223" cm="1">
        <f t="array" ref="AD309">IF($D309&lt;COLUMNS($F$7:AD$7),"",INDEX(TableDiv[[GASB]:[GASB]],_xlfn.AGGREGATE(15,3,(TableDiv[[Agency]:[Agency]]=$E309)/(TableDiv[[Agency]:[Agency]]=$E309)*(ROW(TableDiv[Agency])-ROW(TableDiv[[#Headers],[Agency]])),COLUMNS($F$7:AD$7))))</f>
        <v>0</v>
      </c>
      <c r="AE309" s="2223" cm="1">
        <f t="array" ref="AE309">IF($D309&lt;COLUMNS($F$7:AE$7),"",INDEX(TableDiv[[GASB]:[GASB]],_xlfn.AGGREGATE(15,3,(TableDiv[[Agency]:[Agency]]=$E309)/(TableDiv[[Agency]:[Agency]]=$E309)*(ROW(TableDiv[Agency])-ROW(TableDiv[[#Headers],[Agency]])),COLUMNS($F$7:AE$7))))</f>
        <v>0</v>
      </c>
      <c r="AF309" s="2223" cm="1">
        <f t="array" ref="AF309">IF($D309&lt;COLUMNS($F$7:AF$7),"",INDEX(TableDiv[[GASB]:[GASB]],_xlfn.AGGREGATE(15,3,(TableDiv[[Agency]:[Agency]]=$E309)/(TableDiv[[Agency]:[Agency]]=$E309)*(ROW(TableDiv[Agency])-ROW(TableDiv[[#Headers],[Agency]])),COLUMNS($F$7:AF$7))))</f>
        <v>0</v>
      </c>
      <c r="AG309" s="2223" cm="1">
        <f t="array" ref="AG309">IF($D309&lt;COLUMNS($F$7:AG$7),"",INDEX(TableDiv[[GASB]:[GASB]],_xlfn.AGGREGATE(15,3,(TableDiv[[Agency]:[Agency]]=$E309)/(TableDiv[[Agency]:[Agency]]=$E309)*(ROW(TableDiv[Agency])-ROW(TableDiv[[#Headers],[Agency]])),COLUMNS($F$7:AG$7))))</f>
        <v>0</v>
      </c>
      <c r="AH309" s="2223" cm="1">
        <f t="array" ref="AH309">IF($D309&lt;COLUMNS($F$7:AH$7),"",INDEX(TableDiv[[GASB]:[GASB]],_xlfn.AGGREGATE(15,3,(TableDiv[[Agency]:[Agency]]=$E309)/(TableDiv[[Agency]:[Agency]]=$E309)*(ROW(TableDiv[Agency])-ROW(TableDiv[[#Headers],[Agency]])),COLUMNS($F$7:AH$7))))</f>
        <v>0</v>
      </c>
      <c r="AI309" s="2223" cm="1">
        <f t="array" ref="AI309">IF($D309&lt;COLUMNS($F$7:AI$7),"",INDEX(TableDiv[[GASB]:[GASB]],_xlfn.AGGREGATE(15,3,(TableDiv[[Agency]:[Agency]]=$E309)/(TableDiv[[Agency]:[Agency]]=$E309)*(ROW(TableDiv[Agency])-ROW(TableDiv[[#Headers],[Agency]])),COLUMNS($F$7:AI$7))))</f>
        <v>0</v>
      </c>
      <c r="AJ309" s="2223" cm="1">
        <f t="array" ref="AJ309">IF($D309&lt;COLUMNS($F$7:AJ$7),"",INDEX(TableDiv[[GASB]:[GASB]],_xlfn.AGGREGATE(15,3,(TableDiv[[Agency]:[Agency]]=$E309)/(TableDiv[[Agency]:[Agency]]=$E309)*(ROW(TableDiv[Agency])-ROW(TableDiv[[#Headers],[Agency]])),COLUMNS($F$7:AJ$7))))</f>
        <v>0</v>
      </c>
      <c r="AK309" s="2223" t="str" cm="1">
        <f t="array" ref="AK309">IF($D309&lt;COLUMNS($F$7:AK$7),"",INDEX(TableDiv[[GASB]:[GASB]],_xlfn.AGGREGATE(15,3,(TableDiv[[Agency]:[Agency]]=$E309)/(TableDiv[[Agency]:[Agency]]=$E309)*(ROW(TableDiv[Agency])-ROW(TableDiv[[#Headers],[Agency]])),COLUMNS($F$7:AK$7))))</f>
        <v/>
      </c>
      <c r="AL309" s="2223" t="str" cm="1">
        <f t="array" ref="AL309">IF($D309&lt;COLUMNS($F$7:AL$7),"",INDEX(TableDiv[[GASB]:[GASB]],_xlfn.AGGREGATE(15,3,(TableDiv[[Agency]:[Agency]]=$E309)/(TableDiv[[Agency]:[Agency]]=$E309)*(ROW(TableDiv[Agency])-ROW(TableDiv[[#Headers],[Agency]])),COLUMNS($F$7:AL$7))))</f>
        <v/>
      </c>
      <c r="AM309" s="2223" t="str" cm="1">
        <f t="array" ref="AM309">IF($D309&lt;COLUMNS($F$7:AM$7),"",INDEX(TableDiv[[GASB]:[GASB]],_xlfn.AGGREGATE(15,3,(TableDiv[[Agency]:[Agency]]=$E309)/(TableDiv[[Agency]:[Agency]]=$E309)*(ROW(TableDiv[Agency])-ROW(TableDiv[[#Headers],[Agency]])),COLUMNS($F$7:AM$7))))</f>
        <v/>
      </c>
      <c r="AN309" s="2223"/>
      <c r="AO309" s="2223"/>
      <c r="AP309" s="2223"/>
      <c r="AQ309" s="2223"/>
      <c r="AR309" s="2223"/>
      <c r="AS309" s="2223"/>
    </row>
    <row r="310" spans="1:45" ht="15" x14ac:dyDescent="0.25">
      <c r="A310" s="2219" t="s">
        <v>5121</v>
      </c>
      <c r="B310" s="2219" t="s">
        <v>1878</v>
      </c>
      <c r="C310" s="2223"/>
      <c r="D310" s="2223">
        <f>COUNTIF(TableDiv[Agency],E310)</f>
        <v>31</v>
      </c>
      <c r="E310" s="2230" t="str" cm="1">
        <f t="array" ref="E310">IFERROR(INDEX(TableDiv[Agency],MATCH(0,INDEX(COUNTIF($E$7:E309,TableDiv[Agency]),),0)),"")</f>
        <v/>
      </c>
      <c r="F310" s="2223" cm="1">
        <f t="array" ref="F310">IF($D310&lt;COLUMNS($F$7:F$7),"",INDEX(TableDiv[[GASB]:[GASB]],_xlfn.AGGREGATE(15,3,(TableDiv[[Agency]:[Agency]]=$E310)/(TableDiv[[Agency]:[Agency]]=$E310)*(ROW(TableDiv[Agency])-ROW(TableDiv[[#Headers],[Agency]])),COLUMNS($F$7:F$7))))</f>
        <v>0</v>
      </c>
      <c r="G310" s="2223" cm="1">
        <f t="array" ref="G310">IF($D310&lt;COLUMNS($F$7:G$7),"",INDEX(TableDiv[[GASB]:[GASB]],_xlfn.AGGREGATE(15,3,(TableDiv[[Agency]:[Agency]]=$E310)/(TableDiv[[Agency]:[Agency]]=$E310)*(ROW(TableDiv[Agency])-ROW(TableDiv[[#Headers],[Agency]])),COLUMNS($F$7:G$7))))</f>
        <v>0</v>
      </c>
      <c r="H310" s="2223" cm="1">
        <f t="array" ref="H310">IF($D310&lt;COLUMNS($F$7:H$7),"",INDEX(TableDiv[[GASB]:[GASB]],_xlfn.AGGREGATE(15,3,(TableDiv[[Agency]:[Agency]]=$E310)/(TableDiv[[Agency]:[Agency]]=$E310)*(ROW(TableDiv[Agency])-ROW(TableDiv[[#Headers],[Agency]])),COLUMNS($F$7:H$7))))</f>
        <v>0</v>
      </c>
      <c r="I310" s="2223" cm="1">
        <f t="array" ref="I310">IF($D310&lt;COLUMNS($F$7:I$7),"",INDEX(TableDiv[[GASB]:[GASB]],_xlfn.AGGREGATE(15,3,(TableDiv[[Agency]:[Agency]]=$E310)/(TableDiv[[Agency]:[Agency]]=$E310)*(ROW(TableDiv[Agency])-ROW(TableDiv[[#Headers],[Agency]])),COLUMNS($F$7:I$7))))</f>
        <v>0</v>
      </c>
      <c r="J310" s="2223" cm="1">
        <f t="array" ref="J310">IF($D310&lt;COLUMNS($F$7:J$7),"",INDEX(TableDiv[[GASB]:[GASB]],_xlfn.AGGREGATE(15,3,(TableDiv[[Agency]:[Agency]]=$E310)/(TableDiv[[Agency]:[Agency]]=$E310)*(ROW(TableDiv[Agency])-ROW(TableDiv[[#Headers],[Agency]])),COLUMNS($F$7:J$7))))</f>
        <v>0</v>
      </c>
      <c r="K310" s="2223" cm="1">
        <f t="array" ref="K310">IF($D310&lt;COLUMNS($F$7:K$7),"",INDEX(TableDiv[[GASB]:[GASB]],_xlfn.AGGREGATE(15,3,(TableDiv[[Agency]:[Agency]]=$E310)/(TableDiv[[Agency]:[Agency]]=$E310)*(ROW(TableDiv[Agency])-ROW(TableDiv[[#Headers],[Agency]])),COLUMNS($F$7:K$7))))</f>
        <v>0</v>
      </c>
      <c r="L310" s="2223" cm="1">
        <f t="array" ref="L310">IF($D310&lt;COLUMNS($F$7:L$7),"",INDEX(TableDiv[[GASB]:[GASB]],_xlfn.AGGREGATE(15,3,(TableDiv[[Agency]:[Agency]]=$E310)/(TableDiv[[Agency]:[Agency]]=$E310)*(ROW(TableDiv[Agency])-ROW(TableDiv[[#Headers],[Agency]])),COLUMNS($F$7:L$7))))</f>
        <v>0</v>
      </c>
      <c r="M310" s="2223" cm="1">
        <f t="array" ref="M310">IF($D310&lt;COLUMNS($F$7:M$7),"",INDEX(TableDiv[[GASB]:[GASB]],_xlfn.AGGREGATE(15,3,(TableDiv[[Agency]:[Agency]]=$E310)/(TableDiv[[Agency]:[Agency]]=$E310)*(ROW(TableDiv[Agency])-ROW(TableDiv[[#Headers],[Agency]])),COLUMNS($F$7:M$7))))</f>
        <v>0</v>
      </c>
      <c r="N310" s="2223" cm="1">
        <f t="array" ref="N310">IF($D310&lt;COLUMNS($F$7:N$7),"",INDEX(TableDiv[[GASB]:[GASB]],_xlfn.AGGREGATE(15,3,(TableDiv[[Agency]:[Agency]]=$E310)/(TableDiv[[Agency]:[Agency]]=$E310)*(ROW(TableDiv[Agency])-ROW(TableDiv[[#Headers],[Agency]])),COLUMNS($F$7:N$7))))</f>
        <v>0</v>
      </c>
      <c r="O310" s="2223" cm="1">
        <f t="array" ref="O310">IF($D310&lt;COLUMNS($F$7:O$7),"",INDEX(TableDiv[[GASB]:[GASB]],_xlfn.AGGREGATE(15,3,(TableDiv[[Agency]:[Agency]]=$E310)/(TableDiv[[Agency]:[Agency]]=$E310)*(ROW(TableDiv[Agency])-ROW(TableDiv[[#Headers],[Agency]])),COLUMNS($F$7:O$7))))</f>
        <v>0</v>
      </c>
      <c r="P310" s="2223" cm="1">
        <f t="array" ref="P310">IF($D310&lt;COLUMNS($F$7:P$7),"",INDEX(TableDiv[[GASB]:[GASB]],_xlfn.AGGREGATE(15,3,(TableDiv[[Agency]:[Agency]]=$E310)/(TableDiv[[Agency]:[Agency]]=$E310)*(ROW(TableDiv[Agency])-ROW(TableDiv[[#Headers],[Agency]])),COLUMNS($F$7:P$7))))</f>
        <v>0</v>
      </c>
      <c r="Q310" s="2223" cm="1">
        <f t="array" ref="Q310">IF($D310&lt;COLUMNS($F$7:Q$7),"",INDEX(TableDiv[[GASB]:[GASB]],_xlfn.AGGREGATE(15,3,(TableDiv[[Agency]:[Agency]]=$E310)/(TableDiv[[Agency]:[Agency]]=$E310)*(ROW(TableDiv[Agency])-ROW(TableDiv[[#Headers],[Agency]])),COLUMNS($F$7:Q$7))))</f>
        <v>0</v>
      </c>
      <c r="R310" s="2223" cm="1">
        <f t="array" ref="R310">IF($D310&lt;COLUMNS($F$7:R$7),"",INDEX(TableDiv[[GASB]:[GASB]],_xlfn.AGGREGATE(15,3,(TableDiv[[Agency]:[Agency]]=$E310)/(TableDiv[[Agency]:[Agency]]=$E310)*(ROW(TableDiv[Agency])-ROW(TableDiv[[#Headers],[Agency]])),COLUMNS($F$7:R$7))))</f>
        <v>0</v>
      </c>
      <c r="S310" s="2223" cm="1">
        <f t="array" ref="S310">IF($D310&lt;COLUMNS($F$7:S$7),"",INDEX(TableDiv[[GASB]:[GASB]],_xlfn.AGGREGATE(15,3,(TableDiv[[Agency]:[Agency]]=$E310)/(TableDiv[[Agency]:[Agency]]=$E310)*(ROW(TableDiv[Agency])-ROW(TableDiv[[#Headers],[Agency]])),COLUMNS($F$7:S$7))))</f>
        <v>0</v>
      </c>
      <c r="T310" s="2223" cm="1">
        <f t="array" ref="T310">IF($D310&lt;COLUMNS($F$7:T$7),"",INDEX(TableDiv[[GASB]:[GASB]],_xlfn.AGGREGATE(15,3,(TableDiv[[Agency]:[Agency]]=$E310)/(TableDiv[[Agency]:[Agency]]=$E310)*(ROW(TableDiv[Agency])-ROW(TableDiv[[#Headers],[Agency]])),COLUMNS($F$7:T$7))))</f>
        <v>0</v>
      </c>
      <c r="U310" s="2223" cm="1">
        <f t="array" ref="U310">IF($D310&lt;COLUMNS($F$7:U$7),"",INDEX(TableDiv[[GASB]:[GASB]],_xlfn.AGGREGATE(15,3,(TableDiv[[Agency]:[Agency]]=$E310)/(TableDiv[[Agency]:[Agency]]=$E310)*(ROW(TableDiv[Agency])-ROW(TableDiv[[#Headers],[Agency]])),COLUMNS($F$7:U$7))))</f>
        <v>0</v>
      </c>
      <c r="V310" s="2223" cm="1">
        <f t="array" ref="V310">IF($D310&lt;COLUMNS($F$7:V$7),"",INDEX(TableDiv[[GASB]:[GASB]],_xlfn.AGGREGATE(15,3,(TableDiv[[Agency]:[Agency]]=$E310)/(TableDiv[[Agency]:[Agency]]=$E310)*(ROW(TableDiv[Agency])-ROW(TableDiv[[#Headers],[Agency]])),COLUMNS($F$7:V$7))))</f>
        <v>0</v>
      </c>
      <c r="W310" s="2223" cm="1">
        <f t="array" ref="W310">IF($D310&lt;COLUMNS($F$7:W$7),"",INDEX(TableDiv[[GASB]:[GASB]],_xlfn.AGGREGATE(15,3,(TableDiv[[Agency]:[Agency]]=$E310)/(TableDiv[[Agency]:[Agency]]=$E310)*(ROW(TableDiv[Agency])-ROW(TableDiv[[#Headers],[Agency]])),COLUMNS($F$7:W$7))))</f>
        <v>0</v>
      </c>
      <c r="X310" s="2223" cm="1">
        <f t="array" ref="X310">IF($D310&lt;COLUMNS($F$7:X$7),"",INDEX(TableDiv[[GASB]:[GASB]],_xlfn.AGGREGATE(15,3,(TableDiv[[Agency]:[Agency]]=$E310)/(TableDiv[[Agency]:[Agency]]=$E310)*(ROW(TableDiv[Agency])-ROW(TableDiv[[#Headers],[Agency]])),COLUMNS($F$7:X$7))))</f>
        <v>0</v>
      </c>
      <c r="Y310" s="2223" cm="1">
        <f t="array" ref="Y310">IF($D310&lt;COLUMNS($F$7:Y$7),"",INDEX(TableDiv[[GASB]:[GASB]],_xlfn.AGGREGATE(15,3,(TableDiv[[Agency]:[Agency]]=$E310)/(TableDiv[[Agency]:[Agency]]=$E310)*(ROW(TableDiv[Agency])-ROW(TableDiv[[#Headers],[Agency]])),COLUMNS($F$7:Y$7))))</f>
        <v>0</v>
      </c>
      <c r="Z310" s="2223" cm="1">
        <f t="array" ref="Z310">IF($D310&lt;COLUMNS($F$7:Z$7),"",INDEX(TableDiv[[GASB]:[GASB]],_xlfn.AGGREGATE(15,3,(TableDiv[[Agency]:[Agency]]=$E310)/(TableDiv[[Agency]:[Agency]]=$E310)*(ROW(TableDiv[Agency])-ROW(TableDiv[[#Headers],[Agency]])),COLUMNS($F$7:Z$7))))</f>
        <v>0</v>
      </c>
      <c r="AA310" s="2223" cm="1">
        <f t="array" ref="AA310">IF($D310&lt;COLUMNS($F$7:AA$7),"",INDEX(TableDiv[[GASB]:[GASB]],_xlfn.AGGREGATE(15,3,(TableDiv[[Agency]:[Agency]]=$E310)/(TableDiv[[Agency]:[Agency]]=$E310)*(ROW(TableDiv[Agency])-ROW(TableDiv[[#Headers],[Agency]])),COLUMNS($F$7:AA$7))))</f>
        <v>0</v>
      </c>
      <c r="AB310" s="2223" cm="1">
        <f t="array" ref="AB310">IF($D310&lt;COLUMNS($F$7:AB$7),"",INDEX(TableDiv[[GASB]:[GASB]],_xlfn.AGGREGATE(15,3,(TableDiv[[Agency]:[Agency]]=$E310)/(TableDiv[[Agency]:[Agency]]=$E310)*(ROW(TableDiv[Agency])-ROW(TableDiv[[#Headers],[Agency]])),COLUMNS($F$7:AB$7))))</f>
        <v>0</v>
      </c>
      <c r="AC310" s="2223" cm="1">
        <f t="array" ref="AC310">IF($D310&lt;COLUMNS($F$7:AC$7),"",INDEX(TableDiv[[GASB]:[GASB]],_xlfn.AGGREGATE(15,3,(TableDiv[[Agency]:[Agency]]=$E310)/(TableDiv[[Agency]:[Agency]]=$E310)*(ROW(TableDiv[Agency])-ROW(TableDiv[[#Headers],[Agency]])),COLUMNS($F$7:AC$7))))</f>
        <v>0</v>
      </c>
      <c r="AD310" s="2223" cm="1">
        <f t="array" ref="AD310">IF($D310&lt;COLUMNS($F$7:AD$7),"",INDEX(TableDiv[[GASB]:[GASB]],_xlfn.AGGREGATE(15,3,(TableDiv[[Agency]:[Agency]]=$E310)/(TableDiv[[Agency]:[Agency]]=$E310)*(ROW(TableDiv[Agency])-ROW(TableDiv[[#Headers],[Agency]])),COLUMNS($F$7:AD$7))))</f>
        <v>0</v>
      </c>
      <c r="AE310" s="2223" cm="1">
        <f t="array" ref="AE310">IF($D310&lt;COLUMNS($F$7:AE$7),"",INDEX(TableDiv[[GASB]:[GASB]],_xlfn.AGGREGATE(15,3,(TableDiv[[Agency]:[Agency]]=$E310)/(TableDiv[[Agency]:[Agency]]=$E310)*(ROW(TableDiv[Agency])-ROW(TableDiv[[#Headers],[Agency]])),COLUMNS($F$7:AE$7))))</f>
        <v>0</v>
      </c>
      <c r="AF310" s="2223" cm="1">
        <f t="array" ref="AF310">IF($D310&lt;COLUMNS($F$7:AF$7),"",INDEX(TableDiv[[GASB]:[GASB]],_xlfn.AGGREGATE(15,3,(TableDiv[[Agency]:[Agency]]=$E310)/(TableDiv[[Agency]:[Agency]]=$E310)*(ROW(TableDiv[Agency])-ROW(TableDiv[[#Headers],[Agency]])),COLUMNS($F$7:AF$7))))</f>
        <v>0</v>
      </c>
      <c r="AG310" s="2223" cm="1">
        <f t="array" ref="AG310">IF($D310&lt;COLUMNS($F$7:AG$7),"",INDEX(TableDiv[[GASB]:[GASB]],_xlfn.AGGREGATE(15,3,(TableDiv[[Agency]:[Agency]]=$E310)/(TableDiv[[Agency]:[Agency]]=$E310)*(ROW(TableDiv[Agency])-ROW(TableDiv[[#Headers],[Agency]])),COLUMNS($F$7:AG$7))))</f>
        <v>0</v>
      </c>
      <c r="AH310" s="2223" cm="1">
        <f t="array" ref="AH310">IF($D310&lt;COLUMNS($F$7:AH$7),"",INDEX(TableDiv[[GASB]:[GASB]],_xlfn.AGGREGATE(15,3,(TableDiv[[Agency]:[Agency]]=$E310)/(TableDiv[[Agency]:[Agency]]=$E310)*(ROW(TableDiv[Agency])-ROW(TableDiv[[#Headers],[Agency]])),COLUMNS($F$7:AH$7))))</f>
        <v>0</v>
      </c>
      <c r="AI310" s="2223" cm="1">
        <f t="array" ref="AI310">IF($D310&lt;COLUMNS($F$7:AI$7),"",INDEX(TableDiv[[GASB]:[GASB]],_xlfn.AGGREGATE(15,3,(TableDiv[[Agency]:[Agency]]=$E310)/(TableDiv[[Agency]:[Agency]]=$E310)*(ROW(TableDiv[Agency])-ROW(TableDiv[[#Headers],[Agency]])),COLUMNS($F$7:AI$7))))</f>
        <v>0</v>
      </c>
      <c r="AJ310" s="2223" cm="1">
        <f t="array" ref="AJ310">IF($D310&lt;COLUMNS($F$7:AJ$7),"",INDEX(TableDiv[[GASB]:[GASB]],_xlfn.AGGREGATE(15,3,(TableDiv[[Agency]:[Agency]]=$E310)/(TableDiv[[Agency]:[Agency]]=$E310)*(ROW(TableDiv[Agency])-ROW(TableDiv[[#Headers],[Agency]])),COLUMNS($F$7:AJ$7))))</f>
        <v>0</v>
      </c>
      <c r="AK310" s="2223" t="str" cm="1">
        <f t="array" ref="AK310">IF($D310&lt;COLUMNS($F$7:AK$7),"",INDEX(TableDiv[[GASB]:[GASB]],_xlfn.AGGREGATE(15,3,(TableDiv[[Agency]:[Agency]]=$E310)/(TableDiv[[Agency]:[Agency]]=$E310)*(ROW(TableDiv[Agency])-ROW(TableDiv[[#Headers],[Agency]])),COLUMNS($F$7:AK$7))))</f>
        <v/>
      </c>
      <c r="AL310" s="2223" t="str" cm="1">
        <f t="array" ref="AL310">IF($D310&lt;COLUMNS($F$7:AL$7),"",INDEX(TableDiv[[GASB]:[GASB]],_xlfn.AGGREGATE(15,3,(TableDiv[[Agency]:[Agency]]=$E310)/(TableDiv[[Agency]:[Agency]]=$E310)*(ROW(TableDiv[Agency])-ROW(TableDiv[[#Headers],[Agency]])),COLUMNS($F$7:AL$7))))</f>
        <v/>
      </c>
      <c r="AM310" s="2223" t="str" cm="1">
        <f t="array" ref="AM310">IF($D310&lt;COLUMNS($F$7:AM$7),"",INDEX(TableDiv[[GASB]:[GASB]],_xlfn.AGGREGATE(15,3,(TableDiv[[Agency]:[Agency]]=$E310)/(TableDiv[[Agency]:[Agency]]=$E310)*(ROW(TableDiv[Agency])-ROW(TableDiv[[#Headers],[Agency]])),COLUMNS($F$7:AM$7))))</f>
        <v/>
      </c>
      <c r="AN310" s="2223"/>
      <c r="AO310" s="2223"/>
      <c r="AP310" s="2223"/>
      <c r="AQ310" s="2223"/>
      <c r="AR310" s="2223"/>
      <c r="AS310" s="2223"/>
    </row>
    <row r="311" spans="1:45" ht="15" x14ac:dyDescent="0.25">
      <c r="A311" s="2219" t="s">
        <v>5121</v>
      </c>
      <c r="B311" s="2219" t="s">
        <v>6365</v>
      </c>
      <c r="C311" s="2223"/>
      <c r="D311" s="2223">
        <f>COUNTIF(TableDiv[Agency],E311)</f>
        <v>31</v>
      </c>
      <c r="E311" s="2230" t="str" cm="1">
        <f t="array" ref="E311">IFERROR(INDEX(TableDiv[Agency],MATCH(0,INDEX(COUNTIF($E$7:E310,TableDiv[Agency]),),0)),"")</f>
        <v/>
      </c>
      <c r="F311" s="2223" cm="1">
        <f t="array" ref="F311">IF($D311&lt;COLUMNS($F$7:F$7),"",INDEX(TableDiv[[GASB]:[GASB]],_xlfn.AGGREGATE(15,3,(TableDiv[[Agency]:[Agency]]=$E311)/(TableDiv[[Agency]:[Agency]]=$E311)*(ROW(TableDiv[Agency])-ROW(TableDiv[[#Headers],[Agency]])),COLUMNS($F$7:F$7))))</f>
        <v>0</v>
      </c>
      <c r="G311" s="2223" cm="1">
        <f t="array" ref="G311">IF($D311&lt;COLUMNS($F$7:G$7),"",INDEX(TableDiv[[GASB]:[GASB]],_xlfn.AGGREGATE(15,3,(TableDiv[[Agency]:[Agency]]=$E311)/(TableDiv[[Agency]:[Agency]]=$E311)*(ROW(TableDiv[Agency])-ROW(TableDiv[[#Headers],[Agency]])),COLUMNS($F$7:G$7))))</f>
        <v>0</v>
      </c>
      <c r="H311" s="2223" cm="1">
        <f t="array" ref="H311">IF($D311&lt;COLUMNS($F$7:H$7),"",INDEX(TableDiv[[GASB]:[GASB]],_xlfn.AGGREGATE(15,3,(TableDiv[[Agency]:[Agency]]=$E311)/(TableDiv[[Agency]:[Agency]]=$E311)*(ROW(TableDiv[Agency])-ROW(TableDiv[[#Headers],[Agency]])),COLUMNS($F$7:H$7))))</f>
        <v>0</v>
      </c>
      <c r="I311" s="2223" cm="1">
        <f t="array" ref="I311">IF($D311&lt;COLUMNS($F$7:I$7),"",INDEX(TableDiv[[GASB]:[GASB]],_xlfn.AGGREGATE(15,3,(TableDiv[[Agency]:[Agency]]=$E311)/(TableDiv[[Agency]:[Agency]]=$E311)*(ROW(TableDiv[Agency])-ROW(TableDiv[[#Headers],[Agency]])),COLUMNS($F$7:I$7))))</f>
        <v>0</v>
      </c>
      <c r="J311" s="2223" cm="1">
        <f t="array" ref="J311">IF($D311&lt;COLUMNS($F$7:J$7),"",INDEX(TableDiv[[GASB]:[GASB]],_xlfn.AGGREGATE(15,3,(TableDiv[[Agency]:[Agency]]=$E311)/(TableDiv[[Agency]:[Agency]]=$E311)*(ROW(TableDiv[Agency])-ROW(TableDiv[[#Headers],[Agency]])),COLUMNS($F$7:J$7))))</f>
        <v>0</v>
      </c>
      <c r="K311" s="2223" cm="1">
        <f t="array" ref="K311">IF($D311&lt;COLUMNS($F$7:K$7),"",INDEX(TableDiv[[GASB]:[GASB]],_xlfn.AGGREGATE(15,3,(TableDiv[[Agency]:[Agency]]=$E311)/(TableDiv[[Agency]:[Agency]]=$E311)*(ROW(TableDiv[Agency])-ROW(TableDiv[[#Headers],[Agency]])),COLUMNS($F$7:K$7))))</f>
        <v>0</v>
      </c>
      <c r="L311" s="2223" cm="1">
        <f t="array" ref="L311">IF($D311&lt;COLUMNS($F$7:L$7),"",INDEX(TableDiv[[GASB]:[GASB]],_xlfn.AGGREGATE(15,3,(TableDiv[[Agency]:[Agency]]=$E311)/(TableDiv[[Agency]:[Agency]]=$E311)*(ROW(TableDiv[Agency])-ROW(TableDiv[[#Headers],[Agency]])),COLUMNS($F$7:L$7))))</f>
        <v>0</v>
      </c>
      <c r="M311" s="2223" cm="1">
        <f t="array" ref="M311">IF($D311&lt;COLUMNS($F$7:M$7),"",INDEX(TableDiv[[GASB]:[GASB]],_xlfn.AGGREGATE(15,3,(TableDiv[[Agency]:[Agency]]=$E311)/(TableDiv[[Agency]:[Agency]]=$E311)*(ROW(TableDiv[Agency])-ROW(TableDiv[[#Headers],[Agency]])),COLUMNS($F$7:M$7))))</f>
        <v>0</v>
      </c>
      <c r="N311" s="2223" cm="1">
        <f t="array" ref="N311">IF($D311&lt;COLUMNS($F$7:N$7),"",INDEX(TableDiv[[GASB]:[GASB]],_xlfn.AGGREGATE(15,3,(TableDiv[[Agency]:[Agency]]=$E311)/(TableDiv[[Agency]:[Agency]]=$E311)*(ROW(TableDiv[Agency])-ROW(TableDiv[[#Headers],[Agency]])),COLUMNS($F$7:N$7))))</f>
        <v>0</v>
      </c>
      <c r="O311" s="2223" cm="1">
        <f t="array" ref="O311">IF($D311&lt;COLUMNS($F$7:O$7),"",INDEX(TableDiv[[GASB]:[GASB]],_xlfn.AGGREGATE(15,3,(TableDiv[[Agency]:[Agency]]=$E311)/(TableDiv[[Agency]:[Agency]]=$E311)*(ROW(TableDiv[Agency])-ROW(TableDiv[[#Headers],[Agency]])),COLUMNS($F$7:O$7))))</f>
        <v>0</v>
      </c>
      <c r="P311" s="2223" cm="1">
        <f t="array" ref="P311">IF($D311&lt;COLUMNS($F$7:P$7),"",INDEX(TableDiv[[GASB]:[GASB]],_xlfn.AGGREGATE(15,3,(TableDiv[[Agency]:[Agency]]=$E311)/(TableDiv[[Agency]:[Agency]]=$E311)*(ROW(TableDiv[Agency])-ROW(TableDiv[[#Headers],[Agency]])),COLUMNS($F$7:P$7))))</f>
        <v>0</v>
      </c>
      <c r="Q311" s="2223" cm="1">
        <f t="array" ref="Q311">IF($D311&lt;COLUMNS($F$7:Q$7),"",INDEX(TableDiv[[GASB]:[GASB]],_xlfn.AGGREGATE(15,3,(TableDiv[[Agency]:[Agency]]=$E311)/(TableDiv[[Agency]:[Agency]]=$E311)*(ROW(TableDiv[Agency])-ROW(TableDiv[[#Headers],[Agency]])),COLUMNS($F$7:Q$7))))</f>
        <v>0</v>
      </c>
      <c r="R311" s="2223" cm="1">
        <f t="array" ref="R311">IF($D311&lt;COLUMNS($F$7:R$7),"",INDEX(TableDiv[[GASB]:[GASB]],_xlfn.AGGREGATE(15,3,(TableDiv[[Agency]:[Agency]]=$E311)/(TableDiv[[Agency]:[Agency]]=$E311)*(ROW(TableDiv[Agency])-ROW(TableDiv[[#Headers],[Agency]])),COLUMNS($F$7:R$7))))</f>
        <v>0</v>
      </c>
      <c r="S311" s="2223" cm="1">
        <f t="array" ref="S311">IF($D311&lt;COLUMNS($F$7:S$7),"",INDEX(TableDiv[[GASB]:[GASB]],_xlfn.AGGREGATE(15,3,(TableDiv[[Agency]:[Agency]]=$E311)/(TableDiv[[Agency]:[Agency]]=$E311)*(ROW(TableDiv[Agency])-ROW(TableDiv[[#Headers],[Agency]])),COLUMNS($F$7:S$7))))</f>
        <v>0</v>
      </c>
      <c r="T311" s="2223" cm="1">
        <f t="array" ref="T311">IF($D311&lt;COLUMNS($F$7:T$7),"",INDEX(TableDiv[[GASB]:[GASB]],_xlfn.AGGREGATE(15,3,(TableDiv[[Agency]:[Agency]]=$E311)/(TableDiv[[Agency]:[Agency]]=$E311)*(ROW(TableDiv[Agency])-ROW(TableDiv[[#Headers],[Agency]])),COLUMNS($F$7:T$7))))</f>
        <v>0</v>
      </c>
      <c r="U311" s="2223" cm="1">
        <f t="array" ref="U311">IF($D311&lt;COLUMNS($F$7:U$7),"",INDEX(TableDiv[[GASB]:[GASB]],_xlfn.AGGREGATE(15,3,(TableDiv[[Agency]:[Agency]]=$E311)/(TableDiv[[Agency]:[Agency]]=$E311)*(ROW(TableDiv[Agency])-ROW(TableDiv[[#Headers],[Agency]])),COLUMNS($F$7:U$7))))</f>
        <v>0</v>
      </c>
      <c r="V311" s="2223" cm="1">
        <f t="array" ref="V311">IF($D311&lt;COLUMNS($F$7:V$7),"",INDEX(TableDiv[[GASB]:[GASB]],_xlfn.AGGREGATE(15,3,(TableDiv[[Agency]:[Agency]]=$E311)/(TableDiv[[Agency]:[Agency]]=$E311)*(ROW(TableDiv[Agency])-ROW(TableDiv[[#Headers],[Agency]])),COLUMNS($F$7:V$7))))</f>
        <v>0</v>
      </c>
      <c r="W311" s="2223" cm="1">
        <f t="array" ref="W311">IF($D311&lt;COLUMNS($F$7:W$7),"",INDEX(TableDiv[[GASB]:[GASB]],_xlfn.AGGREGATE(15,3,(TableDiv[[Agency]:[Agency]]=$E311)/(TableDiv[[Agency]:[Agency]]=$E311)*(ROW(TableDiv[Agency])-ROW(TableDiv[[#Headers],[Agency]])),COLUMNS($F$7:W$7))))</f>
        <v>0</v>
      </c>
      <c r="X311" s="2223" cm="1">
        <f t="array" ref="X311">IF($D311&lt;COLUMNS($F$7:X$7),"",INDEX(TableDiv[[GASB]:[GASB]],_xlfn.AGGREGATE(15,3,(TableDiv[[Agency]:[Agency]]=$E311)/(TableDiv[[Agency]:[Agency]]=$E311)*(ROW(TableDiv[Agency])-ROW(TableDiv[[#Headers],[Agency]])),COLUMNS($F$7:X$7))))</f>
        <v>0</v>
      </c>
      <c r="Y311" s="2223" cm="1">
        <f t="array" ref="Y311">IF($D311&lt;COLUMNS($F$7:Y$7),"",INDEX(TableDiv[[GASB]:[GASB]],_xlfn.AGGREGATE(15,3,(TableDiv[[Agency]:[Agency]]=$E311)/(TableDiv[[Agency]:[Agency]]=$E311)*(ROW(TableDiv[Agency])-ROW(TableDiv[[#Headers],[Agency]])),COLUMNS($F$7:Y$7))))</f>
        <v>0</v>
      </c>
      <c r="Z311" s="2223" cm="1">
        <f t="array" ref="Z311">IF($D311&lt;COLUMNS($F$7:Z$7),"",INDEX(TableDiv[[GASB]:[GASB]],_xlfn.AGGREGATE(15,3,(TableDiv[[Agency]:[Agency]]=$E311)/(TableDiv[[Agency]:[Agency]]=$E311)*(ROW(TableDiv[Agency])-ROW(TableDiv[[#Headers],[Agency]])),COLUMNS($F$7:Z$7))))</f>
        <v>0</v>
      </c>
      <c r="AA311" s="2223" cm="1">
        <f t="array" ref="AA311">IF($D311&lt;COLUMNS($F$7:AA$7),"",INDEX(TableDiv[[GASB]:[GASB]],_xlfn.AGGREGATE(15,3,(TableDiv[[Agency]:[Agency]]=$E311)/(TableDiv[[Agency]:[Agency]]=$E311)*(ROW(TableDiv[Agency])-ROW(TableDiv[[#Headers],[Agency]])),COLUMNS($F$7:AA$7))))</f>
        <v>0</v>
      </c>
      <c r="AB311" s="2223" cm="1">
        <f t="array" ref="AB311">IF($D311&lt;COLUMNS($F$7:AB$7),"",INDEX(TableDiv[[GASB]:[GASB]],_xlfn.AGGREGATE(15,3,(TableDiv[[Agency]:[Agency]]=$E311)/(TableDiv[[Agency]:[Agency]]=$E311)*(ROW(TableDiv[Agency])-ROW(TableDiv[[#Headers],[Agency]])),COLUMNS($F$7:AB$7))))</f>
        <v>0</v>
      </c>
      <c r="AC311" s="2223" cm="1">
        <f t="array" ref="AC311">IF($D311&lt;COLUMNS($F$7:AC$7),"",INDEX(TableDiv[[GASB]:[GASB]],_xlfn.AGGREGATE(15,3,(TableDiv[[Agency]:[Agency]]=$E311)/(TableDiv[[Agency]:[Agency]]=$E311)*(ROW(TableDiv[Agency])-ROW(TableDiv[[#Headers],[Agency]])),COLUMNS($F$7:AC$7))))</f>
        <v>0</v>
      </c>
      <c r="AD311" s="2223" cm="1">
        <f t="array" ref="AD311">IF($D311&lt;COLUMNS($F$7:AD$7),"",INDEX(TableDiv[[GASB]:[GASB]],_xlfn.AGGREGATE(15,3,(TableDiv[[Agency]:[Agency]]=$E311)/(TableDiv[[Agency]:[Agency]]=$E311)*(ROW(TableDiv[Agency])-ROW(TableDiv[[#Headers],[Agency]])),COLUMNS($F$7:AD$7))))</f>
        <v>0</v>
      </c>
      <c r="AE311" s="2223" cm="1">
        <f t="array" ref="AE311">IF($D311&lt;COLUMNS($F$7:AE$7),"",INDEX(TableDiv[[GASB]:[GASB]],_xlfn.AGGREGATE(15,3,(TableDiv[[Agency]:[Agency]]=$E311)/(TableDiv[[Agency]:[Agency]]=$E311)*(ROW(TableDiv[Agency])-ROW(TableDiv[[#Headers],[Agency]])),COLUMNS($F$7:AE$7))))</f>
        <v>0</v>
      </c>
      <c r="AF311" s="2223" cm="1">
        <f t="array" ref="AF311">IF($D311&lt;COLUMNS($F$7:AF$7),"",INDEX(TableDiv[[GASB]:[GASB]],_xlfn.AGGREGATE(15,3,(TableDiv[[Agency]:[Agency]]=$E311)/(TableDiv[[Agency]:[Agency]]=$E311)*(ROW(TableDiv[Agency])-ROW(TableDiv[[#Headers],[Agency]])),COLUMNS($F$7:AF$7))))</f>
        <v>0</v>
      </c>
      <c r="AG311" s="2223" cm="1">
        <f t="array" ref="AG311">IF($D311&lt;COLUMNS($F$7:AG$7),"",INDEX(TableDiv[[GASB]:[GASB]],_xlfn.AGGREGATE(15,3,(TableDiv[[Agency]:[Agency]]=$E311)/(TableDiv[[Agency]:[Agency]]=$E311)*(ROW(TableDiv[Agency])-ROW(TableDiv[[#Headers],[Agency]])),COLUMNS($F$7:AG$7))))</f>
        <v>0</v>
      </c>
      <c r="AH311" s="2223" cm="1">
        <f t="array" ref="AH311">IF($D311&lt;COLUMNS($F$7:AH$7),"",INDEX(TableDiv[[GASB]:[GASB]],_xlfn.AGGREGATE(15,3,(TableDiv[[Agency]:[Agency]]=$E311)/(TableDiv[[Agency]:[Agency]]=$E311)*(ROW(TableDiv[Agency])-ROW(TableDiv[[#Headers],[Agency]])),COLUMNS($F$7:AH$7))))</f>
        <v>0</v>
      </c>
      <c r="AI311" s="2223" cm="1">
        <f t="array" ref="AI311">IF($D311&lt;COLUMNS($F$7:AI$7),"",INDEX(TableDiv[[GASB]:[GASB]],_xlfn.AGGREGATE(15,3,(TableDiv[[Agency]:[Agency]]=$E311)/(TableDiv[[Agency]:[Agency]]=$E311)*(ROW(TableDiv[Agency])-ROW(TableDiv[[#Headers],[Agency]])),COLUMNS($F$7:AI$7))))</f>
        <v>0</v>
      </c>
      <c r="AJ311" s="2223" cm="1">
        <f t="array" ref="AJ311">IF($D311&lt;COLUMNS($F$7:AJ$7),"",INDEX(TableDiv[[GASB]:[GASB]],_xlfn.AGGREGATE(15,3,(TableDiv[[Agency]:[Agency]]=$E311)/(TableDiv[[Agency]:[Agency]]=$E311)*(ROW(TableDiv[Agency])-ROW(TableDiv[[#Headers],[Agency]])),COLUMNS($F$7:AJ$7))))</f>
        <v>0</v>
      </c>
      <c r="AK311" s="2223" t="str" cm="1">
        <f t="array" ref="AK311">IF($D311&lt;COLUMNS($F$7:AK$7),"",INDEX(TableDiv[[GASB]:[GASB]],_xlfn.AGGREGATE(15,3,(TableDiv[[Agency]:[Agency]]=$E311)/(TableDiv[[Agency]:[Agency]]=$E311)*(ROW(TableDiv[Agency])-ROW(TableDiv[[#Headers],[Agency]])),COLUMNS($F$7:AK$7))))</f>
        <v/>
      </c>
      <c r="AL311" s="2223" t="str" cm="1">
        <f t="array" ref="AL311">IF($D311&lt;COLUMNS($F$7:AL$7),"",INDEX(TableDiv[[GASB]:[GASB]],_xlfn.AGGREGATE(15,3,(TableDiv[[Agency]:[Agency]]=$E311)/(TableDiv[[Agency]:[Agency]]=$E311)*(ROW(TableDiv[Agency])-ROW(TableDiv[[#Headers],[Agency]])),COLUMNS($F$7:AL$7))))</f>
        <v/>
      </c>
      <c r="AM311" s="2223" t="str" cm="1">
        <f t="array" ref="AM311">IF($D311&lt;COLUMNS($F$7:AM$7),"",INDEX(TableDiv[[GASB]:[GASB]],_xlfn.AGGREGATE(15,3,(TableDiv[[Agency]:[Agency]]=$E311)/(TableDiv[[Agency]:[Agency]]=$E311)*(ROW(TableDiv[Agency])-ROW(TableDiv[[#Headers],[Agency]])),COLUMNS($F$7:AM$7))))</f>
        <v/>
      </c>
      <c r="AN311" s="2223"/>
      <c r="AO311" s="2223"/>
      <c r="AP311" s="2223"/>
      <c r="AQ311" s="2223"/>
      <c r="AR311" s="2223"/>
      <c r="AS311" s="2223"/>
    </row>
    <row r="312" spans="1:45" ht="15" x14ac:dyDescent="0.25">
      <c r="A312" s="2219" t="s">
        <v>5121</v>
      </c>
      <c r="B312" s="2219" t="s">
        <v>6372</v>
      </c>
      <c r="C312" s="2223"/>
      <c r="D312" s="2223">
        <f>COUNTIF(TableDiv[Agency],E312)</f>
        <v>31</v>
      </c>
      <c r="E312" s="2230" t="str" cm="1">
        <f t="array" ref="E312">IFERROR(INDEX(TableDiv[Agency],MATCH(0,INDEX(COUNTIF($E$7:E311,TableDiv[Agency]),),0)),"")</f>
        <v/>
      </c>
      <c r="F312" s="2223" cm="1">
        <f t="array" ref="F312">IF($D312&lt;COLUMNS($F$7:F$7),"",INDEX(TableDiv[[GASB]:[GASB]],_xlfn.AGGREGATE(15,3,(TableDiv[[Agency]:[Agency]]=$E312)/(TableDiv[[Agency]:[Agency]]=$E312)*(ROW(TableDiv[Agency])-ROW(TableDiv[[#Headers],[Agency]])),COLUMNS($F$7:F$7))))</f>
        <v>0</v>
      </c>
      <c r="G312" s="2223" cm="1">
        <f t="array" ref="G312">IF($D312&lt;COLUMNS($F$7:G$7),"",INDEX(TableDiv[[GASB]:[GASB]],_xlfn.AGGREGATE(15,3,(TableDiv[[Agency]:[Agency]]=$E312)/(TableDiv[[Agency]:[Agency]]=$E312)*(ROW(TableDiv[Agency])-ROW(TableDiv[[#Headers],[Agency]])),COLUMNS($F$7:G$7))))</f>
        <v>0</v>
      </c>
      <c r="H312" s="2223" cm="1">
        <f t="array" ref="H312">IF($D312&lt;COLUMNS($F$7:H$7),"",INDEX(TableDiv[[GASB]:[GASB]],_xlfn.AGGREGATE(15,3,(TableDiv[[Agency]:[Agency]]=$E312)/(TableDiv[[Agency]:[Agency]]=$E312)*(ROW(TableDiv[Agency])-ROW(TableDiv[[#Headers],[Agency]])),COLUMNS($F$7:H$7))))</f>
        <v>0</v>
      </c>
      <c r="I312" s="2223" cm="1">
        <f t="array" ref="I312">IF($D312&lt;COLUMNS($F$7:I$7),"",INDEX(TableDiv[[GASB]:[GASB]],_xlfn.AGGREGATE(15,3,(TableDiv[[Agency]:[Agency]]=$E312)/(TableDiv[[Agency]:[Agency]]=$E312)*(ROW(TableDiv[Agency])-ROW(TableDiv[[#Headers],[Agency]])),COLUMNS($F$7:I$7))))</f>
        <v>0</v>
      </c>
      <c r="J312" s="2223" cm="1">
        <f t="array" ref="J312">IF($D312&lt;COLUMNS($F$7:J$7),"",INDEX(TableDiv[[GASB]:[GASB]],_xlfn.AGGREGATE(15,3,(TableDiv[[Agency]:[Agency]]=$E312)/(TableDiv[[Agency]:[Agency]]=$E312)*(ROW(TableDiv[Agency])-ROW(TableDiv[[#Headers],[Agency]])),COLUMNS($F$7:J$7))))</f>
        <v>0</v>
      </c>
      <c r="K312" s="2223" cm="1">
        <f t="array" ref="K312">IF($D312&lt;COLUMNS($F$7:K$7),"",INDEX(TableDiv[[GASB]:[GASB]],_xlfn.AGGREGATE(15,3,(TableDiv[[Agency]:[Agency]]=$E312)/(TableDiv[[Agency]:[Agency]]=$E312)*(ROW(TableDiv[Agency])-ROW(TableDiv[[#Headers],[Agency]])),COLUMNS($F$7:K$7))))</f>
        <v>0</v>
      </c>
      <c r="L312" s="2223" cm="1">
        <f t="array" ref="L312">IF($D312&lt;COLUMNS($F$7:L$7),"",INDEX(TableDiv[[GASB]:[GASB]],_xlfn.AGGREGATE(15,3,(TableDiv[[Agency]:[Agency]]=$E312)/(TableDiv[[Agency]:[Agency]]=$E312)*(ROW(TableDiv[Agency])-ROW(TableDiv[[#Headers],[Agency]])),COLUMNS($F$7:L$7))))</f>
        <v>0</v>
      </c>
      <c r="M312" s="2223" cm="1">
        <f t="array" ref="M312">IF($D312&lt;COLUMNS($F$7:M$7),"",INDEX(TableDiv[[GASB]:[GASB]],_xlfn.AGGREGATE(15,3,(TableDiv[[Agency]:[Agency]]=$E312)/(TableDiv[[Agency]:[Agency]]=$E312)*(ROW(TableDiv[Agency])-ROW(TableDiv[[#Headers],[Agency]])),COLUMNS($F$7:M$7))))</f>
        <v>0</v>
      </c>
      <c r="N312" s="2223" cm="1">
        <f t="array" ref="N312">IF($D312&lt;COLUMNS($F$7:N$7),"",INDEX(TableDiv[[GASB]:[GASB]],_xlfn.AGGREGATE(15,3,(TableDiv[[Agency]:[Agency]]=$E312)/(TableDiv[[Agency]:[Agency]]=$E312)*(ROW(TableDiv[Agency])-ROW(TableDiv[[#Headers],[Agency]])),COLUMNS($F$7:N$7))))</f>
        <v>0</v>
      </c>
      <c r="O312" s="2223" cm="1">
        <f t="array" ref="O312">IF($D312&lt;COLUMNS($F$7:O$7),"",INDEX(TableDiv[[GASB]:[GASB]],_xlfn.AGGREGATE(15,3,(TableDiv[[Agency]:[Agency]]=$E312)/(TableDiv[[Agency]:[Agency]]=$E312)*(ROW(TableDiv[Agency])-ROW(TableDiv[[#Headers],[Agency]])),COLUMNS($F$7:O$7))))</f>
        <v>0</v>
      </c>
      <c r="P312" s="2223" cm="1">
        <f t="array" ref="P312">IF($D312&lt;COLUMNS($F$7:P$7),"",INDEX(TableDiv[[GASB]:[GASB]],_xlfn.AGGREGATE(15,3,(TableDiv[[Agency]:[Agency]]=$E312)/(TableDiv[[Agency]:[Agency]]=$E312)*(ROW(TableDiv[Agency])-ROW(TableDiv[[#Headers],[Agency]])),COLUMNS($F$7:P$7))))</f>
        <v>0</v>
      </c>
      <c r="Q312" s="2223" cm="1">
        <f t="array" ref="Q312">IF($D312&lt;COLUMNS($F$7:Q$7),"",INDEX(TableDiv[[GASB]:[GASB]],_xlfn.AGGREGATE(15,3,(TableDiv[[Agency]:[Agency]]=$E312)/(TableDiv[[Agency]:[Agency]]=$E312)*(ROW(TableDiv[Agency])-ROW(TableDiv[[#Headers],[Agency]])),COLUMNS($F$7:Q$7))))</f>
        <v>0</v>
      </c>
      <c r="R312" s="2223" cm="1">
        <f t="array" ref="R312">IF($D312&lt;COLUMNS($F$7:R$7),"",INDEX(TableDiv[[GASB]:[GASB]],_xlfn.AGGREGATE(15,3,(TableDiv[[Agency]:[Agency]]=$E312)/(TableDiv[[Agency]:[Agency]]=$E312)*(ROW(TableDiv[Agency])-ROW(TableDiv[[#Headers],[Agency]])),COLUMNS($F$7:R$7))))</f>
        <v>0</v>
      </c>
      <c r="S312" s="2223" cm="1">
        <f t="array" ref="S312">IF($D312&lt;COLUMNS($F$7:S$7),"",INDEX(TableDiv[[GASB]:[GASB]],_xlfn.AGGREGATE(15,3,(TableDiv[[Agency]:[Agency]]=$E312)/(TableDiv[[Agency]:[Agency]]=$E312)*(ROW(TableDiv[Agency])-ROW(TableDiv[[#Headers],[Agency]])),COLUMNS($F$7:S$7))))</f>
        <v>0</v>
      </c>
      <c r="T312" s="2223" cm="1">
        <f t="array" ref="T312">IF($D312&lt;COLUMNS($F$7:T$7),"",INDEX(TableDiv[[GASB]:[GASB]],_xlfn.AGGREGATE(15,3,(TableDiv[[Agency]:[Agency]]=$E312)/(TableDiv[[Agency]:[Agency]]=$E312)*(ROW(TableDiv[Agency])-ROW(TableDiv[[#Headers],[Agency]])),COLUMNS($F$7:T$7))))</f>
        <v>0</v>
      </c>
      <c r="U312" s="2223" cm="1">
        <f t="array" ref="U312">IF($D312&lt;COLUMNS($F$7:U$7),"",INDEX(TableDiv[[GASB]:[GASB]],_xlfn.AGGREGATE(15,3,(TableDiv[[Agency]:[Agency]]=$E312)/(TableDiv[[Agency]:[Agency]]=$E312)*(ROW(TableDiv[Agency])-ROW(TableDiv[[#Headers],[Agency]])),COLUMNS($F$7:U$7))))</f>
        <v>0</v>
      </c>
      <c r="V312" s="2223" cm="1">
        <f t="array" ref="V312">IF($D312&lt;COLUMNS($F$7:V$7),"",INDEX(TableDiv[[GASB]:[GASB]],_xlfn.AGGREGATE(15,3,(TableDiv[[Agency]:[Agency]]=$E312)/(TableDiv[[Agency]:[Agency]]=$E312)*(ROW(TableDiv[Agency])-ROW(TableDiv[[#Headers],[Agency]])),COLUMNS($F$7:V$7))))</f>
        <v>0</v>
      </c>
      <c r="W312" s="2223" cm="1">
        <f t="array" ref="W312">IF($D312&lt;COLUMNS($F$7:W$7),"",INDEX(TableDiv[[GASB]:[GASB]],_xlfn.AGGREGATE(15,3,(TableDiv[[Agency]:[Agency]]=$E312)/(TableDiv[[Agency]:[Agency]]=$E312)*(ROW(TableDiv[Agency])-ROW(TableDiv[[#Headers],[Agency]])),COLUMNS($F$7:W$7))))</f>
        <v>0</v>
      </c>
      <c r="X312" s="2223" cm="1">
        <f t="array" ref="X312">IF($D312&lt;COLUMNS($F$7:X$7),"",INDEX(TableDiv[[GASB]:[GASB]],_xlfn.AGGREGATE(15,3,(TableDiv[[Agency]:[Agency]]=$E312)/(TableDiv[[Agency]:[Agency]]=$E312)*(ROW(TableDiv[Agency])-ROW(TableDiv[[#Headers],[Agency]])),COLUMNS($F$7:X$7))))</f>
        <v>0</v>
      </c>
      <c r="Y312" s="2223" cm="1">
        <f t="array" ref="Y312">IF($D312&lt;COLUMNS($F$7:Y$7),"",INDEX(TableDiv[[GASB]:[GASB]],_xlfn.AGGREGATE(15,3,(TableDiv[[Agency]:[Agency]]=$E312)/(TableDiv[[Agency]:[Agency]]=$E312)*(ROW(TableDiv[Agency])-ROW(TableDiv[[#Headers],[Agency]])),COLUMNS($F$7:Y$7))))</f>
        <v>0</v>
      </c>
      <c r="Z312" s="2223" cm="1">
        <f t="array" ref="Z312">IF($D312&lt;COLUMNS($F$7:Z$7),"",INDEX(TableDiv[[GASB]:[GASB]],_xlfn.AGGREGATE(15,3,(TableDiv[[Agency]:[Agency]]=$E312)/(TableDiv[[Agency]:[Agency]]=$E312)*(ROW(TableDiv[Agency])-ROW(TableDiv[[#Headers],[Agency]])),COLUMNS($F$7:Z$7))))</f>
        <v>0</v>
      </c>
      <c r="AA312" s="2223" cm="1">
        <f t="array" ref="AA312">IF($D312&lt;COLUMNS($F$7:AA$7),"",INDEX(TableDiv[[GASB]:[GASB]],_xlfn.AGGREGATE(15,3,(TableDiv[[Agency]:[Agency]]=$E312)/(TableDiv[[Agency]:[Agency]]=$E312)*(ROW(TableDiv[Agency])-ROW(TableDiv[[#Headers],[Agency]])),COLUMNS($F$7:AA$7))))</f>
        <v>0</v>
      </c>
      <c r="AB312" s="2223" cm="1">
        <f t="array" ref="AB312">IF($D312&lt;COLUMNS($F$7:AB$7),"",INDEX(TableDiv[[GASB]:[GASB]],_xlfn.AGGREGATE(15,3,(TableDiv[[Agency]:[Agency]]=$E312)/(TableDiv[[Agency]:[Agency]]=$E312)*(ROW(TableDiv[Agency])-ROW(TableDiv[[#Headers],[Agency]])),COLUMNS($F$7:AB$7))))</f>
        <v>0</v>
      </c>
      <c r="AC312" s="2223" cm="1">
        <f t="array" ref="AC312">IF($D312&lt;COLUMNS($F$7:AC$7),"",INDEX(TableDiv[[GASB]:[GASB]],_xlfn.AGGREGATE(15,3,(TableDiv[[Agency]:[Agency]]=$E312)/(TableDiv[[Agency]:[Agency]]=$E312)*(ROW(TableDiv[Agency])-ROW(TableDiv[[#Headers],[Agency]])),COLUMNS($F$7:AC$7))))</f>
        <v>0</v>
      </c>
      <c r="AD312" s="2223" cm="1">
        <f t="array" ref="AD312">IF($D312&lt;COLUMNS($F$7:AD$7),"",INDEX(TableDiv[[GASB]:[GASB]],_xlfn.AGGREGATE(15,3,(TableDiv[[Agency]:[Agency]]=$E312)/(TableDiv[[Agency]:[Agency]]=$E312)*(ROW(TableDiv[Agency])-ROW(TableDiv[[#Headers],[Agency]])),COLUMNS($F$7:AD$7))))</f>
        <v>0</v>
      </c>
      <c r="AE312" s="2223" cm="1">
        <f t="array" ref="AE312">IF($D312&lt;COLUMNS($F$7:AE$7),"",INDEX(TableDiv[[GASB]:[GASB]],_xlfn.AGGREGATE(15,3,(TableDiv[[Agency]:[Agency]]=$E312)/(TableDiv[[Agency]:[Agency]]=$E312)*(ROW(TableDiv[Agency])-ROW(TableDiv[[#Headers],[Agency]])),COLUMNS($F$7:AE$7))))</f>
        <v>0</v>
      </c>
      <c r="AF312" s="2223" cm="1">
        <f t="array" ref="AF312">IF($D312&lt;COLUMNS($F$7:AF$7),"",INDEX(TableDiv[[GASB]:[GASB]],_xlfn.AGGREGATE(15,3,(TableDiv[[Agency]:[Agency]]=$E312)/(TableDiv[[Agency]:[Agency]]=$E312)*(ROW(TableDiv[Agency])-ROW(TableDiv[[#Headers],[Agency]])),COLUMNS($F$7:AF$7))))</f>
        <v>0</v>
      </c>
      <c r="AG312" s="2223" cm="1">
        <f t="array" ref="AG312">IF($D312&lt;COLUMNS($F$7:AG$7),"",INDEX(TableDiv[[GASB]:[GASB]],_xlfn.AGGREGATE(15,3,(TableDiv[[Agency]:[Agency]]=$E312)/(TableDiv[[Agency]:[Agency]]=$E312)*(ROW(TableDiv[Agency])-ROW(TableDiv[[#Headers],[Agency]])),COLUMNS($F$7:AG$7))))</f>
        <v>0</v>
      </c>
      <c r="AH312" s="2223" cm="1">
        <f t="array" ref="AH312">IF($D312&lt;COLUMNS($F$7:AH$7),"",INDEX(TableDiv[[GASB]:[GASB]],_xlfn.AGGREGATE(15,3,(TableDiv[[Agency]:[Agency]]=$E312)/(TableDiv[[Agency]:[Agency]]=$E312)*(ROW(TableDiv[Agency])-ROW(TableDiv[[#Headers],[Agency]])),COLUMNS($F$7:AH$7))))</f>
        <v>0</v>
      </c>
      <c r="AI312" s="2223" cm="1">
        <f t="array" ref="AI312">IF($D312&lt;COLUMNS($F$7:AI$7),"",INDEX(TableDiv[[GASB]:[GASB]],_xlfn.AGGREGATE(15,3,(TableDiv[[Agency]:[Agency]]=$E312)/(TableDiv[[Agency]:[Agency]]=$E312)*(ROW(TableDiv[Agency])-ROW(TableDiv[[#Headers],[Agency]])),COLUMNS($F$7:AI$7))))</f>
        <v>0</v>
      </c>
      <c r="AJ312" s="2223" cm="1">
        <f t="array" ref="AJ312">IF($D312&lt;COLUMNS($F$7:AJ$7),"",INDEX(TableDiv[[GASB]:[GASB]],_xlfn.AGGREGATE(15,3,(TableDiv[[Agency]:[Agency]]=$E312)/(TableDiv[[Agency]:[Agency]]=$E312)*(ROW(TableDiv[Agency])-ROW(TableDiv[[#Headers],[Agency]])),COLUMNS($F$7:AJ$7))))</f>
        <v>0</v>
      </c>
      <c r="AK312" s="2223" t="str" cm="1">
        <f t="array" ref="AK312">IF($D312&lt;COLUMNS($F$7:AK$7),"",INDEX(TableDiv[[GASB]:[GASB]],_xlfn.AGGREGATE(15,3,(TableDiv[[Agency]:[Agency]]=$E312)/(TableDiv[[Agency]:[Agency]]=$E312)*(ROW(TableDiv[Agency])-ROW(TableDiv[[#Headers],[Agency]])),COLUMNS($F$7:AK$7))))</f>
        <v/>
      </c>
      <c r="AL312" s="2223" t="str" cm="1">
        <f t="array" ref="AL312">IF($D312&lt;COLUMNS($F$7:AL$7),"",INDEX(TableDiv[[GASB]:[GASB]],_xlfn.AGGREGATE(15,3,(TableDiv[[Agency]:[Agency]]=$E312)/(TableDiv[[Agency]:[Agency]]=$E312)*(ROW(TableDiv[Agency])-ROW(TableDiv[[#Headers],[Agency]])),COLUMNS($F$7:AL$7))))</f>
        <v/>
      </c>
      <c r="AM312" s="2223" t="str" cm="1">
        <f t="array" ref="AM312">IF($D312&lt;COLUMNS($F$7:AM$7),"",INDEX(TableDiv[[GASB]:[GASB]],_xlfn.AGGREGATE(15,3,(TableDiv[[Agency]:[Agency]]=$E312)/(TableDiv[[Agency]:[Agency]]=$E312)*(ROW(TableDiv[Agency])-ROW(TableDiv[[#Headers],[Agency]])),COLUMNS($F$7:AM$7))))</f>
        <v/>
      </c>
      <c r="AN312" s="2223"/>
      <c r="AO312" s="2223"/>
      <c r="AP312" s="2223"/>
      <c r="AQ312" s="2223"/>
      <c r="AR312" s="2223"/>
      <c r="AS312" s="2223"/>
    </row>
    <row r="313" spans="1:45" ht="15" x14ac:dyDescent="0.25">
      <c r="A313" s="2219" t="s">
        <v>5121</v>
      </c>
      <c r="B313" s="2219" t="s">
        <v>6361</v>
      </c>
      <c r="C313" s="2223"/>
      <c r="D313" s="2223">
        <f>COUNTIF(TableDiv[Agency],E313)</f>
        <v>31</v>
      </c>
      <c r="E313" s="2230" t="str" cm="1">
        <f t="array" ref="E313">IFERROR(INDEX(TableDiv[Agency],MATCH(0,INDEX(COUNTIF($E$7:E312,TableDiv[Agency]),),0)),"")</f>
        <v/>
      </c>
      <c r="F313" s="2223" cm="1">
        <f t="array" ref="F313">IF($D313&lt;COLUMNS($F$7:F$7),"",INDEX(TableDiv[[GASB]:[GASB]],_xlfn.AGGREGATE(15,3,(TableDiv[[Agency]:[Agency]]=$E313)/(TableDiv[[Agency]:[Agency]]=$E313)*(ROW(TableDiv[Agency])-ROW(TableDiv[[#Headers],[Agency]])),COLUMNS($F$7:F$7))))</f>
        <v>0</v>
      </c>
      <c r="G313" s="2223" cm="1">
        <f t="array" ref="G313">IF($D313&lt;COLUMNS($F$7:G$7),"",INDEX(TableDiv[[GASB]:[GASB]],_xlfn.AGGREGATE(15,3,(TableDiv[[Agency]:[Agency]]=$E313)/(TableDiv[[Agency]:[Agency]]=$E313)*(ROW(TableDiv[Agency])-ROW(TableDiv[[#Headers],[Agency]])),COLUMNS($F$7:G$7))))</f>
        <v>0</v>
      </c>
      <c r="H313" s="2223" cm="1">
        <f t="array" ref="H313">IF($D313&lt;COLUMNS($F$7:H$7),"",INDEX(TableDiv[[GASB]:[GASB]],_xlfn.AGGREGATE(15,3,(TableDiv[[Agency]:[Agency]]=$E313)/(TableDiv[[Agency]:[Agency]]=$E313)*(ROW(TableDiv[Agency])-ROW(TableDiv[[#Headers],[Agency]])),COLUMNS($F$7:H$7))))</f>
        <v>0</v>
      </c>
      <c r="I313" s="2223" cm="1">
        <f t="array" ref="I313">IF($D313&lt;COLUMNS($F$7:I$7),"",INDEX(TableDiv[[GASB]:[GASB]],_xlfn.AGGREGATE(15,3,(TableDiv[[Agency]:[Agency]]=$E313)/(TableDiv[[Agency]:[Agency]]=$E313)*(ROW(TableDiv[Agency])-ROW(TableDiv[[#Headers],[Agency]])),COLUMNS($F$7:I$7))))</f>
        <v>0</v>
      </c>
      <c r="J313" s="2223" cm="1">
        <f t="array" ref="J313">IF($D313&lt;COLUMNS($F$7:J$7),"",INDEX(TableDiv[[GASB]:[GASB]],_xlfn.AGGREGATE(15,3,(TableDiv[[Agency]:[Agency]]=$E313)/(TableDiv[[Agency]:[Agency]]=$E313)*(ROW(TableDiv[Agency])-ROW(TableDiv[[#Headers],[Agency]])),COLUMNS($F$7:J$7))))</f>
        <v>0</v>
      </c>
      <c r="K313" s="2223" cm="1">
        <f t="array" ref="K313">IF($D313&lt;COLUMNS($F$7:K$7),"",INDEX(TableDiv[[GASB]:[GASB]],_xlfn.AGGREGATE(15,3,(TableDiv[[Agency]:[Agency]]=$E313)/(TableDiv[[Agency]:[Agency]]=$E313)*(ROW(TableDiv[Agency])-ROW(TableDiv[[#Headers],[Agency]])),COLUMNS($F$7:K$7))))</f>
        <v>0</v>
      </c>
      <c r="L313" s="2223" cm="1">
        <f t="array" ref="L313">IF($D313&lt;COLUMNS($F$7:L$7),"",INDEX(TableDiv[[GASB]:[GASB]],_xlfn.AGGREGATE(15,3,(TableDiv[[Agency]:[Agency]]=$E313)/(TableDiv[[Agency]:[Agency]]=$E313)*(ROW(TableDiv[Agency])-ROW(TableDiv[[#Headers],[Agency]])),COLUMNS($F$7:L$7))))</f>
        <v>0</v>
      </c>
      <c r="M313" s="2223" cm="1">
        <f t="array" ref="M313">IF($D313&lt;COLUMNS($F$7:M$7),"",INDEX(TableDiv[[GASB]:[GASB]],_xlfn.AGGREGATE(15,3,(TableDiv[[Agency]:[Agency]]=$E313)/(TableDiv[[Agency]:[Agency]]=$E313)*(ROW(TableDiv[Agency])-ROW(TableDiv[[#Headers],[Agency]])),COLUMNS($F$7:M$7))))</f>
        <v>0</v>
      </c>
      <c r="N313" s="2223" cm="1">
        <f t="array" ref="N313">IF($D313&lt;COLUMNS($F$7:N$7),"",INDEX(TableDiv[[GASB]:[GASB]],_xlfn.AGGREGATE(15,3,(TableDiv[[Agency]:[Agency]]=$E313)/(TableDiv[[Agency]:[Agency]]=$E313)*(ROW(TableDiv[Agency])-ROW(TableDiv[[#Headers],[Agency]])),COLUMNS($F$7:N$7))))</f>
        <v>0</v>
      </c>
      <c r="O313" s="2223" cm="1">
        <f t="array" ref="O313">IF($D313&lt;COLUMNS($F$7:O$7),"",INDEX(TableDiv[[GASB]:[GASB]],_xlfn.AGGREGATE(15,3,(TableDiv[[Agency]:[Agency]]=$E313)/(TableDiv[[Agency]:[Agency]]=$E313)*(ROW(TableDiv[Agency])-ROW(TableDiv[[#Headers],[Agency]])),COLUMNS($F$7:O$7))))</f>
        <v>0</v>
      </c>
      <c r="P313" s="2223" cm="1">
        <f t="array" ref="P313">IF($D313&lt;COLUMNS($F$7:P$7),"",INDEX(TableDiv[[GASB]:[GASB]],_xlfn.AGGREGATE(15,3,(TableDiv[[Agency]:[Agency]]=$E313)/(TableDiv[[Agency]:[Agency]]=$E313)*(ROW(TableDiv[Agency])-ROW(TableDiv[[#Headers],[Agency]])),COLUMNS($F$7:P$7))))</f>
        <v>0</v>
      </c>
      <c r="Q313" s="2223" cm="1">
        <f t="array" ref="Q313">IF($D313&lt;COLUMNS($F$7:Q$7),"",INDEX(TableDiv[[GASB]:[GASB]],_xlfn.AGGREGATE(15,3,(TableDiv[[Agency]:[Agency]]=$E313)/(TableDiv[[Agency]:[Agency]]=$E313)*(ROW(TableDiv[Agency])-ROW(TableDiv[[#Headers],[Agency]])),COLUMNS($F$7:Q$7))))</f>
        <v>0</v>
      </c>
      <c r="R313" s="2223" cm="1">
        <f t="array" ref="R313">IF($D313&lt;COLUMNS($F$7:R$7),"",INDEX(TableDiv[[GASB]:[GASB]],_xlfn.AGGREGATE(15,3,(TableDiv[[Agency]:[Agency]]=$E313)/(TableDiv[[Agency]:[Agency]]=$E313)*(ROW(TableDiv[Agency])-ROW(TableDiv[[#Headers],[Agency]])),COLUMNS($F$7:R$7))))</f>
        <v>0</v>
      </c>
      <c r="S313" s="2223" cm="1">
        <f t="array" ref="S313">IF($D313&lt;COLUMNS($F$7:S$7),"",INDEX(TableDiv[[GASB]:[GASB]],_xlfn.AGGREGATE(15,3,(TableDiv[[Agency]:[Agency]]=$E313)/(TableDiv[[Agency]:[Agency]]=$E313)*(ROW(TableDiv[Agency])-ROW(TableDiv[[#Headers],[Agency]])),COLUMNS($F$7:S$7))))</f>
        <v>0</v>
      </c>
      <c r="T313" s="2223" cm="1">
        <f t="array" ref="T313">IF($D313&lt;COLUMNS($F$7:T$7),"",INDEX(TableDiv[[GASB]:[GASB]],_xlfn.AGGREGATE(15,3,(TableDiv[[Agency]:[Agency]]=$E313)/(TableDiv[[Agency]:[Agency]]=$E313)*(ROW(TableDiv[Agency])-ROW(TableDiv[[#Headers],[Agency]])),COLUMNS($F$7:T$7))))</f>
        <v>0</v>
      </c>
      <c r="U313" s="2223" cm="1">
        <f t="array" ref="U313">IF($D313&lt;COLUMNS($F$7:U$7),"",INDEX(TableDiv[[GASB]:[GASB]],_xlfn.AGGREGATE(15,3,(TableDiv[[Agency]:[Agency]]=$E313)/(TableDiv[[Agency]:[Agency]]=$E313)*(ROW(TableDiv[Agency])-ROW(TableDiv[[#Headers],[Agency]])),COLUMNS($F$7:U$7))))</f>
        <v>0</v>
      </c>
      <c r="V313" s="2223" cm="1">
        <f t="array" ref="V313">IF($D313&lt;COLUMNS($F$7:V$7),"",INDEX(TableDiv[[GASB]:[GASB]],_xlfn.AGGREGATE(15,3,(TableDiv[[Agency]:[Agency]]=$E313)/(TableDiv[[Agency]:[Agency]]=$E313)*(ROW(TableDiv[Agency])-ROW(TableDiv[[#Headers],[Agency]])),COLUMNS($F$7:V$7))))</f>
        <v>0</v>
      </c>
      <c r="W313" s="2223" cm="1">
        <f t="array" ref="W313">IF($D313&lt;COLUMNS($F$7:W$7),"",INDEX(TableDiv[[GASB]:[GASB]],_xlfn.AGGREGATE(15,3,(TableDiv[[Agency]:[Agency]]=$E313)/(TableDiv[[Agency]:[Agency]]=$E313)*(ROW(TableDiv[Agency])-ROW(TableDiv[[#Headers],[Agency]])),COLUMNS($F$7:W$7))))</f>
        <v>0</v>
      </c>
      <c r="X313" s="2223" cm="1">
        <f t="array" ref="X313">IF($D313&lt;COLUMNS($F$7:X$7),"",INDEX(TableDiv[[GASB]:[GASB]],_xlfn.AGGREGATE(15,3,(TableDiv[[Agency]:[Agency]]=$E313)/(TableDiv[[Agency]:[Agency]]=$E313)*(ROW(TableDiv[Agency])-ROW(TableDiv[[#Headers],[Agency]])),COLUMNS($F$7:X$7))))</f>
        <v>0</v>
      </c>
      <c r="Y313" s="2223" cm="1">
        <f t="array" ref="Y313">IF($D313&lt;COLUMNS($F$7:Y$7),"",INDEX(TableDiv[[GASB]:[GASB]],_xlfn.AGGREGATE(15,3,(TableDiv[[Agency]:[Agency]]=$E313)/(TableDiv[[Agency]:[Agency]]=$E313)*(ROW(TableDiv[Agency])-ROW(TableDiv[[#Headers],[Agency]])),COLUMNS($F$7:Y$7))))</f>
        <v>0</v>
      </c>
      <c r="Z313" s="2223" cm="1">
        <f t="array" ref="Z313">IF($D313&lt;COLUMNS($F$7:Z$7),"",INDEX(TableDiv[[GASB]:[GASB]],_xlfn.AGGREGATE(15,3,(TableDiv[[Agency]:[Agency]]=$E313)/(TableDiv[[Agency]:[Agency]]=$E313)*(ROW(TableDiv[Agency])-ROW(TableDiv[[#Headers],[Agency]])),COLUMNS($F$7:Z$7))))</f>
        <v>0</v>
      </c>
      <c r="AA313" s="2223" cm="1">
        <f t="array" ref="AA313">IF($D313&lt;COLUMNS($F$7:AA$7),"",INDEX(TableDiv[[GASB]:[GASB]],_xlfn.AGGREGATE(15,3,(TableDiv[[Agency]:[Agency]]=$E313)/(TableDiv[[Agency]:[Agency]]=$E313)*(ROW(TableDiv[Agency])-ROW(TableDiv[[#Headers],[Agency]])),COLUMNS($F$7:AA$7))))</f>
        <v>0</v>
      </c>
      <c r="AB313" s="2223" cm="1">
        <f t="array" ref="AB313">IF($D313&lt;COLUMNS($F$7:AB$7),"",INDEX(TableDiv[[GASB]:[GASB]],_xlfn.AGGREGATE(15,3,(TableDiv[[Agency]:[Agency]]=$E313)/(TableDiv[[Agency]:[Agency]]=$E313)*(ROW(TableDiv[Agency])-ROW(TableDiv[[#Headers],[Agency]])),COLUMNS($F$7:AB$7))))</f>
        <v>0</v>
      </c>
      <c r="AC313" s="2223" cm="1">
        <f t="array" ref="AC313">IF($D313&lt;COLUMNS($F$7:AC$7),"",INDEX(TableDiv[[GASB]:[GASB]],_xlfn.AGGREGATE(15,3,(TableDiv[[Agency]:[Agency]]=$E313)/(TableDiv[[Agency]:[Agency]]=$E313)*(ROW(TableDiv[Agency])-ROW(TableDiv[[#Headers],[Agency]])),COLUMNS($F$7:AC$7))))</f>
        <v>0</v>
      </c>
      <c r="AD313" s="2223" cm="1">
        <f t="array" ref="AD313">IF($D313&lt;COLUMNS($F$7:AD$7),"",INDEX(TableDiv[[GASB]:[GASB]],_xlfn.AGGREGATE(15,3,(TableDiv[[Agency]:[Agency]]=$E313)/(TableDiv[[Agency]:[Agency]]=$E313)*(ROW(TableDiv[Agency])-ROW(TableDiv[[#Headers],[Agency]])),COLUMNS($F$7:AD$7))))</f>
        <v>0</v>
      </c>
      <c r="AE313" s="2223" cm="1">
        <f t="array" ref="AE313">IF($D313&lt;COLUMNS($F$7:AE$7),"",INDEX(TableDiv[[GASB]:[GASB]],_xlfn.AGGREGATE(15,3,(TableDiv[[Agency]:[Agency]]=$E313)/(TableDiv[[Agency]:[Agency]]=$E313)*(ROW(TableDiv[Agency])-ROW(TableDiv[[#Headers],[Agency]])),COLUMNS($F$7:AE$7))))</f>
        <v>0</v>
      </c>
      <c r="AF313" s="2223" cm="1">
        <f t="array" ref="AF313">IF($D313&lt;COLUMNS($F$7:AF$7),"",INDEX(TableDiv[[GASB]:[GASB]],_xlfn.AGGREGATE(15,3,(TableDiv[[Agency]:[Agency]]=$E313)/(TableDiv[[Agency]:[Agency]]=$E313)*(ROW(TableDiv[Agency])-ROW(TableDiv[[#Headers],[Agency]])),COLUMNS($F$7:AF$7))))</f>
        <v>0</v>
      </c>
      <c r="AG313" s="2223" cm="1">
        <f t="array" ref="AG313">IF($D313&lt;COLUMNS($F$7:AG$7),"",INDEX(TableDiv[[GASB]:[GASB]],_xlfn.AGGREGATE(15,3,(TableDiv[[Agency]:[Agency]]=$E313)/(TableDiv[[Agency]:[Agency]]=$E313)*(ROW(TableDiv[Agency])-ROW(TableDiv[[#Headers],[Agency]])),COLUMNS($F$7:AG$7))))</f>
        <v>0</v>
      </c>
      <c r="AH313" s="2223" cm="1">
        <f t="array" ref="AH313">IF($D313&lt;COLUMNS($F$7:AH$7),"",INDEX(TableDiv[[GASB]:[GASB]],_xlfn.AGGREGATE(15,3,(TableDiv[[Agency]:[Agency]]=$E313)/(TableDiv[[Agency]:[Agency]]=$E313)*(ROW(TableDiv[Agency])-ROW(TableDiv[[#Headers],[Agency]])),COLUMNS($F$7:AH$7))))</f>
        <v>0</v>
      </c>
      <c r="AI313" s="2223" cm="1">
        <f t="array" ref="AI313">IF($D313&lt;COLUMNS($F$7:AI$7),"",INDEX(TableDiv[[GASB]:[GASB]],_xlfn.AGGREGATE(15,3,(TableDiv[[Agency]:[Agency]]=$E313)/(TableDiv[[Agency]:[Agency]]=$E313)*(ROW(TableDiv[Agency])-ROW(TableDiv[[#Headers],[Agency]])),COLUMNS($F$7:AI$7))))</f>
        <v>0</v>
      </c>
      <c r="AJ313" s="2223" cm="1">
        <f t="array" ref="AJ313">IF($D313&lt;COLUMNS($F$7:AJ$7),"",INDEX(TableDiv[[GASB]:[GASB]],_xlfn.AGGREGATE(15,3,(TableDiv[[Agency]:[Agency]]=$E313)/(TableDiv[[Agency]:[Agency]]=$E313)*(ROW(TableDiv[Agency])-ROW(TableDiv[[#Headers],[Agency]])),COLUMNS($F$7:AJ$7))))</f>
        <v>0</v>
      </c>
      <c r="AK313" s="2223" t="str" cm="1">
        <f t="array" ref="AK313">IF($D313&lt;COLUMNS($F$7:AK$7),"",INDEX(TableDiv[[GASB]:[GASB]],_xlfn.AGGREGATE(15,3,(TableDiv[[Agency]:[Agency]]=$E313)/(TableDiv[[Agency]:[Agency]]=$E313)*(ROW(TableDiv[Agency])-ROW(TableDiv[[#Headers],[Agency]])),COLUMNS($F$7:AK$7))))</f>
        <v/>
      </c>
      <c r="AL313" s="2223" t="str" cm="1">
        <f t="array" ref="AL313">IF($D313&lt;COLUMNS($F$7:AL$7),"",INDEX(TableDiv[[GASB]:[GASB]],_xlfn.AGGREGATE(15,3,(TableDiv[[Agency]:[Agency]]=$E313)/(TableDiv[[Agency]:[Agency]]=$E313)*(ROW(TableDiv[Agency])-ROW(TableDiv[[#Headers],[Agency]])),COLUMNS($F$7:AL$7))))</f>
        <v/>
      </c>
      <c r="AM313" s="2223" t="str" cm="1">
        <f t="array" ref="AM313">IF($D313&lt;COLUMNS($F$7:AM$7),"",INDEX(TableDiv[[GASB]:[GASB]],_xlfn.AGGREGATE(15,3,(TableDiv[[Agency]:[Agency]]=$E313)/(TableDiv[[Agency]:[Agency]]=$E313)*(ROW(TableDiv[Agency])-ROW(TableDiv[[#Headers],[Agency]])),COLUMNS($F$7:AM$7))))</f>
        <v/>
      </c>
      <c r="AN313" s="2223"/>
      <c r="AO313" s="2223"/>
      <c r="AP313" s="2223"/>
      <c r="AQ313" s="2223"/>
      <c r="AR313" s="2223"/>
      <c r="AS313" s="2223"/>
    </row>
    <row r="314" spans="1:45" ht="15" x14ac:dyDescent="0.25">
      <c r="A314" s="2219" t="s">
        <v>5121</v>
      </c>
      <c r="B314" s="2219" t="s">
        <v>6358</v>
      </c>
      <c r="C314" s="2223"/>
      <c r="D314" s="2223">
        <f>COUNTIF(TableDiv[Agency],E314)</f>
        <v>31</v>
      </c>
      <c r="E314" s="2230" t="str" cm="1">
        <f t="array" ref="E314">IFERROR(INDEX(TableDiv[Agency],MATCH(0,INDEX(COUNTIF($E$7:E313,TableDiv[Agency]),),0)),"")</f>
        <v/>
      </c>
      <c r="F314" s="2223" cm="1">
        <f t="array" ref="F314">IF($D314&lt;COLUMNS($F$7:F$7),"",INDEX(TableDiv[[GASB]:[GASB]],_xlfn.AGGREGATE(15,3,(TableDiv[[Agency]:[Agency]]=$E314)/(TableDiv[[Agency]:[Agency]]=$E314)*(ROW(TableDiv[Agency])-ROW(TableDiv[[#Headers],[Agency]])),COLUMNS($F$7:F$7))))</f>
        <v>0</v>
      </c>
      <c r="G314" s="2223" cm="1">
        <f t="array" ref="G314">IF($D314&lt;COLUMNS($F$7:G$7),"",INDEX(TableDiv[[GASB]:[GASB]],_xlfn.AGGREGATE(15,3,(TableDiv[[Agency]:[Agency]]=$E314)/(TableDiv[[Agency]:[Agency]]=$E314)*(ROW(TableDiv[Agency])-ROW(TableDiv[[#Headers],[Agency]])),COLUMNS($F$7:G$7))))</f>
        <v>0</v>
      </c>
      <c r="H314" s="2223" cm="1">
        <f t="array" ref="H314">IF($D314&lt;COLUMNS($F$7:H$7),"",INDEX(TableDiv[[GASB]:[GASB]],_xlfn.AGGREGATE(15,3,(TableDiv[[Agency]:[Agency]]=$E314)/(TableDiv[[Agency]:[Agency]]=$E314)*(ROW(TableDiv[Agency])-ROW(TableDiv[[#Headers],[Agency]])),COLUMNS($F$7:H$7))))</f>
        <v>0</v>
      </c>
      <c r="I314" s="2223" cm="1">
        <f t="array" ref="I314">IF($D314&lt;COLUMNS($F$7:I$7),"",INDEX(TableDiv[[GASB]:[GASB]],_xlfn.AGGREGATE(15,3,(TableDiv[[Agency]:[Agency]]=$E314)/(TableDiv[[Agency]:[Agency]]=$E314)*(ROW(TableDiv[Agency])-ROW(TableDiv[[#Headers],[Agency]])),COLUMNS($F$7:I$7))))</f>
        <v>0</v>
      </c>
      <c r="J314" s="2223" cm="1">
        <f t="array" ref="J314">IF($D314&lt;COLUMNS($F$7:J$7),"",INDEX(TableDiv[[GASB]:[GASB]],_xlfn.AGGREGATE(15,3,(TableDiv[[Agency]:[Agency]]=$E314)/(TableDiv[[Agency]:[Agency]]=$E314)*(ROW(TableDiv[Agency])-ROW(TableDiv[[#Headers],[Agency]])),COLUMNS($F$7:J$7))))</f>
        <v>0</v>
      </c>
      <c r="K314" s="2223" cm="1">
        <f t="array" ref="K314">IF($D314&lt;COLUMNS($F$7:K$7),"",INDEX(TableDiv[[GASB]:[GASB]],_xlfn.AGGREGATE(15,3,(TableDiv[[Agency]:[Agency]]=$E314)/(TableDiv[[Agency]:[Agency]]=$E314)*(ROW(TableDiv[Agency])-ROW(TableDiv[[#Headers],[Agency]])),COLUMNS($F$7:K$7))))</f>
        <v>0</v>
      </c>
      <c r="L314" s="2223" cm="1">
        <f t="array" ref="L314">IF($D314&lt;COLUMNS($F$7:L$7),"",INDEX(TableDiv[[GASB]:[GASB]],_xlfn.AGGREGATE(15,3,(TableDiv[[Agency]:[Agency]]=$E314)/(TableDiv[[Agency]:[Agency]]=$E314)*(ROW(TableDiv[Agency])-ROW(TableDiv[[#Headers],[Agency]])),COLUMNS($F$7:L$7))))</f>
        <v>0</v>
      </c>
      <c r="M314" s="2223" cm="1">
        <f t="array" ref="M314">IF($D314&lt;COLUMNS($F$7:M$7),"",INDEX(TableDiv[[GASB]:[GASB]],_xlfn.AGGREGATE(15,3,(TableDiv[[Agency]:[Agency]]=$E314)/(TableDiv[[Agency]:[Agency]]=$E314)*(ROW(TableDiv[Agency])-ROW(TableDiv[[#Headers],[Agency]])),COLUMNS($F$7:M$7))))</f>
        <v>0</v>
      </c>
      <c r="N314" s="2223" cm="1">
        <f t="array" ref="N314">IF($D314&lt;COLUMNS($F$7:N$7),"",INDEX(TableDiv[[GASB]:[GASB]],_xlfn.AGGREGATE(15,3,(TableDiv[[Agency]:[Agency]]=$E314)/(TableDiv[[Agency]:[Agency]]=$E314)*(ROW(TableDiv[Agency])-ROW(TableDiv[[#Headers],[Agency]])),COLUMNS($F$7:N$7))))</f>
        <v>0</v>
      </c>
      <c r="O314" s="2223" cm="1">
        <f t="array" ref="O314">IF($D314&lt;COLUMNS($F$7:O$7),"",INDEX(TableDiv[[GASB]:[GASB]],_xlfn.AGGREGATE(15,3,(TableDiv[[Agency]:[Agency]]=$E314)/(TableDiv[[Agency]:[Agency]]=$E314)*(ROW(TableDiv[Agency])-ROW(TableDiv[[#Headers],[Agency]])),COLUMNS($F$7:O$7))))</f>
        <v>0</v>
      </c>
      <c r="P314" s="2223" cm="1">
        <f t="array" ref="P314">IF($D314&lt;COLUMNS($F$7:P$7),"",INDEX(TableDiv[[GASB]:[GASB]],_xlfn.AGGREGATE(15,3,(TableDiv[[Agency]:[Agency]]=$E314)/(TableDiv[[Agency]:[Agency]]=$E314)*(ROW(TableDiv[Agency])-ROW(TableDiv[[#Headers],[Agency]])),COLUMNS($F$7:P$7))))</f>
        <v>0</v>
      </c>
      <c r="Q314" s="2223" cm="1">
        <f t="array" ref="Q314">IF($D314&lt;COLUMNS($F$7:Q$7),"",INDEX(TableDiv[[GASB]:[GASB]],_xlfn.AGGREGATE(15,3,(TableDiv[[Agency]:[Agency]]=$E314)/(TableDiv[[Agency]:[Agency]]=$E314)*(ROW(TableDiv[Agency])-ROW(TableDiv[[#Headers],[Agency]])),COLUMNS($F$7:Q$7))))</f>
        <v>0</v>
      </c>
      <c r="R314" s="2223" cm="1">
        <f t="array" ref="R314">IF($D314&lt;COLUMNS($F$7:R$7),"",INDEX(TableDiv[[GASB]:[GASB]],_xlfn.AGGREGATE(15,3,(TableDiv[[Agency]:[Agency]]=$E314)/(TableDiv[[Agency]:[Agency]]=$E314)*(ROW(TableDiv[Agency])-ROW(TableDiv[[#Headers],[Agency]])),COLUMNS($F$7:R$7))))</f>
        <v>0</v>
      </c>
      <c r="S314" s="2223" cm="1">
        <f t="array" ref="S314">IF($D314&lt;COLUMNS($F$7:S$7),"",INDEX(TableDiv[[GASB]:[GASB]],_xlfn.AGGREGATE(15,3,(TableDiv[[Agency]:[Agency]]=$E314)/(TableDiv[[Agency]:[Agency]]=$E314)*(ROW(TableDiv[Agency])-ROW(TableDiv[[#Headers],[Agency]])),COLUMNS($F$7:S$7))))</f>
        <v>0</v>
      </c>
      <c r="T314" s="2223" cm="1">
        <f t="array" ref="T314">IF($D314&lt;COLUMNS($F$7:T$7),"",INDEX(TableDiv[[GASB]:[GASB]],_xlfn.AGGREGATE(15,3,(TableDiv[[Agency]:[Agency]]=$E314)/(TableDiv[[Agency]:[Agency]]=$E314)*(ROW(TableDiv[Agency])-ROW(TableDiv[[#Headers],[Agency]])),COLUMNS($F$7:T$7))))</f>
        <v>0</v>
      </c>
      <c r="U314" s="2223" cm="1">
        <f t="array" ref="U314">IF($D314&lt;COLUMNS($F$7:U$7),"",INDEX(TableDiv[[GASB]:[GASB]],_xlfn.AGGREGATE(15,3,(TableDiv[[Agency]:[Agency]]=$E314)/(TableDiv[[Agency]:[Agency]]=$E314)*(ROW(TableDiv[Agency])-ROW(TableDiv[[#Headers],[Agency]])),COLUMNS($F$7:U$7))))</f>
        <v>0</v>
      </c>
      <c r="V314" s="2223" cm="1">
        <f t="array" ref="V314">IF($D314&lt;COLUMNS($F$7:V$7),"",INDEX(TableDiv[[GASB]:[GASB]],_xlfn.AGGREGATE(15,3,(TableDiv[[Agency]:[Agency]]=$E314)/(TableDiv[[Agency]:[Agency]]=$E314)*(ROW(TableDiv[Agency])-ROW(TableDiv[[#Headers],[Agency]])),COLUMNS($F$7:V$7))))</f>
        <v>0</v>
      </c>
      <c r="W314" s="2223" cm="1">
        <f t="array" ref="W314">IF($D314&lt;COLUMNS($F$7:W$7),"",INDEX(TableDiv[[GASB]:[GASB]],_xlfn.AGGREGATE(15,3,(TableDiv[[Agency]:[Agency]]=$E314)/(TableDiv[[Agency]:[Agency]]=$E314)*(ROW(TableDiv[Agency])-ROW(TableDiv[[#Headers],[Agency]])),COLUMNS($F$7:W$7))))</f>
        <v>0</v>
      </c>
      <c r="X314" s="2223" cm="1">
        <f t="array" ref="X314">IF($D314&lt;COLUMNS($F$7:X$7),"",INDEX(TableDiv[[GASB]:[GASB]],_xlfn.AGGREGATE(15,3,(TableDiv[[Agency]:[Agency]]=$E314)/(TableDiv[[Agency]:[Agency]]=$E314)*(ROW(TableDiv[Agency])-ROW(TableDiv[[#Headers],[Agency]])),COLUMNS($F$7:X$7))))</f>
        <v>0</v>
      </c>
      <c r="Y314" s="2223" cm="1">
        <f t="array" ref="Y314">IF($D314&lt;COLUMNS($F$7:Y$7),"",INDEX(TableDiv[[GASB]:[GASB]],_xlfn.AGGREGATE(15,3,(TableDiv[[Agency]:[Agency]]=$E314)/(TableDiv[[Agency]:[Agency]]=$E314)*(ROW(TableDiv[Agency])-ROW(TableDiv[[#Headers],[Agency]])),COLUMNS($F$7:Y$7))))</f>
        <v>0</v>
      </c>
      <c r="Z314" s="2223" cm="1">
        <f t="array" ref="Z314">IF($D314&lt;COLUMNS($F$7:Z$7),"",INDEX(TableDiv[[GASB]:[GASB]],_xlfn.AGGREGATE(15,3,(TableDiv[[Agency]:[Agency]]=$E314)/(TableDiv[[Agency]:[Agency]]=$E314)*(ROW(TableDiv[Agency])-ROW(TableDiv[[#Headers],[Agency]])),COLUMNS($F$7:Z$7))))</f>
        <v>0</v>
      </c>
      <c r="AA314" s="2223" cm="1">
        <f t="array" ref="AA314">IF($D314&lt;COLUMNS($F$7:AA$7),"",INDEX(TableDiv[[GASB]:[GASB]],_xlfn.AGGREGATE(15,3,(TableDiv[[Agency]:[Agency]]=$E314)/(TableDiv[[Agency]:[Agency]]=$E314)*(ROW(TableDiv[Agency])-ROW(TableDiv[[#Headers],[Agency]])),COLUMNS($F$7:AA$7))))</f>
        <v>0</v>
      </c>
      <c r="AB314" s="2223" cm="1">
        <f t="array" ref="AB314">IF($D314&lt;COLUMNS($F$7:AB$7),"",INDEX(TableDiv[[GASB]:[GASB]],_xlfn.AGGREGATE(15,3,(TableDiv[[Agency]:[Agency]]=$E314)/(TableDiv[[Agency]:[Agency]]=$E314)*(ROW(TableDiv[Agency])-ROW(TableDiv[[#Headers],[Agency]])),COLUMNS($F$7:AB$7))))</f>
        <v>0</v>
      </c>
      <c r="AC314" s="2223" cm="1">
        <f t="array" ref="AC314">IF($D314&lt;COLUMNS($F$7:AC$7),"",INDEX(TableDiv[[GASB]:[GASB]],_xlfn.AGGREGATE(15,3,(TableDiv[[Agency]:[Agency]]=$E314)/(TableDiv[[Agency]:[Agency]]=$E314)*(ROW(TableDiv[Agency])-ROW(TableDiv[[#Headers],[Agency]])),COLUMNS($F$7:AC$7))))</f>
        <v>0</v>
      </c>
      <c r="AD314" s="2223" cm="1">
        <f t="array" ref="AD314">IF($D314&lt;COLUMNS($F$7:AD$7),"",INDEX(TableDiv[[GASB]:[GASB]],_xlfn.AGGREGATE(15,3,(TableDiv[[Agency]:[Agency]]=$E314)/(TableDiv[[Agency]:[Agency]]=$E314)*(ROW(TableDiv[Agency])-ROW(TableDiv[[#Headers],[Agency]])),COLUMNS($F$7:AD$7))))</f>
        <v>0</v>
      </c>
      <c r="AE314" s="2223" cm="1">
        <f t="array" ref="AE314">IF($D314&lt;COLUMNS($F$7:AE$7),"",INDEX(TableDiv[[GASB]:[GASB]],_xlfn.AGGREGATE(15,3,(TableDiv[[Agency]:[Agency]]=$E314)/(TableDiv[[Agency]:[Agency]]=$E314)*(ROW(TableDiv[Agency])-ROW(TableDiv[[#Headers],[Agency]])),COLUMNS($F$7:AE$7))))</f>
        <v>0</v>
      </c>
      <c r="AF314" s="2223" cm="1">
        <f t="array" ref="AF314">IF($D314&lt;COLUMNS($F$7:AF$7),"",INDEX(TableDiv[[GASB]:[GASB]],_xlfn.AGGREGATE(15,3,(TableDiv[[Agency]:[Agency]]=$E314)/(TableDiv[[Agency]:[Agency]]=$E314)*(ROW(TableDiv[Agency])-ROW(TableDiv[[#Headers],[Agency]])),COLUMNS($F$7:AF$7))))</f>
        <v>0</v>
      </c>
      <c r="AG314" s="2223" cm="1">
        <f t="array" ref="AG314">IF($D314&lt;COLUMNS($F$7:AG$7),"",INDEX(TableDiv[[GASB]:[GASB]],_xlfn.AGGREGATE(15,3,(TableDiv[[Agency]:[Agency]]=$E314)/(TableDiv[[Agency]:[Agency]]=$E314)*(ROW(TableDiv[Agency])-ROW(TableDiv[[#Headers],[Agency]])),COLUMNS($F$7:AG$7))))</f>
        <v>0</v>
      </c>
      <c r="AH314" s="2223" cm="1">
        <f t="array" ref="AH314">IF($D314&lt;COLUMNS($F$7:AH$7),"",INDEX(TableDiv[[GASB]:[GASB]],_xlfn.AGGREGATE(15,3,(TableDiv[[Agency]:[Agency]]=$E314)/(TableDiv[[Agency]:[Agency]]=$E314)*(ROW(TableDiv[Agency])-ROW(TableDiv[[#Headers],[Agency]])),COLUMNS($F$7:AH$7))))</f>
        <v>0</v>
      </c>
      <c r="AI314" s="2223" cm="1">
        <f t="array" ref="AI314">IF($D314&lt;COLUMNS($F$7:AI$7),"",INDEX(TableDiv[[GASB]:[GASB]],_xlfn.AGGREGATE(15,3,(TableDiv[[Agency]:[Agency]]=$E314)/(TableDiv[[Agency]:[Agency]]=$E314)*(ROW(TableDiv[Agency])-ROW(TableDiv[[#Headers],[Agency]])),COLUMNS($F$7:AI$7))))</f>
        <v>0</v>
      </c>
      <c r="AJ314" s="2223" cm="1">
        <f t="array" ref="AJ314">IF($D314&lt;COLUMNS($F$7:AJ$7),"",INDEX(TableDiv[[GASB]:[GASB]],_xlfn.AGGREGATE(15,3,(TableDiv[[Agency]:[Agency]]=$E314)/(TableDiv[[Agency]:[Agency]]=$E314)*(ROW(TableDiv[Agency])-ROW(TableDiv[[#Headers],[Agency]])),COLUMNS($F$7:AJ$7))))</f>
        <v>0</v>
      </c>
      <c r="AK314" s="2223" t="str" cm="1">
        <f t="array" ref="AK314">IF($D314&lt;COLUMNS($F$7:AK$7),"",INDEX(TableDiv[[GASB]:[GASB]],_xlfn.AGGREGATE(15,3,(TableDiv[[Agency]:[Agency]]=$E314)/(TableDiv[[Agency]:[Agency]]=$E314)*(ROW(TableDiv[Agency])-ROW(TableDiv[[#Headers],[Agency]])),COLUMNS($F$7:AK$7))))</f>
        <v/>
      </c>
      <c r="AL314" s="2223" t="str" cm="1">
        <f t="array" ref="AL314">IF($D314&lt;COLUMNS($F$7:AL$7),"",INDEX(TableDiv[[GASB]:[GASB]],_xlfn.AGGREGATE(15,3,(TableDiv[[Agency]:[Agency]]=$E314)/(TableDiv[[Agency]:[Agency]]=$E314)*(ROW(TableDiv[Agency])-ROW(TableDiv[[#Headers],[Agency]])),COLUMNS($F$7:AL$7))))</f>
        <v/>
      </c>
      <c r="AM314" s="2223" t="str" cm="1">
        <f t="array" ref="AM314">IF($D314&lt;COLUMNS($F$7:AM$7),"",INDEX(TableDiv[[GASB]:[GASB]],_xlfn.AGGREGATE(15,3,(TableDiv[[Agency]:[Agency]]=$E314)/(TableDiv[[Agency]:[Agency]]=$E314)*(ROW(TableDiv[Agency])-ROW(TableDiv[[#Headers],[Agency]])),COLUMNS($F$7:AM$7))))</f>
        <v/>
      </c>
      <c r="AN314" s="2223"/>
      <c r="AO314" s="2223"/>
      <c r="AP314" s="2223"/>
      <c r="AQ314" s="2223"/>
      <c r="AR314" s="2223"/>
      <c r="AS314" s="2223"/>
    </row>
    <row r="315" spans="1:45" ht="15" x14ac:dyDescent="0.25">
      <c r="A315" s="2219" t="s">
        <v>5121</v>
      </c>
      <c r="B315" s="2219" t="s">
        <v>6402</v>
      </c>
      <c r="C315" s="2223"/>
      <c r="D315" s="2223">
        <f>COUNTIF(TableDiv[Agency],E315)</f>
        <v>31</v>
      </c>
      <c r="E315" s="2230" t="str" cm="1">
        <f t="array" ref="E315">IFERROR(INDEX(TableDiv[Agency],MATCH(0,INDEX(COUNTIF($E$7:E314,TableDiv[Agency]),),0)),"")</f>
        <v/>
      </c>
      <c r="F315" s="2223" cm="1">
        <f t="array" ref="F315">IF($D315&lt;COLUMNS($F$7:F$7),"",INDEX(TableDiv[[GASB]:[GASB]],_xlfn.AGGREGATE(15,3,(TableDiv[[Agency]:[Agency]]=$E315)/(TableDiv[[Agency]:[Agency]]=$E315)*(ROW(TableDiv[Agency])-ROW(TableDiv[[#Headers],[Agency]])),COLUMNS($F$7:F$7))))</f>
        <v>0</v>
      </c>
      <c r="G315" s="2223" cm="1">
        <f t="array" ref="G315">IF($D315&lt;COLUMNS($F$7:G$7),"",INDEX(TableDiv[[GASB]:[GASB]],_xlfn.AGGREGATE(15,3,(TableDiv[[Agency]:[Agency]]=$E315)/(TableDiv[[Agency]:[Agency]]=$E315)*(ROW(TableDiv[Agency])-ROW(TableDiv[[#Headers],[Agency]])),COLUMNS($F$7:G$7))))</f>
        <v>0</v>
      </c>
      <c r="H315" s="2223" cm="1">
        <f t="array" ref="H315">IF($D315&lt;COLUMNS($F$7:H$7),"",INDEX(TableDiv[[GASB]:[GASB]],_xlfn.AGGREGATE(15,3,(TableDiv[[Agency]:[Agency]]=$E315)/(TableDiv[[Agency]:[Agency]]=$E315)*(ROW(TableDiv[Agency])-ROW(TableDiv[[#Headers],[Agency]])),COLUMNS($F$7:H$7))))</f>
        <v>0</v>
      </c>
      <c r="I315" s="2223" cm="1">
        <f t="array" ref="I315">IF($D315&lt;COLUMNS($F$7:I$7),"",INDEX(TableDiv[[GASB]:[GASB]],_xlfn.AGGREGATE(15,3,(TableDiv[[Agency]:[Agency]]=$E315)/(TableDiv[[Agency]:[Agency]]=$E315)*(ROW(TableDiv[Agency])-ROW(TableDiv[[#Headers],[Agency]])),COLUMNS($F$7:I$7))))</f>
        <v>0</v>
      </c>
      <c r="J315" s="2223" cm="1">
        <f t="array" ref="J315">IF($D315&lt;COLUMNS($F$7:J$7),"",INDEX(TableDiv[[GASB]:[GASB]],_xlfn.AGGREGATE(15,3,(TableDiv[[Agency]:[Agency]]=$E315)/(TableDiv[[Agency]:[Agency]]=$E315)*(ROW(TableDiv[Agency])-ROW(TableDiv[[#Headers],[Agency]])),COLUMNS($F$7:J$7))))</f>
        <v>0</v>
      </c>
      <c r="K315" s="2223" cm="1">
        <f t="array" ref="K315">IF($D315&lt;COLUMNS($F$7:K$7),"",INDEX(TableDiv[[GASB]:[GASB]],_xlfn.AGGREGATE(15,3,(TableDiv[[Agency]:[Agency]]=$E315)/(TableDiv[[Agency]:[Agency]]=$E315)*(ROW(TableDiv[Agency])-ROW(TableDiv[[#Headers],[Agency]])),COLUMNS($F$7:K$7))))</f>
        <v>0</v>
      </c>
      <c r="L315" s="2223" cm="1">
        <f t="array" ref="L315">IF($D315&lt;COLUMNS($F$7:L$7),"",INDEX(TableDiv[[GASB]:[GASB]],_xlfn.AGGREGATE(15,3,(TableDiv[[Agency]:[Agency]]=$E315)/(TableDiv[[Agency]:[Agency]]=$E315)*(ROW(TableDiv[Agency])-ROW(TableDiv[[#Headers],[Agency]])),COLUMNS($F$7:L$7))))</f>
        <v>0</v>
      </c>
      <c r="M315" s="2223" cm="1">
        <f t="array" ref="M315">IF($D315&lt;COLUMNS($F$7:M$7),"",INDEX(TableDiv[[GASB]:[GASB]],_xlfn.AGGREGATE(15,3,(TableDiv[[Agency]:[Agency]]=$E315)/(TableDiv[[Agency]:[Agency]]=$E315)*(ROW(TableDiv[Agency])-ROW(TableDiv[[#Headers],[Agency]])),COLUMNS($F$7:M$7))))</f>
        <v>0</v>
      </c>
      <c r="N315" s="2223" cm="1">
        <f t="array" ref="N315">IF($D315&lt;COLUMNS($F$7:N$7),"",INDEX(TableDiv[[GASB]:[GASB]],_xlfn.AGGREGATE(15,3,(TableDiv[[Agency]:[Agency]]=$E315)/(TableDiv[[Agency]:[Agency]]=$E315)*(ROW(TableDiv[Agency])-ROW(TableDiv[[#Headers],[Agency]])),COLUMNS($F$7:N$7))))</f>
        <v>0</v>
      </c>
      <c r="O315" s="2223" cm="1">
        <f t="array" ref="O315">IF($D315&lt;COLUMNS($F$7:O$7),"",INDEX(TableDiv[[GASB]:[GASB]],_xlfn.AGGREGATE(15,3,(TableDiv[[Agency]:[Agency]]=$E315)/(TableDiv[[Agency]:[Agency]]=$E315)*(ROW(TableDiv[Agency])-ROW(TableDiv[[#Headers],[Agency]])),COLUMNS($F$7:O$7))))</f>
        <v>0</v>
      </c>
      <c r="P315" s="2223" cm="1">
        <f t="array" ref="P315">IF($D315&lt;COLUMNS($F$7:P$7),"",INDEX(TableDiv[[GASB]:[GASB]],_xlfn.AGGREGATE(15,3,(TableDiv[[Agency]:[Agency]]=$E315)/(TableDiv[[Agency]:[Agency]]=$E315)*(ROW(TableDiv[Agency])-ROW(TableDiv[[#Headers],[Agency]])),COLUMNS($F$7:P$7))))</f>
        <v>0</v>
      </c>
      <c r="Q315" s="2223" cm="1">
        <f t="array" ref="Q315">IF($D315&lt;COLUMNS($F$7:Q$7),"",INDEX(TableDiv[[GASB]:[GASB]],_xlfn.AGGREGATE(15,3,(TableDiv[[Agency]:[Agency]]=$E315)/(TableDiv[[Agency]:[Agency]]=$E315)*(ROW(TableDiv[Agency])-ROW(TableDiv[[#Headers],[Agency]])),COLUMNS($F$7:Q$7))))</f>
        <v>0</v>
      </c>
      <c r="R315" s="2223" cm="1">
        <f t="array" ref="R315">IF($D315&lt;COLUMNS($F$7:R$7),"",INDEX(TableDiv[[GASB]:[GASB]],_xlfn.AGGREGATE(15,3,(TableDiv[[Agency]:[Agency]]=$E315)/(TableDiv[[Agency]:[Agency]]=$E315)*(ROW(TableDiv[Agency])-ROW(TableDiv[[#Headers],[Agency]])),COLUMNS($F$7:R$7))))</f>
        <v>0</v>
      </c>
      <c r="S315" s="2223" cm="1">
        <f t="array" ref="S315">IF($D315&lt;COLUMNS($F$7:S$7),"",INDEX(TableDiv[[GASB]:[GASB]],_xlfn.AGGREGATE(15,3,(TableDiv[[Agency]:[Agency]]=$E315)/(TableDiv[[Agency]:[Agency]]=$E315)*(ROW(TableDiv[Agency])-ROW(TableDiv[[#Headers],[Agency]])),COLUMNS($F$7:S$7))))</f>
        <v>0</v>
      </c>
      <c r="T315" s="2223" cm="1">
        <f t="array" ref="T315">IF($D315&lt;COLUMNS($F$7:T$7),"",INDEX(TableDiv[[GASB]:[GASB]],_xlfn.AGGREGATE(15,3,(TableDiv[[Agency]:[Agency]]=$E315)/(TableDiv[[Agency]:[Agency]]=$E315)*(ROW(TableDiv[Agency])-ROW(TableDiv[[#Headers],[Agency]])),COLUMNS($F$7:T$7))))</f>
        <v>0</v>
      </c>
      <c r="U315" s="2223" cm="1">
        <f t="array" ref="U315">IF($D315&lt;COLUMNS($F$7:U$7),"",INDEX(TableDiv[[GASB]:[GASB]],_xlfn.AGGREGATE(15,3,(TableDiv[[Agency]:[Agency]]=$E315)/(TableDiv[[Agency]:[Agency]]=$E315)*(ROW(TableDiv[Agency])-ROW(TableDiv[[#Headers],[Agency]])),COLUMNS($F$7:U$7))))</f>
        <v>0</v>
      </c>
      <c r="V315" s="2223" cm="1">
        <f t="array" ref="V315">IF($D315&lt;COLUMNS($F$7:V$7),"",INDEX(TableDiv[[GASB]:[GASB]],_xlfn.AGGREGATE(15,3,(TableDiv[[Agency]:[Agency]]=$E315)/(TableDiv[[Agency]:[Agency]]=$E315)*(ROW(TableDiv[Agency])-ROW(TableDiv[[#Headers],[Agency]])),COLUMNS($F$7:V$7))))</f>
        <v>0</v>
      </c>
      <c r="W315" s="2223" cm="1">
        <f t="array" ref="W315">IF($D315&lt;COLUMNS($F$7:W$7),"",INDEX(TableDiv[[GASB]:[GASB]],_xlfn.AGGREGATE(15,3,(TableDiv[[Agency]:[Agency]]=$E315)/(TableDiv[[Agency]:[Agency]]=$E315)*(ROW(TableDiv[Agency])-ROW(TableDiv[[#Headers],[Agency]])),COLUMNS($F$7:W$7))))</f>
        <v>0</v>
      </c>
      <c r="X315" s="2223" cm="1">
        <f t="array" ref="X315">IF($D315&lt;COLUMNS($F$7:X$7),"",INDEX(TableDiv[[GASB]:[GASB]],_xlfn.AGGREGATE(15,3,(TableDiv[[Agency]:[Agency]]=$E315)/(TableDiv[[Agency]:[Agency]]=$E315)*(ROW(TableDiv[Agency])-ROW(TableDiv[[#Headers],[Agency]])),COLUMNS($F$7:X$7))))</f>
        <v>0</v>
      </c>
      <c r="Y315" s="2223" cm="1">
        <f t="array" ref="Y315">IF($D315&lt;COLUMNS($F$7:Y$7),"",INDEX(TableDiv[[GASB]:[GASB]],_xlfn.AGGREGATE(15,3,(TableDiv[[Agency]:[Agency]]=$E315)/(TableDiv[[Agency]:[Agency]]=$E315)*(ROW(TableDiv[Agency])-ROW(TableDiv[[#Headers],[Agency]])),COLUMNS($F$7:Y$7))))</f>
        <v>0</v>
      </c>
      <c r="Z315" s="2223" cm="1">
        <f t="array" ref="Z315">IF($D315&lt;COLUMNS($F$7:Z$7),"",INDEX(TableDiv[[GASB]:[GASB]],_xlfn.AGGREGATE(15,3,(TableDiv[[Agency]:[Agency]]=$E315)/(TableDiv[[Agency]:[Agency]]=$E315)*(ROW(TableDiv[Agency])-ROW(TableDiv[[#Headers],[Agency]])),COLUMNS($F$7:Z$7))))</f>
        <v>0</v>
      </c>
      <c r="AA315" s="2223" cm="1">
        <f t="array" ref="AA315">IF($D315&lt;COLUMNS($F$7:AA$7),"",INDEX(TableDiv[[GASB]:[GASB]],_xlfn.AGGREGATE(15,3,(TableDiv[[Agency]:[Agency]]=$E315)/(TableDiv[[Agency]:[Agency]]=$E315)*(ROW(TableDiv[Agency])-ROW(TableDiv[[#Headers],[Agency]])),COLUMNS($F$7:AA$7))))</f>
        <v>0</v>
      </c>
      <c r="AB315" s="2223" cm="1">
        <f t="array" ref="AB315">IF($D315&lt;COLUMNS($F$7:AB$7),"",INDEX(TableDiv[[GASB]:[GASB]],_xlfn.AGGREGATE(15,3,(TableDiv[[Agency]:[Agency]]=$E315)/(TableDiv[[Agency]:[Agency]]=$E315)*(ROW(TableDiv[Agency])-ROW(TableDiv[[#Headers],[Agency]])),COLUMNS($F$7:AB$7))))</f>
        <v>0</v>
      </c>
      <c r="AC315" s="2223" cm="1">
        <f t="array" ref="AC315">IF($D315&lt;COLUMNS($F$7:AC$7),"",INDEX(TableDiv[[GASB]:[GASB]],_xlfn.AGGREGATE(15,3,(TableDiv[[Agency]:[Agency]]=$E315)/(TableDiv[[Agency]:[Agency]]=$E315)*(ROW(TableDiv[Agency])-ROW(TableDiv[[#Headers],[Agency]])),COLUMNS($F$7:AC$7))))</f>
        <v>0</v>
      </c>
      <c r="AD315" s="2223" cm="1">
        <f t="array" ref="AD315">IF($D315&lt;COLUMNS($F$7:AD$7),"",INDEX(TableDiv[[GASB]:[GASB]],_xlfn.AGGREGATE(15,3,(TableDiv[[Agency]:[Agency]]=$E315)/(TableDiv[[Agency]:[Agency]]=$E315)*(ROW(TableDiv[Agency])-ROW(TableDiv[[#Headers],[Agency]])),COLUMNS($F$7:AD$7))))</f>
        <v>0</v>
      </c>
      <c r="AE315" s="2223" cm="1">
        <f t="array" ref="AE315">IF($D315&lt;COLUMNS($F$7:AE$7),"",INDEX(TableDiv[[GASB]:[GASB]],_xlfn.AGGREGATE(15,3,(TableDiv[[Agency]:[Agency]]=$E315)/(TableDiv[[Agency]:[Agency]]=$E315)*(ROW(TableDiv[Agency])-ROW(TableDiv[[#Headers],[Agency]])),COLUMNS($F$7:AE$7))))</f>
        <v>0</v>
      </c>
      <c r="AF315" s="2223" cm="1">
        <f t="array" ref="AF315">IF($D315&lt;COLUMNS($F$7:AF$7),"",INDEX(TableDiv[[GASB]:[GASB]],_xlfn.AGGREGATE(15,3,(TableDiv[[Agency]:[Agency]]=$E315)/(TableDiv[[Agency]:[Agency]]=$E315)*(ROW(TableDiv[Agency])-ROW(TableDiv[[#Headers],[Agency]])),COLUMNS($F$7:AF$7))))</f>
        <v>0</v>
      </c>
      <c r="AG315" s="2223" cm="1">
        <f t="array" ref="AG315">IF($D315&lt;COLUMNS($F$7:AG$7),"",INDEX(TableDiv[[GASB]:[GASB]],_xlfn.AGGREGATE(15,3,(TableDiv[[Agency]:[Agency]]=$E315)/(TableDiv[[Agency]:[Agency]]=$E315)*(ROW(TableDiv[Agency])-ROW(TableDiv[[#Headers],[Agency]])),COLUMNS($F$7:AG$7))))</f>
        <v>0</v>
      </c>
      <c r="AH315" s="2223" cm="1">
        <f t="array" ref="AH315">IF($D315&lt;COLUMNS($F$7:AH$7),"",INDEX(TableDiv[[GASB]:[GASB]],_xlfn.AGGREGATE(15,3,(TableDiv[[Agency]:[Agency]]=$E315)/(TableDiv[[Agency]:[Agency]]=$E315)*(ROW(TableDiv[Agency])-ROW(TableDiv[[#Headers],[Agency]])),COLUMNS($F$7:AH$7))))</f>
        <v>0</v>
      </c>
      <c r="AI315" s="2223" cm="1">
        <f t="array" ref="AI315">IF($D315&lt;COLUMNS($F$7:AI$7),"",INDEX(TableDiv[[GASB]:[GASB]],_xlfn.AGGREGATE(15,3,(TableDiv[[Agency]:[Agency]]=$E315)/(TableDiv[[Agency]:[Agency]]=$E315)*(ROW(TableDiv[Agency])-ROW(TableDiv[[#Headers],[Agency]])),COLUMNS($F$7:AI$7))))</f>
        <v>0</v>
      </c>
      <c r="AJ315" s="2223" cm="1">
        <f t="array" ref="AJ315">IF($D315&lt;COLUMNS($F$7:AJ$7),"",INDEX(TableDiv[[GASB]:[GASB]],_xlfn.AGGREGATE(15,3,(TableDiv[[Agency]:[Agency]]=$E315)/(TableDiv[[Agency]:[Agency]]=$E315)*(ROW(TableDiv[Agency])-ROW(TableDiv[[#Headers],[Agency]])),COLUMNS($F$7:AJ$7))))</f>
        <v>0</v>
      </c>
      <c r="AK315" s="2223" t="str" cm="1">
        <f t="array" ref="AK315">IF($D315&lt;COLUMNS($F$7:AK$7),"",INDEX(TableDiv[[GASB]:[GASB]],_xlfn.AGGREGATE(15,3,(TableDiv[[Agency]:[Agency]]=$E315)/(TableDiv[[Agency]:[Agency]]=$E315)*(ROW(TableDiv[Agency])-ROW(TableDiv[[#Headers],[Agency]])),COLUMNS($F$7:AK$7))))</f>
        <v/>
      </c>
      <c r="AL315" s="2223" t="str" cm="1">
        <f t="array" ref="AL315">IF($D315&lt;COLUMNS($F$7:AL$7),"",INDEX(TableDiv[[GASB]:[GASB]],_xlfn.AGGREGATE(15,3,(TableDiv[[Agency]:[Agency]]=$E315)/(TableDiv[[Agency]:[Agency]]=$E315)*(ROW(TableDiv[Agency])-ROW(TableDiv[[#Headers],[Agency]])),COLUMNS($F$7:AL$7))))</f>
        <v/>
      </c>
      <c r="AM315" s="2223" t="str" cm="1">
        <f t="array" ref="AM315">IF($D315&lt;COLUMNS($F$7:AM$7),"",INDEX(TableDiv[[GASB]:[GASB]],_xlfn.AGGREGATE(15,3,(TableDiv[[Agency]:[Agency]]=$E315)/(TableDiv[[Agency]:[Agency]]=$E315)*(ROW(TableDiv[Agency])-ROW(TableDiv[[#Headers],[Agency]])),COLUMNS($F$7:AM$7))))</f>
        <v/>
      </c>
      <c r="AN315" s="2223"/>
      <c r="AO315" s="2223"/>
      <c r="AP315" s="2223"/>
      <c r="AQ315" s="2223"/>
      <c r="AR315" s="2223"/>
      <c r="AS315" s="2223"/>
    </row>
    <row r="316" spans="1:45" ht="15" x14ac:dyDescent="0.25">
      <c r="A316" s="2219" t="s">
        <v>5121</v>
      </c>
      <c r="B316" s="2219" t="s">
        <v>6453</v>
      </c>
      <c r="C316" s="2223"/>
      <c r="D316" s="2223">
        <f>COUNTIF(TableDiv[Agency],E316)</f>
        <v>31</v>
      </c>
      <c r="E316" s="2230" t="str" cm="1">
        <f t="array" ref="E316">IFERROR(INDEX(TableDiv[Agency],MATCH(0,INDEX(COUNTIF($E$7:E315,TableDiv[Agency]),),0)),"")</f>
        <v/>
      </c>
      <c r="F316" s="2223" cm="1">
        <f t="array" ref="F316">IF($D316&lt;COLUMNS($F$7:F$7),"",INDEX(TableDiv[[GASB]:[GASB]],_xlfn.AGGREGATE(15,3,(TableDiv[[Agency]:[Agency]]=$E316)/(TableDiv[[Agency]:[Agency]]=$E316)*(ROW(TableDiv[Agency])-ROW(TableDiv[[#Headers],[Agency]])),COLUMNS($F$7:F$7))))</f>
        <v>0</v>
      </c>
      <c r="G316" s="2223" cm="1">
        <f t="array" ref="G316">IF($D316&lt;COLUMNS($F$7:G$7),"",INDEX(TableDiv[[GASB]:[GASB]],_xlfn.AGGREGATE(15,3,(TableDiv[[Agency]:[Agency]]=$E316)/(TableDiv[[Agency]:[Agency]]=$E316)*(ROW(TableDiv[Agency])-ROW(TableDiv[[#Headers],[Agency]])),COLUMNS($F$7:G$7))))</f>
        <v>0</v>
      </c>
      <c r="H316" s="2223" cm="1">
        <f t="array" ref="H316">IF($D316&lt;COLUMNS($F$7:H$7),"",INDEX(TableDiv[[GASB]:[GASB]],_xlfn.AGGREGATE(15,3,(TableDiv[[Agency]:[Agency]]=$E316)/(TableDiv[[Agency]:[Agency]]=$E316)*(ROW(TableDiv[Agency])-ROW(TableDiv[[#Headers],[Agency]])),COLUMNS($F$7:H$7))))</f>
        <v>0</v>
      </c>
      <c r="I316" s="2223" cm="1">
        <f t="array" ref="I316">IF($D316&lt;COLUMNS($F$7:I$7),"",INDEX(TableDiv[[GASB]:[GASB]],_xlfn.AGGREGATE(15,3,(TableDiv[[Agency]:[Agency]]=$E316)/(TableDiv[[Agency]:[Agency]]=$E316)*(ROW(TableDiv[Agency])-ROW(TableDiv[[#Headers],[Agency]])),COLUMNS($F$7:I$7))))</f>
        <v>0</v>
      </c>
      <c r="J316" s="2223" cm="1">
        <f t="array" ref="J316">IF($D316&lt;COLUMNS($F$7:J$7),"",INDEX(TableDiv[[GASB]:[GASB]],_xlfn.AGGREGATE(15,3,(TableDiv[[Agency]:[Agency]]=$E316)/(TableDiv[[Agency]:[Agency]]=$E316)*(ROW(TableDiv[Agency])-ROW(TableDiv[[#Headers],[Agency]])),COLUMNS($F$7:J$7))))</f>
        <v>0</v>
      </c>
      <c r="K316" s="2223" cm="1">
        <f t="array" ref="K316">IF($D316&lt;COLUMNS($F$7:K$7),"",INDEX(TableDiv[[GASB]:[GASB]],_xlfn.AGGREGATE(15,3,(TableDiv[[Agency]:[Agency]]=$E316)/(TableDiv[[Agency]:[Agency]]=$E316)*(ROW(TableDiv[Agency])-ROW(TableDiv[[#Headers],[Agency]])),COLUMNS($F$7:K$7))))</f>
        <v>0</v>
      </c>
      <c r="L316" s="2223" cm="1">
        <f t="array" ref="L316">IF($D316&lt;COLUMNS($F$7:L$7),"",INDEX(TableDiv[[GASB]:[GASB]],_xlfn.AGGREGATE(15,3,(TableDiv[[Agency]:[Agency]]=$E316)/(TableDiv[[Agency]:[Agency]]=$E316)*(ROW(TableDiv[Agency])-ROW(TableDiv[[#Headers],[Agency]])),COLUMNS($F$7:L$7))))</f>
        <v>0</v>
      </c>
      <c r="M316" s="2223" cm="1">
        <f t="array" ref="M316">IF($D316&lt;COLUMNS($F$7:M$7),"",INDEX(TableDiv[[GASB]:[GASB]],_xlfn.AGGREGATE(15,3,(TableDiv[[Agency]:[Agency]]=$E316)/(TableDiv[[Agency]:[Agency]]=$E316)*(ROW(TableDiv[Agency])-ROW(TableDiv[[#Headers],[Agency]])),COLUMNS($F$7:M$7))))</f>
        <v>0</v>
      </c>
      <c r="N316" s="2223" cm="1">
        <f t="array" ref="N316">IF($D316&lt;COLUMNS($F$7:N$7),"",INDEX(TableDiv[[GASB]:[GASB]],_xlfn.AGGREGATE(15,3,(TableDiv[[Agency]:[Agency]]=$E316)/(TableDiv[[Agency]:[Agency]]=$E316)*(ROW(TableDiv[Agency])-ROW(TableDiv[[#Headers],[Agency]])),COLUMNS($F$7:N$7))))</f>
        <v>0</v>
      </c>
      <c r="O316" s="2223" cm="1">
        <f t="array" ref="O316">IF($D316&lt;COLUMNS($F$7:O$7),"",INDEX(TableDiv[[GASB]:[GASB]],_xlfn.AGGREGATE(15,3,(TableDiv[[Agency]:[Agency]]=$E316)/(TableDiv[[Agency]:[Agency]]=$E316)*(ROW(TableDiv[Agency])-ROW(TableDiv[[#Headers],[Agency]])),COLUMNS($F$7:O$7))))</f>
        <v>0</v>
      </c>
      <c r="P316" s="2223" cm="1">
        <f t="array" ref="P316">IF($D316&lt;COLUMNS($F$7:P$7),"",INDEX(TableDiv[[GASB]:[GASB]],_xlfn.AGGREGATE(15,3,(TableDiv[[Agency]:[Agency]]=$E316)/(TableDiv[[Agency]:[Agency]]=$E316)*(ROW(TableDiv[Agency])-ROW(TableDiv[[#Headers],[Agency]])),COLUMNS($F$7:P$7))))</f>
        <v>0</v>
      </c>
      <c r="Q316" s="2223" cm="1">
        <f t="array" ref="Q316">IF($D316&lt;COLUMNS($F$7:Q$7),"",INDEX(TableDiv[[GASB]:[GASB]],_xlfn.AGGREGATE(15,3,(TableDiv[[Agency]:[Agency]]=$E316)/(TableDiv[[Agency]:[Agency]]=$E316)*(ROW(TableDiv[Agency])-ROW(TableDiv[[#Headers],[Agency]])),COLUMNS($F$7:Q$7))))</f>
        <v>0</v>
      </c>
      <c r="R316" s="2223" cm="1">
        <f t="array" ref="R316">IF($D316&lt;COLUMNS($F$7:R$7),"",INDEX(TableDiv[[GASB]:[GASB]],_xlfn.AGGREGATE(15,3,(TableDiv[[Agency]:[Agency]]=$E316)/(TableDiv[[Agency]:[Agency]]=$E316)*(ROW(TableDiv[Agency])-ROW(TableDiv[[#Headers],[Agency]])),COLUMNS($F$7:R$7))))</f>
        <v>0</v>
      </c>
      <c r="S316" s="2223" cm="1">
        <f t="array" ref="S316">IF($D316&lt;COLUMNS($F$7:S$7),"",INDEX(TableDiv[[GASB]:[GASB]],_xlfn.AGGREGATE(15,3,(TableDiv[[Agency]:[Agency]]=$E316)/(TableDiv[[Agency]:[Agency]]=$E316)*(ROW(TableDiv[Agency])-ROW(TableDiv[[#Headers],[Agency]])),COLUMNS($F$7:S$7))))</f>
        <v>0</v>
      </c>
      <c r="T316" s="2223" cm="1">
        <f t="array" ref="T316">IF($D316&lt;COLUMNS($F$7:T$7),"",INDEX(TableDiv[[GASB]:[GASB]],_xlfn.AGGREGATE(15,3,(TableDiv[[Agency]:[Agency]]=$E316)/(TableDiv[[Agency]:[Agency]]=$E316)*(ROW(TableDiv[Agency])-ROW(TableDiv[[#Headers],[Agency]])),COLUMNS($F$7:T$7))))</f>
        <v>0</v>
      </c>
      <c r="U316" s="2223" cm="1">
        <f t="array" ref="U316">IF($D316&lt;COLUMNS($F$7:U$7),"",INDEX(TableDiv[[GASB]:[GASB]],_xlfn.AGGREGATE(15,3,(TableDiv[[Agency]:[Agency]]=$E316)/(TableDiv[[Agency]:[Agency]]=$E316)*(ROW(TableDiv[Agency])-ROW(TableDiv[[#Headers],[Agency]])),COLUMNS($F$7:U$7))))</f>
        <v>0</v>
      </c>
      <c r="V316" s="2223" cm="1">
        <f t="array" ref="V316">IF($D316&lt;COLUMNS($F$7:V$7),"",INDEX(TableDiv[[GASB]:[GASB]],_xlfn.AGGREGATE(15,3,(TableDiv[[Agency]:[Agency]]=$E316)/(TableDiv[[Agency]:[Agency]]=$E316)*(ROW(TableDiv[Agency])-ROW(TableDiv[[#Headers],[Agency]])),COLUMNS($F$7:V$7))))</f>
        <v>0</v>
      </c>
      <c r="W316" s="2223" cm="1">
        <f t="array" ref="W316">IF($D316&lt;COLUMNS($F$7:W$7),"",INDEX(TableDiv[[GASB]:[GASB]],_xlfn.AGGREGATE(15,3,(TableDiv[[Agency]:[Agency]]=$E316)/(TableDiv[[Agency]:[Agency]]=$E316)*(ROW(TableDiv[Agency])-ROW(TableDiv[[#Headers],[Agency]])),COLUMNS($F$7:W$7))))</f>
        <v>0</v>
      </c>
      <c r="X316" s="2223" cm="1">
        <f t="array" ref="X316">IF($D316&lt;COLUMNS($F$7:X$7),"",INDEX(TableDiv[[GASB]:[GASB]],_xlfn.AGGREGATE(15,3,(TableDiv[[Agency]:[Agency]]=$E316)/(TableDiv[[Agency]:[Agency]]=$E316)*(ROW(TableDiv[Agency])-ROW(TableDiv[[#Headers],[Agency]])),COLUMNS($F$7:X$7))))</f>
        <v>0</v>
      </c>
      <c r="Y316" s="2223" cm="1">
        <f t="array" ref="Y316">IF($D316&lt;COLUMNS($F$7:Y$7),"",INDEX(TableDiv[[GASB]:[GASB]],_xlfn.AGGREGATE(15,3,(TableDiv[[Agency]:[Agency]]=$E316)/(TableDiv[[Agency]:[Agency]]=$E316)*(ROW(TableDiv[Agency])-ROW(TableDiv[[#Headers],[Agency]])),COLUMNS($F$7:Y$7))))</f>
        <v>0</v>
      </c>
      <c r="Z316" s="2223" cm="1">
        <f t="array" ref="Z316">IF($D316&lt;COLUMNS($F$7:Z$7),"",INDEX(TableDiv[[GASB]:[GASB]],_xlfn.AGGREGATE(15,3,(TableDiv[[Agency]:[Agency]]=$E316)/(TableDiv[[Agency]:[Agency]]=$E316)*(ROW(TableDiv[Agency])-ROW(TableDiv[[#Headers],[Agency]])),COLUMNS($F$7:Z$7))))</f>
        <v>0</v>
      </c>
      <c r="AA316" s="2223" cm="1">
        <f t="array" ref="AA316">IF($D316&lt;COLUMNS($F$7:AA$7),"",INDEX(TableDiv[[GASB]:[GASB]],_xlfn.AGGREGATE(15,3,(TableDiv[[Agency]:[Agency]]=$E316)/(TableDiv[[Agency]:[Agency]]=$E316)*(ROW(TableDiv[Agency])-ROW(TableDiv[[#Headers],[Agency]])),COLUMNS($F$7:AA$7))))</f>
        <v>0</v>
      </c>
      <c r="AB316" s="2223" cm="1">
        <f t="array" ref="AB316">IF($D316&lt;COLUMNS($F$7:AB$7),"",INDEX(TableDiv[[GASB]:[GASB]],_xlfn.AGGREGATE(15,3,(TableDiv[[Agency]:[Agency]]=$E316)/(TableDiv[[Agency]:[Agency]]=$E316)*(ROW(TableDiv[Agency])-ROW(TableDiv[[#Headers],[Agency]])),COLUMNS($F$7:AB$7))))</f>
        <v>0</v>
      </c>
      <c r="AC316" s="2223" cm="1">
        <f t="array" ref="AC316">IF($D316&lt;COLUMNS($F$7:AC$7),"",INDEX(TableDiv[[GASB]:[GASB]],_xlfn.AGGREGATE(15,3,(TableDiv[[Agency]:[Agency]]=$E316)/(TableDiv[[Agency]:[Agency]]=$E316)*(ROW(TableDiv[Agency])-ROW(TableDiv[[#Headers],[Agency]])),COLUMNS($F$7:AC$7))))</f>
        <v>0</v>
      </c>
      <c r="AD316" s="2223" cm="1">
        <f t="array" ref="AD316">IF($D316&lt;COLUMNS($F$7:AD$7),"",INDEX(TableDiv[[GASB]:[GASB]],_xlfn.AGGREGATE(15,3,(TableDiv[[Agency]:[Agency]]=$E316)/(TableDiv[[Agency]:[Agency]]=$E316)*(ROW(TableDiv[Agency])-ROW(TableDiv[[#Headers],[Agency]])),COLUMNS($F$7:AD$7))))</f>
        <v>0</v>
      </c>
      <c r="AE316" s="2223" cm="1">
        <f t="array" ref="AE316">IF($D316&lt;COLUMNS($F$7:AE$7),"",INDEX(TableDiv[[GASB]:[GASB]],_xlfn.AGGREGATE(15,3,(TableDiv[[Agency]:[Agency]]=$E316)/(TableDiv[[Agency]:[Agency]]=$E316)*(ROW(TableDiv[Agency])-ROW(TableDiv[[#Headers],[Agency]])),COLUMNS($F$7:AE$7))))</f>
        <v>0</v>
      </c>
      <c r="AF316" s="2223" cm="1">
        <f t="array" ref="AF316">IF($D316&lt;COLUMNS($F$7:AF$7),"",INDEX(TableDiv[[GASB]:[GASB]],_xlfn.AGGREGATE(15,3,(TableDiv[[Agency]:[Agency]]=$E316)/(TableDiv[[Agency]:[Agency]]=$E316)*(ROW(TableDiv[Agency])-ROW(TableDiv[[#Headers],[Agency]])),COLUMNS($F$7:AF$7))))</f>
        <v>0</v>
      </c>
      <c r="AG316" s="2223" cm="1">
        <f t="array" ref="AG316">IF($D316&lt;COLUMNS($F$7:AG$7),"",INDEX(TableDiv[[GASB]:[GASB]],_xlfn.AGGREGATE(15,3,(TableDiv[[Agency]:[Agency]]=$E316)/(TableDiv[[Agency]:[Agency]]=$E316)*(ROW(TableDiv[Agency])-ROW(TableDiv[[#Headers],[Agency]])),COLUMNS($F$7:AG$7))))</f>
        <v>0</v>
      </c>
      <c r="AH316" s="2223" cm="1">
        <f t="array" ref="AH316">IF($D316&lt;COLUMNS($F$7:AH$7),"",INDEX(TableDiv[[GASB]:[GASB]],_xlfn.AGGREGATE(15,3,(TableDiv[[Agency]:[Agency]]=$E316)/(TableDiv[[Agency]:[Agency]]=$E316)*(ROW(TableDiv[Agency])-ROW(TableDiv[[#Headers],[Agency]])),COLUMNS($F$7:AH$7))))</f>
        <v>0</v>
      </c>
      <c r="AI316" s="2223" cm="1">
        <f t="array" ref="AI316">IF($D316&lt;COLUMNS($F$7:AI$7),"",INDEX(TableDiv[[GASB]:[GASB]],_xlfn.AGGREGATE(15,3,(TableDiv[[Agency]:[Agency]]=$E316)/(TableDiv[[Agency]:[Agency]]=$E316)*(ROW(TableDiv[Agency])-ROW(TableDiv[[#Headers],[Agency]])),COLUMNS($F$7:AI$7))))</f>
        <v>0</v>
      </c>
      <c r="AJ316" s="2223" cm="1">
        <f t="array" ref="AJ316">IF($D316&lt;COLUMNS($F$7:AJ$7),"",INDEX(TableDiv[[GASB]:[GASB]],_xlfn.AGGREGATE(15,3,(TableDiv[[Agency]:[Agency]]=$E316)/(TableDiv[[Agency]:[Agency]]=$E316)*(ROW(TableDiv[Agency])-ROW(TableDiv[[#Headers],[Agency]])),COLUMNS($F$7:AJ$7))))</f>
        <v>0</v>
      </c>
      <c r="AK316" s="2223" t="str" cm="1">
        <f t="array" ref="AK316">IF($D316&lt;COLUMNS($F$7:AK$7),"",INDEX(TableDiv[[GASB]:[GASB]],_xlfn.AGGREGATE(15,3,(TableDiv[[Agency]:[Agency]]=$E316)/(TableDiv[[Agency]:[Agency]]=$E316)*(ROW(TableDiv[Agency])-ROW(TableDiv[[#Headers],[Agency]])),COLUMNS($F$7:AK$7))))</f>
        <v/>
      </c>
      <c r="AL316" s="2223" t="str" cm="1">
        <f t="array" ref="AL316">IF($D316&lt;COLUMNS($F$7:AL$7),"",INDEX(TableDiv[[GASB]:[GASB]],_xlfn.AGGREGATE(15,3,(TableDiv[[Agency]:[Agency]]=$E316)/(TableDiv[[Agency]:[Agency]]=$E316)*(ROW(TableDiv[Agency])-ROW(TableDiv[[#Headers],[Agency]])),COLUMNS($F$7:AL$7))))</f>
        <v/>
      </c>
      <c r="AM316" s="2223" t="str" cm="1">
        <f t="array" ref="AM316">IF($D316&lt;COLUMNS($F$7:AM$7),"",INDEX(TableDiv[[GASB]:[GASB]],_xlfn.AGGREGATE(15,3,(TableDiv[[Agency]:[Agency]]=$E316)/(TableDiv[[Agency]:[Agency]]=$E316)*(ROW(TableDiv[Agency])-ROW(TableDiv[[#Headers],[Agency]])),COLUMNS($F$7:AM$7))))</f>
        <v/>
      </c>
      <c r="AN316" s="2223"/>
      <c r="AO316" s="2223"/>
      <c r="AP316" s="2223"/>
      <c r="AQ316" s="2223"/>
      <c r="AR316" s="2223"/>
      <c r="AS316" s="2223"/>
    </row>
    <row r="317" spans="1:45" ht="15" x14ac:dyDescent="0.25">
      <c r="A317" s="2219" t="s">
        <v>5122</v>
      </c>
      <c r="B317" s="2219" t="s">
        <v>6357</v>
      </c>
      <c r="C317" s="2223"/>
      <c r="D317" s="2223">
        <f>COUNTIF(TableDiv[Agency],E317)</f>
        <v>31</v>
      </c>
      <c r="E317" s="2230" t="str" cm="1">
        <f t="array" ref="E317">IFERROR(INDEX(TableDiv[Agency],MATCH(0,INDEX(COUNTIF($E$7:E316,TableDiv[Agency]),),0)),"")</f>
        <v/>
      </c>
      <c r="F317" s="2223" cm="1">
        <f t="array" ref="F317">IF($D317&lt;COLUMNS($F$7:F$7),"",INDEX(TableDiv[[GASB]:[GASB]],_xlfn.AGGREGATE(15,3,(TableDiv[[Agency]:[Agency]]=$E317)/(TableDiv[[Agency]:[Agency]]=$E317)*(ROW(TableDiv[Agency])-ROW(TableDiv[[#Headers],[Agency]])),COLUMNS($F$7:F$7))))</f>
        <v>0</v>
      </c>
      <c r="G317" s="2223" cm="1">
        <f t="array" ref="G317">IF($D317&lt;COLUMNS($F$7:G$7),"",INDEX(TableDiv[[GASB]:[GASB]],_xlfn.AGGREGATE(15,3,(TableDiv[[Agency]:[Agency]]=$E317)/(TableDiv[[Agency]:[Agency]]=$E317)*(ROW(TableDiv[Agency])-ROW(TableDiv[[#Headers],[Agency]])),COLUMNS($F$7:G$7))))</f>
        <v>0</v>
      </c>
      <c r="H317" s="2223" cm="1">
        <f t="array" ref="H317">IF($D317&lt;COLUMNS($F$7:H$7),"",INDEX(TableDiv[[GASB]:[GASB]],_xlfn.AGGREGATE(15,3,(TableDiv[[Agency]:[Agency]]=$E317)/(TableDiv[[Agency]:[Agency]]=$E317)*(ROW(TableDiv[Agency])-ROW(TableDiv[[#Headers],[Agency]])),COLUMNS($F$7:H$7))))</f>
        <v>0</v>
      </c>
      <c r="I317" s="2223" cm="1">
        <f t="array" ref="I317">IF($D317&lt;COLUMNS($F$7:I$7),"",INDEX(TableDiv[[GASB]:[GASB]],_xlfn.AGGREGATE(15,3,(TableDiv[[Agency]:[Agency]]=$E317)/(TableDiv[[Agency]:[Agency]]=$E317)*(ROW(TableDiv[Agency])-ROW(TableDiv[[#Headers],[Agency]])),COLUMNS($F$7:I$7))))</f>
        <v>0</v>
      </c>
      <c r="J317" s="2223" cm="1">
        <f t="array" ref="J317">IF($D317&lt;COLUMNS($F$7:J$7),"",INDEX(TableDiv[[GASB]:[GASB]],_xlfn.AGGREGATE(15,3,(TableDiv[[Agency]:[Agency]]=$E317)/(TableDiv[[Agency]:[Agency]]=$E317)*(ROW(TableDiv[Agency])-ROW(TableDiv[[#Headers],[Agency]])),COLUMNS($F$7:J$7))))</f>
        <v>0</v>
      </c>
      <c r="K317" s="2223" cm="1">
        <f t="array" ref="K317">IF($D317&lt;COLUMNS($F$7:K$7),"",INDEX(TableDiv[[GASB]:[GASB]],_xlfn.AGGREGATE(15,3,(TableDiv[[Agency]:[Agency]]=$E317)/(TableDiv[[Agency]:[Agency]]=$E317)*(ROW(TableDiv[Agency])-ROW(TableDiv[[#Headers],[Agency]])),COLUMNS($F$7:K$7))))</f>
        <v>0</v>
      </c>
      <c r="L317" s="2223" cm="1">
        <f t="array" ref="L317">IF($D317&lt;COLUMNS($F$7:L$7),"",INDEX(TableDiv[[GASB]:[GASB]],_xlfn.AGGREGATE(15,3,(TableDiv[[Agency]:[Agency]]=$E317)/(TableDiv[[Agency]:[Agency]]=$E317)*(ROW(TableDiv[Agency])-ROW(TableDiv[[#Headers],[Agency]])),COLUMNS($F$7:L$7))))</f>
        <v>0</v>
      </c>
      <c r="M317" s="2223" cm="1">
        <f t="array" ref="M317">IF($D317&lt;COLUMNS($F$7:M$7),"",INDEX(TableDiv[[GASB]:[GASB]],_xlfn.AGGREGATE(15,3,(TableDiv[[Agency]:[Agency]]=$E317)/(TableDiv[[Agency]:[Agency]]=$E317)*(ROW(TableDiv[Agency])-ROW(TableDiv[[#Headers],[Agency]])),COLUMNS($F$7:M$7))))</f>
        <v>0</v>
      </c>
      <c r="N317" s="2223" cm="1">
        <f t="array" ref="N317">IF($D317&lt;COLUMNS($F$7:N$7),"",INDEX(TableDiv[[GASB]:[GASB]],_xlfn.AGGREGATE(15,3,(TableDiv[[Agency]:[Agency]]=$E317)/(TableDiv[[Agency]:[Agency]]=$E317)*(ROW(TableDiv[Agency])-ROW(TableDiv[[#Headers],[Agency]])),COLUMNS($F$7:N$7))))</f>
        <v>0</v>
      </c>
      <c r="O317" s="2223" cm="1">
        <f t="array" ref="O317">IF($D317&lt;COLUMNS($F$7:O$7),"",INDEX(TableDiv[[GASB]:[GASB]],_xlfn.AGGREGATE(15,3,(TableDiv[[Agency]:[Agency]]=$E317)/(TableDiv[[Agency]:[Agency]]=$E317)*(ROW(TableDiv[Agency])-ROW(TableDiv[[#Headers],[Agency]])),COLUMNS($F$7:O$7))))</f>
        <v>0</v>
      </c>
      <c r="P317" s="2223" cm="1">
        <f t="array" ref="P317">IF($D317&lt;COLUMNS($F$7:P$7),"",INDEX(TableDiv[[GASB]:[GASB]],_xlfn.AGGREGATE(15,3,(TableDiv[[Agency]:[Agency]]=$E317)/(TableDiv[[Agency]:[Agency]]=$E317)*(ROW(TableDiv[Agency])-ROW(TableDiv[[#Headers],[Agency]])),COLUMNS($F$7:P$7))))</f>
        <v>0</v>
      </c>
      <c r="Q317" s="2223" cm="1">
        <f t="array" ref="Q317">IF($D317&lt;COLUMNS($F$7:Q$7),"",INDEX(TableDiv[[GASB]:[GASB]],_xlfn.AGGREGATE(15,3,(TableDiv[[Agency]:[Agency]]=$E317)/(TableDiv[[Agency]:[Agency]]=$E317)*(ROW(TableDiv[Agency])-ROW(TableDiv[[#Headers],[Agency]])),COLUMNS($F$7:Q$7))))</f>
        <v>0</v>
      </c>
      <c r="R317" s="2223" cm="1">
        <f t="array" ref="R317">IF($D317&lt;COLUMNS($F$7:R$7),"",INDEX(TableDiv[[GASB]:[GASB]],_xlfn.AGGREGATE(15,3,(TableDiv[[Agency]:[Agency]]=$E317)/(TableDiv[[Agency]:[Agency]]=$E317)*(ROW(TableDiv[Agency])-ROW(TableDiv[[#Headers],[Agency]])),COLUMNS($F$7:R$7))))</f>
        <v>0</v>
      </c>
      <c r="S317" s="2223" cm="1">
        <f t="array" ref="S317">IF($D317&lt;COLUMNS($F$7:S$7),"",INDEX(TableDiv[[GASB]:[GASB]],_xlfn.AGGREGATE(15,3,(TableDiv[[Agency]:[Agency]]=$E317)/(TableDiv[[Agency]:[Agency]]=$E317)*(ROW(TableDiv[Agency])-ROW(TableDiv[[#Headers],[Agency]])),COLUMNS($F$7:S$7))))</f>
        <v>0</v>
      </c>
      <c r="T317" s="2223" cm="1">
        <f t="array" ref="T317">IF($D317&lt;COLUMNS($F$7:T$7),"",INDEX(TableDiv[[GASB]:[GASB]],_xlfn.AGGREGATE(15,3,(TableDiv[[Agency]:[Agency]]=$E317)/(TableDiv[[Agency]:[Agency]]=$E317)*(ROW(TableDiv[Agency])-ROW(TableDiv[[#Headers],[Agency]])),COLUMNS($F$7:T$7))))</f>
        <v>0</v>
      </c>
      <c r="U317" s="2223" cm="1">
        <f t="array" ref="U317">IF($D317&lt;COLUMNS($F$7:U$7),"",INDEX(TableDiv[[GASB]:[GASB]],_xlfn.AGGREGATE(15,3,(TableDiv[[Agency]:[Agency]]=$E317)/(TableDiv[[Agency]:[Agency]]=$E317)*(ROW(TableDiv[Agency])-ROW(TableDiv[[#Headers],[Agency]])),COLUMNS($F$7:U$7))))</f>
        <v>0</v>
      </c>
      <c r="V317" s="2223" cm="1">
        <f t="array" ref="V317">IF($D317&lt;COLUMNS($F$7:V$7),"",INDEX(TableDiv[[GASB]:[GASB]],_xlfn.AGGREGATE(15,3,(TableDiv[[Agency]:[Agency]]=$E317)/(TableDiv[[Agency]:[Agency]]=$E317)*(ROW(TableDiv[Agency])-ROW(TableDiv[[#Headers],[Agency]])),COLUMNS($F$7:V$7))))</f>
        <v>0</v>
      </c>
      <c r="W317" s="2223" cm="1">
        <f t="array" ref="W317">IF($D317&lt;COLUMNS($F$7:W$7),"",INDEX(TableDiv[[GASB]:[GASB]],_xlfn.AGGREGATE(15,3,(TableDiv[[Agency]:[Agency]]=$E317)/(TableDiv[[Agency]:[Agency]]=$E317)*(ROW(TableDiv[Agency])-ROW(TableDiv[[#Headers],[Agency]])),COLUMNS($F$7:W$7))))</f>
        <v>0</v>
      </c>
      <c r="X317" s="2223" cm="1">
        <f t="array" ref="X317">IF($D317&lt;COLUMNS($F$7:X$7),"",INDEX(TableDiv[[GASB]:[GASB]],_xlfn.AGGREGATE(15,3,(TableDiv[[Agency]:[Agency]]=$E317)/(TableDiv[[Agency]:[Agency]]=$E317)*(ROW(TableDiv[Agency])-ROW(TableDiv[[#Headers],[Agency]])),COLUMNS($F$7:X$7))))</f>
        <v>0</v>
      </c>
      <c r="Y317" s="2223" cm="1">
        <f t="array" ref="Y317">IF($D317&lt;COLUMNS($F$7:Y$7),"",INDEX(TableDiv[[GASB]:[GASB]],_xlfn.AGGREGATE(15,3,(TableDiv[[Agency]:[Agency]]=$E317)/(TableDiv[[Agency]:[Agency]]=$E317)*(ROW(TableDiv[Agency])-ROW(TableDiv[[#Headers],[Agency]])),COLUMNS($F$7:Y$7))))</f>
        <v>0</v>
      </c>
      <c r="Z317" s="2223" cm="1">
        <f t="array" ref="Z317">IF($D317&lt;COLUMNS($F$7:Z$7),"",INDEX(TableDiv[[GASB]:[GASB]],_xlfn.AGGREGATE(15,3,(TableDiv[[Agency]:[Agency]]=$E317)/(TableDiv[[Agency]:[Agency]]=$E317)*(ROW(TableDiv[Agency])-ROW(TableDiv[[#Headers],[Agency]])),COLUMNS($F$7:Z$7))))</f>
        <v>0</v>
      </c>
      <c r="AA317" s="2223" cm="1">
        <f t="array" ref="AA317">IF($D317&lt;COLUMNS($F$7:AA$7),"",INDEX(TableDiv[[GASB]:[GASB]],_xlfn.AGGREGATE(15,3,(TableDiv[[Agency]:[Agency]]=$E317)/(TableDiv[[Agency]:[Agency]]=$E317)*(ROW(TableDiv[Agency])-ROW(TableDiv[[#Headers],[Agency]])),COLUMNS($F$7:AA$7))))</f>
        <v>0</v>
      </c>
      <c r="AB317" s="2223" cm="1">
        <f t="array" ref="AB317">IF($D317&lt;COLUMNS($F$7:AB$7),"",INDEX(TableDiv[[GASB]:[GASB]],_xlfn.AGGREGATE(15,3,(TableDiv[[Agency]:[Agency]]=$E317)/(TableDiv[[Agency]:[Agency]]=$E317)*(ROW(TableDiv[Agency])-ROW(TableDiv[[#Headers],[Agency]])),COLUMNS($F$7:AB$7))))</f>
        <v>0</v>
      </c>
      <c r="AC317" s="2223" cm="1">
        <f t="array" ref="AC317">IF($D317&lt;COLUMNS($F$7:AC$7),"",INDEX(TableDiv[[GASB]:[GASB]],_xlfn.AGGREGATE(15,3,(TableDiv[[Agency]:[Agency]]=$E317)/(TableDiv[[Agency]:[Agency]]=$E317)*(ROW(TableDiv[Agency])-ROW(TableDiv[[#Headers],[Agency]])),COLUMNS($F$7:AC$7))))</f>
        <v>0</v>
      </c>
      <c r="AD317" s="2223" cm="1">
        <f t="array" ref="AD317">IF($D317&lt;COLUMNS($F$7:AD$7),"",INDEX(TableDiv[[GASB]:[GASB]],_xlfn.AGGREGATE(15,3,(TableDiv[[Agency]:[Agency]]=$E317)/(TableDiv[[Agency]:[Agency]]=$E317)*(ROW(TableDiv[Agency])-ROW(TableDiv[[#Headers],[Agency]])),COLUMNS($F$7:AD$7))))</f>
        <v>0</v>
      </c>
      <c r="AE317" s="2223" cm="1">
        <f t="array" ref="AE317">IF($D317&lt;COLUMNS($F$7:AE$7),"",INDEX(TableDiv[[GASB]:[GASB]],_xlfn.AGGREGATE(15,3,(TableDiv[[Agency]:[Agency]]=$E317)/(TableDiv[[Agency]:[Agency]]=$E317)*(ROW(TableDiv[Agency])-ROW(TableDiv[[#Headers],[Agency]])),COLUMNS($F$7:AE$7))))</f>
        <v>0</v>
      </c>
      <c r="AF317" s="2223" cm="1">
        <f t="array" ref="AF317">IF($D317&lt;COLUMNS($F$7:AF$7),"",INDEX(TableDiv[[GASB]:[GASB]],_xlfn.AGGREGATE(15,3,(TableDiv[[Agency]:[Agency]]=$E317)/(TableDiv[[Agency]:[Agency]]=$E317)*(ROW(TableDiv[Agency])-ROW(TableDiv[[#Headers],[Agency]])),COLUMNS($F$7:AF$7))))</f>
        <v>0</v>
      </c>
      <c r="AG317" s="2223" cm="1">
        <f t="array" ref="AG317">IF($D317&lt;COLUMNS($F$7:AG$7),"",INDEX(TableDiv[[GASB]:[GASB]],_xlfn.AGGREGATE(15,3,(TableDiv[[Agency]:[Agency]]=$E317)/(TableDiv[[Agency]:[Agency]]=$E317)*(ROW(TableDiv[Agency])-ROW(TableDiv[[#Headers],[Agency]])),COLUMNS($F$7:AG$7))))</f>
        <v>0</v>
      </c>
      <c r="AH317" s="2223" cm="1">
        <f t="array" ref="AH317">IF($D317&lt;COLUMNS($F$7:AH$7),"",INDEX(TableDiv[[GASB]:[GASB]],_xlfn.AGGREGATE(15,3,(TableDiv[[Agency]:[Agency]]=$E317)/(TableDiv[[Agency]:[Agency]]=$E317)*(ROW(TableDiv[Agency])-ROW(TableDiv[[#Headers],[Agency]])),COLUMNS($F$7:AH$7))))</f>
        <v>0</v>
      </c>
      <c r="AI317" s="2223" cm="1">
        <f t="array" ref="AI317">IF($D317&lt;COLUMNS($F$7:AI$7),"",INDEX(TableDiv[[GASB]:[GASB]],_xlfn.AGGREGATE(15,3,(TableDiv[[Agency]:[Agency]]=$E317)/(TableDiv[[Agency]:[Agency]]=$E317)*(ROW(TableDiv[Agency])-ROW(TableDiv[[#Headers],[Agency]])),COLUMNS($F$7:AI$7))))</f>
        <v>0</v>
      </c>
      <c r="AJ317" s="2223" cm="1">
        <f t="array" ref="AJ317">IF($D317&lt;COLUMNS($F$7:AJ$7),"",INDEX(TableDiv[[GASB]:[GASB]],_xlfn.AGGREGATE(15,3,(TableDiv[[Agency]:[Agency]]=$E317)/(TableDiv[[Agency]:[Agency]]=$E317)*(ROW(TableDiv[Agency])-ROW(TableDiv[[#Headers],[Agency]])),COLUMNS($F$7:AJ$7))))</f>
        <v>0</v>
      </c>
      <c r="AK317" s="2223" t="str" cm="1">
        <f t="array" ref="AK317">IF($D317&lt;COLUMNS($F$7:AK$7),"",INDEX(TableDiv[[GASB]:[GASB]],_xlfn.AGGREGATE(15,3,(TableDiv[[Agency]:[Agency]]=$E317)/(TableDiv[[Agency]:[Agency]]=$E317)*(ROW(TableDiv[Agency])-ROW(TableDiv[[#Headers],[Agency]])),COLUMNS($F$7:AK$7))))</f>
        <v/>
      </c>
      <c r="AL317" s="2223" t="str" cm="1">
        <f t="array" ref="AL317">IF($D317&lt;COLUMNS($F$7:AL$7),"",INDEX(TableDiv[[GASB]:[GASB]],_xlfn.AGGREGATE(15,3,(TableDiv[[Agency]:[Agency]]=$E317)/(TableDiv[[Agency]:[Agency]]=$E317)*(ROW(TableDiv[Agency])-ROW(TableDiv[[#Headers],[Agency]])),COLUMNS($F$7:AL$7))))</f>
        <v/>
      </c>
      <c r="AM317" s="2223" t="str" cm="1">
        <f t="array" ref="AM317">IF($D317&lt;COLUMNS($F$7:AM$7),"",INDEX(TableDiv[[GASB]:[GASB]],_xlfn.AGGREGATE(15,3,(TableDiv[[Agency]:[Agency]]=$E317)/(TableDiv[[Agency]:[Agency]]=$E317)*(ROW(TableDiv[Agency])-ROW(TableDiv[[#Headers],[Agency]])),COLUMNS($F$7:AM$7))))</f>
        <v/>
      </c>
      <c r="AN317" s="2223"/>
      <c r="AO317" s="2223"/>
      <c r="AP317" s="2223"/>
      <c r="AQ317" s="2223"/>
      <c r="AR317" s="2223"/>
      <c r="AS317" s="2223"/>
    </row>
    <row r="318" spans="1:45" ht="15" x14ac:dyDescent="0.25">
      <c r="A318" s="2219" t="s">
        <v>5122</v>
      </c>
      <c r="B318" s="2219" t="s">
        <v>1878</v>
      </c>
      <c r="C318" s="2223"/>
      <c r="D318" s="2223">
        <f>COUNTIF(TableDiv[Agency],E318)</f>
        <v>31</v>
      </c>
      <c r="E318" s="2230" t="str" cm="1">
        <f t="array" ref="E318">IFERROR(INDEX(TableDiv[Agency],MATCH(0,INDEX(COUNTIF($E$7:E317,TableDiv[Agency]),),0)),"")</f>
        <v/>
      </c>
      <c r="F318" s="2223" cm="1">
        <f t="array" ref="F318">IF($D318&lt;COLUMNS($F$7:F$7),"",INDEX(TableDiv[[GASB]:[GASB]],_xlfn.AGGREGATE(15,3,(TableDiv[[Agency]:[Agency]]=$E318)/(TableDiv[[Agency]:[Agency]]=$E318)*(ROW(TableDiv[Agency])-ROW(TableDiv[[#Headers],[Agency]])),COLUMNS($F$7:F$7))))</f>
        <v>0</v>
      </c>
      <c r="G318" s="2223" cm="1">
        <f t="array" ref="G318">IF($D318&lt;COLUMNS($F$7:G$7),"",INDEX(TableDiv[[GASB]:[GASB]],_xlfn.AGGREGATE(15,3,(TableDiv[[Agency]:[Agency]]=$E318)/(TableDiv[[Agency]:[Agency]]=$E318)*(ROW(TableDiv[Agency])-ROW(TableDiv[[#Headers],[Agency]])),COLUMNS($F$7:G$7))))</f>
        <v>0</v>
      </c>
      <c r="H318" s="2223" cm="1">
        <f t="array" ref="H318">IF($D318&lt;COLUMNS($F$7:H$7),"",INDEX(TableDiv[[GASB]:[GASB]],_xlfn.AGGREGATE(15,3,(TableDiv[[Agency]:[Agency]]=$E318)/(TableDiv[[Agency]:[Agency]]=$E318)*(ROW(TableDiv[Agency])-ROW(TableDiv[[#Headers],[Agency]])),COLUMNS($F$7:H$7))))</f>
        <v>0</v>
      </c>
      <c r="I318" s="2223" cm="1">
        <f t="array" ref="I318">IF($D318&lt;COLUMNS($F$7:I$7),"",INDEX(TableDiv[[GASB]:[GASB]],_xlfn.AGGREGATE(15,3,(TableDiv[[Agency]:[Agency]]=$E318)/(TableDiv[[Agency]:[Agency]]=$E318)*(ROW(TableDiv[Agency])-ROW(TableDiv[[#Headers],[Agency]])),COLUMNS($F$7:I$7))))</f>
        <v>0</v>
      </c>
      <c r="J318" s="2223" cm="1">
        <f t="array" ref="J318">IF($D318&lt;COLUMNS($F$7:J$7),"",INDEX(TableDiv[[GASB]:[GASB]],_xlfn.AGGREGATE(15,3,(TableDiv[[Agency]:[Agency]]=$E318)/(TableDiv[[Agency]:[Agency]]=$E318)*(ROW(TableDiv[Agency])-ROW(TableDiv[[#Headers],[Agency]])),COLUMNS($F$7:J$7))))</f>
        <v>0</v>
      </c>
      <c r="K318" s="2223" cm="1">
        <f t="array" ref="K318">IF($D318&lt;COLUMNS($F$7:K$7),"",INDEX(TableDiv[[GASB]:[GASB]],_xlfn.AGGREGATE(15,3,(TableDiv[[Agency]:[Agency]]=$E318)/(TableDiv[[Agency]:[Agency]]=$E318)*(ROW(TableDiv[Agency])-ROW(TableDiv[[#Headers],[Agency]])),COLUMNS($F$7:K$7))))</f>
        <v>0</v>
      </c>
      <c r="L318" s="2223" cm="1">
        <f t="array" ref="L318">IF($D318&lt;COLUMNS($F$7:L$7),"",INDEX(TableDiv[[GASB]:[GASB]],_xlfn.AGGREGATE(15,3,(TableDiv[[Agency]:[Agency]]=$E318)/(TableDiv[[Agency]:[Agency]]=$E318)*(ROW(TableDiv[Agency])-ROW(TableDiv[[#Headers],[Agency]])),COLUMNS($F$7:L$7))))</f>
        <v>0</v>
      </c>
      <c r="M318" s="2223" cm="1">
        <f t="array" ref="M318">IF($D318&lt;COLUMNS($F$7:M$7),"",INDEX(TableDiv[[GASB]:[GASB]],_xlfn.AGGREGATE(15,3,(TableDiv[[Agency]:[Agency]]=$E318)/(TableDiv[[Agency]:[Agency]]=$E318)*(ROW(TableDiv[Agency])-ROW(TableDiv[[#Headers],[Agency]])),COLUMNS($F$7:M$7))))</f>
        <v>0</v>
      </c>
      <c r="N318" s="2223" cm="1">
        <f t="array" ref="N318">IF($D318&lt;COLUMNS($F$7:N$7),"",INDEX(TableDiv[[GASB]:[GASB]],_xlfn.AGGREGATE(15,3,(TableDiv[[Agency]:[Agency]]=$E318)/(TableDiv[[Agency]:[Agency]]=$E318)*(ROW(TableDiv[Agency])-ROW(TableDiv[[#Headers],[Agency]])),COLUMNS($F$7:N$7))))</f>
        <v>0</v>
      </c>
      <c r="O318" s="2223" cm="1">
        <f t="array" ref="O318">IF($D318&lt;COLUMNS($F$7:O$7),"",INDEX(TableDiv[[GASB]:[GASB]],_xlfn.AGGREGATE(15,3,(TableDiv[[Agency]:[Agency]]=$E318)/(TableDiv[[Agency]:[Agency]]=$E318)*(ROW(TableDiv[Agency])-ROW(TableDiv[[#Headers],[Agency]])),COLUMNS($F$7:O$7))))</f>
        <v>0</v>
      </c>
      <c r="P318" s="2223" cm="1">
        <f t="array" ref="P318">IF($D318&lt;COLUMNS($F$7:P$7),"",INDEX(TableDiv[[GASB]:[GASB]],_xlfn.AGGREGATE(15,3,(TableDiv[[Agency]:[Agency]]=$E318)/(TableDiv[[Agency]:[Agency]]=$E318)*(ROW(TableDiv[Agency])-ROW(TableDiv[[#Headers],[Agency]])),COLUMNS($F$7:P$7))))</f>
        <v>0</v>
      </c>
      <c r="Q318" s="2223" cm="1">
        <f t="array" ref="Q318">IF($D318&lt;COLUMNS($F$7:Q$7),"",INDEX(TableDiv[[GASB]:[GASB]],_xlfn.AGGREGATE(15,3,(TableDiv[[Agency]:[Agency]]=$E318)/(TableDiv[[Agency]:[Agency]]=$E318)*(ROW(TableDiv[Agency])-ROW(TableDiv[[#Headers],[Agency]])),COLUMNS($F$7:Q$7))))</f>
        <v>0</v>
      </c>
      <c r="R318" s="2223" cm="1">
        <f t="array" ref="R318">IF($D318&lt;COLUMNS($F$7:R$7),"",INDEX(TableDiv[[GASB]:[GASB]],_xlfn.AGGREGATE(15,3,(TableDiv[[Agency]:[Agency]]=$E318)/(TableDiv[[Agency]:[Agency]]=$E318)*(ROW(TableDiv[Agency])-ROW(TableDiv[[#Headers],[Agency]])),COLUMNS($F$7:R$7))))</f>
        <v>0</v>
      </c>
      <c r="S318" s="2223" cm="1">
        <f t="array" ref="S318">IF($D318&lt;COLUMNS($F$7:S$7),"",INDEX(TableDiv[[GASB]:[GASB]],_xlfn.AGGREGATE(15,3,(TableDiv[[Agency]:[Agency]]=$E318)/(TableDiv[[Agency]:[Agency]]=$E318)*(ROW(TableDiv[Agency])-ROW(TableDiv[[#Headers],[Agency]])),COLUMNS($F$7:S$7))))</f>
        <v>0</v>
      </c>
      <c r="T318" s="2223" cm="1">
        <f t="array" ref="T318">IF($D318&lt;COLUMNS($F$7:T$7),"",INDEX(TableDiv[[GASB]:[GASB]],_xlfn.AGGREGATE(15,3,(TableDiv[[Agency]:[Agency]]=$E318)/(TableDiv[[Agency]:[Agency]]=$E318)*(ROW(TableDiv[Agency])-ROW(TableDiv[[#Headers],[Agency]])),COLUMNS($F$7:T$7))))</f>
        <v>0</v>
      </c>
      <c r="U318" s="2223" cm="1">
        <f t="array" ref="U318">IF($D318&lt;COLUMNS($F$7:U$7),"",INDEX(TableDiv[[GASB]:[GASB]],_xlfn.AGGREGATE(15,3,(TableDiv[[Agency]:[Agency]]=$E318)/(TableDiv[[Agency]:[Agency]]=$E318)*(ROW(TableDiv[Agency])-ROW(TableDiv[[#Headers],[Agency]])),COLUMNS($F$7:U$7))))</f>
        <v>0</v>
      </c>
      <c r="V318" s="2223" cm="1">
        <f t="array" ref="V318">IF($D318&lt;COLUMNS($F$7:V$7),"",INDEX(TableDiv[[GASB]:[GASB]],_xlfn.AGGREGATE(15,3,(TableDiv[[Agency]:[Agency]]=$E318)/(TableDiv[[Agency]:[Agency]]=$E318)*(ROW(TableDiv[Agency])-ROW(TableDiv[[#Headers],[Agency]])),COLUMNS($F$7:V$7))))</f>
        <v>0</v>
      </c>
      <c r="W318" s="2223" cm="1">
        <f t="array" ref="W318">IF($D318&lt;COLUMNS($F$7:W$7),"",INDEX(TableDiv[[GASB]:[GASB]],_xlfn.AGGREGATE(15,3,(TableDiv[[Agency]:[Agency]]=$E318)/(TableDiv[[Agency]:[Agency]]=$E318)*(ROW(TableDiv[Agency])-ROW(TableDiv[[#Headers],[Agency]])),COLUMNS($F$7:W$7))))</f>
        <v>0</v>
      </c>
      <c r="X318" s="2223" cm="1">
        <f t="array" ref="X318">IF($D318&lt;COLUMNS($F$7:X$7),"",INDEX(TableDiv[[GASB]:[GASB]],_xlfn.AGGREGATE(15,3,(TableDiv[[Agency]:[Agency]]=$E318)/(TableDiv[[Agency]:[Agency]]=$E318)*(ROW(TableDiv[Agency])-ROW(TableDiv[[#Headers],[Agency]])),COLUMNS($F$7:X$7))))</f>
        <v>0</v>
      </c>
      <c r="Y318" s="2223" cm="1">
        <f t="array" ref="Y318">IF($D318&lt;COLUMNS($F$7:Y$7),"",INDEX(TableDiv[[GASB]:[GASB]],_xlfn.AGGREGATE(15,3,(TableDiv[[Agency]:[Agency]]=$E318)/(TableDiv[[Agency]:[Agency]]=$E318)*(ROW(TableDiv[Agency])-ROW(TableDiv[[#Headers],[Agency]])),COLUMNS($F$7:Y$7))))</f>
        <v>0</v>
      </c>
      <c r="Z318" s="2223" cm="1">
        <f t="array" ref="Z318">IF($D318&lt;COLUMNS($F$7:Z$7),"",INDEX(TableDiv[[GASB]:[GASB]],_xlfn.AGGREGATE(15,3,(TableDiv[[Agency]:[Agency]]=$E318)/(TableDiv[[Agency]:[Agency]]=$E318)*(ROW(TableDiv[Agency])-ROW(TableDiv[[#Headers],[Agency]])),COLUMNS($F$7:Z$7))))</f>
        <v>0</v>
      </c>
      <c r="AA318" s="2223" cm="1">
        <f t="array" ref="AA318">IF($D318&lt;COLUMNS($F$7:AA$7),"",INDEX(TableDiv[[GASB]:[GASB]],_xlfn.AGGREGATE(15,3,(TableDiv[[Agency]:[Agency]]=$E318)/(TableDiv[[Agency]:[Agency]]=$E318)*(ROW(TableDiv[Agency])-ROW(TableDiv[[#Headers],[Agency]])),COLUMNS($F$7:AA$7))))</f>
        <v>0</v>
      </c>
      <c r="AB318" s="2223" cm="1">
        <f t="array" ref="AB318">IF($D318&lt;COLUMNS($F$7:AB$7),"",INDEX(TableDiv[[GASB]:[GASB]],_xlfn.AGGREGATE(15,3,(TableDiv[[Agency]:[Agency]]=$E318)/(TableDiv[[Agency]:[Agency]]=$E318)*(ROW(TableDiv[Agency])-ROW(TableDiv[[#Headers],[Agency]])),COLUMNS($F$7:AB$7))))</f>
        <v>0</v>
      </c>
      <c r="AC318" s="2223" cm="1">
        <f t="array" ref="AC318">IF($D318&lt;COLUMNS($F$7:AC$7),"",INDEX(TableDiv[[GASB]:[GASB]],_xlfn.AGGREGATE(15,3,(TableDiv[[Agency]:[Agency]]=$E318)/(TableDiv[[Agency]:[Agency]]=$E318)*(ROW(TableDiv[Agency])-ROW(TableDiv[[#Headers],[Agency]])),COLUMNS($F$7:AC$7))))</f>
        <v>0</v>
      </c>
      <c r="AD318" s="2223" cm="1">
        <f t="array" ref="AD318">IF($D318&lt;COLUMNS($F$7:AD$7),"",INDEX(TableDiv[[GASB]:[GASB]],_xlfn.AGGREGATE(15,3,(TableDiv[[Agency]:[Agency]]=$E318)/(TableDiv[[Agency]:[Agency]]=$E318)*(ROW(TableDiv[Agency])-ROW(TableDiv[[#Headers],[Agency]])),COLUMNS($F$7:AD$7))))</f>
        <v>0</v>
      </c>
      <c r="AE318" s="2223" cm="1">
        <f t="array" ref="AE318">IF($D318&lt;COLUMNS($F$7:AE$7),"",INDEX(TableDiv[[GASB]:[GASB]],_xlfn.AGGREGATE(15,3,(TableDiv[[Agency]:[Agency]]=$E318)/(TableDiv[[Agency]:[Agency]]=$E318)*(ROW(TableDiv[Agency])-ROW(TableDiv[[#Headers],[Agency]])),COLUMNS($F$7:AE$7))))</f>
        <v>0</v>
      </c>
      <c r="AF318" s="2223" cm="1">
        <f t="array" ref="AF318">IF($D318&lt;COLUMNS($F$7:AF$7),"",INDEX(TableDiv[[GASB]:[GASB]],_xlfn.AGGREGATE(15,3,(TableDiv[[Agency]:[Agency]]=$E318)/(TableDiv[[Agency]:[Agency]]=$E318)*(ROW(TableDiv[Agency])-ROW(TableDiv[[#Headers],[Agency]])),COLUMNS($F$7:AF$7))))</f>
        <v>0</v>
      </c>
      <c r="AG318" s="2223" cm="1">
        <f t="array" ref="AG318">IF($D318&lt;COLUMNS($F$7:AG$7),"",INDEX(TableDiv[[GASB]:[GASB]],_xlfn.AGGREGATE(15,3,(TableDiv[[Agency]:[Agency]]=$E318)/(TableDiv[[Agency]:[Agency]]=$E318)*(ROW(TableDiv[Agency])-ROW(TableDiv[[#Headers],[Agency]])),COLUMNS($F$7:AG$7))))</f>
        <v>0</v>
      </c>
      <c r="AH318" s="2223" cm="1">
        <f t="array" ref="AH318">IF($D318&lt;COLUMNS($F$7:AH$7),"",INDEX(TableDiv[[GASB]:[GASB]],_xlfn.AGGREGATE(15,3,(TableDiv[[Agency]:[Agency]]=$E318)/(TableDiv[[Agency]:[Agency]]=$E318)*(ROW(TableDiv[Agency])-ROW(TableDiv[[#Headers],[Agency]])),COLUMNS($F$7:AH$7))))</f>
        <v>0</v>
      </c>
      <c r="AI318" s="2223" cm="1">
        <f t="array" ref="AI318">IF($D318&lt;COLUMNS($F$7:AI$7),"",INDEX(TableDiv[[GASB]:[GASB]],_xlfn.AGGREGATE(15,3,(TableDiv[[Agency]:[Agency]]=$E318)/(TableDiv[[Agency]:[Agency]]=$E318)*(ROW(TableDiv[Agency])-ROW(TableDiv[[#Headers],[Agency]])),COLUMNS($F$7:AI$7))))</f>
        <v>0</v>
      </c>
      <c r="AJ318" s="2223" cm="1">
        <f t="array" ref="AJ318">IF($D318&lt;COLUMNS($F$7:AJ$7),"",INDEX(TableDiv[[GASB]:[GASB]],_xlfn.AGGREGATE(15,3,(TableDiv[[Agency]:[Agency]]=$E318)/(TableDiv[[Agency]:[Agency]]=$E318)*(ROW(TableDiv[Agency])-ROW(TableDiv[[#Headers],[Agency]])),COLUMNS($F$7:AJ$7))))</f>
        <v>0</v>
      </c>
      <c r="AK318" s="2223" t="str" cm="1">
        <f t="array" ref="AK318">IF($D318&lt;COLUMNS($F$7:AK$7),"",INDEX(TableDiv[[GASB]:[GASB]],_xlfn.AGGREGATE(15,3,(TableDiv[[Agency]:[Agency]]=$E318)/(TableDiv[[Agency]:[Agency]]=$E318)*(ROW(TableDiv[Agency])-ROW(TableDiv[[#Headers],[Agency]])),COLUMNS($F$7:AK$7))))</f>
        <v/>
      </c>
      <c r="AL318" s="2223" t="str" cm="1">
        <f t="array" ref="AL318">IF($D318&lt;COLUMNS($F$7:AL$7),"",INDEX(TableDiv[[GASB]:[GASB]],_xlfn.AGGREGATE(15,3,(TableDiv[[Agency]:[Agency]]=$E318)/(TableDiv[[Agency]:[Agency]]=$E318)*(ROW(TableDiv[Agency])-ROW(TableDiv[[#Headers],[Agency]])),COLUMNS($F$7:AL$7))))</f>
        <v/>
      </c>
      <c r="AM318" s="2223" t="str" cm="1">
        <f t="array" ref="AM318">IF($D318&lt;COLUMNS($F$7:AM$7),"",INDEX(TableDiv[[GASB]:[GASB]],_xlfn.AGGREGATE(15,3,(TableDiv[[Agency]:[Agency]]=$E318)/(TableDiv[[Agency]:[Agency]]=$E318)*(ROW(TableDiv[Agency])-ROW(TableDiv[[#Headers],[Agency]])),COLUMNS($F$7:AM$7))))</f>
        <v/>
      </c>
      <c r="AN318" s="2223"/>
      <c r="AO318" s="2223"/>
      <c r="AP318" s="2223"/>
      <c r="AQ318" s="2223"/>
      <c r="AR318" s="2223"/>
      <c r="AS318" s="2223"/>
    </row>
    <row r="319" spans="1:45" ht="15" x14ac:dyDescent="0.25">
      <c r="A319" s="2219" t="s">
        <v>5122</v>
      </c>
      <c r="B319" s="2219" t="s">
        <v>6365</v>
      </c>
      <c r="C319" s="2223"/>
      <c r="D319" s="2223">
        <f>COUNTIF(TableDiv[Agency],E319)</f>
        <v>31</v>
      </c>
      <c r="E319" s="2230" t="str" cm="1">
        <f t="array" ref="E319">IFERROR(INDEX(TableDiv[Agency],MATCH(0,INDEX(COUNTIF($E$7:E318,TableDiv[Agency]),),0)),"")</f>
        <v/>
      </c>
      <c r="F319" s="2223" cm="1">
        <f t="array" ref="F319">IF($D319&lt;COLUMNS($F$7:F$7),"",INDEX(TableDiv[[GASB]:[GASB]],_xlfn.AGGREGATE(15,3,(TableDiv[[Agency]:[Agency]]=$E319)/(TableDiv[[Agency]:[Agency]]=$E319)*(ROW(TableDiv[Agency])-ROW(TableDiv[[#Headers],[Agency]])),COLUMNS($F$7:F$7))))</f>
        <v>0</v>
      </c>
      <c r="G319" s="2223" cm="1">
        <f t="array" ref="G319">IF($D319&lt;COLUMNS($F$7:G$7),"",INDEX(TableDiv[[GASB]:[GASB]],_xlfn.AGGREGATE(15,3,(TableDiv[[Agency]:[Agency]]=$E319)/(TableDiv[[Agency]:[Agency]]=$E319)*(ROW(TableDiv[Agency])-ROW(TableDiv[[#Headers],[Agency]])),COLUMNS($F$7:G$7))))</f>
        <v>0</v>
      </c>
      <c r="H319" s="2223" cm="1">
        <f t="array" ref="H319">IF($D319&lt;COLUMNS($F$7:H$7),"",INDEX(TableDiv[[GASB]:[GASB]],_xlfn.AGGREGATE(15,3,(TableDiv[[Agency]:[Agency]]=$E319)/(TableDiv[[Agency]:[Agency]]=$E319)*(ROW(TableDiv[Agency])-ROW(TableDiv[[#Headers],[Agency]])),COLUMNS($F$7:H$7))))</f>
        <v>0</v>
      </c>
      <c r="I319" s="2223" cm="1">
        <f t="array" ref="I319">IF($D319&lt;COLUMNS($F$7:I$7),"",INDEX(TableDiv[[GASB]:[GASB]],_xlfn.AGGREGATE(15,3,(TableDiv[[Agency]:[Agency]]=$E319)/(TableDiv[[Agency]:[Agency]]=$E319)*(ROW(TableDiv[Agency])-ROW(TableDiv[[#Headers],[Agency]])),COLUMNS($F$7:I$7))))</f>
        <v>0</v>
      </c>
      <c r="J319" s="2223" cm="1">
        <f t="array" ref="J319">IF($D319&lt;COLUMNS($F$7:J$7),"",INDEX(TableDiv[[GASB]:[GASB]],_xlfn.AGGREGATE(15,3,(TableDiv[[Agency]:[Agency]]=$E319)/(TableDiv[[Agency]:[Agency]]=$E319)*(ROW(TableDiv[Agency])-ROW(TableDiv[[#Headers],[Agency]])),COLUMNS($F$7:J$7))))</f>
        <v>0</v>
      </c>
      <c r="K319" s="2223" cm="1">
        <f t="array" ref="K319">IF($D319&lt;COLUMNS($F$7:K$7),"",INDEX(TableDiv[[GASB]:[GASB]],_xlfn.AGGREGATE(15,3,(TableDiv[[Agency]:[Agency]]=$E319)/(TableDiv[[Agency]:[Agency]]=$E319)*(ROW(TableDiv[Agency])-ROW(TableDiv[[#Headers],[Agency]])),COLUMNS($F$7:K$7))))</f>
        <v>0</v>
      </c>
      <c r="L319" s="2223" cm="1">
        <f t="array" ref="L319">IF($D319&lt;COLUMNS($F$7:L$7),"",INDEX(TableDiv[[GASB]:[GASB]],_xlfn.AGGREGATE(15,3,(TableDiv[[Agency]:[Agency]]=$E319)/(TableDiv[[Agency]:[Agency]]=$E319)*(ROW(TableDiv[Agency])-ROW(TableDiv[[#Headers],[Agency]])),COLUMNS($F$7:L$7))))</f>
        <v>0</v>
      </c>
      <c r="M319" s="2223" cm="1">
        <f t="array" ref="M319">IF($D319&lt;COLUMNS($F$7:M$7),"",INDEX(TableDiv[[GASB]:[GASB]],_xlfn.AGGREGATE(15,3,(TableDiv[[Agency]:[Agency]]=$E319)/(TableDiv[[Agency]:[Agency]]=$E319)*(ROW(TableDiv[Agency])-ROW(TableDiv[[#Headers],[Agency]])),COLUMNS($F$7:M$7))))</f>
        <v>0</v>
      </c>
      <c r="N319" s="2223" cm="1">
        <f t="array" ref="N319">IF($D319&lt;COLUMNS($F$7:N$7),"",INDEX(TableDiv[[GASB]:[GASB]],_xlfn.AGGREGATE(15,3,(TableDiv[[Agency]:[Agency]]=$E319)/(TableDiv[[Agency]:[Agency]]=$E319)*(ROW(TableDiv[Agency])-ROW(TableDiv[[#Headers],[Agency]])),COLUMNS($F$7:N$7))))</f>
        <v>0</v>
      </c>
      <c r="O319" s="2223" cm="1">
        <f t="array" ref="O319">IF($D319&lt;COLUMNS($F$7:O$7),"",INDEX(TableDiv[[GASB]:[GASB]],_xlfn.AGGREGATE(15,3,(TableDiv[[Agency]:[Agency]]=$E319)/(TableDiv[[Agency]:[Agency]]=$E319)*(ROW(TableDiv[Agency])-ROW(TableDiv[[#Headers],[Agency]])),COLUMNS($F$7:O$7))))</f>
        <v>0</v>
      </c>
      <c r="P319" s="2223" cm="1">
        <f t="array" ref="P319">IF($D319&lt;COLUMNS($F$7:P$7),"",INDEX(TableDiv[[GASB]:[GASB]],_xlfn.AGGREGATE(15,3,(TableDiv[[Agency]:[Agency]]=$E319)/(TableDiv[[Agency]:[Agency]]=$E319)*(ROW(TableDiv[Agency])-ROW(TableDiv[[#Headers],[Agency]])),COLUMNS($F$7:P$7))))</f>
        <v>0</v>
      </c>
      <c r="Q319" s="2223" cm="1">
        <f t="array" ref="Q319">IF($D319&lt;COLUMNS($F$7:Q$7),"",INDEX(TableDiv[[GASB]:[GASB]],_xlfn.AGGREGATE(15,3,(TableDiv[[Agency]:[Agency]]=$E319)/(TableDiv[[Agency]:[Agency]]=$E319)*(ROW(TableDiv[Agency])-ROW(TableDiv[[#Headers],[Agency]])),COLUMNS($F$7:Q$7))))</f>
        <v>0</v>
      </c>
      <c r="R319" s="2223" cm="1">
        <f t="array" ref="R319">IF($D319&lt;COLUMNS($F$7:R$7),"",INDEX(TableDiv[[GASB]:[GASB]],_xlfn.AGGREGATE(15,3,(TableDiv[[Agency]:[Agency]]=$E319)/(TableDiv[[Agency]:[Agency]]=$E319)*(ROW(TableDiv[Agency])-ROW(TableDiv[[#Headers],[Agency]])),COLUMNS($F$7:R$7))))</f>
        <v>0</v>
      </c>
      <c r="S319" s="2223" cm="1">
        <f t="array" ref="S319">IF($D319&lt;COLUMNS($F$7:S$7),"",INDEX(TableDiv[[GASB]:[GASB]],_xlfn.AGGREGATE(15,3,(TableDiv[[Agency]:[Agency]]=$E319)/(TableDiv[[Agency]:[Agency]]=$E319)*(ROW(TableDiv[Agency])-ROW(TableDiv[[#Headers],[Agency]])),COLUMNS($F$7:S$7))))</f>
        <v>0</v>
      </c>
      <c r="T319" s="2223" cm="1">
        <f t="array" ref="T319">IF($D319&lt;COLUMNS($F$7:T$7),"",INDEX(TableDiv[[GASB]:[GASB]],_xlfn.AGGREGATE(15,3,(TableDiv[[Agency]:[Agency]]=$E319)/(TableDiv[[Agency]:[Agency]]=$E319)*(ROW(TableDiv[Agency])-ROW(TableDiv[[#Headers],[Agency]])),COLUMNS($F$7:T$7))))</f>
        <v>0</v>
      </c>
      <c r="U319" s="2223" cm="1">
        <f t="array" ref="U319">IF($D319&lt;COLUMNS($F$7:U$7),"",INDEX(TableDiv[[GASB]:[GASB]],_xlfn.AGGREGATE(15,3,(TableDiv[[Agency]:[Agency]]=$E319)/(TableDiv[[Agency]:[Agency]]=$E319)*(ROW(TableDiv[Agency])-ROW(TableDiv[[#Headers],[Agency]])),COLUMNS($F$7:U$7))))</f>
        <v>0</v>
      </c>
      <c r="V319" s="2223" cm="1">
        <f t="array" ref="V319">IF($D319&lt;COLUMNS($F$7:V$7),"",INDEX(TableDiv[[GASB]:[GASB]],_xlfn.AGGREGATE(15,3,(TableDiv[[Agency]:[Agency]]=$E319)/(TableDiv[[Agency]:[Agency]]=$E319)*(ROW(TableDiv[Agency])-ROW(TableDiv[[#Headers],[Agency]])),COLUMNS($F$7:V$7))))</f>
        <v>0</v>
      </c>
      <c r="W319" s="2223" cm="1">
        <f t="array" ref="W319">IF($D319&lt;COLUMNS($F$7:W$7),"",INDEX(TableDiv[[GASB]:[GASB]],_xlfn.AGGREGATE(15,3,(TableDiv[[Agency]:[Agency]]=$E319)/(TableDiv[[Agency]:[Agency]]=$E319)*(ROW(TableDiv[Agency])-ROW(TableDiv[[#Headers],[Agency]])),COLUMNS($F$7:W$7))))</f>
        <v>0</v>
      </c>
      <c r="X319" s="2223" cm="1">
        <f t="array" ref="X319">IF($D319&lt;COLUMNS($F$7:X$7),"",INDEX(TableDiv[[GASB]:[GASB]],_xlfn.AGGREGATE(15,3,(TableDiv[[Agency]:[Agency]]=$E319)/(TableDiv[[Agency]:[Agency]]=$E319)*(ROW(TableDiv[Agency])-ROW(TableDiv[[#Headers],[Agency]])),COLUMNS($F$7:X$7))))</f>
        <v>0</v>
      </c>
      <c r="Y319" s="2223" cm="1">
        <f t="array" ref="Y319">IF($D319&lt;COLUMNS($F$7:Y$7),"",INDEX(TableDiv[[GASB]:[GASB]],_xlfn.AGGREGATE(15,3,(TableDiv[[Agency]:[Agency]]=$E319)/(TableDiv[[Agency]:[Agency]]=$E319)*(ROW(TableDiv[Agency])-ROW(TableDiv[[#Headers],[Agency]])),COLUMNS($F$7:Y$7))))</f>
        <v>0</v>
      </c>
      <c r="Z319" s="2223" cm="1">
        <f t="array" ref="Z319">IF($D319&lt;COLUMNS($F$7:Z$7),"",INDEX(TableDiv[[GASB]:[GASB]],_xlfn.AGGREGATE(15,3,(TableDiv[[Agency]:[Agency]]=$E319)/(TableDiv[[Agency]:[Agency]]=$E319)*(ROW(TableDiv[Agency])-ROW(TableDiv[[#Headers],[Agency]])),COLUMNS($F$7:Z$7))))</f>
        <v>0</v>
      </c>
      <c r="AA319" s="2223" cm="1">
        <f t="array" ref="AA319">IF($D319&lt;COLUMNS($F$7:AA$7),"",INDEX(TableDiv[[GASB]:[GASB]],_xlfn.AGGREGATE(15,3,(TableDiv[[Agency]:[Agency]]=$E319)/(TableDiv[[Agency]:[Agency]]=$E319)*(ROW(TableDiv[Agency])-ROW(TableDiv[[#Headers],[Agency]])),COLUMNS($F$7:AA$7))))</f>
        <v>0</v>
      </c>
      <c r="AB319" s="2223" cm="1">
        <f t="array" ref="AB319">IF($D319&lt;COLUMNS($F$7:AB$7),"",INDEX(TableDiv[[GASB]:[GASB]],_xlfn.AGGREGATE(15,3,(TableDiv[[Agency]:[Agency]]=$E319)/(TableDiv[[Agency]:[Agency]]=$E319)*(ROW(TableDiv[Agency])-ROW(TableDiv[[#Headers],[Agency]])),COLUMNS($F$7:AB$7))))</f>
        <v>0</v>
      </c>
      <c r="AC319" s="2223" cm="1">
        <f t="array" ref="AC319">IF($D319&lt;COLUMNS($F$7:AC$7),"",INDEX(TableDiv[[GASB]:[GASB]],_xlfn.AGGREGATE(15,3,(TableDiv[[Agency]:[Agency]]=$E319)/(TableDiv[[Agency]:[Agency]]=$E319)*(ROW(TableDiv[Agency])-ROW(TableDiv[[#Headers],[Agency]])),COLUMNS($F$7:AC$7))))</f>
        <v>0</v>
      </c>
      <c r="AD319" s="2223" cm="1">
        <f t="array" ref="AD319">IF($D319&lt;COLUMNS($F$7:AD$7),"",INDEX(TableDiv[[GASB]:[GASB]],_xlfn.AGGREGATE(15,3,(TableDiv[[Agency]:[Agency]]=$E319)/(TableDiv[[Agency]:[Agency]]=$E319)*(ROW(TableDiv[Agency])-ROW(TableDiv[[#Headers],[Agency]])),COLUMNS($F$7:AD$7))))</f>
        <v>0</v>
      </c>
      <c r="AE319" s="2223" cm="1">
        <f t="array" ref="AE319">IF($D319&lt;COLUMNS($F$7:AE$7),"",INDEX(TableDiv[[GASB]:[GASB]],_xlfn.AGGREGATE(15,3,(TableDiv[[Agency]:[Agency]]=$E319)/(TableDiv[[Agency]:[Agency]]=$E319)*(ROW(TableDiv[Agency])-ROW(TableDiv[[#Headers],[Agency]])),COLUMNS($F$7:AE$7))))</f>
        <v>0</v>
      </c>
      <c r="AF319" s="2223" cm="1">
        <f t="array" ref="AF319">IF($D319&lt;COLUMNS($F$7:AF$7),"",INDEX(TableDiv[[GASB]:[GASB]],_xlfn.AGGREGATE(15,3,(TableDiv[[Agency]:[Agency]]=$E319)/(TableDiv[[Agency]:[Agency]]=$E319)*(ROW(TableDiv[Agency])-ROW(TableDiv[[#Headers],[Agency]])),COLUMNS($F$7:AF$7))))</f>
        <v>0</v>
      </c>
      <c r="AG319" s="2223" cm="1">
        <f t="array" ref="AG319">IF($D319&lt;COLUMNS($F$7:AG$7),"",INDEX(TableDiv[[GASB]:[GASB]],_xlfn.AGGREGATE(15,3,(TableDiv[[Agency]:[Agency]]=$E319)/(TableDiv[[Agency]:[Agency]]=$E319)*(ROW(TableDiv[Agency])-ROW(TableDiv[[#Headers],[Agency]])),COLUMNS($F$7:AG$7))))</f>
        <v>0</v>
      </c>
      <c r="AH319" s="2223" cm="1">
        <f t="array" ref="AH319">IF($D319&lt;COLUMNS($F$7:AH$7),"",INDEX(TableDiv[[GASB]:[GASB]],_xlfn.AGGREGATE(15,3,(TableDiv[[Agency]:[Agency]]=$E319)/(TableDiv[[Agency]:[Agency]]=$E319)*(ROW(TableDiv[Agency])-ROW(TableDiv[[#Headers],[Agency]])),COLUMNS($F$7:AH$7))))</f>
        <v>0</v>
      </c>
      <c r="AI319" s="2223" cm="1">
        <f t="array" ref="AI319">IF($D319&lt;COLUMNS($F$7:AI$7),"",INDEX(TableDiv[[GASB]:[GASB]],_xlfn.AGGREGATE(15,3,(TableDiv[[Agency]:[Agency]]=$E319)/(TableDiv[[Agency]:[Agency]]=$E319)*(ROW(TableDiv[Agency])-ROW(TableDiv[[#Headers],[Agency]])),COLUMNS($F$7:AI$7))))</f>
        <v>0</v>
      </c>
      <c r="AJ319" s="2223" cm="1">
        <f t="array" ref="AJ319">IF($D319&lt;COLUMNS($F$7:AJ$7),"",INDEX(TableDiv[[GASB]:[GASB]],_xlfn.AGGREGATE(15,3,(TableDiv[[Agency]:[Agency]]=$E319)/(TableDiv[[Agency]:[Agency]]=$E319)*(ROW(TableDiv[Agency])-ROW(TableDiv[[#Headers],[Agency]])),COLUMNS($F$7:AJ$7))))</f>
        <v>0</v>
      </c>
      <c r="AK319" s="2223" t="str" cm="1">
        <f t="array" ref="AK319">IF($D319&lt;COLUMNS($F$7:AK$7),"",INDEX(TableDiv[[GASB]:[GASB]],_xlfn.AGGREGATE(15,3,(TableDiv[[Agency]:[Agency]]=$E319)/(TableDiv[[Agency]:[Agency]]=$E319)*(ROW(TableDiv[Agency])-ROW(TableDiv[[#Headers],[Agency]])),COLUMNS($F$7:AK$7))))</f>
        <v/>
      </c>
      <c r="AL319" s="2223" t="str" cm="1">
        <f t="array" ref="AL319">IF($D319&lt;COLUMNS($F$7:AL$7),"",INDEX(TableDiv[[GASB]:[GASB]],_xlfn.AGGREGATE(15,3,(TableDiv[[Agency]:[Agency]]=$E319)/(TableDiv[[Agency]:[Agency]]=$E319)*(ROW(TableDiv[Agency])-ROW(TableDiv[[#Headers],[Agency]])),COLUMNS($F$7:AL$7))))</f>
        <v/>
      </c>
      <c r="AM319" s="2223" t="str" cm="1">
        <f t="array" ref="AM319">IF($D319&lt;COLUMNS($F$7:AM$7),"",INDEX(TableDiv[[GASB]:[GASB]],_xlfn.AGGREGATE(15,3,(TableDiv[[Agency]:[Agency]]=$E319)/(TableDiv[[Agency]:[Agency]]=$E319)*(ROW(TableDiv[Agency])-ROW(TableDiv[[#Headers],[Agency]])),COLUMNS($F$7:AM$7))))</f>
        <v/>
      </c>
      <c r="AN319" s="2223"/>
      <c r="AO319" s="2223"/>
      <c r="AP319" s="2223"/>
      <c r="AQ319" s="2223"/>
      <c r="AR319" s="2223"/>
      <c r="AS319" s="2223"/>
    </row>
    <row r="320" spans="1:45" ht="15" x14ac:dyDescent="0.25">
      <c r="A320" s="2219" t="s">
        <v>5122</v>
      </c>
      <c r="B320" s="2219" t="s">
        <v>6361</v>
      </c>
      <c r="C320" s="2223"/>
      <c r="D320" s="2223">
        <f>COUNTIF(TableDiv[Agency],E320)</f>
        <v>31</v>
      </c>
      <c r="E320" s="2230" t="str" cm="1">
        <f t="array" ref="E320">IFERROR(INDEX(TableDiv[Agency],MATCH(0,INDEX(COUNTIF($E$7:E319,TableDiv[Agency]),),0)),"")</f>
        <v/>
      </c>
      <c r="F320" s="2223" cm="1">
        <f t="array" ref="F320">IF($D320&lt;COLUMNS($F$7:F$7),"",INDEX(TableDiv[[GASB]:[GASB]],_xlfn.AGGREGATE(15,3,(TableDiv[[Agency]:[Agency]]=$E320)/(TableDiv[[Agency]:[Agency]]=$E320)*(ROW(TableDiv[Agency])-ROW(TableDiv[[#Headers],[Agency]])),COLUMNS($F$7:F$7))))</f>
        <v>0</v>
      </c>
      <c r="G320" s="2223" cm="1">
        <f t="array" ref="G320">IF($D320&lt;COLUMNS($F$7:G$7),"",INDEX(TableDiv[[GASB]:[GASB]],_xlfn.AGGREGATE(15,3,(TableDiv[[Agency]:[Agency]]=$E320)/(TableDiv[[Agency]:[Agency]]=$E320)*(ROW(TableDiv[Agency])-ROW(TableDiv[[#Headers],[Agency]])),COLUMNS($F$7:G$7))))</f>
        <v>0</v>
      </c>
      <c r="H320" s="2223" cm="1">
        <f t="array" ref="H320">IF($D320&lt;COLUMNS($F$7:H$7),"",INDEX(TableDiv[[GASB]:[GASB]],_xlfn.AGGREGATE(15,3,(TableDiv[[Agency]:[Agency]]=$E320)/(TableDiv[[Agency]:[Agency]]=$E320)*(ROW(TableDiv[Agency])-ROW(TableDiv[[#Headers],[Agency]])),COLUMNS($F$7:H$7))))</f>
        <v>0</v>
      </c>
      <c r="I320" s="2223" cm="1">
        <f t="array" ref="I320">IF($D320&lt;COLUMNS($F$7:I$7),"",INDEX(TableDiv[[GASB]:[GASB]],_xlfn.AGGREGATE(15,3,(TableDiv[[Agency]:[Agency]]=$E320)/(TableDiv[[Agency]:[Agency]]=$E320)*(ROW(TableDiv[Agency])-ROW(TableDiv[[#Headers],[Agency]])),COLUMNS($F$7:I$7))))</f>
        <v>0</v>
      </c>
      <c r="J320" s="2223" cm="1">
        <f t="array" ref="J320">IF($D320&lt;COLUMNS($F$7:J$7),"",INDEX(TableDiv[[GASB]:[GASB]],_xlfn.AGGREGATE(15,3,(TableDiv[[Agency]:[Agency]]=$E320)/(TableDiv[[Agency]:[Agency]]=$E320)*(ROW(TableDiv[Agency])-ROW(TableDiv[[#Headers],[Agency]])),COLUMNS($F$7:J$7))))</f>
        <v>0</v>
      </c>
      <c r="K320" s="2223" cm="1">
        <f t="array" ref="K320">IF($D320&lt;COLUMNS($F$7:K$7),"",INDEX(TableDiv[[GASB]:[GASB]],_xlfn.AGGREGATE(15,3,(TableDiv[[Agency]:[Agency]]=$E320)/(TableDiv[[Agency]:[Agency]]=$E320)*(ROW(TableDiv[Agency])-ROW(TableDiv[[#Headers],[Agency]])),COLUMNS($F$7:K$7))))</f>
        <v>0</v>
      </c>
      <c r="L320" s="2223" cm="1">
        <f t="array" ref="L320">IF($D320&lt;COLUMNS($F$7:L$7),"",INDEX(TableDiv[[GASB]:[GASB]],_xlfn.AGGREGATE(15,3,(TableDiv[[Agency]:[Agency]]=$E320)/(TableDiv[[Agency]:[Agency]]=$E320)*(ROW(TableDiv[Agency])-ROW(TableDiv[[#Headers],[Agency]])),COLUMNS($F$7:L$7))))</f>
        <v>0</v>
      </c>
      <c r="M320" s="2223" cm="1">
        <f t="array" ref="M320">IF($D320&lt;COLUMNS($F$7:M$7),"",INDEX(TableDiv[[GASB]:[GASB]],_xlfn.AGGREGATE(15,3,(TableDiv[[Agency]:[Agency]]=$E320)/(TableDiv[[Agency]:[Agency]]=$E320)*(ROW(TableDiv[Agency])-ROW(TableDiv[[#Headers],[Agency]])),COLUMNS($F$7:M$7))))</f>
        <v>0</v>
      </c>
      <c r="N320" s="2223" cm="1">
        <f t="array" ref="N320">IF($D320&lt;COLUMNS($F$7:N$7),"",INDEX(TableDiv[[GASB]:[GASB]],_xlfn.AGGREGATE(15,3,(TableDiv[[Agency]:[Agency]]=$E320)/(TableDiv[[Agency]:[Agency]]=$E320)*(ROW(TableDiv[Agency])-ROW(TableDiv[[#Headers],[Agency]])),COLUMNS($F$7:N$7))))</f>
        <v>0</v>
      </c>
      <c r="O320" s="2223" cm="1">
        <f t="array" ref="O320">IF($D320&lt;COLUMNS($F$7:O$7),"",INDEX(TableDiv[[GASB]:[GASB]],_xlfn.AGGREGATE(15,3,(TableDiv[[Agency]:[Agency]]=$E320)/(TableDiv[[Agency]:[Agency]]=$E320)*(ROW(TableDiv[Agency])-ROW(TableDiv[[#Headers],[Agency]])),COLUMNS($F$7:O$7))))</f>
        <v>0</v>
      </c>
      <c r="P320" s="2223" cm="1">
        <f t="array" ref="P320">IF($D320&lt;COLUMNS($F$7:P$7),"",INDEX(TableDiv[[GASB]:[GASB]],_xlfn.AGGREGATE(15,3,(TableDiv[[Agency]:[Agency]]=$E320)/(TableDiv[[Agency]:[Agency]]=$E320)*(ROW(TableDiv[Agency])-ROW(TableDiv[[#Headers],[Agency]])),COLUMNS($F$7:P$7))))</f>
        <v>0</v>
      </c>
      <c r="Q320" s="2223" cm="1">
        <f t="array" ref="Q320">IF($D320&lt;COLUMNS($F$7:Q$7),"",INDEX(TableDiv[[GASB]:[GASB]],_xlfn.AGGREGATE(15,3,(TableDiv[[Agency]:[Agency]]=$E320)/(TableDiv[[Agency]:[Agency]]=$E320)*(ROW(TableDiv[Agency])-ROW(TableDiv[[#Headers],[Agency]])),COLUMNS($F$7:Q$7))))</f>
        <v>0</v>
      </c>
      <c r="R320" s="2223" cm="1">
        <f t="array" ref="R320">IF($D320&lt;COLUMNS($F$7:R$7),"",INDEX(TableDiv[[GASB]:[GASB]],_xlfn.AGGREGATE(15,3,(TableDiv[[Agency]:[Agency]]=$E320)/(TableDiv[[Agency]:[Agency]]=$E320)*(ROW(TableDiv[Agency])-ROW(TableDiv[[#Headers],[Agency]])),COLUMNS($F$7:R$7))))</f>
        <v>0</v>
      </c>
      <c r="S320" s="2223" cm="1">
        <f t="array" ref="S320">IF($D320&lt;COLUMNS($F$7:S$7),"",INDEX(TableDiv[[GASB]:[GASB]],_xlfn.AGGREGATE(15,3,(TableDiv[[Agency]:[Agency]]=$E320)/(TableDiv[[Agency]:[Agency]]=$E320)*(ROW(TableDiv[Agency])-ROW(TableDiv[[#Headers],[Agency]])),COLUMNS($F$7:S$7))))</f>
        <v>0</v>
      </c>
      <c r="T320" s="2223" cm="1">
        <f t="array" ref="T320">IF($D320&lt;COLUMNS($F$7:T$7),"",INDEX(TableDiv[[GASB]:[GASB]],_xlfn.AGGREGATE(15,3,(TableDiv[[Agency]:[Agency]]=$E320)/(TableDiv[[Agency]:[Agency]]=$E320)*(ROW(TableDiv[Agency])-ROW(TableDiv[[#Headers],[Agency]])),COLUMNS($F$7:T$7))))</f>
        <v>0</v>
      </c>
      <c r="U320" s="2223" cm="1">
        <f t="array" ref="U320">IF($D320&lt;COLUMNS($F$7:U$7),"",INDEX(TableDiv[[GASB]:[GASB]],_xlfn.AGGREGATE(15,3,(TableDiv[[Agency]:[Agency]]=$E320)/(TableDiv[[Agency]:[Agency]]=$E320)*(ROW(TableDiv[Agency])-ROW(TableDiv[[#Headers],[Agency]])),COLUMNS($F$7:U$7))))</f>
        <v>0</v>
      </c>
      <c r="V320" s="2223" cm="1">
        <f t="array" ref="V320">IF($D320&lt;COLUMNS($F$7:V$7),"",INDEX(TableDiv[[GASB]:[GASB]],_xlfn.AGGREGATE(15,3,(TableDiv[[Agency]:[Agency]]=$E320)/(TableDiv[[Agency]:[Agency]]=$E320)*(ROW(TableDiv[Agency])-ROW(TableDiv[[#Headers],[Agency]])),COLUMNS($F$7:V$7))))</f>
        <v>0</v>
      </c>
      <c r="W320" s="2223" cm="1">
        <f t="array" ref="W320">IF($D320&lt;COLUMNS($F$7:W$7),"",INDEX(TableDiv[[GASB]:[GASB]],_xlfn.AGGREGATE(15,3,(TableDiv[[Agency]:[Agency]]=$E320)/(TableDiv[[Agency]:[Agency]]=$E320)*(ROW(TableDiv[Agency])-ROW(TableDiv[[#Headers],[Agency]])),COLUMNS($F$7:W$7))))</f>
        <v>0</v>
      </c>
      <c r="X320" s="2223" cm="1">
        <f t="array" ref="X320">IF($D320&lt;COLUMNS($F$7:X$7),"",INDEX(TableDiv[[GASB]:[GASB]],_xlfn.AGGREGATE(15,3,(TableDiv[[Agency]:[Agency]]=$E320)/(TableDiv[[Agency]:[Agency]]=$E320)*(ROW(TableDiv[Agency])-ROW(TableDiv[[#Headers],[Agency]])),COLUMNS($F$7:X$7))))</f>
        <v>0</v>
      </c>
      <c r="Y320" s="2223" cm="1">
        <f t="array" ref="Y320">IF($D320&lt;COLUMNS($F$7:Y$7),"",INDEX(TableDiv[[GASB]:[GASB]],_xlfn.AGGREGATE(15,3,(TableDiv[[Agency]:[Agency]]=$E320)/(TableDiv[[Agency]:[Agency]]=$E320)*(ROW(TableDiv[Agency])-ROW(TableDiv[[#Headers],[Agency]])),COLUMNS($F$7:Y$7))))</f>
        <v>0</v>
      </c>
      <c r="Z320" s="2223" cm="1">
        <f t="array" ref="Z320">IF($D320&lt;COLUMNS($F$7:Z$7),"",INDEX(TableDiv[[GASB]:[GASB]],_xlfn.AGGREGATE(15,3,(TableDiv[[Agency]:[Agency]]=$E320)/(TableDiv[[Agency]:[Agency]]=$E320)*(ROW(TableDiv[Agency])-ROW(TableDiv[[#Headers],[Agency]])),COLUMNS($F$7:Z$7))))</f>
        <v>0</v>
      </c>
      <c r="AA320" s="2223" cm="1">
        <f t="array" ref="AA320">IF($D320&lt;COLUMNS($F$7:AA$7),"",INDEX(TableDiv[[GASB]:[GASB]],_xlfn.AGGREGATE(15,3,(TableDiv[[Agency]:[Agency]]=$E320)/(TableDiv[[Agency]:[Agency]]=$E320)*(ROW(TableDiv[Agency])-ROW(TableDiv[[#Headers],[Agency]])),COLUMNS($F$7:AA$7))))</f>
        <v>0</v>
      </c>
      <c r="AB320" s="2223" cm="1">
        <f t="array" ref="AB320">IF($D320&lt;COLUMNS($F$7:AB$7),"",INDEX(TableDiv[[GASB]:[GASB]],_xlfn.AGGREGATE(15,3,(TableDiv[[Agency]:[Agency]]=$E320)/(TableDiv[[Agency]:[Agency]]=$E320)*(ROW(TableDiv[Agency])-ROW(TableDiv[[#Headers],[Agency]])),COLUMNS($F$7:AB$7))))</f>
        <v>0</v>
      </c>
      <c r="AC320" s="2223" cm="1">
        <f t="array" ref="AC320">IF($D320&lt;COLUMNS($F$7:AC$7),"",INDEX(TableDiv[[GASB]:[GASB]],_xlfn.AGGREGATE(15,3,(TableDiv[[Agency]:[Agency]]=$E320)/(TableDiv[[Agency]:[Agency]]=$E320)*(ROW(TableDiv[Agency])-ROW(TableDiv[[#Headers],[Agency]])),COLUMNS($F$7:AC$7))))</f>
        <v>0</v>
      </c>
      <c r="AD320" s="2223" cm="1">
        <f t="array" ref="AD320">IF($D320&lt;COLUMNS($F$7:AD$7),"",INDEX(TableDiv[[GASB]:[GASB]],_xlfn.AGGREGATE(15,3,(TableDiv[[Agency]:[Agency]]=$E320)/(TableDiv[[Agency]:[Agency]]=$E320)*(ROW(TableDiv[Agency])-ROW(TableDiv[[#Headers],[Agency]])),COLUMNS($F$7:AD$7))))</f>
        <v>0</v>
      </c>
      <c r="AE320" s="2223" cm="1">
        <f t="array" ref="AE320">IF($D320&lt;COLUMNS($F$7:AE$7),"",INDEX(TableDiv[[GASB]:[GASB]],_xlfn.AGGREGATE(15,3,(TableDiv[[Agency]:[Agency]]=$E320)/(TableDiv[[Agency]:[Agency]]=$E320)*(ROW(TableDiv[Agency])-ROW(TableDiv[[#Headers],[Agency]])),COLUMNS($F$7:AE$7))))</f>
        <v>0</v>
      </c>
      <c r="AF320" s="2223" cm="1">
        <f t="array" ref="AF320">IF($D320&lt;COLUMNS($F$7:AF$7),"",INDEX(TableDiv[[GASB]:[GASB]],_xlfn.AGGREGATE(15,3,(TableDiv[[Agency]:[Agency]]=$E320)/(TableDiv[[Agency]:[Agency]]=$E320)*(ROW(TableDiv[Agency])-ROW(TableDiv[[#Headers],[Agency]])),COLUMNS($F$7:AF$7))))</f>
        <v>0</v>
      </c>
      <c r="AG320" s="2223" cm="1">
        <f t="array" ref="AG320">IF($D320&lt;COLUMNS($F$7:AG$7),"",INDEX(TableDiv[[GASB]:[GASB]],_xlfn.AGGREGATE(15,3,(TableDiv[[Agency]:[Agency]]=$E320)/(TableDiv[[Agency]:[Agency]]=$E320)*(ROW(TableDiv[Agency])-ROW(TableDiv[[#Headers],[Agency]])),COLUMNS($F$7:AG$7))))</f>
        <v>0</v>
      </c>
      <c r="AH320" s="2223" cm="1">
        <f t="array" ref="AH320">IF($D320&lt;COLUMNS($F$7:AH$7),"",INDEX(TableDiv[[GASB]:[GASB]],_xlfn.AGGREGATE(15,3,(TableDiv[[Agency]:[Agency]]=$E320)/(TableDiv[[Agency]:[Agency]]=$E320)*(ROW(TableDiv[Agency])-ROW(TableDiv[[#Headers],[Agency]])),COLUMNS($F$7:AH$7))))</f>
        <v>0</v>
      </c>
      <c r="AI320" s="2223" cm="1">
        <f t="array" ref="AI320">IF($D320&lt;COLUMNS($F$7:AI$7),"",INDEX(TableDiv[[GASB]:[GASB]],_xlfn.AGGREGATE(15,3,(TableDiv[[Agency]:[Agency]]=$E320)/(TableDiv[[Agency]:[Agency]]=$E320)*(ROW(TableDiv[Agency])-ROW(TableDiv[[#Headers],[Agency]])),COLUMNS($F$7:AI$7))))</f>
        <v>0</v>
      </c>
      <c r="AJ320" s="2223" cm="1">
        <f t="array" ref="AJ320">IF($D320&lt;COLUMNS($F$7:AJ$7),"",INDEX(TableDiv[[GASB]:[GASB]],_xlfn.AGGREGATE(15,3,(TableDiv[[Agency]:[Agency]]=$E320)/(TableDiv[[Agency]:[Agency]]=$E320)*(ROW(TableDiv[Agency])-ROW(TableDiv[[#Headers],[Agency]])),COLUMNS($F$7:AJ$7))))</f>
        <v>0</v>
      </c>
      <c r="AK320" s="2223" t="str" cm="1">
        <f t="array" ref="AK320">IF($D320&lt;COLUMNS($F$7:AK$7),"",INDEX(TableDiv[[GASB]:[GASB]],_xlfn.AGGREGATE(15,3,(TableDiv[[Agency]:[Agency]]=$E320)/(TableDiv[[Agency]:[Agency]]=$E320)*(ROW(TableDiv[Agency])-ROW(TableDiv[[#Headers],[Agency]])),COLUMNS($F$7:AK$7))))</f>
        <v/>
      </c>
      <c r="AL320" s="2223" t="str" cm="1">
        <f t="array" ref="AL320">IF($D320&lt;COLUMNS($F$7:AL$7),"",INDEX(TableDiv[[GASB]:[GASB]],_xlfn.AGGREGATE(15,3,(TableDiv[[Agency]:[Agency]]=$E320)/(TableDiv[[Agency]:[Agency]]=$E320)*(ROW(TableDiv[Agency])-ROW(TableDiv[[#Headers],[Agency]])),COLUMNS($F$7:AL$7))))</f>
        <v/>
      </c>
      <c r="AM320" s="2223" t="str" cm="1">
        <f t="array" ref="AM320">IF($D320&lt;COLUMNS($F$7:AM$7),"",INDEX(TableDiv[[GASB]:[GASB]],_xlfn.AGGREGATE(15,3,(TableDiv[[Agency]:[Agency]]=$E320)/(TableDiv[[Agency]:[Agency]]=$E320)*(ROW(TableDiv[Agency])-ROW(TableDiv[[#Headers],[Agency]])),COLUMNS($F$7:AM$7))))</f>
        <v/>
      </c>
      <c r="AN320" s="2223"/>
      <c r="AO320" s="2223"/>
      <c r="AP320" s="2223"/>
      <c r="AQ320" s="2223"/>
      <c r="AR320" s="2223"/>
      <c r="AS320" s="2223"/>
    </row>
    <row r="321" spans="1:45" ht="15" x14ac:dyDescent="0.25">
      <c r="A321" s="2219" t="s">
        <v>5122</v>
      </c>
      <c r="B321" s="2219" t="s">
        <v>6436</v>
      </c>
      <c r="C321" s="2223"/>
      <c r="D321" s="2223">
        <f>COUNTIF(TableDiv[Agency],E321)</f>
        <v>31</v>
      </c>
      <c r="E321" s="2230" t="str" cm="1">
        <f t="array" ref="E321">IFERROR(INDEX(TableDiv[Agency],MATCH(0,INDEX(COUNTIF($E$7:E320,TableDiv[Agency]),),0)),"")</f>
        <v/>
      </c>
      <c r="F321" s="2223" cm="1">
        <f t="array" ref="F321">IF($D321&lt;COLUMNS($F$7:F$7),"",INDEX(TableDiv[[GASB]:[GASB]],_xlfn.AGGREGATE(15,3,(TableDiv[[Agency]:[Agency]]=$E321)/(TableDiv[[Agency]:[Agency]]=$E321)*(ROW(TableDiv[Agency])-ROW(TableDiv[[#Headers],[Agency]])),COLUMNS($F$7:F$7))))</f>
        <v>0</v>
      </c>
      <c r="G321" s="2223" cm="1">
        <f t="array" ref="G321">IF($D321&lt;COLUMNS($F$7:G$7),"",INDEX(TableDiv[[GASB]:[GASB]],_xlfn.AGGREGATE(15,3,(TableDiv[[Agency]:[Agency]]=$E321)/(TableDiv[[Agency]:[Agency]]=$E321)*(ROW(TableDiv[Agency])-ROW(TableDiv[[#Headers],[Agency]])),COLUMNS($F$7:G$7))))</f>
        <v>0</v>
      </c>
      <c r="H321" s="2223" cm="1">
        <f t="array" ref="H321">IF($D321&lt;COLUMNS($F$7:H$7),"",INDEX(TableDiv[[GASB]:[GASB]],_xlfn.AGGREGATE(15,3,(TableDiv[[Agency]:[Agency]]=$E321)/(TableDiv[[Agency]:[Agency]]=$E321)*(ROW(TableDiv[Agency])-ROW(TableDiv[[#Headers],[Agency]])),COLUMNS($F$7:H$7))))</f>
        <v>0</v>
      </c>
      <c r="I321" s="2223" cm="1">
        <f t="array" ref="I321">IF($D321&lt;COLUMNS($F$7:I$7),"",INDEX(TableDiv[[GASB]:[GASB]],_xlfn.AGGREGATE(15,3,(TableDiv[[Agency]:[Agency]]=$E321)/(TableDiv[[Agency]:[Agency]]=$E321)*(ROW(TableDiv[Agency])-ROW(TableDiv[[#Headers],[Agency]])),COLUMNS($F$7:I$7))))</f>
        <v>0</v>
      </c>
      <c r="J321" s="2223" cm="1">
        <f t="array" ref="J321">IF($D321&lt;COLUMNS($F$7:J$7),"",INDEX(TableDiv[[GASB]:[GASB]],_xlfn.AGGREGATE(15,3,(TableDiv[[Agency]:[Agency]]=$E321)/(TableDiv[[Agency]:[Agency]]=$E321)*(ROW(TableDiv[Agency])-ROW(TableDiv[[#Headers],[Agency]])),COLUMNS($F$7:J$7))))</f>
        <v>0</v>
      </c>
      <c r="K321" s="2223" cm="1">
        <f t="array" ref="K321">IF($D321&lt;COLUMNS($F$7:K$7),"",INDEX(TableDiv[[GASB]:[GASB]],_xlfn.AGGREGATE(15,3,(TableDiv[[Agency]:[Agency]]=$E321)/(TableDiv[[Agency]:[Agency]]=$E321)*(ROW(TableDiv[Agency])-ROW(TableDiv[[#Headers],[Agency]])),COLUMNS($F$7:K$7))))</f>
        <v>0</v>
      </c>
      <c r="L321" s="2223" cm="1">
        <f t="array" ref="L321">IF($D321&lt;COLUMNS($F$7:L$7),"",INDEX(TableDiv[[GASB]:[GASB]],_xlfn.AGGREGATE(15,3,(TableDiv[[Agency]:[Agency]]=$E321)/(TableDiv[[Agency]:[Agency]]=$E321)*(ROW(TableDiv[Agency])-ROW(TableDiv[[#Headers],[Agency]])),COLUMNS($F$7:L$7))))</f>
        <v>0</v>
      </c>
      <c r="M321" s="2223" cm="1">
        <f t="array" ref="M321">IF($D321&lt;COLUMNS($F$7:M$7),"",INDEX(TableDiv[[GASB]:[GASB]],_xlfn.AGGREGATE(15,3,(TableDiv[[Agency]:[Agency]]=$E321)/(TableDiv[[Agency]:[Agency]]=$E321)*(ROW(TableDiv[Agency])-ROW(TableDiv[[#Headers],[Agency]])),COLUMNS($F$7:M$7))))</f>
        <v>0</v>
      </c>
      <c r="N321" s="2223" cm="1">
        <f t="array" ref="N321">IF($D321&lt;COLUMNS($F$7:N$7),"",INDEX(TableDiv[[GASB]:[GASB]],_xlfn.AGGREGATE(15,3,(TableDiv[[Agency]:[Agency]]=$E321)/(TableDiv[[Agency]:[Agency]]=$E321)*(ROW(TableDiv[Agency])-ROW(TableDiv[[#Headers],[Agency]])),COLUMNS($F$7:N$7))))</f>
        <v>0</v>
      </c>
      <c r="O321" s="2223" cm="1">
        <f t="array" ref="O321">IF($D321&lt;COLUMNS($F$7:O$7),"",INDEX(TableDiv[[GASB]:[GASB]],_xlfn.AGGREGATE(15,3,(TableDiv[[Agency]:[Agency]]=$E321)/(TableDiv[[Agency]:[Agency]]=$E321)*(ROW(TableDiv[Agency])-ROW(TableDiv[[#Headers],[Agency]])),COLUMNS($F$7:O$7))))</f>
        <v>0</v>
      </c>
      <c r="P321" s="2223" cm="1">
        <f t="array" ref="P321">IF($D321&lt;COLUMNS($F$7:P$7),"",INDEX(TableDiv[[GASB]:[GASB]],_xlfn.AGGREGATE(15,3,(TableDiv[[Agency]:[Agency]]=$E321)/(TableDiv[[Agency]:[Agency]]=$E321)*(ROW(TableDiv[Agency])-ROW(TableDiv[[#Headers],[Agency]])),COLUMNS($F$7:P$7))))</f>
        <v>0</v>
      </c>
      <c r="Q321" s="2223" cm="1">
        <f t="array" ref="Q321">IF($D321&lt;COLUMNS($F$7:Q$7),"",INDEX(TableDiv[[GASB]:[GASB]],_xlfn.AGGREGATE(15,3,(TableDiv[[Agency]:[Agency]]=$E321)/(TableDiv[[Agency]:[Agency]]=$E321)*(ROW(TableDiv[Agency])-ROW(TableDiv[[#Headers],[Agency]])),COLUMNS($F$7:Q$7))))</f>
        <v>0</v>
      </c>
      <c r="R321" s="2223" cm="1">
        <f t="array" ref="R321">IF($D321&lt;COLUMNS($F$7:R$7),"",INDEX(TableDiv[[GASB]:[GASB]],_xlfn.AGGREGATE(15,3,(TableDiv[[Agency]:[Agency]]=$E321)/(TableDiv[[Agency]:[Agency]]=$E321)*(ROW(TableDiv[Agency])-ROW(TableDiv[[#Headers],[Agency]])),COLUMNS($F$7:R$7))))</f>
        <v>0</v>
      </c>
      <c r="S321" s="2223" cm="1">
        <f t="array" ref="S321">IF($D321&lt;COLUMNS($F$7:S$7),"",INDEX(TableDiv[[GASB]:[GASB]],_xlfn.AGGREGATE(15,3,(TableDiv[[Agency]:[Agency]]=$E321)/(TableDiv[[Agency]:[Agency]]=$E321)*(ROW(TableDiv[Agency])-ROW(TableDiv[[#Headers],[Agency]])),COLUMNS($F$7:S$7))))</f>
        <v>0</v>
      </c>
      <c r="T321" s="2223" cm="1">
        <f t="array" ref="T321">IF($D321&lt;COLUMNS($F$7:T$7),"",INDEX(TableDiv[[GASB]:[GASB]],_xlfn.AGGREGATE(15,3,(TableDiv[[Agency]:[Agency]]=$E321)/(TableDiv[[Agency]:[Agency]]=$E321)*(ROW(TableDiv[Agency])-ROW(TableDiv[[#Headers],[Agency]])),COLUMNS($F$7:T$7))))</f>
        <v>0</v>
      </c>
      <c r="U321" s="2223" cm="1">
        <f t="array" ref="U321">IF($D321&lt;COLUMNS($F$7:U$7),"",INDEX(TableDiv[[GASB]:[GASB]],_xlfn.AGGREGATE(15,3,(TableDiv[[Agency]:[Agency]]=$E321)/(TableDiv[[Agency]:[Agency]]=$E321)*(ROW(TableDiv[Agency])-ROW(TableDiv[[#Headers],[Agency]])),COLUMNS($F$7:U$7))))</f>
        <v>0</v>
      </c>
      <c r="V321" s="2223" cm="1">
        <f t="array" ref="V321">IF($D321&lt;COLUMNS($F$7:V$7),"",INDEX(TableDiv[[GASB]:[GASB]],_xlfn.AGGREGATE(15,3,(TableDiv[[Agency]:[Agency]]=$E321)/(TableDiv[[Agency]:[Agency]]=$E321)*(ROW(TableDiv[Agency])-ROW(TableDiv[[#Headers],[Agency]])),COLUMNS($F$7:V$7))))</f>
        <v>0</v>
      </c>
      <c r="W321" s="2223" cm="1">
        <f t="array" ref="W321">IF($D321&lt;COLUMNS($F$7:W$7),"",INDEX(TableDiv[[GASB]:[GASB]],_xlfn.AGGREGATE(15,3,(TableDiv[[Agency]:[Agency]]=$E321)/(TableDiv[[Agency]:[Agency]]=$E321)*(ROW(TableDiv[Agency])-ROW(TableDiv[[#Headers],[Agency]])),COLUMNS($F$7:W$7))))</f>
        <v>0</v>
      </c>
      <c r="X321" s="2223" cm="1">
        <f t="array" ref="X321">IF($D321&lt;COLUMNS($F$7:X$7),"",INDEX(TableDiv[[GASB]:[GASB]],_xlfn.AGGREGATE(15,3,(TableDiv[[Agency]:[Agency]]=$E321)/(TableDiv[[Agency]:[Agency]]=$E321)*(ROW(TableDiv[Agency])-ROW(TableDiv[[#Headers],[Agency]])),COLUMNS($F$7:X$7))))</f>
        <v>0</v>
      </c>
      <c r="Y321" s="2223" cm="1">
        <f t="array" ref="Y321">IF($D321&lt;COLUMNS($F$7:Y$7),"",INDEX(TableDiv[[GASB]:[GASB]],_xlfn.AGGREGATE(15,3,(TableDiv[[Agency]:[Agency]]=$E321)/(TableDiv[[Agency]:[Agency]]=$E321)*(ROW(TableDiv[Agency])-ROW(TableDiv[[#Headers],[Agency]])),COLUMNS($F$7:Y$7))))</f>
        <v>0</v>
      </c>
      <c r="Z321" s="2223" cm="1">
        <f t="array" ref="Z321">IF($D321&lt;COLUMNS($F$7:Z$7),"",INDEX(TableDiv[[GASB]:[GASB]],_xlfn.AGGREGATE(15,3,(TableDiv[[Agency]:[Agency]]=$E321)/(TableDiv[[Agency]:[Agency]]=$E321)*(ROW(TableDiv[Agency])-ROW(TableDiv[[#Headers],[Agency]])),COLUMNS($F$7:Z$7))))</f>
        <v>0</v>
      </c>
      <c r="AA321" s="2223" cm="1">
        <f t="array" ref="AA321">IF($D321&lt;COLUMNS($F$7:AA$7),"",INDEX(TableDiv[[GASB]:[GASB]],_xlfn.AGGREGATE(15,3,(TableDiv[[Agency]:[Agency]]=$E321)/(TableDiv[[Agency]:[Agency]]=$E321)*(ROW(TableDiv[Agency])-ROW(TableDiv[[#Headers],[Agency]])),COLUMNS($F$7:AA$7))))</f>
        <v>0</v>
      </c>
      <c r="AB321" s="2223" cm="1">
        <f t="array" ref="AB321">IF($D321&lt;COLUMNS($F$7:AB$7),"",INDEX(TableDiv[[GASB]:[GASB]],_xlfn.AGGREGATE(15,3,(TableDiv[[Agency]:[Agency]]=$E321)/(TableDiv[[Agency]:[Agency]]=$E321)*(ROW(TableDiv[Agency])-ROW(TableDiv[[#Headers],[Agency]])),COLUMNS($F$7:AB$7))))</f>
        <v>0</v>
      </c>
      <c r="AC321" s="2223" cm="1">
        <f t="array" ref="AC321">IF($D321&lt;COLUMNS($F$7:AC$7),"",INDEX(TableDiv[[GASB]:[GASB]],_xlfn.AGGREGATE(15,3,(TableDiv[[Agency]:[Agency]]=$E321)/(TableDiv[[Agency]:[Agency]]=$E321)*(ROW(TableDiv[Agency])-ROW(TableDiv[[#Headers],[Agency]])),COLUMNS($F$7:AC$7))))</f>
        <v>0</v>
      </c>
      <c r="AD321" s="2223" cm="1">
        <f t="array" ref="AD321">IF($D321&lt;COLUMNS($F$7:AD$7),"",INDEX(TableDiv[[GASB]:[GASB]],_xlfn.AGGREGATE(15,3,(TableDiv[[Agency]:[Agency]]=$E321)/(TableDiv[[Agency]:[Agency]]=$E321)*(ROW(TableDiv[Agency])-ROW(TableDiv[[#Headers],[Agency]])),COLUMNS($F$7:AD$7))))</f>
        <v>0</v>
      </c>
      <c r="AE321" s="2223" cm="1">
        <f t="array" ref="AE321">IF($D321&lt;COLUMNS($F$7:AE$7),"",INDEX(TableDiv[[GASB]:[GASB]],_xlfn.AGGREGATE(15,3,(TableDiv[[Agency]:[Agency]]=$E321)/(TableDiv[[Agency]:[Agency]]=$E321)*(ROW(TableDiv[Agency])-ROW(TableDiv[[#Headers],[Agency]])),COLUMNS($F$7:AE$7))))</f>
        <v>0</v>
      </c>
      <c r="AF321" s="2223" cm="1">
        <f t="array" ref="AF321">IF($D321&lt;COLUMNS($F$7:AF$7),"",INDEX(TableDiv[[GASB]:[GASB]],_xlfn.AGGREGATE(15,3,(TableDiv[[Agency]:[Agency]]=$E321)/(TableDiv[[Agency]:[Agency]]=$E321)*(ROW(TableDiv[Agency])-ROW(TableDiv[[#Headers],[Agency]])),COLUMNS($F$7:AF$7))))</f>
        <v>0</v>
      </c>
      <c r="AG321" s="2223" cm="1">
        <f t="array" ref="AG321">IF($D321&lt;COLUMNS($F$7:AG$7),"",INDEX(TableDiv[[GASB]:[GASB]],_xlfn.AGGREGATE(15,3,(TableDiv[[Agency]:[Agency]]=$E321)/(TableDiv[[Agency]:[Agency]]=$E321)*(ROW(TableDiv[Agency])-ROW(TableDiv[[#Headers],[Agency]])),COLUMNS($F$7:AG$7))))</f>
        <v>0</v>
      </c>
      <c r="AH321" s="2223" cm="1">
        <f t="array" ref="AH321">IF($D321&lt;COLUMNS($F$7:AH$7),"",INDEX(TableDiv[[GASB]:[GASB]],_xlfn.AGGREGATE(15,3,(TableDiv[[Agency]:[Agency]]=$E321)/(TableDiv[[Agency]:[Agency]]=$E321)*(ROW(TableDiv[Agency])-ROW(TableDiv[[#Headers],[Agency]])),COLUMNS($F$7:AH$7))))</f>
        <v>0</v>
      </c>
      <c r="AI321" s="2223" cm="1">
        <f t="array" ref="AI321">IF($D321&lt;COLUMNS($F$7:AI$7),"",INDEX(TableDiv[[GASB]:[GASB]],_xlfn.AGGREGATE(15,3,(TableDiv[[Agency]:[Agency]]=$E321)/(TableDiv[[Agency]:[Agency]]=$E321)*(ROW(TableDiv[Agency])-ROW(TableDiv[[#Headers],[Agency]])),COLUMNS($F$7:AI$7))))</f>
        <v>0</v>
      </c>
      <c r="AJ321" s="2223" cm="1">
        <f t="array" ref="AJ321">IF($D321&lt;COLUMNS($F$7:AJ$7),"",INDEX(TableDiv[[GASB]:[GASB]],_xlfn.AGGREGATE(15,3,(TableDiv[[Agency]:[Agency]]=$E321)/(TableDiv[[Agency]:[Agency]]=$E321)*(ROW(TableDiv[Agency])-ROW(TableDiv[[#Headers],[Agency]])),COLUMNS($F$7:AJ$7))))</f>
        <v>0</v>
      </c>
      <c r="AK321" s="2223" t="str" cm="1">
        <f t="array" ref="AK321">IF($D321&lt;COLUMNS($F$7:AK$7),"",INDEX(TableDiv[[GASB]:[GASB]],_xlfn.AGGREGATE(15,3,(TableDiv[[Agency]:[Agency]]=$E321)/(TableDiv[[Agency]:[Agency]]=$E321)*(ROW(TableDiv[Agency])-ROW(TableDiv[[#Headers],[Agency]])),COLUMNS($F$7:AK$7))))</f>
        <v/>
      </c>
      <c r="AL321" s="2223" t="str" cm="1">
        <f t="array" ref="AL321">IF($D321&lt;COLUMNS($F$7:AL$7),"",INDEX(TableDiv[[GASB]:[GASB]],_xlfn.AGGREGATE(15,3,(TableDiv[[Agency]:[Agency]]=$E321)/(TableDiv[[Agency]:[Agency]]=$E321)*(ROW(TableDiv[Agency])-ROW(TableDiv[[#Headers],[Agency]])),COLUMNS($F$7:AL$7))))</f>
        <v/>
      </c>
      <c r="AM321" s="2223" t="str" cm="1">
        <f t="array" ref="AM321">IF($D321&lt;COLUMNS($F$7:AM$7),"",INDEX(TableDiv[[GASB]:[GASB]],_xlfn.AGGREGATE(15,3,(TableDiv[[Agency]:[Agency]]=$E321)/(TableDiv[[Agency]:[Agency]]=$E321)*(ROW(TableDiv[Agency])-ROW(TableDiv[[#Headers],[Agency]])),COLUMNS($F$7:AM$7))))</f>
        <v/>
      </c>
      <c r="AN321" s="2223"/>
      <c r="AO321" s="2223"/>
      <c r="AP321" s="2223"/>
      <c r="AQ321" s="2223"/>
      <c r="AR321" s="2223"/>
      <c r="AS321" s="2223"/>
    </row>
    <row r="322" spans="1:45" ht="15" x14ac:dyDescent="0.25">
      <c r="A322" s="2219" t="s">
        <v>5122</v>
      </c>
      <c r="B322" s="2219" t="s">
        <v>6358</v>
      </c>
      <c r="C322" s="2223"/>
      <c r="D322" s="2223">
        <f>COUNTIF(TableDiv[Agency],E322)</f>
        <v>31</v>
      </c>
      <c r="E322" s="2230" t="str" cm="1">
        <f t="array" ref="E322">IFERROR(INDEX(TableDiv[Agency],MATCH(0,INDEX(COUNTIF($E$7:E321,TableDiv[Agency]),),0)),"")</f>
        <v/>
      </c>
      <c r="F322" s="2223" cm="1">
        <f t="array" ref="F322">IF($D322&lt;COLUMNS($F$7:F$7),"",INDEX(TableDiv[[GASB]:[GASB]],_xlfn.AGGREGATE(15,3,(TableDiv[[Agency]:[Agency]]=$E322)/(TableDiv[[Agency]:[Agency]]=$E322)*(ROW(TableDiv[Agency])-ROW(TableDiv[[#Headers],[Agency]])),COLUMNS($F$7:F$7))))</f>
        <v>0</v>
      </c>
      <c r="G322" s="2223" cm="1">
        <f t="array" ref="G322">IF($D322&lt;COLUMNS($F$7:G$7),"",INDEX(TableDiv[[GASB]:[GASB]],_xlfn.AGGREGATE(15,3,(TableDiv[[Agency]:[Agency]]=$E322)/(TableDiv[[Agency]:[Agency]]=$E322)*(ROW(TableDiv[Agency])-ROW(TableDiv[[#Headers],[Agency]])),COLUMNS($F$7:G$7))))</f>
        <v>0</v>
      </c>
      <c r="H322" s="2223" cm="1">
        <f t="array" ref="H322">IF($D322&lt;COLUMNS($F$7:H$7),"",INDEX(TableDiv[[GASB]:[GASB]],_xlfn.AGGREGATE(15,3,(TableDiv[[Agency]:[Agency]]=$E322)/(TableDiv[[Agency]:[Agency]]=$E322)*(ROW(TableDiv[Agency])-ROW(TableDiv[[#Headers],[Agency]])),COLUMNS($F$7:H$7))))</f>
        <v>0</v>
      </c>
      <c r="I322" s="2223" cm="1">
        <f t="array" ref="I322">IF($D322&lt;COLUMNS($F$7:I$7),"",INDEX(TableDiv[[GASB]:[GASB]],_xlfn.AGGREGATE(15,3,(TableDiv[[Agency]:[Agency]]=$E322)/(TableDiv[[Agency]:[Agency]]=$E322)*(ROW(TableDiv[Agency])-ROW(TableDiv[[#Headers],[Agency]])),COLUMNS($F$7:I$7))))</f>
        <v>0</v>
      </c>
      <c r="J322" s="2223" cm="1">
        <f t="array" ref="J322">IF($D322&lt;COLUMNS($F$7:J$7),"",INDEX(TableDiv[[GASB]:[GASB]],_xlfn.AGGREGATE(15,3,(TableDiv[[Agency]:[Agency]]=$E322)/(TableDiv[[Agency]:[Agency]]=$E322)*(ROW(TableDiv[Agency])-ROW(TableDiv[[#Headers],[Agency]])),COLUMNS($F$7:J$7))))</f>
        <v>0</v>
      </c>
      <c r="K322" s="2223" cm="1">
        <f t="array" ref="K322">IF($D322&lt;COLUMNS($F$7:K$7),"",INDEX(TableDiv[[GASB]:[GASB]],_xlfn.AGGREGATE(15,3,(TableDiv[[Agency]:[Agency]]=$E322)/(TableDiv[[Agency]:[Agency]]=$E322)*(ROW(TableDiv[Agency])-ROW(TableDiv[[#Headers],[Agency]])),COLUMNS($F$7:K$7))))</f>
        <v>0</v>
      </c>
      <c r="L322" s="2223" cm="1">
        <f t="array" ref="L322">IF($D322&lt;COLUMNS($F$7:L$7),"",INDEX(TableDiv[[GASB]:[GASB]],_xlfn.AGGREGATE(15,3,(TableDiv[[Agency]:[Agency]]=$E322)/(TableDiv[[Agency]:[Agency]]=$E322)*(ROW(TableDiv[Agency])-ROW(TableDiv[[#Headers],[Agency]])),COLUMNS($F$7:L$7))))</f>
        <v>0</v>
      </c>
      <c r="M322" s="2223" cm="1">
        <f t="array" ref="M322">IF($D322&lt;COLUMNS($F$7:M$7),"",INDEX(TableDiv[[GASB]:[GASB]],_xlfn.AGGREGATE(15,3,(TableDiv[[Agency]:[Agency]]=$E322)/(TableDiv[[Agency]:[Agency]]=$E322)*(ROW(TableDiv[Agency])-ROW(TableDiv[[#Headers],[Agency]])),COLUMNS($F$7:M$7))))</f>
        <v>0</v>
      </c>
      <c r="N322" s="2223" cm="1">
        <f t="array" ref="N322">IF($D322&lt;COLUMNS($F$7:N$7),"",INDEX(TableDiv[[GASB]:[GASB]],_xlfn.AGGREGATE(15,3,(TableDiv[[Agency]:[Agency]]=$E322)/(TableDiv[[Agency]:[Agency]]=$E322)*(ROW(TableDiv[Agency])-ROW(TableDiv[[#Headers],[Agency]])),COLUMNS($F$7:N$7))))</f>
        <v>0</v>
      </c>
      <c r="O322" s="2223" cm="1">
        <f t="array" ref="O322">IF($D322&lt;COLUMNS($F$7:O$7),"",INDEX(TableDiv[[GASB]:[GASB]],_xlfn.AGGREGATE(15,3,(TableDiv[[Agency]:[Agency]]=$E322)/(TableDiv[[Agency]:[Agency]]=$E322)*(ROW(TableDiv[Agency])-ROW(TableDiv[[#Headers],[Agency]])),COLUMNS($F$7:O$7))))</f>
        <v>0</v>
      </c>
      <c r="P322" s="2223" cm="1">
        <f t="array" ref="P322">IF($D322&lt;COLUMNS($F$7:P$7),"",INDEX(TableDiv[[GASB]:[GASB]],_xlfn.AGGREGATE(15,3,(TableDiv[[Agency]:[Agency]]=$E322)/(TableDiv[[Agency]:[Agency]]=$E322)*(ROW(TableDiv[Agency])-ROW(TableDiv[[#Headers],[Agency]])),COLUMNS($F$7:P$7))))</f>
        <v>0</v>
      </c>
      <c r="Q322" s="2223" cm="1">
        <f t="array" ref="Q322">IF($D322&lt;COLUMNS($F$7:Q$7),"",INDEX(TableDiv[[GASB]:[GASB]],_xlfn.AGGREGATE(15,3,(TableDiv[[Agency]:[Agency]]=$E322)/(TableDiv[[Agency]:[Agency]]=$E322)*(ROW(TableDiv[Agency])-ROW(TableDiv[[#Headers],[Agency]])),COLUMNS($F$7:Q$7))))</f>
        <v>0</v>
      </c>
      <c r="R322" s="2223" cm="1">
        <f t="array" ref="R322">IF($D322&lt;COLUMNS($F$7:R$7),"",INDEX(TableDiv[[GASB]:[GASB]],_xlfn.AGGREGATE(15,3,(TableDiv[[Agency]:[Agency]]=$E322)/(TableDiv[[Agency]:[Agency]]=$E322)*(ROW(TableDiv[Agency])-ROW(TableDiv[[#Headers],[Agency]])),COLUMNS($F$7:R$7))))</f>
        <v>0</v>
      </c>
      <c r="S322" s="2223" cm="1">
        <f t="array" ref="S322">IF($D322&lt;COLUMNS($F$7:S$7),"",INDEX(TableDiv[[GASB]:[GASB]],_xlfn.AGGREGATE(15,3,(TableDiv[[Agency]:[Agency]]=$E322)/(TableDiv[[Agency]:[Agency]]=$E322)*(ROW(TableDiv[Agency])-ROW(TableDiv[[#Headers],[Agency]])),COLUMNS($F$7:S$7))))</f>
        <v>0</v>
      </c>
      <c r="T322" s="2223" cm="1">
        <f t="array" ref="T322">IF($D322&lt;COLUMNS($F$7:T$7),"",INDEX(TableDiv[[GASB]:[GASB]],_xlfn.AGGREGATE(15,3,(TableDiv[[Agency]:[Agency]]=$E322)/(TableDiv[[Agency]:[Agency]]=$E322)*(ROW(TableDiv[Agency])-ROW(TableDiv[[#Headers],[Agency]])),COLUMNS($F$7:T$7))))</f>
        <v>0</v>
      </c>
      <c r="U322" s="2223" cm="1">
        <f t="array" ref="U322">IF($D322&lt;COLUMNS($F$7:U$7),"",INDEX(TableDiv[[GASB]:[GASB]],_xlfn.AGGREGATE(15,3,(TableDiv[[Agency]:[Agency]]=$E322)/(TableDiv[[Agency]:[Agency]]=$E322)*(ROW(TableDiv[Agency])-ROW(TableDiv[[#Headers],[Agency]])),COLUMNS($F$7:U$7))))</f>
        <v>0</v>
      </c>
      <c r="V322" s="2223" cm="1">
        <f t="array" ref="V322">IF($D322&lt;COLUMNS($F$7:V$7),"",INDEX(TableDiv[[GASB]:[GASB]],_xlfn.AGGREGATE(15,3,(TableDiv[[Agency]:[Agency]]=$E322)/(TableDiv[[Agency]:[Agency]]=$E322)*(ROW(TableDiv[Agency])-ROW(TableDiv[[#Headers],[Agency]])),COLUMNS($F$7:V$7))))</f>
        <v>0</v>
      </c>
      <c r="W322" s="2223" cm="1">
        <f t="array" ref="W322">IF($D322&lt;COLUMNS($F$7:W$7),"",INDEX(TableDiv[[GASB]:[GASB]],_xlfn.AGGREGATE(15,3,(TableDiv[[Agency]:[Agency]]=$E322)/(TableDiv[[Agency]:[Agency]]=$E322)*(ROW(TableDiv[Agency])-ROW(TableDiv[[#Headers],[Agency]])),COLUMNS($F$7:W$7))))</f>
        <v>0</v>
      </c>
      <c r="X322" s="2223" cm="1">
        <f t="array" ref="X322">IF($D322&lt;COLUMNS($F$7:X$7),"",INDEX(TableDiv[[GASB]:[GASB]],_xlfn.AGGREGATE(15,3,(TableDiv[[Agency]:[Agency]]=$E322)/(TableDiv[[Agency]:[Agency]]=$E322)*(ROW(TableDiv[Agency])-ROW(TableDiv[[#Headers],[Agency]])),COLUMNS($F$7:X$7))))</f>
        <v>0</v>
      </c>
      <c r="Y322" s="2223" cm="1">
        <f t="array" ref="Y322">IF($D322&lt;COLUMNS($F$7:Y$7),"",INDEX(TableDiv[[GASB]:[GASB]],_xlfn.AGGREGATE(15,3,(TableDiv[[Agency]:[Agency]]=$E322)/(TableDiv[[Agency]:[Agency]]=$E322)*(ROW(TableDiv[Agency])-ROW(TableDiv[[#Headers],[Agency]])),COLUMNS($F$7:Y$7))))</f>
        <v>0</v>
      </c>
      <c r="Z322" s="2223" cm="1">
        <f t="array" ref="Z322">IF($D322&lt;COLUMNS($F$7:Z$7),"",INDEX(TableDiv[[GASB]:[GASB]],_xlfn.AGGREGATE(15,3,(TableDiv[[Agency]:[Agency]]=$E322)/(TableDiv[[Agency]:[Agency]]=$E322)*(ROW(TableDiv[Agency])-ROW(TableDiv[[#Headers],[Agency]])),COLUMNS($F$7:Z$7))))</f>
        <v>0</v>
      </c>
      <c r="AA322" s="2223" cm="1">
        <f t="array" ref="AA322">IF($D322&lt;COLUMNS($F$7:AA$7),"",INDEX(TableDiv[[GASB]:[GASB]],_xlfn.AGGREGATE(15,3,(TableDiv[[Agency]:[Agency]]=$E322)/(TableDiv[[Agency]:[Agency]]=$E322)*(ROW(TableDiv[Agency])-ROW(TableDiv[[#Headers],[Agency]])),COLUMNS($F$7:AA$7))))</f>
        <v>0</v>
      </c>
      <c r="AB322" s="2223" cm="1">
        <f t="array" ref="AB322">IF($D322&lt;COLUMNS($F$7:AB$7),"",INDEX(TableDiv[[GASB]:[GASB]],_xlfn.AGGREGATE(15,3,(TableDiv[[Agency]:[Agency]]=$E322)/(TableDiv[[Agency]:[Agency]]=$E322)*(ROW(TableDiv[Agency])-ROW(TableDiv[[#Headers],[Agency]])),COLUMNS($F$7:AB$7))))</f>
        <v>0</v>
      </c>
      <c r="AC322" s="2223" cm="1">
        <f t="array" ref="AC322">IF($D322&lt;COLUMNS($F$7:AC$7),"",INDEX(TableDiv[[GASB]:[GASB]],_xlfn.AGGREGATE(15,3,(TableDiv[[Agency]:[Agency]]=$E322)/(TableDiv[[Agency]:[Agency]]=$E322)*(ROW(TableDiv[Agency])-ROW(TableDiv[[#Headers],[Agency]])),COLUMNS($F$7:AC$7))))</f>
        <v>0</v>
      </c>
      <c r="AD322" s="2223" cm="1">
        <f t="array" ref="AD322">IF($D322&lt;COLUMNS($F$7:AD$7),"",INDEX(TableDiv[[GASB]:[GASB]],_xlfn.AGGREGATE(15,3,(TableDiv[[Agency]:[Agency]]=$E322)/(TableDiv[[Agency]:[Agency]]=$E322)*(ROW(TableDiv[Agency])-ROW(TableDiv[[#Headers],[Agency]])),COLUMNS($F$7:AD$7))))</f>
        <v>0</v>
      </c>
      <c r="AE322" s="2223" cm="1">
        <f t="array" ref="AE322">IF($D322&lt;COLUMNS($F$7:AE$7),"",INDEX(TableDiv[[GASB]:[GASB]],_xlfn.AGGREGATE(15,3,(TableDiv[[Agency]:[Agency]]=$E322)/(TableDiv[[Agency]:[Agency]]=$E322)*(ROW(TableDiv[Agency])-ROW(TableDiv[[#Headers],[Agency]])),COLUMNS($F$7:AE$7))))</f>
        <v>0</v>
      </c>
      <c r="AF322" s="2223" cm="1">
        <f t="array" ref="AF322">IF($D322&lt;COLUMNS($F$7:AF$7),"",INDEX(TableDiv[[GASB]:[GASB]],_xlfn.AGGREGATE(15,3,(TableDiv[[Agency]:[Agency]]=$E322)/(TableDiv[[Agency]:[Agency]]=$E322)*(ROW(TableDiv[Agency])-ROW(TableDiv[[#Headers],[Agency]])),COLUMNS($F$7:AF$7))))</f>
        <v>0</v>
      </c>
      <c r="AG322" s="2223" cm="1">
        <f t="array" ref="AG322">IF($D322&lt;COLUMNS($F$7:AG$7),"",INDEX(TableDiv[[GASB]:[GASB]],_xlfn.AGGREGATE(15,3,(TableDiv[[Agency]:[Agency]]=$E322)/(TableDiv[[Agency]:[Agency]]=$E322)*(ROW(TableDiv[Agency])-ROW(TableDiv[[#Headers],[Agency]])),COLUMNS($F$7:AG$7))))</f>
        <v>0</v>
      </c>
      <c r="AH322" s="2223" cm="1">
        <f t="array" ref="AH322">IF($D322&lt;COLUMNS($F$7:AH$7),"",INDEX(TableDiv[[GASB]:[GASB]],_xlfn.AGGREGATE(15,3,(TableDiv[[Agency]:[Agency]]=$E322)/(TableDiv[[Agency]:[Agency]]=$E322)*(ROW(TableDiv[Agency])-ROW(TableDiv[[#Headers],[Agency]])),COLUMNS($F$7:AH$7))))</f>
        <v>0</v>
      </c>
      <c r="AI322" s="2223" cm="1">
        <f t="array" ref="AI322">IF($D322&lt;COLUMNS($F$7:AI$7),"",INDEX(TableDiv[[GASB]:[GASB]],_xlfn.AGGREGATE(15,3,(TableDiv[[Agency]:[Agency]]=$E322)/(TableDiv[[Agency]:[Agency]]=$E322)*(ROW(TableDiv[Agency])-ROW(TableDiv[[#Headers],[Agency]])),COLUMNS($F$7:AI$7))))</f>
        <v>0</v>
      </c>
      <c r="AJ322" s="2223" cm="1">
        <f t="array" ref="AJ322">IF($D322&lt;COLUMNS($F$7:AJ$7),"",INDEX(TableDiv[[GASB]:[GASB]],_xlfn.AGGREGATE(15,3,(TableDiv[[Agency]:[Agency]]=$E322)/(TableDiv[[Agency]:[Agency]]=$E322)*(ROW(TableDiv[Agency])-ROW(TableDiv[[#Headers],[Agency]])),COLUMNS($F$7:AJ$7))))</f>
        <v>0</v>
      </c>
      <c r="AK322" s="2223" t="str" cm="1">
        <f t="array" ref="AK322">IF($D322&lt;COLUMNS($F$7:AK$7),"",INDEX(TableDiv[[GASB]:[GASB]],_xlfn.AGGREGATE(15,3,(TableDiv[[Agency]:[Agency]]=$E322)/(TableDiv[[Agency]:[Agency]]=$E322)*(ROW(TableDiv[Agency])-ROW(TableDiv[[#Headers],[Agency]])),COLUMNS($F$7:AK$7))))</f>
        <v/>
      </c>
      <c r="AL322" s="2223" t="str" cm="1">
        <f t="array" ref="AL322">IF($D322&lt;COLUMNS($F$7:AL$7),"",INDEX(TableDiv[[GASB]:[GASB]],_xlfn.AGGREGATE(15,3,(TableDiv[[Agency]:[Agency]]=$E322)/(TableDiv[[Agency]:[Agency]]=$E322)*(ROW(TableDiv[Agency])-ROW(TableDiv[[#Headers],[Agency]])),COLUMNS($F$7:AL$7))))</f>
        <v/>
      </c>
      <c r="AM322" s="2223" t="str" cm="1">
        <f t="array" ref="AM322">IF($D322&lt;COLUMNS($F$7:AM$7),"",INDEX(TableDiv[[GASB]:[GASB]],_xlfn.AGGREGATE(15,3,(TableDiv[[Agency]:[Agency]]=$E322)/(TableDiv[[Agency]:[Agency]]=$E322)*(ROW(TableDiv[Agency])-ROW(TableDiv[[#Headers],[Agency]])),COLUMNS($F$7:AM$7))))</f>
        <v/>
      </c>
      <c r="AN322" s="2223"/>
      <c r="AO322" s="2223"/>
      <c r="AP322" s="2223"/>
      <c r="AQ322" s="2223"/>
      <c r="AR322" s="2223"/>
      <c r="AS322" s="2223"/>
    </row>
    <row r="323" spans="1:45" ht="15" x14ac:dyDescent="0.25">
      <c r="A323" s="2219" t="s">
        <v>5122</v>
      </c>
      <c r="B323" s="2219" t="s">
        <v>6402</v>
      </c>
      <c r="C323" s="2223"/>
      <c r="D323" s="2223">
        <f>COUNTIF(TableDiv[Agency],E323)</f>
        <v>31</v>
      </c>
      <c r="E323" s="2230" t="str" cm="1">
        <f t="array" ref="E323">IFERROR(INDEX(TableDiv[Agency],MATCH(0,INDEX(COUNTIF($E$7:E322,TableDiv[Agency]),),0)),"")</f>
        <v/>
      </c>
      <c r="F323" s="2223" cm="1">
        <f t="array" ref="F323">IF($D323&lt;COLUMNS($F$7:F$7),"",INDEX(TableDiv[[GASB]:[GASB]],_xlfn.AGGREGATE(15,3,(TableDiv[[Agency]:[Agency]]=$E323)/(TableDiv[[Agency]:[Agency]]=$E323)*(ROW(TableDiv[Agency])-ROW(TableDiv[[#Headers],[Agency]])),COLUMNS($F$7:F$7))))</f>
        <v>0</v>
      </c>
      <c r="G323" s="2223" cm="1">
        <f t="array" ref="G323">IF($D323&lt;COLUMNS($F$7:G$7),"",INDEX(TableDiv[[GASB]:[GASB]],_xlfn.AGGREGATE(15,3,(TableDiv[[Agency]:[Agency]]=$E323)/(TableDiv[[Agency]:[Agency]]=$E323)*(ROW(TableDiv[Agency])-ROW(TableDiv[[#Headers],[Agency]])),COLUMNS($F$7:G$7))))</f>
        <v>0</v>
      </c>
      <c r="H323" s="2223" cm="1">
        <f t="array" ref="H323">IF($D323&lt;COLUMNS($F$7:H$7),"",INDEX(TableDiv[[GASB]:[GASB]],_xlfn.AGGREGATE(15,3,(TableDiv[[Agency]:[Agency]]=$E323)/(TableDiv[[Agency]:[Agency]]=$E323)*(ROW(TableDiv[Agency])-ROW(TableDiv[[#Headers],[Agency]])),COLUMNS($F$7:H$7))))</f>
        <v>0</v>
      </c>
      <c r="I323" s="2223" cm="1">
        <f t="array" ref="I323">IF($D323&lt;COLUMNS($F$7:I$7),"",INDEX(TableDiv[[GASB]:[GASB]],_xlfn.AGGREGATE(15,3,(TableDiv[[Agency]:[Agency]]=$E323)/(TableDiv[[Agency]:[Agency]]=$E323)*(ROW(TableDiv[Agency])-ROW(TableDiv[[#Headers],[Agency]])),COLUMNS($F$7:I$7))))</f>
        <v>0</v>
      </c>
      <c r="J323" s="2223" cm="1">
        <f t="array" ref="J323">IF($D323&lt;COLUMNS($F$7:J$7),"",INDEX(TableDiv[[GASB]:[GASB]],_xlfn.AGGREGATE(15,3,(TableDiv[[Agency]:[Agency]]=$E323)/(TableDiv[[Agency]:[Agency]]=$E323)*(ROW(TableDiv[Agency])-ROW(TableDiv[[#Headers],[Agency]])),COLUMNS($F$7:J$7))))</f>
        <v>0</v>
      </c>
      <c r="K323" s="2223" cm="1">
        <f t="array" ref="K323">IF($D323&lt;COLUMNS($F$7:K$7),"",INDEX(TableDiv[[GASB]:[GASB]],_xlfn.AGGREGATE(15,3,(TableDiv[[Agency]:[Agency]]=$E323)/(TableDiv[[Agency]:[Agency]]=$E323)*(ROW(TableDiv[Agency])-ROW(TableDiv[[#Headers],[Agency]])),COLUMNS($F$7:K$7))))</f>
        <v>0</v>
      </c>
      <c r="L323" s="2223" cm="1">
        <f t="array" ref="L323">IF($D323&lt;COLUMNS($F$7:L$7),"",INDEX(TableDiv[[GASB]:[GASB]],_xlfn.AGGREGATE(15,3,(TableDiv[[Agency]:[Agency]]=$E323)/(TableDiv[[Agency]:[Agency]]=$E323)*(ROW(TableDiv[Agency])-ROW(TableDiv[[#Headers],[Agency]])),COLUMNS($F$7:L$7))))</f>
        <v>0</v>
      </c>
      <c r="M323" s="2223" cm="1">
        <f t="array" ref="M323">IF($D323&lt;COLUMNS($F$7:M$7),"",INDEX(TableDiv[[GASB]:[GASB]],_xlfn.AGGREGATE(15,3,(TableDiv[[Agency]:[Agency]]=$E323)/(TableDiv[[Agency]:[Agency]]=$E323)*(ROW(TableDiv[Agency])-ROW(TableDiv[[#Headers],[Agency]])),COLUMNS($F$7:M$7))))</f>
        <v>0</v>
      </c>
      <c r="N323" s="2223" cm="1">
        <f t="array" ref="N323">IF($D323&lt;COLUMNS($F$7:N$7),"",INDEX(TableDiv[[GASB]:[GASB]],_xlfn.AGGREGATE(15,3,(TableDiv[[Agency]:[Agency]]=$E323)/(TableDiv[[Agency]:[Agency]]=$E323)*(ROW(TableDiv[Agency])-ROW(TableDiv[[#Headers],[Agency]])),COLUMNS($F$7:N$7))))</f>
        <v>0</v>
      </c>
      <c r="O323" s="2223" cm="1">
        <f t="array" ref="O323">IF($D323&lt;COLUMNS($F$7:O$7),"",INDEX(TableDiv[[GASB]:[GASB]],_xlfn.AGGREGATE(15,3,(TableDiv[[Agency]:[Agency]]=$E323)/(TableDiv[[Agency]:[Agency]]=$E323)*(ROW(TableDiv[Agency])-ROW(TableDiv[[#Headers],[Agency]])),COLUMNS($F$7:O$7))))</f>
        <v>0</v>
      </c>
      <c r="P323" s="2223" cm="1">
        <f t="array" ref="P323">IF($D323&lt;COLUMNS($F$7:P$7),"",INDEX(TableDiv[[GASB]:[GASB]],_xlfn.AGGREGATE(15,3,(TableDiv[[Agency]:[Agency]]=$E323)/(TableDiv[[Agency]:[Agency]]=$E323)*(ROW(TableDiv[Agency])-ROW(TableDiv[[#Headers],[Agency]])),COLUMNS($F$7:P$7))))</f>
        <v>0</v>
      </c>
      <c r="Q323" s="2223" cm="1">
        <f t="array" ref="Q323">IF($D323&lt;COLUMNS($F$7:Q$7),"",INDEX(TableDiv[[GASB]:[GASB]],_xlfn.AGGREGATE(15,3,(TableDiv[[Agency]:[Agency]]=$E323)/(TableDiv[[Agency]:[Agency]]=$E323)*(ROW(TableDiv[Agency])-ROW(TableDiv[[#Headers],[Agency]])),COLUMNS($F$7:Q$7))))</f>
        <v>0</v>
      </c>
      <c r="R323" s="2223" cm="1">
        <f t="array" ref="R323">IF($D323&lt;COLUMNS($F$7:R$7),"",INDEX(TableDiv[[GASB]:[GASB]],_xlfn.AGGREGATE(15,3,(TableDiv[[Agency]:[Agency]]=$E323)/(TableDiv[[Agency]:[Agency]]=$E323)*(ROW(TableDiv[Agency])-ROW(TableDiv[[#Headers],[Agency]])),COLUMNS($F$7:R$7))))</f>
        <v>0</v>
      </c>
      <c r="S323" s="2223" cm="1">
        <f t="array" ref="S323">IF($D323&lt;COLUMNS($F$7:S$7),"",INDEX(TableDiv[[GASB]:[GASB]],_xlfn.AGGREGATE(15,3,(TableDiv[[Agency]:[Agency]]=$E323)/(TableDiv[[Agency]:[Agency]]=$E323)*(ROW(TableDiv[Agency])-ROW(TableDiv[[#Headers],[Agency]])),COLUMNS($F$7:S$7))))</f>
        <v>0</v>
      </c>
      <c r="T323" s="2223" cm="1">
        <f t="array" ref="T323">IF($D323&lt;COLUMNS($F$7:T$7),"",INDEX(TableDiv[[GASB]:[GASB]],_xlfn.AGGREGATE(15,3,(TableDiv[[Agency]:[Agency]]=$E323)/(TableDiv[[Agency]:[Agency]]=$E323)*(ROW(TableDiv[Agency])-ROW(TableDiv[[#Headers],[Agency]])),COLUMNS($F$7:T$7))))</f>
        <v>0</v>
      </c>
      <c r="U323" s="2223" cm="1">
        <f t="array" ref="U323">IF($D323&lt;COLUMNS($F$7:U$7),"",INDEX(TableDiv[[GASB]:[GASB]],_xlfn.AGGREGATE(15,3,(TableDiv[[Agency]:[Agency]]=$E323)/(TableDiv[[Agency]:[Agency]]=$E323)*(ROW(TableDiv[Agency])-ROW(TableDiv[[#Headers],[Agency]])),COLUMNS($F$7:U$7))))</f>
        <v>0</v>
      </c>
      <c r="V323" s="2223" cm="1">
        <f t="array" ref="V323">IF($D323&lt;COLUMNS($F$7:V$7),"",INDEX(TableDiv[[GASB]:[GASB]],_xlfn.AGGREGATE(15,3,(TableDiv[[Agency]:[Agency]]=$E323)/(TableDiv[[Agency]:[Agency]]=$E323)*(ROW(TableDiv[Agency])-ROW(TableDiv[[#Headers],[Agency]])),COLUMNS($F$7:V$7))))</f>
        <v>0</v>
      </c>
      <c r="W323" s="2223" cm="1">
        <f t="array" ref="W323">IF($D323&lt;COLUMNS($F$7:W$7),"",INDEX(TableDiv[[GASB]:[GASB]],_xlfn.AGGREGATE(15,3,(TableDiv[[Agency]:[Agency]]=$E323)/(TableDiv[[Agency]:[Agency]]=$E323)*(ROW(TableDiv[Agency])-ROW(TableDiv[[#Headers],[Agency]])),COLUMNS($F$7:W$7))))</f>
        <v>0</v>
      </c>
      <c r="X323" s="2223" cm="1">
        <f t="array" ref="X323">IF($D323&lt;COLUMNS($F$7:X$7),"",INDEX(TableDiv[[GASB]:[GASB]],_xlfn.AGGREGATE(15,3,(TableDiv[[Agency]:[Agency]]=$E323)/(TableDiv[[Agency]:[Agency]]=$E323)*(ROW(TableDiv[Agency])-ROW(TableDiv[[#Headers],[Agency]])),COLUMNS($F$7:X$7))))</f>
        <v>0</v>
      </c>
      <c r="Y323" s="2223" cm="1">
        <f t="array" ref="Y323">IF($D323&lt;COLUMNS($F$7:Y$7),"",INDEX(TableDiv[[GASB]:[GASB]],_xlfn.AGGREGATE(15,3,(TableDiv[[Agency]:[Agency]]=$E323)/(TableDiv[[Agency]:[Agency]]=$E323)*(ROW(TableDiv[Agency])-ROW(TableDiv[[#Headers],[Agency]])),COLUMNS($F$7:Y$7))))</f>
        <v>0</v>
      </c>
      <c r="Z323" s="2223" cm="1">
        <f t="array" ref="Z323">IF($D323&lt;COLUMNS($F$7:Z$7),"",INDEX(TableDiv[[GASB]:[GASB]],_xlfn.AGGREGATE(15,3,(TableDiv[[Agency]:[Agency]]=$E323)/(TableDiv[[Agency]:[Agency]]=$E323)*(ROW(TableDiv[Agency])-ROW(TableDiv[[#Headers],[Agency]])),COLUMNS($F$7:Z$7))))</f>
        <v>0</v>
      </c>
      <c r="AA323" s="2223" cm="1">
        <f t="array" ref="AA323">IF($D323&lt;COLUMNS($F$7:AA$7),"",INDEX(TableDiv[[GASB]:[GASB]],_xlfn.AGGREGATE(15,3,(TableDiv[[Agency]:[Agency]]=$E323)/(TableDiv[[Agency]:[Agency]]=$E323)*(ROW(TableDiv[Agency])-ROW(TableDiv[[#Headers],[Agency]])),COLUMNS($F$7:AA$7))))</f>
        <v>0</v>
      </c>
      <c r="AB323" s="2223" cm="1">
        <f t="array" ref="AB323">IF($D323&lt;COLUMNS($F$7:AB$7),"",INDEX(TableDiv[[GASB]:[GASB]],_xlfn.AGGREGATE(15,3,(TableDiv[[Agency]:[Agency]]=$E323)/(TableDiv[[Agency]:[Agency]]=$E323)*(ROW(TableDiv[Agency])-ROW(TableDiv[[#Headers],[Agency]])),COLUMNS($F$7:AB$7))))</f>
        <v>0</v>
      </c>
      <c r="AC323" s="2223" cm="1">
        <f t="array" ref="AC323">IF($D323&lt;COLUMNS($F$7:AC$7),"",INDEX(TableDiv[[GASB]:[GASB]],_xlfn.AGGREGATE(15,3,(TableDiv[[Agency]:[Agency]]=$E323)/(TableDiv[[Agency]:[Agency]]=$E323)*(ROW(TableDiv[Agency])-ROW(TableDiv[[#Headers],[Agency]])),COLUMNS($F$7:AC$7))))</f>
        <v>0</v>
      </c>
      <c r="AD323" s="2223" cm="1">
        <f t="array" ref="AD323">IF($D323&lt;COLUMNS($F$7:AD$7),"",INDEX(TableDiv[[GASB]:[GASB]],_xlfn.AGGREGATE(15,3,(TableDiv[[Agency]:[Agency]]=$E323)/(TableDiv[[Agency]:[Agency]]=$E323)*(ROW(TableDiv[Agency])-ROW(TableDiv[[#Headers],[Agency]])),COLUMNS($F$7:AD$7))))</f>
        <v>0</v>
      </c>
      <c r="AE323" s="2223" cm="1">
        <f t="array" ref="AE323">IF($D323&lt;COLUMNS($F$7:AE$7),"",INDEX(TableDiv[[GASB]:[GASB]],_xlfn.AGGREGATE(15,3,(TableDiv[[Agency]:[Agency]]=$E323)/(TableDiv[[Agency]:[Agency]]=$E323)*(ROW(TableDiv[Agency])-ROW(TableDiv[[#Headers],[Agency]])),COLUMNS($F$7:AE$7))))</f>
        <v>0</v>
      </c>
      <c r="AF323" s="2223" cm="1">
        <f t="array" ref="AF323">IF($D323&lt;COLUMNS($F$7:AF$7),"",INDEX(TableDiv[[GASB]:[GASB]],_xlfn.AGGREGATE(15,3,(TableDiv[[Agency]:[Agency]]=$E323)/(TableDiv[[Agency]:[Agency]]=$E323)*(ROW(TableDiv[Agency])-ROW(TableDiv[[#Headers],[Agency]])),COLUMNS($F$7:AF$7))))</f>
        <v>0</v>
      </c>
      <c r="AG323" s="2223" cm="1">
        <f t="array" ref="AG323">IF($D323&lt;COLUMNS($F$7:AG$7),"",INDEX(TableDiv[[GASB]:[GASB]],_xlfn.AGGREGATE(15,3,(TableDiv[[Agency]:[Agency]]=$E323)/(TableDiv[[Agency]:[Agency]]=$E323)*(ROW(TableDiv[Agency])-ROW(TableDiv[[#Headers],[Agency]])),COLUMNS($F$7:AG$7))))</f>
        <v>0</v>
      </c>
      <c r="AH323" s="2223" cm="1">
        <f t="array" ref="AH323">IF($D323&lt;COLUMNS($F$7:AH$7),"",INDEX(TableDiv[[GASB]:[GASB]],_xlfn.AGGREGATE(15,3,(TableDiv[[Agency]:[Agency]]=$E323)/(TableDiv[[Agency]:[Agency]]=$E323)*(ROW(TableDiv[Agency])-ROW(TableDiv[[#Headers],[Agency]])),COLUMNS($F$7:AH$7))))</f>
        <v>0</v>
      </c>
      <c r="AI323" s="2223" cm="1">
        <f t="array" ref="AI323">IF($D323&lt;COLUMNS($F$7:AI$7),"",INDEX(TableDiv[[GASB]:[GASB]],_xlfn.AGGREGATE(15,3,(TableDiv[[Agency]:[Agency]]=$E323)/(TableDiv[[Agency]:[Agency]]=$E323)*(ROW(TableDiv[Agency])-ROW(TableDiv[[#Headers],[Agency]])),COLUMNS($F$7:AI$7))))</f>
        <v>0</v>
      </c>
      <c r="AJ323" s="2223" cm="1">
        <f t="array" ref="AJ323">IF($D323&lt;COLUMNS($F$7:AJ$7),"",INDEX(TableDiv[[GASB]:[GASB]],_xlfn.AGGREGATE(15,3,(TableDiv[[Agency]:[Agency]]=$E323)/(TableDiv[[Agency]:[Agency]]=$E323)*(ROW(TableDiv[Agency])-ROW(TableDiv[[#Headers],[Agency]])),COLUMNS($F$7:AJ$7))))</f>
        <v>0</v>
      </c>
      <c r="AK323" s="2223" t="str" cm="1">
        <f t="array" ref="AK323">IF($D323&lt;COLUMNS($F$7:AK$7),"",INDEX(TableDiv[[GASB]:[GASB]],_xlfn.AGGREGATE(15,3,(TableDiv[[Agency]:[Agency]]=$E323)/(TableDiv[[Agency]:[Agency]]=$E323)*(ROW(TableDiv[Agency])-ROW(TableDiv[[#Headers],[Agency]])),COLUMNS($F$7:AK$7))))</f>
        <v/>
      </c>
      <c r="AL323" s="2223" t="str" cm="1">
        <f t="array" ref="AL323">IF($D323&lt;COLUMNS($F$7:AL$7),"",INDEX(TableDiv[[GASB]:[GASB]],_xlfn.AGGREGATE(15,3,(TableDiv[[Agency]:[Agency]]=$E323)/(TableDiv[[Agency]:[Agency]]=$E323)*(ROW(TableDiv[Agency])-ROW(TableDiv[[#Headers],[Agency]])),COLUMNS($F$7:AL$7))))</f>
        <v/>
      </c>
      <c r="AM323" s="2223" t="str" cm="1">
        <f t="array" ref="AM323">IF($D323&lt;COLUMNS($F$7:AM$7),"",INDEX(TableDiv[[GASB]:[GASB]],_xlfn.AGGREGATE(15,3,(TableDiv[[Agency]:[Agency]]=$E323)/(TableDiv[[Agency]:[Agency]]=$E323)*(ROW(TableDiv[Agency])-ROW(TableDiv[[#Headers],[Agency]])),COLUMNS($F$7:AM$7))))</f>
        <v/>
      </c>
      <c r="AN323" s="2223"/>
      <c r="AO323" s="2223"/>
      <c r="AP323" s="2223"/>
      <c r="AQ323" s="2223"/>
      <c r="AR323" s="2223"/>
      <c r="AS323" s="2223"/>
    </row>
    <row r="324" spans="1:45" ht="15" x14ac:dyDescent="0.25">
      <c r="A324" s="2219" t="s">
        <v>5122</v>
      </c>
      <c r="B324" s="2219" t="s">
        <v>6393</v>
      </c>
      <c r="C324" s="2223"/>
      <c r="D324" s="2223">
        <f>COUNTIF(TableDiv[Agency],E324)</f>
        <v>31</v>
      </c>
      <c r="E324" s="2230" t="str" cm="1">
        <f t="array" ref="E324">IFERROR(INDEX(TableDiv[Agency],MATCH(0,INDEX(COUNTIF($E$7:E323,TableDiv[Agency]),),0)),"")</f>
        <v/>
      </c>
      <c r="F324" s="2223" cm="1">
        <f t="array" ref="F324">IF($D324&lt;COLUMNS($F$7:F$7),"",INDEX(TableDiv[[GASB]:[GASB]],_xlfn.AGGREGATE(15,3,(TableDiv[[Agency]:[Agency]]=$E324)/(TableDiv[[Agency]:[Agency]]=$E324)*(ROW(TableDiv[Agency])-ROW(TableDiv[[#Headers],[Agency]])),COLUMNS($F$7:F$7))))</f>
        <v>0</v>
      </c>
      <c r="G324" s="2223" cm="1">
        <f t="array" ref="G324">IF($D324&lt;COLUMNS($F$7:G$7),"",INDEX(TableDiv[[GASB]:[GASB]],_xlfn.AGGREGATE(15,3,(TableDiv[[Agency]:[Agency]]=$E324)/(TableDiv[[Agency]:[Agency]]=$E324)*(ROW(TableDiv[Agency])-ROW(TableDiv[[#Headers],[Agency]])),COLUMNS($F$7:G$7))))</f>
        <v>0</v>
      </c>
      <c r="H324" s="2223" cm="1">
        <f t="array" ref="H324">IF($D324&lt;COLUMNS($F$7:H$7),"",INDEX(TableDiv[[GASB]:[GASB]],_xlfn.AGGREGATE(15,3,(TableDiv[[Agency]:[Agency]]=$E324)/(TableDiv[[Agency]:[Agency]]=$E324)*(ROW(TableDiv[Agency])-ROW(TableDiv[[#Headers],[Agency]])),COLUMNS($F$7:H$7))))</f>
        <v>0</v>
      </c>
      <c r="I324" s="2223" cm="1">
        <f t="array" ref="I324">IF($D324&lt;COLUMNS($F$7:I$7),"",INDEX(TableDiv[[GASB]:[GASB]],_xlfn.AGGREGATE(15,3,(TableDiv[[Agency]:[Agency]]=$E324)/(TableDiv[[Agency]:[Agency]]=$E324)*(ROW(TableDiv[Agency])-ROW(TableDiv[[#Headers],[Agency]])),COLUMNS($F$7:I$7))))</f>
        <v>0</v>
      </c>
      <c r="J324" s="2223" cm="1">
        <f t="array" ref="J324">IF($D324&lt;COLUMNS($F$7:J$7),"",INDEX(TableDiv[[GASB]:[GASB]],_xlfn.AGGREGATE(15,3,(TableDiv[[Agency]:[Agency]]=$E324)/(TableDiv[[Agency]:[Agency]]=$E324)*(ROW(TableDiv[Agency])-ROW(TableDiv[[#Headers],[Agency]])),COLUMNS($F$7:J$7))))</f>
        <v>0</v>
      </c>
      <c r="K324" s="2223" cm="1">
        <f t="array" ref="K324">IF($D324&lt;COLUMNS($F$7:K$7),"",INDEX(TableDiv[[GASB]:[GASB]],_xlfn.AGGREGATE(15,3,(TableDiv[[Agency]:[Agency]]=$E324)/(TableDiv[[Agency]:[Agency]]=$E324)*(ROW(TableDiv[Agency])-ROW(TableDiv[[#Headers],[Agency]])),COLUMNS($F$7:K$7))))</f>
        <v>0</v>
      </c>
      <c r="L324" s="2223" cm="1">
        <f t="array" ref="L324">IF($D324&lt;COLUMNS($F$7:L$7),"",INDEX(TableDiv[[GASB]:[GASB]],_xlfn.AGGREGATE(15,3,(TableDiv[[Agency]:[Agency]]=$E324)/(TableDiv[[Agency]:[Agency]]=$E324)*(ROW(TableDiv[Agency])-ROW(TableDiv[[#Headers],[Agency]])),COLUMNS($F$7:L$7))))</f>
        <v>0</v>
      </c>
      <c r="M324" s="2223" cm="1">
        <f t="array" ref="M324">IF($D324&lt;COLUMNS($F$7:M$7),"",INDEX(TableDiv[[GASB]:[GASB]],_xlfn.AGGREGATE(15,3,(TableDiv[[Agency]:[Agency]]=$E324)/(TableDiv[[Agency]:[Agency]]=$E324)*(ROW(TableDiv[Agency])-ROW(TableDiv[[#Headers],[Agency]])),COLUMNS($F$7:M$7))))</f>
        <v>0</v>
      </c>
      <c r="N324" s="2223" cm="1">
        <f t="array" ref="N324">IF($D324&lt;COLUMNS($F$7:N$7),"",INDEX(TableDiv[[GASB]:[GASB]],_xlfn.AGGREGATE(15,3,(TableDiv[[Agency]:[Agency]]=$E324)/(TableDiv[[Agency]:[Agency]]=$E324)*(ROW(TableDiv[Agency])-ROW(TableDiv[[#Headers],[Agency]])),COLUMNS($F$7:N$7))))</f>
        <v>0</v>
      </c>
      <c r="O324" s="2223" cm="1">
        <f t="array" ref="O324">IF($D324&lt;COLUMNS($F$7:O$7),"",INDEX(TableDiv[[GASB]:[GASB]],_xlfn.AGGREGATE(15,3,(TableDiv[[Agency]:[Agency]]=$E324)/(TableDiv[[Agency]:[Agency]]=$E324)*(ROW(TableDiv[Agency])-ROW(TableDiv[[#Headers],[Agency]])),COLUMNS($F$7:O$7))))</f>
        <v>0</v>
      </c>
      <c r="P324" s="2223" cm="1">
        <f t="array" ref="P324">IF($D324&lt;COLUMNS($F$7:P$7),"",INDEX(TableDiv[[GASB]:[GASB]],_xlfn.AGGREGATE(15,3,(TableDiv[[Agency]:[Agency]]=$E324)/(TableDiv[[Agency]:[Agency]]=$E324)*(ROW(TableDiv[Agency])-ROW(TableDiv[[#Headers],[Agency]])),COLUMNS($F$7:P$7))))</f>
        <v>0</v>
      </c>
      <c r="Q324" s="2223" cm="1">
        <f t="array" ref="Q324">IF($D324&lt;COLUMNS($F$7:Q$7),"",INDEX(TableDiv[[GASB]:[GASB]],_xlfn.AGGREGATE(15,3,(TableDiv[[Agency]:[Agency]]=$E324)/(TableDiv[[Agency]:[Agency]]=$E324)*(ROW(TableDiv[Agency])-ROW(TableDiv[[#Headers],[Agency]])),COLUMNS($F$7:Q$7))))</f>
        <v>0</v>
      </c>
      <c r="R324" s="2223" cm="1">
        <f t="array" ref="R324">IF($D324&lt;COLUMNS($F$7:R$7),"",INDEX(TableDiv[[GASB]:[GASB]],_xlfn.AGGREGATE(15,3,(TableDiv[[Agency]:[Agency]]=$E324)/(TableDiv[[Agency]:[Agency]]=$E324)*(ROW(TableDiv[Agency])-ROW(TableDiv[[#Headers],[Agency]])),COLUMNS($F$7:R$7))))</f>
        <v>0</v>
      </c>
      <c r="S324" s="2223" cm="1">
        <f t="array" ref="S324">IF($D324&lt;COLUMNS($F$7:S$7),"",INDEX(TableDiv[[GASB]:[GASB]],_xlfn.AGGREGATE(15,3,(TableDiv[[Agency]:[Agency]]=$E324)/(TableDiv[[Agency]:[Agency]]=$E324)*(ROW(TableDiv[Agency])-ROW(TableDiv[[#Headers],[Agency]])),COLUMNS($F$7:S$7))))</f>
        <v>0</v>
      </c>
      <c r="T324" s="2223" cm="1">
        <f t="array" ref="T324">IF($D324&lt;COLUMNS($F$7:T$7),"",INDEX(TableDiv[[GASB]:[GASB]],_xlfn.AGGREGATE(15,3,(TableDiv[[Agency]:[Agency]]=$E324)/(TableDiv[[Agency]:[Agency]]=$E324)*(ROW(TableDiv[Agency])-ROW(TableDiv[[#Headers],[Agency]])),COLUMNS($F$7:T$7))))</f>
        <v>0</v>
      </c>
      <c r="U324" s="2223" cm="1">
        <f t="array" ref="U324">IF($D324&lt;COLUMNS($F$7:U$7),"",INDEX(TableDiv[[GASB]:[GASB]],_xlfn.AGGREGATE(15,3,(TableDiv[[Agency]:[Agency]]=$E324)/(TableDiv[[Agency]:[Agency]]=$E324)*(ROW(TableDiv[Agency])-ROW(TableDiv[[#Headers],[Agency]])),COLUMNS($F$7:U$7))))</f>
        <v>0</v>
      </c>
      <c r="V324" s="2223" cm="1">
        <f t="array" ref="V324">IF($D324&lt;COLUMNS($F$7:V$7),"",INDEX(TableDiv[[GASB]:[GASB]],_xlfn.AGGREGATE(15,3,(TableDiv[[Agency]:[Agency]]=$E324)/(TableDiv[[Agency]:[Agency]]=$E324)*(ROW(TableDiv[Agency])-ROW(TableDiv[[#Headers],[Agency]])),COLUMNS($F$7:V$7))))</f>
        <v>0</v>
      </c>
      <c r="W324" s="2223" cm="1">
        <f t="array" ref="W324">IF($D324&lt;COLUMNS($F$7:W$7),"",INDEX(TableDiv[[GASB]:[GASB]],_xlfn.AGGREGATE(15,3,(TableDiv[[Agency]:[Agency]]=$E324)/(TableDiv[[Agency]:[Agency]]=$E324)*(ROW(TableDiv[Agency])-ROW(TableDiv[[#Headers],[Agency]])),COLUMNS($F$7:W$7))))</f>
        <v>0</v>
      </c>
      <c r="X324" s="2223" cm="1">
        <f t="array" ref="X324">IF($D324&lt;COLUMNS($F$7:X$7),"",INDEX(TableDiv[[GASB]:[GASB]],_xlfn.AGGREGATE(15,3,(TableDiv[[Agency]:[Agency]]=$E324)/(TableDiv[[Agency]:[Agency]]=$E324)*(ROW(TableDiv[Agency])-ROW(TableDiv[[#Headers],[Agency]])),COLUMNS($F$7:X$7))))</f>
        <v>0</v>
      </c>
      <c r="Y324" s="2223" cm="1">
        <f t="array" ref="Y324">IF($D324&lt;COLUMNS($F$7:Y$7),"",INDEX(TableDiv[[GASB]:[GASB]],_xlfn.AGGREGATE(15,3,(TableDiv[[Agency]:[Agency]]=$E324)/(TableDiv[[Agency]:[Agency]]=$E324)*(ROW(TableDiv[Agency])-ROW(TableDiv[[#Headers],[Agency]])),COLUMNS($F$7:Y$7))))</f>
        <v>0</v>
      </c>
      <c r="Z324" s="2223" cm="1">
        <f t="array" ref="Z324">IF($D324&lt;COLUMNS($F$7:Z$7),"",INDEX(TableDiv[[GASB]:[GASB]],_xlfn.AGGREGATE(15,3,(TableDiv[[Agency]:[Agency]]=$E324)/(TableDiv[[Agency]:[Agency]]=$E324)*(ROW(TableDiv[Agency])-ROW(TableDiv[[#Headers],[Agency]])),COLUMNS($F$7:Z$7))))</f>
        <v>0</v>
      </c>
      <c r="AA324" s="2223" cm="1">
        <f t="array" ref="AA324">IF($D324&lt;COLUMNS($F$7:AA$7),"",INDEX(TableDiv[[GASB]:[GASB]],_xlfn.AGGREGATE(15,3,(TableDiv[[Agency]:[Agency]]=$E324)/(TableDiv[[Agency]:[Agency]]=$E324)*(ROW(TableDiv[Agency])-ROW(TableDiv[[#Headers],[Agency]])),COLUMNS($F$7:AA$7))))</f>
        <v>0</v>
      </c>
      <c r="AB324" s="2223" cm="1">
        <f t="array" ref="AB324">IF($D324&lt;COLUMNS($F$7:AB$7),"",INDEX(TableDiv[[GASB]:[GASB]],_xlfn.AGGREGATE(15,3,(TableDiv[[Agency]:[Agency]]=$E324)/(TableDiv[[Agency]:[Agency]]=$E324)*(ROW(TableDiv[Agency])-ROW(TableDiv[[#Headers],[Agency]])),COLUMNS($F$7:AB$7))))</f>
        <v>0</v>
      </c>
      <c r="AC324" s="2223" cm="1">
        <f t="array" ref="AC324">IF($D324&lt;COLUMNS($F$7:AC$7),"",INDEX(TableDiv[[GASB]:[GASB]],_xlfn.AGGREGATE(15,3,(TableDiv[[Agency]:[Agency]]=$E324)/(TableDiv[[Agency]:[Agency]]=$E324)*(ROW(TableDiv[Agency])-ROW(TableDiv[[#Headers],[Agency]])),COLUMNS($F$7:AC$7))))</f>
        <v>0</v>
      </c>
      <c r="AD324" s="2223" cm="1">
        <f t="array" ref="AD324">IF($D324&lt;COLUMNS($F$7:AD$7),"",INDEX(TableDiv[[GASB]:[GASB]],_xlfn.AGGREGATE(15,3,(TableDiv[[Agency]:[Agency]]=$E324)/(TableDiv[[Agency]:[Agency]]=$E324)*(ROW(TableDiv[Agency])-ROW(TableDiv[[#Headers],[Agency]])),COLUMNS($F$7:AD$7))))</f>
        <v>0</v>
      </c>
      <c r="AE324" s="2223" cm="1">
        <f t="array" ref="AE324">IF($D324&lt;COLUMNS($F$7:AE$7),"",INDEX(TableDiv[[GASB]:[GASB]],_xlfn.AGGREGATE(15,3,(TableDiv[[Agency]:[Agency]]=$E324)/(TableDiv[[Agency]:[Agency]]=$E324)*(ROW(TableDiv[Agency])-ROW(TableDiv[[#Headers],[Agency]])),COLUMNS($F$7:AE$7))))</f>
        <v>0</v>
      </c>
      <c r="AF324" s="2223" cm="1">
        <f t="array" ref="AF324">IF($D324&lt;COLUMNS($F$7:AF$7),"",INDEX(TableDiv[[GASB]:[GASB]],_xlfn.AGGREGATE(15,3,(TableDiv[[Agency]:[Agency]]=$E324)/(TableDiv[[Agency]:[Agency]]=$E324)*(ROW(TableDiv[Agency])-ROW(TableDiv[[#Headers],[Agency]])),COLUMNS($F$7:AF$7))))</f>
        <v>0</v>
      </c>
      <c r="AG324" s="2223" cm="1">
        <f t="array" ref="AG324">IF($D324&lt;COLUMNS($F$7:AG$7),"",INDEX(TableDiv[[GASB]:[GASB]],_xlfn.AGGREGATE(15,3,(TableDiv[[Agency]:[Agency]]=$E324)/(TableDiv[[Agency]:[Agency]]=$E324)*(ROW(TableDiv[Agency])-ROW(TableDiv[[#Headers],[Agency]])),COLUMNS($F$7:AG$7))))</f>
        <v>0</v>
      </c>
      <c r="AH324" s="2223" cm="1">
        <f t="array" ref="AH324">IF($D324&lt;COLUMNS($F$7:AH$7),"",INDEX(TableDiv[[GASB]:[GASB]],_xlfn.AGGREGATE(15,3,(TableDiv[[Agency]:[Agency]]=$E324)/(TableDiv[[Agency]:[Agency]]=$E324)*(ROW(TableDiv[Agency])-ROW(TableDiv[[#Headers],[Agency]])),COLUMNS($F$7:AH$7))))</f>
        <v>0</v>
      </c>
      <c r="AI324" s="2223" cm="1">
        <f t="array" ref="AI324">IF($D324&lt;COLUMNS($F$7:AI$7),"",INDEX(TableDiv[[GASB]:[GASB]],_xlfn.AGGREGATE(15,3,(TableDiv[[Agency]:[Agency]]=$E324)/(TableDiv[[Agency]:[Agency]]=$E324)*(ROW(TableDiv[Agency])-ROW(TableDiv[[#Headers],[Agency]])),COLUMNS($F$7:AI$7))))</f>
        <v>0</v>
      </c>
      <c r="AJ324" s="2223" cm="1">
        <f t="array" ref="AJ324">IF($D324&lt;COLUMNS($F$7:AJ$7),"",INDEX(TableDiv[[GASB]:[GASB]],_xlfn.AGGREGATE(15,3,(TableDiv[[Agency]:[Agency]]=$E324)/(TableDiv[[Agency]:[Agency]]=$E324)*(ROW(TableDiv[Agency])-ROW(TableDiv[[#Headers],[Agency]])),COLUMNS($F$7:AJ$7))))</f>
        <v>0</v>
      </c>
      <c r="AK324" s="2223" t="str" cm="1">
        <f t="array" ref="AK324">IF($D324&lt;COLUMNS($F$7:AK$7),"",INDEX(TableDiv[[GASB]:[GASB]],_xlfn.AGGREGATE(15,3,(TableDiv[[Agency]:[Agency]]=$E324)/(TableDiv[[Agency]:[Agency]]=$E324)*(ROW(TableDiv[Agency])-ROW(TableDiv[[#Headers],[Agency]])),COLUMNS($F$7:AK$7))))</f>
        <v/>
      </c>
      <c r="AL324" s="2223" t="str" cm="1">
        <f t="array" ref="AL324">IF($D324&lt;COLUMNS($F$7:AL$7),"",INDEX(TableDiv[[GASB]:[GASB]],_xlfn.AGGREGATE(15,3,(TableDiv[[Agency]:[Agency]]=$E324)/(TableDiv[[Agency]:[Agency]]=$E324)*(ROW(TableDiv[Agency])-ROW(TableDiv[[#Headers],[Agency]])),COLUMNS($F$7:AL$7))))</f>
        <v/>
      </c>
      <c r="AM324" s="2223" t="str" cm="1">
        <f t="array" ref="AM324">IF($D324&lt;COLUMNS($F$7:AM$7),"",INDEX(TableDiv[[GASB]:[GASB]],_xlfn.AGGREGATE(15,3,(TableDiv[[Agency]:[Agency]]=$E324)/(TableDiv[[Agency]:[Agency]]=$E324)*(ROW(TableDiv[Agency])-ROW(TableDiv[[#Headers],[Agency]])),COLUMNS($F$7:AM$7))))</f>
        <v/>
      </c>
      <c r="AN324" s="2223"/>
      <c r="AO324" s="2223"/>
      <c r="AP324" s="2223"/>
      <c r="AQ324" s="2223"/>
      <c r="AR324" s="2223"/>
      <c r="AS324" s="2223"/>
    </row>
    <row r="325" spans="1:45" ht="15" x14ac:dyDescent="0.25">
      <c r="A325" s="2219" t="s">
        <v>5123</v>
      </c>
      <c r="B325" s="2219" t="s">
        <v>6357</v>
      </c>
      <c r="C325" s="2223"/>
      <c r="D325" s="2223">
        <f>COUNTIF(TableDiv[Agency],E325)</f>
        <v>31</v>
      </c>
      <c r="E325" s="2230" t="str" cm="1">
        <f t="array" ref="E325">IFERROR(INDEX(TableDiv[Agency],MATCH(0,INDEX(COUNTIF($E$7:E324,TableDiv[Agency]),),0)),"")</f>
        <v/>
      </c>
      <c r="F325" s="2223" cm="1">
        <f t="array" ref="F325">IF($D325&lt;COLUMNS($F$7:F$7),"",INDEX(TableDiv[[GASB]:[GASB]],_xlfn.AGGREGATE(15,3,(TableDiv[[Agency]:[Agency]]=$E325)/(TableDiv[[Agency]:[Agency]]=$E325)*(ROW(TableDiv[Agency])-ROW(TableDiv[[#Headers],[Agency]])),COLUMNS($F$7:F$7))))</f>
        <v>0</v>
      </c>
      <c r="G325" s="2223" cm="1">
        <f t="array" ref="G325">IF($D325&lt;COLUMNS($F$7:G$7),"",INDEX(TableDiv[[GASB]:[GASB]],_xlfn.AGGREGATE(15,3,(TableDiv[[Agency]:[Agency]]=$E325)/(TableDiv[[Agency]:[Agency]]=$E325)*(ROW(TableDiv[Agency])-ROW(TableDiv[[#Headers],[Agency]])),COLUMNS($F$7:G$7))))</f>
        <v>0</v>
      </c>
      <c r="H325" s="2223" cm="1">
        <f t="array" ref="H325">IF($D325&lt;COLUMNS($F$7:H$7),"",INDEX(TableDiv[[GASB]:[GASB]],_xlfn.AGGREGATE(15,3,(TableDiv[[Agency]:[Agency]]=$E325)/(TableDiv[[Agency]:[Agency]]=$E325)*(ROW(TableDiv[Agency])-ROW(TableDiv[[#Headers],[Agency]])),COLUMNS($F$7:H$7))))</f>
        <v>0</v>
      </c>
      <c r="I325" s="2223" cm="1">
        <f t="array" ref="I325">IF($D325&lt;COLUMNS($F$7:I$7),"",INDEX(TableDiv[[GASB]:[GASB]],_xlfn.AGGREGATE(15,3,(TableDiv[[Agency]:[Agency]]=$E325)/(TableDiv[[Agency]:[Agency]]=$E325)*(ROW(TableDiv[Agency])-ROW(TableDiv[[#Headers],[Agency]])),COLUMNS($F$7:I$7))))</f>
        <v>0</v>
      </c>
      <c r="J325" s="2223" cm="1">
        <f t="array" ref="J325">IF($D325&lt;COLUMNS($F$7:J$7),"",INDEX(TableDiv[[GASB]:[GASB]],_xlfn.AGGREGATE(15,3,(TableDiv[[Agency]:[Agency]]=$E325)/(TableDiv[[Agency]:[Agency]]=$E325)*(ROW(TableDiv[Agency])-ROW(TableDiv[[#Headers],[Agency]])),COLUMNS($F$7:J$7))))</f>
        <v>0</v>
      </c>
      <c r="K325" s="2223" cm="1">
        <f t="array" ref="K325">IF($D325&lt;COLUMNS($F$7:K$7),"",INDEX(TableDiv[[GASB]:[GASB]],_xlfn.AGGREGATE(15,3,(TableDiv[[Agency]:[Agency]]=$E325)/(TableDiv[[Agency]:[Agency]]=$E325)*(ROW(TableDiv[Agency])-ROW(TableDiv[[#Headers],[Agency]])),COLUMNS($F$7:K$7))))</f>
        <v>0</v>
      </c>
      <c r="L325" s="2223" cm="1">
        <f t="array" ref="L325">IF($D325&lt;COLUMNS($F$7:L$7),"",INDEX(TableDiv[[GASB]:[GASB]],_xlfn.AGGREGATE(15,3,(TableDiv[[Agency]:[Agency]]=$E325)/(TableDiv[[Agency]:[Agency]]=$E325)*(ROW(TableDiv[Agency])-ROW(TableDiv[[#Headers],[Agency]])),COLUMNS($F$7:L$7))))</f>
        <v>0</v>
      </c>
      <c r="M325" s="2223" cm="1">
        <f t="array" ref="M325">IF($D325&lt;COLUMNS($F$7:M$7),"",INDEX(TableDiv[[GASB]:[GASB]],_xlfn.AGGREGATE(15,3,(TableDiv[[Agency]:[Agency]]=$E325)/(TableDiv[[Agency]:[Agency]]=$E325)*(ROW(TableDiv[Agency])-ROW(TableDiv[[#Headers],[Agency]])),COLUMNS($F$7:M$7))))</f>
        <v>0</v>
      </c>
      <c r="N325" s="2223" cm="1">
        <f t="array" ref="N325">IF($D325&lt;COLUMNS($F$7:N$7),"",INDEX(TableDiv[[GASB]:[GASB]],_xlfn.AGGREGATE(15,3,(TableDiv[[Agency]:[Agency]]=$E325)/(TableDiv[[Agency]:[Agency]]=$E325)*(ROW(TableDiv[Agency])-ROW(TableDiv[[#Headers],[Agency]])),COLUMNS($F$7:N$7))))</f>
        <v>0</v>
      </c>
      <c r="O325" s="2223" cm="1">
        <f t="array" ref="O325">IF($D325&lt;COLUMNS($F$7:O$7),"",INDEX(TableDiv[[GASB]:[GASB]],_xlfn.AGGREGATE(15,3,(TableDiv[[Agency]:[Agency]]=$E325)/(TableDiv[[Agency]:[Agency]]=$E325)*(ROW(TableDiv[Agency])-ROW(TableDiv[[#Headers],[Agency]])),COLUMNS($F$7:O$7))))</f>
        <v>0</v>
      </c>
      <c r="P325" s="2223" cm="1">
        <f t="array" ref="P325">IF($D325&lt;COLUMNS($F$7:P$7),"",INDEX(TableDiv[[GASB]:[GASB]],_xlfn.AGGREGATE(15,3,(TableDiv[[Agency]:[Agency]]=$E325)/(TableDiv[[Agency]:[Agency]]=$E325)*(ROW(TableDiv[Agency])-ROW(TableDiv[[#Headers],[Agency]])),COLUMNS($F$7:P$7))))</f>
        <v>0</v>
      </c>
      <c r="Q325" s="2223" cm="1">
        <f t="array" ref="Q325">IF($D325&lt;COLUMNS($F$7:Q$7),"",INDEX(TableDiv[[GASB]:[GASB]],_xlfn.AGGREGATE(15,3,(TableDiv[[Agency]:[Agency]]=$E325)/(TableDiv[[Agency]:[Agency]]=$E325)*(ROW(TableDiv[Agency])-ROW(TableDiv[[#Headers],[Agency]])),COLUMNS($F$7:Q$7))))</f>
        <v>0</v>
      </c>
      <c r="R325" s="2223" cm="1">
        <f t="array" ref="R325">IF($D325&lt;COLUMNS($F$7:R$7),"",INDEX(TableDiv[[GASB]:[GASB]],_xlfn.AGGREGATE(15,3,(TableDiv[[Agency]:[Agency]]=$E325)/(TableDiv[[Agency]:[Agency]]=$E325)*(ROW(TableDiv[Agency])-ROW(TableDiv[[#Headers],[Agency]])),COLUMNS($F$7:R$7))))</f>
        <v>0</v>
      </c>
      <c r="S325" s="2223" cm="1">
        <f t="array" ref="S325">IF($D325&lt;COLUMNS($F$7:S$7),"",INDEX(TableDiv[[GASB]:[GASB]],_xlfn.AGGREGATE(15,3,(TableDiv[[Agency]:[Agency]]=$E325)/(TableDiv[[Agency]:[Agency]]=$E325)*(ROW(TableDiv[Agency])-ROW(TableDiv[[#Headers],[Agency]])),COLUMNS($F$7:S$7))))</f>
        <v>0</v>
      </c>
      <c r="T325" s="2223" cm="1">
        <f t="array" ref="T325">IF($D325&lt;COLUMNS($F$7:T$7),"",INDEX(TableDiv[[GASB]:[GASB]],_xlfn.AGGREGATE(15,3,(TableDiv[[Agency]:[Agency]]=$E325)/(TableDiv[[Agency]:[Agency]]=$E325)*(ROW(TableDiv[Agency])-ROW(TableDiv[[#Headers],[Agency]])),COLUMNS($F$7:T$7))))</f>
        <v>0</v>
      </c>
      <c r="U325" s="2223" cm="1">
        <f t="array" ref="U325">IF($D325&lt;COLUMNS($F$7:U$7),"",INDEX(TableDiv[[GASB]:[GASB]],_xlfn.AGGREGATE(15,3,(TableDiv[[Agency]:[Agency]]=$E325)/(TableDiv[[Agency]:[Agency]]=$E325)*(ROW(TableDiv[Agency])-ROW(TableDiv[[#Headers],[Agency]])),COLUMNS($F$7:U$7))))</f>
        <v>0</v>
      </c>
      <c r="V325" s="2223" cm="1">
        <f t="array" ref="V325">IF($D325&lt;COLUMNS($F$7:V$7),"",INDEX(TableDiv[[GASB]:[GASB]],_xlfn.AGGREGATE(15,3,(TableDiv[[Agency]:[Agency]]=$E325)/(TableDiv[[Agency]:[Agency]]=$E325)*(ROW(TableDiv[Agency])-ROW(TableDiv[[#Headers],[Agency]])),COLUMNS($F$7:V$7))))</f>
        <v>0</v>
      </c>
      <c r="W325" s="2223" cm="1">
        <f t="array" ref="W325">IF($D325&lt;COLUMNS($F$7:W$7),"",INDEX(TableDiv[[GASB]:[GASB]],_xlfn.AGGREGATE(15,3,(TableDiv[[Agency]:[Agency]]=$E325)/(TableDiv[[Agency]:[Agency]]=$E325)*(ROW(TableDiv[Agency])-ROW(TableDiv[[#Headers],[Agency]])),COLUMNS($F$7:W$7))))</f>
        <v>0</v>
      </c>
      <c r="X325" s="2223" cm="1">
        <f t="array" ref="X325">IF($D325&lt;COLUMNS($F$7:X$7),"",INDEX(TableDiv[[GASB]:[GASB]],_xlfn.AGGREGATE(15,3,(TableDiv[[Agency]:[Agency]]=$E325)/(TableDiv[[Agency]:[Agency]]=$E325)*(ROW(TableDiv[Agency])-ROW(TableDiv[[#Headers],[Agency]])),COLUMNS($F$7:X$7))))</f>
        <v>0</v>
      </c>
      <c r="Y325" s="2223" cm="1">
        <f t="array" ref="Y325">IF($D325&lt;COLUMNS($F$7:Y$7),"",INDEX(TableDiv[[GASB]:[GASB]],_xlfn.AGGREGATE(15,3,(TableDiv[[Agency]:[Agency]]=$E325)/(TableDiv[[Agency]:[Agency]]=$E325)*(ROW(TableDiv[Agency])-ROW(TableDiv[[#Headers],[Agency]])),COLUMNS($F$7:Y$7))))</f>
        <v>0</v>
      </c>
      <c r="Z325" s="2223" cm="1">
        <f t="array" ref="Z325">IF($D325&lt;COLUMNS($F$7:Z$7),"",INDEX(TableDiv[[GASB]:[GASB]],_xlfn.AGGREGATE(15,3,(TableDiv[[Agency]:[Agency]]=$E325)/(TableDiv[[Agency]:[Agency]]=$E325)*(ROW(TableDiv[Agency])-ROW(TableDiv[[#Headers],[Agency]])),COLUMNS($F$7:Z$7))))</f>
        <v>0</v>
      </c>
      <c r="AA325" s="2223" cm="1">
        <f t="array" ref="AA325">IF($D325&lt;COLUMNS($F$7:AA$7),"",INDEX(TableDiv[[GASB]:[GASB]],_xlfn.AGGREGATE(15,3,(TableDiv[[Agency]:[Agency]]=$E325)/(TableDiv[[Agency]:[Agency]]=$E325)*(ROW(TableDiv[Agency])-ROW(TableDiv[[#Headers],[Agency]])),COLUMNS($F$7:AA$7))))</f>
        <v>0</v>
      </c>
      <c r="AB325" s="2223" cm="1">
        <f t="array" ref="AB325">IF($D325&lt;COLUMNS($F$7:AB$7),"",INDEX(TableDiv[[GASB]:[GASB]],_xlfn.AGGREGATE(15,3,(TableDiv[[Agency]:[Agency]]=$E325)/(TableDiv[[Agency]:[Agency]]=$E325)*(ROW(TableDiv[Agency])-ROW(TableDiv[[#Headers],[Agency]])),COLUMNS($F$7:AB$7))))</f>
        <v>0</v>
      </c>
      <c r="AC325" s="2223" cm="1">
        <f t="array" ref="AC325">IF($D325&lt;COLUMNS($F$7:AC$7),"",INDEX(TableDiv[[GASB]:[GASB]],_xlfn.AGGREGATE(15,3,(TableDiv[[Agency]:[Agency]]=$E325)/(TableDiv[[Agency]:[Agency]]=$E325)*(ROW(TableDiv[Agency])-ROW(TableDiv[[#Headers],[Agency]])),COLUMNS($F$7:AC$7))))</f>
        <v>0</v>
      </c>
      <c r="AD325" s="2223" cm="1">
        <f t="array" ref="AD325">IF($D325&lt;COLUMNS($F$7:AD$7),"",INDEX(TableDiv[[GASB]:[GASB]],_xlfn.AGGREGATE(15,3,(TableDiv[[Agency]:[Agency]]=$E325)/(TableDiv[[Agency]:[Agency]]=$E325)*(ROW(TableDiv[Agency])-ROW(TableDiv[[#Headers],[Agency]])),COLUMNS($F$7:AD$7))))</f>
        <v>0</v>
      </c>
      <c r="AE325" s="2223" cm="1">
        <f t="array" ref="AE325">IF($D325&lt;COLUMNS($F$7:AE$7),"",INDEX(TableDiv[[GASB]:[GASB]],_xlfn.AGGREGATE(15,3,(TableDiv[[Agency]:[Agency]]=$E325)/(TableDiv[[Agency]:[Agency]]=$E325)*(ROW(TableDiv[Agency])-ROW(TableDiv[[#Headers],[Agency]])),COLUMNS($F$7:AE$7))))</f>
        <v>0</v>
      </c>
      <c r="AF325" s="2223" cm="1">
        <f t="array" ref="AF325">IF($D325&lt;COLUMNS($F$7:AF$7),"",INDEX(TableDiv[[GASB]:[GASB]],_xlfn.AGGREGATE(15,3,(TableDiv[[Agency]:[Agency]]=$E325)/(TableDiv[[Agency]:[Agency]]=$E325)*(ROW(TableDiv[Agency])-ROW(TableDiv[[#Headers],[Agency]])),COLUMNS($F$7:AF$7))))</f>
        <v>0</v>
      </c>
      <c r="AG325" s="2223" cm="1">
        <f t="array" ref="AG325">IF($D325&lt;COLUMNS($F$7:AG$7),"",INDEX(TableDiv[[GASB]:[GASB]],_xlfn.AGGREGATE(15,3,(TableDiv[[Agency]:[Agency]]=$E325)/(TableDiv[[Agency]:[Agency]]=$E325)*(ROW(TableDiv[Agency])-ROW(TableDiv[[#Headers],[Agency]])),COLUMNS($F$7:AG$7))))</f>
        <v>0</v>
      </c>
      <c r="AH325" s="2223" cm="1">
        <f t="array" ref="AH325">IF($D325&lt;COLUMNS($F$7:AH$7),"",INDEX(TableDiv[[GASB]:[GASB]],_xlfn.AGGREGATE(15,3,(TableDiv[[Agency]:[Agency]]=$E325)/(TableDiv[[Agency]:[Agency]]=$E325)*(ROW(TableDiv[Agency])-ROW(TableDiv[[#Headers],[Agency]])),COLUMNS($F$7:AH$7))))</f>
        <v>0</v>
      </c>
      <c r="AI325" s="2223" cm="1">
        <f t="array" ref="AI325">IF($D325&lt;COLUMNS($F$7:AI$7),"",INDEX(TableDiv[[GASB]:[GASB]],_xlfn.AGGREGATE(15,3,(TableDiv[[Agency]:[Agency]]=$E325)/(TableDiv[[Agency]:[Agency]]=$E325)*(ROW(TableDiv[Agency])-ROW(TableDiv[[#Headers],[Agency]])),COLUMNS($F$7:AI$7))))</f>
        <v>0</v>
      </c>
      <c r="AJ325" s="2223" cm="1">
        <f t="array" ref="AJ325">IF($D325&lt;COLUMNS($F$7:AJ$7),"",INDEX(TableDiv[[GASB]:[GASB]],_xlfn.AGGREGATE(15,3,(TableDiv[[Agency]:[Agency]]=$E325)/(TableDiv[[Agency]:[Agency]]=$E325)*(ROW(TableDiv[Agency])-ROW(TableDiv[[#Headers],[Agency]])),COLUMNS($F$7:AJ$7))))</f>
        <v>0</v>
      </c>
      <c r="AK325" s="2223" t="str" cm="1">
        <f t="array" ref="AK325">IF($D325&lt;COLUMNS($F$7:AK$7),"",INDEX(TableDiv[[GASB]:[GASB]],_xlfn.AGGREGATE(15,3,(TableDiv[[Agency]:[Agency]]=$E325)/(TableDiv[[Agency]:[Agency]]=$E325)*(ROW(TableDiv[Agency])-ROW(TableDiv[[#Headers],[Agency]])),COLUMNS($F$7:AK$7))))</f>
        <v/>
      </c>
      <c r="AL325" s="2223" t="str" cm="1">
        <f t="array" ref="AL325">IF($D325&lt;COLUMNS($F$7:AL$7),"",INDEX(TableDiv[[GASB]:[GASB]],_xlfn.AGGREGATE(15,3,(TableDiv[[Agency]:[Agency]]=$E325)/(TableDiv[[Agency]:[Agency]]=$E325)*(ROW(TableDiv[Agency])-ROW(TableDiv[[#Headers],[Agency]])),COLUMNS($F$7:AL$7))))</f>
        <v/>
      </c>
      <c r="AM325" s="2223" t="str" cm="1">
        <f t="array" ref="AM325">IF($D325&lt;COLUMNS($F$7:AM$7),"",INDEX(TableDiv[[GASB]:[GASB]],_xlfn.AGGREGATE(15,3,(TableDiv[[Agency]:[Agency]]=$E325)/(TableDiv[[Agency]:[Agency]]=$E325)*(ROW(TableDiv[Agency])-ROW(TableDiv[[#Headers],[Agency]])),COLUMNS($F$7:AM$7))))</f>
        <v/>
      </c>
      <c r="AN325" s="2223"/>
      <c r="AO325" s="2223"/>
      <c r="AP325" s="2223"/>
      <c r="AQ325" s="2223"/>
      <c r="AR325" s="2223"/>
      <c r="AS325" s="2223"/>
    </row>
    <row r="326" spans="1:45" ht="15" x14ac:dyDescent="0.25">
      <c r="A326" s="2219" t="s">
        <v>5123</v>
      </c>
      <c r="B326" s="2219" t="s">
        <v>1878</v>
      </c>
      <c r="C326" s="2223"/>
      <c r="D326" s="2223">
        <f>COUNTIF(TableDiv[Agency],E326)</f>
        <v>31</v>
      </c>
      <c r="E326" s="2230" t="str" cm="1">
        <f t="array" ref="E326">IFERROR(INDEX(TableDiv[Agency],MATCH(0,INDEX(COUNTIF($E$7:E325,TableDiv[Agency]),),0)),"")</f>
        <v/>
      </c>
      <c r="F326" s="2223" cm="1">
        <f t="array" ref="F326">IF($D326&lt;COLUMNS($F$7:F$7),"",INDEX(TableDiv[[GASB]:[GASB]],_xlfn.AGGREGATE(15,3,(TableDiv[[Agency]:[Agency]]=$E326)/(TableDiv[[Agency]:[Agency]]=$E326)*(ROW(TableDiv[Agency])-ROW(TableDiv[[#Headers],[Agency]])),COLUMNS($F$7:F$7))))</f>
        <v>0</v>
      </c>
      <c r="G326" s="2223" cm="1">
        <f t="array" ref="G326">IF($D326&lt;COLUMNS($F$7:G$7),"",INDEX(TableDiv[[GASB]:[GASB]],_xlfn.AGGREGATE(15,3,(TableDiv[[Agency]:[Agency]]=$E326)/(TableDiv[[Agency]:[Agency]]=$E326)*(ROW(TableDiv[Agency])-ROW(TableDiv[[#Headers],[Agency]])),COLUMNS($F$7:G$7))))</f>
        <v>0</v>
      </c>
      <c r="H326" s="2223" cm="1">
        <f t="array" ref="H326">IF($D326&lt;COLUMNS($F$7:H$7),"",INDEX(TableDiv[[GASB]:[GASB]],_xlfn.AGGREGATE(15,3,(TableDiv[[Agency]:[Agency]]=$E326)/(TableDiv[[Agency]:[Agency]]=$E326)*(ROW(TableDiv[Agency])-ROW(TableDiv[[#Headers],[Agency]])),COLUMNS($F$7:H$7))))</f>
        <v>0</v>
      </c>
      <c r="I326" s="2223" cm="1">
        <f t="array" ref="I326">IF($D326&lt;COLUMNS($F$7:I$7),"",INDEX(TableDiv[[GASB]:[GASB]],_xlfn.AGGREGATE(15,3,(TableDiv[[Agency]:[Agency]]=$E326)/(TableDiv[[Agency]:[Agency]]=$E326)*(ROW(TableDiv[Agency])-ROW(TableDiv[[#Headers],[Agency]])),COLUMNS($F$7:I$7))))</f>
        <v>0</v>
      </c>
      <c r="J326" s="2223" cm="1">
        <f t="array" ref="J326">IF($D326&lt;COLUMNS($F$7:J$7),"",INDEX(TableDiv[[GASB]:[GASB]],_xlfn.AGGREGATE(15,3,(TableDiv[[Agency]:[Agency]]=$E326)/(TableDiv[[Agency]:[Agency]]=$E326)*(ROW(TableDiv[Agency])-ROW(TableDiv[[#Headers],[Agency]])),COLUMNS($F$7:J$7))))</f>
        <v>0</v>
      </c>
      <c r="K326" s="2223" cm="1">
        <f t="array" ref="K326">IF($D326&lt;COLUMNS($F$7:K$7),"",INDEX(TableDiv[[GASB]:[GASB]],_xlfn.AGGREGATE(15,3,(TableDiv[[Agency]:[Agency]]=$E326)/(TableDiv[[Agency]:[Agency]]=$E326)*(ROW(TableDiv[Agency])-ROW(TableDiv[[#Headers],[Agency]])),COLUMNS($F$7:K$7))))</f>
        <v>0</v>
      </c>
      <c r="L326" s="2223" cm="1">
        <f t="array" ref="L326">IF($D326&lt;COLUMNS($F$7:L$7),"",INDEX(TableDiv[[GASB]:[GASB]],_xlfn.AGGREGATE(15,3,(TableDiv[[Agency]:[Agency]]=$E326)/(TableDiv[[Agency]:[Agency]]=$E326)*(ROW(TableDiv[Agency])-ROW(TableDiv[[#Headers],[Agency]])),COLUMNS($F$7:L$7))))</f>
        <v>0</v>
      </c>
      <c r="M326" s="2223" cm="1">
        <f t="array" ref="M326">IF($D326&lt;COLUMNS($F$7:M$7),"",INDEX(TableDiv[[GASB]:[GASB]],_xlfn.AGGREGATE(15,3,(TableDiv[[Agency]:[Agency]]=$E326)/(TableDiv[[Agency]:[Agency]]=$E326)*(ROW(TableDiv[Agency])-ROW(TableDiv[[#Headers],[Agency]])),COLUMNS($F$7:M$7))))</f>
        <v>0</v>
      </c>
      <c r="N326" s="2223" cm="1">
        <f t="array" ref="N326">IF($D326&lt;COLUMNS($F$7:N$7),"",INDEX(TableDiv[[GASB]:[GASB]],_xlfn.AGGREGATE(15,3,(TableDiv[[Agency]:[Agency]]=$E326)/(TableDiv[[Agency]:[Agency]]=$E326)*(ROW(TableDiv[Agency])-ROW(TableDiv[[#Headers],[Agency]])),COLUMNS($F$7:N$7))))</f>
        <v>0</v>
      </c>
      <c r="O326" s="2223" cm="1">
        <f t="array" ref="O326">IF($D326&lt;COLUMNS($F$7:O$7),"",INDEX(TableDiv[[GASB]:[GASB]],_xlfn.AGGREGATE(15,3,(TableDiv[[Agency]:[Agency]]=$E326)/(TableDiv[[Agency]:[Agency]]=$E326)*(ROW(TableDiv[Agency])-ROW(TableDiv[[#Headers],[Agency]])),COLUMNS($F$7:O$7))))</f>
        <v>0</v>
      </c>
      <c r="P326" s="2223" cm="1">
        <f t="array" ref="P326">IF($D326&lt;COLUMNS($F$7:P$7),"",INDEX(TableDiv[[GASB]:[GASB]],_xlfn.AGGREGATE(15,3,(TableDiv[[Agency]:[Agency]]=$E326)/(TableDiv[[Agency]:[Agency]]=$E326)*(ROW(TableDiv[Agency])-ROW(TableDiv[[#Headers],[Agency]])),COLUMNS($F$7:P$7))))</f>
        <v>0</v>
      </c>
      <c r="Q326" s="2223" cm="1">
        <f t="array" ref="Q326">IF($D326&lt;COLUMNS($F$7:Q$7),"",INDEX(TableDiv[[GASB]:[GASB]],_xlfn.AGGREGATE(15,3,(TableDiv[[Agency]:[Agency]]=$E326)/(TableDiv[[Agency]:[Agency]]=$E326)*(ROW(TableDiv[Agency])-ROW(TableDiv[[#Headers],[Agency]])),COLUMNS($F$7:Q$7))))</f>
        <v>0</v>
      </c>
      <c r="R326" s="2223" cm="1">
        <f t="array" ref="R326">IF($D326&lt;COLUMNS($F$7:R$7),"",INDEX(TableDiv[[GASB]:[GASB]],_xlfn.AGGREGATE(15,3,(TableDiv[[Agency]:[Agency]]=$E326)/(TableDiv[[Agency]:[Agency]]=$E326)*(ROW(TableDiv[Agency])-ROW(TableDiv[[#Headers],[Agency]])),COLUMNS($F$7:R$7))))</f>
        <v>0</v>
      </c>
      <c r="S326" s="2223" cm="1">
        <f t="array" ref="S326">IF($D326&lt;COLUMNS($F$7:S$7),"",INDEX(TableDiv[[GASB]:[GASB]],_xlfn.AGGREGATE(15,3,(TableDiv[[Agency]:[Agency]]=$E326)/(TableDiv[[Agency]:[Agency]]=$E326)*(ROW(TableDiv[Agency])-ROW(TableDiv[[#Headers],[Agency]])),COLUMNS($F$7:S$7))))</f>
        <v>0</v>
      </c>
      <c r="T326" s="2223" cm="1">
        <f t="array" ref="T326">IF($D326&lt;COLUMNS($F$7:T$7),"",INDEX(TableDiv[[GASB]:[GASB]],_xlfn.AGGREGATE(15,3,(TableDiv[[Agency]:[Agency]]=$E326)/(TableDiv[[Agency]:[Agency]]=$E326)*(ROW(TableDiv[Agency])-ROW(TableDiv[[#Headers],[Agency]])),COLUMNS($F$7:T$7))))</f>
        <v>0</v>
      </c>
      <c r="U326" s="2223" cm="1">
        <f t="array" ref="U326">IF($D326&lt;COLUMNS($F$7:U$7),"",INDEX(TableDiv[[GASB]:[GASB]],_xlfn.AGGREGATE(15,3,(TableDiv[[Agency]:[Agency]]=$E326)/(TableDiv[[Agency]:[Agency]]=$E326)*(ROW(TableDiv[Agency])-ROW(TableDiv[[#Headers],[Agency]])),COLUMNS($F$7:U$7))))</f>
        <v>0</v>
      </c>
      <c r="V326" s="2223" cm="1">
        <f t="array" ref="V326">IF($D326&lt;COLUMNS($F$7:V$7),"",INDEX(TableDiv[[GASB]:[GASB]],_xlfn.AGGREGATE(15,3,(TableDiv[[Agency]:[Agency]]=$E326)/(TableDiv[[Agency]:[Agency]]=$E326)*(ROW(TableDiv[Agency])-ROW(TableDiv[[#Headers],[Agency]])),COLUMNS($F$7:V$7))))</f>
        <v>0</v>
      </c>
      <c r="W326" s="2223" cm="1">
        <f t="array" ref="W326">IF($D326&lt;COLUMNS($F$7:W$7),"",INDEX(TableDiv[[GASB]:[GASB]],_xlfn.AGGREGATE(15,3,(TableDiv[[Agency]:[Agency]]=$E326)/(TableDiv[[Agency]:[Agency]]=$E326)*(ROW(TableDiv[Agency])-ROW(TableDiv[[#Headers],[Agency]])),COLUMNS($F$7:W$7))))</f>
        <v>0</v>
      </c>
      <c r="X326" s="2223" cm="1">
        <f t="array" ref="X326">IF($D326&lt;COLUMNS($F$7:X$7),"",INDEX(TableDiv[[GASB]:[GASB]],_xlfn.AGGREGATE(15,3,(TableDiv[[Agency]:[Agency]]=$E326)/(TableDiv[[Agency]:[Agency]]=$E326)*(ROW(TableDiv[Agency])-ROW(TableDiv[[#Headers],[Agency]])),COLUMNS($F$7:X$7))))</f>
        <v>0</v>
      </c>
      <c r="Y326" s="2223" cm="1">
        <f t="array" ref="Y326">IF($D326&lt;COLUMNS($F$7:Y$7),"",INDEX(TableDiv[[GASB]:[GASB]],_xlfn.AGGREGATE(15,3,(TableDiv[[Agency]:[Agency]]=$E326)/(TableDiv[[Agency]:[Agency]]=$E326)*(ROW(TableDiv[Agency])-ROW(TableDiv[[#Headers],[Agency]])),COLUMNS($F$7:Y$7))))</f>
        <v>0</v>
      </c>
      <c r="Z326" s="2223" cm="1">
        <f t="array" ref="Z326">IF($D326&lt;COLUMNS($F$7:Z$7),"",INDEX(TableDiv[[GASB]:[GASB]],_xlfn.AGGREGATE(15,3,(TableDiv[[Agency]:[Agency]]=$E326)/(TableDiv[[Agency]:[Agency]]=$E326)*(ROW(TableDiv[Agency])-ROW(TableDiv[[#Headers],[Agency]])),COLUMNS($F$7:Z$7))))</f>
        <v>0</v>
      </c>
      <c r="AA326" s="2223" cm="1">
        <f t="array" ref="AA326">IF($D326&lt;COLUMNS($F$7:AA$7),"",INDEX(TableDiv[[GASB]:[GASB]],_xlfn.AGGREGATE(15,3,(TableDiv[[Agency]:[Agency]]=$E326)/(TableDiv[[Agency]:[Agency]]=$E326)*(ROW(TableDiv[Agency])-ROW(TableDiv[[#Headers],[Agency]])),COLUMNS($F$7:AA$7))))</f>
        <v>0</v>
      </c>
      <c r="AB326" s="2223" cm="1">
        <f t="array" ref="AB326">IF($D326&lt;COLUMNS($F$7:AB$7),"",INDEX(TableDiv[[GASB]:[GASB]],_xlfn.AGGREGATE(15,3,(TableDiv[[Agency]:[Agency]]=$E326)/(TableDiv[[Agency]:[Agency]]=$E326)*(ROW(TableDiv[Agency])-ROW(TableDiv[[#Headers],[Agency]])),COLUMNS($F$7:AB$7))))</f>
        <v>0</v>
      </c>
      <c r="AC326" s="2223" cm="1">
        <f t="array" ref="AC326">IF($D326&lt;COLUMNS($F$7:AC$7),"",INDEX(TableDiv[[GASB]:[GASB]],_xlfn.AGGREGATE(15,3,(TableDiv[[Agency]:[Agency]]=$E326)/(TableDiv[[Agency]:[Agency]]=$E326)*(ROW(TableDiv[Agency])-ROW(TableDiv[[#Headers],[Agency]])),COLUMNS($F$7:AC$7))))</f>
        <v>0</v>
      </c>
      <c r="AD326" s="2223" cm="1">
        <f t="array" ref="AD326">IF($D326&lt;COLUMNS($F$7:AD$7),"",INDEX(TableDiv[[GASB]:[GASB]],_xlfn.AGGREGATE(15,3,(TableDiv[[Agency]:[Agency]]=$E326)/(TableDiv[[Agency]:[Agency]]=$E326)*(ROW(TableDiv[Agency])-ROW(TableDiv[[#Headers],[Agency]])),COLUMNS($F$7:AD$7))))</f>
        <v>0</v>
      </c>
      <c r="AE326" s="2223" cm="1">
        <f t="array" ref="AE326">IF($D326&lt;COLUMNS($F$7:AE$7),"",INDEX(TableDiv[[GASB]:[GASB]],_xlfn.AGGREGATE(15,3,(TableDiv[[Agency]:[Agency]]=$E326)/(TableDiv[[Agency]:[Agency]]=$E326)*(ROW(TableDiv[Agency])-ROW(TableDiv[[#Headers],[Agency]])),COLUMNS($F$7:AE$7))))</f>
        <v>0</v>
      </c>
      <c r="AF326" s="2223" cm="1">
        <f t="array" ref="AF326">IF($D326&lt;COLUMNS($F$7:AF$7),"",INDEX(TableDiv[[GASB]:[GASB]],_xlfn.AGGREGATE(15,3,(TableDiv[[Agency]:[Agency]]=$E326)/(TableDiv[[Agency]:[Agency]]=$E326)*(ROW(TableDiv[Agency])-ROW(TableDiv[[#Headers],[Agency]])),COLUMNS($F$7:AF$7))))</f>
        <v>0</v>
      </c>
      <c r="AG326" s="2223" cm="1">
        <f t="array" ref="AG326">IF($D326&lt;COLUMNS($F$7:AG$7),"",INDEX(TableDiv[[GASB]:[GASB]],_xlfn.AGGREGATE(15,3,(TableDiv[[Agency]:[Agency]]=$E326)/(TableDiv[[Agency]:[Agency]]=$E326)*(ROW(TableDiv[Agency])-ROW(TableDiv[[#Headers],[Agency]])),COLUMNS($F$7:AG$7))))</f>
        <v>0</v>
      </c>
      <c r="AH326" s="2223" cm="1">
        <f t="array" ref="AH326">IF($D326&lt;COLUMNS($F$7:AH$7),"",INDEX(TableDiv[[GASB]:[GASB]],_xlfn.AGGREGATE(15,3,(TableDiv[[Agency]:[Agency]]=$E326)/(TableDiv[[Agency]:[Agency]]=$E326)*(ROW(TableDiv[Agency])-ROW(TableDiv[[#Headers],[Agency]])),COLUMNS($F$7:AH$7))))</f>
        <v>0</v>
      </c>
      <c r="AI326" s="2223" cm="1">
        <f t="array" ref="AI326">IF($D326&lt;COLUMNS($F$7:AI$7),"",INDEX(TableDiv[[GASB]:[GASB]],_xlfn.AGGREGATE(15,3,(TableDiv[[Agency]:[Agency]]=$E326)/(TableDiv[[Agency]:[Agency]]=$E326)*(ROW(TableDiv[Agency])-ROW(TableDiv[[#Headers],[Agency]])),COLUMNS($F$7:AI$7))))</f>
        <v>0</v>
      </c>
      <c r="AJ326" s="2223" cm="1">
        <f t="array" ref="AJ326">IF($D326&lt;COLUMNS($F$7:AJ$7),"",INDEX(TableDiv[[GASB]:[GASB]],_xlfn.AGGREGATE(15,3,(TableDiv[[Agency]:[Agency]]=$E326)/(TableDiv[[Agency]:[Agency]]=$E326)*(ROW(TableDiv[Agency])-ROW(TableDiv[[#Headers],[Agency]])),COLUMNS($F$7:AJ$7))))</f>
        <v>0</v>
      </c>
      <c r="AK326" s="2223" t="str" cm="1">
        <f t="array" ref="AK326">IF($D326&lt;COLUMNS($F$7:AK$7),"",INDEX(TableDiv[[GASB]:[GASB]],_xlfn.AGGREGATE(15,3,(TableDiv[[Agency]:[Agency]]=$E326)/(TableDiv[[Agency]:[Agency]]=$E326)*(ROW(TableDiv[Agency])-ROW(TableDiv[[#Headers],[Agency]])),COLUMNS($F$7:AK$7))))</f>
        <v/>
      </c>
      <c r="AL326" s="2223" t="str" cm="1">
        <f t="array" ref="AL326">IF($D326&lt;COLUMNS($F$7:AL$7),"",INDEX(TableDiv[[GASB]:[GASB]],_xlfn.AGGREGATE(15,3,(TableDiv[[Agency]:[Agency]]=$E326)/(TableDiv[[Agency]:[Agency]]=$E326)*(ROW(TableDiv[Agency])-ROW(TableDiv[[#Headers],[Agency]])),COLUMNS($F$7:AL$7))))</f>
        <v/>
      </c>
      <c r="AM326" s="2223" t="str" cm="1">
        <f t="array" ref="AM326">IF($D326&lt;COLUMNS($F$7:AM$7),"",INDEX(TableDiv[[GASB]:[GASB]],_xlfn.AGGREGATE(15,3,(TableDiv[[Agency]:[Agency]]=$E326)/(TableDiv[[Agency]:[Agency]]=$E326)*(ROW(TableDiv[Agency])-ROW(TableDiv[[#Headers],[Agency]])),COLUMNS($F$7:AM$7))))</f>
        <v/>
      </c>
      <c r="AN326" s="2223"/>
      <c r="AO326" s="2223"/>
      <c r="AP326" s="2223"/>
      <c r="AQ326" s="2223"/>
      <c r="AR326" s="2223"/>
      <c r="AS326" s="2223"/>
    </row>
    <row r="327" spans="1:45" ht="15" x14ac:dyDescent="0.25">
      <c r="A327" s="2219" t="s">
        <v>5123</v>
      </c>
      <c r="B327" s="2219" t="s">
        <v>6365</v>
      </c>
      <c r="C327" s="2223"/>
      <c r="D327" s="2223">
        <f>COUNTIF(TableDiv[Agency],E327)</f>
        <v>31</v>
      </c>
      <c r="E327" s="2230" t="str" cm="1">
        <f t="array" ref="E327">IFERROR(INDEX(TableDiv[Agency],MATCH(0,INDEX(COUNTIF($E$7:E326,TableDiv[Agency]),),0)),"")</f>
        <v/>
      </c>
      <c r="F327" s="2223" cm="1">
        <f t="array" ref="F327">IF($D327&lt;COLUMNS($F$7:F$7),"",INDEX(TableDiv[[GASB]:[GASB]],_xlfn.AGGREGATE(15,3,(TableDiv[[Agency]:[Agency]]=$E327)/(TableDiv[[Agency]:[Agency]]=$E327)*(ROW(TableDiv[Agency])-ROW(TableDiv[[#Headers],[Agency]])),COLUMNS($F$7:F$7))))</f>
        <v>0</v>
      </c>
      <c r="G327" s="2223" cm="1">
        <f t="array" ref="G327">IF($D327&lt;COLUMNS($F$7:G$7),"",INDEX(TableDiv[[GASB]:[GASB]],_xlfn.AGGREGATE(15,3,(TableDiv[[Agency]:[Agency]]=$E327)/(TableDiv[[Agency]:[Agency]]=$E327)*(ROW(TableDiv[Agency])-ROW(TableDiv[[#Headers],[Agency]])),COLUMNS($F$7:G$7))))</f>
        <v>0</v>
      </c>
      <c r="H327" s="2223" cm="1">
        <f t="array" ref="H327">IF($D327&lt;COLUMNS($F$7:H$7),"",INDEX(TableDiv[[GASB]:[GASB]],_xlfn.AGGREGATE(15,3,(TableDiv[[Agency]:[Agency]]=$E327)/(TableDiv[[Agency]:[Agency]]=$E327)*(ROW(TableDiv[Agency])-ROW(TableDiv[[#Headers],[Agency]])),COLUMNS($F$7:H$7))))</f>
        <v>0</v>
      </c>
      <c r="I327" s="2223" cm="1">
        <f t="array" ref="I327">IF($D327&lt;COLUMNS($F$7:I$7),"",INDEX(TableDiv[[GASB]:[GASB]],_xlfn.AGGREGATE(15,3,(TableDiv[[Agency]:[Agency]]=$E327)/(TableDiv[[Agency]:[Agency]]=$E327)*(ROW(TableDiv[Agency])-ROW(TableDiv[[#Headers],[Agency]])),COLUMNS($F$7:I$7))))</f>
        <v>0</v>
      </c>
      <c r="J327" s="2223" cm="1">
        <f t="array" ref="J327">IF($D327&lt;COLUMNS($F$7:J$7),"",INDEX(TableDiv[[GASB]:[GASB]],_xlfn.AGGREGATE(15,3,(TableDiv[[Agency]:[Agency]]=$E327)/(TableDiv[[Agency]:[Agency]]=$E327)*(ROW(TableDiv[Agency])-ROW(TableDiv[[#Headers],[Agency]])),COLUMNS($F$7:J$7))))</f>
        <v>0</v>
      </c>
      <c r="K327" s="2223" cm="1">
        <f t="array" ref="K327">IF($D327&lt;COLUMNS($F$7:K$7),"",INDEX(TableDiv[[GASB]:[GASB]],_xlfn.AGGREGATE(15,3,(TableDiv[[Agency]:[Agency]]=$E327)/(TableDiv[[Agency]:[Agency]]=$E327)*(ROW(TableDiv[Agency])-ROW(TableDiv[[#Headers],[Agency]])),COLUMNS($F$7:K$7))))</f>
        <v>0</v>
      </c>
      <c r="L327" s="2223" cm="1">
        <f t="array" ref="L327">IF($D327&lt;COLUMNS($F$7:L$7),"",INDEX(TableDiv[[GASB]:[GASB]],_xlfn.AGGREGATE(15,3,(TableDiv[[Agency]:[Agency]]=$E327)/(TableDiv[[Agency]:[Agency]]=$E327)*(ROW(TableDiv[Agency])-ROW(TableDiv[[#Headers],[Agency]])),COLUMNS($F$7:L$7))))</f>
        <v>0</v>
      </c>
      <c r="M327" s="2223" cm="1">
        <f t="array" ref="M327">IF($D327&lt;COLUMNS($F$7:M$7),"",INDEX(TableDiv[[GASB]:[GASB]],_xlfn.AGGREGATE(15,3,(TableDiv[[Agency]:[Agency]]=$E327)/(TableDiv[[Agency]:[Agency]]=$E327)*(ROW(TableDiv[Agency])-ROW(TableDiv[[#Headers],[Agency]])),COLUMNS($F$7:M$7))))</f>
        <v>0</v>
      </c>
      <c r="N327" s="2223" cm="1">
        <f t="array" ref="N327">IF($D327&lt;COLUMNS($F$7:N$7),"",INDEX(TableDiv[[GASB]:[GASB]],_xlfn.AGGREGATE(15,3,(TableDiv[[Agency]:[Agency]]=$E327)/(TableDiv[[Agency]:[Agency]]=$E327)*(ROW(TableDiv[Agency])-ROW(TableDiv[[#Headers],[Agency]])),COLUMNS($F$7:N$7))))</f>
        <v>0</v>
      </c>
      <c r="O327" s="2223" cm="1">
        <f t="array" ref="O327">IF($D327&lt;COLUMNS($F$7:O$7),"",INDEX(TableDiv[[GASB]:[GASB]],_xlfn.AGGREGATE(15,3,(TableDiv[[Agency]:[Agency]]=$E327)/(TableDiv[[Agency]:[Agency]]=$E327)*(ROW(TableDiv[Agency])-ROW(TableDiv[[#Headers],[Agency]])),COLUMNS($F$7:O$7))))</f>
        <v>0</v>
      </c>
      <c r="P327" s="2223" cm="1">
        <f t="array" ref="P327">IF($D327&lt;COLUMNS($F$7:P$7),"",INDEX(TableDiv[[GASB]:[GASB]],_xlfn.AGGREGATE(15,3,(TableDiv[[Agency]:[Agency]]=$E327)/(TableDiv[[Agency]:[Agency]]=$E327)*(ROW(TableDiv[Agency])-ROW(TableDiv[[#Headers],[Agency]])),COLUMNS($F$7:P$7))))</f>
        <v>0</v>
      </c>
      <c r="Q327" s="2223" cm="1">
        <f t="array" ref="Q327">IF($D327&lt;COLUMNS($F$7:Q$7),"",INDEX(TableDiv[[GASB]:[GASB]],_xlfn.AGGREGATE(15,3,(TableDiv[[Agency]:[Agency]]=$E327)/(TableDiv[[Agency]:[Agency]]=$E327)*(ROW(TableDiv[Agency])-ROW(TableDiv[[#Headers],[Agency]])),COLUMNS($F$7:Q$7))))</f>
        <v>0</v>
      </c>
      <c r="R327" s="2223" cm="1">
        <f t="array" ref="R327">IF($D327&lt;COLUMNS($F$7:R$7),"",INDEX(TableDiv[[GASB]:[GASB]],_xlfn.AGGREGATE(15,3,(TableDiv[[Agency]:[Agency]]=$E327)/(TableDiv[[Agency]:[Agency]]=$E327)*(ROW(TableDiv[Agency])-ROW(TableDiv[[#Headers],[Agency]])),COLUMNS($F$7:R$7))))</f>
        <v>0</v>
      </c>
      <c r="S327" s="2223" cm="1">
        <f t="array" ref="S327">IF($D327&lt;COLUMNS($F$7:S$7),"",INDEX(TableDiv[[GASB]:[GASB]],_xlfn.AGGREGATE(15,3,(TableDiv[[Agency]:[Agency]]=$E327)/(TableDiv[[Agency]:[Agency]]=$E327)*(ROW(TableDiv[Agency])-ROW(TableDiv[[#Headers],[Agency]])),COLUMNS($F$7:S$7))))</f>
        <v>0</v>
      </c>
      <c r="T327" s="2223" cm="1">
        <f t="array" ref="T327">IF($D327&lt;COLUMNS($F$7:T$7),"",INDEX(TableDiv[[GASB]:[GASB]],_xlfn.AGGREGATE(15,3,(TableDiv[[Agency]:[Agency]]=$E327)/(TableDiv[[Agency]:[Agency]]=$E327)*(ROW(TableDiv[Agency])-ROW(TableDiv[[#Headers],[Agency]])),COLUMNS($F$7:T$7))))</f>
        <v>0</v>
      </c>
      <c r="U327" s="2223" cm="1">
        <f t="array" ref="U327">IF($D327&lt;COLUMNS($F$7:U$7),"",INDEX(TableDiv[[GASB]:[GASB]],_xlfn.AGGREGATE(15,3,(TableDiv[[Agency]:[Agency]]=$E327)/(TableDiv[[Agency]:[Agency]]=$E327)*(ROW(TableDiv[Agency])-ROW(TableDiv[[#Headers],[Agency]])),COLUMNS($F$7:U$7))))</f>
        <v>0</v>
      </c>
      <c r="V327" s="2223" cm="1">
        <f t="array" ref="V327">IF($D327&lt;COLUMNS($F$7:V$7),"",INDEX(TableDiv[[GASB]:[GASB]],_xlfn.AGGREGATE(15,3,(TableDiv[[Agency]:[Agency]]=$E327)/(TableDiv[[Agency]:[Agency]]=$E327)*(ROW(TableDiv[Agency])-ROW(TableDiv[[#Headers],[Agency]])),COLUMNS($F$7:V$7))))</f>
        <v>0</v>
      </c>
      <c r="W327" s="2223" cm="1">
        <f t="array" ref="W327">IF($D327&lt;COLUMNS($F$7:W$7),"",INDEX(TableDiv[[GASB]:[GASB]],_xlfn.AGGREGATE(15,3,(TableDiv[[Agency]:[Agency]]=$E327)/(TableDiv[[Agency]:[Agency]]=$E327)*(ROW(TableDiv[Agency])-ROW(TableDiv[[#Headers],[Agency]])),COLUMNS($F$7:W$7))))</f>
        <v>0</v>
      </c>
      <c r="X327" s="2223" cm="1">
        <f t="array" ref="X327">IF($D327&lt;COLUMNS($F$7:X$7),"",INDEX(TableDiv[[GASB]:[GASB]],_xlfn.AGGREGATE(15,3,(TableDiv[[Agency]:[Agency]]=$E327)/(TableDiv[[Agency]:[Agency]]=$E327)*(ROW(TableDiv[Agency])-ROW(TableDiv[[#Headers],[Agency]])),COLUMNS($F$7:X$7))))</f>
        <v>0</v>
      </c>
      <c r="Y327" s="2223" cm="1">
        <f t="array" ref="Y327">IF($D327&lt;COLUMNS($F$7:Y$7),"",INDEX(TableDiv[[GASB]:[GASB]],_xlfn.AGGREGATE(15,3,(TableDiv[[Agency]:[Agency]]=$E327)/(TableDiv[[Agency]:[Agency]]=$E327)*(ROW(TableDiv[Agency])-ROW(TableDiv[[#Headers],[Agency]])),COLUMNS($F$7:Y$7))))</f>
        <v>0</v>
      </c>
      <c r="Z327" s="2223" cm="1">
        <f t="array" ref="Z327">IF($D327&lt;COLUMNS($F$7:Z$7),"",INDEX(TableDiv[[GASB]:[GASB]],_xlfn.AGGREGATE(15,3,(TableDiv[[Agency]:[Agency]]=$E327)/(TableDiv[[Agency]:[Agency]]=$E327)*(ROW(TableDiv[Agency])-ROW(TableDiv[[#Headers],[Agency]])),COLUMNS($F$7:Z$7))))</f>
        <v>0</v>
      </c>
      <c r="AA327" s="2223" cm="1">
        <f t="array" ref="AA327">IF($D327&lt;COLUMNS($F$7:AA$7),"",INDEX(TableDiv[[GASB]:[GASB]],_xlfn.AGGREGATE(15,3,(TableDiv[[Agency]:[Agency]]=$E327)/(TableDiv[[Agency]:[Agency]]=$E327)*(ROW(TableDiv[Agency])-ROW(TableDiv[[#Headers],[Agency]])),COLUMNS($F$7:AA$7))))</f>
        <v>0</v>
      </c>
      <c r="AB327" s="2223" cm="1">
        <f t="array" ref="AB327">IF($D327&lt;COLUMNS($F$7:AB$7),"",INDEX(TableDiv[[GASB]:[GASB]],_xlfn.AGGREGATE(15,3,(TableDiv[[Agency]:[Agency]]=$E327)/(TableDiv[[Agency]:[Agency]]=$E327)*(ROW(TableDiv[Agency])-ROW(TableDiv[[#Headers],[Agency]])),COLUMNS($F$7:AB$7))))</f>
        <v>0</v>
      </c>
      <c r="AC327" s="2223" cm="1">
        <f t="array" ref="AC327">IF($D327&lt;COLUMNS($F$7:AC$7),"",INDEX(TableDiv[[GASB]:[GASB]],_xlfn.AGGREGATE(15,3,(TableDiv[[Agency]:[Agency]]=$E327)/(TableDiv[[Agency]:[Agency]]=$E327)*(ROW(TableDiv[Agency])-ROW(TableDiv[[#Headers],[Agency]])),COLUMNS($F$7:AC$7))))</f>
        <v>0</v>
      </c>
      <c r="AD327" s="2223" cm="1">
        <f t="array" ref="AD327">IF($D327&lt;COLUMNS($F$7:AD$7),"",INDEX(TableDiv[[GASB]:[GASB]],_xlfn.AGGREGATE(15,3,(TableDiv[[Agency]:[Agency]]=$E327)/(TableDiv[[Agency]:[Agency]]=$E327)*(ROW(TableDiv[Agency])-ROW(TableDiv[[#Headers],[Agency]])),COLUMNS($F$7:AD$7))))</f>
        <v>0</v>
      </c>
      <c r="AE327" s="2223" cm="1">
        <f t="array" ref="AE327">IF($D327&lt;COLUMNS($F$7:AE$7),"",INDEX(TableDiv[[GASB]:[GASB]],_xlfn.AGGREGATE(15,3,(TableDiv[[Agency]:[Agency]]=$E327)/(TableDiv[[Agency]:[Agency]]=$E327)*(ROW(TableDiv[Agency])-ROW(TableDiv[[#Headers],[Agency]])),COLUMNS($F$7:AE$7))))</f>
        <v>0</v>
      </c>
      <c r="AF327" s="2223" cm="1">
        <f t="array" ref="AF327">IF($D327&lt;COLUMNS($F$7:AF$7),"",INDEX(TableDiv[[GASB]:[GASB]],_xlfn.AGGREGATE(15,3,(TableDiv[[Agency]:[Agency]]=$E327)/(TableDiv[[Agency]:[Agency]]=$E327)*(ROW(TableDiv[Agency])-ROW(TableDiv[[#Headers],[Agency]])),COLUMNS($F$7:AF$7))))</f>
        <v>0</v>
      </c>
      <c r="AG327" s="2223" cm="1">
        <f t="array" ref="AG327">IF($D327&lt;COLUMNS($F$7:AG$7),"",INDEX(TableDiv[[GASB]:[GASB]],_xlfn.AGGREGATE(15,3,(TableDiv[[Agency]:[Agency]]=$E327)/(TableDiv[[Agency]:[Agency]]=$E327)*(ROW(TableDiv[Agency])-ROW(TableDiv[[#Headers],[Agency]])),COLUMNS($F$7:AG$7))))</f>
        <v>0</v>
      </c>
      <c r="AH327" s="2223" cm="1">
        <f t="array" ref="AH327">IF($D327&lt;COLUMNS($F$7:AH$7),"",INDEX(TableDiv[[GASB]:[GASB]],_xlfn.AGGREGATE(15,3,(TableDiv[[Agency]:[Agency]]=$E327)/(TableDiv[[Agency]:[Agency]]=$E327)*(ROW(TableDiv[Agency])-ROW(TableDiv[[#Headers],[Agency]])),COLUMNS($F$7:AH$7))))</f>
        <v>0</v>
      </c>
      <c r="AI327" s="2223" cm="1">
        <f t="array" ref="AI327">IF($D327&lt;COLUMNS($F$7:AI$7),"",INDEX(TableDiv[[GASB]:[GASB]],_xlfn.AGGREGATE(15,3,(TableDiv[[Agency]:[Agency]]=$E327)/(TableDiv[[Agency]:[Agency]]=$E327)*(ROW(TableDiv[Agency])-ROW(TableDiv[[#Headers],[Agency]])),COLUMNS($F$7:AI$7))))</f>
        <v>0</v>
      </c>
      <c r="AJ327" s="2223" cm="1">
        <f t="array" ref="AJ327">IF($D327&lt;COLUMNS($F$7:AJ$7),"",INDEX(TableDiv[[GASB]:[GASB]],_xlfn.AGGREGATE(15,3,(TableDiv[[Agency]:[Agency]]=$E327)/(TableDiv[[Agency]:[Agency]]=$E327)*(ROW(TableDiv[Agency])-ROW(TableDiv[[#Headers],[Agency]])),COLUMNS($F$7:AJ$7))))</f>
        <v>0</v>
      </c>
      <c r="AK327" s="2223" t="str" cm="1">
        <f t="array" ref="AK327">IF($D327&lt;COLUMNS($F$7:AK$7),"",INDEX(TableDiv[[GASB]:[GASB]],_xlfn.AGGREGATE(15,3,(TableDiv[[Agency]:[Agency]]=$E327)/(TableDiv[[Agency]:[Agency]]=$E327)*(ROW(TableDiv[Agency])-ROW(TableDiv[[#Headers],[Agency]])),COLUMNS($F$7:AK$7))))</f>
        <v/>
      </c>
      <c r="AL327" s="2223" t="str" cm="1">
        <f t="array" ref="AL327">IF($D327&lt;COLUMNS($F$7:AL$7),"",INDEX(TableDiv[[GASB]:[GASB]],_xlfn.AGGREGATE(15,3,(TableDiv[[Agency]:[Agency]]=$E327)/(TableDiv[[Agency]:[Agency]]=$E327)*(ROW(TableDiv[Agency])-ROW(TableDiv[[#Headers],[Agency]])),COLUMNS($F$7:AL$7))))</f>
        <v/>
      </c>
      <c r="AM327" s="2223" t="str" cm="1">
        <f t="array" ref="AM327">IF($D327&lt;COLUMNS($F$7:AM$7),"",INDEX(TableDiv[[GASB]:[GASB]],_xlfn.AGGREGATE(15,3,(TableDiv[[Agency]:[Agency]]=$E327)/(TableDiv[[Agency]:[Agency]]=$E327)*(ROW(TableDiv[Agency])-ROW(TableDiv[[#Headers],[Agency]])),COLUMNS($F$7:AM$7))))</f>
        <v/>
      </c>
      <c r="AN327" s="2223"/>
      <c r="AO327" s="2223"/>
      <c r="AP327" s="2223"/>
      <c r="AQ327" s="2223"/>
      <c r="AR327" s="2223"/>
      <c r="AS327" s="2223"/>
    </row>
    <row r="328" spans="1:45" ht="15" x14ac:dyDescent="0.25">
      <c r="A328" s="2219" t="s">
        <v>5123</v>
      </c>
      <c r="B328" s="2219" t="s">
        <v>6361</v>
      </c>
      <c r="C328" s="2223"/>
      <c r="D328" s="2223">
        <f>COUNTIF(TableDiv[Agency],E328)</f>
        <v>31</v>
      </c>
      <c r="E328" s="2230" t="str" cm="1">
        <f t="array" ref="E328">IFERROR(INDEX(TableDiv[Agency],MATCH(0,INDEX(COUNTIF($E$7:E327,TableDiv[Agency]),),0)),"")</f>
        <v/>
      </c>
      <c r="F328" s="2223" cm="1">
        <f t="array" ref="F328">IF($D328&lt;COLUMNS($F$7:F$7),"",INDEX(TableDiv[[GASB]:[GASB]],_xlfn.AGGREGATE(15,3,(TableDiv[[Agency]:[Agency]]=$E328)/(TableDiv[[Agency]:[Agency]]=$E328)*(ROW(TableDiv[Agency])-ROW(TableDiv[[#Headers],[Agency]])),COLUMNS($F$7:F$7))))</f>
        <v>0</v>
      </c>
      <c r="G328" s="2223" cm="1">
        <f t="array" ref="G328">IF($D328&lt;COLUMNS($F$7:G$7),"",INDEX(TableDiv[[GASB]:[GASB]],_xlfn.AGGREGATE(15,3,(TableDiv[[Agency]:[Agency]]=$E328)/(TableDiv[[Agency]:[Agency]]=$E328)*(ROW(TableDiv[Agency])-ROW(TableDiv[[#Headers],[Agency]])),COLUMNS($F$7:G$7))))</f>
        <v>0</v>
      </c>
      <c r="H328" s="2223" cm="1">
        <f t="array" ref="H328">IF($D328&lt;COLUMNS($F$7:H$7),"",INDEX(TableDiv[[GASB]:[GASB]],_xlfn.AGGREGATE(15,3,(TableDiv[[Agency]:[Agency]]=$E328)/(TableDiv[[Agency]:[Agency]]=$E328)*(ROW(TableDiv[Agency])-ROW(TableDiv[[#Headers],[Agency]])),COLUMNS($F$7:H$7))))</f>
        <v>0</v>
      </c>
      <c r="I328" s="2223" cm="1">
        <f t="array" ref="I328">IF($D328&lt;COLUMNS($F$7:I$7),"",INDEX(TableDiv[[GASB]:[GASB]],_xlfn.AGGREGATE(15,3,(TableDiv[[Agency]:[Agency]]=$E328)/(TableDiv[[Agency]:[Agency]]=$E328)*(ROW(TableDiv[Agency])-ROW(TableDiv[[#Headers],[Agency]])),COLUMNS($F$7:I$7))))</f>
        <v>0</v>
      </c>
      <c r="J328" s="2223" cm="1">
        <f t="array" ref="J328">IF($D328&lt;COLUMNS($F$7:J$7),"",INDEX(TableDiv[[GASB]:[GASB]],_xlfn.AGGREGATE(15,3,(TableDiv[[Agency]:[Agency]]=$E328)/(TableDiv[[Agency]:[Agency]]=$E328)*(ROW(TableDiv[Agency])-ROW(TableDiv[[#Headers],[Agency]])),COLUMNS($F$7:J$7))))</f>
        <v>0</v>
      </c>
      <c r="K328" s="2223" cm="1">
        <f t="array" ref="K328">IF($D328&lt;COLUMNS($F$7:K$7),"",INDEX(TableDiv[[GASB]:[GASB]],_xlfn.AGGREGATE(15,3,(TableDiv[[Agency]:[Agency]]=$E328)/(TableDiv[[Agency]:[Agency]]=$E328)*(ROW(TableDiv[Agency])-ROW(TableDiv[[#Headers],[Agency]])),COLUMNS($F$7:K$7))))</f>
        <v>0</v>
      </c>
      <c r="L328" s="2223" cm="1">
        <f t="array" ref="L328">IF($D328&lt;COLUMNS($F$7:L$7),"",INDEX(TableDiv[[GASB]:[GASB]],_xlfn.AGGREGATE(15,3,(TableDiv[[Agency]:[Agency]]=$E328)/(TableDiv[[Agency]:[Agency]]=$E328)*(ROW(TableDiv[Agency])-ROW(TableDiv[[#Headers],[Agency]])),COLUMNS($F$7:L$7))))</f>
        <v>0</v>
      </c>
      <c r="M328" s="2223" cm="1">
        <f t="array" ref="M328">IF($D328&lt;COLUMNS($F$7:M$7),"",INDEX(TableDiv[[GASB]:[GASB]],_xlfn.AGGREGATE(15,3,(TableDiv[[Agency]:[Agency]]=$E328)/(TableDiv[[Agency]:[Agency]]=$E328)*(ROW(TableDiv[Agency])-ROW(TableDiv[[#Headers],[Agency]])),COLUMNS($F$7:M$7))))</f>
        <v>0</v>
      </c>
      <c r="N328" s="2223" cm="1">
        <f t="array" ref="N328">IF($D328&lt;COLUMNS($F$7:N$7),"",INDEX(TableDiv[[GASB]:[GASB]],_xlfn.AGGREGATE(15,3,(TableDiv[[Agency]:[Agency]]=$E328)/(TableDiv[[Agency]:[Agency]]=$E328)*(ROW(TableDiv[Agency])-ROW(TableDiv[[#Headers],[Agency]])),COLUMNS($F$7:N$7))))</f>
        <v>0</v>
      </c>
      <c r="O328" s="2223" cm="1">
        <f t="array" ref="O328">IF($D328&lt;COLUMNS($F$7:O$7),"",INDEX(TableDiv[[GASB]:[GASB]],_xlfn.AGGREGATE(15,3,(TableDiv[[Agency]:[Agency]]=$E328)/(TableDiv[[Agency]:[Agency]]=$E328)*(ROW(TableDiv[Agency])-ROW(TableDiv[[#Headers],[Agency]])),COLUMNS($F$7:O$7))))</f>
        <v>0</v>
      </c>
      <c r="P328" s="2223" cm="1">
        <f t="array" ref="P328">IF($D328&lt;COLUMNS($F$7:P$7),"",INDEX(TableDiv[[GASB]:[GASB]],_xlfn.AGGREGATE(15,3,(TableDiv[[Agency]:[Agency]]=$E328)/(TableDiv[[Agency]:[Agency]]=$E328)*(ROW(TableDiv[Agency])-ROW(TableDiv[[#Headers],[Agency]])),COLUMNS($F$7:P$7))))</f>
        <v>0</v>
      </c>
      <c r="Q328" s="2223" cm="1">
        <f t="array" ref="Q328">IF($D328&lt;COLUMNS($F$7:Q$7),"",INDEX(TableDiv[[GASB]:[GASB]],_xlfn.AGGREGATE(15,3,(TableDiv[[Agency]:[Agency]]=$E328)/(TableDiv[[Agency]:[Agency]]=$E328)*(ROW(TableDiv[Agency])-ROW(TableDiv[[#Headers],[Agency]])),COLUMNS($F$7:Q$7))))</f>
        <v>0</v>
      </c>
      <c r="R328" s="2223" cm="1">
        <f t="array" ref="R328">IF($D328&lt;COLUMNS($F$7:R$7),"",INDEX(TableDiv[[GASB]:[GASB]],_xlfn.AGGREGATE(15,3,(TableDiv[[Agency]:[Agency]]=$E328)/(TableDiv[[Agency]:[Agency]]=$E328)*(ROW(TableDiv[Agency])-ROW(TableDiv[[#Headers],[Agency]])),COLUMNS($F$7:R$7))))</f>
        <v>0</v>
      </c>
      <c r="S328" s="2223" cm="1">
        <f t="array" ref="S328">IF($D328&lt;COLUMNS($F$7:S$7),"",INDEX(TableDiv[[GASB]:[GASB]],_xlfn.AGGREGATE(15,3,(TableDiv[[Agency]:[Agency]]=$E328)/(TableDiv[[Agency]:[Agency]]=$E328)*(ROW(TableDiv[Agency])-ROW(TableDiv[[#Headers],[Agency]])),COLUMNS($F$7:S$7))))</f>
        <v>0</v>
      </c>
      <c r="T328" s="2223" cm="1">
        <f t="array" ref="T328">IF($D328&lt;COLUMNS($F$7:T$7),"",INDEX(TableDiv[[GASB]:[GASB]],_xlfn.AGGREGATE(15,3,(TableDiv[[Agency]:[Agency]]=$E328)/(TableDiv[[Agency]:[Agency]]=$E328)*(ROW(TableDiv[Agency])-ROW(TableDiv[[#Headers],[Agency]])),COLUMNS($F$7:T$7))))</f>
        <v>0</v>
      </c>
      <c r="U328" s="2223" cm="1">
        <f t="array" ref="U328">IF($D328&lt;COLUMNS($F$7:U$7),"",INDEX(TableDiv[[GASB]:[GASB]],_xlfn.AGGREGATE(15,3,(TableDiv[[Agency]:[Agency]]=$E328)/(TableDiv[[Agency]:[Agency]]=$E328)*(ROW(TableDiv[Agency])-ROW(TableDiv[[#Headers],[Agency]])),COLUMNS($F$7:U$7))))</f>
        <v>0</v>
      </c>
      <c r="V328" s="2223" cm="1">
        <f t="array" ref="V328">IF($D328&lt;COLUMNS($F$7:V$7),"",INDEX(TableDiv[[GASB]:[GASB]],_xlfn.AGGREGATE(15,3,(TableDiv[[Agency]:[Agency]]=$E328)/(TableDiv[[Agency]:[Agency]]=$E328)*(ROW(TableDiv[Agency])-ROW(TableDiv[[#Headers],[Agency]])),COLUMNS($F$7:V$7))))</f>
        <v>0</v>
      </c>
      <c r="W328" s="2223" cm="1">
        <f t="array" ref="W328">IF($D328&lt;COLUMNS($F$7:W$7),"",INDEX(TableDiv[[GASB]:[GASB]],_xlfn.AGGREGATE(15,3,(TableDiv[[Agency]:[Agency]]=$E328)/(TableDiv[[Agency]:[Agency]]=$E328)*(ROW(TableDiv[Agency])-ROW(TableDiv[[#Headers],[Agency]])),COLUMNS($F$7:W$7))))</f>
        <v>0</v>
      </c>
      <c r="X328" s="2223" cm="1">
        <f t="array" ref="X328">IF($D328&lt;COLUMNS($F$7:X$7),"",INDEX(TableDiv[[GASB]:[GASB]],_xlfn.AGGREGATE(15,3,(TableDiv[[Agency]:[Agency]]=$E328)/(TableDiv[[Agency]:[Agency]]=$E328)*(ROW(TableDiv[Agency])-ROW(TableDiv[[#Headers],[Agency]])),COLUMNS($F$7:X$7))))</f>
        <v>0</v>
      </c>
      <c r="Y328" s="2223" cm="1">
        <f t="array" ref="Y328">IF($D328&lt;COLUMNS($F$7:Y$7),"",INDEX(TableDiv[[GASB]:[GASB]],_xlfn.AGGREGATE(15,3,(TableDiv[[Agency]:[Agency]]=$E328)/(TableDiv[[Agency]:[Agency]]=$E328)*(ROW(TableDiv[Agency])-ROW(TableDiv[[#Headers],[Agency]])),COLUMNS($F$7:Y$7))))</f>
        <v>0</v>
      </c>
      <c r="Z328" s="2223" cm="1">
        <f t="array" ref="Z328">IF($D328&lt;COLUMNS($F$7:Z$7),"",INDEX(TableDiv[[GASB]:[GASB]],_xlfn.AGGREGATE(15,3,(TableDiv[[Agency]:[Agency]]=$E328)/(TableDiv[[Agency]:[Agency]]=$E328)*(ROW(TableDiv[Agency])-ROW(TableDiv[[#Headers],[Agency]])),COLUMNS($F$7:Z$7))))</f>
        <v>0</v>
      </c>
      <c r="AA328" s="2223" cm="1">
        <f t="array" ref="AA328">IF($D328&lt;COLUMNS($F$7:AA$7),"",INDEX(TableDiv[[GASB]:[GASB]],_xlfn.AGGREGATE(15,3,(TableDiv[[Agency]:[Agency]]=$E328)/(TableDiv[[Agency]:[Agency]]=$E328)*(ROW(TableDiv[Agency])-ROW(TableDiv[[#Headers],[Agency]])),COLUMNS($F$7:AA$7))))</f>
        <v>0</v>
      </c>
      <c r="AB328" s="2223" cm="1">
        <f t="array" ref="AB328">IF($D328&lt;COLUMNS($F$7:AB$7),"",INDEX(TableDiv[[GASB]:[GASB]],_xlfn.AGGREGATE(15,3,(TableDiv[[Agency]:[Agency]]=$E328)/(TableDiv[[Agency]:[Agency]]=$E328)*(ROW(TableDiv[Agency])-ROW(TableDiv[[#Headers],[Agency]])),COLUMNS($F$7:AB$7))))</f>
        <v>0</v>
      </c>
      <c r="AC328" s="2223" cm="1">
        <f t="array" ref="AC328">IF($D328&lt;COLUMNS($F$7:AC$7),"",INDEX(TableDiv[[GASB]:[GASB]],_xlfn.AGGREGATE(15,3,(TableDiv[[Agency]:[Agency]]=$E328)/(TableDiv[[Agency]:[Agency]]=$E328)*(ROW(TableDiv[Agency])-ROW(TableDiv[[#Headers],[Agency]])),COLUMNS($F$7:AC$7))))</f>
        <v>0</v>
      </c>
      <c r="AD328" s="2223" cm="1">
        <f t="array" ref="AD328">IF($D328&lt;COLUMNS($F$7:AD$7),"",INDEX(TableDiv[[GASB]:[GASB]],_xlfn.AGGREGATE(15,3,(TableDiv[[Agency]:[Agency]]=$E328)/(TableDiv[[Agency]:[Agency]]=$E328)*(ROW(TableDiv[Agency])-ROW(TableDiv[[#Headers],[Agency]])),COLUMNS($F$7:AD$7))))</f>
        <v>0</v>
      </c>
      <c r="AE328" s="2223" cm="1">
        <f t="array" ref="AE328">IF($D328&lt;COLUMNS($F$7:AE$7),"",INDEX(TableDiv[[GASB]:[GASB]],_xlfn.AGGREGATE(15,3,(TableDiv[[Agency]:[Agency]]=$E328)/(TableDiv[[Agency]:[Agency]]=$E328)*(ROW(TableDiv[Agency])-ROW(TableDiv[[#Headers],[Agency]])),COLUMNS($F$7:AE$7))))</f>
        <v>0</v>
      </c>
      <c r="AF328" s="2223" cm="1">
        <f t="array" ref="AF328">IF($D328&lt;COLUMNS($F$7:AF$7),"",INDEX(TableDiv[[GASB]:[GASB]],_xlfn.AGGREGATE(15,3,(TableDiv[[Agency]:[Agency]]=$E328)/(TableDiv[[Agency]:[Agency]]=$E328)*(ROW(TableDiv[Agency])-ROW(TableDiv[[#Headers],[Agency]])),COLUMNS($F$7:AF$7))))</f>
        <v>0</v>
      </c>
      <c r="AG328" s="2223" cm="1">
        <f t="array" ref="AG328">IF($D328&lt;COLUMNS($F$7:AG$7),"",INDEX(TableDiv[[GASB]:[GASB]],_xlfn.AGGREGATE(15,3,(TableDiv[[Agency]:[Agency]]=$E328)/(TableDiv[[Agency]:[Agency]]=$E328)*(ROW(TableDiv[Agency])-ROW(TableDiv[[#Headers],[Agency]])),COLUMNS($F$7:AG$7))))</f>
        <v>0</v>
      </c>
      <c r="AH328" s="2223" cm="1">
        <f t="array" ref="AH328">IF($D328&lt;COLUMNS($F$7:AH$7),"",INDEX(TableDiv[[GASB]:[GASB]],_xlfn.AGGREGATE(15,3,(TableDiv[[Agency]:[Agency]]=$E328)/(TableDiv[[Agency]:[Agency]]=$E328)*(ROW(TableDiv[Agency])-ROW(TableDiv[[#Headers],[Agency]])),COLUMNS($F$7:AH$7))))</f>
        <v>0</v>
      </c>
      <c r="AI328" s="2223" cm="1">
        <f t="array" ref="AI328">IF($D328&lt;COLUMNS($F$7:AI$7),"",INDEX(TableDiv[[GASB]:[GASB]],_xlfn.AGGREGATE(15,3,(TableDiv[[Agency]:[Agency]]=$E328)/(TableDiv[[Agency]:[Agency]]=$E328)*(ROW(TableDiv[Agency])-ROW(TableDiv[[#Headers],[Agency]])),COLUMNS($F$7:AI$7))))</f>
        <v>0</v>
      </c>
      <c r="AJ328" s="2223" cm="1">
        <f t="array" ref="AJ328">IF($D328&lt;COLUMNS($F$7:AJ$7),"",INDEX(TableDiv[[GASB]:[GASB]],_xlfn.AGGREGATE(15,3,(TableDiv[[Agency]:[Agency]]=$E328)/(TableDiv[[Agency]:[Agency]]=$E328)*(ROW(TableDiv[Agency])-ROW(TableDiv[[#Headers],[Agency]])),COLUMNS($F$7:AJ$7))))</f>
        <v>0</v>
      </c>
      <c r="AK328" s="2223" t="str" cm="1">
        <f t="array" ref="AK328">IF($D328&lt;COLUMNS($F$7:AK$7),"",INDEX(TableDiv[[GASB]:[GASB]],_xlfn.AGGREGATE(15,3,(TableDiv[[Agency]:[Agency]]=$E328)/(TableDiv[[Agency]:[Agency]]=$E328)*(ROW(TableDiv[Agency])-ROW(TableDiv[[#Headers],[Agency]])),COLUMNS($F$7:AK$7))))</f>
        <v/>
      </c>
      <c r="AL328" s="2223" t="str" cm="1">
        <f t="array" ref="AL328">IF($D328&lt;COLUMNS($F$7:AL$7),"",INDEX(TableDiv[[GASB]:[GASB]],_xlfn.AGGREGATE(15,3,(TableDiv[[Agency]:[Agency]]=$E328)/(TableDiv[[Agency]:[Agency]]=$E328)*(ROW(TableDiv[Agency])-ROW(TableDiv[[#Headers],[Agency]])),COLUMNS($F$7:AL$7))))</f>
        <v/>
      </c>
      <c r="AM328" s="2223" t="str" cm="1">
        <f t="array" ref="AM328">IF($D328&lt;COLUMNS($F$7:AM$7),"",INDEX(TableDiv[[GASB]:[GASB]],_xlfn.AGGREGATE(15,3,(TableDiv[[Agency]:[Agency]]=$E328)/(TableDiv[[Agency]:[Agency]]=$E328)*(ROW(TableDiv[Agency])-ROW(TableDiv[[#Headers],[Agency]])),COLUMNS($F$7:AM$7))))</f>
        <v/>
      </c>
      <c r="AN328" s="2223"/>
      <c r="AO328" s="2223"/>
      <c r="AP328" s="2223"/>
      <c r="AQ328" s="2223"/>
      <c r="AR328" s="2223"/>
      <c r="AS328" s="2223"/>
    </row>
    <row r="329" spans="1:45" ht="15" x14ac:dyDescent="0.25">
      <c r="A329" s="2219" t="s">
        <v>5124</v>
      </c>
      <c r="B329" s="2219" t="s">
        <v>6481</v>
      </c>
      <c r="C329" s="2223"/>
      <c r="D329" s="2223">
        <f>COUNTIF(TableDiv[Agency],E329)</f>
        <v>31</v>
      </c>
      <c r="E329" s="2230" t="str" cm="1">
        <f t="array" ref="E329">IFERROR(INDEX(TableDiv[Agency],MATCH(0,INDEX(COUNTIF($E$7:E328,TableDiv[Agency]),),0)),"")</f>
        <v/>
      </c>
      <c r="F329" s="2223" cm="1">
        <f t="array" ref="F329">IF($D329&lt;COLUMNS($F$7:F$7),"",INDEX(TableDiv[[GASB]:[GASB]],_xlfn.AGGREGATE(15,3,(TableDiv[[Agency]:[Agency]]=$E329)/(TableDiv[[Agency]:[Agency]]=$E329)*(ROW(TableDiv[Agency])-ROW(TableDiv[[#Headers],[Agency]])),COLUMNS($F$7:F$7))))</f>
        <v>0</v>
      </c>
      <c r="G329" s="2223" cm="1">
        <f t="array" ref="G329">IF($D329&lt;COLUMNS($F$7:G$7),"",INDEX(TableDiv[[GASB]:[GASB]],_xlfn.AGGREGATE(15,3,(TableDiv[[Agency]:[Agency]]=$E329)/(TableDiv[[Agency]:[Agency]]=$E329)*(ROW(TableDiv[Agency])-ROW(TableDiv[[#Headers],[Agency]])),COLUMNS($F$7:G$7))))</f>
        <v>0</v>
      </c>
      <c r="H329" s="2223" cm="1">
        <f t="array" ref="H329">IF($D329&lt;COLUMNS($F$7:H$7),"",INDEX(TableDiv[[GASB]:[GASB]],_xlfn.AGGREGATE(15,3,(TableDiv[[Agency]:[Agency]]=$E329)/(TableDiv[[Agency]:[Agency]]=$E329)*(ROW(TableDiv[Agency])-ROW(TableDiv[[#Headers],[Agency]])),COLUMNS($F$7:H$7))))</f>
        <v>0</v>
      </c>
      <c r="I329" s="2223" cm="1">
        <f t="array" ref="I329">IF($D329&lt;COLUMNS($F$7:I$7),"",INDEX(TableDiv[[GASB]:[GASB]],_xlfn.AGGREGATE(15,3,(TableDiv[[Agency]:[Agency]]=$E329)/(TableDiv[[Agency]:[Agency]]=$E329)*(ROW(TableDiv[Agency])-ROW(TableDiv[[#Headers],[Agency]])),COLUMNS($F$7:I$7))))</f>
        <v>0</v>
      </c>
      <c r="J329" s="2223" cm="1">
        <f t="array" ref="J329">IF($D329&lt;COLUMNS($F$7:J$7),"",INDEX(TableDiv[[GASB]:[GASB]],_xlfn.AGGREGATE(15,3,(TableDiv[[Agency]:[Agency]]=$E329)/(TableDiv[[Agency]:[Agency]]=$E329)*(ROW(TableDiv[Agency])-ROW(TableDiv[[#Headers],[Agency]])),COLUMNS($F$7:J$7))))</f>
        <v>0</v>
      </c>
      <c r="K329" s="2223" cm="1">
        <f t="array" ref="K329">IF($D329&lt;COLUMNS($F$7:K$7),"",INDEX(TableDiv[[GASB]:[GASB]],_xlfn.AGGREGATE(15,3,(TableDiv[[Agency]:[Agency]]=$E329)/(TableDiv[[Agency]:[Agency]]=$E329)*(ROW(TableDiv[Agency])-ROW(TableDiv[[#Headers],[Agency]])),COLUMNS($F$7:K$7))))</f>
        <v>0</v>
      </c>
      <c r="L329" s="2223" cm="1">
        <f t="array" ref="L329">IF($D329&lt;COLUMNS($F$7:L$7),"",INDEX(TableDiv[[GASB]:[GASB]],_xlfn.AGGREGATE(15,3,(TableDiv[[Agency]:[Agency]]=$E329)/(TableDiv[[Agency]:[Agency]]=$E329)*(ROW(TableDiv[Agency])-ROW(TableDiv[[#Headers],[Agency]])),COLUMNS($F$7:L$7))))</f>
        <v>0</v>
      </c>
      <c r="M329" s="2223" cm="1">
        <f t="array" ref="M329">IF($D329&lt;COLUMNS($F$7:M$7),"",INDEX(TableDiv[[GASB]:[GASB]],_xlfn.AGGREGATE(15,3,(TableDiv[[Agency]:[Agency]]=$E329)/(TableDiv[[Agency]:[Agency]]=$E329)*(ROW(TableDiv[Agency])-ROW(TableDiv[[#Headers],[Agency]])),COLUMNS($F$7:M$7))))</f>
        <v>0</v>
      </c>
      <c r="N329" s="2223" cm="1">
        <f t="array" ref="N329">IF($D329&lt;COLUMNS($F$7:N$7),"",INDEX(TableDiv[[GASB]:[GASB]],_xlfn.AGGREGATE(15,3,(TableDiv[[Agency]:[Agency]]=$E329)/(TableDiv[[Agency]:[Agency]]=$E329)*(ROW(TableDiv[Agency])-ROW(TableDiv[[#Headers],[Agency]])),COLUMNS($F$7:N$7))))</f>
        <v>0</v>
      </c>
      <c r="O329" s="2223" cm="1">
        <f t="array" ref="O329">IF($D329&lt;COLUMNS($F$7:O$7),"",INDEX(TableDiv[[GASB]:[GASB]],_xlfn.AGGREGATE(15,3,(TableDiv[[Agency]:[Agency]]=$E329)/(TableDiv[[Agency]:[Agency]]=$E329)*(ROW(TableDiv[Agency])-ROW(TableDiv[[#Headers],[Agency]])),COLUMNS($F$7:O$7))))</f>
        <v>0</v>
      </c>
      <c r="P329" s="2223" cm="1">
        <f t="array" ref="P329">IF($D329&lt;COLUMNS($F$7:P$7),"",INDEX(TableDiv[[GASB]:[GASB]],_xlfn.AGGREGATE(15,3,(TableDiv[[Agency]:[Agency]]=$E329)/(TableDiv[[Agency]:[Agency]]=$E329)*(ROW(TableDiv[Agency])-ROW(TableDiv[[#Headers],[Agency]])),COLUMNS($F$7:P$7))))</f>
        <v>0</v>
      </c>
      <c r="Q329" s="2223" cm="1">
        <f t="array" ref="Q329">IF($D329&lt;COLUMNS($F$7:Q$7),"",INDEX(TableDiv[[GASB]:[GASB]],_xlfn.AGGREGATE(15,3,(TableDiv[[Agency]:[Agency]]=$E329)/(TableDiv[[Agency]:[Agency]]=$E329)*(ROW(TableDiv[Agency])-ROW(TableDiv[[#Headers],[Agency]])),COLUMNS($F$7:Q$7))))</f>
        <v>0</v>
      </c>
      <c r="R329" s="2223" cm="1">
        <f t="array" ref="R329">IF($D329&lt;COLUMNS($F$7:R$7),"",INDEX(TableDiv[[GASB]:[GASB]],_xlfn.AGGREGATE(15,3,(TableDiv[[Agency]:[Agency]]=$E329)/(TableDiv[[Agency]:[Agency]]=$E329)*(ROW(TableDiv[Agency])-ROW(TableDiv[[#Headers],[Agency]])),COLUMNS($F$7:R$7))))</f>
        <v>0</v>
      </c>
      <c r="S329" s="2223" cm="1">
        <f t="array" ref="S329">IF($D329&lt;COLUMNS($F$7:S$7),"",INDEX(TableDiv[[GASB]:[GASB]],_xlfn.AGGREGATE(15,3,(TableDiv[[Agency]:[Agency]]=$E329)/(TableDiv[[Agency]:[Agency]]=$E329)*(ROW(TableDiv[Agency])-ROW(TableDiv[[#Headers],[Agency]])),COLUMNS($F$7:S$7))))</f>
        <v>0</v>
      </c>
      <c r="T329" s="2223" cm="1">
        <f t="array" ref="T329">IF($D329&lt;COLUMNS($F$7:T$7),"",INDEX(TableDiv[[GASB]:[GASB]],_xlfn.AGGREGATE(15,3,(TableDiv[[Agency]:[Agency]]=$E329)/(TableDiv[[Agency]:[Agency]]=$E329)*(ROW(TableDiv[Agency])-ROW(TableDiv[[#Headers],[Agency]])),COLUMNS($F$7:T$7))))</f>
        <v>0</v>
      </c>
      <c r="U329" s="2223" cm="1">
        <f t="array" ref="U329">IF($D329&lt;COLUMNS($F$7:U$7),"",INDEX(TableDiv[[GASB]:[GASB]],_xlfn.AGGREGATE(15,3,(TableDiv[[Agency]:[Agency]]=$E329)/(TableDiv[[Agency]:[Agency]]=$E329)*(ROW(TableDiv[Agency])-ROW(TableDiv[[#Headers],[Agency]])),COLUMNS($F$7:U$7))))</f>
        <v>0</v>
      </c>
      <c r="V329" s="2223" cm="1">
        <f t="array" ref="V329">IF($D329&lt;COLUMNS($F$7:V$7),"",INDEX(TableDiv[[GASB]:[GASB]],_xlfn.AGGREGATE(15,3,(TableDiv[[Agency]:[Agency]]=$E329)/(TableDiv[[Agency]:[Agency]]=$E329)*(ROW(TableDiv[Agency])-ROW(TableDiv[[#Headers],[Agency]])),COLUMNS($F$7:V$7))))</f>
        <v>0</v>
      </c>
      <c r="W329" s="2223" cm="1">
        <f t="array" ref="W329">IF($D329&lt;COLUMNS($F$7:W$7),"",INDEX(TableDiv[[GASB]:[GASB]],_xlfn.AGGREGATE(15,3,(TableDiv[[Agency]:[Agency]]=$E329)/(TableDiv[[Agency]:[Agency]]=$E329)*(ROW(TableDiv[Agency])-ROW(TableDiv[[#Headers],[Agency]])),COLUMNS($F$7:W$7))))</f>
        <v>0</v>
      </c>
      <c r="X329" s="2223" cm="1">
        <f t="array" ref="X329">IF($D329&lt;COLUMNS($F$7:X$7),"",INDEX(TableDiv[[GASB]:[GASB]],_xlfn.AGGREGATE(15,3,(TableDiv[[Agency]:[Agency]]=$E329)/(TableDiv[[Agency]:[Agency]]=$E329)*(ROW(TableDiv[Agency])-ROW(TableDiv[[#Headers],[Agency]])),COLUMNS($F$7:X$7))))</f>
        <v>0</v>
      </c>
      <c r="Y329" s="2223" cm="1">
        <f t="array" ref="Y329">IF($D329&lt;COLUMNS($F$7:Y$7),"",INDEX(TableDiv[[GASB]:[GASB]],_xlfn.AGGREGATE(15,3,(TableDiv[[Agency]:[Agency]]=$E329)/(TableDiv[[Agency]:[Agency]]=$E329)*(ROW(TableDiv[Agency])-ROW(TableDiv[[#Headers],[Agency]])),COLUMNS($F$7:Y$7))))</f>
        <v>0</v>
      </c>
      <c r="Z329" s="2223" cm="1">
        <f t="array" ref="Z329">IF($D329&lt;COLUMNS($F$7:Z$7),"",INDEX(TableDiv[[GASB]:[GASB]],_xlfn.AGGREGATE(15,3,(TableDiv[[Agency]:[Agency]]=$E329)/(TableDiv[[Agency]:[Agency]]=$E329)*(ROW(TableDiv[Agency])-ROW(TableDiv[[#Headers],[Agency]])),COLUMNS($F$7:Z$7))))</f>
        <v>0</v>
      </c>
      <c r="AA329" s="2223" cm="1">
        <f t="array" ref="AA329">IF($D329&lt;COLUMNS($F$7:AA$7),"",INDEX(TableDiv[[GASB]:[GASB]],_xlfn.AGGREGATE(15,3,(TableDiv[[Agency]:[Agency]]=$E329)/(TableDiv[[Agency]:[Agency]]=$E329)*(ROW(TableDiv[Agency])-ROW(TableDiv[[#Headers],[Agency]])),COLUMNS($F$7:AA$7))))</f>
        <v>0</v>
      </c>
      <c r="AB329" s="2223" cm="1">
        <f t="array" ref="AB329">IF($D329&lt;COLUMNS($F$7:AB$7),"",INDEX(TableDiv[[GASB]:[GASB]],_xlfn.AGGREGATE(15,3,(TableDiv[[Agency]:[Agency]]=$E329)/(TableDiv[[Agency]:[Agency]]=$E329)*(ROW(TableDiv[Agency])-ROW(TableDiv[[#Headers],[Agency]])),COLUMNS($F$7:AB$7))))</f>
        <v>0</v>
      </c>
      <c r="AC329" s="2223" cm="1">
        <f t="array" ref="AC329">IF($D329&lt;COLUMNS($F$7:AC$7),"",INDEX(TableDiv[[GASB]:[GASB]],_xlfn.AGGREGATE(15,3,(TableDiv[[Agency]:[Agency]]=$E329)/(TableDiv[[Agency]:[Agency]]=$E329)*(ROW(TableDiv[Agency])-ROW(TableDiv[[#Headers],[Agency]])),COLUMNS($F$7:AC$7))))</f>
        <v>0</v>
      </c>
      <c r="AD329" s="2223" cm="1">
        <f t="array" ref="AD329">IF($D329&lt;COLUMNS($F$7:AD$7),"",INDEX(TableDiv[[GASB]:[GASB]],_xlfn.AGGREGATE(15,3,(TableDiv[[Agency]:[Agency]]=$E329)/(TableDiv[[Agency]:[Agency]]=$E329)*(ROW(TableDiv[Agency])-ROW(TableDiv[[#Headers],[Agency]])),COLUMNS($F$7:AD$7))))</f>
        <v>0</v>
      </c>
      <c r="AE329" s="2223" cm="1">
        <f t="array" ref="AE329">IF($D329&lt;COLUMNS($F$7:AE$7),"",INDEX(TableDiv[[GASB]:[GASB]],_xlfn.AGGREGATE(15,3,(TableDiv[[Agency]:[Agency]]=$E329)/(TableDiv[[Agency]:[Agency]]=$E329)*(ROW(TableDiv[Agency])-ROW(TableDiv[[#Headers],[Agency]])),COLUMNS($F$7:AE$7))))</f>
        <v>0</v>
      </c>
      <c r="AF329" s="2223" cm="1">
        <f t="array" ref="AF329">IF($D329&lt;COLUMNS($F$7:AF$7),"",INDEX(TableDiv[[GASB]:[GASB]],_xlfn.AGGREGATE(15,3,(TableDiv[[Agency]:[Agency]]=$E329)/(TableDiv[[Agency]:[Agency]]=$E329)*(ROW(TableDiv[Agency])-ROW(TableDiv[[#Headers],[Agency]])),COLUMNS($F$7:AF$7))))</f>
        <v>0</v>
      </c>
      <c r="AG329" s="2223" cm="1">
        <f t="array" ref="AG329">IF($D329&lt;COLUMNS($F$7:AG$7),"",INDEX(TableDiv[[GASB]:[GASB]],_xlfn.AGGREGATE(15,3,(TableDiv[[Agency]:[Agency]]=$E329)/(TableDiv[[Agency]:[Agency]]=$E329)*(ROW(TableDiv[Agency])-ROW(TableDiv[[#Headers],[Agency]])),COLUMNS($F$7:AG$7))))</f>
        <v>0</v>
      </c>
      <c r="AH329" s="2223" cm="1">
        <f t="array" ref="AH329">IF($D329&lt;COLUMNS($F$7:AH$7),"",INDEX(TableDiv[[GASB]:[GASB]],_xlfn.AGGREGATE(15,3,(TableDiv[[Agency]:[Agency]]=$E329)/(TableDiv[[Agency]:[Agency]]=$E329)*(ROW(TableDiv[Agency])-ROW(TableDiv[[#Headers],[Agency]])),COLUMNS($F$7:AH$7))))</f>
        <v>0</v>
      </c>
      <c r="AI329" s="2223" cm="1">
        <f t="array" ref="AI329">IF($D329&lt;COLUMNS($F$7:AI$7),"",INDEX(TableDiv[[GASB]:[GASB]],_xlfn.AGGREGATE(15,3,(TableDiv[[Agency]:[Agency]]=$E329)/(TableDiv[[Agency]:[Agency]]=$E329)*(ROW(TableDiv[Agency])-ROW(TableDiv[[#Headers],[Agency]])),COLUMNS($F$7:AI$7))))</f>
        <v>0</v>
      </c>
      <c r="AJ329" s="2223" cm="1">
        <f t="array" ref="AJ329">IF($D329&lt;COLUMNS($F$7:AJ$7),"",INDEX(TableDiv[[GASB]:[GASB]],_xlfn.AGGREGATE(15,3,(TableDiv[[Agency]:[Agency]]=$E329)/(TableDiv[[Agency]:[Agency]]=$E329)*(ROW(TableDiv[Agency])-ROW(TableDiv[[#Headers],[Agency]])),COLUMNS($F$7:AJ$7))))</f>
        <v>0</v>
      </c>
      <c r="AK329" s="2223" t="str" cm="1">
        <f t="array" ref="AK329">IF($D329&lt;COLUMNS($F$7:AK$7),"",INDEX(TableDiv[[GASB]:[GASB]],_xlfn.AGGREGATE(15,3,(TableDiv[[Agency]:[Agency]]=$E329)/(TableDiv[[Agency]:[Agency]]=$E329)*(ROW(TableDiv[Agency])-ROW(TableDiv[[#Headers],[Agency]])),COLUMNS($F$7:AK$7))))</f>
        <v/>
      </c>
      <c r="AL329" s="2223" t="str" cm="1">
        <f t="array" ref="AL329">IF($D329&lt;COLUMNS($F$7:AL$7),"",INDEX(TableDiv[[GASB]:[GASB]],_xlfn.AGGREGATE(15,3,(TableDiv[[Agency]:[Agency]]=$E329)/(TableDiv[[Agency]:[Agency]]=$E329)*(ROW(TableDiv[Agency])-ROW(TableDiv[[#Headers],[Agency]])),COLUMNS($F$7:AL$7))))</f>
        <v/>
      </c>
      <c r="AM329" s="2223" t="str" cm="1">
        <f t="array" ref="AM329">IF($D329&lt;COLUMNS($F$7:AM$7),"",INDEX(TableDiv[[GASB]:[GASB]],_xlfn.AGGREGATE(15,3,(TableDiv[[Agency]:[Agency]]=$E329)/(TableDiv[[Agency]:[Agency]]=$E329)*(ROW(TableDiv[Agency])-ROW(TableDiv[[#Headers],[Agency]])),COLUMNS($F$7:AM$7))))</f>
        <v/>
      </c>
      <c r="AN329" s="2223"/>
      <c r="AO329" s="2223"/>
      <c r="AP329" s="2223"/>
      <c r="AQ329" s="2223"/>
      <c r="AR329" s="2223"/>
      <c r="AS329" s="2223"/>
    </row>
    <row r="330" spans="1:45" ht="15" x14ac:dyDescent="0.25">
      <c r="A330" s="2219" t="s">
        <v>5125</v>
      </c>
      <c r="B330" s="2219" t="s">
        <v>6357</v>
      </c>
      <c r="C330" s="2223"/>
      <c r="D330" s="2223">
        <f>COUNTIF(TableDiv[Agency],E330)</f>
        <v>31</v>
      </c>
      <c r="E330" s="2230" t="str" cm="1">
        <f t="array" ref="E330">IFERROR(INDEX(TableDiv[Agency],MATCH(0,INDEX(COUNTIF($E$7:E329,TableDiv[Agency]),),0)),"")</f>
        <v/>
      </c>
      <c r="F330" s="2223" cm="1">
        <f t="array" ref="F330">IF($D330&lt;COLUMNS($F$7:F$7),"",INDEX(TableDiv[[GASB]:[GASB]],_xlfn.AGGREGATE(15,3,(TableDiv[[Agency]:[Agency]]=$E330)/(TableDiv[[Agency]:[Agency]]=$E330)*(ROW(TableDiv[Agency])-ROW(TableDiv[[#Headers],[Agency]])),COLUMNS($F$7:F$7))))</f>
        <v>0</v>
      </c>
      <c r="G330" s="2223" cm="1">
        <f t="array" ref="G330">IF($D330&lt;COLUMNS($F$7:G$7),"",INDEX(TableDiv[[GASB]:[GASB]],_xlfn.AGGREGATE(15,3,(TableDiv[[Agency]:[Agency]]=$E330)/(TableDiv[[Agency]:[Agency]]=$E330)*(ROW(TableDiv[Agency])-ROW(TableDiv[[#Headers],[Agency]])),COLUMNS($F$7:G$7))))</f>
        <v>0</v>
      </c>
      <c r="H330" s="2223" cm="1">
        <f t="array" ref="H330">IF($D330&lt;COLUMNS($F$7:H$7),"",INDEX(TableDiv[[GASB]:[GASB]],_xlfn.AGGREGATE(15,3,(TableDiv[[Agency]:[Agency]]=$E330)/(TableDiv[[Agency]:[Agency]]=$E330)*(ROW(TableDiv[Agency])-ROW(TableDiv[[#Headers],[Agency]])),COLUMNS($F$7:H$7))))</f>
        <v>0</v>
      </c>
      <c r="I330" s="2223" cm="1">
        <f t="array" ref="I330">IF($D330&lt;COLUMNS($F$7:I$7),"",INDEX(TableDiv[[GASB]:[GASB]],_xlfn.AGGREGATE(15,3,(TableDiv[[Agency]:[Agency]]=$E330)/(TableDiv[[Agency]:[Agency]]=$E330)*(ROW(TableDiv[Agency])-ROW(TableDiv[[#Headers],[Agency]])),COLUMNS($F$7:I$7))))</f>
        <v>0</v>
      </c>
      <c r="J330" s="2223" cm="1">
        <f t="array" ref="J330">IF($D330&lt;COLUMNS($F$7:J$7),"",INDEX(TableDiv[[GASB]:[GASB]],_xlfn.AGGREGATE(15,3,(TableDiv[[Agency]:[Agency]]=$E330)/(TableDiv[[Agency]:[Agency]]=$E330)*(ROW(TableDiv[Agency])-ROW(TableDiv[[#Headers],[Agency]])),COLUMNS($F$7:J$7))))</f>
        <v>0</v>
      </c>
      <c r="K330" s="2223" cm="1">
        <f t="array" ref="K330">IF($D330&lt;COLUMNS($F$7:K$7),"",INDEX(TableDiv[[GASB]:[GASB]],_xlfn.AGGREGATE(15,3,(TableDiv[[Agency]:[Agency]]=$E330)/(TableDiv[[Agency]:[Agency]]=$E330)*(ROW(TableDiv[Agency])-ROW(TableDiv[[#Headers],[Agency]])),COLUMNS($F$7:K$7))))</f>
        <v>0</v>
      </c>
      <c r="L330" s="2223" cm="1">
        <f t="array" ref="L330">IF($D330&lt;COLUMNS($F$7:L$7),"",INDEX(TableDiv[[GASB]:[GASB]],_xlfn.AGGREGATE(15,3,(TableDiv[[Agency]:[Agency]]=$E330)/(TableDiv[[Agency]:[Agency]]=$E330)*(ROW(TableDiv[Agency])-ROW(TableDiv[[#Headers],[Agency]])),COLUMNS($F$7:L$7))))</f>
        <v>0</v>
      </c>
      <c r="M330" s="2223" cm="1">
        <f t="array" ref="M330">IF($D330&lt;COLUMNS($F$7:M$7),"",INDEX(TableDiv[[GASB]:[GASB]],_xlfn.AGGREGATE(15,3,(TableDiv[[Agency]:[Agency]]=$E330)/(TableDiv[[Agency]:[Agency]]=$E330)*(ROW(TableDiv[Agency])-ROW(TableDiv[[#Headers],[Agency]])),COLUMNS($F$7:M$7))))</f>
        <v>0</v>
      </c>
      <c r="N330" s="2223" cm="1">
        <f t="array" ref="N330">IF($D330&lt;COLUMNS($F$7:N$7),"",INDEX(TableDiv[[GASB]:[GASB]],_xlfn.AGGREGATE(15,3,(TableDiv[[Agency]:[Agency]]=$E330)/(TableDiv[[Agency]:[Agency]]=$E330)*(ROW(TableDiv[Agency])-ROW(TableDiv[[#Headers],[Agency]])),COLUMNS($F$7:N$7))))</f>
        <v>0</v>
      </c>
      <c r="O330" s="2223" cm="1">
        <f t="array" ref="O330">IF($D330&lt;COLUMNS($F$7:O$7),"",INDEX(TableDiv[[GASB]:[GASB]],_xlfn.AGGREGATE(15,3,(TableDiv[[Agency]:[Agency]]=$E330)/(TableDiv[[Agency]:[Agency]]=$E330)*(ROW(TableDiv[Agency])-ROW(TableDiv[[#Headers],[Agency]])),COLUMNS($F$7:O$7))))</f>
        <v>0</v>
      </c>
      <c r="P330" s="2223" cm="1">
        <f t="array" ref="P330">IF($D330&lt;COLUMNS($F$7:P$7),"",INDEX(TableDiv[[GASB]:[GASB]],_xlfn.AGGREGATE(15,3,(TableDiv[[Agency]:[Agency]]=$E330)/(TableDiv[[Agency]:[Agency]]=$E330)*(ROW(TableDiv[Agency])-ROW(TableDiv[[#Headers],[Agency]])),COLUMNS($F$7:P$7))))</f>
        <v>0</v>
      </c>
      <c r="Q330" s="2223" cm="1">
        <f t="array" ref="Q330">IF($D330&lt;COLUMNS($F$7:Q$7),"",INDEX(TableDiv[[GASB]:[GASB]],_xlfn.AGGREGATE(15,3,(TableDiv[[Agency]:[Agency]]=$E330)/(TableDiv[[Agency]:[Agency]]=$E330)*(ROW(TableDiv[Agency])-ROW(TableDiv[[#Headers],[Agency]])),COLUMNS($F$7:Q$7))))</f>
        <v>0</v>
      </c>
      <c r="R330" s="2223" cm="1">
        <f t="array" ref="R330">IF($D330&lt;COLUMNS($F$7:R$7),"",INDEX(TableDiv[[GASB]:[GASB]],_xlfn.AGGREGATE(15,3,(TableDiv[[Agency]:[Agency]]=$E330)/(TableDiv[[Agency]:[Agency]]=$E330)*(ROW(TableDiv[Agency])-ROW(TableDiv[[#Headers],[Agency]])),COLUMNS($F$7:R$7))))</f>
        <v>0</v>
      </c>
      <c r="S330" s="2223" cm="1">
        <f t="array" ref="S330">IF($D330&lt;COLUMNS($F$7:S$7),"",INDEX(TableDiv[[GASB]:[GASB]],_xlfn.AGGREGATE(15,3,(TableDiv[[Agency]:[Agency]]=$E330)/(TableDiv[[Agency]:[Agency]]=$E330)*(ROW(TableDiv[Agency])-ROW(TableDiv[[#Headers],[Agency]])),COLUMNS($F$7:S$7))))</f>
        <v>0</v>
      </c>
      <c r="T330" s="2223" cm="1">
        <f t="array" ref="T330">IF($D330&lt;COLUMNS($F$7:T$7),"",INDEX(TableDiv[[GASB]:[GASB]],_xlfn.AGGREGATE(15,3,(TableDiv[[Agency]:[Agency]]=$E330)/(TableDiv[[Agency]:[Agency]]=$E330)*(ROW(TableDiv[Agency])-ROW(TableDiv[[#Headers],[Agency]])),COLUMNS($F$7:T$7))))</f>
        <v>0</v>
      </c>
      <c r="U330" s="2223" cm="1">
        <f t="array" ref="U330">IF($D330&lt;COLUMNS($F$7:U$7),"",INDEX(TableDiv[[GASB]:[GASB]],_xlfn.AGGREGATE(15,3,(TableDiv[[Agency]:[Agency]]=$E330)/(TableDiv[[Agency]:[Agency]]=$E330)*(ROW(TableDiv[Agency])-ROW(TableDiv[[#Headers],[Agency]])),COLUMNS($F$7:U$7))))</f>
        <v>0</v>
      </c>
      <c r="V330" s="2223" cm="1">
        <f t="array" ref="V330">IF($D330&lt;COLUMNS($F$7:V$7),"",INDEX(TableDiv[[GASB]:[GASB]],_xlfn.AGGREGATE(15,3,(TableDiv[[Agency]:[Agency]]=$E330)/(TableDiv[[Agency]:[Agency]]=$E330)*(ROW(TableDiv[Agency])-ROW(TableDiv[[#Headers],[Agency]])),COLUMNS($F$7:V$7))))</f>
        <v>0</v>
      </c>
      <c r="W330" s="2223" cm="1">
        <f t="array" ref="W330">IF($D330&lt;COLUMNS($F$7:W$7),"",INDEX(TableDiv[[GASB]:[GASB]],_xlfn.AGGREGATE(15,3,(TableDiv[[Agency]:[Agency]]=$E330)/(TableDiv[[Agency]:[Agency]]=$E330)*(ROW(TableDiv[Agency])-ROW(TableDiv[[#Headers],[Agency]])),COLUMNS($F$7:W$7))))</f>
        <v>0</v>
      </c>
      <c r="X330" s="2223" cm="1">
        <f t="array" ref="X330">IF($D330&lt;COLUMNS($F$7:X$7),"",INDEX(TableDiv[[GASB]:[GASB]],_xlfn.AGGREGATE(15,3,(TableDiv[[Agency]:[Agency]]=$E330)/(TableDiv[[Agency]:[Agency]]=$E330)*(ROW(TableDiv[Agency])-ROW(TableDiv[[#Headers],[Agency]])),COLUMNS($F$7:X$7))))</f>
        <v>0</v>
      </c>
      <c r="Y330" s="2223" cm="1">
        <f t="array" ref="Y330">IF($D330&lt;COLUMNS($F$7:Y$7),"",INDEX(TableDiv[[GASB]:[GASB]],_xlfn.AGGREGATE(15,3,(TableDiv[[Agency]:[Agency]]=$E330)/(TableDiv[[Agency]:[Agency]]=$E330)*(ROW(TableDiv[Agency])-ROW(TableDiv[[#Headers],[Agency]])),COLUMNS($F$7:Y$7))))</f>
        <v>0</v>
      </c>
      <c r="Z330" s="2223" cm="1">
        <f t="array" ref="Z330">IF($D330&lt;COLUMNS($F$7:Z$7),"",INDEX(TableDiv[[GASB]:[GASB]],_xlfn.AGGREGATE(15,3,(TableDiv[[Agency]:[Agency]]=$E330)/(TableDiv[[Agency]:[Agency]]=$E330)*(ROW(TableDiv[Agency])-ROW(TableDiv[[#Headers],[Agency]])),COLUMNS($F$7:Z$7))))</f>
        <v>0</v>
      </c>
      <c r="AA330" s="2223" cm="1">
        <f t="array" ref="AA330">IF($D330&lt;COLUMNS($F$7:AA$7),"",INDEX(TableDiv[[GASB]:[GASB]],_xlfn.AGGREGATE(15,3,(TableDiv[[Agency]:[Agency]]=$E330)/(TableDiv[[Agency]:[Agency]]=$E330)*(ROW(TableDiv[Agency])-ROW(TableDiv[[#Headers],[Agency]])),COLUMNS($F$7:AA$7))))</f>
        <v>0</v>
      </c>
      <c r="AB330" s="2223" cm="1">
        <f t="array" ref="AB330">IF($D330&lt;COLUMNS($F$7:AB$7),"",INDEX(TableDiv[[GASB]:[GASB]],_xlfn.AGGREGATE(15,3,(TableDiv[[Agency]:[Agency]]=$E330)/(TableDiv[[Agency]:[Agency]]=$E330)*(ROW(TableDiv[Agency])-ROW(TableDiv[[#Headers],[Agency]])),COLUMNS($F$7:AB$7))))</f>
        <v>0</v>
      </c>
      <c r="AC330" s="2223" cm="1">
        <f t="array" ref="AC330">IF($D330&lt;COLUMNS($F$7:AC$7),"",INDEX(TableDiv[[GASB]:[GASB]],_xlfn.AGGREGATE(15,3,(TableDiv[[Agency]:[Agency]]=$E330)/(TableDiv[[Agency]:[Agency]]=$E330)*(ROW(TableDiv[Agency])-ROW(TableDiv[[#Headers],[Agency]])),COLUMNS($F$7:AC$7))))</f>
        <v>0</v>
      </c>
      <c r="AD330" s="2223" cm="1">
        <f t="array" ref="AD330">IF($D330&lt;COLUMNS($F$7:AD$7),"",INDEX(TableDiv[[GASB]:[GASB]],_xlfn.AGGREGATE(15,3,(TableDiv[[Agency]:[Agency]]=$E330)/(TableDiv[[Agency]:[Agency]]=$E330)*(ROW(TableDiv[Agency])-ROW(TableDiv[[#Headers],[Agency]])),COLUMNS($F$7:AD$7))))</f>
        <v>0</v>
      </c>
      <c r="AE330" s="2223" cm="1">
        <f t="array" ref="AE330">IF($D330&lt;COLUMNS($F$7:AE$7),"",INDEX(TableDiv[[GASB]:[GASB]],_xlfn.AGGREGATE(15,3,(TableDiv[[Agency]:[Agency]]=$E330)/(TableDiv[[Agency]:[Agency]]=$E330)*(ROW(TableDiv[Agency])-ROW(TableDiv[[#Headers],[Agency]])),COLUMNS($F$7:AE$7))))</f>
        <v>0</v>
      </c>
      <c r="AF330" s="2223" cm="1">
        <f t="array" ref="AF330">IF($D330&lt;COLUMNS($F$7:AF$7),"",INDEX(TableDiv[[GASB]:[GASB]],_xlfn.AGGREGATE(15,3,(TableDiv[[Agency]:[Agency]]=$E330)/(TableDiv[[Agency]:[Agency]]=$E330)*(ROW(TableDiv[Agency])-ROW(TableDiv[[#Headers],[Agency]])),COLUMNS($F$7:AF$7))))</f>
        <v>0</v>
      </c>
      <c r="AG330" s="2223" cm="1">
        <f t="array" ref="AG330">IF($D330&lt;COLUMNS($F$7:AG$7),"",INDEX(TableDiv[[GASB]:[GASB]],_xlfn.AGGREGATE(15,3,(TableDiv[[Agency]:[Agency]]=$E330)/(TableDiv[[Agency]:[Agency]]=$E330)*(ROW(TableDiv[Agency])-ROW(TableDiv[[#Headers],[Agency]])),COLUMNS($F$7:AG$7))))</f>
        <v>0</v>
      </c>
      <c r="AH330" s="2223" cm="1">
        <f t="array" ref="AH330">IF($D330&lt;COLUMNS($F$7:AH$7),"",INDEX(TableDiv[[GASB]:[GASB]],_xlfn.AGGREGATE(15,3,(TableDiv[[Agency]:[Agency]]=$E330)/(TableDiv[[Agency]:[Agency]]=$E330)*(ROW(TableDiv[Agency])-ROW(TableDiv[[#Headers],[Agency]])),COLUMNS($F$7:AH$7))))</f>
        <v>0</v>
      </c>
      <c r="AI330" s="2223" cm="1">
        <f t="array" ref="AI330">IF($D330&lt;COLUMNS($F$7:AI$7),"",INDEX(TableDiv[[GASB]:[GASB]],_xlfn.AGGREGATE(15,3,(TableDiv[[Agency]:[Agency]]=$E330)/(TableDiv[[Agency]:[Agency]]=$E330)*(ROW(TableDiv[Agency])-ROW(TableDiv[[#Headers],[Agency]])),COLUMNS($F$7:AI$7))))</f>
        <v>0</v>
      </c>
      <c r="AJ330" s="2223" cm="1">
        <f t="array" ref="AJ330">IF($D330&lt;COLUMNS($F$7:AJ$7),"",INDEX(TableDiv[[GASB]:[GASB]],_xlfn.AGGREGATE(15,3,(TableDiv[[Agency]:[Agency]]=$E330)/(TableDiv[[Agency]:[Agency]]=$E330)*(ROW(TableDiv[Agency])-ROW(TableDiv[[#Headers],[Agency]])),COLUMNS($F$7:AJ$7))))</f>
        <v>0</v>
      </c>
      <c r="AK330" s="2223" t="str" cm="1">
        <f t="array" ref="AK330">IF($D330&lt;COLUMNS($F$7:AK$7),"",INDEX(TableDiv[[GASB]:[GASB]],_xlfn.AGGREGATE(15,3,(TableDiv[[Agency]:[Agency]]=$E330)/(TableDiv[[Agency]:[Agency]]=$E330)*(ROW(TableDiv[Agency])-ROW(TableDiv[[#Headers],[Agency]])),COLUMNS($F$7:AK$7))))</f>
        <v/>
      </c>
      <c r="AL330" s="2223" t="str" cm="1">
        <f t="array" ref="AL330">IF($D330&lt;COLUMNS($F$7:AL$7),"",INDEX(TableDiv[[GASB]:[GASB]],_xlfn.AGGREGATE(15,3,(TableDiv[[Agency]:[Agency]]=$E330)/(TableDiv[[Agency]:[Agency]]=$E330)*(ROW(TableDiv[Agency])-ROW(TableDiv[[#Headers],[Agency]])),COLUMNS($F$7:AL$7))))</f>
        <v/>
      </c>
      <c r="AM330" s="2223" t="str" cm="1">
        <f t="array" ref="AM330">IF($D330&lt;COLUMNS($F$7:AM$7),"",INDEX(TableDiv[[GASB]:[GASB]],_xlfn.AGGREGATE(15,3,(TableDiv[[Agency]:[Agency]]=$E330)/(TableDiv[[Agency]:[Agency]]=$E330)*(ROW(TableDiv[Agency])-ROW(TableDiv[[#Headers],[Agency]])),COLUMNS($F$7:AM$7))))</f>
        <v/>
      </c>
      <c r="AN330" s="2223"/>
      <c r="AO330" s="2223"/>
      <c r="AP330" s="2223"/>
      <c r="AQ330" s="2223"/>
      <c r="AR330" s="2223"/>
      <c r="AS330" s="2223"/>
    </row>
    <row r="331" spans="1:45" ht="15" x14ac:dyDescent="0.25">
      <c r="A331" s="2219" t="s">
        <v>5125</v>
      </c>
      <c r="B331" s="2219" t="s">
        <v>1878</v>
      </c>
      <c r="C331" s="2223"/>
      <c r="D331" s="2223">
        <f>COUNTIF(TableDiv[Agency],E331)</f>
        <v>31</v>
      </c>
      <c r="E331" s="2230" t="str" cm="1">
        <f t="array" ref="E331">IFERROR(INDEX(TableDiv[Agency],MATCH(0,INDEX(COUNTIF($E$7:E330,TableDiv[Agency]),),0)),"")</f>
        <v/>
      </c>
      <c r="F331" s="2223" cm="1">
        <f t="array" ref="F331">IF($D331&lt;COLUMNS($F$7:F$7),"",INDEX(TableDiv[[GASB]:[GASB]],_xlfn.AGGREGATE(15,3,(TableDiv[[Agency]:[Agency]]=$E331)/(TableDiv[[Agency]:[Agency]]=$E331)*(ROW(TableDiv[Agency])-ROW(TableDiv[[#Headers],[Agency]])),COLUMNS($F$7:F$7))))</f>
        <v>0</v>
      </c>
      <c r="G331" s="2223" cm="1">
        <f t="array" ref="G331">IF($D331&lt;COLUMNS($F$7:G$7),"",INDEX(TableDiv[[GASB]:[GASB]],_xlfn.AGGREGATE(15,3,(TableDiv[[Agency]:[Agency]]=$E331)/(TableDiv[[Agency]:[Agency]]=$E331)*(ROW(TableDiv[Agency])-ROW(TableDiv[[#Headers],[Agency]])),COLUMNS($F$7:G$7))))</f>
        <v>0</v>
      </c>
      <c r="H331" s="2223" cm="1">
        <f t="array" ref="H331">IF($D331&lt;COLUMNS($F$7:H$7),"",INDEX(TableDiv[[GASB]:[GASB]],_xlfn.AGGREGATE(15,3,(TableDiv[[Agency]:[Agency]]=$E331)/(TableDiv[[Agency]:[Agency]]=$E331)*(ROW(TableDiv[Agency])-ROW(TableDiv[[#Headers],[Agency]])),COLUMNS($F$7:H$7))))</f>
        <v>0</v>
      </c>
      <c r="I331" s="2223" cm="1">
        <f t="array" ref="I331">IF($D331&lt;COLUMNS($F$7:I$7),"",INDEX(TableDiv[[GASB]:[GASB]],_xlfn.AGGREGATE(15,3,(TableDiv[[Agency]:[Agency]]=$E331)/(TableDiv[[Agency]:[Agency]]=$E331)*(ROW(TableDiv[Agency])-ROW(TableDiv[[#Headers],[Agency]])),COLUMNS($F$7:I$7))))</f>
        <v>0</v>
      </c>
      <c r="J331" s="2223" cm="1">
        <f t="array" ref="J331">IF($D331&lt;COLUMNS($F$7:J$7),"",INDEX(TableDiv[[GASB]:[GASB]],_xlfn.AGGREGATE(15,3,(TableDiv[[Agency]:[Agency]]=$E331)/(TableDiv[[Agency]:[Agency]]=$E331)*(ROW(TableDiv[Agency])-ROW(TableDiv[[#Headers],[Agency]])),COLUMNS($F$7:J$7))))</f>
        <v>0</v>
      </c>
      <c r="K331" s="2223" cm="1">
        <f t="array" ref="K331">IF($D331&lt;COLUMNS($F$7:K$7),"",INDEX(TableDiv[[GASB]:[GASB]],_xlfn.AGGREGATE(15,3,(TableDiv[[Agency]:[Agency]]=$E331)/(TableDiv[[Agency]:[Agency]]=$E331)*(ROW(TableDiv[Agency])-ROW(TableDiv[[#Headers],[Agency]])),COLUMNS($F$7:K$7))))</f>
        <v>0</v>
      </c>
      <c r="L331" s="2223" cm="1">
        <f t="array" ref="L331">IF($D331&lt;COLUMNS($F$7:L$7),"",INDEX(TableDiv[[GASB]:[GASB]],_xlfn.AGGREGATE(15,3,(TableDiv[[Agency]:[Agency]]=$E331)/(TableDiv[[Agency]:[Agency]]=$E331)*(ROW(TableDiv[Agency])-ROW(TableDiv[[#Headers],[Agency]])),COLUMNS($F$7:L$7))))</f>
        <v>0</v>
      </c>
      <c r="M331" s="2223" cm="1">
        <f t="array" ref="M331">IF($D331&lt;COLUMNS($F$7:M$7),"",INDEX(TableDiv[[GASB]:[GASB]],_xlfn.AGGREGATE(15,3,(TableDiv[[Agency]:[Agency]]=$E331)/(TableDiv[[Agency]:[Agency]]=$E331)*(ROW(TableDiv[Agency])-ROW(TableDiv[[#Headers],[Agency]])),COLUMNS($F$7:M$7))))</f>
        <v>0</v>
      </c>
      <c r="N331" s="2223" cm="1">
        <f t="array" ref="N331">IF($D331&lt;COLUMNS($F$7:N$7),"",INDEX(TableDiv[[GASB]:[GASB]],_xlfn.AGGREGATE(15,3,(TableDiv[[Agency]:[Agency]]=$E331)/(TableDiv[[Agency]:[Agency]]=$E331)*(ROW(TableDiv[Agency])-ROW(TableDiv[[#Headers],[Agency]])),COLUMNS($F$7:N$7))))</f>
        <v>0</v>
      </c>
      <c r="O331" s="2223" cm="1">
        <f t="array" ref="O331">IF($D331&lt;COLUMNS($F$7:O$7),"",INDEX(TableDiv[[GASB]:[GASB]],_xlfn.AGGREGATE(15,3,(TableDiv[[Agency]:[Agency]]=$E331)/(TableDiv[[Agency]:[Agency]]=$E331)*(ROW(TableDiv[Agency])-ROW(TableDiv[[#Headers],[Agency]])),COLUMNS($F$7:O$7))))</f>
        <v>0</v>
      </c>
      <c r="P331" s="2223" cm="1">
        <f t="array" ref="P331">IF($D331&lt;COLUMNS($F$7:P$7),"",INDEX(TableDiv[[GASB]:[GASB]],_xlfn.AGGREGATE(15,3,(TableDiv[[Agency]:[Agency]]=$E331)/(TableDiv[[Agency]:[Agency]]=$E331)*(ROW(TableDiv[Agency])-ROW(TableDiv[[#Headers],[Agency]])),COLUMNS($F$7:P$7))))</f>
        <v>0</v>
      </c>
      <c r="Q331" s="2223" cm="1">
        <f t="array" ref="Q331">IF($D331&lt;COLUMNS($F$7:Q$7),"",INDEX(TableDiv[[GASB]:[GASB]],_xlfn.AGGREGATE(15,3,(TableDiv[[Agency]:[Agency]]=$E331)/(TableDiv[[Agency]:[Agency]]=$E331)*(ROW(TableDiv[Agency])-ROW(TableDiv[[#Headers],[Agency]])),COLUMNS($F$7:Q$7))))</f>
        <v>0</v>
      </c>
      <c r="R331" s="2223" cm="1">
        <f t="array" ref="R331">IF($D331&lt;COLUMNS($F$7:R$7),"",INDEX(TableDiv[[GASB]:[GASB]],_xlfn.AGGREGATE(15,3,(TableDiv[[Agency]:[Agency]]=$E331)/(TableDiv[[Agency]:[Agency]]=$E331)*(ROW(TableDiv[Agency])-ROW(TableDiv[[#Headers],[Agency]])),COLUMNS($F$7:R$7))))</f>
        <v>0</v>
      </c>
      <c r="S331" s="2223" cm="1">
        <f t="array" ref="S331">IF($D331&lt;COLUMNS($F$7:S$7),"",INDEX(TableDiv[[GASB]:[GASB]],_xlfn.AGGREGATE(15,3,(TableDiv[[Agency]:[Agency]]=$E331)/(TableDiv[[Agency]:[Agency]]=$E331)*(ROW(TableDiv[Agency])-ROW(TableDiv[[#Headers],[Agency]])),COLUMNS($F$7:S$7))))</f>
        <v>0</v>
      </c>
      <c r="T331" s="2223" cm="1">
        <f t="array" ref="T331">IF($D331&lt;COLUMNS($F$7:T$7),"",INDEX(TableDiv[[GASB]:[GASB]],_xlfn.AGGREGATE(15,3,(TableDiv[[Agency]:[Agency]]=$E331)/(TableDiv[[Agency]:[Agency]]=$E331)*(ROW(TableDiv[Agency])-ROW(TableDiv[[#Headers],[Agency]])),COLUMNS($F$7:T$7))))</f>
        <v>0</v>
      </c>
      <c r="U331" s="2223" cm="1">
        <f t="array" ref="U331">IF($D331&lt;COLUMNS($F$7:U$7),"",INDEX(TableDiv[[GASB]:[GASB]],_xlfn.AGGREGATE(15,3,(TableDiv[[Agency]:[Agency]]=$E331)/(TableDiv[[Agency]:[Agency]]=$E331)*(ROW(TableDiv[Agency])-ROW(TableDiv[[#Headers],[Agency]])),COLUMNS($F$7:U$7))))</f>
        <v>0</v>
      </c>
      <c r="V331" s="2223" cm="1">
        <f t="array" ref="V331">IF($D331&lt;COLUMNS($F$7:V$7),"",INDEX(TableDiv[[GASB]:[GASB]],_xlfn.AGGREGATE(15,3,(TableDiv[[Agency]:[Agency]]=$E331)/(TableDiv[[Agency]:[Agency]]=$E331)*(ROW(TableDiv[Agency])-ROW(TableDiv[[#Headers],[Agency]])),COLUMNS($F$7:V$7))))</f>
        <v>0</v>
      </c>
      <c r="W331" s="2223" cm="1">
        <f t="array" ref="W331">IF($D331&lt;COLUMNS($F$7:W$7),"",INDEX(TableDiv[[GASB]:[GASB]],_xlfn.AGGREGATE(15,3,(TableDiv[[Agency]:[Agency]]=$E331)/(TableDiv[[Agency]:[Agency]]=$E331)*(ROW(TableDiv[Agency])-ROW(TableDiv[[#Headers],[Agency]])),COLUMNS($F$7:W$7))))</f>
        <v>0</v>
      </c>
      <c r="X331" s="2223" cm="1">
        <f t="array" ref="X331">IF($D331&lt;COLUMNS($F$7:X$7),"",INDEX(TableDiv[[GASB]:[GASB]],_xlfn.AGGREGATE(15,3,(TableDiv[[Agency]:[Agency]]=$E331)/(TableDiv[[Agency]:[Agency]]=$E331)*(ROW(TableDiv[Agency])-ROW(TableDiv[[#Headers],[Agency]])),COLUMNS($F$7:X$7))))</f>
        <v>0</v>
      </c>
      <c r="Y331" s="2223" cm="1">
        <f t="array" ref="Y331">IF($D331&lt;COLUMNS($F$7:Y$7),"",INDEX(TableDiv[[GASB]:[GASB]],_xlfn.AGGREGATE(15,3,(TableDiv[[Agency]:[Agency]]=$E331)/(TableDiv[[Agency]:[Agency]]=$E331)*(ROW(TableDiv[Agency])-ROW(TableDiv[[#Headers],[Agency]])),COLUMNS($F$7:Y$7))))</f>
        <v>0</v>
      </c>
      <c r="Z331" s="2223" cm="1">
        <f t="array" ref="Z331">IF($D331&lt;COLUMNS($F$7:Z$7),"",INDEX(TableDiv[[GASB]:[GASB]],_xlfn.AGGREGATE(15,3,(TableDiv[[Agency]:[Agency]]=$E331)/(TableDiv[[Agency]:[Agency]]=$E331)*(ROW(TableDiv[Agency])-ROW(TableDiv[[#Headers],[Agency]])),COLUMNS($F$7:Z$7))))</f>
        <v>0</v>
      </c>
      <c r="AA331" s="2223" cm="1">
        <f t="array" ref="AA331">IF($D331&lt;COLUMNS($F$7:AA$7),"",INDEX(TableDiv[[GASB]:[GASB]],_xlfn.AGGREGATE(15,3,(TableDiv[[Agency]:[Agency]]=$E331)/(TableDiv[[Agency]:[Agency]]=$E331)*(ROW(TableDiv[Agency])-ROW(TableDiv[[#Headers],[Agency]])),COLUMNS($F$7:AA$7))))</f>
        <v>0</v>
      </c>
      <c r="AB331" s="2223" cm="1">
        <f t="array" ref="AB331">IF($D331&lt;COLUMNS($F$7:AB$7),"",INDEX(TableDiv[[GASB]:[GASB]],_xlfn.AGGREGATE(15,3,(TableDiv[[Agency]:[Agency]]=$E331)/(TableDiv[[Agency]:[Agency]]=$E331)*(ROW(TableDiv[Agency])-ROW(TableDiv[[#Headers],[Agency]])),COLUMNS($F$7:AB$7))))</f>
        <v>0</v>
      </c>
      <c r="AC331" s="2223" cm="1">
        <f t="array" ref="AC331">IF($D331&lt;COLUMNS($F$7:AC$7),"",INDEX(TableDiv[[GASB]:[GASB]],_xlfn.AGGREGATE(15,3,(TableDiv[[Agency]:[Agency]]=$E331)/(TableDiv[[Agency]:[Agency]]=$E331)*(ROW(TableDiv[Agency])-ROW(TableDiv[[#Headers],[Agency]])),COLUMNS($F$7:AC$7))))</f>
        <v>0</v>
      </c>
      <c r="AD331" s="2223" cm="1">
        <f t="array" ref="AD331">IF($D331&lt;COLUMNS($F$7:AD$7),"",INDEX(TableDiv[[GASB]:[GASB]],_xlfn.AGGREGATE(15,3,(TableDiv[[Agency]:[Agency]]=$E331)/(TableDiv[[Agency]:[Agency]]=$E331)*(ROW(TableDiv[Agency])-ROW(TableDiv[[#Headers],[Agency]])),COLUMNS($F$7:AD$7))))</f>
        <v>0</v>
      </c>
      <c r="AE331" s="2223" cm="1">
        <f t="array" ref="AE331">IF($D331&lt;COLUMNS($F$7:AE$7),"",INDEX(TableDiv[[GASB]:[GASB]],_xlfn.AGGREGATE(15,3,(TableDiv[[Agency]:[Agency]]=$E331)/(TableDiv[[Agency]:[Agency]]=$E331)*(ROW(TableDiv[Agency])-ROW(TableDiv[[#Headers],[Agency]])),COLUMNS($F$7:AE$7))))</f>
        <v>0</v>
      </c>
      <c r="AF331" s="2223" cm="1">
        <f t="array" ref="AF331">IF($D331&lt;COLUMNS($F$7:AF$7),"",INDEX(TableDiv[[GASB]:[GASB]],_xlfn.AGGREGATE(15,3,(TableDiv[[Agency]:[Agency]]=$E331)/(TableDiv[[Agency]:[Agency]]=$E331)*(ROW(TableDiv[Agency])-ROW(TableDiv[[#Headers],[Agency]])),COLUMNS($F$7:AF$7))))</f>
        <v>0</v>
      </c>
      <c r="AG331" s="2223" cm="1">
        <f t="array" ref="AG331">IF($D331&lt;COLUMNS($F$7:AG$7),"",INDEX(TableDiv[[GASB]:[GASB]],_xlfn.AGGREGATE(15,3,(TableDiv[[Agency]:[Agency]]=$E331)/(TableDiv[[Agency]:[Agency]]=$E331)*(ROW(TableDiv[Agency])-ROW(TableDiv[[#Headers],[Agency]])),COLUMNS($F$7:AG$7))))</f>
        <v>0</v>
      </c>
      <c r="AH331" s="2223" cm="1">
        <f t="array" ref="AH331">IF($D331&lt;COLUMNS($F$7:AH$7),"",INDEX(TableDiv[[GASB]:[GASB]],_xlfn.AGGREGATE(15,3,(TableDiv[[Agency]:[Agency]]=$E331)/(TableDiv[[Agency]:[Agency]]=$E331)*(ROW(TableDiv[Agency])-ROW(TableDiv[[#Headers],[Agency]])),COLUMNS($F$7:AH$7))))</f>
        <v>0</v>
      </c>
      <c r="AI331" s="2223" cm="1">
        <f t="array" ref="AI331">IF($D331&lt;COLUMNS($F$7:AI$7),"",INDEX(TableDiv[[GASB]:[GASB]],_xlfn.AGGREGATE(15,3,(TableDiv[[Agency]:[Agency]]=$E331)/(TableDiv[[Agency]:[Agency]]=$E331)*(ROW(TableDiv[Agency])-ROW(TableDiv[[#Headers],[Agency]])),COLUMNS($F$7:AI$7))))</f>
        <v>0</v>
      </c>
      <c r="AJ331" s="2223" cm="1">
        <f t="array" ref="AJ331">IF($D331&lt;COLUMNS($F$7:AJ$7),"",INDEX(TableDiv[[GASB]:[GASB]],_xlfn.AGGREGATE(15,3,(TableDiv[[Agency]:[Agency]]=$E331)/(TableDiv[[Agency]:[Agency]]=$E331)*(ROW(TableDiv[Agency])-ROW(TableDiv[[#Headers],[Agency]])),COLUMNS($F$7:AJ$7))))</f>
        <v>0</v>
      </c>
      <c r="AK331" s="2223" t="str" cm="1">
        <f t="array" ref="AK331">IF($D331&lt;COLUMNS($F$7:AK$7),"",INDEX(TableDiv[[GASB]:[GASB]],_xlfn.AGGREGATE(15,3,(TableDiv[[Agency]:[Agency]]=$E331)/(TableDiv[[Agency]:[Agency]]=$E331)*(ROW(TableDiv[Agency])-ROW(TableDiv[[#Headers],[Agency]])),COLUMNS($F$7:AK$7))))</f>
        <v/>
      </c>
      <c r="AL331" s="2223" t="str" cm="1">
        <f t="array" ref="AL331">IF($D331&lt;COLUMNS($F$7:AL$7),"",INDEX(TableDiv[[GASB]:[GASB]],_xlfn.AGGREGATE(15,3,(TableDiv[[Agency]:[Agency]]=$E331)/(TableDiv[[Agency]:[Agency]]=$E331)*(ROW(TableDiv[Agency])-ROW(TableDiv[[#Headers],[Agency]])),COLUMNS($F$7:AL$7))))</f>
        <v/>
      </c>
      <c r="AM331" s="2223" t="str" cm="1">
        <f t="array" ref="AM331">IF($D331&lt;COLUMNS($F$7:AM$7),"",INDEX(TableDiv[[GASB]:[GASB]],_xlfn.AGGREGATE(15,3,(TableDiv[[Agency]:[Agency]]=$E331)/(TableDiv[[Agency]:[Agency]]=$E331)*(ROW(TableDiv[Agency])-ROW(TableDiv[[#Headers],[Agency]])),COLUMNS($F$7:AM$7))))</f>
        <v/>
      </c>
      <c r="AN331" s="2223"/>
      <c r="AO331" s="2223"/>
      <c r="AP331" s="2223"/>
      <c r="AQ331" s="2223"/>
      <c r="AR331" s="2223"/>
      <c r="AS331" s="2223"/>
    </row>
    <row r="332" spans="1:45" ht="15" x14ac:dyDescent="0.25">
      <c r="A332" s="2219" t="s">
        <v>5125</v>
      </c>
      <c r="B332" s="2219" t="s">
        <v>6361</v>
      </c>
      <c r="C332" s="2223"/>
      <c r="D332" s="2223">
        <f>COUNTIF(TableDiv[Agency],E332)</f>
        <v>31</v>
      </c>
      <c r="E332" s="2230" t="str" cm="1">
        <f t="array" ref="E332">IFERROR(INDEX(TableDiv[Agency],MATCH(0,INDEX(COUNTIF($E$7:E331,TableDiv[Agency]),),0)),"")</f>
        <v/>
      </c>
      <c r="F332" s="2223" cm="1">
        <f t="array" ref="F332">IF($D332&lt;COLUMNS($F$7:F$7),"",INDEX(TableDiv[[GASB]:[GASB]],_xlfn.AGGREGATE(15,3,(TableDiv[[Agency]:[Agency]]=$E332)/(TableDiv[[Agency]:[Agency]]=$E332)*(ROW(TableDiv[Agency])-ROW(TableDiv[[#Headers],[Agency]])),COLUMNS($F$7:F$7))))</f>
        <v>0</v>
      </c>
      <c r="G332" s="2223" cm="1">
        <f t="array" ref="G332">IF($D332&lt;COLUMNS($F$7:G$7),"",INDEX(TableDiv[[GASB]:[GASB]],_xlfn.AGGREGATE(15,3,(TableDiv[[Agency]:[Agency]]=$E332)/(TableDiv[[Agency]:[Agency]]=$E332)*(ROW(TableDiv[Agency])-ROW(TableDiv[[#Headers],[Agency]])),COLUMNS($F$7:G$7))))</f>
        <v>0</v>
      </c>
      <c r="H332" s="2223" cm="1">
        <f t="array" ref="H332">IF($D332&lt;COLUMNS($F$7:H$7),"",INDEX(TableDiv[[GASB]:[GASB]],_xlfn.AGGREGATE(15,3,(TableDiv[[Agency]:[Agency]]=$E332)/(TableDiv[[Agency]:[Agency]]=$E332)*(ROW(TableDiv[Agency])-ROW(TableDiv[[#Headers],[Agency]])),COLUMNS($F$7:H$7))))</f>
        <v>0</v>
      </c>
      <c r="I332" s="2223" cm="1">
        <f t="array" ref="I332">IF($D332&lt;COLUMNS($F$7:I$7),"",INDEX(TableDiv[[GASB]:[GASB]],_xlfn.AGGREGATE(15,3,(TableDiv[[Agency]:[Agency]]=$E332)/(TableDiv[[Agency]:[Agency]]=$E332)*(ROW(TableDiv[Agency])-ROW(TableDiv[[#Headers],[Agency]])),COLUMNS($F$7:I$7))))</f>
        <v>0</v>
      </c>
      <c r="J332" s="2223" cm="1">
        <f t="array" ref="J332">IF($D332&lt;COLUMNS($F$7:J$7),"",INDEX(TableDiv[[GASB]:[GASB]],_xlfn.AGGREGATE(15,3,(TableDiv[[Agency]:[Agency]]=$E332)/(TableDiv[[Agency]:[Agency]]=$E332)*(ROW(TableDiv[Agency])-ROW(TableDiv[[#Headers],[Agency]])),COLUMNS($F$7:J$7))))</f>
        <v>0</v>
      </c>
      <c r="K332" s="2223" cm="1">
        <f t="array" ref="K332">IF($D332&lt;COLUMNS($F$7:K$7),"",INDEX(TableDiv[[GASB]:[GASB]],_xlfn.AGGREGATE(15,3,(TableDiv[[Agency]:[Agency]]=$E332)/(TableDiv[[Agency]:[Agency]]=$E332)*(ROW(TableDiv[Agency])-ROW(TableDiv[[#Headers],[Agency]])),COLUMNS($F$7:K$7))))</f>
        <v>0</v>
      </c>
      <c r="L332" s="2223" cm="1">
        <f t="array" ref="L332">IF($D332&lt;COLUMNS($F$7:L$7),"",INDEX(TableDiv[[GASB]:[GASB]],_xlfn.AGGREGATE(15,3,(TableDiv[[Agency]:[Agency]]=$E332)/(TableDiv[[Agency]:[Agency]]=$E332)*(ROW(TableDiv[Agency])-ROW(TableDiv[[#Headers],[Agency]])),COLUMNS($F$7:L$7))))</f>
        <v>0</v>
      </c>
      <c r="M332" s="2223" cm="1">
        <f t="array" ref="M332">IF($D332&lt;COLUMNS($F$7:M$7),"",INDEX(TableDiv[[GASB]:[GASB]],_xlfn.AGGREGATE(15,3,(TableDiv[[Agency]:[Agency]]=$E332)/(TableDiv[[Agency]:[Agency]]=$E332)*(ROW(TableDiv[Agency])-ROW(TableDiv[[#Headers],[Agency]])),COLUMNS($F$7:M$7))))</f>
        <v>0</v>
      </c>
      <c r="N332" s="2223" cm="1">
        <f t="array" ref="N332">IF($D332&lt;COLUMNS($F$7:N$7),"",INDEX(TableDiv[[GASB]:[GASB]],_xlfn.AGGREGATE(15,3,(TableDiv[[Agency]:[Agency]]=$E332)/(TableDiv[[Agency]:[Agency]]=$E332)*(ROW(TableDiv[Agency])-ROW(TableDiv[[#Headers],[Agency]])),COLUMNS($F$7:N$7))))</f>
        <v>0</v>
      </c>
      <c r="O332" s="2223" cm="1">
        <f t="array" ref="O332">IF($D332&lt;COLUMNS($F$7:O$7),"",INDEX(TableDiv[[GASB]:[GASB]],_xlfn.AGGREGATE(15,3,(TableDiv[[Agency]:[Agency]]=$E332)/(TableDiv[[Agency]:[Agency]]=$E332)*(ROW(TableDiv[Agency])-ROW(TableDiv[[#Headers],[Agency]])),COLUMNS($F$7:O$7))))</f>
        <v>0</v>
      </c>
      <c r="P332" s="2223" cm="1">
        <f t="array" ref="P332">IF($D332&lt;COLUMNS($F$7:P$7),"",INDEX(TableDiv[[GASB]:[GASB]],_xlfn.AGGREGATE(15,3,(TableDiv[[Agency]:[Agency]]=$E332)/(TableDiv[[Agency]:[Agency]]=$E332)*(ROW(TableDiv[Agency])-ROW(TableDiv[[#Headers],[Agency]])),COLUMNS($F$7:P$7))))</f>
        <v>0</v>
      </c>
      <c r="Q332" s="2223" cm="1">
        <f t="array" ref="Q332">IF($D332&lt;COLUMNS($F$7:Q$7),"",INDEX(TableDiv[[GASB]:[GASB]],_xlfn.AGGREGATE(15,3,(TableDiv[[Agency]:[Agency]]=$E332)/(TableDiv[[Agency]:[Agency]]=$E332)*(ROW(TableDiv[Agency])-ROW(TableDiv[[#Headers],[Agency]])),COLUMNS($F$7:Q$7))))</f>
        <v>0</v>
      </c>
      <c r="R332" s="2223" cm="1">
        <f t="array" ref="R332">IF($D332&lt;COLUMNS($F$7:R$7),"",INDEX(TableDiv[[GASB]:[GASB]],_xlfn.AGGREGATE(15,3,(TableDiv[[Agency]:[Agency]]=$E332)/(TableDiv[[Agency]:[Agency]]=$E332)*(ROW(TableDiv[Agency])-ROW(TableDiv[[#Headers],[Agency]])),COLUMNS($F$7:R$7))))</f>
        <v>0</v>
      </c>
      <c r="S332" s="2223" cm="1">
        <f t="array" ref="S332">IF($D332&lt;COLUMNS($F$7:S$7),"",INDEX(TableDiv[[GASB]:[GASB]],_xlfn.AGGREGATE(15,3,(TableDiv[[Agency]:[Agency]]=$E332)/(TableDiv[[Agency]:[Agency]]=$E332)*(ROW(TableDiv[Agency])-ROW(TableDiv[[#Headers],[Agency]])),COLUMNS($F$7:S$7))))</f>
        <v>0</v>
      </c>
      <c r="T332" s="2223" cm="1">
        <f t="array" ref="T332">IF($D332&lt;COLUMNS($F$7:T$7),"",INDEX(TableDiv[[GASB]:[GASB]],_xlfn.AGGREGATE(15,3,(TableDiv[[Agency]:[Agency]]=$E332)/(TableDiv[[Agency]:[Agency]]=$E332)*(ROW(TableDiv[Agency])-ROW(TableDiv[[#Headers],[Agency]])),COLUMNS($F$7:T$7))))</f>
        <v>0</v>
      </c>
      <c r="U332" s="2223" cm="1">
        <f t="array" ref="U332">IF($D332&lt;COLUMNS($F$7:U$7),"",INDEX(TableDiv[[GASB]:[GASB]],_xlfn.AGGREGATE(15,3,(TableDiv[[Agency]:[Agency]]=$E332)/(TableDiv[[Agency]:[Agency]]=$E332)*(ROW(TableDiv[Agency])-ROW(TableDiv[[#Headers],[Agency]])),COLUMNS($F$7:U$7))))</f>
        <v>0</v>
      </c>
      <c r="V332" s="2223" cm="1">
        <f t="array" ref="V332">IF($D332&lt;COLUMNS($F$7:V$7),"",INDEX(TableDiv[[GASB]:[GASB]],_xlfn.AGGREGATE(15,3,(TableDiv[[Agency]:[Agency]]=$E332)/(TableDiv[[Agency]:[Agency]]=$E332)*(ROW(TableDiv[Agency])-ROW(TableDiv[[#Headers],[Agency]])),COLUMNS($F$7:V$7))))</f>
        <v>0</v>
      </c>
      <c r="W332" s="2223" cm="1">
        <f t="array" ref="W332">IF($D332&lt;COLUMNS($F$7:W$7),"",INDEX(TableDiv[[GASB]:[GASB]],_xlfn.AGGREGATE(15,3,(TableDiv[[Agency]:[Agency]]=$E332)/(TableDiv[[Agency]:[Agency]]=$E332)*(ROW(TableDiv[Agency])-ROW(TableDiv[[#Headers],[Agency]])),COLUMNS($F$7:W$7))))</f>
        <v>0</v>
      </c>
      <c r="X332" s="2223" cm="1">
        <f t="array" ref="X332">IF($D332&lt;COLUMNS($F$7:X$7),"",INDEX(TableDiv[[GASB]:[GASB]],_xlfn.AGGREGATE(15,3,(TableDiv[[Agency]:[Agency]]=$E332)/(TableDiv[[Agency]:[Agency]]=$E332)*(ROW(TableDiv[Agency])-ROW(TableDiv[[#Headers],[Agency]])),COLUMNS($F$7:X$7))))</f>
        <v>0</v>
      </c>
      <c r="Y332" s="2223" cm="1">
        <f t="array" ref="Y332">IF($D332&lt;COLUMNS($F$7:Y$7),"",INDEX(TableDiv[[GASB]:[GASB]],_xlfn.AGGREGATE(15,3,(TableDiv[[Agency]:[Agency]]=$E332)/(TableDiv[[Agency]:[Agency]]=$E332)*(ROW(TableDiv[Agency])-ROW(TableDiv[[#Headers],[Agency]])),COLUMNS($F$7:Y$7))))</f>
        <v>0</v>
      </c>
      <c r="Z332" s="2223" cm="1">
        <f t="array" ref="Z332">IF($D332&lt;COLUMNS($F$7:Z$7),"",INDEX(TableDiv[[GASB]:[GASB]],_xlfn.AGGREGATE(15,3,(TableDiv[[Agency]:[Agency]]=$E332)/(TableDiv[[Agency]:[Agency]]=$E332)*(ROW(TableDiv[Agency])-ROW(TableDiv[[#Headers],[Agency]])),COLUMNS($F$7:Z$7))))</f>
        <v>0</v>
      </c>
      <c r="AA332" s="2223" cm="1">
        <f t="array" ref="AA332">IF($D332&lt;COLUMNS($F$7:AA$7),"",INDEX(TableDiv[[GASB]:[GASB]],_xlfn.AGGREGATE(15,3,(TableDiv[[Agency]:[Agency]]=$E332)/(TableDiv[[Agency]:[Agency]]=$E332)*(ROW(TableDiv[Agency])-ROW(TableDiv[[#Headers],[Agency]])),COLUMNS($F$7:AA$7))))</f>
        <v>0</v>
      </c>
      <c r="AB332" s="2223" cm="1">
        <f t="array" ref="AB332">IF($D332&lt;COLUMNS($F$7:AB$7),"",INDEX(TableDiv[[GASB]:[GASB]],_xlfn.AGGREGATE(15,3,(TableDiv[[Agency]:[Agency]]=$E332)/(TableDiv[[Agency]:[Agency]]=$E332)*(ROW(TableDiv[Agency])-ROW(TableDiv[[#Headers],[Agency]])),COLUMNS($F$7:AB$7))))</f>
        <v>0</v>
      </c>
      <c r="AC332" s="2223" cm="1">
        <f t="array" ref="AC332">IF($D332&lt;COLUMNS($F$7:AC$7),"",INDEX(TableDiv[[GASB]:[GASB]],_xlfn.AGGREGATE(15,3,(TableDiv[[Agency]:[Agency]]=$E332)/(TableDiv[[Agency]:[Agency]]=$E332)*(ROW(TableDiv[Agency])-ROW(TableDiv[[#Headers],[Agency]])),COLUMNS($F$7:AC$7))))</f>
        <v>0</v>
      </c>
      <c r="AD332" s="2223" cm="1">
        <f t="array" ref="AD332">IF($D332&lt;COLUMNS($F$7:AD$7),"",INDEX(TableDiv[[GASB]:[GASB]],_xlfn.AGGREGATE(15,3,(TableDiv[[Agency]:[Agency]]=$E332)/(TableDiv[[Agency]:[Agency]]=$E332)*(ROW(TableDiv[Agency])-ROW(TableDiv[[#Headers],[Agency]])),COLUMNS($F$7:AD$7))))</f>
        <v>0</v>
      </c>
      <c r="AE332" s="2223" cm="1">
        <f t="array" ref="AE332">IF($D332&lt;COLUMNS($F$7:AE$7),"",INDEX(TableDiv[[GASB]:[GASB]],_xlfn.AGGREGATE(15,3,(TableDiv[[Agency]:[Agency]]=$E332)/(TableDiv[[Agency]:[Agency]]=$E332)*(ROW(TableDiv[Agency])-ROW(TableDiv[[#Headers],[Agency]])),COLUMNS($F$7:AE$7))))</f>
        <v>0</v>
      </c>
      <c r="AF332" s="2223" cm="1">
        <f t="array" ref="AF332">IF($D332&lt;COLUMNS($F$7:AF$7),"",INDEX(TableDiv[[GASB]:[GASB]],_xlfn.AGGREGATE(15,3,(TableDiv[[Agency]:[Agency]]=$E332)/(TableDiv[[Agency]:[Agency]]=$E332)*(ROW(TableDiv[Agency])-ROW(TableDiv[[#Headers],[Agency]])),COLUMNS($F$7:AF$7))))</f>
        <v>0</v>
      </c>
      <c r="AG332" s="2223" cm="1">
        <f t="array" ref="AG332">IF($D332&lt;COLUMNS($F$7:AG$7),"",INDEX(TableDiv[[GASB]:[GASB]],_xlfn.AGGREGATE(15,3,(TableDiv[[Agency]:[Agency]]=$E332)/(TableDiv[[Agency]:[Agency]]=$E332)*(ROW(TableDiv[Agency])-ROW(TableDiv[[#Headers],[Agency]])),COLUMNS($F$7:AG$7))))</f>
        <v>0</v>
      </c>
      <c r="AH332" s="2223" cm="1">
        <f t="array" ref="AH332">IF($D332&lt;COLUMNS($F$7:AH$7),"",INDEX(TableDiv[[GASB]:[GASB]],_xlfn.AGGREGATE(15,3,(TableDiv[[Agency]:[Agency]]=$E332)/(TableDiv[[Agency]:[Agency]]=$E332)*(ROW(TableDiv[Agency])-ROW(TableDiv[[#Headers],[Agency]])),COLUMNS($F$7:AH$7))))</f>
        <v>0</v>
      </c>
      <c r="AI332" s="2223" cm="1">
        <f t="array" ref="AI332">IF($D332&lt;COLUMNS($F$7:AI$7),"",INDEX(TableDiv[[GASB]:[GASB]],_xlfn.AGGREGATE(15,3,(TableDiv[[Agency]:[Agency]]=$E332)/(TableDiv[[Agency]:[Agency]]=$E332)*(ROW(TableDiv[Agency])-ROW(TableDiv[[#Headers],[Agency]])),COLUMNS($F$7:AI$7))))</f>
        <v>0</v>
      </c>
      <c r="AJ332" s="2223" cm="1">
        <f t="array" ref="AJ332">IF($D332&lt;COLUMNS($F$7:AJ$7),"",INDEX(TableDiv[[GASB]:[GASB]],_xlfn.AGGREGATE(15,3,(TableDiv[[Agency]:[Agency]]=$E332)/(TableDiv[[Agency]:[Agency]]=$E332)*(ROW(TableDiv[Agency])-ROW(TableDiv[[#Headers],[Agency]])),COLUMNS($F$7:AJ$7))))</f>
        <v>0</v>
      </c>
      <c r="AK332" s="2223" t="str" cm="1">
        <f t="array" ref="AK332">IF($D332&lt;COLUMNS($F$7:AK$7),"",INDEX(TableDiv[[GASB]:[GASB]],_xlfn.AGGREGATE(15,3,(TableDiv[[Agency]:[Agency]]=$E332)/(TableDiv[[Agency]:[Agency]]=$E332)*(ROW(TableDiv[Agency])-ROW(TableDiv[[#Headers],[Agency]])),COLUMNS($F$7:AK$7))))</f>
        <v/>
      </c>
      <c r="AL332" s="2223" t="str" cm="1">
        <f t="array" ref="AL332">IF($D332&lt;COLUMNS($F$7:AL$7),"",INDEX(TableDiv[[GASB]:[GASB]],_xlfn.AGGREGATE(15,3,(TableDiv[[Agency]:[Agency]]=$E332)/(TableDiv[[Agency]:[Agency]]=$E332)*(ROW(TableDiv[Agency])-ROW(TableDiv[[#Headers],[Agency]])),COLUMNS($F$7:AL$7))))</f>
        <v/>
      </c>
      <c r="AM332" s="2223" t="str" cm="1">
        <f t="array" ref="AM332">IF($D332&lt;COLUMNS($F$7:AM$7),"",INDEX(TableDiv[[GASB]:[GASB]],_xlfn.AGGREGATE(15,3,(TableDiv[[Agency]:[Agency]]=$E332)/(TableDiv[[Agency]:[Agency]]=$E332)*(ROW(TableDiv[Agency])-ROW(TableDiv[[#Headers],[Agency]])),COLUMNS($F$7:AM$7))))</f>
        <v/>
      </c>
      <c r="AN332" s="2223"/>
      <c r="AO332" s="2223"/>
      <c r="AP332" s="2223"/>
      <c r="AQ332" s="2223"/>
      <c r="AR332" s="2223"/>
      <c r="AS332" s="2223"/>
    </row>
    <row r="333" spans="1:45" ht="15" x14ac:dyDescent="0.25">
      <c r="A333" s="2219" t="s">
        <v>5125</v>
      </c>
      <c r="B333" s="2219" t="s">
        <v>6393</v>
      </c>
      <c r="C333" s="2223"/>
      <c r="D333" s="2223">
        <f>COUNTIF(TableDiv[Agency],E333)</f>
        <v>31</v>
      </c>
      <c r="E333" s="2230" t="str" cm="1">
        <f t="array" ref="E333">IFERROR(INDEX(TableDiv[Agency],MATCH(0,INDEX(COUNTIF($E$7:E332,TableDiv[Agency]),),0)),"")</f>
        <v/>
      </c>
      <c r="F333" s="2223" cm="1">
        <f t="array" ref="F333">IF($D333&lt;COLUMNS($F$7:F$7),"",INDEX(TableDiv[[GASB]:[GASB]],_xlfn.AGGREGATE(15,3,(TableDiv[[Agency]:[Agency]]=$E333)/(TableDiv[[Agency]:[Agency]]=$E333)*(ROW(TableDiv[Agency])-ROW(TableDiv[[#Headers],[Agency]])),COLUMNS($F$7:F$7))))</f>
        <v>0</v>
      </c>
      <c r="G333" s="2223" cm="1">
        <f t="array" ref="G333">IF($D333&lt;COLUMNS($F$7:G$7),"",INDEX(TableDiv[[GASB]:[GASB]],_xlfn.AGGREGATE(15,3,(TableDiv[[Agency]:[Agency]]=$E333)/(TableDiv[[Agency]:[Agency]]=$E333)*(ROW(TableDiv[Agency])-ROW(TableDiv[[#Headers],[Agency]])),COLUMNS($F$7:G$7))))</f>
        <v>0</v>
      </c>
      <c r="H333" s="2223" cm="1">
        <f t="array" ref="H333">IF($D333&lt;COLUMNS($F$7:H$7),"",INDEX(TableDiv[[GASB]:[GASB]],_xlfn.AGGREGATE(15,3,(TableDiv[[Agency]:[Agency]]=$E333)/(TableDiv[[Agency]:[Agency]]=$E333)*(ROW(TableDiv[Agency])-ROW(TableDiv[[#Headers],[Agency]])),COLUMNS($F$7:H$7))))</f>
        <v>0</v>
      </c>
      <c r="I333" s="2223" cm="1">
        <f t="array" ref="I333">IF($D333&lt;COLUMNS($F$7:I$7),"",INDEX(TableDiv[[GASB]:[GASB]],_xlfn.AGGREGATE(15,3,(TableDiv[[Agency]:[Agency]]=$E333)/(TableDiv[[Agency]:[Agency]]=$E333)*(ROW(TableDiv[Agency])-ROW(TableDiv[[#Headers],[Agency]])),COLUMNS($F$7:I$7))))</f>
        <v>0</v>
      </c>
      <c r="J333" s="2223" cm="1">
        <f t="array" ref="J333">IF($D333&lt;COLUMNS($F$7:J$7),"",INDEX(TableDiv[[GASB]:[GASB]],_xlfn.AGGREGATE(15,3,(TableDiv[[Agency]:[Agency]]=$E333)/(TableDiv[[Agency]:[Agency]]=$E333)*(ROW(TableDiv[Agency])-ROW(TableDiv[[#Headers],[Agency]])),COLUMNS($F$7:J$7))))</f>
        <v>0</v>
      </c>
      <c r="K333" s="2223" cm="1">
        <f t="array" ref="K333">IF($D333&lt;COLUMNS($F$7:K$7),"",INDEX(TableDiv[[GASB]:[GASB]],_xlfn.AGGREGATE(15,3,(TableDiv[[Agency]:[Agency]]=$E333)/(TableDiv[[Agency]:[Agency]]=$E333)*(ROW(TableDiv[Agency])-ROW(TableDiv[[#Headers],[Agency]])),COLUMNS($F$7:K$7))))</f>
        <v>0</v>
      </c>
      <c r="L333" s="2223" cm="1">
        <f t="array" ref="L333">IF($D333&lt;COLUMNS($F$7:L$7),"",INDEX(TableDiv[[GASB]:[GASB]],_xlfn.AGGREGATE(15,3,(TableDiv[[Agency]:[Agency]]=$E333)/(TableDiv[[Agency]:[Agency]]=$E333)*(ROW(TableDiv[Agency])-ROW(TableDiv[[#Headers],[Agency]])),COLUMNS($F$7:L$7))))</f>
        <v>0</v>
      </c>
      <c r="M333" s="2223" cm="1">
        <f t="array" ref="M333">IF($D333&lt;COLUMNS($F$7:M$7),"",INDEX(TableDiv[[GASB]:[GASB]],_xlfn.AGGREGATE(15,3,(TableDiv[[Agency]:[Agency]]=$E333)/(TableDiv[[Agency]:[Agency]]=$E333)*(ROW(TableDiv[Agency])-ROW(TableDiv[[#Headers],[Agency]])),COLUMNS($F$7:M$7))))</f>
        <v>0</v>
      </c>
      <c r="N333" s="2223" cm="1">
        <f t="array" ref="N333">IF($D333&lt;COLUMNS($F$7:N$7),"",INDEX(TableDiv[[GASB]:[GASB]],_xlfn.AGGREGATE(15,3,(TableDiv[[Agency]:[Agency]]=$E333)/(TableDiv[[Agency]:[Agency]]=$E333)*(ROW(TableDiv[Agency])-ROW(TableDiv[[#Headers],[Agency]])),COLUMNS($F$7:N$7))))</f>
        <v>0</v>
      </c>
      <c r="O333" s="2223" cm="1">
        <f t="array" ref="O333">IF($D333&lt;COLUMNS($F$7:O$7),"",INDEX(TableDiv[[GASB]:[GASB]],_xlfn.AGGREGATE(15,3,(TableDiv[[Agency]:[Agency]]=$E333)/(TableDiv[[Agency]:[Agency]]=$E333)*(ROW(TableDiv[Agency])-ROW(TableDiv[[#Headers],[Agency]])),COLUMNS($F$7:O$7))))</f>
        <v>0</v>
      </c>
      <c r="P333" s="2223" cm="1">
        <f t="array" ref="P333">IF($D333&lt;COLUMNS($F$7:P$7),"",INDEX(TableDiv[[GASB]:[GASB]],_xlfn.AGGREGATE(15,3,(TableDiv[[Agency]:[Agency]]=$E333)/(TableDiv[[Agency]:[Agency]]=$E333)*(ROW(TableDiv[Agency])-ROW(TableDiv[[#Headers],[Agency]])),COLUMNS($F$7:P$7))))</f>
        <v>0</v>
      </c>
      <c r="Q333" s="2223" cm="1">
        <f t="array" ref="Q333">IF($D333&lt;COLUMNS($F$7:Q$7),"",INDEX(TableDiv[[GASB]:[GASB]],_xlfn.AGGREGATE(15,3,(TableDiv[[Agency]:[Agency]]=$E333)/(TableDiv[[Agency]:[Agency]]=$E333)*(ROW(TableDiv[Agency])-ROW(TableDiv[[#Headers],[Agency]])),COLUMNS($F$7:Q$7))))</f>
        <v>0</v>
      </c>
      <c r="R333" s="2223" cm="1">
        <f t="array" ref="R333">IF($D333&lt;COLUMNS($F$7:R$7),"",INDEX(TableDiv[[GASB]:[GASB]],_xlfn.AGGREGATE(15,3,(TableDiv[[Agency]:[Agency]]=$E333)/(TableDiv[[Agency]:[Agency]]=$E333)*(ROW(TableDiv[Agency])-ROW(TableDiv[[#Headers],[Agency]])),COLUMNS($F$7:R$7))))</f>
        <v>0</v>
      </c>
      <c r="S333" s="2223" cm="1">
        <f t="array" ref="S333">IF($D333&lt;COLUMNS($F$7:S$7),"",INDEX(TableDiv[[GASB]:[GASB]],_xlfn.AGGREGATE(15,3,(TableDiv[[Agency]:[Agency]]=$E333)/(TableDiv[[Agency]:[Agency]]=$E333)*(ROW(TableDiv[Agency])-ROW(TableDiv[[#Headers],[Agency]])),COLUMNS($F$7:S$7))))</f>
        <v>0</v>
      </c>
      <c r="T333" s="2223" cm="1">
        <f t="array" ref="T333">IF($D333&lt;COLUMNS($F$7:T$7),"",INDEX(TableDiv[[GASB]:[GASB]],_xlfn.AGGREGATE(15,3,(TableDiv[[Agency]:[Agency]]=$E333)/(TableDiv[[Agency]:[Agency]]=$E333)*(ROW(TableDiv[Agency])-ROW(TableDiv[[#Headers],[Agency]])),COLUMNS($F$7:T$7))))</f>
        <v>0</v>
      </c>
      <c r="U333" s="2223" cm="1">
        <f t="array" ref="U333">IF($D333&lt;COLUMNS($F$7:U$7),"",INDEX(TableDiv[[GASB]:[GASB]],_xlfn.AGGREGATE(15,3,(TableDiv[[Agency]:[Agency]]=$E333)/(TableDiv[[Agency]:[Agency]]=$E333)*(ROW(TableDiv[Agency])-ROW(TableDiv[[#Headers],[Agency]])),COLUMNS($F$7:U$7))))</f>
        <v>0</v>
      </c>
      <c r="V333" s="2223" cm="1">
        <f t="array" ref="V333">IF($D333&lt;COLUMNS($F$7:V$7),"",INDEX(TableDiv[[GASB]:[GASB]],_xlfn.AGGREGATE(15,3,(TableDiv[[Agency]:[Agency]]=$E333)/(TableDiv[[Agency]:[Agency]]=$E333)*(ROW(TableDiv[Agency])-ROW(TableDiv[[#Headers],[Agency]])),COLUMNS($F$7:V$7))))</f>
        <v>0</v>
      </c>
      <c r="W333" s="2223" cm="1">
        <f t="array" ref="W333">IF($D333&lt;COLUMNS($F$7:W$7),"",INDEX(TableDiv[[GASB]:[GASB]],_xlfn.AGGREGATE(15,3,(TableDiv[[Agency]:[Agency]]=$E333)/(TableDiv[[Agency]:[Agency]]=$E333)*(ROW(TableDiv[Agency])-ROW(TableDiv[[#Headers],[Agency]])),COLUMNS($F$7:W$7))))</f>
        <v>0</v>
      </c>
      <c r="X333" s="2223" cm="1">
        <f t="array" ref="X333">IF($D333&lt;COLUMNS($F$7:X$7),"",INDEX(TableDiv[[GASB]:[GASB]],_xlfn.AGGREGATE(15,3,(TableDiv[[Agency]:[Agency]]=$E333)/(TableDiv[[Agency]:[Agency]]=$E333)*(ROW(TableDiv[Agency])-ROW(TableDiv[[#Headers],[Agency]])),COLUMNS($F$7:X$7))))</f>
        <v>0</v>
      </c>
      <c r="Y333" s="2223" cm="1">
        <f t="array" ref="Y333">IF($D333&lt;COLUMNS($F$7:Y$7),"",INDEX(TableDiv[[GASB]:[GASB]],_xlfn.AGGREGATE(15,3,(TableDiv[[Agency]:[Agency]]=$E333)/(TableDiv[[Agency]:[Agency]]=$E333)*(ROW(TableDiv[Agency])-ROW(TableDiv[[#Headers],[Agency]])),COLUMNS($F$7:Y$7))))</f>
        <v>0</v>
      </c>
      <c r="Z333" s="2223" cm="1">
        <f t="array" ref="Z333">IF($D333&lt;COLUMNS($F$7:Z$7),"",INDEX(TableDiv[[GASB]:[GASB]],_xlfn.AGGREGATE(15,3,(TableDiv[[Agency]:[Agency]]=$E333)/(TableDiv[[Agency]:[Agency]]=$E333)*(ROW(TableDiv[Agency])-ROW(TableDiv[[#Headers],[Agency]])),COLUMNS($F$7:Z$7))))</f>
        <v>0</v>
      </c>
      <c r="AA333" s="2223" cm="1">
        <f t="array" ref="AA333">IF($D333&lt;COLUMNS($F$7:AA$7),"",INDEX(TableDiv[[GASB]:[GASB]],_xlfn.AGGREGATE(15,3,(TableDiv[[Agency]:[Agency]]=$E333)/(TableDiv[[Agency]:[Agency]]=$E333)*(ROW(TableDiv[Agency])-ROW(TableDiv[[#Headers],[Agency]])),COLUMNS($F$7:AA$7))))</f>
        <v>0</v>
      </c>
      <c r="AB333" s="2223" cm="1">
        <f t="array" ref="AB333">IF($D333&lt;COLUMNS($F$7:AB$7),"",INDEX(TableDiv[[GASB]:[GASB]],_xlfn.AGGREGATE(15,3,(TableDiv[[Agency]:[Agency]]=$E333)/(TableDiv[[Agency]:[Agency]]=$E333)*(ROW(TableDiv[Agency])-ROW(TableDiv[[#Headers],[Agency]])),COLUMNS($F$7:AB$7))))</f>
        <v>0</v>
      </c>
      <c r="AC333" s="2223" cm="1">
        <f t="array" ref="AC333">IF($D333&lt;COLUMNS($F$7:AC$7),"",INDEX(TableDiv[[GASB]:[GASB]],_xlfn.AGGREGATE(15,3,(TableDiv[[Agency]:[Agency]]=$E333)/(TableDiv[[Agency]:[Agency]]=$E333)*(ROW(TableDiv[Agency])-ROW(TableDiv[[#Headers],[Agency]])),COLUMNS($F$7:AC$7))))</f>
        <v>0</v>
      </c>
      <c r="AD333" s="2223" cm="1">
        <f t="array" ref="AD333">IF($D333&lt;COLUMNS($F$7:AD$7),"",INDEX(TableDiv[[GASB]:[GASB]],_xlfn.AGGREGATE(15,3,(TableDiv[[Agency]:[Agency]]=$E333)/(TableDiv[[Agency]:[Agency]]=$E333)*(ROW(TableDiv[Agency])-ROW(TableDiv[[#Headers],[Agency]])),COLUMNS($F$7:AD$7))))</f>
        <v>0</v>
      </c>
      <c r="AE333" s="2223" cm="1">
        <f t="array" ref="AE333">IF($D333&lt;COLUMNS($F$7:AE$7),"",INDEX(TableDiv[[GASB]:[GASB]],_xlfn.AGGREGATE(15,3,(TableDiv[[Agency]:[Agency]]=$E333)/(TableDiv[[Agency]:[Agency]]=$E333)*(ROW(TableDiv[Agency])-ROW(TableDiv[[#Headers],[Agency]])),COLUMNS($F$7:AE$7))))</f>
        <v>0</v>
      </c>
      <c r="AF333" s="2223" cm="1">
        <f t="array" ref="AF333">IF($D333&lt;COLUMNS($F$7:AF$7),"",INDEX(TableDiv[[GASB]:[GASB]],_xlfn.AGGREGATE(15,3,(TableDiv[[Agency]:[Agency]]=$E333)/(TableDiv[[Agency]:[Agency]]=$E333)*(ROW(TableDiv[Agency])-ROW(TableDiv[[#Headers],[Agency]])),COLUMNS($F$7:AF$7))))</f>
        <v>0</v>
      </c>
      <c r="AG333" s="2223" cm="1">
        <f t="array" ref="AG333">IF($D333&lt;COLUMNS($F$7:AG$7),"",INDEX(TableDiv[[GASB]:[GASB]],_xlfn.AGGREGATE(15,3,(TableDiv[[Agency]:[Agency]]=$E333)/(TableDiv[[Agency]:[Agency]]=$E333)*(ROW(TableDiv[Agency])-ROW(TableDiv[[#Headers],[Agency]])),COLUMNS($F$7:AG$7))))</f>
        <v>0</v>
      </c>
      <c r="AH333" s="2223" cm="1">
        <f t="array" ref="AH333">IF($D333&lt;COLUMNS($F$7:AH$7),"",INDEX(TableDiv[[GASB]:[GASB]],_xlfn.AGGREGATE(15,3,(TableDiv[[Agency]:[Agency]]=$E333)/(TableDiv[[Agency]:[Agency]]=$E333)*(ROW(TableDiv[Agency])-ROW(TableDiv[[#Headers],[Agency]])),COLUMNS($F$7:AH$7))))</f>
        <v>0</v>
      </c>
      <c r="AI333" s="2223" cm="1">
        <f t="array" ref="AI333">IF($D333&lt;COLUMNS($F$7:AI$7),"",INDEX(TableDiv[[GASB]:[GASB]],_xlfn.AGGREGATE(15,3,(TableDiv[[Agency]:[Agency]]=$E333)/(TableDiv[[Agency]:[Agency]]=$E333)*(ROW(TableDiv[Agency])-ROW(TableDiv[[#Headers],[Agency]])),COLUMNS($F$7:AI$7))))</f>
        <v>0</v>
      </c>
      <c r="AJ333" s="2223" cm="1">
        <f t="array" ref="AJ333">IF($D333&lt;COLUMNS($F$7:AJ$7),"",INDEX(TableDiv[[GASB]:[GASB]],_xlfn.AGGREGATE(15,3,(TableDiv[[Agency]:[Agency]]=$E333)/(TableDiv[[Agency]:[Agency]]=$E333)*(ROW(TableDiv[Agency])-ROW(TableDiv[[#Headers],[Agency]])),COLUMNS($F$7:AJ$7))))</f>
        <v>0</v>
      </c>
      <c r="AK333" s="2223" t="str" cm="1">
        <f t="array" ref="AK333">IF($D333&lt;COLUMNS($F$7:AK$7),"",INDEX(TableDiv[[GASB]:[GASB]],_xlfn.AGGREGATE(15,3,(TableDiv[[Agency]:[Agency]]=$E333)/(TableDiv[[Agency]:[Agency]]=$E333)*(ROW(TableDiv[Agency])-ROW(TableDiv[[#Headers],[Agency]])),COLUMNS($F$7:AK$7))))</f>
        <v/>
      </c>
      <c r="AL333" s="2223" t="str" cm="1">
        <f t="array" ref="AL333">IF($D333&lt;COLUMNS($F$7:AL$7),"",INDEX(TableDiv[[GASB]:[GASB]],_xlfn.AGGREGATE(15,3,(TableDiv[[Agency]:[Agency]]=$E333)/(TableDiv[[Agency]:[Agency]]=$E333)*(ROW(TableDiv[Agency])-ROW(TableDiv[[#Headers],[Agency]])),COLUMNS($F$7:AL$7))))</f>
        <v/>
      </c>
      <c r="AM333" s="2223" t="str" cm="1">
        <f t="array" ref="AM333">IF($D333&lt;COLUMNS($F$7:AM$7),"",INDEX(TableDiv[[GASB]:[GASB]],_xlfn.AGGREGATE(15,3,(TableDiv[[Agency]:[Agency]]=$E333)/(TableDiv[[Agency]:[Agency]]=$E333)*(ROW(TableDiv[Agency])-ROW(TableDiv[[#Headers],[Agency]])),COLUMNS($F$7:AM$7))))</f>
        <v/>
      </c>
      <c r="AN333" s="2223"/>
      <c r="AO333" s="2223"/>
      <c r="AP333" s="2223"/>
      <c r="AQ333" s="2223"/>
      <c r="AR333" s="2223"/>
      <c r="AS333" s="2223"/>
    </row>
    <row r="334" spans="1:45" ht="15" x14ac:dyDescent="0.25">
      <c r="A334" s="2219" t="s">
        <v>5132</v>
      </c>
      <c r="B334" s="2219" t="s">
        <v>6482</v>
      </c>
      <c r="C334" s="2223"/>
      <c r="D334" s="2223">
        <f>COUNTIF(TableDiv[Agency],E334)</f>
        <v>31</v>
      </c>
      <c r="E334" s="2230" t="str" cm="1">
        <f t="array" ref="E334">IFERROR(INDEX(TableDiv[Agency],MATCH(0,INDEX(COUNTIF($E$7:E333,TableDiv[Agency]),),0)),"")</f>
        <v/>
      </c>
      <c r="F334" s="2223" cm="1">
        <f t="array" ref="F334">IF($D334&lt;COLUMNS($F$7:F$7),"",INDEX(TableDiv[[GASB]:[GASB]],_xlfn.AGGREGATE(15,3,(TableDiv[[Agency]:[Agency]]=$E334)/(TableDiv[[Agency]:[Agency]]=$E334)*(ROW(TableDiv[Agency])-ROW(TableDiv[[#Headers],[Agency]])),COLUMNS($F$7:F$7))))</f>
        <v>0</v>
      </c>
      <c r="G334" s="2223" cm="1">
        <f t="array" ref="G334">IF($D334&lt;COLUMNS($F$7:G$7),"",INDEX(TableDiv[[GASB]:[GASB]],_xlfn.AGGREGATE(15,3,(TableDiv[[Agency]:[Agency]]=$E334)/(TableDiv[[Agency]:[Agency]]=$E334)*(ROW(TableDiv[Agency])-ROW(TableDiv[[#Headers],[Agency]])),COLUMNS($F$7:G$7))))</f>
        <v>0</v>
      </c>
      <c r="H334" s="2223" cm="1">
        <f t="array" ref="H334">IF($D334&lt;COLUMNS($F$7:H$7),"",INDEX(TableDiv[[GASB]:[GASB]],_xlfn.AGGREGATE(15,3,(TableDiv[[Agency]:[Agency]]=$E334)/(TableDiv[[Agency]:[Agency]]=$E334)*(ROW(TableDiv[Agency])-ROW(TableDiv[[#Headers],[Agency]])),COLUMNS($F$7:H$7))))</f>
        <v>0</v>
      </c>
      <c r="I334" s="2223" cm="1">
        <f t="array" ref="I334">IF($D334&lt;COLUMNS($F$7:I$7),"",INDEX(TableDiv[[GASB]:[GASB]],_xlfn.AGGREGATE(15,3,(TableDiv[[Agency]:[Agency]]=$E334)/(TableDiv[[Agency]:[Agency]]=$E334)*(ROW(TableDiv[Agency])-ROW(TableDiv[[#Headers],[Agency]])),COLUMNS($F$7:I$7))))</f>
        <v>0</v>
      </c>
      <c r="J334" s="2223" cm="1">
        <f t="array" ref="J334">IF($D334&lt;COLUMNS($F$7:J$7),"",INDEX(TableDiv[[GASB]:[GASB]],_xlfn.AGGREGATE(15,3,(TableDiv[[Agency]:[Agency]]=$E334)/(TableDiv[[Agency]:[Agency]]=$E334)*(ROW(TableDiv[Agency])-ROW(TableDiv[[#Headers],[Agency]])),COLUMNS($F$7:J$7))))</f>
        <v>0</v>
      </c>
      <c r="K334" s="2223" cm="1">
        <f t="array" ref="K334">IF($D334&lt;COLUMNS($F$7:K$7),"",INDEX(TableDiv[[GASB]:[GASB]],_xlfn.AGGREGATE(15,3,(TableDiv[[Agency]:[Agency]]=$E334)/(TableDiv[[Agency]:[Agency]]=$E334)*(ROW(TableDiv[Agency])-ROW(TableDiv[[#Headers],[Agency]])),COLUMNS($F$7:K$7))))</f>
        <v>0</v>
      </c>
      <c r="L334" s="2223" cm="1">
        <f t="array" ref="L334">IF($D334&lt;COLUMNS($F$7:L$7),"",INDEX(TableDiv[[GASB]:[GASB]],_xlfn.AGGREGATE(15,3,(TableDiv[[Agency]:[Agency]]=$E334)/(TableDiv[[Agency]:[Agency]]=$E334)*(ROW(TableDiv[Agency])-ROW(TableDiv[[#Headers],[Agency]])),COLUMNS($F$7:L$7))))</f>
        <v>0</v>
      </c>
      <c r="M334" s="2223" cm="1">
        <f t="array" ref="M334">IF($D334&lt;COLUMNS($F$7:M$7),"",INDEX(TableDiv[[GASB]:[GASB]],_xlfn.AGGREGATE(15,3,(TableDiv[[Agency]:[Agency]]=$E334)/(TableDiv[[Agency]:[Agency]]=$E334)*(ROW(TableDiv[Agency])-ROW(TableDiv[[#Headers],[Agency]])),COLUMNS($F$7:M$7))))</f>
        <v>0</v>
      </c>
      <c r="N334" s="2223" cm="1">
        <f t="array" ref="N334">IF($D334&lt;COLUMNS($F$7:N$7),"",INDEX(TableDiv[[GASB]:[GASB]],_xlfn.AGGREGATE(15,3,(TableDiv[[Agency]:[Agency]]=$E334)/(TableDiv[[Agency]:[Agency]]=$E334)*(ROW(TableDiv[Agency])-ROW(TableDiv[[#Headers],[Agency]])),COLUMNS($F$7:N$7))))</f>
        <v>0</v>
      </c>
      <c r="O334" s="2223" cm="1">
        <f t="array" ref="O334">IF($D334&lt;COLUMNS($F$7:O$7),"",INDEX(TableDiv[[GASB]:[GASB]],_xlfn.AGGREGATE(15,3,(TableDiv[[Agency]:[Agency]]=$E334)/(TableDiv[[Agency]:[Agency]]=$E334)*(ROW(TableDiv[Agency])-ROW(TableDiv[[#Headers],[Agency]])),COLUMNS($F$7:O$7))))</f>
        <v>0</v>
      </c>
      <c r="P334" s="2223" cm="1">
        <f t="array" ref="P334">IF($D334&lt;COLUMNS($F$7:P$7),"",INDEX(TableDiv[[GASB]:[GASB]],_xlfn.AGGREGATE(15,3,(TableDiv[[Agency]:[Agency]]=$E334)/(TableDiv[[Agency]:[Agency]]=$E334)*(ROW(TableDiv[Agency])-ROW(TableDiv[[#Headers],[Agency]])),COLUMNS($F$7:P$7))))</f>
        <v>0</v>
      </c>
      <c r="Q334" s="2223" cm="1">
        <f t="array" ref="Q334">IF($D334&lt;COLUMNS($F$7:Q$7),"",INDEX(TableDiv[[GASB]:[GASB]],_xlfn.AGGREGATE(15,3,(TableDiv[[Agency]:[Agency]]=$E334)/(TableDiv[[Agency]:[Agency]]=$E334)*(ROW(TableDiv[Agency])-ROW(TableDiv[[#Headers],[Agency]])),COLUMNS($F$7:Q$7))))</f>
        <v>0</v>
      </c>
      <c r="R334" s="2223" cm="1">
        <f t="array" ref="R334">IF($D334&lt;COLUMNS($F$7:R$7),"",INDEX(TableDiv[[GASB]:[GASB]],_xlfn.AGGREGATE(15,3,(TableDiv[[Agency]:[Agency]]=$E334)/(TableDiv[[Agency]:[Agency]]=$E334)*(ROW(TableDiv[Agency])-ROW(TableDiv[[#Headers],[Agency]])),COLUMNS($F$7:R$7))))</f>
        <v>0</v>
      </c>
      <c r="S334" s="2223" cm="1">
        <f t="array" ref="S334">IF($D334&lt;COLUMNS($F$7:S$7),"",INDEX(TableDiv[[GASB]:[GASB]],_xlfn.AGGREGATE(15,3,(TableDiv[[Agency]:[Agency]]=$E334)/(TableDiv[[Agency]:[Agency]]=$E334)*(ROW(TableDiv[Agency])-ROW(TableDiv[[#Headers],[Agency]])),COLUMNS($F$7:S$7))))</f>
        <v>0</v>
      </c>
      <c r="T334" s="2223" cm="1">
        <f t="array" ref="T334">IF($D334&lt;COLUMNS($F$7:T$7),"",INDEX(TableDiv[[GASB]:[GASB]],_xlfn.AGGREGATE(15,3,(TableDiv[[Agency]:[Agency]]=$E334)/(TableDiv[[Agency]:[Agency]]=$E334)*(ROW(TableDiv[Agency])-ROW(TableDiv[[#Headers],[Agency]])),COLUMNS($F$7:T$7))))</f>
        <v>0</v>
      </c>
      <c r="U334" s="2223" cm="1">
        <f t="array" ref="U334">IF($D334&lt;COLUMNS($F$7:U$7),"",INDEX(TableDiv[[GASB]:[GASB]],_xlfn.AGGREGATE(15,3,(TableDiv[[Agency]:[Agency]]=$E334)/(TableDiv[[Agency]:[Agency]]=$E334)*(ROW(TableDiv[Agency])-ROW(TableDiv[[#Headers],[Agency]])),COLUMNS($F$7:U$7))))</f>
        <v>0</v>
      </c>
      <c r="V334" s="2223" cm="1">
        <f t="array" ref="V334">IF($D334&lt;COLUMNS($F$7:V$7),"",INDEX(TableDiv[[GASB]:[GASB]],_xlfn.AGGREGATE(15,3,(TableDiv[[Agency]:[Agency]]=$E334)/(TableDiv[[Agency]:[Agency]]=$E334)*(ROW(TableDiv[Agency])-ROW(TableDiv[[#Headers],[Agency]])),COLUMNS($F$7:V$7))))</f>
        <v>0</v>
      </c>
      <c r="W334" s="2223" cm="1">
        <f t="array" ref="W334">IF($D334&lt;COLUMNS($F$7:W$7),"",INDEX(TableDiv[[GASB]:[GASB]],_xlfn.AGGREGATE(15,3,(TableDiv[[Agency]:[Agency]]=$E334)/(TableDiv[[Agency]:[Agency]]=$E334)*(ROW(TableDiv[Agency])-ROW(TableDiv[[#Headers],[Agency]])),COLUMNS($F$7:W$7))))</f>
        <v>0</v>
      </c>
      <c r="X334" s="2223" cm="1">
        <f t="array" ref="X334">IF($D334&lt;COLUMNS($F$7:X$7),"",INDEX(TableDiv[[GASB]:[GASB]],_xlfn.AGGREGATE(15,3,(TableDiv[[Agency]:[Agency]]=$E334)/(TableDiv[[Agency]:[Agency]]=$E334)*(ROW(TableDiv[Agency])-ROW(TableDiv[[#Headers],[Agency]])),COLUMNS($F$7:X$7))))</f>
        <v>0</v>
      </c>
      <c r="Y334" s="2223" cm="1">
        <f t="array" ref="Y334">IF($D334&lt;COLUMNS($F$7:Y$7),"",INDEX(TableDiv[[GASB]:[GASB]],_xlfn.AGGREGATE(15,3,(TableDiv[[Agency]:[Agency]]=$E334)/(TableDiv[[Agency]:[Agency]]=$E334)*(ROW(TableDiv[Agency])-ROW(TableDiv[[#Headers],[Agency]])),COLUMNS($F$7:Y$7))))</f>
        <v>0</v>
      </c>
      <c r="Z334" s="2223" cm="1">
        <f t="array" ref="Z334">IF($D334&lt;COLUMNS($F$7:Z$7),"",INDEX(TableDiv[[GASB]:[GASB]],_xlfn.AGGREGATE(15,3,(TableDiv[[Agency]:[Agency]]=$E334)/(TableDiv[[Agency]:[Agency]]=$E334)*(ROW(TableDiv[Agency])-ROW(TableDiv[[#Headers],[Agency]])),COLUMNS($F$7:Z$7))))</f>
        <v>0</v>
      </c>
      <c r="AA334" s="2223" cm="1">
        <f t="array" ref="AA334">IF($D334&lt;COLUMNS($F$7:AA$7),"",INDEX(TableDiv[[GASB]:[GASB]],_xlfn.AGGREGATE(15,3,(TableDiv[[Agency]:[Agency]]=$E334)/(TableDiv[[Agency]:[Agency]]=$E334)*(ROW(TableDiv[Agency])-ROW(TableDiv[[#Headers],[Agency]])),COLUMNS($F$7:AA$7))))</f>
        <v>0</v>
      </c>
      <c r="AB334" s="2223" cm="1">
        <f t="array" ref="AB334">IF($D334&lt;COLUMNS($F$7:AB$7),"",INDEX(TableDiv[[GASB]:[GASB]],_xlfn.AGGREGATE(15,3,(TableDiv[[Agency]:[Agency]]=$E334)/(TableDiv[[Agency]:[Agency]]=$E334)*(ROW(TableDiv[Agency])-ROW(TableDiv[[#Headers],[Agency]])),COLUMNS($F$7:AB$7))))</f>
        <v>0</v>
      </c>
      <c r="AC334" s="2223" cm="1">
        <f t="array" ref="AC334">IF($D334&lt;COLUMNS($F$7:AC$7),"",INDEX(TableDiv[[GASB]:[GASB]],_xlfn.AGGREGATE(15,3,(TableDiv[[Agency]:[Agency]]=$E334)/(TableDiv[[Agency]:[Agency]]=$E334)*(ROW(TableDiv[Agency])-ROW(TableDiv[[#Headers],[Agency]])),COLUMNS($F$7:AC$7))))</f>
        <v>0</v>
      </c>
      <c r="AD334" s="2223" cm="1">
        <f t="array" ref="AD334">IF($D334&lt;COLUMNS($F$7:AD$7),"",INDEX(TableDiv[[GASB]:[GASB]],_xlfn.AGGREGATE(15,3,(TableDiv[[Agency]:[Agency]]=$E334)/(TableDiv[[Agency]:[Agency]]=$E334)*(ROW(TableDiv[Agency])-ROW(TableDiv[[#Headers],[Agency]])),COLUMNS($F$7:AD$7))))</f>
        <v>0</v>
      </c>
      <c r="AE334" s="2223" cm="1">
        <f t="array" ref="AE334">IF($D334&lt;COLUMNS($F$7:AE$7),"",INDEX(TableDiv[[GASB]:[GASB]],_xlfn.AGGREGATE(15,3,(TableDiv[[Agency]:[Agency]]=$E334)/(TableDiv[[Agency]:[Agency]]=$E334)*(ROW(TableDiv[Agency])-ROW(TableDiv[[#Headers],[Agency]])),COLUMNS($F$7:AE$7))))</f>
        <v>0</v>
      </c>
      <c r="AF334" s="2223" cm="1">
        <f t="array" ref="AF334">IF($D334&lt;COLUMNS($F$7:AF$7),"",INDEX(TableDiv[[GASB]:[GASB]],_xlfn.AGGREGATE(15,3,(TableDiv[[Agency]:[Agency]]=$E334)/(TableDiv[[Agency]:[Agency]]=$E334)*(ROW(TableDiv[Agency])-ROW(TableDiv[[#Headers],[Agency]])),COLUMNS($F$7:AF$7))))</f>
        <v>0</v>
      </c>
      <c r="AG334" s="2223" cm="1">
        <f t="array" ref="AG334">IF($D334&lt;COLUMNS($F$7:AG$7),"",INDEX(TableDiv[[GASB]:[GASB]],_xlfn.AGGREGATE(15,3,(TableDiv[[Agency]:[Agency]]=$E334)/(TableDiv[[Agency]:[Agency]]=$E334)*(ROW(TableDiv[Agency])-ROW(TableDiv[[#Headers],[Agency]])),COLUMNS($F$7:AG$7))))</f>
        <v>0</v>
      </c>
      <c r="AH334" s="2223" cm="1">
        <f t="array" ref="AH334">IF($D334&lt;COLUMNS($F$7:AH$7),"",INDEX(TableDiv[[GASB]:[GASB]],_xlfn.AGGREGATE(15,3,(TableDiv[[Agency]:[Agency]]=$E334)/(TableDiv[[Agency]:[Agency]]=$E334)*(ROW(TableDiv[Agency])-ROW(TableDiv[[#Headers],[Agency]])),COLUMNS($F$7:AH$7))))</f>
        <v>0</v>
      </c>
      <c r="AI334" s="2223" cm="1">
        <f t="array" ref="AI334">IF($D334&lt;COLUMNS($F$7:AI$7),"",INDEX(TableDiv[[GASB]:[GASB]],_xlfn.AGGREGATE(15,3,(TableDiv[[Agency]:[Agency]]=$E334)/(TableDiv[[Agency]:[Agency]]=$E334)*(ROW(TableDiv[Agency])-ROW(TableDiv[[#Headers],[Agency]])),COLUMNS($F$7:AI$7))))</f>
        <v>0</v>
      </c>
      <c r="AJ334" s="2223" cm="1">
        <f t="array" ref="AJ334">IF($D334&lt;COLUMNS($F$7:AJ$7),"",INDEX(TableDiv[[GASB]:[GASB]],_xlfn.AGGREGATE(15,3,(TableDiv[[Agency]:[Agency]]=$E334)/(TableDiv[[Agency]:[Agency]]=$E334)*(ROW(TableDiv[Agency])-ROW(TableDiv[[#Headers],[Agency]])),COLUMNS($F$7:AJ$7))))</f>
        <v>0</v>
      </c>
      <c r="AK334" s="2223" t="str" cm="1">
        <f t="array" ref="AK334">IF($D334&lt;COLUMNS($F$7:AK$7),"",INDEX(TableDiv[[GASB]:[GASB]],_xlfn.AGGREGATE(15,3,(TableDiv[[Agency]:[Agency]]=$E334)/(TableDiv[[Agency]:[Agency]]=$E334)*(ROW(TableDiv[Agency])-ROW(TableDiv[[#Headers],[Agency]])),COLUMNS($F$7:AK$7))))</f>
        <v/>
      </c>
      <c r="AL334" s="2223" t="str" cm="1">
        <f t="array" ref="AL334">IF($D334&lt;COLUMNS($F$7:AL$7),"",INDEX(TableDiv[[GASB]:[GASB]],_xlfn.AGGREGATE(15,3,(TableDiv[[Agency]:[Agency]]=$E334)/(TableDiv[[Agency]:[Agency]]=$E334)*(ROW(TableDiv[Agency])-ROW(TableDiv[[#Headers],[Agency]])),COLUMNS($F$7:AL$7))))</f>
        <v/>
      </c>
      <c r="AM334" s="2223" t="str" cm="1">
        <f t="array" ref="AM334">IF($D334&lt;COLUMNS($F$7:AM$7),"",INDEX(TableDiv[[GASB]:[GASB]],_xlfn.AGGREGATE(15,3,(TableDiv[[Agency]:[Agency]]=$E334)/(TableDiv[[Agency]:[Agency]]=$E334)*(ROW(TableDiv[Agency])-ROW(TableDiv[[#Headers],[Agency]])),COLUMNS($F$7:AM$7))))</f>
        <v/>
      </c>
      <c r="AN334" s="2223"/>
      <c r="AO334" s="2223"/>
      <c r="AP334" s="2223"/>
      <c r="AQ334" s="2223"/>
      <c r="AR334" s="2223"/>
      <c r="AS334" s="2223"/>
    </row>
    <row r="335" spans="1:45" ht="15" x14ac:dyDescent="0.25">
      <c r="A335" s="2219" t="s">
        <v>5132</v>
      </c>
      <c r="B335" s="2219" t="s">
        <v>6483</v>
      </c>
      <c r="C335" s="2223"/>
      <c r="D335" s="2223">
        <f>COUNTIF(TableDiv[Agency],E335)</f>
        <v>31</v>
      </c>
      <c r="E335" s="2230" t="str" cm="1">
        <f t="array" ref="E335">IFERROR(INDEX(TableDiv[Agency],MATCH(0,INDEX(COUNTIF($E$7:E334,TableDiv[Agency]),),0)),"")</f>
        <v/>
      </c>
      <c r="F335" s="2223" cm="1">
        <f t="array" ref="F335">IF($D335&lt;COLUMNS($F$7:F$7),"",INDEX(TableDiv[[GASB]:[GASB]],_xlfn.AGGREGATE(15,3,(TableDiv[[Agency]:[Agency]]=$E335)/(TableDiv[[Agency]:[Agency]]=$E335)*(ROW(TableDiv[Agency])-ROW(TableDiv[[#Headers],[Agency]])),COLUMNS($F$7:F$7))))</f>
        <v>0</v>
      </c>
      <c r="G335" s="2223" cm="1">
        <f t="array" ref="G335">IF($D335&lt;COLUMNS($F$7:G$7),"",INDEX(TableDiv[[GASB]:[GASB]],_xlfn.AGGREGATE(15,3,(TableDiv[[Agency]:[Agency]]=$E335)/(TableDiv[[Agency]:[Agency]]=$E335)*(ROW(TableDiv[Agency])-ROW(TableDiv[[#Headers],[Agency]])),COLUMNS($F$7:G$7))))</f>
        <v>0</v>
      </c>
      <c r="H335" s="2223" cm="1">
        <f t="array" ref="H335">IF($D335&lt;COLUMNS($F$7:H$7),"",INDEX(TableDiv[[GASB]:[GASB]],_xlfn.AGGREGATE(15,3,(TableDiv[[Agency]:[Agency]]=$E335)/(TableDiv[[Agency]:[Agency]]=$E335)*(ROW(TableDiv[Agency])-ROW(TableDiv[[#Headers],[Agency]])),COLUMNS($F$7:H$7))))</f>
        <v>0</v>
      </c>
      <c r="I335" s="2223" cm="1">
        <f t="array" ref="I335">IF($D335&lt;COLUMNS($F$7:I$7),"",INDEX(TableDiv[[GASB]:[GASB]],_xlfn.AGGREGATE(15,3,(TableDiv[[Agency]:[Agency]]=$E335)/(TableDiv[[Agency]:[Agency]]=$E335)*(ROW(TableDiv[Agency])-ROW(TableDiv[[#Headers],[Agency]])),COLUMNS($F$7:I$7))))</f>
        <v>0</v>
      </c>
      <c r="J335" s="2223" cm="1">
        <f t="array" ref="J335">IF($D335&lt;COLUMNS($F$7:J$7),"",INDEX(TableDiv[[GASB]:[GASB]],_xlfn.AGGREGATE(15,3,(TableDiv[[Agency]:[Agency]]=$E335)/(TableDiv[[Agency]:[Agency]]=$E335)*(ROW(TableDiv[Agency])-ROW(TableDiv[[#Headers],[Agency]])),COLUMNS($F$7:J$7))))</f>
        <v>0</v>
      </c>
      <c r="K335" s="2223" cm="1">
        <f t="array" ref="K335">IF($D335&lt;COLUMNS($F$7:K$7),"",INDEX(TableDiv[[GASB]:[GASB]],_xlfn.AGGREGATE(15,3,(TableDiv[[Agency]:[Agency]]=$E335)/(TableDiv[[Agency]:[Agency]]=$E335)*(ROW(TableDiv[Agency])-ROW(TableDiv[[#Headers],[Agency]])),COLUMNS($F$7:K$7))))</f>
        <v>0</v>
      </c>
      <c r="L335" s="2223" cm="1">
        <f t="array" ref="L335">IF($D335&lt;COLUMNS($F$7:L$7),"",INDEX(TableDiv[[GASB]:[GASB]],_xlfn.AGGREGATE(15,3,(TableDiv[[Agency]:[Agency]]=$E335)/(TableDiv[[Agency]:[Agency]]=$E335)*(ROW(TableDiv[Agency])-ROW(TableDiv[[#Headers],[Agency]])),COLUMNS($F$7:L$7))))</f>
        <v>0</v>
      </c>
      <c r="M335" s="2223" cm="1">
        <f t="array" ref="M335">IF($D335&lt;COLUMNS($F$7:M$7),"",INDEX(TableDiv[[GASB]:[GASB]],_xlfn.AGGREGATE(15,3,(TableDiv[[Agency]:[Agency]]=$E335)/(TableDiv[[Agency]:[Agency]]=$E335)*(ROW(TableDiv[Agency])-ROW(TableDiv[[#Headers],[Agency]])),COLUMNS($F$7:M$7))))</f>
        <v>0</v>
      </c>
      <c r="N335" s="2223" cm="1">
        <f t="array" ref="N335">IF($D335&lt;COLUMNS($F$7:N$7),"",INDEX(TableDiv[[GASB]:[GASB]],_xlfn.AGGREGATE(15,3,(TableDiv[[Agency]:[Agency]]=$E335)/(TableDiv[[Agency]:[Agency]]=$E335)*(ROW(TableDiv[Agency])-ROW(TableDiv[[#Headers],[Agency]])),COLUMNS($F$7:N$7))))</f>
        <v>0</v>
      </c>
      <c r="O335" s="2223" cm="1">
        <f t="array" ref="O335">IF($D335&lt;COLUMNS($F$7:O$7),"",INDEX(TableDiv[[GASB]:[GASB]],_xlfn.AGGREGATE(15,3,(TableDiv[[Agency]:[Agency]]=$E335)/(TableDiv[[Agency]:[Agency]]=$E335)*(ROW(TableDiv[Agency])-ROW(TableDiv[[#Headers],[Agency]])),COLUMNS($F$7:O$7))))</f>
        <v>0</v>
      </c>
      <c r="P335" s="2223" cm="1">
        <f t="array" ref="P335">IF($D335&lt;COLUMNS($F$7:P$7),"",INDEX(TableDiv[[GASB]:[GASB]],_xlfn.AGGREGATE(15,3,(TableDiv[[Agency]:[Agency]]=$E335)/(TableDiv[[Agency]:[Agency]]=$E335)*(ROW(TableDiv[Agency])-ROW(TableDiv[[#Headers],[Agency]])),COLUMNS($F$7:P$7))))</f>
        <v>0</v>
      </c>
      <c r="Q335" s="2223" cm="1">
        <f t="array" ref="Q335">IF($D335&lt;COLUMNS($F$7:Q$7),"",INDEX(TableDiv[[GASB]:[GASB]],_xlfn.AGGREGATE(15,3,(TableDiv[[Agency]:[Agency]]=$E335)/(TableDiv[[Agency]:[Agency]]=$E335)*(ROW(TableDiv[Agency])-ROW(TableDiv[[#Headers],[Agency]])),COLUMNS($F$7:Q$7))))</f>
        <v>0</v>
      </c>
      <c r="R335" s="2223" cm="1">
        <f t="array" ref="R335">IF($D335&lt;COLUMNS($F$7:R$7),"",INDEX(TableDiv[[GASB]:[GASB]],_xlfn.AGGREGATE(15,3,(TableDiv[[Agency]:[Agency]]=$E335)/(TableDiv[[Agency]:[Agency]]=$E335)*(ROW(TableDiv[Agency])-ROW(TableDiv[[#Headers],[Agency]])),COLUMNS($F$7:R$7))))</f>
        <v>0</v>
      </c>
      <c r="S335" s="2223" cm="1">
        <f t="array" ref="S335">IF($D335&lt;COLUMNS($F$7:S$7),"",INDEX(TableDiv[[GASB]:[GASB]],_xlfn.AGGREGATE(15,3,(TableDiv[[Agency]:[Agency]]=$E335)/(TableDiv[[Agency]:[Agency]]=$E335)*(ROW(TableDiv[Agency])-ROW(TableDiv[[#Headers],[Agency]])),COLUMNS($F$7:S$7))))</f>
        <v>0</v>
      </c>
      <c r="T335" s="2223" cm="1">
        <f t="array" ref="T335">IF($D335&lt;COLUMNS($F$7:T$7),"",INDEX(TableDiv[[GASB]:[GASB]],_xlfn.AGGREGATE(15,3,(TableDiv[[Agency]:[Agency]]=$E335)/(TableDiv[[Agency]:[Agency]]=$E335)*(ROW(TableDiv[Agency])-ROW(TableDiv[[#Headers],[Agency]])),COLUMNS($F$7:T$7))))</f>
        <v>0</v>
      </c>
      <c r="U335" s="2223" cm="1">
        <f t="array" ref="U335">IF($D335&lt;COLUMNS($F$7:U$7),"",INDEX(TableDiv[[GASB]:[GASB]],_xlfn.AGGREGATE(15,3,(TableDiv[[Agency]:[Agency]]=$E335)/(TableDiv[[Agency]:[Agency]]=$E335)*(ROW(TableDiv[Agency])-ROW(TableDiv[[#Headers],[Agency]])),COLUMNS($F$7:U$7))))</f>
        <v>0</v>
      </c>
      <c r="V335" s="2223" cm="1">
        <f t="array" ref="V335">IF($D335&lt;COLUMNS($F$7:V$7),"",INDEX(TableDiv[[GASB]:[GASB]],_xlfn.AGGREGATE(15,3,(TableDiv[[Agency]:[Agency]]=$E335)/(TableDiv[[Agency]:[Agency]]=$E335)*(ROW(TableDiv[Agency])-ROW(TableDiv[[#Headers],[Agency]])),COLUMNS($F$7:V$7))))</f>
        <v>0</v>
      </c>
      <c r="W335" s="2223" cm="1">
        <f t="array" ref="W335">IF($D335&lt;COLUMNS($F$7:W$7),"",INDEX(TableDiv[[GASB]:[GASB]],_xlfn.AGGREGATE(15,3,(TableDiv[[Agency]:[Agency]]=$E335)/(TableDiv[[Agency]:[Agency]]=$E335)*(ROW(TableDiv[Agency])-ROW(TableDiv[[#Headers],[Agency]])),COLUMNS($F$7:W$7))))</f>
        <v>0</v>
      </c>
      <c r="X335" s="2223" cm="1">
        <f t="array" ref="X335">IF($D335&lt;COLUMNS($F$7:X$7),"",INDEX(TableDiv[[GASB]:[GASB]],_xlfn.AGGREGATE(15,3,(TableDiv[[Agency]:[Agency]]=$E335)/(TableDiv[[Agency]:[Agency]]=$E335)*(ROW(TableDiv[Agency])-ROW(TableDiv[[#Headers],[Agency]])),COLUMNS($F$7:X$7))))</f>
        <v>0</v>
      </c>
      <c r="Y335" s="2223" cm="1">
        <f t="array" ref="Y335">IF($D335&lt;COLUMNS($F$7:Y$7),"",INDEX(TableDiv[[GASB]:[GASB]],_xlfn.AGGREGATE(15,3,(TableDiv[[Agency]:[Agency]]=$E335)/(TableDiv[[Agency]:[Agency]]=$E335)*(ROW(TableDiv[Agency])-ROW(TableDiv[[#Headers],[Agency]])),COLUMNS($F$7:Y$7))))</f>
        <v>0</v>
      </c>
      <c r="Z335" s="2223" cm="1">
        <f t="array" ref="Z335">IF($D335&lt;COLUMNS($F$7:Z$7),"",INDEX(TableDiv[[GASB]:[GASB]],_xlfn.AGGREGATE(15,3,(TableDiv[[Agency]:[Agency]]=$E335)/(TableDiv[[Agency]:[Agency]]=$E335)*(ROW(TableDiv[Agency])-ROW(TableDiv[[#Headers],[Agency]])),COLUMNS($F$7:Z$7))))</f>
        <v>0</v>
      </c>
      <c r="AA335" s="2223" cm="1">
        <f t="array" ref="AA335">IF($D335&lt;COLUMNS($F$7:AA$7),"",INDEX(TableDiv[[GASB]:[GASB]],_xlfn.AGGREGATE(15,3,(TableDiv[[Agency]:[Agency]]=$E335)/(TableDiv[[Agency]:[Agency]]=$E335)*(ROW(TableDiv[Agency])-ROW(TableDiv[[#Headers],[Agency]])),COLUMNS($F$7:AA$7))))</f>
        <v>0</v>
      </c>
      <c r="AB335" s="2223" cm="1">
        <f t="array" ref="AB335">IF($D335&lt;COLUMNS($F$7:AB$7),"",INDEX(TableDiv[[GASB]:[GASB]],_xlfn.AGGREGATE(15,3,(TableDiv[[Agency]:[Agency]]=$E335)/(TableDiv[[Agency]:[Agency]]=$E335)*(ROW(TableDiv[Agency])-ROW(TableDiv[[#Headers],[Agency]])),COLUMNS($F$7:AB$7))))</f>
        <v>0</v>
      </c>
      <c r="AC335" s="2223" cm="1">
        <f t="array" ref="AC335">IF($D335&lt;COLUMNS($F$7:AC$7),"",INDEX(TableDiv[[GASB]:[GASB]],_xlfn.AGGREGATE(15,3,(TableDiv[[Agency]:[Agency]]=$E335)/(TableDiv[[Agency]:[Agency]]=$E335)*(ROW(TableDiv[Agency])-ROW(TableDiv[[#Headers],[Agency]])),COLUMNS($F$7:AC$7))))</f>
        <v>0</v>
      </c>
      <c r="AD335" s="2223" cm="1">
        <f t="array" ref="AD335">IF($D335&lt;COLUMNS($F$7:AD$7),"",INDEX(TableDiv[[GASB]:[GASB]],_xlfn.AGGREGATE(15,3,(TableDiv[[Agency]:[Agency]]=$E335)/(TableDiv[[Agency]:[Agency]]=$E335)*(ROW(TableDiv[Agency])-ROW(TableDiv[[#Headers],[Agency]])),COLUMNS($F$7:AD$7))))</f>
        <v>0</v>
      </c>
      <c r="AE335" s="2223" cm="1">
        <f t="array" ref="AE335">IF($D335&lt;COLUMNS($F$7:AE$7),"",INDEX(TableDiv[[GASB]:[GASB]],_xlfn.AGGREGATE(15,3,(TableDiv[[Agency]:[Agency]]=$E335)/(TableDiv[[Agency]:[Agency]]=$E335)*(ROW(TableDiv[Agency])-ROW(TableDiv[[#Headers],[Agency]])),COLUMNS($F$7:AE$7))))</f>
        <v>0</v>
      </c>
      <c r="AF335" s="2223" cm="1">
        <f t="array" ref="AF335">IF($D335&lt;COLUMNS($F$7:AF$7),"",INDEX(TableDiv[[GASB]:[GASB]],_xlfn.AGGREGATE(15,3,(TableDiv[[Agency]:[Agency]]=$E335)/(TableDiv[[Agency]:[Agency]]=$E335)*(ROW(TableDiv[Agency])-ROW(TableDiv[[#Headers],[Agency]])),COLUMNS($F$7:AF$7))))</f>
        <v>0</v>
      </c>
      <c r="AG335" s="2223" cm="1">
        <f t="array" ref="AG335">IF($D335&lt;COLUMNS($F$7:AG$7),"",INDEX(TableDiv[[GASB]:[GASB]],_xlfn.AGGREGATE(15,3,(TableDiv[[Agency]:[Agency]]=$E335)/(TableDiv[[Agency]:[Agency]]=$E335)*(ROW(TableDiv[Agency])-ROW(TableDiv[[#Headers],[Agency]])),COLUMNS($F$7:AG$7))))</f>
        <v>0</v>
      </c>
      <c r="AH335" s="2223" cm="1">
        <f t="array" ref="AH335">IF($D335&lt;COLUMNS($F$7:AH$7),"",INDEX(TableDiv[[GASB]:[GASB]],_xlfn.AGGREGATE(15,3,(TableDiv[[Agency]:[Agency]]=$E335)/(TableDiv[[Agency]:[Agency]]=$E335)*(ROW(TableDiv[Agency])-ROW(TableDiv[[#Headers],[Agency]])),COLUMNS($F$7:AH$7))))</f>
        <v>0</v>
      </c>
      <c r="AI335" s="2223" cm="1">
        <f t="array" ref="AI335">IF($D335&lt;COLUMNS($F$7:AI$7),"",INDEX(TableDiv[[GASB]:[GASB]],_xlfn.AGGREGATE(15,3,(TableDiv[[Agency]:[Agency]]=$E335)/(TableDiv[[Agency]:[Agency]]=$E335)*(ROW(TableDiv[Agency])-ROW(TableDiv[[#Headers],[Agency]])),COLUMNS($F$7:AI$7))))</f>
        <v>0</v>
      </c>
      <c r="AJ335" s="2223" cm="1">
        <f t="array" ref="AJ335">IF($D335&lt;COLUMNS($F$7:AJ$7),"",INDEX(TableDiv[[GASB]:[GASB]],_xlfn.AGGREGATE(15,3,(TableDiv[[Agency]:[Agency]]=$E335)/(TableDiv[[Agency]:[Agency]]=$E335)*(ROW(TableDiv[Agency])-ROW(TableDiv[[#Headers],[Agency]])),COLUMNS($F$7:AJ$7))))</f>
        <v>0</v>
      </c>
      <c r="AK335" s="2223" t="str" cm="1">
        <f t="array" ref="AK335">IF($D335&lt;COLUMNS($F$7:AK$7),"",INDEX(TableDiv[[GASB]:[GASB]],_xlfn.AGGREGATE(15,3,(TableDiv[[Agency]:[Agency]]=$E335)/(TableDiv[[Agency]:[Agency]]=$E335)*(ROW(TableDiv[Agency])-ROW(TableDiv[[#Headers],[Agency]])),COLUMNS($F$7:AK$7))))</f>
        <v/>
      </c>
      <c r="AL335" s="2223" t="str" cm="1">
        <f t="array" ref="AL335">IF($D335&lt;COLUMNS($F$7:AL$7),"",INDEX(TableDiv[[GASB]:[GASB]],_xlfn.AGGREGATE(15,3,(TableDiv[[Agency]:[Agency]]=$E335)/(TableDiv[[Agency]:[Agency]]=$E335)*(ROW(TableDiv[Agency])-ROW(TableDiv[[#Headers],[Agency]])),COLUMNS($F$7:AL$7))))</f>
        <v/>
      </c>
      <c r="AM335" s="2223" t="str" cm="1">
        <f t="array" ref="AM335">IF($D335&lt;COLUMNS($F$7:AM$7),"",INDEX(TableDiv[[GASB]:[GASB]],_xlfn.AGGREGATE(15,3,(TableDiv[[Agency]:[Agency]]=$E335)/(TableDiv[[Agency]:[Agency]]=$E335)*(ROW(TableDiv[Agency])-ROW(TableDiv[[#Headers],[Agency]])),COLUMNS($F$7:AM$7))))</f>
        <v/>
      </c>
      <c r="AN335" s="2223"/>
      <c r="AO335" s="2223"/>
      <c r="AP335" s="2223"/>
      <c r="AQ335" s="2223"/>
      <c r="AR335" s="2223"/>
      <c r="AS335" s="2223"/>
    </row>
    <row r="336" spans="1:45" ht="15" x14ac:dyDescent="0.25">
      <c r="A336" s="2219" t="s">
        <v>5132</v>
      </c>
      <c r="B336" s="2219" t="s">
        <v>6484</v>
      </c>
      <c r="C336" s="2223"/>
      <c r="D336" s="2223">
        <f>COUNTIF(TableDiv[Agency],E336)</f>
        <v>31</v>
      </c>
      <c r="E336" s="2230" t="str" cm="1">
        <f t="array" ref="E336">IFERROR(INDEX(TableDiv[Agency],MATCH(0,INDEX(COUNTIF($E$7:E335,TableDiv[Agency]),),0)),"")</f>
        <v/>
      </c>
      <c r="F336" s="2223" cm="1">
        <f t="array" ref="F336">IF($D336&lt;COLUMNS($F$7:F$7),"",INDEX(TableDiv[[GASB]:[GASB]],_xlfn.AGGREGATE(15,3,(TableDiv[[Agency]:[Agency]]=$E336)/(TableDiv[[Agency]:[Agency]]=$E336)*(ROW(TableDiv[Agency])-ROW(TableDiv[[#Headers],[Agency]])),COLUMNS($F$7:F$7))))</f>
        <v>0</v>
      </c>
      <c r="G336" s="2223" cm="1">
        <f t="array" ref="G336">IF($D336&lt;COLUMNS($F$7:G$7),"",INDEX(TableDiv[[GASB]:[GASB]],_xlfn.AGGREGATE(15,3,(TableDiv[[Agency]:[Agency]]=$E336)/(TableDiv[[Agency]:[Agency]]=$E336)*(ROW(TableDiv[Agency])-ROW(TableDiv[[#Headers],[Agency]])),COLUMNS($F$7:G$7))))</f>
        <v>0</v>
      </c>
      <c r="H336" s="2223" cm="1">
        <f t="array" ref="H336">IF($D336&lt;COLUMNS($F$7:H$7),"",INDEX(TableDiv[[GASB]:[GASB]],_xlfn.AGGREGATE(15,3,(TableDiv[[Agency]:[Agency]]=$E336)/(TableDiv[[Agency]:[Agency]]=$E336)*(ROW(TableDiv[Agency])-ROW(TableDiv[[#Headers],[Agency]])),COLUMNS($F$7:H$7))))</f>
        <v>0</v>
      </c>
      <c r="I336" s="2223" cm="1">
        <f t="array" ref="I336">IF($D336&lt;COLUMNS($F$7:I$7),"",INDEX(TableDiv[[GASB]:[GASB]],_xlfn.AGGREGATE(15,3,(TableDiv[[Agency]:[Agency]]=$E336)/(TableDiv[[Agency]:[Agency]]=$E336)*(ROW(TableDiv[Agency])-ROW(TableDiv[[#Headers],[Agency]])),COLUMNS($F$7:I$7))))</f>
        <v>0</v>
      </c>
      <c r="J336" s="2223" cm="1">
        <f t="array" ref="J336">IF($D336&lt;COLUMNS($F$7:J$7),"",INDEX(TableDiv[[GASB]:[GASB]],_xlfn.AGGREGATE(15,3,(TableDiv[[Agency]:[Agency]]=$E336)/(TableDiv[[Agency]:[Agency]]=$E336)*(ROW(TableDiv[Agency])-ROW(TableDiv[[#Headers],[Agency]])),COLUMNS($F$7:J$7))))</f>
        <v>0</v>
      </c>
      <c r="K336" s="2223" cm="1">
        <f t="array" ref="K336">IF($D336&lt;COLUMNS($F$7:K$7),"",INDEX(TableDiv[[GASB]:[GASB]],_xlfn.AGGREGATE(15,3,(TableDiv[[Agency]:[Agency]]=$E336)/(TableDiv[[Agency]:[Agency]]=$E336)*(ROW(TableDiv[Agency])-ROW(TableDiv[[#Headers],[Agency]])),COLUMNS($F$7:K$7))))</f>
        <v>0</v>
      </c>
      <c r="L336" s="2223" cm="1">
        <f t="array" ref="L336">IF($D336&lt;COLUMNS($F$7:L$7),"",INDEX(TableDiv[[GASB]:[GASB]],_xlfn.AGGREGATE(15,3,(TableDiv[[Agency]:[Agency]]=$E336)/(TableDiv[[Agency]:[Agency]]=$E336)*(ROW(TableDiv[Agency])-ROW(TableDiv[[#Headers],[Agency]])),COLUMNS($F$7:L$7))))</f>
        <v>0</v>
      </c>
      <c r="M336" s="2223" cm="1">
        <f t="array" ref="M336">IF($D336&lt;COLUMNS($F$7:M$7),"",INDEX(TableDiv[[GASB]:[GASB]],_xlfn.AGGREGATE(15,3,(TableDiv[[Agency]:[Agency]]=$E336)/(TableDiv[[Agency]:[Agency]]=$E336)*(ROW(TableDiv[Agency])-ROW(TableDiv[[#Headers],[Agency]])),COLUMNS($F$7:M$7))))</f>
        <v>0</v>
      </c>
      <c r="N336" s="2223" cm="1">
        <f t="array" ref="N336">IF($D336&lt;COLUMNS($F$7:N$7),"",INDEX(TableDiv[[GASB]:[GASB]],_xlfn.AGGREGATE(15,3,(TableDiv[[Agency]:[Agency]]=$E336)/(TableDiv[[Agency]:[Agency]]=$E336)*(ROW(TableDiv[Agency])-ROW(TableDiv[[#Headers],[Agency]])),COLUMNS($F$7:N$7))))</f>
        <v>0</v>
      </c>
      <c r="O336" s="2223" cm="1">
        <f t="array" ref="O336">IF($D336&lt;COLUMNS($F$7:O$7),"",INDEX(TableDiv[[GASB]:[GASB]],_xlfn.AGGREGATE(15,3,(TableDiv[[Agency]:[Agency]]=$E336)/(TableDiv[[Agency]:[Agency]]=$E336)*(ROW(TableDiv[Agency])-ROW(TableDiv[[#Headers],[Agency]])),COLUMNS($F$7:O$7))))</f>
        <v>0</v>
      </c>
      <c r="P336" s="2223" cm="1">
        <f t="array" ref="P336">IF($D336&lt;COLUMNS($F$7:P$7),"",INDEX(TableDiv[[GASB]:[GASB]],_xlfn.AGGREGATE(15,3,(TableDiv[[Agency]:[Agency]]=$E336)/(TableDiv[[Agency]:[Agency]]=$E336)*(ROW(TableDiv[Agency])-ROW(TableDiv[[#Headers],[Agency]])),COLUMNS($F$7:P$7))))</f>
        <v>0</v>
      </c>
      <c r="Q336" s="2223" cm="1">
        <f t="array" ref="Q336">IF($D336&lt;COLUMNS($F$7:Q$7),"",INDEX(TableDiv[[GASB]:[GASB]],_xlfn.AGGREGATE(15,3,(TableDiv[[Agency]:[Agency]]=$E336)/(TableDiv[[Agency]:[Agency]]=$E336)*(ROW(TableDiv[Agency])-ROW(TableDiv[[#Headers],[Agency]])),COLUMNS($F$7:Q$7))))</f>
        <v>0</v>
      </c>
      <c r="R336" s="2223" cm="1">
        <f t="array" ref="R336">IF($D336&lt;COLUMNS($F$7:R$7),"",INDEX(TableDiv[[GASB]:[GASB]],_xlfn.AGGREGATE(15,3,(TableDiv[[Agency]:[Agency]]=$E336)/(TableDiv[[Agency]:[Agency]]=$E336)*(ROW(TableDiv[Agency])-ROW(TableDiv[[#Headers],[Agency]])),COLUMNS($F$7:R$7))))</f>
        <v>0</v>
      </c>
      <c r="S336" s="2223" cm="1">
        <f t="array" ref="S336">IF($D336&lt;COLUMNS($F$7:S$7),"",INDEX(TableDiv[[GASB]:[GASB]],_xlfn.AGGREGATE(15,3,(TableDiv[[Agency]:[Agency]]=$E336)/(TableDiv[[Agency]:[Agency]]=$E336)*(ROW(TableDiv[Agency])-ROW(TableDiv[[#Headers],[Agency]])),COLUMNS($F$7:S$7))))</f>
        <v>0</v>
      </c>
      <c r="T336" s="2223" cm="1">
        <f t="array" ref="T336">IF($D336&lt;COLUMNS($F$7:T$7),"",INDEX(TableDiv[[GASB]:[GASB]],_xlfn.AGGREGATE(15,3,(TableDiv[[Agency]:[Agency]]=$E336)/(TableDiv[[Agency]:[Agency]]=$E336)*(ROW(TableDiv[Agency])-ROW(TableDiv[[#Headers],[Agency]])),COLUMNS($F$7:T$7))))</f>
        <v>0</v>
      </c>
      <c r="U336" s="2223" cm="1">
        <f t="array" ref="U336">IF($D336&lt;COLUMNS($F$7:U$7),"",INDEX(TableDiv[[GASB]:[GASB]],_xlfn.AGGREGATE(15,3,(TableDiv[[Agency]:[Agency]]=$E336)/(TableDiv[[Agency]:[Agency]]=$E336)*(ROW(TableDiv[Agency])-ROW(TableDiv[[#Headers],[Agency]])),COLUMNS($F$7:U$7))))</f>
        <v>0</v>
      </c>
      <c r="V336" s="2223" cm="1">
        <f t="array" ref="V336">IF($D336&lt;COLUMNS($F$7:V$7),"",INDEX(TableDiv[[GASB]:[GASB]],_xlfn.AGGREGATE(15,3,(TableDiv[[Agency]:[Agency]]=$E336)/(TableDiv[[Agency]:[Agency]]=$E336)*(ROW(TableDiv[Agency])-ROW(TableDiv[[#Headers],[Agency]])),COLUMNS($F$7:V$7))))</f>
        <v>0</v>
      </c>
      <c r="W336" s="2223" cm="1">
        <f t="array" ref="W336">IF($D336&lt;COLUMNS($F$7:W$7),"",INDEX(TableDiv[[GASB]:[GASB]],_xlfn.AGGREGATE(15,3,(TableDiv[[Agency]:[Agency]]=$E336)/(TableDiv[[Agency]:[Agency]]=$E336)*(ROW(TableDiv[Agency])-ROW(TableDiv[[#Headers],[Agency]])),COLUMNS($F$7:W$7))))</f>
        <v>0</v>
      </c>
      <c r="X336" s="2223" cm="1">
        <f t="array" ref="X336">IF($D336&lt;COLUMNS($F$7:X$7),"",INDEX(TableDiv[[GASB]:[GASB]],_xlfn.AGGREGATE(15,3,(TableDiv[[Agency]:[Agency]]=$E336)/(TableDiv[[Agency]:[Agency]]=$E336)*(ROW(TableDiv[Agency])-ROW(TableDiv[[#Headers],[Agency]])),COLUMNS($F$7:X$7))))</f>
        <v>0</v>
      </c>
      <c r="Y336" s="2223" cm="1">
        <f t="array" ref="Y336">IF($D336&lt;COLUMNS($F$7:Y$7),"",INDEX(TableDiv[[GASB]:[GASB]],_xlfn.AGGREGATE(15,3,(TableDiv[[Agency]:[Agency]]=$E336)/(TableDiv[[Agency]:[Agency]]=$E336)*(ROW(TableDiv[Agency])-ROW(TableDiv[[#Headers],[Agency]])),COLUMNS($F$7:Y$7))))</f>
        <v>0</v>
      </c>
      <c r="Z336" s="2223" cm="1">
        <f t="array" ref="Z336">IF($D336&lt;COLUMNS($F$7:Z$7),"",INDEX(TableDiv[[GASB]:[GASB]],_xlfn.AGGREGATE(15,3,(TableDiv[[Agency]:[Agency]]=$E336)/(TableDiv[[Agency]:[Agency]]=$E336)*(ROW(TableDiv[Agency])-ROW(TableDiv[[#Headers],[Agency]])),COLUMNS($F$7:Z$7))))</f>
        <v>0</v>
      </c>
      <c r="AA336" s="2223" cm="1">
        <f t="array" ref="AA336">IF($D336&lt;COLUMNS($F$7:AA$7),"",INDEX(TableDiv[[GASB]:[GASB]],_xlfn.AGGREGATE(15,3,(TableDiv[[Agency]:[Agency]]=$E336)/(TableDiv[[Agency]:[Agency]]=$E336)*(ROW(TableDiv[Agency])-ROW(TableDiv[[#Headers],[Agency]])),COLUMNS($F$7:AA$7))))</f>
        <v>0</v>
      </c>
      <c r="AB336" s="2223" cm="1">
        <f t="array" ref="AB336">IF($D336&lt;COLUMNS($F$7:AB$7),"",INDEX(TableDiv[[GASB]:[GASB]],_xlfn.AGGREGATE(15,3,(TableDiv[[Agency]:[Agency]]=$E336)/(TableDiv[[Agency]:[Agency]]=$E336)*(ROW(TableDiv[Agency])-ROW(TableDiv[[#Headers],[Agency]])),COLUMNS($F$7:AB$7))))</f>
        <v>0</v>
      </c>
      <c r="AC336" s="2223" cm="1">
        <f t="array" ref="AC336">IF($D336&lt;COLUMNS($F$7:AC$7),"",INDEX(TableDiv[[GASB]:[GASB]],_xlfn.AGGREGATE(15,3,(TableDiv[[Agency]:[Agency]]=$E336)/(TableDiv[[Agency]:[Agency]]=$E336)*(ROW(TableDiv[Agency])-ROW(TableDiv[[#Headers],[Agency]])),COLUMNS($F$7:AC$7))))</f>
        <v>0</v>
      </c>
      <c r="AD336" s="2223" cm="1">
        <f t="array" ref="AD336">IF($D336&lt;COLUMNS($F$7:AD$7),"",INDEX(TableDiv[[GASB]:[GASB]],_xlfn.AGGREGATE(15,3,(TableDiv[[Agency]:[Agency]]=$E336)/(TableDiv[[Agency]:[Agency]]=$E336)*(ROW(TableDiv[Agency])-ROW(TableDiv[[#Headers],[Agency]])),COLUMNS($F$7:AD$7))))</f>
        <v>0</v>
      </c>
      <c r="AE336" s="2223" cm="1">
        <f t="array" ref="AE336">IF($D336&lt;COLUMNS($F$7:AE$7),"",INDEX(TableDiv[[GASB]:[GASB]],_xlfn.AGGREGATE(15,3,(TableDiv[[Agency]:[Agency]]=$E336)/(TableDiv[[Agency]:[Agency]]=$E336)*(ROW(TableDiv[Agency])-ROW(TableDiv[[#Headers],[Agency]])),COLUMNS($F$7:AE$7))))</f>
        <v>0</v>
      </c>
      <c r="AF336" s="2223" cm="1">
        <f t="array" ref="AF336">IF($D336&lt;COLUMNS($F$7:AF$7),"",INDEX(TableDiv[[GASB]:[GASB]],_xlfn.AGGREGATE(15,3,(TableDiv[[Agency]:[Agency]]=$E336)/(TableDiv[[Agency]:[Agency]]=$E336)*(ROW(TableDiv[Agency])-ROW(TableDiv[[#Headers],[Agency]])),COLUMNS($F$7:AF$7))))</f>
        <v>0</v>
      </c>
      <c r="AG336" s="2223" cm="1">
        <f t="array" ref="AG336">IF($D336&lt;COLUMNS($F$7:AG$7),"",INDEX(TableDiv[[GASB]:[GASB]],_xlfn.AGGREGATE(15,3,(TableDiv[[Agency]:[Agency]]=$E336)/(TableDiv[[Agency]:[Agency]]=$E336)*(ROW(TableDiv[Agency])-ROW(TableDiv[[#Headers],[Agency]])),COLUMNS($F$7:AG$7))))</f>
        <v>0</v>
      </c>
      <c r="AH336" s="2223" cm="1">
        <f t="array" ref="AH336">IF($D336&lt;COLUMNS($F$7:AH$7),"",INDEX(TableDiv[[GASB]:[GASB]],_xlfn.AGGREGATE(15,3,(TableDiv[[Agency]:[Agency]]=$E336)/(TableDiv[[Agency]:[Agency]]=$E336)*(ROW(TableDiv[Agency])-ROW(TableDiv[[#Headers],[Agency]])),COLUMNS($F$7:AH$7))))</f>
        <v>0</v>
      </c>
      <c r="AI336" s="2223" cm="1">
        <f t="array" ref="AI336">IF($D336&lt;COLUMNS($F$7:AI$7),"",INDEX(TableDiv[[GASB]:[GASB]],_xlfn.AGGREGATE(15,3,(TableDiv[[Agency]:[Agency]]=$E336)/(TableDiv[[Agency]:[Agency]]=$E336)*(ROW(TableDiv[Agency])-ROW(TableDiv[[#Headers],[Agency]])),COLUMNS($F$7:AI$7))))</f>
        <v>0</v>
      </c>
      <c r="AJ336" s="2223" cm="1">
        <f t="array" ref="AJ336">IF($D336&lt;COLUMNS($F$7:AJ$7),"",INDEX(TableDiv[[GASB]:[GASB]],_xlfn.AGGREGATE(15,3,(TableDiv[[Agency]:[Agency]]=$E336)/(TableDiv[[Agency]:[Agency]]=$E336)*(ROW(TableDiv[Agency])-ROW(TableDiv[[#Headers],[Agency]])),COLUMNS($F$7:AJ$7))))</f>
        <v>0</v>
      </c>
      <c r="AK336" s="2223" t="str" cm="1">
        <f t="array" ref="AK336">IF($D336&lt;COLUMNS($F$7:AK$7),"",INDEX(TableDiv[[GASB]:[GASB]],_xlfn.AGGREGATE(15,3,(TableDiv[[Agency]:[Agency]]=$E336)/(TableDiv[[Agency]:[Agency]]=$E336)*(ROW(TableDiv[Agency])-ROW(TableDiv[[#Headers],[Agency]])),COLUMNS($F$7:AK$7))))</f>
        <v/>
      </c>
      <c r="AL336" s="2223" t="str" cm="1">
        <f t="array" ref="AL336">IF($D336&lt;COLUMNS($F$7:AL$7),"",INDEX(TableDiv[[GASB]:[GASB]],_xlfn.AGGREGATE(15,3,(TableDiv[[Agency]:[Agency]]=$E336)/(TableDiv[[Agency]:[Agency]]=$E336)*(ROW(TableDiv[Agency])-ROW(TableDiv[[#Headers],[Agency]])),COLUMNS($F$7:AL$7))))</f>
        <v/>
      </c>
      <c r="AM336" s="2223" t="str" cm="1">
        <f t="array" ref="AM336">IF($D336&lt;COLUMNS($F$7:AM$7),"",INDEX(TableDiv[[GASB]:[GASB]],_xlfn.AGGREGATE(15,3,(TableDiv[[Agency]:[Agency]]=$E336)/(TableDiv[[Agency]:[Agency]]=$E336)*(ROW(TableDiv[Agency])-ROW(TableDiv[[#Headers],[Agency]])),COLUMNS($F$7:AM$7))))</f>
        <v/>
      </c>
      <c r="AN336" s="2223"/>
      <c r="AO336" s="2223"/>
      <c r="AP336" s="2223"/>
      <c r="AQ336" s="2223"/>
      <c r="AR336" s="2223"/>
      <c r="AS336" s="2223"/>
    </row>
    <row r="337" spans="1:45" ht="15" x14ac:dyDescent="0.25">
      <c r="A337" s="2219" t="s">
        <v>5132</v>
      </c>
      <c r="B337" s="2219" t="s">
        <v>6438</v>
      </c>
      <c r="C337" s="2223"/>
      <c r="D337" s="2223">
        <f>COUNTIF(TableDiv[Agency],E337)</f>
        <v>31</v>
      </c>
      <c r="E337" s="2230" t="str" cm="1">
        <f t="array" ref="E337">IFERROR(INDEX(TableDiv[Agency],MATCH(0,INDEX(COUNTIF($E$7:E336,TableDiv[Agency]),),0)),"")</f>
        <v/>
      </c>
      <c r="F337" s="2223" cm="1">
        <f t="array" ref="F337">IF($D337&lt;COLUMNS($F$7:F$7),"",INDEX(TableDiv[[GASB]:[GASB]],_xlfn.AGGREGATE(15,3,(TableDiv[[Agency]:[Agency]]=$E337)/(TableDiv[[Agency]:[Agency]]=$E337)*(ROW(TableDiv[Agency])-ROW(TableDiv[[#Headers],[Agency]])),COLUMNS($F$7:F$7))))</f>
        <v>0</v>
      </c>
      <c r="G337" s="2223" cm="1">
        <f t="array" ref="G337">IF($D337&lt;COLUMNS($F$7:G$7),"",INDEX(TableDiv[[GASB]:[GASB]],_xlfn.AGGREGATE(15,3,(TableDiv[[Agency]:[Agency]]=$E337)/(TableDiv[[Agency]:[Agency]]=$E337)*(ROW(TableDiv[Agency])-ROW(TableDiv[[#Headers],[Agency]])),COLUMNS($F$7:G$7))))</f>
        <v>0</v>
      </c>
      <c r="H337" s="2223" cm="1">
        <f t="array" ref="H337">IF($D337&lt;COLUMNS($F$7:H$7),"",INDEX(TableDiv[[GASB]:[GASB]],_xlfn.AGGREGATE(15,3,(TableDiv[[Agency]:[Agency]]=$E337)/(TableDiv[[Agency]:[Agency]]=$E337)*(ROW(TableDiv[Agency])-ROW(TableDiv[[#Headers],[Agency]])),COLUMNS($F$7:H$7))))</f>
        <v>0</v>
      </c>
      <c r="I337" s="2223" cm="1">
        <f t="array" ref="I337">IF($D337&lt;COLUMNS($F$7:I$7),"",INDEX(TableDiv[[GASB]:[GASB]],_xlfn.AGGREGATE(15,3,(TableDiv[[Agency]:[Agency]]=$E337)/(TableDiv[[Agency]:[Agency]]=$E337)*(ROW(TableDiv[Agency])-ROW(TableDiv[[#Headers],[Agency]])),COLUMNS($F$7:I$7))))</f>
        <v>0</v>
      </c>
      <c r="J337" s="2223" cm="1">
        <f t="array" ref="J337">IF($D337&lt;COLUMNS($F$7:J$7),"",INDEX(TableDiv[[GASB]:[GASB]],_xlfn.AGGREGATE(15,3,(TableDiv[[Agency]:[Agency]]=$E337)/(TableDiv[[Agency]:[Agency]]=$E337)*(ROW(TableDiv[Agency])-ROW(TableDiv[[#Headers],[Agency]])),COLUMNS($F$7:J$7))))</f>
        <v>0</v>
      </c>
      <c r="K337" s="2223" cm="1">
        <f t="array" ref="K337">IF($D337&lt;COLUMNS($F$7:K$7),"",INDEX(TableDiv[[GASB]:[GASB]],_xlfn.AGGREGATE(15,3,(TableDiv[[Agency]:[Agency]]=$E337)/(TableDiv[[Agency]:[Agency]]=$E337)*(ROW(TableDiv[Agency])-ROW(TableDiv[[#Headers],[Agency]])),COLUMNS($F$7:K$7))))</f>
        <v>0</v>
      </c>
      <c r="L337" s="2223" cm="1">
        <f t="array" ref="L337">IF($D337&lt;COLUMNS($F$7:L$7),"",INDEX(TableDiv[[GASB]:[GASB]],_xlfn.AGGREGATE(15,3,(TableDiv[[Agency]:[Agency]]=$E337)/(TableDiv[[Agency]:[Agency]]=$E337)*(ROW(TableDiv[Agency])-ROW(TableDiv[[#Headers],[Agency]])),COLUMNS($F$7:L$7))))</f>
        <v>0</v>
      </c>
      <c r="M337" s="2223" cm="1">
        <f t="array" ref="M337">IF($D337&lt;COLUMNS($F$7:M$7),"",INDEX(TableDiv[[GASB]:[GASB]],_xlfn.AGGREGATE(15,3,(TableDiv[[Agency]:[Agency]]=$E337)/(TableDiv[[Agency]:[Agency]]=$E337)*(ROW(TableDiv[Agency])-ROW(TableDiv[[#Headers],[Agency]])),COLUMNS($F$7:M$7))))</f>
        <v>0</v>
      </c>
      <c r="N337" s="2223" cm="1">
        <f t="array" ref="N337">IF($D337&lt;COLUMNS($F$7:N$7),"",INDEX(TableDiv[[GASB]:[GASB]],_xlfn.AGGREGATE(15,3,(TableDiv[[Agency]:[Agency]]=$E337)/(TableDiv[[Agency]:[Agency]]=$E337)*(ROW(TableDiv[Agency])-ROW(TableDiv[[#Headers],[Agency]])),COLUMNS($F$7:N$7))))</f>
        <v>0</v>
      </c>
      <c r="O337" s="2223" cm="1">
        <f t="array" ref="O337">IF($D337&lt;COLUMNS($F$7:O$7),"",INDEX(TableDiv[[GASB]:[GASB]],_xlfn.AGGREGATE(15,3,(TableDiv[[Agency]:[Agency]]=$E337)/(TableDiv[[Agency]:[Agency]]=$E337)*(ROW(TableDiv[Agency])-ROW(TableDiv[[#Headers],[Agency]])),COLUMNS($F$7:O$7))))</f>
        <v>0</v>
      </c>
      <c r="P337" s="2223" cm="1">
        <f t="array" ref="P337">IF($D337&lt;COLUMNS($F$7:P$7),"",INDEX(TableDiv[[GASB]:[GASB]],_xlfn.AGGREGATE(15,3,(TableDiv[[Agency]:[Agency]]=$E337)/(TableDiv[[Agency]:[Agency]]=$E337)*(ROW(TableDiv[Agency])-ROW(TableDiv[[#Headers],[Agency]])),COLUMNS($F$7:P$7))))</f>
        <v>0</v>
      </c>
      <c r="Q337" s="2223" cm="1">
        <f t="array" ref="Q337">IF($D337&lt;COLUMNS($F$7:Q$7),"",INDEX(TableDiv[[GASB]:[GASB]],_xlfn.AGGREGATE(15,3,(TableDiv[[Agency]:[Agency]]=$E337)/(TableDiv[[Agency]:[Agency]]=$E337)*(ROW(TableDiv[Agency])-ROW(TableDiv[[#Headers],[Agency]])),COLUMNS($F$7:Q$7))))</f>
        <v>0</v>
      </c>
      <c r="R337" s="2223" cm="1">
        <f t="array" ref="R337">IF($D337&lt;COLUMNS($F$7:R$7),"",INDEX(TableDiv[[GASB]:[GASB]],_xlfn.AGGREGATE(15,3,(TableDiv[[Agency]:[Agency]]=$E337)/(TableDiv[[Agency]:[Agency]]=$E337)*(ROW(TableDiv[Agency])-ROW(TableDiv[[#Headers],[Agency]])),COLUMNS($F$7:R$7))))</f>
        <v>0</v>
      </c>
      <c r="S337" s="2223" cm="1">
        <f t="array" ref="S337">IF($D337&lt;COLUMNS($F$7:S$7),"",INDEX(TableDiv[[GASB]:[GASB]],_xlfn.AGGREGATE(15,3,(TableDiv[[Agency]:[Agency]]=$E337)/(TableDiv[[Agency]:[Agency]]=$E337)*(ROW(TableDiv[Agency])-ROW(TableDiv[[#Headers],[Agency]])),COLUMNS($F$7:S$7))))</f>
        <v>0</v>
      </c>
      <c r="T337" s="2223" cm="1">
        <f t="array" ref="T337">IF($D337&lt;COLUMNS($F$7:T$7),"",INDEX(TableDiv[[GASB]:[GASB]],_xlfn.AGGREGATE(15,3,(TableDiv[[Agency]:[Agency]]=$E337)/(TableDiv[[Agency]:[Agency]]=$E337)*(ROW(TableDiv[Agency])-ROW(TableDiv[[#Headers],[Agency]])),COLUMNS($F$7:T$7))))</f>
        <v>0</v>
      </c>
      <c r="U337" s="2223" cm="1">
        <f t="array" ref="U337">IF($D337&lt;COLUMNS($F$7:U$7),"",INDEX(TableDiv[[GASB]:[GASB]],_xlfn.AGGREGATE(15,3,(TableDiv[[Agency]:[Agency]]=$E337)/(TableDiv[[Agency]:[Agency]]=$E337)*(ROW(TableDiv[Agency])-ROW(TableDiv[[#Headers],[Agency]])),COLUMNS($F$7:U$7))))</f>
        <v>0</v>
      </c>
      <c r="V337" s="2223" cm="1">
        <f t="array" ref="V337">IF($D337&lt;COLUMNS($F$7:V$7),"",INDEX(TableDiv[[GASB]:[GASB]],_xlfn.AGGREGATE(15,3,(TableDiv[[Agency]:[Agency]]=$E337)/(TableDiv[[Agency]:[Agency]]=$E337)*(ROW(TableDiv[Agency])-ROW(TableDiv[[#Headers],[Agency]])),COLUMNS($F$7:V$7))))</f>
        <v>0</v>
      </c>
      <c r="W337" s="2223" cm="1">
        <f t="array" ref="W337">IF($D337&lt;COLUMNS($F$7:W$7),"",INDEX(TableDiv[[GASB]:[GASB]],_xlfn.AGGREGATE(15,3,(TableDiv[[Agency]:[Agency]]=$E337)/(TableDiv[[Agency]:[Agency]]=$E337)*(ROW(TableDiv[Agency])-ROW(TableDiv[[#Headers],[Agency]])),COLUMNS($F$7:W$7))))</f>
        <v>0</v>
      </c>
      <c r="X337" s="2223" cm="1">
        <f t="array" ref="X337">IF($D337&lt;COLUMNS($F$7:X$7),"",INDEX(TableDiv[[GASB]:[GASB]],_xlfn.AGGREGATE(15,3,(TableDiv[[Agency]:[Agency]]=$E337)/(TableDiv[[Agency]:[Agency]]=$E337)*(ROW(TableDiv[Agency])-ROW(TableDiv[[#Headers],[Agency]])),COLUMNS($F$7:X$7))))</f>
        <v>0</v>
      </c>
      <c r="Y337" s="2223" cm="1">
        <f t="array" ref="Y337">IF($D337&lt;COLUMNS($F$7:Y$7),"",INDEX(TableDiv[[GASB]:[GASB]],_xlfn.AGGREGATE(15,3,(TableDiv[[Agency]:[Agency]]=$E337)/(TableDiv[[Agency]:[Agency]]=$E337)*(ROW(TableDiv[Agency])-ROW(TableDiv[[#Headers],[Agency]])),COLUMNS($F$7:Y$7))))</f>
        <v>0</v>
      </c>
      <c r="Z337" s="2223" cm="1">
        <f t="array" ref="Z337">IF($D337&lt;COLUMNS($F$7:Z$7),"",INDEX(TableDiv[[GASB]:[GASB]],_xlfn.AGGREGATE(15,3,(TableDiv[[Agency]:[Agency]]=$E337)/(TableDiv[[Agency]:[Agency]]=$E337)*(ROW(TableDiv[Agency])-ROW(TableDiv[[#Headers],[Agency]])),COLUMNS($F$7:Z$7))))</f>
        <v>0</v>
      </c>
      <c r="AA337" s="2223" cm="1">
        <f t="array" ref="AA337">IF($D337&lt;COLUMNS($F$7:AA$7),"",INDEX(TableDiv[[GASB]:[GASB]],_xlfn.AGGREGATE(15,3,(TableDiv[[Agency]:[Agency]]=$E337)/(TableDiv[[Agency]:[Agency]]=$E337)*(ROW(TableDiv[Agency])-ROW(TableDiv[[#Headers],[Agency]])),COLUMNS($F$7:AA$7))))</f>
        <v>0</v>
      </c>
      <c r="AB337" s="2223" cm="1">
        <f t="array" ref="AB337">IF($D337&lt;COLUMNS($F$7:AB$7),"",INDEX(TableDiv[[GASB]:[GASB]],_xlfn.AGGREGATE(15,3,(TableDiv[[Agency]:[Agency]]=$E337)/(TableDiv[[Agency]:[Agency]]=$E337)*(ROW(TableDiv[Agency])-ROW(TableDiv[[#Headers],[Agency]])),COLUMNS($F$7:AB$7))))</f>
        <v>0</v>
      </c>
      <c r="AC337" s="2223" cm="1">
        <f t="array" ref="AC337">IF($D337&lt;COLUMNS($F$7:AC$7),"",INDEX(TableDiv[[GASB]:[GASB]],_xlfn.AGGREGATE(15,3,(TableDiv[[Agency]:[Agency]]=$E337)/(TableDiv[[Agency]:[Agency]]=$E337)*(ROW(TableDiv[Agency])-ROW(TableDiv[[#Headers],[Agency]])),COLUMNS($F$7:AC$7))))</f>
        <v>0</v>
      </c>
      <c r="AD337" s="2223" cm="1">
        <f t="array" ref="AD337">IF($D337&lt;COLUMNS($F$7:AD$7),"",INDEX(TableDiv[[GASB]:[GASB]],_xlfn.AGGREGATE(15,3,(TableDiv[[Agency]:[Agency]]=$E337)/(TableDiv[[Agency]:[Agency]]=$E337)*(ROW(TableDiv[Agency])-ROW(TableDiv[[#Headers],[Agency]])),COLUMNS($F$7:AD$7))))</f>
        <v>0</v>
      </c>
      <c r="AE337" s="2223" cm="1">
        <f t="array" ref="AE337">IF($D337&lt;COLUMNS($F$7:AE$7),"",INDEX(TableDiv[[GASB]:[GASB]],_xlfn.AGGREGATE(15,3,(TableDiv[[Agency]:[Agency]]=$E337)/(TableDiv[[Agency]:[Agency]]=$E337)*(ROW(TableDiv[Agency])-ROW(TableDiv[[#Headers],[Agency]])),COLUMNS($F$7:AE$7))))</f>
        <v>0</v>
      </c>
      <c r="AF337" s="2223" cm="1">
        <f t="array" ref="AF337">IF($D337&lt;COLUMNS($F$7:AF$7),"",INDEX(TableDiv[[GASB]:[GASB]],_xlfn.AGGREGATE(15,3,(TableDiv[[Agency]:[Agency]]=$E337)/(TableDiv[[Agency]:[Agency]]=$E337)*(ROW(TableDiv[Agency])-ROW(TableDiv[[#Headers],[Agency]])),COLUMNS($F$7:AF$7))))</f>
        <v>0</v>
      </c>
      <c r="AG337" s="2223" cm="1">
        <f t="array" ref="AG337">IF($D337&lt;COLUMNS($F$7:AG$7),"",INDEX(TableDiv[[GASB]:[GASB]],_xlfn.AGGREGATE(15,3,(TableDiv[[Agency]:[Agency]]=$E337)/(TableDiv[[Agency]:[Agency]]=$E337)*(ROW(TableDiv[Agency])-ROW(TableDiv[[#Headers],[Agency]])),COLUMNS($F$7:AG$7))))</f>
        <v>0</v>
      </c>
      <c r="AH337" s="2223" cm="1">
        <f t="array" ref="AH337">IF($D337&lt;COLUMNS($F$7:AH$7),"",INDEX(TableDiv[[GASB]:[GASB]],_xlfn.AGGREGATE(15,3,(TableDiv[[Agency]:[Agency]]=$E337)/(TableDiv[[Agency]:[Agency]]=$E337)*(ROW(TableDiv[Agency])-ROW(TableDiv[[#Headers],[Agency]])),COLUMNS($F$7:AH$7))))</f>
        <v>0</v>
      </c>
      <c r="AI337" s="2223" cm="1">
        <f t="array" ref="AI337">IF($D337&lt;COLUMNS($F$7:AI$7),"",INDEX(TableDiv[[GASB]:[GASB]],_xlfn.AGGREGATE(15,3,(TableDiv[[Agency]:[Agency]]=$E337)/(TableDiv[[Agency]:[Agency]]=$E337)*(ROW(TableDiv[Agency])-ROW(TableDiv[[#Headers],[Agency]])),COLUMNS($F$7:AI$7))))</f>
        <v>0</v>
      </c>
      <c r="AJ337" s="2223" cm="1">
        <f t="array" ref="AJ337">IF($D337&lt;COLUMNS($F$7:AJ$7),"",INDEX(TableDiv[[GASB]:[GASB]],_xlfn.AGGREGATE(15,3,(TableDiv[[Agency]:[Agency]]=$E337)/(TableDiv[[Agency]:[Agency]]=$E337)*(ROW(TableDiv[Agency])-ROW(TableDiv[[#Headers],[Agency]])),COLUMNS($F$7:AJ$7))))</f>
        <v>0</v>
      </c>
      <c r="AK337" s="2223" t="str" cm="1">
        <f t="array" ref="AK337">IF($D337&lt;COLUMNS($F$7:AK$7),"",INDEX(TableDiv[[GASB]:[GASB]],_xlfn.AGGREGATE(15,3,(TableDiv[[Agency]:[Agency]]=$E337)/(TableDiv[[Agency]:[Agency]]=$E337)*(ROW(TableDiv[Agency])-ROW(TableDiv[[#Headers],[Agency]])),COLUMNS($F$7:AK$7))))</f>
        <v/>
      </c>
      <c r="AL337" s="2223" t="str" cm="1">
        <f t="array" ref="AL337">IF($D337&lt;COLUMNS($F$7:AL$7),"",INDEX(TableDiv[[GASB]:[GASB]],_xlfn.AGGREGATE(15,3,(TableDiv[[Agency]:[Agency]]=$E337)/(TableDiv[[Agency]:[Agency]]=$E337)*(ROW(TableDiv[Agency])-ROW(TableDiv[[#Headers],[Agency]])),COLUMNS($F$7:AL$7))))</f>
        <v/>
      </c>
      <c r="AM337" s="2223" t="str" cm="1">
        <f t="array" ref="AM337">IF($D337&lt;COLUMNS($F$7:AM$7),"",INDEX(TableDiv[[GASB]:[GASB]],_xlfn.AGGREGATE(15,3,(TableDiv[[Agency]:[Agency]]=$E337)/(TableDiv[[Agency]:[Agency]]=$E337)*(ROW(TableDiv[Agency])-ROW(TableDiv[[#Headers],[Agency]])),COLUMNS($F$7:AM$7))))</f>
        <v/>
      </c>
      <c r="AN337" s="2223"/>
      <c r="AO337" s="2223"/>
      <c r="AP337" s="2223"/>
      <c r="AQ337" s="2223"/>
      <c r="AR337" s="2223"/>
      <c r="AS337" s="2223"/>
    </row>
    <row r="338" spans="1:45" ht="15" x14ac:dyDescent="0.25">
      <c r="A338" s="2219" t="s">
        <v>2038</v>
      </c>
      <c r="B338" s="2219" t="s">
        <v>6357</v>
      </c>
      <c r="C338" s="2223"/>
      <c r="D338" s="2223">
        <f>COUNTIF(TableDiv[Agency],E338)</f>
        <v>31</v>
      </c>
      <c r="E338" s="2230" t="str" cm="1">
        <f t="array" ref="E338">IFERROR(INDEX(TableDiv[Agency],MATCH(0,INDEX(COUNTIF($E$7:E337,TableDiv[Agency]),),0)),"")</f>
        <v/>
      </c>
      <c r="F338" s="2223" cm="1">
        <f t="array" ref="F338">IF($D338&lt;COLUMNS($F$7:F$7),"",INDEX(TableDiv[[GASB]:[GASB]],_xlfn.AGGREGATE(15,3,(TableDiv[[Agency]:[Agency]]=$E338)/(TableDiv[[Agency]:[Agency]]=$E338)*(ROW(TableDiv[Agency])-ROW(TableDiv[[#Headers],[Agency]])),COLUMNS($F$7:F$7))))</f>
        <v>0</v>
      </c>
      <c r="G338" s="2223" cm="1">
        <f t="array" ref="G338">IF($D338&lt;COLUMNS($F$7:G$7),"",INDEX(TableDiv[[GASB]:[GASB]],_xlfn.AGGREGATE(15,3,(TableDiv[[Agency]:[Agency]]=$E338)/(TableDiv[[Agency]:[Agency]]=$E338)*(ROW(TableDiv[Agency])-ROW(TableDiv[[#Headers],[Agency]])),COLUMNS($F$7:G$7))))</f>
        <v>0</v>
      </c>
      <c r="H338" s="2223" cm="1">
        <f t="array" ref="H338">IF($D338&lt;COLUMNS($F$7:H$7),"",INDEX(TableDiv[[GASB]:[GASB]],_xlfn.AGGREGATE(15,3,(TableDiv[[Agency]:[Agency]]=$E338)/(TableDiv[[Agency]:[Agency]]=$E338)*(ROW(TableDiv[Agency])-ROW(TableDiv[[#Headers],[Agency]])),COLUMNS($F$7:H$7))))</f>
        <v>0</v>
      </c>
      <c r="I338" s="2223" cm="1">
        <f t="array" ref="I338">IF($D338&lt;COLUMNS($F$7:I$7),"",INDEX(TableDiv[[GASB]:[GASB]],_xlfn.AGGREGATE(15,3,(TableDiv[[Agency]:[Agency]]=$E338)/(TableDiv[[Agency]:[Agency]]=$E338)*(ROW(TableDiv[Agency])-ROW(TableDiv[[#Headers],[Agency]])),COLUMNS($F$7:I$7))))</f>
        <v>0</v>
      </c>
      <c r="J338" s="2223" cm="1">
        <f t="array" ref="J338">IF($D338&lt;COLUMNS($F$7:J$7),"",INDEX(TableDiv[[GASB]:[GASB]],_xlfn.AGGREGATE(15,3,(TableDiv[[Agency]:[Agency]]=$E338)/(TableDiv[[Agency]:[Agency]]=$E338)*(ROW(TableDiv[Agency])-ROW(TableDiv[[#Headers],[Agency]])),COLUMNS($F$7:J$7))))</f>
        <v>0</v>
      </c>
      <c r="K338" s="2223" cm="1">
        <f t="array" ref="K338">IF($D338&lt;COLUMNS($F$7:K$7),"",INDEX(TableDiv[[GASB]:[GASB]],_xlfn.AGGREGATE(15,3,(TableDiv[[Agency]:[Agency]]=$E338)/(TableDiv[[Agency]:[Agency]]=$E338)*(ROW(TableDiv[Agency])-ROW(TableDiv[[#Headers],[Agency]])),COLUMNS($F$7:K$7))))</f>
        <v>0</v>
      </c>
      <c r="L338" s="2223" cm="1">
        <f t="array" ref="L338">IF($D338&lt;COLUMNS($F$7:L$7),"",INDEX(TableDiv[[GASB]:[GASB]],_xlfn.AGGREGATE(15,3,(TableDiv[[Agency]:[Agency]]=$E338)/(TableDiv[[Agency]:[Agency]]=$E338)*(ROW(TableDiv[Agency])-ROW(TableDiv[[#Headers],[Agency]])),COLUMNS($F$7:L$7))))</f>
        <v>0</v>
      </c>
      <c r="M338" s="2223" cm="1">
        <f t="array" ref="M338">IF($D338&lt;COLUMNS($F$7:M$7),"",INDEX(TableDiv[[GASB]:[GASB]],_xlfn.AGGREGATE(15,3,(TableDiv[[Agency]:[Agency]]=$E338)/(TableDiv[[Agency]:[Agency]]=$E338)*(ROW(TableDiv[Agency])-ROW(TableDiv[[#Headers],[Agency]])),COLUMNS($F$7:M$7))))</f>
        <v>0</v>
      </c>
      <c r="N338" s="2223" cm="1">
        <f t="array" ref="N338">IF($D338&lt;COLUMNS($F$7:N$7),"",INDEX(TableDiv[[GASB]:[GASB]],_xlfn.AGGREGATE(15,3,(TableDiv[[Agency]:[Agency]]=$E338)/(TableDiv[[Agency]:[Agency]]=$E338)*(ROW(TableDiv[Agency])-ROW(TableDiv[[#Headers],[Agency]])),COLUMNS($F$7:N$7))))</f>
        <v>0</v>
      </c>
      <c r="O338" s="2223" cm="1">
        <f t="array" ref="O338">IF($D338&lt;COLUMNS($F$7:O$7),"",INDEX(TableDiv[[GASB]:[GASB]],_xlfn.AGGREGATE(15,3,(TableDiv[[Agency]:[Agency]]=$E338)/(TableDiv[[Agency]:[Agency]]=$E338)*(ROW(TableDiv[Agency])-ROW(TableDiv[[#Headers],[Agency]])),COLUMNS($F$7:O$7))))</f>
        <v>0</v>
      </c>
      <c r="P338" s="2223" cm="1">
        <f t="array" ref="P338">IF($D338&lt;COLUMNS($F$7:P$7),"",INDEX(TableDiv[[GASB]:[GASB]],_xlfn.AGGREGATE(15,3,(TableDiv[[Agency]:[Agency]]=$E338)/(TableDiv[[Agency]:[Agency]]=$E338)*(ROW(TableDiv[Agency])-ROW(TableDiv[[#Headers],[Agency]])),COLUMNS($F$7:P$7))))</f>
        <v>0</v>
      </c>
      <c r="Q338" s="2223" cm="1">
        <f t="array" ref="Q338">IF($D338&lt;COLUMNS($F$7:Q$7),"",INDEX(TableDiv[[GASB]:[GASB]],_xlfn.AGGREGATE(15,3,(TableDiv[[Agency]:[Agency]]=$E338)/(TableDiv[[Agency]:[Agency]]=$E338)*(ROW(TableDiv[Agency])-ROW(TableDiv[[#Headers],[Agency]])),COLUMNS($F$7:Q$7))))</f>
        <v>0</v>
      </c>
      <c r="R338" s="2223" cm="1">
        <f t="array" ref="R338">IF($D338&lt;COLUMNS($F$7:R$7),"",INDEX(TableDiv[[GASB]:[GASB]],_xlfn.AGGREGATE(15,3,(TableDiv[[Agency]:[Agency]]=$E338)/(TableDiv[[Agency]:[Agency]]=$E338)*(ROW(TableDiv[Agency])-ROW(TableDiv[[#Headers],[Agency]])),COLUMNS($F$7:R$7))))</f>
        <v>0</v>
      </c>
      <c r="S338" s="2223" cm="1">
        <f t="array" ref="S338">IF($D338&lt;COLUMNS($F$7:S$7),"",INDEX(TableDiv[[GASB]:[GASB]],_xlfn.AGGREGATE(15,3,(TableDiv[[Agency]:[Agency]]=$E338)/(TableDiv[[Agency]:[Agency]]=$E338)*(ROW(TableDiv[Agency])-ROW(TableDiv[[#Headers],[Agency]])),COLUMNS($F$7:S$7))))</f>
        <v>0</v>
      </c>
      <c r="T338" s="2223" cm="1">
        <f t="array" ref="T338">IF($D338&lt;COLUMNS($F$7:T$7),"",INDEX(TableDiv[[GASB]:[GASB]],_xlfn.AGGREGATE(15,3,(TableDiv[[Agency]:[Agency]]=$E338)/(TableDiv[[Agency]:[Agency]]=$E338)*(ROW(TableDiv[Agency])-ROW(TableDiv[[#Headers],[Agency]])),COLUMNS($F$7:T$7))))</f>
        <v>0</v>
      </c>
      <c r="U338" s="2223" cm="1">
        <f t="array" ref="U338">IF($D338&lt;COLUMNS($F$7:U$7),"",INDEX(TableDiv[[GASB]:[GASB]],_xlfn.AGGREGATE(15,3,(TableDiv[[Agency]:[Agency]]=$E338)/(TableDiv[[Agency]:[Agency]]=$E338)*(ROW(TableDiv[Agency])-ROW(TableDiv[[#Headers],[Agency]])),COLUMNS($F$7:U$7))))</f>
        <v>0</v>
      </c>
      <c r="V338" s="2223" cm="1">
        <f t="array" ref="V338">IF($D338&lt;COLUMNS($F$7:V$7),"",INDEX(TableDiv[[GASB]:[GASB]],_xlfn.AGGREGATE(15,3,(TableDiv[[Agency]:[Agency]]=$E338)/(TableDiv[[Agency]:[Agency]]=$E338)*(ROW(TableDiv[Agency])-ROW(TableDiv[[#Headers],[Agency]])),COLUMNS($F$7:V$7))))</f>
        <v>0</v>
      </c>
      <c r="W338" s="2223" cm="1">
        <f t="array" ref="W338">IF($D338&lt;COLUMNS($F$7:W$7),"",INDEX(TableDiv[[GASB]:[GASB]],_xlfn.AGGREGATE(15,3,(TableDiv[[Agency]:[Agency]]=$E338)/(TableDiv[[Agency]:[Agency]]=$E338)*(ROW(TableDiv[Agency])-ROW(TableDiv[[#Headers],[Agency]])),COLUMNS($F$7:W$7))))</f>
        <v>0</v>
      </c>
      <c r="X338" s="2223" cm="1">
        <f t="array" ref="X338">IF($D338&lt;COLUMNS($F$7:X$7),"",INDEX(TableDiv[[GASB]:[GASB]],_xlfn.AGGREGATE(15,3,(TableDiv[[Agency]:[Agency]]=$E338)/(TableDiv[[Agency]:[Agency]]=$E338)*(ROW(TableDiv[Agency])-ROW(TableDiv[[#Headers],[Agency]])),COLUMNS($F$7:X$7))))</f>
        <v>0</v>
      </c>
      <c r="Y338" s="2223" cm="1">
        <f t="array" ref="Y338">IF($D338&lt;COLUMNS($F$7:Y$7),"",INDEX(TableDiv[[GASB]:[GASB]],_xlfn.AGGREGATE(15,3,(TableDiv[[Agency]:[Agency]]=$E338)/(TableDiv[[Agency]:[Agency]]=$E338)*(ROW(TableDiv[Agency])-ROW(TableDiv[[#Headers],[Agency]])),COLUMNS($F$7:Y$7))))</f>
        <v>0</v>
      </c>
      <c r="Z338" s="2223" cm="1">
        <f t="array" ref="Z338">IF($D338&lt;COLUMNS($F$7:Z$7),"",INDEX(TableDiv[[GASB]:[GASB]],_xlfn.AGGREGATE(15,3,(TableDiv[[Agency]:[Agency]]=$E338)/(TableDiv[[Agency]:[Agency]]=$E338)*(ROW(TableDiv[Agency])-ROW(TableDiv[[#Headers],[Agency]])),COLUMNS($F$7:Z$7))))</f>
        <v>0</v>
      </c>
      <c r="AA338" s="2223" cm="1">
        <f t="array" ref="AA338">IF($D338&lt;COLUMNS($F$7:AA$7),"",INDEX(TableDiv[[GASB]:[GASB]],_xlfn.AGGREGATE(15,3,(TableDiv[[Agency]:[Agency]]=$E338)/(TableDiv[[Agency]:[Agency]]=$E338)*(ROW(TableDiv[Agency])-ROW(TableDiv[[#Headers],[Agency]])),COLUMNS($F$7:AA$7))))</f>
        <v>0</v>
      </c>
      <c r="AB338" s="2223" cm="1">
        <f t="array" ref="AB338">IF($D338&lt;COLUMNS($F$7:AB$7),"",INDEX(TableDiv[[GASB]:[GASB]],_xlfn.AGGREGATE(15,3,(TableDiv[[Agency]:[Agency]]=$E338)/(TableDiv[[Agency]:[Agency]]=$E338)*(ROW(TableDiv[Agency])-ROW(TableDiv[[#Headers],[Agency]])),COLUMNS($F$7:AB$7))))</f>
        <v>0</v>
      </c>
      <c r="AC338" s="2223" cm="1">
        <f t="array" ref="AC338">IF($D338&lt;COLUMNS($F$7:AC$7),"",INDEX(TableDiv[[GASB]:[GASB]],_xlfn.AGGREGATE(15,3,(TableDiv[[Agency]:[Agency]]=$E338)/(TableDiv[[Agency]:[Agency]]=$E338)*(ROW(TableDiv[Agency])-ROW(TableDiv[[#Headers],[Agency]])),COLUMNS($F$7:AC$7))))</f>
        <v>0</v>
      </c>
      <c r="AD338" s="2223" cm="1">
        <f t="array" ref="AD338">IF($D338&lt;COLUMNS($F$7:AD$7),"",INDEX(TableDiv[[GASB]:[GASB]],_xlfn.AGGREGATE(15,3,(TableDiv[[Agency]:[Agency]]=$E338)/(TableDiv[[Agency]:[Agency]]=$E338)*(ROW(TableDiv[Agency])-ROW(TableDiv[[#Headers],[Agency]])),COLUMNS($F$7:AD$7))))</f>
        <v>0</v>
      </c>
      <c r="AE338" s="2223" cm="1">
        <f t="array" ref="AE338">IF($D338&lt;COLUMNS($F$7:AE$7),"",INDEX(TableDiv[[GASB]:[GASB]],_xlfn.AGGREGATE(15,3,(TableDiv[[Agency]:[Agency]]=$E338)/(TableDiv[[Agency]:[Agency]]=$E338)*(ROW(TableDiv[Agency])-ROW(TableDiv[[#Headers],[Agency]])),COLUMNS($F$7:AE$7))))</f>
        <v>0</v>
      </c>
      <c r="AF338" s="2223" cm="1">
        <f t="array" ref="AF338">IF($D338&lt;COLUMNS($F$7:AF$7),"",INDEX(TableDiv[[GASB]:[GASB]],_xlfn.AGGREGATE(15,3,(TableDiv[[Agency]:[Agency]]=$E338)/(TableDiv[[Agency]:[Agency]]=$E338)*(ROW(TableDiv[Agency])-ROW(TableDiv[[#Headers],[Agency]])),COLUMNS($F$7:AF$7))))</f>
        <v>0</v>
      </c>
      <c r="AG338" s="2223" cm="1">
        <f t="array" ref="AG338">IF($D338&lt;COLUMNS($F$7:AG$7),"",INDEX(TableDiv[[GASB]:[GASB]],_xlfn.AGGREGATE(15,3,(TableDiv[[Agency]:[Agency]]=$E338)/(TableDiv[[Agency]:[Agency]]=$E338)*(ROW(TableDiv[Agency])-ROW(TableDiv[[#Headers],[Agency]])),COLUMNS($F$7:AG$7))))</f>
        <v>0</v>
      </c>
      <c r="AH338" s="2223" cm="1">
        <f t="array" ref="AH338">IF($D338&lt;COLUMNS($F$7:AH$7),"",INDEX(TableDiv[[GASB]:[GASB]],_xlfn.AGGREGATE(15,3,(TableDiv[[Agency]:[Agency]]=$E338)/(TableDiv[[Agency]:[Agency]]=$E338)*(ROW(TableDiv[Agency])-ROW(TableDiv[[#Headers],[Agency]])),COLUMNS($F$7:AH$7))))</f>
        <v>0</v>
      </c>
      <c r="AI338" s="2223" cm="1">
        <f t="array" ref="AI338">IF($D338&lt;COLUMNS($F$7:AI$7),"",INDEX(TableDiv[[GASB]:[GASB]],_xlfn.AGGREGATE(15,3,(TableDiv[[Agency]:[Agency]]=$E338)/(TableDiv[[Agency]:[Agency]]=$E338)*(ROW(TableDiv[Agency])-ROW(TableDiv[[#Headers],[Agency]])),COLUMNS($F$7:AI$7))))</f>
        <v>0</v>
      </c>
      <c r="AJ338" s="2223" cm="1">
        <f t="array" ref="AJ338">IF($D338&lt;COLUMNS($F$7:AJ$7),"",INDEX(TableDiv[[GASB]:[GASB]],_xlfn.AGGREGATE(15,3,(TableDiv[[Agency]:[Agency]]=$E338)/(TableDiv[[Agency]:[Agency]]=$E338)*(ROW(TableDiv[Agency])-ROW(TableDiv[[#Headers],[Agency]])),COLUMNS($F$7:AJ$7))))</f>
        <v>0</v>
      </c>
      <c r="AK338" s="2223" t="str" cm="1">
        <f t="array" ref="AK338">IF($D338&lt;COLUMNS($F$7:AK$7),"",INDEX(TableDiv[[GASB]:[GASB]],_xlfn.AGGREGATE(15,3,(TableDiv[[Agency]:[Agency]]=$E338)/(TableDiv[[Agency]:[Agency]]=$E338)*(ROW(TableDiv[Agency])-ROW(TableDiv[[#Headers],[Agency]])),COLUMNS($F$7:AK$7))))</f>
        <v/>
      </c>
      <c r="AL338" s="2223" t="str" cm="1">
        <f t="array" ref="AL338">IF($D338&lt;COLUMNS($F$7:AL$7),"",INDEX(TableDiv[[GASB]:[GASB]],_xlfn.AGGREGATE(15,3,(TableDiv[[Agency]:[Agency]]=$E338)/(TableDiv[[Agency]:[Agency]]=$E338)*(ROW(TableDiv[Agency])-ROW(TableDiv[[#Headers],[Agency]])),COLUMNS($F$7:AL$7))))</f>
        <v/>
      </c>
      <c r="AM338" s="2223" t="str" cm="1">
        <f t="array" ref="AM338">IF($D338&lt;COLUMNS($F$7:AM$7),"",INDEX(TableDiv[[GASB]:[GASB]],_xlfn.AGGREGATE(15,3,(TableDiv[[Agency]:[Agency]]=$E338)/(TableDiv[[Agency]:[Agency]]=$E338)*(ROW(TableDiv[Agency])-ROW(TableDiv[[#Headers],[Agency]])),COLUMNS($F$7:AM$7))))</f>
        <v/>
      </c>
      <c r="AN338" s="2223"/>
      <c r="AO338" s="2223"/>
      <c r="AP338" s="2223"/>
      <c r="AQ338" s="2223"/>
      <c r="AR338" s="2223"/>
      <c r="AS338" s="2223"/>
    </row>
    <row r="339" spans="1:45" ht="15" x14ac:dyDescent="0.25">
      <c r="A339" s="2219" t="s">
        <v>2038</v>
      </c>
      <c r="B339" s="2219" t="s">
        <v>6485</v>
      </c>
      <c r="C339" s="2223"/>
      <c r="D339" s="2223">
        <f>COUNTIF(TableDiv[Agency],E339)</f>
        <v>31</v>
      </c>
      <c r="E339" s="2230" t="str" cm="1">
        <f t="array" ref="E339">IFERROR(INDEX(TableDiv[Agency],MATCH(0,INDEX(COUNTIF($E$7:E338,TableDiv[Agency]),),0)),"")</f>
        <v/>
      </c>
      <c r="F339" s="2223" cm="1">
        <f t="array" ref="F339">IF($D339&lt;COLUMNS($F$7:F$7),"",INDEX(TableDiv[[GASB]:[GASB]],_xlfn.AGGREGATE(15,3,(TableDiv[[Agency]:[Agency]]=$E339)/(TableDiv[[Agency]:[Agency]]=$E339)*(ROW(TableDiv[Agency])-ROW(TableDiv[[#Headers],[Agency]])),COLUMNS($F$7:F$7))))</f>
        <v>0</v>
      </c>
      <c r="G339" s="2223" cm="1">
        <f t="array" ref="G339">IF($D339&lt;COLUMNS($F$7:G$7),"",INDEX(TableDiv[[GASB]:[GASB]],_xlfn.AGGREGATE(15,3,(TableDiv[[Agency]:[Agency]]=$E339)/(TableDiv[[Agency]:[Agency]]=$E339)*(ROW(TableDiv[Agency])-ROW(TableDiv[[#Headers],[Agency]])),COLUMNS($F$7:G$7))))</f>
        <v>0</v>
      </c>
      <c r="H339" s="2223" cm="1">
        <f t="array" ref="H339">IF($D339&lt;COLUMNS($F$7:H$7),"",INDEX(TableDiv[[GASB]:[GASB]],_xlfn.AGGREGATE(15,3,(TableDiv[[Agency]:[Agency]]=$E339)/(TableDiv[[Agency]:[Agency]]=$E339)*(ROW(TableDiv[Agency])-ROW(TableDiv[[#Headers],[Agency]])),COLUMNS($F$7:H$7))))</f>
        <v>0</v>
      </c>
      <c r="I339" s="2223" cm="1">
        <f t="array" ref="I339">IF($D339&lt;COLUMNS($F$7:I$7),"",INDEX(TableDiv[[GASB]:[GASB]],_xlfn.AGGREGATE(15,3,(TableDiv[[Agency]:[Agency]]=$E339)/(TableDiv[[Agency]:[Agency]]=$E339)*(ROW(TableDiv[Agency])-ROW(TableDiv[[#Headers],[Agency]])),COLUMNS($F$7:I$7))))</f>
        <v>0</v>
      </c>
      <c r="J339" s="2223" cm="1">
        <f t="array" ref="J339">IF($D339&lt;COLUMNS($F$7:J$7),"",INDEX(TableDiv[[GASB]:[GASB]],_xlfn.AGGREGATE(15,3,(TableDiv[[Agency]:[Agency]]=$E339)/(TableDiv[[Agency]:[Agency]]=$E339)*(ROW(TableDiv[Agency])-ROW(TableDiv[[#Headers],[Agency]])),COLUMNS($F$7:J$7))))</f>
        <v>0</v>
      </c>
      <c r="K339" s="2223" cm="1">
        <f t="array" ref="K339">IF($D339&lt;COLUMNS($F$7:K$7),"",INDEX(TableDiv[[GASB]:[GASB]],_xlfn.AGGREGATE(15,3,(TableDiv[[Agency]:[Agency]]=$E339)/(TableDiv[[Agency]:[Agency]]=$E339)*(ROW(TableDiv[Agency])-ROW(TableDiv[[#Headers],[Agency]])),COLUMNS($F$7:K$7))))</f>
        <v>0</v>
      </c>
      <c r="L339" s="2223" cm="1">
        <f t="array" ref="L339">IF($D339&lt;COLUMNS($F$7:L$7),"",INDEX(TableDiv[[GASB]:[GASB]],_xlfn.AGGREGATE(15,3,(TableDiv[[Agency]:[Agency]]=$E339)/(TableDiv[[Agency]:[Agency]]=$E339)*(ROW(TableDiv[Agency])-ROW(TableDiv[[#Headers],[Agency]])),COLUMNS($F$7:L$7))))</f>
        <v>0</v>
      </c>
      <c r="M339" s="2223" cm="1">
        <f t="array" ref="M339">IF($D339&lt;COLUMNS($F$7:M$7),"",INDEX(TableDiv[[GASB]:[GASB]],_xlfn.AGGREGATE(15,3,(TableDiv[[Agency]:[Agency]]=$E339)/(TableDiv[[Agency]:[Agency]]=$E339)*(ROW(TableDiv[Agency])-ROW(TableDiv[[#Headers],[Agency]])),COLUMNS($F$7:M$7))))</f>
        <v>0</v>
      </c>
      <c r="N339" s="2223" cm="1">
        <f t="array" ref="N339">IF($D339&lt;COLUMNS($F$7:N$7),"",INDEX(TableDiv[[GASB]:[GASB]],_xlfn.AGGREGATE(15,3,(TableDiv[[Agency]:[Agency]]=$E339)/(TableDiv[[Agency]:[Agency]]=$E339)*(ROW(TableDiv[Agency])-ROW(TableDiv[[#Headers],[Agency]])),COLUMNS($F$7:N$7))))</f>
        <v>0</v>
      </c>
      <c r="O339" s="2223" cm="1">
        <f t="array" ref="O339">IF($D339&lt;COLUMNS($F$7:O$7),"",INDEX(TableDiv[[GASB]:[GASB]],_xlfn.AGGREGATE(15,3,(TableDiv[[Agency]:[Agency]]=$E339)/(TableDiv[[Agency]:[Agency]]=$E339)*(ROW(TableDiv[Agency])-ROW(TableDiv[[#Headers],[Agency]])),COLUMNS($F$7:O$7))))</f>
        <v>0</v>
      </c>
      <c r="P339" s="2223" cm="1">
        <f t="array" ref="P339">IF($D339&lt;COLUMNS($F$7:P$7),"",INDEX(TableDiv[[GASB]:[GASB]],_xlfn.AGGREGATE(15,3,(TableDiv[[Agency]:[Agency]]=$E339)/(TableDiv[[Agency]:[Agency]]=$E339)*(ROW(TableDiv[Agency])-ROW(TableDiv[[#Headers],[Agency]])),COLUMNS($F$7:P$7))))</f>
        <v>0</v>
      </c>
      <c r="Q339" s="2223" cm="1">
        <f t="array" ref="Q339">IF($D339&lt;COLUMNS($F$7:Q$7),"",INDEX(TableDiv[[GASB]:[GASB]],_xlfn.AGGREGATE(15,3,(TableDiv[[Agency]:[Agency]]=$E339)/(TableDiv[[Agency]:[Agency]]=$E339)*(ROW(TableDiv[Agency])-ROW(TableDiv[[#Headers],[Agency]])),COLUMNS($F$7:Q$7))))</f>
        <v>0</v>
      </c>
      <c r="R339" s="2223" cm="1">
        <f t="array" ref="R339">IF($D339&lt;COLUMNS($F$7:R$7),"",INDEX(TableDiv[[GASB]:[GASB]],_xlfn.AGGREGATE(15,3,(TableDiv[[Agency]:[Agency]]=$E339)/(TableDiv[[Agency]:[Agency]]=$E339)*(ROW(TableDiv[Agency])-ROW(TableDiv[[#Headers],[Agency]])),COLUMNS($F$7:R$7))))</f>
        <v>0</v>
      </c>
      <c r="S339" s="2223" cm="1">
        <f t="array" ref="S339">IF($D339&lt;COLUMNS($F$7:S$7),"",INDEX(TableDiv[[GASB]:[GASB]],_xlfn.AGGREGATE(15,3,(TableDiv[[Agency]:[Agency]]=$E339)/(TableDiv[[Agency]:[Agency]]=$E339)*(ROW(TableDiv[Agency])-ROW(TableDiv[[#Headers],[Agency]])),COLUMNS($F$7:S$7))))</f>
        <v>0</v>
      </c>
      <c r="T339" s="2223" cm="1">
        <f t="array" ref="T339">IF($D339&lt;COLUMNS($F$7:T$7),"",INDEX(TableDiv[[GASB]:[GASB]],_xlfn.AGGREGATE(15,3,(TableDiv[[Agency]:[Agency]]=$E339)/(TableDiv[[Agency]:[Agency]]=$E339)*(ROW(TableDiv[Agency])-ROW(TableDiv[[#Headers],[Agency]])),COLUMNS($F$7:T$7))))</f>
        <v>0</v>
      </c>
      <c r="U339" s="2223" cm="1">
        <f t="array" ref="U339">IF($D339&lt;COLUMNS($F$7:U$7),"",INDEX(TableDiv[[GASB]:[GASB]],_xlfn.AGGREGATE(15,3,(TableDiv[[Agency]:[Agency]]=$E339)/(TableDiv[[Agency]:[Agency]]=$E339)*(ROW(TableDiv[Agency])-ROW(TableDiv[[#Headers],[Agency]])),COLUMNS($F$7:U$7))))</f>
        <v>0</v>
      </c>
      <c r="V339" s="2223" cm="1">
        <f t="array" ref="V339">IF($D339&lt;COLUMNS($F$7:V$7),"",INDEX(TableDiv[[GASB]:[GASB]],_xlfn.AGGREGATE(15,3,(TableDiv[[Agency]:[Agency]]=$E339)/(TableDiv[[Agency]:[Agency]]=$E339)*(ROW(TableDiv[Agency])-ROW(TableDiv[[#Headers],[Agency]])),COLUMNS($F$7:V$7))))</f>
        <v>0</v>
      </c>
      <c r="W339" s="2223" cm="1">
        <f t="array" ref="W339">IF($D339&lt;COLUMNS($F$7:W$7),"",INDEX(TableDiv[[GASB]:[GASB]],_xlfn.AGGREGATE(15,3,(TableDiv[[Agency]:[Agency]]=$E339)/(TableDiv[[Agency]:[Agency]]=$E339)*(ROW(TableDiv[Agency])-ROW(TableDiv[[#Headers],[Agency]])),COLUMNS($F$7:W$7))))</f>
        <v>0</v>
      </c>
      <c r="X339" s="2223" cm="1">
        <f t="array" ref="X339">IF($D339&lt;COLUMNS($F$7:X$7),"",INDEX(TableDiv[[GASB]:[GASB]],_xlfn.AGGREGATE(15,3,(TableDiv[[Agency]:[Agency]]=$E339)/(TableDiv[[Agency]:[Agency]]=$E339)*(ROW(TableDiv[Agency])-ROW(TableDiv[[#Headers],[Agency]])),COLUMNS($F$7:X$7))))</f>
        <v>0</v>
      </c>
      <c r="Y339" s="2223" cm="1">
        <f t="array" ref="Y339">IF($D339&lt;COLUMNS($F$7:Y$7),"",INDEX(TableDiv[[GASB]:[GASB]],_xlfn.AGGREGATE(15,3,(TableDiv[[Agency]:[Agency]]=$E339)/(TableDiv[[Agency]:[Agency]]=$E339)*(ROW(TableDiv[Agency])-ROW(TableDiv[[#Headers],[Agency]])),COLUMNS($F$7:Y$7))))</f>
        <v>0</v>
      </c>
      <c r="Z339" s="2223" cm="1">
        <f t="array" ref="Z339">IF($D339&lt;COLUMNS($F$7:Z$7),"",INDEX(TableDiv[[GASB]:[GASB]],_xlfn.AGGREGATE(15,3,(TableDiv[[Agency]:[Agency]]=$E339)/(TableDiv[[Agency]:[Agency]]=$E339)*(ROW(TableDiv[Agency])-ROW(TableDiv[[#Headers],[Agency]])),COLUMNS($F$7:Z$7))))</f>
        <v>0</v>
      </c>
      <c r="AA339" s="2223" cm="1">
        <f t="array" ref="AA339">IF($D339&lt;COLUMNS($F$7:AA$7),"",INDEX(TableDiv[[GASB]:[GASB]],_xlfn.AGGREGATE(15,3,(TableDiv[[Agency]:[Agency]]=$E339)/(TableDiv[[Agency]:[Agency]]=$E339)*(ROW(TableDiv[Agency])-ROW(TableDiv[[#Headers],[Agency]])),COLUMNS($F$7:AA$7))))</f>
        <v>0</v>
      </c>
      <c r="AB339" s="2223" cm="1">
        <f t="array" ref="AB339">IF($D339&lt;COLUMNS($F$7:AB$7),"",INDEX(TableDiv[[GASB]:[GASB]],_xlfn.AGGREGATE(15,3,(TableDiv[[Agency]:[Agency]]=$E339)/(TableDiv[[Agency]:[Agency]]=$E339)*(ROW(TableDiv[Agency])-ROW(TableDiv[[#Headers],[Agency]])),COLUMNS($F$7:AB$7))))</f>
        <v>0</v>
      </c>
      <c r="AC339" s="2223" cm="1">
        <f t="array" ref="AC339">IF($D339&lt;COLUMNS($F$7:AC$7),"",INDEX(TableDiv[[GASB]:[GASB]],_xlfn.AGGREGATE(15,3,(TableDiv[[Agency]:[Agency]]=$E339)/(TableDiv[[Agency]:[Agency]]=$E339)*(ROW(TableDiv[Agency])-ROW(TableDiv[[#Headers],[Agency]])),COLUMNS($F$7:AC$7))))</f>
        <v>0</v>
      </c>
      <c r="AD339" s="2223" cm="1">
        <f t="array" ref="AD339">IF($D339&lt;COLUMNS($F$7:AD$7),"",INDEX(TableDiv[[GASB]:[GASB]],_xlfn.AGGREGATE(15,3,(TableDiv[[Agency]:[Agency]]=$E339)/(TableDiv[[Agency]:[Agency]]=$E339)*(ROW(TableDiv[Agency])-ROW(TableDiv[[#Headers],[Agency]])),COLUMNS($F$7:AD$7))))</f>
        <v>0</v>
      </c>
      <c r="AE339" s="2223" cm="1">
        <f t="array" ref="AE339">IF($D339&lt;COLUMNS($F$7:AE$7),"",INDEX(TableDiv[[GASB]:[GASB]],_xlfn.AGGREGATE(15,3,(TableDiv[[Agency]:[Agency]]=$E339)/(TableDiv[[Agency]:[Agency]]=$E339)*(ROW(TableDiv[Agency])-ROW(TableDiv[[#Headers],[Agency]])),COLUMNS($F$7:AE$7))))</f>
        <v>0</v>
      </c>
      <c r="AF339" s="2223" cm="1">
        <f t="array" ref="AF339">IF($D339&lt;COLUMNS($F$7:AF$7),"",INDEX(TableDiv[[GASB]:[GASB]],_xlfn.AGGREGATE(15,3,(TableDiv[[Agency]:[Agency]]=$E339)/(TableDiv[[Agency]:[Agency]]=$E339)*(ROW(TableDiv[Agency])-ROW(TableDiv[[#Headers],[Agency]])),COLUMNS($F$7:AF$7))))</f>
        <v>0</v>
      </c>
      <c r="AG339" s="2223" cm="1">
        <f t="array" ref="AG339">IF($D339&lt;COLUMNS($F$7:AG$7),"",INDEX(TableDiv[[GASB]:[GASB]],_xlfn.AGGREGATE(15,3,(TableDiv[[Agency]:[Agency]]=$E339)/(TableDiv[[Agency]:[Agency]]=$E339)*(ROW(TableDiv[Agency])-ROW(TableDiv[[#Headers],[Agency]])),COLUMNS($F$7:AG$7))))</f>
        <v>0</v>
      </c>
      <c r="AH339" s="2223" cm="1">
        <f t="array" ref="AH339">IF($D339&lt;COLUMNS($F$7:AH$7),"",INDEX(TableDiv[[GASB]:[GASB]],_xlfn.AGGREGATE(15,3,(TableDiv[[Agency]:[Agency]]=$E339)/(TableDiv[[Agency]:[Agency]]=$E339)*(ROW(TableDiv[Agency])-ROW(TableDiv[[#Headers],[Agency]])),COLUMNS($F$7:AH$7))))</f>
        <v>0</v>
      </c>
      <c r="AI339" s="2223" cm="1">
        <f t="array" ref="AI339">IF($D339&lt;COLUMNS($F$7:AI$7),"",INDEX(TableDiv[[GASB]:[GASB]],_xlfn.AGGREGATE(15,3,(TableDiv[[Agency]:[Agency]]=$E339)/(TableDiv[[Agency]:[Agency]]=$E339)*(ROW(TableDiv[Agency])-ROW(TableDiv[[#Headers],[Agency]])),COLUMNS($F$7:AI$7))))</f>
        <v>0</v>
      </c>
      <c r="AJ339" s="2223" cm="1">
        <f t="array" ref="AJ339">IF($D339&lt;COLUMNS($F$7:AJ$7),"",INDEX(TableDiv[[GASB]:[GASB]],_xlfn.AGGREGATE(15,3,(TableDiv[[Agency]:[Agency]]=$E339)/(TableDiv[[Agency]:[Agency]]=$E339)*(ROW(TableDiv[Agency])-ROW(TableDiv[[#Headers],[Agency]])),COLUMNS($F$7:AJ$7))))</f>
        <v>0</v>
      </c>
      <c r="AK339" s="2223" t="str" cm="1">
        <f t="array" ref="AK339">IF($D339&lt;COLUMNS($F$7:AK$7),"",INDEX(TableDiv[[GASB]:[GASB]],_xlfn.AGGREGATE(15,3,(TableDiv[[Agency]:[Agency]]=$E339)/(TableDiv[[Agency]:[Agency]]=$E339)*(ROW(TableDiv[Agency])-ROW(TableDiv[[#Headers],[Agency]])),COLUMNS($F$7:AK$7))))</f>
        <v/>
      </c>
      <c r="AL339" s="2223" t="str" cm="1">
        <f t="array" ref="AL339">IF($D339&lt;COLUMNS($F$7:AL$7),"",INDEX(TableDiv[[GASB]:[GASB]],_xlfn.AGGREGATE(15,3,(TableDiv[[Agency]:[Agency]]=$E339)/(TableDiv[[Agency]:[Agency]]=$E339)*(ROW(TableDiv[Agency])-ROW(TableDiv[[#Headers],[Agency]])),COLUMNS($F$7:AL$7))))</f>
        <v/>
      </c>
      <c r="AM339" s="2223" t="str" cm="1">
        <f t="array" ref="AM339">IF($D339&lt;COLUMNS($F$7:AM$7),"",INDEX(TableDiv[[GASB]:[GASB]],_xlfn.AGGREGATE(15,3,(TableDiv[[Agency]:[Agency]]=$E339)/(TableDiv[[Agency]:[Agency]]=$E339)*(ROW(TableDiv[Agency])-ROW(TableDiv[[#Headers],[Agency]])),COLUMNS($F$7:AM$7))))</f>
        <v/>
      </c>
      <c r="AN339" s="2223"/>
      <c r="AO339" s="2223"/>
      <c r="AP339" s="2223"/>
      <c r="AQ339" s="2223"/>
      <c r="AR339" s="2223"/>
      <c r="AS339" s="2223"/>
    </row>
    <row r="340" spans="1:45" ht="15" x14ac:dyDescent="0.25">
      <c r="A340" s="2219" t="s">
        <v>2038</v>
      </c>
      <c r="B340" s="2219" t="s">
        <v>6371</v>
      </c>
      <c r="C340" s="2223"/>
      <c r="D340" s="2223">
        <f>COUNTIF(TableDiv[Agency],E340)</f>
        <v>31</v>
      </c>
      <c r="E340" s="2230" t="str" cm="1">
        <f t="array" ref="E340">IFERROR(INDEX(TableDiv[Agency],MATCH(0,INDEX(COUNTIF($E$7:E339,TableDiv[Agency]),),0)),"")</f>
        <v/>
      </c>
      <c r="F340" s="2223" cm="1">
        <f t="array" ref="F340">IF($D340&lt;COLUMNS($F$7:F$7),"",INDEX(TableDiv[[GASB]:[GASB]],_xlfn.AGGREGATE(15,3,(TableDiv[[Agency]:[Agency]]=$E340)/(TableDiv[[Agency]:[Agency]]=$E340)*(ROW(TableDiv[Agency])-ROW(TableDiv[[#Headers],[Agency]])),COLUMNS($F$7:F$7))))</f>
        <v>0</v>
      </c>
      <c r="G340" s="2223" cm="1">
        <f t="array" ref="G340">IF($D340&lt;COLUMNS($F$7:G$7),"",INDEX(TableDiv[[GASB]:[GASB]],_xlfn.AGGREGATE(15,3,(TableDiv[[Agency]:[Agency]]=$E340)/(TableDiv[[Agency]:[Agency]]=$E340)*(ROW(TableDiv[Agency])-ROW(TableDiv[[#Headers],[Agency]])),COLUMNS($F$7:G$7))))</f>
        <v>0</v>
      </c>
      <c r="H340" s="2223" cm="1">
        <f t="array" ref="H340">IF($D340&lt;COLUMNS($F$7:H$7),"",INDEX(TableDiv[[GASB]:[GASB]],_xlfn.AGGREGATE(15,3,(TableDiv[[Agency]:[Agency]]=$E340)/(TableDiv[[Agency]:[Agency]]=$E340)*(ROW(TableDiv[Agency])-ROW(TableDiv[[#Headers],[Agency]])),COLUMNS($F$7:H$7))))</f>
        <v>0</v>
      </c>
      <c r="I340" s="2223" cm="1">
        <f t="array" ref="I340">IF($D340&lt;COLUMNS($F$7:I$7),"",INDEX(TableDiv[[GASB]:[GASB]],_xlfn.AGGREGATE(15,3,(TableDiv[[Agency]:[Agency]]=$E340)/(TableDiv[[Agency]:[Agency]]=$E340)*(ROW(TableDiv[Agency])-ROW(TableDiv[[#Headers],[Agency]])),COLUMNS($F$7:I$7))))</f>
        <v>0</v>
      </c>
      <c r="J340" s="2223" cm="1">
        <f t="array" ref="J340">IF($D340&lt;COLUMNS($F$7:J$7),"",INDEX(TableDiv[[GASB]:[GASB]],_xlfn.AGGREGATE(15,3,(TableDiv[[Agency]:[Agency]]=$E340)/(TableDiv[[Agency]:[Agency]]=$E340)*(ROW(TableDiv[Agency])-ROW(TableDiv[[#Headers],[Agency]])),COLUMNS($F$7:J$7))))</f>
        <v>0</v>
      </c>
      <c r="K340" s="2223" cm="1">
        <f t="array" ref="K340">IF($D340&lt;COLUMNS($F$7:K$7),"",INDEX(TableDiv[[GASB]:[GASB]],_xlfn.AGGREGATE(15,3,(TableDiv[[Agency]:[Agency]]=$E340)/(TableDiv[[Agency]:[Agency]]=$E340)*(ROW(TableDiv[Agency])-ROW(TableDiv[[#Headers],[Agency]])),COLUMNS($F$7:K$7))))</f>
        <v>0</v>
      </c>
      <c r="L340" s="2223" cm="1">
        <f t="array" ref="L340">IF($D340&lt;COLUMNS($F$7:L$7),"",INDEX(TableDiv[[GASB]:[GASB]],_xlfn.AGGREGATE(15,3,(TableDiv[[Agency]:[Agency]]=$E340)/(TableDiv[[Agency]:[Agency]]=$E340)*(ROW(TableDiv[Agency])-ROW(TableDiv[[#Headers],[Agency]])),COLUMNS($F$7:L$7))))</f>
        <v>0</v>
      </c>
      <c r="M340" s="2223" cm="1">
        <f t="array" ref="M340">IF($D340&lt;COLUMNS($F$7:M$7),"",INDEX(TableDiv[[GASB]:[GASB]],_xlfn.AGGREGATE(15,3,(TableDiv[[Agency]:[Agency]]=$E340)/(TableDiv[[Agency]:[Agency]]=$E340)*(ROW(TableDiv[Agency])-ROW(TableDiv[[#Headers],[Agency]])),COLUMNS($F$7:M$7))))</f>
        <v>0</v>
      </c>
      <c r="N340" s="2223" cm="1">
        <f t="array" ref="N340">IF($D340&lt;COLUMNS($F$7:N$7),"",INDEX(TableDiv[[GASB]:[GASB]],_xlfn.AGGREGATE(15,3,(TableDiv[[Agency]:[Agency]]=$E340)/(TableDiv[[Agency]:[Agency]]=$E340)*(ROW(TableDiv[Agency])-ROW(TableDiv[[#Headers],[Agency]])),COLUMNS($F$7:N$7))))</f>
        <v>0</v>
      </c>
      <c r="O340" s="2223" cm="1">
        <f t="array" ref="O340">IF($D340&lt;COLUMNS($F$7:O$7),"",INDEX(TableDiv[[GASB]:[GASB]],_xlfn.AGGREGATE(15,3,(TableDiv[[Agency]:[Agency]]=$E340)/(TableDiv[[Agency]:[Agency]]=$E340)*(ROW(TableDiv[Agency])-ROW(TableDiv[[#Headers],[Agency]])),COLUMNS($F$7:O$7))))</f>
        <v>0</v>
      </c>
      <c r="P340" s="2223" cm="1">
        <f t="array" ref="P340">IF($D340&lt;COLUMNS($F$7:P$7),"",INDEX(TableDiv[[GASB]:[GASB]],_xlfn.AGGREGATE(15,3,(TableDiv[[Agency]:[Agency]]=$E340)/(TableDiv[[Agency]:[Agency]]=$E340)*(ROW(TableDiv[Agency])-ROW(TableDiv[[#Headers],[Agency]])),COLUMNS($F$7:P$7))))</f>
        <v>0</v>
      </c>
      <c r="Q340" s="2223" cm="1">
        <f t="array" ref="Q340">IF($D340&lt;COLUMNS($F$7:Q$7),"",INDEX(TableDiv[[GASB]:[GASB]],_xlfn.AGGREGATE(15,3,(TableDiv[[Agency]:[Agency]]=$E340)/(TableDiv[[Agency]:[Agency]]=$E340)*(ROW(TableDiv[Agency])-ROW(TableDiv[[#Headers],[Agency]])),COLUMNS($F$7:Q$7))))</f>
        <v>0</v>
      </c>
      <c r="R340" s="2223" cm="1">
        <f t="array" ref="R340">IF($D340&lt;COLUMNS($F$7:R$7),"",INDEX(TableDiv[[GASB]:[GASB]],_xlfn.AGGREGATE(15,3,(TableDiv[[Agency]:[Agency]]=$E340)/(TableDiv[[Agency]:[Agency]]=$E340)*(ROW(TableDiv[Agency])-ROW(TableDiv[[#Headers],[Agency]])),COLUMNS($F$7:R$7))))</f>
        <v>0</v>
      </c>
      <c r="S340" s="2223" cm="1">
        <f t="array" ref="S340">IF($D340&lt;COLUMNS($F$7:S$7),"",INDEX(TableDiv[[GASB]:[GASB]],_xlfn.AGGREGATE(15,3,(TableDiv[[Agency]:[Agency]]=$E340)/(TableDiv[[Agency]:[Agency]]=$E340)*(ROW(TableDiv[Agency])-ROW(TableDiv[[#Headers],[Agency]])),COLUMNS($F$7:S$7))))</f>
        <v>0</v>
      </c>
      <c r="T340" s="2223" cm="1">
        <f t="array" ref="T340">IF($D340&lt;COLUMNS($F$7:T$7),"",INDEX(TableDiv[[GASB]:[GASB]],_xlfn.AGGREGATE(15,3,(TableDiv[[Agency]:[Agency]]=$E340)/(TableDiv[[Agency]:[Agency]]=$E340)*(ROW(TableDiv[Agency])-ROW(TableDiv[[#Headers],[Agency]])),COLUMNS($F$7:T$7))))</f>
        <v>0</v>
      </c>
      <c r="U340" s="2223" cm="1">
        <f t="array" ref="U340">IF($D340&lt;COLUMNS($F$7:U$7),"",INDEX(TableDiv[[GASB]:[GASB]],_xlfn.AGGREGATE(15,3,(TableDiv[[Agency]:[Agency]]=$E340)/(TableDiv[[Agency]:[Agency]]=$E340)*(ROW(TableDiv[Agency])-ROW(TableDiv[[#Headers],[Agency]])),COLUMNS($F$7:U$7))))</f>
        <v>0</v>
      </c>
      <c r="V340" s="2223" cm="1">
        <f t="array" ref="V340">IF($D340&lt;COLUMNS($F$7:V$7),"",INDEX(TableDiv[[GASB]:[GASB]],_xlfn.AGGREGATE(15,3,(TableDiv[[Agency]:[Agency]]=$E340)/(TableDiv[[Agency]:[Agency]]=$E340)*(ROW(TableDiv[Agency])-ROW(TableDiv[[#Headers],[Agency]])),COLUMNS($F$7:V$7))))</f>
        <v>0</v>
      </c>
      <c r="W340" s="2223" cm="1">
        <f t="array" ref="W340">IF($D340&lt;COLUMNS($F$7:W$7),"",INDEX(TableDiv[[GASB]:[GASB]],_xlfn.AGGREGATE(15,3,(TableDiv[[Agency]:[Agency]]=$E340)/(TableDiv[[Agency]:[Agency]]=$E340)*(ROW(TableDiv[Agency])-ROW(TableDiv[[#Headers],[Agency]])),COLUMNS($F$7:W$7))))</f>
        <v>0</v>
      </c>
      <c r="X340" s="2223" cm="1">
        <f t="array" ref="X340">IF($D340&lt;COLUMNS($F$7:X$7),"",INDEX(TableDiv[[GASB]:[GASB]],_xlfn.AGGREGATE(15,3,(TableDiv[[Agency]:[Agency]]=$E340)/(TableDiv[[Agency]:[Agency]]=$E340)*(ROW(TableDiv[Agency])-ROW(TableDiv[[#Headers],[Agency]])),COLUMNS($F$7:X$7))))</f>
        <v>0</v>
      </c>
      <c r="Y340" s="2223" cm="1">
        <f t="array" ref="Y340">IF($D340&lt;COLUMNS($F$7:Y$7),"",INDEX(TableDiv[[GASB]:[GASB]],_xlfn.AGGREGATE(15,3,(TableDiv[[Agency]:[Agency]]=$E340)/(TableDiv[[Agency]:[Agency]]=$E340)*(ROW(TableDiv[Agency])-ROW(TableDiv[[#Headers],[Agency]])),COLUMNS($F$7:Y$7))))</f>
        <v>0</v>
      </c>
      <c r="Z340" s="2223" cm="1">
        <f t="array" ref="Z340">IF($D340&lt;COLUMNS($F$7:Z$7),"",INDEX(TableDiv[[GASB]:[GASB]],_xlfn.AGGREGATE(15,3,(TableDiv[[Agency]:[Agency]]=$E340)/(TableDiv[[Agency]:[Agency]]=$E340)*(ROW(TableDiv[Agency])-ROW(TableDiv[[#Headers],[Agency]])),COLUMNS($F$7:Z$7))))</f>
        <v>0</v>
      </c>
      <c r="AA340" s="2223" cm="1">
        <f t="array" ref="AA340">IF($D340&lt;COLUMNS($F$7:AA$7),"",INDEX(TableDiv[[GASB]:[GASB]],_xlfn.AGGREGATE(15,3,(TableDiv[[Agency]:[Agency]]=$E340)/(TableDiv[[Agency]:[Agency]]=$E340)*(ROW(TableDiv[Agency])-ROW(TableDiv[[#Headers],[Agency]])),COLUMNS($F$7:AA$7))))</f>
        <v>0</v>
      </c>
      <c r="AB340" s="2223" cm="1">
        <f t="array" ref="AB340">IF($D340&lt;COLUMNS($F$7:AB$7),"",INDEX(TableDiv[[GASB]:[GASB]],_xlfn.AGGREGATE(15,3,(TableDiv[[Agency]:[Agency]]=$E340)/(TableDiv[[Agency]:[Agency]]=$E340)*(ROW(TableDiv[Agency])-ROW(TableDiv[[#Headers],[Agency]])),COLUMNS($F$7:AB$7))))</f>
        <v>0</v>
      </c>
      <c r="AC340" s="2223" cm="1">
        <f t="array" ref="AC340">IF($D340&lt;COLUMNS($F$7:AC$7),"",INDEX(TableDiv[[GASB]:[GASB]],_xlfn.AGGREGATE(15,3,(TableDiv[[Agency]:[Agency]]=$E340)/(TableDiv[[Agency]:[Agency]]=$E340)*(ROW(TableDiv[Agency])-ROW(TableDiv[[#Headers],[Agency]])),COLUMNS($F$7:AC$7))))</f>
        <v>0</v>
      </c>
      <c r="AD340" s="2223" cm="1">
        <f t="array" ref="AD340">IF($D340&lt;COLUMNS($F$7:AD$7),"",INDEX(TableDiv[[GASB]:[GASB]],_xlfn.AGGREGATE(15,3,(TableDiv[[Agency]:[Agency]]=$E340)/(TableDiv[[Agency]:[Agency]]=$E340)*(ROW(TableDiv[Agency])-ROW(TableDiv[[#Headers],[Agency]])),COLUMNS($F$7:AD$7))))</f>
        <v>0</v>
      </c>
      <c r="AE340" s="2223" cm="1">
        <f t="array" ref="AE340">IF($D340&lt;COLUMNS($F$7:AE$7),"",INDEX(TableDiv[[GASB]:[GASB]],_xlfn.AGGREGATE(15,3,(TableDiv[[Agency]:[Agency]]=$E340)/(TableDiv[[Agency]:[Agency]]=$E340)*(ROW(TableDiv[Agency])-ROW(TableDiv[[#Headers],[Agency]])),COLUMNS($F$7:AE$7))))</f>
        <v>0</v>
      </c>
      <c r="AF340" s="2223" cm="1">
        <f t="array" ref="AF340">IF($D340&lt;COLUMNS($F$7:AF$7),"",INDEX(TableDiv[[GASB]:[GASB]],_xlfn.AGGREGATE(15,3,(TableDiv[[Agency]:[Agency]]=$E340)/(TableDiv[[Agency]:[Agency]]=$E340)*(ROW(TableDiv[Agency])-ROW(TableDiv[[#Headers],[Agency]])),COLUMNS($F$7:AF$7))))</f>
        <v>0</v>
      </c>
      <c r="AG340" s="2223" cm="1">
        <f t="array" ref="AG340">IF($D340&lt;COLUMNS($F$7:AG$7),"",INDEX(TableDiv[[GASB]:[GASB]],_xlfn.AGGREGATE(15,3,(TableDiv[[Agency]:[Agency]]=$E340)/(TableDiv[[Agency]:[Agency]]=$E340)*(ROW(TableDiv[Agency])-ROW(TableDiv[[#Headers],[Agency]])),COLUMNS($F$7:AG$7))))</f>
        <v>0</v>
      </c>
      <c r="AH340" s="2223" cm="1">
        <f t="array" ref="AH340">IF($D340&lt;COLUMNS($F$7:AH$7),"",INDEX(TableDiv[[GASB]:[GASB]],_xlfn.AGGREGATE(15,3,(TableDiv[[Agency]:[Agency]]=$E340)/(TableDiv[[Agency]:[Agency]]=$E340)*(ROW(TableDiv[Agency])-ROW(TableDiv[[#Headers],[Agency]])),COLUMNS($F$7:AH$7))))</f>
        <v>0</v>
      </c>
      <c r="AI340" s="2223" cm="1">
        <f t="array" ref="AI340">IF($D340&lt;COLUMNS($F$7:AI$7),"",INDEX(TableDiv[[GASB]:[GASB]],_xlfn.AGGREGATE(15,3,(TableDiv[[Agency]:[Agency]]=$E340)/(TableDiv[[Agency]:[Agency]]=$E340)*(ROW(TableDiv[Agency])-ROW(TableDiv[[#Headers],[Agency]])),COLUMNS($F$7:AI$7))))</f>
        <v>0</v>
      </c>
      <c r="AJ340" s="2223" cm="1">
        <f t="array" ref="AJ340">IF($D340&lt;COLUMNS($F$7:AJ$7),"",INDEX(TableDiv[[GASB]:[GASB]],_xlfn.AGGREGATE(15,3,(TableDiv[[Agency]:[Agency]]=$E340)/(TableDiv[[Agency]:[Agency]]=$E340)*(ROW(TableDiv[Agency])-ROW(TableDiv[[#Headers],[Agency]])),COLUMNS($F$7:AJ$7))))</f>
        <v>0</v>
      </c>
      <c r="AK340" s="2223" t="str" cm="1">
        <f t="array" ref="AK340">IF($D340&lt;COLUMNS($F$7:AK$7),"",INDEX(TableDiv[[GASB]:[GASB]],_xlfn.AGGREGATE(15,3,(TableDiv[[Agency]:[Agency]]=$E340)/(TableDiv[[Agency]:[Agency]]=$E340)*(ROW(TableDiv[Agency])-ROW(TableDiv[[#Headers],[Agency]])),COLUMNS($F$7:AK$7))))</f>
        <v/>
      </c>
      <c r="AL340" s="2223" t="str" cm="1">
        <f t="array" ref="AL340">IF($D340&lt;COLUMNS($F$7:AL$7),"",INDEX(TableDiv[[GASB]:[GASB]],_xlfn.AGGREGATE(15,3,(TableDiv[[Agency]:[Agency]]=$E340)/(TableDiv[[Agency]:[Agency]]=$E340)*(ROW(TableDiv[Agency])-ROW(TableDiv[[#Headers],[Agency]])),COLUMNS($F$7:AL$7))))</f>
        <v/>
      </c>
      <c r="AM340" s="2223" t="str" cm="1">
        <f t="array" ref="AM340">IF($D340&lt;COLUMNS($F$7:AM$7),"",INDEX(TableDiv[[GASB]:[GASB]],_xlfn.AGGREGATE(15,3,(TableDiv[[Agency]:[Agency]]=$E340)/(TableDiv[[Agency]:[Agency]]=$E340)*(ROW(TableDiv[Agency])-ROW(TableDiv[[#Headers],[Agency]])),COLUMNS($F$7:AM$7))))</f>
        <v/>
      </c>
      <c r="AN340" s="2223"/>
      <c r="AO340" s="2223"/>
      <c r="AP340" s="2223"/>
      <c r="AQ340" s="2223"/>
      <c r="AR340" s="2223"/>
      <c r="AS340" s="2223"/>
    </row>
    <row r="341" spans="1:45" ht="15" x14ac:dyDescent="0.25">
      <c r="A341" s="2219" t="s">
        <v>5127</v>
      </c>
      <c r="B341" s="2219" t="s">
        <v>6357</v>
      </c>
      <c r="C341" s="2223"/>
      <c r="D341" s="2223">
        <f>COUNTIF(TableDiv[Agency],E341)</f>
        <v>31</v>
      </c>
      <c r="E341" s="2230" t="str" cm="1">
        <f t="array" ref="E341">IFERROR(INDEX(TableDiv[Agency],MATCH(0,INDEX(COUNTIF($E$7:E340,TableDiv[Agency]),),0)),"")</f>
        <v/>
      </c>
      <c r="F341" s="2223" cm="1">
        <f t="array" ref="F341">IF($D341&lt;COLUMNS($F$7:F$7),"",INDEX(TableDiv[[GASB]:[GASB]],_xlfn.AGGREGATE(15,3,(TableDiv[[Agency]:[Agency]]=$E341)/(TableDiv[[Agency]:[Agency]]=$E341)*(ROW(TableDiv[Agency])-ROW(TableDiv[[#Headers],[Agency]])),COLUMNS($F$7:F$7))))</f>
        <v>0</v>
      </c>
      <c r="G341" s="2223" cm="1">
        <f t="array" ref="G341">IF($D341&lt;COLUMNS($F$7:G$7),"",INDEX(TableDiv[[GASB]:[GASB]],_xlfn.AGGREGATE(15,3,(TableDiv[[Agency]:[Agency]]=$E341)/(TableDiv[[Agency]:[Agency]]=$E341)*(ROW(TableDiv[Agency])-ROW(TableDiv[[#Headers],[Agency]])),COLUMNS($F$7:G$7))))</f>
        <v>0</v>
      </c>
      <c r="H341" s="2223" cm="1">
        <f t="array" ref="H341">IF($D341&lt;COLUMNS($F$7:H$7),"",INDEX(TableDiv[[GASB]:[GASB]],_xlfn.AGGREGATE(15,3,(TableDiv[[Agency]:[Agency]]=$E341)/(TableDiv[[Agency]:[Agency]]=$E341)*(ROW(TableDiv[Agency])-ROW(TableDiv[[#Headers],[Agency]])),COLUMNS($F$7:H$7))))</f>
        <v>0</v>
      </c>
      <c r="I341" s="2223" cm="1">
        <f t="array" ref="I341">IF($D341&lt;COLUMNS($F$7:I$7),"",INDEX(TableDiv[[GASB]:[GASB]],_xlfn.AGGREGATE(15,3,(TableDiv[[Agency]:[Agency]]=$E341)/(TableDiv[[Agency]:[Agency]]=$E341)*(ROW(TableDiv[Agency])-ROW(TableDiv[[#Headers],[Agency]])),COLUMNS($F$7:I$7))))</f>
        <v>0</v>
      </c>
      <c r="J341" s="2223" cm="1">
        <f t="array" ref="J341">IF($D341&lt;COLUMNS($F$7:J$7),"",INDEX(TableDiv[[GASB]:[GASB]],_xlfn.AGGREGATE(15,3,(TableDiv[[Agency]:[Agency]]=$E341)/(TableDiv[[Agency]:[Agency]]=$E341)*(ROW(TableDiv[Agency])-ROW(TableDiv[[#Headers],[Agency]])),COLUMNS($F$7:J$7))))</f>
        <v>0</v>
      </c>
      <c r="K341" s="2223" cm="1">
        <f t="array" ref="K341">IF($D341&lt;COLUMNS($F$7:K$7),"",INDEX(TableDiv[[GASB]:[GASB]],_xlfn.AGGREGATE(15,3,(TableDiv[[Agency]:[Agency]]=$E341)/(TableDiv[[Agency]:[Agency]]=$E341)*(ROW(TableDiv[Agency])-ROW(TableDiv[[#Headers],[Agency]])),COLUMNS($F$7:K$7))))</f>
        <v>0</v>
      </c>
      <c r="L341" s="2223" cm="1">
        <f t="array" ref="L341">IF($D341&lt;COLUMNS($F$7:L$7),"",INDEX(TableDiv[[GASB]:[GASB]],_xlfn.AGGREGATE(15,3,(TableDiv[[Agency]:[Agency]]=$E341)/(TableDiv[[Agency]:[Agency]]=$E341)*(ROW(TableDiv[Agency])-ROW(TableDiv[[#Headers],[Agency]])),COLUMNS($F$7:L$7))))</f>
        <v>0</v>
      </c>
      <c r="M341" s="2223" cm="1">
        <f t="array" ref="M341">IF($D341&lt;COLUMNS($F$7:M$7),"",INDEX(TableDiv[[GASB]:[GASB]],_xlfn.AGGREGATE(15,3,(TableDiv[[Agency]:[Agency]]=$E341)/(TableDiv[[Agency]:[Agency]]=$E341)*(ROW(TableDiv[Agency])-ROW(TableDiv[[#Headers],[Agency]])),COLUMNS($F$7:M$7))))</f>
        <v>0</v>
      </c>
      <c r="N341" s="2223" cm="1">
        <f t="array" ref="N341">IF($D341&lt;COLUMNS($F$7:N$7),"",INDEX(TableDiv[[GASB]:[GASB]],_xlfn.AGGREGATE(15,3,(TableDiv[[Agency]:[Agency]]=$E341)/(TableDiv[[Agency]:[Agency]]=$E341)*(ROW(TableDiv[Agency])-ROW(TableDiv[[#Headers],[Agency]])),COLUMNS($F$7:N$7))))</f>
        <v>0</v>
      </c>
      <c r="O341" s="2223" cm="1">
        <f t="array" ref="O341">IF($D341&lt;COLUMNS($F$7:O$7),"",INDEX(TableDiv[[GASB]:[GASB]],_xlfn.AGGREGATE(15,3,(TableDiv[[Agency]:[Agency]]=$E341)/(TableDiv[[Agency]:[Agency]]=$E341)*(ROW(TableDiv[Agency])-ROW(TableDiv[[#Headers],[Agency]])),COLUMNS($F$7:O$7))))</f>
        <v>0</v>
      </c>
      <c r="P341" s="2223" cm="1">
        <f t="array" ref="P341">IF($D341&lt;COLUMNS($F$7:P$7),"",INDEX(TableDiv[[GASB]:[GASB]],_xlfn.AGGREGATE(15,3,(TableDiv[[Agency]:[Agency]]=$E341)/(TableDiv[[Agency]:[Agency]]=$E341)*(ROW(TableDiv[Agency])-ROW(TableDiv[[#Headers],[Agency]])),COLUMNS($F$7:P$7))))</f>
        <v>0</v>
      </c>
      <c r="Q341" s="2223" cm="1">
        <f t="array" ref="Q341">IF($D341&lt;COLUMNS($F$7:Q$7),"",INDEX(TableDiv[[GASB]:[GASB]],_xlfn.AGGREGATE(15,3,(TableDiv[[Agency]:[Agency]]=$E341)/(TableDiv[[Agency]:[Agency]]=$E341)*(ROW(TableDiv[Agency])-ROW(TableDiv[[#Headers],[Agency]])),COLUMNS($F$7:Q$7))))</f>
        <v>0</v>
      </c>
      <c r="R341" s="2223" cm="1">
        <f t="array" ref="R341">IF($D341&lt;COLUMNS($F$7:R$7),"",INDEX(TableDiv[[GASB]:[GASB]],_xlfn.AGGREGATE(15,3,(TableDiv[[Agency]:[Agency]]=$E341)/(TableDiv[[Agency]:[Agency]]=$E341)*(ROW(TableDiv[Agency])-ROW(TableDiv[[#Headers],[Agency]])),COLUMNS($F$7:R$7))))</f>
        <v>0</v>
      </c>
      <c r="S341" s="2223" cm="1">
        <f t="array" ref="S341">IF($D341&lt;COLUMNS($F$7:S$7),"",INDEX(TableDiv[[GASB]:[GASB]],_xlfn.AGGREGATE(15,3,(TableDiv[[Agency]:[Agency]]=$E341)/(TableDiv[[Agency]:[Agency]]=$E341)*(ROW(TableDiv[Agency])-ROW(TableDiv[[#Headers],[Agency]])),COLUMNS($F$7:S$7))))</f>
        <v>0</v>
      </c>
      <c r="T341" s="2223" cm="1">
        <f t="array" ref="T341">IF($D341&lt;COLUMNS($F$7:T$7),"",INDEX(TableDiv[[GASB]:[GASB]],_xlfn.AGGREGATE(15,3,(TableDiv[[Agency]:[Agency]]=$E341)/(TableDiv[[Agency]:[Agency]]=$E341)*(ROW(TableDiv[Agency])-ROW(TableDiv[[#Headers],[Agency]])),COLUMNS($F$7:T$7))))</f>
        <v>0</v>
      </c>
      <c r="U341" s="2223" cm="1">
        <f t="array" ref="U341">IF($D341&lt;COLUMNS($F$7:U$7),"",INDEX(TableDiv[[GASB]:[GASB]],_xlfn.AGGREGATE(15,3,(TableDiv[[Agency]:[Agency]]=$E341)/(TableDiv[[Agency]:[Agency]]=$E341)*(ROW(TableDiv[Agency])-ROW(TableDiv[[#Headers],[Agency]])),COLUMNS($F$7:U$7))))</f>
        <v>0</v>
      </c>
      <c r="V341" s="2223" cm="1">
        <f t="array" ref="V341">IF($D341&lt;COLUMNS($F$7:V$7),"",INDEX(TableDiv[[GASB]:[GASB]],_xlfn.AGGREGATE(15,3,(TableDiv[[Agency]:[Agency]]=$E341)/(TableDiv[[Agency]:[Agency]]=$E341)*(ROW(TableDiv[Agency])-ROW(TableDiv[[#Headers],[Agency]])),COLUMNS($F$7:V$7))))</f>
        <v>0</v>
      </c>
      <c r="W341" s="2223" cm="1">
        <f t="array" ref="W341">IF($D341&lt;COLUMNS($F$7:W$7),"",INDEX(TableDiv[[GASB]:[GASB]],_xlfn.AGGREGATE(15,3,(TableDiv[[Agency]:[Agency]]=$E341)/(TableDiv[[Agency]:[Agency]]=$E341)*(ROW(TableDiv[Agency])-ROW(TableDiv[[#Headers],[Agency]])),COLUMNS($F$7:W$7))))</f>
        <v>0</v>
      </c>
      <c r="X341" s="2223" cm="1">
        <f t="array" ref="X341">IF($D341&lt;COLUMNS($F$7:X$7),"",INDEX(TableDiv[[GASB]:[GASB]],_xlfn.AGGREGATE(15,3,(TableDiv[[Agency]:[Agency]]=$E341)/(TableDiv[[Agency]:[Agency]]=$E341)*(ROW(TableDiv[Agency])-ROW(TableDiv[[#Headers],[Agency]])),COLUMNS($F$7:X$7))))</f>
        <v>0</v>
      </c>
      <c r="Y341" s="2223" cm="1">
        <f t="array" ref="Y341">IF($D341&lt;COLUMNS($F$7:Y$7),"",INDEX(TableDiv[[GASB]:[GASB]],_xlfn.AGGREGATE(15,3,(TableDiv[[Agency]:[Agency]]=$E341)/(TableDiv[[Agency]:[Agency]]=$E341)*(ROW(TableDiv[Agency])-ROW(TableDiv[[#Headers],[Agency]])),COLUMNS($F$7:Y$7))))</f>
        <v>0</v>
      </c>
      <c r="Z341" s="2223" cm="1">
        <f t="array" ref="Z341">IF($D341&lt;COLUMNS($F$7:Z$7),"",INDEX(TableDiv[[GASB]:[GASB]],_xlfn.AGGREGATE(15,3,(TableDiv[[Agency]:[Agency]]=$E341)/(TableDiv[[Agency]:[Agency]]=$E341)*(ROW(TableDiv[Agency])-ROW(TableDiv[[#Headers],[Agency]])),COLUMNS($F$7:Z$7))))</f>
        <v>0</v>
      </c>
      <c r="AA341" s="2223" cm="1">
        <f t="array" ref="AA341">IF($D341&lt;COLUMNS($F$7:AA$7),"",INDEX(TableDiv[[GASB]:[GASB]],_xlfn.AGGREGATE(15,3,(TableDiv[[Agency]:[Agency]]=$E341)/(TableDiv[[Agency]:[Agency]]=$E341)*(ROW(TableDiv[Agency])-ROW(TableDiv[[#Headers],[Agency]])),COLUMNS($F$7:AA$7))))</f>
        <v>0</v>
      </c>
      <c r="AB341" s="2223" cm="1">
        <f t="array" ref="AB341">IF($D341&lt;COLUMNS($F$7:AB$7),"",INDEX(TableDiv[[GASB]:[GASB]],_xlfn.AGGREGATE(15,3,(TableDiv[[Agency]:[Agency]]=$E341)/(TableDiv[[Agency]:[Agency]]=$E341)*(ROW(TableDiv[Agency])-ROW(TableDiv[[#Headers],[Agency]])),COLUMNS($F$7:AB$7))))</f>
        <v>0</v>
      </c>
      <c r="AC341" s="2223" cm="1">
        <f t="array" ref="AC341">IF($D341&lt;COLUMNS($F$7:AC$7),"",INDEX(TableDiv[[GASB]:[GASB]],_xlfn.AGGREGATE(15,3,(TableDiv[[Agency]:[Agency]]=$E341)/(TableDiv[[Agency]:[Agency]]=$E341)*(ROW(TableDiv[Agency])-ROW(TableDiv[[#Headers],[Agency]])),COLUMNS($F$7:AC$7))))</f>
        <v>0</v>
      </c>
      <c r="AD341" s="2223" cm="1">
        <f t="array" ref="AD341">IF($D341&lt;COLUMNS($F$7:AD$7),"",INDEX(TableDiv[[GASB]:[GASB]],_xlfn.AGGREGATE(15,3,(TableDiv[[Agency]:[Agency]]=$E341)/(TableDiv[[Agency]:[Agency]]=$E341)*(ROW(TableDiv[Agency])-ROW(TableDiv[[#Headers],[Agency]])),COLUMNS($F$7:AD$7))))</f>
        <v>0</v>
      </c>
      <c r="AE341" s="2223" cm="1">
        <f t="array" ref="AE341">IF($D341&lt;COLUMNS($F$7:AE$7),"",INDEX(TableDiv[[GASB]:[GASB]],_xlfn.AGGREGATE(15,3,(TableDiv[[Agency]:[Agency]]=$E341)/(TableDiv[[Agency]:[Agency]]=$E341)*(ROW(TableDiv[Agency])-ROW(TableDiv[[#Headers],[Agency]])),COLUMNS($F$7:AE$7))))</f>
        <v>0</v>
      </c>
      <c r="AF341" s="2223" cm="1">
        <f t="array" ref="AF341">IF($D341&lt;COLUMNS($F$7:AF$7),"",INDEX(TableDiv[[GASB]:[GASB]],_xlfn.AGGREGATE(15,3,(TableDiv[[Agency]:[Agency]]=$E341)/(TableDiv[[Agency]:[Agency]]=$E341)*(ROW(TableDiv[Agency])-ROW(TableDiv[[#Headers],[Agency]])),COLUMNS($F$7:AF$7))))</f>
        <v>0</v>
      </c>
      <c r="AG341" s="2223" cm="1">
        <f t="array" ref="AG341">IF($D341&lt;COLUMNS($F$7:AG$7),"",INDEX(TableDiv[[GASB]:[GASB]],_xlfn.AGGREGATE(15,3,(TableDiv[[Agency]:[Agency]]=$E341)/(TableDiv[[Agency]:[Agency]]=$E341)*(ROW(TableDiv[Agency])-ROW(TableDiv[[#Headers],[Agency]])),COLUMNS($F$7:AG$7))))</f>
        <v>0</v>
      </c>
      <c r="AH341" s="2223" cm="1">
        <f t="array" ref="AH341">IF($D341&lt;COLUMNS($F$7:AH$7),"",INDEX(TableDiv[[GASB]:[GASB]],_xlfn.AGGREGATE(15,3,(TableDiv[[Agency]:[Agency]]=$E341)/(TableDiv[[Agency]:[Agency]]=$E341)*(ROW(TableDiv[Agency])-ROW(TableDiv[[#Headers],[Agency]])),COLUMNS($F$7:AH$7))))</f>
        <v>0</v>
      </c>
      <c r="AI341" s="2223" cm="1">
        <f t="array" ref="AI341">IF($D341&lt;COLUMNS($F$7:AI$7),"",INDEX(TableDiv[[GASB]:[GASB]],_xlfn.AGGREGATE(15,3,(TableDiv[[Agency]:[Agency]]=$E341)/(TableDiv[[Agency]:[Agency]]=$E341)*(ROW(TableDiv[Agency])-ROW(TableDiv[[#Headers],[Agency]])),COLUMNS($F$7:AI$7))))</f>
        <v>0</v>
      </c>
      <c r="AJ341" s="2223" cm="1">
        <f t="array" ref="AJ341">IF($D341&lt;COLUMNS($F$7:AJ$7),"",INDEX(TableDiv[[GASB]:[GASB]],_xlfn.AGGREGATE(15,3,(TableDiv[[Agency]:[Agency]]=$E341)/(TableDiv[[Agency]:[Agency]]=$E341)*(ROW(TableDiv[Agency])-ROW(TableDiv[[#Headers],[Agency]])),COLUMNS($F$7:AJ$7))))</f>
        <v>0</v>
      </c>
      <c r="AK341" s="2223" t="str" cm="1">
        <f t="array" ref="AK341">IF($D341&lt;COLUMNS($F$7:AK$7),"",INDEX(TableDiv[[GASB]:[GASB]],_xlfn.AGGREGATE(15,3,(TableDiv[[Agency]:[Agency]]=$E341)/(TableDiv[[Agency]:[Agency]]=$E341)*(ROW(TableDiv[Agency])-ROW(TableDiv[[#Headers],[Agency]])),COLUMNS($F$7:AK$7))))</f>
        <v/>
      </c>
      <c r="AL341" s="2223" t="str" cm="1">
        <f t="array" ref="AL341">IF($D341&lt;COLUMNS($F$7:AL$7),"",INDEX(TableDiv[[GASB]:[GASB]],_xlfn.AGGREGATE(15,3,(TableDiv[[Agency]:[Agency]]=$E341)/(TableDiv[[Agency]:[Agency]]=$E341)*(ROW(TableDiv[Agency])-ROW(TableDiv[[#Headers],[Agency]])),COLUMNS($F$7:AL$7))))</f>
        <v/>
      </c>
      <c r="AM341" s="2223" t="str" cm="1">
        <f t="array" ref="AM341">IF($D341&lt;COLUMNS($F$7:AM$7),"",INDEX(TableDiv[[GASB]:[GASB]],_xlfn.AGGREGATE(15,3,(TableDiv[[Agency]:[Agency]]=$E341)/(TableDiv[[Agency]:[Agency]]=$E341)*(ROW(TableDiv[Agency])-ROW(TableDiv[[#Headers],[Agency]])),COLUMNS($F$7:AM$7))))</f>
        <v/>
      </c>
      <c r="AN341" s="2223"/>
      <c r="AO341" s="2223"/>
      <c r="AP341" s="2223"/>
      <c r="AQ341" s="2223"/>
      <c r="AR341" s="2223"/>
      <c r="AS341" s="2223"/>
    </row>
    <row r="342" spans="1:45" ht="15" x14ac:dyDescent="0.25">
      <c r="A342" s="2219" t="s">
        <v>5127</v>
      </c>
      <c r="B342" s="2219" t="s">
        <v>6485</v>
      </c>
      <c r="C342" s="2223"/>
      <c r="D342" s="2223">
        <f>COUNTIF(TableDiv[Agency],E342)</f>
        <v>31</v>
      </c>
      <c r="E342" s="2230" t="str" cm="1">
        <f t="array" ref="E342">IFERROR(INDEX(TableDiv[Agency],MATCH(0,INDEX(COUNTIF($E$7:E341,TableDiv[Agency]),),0)),"")</f>
        <v/>
      </c>
      <c r="F342" s="2223" cm="1">
        <f t="array" ref="F342">IF($D342&lt;COLUMNS($F$7:F$7),"",INDEX(TableDiv[[GASB]:[GASB]],_xlfn.AGGREGATE(15,3,(TableDiv[[Agency]:[Agency]]=$E342)/(TableDiv[[Agency]:[Agency]]=$E342)*(ROW(TableDiv[Agency])-ROW(TableDiv[[#Headers],[Agency]])),COLUMNS($F$7:F$7))))</f>
        <v>0</v>
      </c>
      <c r="G342" s="2223" cm="1">
        <f t="array" ref="G342">IF($D342&lt;COLUMNS($F$7:G$7),"",INDEX(TableDiv[[GASB]:[GASB]],_xlfn.AGGREGATE(15,3,(TableDiv[[Agency]:[Agency]]=$E342)/(TableDiv[[Agency]:[Agency]]=$E342)*(ROW(TableDiv[Agency])-ROW(TableDiv[[#Headers],[Agency]])),COLUMNS($F$7:G$7))))</f>
        <v>0</v>
      </c>
      <c r="H342" s="2223" cm="1">
        <f t="array" ref="H342">IF($D342&lt;COLUMNS($F$7:H$7),"",INDEX(TableDiv[[GASB]:[GASB]],_xlfn.AGGREGATE(15,3,(TableDiv[[Agency]:[Agency]]=$E342)/(TableDiv[[Agency]:[Agency]]=$E342)*(ROW(TableDiv[Agency])-ROW(TableDiv[[#Headers],[Agency]])),COLUMNS($F$7:H$7))))</f>
        <v>0</v>
      </c>
      <c r="I342" s="2223" cm="1">
        <f t="array" ref="I342">IF($D342&lt;COLUMNS($F$7:I$7),"",INDEX(TableDiv[[GASB]:[GASB]],_xlfn.AGGREGATE(15,3,(TableDiv[[Agency]:[Agency]]=$E342)/(TableDiv[[Agency]:[Agency]]=$E342)*(ROW(TableDiv[Agency])-ROW(TableDiv[[#Headers],[Agency]])),COLUMNS($F$7:I$7))))</f>
        <v>0</v>
      </c>
      <c r="J342" s="2223" cm="1">
        <f t="array" ref="J342">IF($D342&lt;COLUMNS($F$7:J$7),"",INDEX(TableDiv[[GASB]:[GASB]],_xlfn.AGGREGATE(15,3,(TableDiv[[Agency]:[Agency]]=$E342)/(TableDiv[[Agency]:[Agency]]=$E342)*(ROW(TableDiv[Agency])-ROW(TableDiv[[#Headers],[Agency]])),COLUMNS($F$7:J$7))))</f>
        <v>0</v>
      </c>
      <c r="K342" s="2223" cm="1">
        <f t="array" ref="K342">IF($D342&lt;COLUMNS($F$7:K$7),"",INDEX(TableDiv[[GASB]:[GASB]],_xlfn.AGGREGATE(15,3,(TableDiv[[Agency]:[Agency]]=$E342)/(TableDiv[[Agency]:[Agency]]=$E342)*(ROW(TableDiv[Agency])-ROW(TableDiv[[#Headers],[Agency]])),COLUMNS($F$7:K$7))))</f>
        <v>0</v>
      </c>
      <c r="L342" s="2223" cm="1">
        <f t="array" ref="L342">IF($D342&lt;COLUMNS($F$7:L$7),"",INDEX(TableDiv[[GASB]:[GASB]],_xlfn.AGGREGATE(15,3,(TableDiv[[Agency]:[Agency]]=$E342)/(TableDiv[[Agency]:[Agency]]=$E342)*(ROW(TableDiv[Agency])-ROW(TableDiv[[#Headers],[Agency]])),COLUMNS($F$7:L$7))))</f>
        <v>0</v>
      </c>
      <c r="M342" s="2223" cm="1">
        <f t="array" ref="M342">IF($D342&lt;COLUMNS($F$7:M$7),"",INDEX(TableDiv[[GASB]:[GASB]],_xlfn.AGGREGATE(15,3,(TableDiv[[Agency]:[Agency]]=$E342)/(TableDiv[[Agency]:[Agency]]=$E342)*(ROW(TableDiv[Agency])-ROW(TableDiv[[#Headers],[Agency]])),COLUMNS($F$7:M$7))))</f>
        <v>0</v>
      </c>
      <c r="N342" s="2223" cm="1">
        <f t="array" ref="N342">IF($D342&lt;COLUMNS($F$7:N$7),"",INDEX(TableDiv[[GASB]:[GASB]],_xlfn.AGGREGATE(15,3,(TableDiv[[Agency]:[Agency]]=$E342)/(TableDiv[[Agency]:[Agency]]=$E342)*(ROW(TableDiv[Agency])-ROW(TableDiv[[#Headers],[Agency]])),COLUMNS($F$7:N$7))))</f>
        <v>0</v>
      </c>
      <c r="O342" s="2223" cm="1">
        <f t="array" ref="O342">IF($D342&lt;COLUMNS($F$7:O$7),"",INDEX(TableDiv[[GASB]:[GASB]],_xlfn.AGGREGATE(15,3,(TableDiv[[Agency]:[Agency]]=$E342)/(TableDiv[[Agency]:[Agency]]=$E342)*(ROW(TableDiv[Agency])-ROW(TableDiv[[#Headers],[Agency]])),COLUMNS($F$7:O$7))))</f>
        <v>0</v>
      </c>
      <c r="P342" s="2223" cm="1">
        <f t="array" ref="P342">IF($D342&lt;COLUMNS($F$7:P$7),"",INDEX(TableDiv[[GASB]:[GASB]],_xlfn.AGGREGATE(15,3,(TableDiv[[Agency]:[Agency]]=$E342)/(TableDiv[[Agency]:[Agency]]=$E342)*(ROW(TableDiv[Agency])-ROW(TableDiv[[#Headers],[Agency]])),COLUMNS($F$7:P$7))))</f>
        <v>0</v>
      </c>
      <c r="Q342" s="2223" cm="1">
        <f t="array" ref="Q342">IF($D342&lt;COLUMNS($F$7:Q$7),"",INDEX(TableDiv[[GASB]:[GASB]],_xlfn.AGGREGATE(15,3,(TableDiv[[Agency]:[Agency]]=$E342)/(TableDiv[[Agency]:[Agency]]=$E342)*(ROW(TableDiv[Agency])-ROW(TableDiv[[#Headers],[Agency]])),COLUMNS($F$7:Q$7))))</f>
        <v>0</v>
      </c>
      <c r="R342" s="2223" cm="1">
        <f t="array" ref="R342">IF($D342&lt;COLUMNS($F$7:R$7),"",INDEX(TableDiv[[GASB]:[GASB]],_xlfn.AGGREGATE(15,3,(TableDiv[[Agency]:[Agency]]=$E342)/(TableDiv[[Agency]:[Agency]]=$E342)*(ROW(TableDiv[Agency])-ROW(TableDiv[[#Headers],[Agency]])),COLUMNS($F$7:R$7))))</f>
        <v>0</v>
      </c>
      <c r="S342" s="2223" cm="1">
        <f t="array" ref="S342">IF($D342&lt;COLUMNS($F$7:S$7),"",INDEX(TableDiv[[GASB]:[GASB]],_xlfn.AGGREGATE(15,3,(TableDiv[[Agency]:[Agency]]=$E342)/(TableDiv[[Agency]:[Agency]]=$E342)*(ROW(TableDiv[Agency])-ROW(TableDiv[[#Headers],[Agency]])),COLUMNS($F$7:S$7))))</f>
        <v>0</v>
      </c>
      <c r="T342" s="2223" cm="1">
        <f t="array" ref="T342">IF($D342&lt;COLUMNS($F$7:T$7),"",INDEX(TableDiv[[GASB]:[GASB]],_xlfn.AGGREGATE(15,3,(TableDiv[[Agency]:[Agency]]=$E342)/(TableDiv[[Agency]:[Agency]]=$E342)*(ROW(TableDiv[Agency])-ROW(TableDiv[[#Headers],[Agency]])),COLUMNS($F$7:T$7))))</f>
        <v>0</v>
      </c>
      <c r="U342" s="2223" cm="1">
        <f t="array" ref="U342">IF($D342&lt;COLUMNS($F$7:U$7),"",INDEX(TableDiv[[GASB]:[GASB]],_xlfn.AGGREGATE(15,3,(TableDiv[[Agency]:[Agency]]=$E342)/(TableDiv[[Agency]:[Agency]]=$E342)*(ROW(TableDiv[Agency])-ROW(TableDiv[[#Headers],[Agency]])),COLUMNS($F$7:U$7))))</f>
        <v>0</v>
      </c>
      <c r="V342" s="2223" cm="1">
        <f t="array" ref="V342">IF($D342&lt;COLUMNS($F$7:V$7),"",INDEX(TableDiv[[GASB]:[GASB]],_xlfn.AGGREGATE(15,3,(TableDiv[[Agency]:[Agency]]=$E342)/(TableDiv[[Agency]:[Agency]]=$E342)*(ROW(TableDiv[Agency])-ROW(TableDiv[[#Headers],[Agency]])),COLUMNS($F$7:V$7))))</f>
        <v>0</v>
      </c>
      <c r="W342" s="2223" cm="1">
        <f t="array" ref="W342">IF($D342&lt;COLUMNS($F$7:W$7),"",INDEX(TableDiv[[GASB]:[GASB]],_xlfn.AGGREGATE(15,3,(TableDiv[[Agency]:[Agency]]=$E342)/(TableDiv[[Agency]:[Agency]]=$E342)*(ROW(TableDiv[Agency])-ROW(TableDiv[[#Headers],[Agency]])),COLUMNS($F$7:W$7))))</f>
        <v>0</v>
      </c>
      <c r="X342" s="2223" cm="1">
        <f t="array" ref="X342">IF($D342&lt;COLUMNS($F$7:X$7),"",INDEX(TableDiv[[GASB]:[GASB]],_xlfn.AGGREGATE(15,3,(TableDiv[[Agency]:[Agency]]=$E342)/(TableDiv[[Agency]:[Agency]]=$E342)*(ROW(TableDiv[Agency])-ROW(TableDiv[[#Headers],[Agency]])),COLUMNS($F$7:X$7))))</f>
        <v>0</v>
      </c>
      <c r="Y342" s="2223" cm="1">
        <f t="array" ref="Y342">IF($D342&lt;COLUMNS($F$7:Y$7),"",INDEX(TableDiv[[GASB]:[GASB]],_xlfn.AGGREGATE(15,3,(TableDiv[[Agency]:[Agency]]=$E342)/(TableDiv[[Agency]:[Agency]]=$E342)*(ROW(TableDiv[Agency])-ROW(TableDiv[[#Headers],[Agency]])),COLUMNS($F$7:Y$7))))</f>
        <v>0</v>
      </c>
      <c r="Z342" s="2223" cm="1">
        <f t="array" ref="Z342">IF($D342&lt;COLUMNS($F$7:Z$7),"",INDEX(TableDiv[[GASB]:[GASB]],_xlfn.AGGREGATE(15,3,(TableDiv[[Agency]:[Agency]]=$E342)/(TableDiv[[Agency]:[Agency]]=$E342)*(ROW(TableDiv[Agency])-ROW(TableDiv[[#Headers],[Agency]])),COLUMNS($F$7:Z$7))))</f>
        <v>0</v>
      </c>
      <c r="AA342" s="2223" cm="1">
        <f t="array" ref="AA342">IF($D342&lt;COLUMNS($F$7:AA$7),"",INDEX(TableDiv[[GASB]:[GASB]],_xlfn.AGGREGATE(15,3,(TableDiv[[Agency]:[Agency]]=$E342)/(TableDiv[[Agency]:[Agency]]=$E342)*(ROW(TableDiv[Agency])-ROW(TableDiv[[#Headers],[Agency]])),COLUMNS($F$7:AA$7))))</f>
        <v>0</v>
      </c>
      <c r="AB342" s="2223" cm="1">
        <f t="array" ref="AB342">IF($D342&lt;COLUMNS($F$7:AB$7),"",INDEX(TableDiv[[GASB]:[GASB]],_xlfn.AGGREGATE(15,3,(TableDiv[[Agency]:[Agency]]=$E342)/(TableDiv[[Agency]:[Agency]]=$E342)*(ROW(TableDiv[Agency])-ROW(TableDiv[[#Headers],[Agency]])),COLUMNS($F$7:AB$7))))</f>
        <v>0</v>
      </c>
      <c r="AC342" s="2223" cm="1">
        <f t="array" ref="AC342">IF($D342&lt;COLUMNS($F$7:AC$7),"",INDEX(TableDiv[[GASB]:[GASB]],_xlfn.AGGREGATE(15,3,(TableDiv[[Agency]:[Agency]]=$E342)/(TableDiv[[Agency]:[Agency]]=$E342)*(ROW(TableDiv[Agency])-ROW(TableDiv[[#Headers],[Agency]])),COLUMNS($F$7:AC$7))))</f>
        <v>0</v>
      </c>
      <c r="AD342" s="2223" cm="1">
        <f t="array" ref="AD342">IF($D342&lt;COLUMNS($F$7:AD$7),"",INDEX(TableDiv[[GASB]:[GASB]],_xlfn.AGGREGATE(15,3,(TableDiv[[Agency]:[Agency]]=$E342)/(TableDiv[[Agency]:[Agency]]=$E342)*(ROW(TableDiv[Agency])-ROW(TableDiv[[#Headers],[Agency]])),COLUMNS($F$7:AD$7))))</f>
        <v>0</v>
      </c>
      <c r="AE342" s="2223" cm="1">
        <f t="array" ref="AE342">IF($D342&lt;COLUMNS($F$7:AE$7),"",INDEX(TableDiv[[GASB]:[GASB]],_xlfn.AGGREGATE(15,3,(TableDiv[[Agency]:[Agency]]=$E342)/(TableDiv[[Agency]:[Agency]]=$E342)*(ROW(TableDiv[Agency])-ROW(TableDiv[[#Headers],[Agency]])),COLUMNS($F$7:AE$7))))</f>
        <v>0</v>
      </c>
      <c r="AF342" s="2223" cm="1">
        <f t="array" ref="AF342">IF($D342&lt;COLUMNS($F$7:AF$7),"",INDEX(TableDiv[[GASB]:[GASB]],_xlfn.AGGREGATE(15,3,(TableDiv[[Agency]:[Agency]]=$E342)/(TableDiv[[Agency]:[Agency]]=$E342)*(ROW(TableDiv[Agency])-ROW(TableDiv[[#Headers],[Agency]])),COLUMNS($F$7:AF$7))))</f>
        <v>0</v>
      </c>
      <c r="AG342" s="2223" cm="1">
        <f t="array" ref="AG342">IF($D342&lt;COLUMNS($F$7:AG$7),"",INDEX(TableDiv[[GASB]:[GASB]],_xlfn.AGGREGATE(15,3,(TableDiv[[Agency]:[Agency]]=$E342)/(TableDiv[[Agency]:[Agency]]=$E342)*(ROW(TableDiv[Agency])-ROW(TableDiv[[#Headers],[Agency]])),COLUMNS($F$7:AG$7))))</f>
        <v>0</v>
      </c>
      <c r="AH342" s="2223" cm="1">
        <f t="array" ref="AH342">IF($D342&lt;COLUMNS($F$7:AH$7),"",INDEX(TableDiv[[GASB]:[GASB]],_xlfn.AGGREGATE(15,3,(TableDiv[[Agency]:[Agency]]=$E342)/(TableDiv[[Agency]:[Agency]]=$E342)*(ROW(TableDiv[Agency])-ROW(TableDiv[[#Headers],[Agency]])),COLUMNS($F$7:AH$7))))</f>
        <v>0</v>
      </c>
      <c r="AI342" s="2223" cm="1">
        <f t="array" ref="AI342">IF($D342&lt;COLUMNS($F$7:AI$7),"",INDEX(TableDiv[[GASB]:[GASB]],_xlfn.AGGREGATE(15,3,(TableDiv[[Agency]:[Agency]]=$E342)/(TableDiv[[Agency]:[Agency]]=$E342)*(ROW(TableDiv[Agency])-ROW(TableDiv[[#Headers],[Agency]])),COLUMNS($F$7:AI$7))))</f>
        <v>0</v>
      </c>
      <c r="AJ342" s="2223" cm="1">
        <f t="array" ref="AJ342">IF($D342&lt;COLUMNS($F$7:AJ$7),"",INDEX(TableDiv[[GASB]:[GASB]],_xlfn.AGGREGATE(15,3,(TableDiv[[Agency]:[Agency]]=$E342)/(TableDiv[[Agency]:[Agency]]=$E342)*(ROW(TableDiv[Agency])-ROW(TableDiv[[#Headers],[Agency]])),COLUMNS($F$7:AJ$7))))</f>
        <v>0</v>
      </c>
      <c r="AK342" s="2223" t="str" cm="1">
        <f t="array" ref="AK342">IF($D342&lt;COLUMNS($F$7:AK$7),"",INDEX(TableDiv[[GASB]:[GASB]],_xlfn.AGGREGATE(15,3,(TableDiv[[Agency]:[Agency]]=$E342)/(TableDiv[[Agency]:[Agency]]=$E342)*(ROW(TableDiv[Agency])-ROW(TableDiv[[#Headers],[Agency]])),COLUMNS($F$7:AK$7))))</f>
        <v/>
      </c>
      <c r="AL342" s="2223" t="str" cm="1">
        <f t="array" ref="AL342">IF($D342&lt;COLUMNS($F$7:AL$7),"",INDEX(TableDiv[[GASB]:[GASB]],_xlfn.AGGREGATE(15,3,(TableDiv[[Agency]:[Agency]]=$E342)/(TableDiv[[Agency]:[Agency]]=$E342)*(ROW(TableDiv[Agency])-ROW(TableDiv[[#Headers],[Agency]])),COLUMNS($F$7:AL$7))))</f>
        <v/>
      </c>
      <c r="AM342" s="2223" t="str" cm="1">
        <f t="array" ref="AM342">IF($D342&lt;COLUMNS($F$7:AM$7),"",INDEX(TableDiv[[GASB]:[GASB]],_xlfn.AGGREGATE(15,3,(TableDiv[[Agency]:[Agency]]=$E342)/(TableDiv[[Agency]:[Agency]]=$E342)*(ROW(TableDiv[Agency])-ROW(TableDiv[[#Headers],[Agency]])),COLUMNS($F$7:AM$7))))</f>
        <v/>
      </c>
      <c r="AN342" s="2223"/>
      <c r="AO342" s="2223"/>
      <c r="AP342" s="2223"/>
      <c r="AQ342" s="2223"/>
      <c r="AR342" s="2223"/>
      <c r="AS342" s="2223"/>
    </row>
    <row r="343" spans="1:45" ht="15" x14ac:dyDescent="0.25">
      <c r="A343" s="2219" t="s">
        <v>5127</v>
      </c>
      <c r="B343" s="2219" t="s">
        <v>6486</v>
      </c>
      <c r="C343" s="2223"/>
      <c r="D343" s="2223">
        <f>COUNTIF(TableDiv[Agency],E343)</f>
        <v>31</v>
      </c>
      <c r="E343" s="2230" t="str" cm="1">
        <f t="array" ref="E343">IFERROR(INDEX(TableDiv[Agency],MATCH(0,INDEX(COUNTIF($E$7:E342,TableDiv[Agency]),),0)),"")</f>
        <v/>
      </c>
      <c r="F343" s="2223" cm="1">
        <f t="array" ref="F343">IF($D343&lt;COLUMNS($F$7:F$7),"",INDEX(TableDiv[[GASB]:[GASB]],_xlfn.AGGREGATE(15,3,(TableDiv[[Agency]:[Agency]]=$E343)/(TableDiv[[Agency]:[Agency]]=$E343)*(ROW(TableDiv[Agency])-ROW(TableDiv[[#Headers],[Agency]])),COLUMNS($F$7:F$7))))</f>
        <v>0</v>
      </c>
      <c r="G343" s="2223" cm="1">
        <f t="array" ref="G343">IF($D343&lt;COLUMNS($F$7:G$7),"",INDEX(TableDiv[[GASB]:[GASB]],_xlfn.AGGREGATE(15,3,(TableDiv[[Agency]:[Agency]]=$E343)/(TableDiv[[Agency]:[Agency]]=$E343)*(ROW(TableDiv[Agency])-ROW(TableDiv[[#Headers],[Agency]])),COLUMNS($F$7:G$7))))</f>
        <v>0</v>
      </c>
      <c r="H343" s="2223" cm="1">
        <f t="array" ref="H343">IF($D343&lt;COLUMNS($F$7:H$7),"",INDEX(TableDiv[[GASB]:[GASB]],_xlfn.AGGREGATE(15,3,(TableDiv[[Agency]:[Agency]]=$E343)/(TableDiv[[Agency]:[Agency]]=$E343)*(ROW(TableDiv[Agency])-ROW(TableDiv[[#Headers],[Agency]])),COLUMNS($F$7:H$7))))</f>
        <v>0</v>
      </c>
      <c r="I343" s="2223" cm="1">
        <f t="array" ref="I343">IF($D343&lt;COLUMNS($F$7:I$7),"",INDEX(TableDiv[[GASB]:[GASB]],_xlfn.AGGREGATE(15,3,(TableDiv[[Agency]:[Agency]]=$E343)/(TableDiv[[Agency]:[Agency]]=$E343)*(ROW(TableDiv[Agency])-ROW(TableDiv[[#Headers],[Agency]])),COLUMNS($F$7:I$7))))</f>
        <v>0</v>
      </c>
      <c r="J343" s="2223" cm="1">
        <f t="array" ref="J343">IF($D343&lt;COLUMNS($F$7:J$7),"",INDEX(TableDiv[[GASB]:[GASB]],_xlfn.AGGREGATE(15,3,(TableDiv[[Agency]:[Agency]]=$E343)/(TableDiv[[Agency]:[Agency]]=$E343)*(ROW(TableDiv[Agency])-ROW(TableDiv[[#Headers],[Agency]])),COLUMNS($F$7:J$7))))</f>
        <v>0</v>
      </c>
      <c r="K343" s="2223" cm="1">
        <f t="array" ref="K343">IF($D343&lt;COLUMNS($F$7:K$7),"",INDEX(TableDiv[[GASB]:[GASB]],_xlfn.AGGREGATE(15,3,(TableDiv[[Agency]:[Agency]]=$E343)/(TableDiv[[Agency]:[Agency]]=$E343)*(ROW(TableDiv[Agency])-ROW(TableDiv[[#Headers],[Agency]])),COLUMNS($F$7:K$7))))</f>
        <v>0</v>
      </c>
      <c r="L343" s="2223" cm="1">
        <f t="array" ref="L343">IF($D343&lt;COLUMNS($F$7:L$7),"",INDEX(TableDiv[[GASB]:[GASB]],_xlfn.AGGREGATE(15,3,(TableDiv[[Agency]:[Agency]]=$E343)/(TableDiv[[Agency]:[Agency]]=$E343)*(ROW(TableDiv[Agency])-ROW(TableDiv[[#Headers],[Agency]])),COLUMNS($F$7:L$7))))</f>
        <v>0</v>
      </c>
      <c r="M343" s="2223" cm="1">
        <f t="array" ref="M343">IF($D343&lt;COLUMNS($F$7:M$7),"",INDEX(TableDiv[[GASB]:[GASB]],_xlfn.AGGREGATE(15,3,(TableDiv[[Agency]:[Agency]]=$E343)/(TableDiv[[Agency]:[Agency]]=$E343)*(ROW(TableDiv[Agency])-ROW(TableDiv[[#Headers],[Agency]])),COLUMNS($F$7:M$7))))</f>
        <v>0</v>
      </c>
      <c r="N343" s="2223" cm="1">
        <f t="array" ref="N343">IF($D343&lt;COLUMNS($F$7:N$7),"",INDEX(TableDiv[[GASB]:[GASB]],_xlfn.AGGREGATE(15,3,(TableDiv[[Agency]:[Agency]]=$E343)/(TableDiv[[Agency]:[Agency]]=$E343)*(ROW(TableDiv[Agency])-ROW(TableDiv[[#Headers],[Agency]])),COLUMNS($F$7:N$7))))</f>
        <v>0</v>
      </c>
      <c r="O343" s="2223" cm="1">
        <f t="array" ref="O343">IF($D343&lt;COLUMNS($F$7:O$7),"",INDEX(TableDiv[[GASB]:[GASB]],_xlfn.AGGREGATE(15,3,(TableDiv[[Agency]:[Agency]]=$E343)/(TableDiv[[Agency]:[Agency]]=$E343)*(ROW(TableDiv[Agency])-ROW(TableDiv[[#Headers],[Agency]])),COLUMNS($F$7:O$7))))</f>
        <v>0</v>
      </c>
      <c r="P343" s="2223" cm="1">
        <f t="array" ref="P343">IF($D343&lt;COLUMNS($F$7:P$7),"",INDEX(TableDiv[[GASB]:[GASB]],_xlfn.AGGREGATE(15,3,(TableDiv[[Agency]:[Agency]]=$E343)/(TableDiv[[Agency]:[Agency]]=$E343)*(ROW(TableDiv[Agency])-ROW(TableDiv[[#Headers],[Agency]])),COLUMNS($F$7:P$7))))</f>
        <v>0</v>
      </c>
      <c r="Q343" s="2223" cm="1">
        <f t="array" ref="Q343">IF($D343&lt;COLUMNS($F$7:Q$7),"",INDEX(TableDiv[[GASB]:[GASB]],_xlfn.AGGREGATE(15,3,(TableDiv[[Agency]:[Agency]]=$E343)/(TableDiv[[Agency]:[Agency]]=$E343)*(ROW(TableDiv[Agency])-ROW(TableDiv[[#Headers],[Agency]])),COLUMNS($F$7:Q$7))))</f>
        <v>0</v>
      </c>
      <c r="R343" s="2223" cm="1">
        <f t="array" ref="R343">IF($D343&lt;COLUMNS($F$7:R$7),"",INDEX(TableDiv[[GASB]:[GASB]],_xlfn.AGGREGATE(15,3,(TableDiv[[Agency]:[Agency]]=$E343)/(TableDiv[[Agency]:[Agency]]=$E343)*(ROW(TableDiv[Agency])-ROW(TableDiv[[#Headers],[Agency]])),COLUMNS($F$7:R$7))))</f>
        <v>0</v>
      </c>
      <c r="S343" s="2223" cm="1">
        <f t="array" ref="S343">IF($D343&lt;COLUMNS($F$7:S$7),"",INDEX(TableDiv[[GASB]:[GASB]],_xlfn.AGGREGATE(15,3,(TableDiv[[Agency]:[Agency]]=$E343)/(TableDiv[[Agency]:[Agency]]=$E343)*(ROW(TableDiv[Agency])-ROW(TableDiv[[#Headers],[Agency]])),COLUMNS($F$7:S$7))))</f>
        <v>0</v>
      </c>
      <c r="T343" s="2223" cm="1">
        <f t="array" ref="T343">IF($D343&lt;COLUMNS($F$7:T$7),"",INDEX(TableDiv[[GASB]:[GASB]],_xlfn.AGGREGATE(15,3,(TableDiv[[Agency]:[Agency]]=$E343)/(TableDiv[[Agency]:[Agency]]=$E343)*(ROW(TableDiv[Agency])-ROW(TableDiv[[#Headers],[Agency]])),COLUMNS($F$7:T$7))))</f>
        <v>0</v>
      </c>
      <c r="U343" s="2223" cm="1">
        <f t="array" ref="U343">IF($D343&lt;COLUMNS($F$7:U$7),"",INDEX(TableDiv[[GASB]:[GASB]],_xlfn.AGGREGATE(15,3,(TableDiv[[Agency]:[Agency]]=$E343)/(TableDiv[[Agency]:[Agency]]=$E343)*(ROW(TableDiv[Agency])-ROW(TableDiv[[#Headers],[Agency]])),COLUMNS($F$7:U$7))))</f>
        <v>0</v>
      </c>
      <c r="V343" s="2223" cm="1">
        <f t="array" ref="V343">IF($D343&lt;COLUMNS($F$7:V$7),"",INDEX(TableDiv[[GASB]:[GASB]],_xlfn.AGGREGATE(15,3,(TableDiv[[Agency]:[Agency]]=$E343)/(TableDiv[[Agency]:[Agency]]=$E343)*(ROW(TableDiv[Agency])-ROW(TableDiv[[#Headers],[Agency]])),COLUMNS($F$7:V$7))))</f>
        <v>0</v>
      </c>
      <c r="W343" s="2223" cm="1">
        <f t="array" ref="W343">IF($D343&lt;COLUMNS($F$7:W$7),"",INDEX(TableDiv[[GASB]:[GASB]],_xlfn.AGGREGATE(15,3,(TableDiv[[Agency]:[Agency]]=$E343)/(TableDiv[[Agency]:[Agency]]=$E343)*(ROW(TableDiv[Agency])-ROW(TableDiv[[#Headers],[Agency]])),COLUMNS($F$7:W$7))))</f>
        <v>0</v>
      </c>
      <c r="X343" s="2223" cm="1">
        <f t="array" ref="X343">IF($D343&lt;COLUMNS($F$7:X$7),"",INDEX(TableDiv[[GASB]:[GASB]],_xlfn.AGGREGATE(15,3,(TableDiv[[Agency]:[Agency]]=$E343)/(TableDiv[[Agency]:[Agency]]=$E343)*(ROW(TableDiv[Agency])-ROW(TableDiv[[#Headers],[Agency]])),COLUMNS($F$7:X$7))))</f>
        <v>0</v>
      </c>
      <c r="Y343" s="2223" cm="1">
        <f t="array" ref="Y343">IF($D343&lt;COLUMNS($F$7:Y$7),"",INDEX(TableDiv[[GASB]:[GASB]],_xlfn.AGGREGATE(15,3,(TableDiv[[Agency]:[Agency]]=$E343)/(TableDiv[[Agency]:[Agency]]=$E343)*(ROW(TableDiv[Agency])-ROW(TableDiv[[#Headers],[Agency]])),COLUMNS($F$7:Y$7))))</f>
        <v>0</v>
      </c>
      <c r="Z343" s="2223" cm="1">
        <f t="array" ref="Z343">IF($D343&lt;COLUMNS($F$7:Z$7),"",INDEX(TableDiv[[GASB]:[GASB]],_xlfn.AGGREGATE(15,3,(TableDiv[[Agency]:[Agency]]=$E343)/(TableDiv[[Agency]:[Agency]]=$E343)*(ROW(TableDiv[Agency])-ROW(TableDiv[[#Headers],[Agency]])),COLUMNS($F$7:Z$7))))</f>
        <v>0</v>
      </c>
      <c r="AA343" s="2223" cm="1">
        <f t="array" ref="AA343">IF($D343&lt;COLUMNS($F$7:AA$7),"",INDEX(TableDiv[[GASB]:[GASB]],_xlfn.AGGREGATE(15,3,(TableDiv[[Agency]:[Agency]]=$E343)/(TableDiv[[Agency]:[Agency]]=$E343)*(ROW(TableDiv[Agency])-ROW(TableDiv[[#Headers],[Agency]])),COLUMNS($F$7:AA$7))))</f>
        <v>0</v>
      </c>
      <c r="AB343" s="2223" cm="1">
        <f t="array" ref="AB343">IF($D343&lt;COLUMNS($F$7:AB$7),"",INDEX(TableDiv[[GASB]:[GASB]],_xlfn.AGGREGATE(15,3,(TableDiv[[Agency]:[Agency]]=$E343)/(TableDiv[[Agency]:[Agency]]=$E343)*(ROW(TableDiv[Agency])-ROW(TableDiv[[#Headers],[Agency]])),COLUMNS($F$7:AB$7))))</f>
        <v>0</v>
      </c>
      <c r="AC343" s="2223" cm="1">
        <f t="array" ref="AC343">IF($D343&lt;COLUMNS($F$7:AC$7),"",INDEX(TableDiv[[GASB]:[GASB]],_xlfn.AGGREGATE(15,3,(TableDiv[[Agency]:[Agency]]=$E343)/(TableDiv[[Agency]:[Agency]]=$E343)*(ROW(TableDiv[Agency])-ROW(TableDiv[[#Headers],[Agency]])),COLUMNS($F$7:AC$7))))</f>
        <v>0</v>
      </c>
      <c r="AD343" s="2223" cm="1">
        <f t="array" ref="AD343">IF($D343&lt;COLUMNS($F$7:AD$7),"",INDEX(TableDiv[[GASB]:[GASB]],_xlfn.AGGREGATE(15,3,(TableDiv[[Agency]:[Agency]]=$E343)/(TableDiv[[Agency]:[Agency]]=$E343)*(ROW(TableDiv[Agency])-ROW(TableDiv[[#Headers],[Agency]])),COLUMNS($F$7:AD$7))))</f>
        <v>0</v>
      </c>
      <c r="AE343" s="2223" cm="1">
        <f t="array" ref="AE343">IF($D343&lt;COLUMNS($F$7:AE$7),"",INDEX(TableDiv[[GASB]:[GASB]],_xlfn.AGGREGATE(15,3,(TableDiv[[Agency]:[Agency]]=$E343)/(TableDiv[[Agency]:[Agency]]=$E343)*(ROW(TableDiv[Agency])-ROW(TableDiv[[#Headers],[Agency]])),COLUMNS($F$7:AE$7))))</f>
        <v>0</v>
      </c>
      <c r="AF343" s="2223" cm="1">
        <f t="array" ref="AF343">IF($D343&lt;COLUMNS($F$7:AF$7),"",INDEX(TableDiv[[GASB]:[GASB]],_xlfn.AGGREGATE(15,3,(TableDiv[[Agency]:[Agency]]=$E343)/(TableDiv[[Agency]:[Agency]]=$E343)*(ROW(TableDiv[Agency])-ROW(TableDiv[[#Headers],[Agency]])),COLUMNS($F$7:AF$7))))</f>
        <v>0</v>
      </c>
      <c r="AG343" s="2223" cm="1">
        <f t="array" ref="AG343">IF($D343&lt;COLUMNS($F$7:AG$7),"",INDEX(TableDiv[[GASB]:[GASB]],_xlfn.AGGREGATE(15,3,(TableDiv[[Agency]:[Agency]]=$E343)/(TableDiv[[Agency]:[Agency]]=$E343)*(ROW(TableDiv[Agency])-ROW(TableDiv[[#Headers],[Agency]])),COLUMNS($F$7:AG$7))))</f>
        <v>0</v>
      </c>
      <c r="AH343" s="2223" cm="1">
        <f t="array" ref="AH343">IF($D343&lt;COLUMNS($F$7:AH$7),"",INDEX(TableDiv[[GASB]:[GASB]],_xlfn.AGGREGATE(15,3,(TableDiv[[Agency]:[Agency]]=$E343)/(TableDiv[[Agency]:[Agency]]=$E343)*(ROW(TableDiv[Agency])-ROW(TableDiv[[#Headers],[Agency]])),COLUMNS($F$7:AH$7))))</f>
        <v>0</v>
      </c>
      <c r="AI343" s="2223" cm="1">
        <f t="array" ref="AI343">IF($D343&lt;COLUMNS($F$7:AI$7),"",INDEX(TableDiv[[GASB]:[GASB]],_xlfn.AGGREGATE(15,3,(TableDiv[[Agency]:[Agency]]=$E343)/(TableDiv[[Agency]:[Agency]]=$E343)*(ROW(TableDiv[Agency])-ROW(TableDiv[[#Headers],[Agency]])),COLUMNS($F$7:AI$7))))</f>
        <v>0</v>
      </c>
      <c r="AJ343" s="2223" cm="1">
        <f t="array" ref="AJ343">IF($D343&lt;COLUMNS($F$7:AJ$7),"",INDEX(TableDiv[[GASB]:[GASB]],_xlfn.AGGREGATE(15,3,(TableDiv[[Agency]:[Agency]]=$E343)/(TableDiv[[Agency]:[Agency]]=$E343)*(ROW(TableDiv[Agency])-ROW(TableDiv[[#Headers],[Agency]])),COLUMNS($F$7:AJ$7))))</f>
        <v>0</v>
      </c>
      <c r="AK343" s="2223" t="str" cm="1">
        <f t="array" ref="AK343">IF($D343&lt;COLUMNS($F$7:AK$7),"",INDEX(TableDiv[[GASB]:[GASB]],_xlfn.AGGREGATE(15,3,(TableDiv[[Agency]:[Agency]]=$E343)/(TableDiv[[Agency]:[Agency]]=$E343)*(ROW(TableDiv[Agency])-ROW(TableDiv[[#Headers],[Agency]])),COLUMNS($F$7:AK$7))))</f>
        <v/>
      </c>
      <c r="AL343" s="2223" t="str" cm="1">
        <f t="array" ref="AL343">IF($D343&lt;COLUMNS($F$7:AL$7),"",INDEX(TableDiv[[GASB]:[GASB]],_xlfn.AGGREGATE(15,3,(TableDiv[[Agency]:[Agency]]=$E343)/(TableDiv[[Agency]:[Agency]]=$E343)*(ROW(TableDiv[Agency])-ROW(TableDiv[[#Headers],[Agency]])),COLUMNS($F$7:AL$7))))</f>
        <v/>
      </c>
      <c r="AM343" s="2223" t="str" cm="1">
        <f t="array" ref="AM343">IF($D343&lt;COLUMNS($F$7:AM$7),"",INDEX(TableDiv[[GASB]:[GASB]],_xlfn.AGGREGATE(15,3,(TableDiv[[Agency]:[Agency]]=$E343)/(TableDiv[[Agency]:[Agency]]=$E343)*(ROW(TableDiv[Agency])-ROW(TableDiv[[#Headers],[Agency]])),COLUMNS($F$7:AM$7))))</f>
        <v/>
      </c>
      <c r="AN343" s="2223"/>
      <c r="AO343" s="2223"/>
      <c r="AP343" s="2223"/>
      <c r="AQ343" s="2223"/>
      <c r="AR343" s="2223"/>
      <c r="AS343" s="2223"/>
    </row>
    <row r="344" spans="1:45" ht="15" x14ac:dyDescent="0.25">
      <c r="A344" s="2219" t="s">
        <v>5632</v>
      </c>
      <c r="B344" s="2219" t="s">
        <v>6357</v>
      </c>
      <c r="C344" s="2223"/>
      <c r="D344" s="2223">
        <f>COUNTIF(TableDiv[Agency],E344)</f>
        <v>31</v>
      </c>
      <c r="E344" s="2230" t="str" cm="1">
        <f t="array" ref="E344">IFERROR(INDEX(TableDiv[Agency],MATCH(0,INDEX(COUNTIF($E$7:E343,TableDiv[Agency]),),0)),"")</f>
        <v/>
      </c>
      <c r="F344" s="2223" cm="1">
        <f t="array" ref="F344">IF($D344&lt;COLUMNS($F$7:F$7),"",INDEX(TableDiv[[GASB]:[GASB]],_xlfn.AGGREGATE(15,3,(TableDiv[[Agency]:[Agency]]=$E344)/(TableDiv[[Agency]:[Agency]]=$E344)*(ROW(TableDiv[Agency])-ROW(TableDiv[[#Headers],[Agency]])),COLUMNS($F$7:F$7))))</f>
        <v>0</v>
      </c>
      <c r="G344" s="2223" cm="1">
        <f t="array" ref="G344">IF($D344&lt;COLUMNS($F$7:G$7),"",INDEX(TableDiv[[GASB]:[GASB]],_xlfn.AGGREGATE(15,3,(TableDiv[[Agency]:[Agency]]=$E344)/(TableDiv[[Agency]:[Agency]]=$E344)*(ROW(TableDiv[Agency])-ROW(TableDiv[[#Headers],[Agency]])),COLUMNS($F$7:G$7))))</f>
        <v>0</v>
      </c>
      <c r="H344" s="2223" cm="1">
        <f t="array" ref="H344">IF($D344&lt;COLUMNS($F$7:H$7),"",INDEX(TableDiv[[GASB]:[GASB]],_xlfn.AGGREGATE(15,3,(TableDiv[[Agency]:[Agency]]=$E344)/(TableDiv[[Agency]:[Agency]]=$E344)*(ROW(TableDiv[Agency])-ROW(TableDiv[[#Headers],[Agency]])),COLUMNS($F$7:H$7))))</f>
        <v>0</v>
      </c>
      <c r="I344" s="2223" cm="1">
        <f t="array" ref="I344">IF($D344&lt;COLUMNS($F$7:I$7),"",INDEX(TableDiv[[GASB]:[GASB]],_xlfn.AGGREGATE(15,3,(TableDiv[[Agency]:[Agency]]=$E344)/(TableDiv[[Agency]:[Agency]]=$E344)*(ROW(TableDiv[Agency])-ROW(TableDiv[[#Headers],[Agency]])),COLUMNS($F$7:I$7))))</f>
        <v>0</v>
      </c>
      <c r="J344" s="2223" cm="1">
        <f t="array" ref="J344">IF($D344&lt;COLUMNS($F$7:J$7),"",INDEX(TableDiv[[GASB]:[GASB]],_xlfn.AGGREGATE(15,3,(TableDiv[[Agency]:[Agency]]=$E344)/(TableDiv[[Agency]:[Agency]]=$E344)*(ROW(TableDiv[Agency])-ROW(TableDiv[[#Headers],[Agency]])),COLUMNS($F$7:J$7))))</f>
        <v>0</v>
      </c>
      <c r="K344" s="2223" cm="1">
        <f t="array" ref="K344">IF($D344&lt;COLUMNS($F$7:K$7),"",INDEX(TableDiv[[GASB]:[GASB]],_xlfn.AGGREGATE(15,3,(TableDiv[[Agency]:[Agency]]=$E344)/(TableDiv[[Agency]:[Agency]]=$E344)*(ROW(TableDiv[Agency])-ROW(TableDiv[[#Headers],[Agency]])),COLUMNS($F$7:K$7))))</f>
        <v>0</v>
      </c>
      <c r="L344" s="2223" cm="1">
        <f t="array" ref="L344">IF($D344&lt;COLUMNS($F$7:L$7),"",INDEX(TableDiv[[GASB]:[GASB]],_xlfn.AGGREGATE(15,3,(TableDiv[[Agency]:[Agency]]=$E344)/(TableDiv[[Agency]:[Agency]]=$E344)*(ROW(TableDiv[Agency])-ROW(TableDiv[[#Headers],[Agency]])),COLUMNS($F$7:L$7))))</f>
        <v>0</v>
      </c>
      <c r="M344" s="2223" cm="1">
        <f t="array" ref="M344">IF($D344&lt;COLUMNS($F$7:M$7),"",INDEX(TableDiv[[GASB]:[GASB]],_xlfn.AGGREGATE(15,3,(TableDiv[[Agency]:[Agency]]=$E344)/(TableDiv[[Agency]:[Agency]]=$E344)*(ROW(TableDiv[Agency])-ROW(TableDiv[[#Headers],[Agency]])),COLUMNS($F$7:M$7))))</f>
        <v>0</v>
      </c>
      <c r="N344" s="2223" cm="1">
        <f t="array" ref="N344">IF($D344&lt;COLUMNS($F$7:N$7),"",INDEX(TableDiv[[GASB]:[GASB]],_xlfn.AGGREGATE(15,3,(TableDiv[[Agency]:[Agency]]=$E344)/(TableDiv[[Agency]:[Agency]]=$E344)*(ROW(TableDiv[Agency])-ROW(TableDiv[[#Headers],[Agency]])),COLUMNS($F$7:N$7))))</f>
        <v>0</v>
      </c>
      <c r="O344" s="2223" cm="1">
        <f t="array" ref="O344">IF($D344&lt;COLUMNS($F$7:O$7),"",INDEX(TableDiv[[GASB]:[GASB]],_xlfn.AGGREGATE(15,3,(TableDiv[[Agency]:[Agency]]=$E344)/(TableDiv[[Agency]:[Agency]]=$E344)*(ROW(TableDiv[Agency])-ROW(TableDiv[[#Headers],[Agency]])),COLUMNS($F$7:O$7))))</f>
        <v>0</v>
      </c>
      <c r="P344" s="2223" cm="1">
        <f t="array" ref="P344">IF($D344&lt;COLUMNS($F$7:P$7),"",INDEX(TableDiv[[GASB]:[GASB]],_xlfn.AGGREGATE(15,3,(TableDiv[[Agency]:[Agency]]=$E344)/(TableDiv[[Agency]:[Agency]]=$E344)*(ROW(TableDiv[Agency])-ROW(TableDiv[[#Headers],[Agency]])),COLUMNS($F$7:P$7))))</f>
        <v>0</v>
      </c>
      <c r="Q344" s="2223" cm="1">
        <f t="array" ref="Q344">IF($D344&lt;COLUMNS($F$7:Q$7),"",INDEX(TableDiv[[GASB]:[GASB]],_xlfn.AGGREGATE(15,3,(TableDiv[[Agency]:[Agency]]=$E344)/(TableDiv[[Agency]:[Agency]]=$E344)*(ROW(TableDiv[Agency])-ROW(TableDiv[[#Headers],[Agency]])),COLUMNS($F$7:Q$7))))</f>
        <v>0</v>
      </c>
      <c r="R344" s="2223" cm="1">
        <f t="array" ref="R344">IF($D344&lt;COLUMNS($F$7:R$7),"",INDEX(TableDiv[[GASB]:[GASB]],_xlfn.AGGREGATE(15,3,(TableDiv[[Agency]:[Agency]]=$E344)/(TableDiv[[Agency]:[Agency]]=$E344)*(ROW(TableDiv[Agency])-ROW(TableDiv[[#Headers],[Agency]])),COLUMNS($F$7:R$7))))</f>
        <v>0</v>
      </c>
      <c r="S344" s="2223" cm="1">
        <f t="array" ref="S344">IF($D344&lt;COLUMNS($F$7:S$7),"",INDEX(TableDiv[[GASB]:[GASB]],_xlfn.AGGREGATE(15,3,(TableDiv[[Agency]:[Agency]]=$E344)/(TableDiv[[Agency]:[Agency]]=$E344)*(ROW(TableDiv[Agency])-ROW(TableDiv[[#Headers],[Agency]])),COLUMNS($F$7:S$7))))</f>
        <v>0</v>
      </c>
      <c r="T344" s="2223" cm="1">
        <f t="array" ref="T344">IF($D344&lt;COLUMNS($F$7:T$7),"",INDEX(TableDiv[[GASB]:[GASB]],_xlfn.AGGREGATE(15,3,(TableDiv[[Agency]:[Agency]]=$E344)/(TableDiv[[Agency]:[Agency]]=$E344)*(ROW(TableDiv[Agency])-ROW(TableDiv[[#Headers],[Agency]])),COLUMNS($F$7:T$7))))</f>
        <v>0</v>
      </c>
      <c r="U344" s="2223" cm="1">
        <f t="array" ref="U344">IF($D344&lt;COLUMNS($F$7:U$7),"",INDEX(TableDiv[[GASB]:[GASB]],_xlfn.AGGREGATE(15,3,(TableDiv[[Agency]:[Agency]]=$E344)/(TableDiv[[Agency]:[Agency]]=$E344)*(ROW(TableDiv[Agency])-ROW(TableDiv[[#Headers],[Agency]])),COLUMNS($F$7:U$7))))</f>
        <v>0</v>
      </c>
      <c r="V344" s="2223" cm="1">
        <f t="array" ref="V344">IF($D344&lt;COLUMNS($F$7:V$7),"",INDEX(TableDiv[[GASB]:[GASB]],_xlfn.AGGREGATE(15,3,(TableDiv[[Agency]:[Agency]]=$E344)/(TableDiv[[Agency]:[Agency]]=$E344)*(ROW(TableDiv[Agency])-ROW(TableDiv[[#Headers],[Agency]])),COLUMNS($F$7:V$7))))</f>
        <v>0</v>
      </c>
      <c r="W344" s="2223" cm="1">
        <f t="array" ref="W344">IF($D344&lt;COLUMNS($F$7:W$7),"",INDEX(TableDiv[[GASB]:[GASB]],_xlfn.AGGREGATE(15,3,(TableDiv[[Agency]:[Agency]]=$E344)/(TableDiv[[Agency]:[Agency]]=$E344)*(ROW(TableDiv[Agency])-ROW(TableDiv[[#Headers],[Agency]])),COLUMNS($F$7:W$7))))</f>
        <v>0</v>
      </c>
      <c r="X344" s="2223" cm="1">
        <f t="array" ref="X344">IF($D344&lt;COLUMNS($F$7:X$7),"",INDEX(TableDiv[[GASB]:[GASB]],_xlfn.AGGREGATE(15,3,(TableDiv[[Agency]:[Agency]]=$E344)/(TableDiv[[Agency]:[Agency]]=$E344)*(ROW(TableDiv[Agency])-ROW(TableDiv[[#Headers],[Agency]])),COLUMNS($F$7:X$7))))</f>
        <v>0</v>
      </c>
      <c r="Y344" s="2223" cm="1">
        <f t="array" ref="Y344">IF($D344&lt;COLUMNS($F$7:Y$7),"",INDEX(TableDiv[[GASB]:[GASB]],_xlfn.AGGREGATE(15,3,(TableDiv[[Agency]:[Agency]]=$E344)/(TableDiv[[Agency]:[Agency]]=$E344)*(ROW(TableDiv[Agency])-ROW(TableDiv[[#Headers],[Agency]])),COLUMNS($F$7:Y$7))))</f>
        <v>0</v>
      </c>
      <c r="Z344" s="2223" cm="1">
        <f t="array" ref="Z344">IF($D344&lt;COLUMNS($F$7:Z$7),"",INDEX(TableDiv[[GASB]:[GASB]],_xlfn.AGGREGATE(15,3,(TableDiv[[Agency]:[Agency]]=$E344)/(TableDiv[[Agency]:[Agency]]=$E344)*(ROW(TableDiv[Agency])-ROW(TableDiv[[#Headers],[Agency]])),COLUMNS($F$7:Z$7))))</f>
        <v>0</v>
      </c>
      <c r="AA344" s="2223" cm="1">
        <f t="array" ref="AA344">IF($D344&lt;COLUMNS($F$7:AA$7),"",INDEX(TableDiv[[GASB]:[GASB]],_xlfn.AGGREGATE(15,3,(TableDiv[[Agency]:[Agency]]=$E344)/(TableDiv[[Agency]:[Agency]]=$E344)*(ROW(TableDiv[Agency])-ROW(TableDiv[[#Headers],[Agency]])),COLUMNS($F$7:AA$7))))</f>
        <v>0</v>
      </c>
      <c r="AB344" s="2223" cm="1">
        <f t="array" ref="AB344">IF($D344&lt;COLUMNS($F$7:AB$7),"",INDEX(TableDiv[[GASB]:[GASB]],_xlfn.AGGREGATE(15,3,(TableDiv[[Agency]:[Agency]]=$E344)/(TableDiv[[Agency]:[Agency]]=$E344)*(ROW(TableDiv[Agency])-ROW(TableDiv[[#Headers],[Agency]])),COLUMNS($F$7:AB$7))))</f>
        <v>0</v>
      </c>
      <c r="AC344" s="2223" cm="1">
        <f t="array" ref="AC344">IF($D344&lt;COLUMNS($F$7:AC$7),"",INDEX(TableDiv[[GASB]:[GASB]],_xlfn.AGGREGATE(15,3,(TableDiv[[Agency]:[Agency]]=$E344)/(TableDiv[[Agency]:[Agency]]=$E344)*(ROW(TableDiv[Agency])-ROW(TableDiv[[#Headers],[Agency]])),COLUMNS($F$7:AC$7))))</f>
        <v>0</v>
      </c>
      <c r="AD344" s="2223" cm="1">
        <f t="array" ref="AD344">IF($D344&lt;COLUMNS($F$7:AD$7),"",INDEX(TableDiv[[GASB]:[GASB]],_xlfn.AGGREGATE(15,3,(TableDiv[[Agency]:[Agency]]=$E344)/(TableDiv[[Agency]:[Agency]]=$E344)*(ROW(TableDiv[Agency])-ROW(TableDiv[[#Headers],[Agency]])),COLUMNS($F$7:AD$7))))</f>
        <v>0</v>
      </c>
      <c r="AE344" s="2223" cm="1">
        <f t="array" ref="AE344">IF($D344&lt;COLUMNS($F$7:AE$7),"",INDEX(TableDiv[[GASB]:[GASB]],_xlfn.AGGREGATE(15,3,(TableDiv[[Agency]:[Agency]]=$E344)/(TableDiv[[Agency]:[Agency]]=$E344)*(ROW(TableDiv[Agency])-ROW(TableDiv[[#Headers],[Agency]])),COLUMNS($F$7:AE$7))))</f>
        <v>0</v>
      </c>
      <c r="AF344" s="2223" cm="1">
        <f t="array" ref="AF344">IF($D344&lt;COLUMNS($F$7:AF$7),"",INDEX(TableDiv[[GASB]:[GASB]],_xlfn.AGGREGATE(15,3,(TableDiv[[Agency]:[Agency]]=$E344)/(TableDiv[[Agency]:[Agency]]=$E344)*(ROW(TableDiv[Agency])-ROW(TableDiv[[#Headers],[Agency]])),COLUMNS($F$7:AF$7))))</f>
        <v>0</v>
      </c>
      <c r="AG344" s="2223" cm="1">
        <f t="array" ref="AG344">IF($D344&lt;COLUMNS($F$7:AG$7),"",INDEX(TableDiv[[GASB]:[GASB]],_xlfn.AGGREGATE(15,3,(TableDiv[[Agency]:[Agency]]=$E344)/(TableDiv[[Agency]:[Agency]]=$E344)*(ROW(TableDiv[Agency])-ROW(TableDiv[[#Headers],[Agency]])),COLUMNS($F$7:AG$7))))</f>
        <v>0</v>
      </c>
      <c r="AH344" s="2223" cm="1">
        <f t="array" ref="AH344">IF($D344&lt;COLUMNS($F$7:AH$7),"",INDEX(TableDiv[[GASB]:[GASB]],_xlfn.AGGREGATE(15,3,(TableDiv[[Agency]:[Agency]]=$E344)/(TableDiv[[Agency]:[Agency]]=$E344)*(ROW(TableDiv[Agency])-ROW(TableDiv[[#Headers],[Agency]])),COLUMNS($F$7:AH$7))))</f>
        <v>0</v>
      </c>
      <c r="AI344" s="2223" cm="1">
        <f t="array" ref="AI344">IF($D344&lt;COLUMNS($F$7:AI$7),"",INDEX(TableDiv[[GASB]:[GASB]],_xlfn.AGGREGATE(15,3,(TableDiv[[Agency]:[Agency]]=$E344)/(TableDiv[[Agency]:[Agency]]=$E344)*(ROW(TableDiv[Agency])-ROW(TableDiv[[#Headers],[Agency]])),COLUMNS($F$7:AI$7))))</f>
        <v>0</v>
      </c>
      <c r="AJ344" s="2223" cm="1">
        <f t="array" ref="AJ344">IF($D344&lt;COLUMNS($F$7:AJ$7),"",INDEX(TableDiv[[GASB]:[GASB]],_xlfn.AGGREGATE(15,3,(TableDiv[[Agency]:[Agency]]=$E344)/(TableDiv[[Agency]:[Agency]]=$E344)*(ROW(TableDiv[Agency])-ROW(TableDiv[[#Headers],[Agency]])),COLUMNS($F$7:AJ$7))))</f>
        <v>0</v>
      </c>
      <c r="AK344" s="2223" t="str" cm="1">
        <f t="array" ref="AK344">IF($D344&lt;COLUMNS($F$7:AK$7),"",INDEX(TableDiv[[GASB]:[GASB]],_xlfn.AGGREGATE(15,3,(TableDiv[[Agency]:[Agency]]=$E344)/(TableDiv[[Agency]:[Agency]]=$E344)*(ROW(TableDiv[Agency])-ROW(TableDiv[[#Headers],[Agency]])),COLUMNS($F$7:AK$7))))</f>
        <v/>
      </c>
      <c r="AL344" s="2223" t="str" cm="1">
        <f t="array" ref="AL344">IF($D344&lt;COLUMNS($F$7:AL$7),"",INDEX(TableDiv[[GASB]:[GASB]],_xlfn.AGGREGATE(15,3,(TableDiv[[Agency]:[Agency]]=$E344)/(TableDiv[[Agency]:[Agency]]=$E344)*(ROW(TableDiv[Agency])-ROW(TableDiv[[#Headers],[Agency]])),COLUMNS($F$7:AL$7))))</f>
        <v/>
      </c>
      <c r="AM344" s="2223" t="str" cm="1">
        <f t="array" ref="AM344">IF($D344&lt;COLUMNS($F$7:AM$7),"",INDEX(TableDiv[[GASB]:[GASB]],_xlfn.AGGREGATE(15,3,(TableDiv[[Agency]:[Agency]]=$E344)/(TableDiv[[Agency]:[Agency]]=$E344)*(ROW(TableDiv[Agency])-ROW(TableDiv[[#Headers],[Agency]])),COLUMNS($F$7:AM$7))))</f>
        <v/>
      </c>
      <c r="AN344" s="2223"/>
      <c r="AO344" s="2223"/>
      <c r="AP344" s="2223"/>
      <c r="AQ344" s="2223"/>
      <c r="AR344" s="2223"/>
      <c r="AS344" s="2223"/>
    </row>
    <row r="345" spans="1:45" ht="15" x14ac:dyDescent="0.25">
      <c r="A345" s="2219" t="s">
        <v>5632</v>
      </c>
      <c r="B345" s="2219" t="s">
        <v>6487</v>
      </c>
      <c r="C345" s="2223"/>
      <c r="D345" s="2223">
        <f>COUNTIF(TableDiv[Agency],E345)</f>
        <v>31</v>
      </c>
      <c r="E345" s="2230" t="str" cm="1">
        <f t="array" ref="E345">IFERROR(INDEX(TableDiv[Agency],MATCH(0,INDEX(COUNTIF($E$7:E344,TableDiv[Agency]),),0)),"")</f>
        <v/>
      </c>
      <c r="F345" s="2223" cm="1">
        <f t="array" ref="F345">IF($D345&lt;COLUMNS($F$7:F$7),"",INDEX(TableDiv[[GASB]:[GASB]],_xlfn.AGGREGATE(15,3,(TableDiv[[Agency]:[Agency]]=$E345)/(TableDiv[[Agency]:[Agency]]=$E345)*(ROW(TableDiv[Agency])-ROW(TableDiv[[#Headers],[Agency]])),COLUMNS($F$7:F$7))))</f>
        <v>0</v>
      </c>
      <c r="G345" s="2223" cm="1">
        <f t="array" ref="G345">IF($D345&lt;COLUMNS($F$7:G$7),"",INDEX(TableDiv[[GASB]:[GASB]],_xlfn.AGGREGATE(15,3,(TableDiv[[Agency]:[Agency]]=$E345)/(TableDiv[[Agency]:[Agency]]=$E345)*(ROW(TableDiv[Agency])-ROW(TableDiv[[#Headers],[Agency]])),COLUMNS($F$7:G$7))))</f>
        <v>0</v>
      </c>
      <c r="H345" s="2223" cm="1">
        <f t="array" ref="H345">IF($D345&lt;COLUMNS($F$7:H$7),"",INDEX(TableDiv[[GASB]:[GASB]],_xlfn.AGGREGATE(15,3,(TableDiv[[Agency]:[Agency]]=$E345)/(TableDiv[[Agency]:[Agency]]=$E345)*(ROW(TableDiv[Agency])-ROW(TableDiv[[#Headers],[Agency]])),COLUMNS($F$7:H$7))))</f>
        <v>0</v>
      </c>
      <c r="I345" s="2223" cm="1">
        <f t="array" ref="I345">IF($D345&lt;COLUMNS($F$7:I$7),"",INDEX(TableDiv[[GASB]:[GASB]],_xlfn.AGGREGATE(15,3,(TableDiv[[Agency]:[Agency]]=$E345)/(TableDiv[[Agency]:[Agency]]=$E345)*(ROW(TableDiv[Agency])-ROW(TableDiv[[#Headers],[Agency]])),COLUMNS($F$7:I$7))))</f>
        <v>0</v>
      </c>
      <c r="J345" s="2223" cm="1">
        <f t="array" ref="J345">IF($D345&lt;COLUMNS($F$7:J$7),"",INDEX(TableDiv[[GASB]:[GASB]],_xlfn.AGGREGATE(15,3,(TableDiv[[Agency]:[Agency]]=$E345)/(TableDiv[[Agency]:[Agency]]=$E345)*(ROW(TableDiv[Agency])-ROW(TableDiv[[#Headers],[Agency]])),COLUMNS($F$7:J$7))))</f>
        <v>0</v>
      </c>
      <c r="K345" s="2223" cm="1">
        <f t="array" ref="K345">IF($D345&lt;COLUMNS($F$7:K$7),"",INDEX(TableDiv[[GASB]:[GASB]],_xlfn.AGGREGATE(15,3,(TableDiv[[Agency]:[Agency]]=$E345)/(TableDiv[[Agency]:[Agency]]=$E345)*(ROW(TableDiv[Agency])-ROW(TableDiv[[#Headers],[Agency]])),COLUMNS($F$7:K$7))))</f>
        <v>0</v>
      </c>
      <c r="L345" s="2223" cm="1">
        <f t="array" ref="L345">IF($D345&lt;COLUMNS($F$7:L$7),"",INDEX(TableDiv[[GASB]:[GASB]],_xlfn.AGGREGATE(15,3,(TableDiv[[Agency]:[Agency]]=$E345)/(TableDiv[[Agency]:[Agency]]=$E345)*(ROW(TableDiv[Agency])-ROW(TableDiv[[#Headers],[Agency]])),COLUMNS($F$7:L$7))))</f>
        <v>0</v>
      </c>
      <c r="M345" s="2223" cm="1">
        <f t="array" ref="M345">IF($D345&lt;COLUMNS($F$7:M$7),"",INDEX(TableDiv[[GASB]:[GASB]],_xlfn.AGGREGATE(15,3,(TableDiv[[Agency]:[Agency]]=$E345)/(TableDiv[[Agency]:[Agency]]=$E345)*(ROW(TableDiv[Agency])-ROW(TableDiv[[#Headers],[Agency]])),COLUMNS($F$7:M$7))))</f>
        <v>0</v>
      </c>
      <c r="N345" s="2223" cm="1">
        <f t="array" ref="N345">IF($D345&lt;COLUMNS($F$7:N$7),"",INDEX(TableDiv[[GASB]:[GASB]],_xlfn.AGGREGATE(15,3,(TableDiv[[Agency]:[Agency]]=$E345)/(TableDiv[[Agency]:[Agency]]=$E345)*(ROW(TableDiv[Agency])-ROW(TableDiv[[#Headers],[Agency]])),COLUMNS($F$7:N$7))))</f>
        <v>0</v>
      </c>
      <c r="O345" s="2223" cm="1">
        <f t="array" ref="O345">IF($D345&lt;COLUMNS($F$7:O$7),"",INDEX(TableDiv[[GASB]:[GASB]],_xlfn.AGGREGATE(15,3,(TableDiv[[Agency]:[Agency]]=$E345)/(TableDiv[[Agency]:[Agency]]=$E345)*(ROW(TableDiv[Agency])-ROW(TableDiv[[#Headers],[Agency]])),COLUMNS($F$7:O$7))))</f>
        <v>0</v>
      </c>
      <c r="P345" s="2223" cm="1">
        <f t="array" ref="P345">IF($D345&lt;COLUMNS($F$7:P$7),"",INDEX(TableDiv[[GASB]:[GASB]],_xlfn.AGGREGATE(15,3,(TableDiv[[Agency]:[Agency]]=$E345)/(TableDiv[[Agency]:[Agency]]=$E345)*(ROW(TableDiv[Agency])-ROW(TableDiv[[#Headers],[Agency]])),COLUMNS($F$7:P$7))))</f>
        <v>0</v>
      </c>
      <c r="Q345" s="2223" cm="1">
        <f t="array" ref="Q345">IF($D345&lt;COLUMNS($F$7:Q$7),"",INDEX(TableDiv[[GASB]:[GASB]],_xlfn.AGGREGATE(15,3,(TableDiv[[Agency]:[Agency]]=$E345)/(TableDiv[[Agency]:[Agency]]=$E345)*(ROW(TableDiv[Agency])-ROW(TableDiv[[#Headers],[Agency]])),COLUMNS($F$7:Q$7))))</f>
        <v>0</v>
      </c>
      <c r="R345" s="2223" cm="1">
        <f t="array" ref="R345">IF($D345&lt;COLUMNS($F$7:R$7),"",INDEX(TableDiv[[GASB]:[GASB]],_xlfn.AGGREGATE(15,3,(TableDiv[[Agency]:[Agency]]=$E345)/(TableDiv[[Agency]:[Agency]]=$E345)*(ROW(TableDiv[Agency])-ROW(TableDiv[[#Headers],[Agency]])),COLUMNS($F$7:R$7))))</f>
        <v>0</v>
      </c>
      <c r="S345" s="2223" cm="1">
        <f t="array" ref="S345">IF($D345&lt;COLUMNS($F$7:S$7),"",INDEX(TableDiv[[GASB]:[GASB]],_xlfn.AGGREGATE(15,3,(TableDiv[[Agency]:[Agency]]=$E345)/(TableDiv[[Agency]:[Agency]]=$E345)*(ROW(TableDiv[Agency])-ROW(TableDiv[[#Headers],[Agency]])),COLUMNS($F$7:S$7))))</f>
        <v>0</v>
      </c>
      <c r="T345" s="2223" cm="1">
        <f t="array" ref="T345">IF($D345&lt;COLUMNS($F$7:T$7),"",INDEX(TableDiv[[GASB]:[GASB]],_xlfn.AGGREGATE(15,3,(TableDiv[[Agency]:[Agency]]=$E345)/(TableDiv[[Agency]:[Agency]]=$E345)*(ROW(TableDiv[Agency])-ROW(TableDiv[[#Headers],[Agency]])),COLUMNS($F$7:T$7))))</f>
        <v>0</v>
      </c>
      <c r="U345" s="2223" cm="1">
        <f t="array" ref="U345">IF($D345&lt;COLUMNS($F$7:U$7),"",INDEX(TableDiv[[GASB]:[GASB]],_xlfn.AGGREGATE(15,3,(TableDiv[[Agency]:[Agency]]=$E345)/(TableDiv[[Agency]:[Agency]]=$E345)*(ROW(TableDiv[Agency])-ROW(TableDiv[[#Headers],[Agency]])),COLUMNS($F$7:U$7))))</f>
        <v>0</v>
      </c>
      <c r="V345" s="2223" cm="1">
        <f t="array" ref="V345">IF($D345&lt;COLUMNS($F$7:V$7),"",INDEX(TableDiv[[GASB]:[GASB]],_xlfn.AGGREGATE(15,3,(TableDiv[[Agency]:[Agency]]=$E345)/(TableDiv[[Agency]:[Agency]]=$E345)*(ROW(TableDiv[Agency])-ROW(TableDiv[[#Headers],[Agency]])),COLUMNS($F$7:V$7))))</f>
        <v>0</v>
      </c>
      <c r="W345" s="2223" cm="1">
        <f t="array" ref="W345">IF($D345&lt;COLUMNS($F$7:W$7),"",INDEX(TableDiv[[GASB]:[GASB]],_xlfn.AGGREGATE(15,3,(TableDiv[[Agency]:[Agency]]=$E345)/(TableDiv[[Agency]:[Agency]]=$E345)*(ROW(TableDiv[Agency])-ROW(TableDiv[[#Headers],[Agency]])),COLUMNS($F$7:W$7))))</f>
        <v>0</v>
      </c>
      <c r="X345" s="2223" cm="1">
        <f t="array" ref="X345">IF($D345&lt;COLUMNS($F$7:X$7),"",INDEX(TableDiv[[GASB]:[GASB]],_xlfn.AGGREGATE(15,3,(TableDiv[[Agency]:[Agency]]=$E345)/(TableDiv[[Agency]:[Agency]]=$E345)*(ROW(TableDiv[Agency])-ROW(TableDiv[[#Headers],[Agency]])),COLUMNS($F$7:X$7))))</f>
        <v>0</v>
      </c>
      <c r="Y345" s="2223" cm="1">
        <f t="array" ref="Y345">IF($D345&lt;COLUMNS($F$7:Y$7),"",INDEX(TableDiv[[GASB]:[GASB]],_xlfn.AGGREGATE(15,3,(TableDiv[[Agency]:[Agency]]=$E345)/(TableDiv[[Agency]:[Agency]]=$E345)*(ROW(TableDiv[Agency])-ROW(TableDiv[[#Headers],[Agency]])),COLUMNS($F$7:Y$7))))</f>
        <v>0</v>
      </c>
      <c r="Z345" s="2223" cm="1">
        <f t="array" ref="Z345">IF($D345&lt;COLUMNS($F$7:Z$7),"",INDEX(TableDiv[[GASB]:[GASB]],_xlfn.AGGREGATE(15,3,(TableDiv[[Agency]:[Agency]]=$E345)/(TableDiv[[Agency]:[Agency]]=$E345)*(ROW(TableDiv[Agency])-ROW(TableDiv[[#Headers],[Agency]])),COLUMNS($F$7:Z$7))))</f>
        <v>0</v>
      </c>
      <c r="AA345" s="2223" cm="1">
        <f t="array" ref="AA345">IF($D345&lt;COLUMNS($F$7:AA$7),"",INDEX(TableDiv[[GASB]:[GASB]],_xlfn.AGGREGATE(15,3,(TableDiv[[Agency]:[Agency]]=$E345)/(TableDiv[[Agency]:[Agency]]=$E345)*(ROW(TableDiv[Agency])-ROW(TableDiv[[#Headers],[Agency]])),COLUMNS($F$7:AA$7))))</f>
        <v>0</v>
      </c>
      <c r="AB345" s="2223" cm="1">
        <f t="array" ref="AB345">IF($D345&lt;COLUMNS($F$7:AB$7),"",INDEX(TableDiv[[GASB]:[GASB]],_xlfn.AGGREGATE(15,3,(TableDiv[[Agency]:[Agency]]=$E345)/(TableDiv[[Agency]:[Agency]]=$E345)*(ROW(TableDiv[Agency])-ROW(TableDiv[[#Headers],[Agency]])),COLUMNS($F$7:AB$7))))</f>
        <v>0</v>
      </c>
      <c r="AC345" s="2223" cm="1">
        <f t="array" ref="AC345">IF($D345&lt;COLUMNS($F$7:AC$7),"",INDEX(TableDiv[[GASB]:[GASB]],_xlfn.AGGREGATE(15,3,(TableDiv[[Agency]:[Agency]]=$E345)/(TableDiv[[Agency]:[Agency]]=$E345)*(ROW(TableDiv[Agency])-ROW(TableDiv[[#Headers],[Agency]])),COLUMNS($F$7:AC$7))))</f>
        <v>0</v>
      </c>
      <c r="AD345" s="2223" cm="1">
        <f t="array" ref="AD345">IF($D345&lt;COLUMNS($F$7:AD$7),"",INDEX(TableDiv[[GASB]:[GASB]],_xlfn.AGGREGATE(15,3,(TableDiv[[Agency]:[Agency]]=$E345)/(TableDiv[[Agency]:[Agency]]=$E345)*(ROW(TableDiv[Agency])-ROW(TableDiv[[#Headers],[Agency]])),COLUMNS($F$7:AD$7))))</f>
        <v>0</v>
      </c>
      <c r="AE345" s="2223" cm="1">
        <f t="array" ref="AE345">IF($D345&lt;COLUMNS($F$7:AE$7),"",INDEX(TableDiv[[GASB]:[GASB]],_xlfn.AGGREGATE(15,3,(TableDiv[[Agency]:[Agency]]=$E345)/(TableDiv[[Agency]:[Agency]]=$E345)*(ROW(TableDiv[Agency])-ROW(TableDiv[[#Headers],[Agency]])),COLUMNS($F$7:AE$7))))</f>
        <v>0</v>
      </c>
      <c r="AF345" s="2223" cm="1">
        <f t="array" ref="AF345">IF($D345&lt;COLUMNS($F$7:AF$7),"",INDEX(TableDiv[[GASB]:[GASB]],_xlfn.AGGREGATE(15,3,(TableDiv[[Agency]:[Agency]]=$E345)/(TableDiv[[Agency]:[Agency]]=$E345)*(ROW(TableDiv[Agency])-ROW(TableDiv[[#Headers],[Agency]])),COLUMNS($F$7:AF$7))))</f>
        <v>0</v>
      </c>
      <c r="AG345" s="2223" cm="1">
        <f t="array" ref="AG345">IF($D345&lt;COLUMNS($F$7:AG$7),"",INDEX(TableDiv[[GASB]:[GASB]],_xlfn.AGGREGATE(15,3,(TableDiv[[Agency]:[Agency]]=$E345)/(TableDiv[[Agency]:[Agency]]=$E345)*(ROW(TableDiv[Agency])-ROW(TableDiv[[#Headers],[Agency]])),COLUMNS($F$7:AG$7))))</f>
        <v>0</v>
      </c>
      <c r="AH345" s="2223" cm="1">
        <f t="array" ref="AH345">IF($D345&lt;COLUMNS($F$7:AH$7),"",INDEX(TableDiv[[GASB]:[GASB]],_xlfn.AGGREGATE(15,3,(TableDiv[[Agency]:[Agency]]=$E345)/(TableDiv[[Agency]:[Agency]]=$E345)*(ROW(TableDiv[Agency])-ROW(TableDiv[[#Headers],[Agency]])),COLUMNS($F$7:AH$7))))</f>
        <v>0</v>
      </c>
      <c r="AI345" s="2223" cm="1">
        <f t="array" ref="AI345">IF($D345&lt;COLUMNS($F$7:AI$7),"",INDEX(TableDiv[[GASB]:[GASB]],_xlfn.AGGREGATE(15,3,(TableDiv[[Agency]:[Agency]]=$E345)/(TableDiv[[Agency]:[Agency]]=$E345)*(ROW(TableDiv[Agency])-ROW(TableDiv[[#Headers],[Agency]])),COLUMNS($F$7:AI$7))))</f>
        <v>0</v>
      </c>
      <c r="AJ345" s="2223" cm="1">
        <f t="array" ref="AJ345">IF($D345&lt;COLUMNS($F$7:AJ$7),"",INDEX(TableDiv[[GASB]:[GASB]],_xlfn.AGGREGATE(15,3,(TableDiv[[Agency]:[Agency]]=$E345)/(TableDiv[[Agency]:[Agency]]=$E345)*(ROW(TableDiv[Agency])-ROW(TableDiv[[#Headers],[Agency]])),COLUMNS($F$7:AJ$7))))</f>
        <v>0</v>
      </c>
      <c r="AK345" s="2223" t="str" cm="1">
        <f t="array" ref="AK345">IF($D345&lt;COLUMNS($F$7:AK$7),"",INDEX(TableDiv[[GASB]:[GASB]],_xlfn.AGGREGATE(15,3,(TableDiv[[Agency]:[Agency]]=$E345)/(TableDiv[[Agency]:[Agency]]=$E345)*(ROW(TableDiv[Agency])-ROW(TableDiv[[#Headers],[Agency]])),COLUMNS($F$7:AK$7))))</f>
        <v/>
      </c>
      <c r="AL345" s="2223" t="str" cm="1">
        <f t="array" ref="AL345">IF($D345&lt;COLUMNS($F$7:AL$7),"",INDEX(TableDiv[[GASB]:[GASB]],_xlfn.AGGREGATE(15,3,(TableDiv[[Agency]:[Agency]]=$E345)/(TableDiv[[Agency]:[Agency]]=$E345)*(ROW(TableDiv[Agency])-ROW(TableDiv[[#Headers],[Agency]])),COLUMNS($F$7:AL$7))))</f>
        <v/>
      </c>
      <c r="AM345" s="2223" t="str" cm="1">
        <f t="array" ref="AM345">IF($D345&lt;COLUMNS($F$7:AM$7),"",INDEX(TableDiv[[GASB]:[GASB]],_xlfn.AGGREGATE(15,3,(TableDiv[[Agency]:[Agency]]=$E345)/(TableDiv[[Agency]:[Agency]]=$E345)*(ROW(TableDiv[Agency])-ROW(TableDiv[[#Headers],[Agency]])),COLUMNS($F$7:AM$7))))</f>
        <v/>
      </c>
      <c r="AN345" s="2223"/>
      <c r="AO345" s="2223"/>
      <c r="AP345" s="2223"/>
      <c r="AQ345" s="2223"/>
      <c r="AR345" s="2223"/>
      <c r="AS345" s="2223"/>
    </row>
    <row r="346" spans="1:45" ht="15" x14ac:dyDescent="0.25">
      <c r="A346" s="2219" t="s">
        <v>5632</v>
      </c>
      <c r="B346" s="2219" t="s">
        <v>6358</v>
      </c>
      <c r="C346" s="2223"/>
      <c r="D346" s="2223">
        <f>COUNTIF(TableDiv[Agency],E346)</f>
        <v>31</v>
      </c>
      <c r="E346" s="2230" t="str" cm="1">
        <f t="array" ref="E346">IFERROR(INDEX(TableDiv[Agency],MATCH(0,INDEX(COUNTIF($E$7:E345,TableDiv[Agency]),),0)),"")</f>
        <v/>
      </c>
      <c r="F346" s="2223" cm="1">
        <f t="array" ref="F346">IF($D346&lt;COLUMNS($F$7:F$7),"",INDEX(TableDiv[[GASB]:[GASB]],_xlfn.AGGREGATE(15,3,(TableDiv[[Agency]:[Agency]]=$E346)/(TableDiv[[Agency]:[Agency]]=$E346)*(ROW(TableDiv[Agency])-ROW(TableDiv[[#Headers],[Agency]])),COLUMNS($F$7:F$7))))</f>
        <v>0</v>
      </c>
      <c r="G346" s="2223" cm="1">
        <f t="array" ref="G346">IF($D346&lt;COLUMNS($F$7:G$7),"",INDEX(TableDiv[[GASB]:[GASB]],_xlfn.AGGREGATE(15,3,(TableDiv[[Agency]:[Agency]]=$E346)/(TableDiv[[Agency]:[Agency]]=$E346)*(ROW(TableDiv[Agency])-ROW(TableDiv[[#Headers],[Agency]])),COLUMNS($F$7:G$7))))</f>
        <v>0</v>
      </c>
      <c r="H346" s="2223" cm="1">
        <f t="array" ref="H346">IF($D346&lt;COLUMNS($F$7:H$7),"",INDEX(TableDiv[[GASB]:[GASB]],_xlfn.AGGREGATE(15,3,(TableDiv[[Agency]:[Agency]]=$E346)/(TableDiv[[Agency]:[Agency]]=$E346)*(ROW(TableDiv[Agency])-ROW(TableDiv[[#Headers],[Agency]])),COLUMNS($F$7:H$7))))</f>
        <v>0</v>
      </c>
      <c r="I346" s="2223" cm="1">
        <f t="array" ref="I346">IF($D346&lt;COLUMNS($F$7:I$7),"",INDEX(TableDiv[[GASB]:[GASB]],_xlfn.AGGREGATE(15,3,(TableDiv[[Agency]:[Agency]]=$E346)/(TableDiv[[Agency]:[Agency]]=$E346)*(ROW(TableDiv[Agency])-ROW(TableDiv[[#Headers],[Agency]])),COLUMNS($F$7:I$7))))</f>
        <v>0</v>
      </c>
      <c r="J346" s="2223" cm="1">
        <f t="array" ref="J346">IF($D346&lt;COLUMNS($F$7:J$7),"",INDEX(TableDiv[[GASB]:[GASB]],_xlfn.AGGREGATE(15,3,(TableDiv[[Agency]:[Agency]]=$E346)/(TableDiv[[Agency]:[Agency]]=$E346)*(ROW(TableDiv[Agency])-ROW(TableDiv[[#Headers],[Agency]])),COLUMNS($F$7:J$7))))</f>
        <v>0</v>
      </c>
      <c r="K346" s="2223" cm="1">
        <f t="array" ref="K346">IF($D346&lt;COLUMNS($F$7:K$7),"",INDEX(TableDiv[[GASB]:[GASB]],_xlfn.AGGREGATE(15,3,(TableDiv[[Agency]:[Agency]]=$E346)/(TableDiv[[Agency]:[Agency]]=$E346)*(ROW(TableDiv[Agency])-ROW(TableDiv[[#Headers],[Agency]])),COLUMNS($F$7:K$7))))</f>
        <v>0</v>
      </c>
      <c r="L346" s="2223" cm="1">
        <f t="array" ref="L346">IF($D346&lt;COLUMNS($F$7:L$7),"",INDEX(TableDiv[[GASB]:[GASB]],_xlfn.AGGREGATE(15,3,(TableDiv[[Agency]:[Agency]]=$E346)/(TableDiv[[Agency]:[Agency]]=$E346)*(ROW(TableDiv[Agency])-ROW(TableDiv[[#Headers],[Agency]])),COLUMNS($F$7:L$7))))</f>
        <v>0</v>
      </c>
      <c r="M346" s="2223" cm="1">
        <f t="array" ref="M346">IF($D346&lt;COLUMNS($F$7:M$7),"",INDEX(TableDiv[[GASB]:[GASB]],_xlfn.AGGREGATE(15,3,(TableDiv[[Agency]:[Agency]]=$E346)/(TableDiv[[Agency]:[Agency]]=$E346)*(ROW(TableDiv[Agency])-ROW(TableDiv[[#Headers],[Agency]])),COLUMNS($F$7:M$7))))</f>
        <v>0</v>
      </c>
      <c r="N346" s="2223" cm="1">
        <f t="array" ref="N346">IF($D346&lt;COLUMNS($F$7:N$7),"",INDEX(TableDiv[[GASB]:[GASB]],_xlfn.AGGREGATE(15,3,(TableDiv[[Agency]:[Agency]]=$E346)/(TableDiv[[Agency]:[Agency]]=$E346)*(ROW(TableDiv[Agency])-ROW(TableDiv[[#Headers],[Agency]])),COLUMNS($F$7:N$7))))</f>
        <v>0</v>
      </c>
      <c r="O346" s="2223" cm="1">
        <f t="array" ref="O346">IF($D346&lt;COLUMNS($F$7:O$7),"",INDEX(TableDiv[[GASB]:[GASB]],_xlfn.AGGREGATE(15,3,(TableDiv[[Agency]:[Agency]]=$E346)/(TableDiv[[Agency]:[Agency]]=$E346)*(ROW(TableDiv[Agency])-ROW(TableDiv[[#Headers],[Agency]])),COLUMNS($F$7:O$7))))</f>
        <v>0</v>
      </c>
      <c r="P346" s="2223" cm="1">
        <f t="array" ref="P346">IF($D346&lt;COLUMNS($F$7:P$7),"",INDEX(TableDiv[[GASB]:[GASB]],_xlfn.AGGREGATE(15,3,(TableDiv[[Agency]:[Agency]]=$E346)/(TableDiv[[Agency]:[Agency]]=$E346)*(ROW(TableDiv[Agency])-ROW(TableDiv[[#Headers],[Agency]])),COLUMNS($F$7:P$7))))</f>
        <v>0</v>
      </c>
      <c r="Q346" s="2223" cm="1">
        <f t="array" ref="Q346">IF($D346&lt;COLUMNS($F$7:Q$7),"",INDEX(TableDiv[[GASB]:[GASB]],_xlfn.AGGREGATE(15,3,(TableDiv[[Agency]:[Agency]]=$E346)/(TableDiv[[Agency]:[Agency]]=$E346)*(ROW(TableDiv[Agency])-ROW(TableDiv[[#Headers],[Agency]])),COLUMNS($F$7:Q$7))))</f>
        <v>0</v>
      </c>
      <c r="R346" s="2223" cm="1">
        <f t="array" ref="R346">IF($D346&lt;COLUMNS($F$7:R$7),"",INDEX(TableDiv[[GASB]:[GASB]],_xlfn.AGGREGATE(15,3,(TableDiv[[Agency]:[Agency]]=$E346)/(TableDiv[[Agency]:[Agency]]=$E346)*(ROW(TableDiv[Agency])-ROW(TableDiv[[#Headers],[Agency]])),COLUMNS($F$7:R$7))))</f>
        <v>0</v>
      </c>
      <c r="S346" s="2223" cm="1">
        <f t="array" ref="S346">IF($D346&lt;COLUMNS($F$7:S$7),"",INDEX(TableDiv[[GASB]:[GASB]],_xlfn.AGGREGATE(15,3,(TableDiv[[Agency]:[Agency]]=$E346)/(TableDiv[[Agency]:[Agency]]=$E346)*(ROW(TableDiv[Agency])-ROW(TableDiv[[#Headers],[Agency]])),COLUMNS($F$7:S$7))))</f>
        <v>0</v>
      </c>
      <c r="T346" s="2223" cm="1">
        <f t="array" ref="T346">IF($D346&lt;COLUMNS($F$7:T$7),"",INDEX(TableDiv[[GASB]:[GASB]],_xlfn.AGGREGATE(15,3,(TableDiv[[Agency]:[Agency]]=$E346)/(TableDiv[[Agency]:[Agency]]=$E346)*(ROW(TableDiv[Agency])-ROW(TableDiv[[#Headers],[Agency]])),COLUMNS($F$7:T$7))))</f>
        <v>0</v>
      </c>
      <c r="U346" s="2223" cm="1">
        <f t="array" ref="U346">IF($D346&lt;COLUMNS($F$7:U$7),"",INDEX(TableDiv[[GASB]:[GASB]],_xlfn.AGGREGATE(15,3,(TableDiv[[Agency]:[Agency]]=$E346)/(TableDiv[[Agency]:[Agency]]=$E346)*(ROW(TableDiv[Agency])-ROW(TableDiv[[#Headers],[Agency]])),COLUMNS($F$7:U$7))))</f>
        <v>0</v>
      </c>
      <c r="V346" s="2223" cm="1">
        <f t="array" ref="V346">IF($D346&lt;COLUMNS($F$7:V$7),"",INDEX(TableDiv[[GASB]:[GASB]],_xlfn.AGGREGATE(15,3,(TableDiv[[Agency]:[Agency]]=$E346)/(TableDiv[[Agency]:[Agency]]=$E346)*(ROW(TableDiv[Agency])-ROW(TableDiv[[#Headers],[Agency]])),COLUMNS($F$7:V$7))))</f>
        <v>0</v>
      </c>
      <c r="W346" s="2223" cm="1">
        <f t="array" ref="W346">IF($D346&lt;COLUMNS($F$7:W$7),"",INDEX(TableDiv[[GASB]:[GASB]],_xlfn.AGGREGATE(15,3,(TableDiv[[Agency]:[Agency]]=$E346)/(TableDiv[[Agency]:[Agency]]=$E346)*(ROW(TableDiv[Agency])-ROW(TableDiv[[#Headers],[Agency]])),COLUMNS($F$7:W$7))))</f>
        <v>0</v>
      </c>
      <c r="X346" s="2223" cm="1">
        <f t="array" ref="X346">IF($D346&lt;COLUMNS($F$7:X$7),"",INDEX(TableDiv[[GASB]:[GASB]],_xlfn.AGGREGATE(15,3,(TableDiv[[Agency]:[Agency]]=$E346)/(TableDiv[[Agency]:[Agency]]=$E346)*(ROW(TableDiv[Agency])-ROW(TableDiv[[#Headers],[Agency]])),COLUMNS($F$7:X$7))))</f>
        <v>0</v>
      </c>
      <c r="Y346" s="2223" cm="1">
        <f t="array" ref="Y346">IF($D346&lt;COLUMNS($F$7:Y$7),"",INDEX(TableDiv[[GASB]:[GASB]],_xlfn.AGGREGATE(15,3,(TableDiv[[Agency]:[Agency]]=$E346)/(TableDiv[[Agency]:[Agency]]=$E346)*(ROW(TableDiv[Agency])-ROW(TableDiv[[#Headers],[Agency]])),COLUMNS($F$7:Y$7))))</f>
        <v>0</v>
      </c>
      <c r="Z346" s="2223" cm="1">
        <f t="array" ref="Z346">IF($D346&lt;COLUMNS($F$7:Z$7),"",INDEX(TableDiv[[GASB]:[GASB]],_xlfn.AGGREGATE(15,3,(TableDiv[[Agency]:[Agency]]=$E346)/(TableDiv[[Agency]:[Agency]]=$E346)*(ROW(TableDiv[Agency])-ROW(TableDiv[[#Headers],[Agency]])),COLUMNS($F$7:Z$7))))</f>
        <v>0</v>
      </c>
      <c r="AA346" s="2223" cm="1">
        <f t="array" ref="AA346">IF($D346&lt;COLUMNS($F$7:AA$7),"",INDEX(TableDiv[[GASB]:[GASB]],_xlfn.AGGREGATE(15,3,(TableDiv[[Agency]:[Agency]]=$E346)/(TableDiv[[Agency]:[Agency]]=$E346)*(ROW(TableDiv[Agency])-ROW(TableDiv[[#Headers],[Agency]])),COLUMNS($F$7:AA$7))))</f>
        <v>0</v>
      </c>
      <c r="AB346" s="2223" cm="1">
        <f t="array" ref="AB346">IF($D346&lt;COLUMNS($F$7:AB$7),"",INDEX(TableDiv[[GASB]:[GASB]],_xlfn.AGGREGATE(15,3,(TableDiv[[Agency]:[Agency]]=$E346)/(TableDiv[[Agency]:[Agency]]=$E346)*(ROW(TableDiv[Agency])-ROW(TableDiv[[#Headers],[Agency]])),COLUMNS($F$7:AB$7))))</f>
        <v>0</v>
      </c>
      <c r="AC346" s="2223" cm="1">
        <f t="array" ref="AC346">IF($D346&lt;COLUMNS($F$7:AC$7),"",INDEX(TableDiv[[GASB]:[GASB]],_xlfn.AGGREGATE(15,3,(TableDiv[[Agency]:[Agency]]=$E346)/(TableDiv[[Agency]:[Agency]]=$E346)*(ROW(TableDiv[Agency])-ROW(TableDiv[[#Headers],[Agency]])),COLUMNS($F$7:AC$7))))</f>
        <v>0</v>
      </c>
      <c r="AD346" s="2223" cm="1">
        <f t="array" ref="AD346">IF($D346&lt;COLUMNS($F$7:AD$7),"",INDEX(TableDiv[[GASB]:[GASB]],_xlfn.AGGREGATE(15,3,(TableDiv[[Agency]:[Agency]]=$E346)/(TableDiv[[Agency]:[Agency]]=$E346)*(ROW(TableDiv[Agency])-ROW(TableDiv[[#Headers],[Agency]])),COLUMNS($F$7:AD$7))))</f>
        <v>0</v>
      </c>
      <c r="AE346" s="2223" cm="1">
        <f t="array" ref="AE346">IF($D346&lt;COLUMNS($F$7:AE$7),"",INDEX(TableDiv[[GASB]:[GASB]],_xlfn.AGGREGATE(15,3,(TableDiv[[Agency]:[Agency]]=$E346)/(TableDiv[[Agency]:[Agency]]=$E346)*(ROW(TableDiv[Agency])-ROW(TableDiv[[#Headers],[Agency]])),COLUMNS($F$7:AE$7))))</f>
        <v>0</v>
      </c>
      <c r="AF346" s="2223" cm="1">
        <f t="array" ref="AF346">IF($D346&lt;COLUMNS($F$7:AF$7),"",INDEX(TableDiv[[GASB]:[GASB]],_xlfn.AGGREGATE(15,3,(TableDiv[[Agency]:[Agency]]=$E346)/(TableDiv[[Agency]:[Agency]]=$E346)*(ROW(TableDiv[Agency])-ROW(TableDiv[[#Headers],[Agency]])),COLUMNS($F$7:AF$7))))</f>
        <v>0</v>
      </c>
      <c r="AG346" s="2223" cm="1">
        <f t="array" ref="AG346">IF($D346&lt;COLUMNS($F$7:AG$7),"",INDEX(TableDiv[[GASB]:[GASB]],_xlfn.AGGREGATE(15,3,(TableDiv[[Agency]:[Agency]]=$E346)/(TableDiv[[Agency]:[Agency]]=$E346)*(ROW(TableDiv[Agency])-ROW(TableDiv[[#Headers],[Agency]])),COLUMNS($F$7:AG$7))))</f>
        <v>0</v>
      </c>
      <c r="AH346" s="2223" cm="1">
        <f t="array" ref="AH346">IF($D346&lt;COLUMNS($F$7:AH$7),"",INDEX(TableDiv[[GASB]:[GASB]],_xlfn.AGGREGATE(15,3,(TableDiv[[Agency]:[Agency]]=$E346)/(TableDiv[[Agency]:[Agency]]=$E346)*(ROW(TableDiv[Agency])-ROW(TableDiv[[#Headers],[Agency]])),COLUMNS($F$7:AH$7))))</f>
        <v>0</v>
      </c>
      <c r="AI346" s="2223" cm="1">
        <f t="array" ref="AI346">IF($D346&lt;COLUMNS($F$7:AI$7),"",INDEX(TableDiv[[GASB]:[GASB]],_xlfn.AGGREGATE(15,3,(TableDiv[[Agency]:[Agency]]=$E346)/(TableDiv[[Agency]:[Agency]]=$E346)*(ROW(TableDiv[Agency])-ROW(TableDiv[[#Headers],[Agency]])),COLUMNS($F$7:AI$7))))</f>
        <v>0</v>
      </c>
      <c r="AJ346" s="2223" cm="1">
        <f t="array" ref="AJ346">IF($D346&lt;COLUMNS($F$7:AJ$7),"",INDEX(TableDiv[[GASB]:[GASB]],_xlfn.AGGREGATE(15,3,(TableDiv[[Agency]:[Agency]]=$E346)/(TableDiv[[Agency]:[Agency]]=$E346)*(ROW(TableDiv[Agency])-ROW(TableDiv[[#Headers],[Agency]])),COLUMNS($F$7:AJ$7))))</f>
        <v>0</v>
      </c>
      <c r="AK346" s="2223" t="str" cm="1">
        <f t="array" ref="AK346">IF($D346&lt;COLUMNS($F$7:AK$7),"",INDEX(TableDiv[[GASB]:[GASB]],_xlfn.AGGREGATE(15,3,(TableDiv[[Agency]:[Agency]]=$E346)/(TableDiv[[Agency]:[Agency]]=$E346)*(ROW(TableDiv[Agency])-ROW(TableDiv[[#Headers],[Agency]])),COLUMNS($F$7:AK$7))))</f>
        <v/>
      </c>
      <c r="AL346" s="2223" t="str" cm="1">
        <f t="array" ref="AL346">IF($D346&lt;COLUMNS($F$7:AL$7),"",INDEX(TableDiv[[GASB]:[GASB]],_xlfn.AGGREGATE(15,3,(TableDiv[[Agency]:[Agency]]=$E346)/(TableDiv[[Agency]:[Agency]]=$E346)*(ROW(TableDiv[Agency])-ROW(TableDiv[[#Headers],[Agency]])),COLUMNS($F$7:AL$7))))</f>
        <v/>
      </c>
      <c r="AM346" s="2223" t="str" cm="1">
        <f t="array" ref="AM346">IF($D346&lt;COLUMNS($F$7:AM$7),"",INDEX(TableDiv[[GASB]:[GASB]],_xlfn.AGGREGATE(15,3,(TableDiv[[Agency]:[Agency]]=$E346)/(TableDiv[[Agency]:[Agency]]=$E346)*(ROW(TableDiv[Agency])-ROW(TableDiv[[#Headers],[Agency]])),COLUMNS($F$7:AM$7))))</f>
        <v/>
      </c>
      <c r="AN346" s="2223"/>
      <c r="AO346" s="2223"/>
      <c r="AP346" s="2223"/>
      <c r="AQ346" s="2223"/>
      <c r="AR346" s="2223"/>
      <c r="AS346" s="2223"/>
    </row>
    <row r="347" spans="1:45" ht="15" x14ac:dyDescent="0.25">
      <c r="A347" s="2219" t="s">
        <v>6488</v>
      </c>
      <c r="B347" s="2219" t="s">
        <v>1878</v>
      </c>
      <c r="C347" s="2223"/>
      <c r="D347" s="2223">
        <f>COUNTIF(TableDiv[Agency],E347)</f>
        <v>31</v>
      </c>
      <c r="E347" s="2230" t="str" cm="1">
        <f t="array" ref="E347">IFERROR(INDEX(TableDiv[Agency],MATCH(0,INDEX(COUNTIF($E$7:E346,TableDiv[Agency]),),0)),"")</f>
        <v/>
      </c>
      <c r="F347" s="2223" cm="1">
        <f t="array" ref="F347">IF($D347&lt;COLUMNS($F$7:F$7),"",INDEX(TableDiv[[GASB]:[GASB]],_xlfn.AGGREGATE(15,3,(TableDiv[[Agency]:[Agency]]=$E347)/(TableDiv[[Agency]:[Agency]]=$E347)*(ROW(TableDiv[Agency])-ROW(TableDiv[[#Headers],[Agency]])),COLUMNS($F$7:F$7))))</f>
        <v>0</v>
      </c>
      <c r="G347" s="2223" cm="1">
        <f t="array" ref="G347">IF($D347&lt;COLUMNS($F$7:G$7),"",INDEX(TableDiv[[GASB]:[GASB]],_xlfn.AGGREGATE(15,3,(TableDiv[[Agency]:[Agency]]=$E347)/(TableDiv[[Agency]:[Agency]]=$E347)*(ROW(TableDiv[Agency])-ROW(TableDiv[[#Headers],[Agency]])),COLUMNS($F$7:G$7))))</f>
        <v>0</v>
      </c>
      <c r="H347" s="2223" cm="1">
        <f t="array" ref="H347">IF($D347&lt;COLUMNS($F$7:H$7),"",INDEX(TableDiv[[GASB]:[GASB]],_xlfn.AGGREGATE(15,3,(TableDiv[[Agency]:[Agency]]=$E347)/(TableDiv[[Agency]:[Agency]]=$E347)*(ROW(TableDiv[Agency])-ROW(TableDiv[[#Headers],[Agency]])),COLUMNS($F$7:H$7))))</f>
        <v>0</v>
      </c>
      <c r="I347" s="2223" cm="1">
        <f t="array" ref="I347">IF($D347&lt;COLUMNS($F$7:I$7),"",INDEX(TableDiv[[GASB]:[GASB]],_xlfn.AGGREGATE(15,3,(TableDiv[[Agency]:[Agency]]=$E347)/(TableDiv[[Agency]:[Agency]]=$E347)*(ROW(TableDiv[Agency])-ROW(TableDiv[[#Headers],[Agency]])),COLUMNS($F$7:I$7))))</f>
        <v>0</v>
      </c>
      <c r="J347" s="2223" cm="1">
        <f t="array" ref="J347">IF($D347&lt;COLUMNS($F$7:J$7),"",INDEX(TableDiv[[GASB]:[GASB]],_xlfn.AGGREGATE(15,3,(TableDiv[[Agency]:[Agency]]=$E347)/(TableDiv[[Agency]:[Agency]]=$E347)*(ROW(TableDiv[Agency])-ROW(TableDiv[[#Headers],[Agency]])),COLUMNS($F$7:J$7))))</f>
        <v>0</v>
      </c>
      <c r="K347" s="2223" cm="1">
        <f t="array" ref="K347">IF($D347&lt;COLUMNS($F$7:K$7),"",INDEX(TableDiv[[GASB]:[GASB]],_xlfn.AGGREGATE(15,3,(TableDiv[[Agency]:[Agency]]=$E347)/(TableDiv[[Agency]:[Agency]]=$E347)*(ROW(TableDiv[Agency])-ROW(TableDiv[[#Headers],[Agency]])),COLUMNS($F$7:K$7))))</f>
        <v>0</v>
      </c>
      <c r="L347" s="2223" cm="1">
        <f t="array" ref="L347">IF($D347&lt;COLUMNS($F$7:L$7),"",INDEX(TableDiv[[GASB]:[GASB]],_xlfn.AGGREGATE(15,3,(TableDiv[[Agency]:[Agency]]=$E347)/(TableDiv[[Agency]:[Agency]]=$E347)*(ROW(TableDiv[Agency])-ROW(TableDiv[[#Headers],[Agency]])),COLUMNS($F$7:L$7))))</f>
        <v>0</v>
      </c>
      <c r="M347" s="2223" cm="1">
        <f t="array" ref="M347">IF($D347&lt;COLUMNS($F$7:M$7),"",INDEX(TableDiv[[GASB]:[GASB]],_xlfn.AGGREGATE(15,3,(TableDiv[[Agency]:[Agency]]=$E347)/(TableDiv[[Agency]:[Agency]]=$E347)*(ROW(TableDiv[Agency])-ROW(TableDiv[[#Headers],[Agency]])),COLUMNS($F$7:M$7))))</f>
        <v>0</v>
      </c>
      <c r="N347" s="2223" cm="1">
        <f t="array" ref="N347">IF($D347&lt;COLUMNS($F$7:N$7),"",INDEX(TableDiv[[GASB]:[GASB]],_xlfn.AGGREGATE(15,3,(TableDiv[[Agency]:[Agency]]=$E347)/(TableDiv[[Agency]:[Agency]]=$E347)*(ROW(TableDiv[Agency])-ROW(TableDiv[[#Headers],[Agency]])),COLUMNS($F$7:N$7))))</f>
        <v>0</v>
      </c>
      <c r="O347" s="2223" cm="1">
        <f t="array" ref="O347">IF($D347&lt;COLUMNS($F$7:O$7),"",INDEX(TableDiv[[GASB]:[GASB]],_xlfn.AGGREGATE(15,3,(TableDiv[[Agency]:[Agency]]=$E347)/(TableDiv[[Agency]:[Agency]]=$E347)*(ROW(TableDiv[Agency])-ROW(TableDiv[[#Headers],[Agency]])),COLUMNS($F$7:O$7))))</f>
        <v>0</v>
      </c>
      <c r="P347" s="2223" cm="1">
        <f t="array" ref="P347">IF($D347&lt;COLUMNS($F$7:P$7),"",INDEX(TableDiv[[GASB]:[GASB]],_xlfn.AGGREGATE(15,3,(TableDiv[[Agency]:[Agency]]=$E347)/(TableDiv[[Agency]:[Agency]]=$E347)*(ROW(TableDiv[Agency])-ROW(TableDiv[[#Headers],[Agency]])),COLUMNS($F$7:P$7))))</f>
        <v>0</v>
      </c>
      <c r="Q347" s="2223" cm="1">
        <f t="array" ref="Q347">IF($D347&lt;COLUMNS($F$7:Q$7),"",INDEX(TableDiv[[GASB]:[GASB]],_xlfn.AGGREGATE(15,3,(TableDiv[[Agency]:[Agency]]=$E347)/(TableDiv[[Agency]:[Agency]]=$E347)*(ROW(TableDiv[Agency])-ROW(TableDiv[[#Headers],[Agency]])),COLUMNS($F$7:Q$7))))</f>
        <v>0</v>
      </c>
      <c r="R347" s="2223" cm="1">
        <f t="array" ref="R347">IF($D347&lt;COLUMNS($F$7:R$7),"",INDEX(TableDiv[[GASB]:[GASB]],_xlfn.AGGREGATE(15,3,(TableDiv[[Agency]:[Agency]]=$E347)/(TableDiv[[Agency]:[Agency]]=$E347)*(ROW(TableDiv[Agency])-ROW(TableDiv[[#Headers],[Agency]])),COLUMNS($F$7:R$7))))</f>
        <v>0</v>
      </c>
      <c r="S347" s="2223" cm="1">
        <f t="array" ref="S347">IF($D347&lt;COLUMNS($F$7:S$7),"",INDEX(TableDiv[[GASB]:[GASB]],_xlfn.AGGREGATE(15,3,(TableDiv[[Agency]:[Agency]]=$E347)/(TableDiv[[Agency]:[Agency]]=$E347)*(ROW(TableDiv[Agency])-ROW(TableDiv[[#Headers],[Agency]])),COLUMNS($F$7:S$7))))</f>
        <v>0</v>
      </c>
      <c r="T347" s="2223" cm="1">
        <f t="array" ref="T347">IF($D347&lt;COLUMNS($F$7:T$7),"",INDEX(TableDiv[[GASB]:[GASB]],_xlfn.AGGREGATE(15,3,(TableDiv[[Agency]:[Agency]]=$E347)/(TableDiv[[Agency]:[Agency]]=$E347)*(ROW(TableDiv[Agency])-ROW(TableDiv[[#Headers],[Agency]])),COLUMNS($F$7:T$7))))</f>
        <v>0</v>
      </c>
      <c r="U347" s="2223" cm="1">
        <f t="array" ref="U347">IF($D347&lt;COLUMNS($F$7:U$7),"",INDEX(TableDiv[[GASB]:[GASB]],_xlfn.AGGREGATE(15,3,(TableDiv[[Agency]:[Agency]]=$E347)/(TableDiv[[Agency]:[Agency]]=$E347)*(ROW(TableDiv[Agency])-ROW(TableDiv[[#Headers],[Agency]])),COLUMNS($F$7:U$7))))</f>
        <v>0</v>
      </c>
      <c r="V347" s="2223" cm="1">
        <f t="array" ref="V347">IF($D347&lt;COLUMNS($F$7:V$7),"",INDEX(TableDiv[[GASB]:[GASB]],_xlfn.AGGREGATE(15,3,(TableDiv[[Agency]:[Agency]]=$E347)/(TableDiv[[Agency]:[Agency]]=$E347)*(ROW(TableDiv[Agency])-ROW(TableDiv[[#Headers],[Agency]])),COLUMNS($F$7:V$7))))</f>
        <v>0</v>
      </c>
      <c r="W347" s="2223" cm="1">
        <f t="array" ref="W347">IF($D347&lt;COLUMNS($F$7:W$7),"",INDEX(TableDiv[[GASB]:[GASB]],_xlfn.AGGREGATE(15,3,(TableDiv[[Agency]:[Agency]]=$E347)/(TableDiv[[Agency]:[Agency]]=$E347)*(ROW(TableDiv[Agency])-ROW(TableDiv[[#Headers],[Agency]])),COLUMNS($F$7:W$7))))</f>
        <v>0</v>
      </c>
      <c r="X347" s="2223" cm="1">
        <f t="array" ref="X347">IF($D347&lt;COLUMNS($F$7:X$7),"",INDEX(TableDiv[[GASB]:[GASB]],_xlfn.AGGREGATE(15,3,(TableDiv[[Agency]:[Agency]]=$E347)/(TableDiv[[Agency]:[Agency]]=$E347)*(ROW(TableDiv[Agency])-ROW(TableDiv[[#Headers],[Agency]])),COLUMNS($F$7:X$7))))</f>
        <v>0</v>
      </c>
      <c r="Y347" s="2223" cm="1">
        <f t="array" ref="Y347">IF($D347&lt;COLUMNS($F$7:Y$7),"",INDEX(TableDiv[[GASB]:[GASB]],_xlfn.AGGREGATE(15,3,(TableDiv[[Agency]:[Agency]]=$E347)/(TableDiv[[Agency]:[Agency]]=$E347)*(ROW(TableDiv[Agency])-ROW(TableDiv[[#Headers],[Agency]])),COLUMNS($F$7:Y$7))))</f>
        <v>0</v>
      </c>
      <c r="Z347" s="2223" cm="1">
        <f t="array" ref="Z347">IF($D347&lt;COLUMNS($F$7:Z$7),"",INDEX(TableDiv[[GASB]:[GASB]],_xlfn.AGGREGATE(15,3,(TableDiv[[Agency]:[Agency]]=$E347)/(TableDiv[[Agency]:[Agency]]=$E347)*(ROW(TableDiv[Agency])-ROW(TableDiv[[#Headers],[Agency]])),COLUMNS($F$7:Z$7))))</f>
        <v>0</v>
      </c>
      <c r="AA347" s="2223" cm="1">
        <f t="array" ref="AA347">IF($D347&lt;COLUMNS($F$7:AA$7),"",INDEX(TableDiv[[GASB]:[GASB]],_xlfn.AGGREGATE(15,3,(TableDiv[[Agency]:[Agency]]=$E347)/(TableDiv[[Agency]:[Agency]]=$E347)*(ROW(TableDiv[Agency])-ROW(TableDiv[[#Headers],[Agency]])),COLUMNS($F$7:AA$7))))</f>
        <v>0</v>
      </c>
      <c r="AB347" s="2223" cm="1">
        <f t="array" ref="AB347">IF($D347&lt;COLUMNS($F$7:AB$7),"",INDEX(TableDiv[[GASB]:[GASB]],_xlfn.AGGREGATE(15,3,(TableDiv[[Agency]:[Agency]]=$E347)/(TableDiv[[Agency]:[Agency]]=$E347)*(ROW(TableDiv[Agency])-ROW(TableDiv[[#Headers],[Agency]])),COLUMNS($F$7:AB$7))))</f>
        <v>0</v>
      </c>
      <c r="AC347" s="2223" cm="1">
        <f t="array" ref="AC347">IF($D347&lt;COLUMNS($F$7:AC$7),"",INDEX(TableDiv[[GASB]:[GASB]],_xlfn.AGGREGATE(15,3,(TableDiv[[Agency]:[Agency]]=$E347)/(TableDiv[[Agency]:[Agency]]=$E347)*(ROW(TableDiv[Agency])-ROW(TableDiv[[#Headers],[Agency]])),COLUMNS($F$7:AC$7))))</f>
        <v>0</v>
      </c>
      <c r="AD347" s="2223" cm="1">
        <f t="array" ref="AD347">IF($D347&lt;COLUMNS($F$7:AD$7),"",INDEX(TableDiv[[GASB]:[GASB]],_xlfn.AGGREGATE(15,3,(TableDiv[[Agency]:[Agency]]=$E347)/(TableDiv[[Agency]:[Agency]]=$E347)*(ROW(TableDiv[Agency])-ROW(TableDiv[[#Headers],[Agency]])),COLUMNS($F$7:AD$7))))</f>
        <v>0</v>
      </c>
      <c r="AE347" s="2223" cm="1">
        <f t="array" ref="AE347">IF($D347&lt;COLUMNS($F$7:AE$7),"",INDEX(TableDiv[[GASB]:[GASB]],_xlfn.AGGREGATE(15,3,(TableDiv[[Agency]:[Agency]]=$E347)/(TableDiv[[Agency]:[Agency]]=$E347)*(ROW(TableDiv[Agency])-ROW(TableDiv[[#Headers],[Agency]])),COLUMNS($F$7:AE$7))))</f>
        <v>0</v>
      </c>
      <c r="AF347" s="2223" cm="1">
        <f t="array" ref="AF347">IF($D347&lt;COLUMNS($F$7:AF$7),"",INDEX(TableDiv[[GASB]:[GASB]],_xlfn.AGGREGATE(15,3,(TableDiv[[Agency]:[Agency]]=$E347)/(TableDiv[[Agency]:[Agency]]=$E347)*(ROW(TableDiv[Agency])-ROW(TableDiv[[#Headers],[Agency]])),COLUMNS($F$7:AF$7))))</f>
        <v>0</v>
      </c>
      <c r="AG347" s="2223" cm="1">
        <f t="array" ref="AG347">IF($D347&lt;COLUMNS($F$7:AG$7),"",INDEX(TableDiv[[GASB]:[GASB]],_xlfn.AGGREGATE(15,3,(TableDiv[[Agency]:[Agency]]=$E347)/(TableDiv[[Agency]:[Agency]]=$E347)*(ROW(TableDiv[Agency])-ROW(TableDiv[[#Headers],[Agency]])),COLUMNS($F$7:AG$7))))</f>
        <v>0</v>
      </c>
      <c r="AH347" s="2223" cm="1">
        <f t="array" ref="AH347">IF($D347&lt;COLUMNS($F$7:AH$7),"",INDEX(TableDiv[[GASB]:[GASB]],_xlfn.AGGREGATE(15,3,(TableDiv[[Agency]:[Agency]]=$E347)/(TableDiv[[Agency]:[Agency]]=$E347)*(ROW(TableDiv[Agency])-ROW(TableDiv[[#Headers],[Agency]])),COLUMNS($F$7:AH$7))))</f>
        <v>0</v>
      </c>
      <c r="AI347" s="2223" cm="1">
        <f t="array" ref="AI347">IF($D347&lt;COLUMNS($F$7:AI$7),"",INDEX(TableDiv[[GASB]:[GASB]],_xlfn.AGGREGATE(15,3,(TableDiv[[Agency]:[Agency]]=$E347)/(TableDiv[[Agency]:[Agency]]=$E347)*(ROW(TableDiv[Agency])-ROW(TableDiv[[#Headers],[Agency]])),COLUMNS($F$7:AI$7))))</f>
        <v>0</v>
      </c>
      <c r="AJ347" s="2223" cm="1">
        <f t="array" ref="AJ347">IF($D347&lt;COLUMNS($F$7:AJ$7),"",INDEX(TableDiv[[GASB]:[GASB]],_xlfn.AGGREGATE(15,3,(TableDiv[[Agency]:[Agency]]=$E347)/(TableDiv[[Agency]:[Agency]]=$E347)*(ROW(TableDiv[Agency])-ROW(TableDiv[[#Headers],[Agency]])),COLUMNS($F$7:AJ$7))))</f>
        <v>0</v>
      </c>
      <c r="AK347" s="2223" t="str" cm="1">
        <f t="array" ref="AK347">IF($D347&lt;COLUMNS($F$7:AK$7),"",INDEX(TableDiv[[GASB]:[GASB]],_xlfn.AGGREGATE(15,3,(TableDiv[[Agency]:[Agency]]=$E347)/(TableDiv[[Agency]:[Agency]]=$E347)*(ROW(TableDiv[Agency])-ROW(TableDiv[[#Headers],[Agency]])),COLUMNS($F$7:AK$7))))</f>
        <v/>
      </c>
      <c r="AL347" s="2223" t="str" cm="1">
        <f t="array" ref="AL347">IF($D347&lt;COLUMNS($F$7:AL$7),"",INDEX(TableDiv[[GASB]:[GASB]],_xlfn.AGGREGATE(15,3,(TableDiv[[Agency]:[Agency]]=$E347)/(TableDiv[[Agency]:[Agency]]=$E347)*(ROW(TableDiv[Agency])-ROW(TableDiv[[#Headers],[Agency]])),COLUMNS($F$7:AL$7))))</f>
        <v/>
      </c>
      <c r="AM347" s="2223" t="str" cm="1">
        <f t="array" ref="AM347">IF($D347&lt;COLUMNS($F$7:AM$7),"",INDEX(TableDiv[[GASB]:[GASB]],_xlfn.AGGREGATE(15,3,(TableDiv[[Agency]:[Agency]]=$E347)/(TableDiv[[Agency]:[Agency]]=$E347)*(ROW(TableDiv[Agency])-ROW(TableDiv[[#Headers],[Agency]])),COLUMNS($F$7:AM$7))))</f>
        <v/>
      </c>
      <c r="AN347" s="2223"/>
      <c r="AO347" s="2223"/>
      <c r="AP347" s="2223"/>
      <c r="AQ347" s="2223"/>
      <c r="AR347" s="2223"/>
      <c r="AS347" s="2223"/>
    </row>
    <row r="348" spans="1:45" ht="15" x14ac:dyDescent="0.25">
      <c r="A348" s="2219" t="s">
        <v>6489</v>
      </c>
      <c r="B348" s="2219" t="s">
        <v>1878</v>
      </c>
      <c r="C348" s="2223"/>
      <c r="D348" s="2223">
        <f>COUNTIF(TableDiv[Agency],E348)</f>
        <v>31</v>
      </c>
      <c r="E348" s="2230" t="str" cm="1">
        <f t="array" ref="E348">IFERROR(INDEX(TableDiv[Agency],MATCH(0,INDEX(COUNTIF($E$7:E347,TableDiv[Agency]),),0)),"")</f>
        <v/>
      </c>
      <c r="F348" s="2223" cm="1">
        <f t="array" ref="F348">IF($D348&lt;COLUMNS($F$7:F$7),"",INDEX(TableDiv[[GASB]:[GASB]],_xlfn.AGGREGATE(15,3,(TableDiv[[Agency]:[Agency]]=$E348)/(TableDiv[[Agency]:[Agency]]=$E348)*(ROW(TableDiv[Agency])-ROW(TableDiv[[#Headers],[Agency]])),COLUMNS($F$7:F$7))))</f>
        <v>0</v>
      </c>
      <c r="G348" s="2223" cm="1">
        <f t="array" ref="G348">IF($D348&lt;COLUMNS($F$7:G$7),"",INDEX(TableDiv[[GASB]:[GASB]],_xlfn.AGGREGATE(15,3,(TableDiv[[Agency]:[Agency]]=$E348)/(TableDiv[[Agency]:[Agency]]=$E348)*(ROW(TableDiv[Agency])-ROW(TableDiv[[#Headers],[Agency]])),COLUMNS($F$7:G$7))))</f>
        <v>0</v>
      </c>
      <c r="H348" s="2223" cm="1">
        <f t="array" ref="H348">IF($D348&lt;COLUMNS($F$7:H$7),"",INDEX(TableDiv[[GASB]:[GASB]],_xlfn.AGGREGATE(15,3,(TableDiv[[Agency]:[Agency]]=$E348)/(TableDiv[[Agency]:[Agency]]=$E348)*(ROW(TableDiv[Agency])-ROW(TableDiv[[#Headers],[Agency]])),COLUMNS($F$7:H$7))))</f>
        <v>0</v>
      </c>
      <c r="I348" s="2223" cm="1">
        <f t="array" ref="I348">IF($D348&lt;COLUMNS($F$7:I$7),"",INDEX(TableDiv[[GASB]:[GASB]],_xlfn.AGGREGATE(15,3,(TableDiv[[Agency]:[Agency]]=$E348)/(TableDiv[[Agency]:[Agency]]=$E348)*(ROW(TableDiv[Agency])-ROW(TableDiv[[#Headers],[Agency]])),COLUMNS($F$7:I$7))))</f>
        <v>0</v>
      </c>
      <c r="J348" s="2223" cm="1">
        <f t="array" ref="J348">IF($D348&lt;COLUMNS($F$7:J$7),"",INDEX(TableDiv[[GASB]:[GASB]],_xlfn.AGGREGATE(15,3,(TableDiv[[Agency]:[Agency]]=$E348)/(TableDiv[[Agency]:[Agency]]=$E348)*(ROW(TableDiv[Agency])-ROW(TableDiv[[#Headers],[Agency]])),COLUMNS($F$7:J$7))))</f>
        <v>0</v>
      </c>
      <c r="K348" s="2223" cm="1">
        <f t="array" ref="K348">IF($D348&lt;COLUMNS($F$7:K$7),"",INDEX(TableDiv[[GASB]:[GASB]],_xlfn.AGGREGATE(15,3,(TableDiv[[Agency]:[Agency]]=$E348)/(TableDiv[[Agency]:[Agency]]=$E348)*(ROW(TableDiv[Agency])-ROW(TableDiv[[#Headers],[Agency]])),COLUMNS($F$7:K$7))))</f>
        <v>0</v>
      </c>
      <c r="L348" s="2223" cm="1">
        <f t="array" ref="L348">IF($D348&lt;COLUMNS($F$7:L$7),"",INDEX(TableDiv[[GASB]:[GASB]],_xlfn.AGGREGATE(15,3,(TableDiv[[Agency]:[Agency]]=$E348)/(TableDiv[[Agency]:[Agency]]=$E348)*(ROW(TableDiv[Agency])-ROW(TableDiv[[#Headers],[Agency]])),COLUMNS($F$7:L$7))))</f>
        <v>0</v>
      </c>
      <c r="M348" s="2223" cm="1">
        <f t="array" ref="M348">IF($D348&lt;COLUMNS($F$7:M$7),"",INDEX(TableDiv[[GASB]:[GASB]],_xlfn.AGGREGATE(15,3,(TableDiv[[Agency]:[Agency]]=$E348)/(TableDiv[[Agency]:[Agency]]=$E348)*(ROW(TableDiv[Agency])-ROW(TableDiv[[#Headers],[Agency]])),COLUMNS($F$7:M$7))))</f>
        <v>0</v>
      </c>
      <c r="N348" s="2223" cm="1">
        <f t="array" ref="N348">IF($D348&lt;COLUMNS($F$7:N$7),"",INDEX(TableDiv[[GASB]:[GASB]],_xlfn.AGGREGATE(15,3,(TableDiv[[Agency]:[Agency]]=$E348)/(TableDiv[[Agency]:[Agency]]=$E348)*(ROW(TableDiv[Agency])-ROW(TableDiv[[#Headers],[Agency]])),COLUMNS($F$7:N$7))))</f>
        <v>0</v>
      </c>
      <c r="O348" s="2223" cm="1">
        <f t="array" ref="O348">IF($D348&lt;COLUMNS($F$7:O$7),"",INDEX(TableDiv[[GASB]:[GASB]],_xlfn.AGGREGATE(15,3,(TableDiv[[Agency]:[Agency]]=$E348)/(TableDiv[[Agency]:[Agency]]=$E348)*(ROW(TableDiv[Agency])-ROW(TableDiv[[#Headers],[Agency]])),COLUMNS($F$7:O$7))))</f>
        <v>0</v>
      </c>
      <c r="P348" s="2223" cm="1">
        <f t="array" ref="P348">IF($D348&lt;COLUMNS($F$7:P$7),"",INDEX(TableDiv[[GASB]:[GASB]],_xlfn.AGGREGATE(15,3,(TableDiv[[Agency]:[Agency]]=$E348)/(TableDiv[[Agency]:[Agency]]=$E348)*(ROW(TableDiv[Agency])-ROW(TableDiv[[#Headers],[Agency]])),COLUMNS($F$7:P$7))))</f>
        <v>0</v>
      </c>
      <c r="Q348" s="2223" cm="1">
        <f t="array" ref="Q348">IF($D348&lt;COLUMNS($F$7:Q$7),"",INDEX(TableDiv[[GASB]:[GASB]],_xlfn.AGGREGATE(15,3,(TableDiv[[Agency]:[Agency]]=$E348)/(TableDiv[[Agency]:[Agency]]=$E348)*(ROW(TableDiv[Agency])-ROW(TableDiv[[#Headers],[Agency]])),COLUMNS($F$7:Q$7))))</f>
        <v>0</v>
      </c>
      <c r="R348" s="2223" cm="1">
        <f t="array" ref="R348">IF($D348&lt;COLUMNS($F$7:R$7),"",INDEX(TableDiv[[GASB]:[GASB]],_xlfn.AGGREGATE(15,3,(TableDiv[[Agency]:[Agency]]=$E348)/(TableDiv[[Agency]:[Agency]]=$E348)*(ROW(TableDiv[Agency])-ROW(TableDiv[[#Headers],[Agency]])),COLUMNS($F$7:R$7))))</f>
        <v>0</v>
      </c>
      <c r="S348" s="2223" cm="1">
        <f t="array" ref="S348">IF($D348&lt;COLUMNS($F$7:S$7),"",INDEX(TableDiv[[GASB]:[GASB]],_xlfn.AGGREGATE(15,3,(TableDiv[[Agency]:[Agency]]=$E348)/(TableDiv[[Agency]:[Agency]]=$E348)*(ROW(TableDiv[Agency])-ROW(TableDiv[[#Headers],[Agency]])),COLUMNS($F$7:S$7))))</f>
        <v>0</v>
      </c>
      <c r="T348" s="2223" cm="1">
        <f t="array" ref="T348">IF($D348&lt;COLUMNS($F$7:T$7),"",INDEX(TableDiv[[GASB]:[GASB]],_xlfn.AGGREGATE(15,3,(TableDiv[[Agency]:[Agency]]=$E348)/(TableDiv[[Agency]:[Agency]]=$E348)*(ROW(TableDiv[Agency])-ROW(TableDiv[[#Headers],[Agency]])),COLUMNS($F$7:T$7))))</f>
        <v>0</v>
      </c>
      <c r="U348" s="2223" cm="1">
        <f t="array" ref="U348">IF($D348&lt;COLUMNS($F$7:U$7),"",INDEX(TableDiv[[GASB]:[GASB]],_xlfn.AGGREGATE(15,3,(TableDiv[[Agency]:[Agency]]=$E348)/(TableDiv[[Agency]:[Agency]]=$E348)*(ROW(TableDiv[Agency])-ROW(TableDiv[[#Headers],[Agency]])),COLUMNS($F$7:U$7))))</f>
        <v>0</v>
      </c>
      <c r="V348" s="2223" cm="1">
        <f t="array" ref="V348">IF($D348&lt;COLUMNS($F$7:V$7),"",INDEX(TableDiv[[GASB]:[GASB]],_xlfn.AGGREGATE(15,3,(TableDiv[[Agency]:[Agency]]=$E348)/(TableDiv[[Agency]:[Agency]]=$E348)*(ROW(TableDiv[Agency])-ROW(TableDiv[[#Headers],[Agency]])),COLUMNS($F$7:V$7))))</f>
        <v>0</v>
      </c>
      <c r="W348" s="2223" cm="1">
        <f t="array" ref="W348">IF($D348&lt;COLUMNS($F$7:W$7),"",INDEX(TableDiv[[GASB]:[GASB]],_xlfn.AGGREGATE(15,3,(TableDiv[[Agency]:[Agency]]=$E348)/(TableDiv[[Agency]:[Agency]]=$E348)*(ROW(TableDiv[Agency])-ROW(TableDiv[[#Headers],[Agency]])),COLUMNS($F$7:W$7))))</f>
        <v>0</v>
      </c>
      <c r="X348" s="2223" cm="1">
        <f t="array" ref="X348">IF($D348&lt;COLUMNS($F$7:X$7),"",INDEX(TableDiv[[GASB]:[GASB]],_xlfn.AGGREGATE(15,3,(TableDiv[[Agency]:[Agency]]=$E348)/(TableDiv[[Agency]:[Agency]]=$E348)*(ROW(TableDiv[Agency])-ROW(TableDiv[[#Headers],[Agency]])),COLUMNS($F$7:X$7))))</f>
        <v>0</v>
      </c>
      <c r="Y348" s="2223" cm="1">
        <f t="array" ref="Y348">IF($D348&lt;COLUMNS($F$7:Y$7),"",INDEX(TableDiv[[GASB]:[GASB]],_xlfn.AGGREGATE(15,3,(TableDiv[[Agency]:[Agency]]=$E348)/(TableDiv[[Agency]:[Agency]]=$E348)*(ROW(TableDiv[Agency])-ROW(TableDiv[[#Headers],[Agency]])),COLUMNS($F$7:Y$7))))</f>
        <v>0</v>
      </c>
      <c r="Z348" s="2223" cm="1">
        <f t="array" ref="Z348">IF($D348&lt;COLUMNS($F$7:Z$7),"",INDEX(TableDiv[[GASB]:[GASB]],_xlfn.AGGREGATE(15,3,(TableDiv[[Agency]:[Agency]]=$E348)/(TableDiv[[Agency]:[Agency]]=$E348)*(ROW(TableDiv[Agency])-ROW(TableDiv[[#Headers],[Agency]])),COLUMNS($F$7:Z$7))))</f>
        <v>0</v>
      </c>
      <c r="AA348" s="2223" cm="1">
        <f t="array" ref="AA348">IF($D348&lt;COLUMNS($F$7:AA$7),"",INDEX(TableDiv[[GASB]:[GASB]],_xlfn.AGGREGATE(15,3,(TableDiv[[Agency]:[Agency]]=$E348)/(TableDiv[[Agency]:[Agency]]=$E348)*(ROW(TableDiv[Agency])-ROW(TableDiv[[#Headers],[Agency]])),COLUMNS($F$7:AA$7))))</f>
        <v>0</v>
      </c>
      <c r="AB348" s="2223" cm="1">
        <f t="array" ref="AB348">IF($D348&lt;COLUMNS($F$7:AB$7),"",INDEX(TableDiv[[GASB]:[GASB]],_xlfn.AGGREGATE(15,3,(TableDiv[[Agency]:[Agency]]=$E348)/(TableDiv[[Agency]:[Agency]]=$E348)*(ROW(TableDiv[Agency])-ROW(TableDiv[[#Headers],[Agency]])),COLUMNS($F$7:AB$7))))</f>
        <v>0</v>
      </c>
      <c r="AC348" s="2223" cm="1">
        <f t="array" ref="AC348">IF($D348&lt;COLUMNS($F$7:AC$7),"",INDEX(TableDiv[[GASB]:[GASB]],_xlfn.AGGREGATE(15,3,(TableDiv[[Agency]:[Agency]]=$E348)/(TableDiv[[Agency]:[Agency]]=$E348)*(ROW(TableDiv[Agency])-ROW(TableDiv[[#Headers],[Agency]])),COLUMNS($F$7:AC$7))))</f>
        <v>0</v>
      </c>
      <c r="AD348" s="2223" cm="1">
        <f t="array" ref="AD348">IF($D348&lt;COLUMNS($F$7:AD$7),"",INDEX(TableDiv[[GASB]:[GASB]],_xlfn.AGGREGATE(15,3,(TableDiv[[Agency]:[Agency]]=$E348)/(TableDiv[[Agency]:[Agency]]=$E348)*(ROW(TableDiv[Agency])-ROW(TableDiv[[#Headers],[Agency]])),COLUMNS($F$7:AD$7))))</f>
        <v>0</v>
      </c>
      <c r="AE348" s="2223" cm="1">
        <f t="array" ref="AE348">IF($D348&lt;COLUMNS($F$7:AE$7),"",INDEX(TableDiv[[GASB]:[GASB]],_xlfn.AGGREGATE(15,3,(TableDiv[[Agency]:[Agency]]=$E348)/(TableDiv[[Agency]:[Agency]]=$E348)*(ROW(TableDiv[Agency])-ROW(TableDiv[[#Headers],[Agency]])),COLUMNS($F$7:AE$7))))</f>
        <v>0</v>
      </c>
      <c r="AF348" s="2223" cm="1">
        <f t="array" ref="AF348">IF($D348&lt;COLUMNS($F$7:AF$7),"",INDEX(TableDiv[[GASB]:[GASB]],_xlfn.AGGREGATE(15,3,(TableDiv[[Agency]:[Agency]]=$E348)/(TableDiv[[Agency]:[Agency]]=$E348)*(ROW(TableDiv[Agency])-ROW(TableDiv[[#Headers],[Agency]])),COLUMNS($F$7:AF$7))))</f>
        <v>0</v>
      </c>
      <c r="AG348" s="2223" cm="1">
        <f t="array" ref="AG348">IF($D348&lt;COLUMNS($F$7:AG$7),"",INDEX(TableDiv[[GASB]:[GASB]],_xlfn.AGGREGATE(15,3,(TableDiv[[Agency]:[Agency]]=$E348)/(TableDiv[[Agency]:[Agency]]=$E348)*(ROW(TableDiv[Agency])-ROW(TableDiv[[#Headers],[Agency]])),COLUMNS($F$7:AG$7))))</f>
        <v>0</v>
      </c>
      <c r="AH348" s="2223" cm="1">
        <f t="array" ref="AH348">IF($D348&lt;COLUMNS($F$7:AH$7),"",INDEX(TableDiv[[GASB]:[GASB]],_xlfn.AGGREGATE(15,3,(TableDiv[[Agency]:[Agency]]=$E348)/(TableDiv[[Agency]:[Agency]]=$E348)*(ROW(TableDiv[Agency])-ROW(TableDiv[[#Headers],[Agency]])),COLUMNS($F$7:AH$7))))</f>
        <v>0</v>
      </c>
      <c r="AI348" s="2223" cm="1">
        <f t="array" ref="AI348">IF($D348&lt;COLUMNS($F$7:AI$7),"",INDEX(TableDiv[[GASB]:[GASB]],_xlfn.AGGREGATE(15,3,(TableDiv[[Agency]:[Agency]]=$E348)/(TableDiv[[Agency]:[Agency]]=$E348)*(ROW(TableDiv[Agency])-ROW(TableDiv[[#Headers],[Agency]])),COLUMNS($F$7:AI$7))))</f>
        <v>0</v>
      </c>
      <c r="AJ348" s="2223" cm="1">
        <f t="array" ref="AJ348">IF($D348&lt;COLUMNS($F$7:AJ$7),"",INDEX(TableDiv[[GASB]:[GASB]],_xlfn.AGGREGATE(15,3,(TableDiv[[Agency]:[Agency]]=$E348)/(TableDiv[[Agency]:[Agency]]=$E348)*(ROW(TableDiv[Agency])-ROW(TableDiv[[#Headers],[Agency]])),COLUMNS($F$7:AJ$7))))</f>
        <v>0</v>
      </c>
      <c r="AK348" s="2223" t="str" cm="1">
        <f t="array" ref="AK348">IF($D348&lt;COLUMNS($F$7:AK$7),"",INDEX(TableDiv[[GASB]:[GASB]],_xlfn.AGGREGATE(15,3,(TableDiv[[Agency]:[Agency]]=$E348)/(TableDiv[[Agency]:[Agency]]=$E348)*(ROW(TableDiv[Agency])-ROW(TableDiv[[#Headers],[Agency]])),COLUMNS($F$7:AK$7))))</f>
        <v/>
      </c>
      <c r="AL348" s="2223" t="str" cm="1">
        <f t="array" ref="AL348">IF($D348&lt;COLUMNS($F$7:AL$7),"",INDEX(TableDiv[[GASB]:[GASB]],_xlfn.AGGREGATE(15,3,(TableDiv[[Agency]:[Agency]]=$E348)/(TableDiv[[Agency]:[Agency]]=$E348)*(ROW(TableDiv[Agency])-ROW(TableDiv[[#Headers],[Agency]])),COLUMNS($F$7:AL$7))))</f>
        <v/>
      </c>
      <c r="AM348" s="2223" t="str" cm="1">
        <f t="array" ref="AM348">IF($D348&lt;COLUMNS($F$7:AM$7),"",INDEX(TableDiv[[GASB]:[GASB]],_xlfn.AGGREGATE(15,3,(TableDiv[[Agency]:[Agency]]=$E348)/(TableDiv[[Agency]:[Agency]]=$E348)*(ROW(TableDiv[Agency])-ROW(TableDiv[[#Headers],[Agency]])),COLUMNS($F$7:AM$7))))</f>
        <v/>
      </c>
      <c r="AN348" s="2223"/>
      <c r="AO348" s="2223"/>
      <c r="AP348" s="2223"/>
      <c r="AQ348" s="2223"/>
      <c r="AR348" s="2223"/>
      <c r="AS348" s="2223"/>
    </row>
    <row r="349" spans="1:45" ht="15" x14ac:dyDescent="0.25">
      <c r="A349" s="2219" t="s">
        <v>6489</v>
      </c>
      <c r="B349" s="2219" t="s">
        <v>6490</v>
      </c>
      <c r="C349" s="2223"/>
      <c r="D349" s="2223">
        <f>COUNTIF(TableDiv[Agency],E349)</f>
        <v>31</v>
      </c>
      <c r="E349" s="2230" t="str" cm="1">
        <f t="array" ref="E349">IFERROR(INDEX(TableDiv[Agency],MATCH(0,INDEX(COUNTIF($E$7:E348,TableDiv[Agency]),),0)),"")</f>
        <v/>
      </c>
      <c r="F349" s="2223" cm="1">
        <f t="array" ref="F349">IF($D349&lt;COLUMNS($F$7:F$7),"",INDEX(TableDiv[[GASB]:[GASB]],_xlfn.AGGREGATE(15,3,(TableDiv[[Agency]:[Agency]]=$E349)/(TableDiv[[Agency]:[Agency]]=$E349)*(ROW(TableDiv[Agency])-ROW(TableDiv[[#Headers],[Agency]])),COLUMNS($F$7:F$7))))</f>
        <v>0</v>
      </c>
      <c r="G349" s="2223" cm="1">
        <f t="array" ref="G349">IF($D349&lt;COLUMNS($F$7:G$7),"",INDEX(TableDiv[[GASB]:[GASB]],_xlfn.AGGREGATE(15,3,(TableDiv[[Agency]:[Agency]]=$E349)/(TableDiv[[Agency]:[Agency]]=$E349)*(ROW(TableDiv[Agency])-ROW(TableDiv[[#Headers],[Agency]])),COLUMNS($F$7:G$7))))</f>
        <v>0</v>
      </c>
      <c r="H349" s="2223" cm="1">
        <f t="array" ref="H349">IF($D349&lt;COLUMNS($F$7:H$7),"",INDEX(TableDiv[[GASB]:[GASB]],_xlfn.AGGREGATE(15,3,(TableDiv[[Agency]:[Agency]]=$E349)/(TableDiv[[Agency]:[Agency]]=$E349)*(ROW(TableDiv[Agency])-ROW(TableDiv[[#Headers],[Agency]])),COLUMNS($F$7:H$7))))</f>
        <v>0</v>
      </c>
      <c r="I349" s="2223" cm="1">
        <f t="array" ref="I349">IF($D349&lt;COLUMNS($F$7:I$7),"",INDEX(TableDiv[[GASB]:[GASB]],_xlfn.AGGREGATE(15,3,(TableDiv[[Agency]:[Agency]]=$E349)/(TableDiv[[Agency]:[Agency]]=$E349)*(ROW(TableDiv[Agency])-ROW(TableDiv[[#Headers],[Agency]])),COLUMNS($F$7:I$7))))</f>
        <v>0</v>
      </c>
      <c r="J349" s="2223" cm="1">
        <f t="array" ref="J349">IF($D349&lt;COLUMNS($F$7:J$7),"",INDEX(TableDiv[[GASB]:[GASB]],_xlfn.AGGREGATE(15,3,(TableDiv[[Agency]:[Agency]]=$E349)/(TableDiv[[Agency]:[Agency]]=$E349)*(ROW(TableDiv[Agency])-ROW(TableDiv[[#Headers],[Agency]])),COLUMNS($F$7:J$7))))</f>
        <v>0</v>
      </c>
      <c r="K349" s="2223" cm="1">
        <f t="array" ref="K349">IF($D349&lt;COLUMNS($F$7:K$7),"",INDEX(TableDiv[[GASB]:[GASB]],_xlfn.AGGREGATE(15,3,(TableDiv[[Agency]:[Agency]]=$E349)/(TableDiv[[Agency]:[Agency]]=$E349)*(ROW(TableDiv[Agency])-ROW(TableDiv[[#Headers],[Agency]])),COLUMNS($F$7:K$7))))</f>
        <v>0</v>
      </c>
      <c r="L349" s="2223" cm="1">
        <f t="array" ref="L349">IF($D349&lt;COLUMNS($F$7:L$7),"",INDEX(TableDiv[[GASB]:[GASB]],_xlfn.AGGREGATE(15,3,(TableDiv[[Agency]:[Agency]]=$E349)/(TableDiv[[Agency]:[Agency]]=$E349)*(ROW(TableDiv[Agency])-ROW(TableDiv[[#Headers],[Agency]])),COLUMNS($F$7:L$7))))</f>
        <v>0</v>
      </c>
      <c r="M349" s="2223" cm="1">
        <f t="array" ref="M349">IF($D349&lt;COLUMNS($F$7:M$7),"",INDEX(TableDiv[[GASB]:[GASB]],_xlfn.AGGREGATE(15,3,(TableDiv[[Agency]:[Agency]]=$E349)/(TableDiv[[Agency]:[Agency]]=$E349)*(ROW(TableDiv[Agency])-ROW(TableDiv[[#Headers],[Agency]])),COLUMNS($F$7:M$7))))</f>
        <v>0</v>
      </c>
      <c r="N349" s="2223" cm="1">
        <f t="array" ref="N349">IF($D349&lt;COLUMNS($F$7:N$7),"",INDEX(TableDiv[[GASB]:[GASB]],_xlfn.AGGREGATE(15,3,(TableDiv[[Agency]:[Agency]]=$E349)/(TableDiv[[Agency]:[Agency]]=$E349)*(ROW(TableDiv[Agency])-ROW(TableDiv[[#Headers],[Agency]])),COLUMNS($F$7:N$7))))</f>
        <v>0</v>
      </c>
      <c r="O349" s="2223" cm="1">
        <f t="array" ref="O349">IF($D349&lt;COLUMNS($F$7:O$7),"",INDEX(TableDiv[[GASB]:[GASB]],_xlfn.AGGREGATE(15,3,(TableDiv[[Agency]:[Agency]]=$E349)/(TableDiv[[Agency]:[Agency]]=$E349)*(ROW(TableDiv[Agency])-ROW(TableDiv[[#Headers],[Agency]])),COLUMNS($F$7:O$7))))</f>
        <v>0</v>
      </c>
      <c r="P349" s="2223" cm="1">
        <f t="array" ref="P349">IF($D349&lt;COLUMNS($F$7:P$7),"",INDEX(TableDiv[[GASB]:[GASB]],_xlfn.AGGREGATE(15,3,(TableDiv[[Agency]:[Agency]]=$E349)/(TableDiv[[Agency]:[Agency]]=$E349)*(ROW(TableDiv[Agency])-ROW(TableDiv[[#Headers],[Agency]])),COLUMNS($F$7:P$7))))</f>
        <v>0</v>
      </c>
      <c r="Q349" s="2223" cm="1">
        <f t="array" ref="Q349">IF($D349&lt;COLUMNS($F$7:Q$7),"",INDEX(TableDiv[[GASB]:[GASB]],_xlfn.AGGREGATE(15,3,(TableDiv[[Agency]:[Agency]]=$E349)/(TableDiv[[Agency]:[Agency]]=$E349)*(ROW(TableDiv[Agency])-ROW(TableDiv[[#Headers],[Agency]])),COLUMNS($F$7:Q$7))))</f>
        <v>0</v>
      </c>
      <c r="R349" s="2223" cm="1">
        <f t="array" ref="R349">IF($D349&lt;COLUMNS($F$7:R$7),"",INDEX(TableDiv[[GASB]:[GASB]],_xlfn.AGGREGATE(15,3,(TableDiv[[Agency]:[Agency]]=$E349)/(TableDiv[[Agency]:[Agency]]=$E349)*(ROW(TableDiv[Agency])-ROW(TableDiv[[#Headers],[Agency]])),COLUMNS($F$7:R$7))))</f>
        <v>0</v>
      </c>
      <c r="S349" s="2223" cm="1">
        <f t="array" ref="S349">IF($D349&lt;COLUMNS($F$7:S$7),"",INDEX(TableDiv[[GASB]:[GASB]],_xlfn.AGGREGATE(15,3,(TableDiv[[Agency]:[Agency]]=$E349)/(TableDiv[[Agency]:[Agency]]=$E349)*(ROW(TableDiv[Agency])-ROW(TableDiv[[#Headers],[Agency]])),COLUMNS($F$7:S$7))))</f>
        <v>0</v>
      </c>
      <c r="T349" s="2223" cm="1">
        <f t="array" ref="T349">IF($D349&lt;COLUMNS($F$7:T$7),"",INDEX(TableDiv[[GASB]:[GASB]],_xlfn.AGGREGATE(15,3,(TableDiv[[Agency]:[Agency]]=$E349)/(TableDiv[[Agency]:[Agency]]=$E349)*(ROW(TableDiv[Agency])-ROW(TableDiv[[#Headers],[Agency]])),COLUMNS($F$7:T$7))))</f>
        <v>0</v>
      </c>
      <c r="U349" s="2223" cm="1">
        <f t="array" ref="U349">IF($D349&lt;COLUMNS($F$7:U$7),"",INDEX(TableDiv[[GASB]:[GASB]],_xlfn.AGGREGATE(15,3,(TableDiv[[Agency]:[Agency]]=$E349)/(TableDiv[[Agency]:[Agency]]=$E349)*(ROW(TableDiv[Agency])-ROW(TableDiv[[#Headers],[Agency]])),COLUMNS($F$7:U$7))))</f>
        <v>0</v>
      </c>
      <c r="V349" s="2223" cm="1">
        <f t="array" ref="V349">IF($D349&lt;COLUMNS($F$7:V$7),"",INDEX(TableDiv[[GASB]:[GASB]],_xlfn.AGGREGATE(15,3,(TableDiv[[Agency]:[Agency]]=$E349)/(TableDiv[[Agency]:[Agency]]=$E349)*(ROW(TableDiv[Agency])-ROW(TableDiv[[#Headers],[Agency]])),COLUMNS($F$7:V$7))))</f>
        <v>0</v>
      </c>
      <c r="W349" s="2223" cm="1">
        <f t="array" ref="W349">IF($D349&lt;COLUMNS($F$7:W$7),"",INDEX(TableDiv[[GASB]:[GASB]],_xlfn.AGGREGATE(15,3,(TableDiv[[Agency]:[Agency]]=$E349)/(TableDiv[[Agency]:[Agency]]=$E349)*(ROW(TableDiv[Agency])-ROW(TableDiv[[#Headers],[Agency]])),COLUMNS($F$7:W$7))))</f>
        <v>0</v>
      </c>
      <c r="X349" s="2223" cm="1">
        <f t="array" ref="X349">IF($D349&lt;COLUMNS($F$7:X$7),"",INDEX(TableDiv[[GASB]:[GASB]],_xlfn.AGGREGATE(15,3,(TableDiv[[Agency]:[Agency]]=$E349)/(TableDiv[[Agency]:[Agency]]=$E349)*(ROW(TableDiv[Agency])-ROW(TableDiv[[#Headers],[Agency]])),COLUMNS($F$7:X$7))))</f>
        <v>0</v>
      </c>
      <c r="Y349" s="2223" cm="1">
        <f t="array" ref="Y349">IF($D349&lt;COLUMNS($F$7:Y$7),"",INDEX(TableDiv[[GASB]:[GASB]],_xlfn.AGGREGATE(15,3,(TableDiv[[Agency]:[Agency]]=$E349)/(TableDiv[[Agency]:[Agency]]=$E349)*(ROW(TableDiv[Agency])-ROW(TableDiv[[#Headers],[Agency]])),COLUMNS($F$7:Y$7))))</f>
        <v>0</v>
      </c>
      <c r="Z349" s="2223" cm="1">
        <f t="array" ref="Z349">IF($D349&lt;COLUMNS($F$7:Z$7),"",INDEX(TableDiv[[GASB]:[GASB]],_xlfn.AGGREGATE(15,3,(TableDiv[[Agency]:[Agency]]=$E349)/(TableDiv[[Agency]:[Agency]]=$E349)*(ROW(TableDiv[Agency])-ROW(TableDiv[[#Headers],[Agency]])),COLUMNS($F$7:Z$7))))</f>
        <v>0</v>
      </c>
      <c r="AA349" s="2223" cm="1">
        <f t="array" ref="AA349">IF($D349&lt;COLUMNS($F$7:AA$7),"",INDEX(TableDiv[[GASB]:[GASB]],_xlfn.AGGREGATE(15,3,(TableDiv[[Agency]:[Agency]]=$E349)/(TableDiv[[Agency]:[Agency]]=$E349)*(ROW(TableDiv[Agency])-ROW(TableDiv[[#Headers],[Agency]])),COLUMNS($F$7:AA$7))))</f>
        <v>0</v>
      </c>
      <c r="AB349" s="2223" cm="1">
        <f t="array" ref="AB349">IF($D349&lt;COLUMNS($F$7:AB$7),"",INDEX(TableDiv[[GASB]:[GASB]],_xlfn.AGGREGATE(15,3,(TableDiv[[Agency]:[Agency]]=$E349)/(TableDiv[[Agency]:[Agency]]=$E349)*(ROW(TableDiv[Agency])-ROW(TableDiv[[#Headers],[Agency]])),COLUMNS($F$7:AB$7))))</f>
        <v>0</v>
      </c>
      <c r="AC349" s="2223" cm="1">
        <f t="array" ref="AC349">IF($D349&lt;COLUMNS($F$7:AC$7),"",INDEX(TableDiv[[GASB]:[GASB]],_xlfn.AGGREGATE(15,3,(TableDiv[[Agency]:[Agency]]=$E349)/(TableDiv[[Agency]:[Agency]]=$E349)*(ROW(TableDiv[Agency])-ROW(TableDiv[[#Headers],[Agency]])),COLUMNS($F$7:AC$7))))</f>
        <v>0</v>
      </c>
      <c r="AD349" s="2223" cm="1">
        <f t="array" ref="AD349">IF($D349&lt;COLUMNS($F$7:AD$7),"",INDEX(TableDiv[[GASB]:[GASB]],_xlfn.AGGREGATE(15,3,(TableDiv[[Agency]:[Agency]]=$E349)/(TableDiv[[Agency]:[Agency]]=$E349)*(ROW(TableDiv[Agency])-ROW(TableDiv[[#Headers],[Agency]])),COLUMNS($F$7:AD$7))))</f>
        <v>0</v>
      </c>
      <c r="AE349" s="2223" cm="1">
        <f t="array" ref="AE349">IF($D349&lt;COLUMNS($F$7:AE$7),"",INDEX(TableDiv[[GASB]:[GASB]],_xlfn.AGGREGATE(15,3,(TableDiv[[Agency]:[Agency]]=$E349)/(TableDiv[[Agency]:[Agency]]=$E349)*(ROW(TableDiv[Agency])-ROW(TableDiv[[#Headers],[Agency]])),COLUMNS($F$7:AE$7))))</f>
        <v>0</v>
      </c>
      <c r="AF349" s="2223" cm="1">
        <f t="array" ref="AF349">IF($D349&lt;COLUMNS($F$7:AF$7),"",INDEX(TableDiv[[GASB]:[GASB]],_xlfn.AGGREGATE(15,3,(TableDiv[[Agency]:[Agency]]=$E349)/(TableDiv[[Agency]:[Agency]]=$E349)*(ROW(TableDiv[Agency])-ROW(TableDiv[[#Headers],[Agency]])),COLUMNS($F$7:AF$7))))</f>
        <v>0</v>
      </c>
      <c r="AG349" s="2223" cm="1">
        <f t="array" ref="AG349">IF($D349&lt;COLUMNS($F$7:AG$7),"",INDEX(TableDiv[[GASB]:[GASB]],_xlfn.AGGREGATE(15,3,(TableDiv[[Agency]:[Agency]]=$E349)/(TableDiv[[Agency]:[Agency]]=$E349)*(ROW(TableDiv[Agency])-ROW(TableDiv[[#Headers],[Agency]])),COLUMNS($F$7:AG$7))))</f>
        <v>0</v>
      </c>
      <c r="AH349" s="2223" cm="1">
        <f t="array" ref="AH349">IF($D349&lt;COLUMNS($F$7:AH$7),"",INDEX(TableDiv[[GASB]:[GASB]],_xlfn.AGGREGATE(15,3,(TableDiv[[Agency]:[Agency]]=$E349)/(TableDiv[[Agency]:[Agency]]=$E349)*(ROW(TableDiv[Agency])-ROW(TableDiv[[#Headers],[Agency]])),COLUMNS($F$7:AH$7))))</f>
        <v>0</v>
      </c>
      <c r="AI349" s="2223" cm="1">
        <f t="array" ref="AI349">IF($D349&lt;COLUMNS($F$7:AI$7),"",INDEX(TableDiv[[GASB]:[GASB]],_xlfn.AGGREGATE(15,3,(TableDiv[[Agency]:[Agency]]=$E349)/(TableDiv[[Agency]:[Agency]]=$E349)*(ROW(TableDiv[Agency])-ROW(TableDiv[[#Headers],[Agency]])),COLUMNS($F$7:AI$7))))</f>
        <v>0</v>
      </c>
      <c r="AJ349" s="2223" cm="1">
        <f t="array" ref="AJ349">IF($D349&lt;COLUMNS($F$7:AJ$7),"",INDEX(TableDiv[[GASB]:[GASB]],_xlfn.AGGREGATE(15,3,(TableDiv[[Agency]:[Agency]]=$E349)/(TableDiv[[Agency]:[Agency]]=$E349)*(ROW(TableDiv[Agency])-ROW(TableDiv[[#Headers],[Agency]])),COLUMNS($F$7:AJ$7))))</f>
        <v>0</v>
      </c>
      <c r="AK349" s="2223" t="str" cm="1">
        <f t="array" ref="AK349">IF($D349&lt;COLUMNS($F$7:AK$7),"",INDEX(TableDiv[[GASB]:[GASB]],_xlfn.AGGREGATE(15,3,(TableDiv[[Agency]:[Agency]]=$E349)/(TableDiv[[Agency]:[Agency]]=$E349)*(ROW(TableDiv[Agency])-ROW(TableDiv[[#Headers],[Agency]])),COLUMNS($F$7:AK$7))))</f>
        <v/>
      </c>
      <c r="AL349" s="2223" t="str" cm="1">
        <f t="array" ref="AL349">IF($D349&lt;COLUMNS($F$7:AL$7),"",INDEX(TableDiv[[GASB]:[GASB]],_xlfn.AGGREGATE(15,3,(TableDiv[[Agency]:[Agency]]=$E349)/(TableDiv[[Agency]:[Agency]]=$E349)*(ROW(TableDiv[Agency])-ROW(TableDiv[[#Headers],[Agency]])),COLUMNS($F$7:AL$7))))</f>
        <v/>
      </c>
      <c r="AM349" s="2223" t="str" cm="1">
        <f t="array" ref="AM349">IF($D349&lt;COLUMNS($F$7:AM$7),"",INDEX(TableDiv[[GASB]:[GASB]],_xlfn.AGGREGATE(15,3,(TableDiv[[Agency]:[Agency]]=$E349)/(TableDiv[[Agency]:[Agency]]=$E349)*(ROW(TableDiv[Agency])-ROW(TableDiv[[#Headers],[Agency]])),COLUMNS($F$7:AM$7))))</f>
        <v/>
      </c>
      <c r="AN349" s="2223"/>
      <c r="AO349" s="2223"/>
      <c r="AP349" s="2223"/>
      <c r="AQ349" s="2223"/>
      <c r="AR349" s="2223"/>
      <c r="AS349" s="2223"/>
    </row>
    <row r="350" spans="1:45" ht="15" x14ac:dyDescent="0.25">
      <c r="A350" s="2219" t="s">
        <v>6489</v>
      </c>
      <c r="B350" s="2219" t="s">
        <v>6393</v>
      </c>
      <c r="C350" s="2223"/>
      <c r="D350" s="2223">
        <f>COUNTIF(TableDiv[Agency],E350)</f>
        <v>31</v>
      </c>
      <c r="E350" s="2230" t="str" cm="1">
        <f t="array" ref="E350">IFERROR(INDEX(TableDiv[Agency],MATCH(0,INDEX(COUNTIF($E$7:E349,TableDiv[Agency]),),0)),"")</f>
        <v/>
      </c>
      <c r="F350" s="2223" cm="1">
        <f t="array" ref="F350">IF($D350&lt;COLUMNS($F$7:F$7),"",INDEX(TableDiv[[GASB]:[GASB]],_xlfn.AGGREGATE(15,3,(TableDiv[[Agency]:[Agency]]=$E350)/(TableDiv[[Agency]:[Agency]]=$E350)*(ROW(TableDiv[Agency])-ROW(TableDiv[[#Headers],[Agency]])),COLUMNS($F$7:F$7))))</f>
        <v>0</v>
      </c>
      <c r="G350" s="2223" cm="1">
        <f t="array" ref="G350">IF($D350&lt;COLUMNS($F$7:G$7),"",INDEX(TableDiv[[GASB]:[GASB]],_xlfn.AGGREGATE(15,3,(TableDiv[[Agency]:[Agency]]=$E350)/(TableDiv[[Agency]:[Agency]]=$E350)*(ROW(TableDiv[Agency])-ROW(TableDiv[[#Headers],[Agency]])),COLUMNS($F$7:G$7))))</f>
        <v>0</v>
      </c>
      <c r="H350" s="2223" cm="1">
        <f t="array" ref="H350">IF($D350&lt;COLUMNS($F$7:H$7),"",INDEX(TableDiv[[GASB]:[GASB]],_xlfn.AGGREGATE(15,3,(TableDiv[[Agency]:[Agency]]=$E350)/(TableDiv[[Agency]:[Agency]]=$E350)*(ROW(TableDiv[Agency])-ROW(TableDiv[[#Headers],[Agency]])),COLUMNS($F$7:H$7))))</f>
        <v>0</v>
      </c>
      <c r="I350" s="2223" cm="1">
        <f t="array" ref="I350">IF($D350&lt;COLUMNS($F$7:I$7),"",INDEX(TableDiv[[GASB]:[GASB]],_xlfn.AGGREGATE(15,3,(TableDiv[[Agency]:[Agency]]=$E350)/(TableDiv[[Agency]:[Agency]]=$E350)*(ROW(TableDiv[Agency])-ROW(TableDiv[[#Headers],[Agency]])),COLUMNS($F$7:I$7))))</f>
        <v>0</v>
      </c>
      <c r="J350" s="2223" cm="1">
        <f t="array" ref="J350">IF($D350&lt;COLUMNS($F$7:J$7),"",INDEX(TableDiv[[GASB]:[GASB]],_xlfn.AGGREGATE(15,3,(TableDiv[[Agency]:[Agency]]=$E350)/(TableDiv[[Agency]:[Agency]]=$E350)*(ROW(TableDiv[Agency])-ROW(TableDiv[[#Headers],[Agency]])),COLUMNS($F$7:J$7))))</f>
        <v>0</v>
      </c>
      <c r="K350" s="2223" cm="1">
        <f t="array" ref="K350">IF($D350&lt;COLUMNS($F$7:K$7),"",INDEX(TableDiv[[GASB]:[GASB]],_xlfn.AGGREGATE(15,3,(TableDiv[[Agency]:[Agency]]=$E350)/(TableDiv[[Agency]:[Agency]]=$E350)*(ROW(TableDiv[Agency])-ROW(TableDiv[[#Headers],[Agency]])),COLUMNS($F$7:K$7))))</f>
        <v>0</v>
      </c>
      <c r="L350" s="2223" cm="1">
        <f t="array" ref="L350">IF($D350&lt;COLUMNS($F$7:L$7),"",INDEX(TableDiv[[GASB]:[GASB]],_xlfn.AGGREGATE(15,3,(TableDiv[[Agency]:[Agency]]=$E350)/(TableDiv[[Agency]:[Agency]]=$E350)*(ROW(TableDiv[Agency])-ROW(TableDiv[[#Headers],[Agency]])),COLUMNS($F$7:L$7))))</f>
        <v>0</v>
      </c>
      <c r="M350" s="2223" cm="1">
        <f t="array" ref="M350">IF($D350&lt;COLUMNS($F$7:M$7),"",INDEX(TableDiv[[GASB]:[GASB]],_xlfn.AGGREGATE(15,3,(TableDiv[[Agency]:[Agency]]=$E350)/(TableDiv[[Agency]:[Agency]]=$E350)*(ROW(TableDiv[Agency])-ROW(TableDiv[[#Headers],[Agency]])),COLUMNS($F$7:M$7))))</f>
        <v>0</v>
      </c>
      <c r="N350" s="2223" cm="1">
        <f t="array" ref="N350">IF($D350&lt;COLUMNS($F$7:N$7),"",INDEX(TableDiv[[GASB]:[GASB]],_xlfn.AGGREGATE(15,3,(TableDiv[[Agency]:[Agency]]=$E350)/(TableDiv[[Agency]:[Agency]]=$E350)*(ROW(TableDiv[Agency])-ROW(TableDiv[[#Headers],[Agency]])),COLUMNS($F$7:N$7))))</f>
        <v>0</v>
      </c>
      <c r="O350" s="2223" cm="1">
        <f t="array" ref="O350">IF($D350&lt;COLUMNS($F$7:O$7),"",INDEX(TableDiv[[GASB]:[GASB]],_xlfn.AGGREGATE(15,3,(TableDiv[[Agency]:[Agency]]=$E350)/(TableDiv[[Agency]:[Agency]]=$E350)*(ROW(TableDiv[Agency])-ROW(TableDiv[[#Headers],[Agency]])),COLUMNS($F$7:O$7))))</f>
        <v>0</v>
      </c>
      <c r="P350" s="2223" cm="1">
        <f t="array" ref="P350">IF($D350&lt;COLUMNS($F$7:P$7),"",INDEX(TableDiv[[GASB]:[GASB]],_xlfn.AGGREGATE(15,3,(TableDiv[[Agency]:[Agency]]=$E350)/(TableDiv[[Agency]:[Agency]]=$E350)*(ROW(TableDiv[Agency])-ROW(TableDiv[[#Headers],[Agency]])),COLUMNS($F$7:P$7))))</f>
        <v>0</v>
      </c>
      <c r="Q350" s="2223" cm="1">
        <f t="array" ref="Q350">IF($D350&lt;COLUMNS($F$7:Q$7),"",INDEX(TableDiv[[GASB]:[GASB]],_xlfn.AGGREGATE(15,3,(TableDiv[[Agency]:[Agency]]=$E350)/(TableDiv[[Agency]:[Agency]]=$E350)*(ROW(TableDiv[Agency])-ROW(TableDiv[[#Headers],[Agency]])),COLUMNS($F$7:Q$7))))</f>
        <v>0</v>
      </c>
      <c r="R350" s="2223" cm="1">
        <f t="array" ref="R350">IF($D350&lt;COLUMNS($F$7:R$7),"",INDEX(TableDiv[[GASB]:[GASB]],_xlfn.AGGREGATE(15,3,(TableDiv[[Agency]:[Agency]]=$E350)/(TableDiv[[Agency]:[Agency]]=$E350)*(ROW(TableDiv[Agency])-ROW(TableDiv[[#Headers],[Agency]])),COLUMNS($F$7:R$7))))</f>
        <v>0</v>
      </c>
      <c r="S350" s="2223" cm="1">
        <f t="array" ref="S350">IF($D350&lt;COLUMNS($F$7:S$7),"",INDEX(TableDiv[[GASB]:[GASB]],_xlfn.AGGREGATE(15,3,(TableDiv[[Agency]:[Agency]]=$E350)/(TableDiv[[Agency]:[Agency]]=$E350)*(ROW(TableDiv[Agency])-ROW(TableDiv[[#Headers],[Agency]])),COLUMNS($F$7:S$7))))</f>
        <v>0</v>
      </c>
      <c r="T350" s="2223" cm="1">
        <f t="array" ref="T350">IF($D350&lt;COLUMNS($F$7:T$7),"",INDEX(TableDiv[[GASB]:[GASB]],_xlfn.AGGREGATE(15,3,(TableDiv[[Agency]:[Agency]]=$E350)/(TableDiv[[Agency]:[Agency]]=$E350)*(ROW(TableDiv[Agency])-ROW(TableDiv[[#Headers],[Agency]])),COLUMNS($F$7:T$7))))</f>
        <v>0</v>
      </c>
      <c r="U350" s="2223" cm="1">
        <f t="array" ref="U350">IF($D350&lt;COLUMNS($F$7:U$7),"",INDEX(TableDiv[[GASB]:[GASB]],_xlfn.AGGREGATE(15,3,(TableDiv[[Agency]:[Agency]]=$E350)/(TableDiv[[Agency]:[Agency]]=$E350)*(ROW(TableDiv[Agency])-ROW(TableDiv[[#Headers],[Agency]])),COLUMNS($F$7:U$7))))</f>
        <v>0</v>
      </c>
      <c r="V350" s="2223" cm="1">
        <f t="array" ref="V350">IF($D350&lt;COLUMNS($F$7:V$7),"",INDEX(TableDiv[[GASB]:[GASB]],_xlfn.AGGREGATE(15,3,(TableDiv[[Agency]:[Agency]]=$E350)/(TableDiv[[Agency]:[Agency]]=$E350)*(ROW(TableDiv[Agency])-ROW(TableDiv[[#Headers],[Agency]])),COLUMNS($F$7:V$7))))</f>
        <v>0</v>
      </c>
      <c r="W350" s="2223" cm="1">
        <f t="array" ref="W350">IF($D350&lt;COLUMNS($F$7:W$7),"",INDEX(TableDiv[[GASB]:[GASB]],_xlfn.AGGREGATE(15,3,(TableDiv[[Agency]:[Agency]]=$E350)/(TableDiv[[Agency]:[Agency]]=$E350)*(ROW(TableDiv[Agency])-ROW(TableDiv[[#Headers],[Agency]])),COLUMNS($F$7:W$7))))</f>
        <v>0</v>
      </c>
      <c r="X350" s="2223" cm="1">
        <f t="array" ref="X350">IF($D350&lt;COLUMNS($F$7:X$7),"",INDEX(TableDiv[[GASB]:[GASB]],_xlfn.AGGREGATE(15,3,(TableDiv[[Agency]:[Agency]]=$E350)/(TableDiv[[Agency]:[Agency]]=$E350)*(ROW(TableDiv[Agency])-ROW(TableDiv[[#Headers],[Agency]])),COLUMNS($F$7:X$7))))</f>
        <v>0</v>
      </c>
      <c r="Y350" s="2223" cm="1">
        <f t="array" ref="Y350">IF($D350&lt;COLUMNS($F$7:Y$7),"",INDEX(TableDiv[[GASB]:[GASB]],_xlfn.AGGREGATE(15,3,(TableDiv[[Agency]:[Agency]]=$E350)/(TableDiv[[Agency]:[Agency]]=$E350)*(ROW(TableDiv[Agency])-ROW(TableDiv[[#Headers],[Agency]])),COLUMNS($F$7:Y$7))))</f>
        <v>0</v>
      </c>
      <c r="Z350" s="2223" cm="1">
        <f t="array" ref="Z350">IF($D350&lt;COLUMNS($F$7:Z$7),"",INDEX(TableDiv[[GASB]:[GASB]],_xlfn.AGGREGATE(15,3,(TableDiv[[Agency]:[Agency]]=$E350)/(TableDiv[[Agency]:[Agency]]=$E350)*(ROW(TableDiv[Agency])-ROW(TableDiv[[#Headers],[Agency]])),COLUMNS($F$7:Z$7))))</f>
        <v>0</v>
      </c>
      <c r="AA350" s="2223" cm="1">
        <f t="array" ref="AA350">IF($D350&lt;COLUMNS($F$7:AA$7),"",INDEX(TableDiv[[GASB]:[GASB]],_xlfn.AGGREGATE(15,3,(TableDiv[[Agency]:[Agency]]=$E350)/(TableDiv[[Agency]:[Agency]]=$E350)*(ROW(TableDiv[Agency])-ROW(TableDiv[[#Headers],[Agency]])),COLUMNS($F$7:AA$7))))</f>
        <v>0</v>
      </c>
      <c r="AB350" s="2223" cm="1">
        <f t="array" ref="AB350">IF($D350&lt;COLUMNS($F$7:AB$7),"",INDEX(TableDiv[[GASB]:[GASB]],_xlfn.AGGREGATE(15,3,(TableDiv[[Agency]:[Agency]]=$E350)/(TableDiv[[Agency]:[Agency]]=$E350)*(ROW(TableDiv[Agency])-ROW(TableDiv[[#Headers],[Agency]])),COLUMNS($F$7:AB$7))))</f>
        <v>0</v>
      </c>
      <c r="AC350" s="2223" cm="1">
        <f t="array" ref="AC350">IF($D350&lt;COLUMNS($F$7:AC$7),"",INDEX(TableDiv[[GASB]:[GASB]],_xlfn.AGGREGATE(15,3,(TableDiv[[Agency]:[Agency]]=$E350)/(TableDiv[[Agency]:[Agency]]=$E350)*(ROW(TableDiv[Agency])-ROW(TableDiv[[#Headers],[Agency]])),COLUMNS($F$7:AC$7))))</f>
        <v>0</v>
      </c>
      <c r="AD350" s="2223" cm="1">
        <f t="array" ref="AD350">IF($D350&lt;COLUMNS($F$7:AD$7),"",INDEX(TableDiv[[GASB]:[GASB]],_xlfn.AGGREGATE(15,3,(TableDiv[[Agency]:[Agency]]=$E350)/(TableDiv[[Agency]:[Agency]]=$E350)*(ROW(TableDiv[Agency])-ROW(TableDiv[[#Headers],[Agency]])),COLUMNS($F$7:AD$7))))</f>
        <v>0</v>
      </c>
      <c r="AE350" s="2223" cm="1">
        <f t="array" ref="AE350">IF($D350&lt;COLUMNS($F$7:AE$7),"",INDEX(TableDiv[[GASB]:[GASB]],_xlfn.AGGREGATE(15,3,(TableDiv[[Agency]:[Agency]]=$E350)/(TableDiv[[Agency]:[Agency]]=$E350)*(ROW(TableDiv[Agency])-ROW(TableDiv[[#Headers],[Agency]])),COLUMNS($F$7:AE$7))))</f>
        <v>0</v>
      </c>
      <c r="AF350" s="2223" cm="1">
        <f t="array" ref="AF350">IF($D350&lt;COLUMNS($F$7:AF$7),"",INDEX(TableDiv[[GASB]:[GASB]],_xlfn.AGGREGATE(15,3,(TableDiv[[Agency]:[Agency]]=$E350)/(TableDiv[[Agency]:[Agency]]=$E350)*(ROW(TableDiv[Agency])-ROW(TableDiv[[#Headers],[Agency]])),COLUMNS($F$7:AF$7))))</f>
        <v>0</v>
      </c>
      <c r="AG350" s="2223" cm="1">
        <f t="array" ref="AG350">IF($D350&lt;COLUMNS($F$7:AG$7),"",INDEX(TableDiv[[GASB]:[GASB]],_xlfn.AGGREGATE(15,3,(TableDiv[[Agency]:[Agency]]=$E350)/(TableDiv[[Agency]:[Agency]]=$E350)*(ROW(TableDiv[Agency])-ROW(TableDiv[[#Headers],[Agency]])),COLUMNS($F$7:AG$7))))</f>
        <v>0</v>
      </c>
      <c r="AH350" s="2223" cm="1">
        <f t="array" ref="AH350">IF($D350&lt;COLUMNS($F$7:AH$7),"",INDEX(TableDiv[[GASB]:[GASB]],_xlfn.AGGREGATE(15,3,(TableDiv[[Agency]:[Agency]]=$E350)/(TableDiv[[Agency]:[Agency]]=$E350)*(ROW(TableDiv[Agency])-ROW(TableDiv[[#Headers],[Agency]])),COLUMNS($F$7:AH$7))))</f>
        <v>0</v>
      </c>
      <c r="AI350" s="2223" cm="1">
        <f t="array" ref="AI350">IF($D350&lt;COLUMNS($F$7:AI$7),"",INDEX(TableDiv[[GASB]:[GASB]],_xlfn.AGGREGATE(15,3,(TableDiv[[Agency]:[Agency]]=$E350)/(TableDiv[[Agency]:[Agency]]=$E350)*(ROW(TableDiv[Agency])-ROW(TableDiv[[#Headers],[Agency]])),COLUMNS($F$7:AI$7))))</f>
        <v>0</v>
      </c>
      <c r="AJ350" s="2223" cm="1">
        <f t="array" ref="AJ350">IF($D350&lt;COLUMNS($F$7:AJ$7),"",INDEX(TableDiv[[GASB]:[GASB]],_xlfn.AGGREGATE(15,3,(TableDiv[[Agency]:[Agency]]=$E350)/(TableDiv[[Agency]:[Agency]]=$E350)*(ROW(TableDiv[Agency])-ROW(TableDiv[[#Headers],[Agency]])),COLUMNS($F$7:AJ$7))))</f>
        <v>0</v>
      </c>
      <c r="AK350" s="2223" t="str" cm="1">
        <f t="array" ref="AK350">IF($D350&lt;COLUMNS($F$7:AK$7),"",INDEX(TableDiv[[GASB]:[GASB]],_xlfn.AGGREGATE(15,3,(TableDiv[[Agency]:[Agency]]=$E350)/(TableDiv[[Agency]:[Agency]]=$E350)*(ROW(TableDiv[Agency])-ROW(TableDiv[[#Headers],[Agency]])),COLUMNS($F$7:AK$7))))</f>
        <v/>
      </c>
      <c r="AL350" s="2223" t="str" cm="1">
        <f t="array" ref="AL350">IF($D350&lt;COLUMNS($F$7:AL$7),"",INDEX(TableDiv[[GASB]:[GASB]],_xlfn.AGGREGATE(15,3,(TableDiv[[Agency]:[Agency]]=$E350)/(TableDiv[[Agency]:[Agency]]=$E350)*(ROW(TableDiv[Agency])-ROW(TableDiv[[#Headers],[Agency]])),COLUMNS($F$7:AL$7))))</f>
        <v/>
      </c>
      <c r="AM350" s="2223" t="str" cm="1">
        <f t="array" ref="AM350">IF($D350&lt;COLUMNS($F$7:AM$7),"",INDEX(TableDiv[[GASB]:[GASB]],_xlfn.AGGREGATE(15,3,(TableDiv[[Agency]:[Agency]]=$E350)/(TableDiv[[Agency]:[Agency]]=$E350)*(ROW(TableDiv[Agency])-ROW(TableDiv[[#Headers],[Agency]])),COLUMNS($F$7:AM$7))))</f>
        <v/>
      </c>
      <c r="AN350" s="2223"/>
      <c r="AO350" s="2223"/>
      <c r="AP350" s="2223"/>
      <c r="AQ350" s="2223"/>
      <c r="AR350" s="2223"/>
      <c r="AS350" s="2223"/>
    </row>
    <row r="351" spans="1:45" ht="15" x14ac:dyDescent="0.25">
      <c r="A351" s="2219" t="s">
        <v>6491</v>
      </c>
      <c r="B351" s="2219" t="s">
        <v>6492</v>
      </c>
      <c r="C351" s="2223"/>
      <c r="D351" s="2223">
        <f>COUNTIF(TableDiv[Agency],E351)</f>
        <v>31</v>
      </c>
      <c r="E351" s="2230" t="str" cm="1">
        <f t="array" ref="E351">IFERROR(INDEX(TableDiv[Agency],MATCH(0,INDEX(COUNTIF($E$7:E350,TableDiv[Agency]),),0)),"")</f>
        <v/>
      </c>
      <c r="F351" s="2223" cm="1">
        <f t="array" ref="F351">IF($D351&lt;COLUMNS($F$7:F$7),"",INDEX(TableDiv[[GASB]:[GASB]],_xlfn.AGGREGATE(15,3,(TableDiv[[Agency]:[Agency]]=$E351)/(TableDiv[[Agency]:[Agency]]=$E351)*(ROW(TableDiv[Agency])-ROW(TableDiv[[#Headers],[Agency]])),COLUMNS($F$7:F$7))))</f>
        <v>0</v>
      </c>
      <c r="G351" s="2223" cm="1">
        <f t="array" ref="G351">IF($D351&lt;COLUMNS($F$7:G$7),"",INDEX(TableDiv[[GASB]:[GASB]],_xlfn.AGGREGATE(15,3,(TableDiv[[Agency]:[Agency]]=$E351)/(TableDiv[[Agency]:[Agency]]=$E351)*(ROW(TableDiv[Agency])-ROW(TableDiv[[#Headers],[Agency]])),COLUMNS($F$7:G$7))))</f>
        <v>0</v>
      </c>
      <c r="H351" s="2223" cm="1">
        <f t="array" ref="H351">IF($D351&lt;COLUMNS($F$7:H$7),"",INDEX(TableDiv[[GASB]:[GASB]],_xlfn.AGGREGATE(15,3,(TableDiv[[Agency]:[Agency]]=$E351)/(TableDiv[[Agency]:[Agency]]=$E351)*(ROW(TableDiv[Agency])-ROW(TableDiv[[#Headers],[Agency]])),COLUMNS($F$7:H$7))))</f>
        <v>0</v>
      </c>
      <c r="I351" s="2223" cm="1">
        <f t="array" ref="I351">IF($D351&lt;COLUMNS($F$7:I$7),"",INDEX(TableDiv[[GASB]:[GASB]],_xlfn.AGGREGATE(15,3,(TableDiv[[Agency]:[Agency]]=$E351)/(TableDiv[[Agency]:[Agency]]=$E351)*(ROW(TableDiv[Agency])-ROW(TableDiv[[#Headers],[Agency]])),COLUMNS($F$7:I$7))))</f>
        <v>0</v>
      </c>
      <c r="J351" s="2223" cm="1">
        <f t="array" ref="J351">IF($D351&lt;COLUMNS($F$7:J$7),"",INDEX(TableDiv[[GASB]:[GASB]],_xlfn.AGGREGATE(15,3,(TableDiv[[Agency]:[Agency]]=$E351)/(TableDiv[[Agency]:[Agency]]=$E351)*(ROW(TableDiv[Agency])-ROW(TableDiv[[#Headers],[Agency]])),COLUMNS($F$7:J$7))))</f>
        <v>0</v>
      </c>
      <c r="K351" s="2223" cm="1">
        <f t="array" ref="K351">IF($D351&lt;COLUMNS($F$7:K$7),"",INDEX(TableDiv[[GASB]:[GASB]],_xlfn.AGGREGATE(15,3,(TableDiv[[Agency]:[Agency]]=$E351)/(TableDiv[[Agency]:[Agency]]=$E351)*(ROW(TableDiv[Agency])-ROW(TableDiv[[#Headers],[Agency]])),COLUMNS($F$7:K$7))))</f>
        <v>0</v>
      </c>
      <c r="L351" s="2223" cm="1">
        <f t="array" ref="L351">IF($D351&lt;COLUMNS($F$7:L$7),"",INDEX(TableDiv[[GASB]:[GASB]],_xlfn.AGGREGATE(15,3,(TableDiv[[Agency]:[Agency]]=$E351)/(TableDiv[[Agency]:[Agency]]=$E351)*(ROW(TableDiv[Agency])-ROW(TableDiv[[#Headers],[Agency]])),COLUMNS($F$7:L$7))))</f>
        <v>0</v>
      </c>
      <c r="M351" s="2223" cm="1">
        <f t="array" ref="M351">IF($D351&lt;COLUMNS($F$7:M$7),"",INDEX(TableDiv[[GASB]:[GASB]],_xlfn.AGGREGATE(15,3,(TableDiv[[Agency]:[Agency]]=$E351)/(TableDiv[[Agency]:[Agency]]=$E351)*(ROW(TableDiv[Agency])-ROW(TableDiv[[#Headers],[Agency]])),COLUMNS($F$7:M$7))))</f>
        <v>0</v>
      </c>
      <c r="N351" s="2223" cm="1">
        <f t="array" ref="N351">IF($D351&lt;COLUMNS($F$7:N$7),"",INDEX(TableDiv[[GASB]:[GASB]],_xlfn.AGGREGATE(15,3,(TableDiv[[Agency]:[Agency]]=$E351)/(TableDiv[[Agency]:[Agency]]=$E351)*(ROW(TableDiv[Agency])-ROW(TableDiv[[#Headers],[Agency]])),COLUMNS($F$7:N$7))))</f>
        <v>0</v>
      </c>
      <c r="O351" s="2223" cm="1">
        <f t="array" ref="O351">IF($D351&lt;COLUMNS($F$7:O$7),"",INDEX(TableDiv[[GASB]:[GASB]],_xlfn.AGGREGATE(15,3,(TableDiv[[Agency]:[Agency]]=$E351)/(TableDiv[[Agency]:[Agency]]=$E351)*(ROW(TableDiv[Agency])-ROW(TableDiv[[#Headers],[Agency]])),COLUMNS($F$7:O$7))))</f>
        <v>0</v>
      </c>
      <c r="P351" s="2223" cm="1">
        <f t="array" ref="P351">IF($D351&lt;COLUMNS($F$7:P$7),"",INDEX(TableDiv[[GASB]:[GASB]],_xlfn.AGGREGATE(15,3,(TableDiv[[Agency]:[Agency]]=$E351)/(TableDiv[[Agency]:[Agency]]=$E351)*(ROW(TableDiv[Agency])-ROW(TableDiv[[#Headers],[Agency]])),COLUMNS($F$7:P$7))))</f>
        <v>0</v>
      </c>
      <c r="Q351" s="2223" cm="1">
        <f t="array" ref="Q351">IF($D351&lt;COLUMNS($F$7:Q$7),"",INDEX(TableDiv[[GASB]:[GASB]],_xlfn.AGGREGATE(15,3,(TableDiv[[Agency]:[Agency]]=$E351)/(TableDiv[[Agency]:[Agency]]=$E351)*(ROW(TableDiv[Agency])-ROW(TableDiv[[#Headers],[Agency]])),COLUMNS($F$7:Q$7))))</f>
        <v>0</v>
      </c>
      <c r="R351" s="2223" cm="1">
        <f t="array" ref="R351">IF($D351&lt;COLUMNS($F$7:R$7),"",INDEX(TableDiv[[GASB]:[GASB]],_xlfn.AGGREGATE(15,3,(TableDiv[[Agency]:[Agency]]=$E351)/(TableDiv[[Agency]:[Agency]]=$E351)*(ROW(TableDiv[Agency])-ROW(TableDiv[[#Headers],[Agency]])),COLUMNS($F$7:R$7))))</f>
        <v>0</v>
      </c>
      <c r="S351" s="2223" cm="1">
        <f t="array" ref="S351">IF($D351&lt;COLUMNS($F$7:S$7),"",INDEX(TableDiv[[GASB]:[GASB]],_xlfn.AGGREGATE(15,3,(TableDiv[[Agency]:[Agency]]=$E351)/(TableDiv[[Agency]:[Agency]]=$E351)*(ROW(TableDiv[Agency])-ROW(TableDiv[[#Headers],[Agency]])),COLUMNS($F$7:S$7))))</f>
        <v>0</v>
      </c>
      <c r="T351" s="2223" cm="1">
        <f t="array" ref="T351">IF($D351&lt;COLUMNS($F$7:T$7),"",INDEX(TableDiv[[GASB]:[GASB]],_xlfn.AGGREGATE(15,3,(TableDiv[[Agency]:[Agency]]=$E351)/(TableDiv[[Agency]:[Agency]]=$E351)*(ROW(TableDiv[Agency])-ROW(TableDiv[[#Headers],[Agency]])),COLUMNS($F$7:T$7))))</f>
        <v>0</v>
      </c>
      <c r="U351" s="2223" cm="1">
        <f t="array" ref="U351">IF($D351&lt;COLUMNS($F$7:U$7),"",INDEX(TableDiv[[GASB]:[GASB]],_xlfn.AGGREGATE(15,3,(TableDiv[[Agency]:[Agency]]=$E351)/(TableDiv[[Agency]:[Agency]]=$E351)*(ROW(TableDiv[Agency])-ROW(TableDiv[[#Headers],[Agency]])),COLUMNS($F$7:U$7))))</f>
        <v>0</v>
      </c>
      <c r="V351" s="2223" cm="1">
        <f t="array" ref="V351">IF($D351&lt;COLUMNS($F$7:V$7),"",INDEX(TableDiv[[GASB]:[GASB]],_xlfn.AGGREGATE(15,3,(TableDiv[[Agency]:[Agency]]=$E351)/(TableDiv[[Agency]:[Agency]]=$E351)*(ROW(TableDiv[Agency])-ROW(TableDiv[[#Headers],[Agency]])),COLUMNS($F$7:V$7))))</f>
        <v>0</v>
      </c>
      <c r="W351" s="2223" cm="1">
        <f t="array" ref="W351">IF($D351&lt;COLUMNS($F$7:W$7),"",INDEX(TableDiv[[GASB]:[GASB]],_xlfn.AGGREGATE(15,3,(TableDiv[[Agency]:[Agency]]=$E351)/(TableDiv[[Agency]:[Agency]]=$E351)*(ROW(TableDiv[Agency])-ROW(TableDiv[[#Headers],[Agency]])),COLUMNS($F$7:W$7))))</f>
        <v>0</v>
      </c>
      <c r="X351" s="2223" cm="1">
        <f t="array" ref="X351">IF($D351&lt;COLUMNS($F$7:X$7),"",INDEX(TableDiv[[GASB]:[GASB]],_xlfn.AGGREGATE(15,3,(TableDiv[[Agency]:[Agency]]=$E351)/(TableDiv[[Agency]:[Agency]]=$E351)*(ROW(TableDiv[Agency])-ROW(TableDiv[[#Headers],[Agency]])),COLUMNS($F$7:X$7))))</f>
        <v>0</v>
      </c>
      <c r="Y351" s="2223" cm="1">
        <f t="array" ref="Y351">IF($D351&lt;COLUMNS($F$7:Y$7),"",INDEX(TableDiv[[GASB]:[GASB]],_xlfn.AGGREGATE(15,3,(TableDiv[[Agency]:[Agency]]=$E351)/(TableDiv[[Agency]:[Agency]]=$E351)*(ROW(TableDiv[Agency])-ROW(TableDiv[[#Headers],[Agency]])),COLUMNS($F$7:Y$7))))</f>
        <v>0</v>
      </c>
      <c r="Z351" s="2223" cm="1">
        <f t="array" ref="Z351">IF($D351&lt;COLUMNS($F$7:Z$7),"",INDEX(TableDiv[[GASB]:[GASB]],_xlfn.AGGREGATE(15,3,(TableDiv[[Agency]:[Agency]]=$E351)/(TableDiv[[Agency]:[Agency]]=$E351)*(ROW(TableDiv[Agency])-ROW(TableDiv[[#Headers],[Agency]])),COLUMNS($F$7:Z$7))))</f>
        <v>0</v>
      </c>
      <c r="AA351" s="2223" cm="1">
        <f t="array" ref="AA351">IF($D351&lt;COLUMNS($F$7:AA$7),"",INDEX(TableDiv[[GASB]:[GASB]],_xlfn.AGGREGATE(15,3,(TableDiv[[Agency]:[Agency]]=$E351)/(TableDiv[[Agency]:[Agency]]=$E351)*(ROW(TableDiv[Agency])-ROW(TableDiv[[#Headers],[Agency]])),COLUMNS($F$7:AA$7))))</f>
        <v>0</v>
      </c>
      <c r="AB351" s="2223" cm="1">
        <f t="array" ref="AB351">IF($D351&lt;COLUMNS($F$7:AB$7),"",INDEX(TableDiv[[GASB]:[GASB]],_xlfn.AGGREGATE(15,3,(TableDiv[[Agency]:[Agency]]=$E351)/(TableDiv[[Agency]:[Agency]]=$E351)*(ROW(TableDiv[Agency])-ROW(TableDiv[[#Headers],[Agency]])),COLUMNS($F$7:AB$7))))</f>
        <v>0</v>
      </c>
      <c r="AC351" s="2223" cm="1">
        <f t="array" ref="AC351">IF($D351&lt;COLUMNS($F$7:AC$7),"",INDEX(TableDiv[[GASB]:[GASB]],_xlfn.AGGREGATE(15,3,(TableDiv[[Agency]:[Agency]]=$E351)/(TableDiv[[Agency]:[Agency]]=$E351)*(ROW(TableDiv[Agency])-ROW(TableDiv[[#Headers],[Agency]])),COLUMNS($F$7:AC$7))))</f>
        <v>0</v>
      </c>
      <c r="AD351" s="2223" cm="1">
        <f t="array" ref="AD351">IF($D351&lt;COLUMNS($F$7:AD$7),"",INDEX(TableDiv[[GASB]:[GASB]],_xlfn.AGGREGATE(15,3,(TableDiv[[Agency]:[Agency]]=$E351)/(TableDiv[[Agency]:[Agency]]=$E351)*(ROW(TableDiv[Agency])-ROW(TableDiv[[#Headers],[Agency]])),COLUMNS($F$7:AD$7))))</f>
        <v>0</v>
      </c>
      <c r="AE351" s="2223" cm="1">
        <f t="array" ref="AE351">IF($D351&lt;COLUMNS($F$7:AE$7),"",INDEX(TableDiv[[GASB]:[GASB]],_xlfn.AGGREGATE(15,3,(TableDiv[[Agency]:[Agency]]=$E351)/(TableDiv[[Agency]:[Agency]]=$E351)*(ROW(TableDiv[Agency])-ROW(TableDiv[[#Headers],[Agency]])),COLUMNS($F$7:AE$7))))</f>
        <v>0</v>
      </c>
      <c r="AF351" s="2223" cm="1">
        <f t="array" ref="AF351">IF($D351&lt;COLUMNS($F$7:AF$7),"",INDEX(TableDiv[[GASB]:[GASB]],_xlfn.AGGREGATE(15,3,(TableDiv[[Agency]:[Agency]]=$E351)/(TableDiv[[Agency]:[Agency]]=$E351)*(ROW(TableDiv[Agency])-ROW(TableDiv[[#Headers],[Agency]])),COLUMNS($F$7:AF$7))))</f>
        <v>0</v>
      </c>
      <c r="AG351" s="2223" cm="1">
        <f t="array" ref="AG351">IF($D351&lt;COLUMNS($F$7:AG$7),"",INDEX(TableDiv[[GASB]:[GASB]],_xlfn.AGGREGATE(15,3,(TableDiv[[Agency]:[Agency]]=$E351)/(TableDiv[[Agency]:[Agency]]=$E351)*(ROW(TableDiv[Agency])-ROW(TableDiv[[#Headers],[Agency]])),COLUMNS($F$7:AG$7))))</f>
        <v>0</v>
      </c>
      <c r="AH351" s="2223" cm="1">
        <f t="array" ref="AH351">IF($D351&lt;COLUMNS($F$7:AH$7),"",INDEX(TableDiv[[GASB]:[GASB]],_xlfn.AGGREGATE(15,3,(TableDiv[[Agency]:[Agency]]=$E351)/(TableDiv[[Agency]:[Agency]]=$E351)*(ROW(TableDiv[Agency])-ROW(TableDiv[[#Headers],[Agency]])),COLUMNS($F$7:AH$7))))</f>
        <v>0</v>
      </c>
      <c r="AI351" s="2223" cm="1">
        <f t="array" ref="AI351">IF($D351&lt;COLUMNS($F$7:AI$7),"",INDEX(TableDiv[[GASB]:[GASB]],_xlfn.AGGREGATE(15,3,(TableDiv[[Agency]:[Agency]]=$E351)/(TableDiv[[Agency]:[Agency]]=$E351)*(ROW(TableDiv[Agency])-ROW(TableDiv[[#Headers],[Agency]])),COLUMNS($F$7:AI$7))))</f>
        <v>0</v>
      </c>
      <c r="AJ351" s="2223" cm="1">
        <f t="array" ref="AJ351">IF($D351&lt;COLUMNS($F$7:AJ$7),"",INDEX(TableDiv[[GASB]:[GASB]],_xlfn.AGGREGATE(15,3,(TableDiv[[Agency]:[Agency]]=$E351)/(TableDiv[[Agency]:[Agency]]=$E351)*(ROW(TableDiv[Agency])-ROW(TableDiv[[#Headers],[Agency]])),COLUMNS($F$7:AJ$7))))</f>
        <v>0</v>
      </c>
      <c r="AK351" s="2223" t="str" cm="1">
        <f t="array" ref="AK351">IF($D351&lt;COLUMNS($F$7:AK$7),"",INDEX(TableDiv[[GASB]:[GASB]],_xlfn.AGGREGATE(15,3,(TableDiv[[Agency]:[Agency]]=$E351)/(TableDiv[[Agency]:[Agency]]=$E351)*(ROW(TableDiv[Agency])-ROW(TableDiv[[#Headers],[Agency]])),COLUMNS($F$7:AK$7))))</f>
        <v/>
      </c>
      <c r="AL351" s="2223" t="str" cm="1">
        <f t="array" ref="AL351">IF($D351&lt;COLUMNS($F$7:AL$7),"",INDEX(TableDiv[[GASB]:[GASB]],_xlfn.AGGREGATE(15,3,(TableDiv[[Agency]:[Agency]]=$E351)/(TableDiv[[Agency]:[Agency]]=$E351)*(ROW(TableDiv[Agency])-ROW(TableDiv[[#Headers],[Agency]])),COLUMNS($F$7:AL$7))))</f>
        <v/>
      </c>
      <c r="AM351" s="2223" t="str" cm="1">
        <f t="array" ref="AM351">IF($D351&lt;COLUMNS($F$7:AM$7),"",INDEX(TableDiv[[GASB]:[GASB]],_xlfn.AGGREGATE(15,3,(TableDiv[[Agency]:[Agency]]=$E351)/(TableDiv[[Agency]:[Agency]]=$E351)*(ROW(TableDiv[Agency])-ROW(TableDiv[[#Headers],[Agency]])),COLUMNS($F$7:AM$7))))</f>
        <v/>
      </c>
      <c r="AN351" s="2223"/>
      <c r="AO351" s="2223"/>
      <c r="AP351" s="2223"/>
      <c r="AQ351" s="2223"/>
      <c r="AR351" s="2223"/>
      <c r="AS351" s="2223"/>
    </row>
    <row r="352" spans="1:45" ht="15" x14ac:dyDescent="0.25">
      <c r="A352" s="2219" t="s">
        <v>6491</v>
      </c>
      <c r="B352" s="2219" t="s">
        <v>6375</v>
      </c>
      <c r="C352" s="2223"/>
      <c r="D352" s="2223">
        <f>COUNTIF(TableDiv[Agency],E352)</f>
        <v>31</v>
      </c>
      <c r="E352" s="2230" t="str" cm="1">
        <f t="array" ref="E352">IFERROR(INDEX(TableDiv[Agency],MATCH(0,INDEX(COUNTIF($E$7:E351,TableDiv[Agency]),),0)),"")</f>
        <v/>
      </c>
      <c r="F352" s="2223" cm="1">
        <f t="array" ref="F352">IF($D352&lt;COLUMNS($F$7:F$7),"",INDEX(TableDiv[[GASB]:[GASB]],_xlfn.AGGREGATE(15,3,(TableDiv[[Agency]:[Agency]]=$E352)/(TableDiv[[Agency]:[Agency]]=$E352)*(ROW(TableDiv[Agency])-ROW(TableDiv[[#Headers],[Agency]])),COLUMNS($F$7:F$7))))</f>
        <v>0</v>
      </c>
      <c r="G352" s="2223" cm="1">
        <f t="array" ref="G352">IF($D352&lt;COLUMNS($F$7:G$7),"",INDEX(TableDiv[[GASB]:[GASB]],_xlfn.AGGREGATE(15,3,(TableDiv[[Agency]:[Agency]]=$E352)/(TableDiv[[Agency]:[Agency]]=$E352)*(ROW(TableDiv[Agency])-ROW(TableDiv[[#Headers],[Agency]])),COLUMNS($F$7:G$7))))</f>
        <v>0</v>
      </c>
      <c r="H352" s="2223" cm="1">
        <f t="array" ref="H352">IF($D352&lt;COLUMNS($F$7:H$7),"",INDEX(TableDiv[[GASB]:[GASB]],_xlfn.AGGREGATE(15,3,(TableDiv[[Agency]:[Agency]]=$E352)/(TableDiv[[Agency]:[Agency]]=$E352)*(ROW(TableDiv[Agency])-ROW(TableDiv[[#Headers],[Agency]])),COLUMNS($F$7:H$7))))</f>
        <v>0</v>
      </c>
      <c r="I352" s="2223" cm="1">
        <f t="array" ref="I352">IF($D352&lt;COLUMNS($F$7:I$7),"",INDEX(TableDiv[[GASB]:[GASB]],_xlfn.AGGREGATE(15,3,(TableDiv[[Agency]:[Agency]]=$E352)/(TableDiv[[Agency]:[Agency]]=$E352)*(ROW(TableDiv[Agency])-ROW(TableDiv[[#Headers],[Agency]])),COLUMNS($F$7:I$7))))</f>
        <v>0</v>
      </c>
      <c r="J352" s="2223" cm="1">
        <f t="array" ref="J352">IF($D352&lt;COLUMNS($F$7:J$7),"",INDEX(TableDiv[[GASB]:[GASB]],_xlfn.AGGREGATE(15,3,(TableDiv[[Agency]:[Agency]]=$E352)/(TableDiv[[Agency]:[Agency]]=$E352)*(ROW(TableDiv[Agency])-ROW(TableDiv[[#Headers],[Agency]])),COLUMNS($F$7:J$7))))</f>
        <v>0</v>
      </c>
      <c r="K352" s="2223" cm="1">
        <f t="array" ref="K352">IF($D352&lt;COLUMNS($F$7:K$7),"",INDEX(TableDiv[[GASB]:[GASB]],_xlfn.AGGREGATE(15,3,(TableDiv[[Agency]:[Agency]]=$E352)/(TableDiv[[Agency]:[Agency]]=$E352)*(ROW(TableDiv[Agency])-ROW(TableDiv[[#Headers],[Agency]])),COLUMNS($F$7:K$7))))</f>
        <v>0</v>
      </c>
      <c r="L352" s="2223" cm="1">
        <f t="array" ref="L352">IF($D352&lt;COLUMNS($F$7:L$7),"",INDEX(TableDiv[[GASB]:[GASB]],_xlfn.AGGREGATE(15,3,(TableDiv[[Agency]:[Agency]]=$E352)/(TableDiv[[Agency]:[Agency]]=$E352)*(ROW(TableDiv[Agency])-ROW(TableDiv[[#Headers],[Agency]])),COLUMNS($F$7:L$7))))</f>
        <v>0</v>
      </c>
      <c r="M352" s="2223" cm="1">
        <f t="array" ref="M352">IF($D352&lt;COLUMNS($F$7:M$7),"",INDEX(TableDiv[[GASB]:[GASB]],_xlfn.AGGREGATE(15,3,(TableDiv[[Agency]:[Agency]]=$E352)/(TableDiv[[Agency]:[Agency]]=$E352)*(ROW(TableDiv[Agency])-ROW(TableDiv[[#Headers],[Agency]])),COLUMNS($F$7:M$7))))</f>
        <v>0</v>
      </c>
      <c r="N352" s="2223" cm="1">
        <f t="array" ref="N352">IF($D352&lt;COLUMNS($F$7:N$7),"",INDEX(TableDiv[[GASB]:[GASB]],_xlfn.AGGREGATE(15,3,(TableDiv[[Agency]:[Agency]]=$E352)/(TableDiv[[Agency]:[Agency]]=$E352)*(ROW(TableDiv[Agency])-ROW(TableDiv[[#Headers],[Agency]])),COLUMNS($F$7:N$7))))</f>
        <v>0</v>
      </c>
      <c r="O352" s="2223" cm="1">
        <f t="array" ref="O352">IF($D352&lt;COLUMNS($F$7:O$7),"",INDEX(TableDiv[[GASB]:[GASB]],_xlfn.AGGREGATE(15,3,(TableDiv[[Agency]:[Agency]]=$E352)/(TableDiv[[Agency]:[Agency]]=$E352)*(ROW(TableDiv[Agency])-ROW(TableDiv[[#Headers],[Agency]])),COLUMNS($F$7:O$7))))</f>
        <v>0</v>
      </c>
      <c r="P352" s="2223" cm="1">
        <f t="array" ref="P352">IF($D352&lt;COLUMNS($F$7:P$7),"",INDEX(TableDiv[[GASB]:[GASB]],_xlfn.AGGREGATE(15,3,(TableDiv[[Agency]:[Agency]]=$E352)/(TableDiv[[Agency]:[Agency]]=$E352)*(ROW(TableDiv[Agency])-ROW(TableDiv[[#Headers],[Agency]])),COLUMNS($F$7:P$7))))</f>
        <v>0</v>
      </c>
      <c r="Q352" s="2223" cm="1">
        <f t="array" ref="Q352">IF($D352&lt;COLUMNS($F$7:Q$7),"",INDEX(TableDiv[[GASB]:[GASB]],_xlfn.AGGREGATE(15,3,(TableDiv[[Agency]:[Agency]]=$E352)/(TableDiv[[Agency]:[Agency]]=$E352)*(ROW(TableDiv[Agency])-ROW(TableDiv[[#Headers],[Agency]])),COLUMNS($F$7:Q$7))))</f>
        <v>0</v>
      </c>
      <c r="R352" s="2223" cm="1">
        <f t="array" ref="R352">IF($D352&lt;COLUMNS($F$7:R$7),"",INDEX(TableDiv[[GASB]:[GASB]],_xlfn.AGGREGATE(15,3,(TableDiv[[Agency]:[Agency]]=$E352)/(TableDiv[[Agency]:[Agency]]=$E352)*(ROW(TableDiv[Agency])-ROW(TableDiv[[#Headers],[Agency]])),COLUMNS($F$7:R$7))))</f>
        <v>0</v>
      </c>
      <c r="S352" s="2223" cm="1">
        <f t="array" ref="S352">IF($D352&lt;COLUMNS($F$7:S$7),"",INDEX(TableDiv[[GASB]:[GASB]],_xlfn.AGGREGATE(15,3,(TableDiv[[Agency]:[Agency]]=$E352)/(TableDiv[[Agency]:[Agency]]=$E352)*(ROW(TableDiv[Agency])-ROW(TableDiv[[#Headers],[Agency]])),COLUMNS($F$7:S$7))))</f>
        <v>0</v>
      </c>
      <c r="T352" s="2223" cm="1">
        <f t="array" ref="T352">IF($D352&lt;COLUMNS($F$7:T$7),"",INDEX(TableDiv[[GASB]:[GASB]],_xlfn.AGGREGATE(15,3,(TableDiv[[Agency]:[Agency]]=$E352)/(TableDiv[[Agency]:[Agency]]=$E352)*(ROW(TableDiv[Agency])-ROW(TableDiv[[#Headers],[Agency]])),COLUMNS($F$7:T$7))))</f>
        <v>0</v>
      </c>
      <c r="U352" s="2223" cm="1">
        <f t="array" ref="U352">IF($D352&lt;COLUMNS($F$7:U$7),"",INDEX(TableDiv[[GASB]:[GASB]],_xlfn.AGGREGATE(15,3,(TableDiv[[Agency]:[Agency]]=$E352)/(TableDiv[[Agency]:[Agency]]=$E352)*(ROW(TableDiv[Agency])-ROW(TableDiv[[#Headers],[Agency]])),COLUMNS($F$7:U$7))))</f>
        <v>0</v>
      </c>
      <c r="V352" s="2223" cm="1">
        <f t="array" ref="V352">IF($D352&lt;COLUMNS($F$7:V$7),"",INDEX(TableDiv[[GASB]:[GASB]],_xlfn.AGGREGATE(15,3,(TableDiv[[Agency]:[Agency]]=$E352)/(TableDiv[[Agency]:[Agency]]=$E352)*(ROW(TableDiv[Agency])-ROW(TableDiv[[#Headers],[Agency]])),COLUMNS($F$7:V$7))))</f>
        <v>0</v>
      </c>
      <c r="W352" s="2223" cm="1">
        <f t="array" ref="W352">IF($D352&lt;COLUMNS($F$7:W$7),"",INDEX(TableDiv[[GASB]:[GASB]],_xlfn.AGGREGATE(15,3,(TableDiv[[Agency]:[Agency]]=$E352)/(TableDiv[[Agency]:[Agency]]=$E352)*(ROW(TableDiv[Agency])-ROW(TableDiv[[#Headers],[Agency]])),COLUMNS($F$7:W$7))))</f>
        <v>0</v>
      </c>
      <c r="X352" s="2223" cm="1">
        <f t="array" ref="X352">IF($D352&lt;COLUMNS($F$7:X$7),"",INDEX(TableDiv[[GASB]:[GASB]],_xlfn.AGGREGATE(15,3,(TableDiv[[Agency]:[Agency]]=$E352)/(TableDiv[[Agency]:[Agency]]=$E352)*(ROW(TableDiv[Agency])-ROW(TableDiv[[#Headers],[Agency]])),COLUMNS($F$7:X$7))))</f>
        <v>0</v>
      </c>
      <c r="Y352" s="2223" cm="1">
        <f t="array" ref="Y352">IF($D352&lt;COLUMNS($F$7:Y$7),"",INDEX(TableDiv[[GASB]:[GASB]],_xlfn.AGGREGATE(15,3,(TableDiv[[Agency]:[Agency]]=$E352)/(TableDiv[[Agency]:[Agency]]=$E352)*(ROW(TableDiv[Agency])-ROW(TableDiv[[#Headers],[Agency]])),COLUMNS($F$7:Y$7))))</f>
        <v>0</v>
      </c>
      <c r="Z352" s="2223" cm="1">
        <f t="array" ref="Z352">IF($D352&lt;COLUMNS($F$7:Z$7),"",INDEX(TableDiv[[GASB]:[GASB]],_xlfn.AGGREGATE(15,3,(TableDiv[[Agency]:[Agency]]=$E352)/(TableDiv[[Agency]:[Agency]]=$E352)*(ROW(TableDiv[Agency])-ROW(TableDiv[[#Headers],[Agency]])),COLUMNS($F$7:Z$7))))</f>
        <v>0</v>
      </c>
      <c r="AA352" s="2223" cm="1">
        <f t="array" ref="AA352">IF($D352&lt;COLUMNS($F$7:AA$7),"",INDEX(TableDiv[[GASB]:[GASB]],_xlfn.AGGREGATE(15,3,(TableDiv[[Agency]:[Agency]]=$E352)/(TableDiv[[Agency]:[Agency]]=$E352)*(ROW(TableDiv[Agency])-ROW(TableDiv[[#Headers],[Agency]])),COLUMNS($F$7:AA$7))))</f>
        <v>0</v>
      </c>
      <c r="AB352" s="2223" cm="1">
        <f t="array" ref="AB352">IF($D352&lt;COLUMNS($F$7:AB$7),"",INDEX(TableDiv[[GASB]:[GASB]],_xlfn.AGGREGATE(15,3,(TableDiv[[Agency]:[Agency]]=$E352)/(TableDiv[[Agency]:[Agency]]=$E352)*(ROW(TableDiv[Agency])-ROW(TableDiv[[#Headers],[Agency]])),COLUMNS($F$7:AB$7))))</f>
        <v>0</v>
      </c>
      <c r="AC352" s="2223" cm="1">
        <f t="array" ref="AC352">IF($D352&lt;COLUMNS($F$7:AC$7),"",INDEX(TableDiv[[GASB]:[GASB]],_xlfn.AGGREGATE(15,3,(TableDiv[[Agency]:[Agency]]=$E352)/(TableDiv[[Agency]:[Agency]]=$E352)*(ROW(TableDiv[Agency])-ROW(TableDiv[[#Headers],[Agency]])),COLUMNS($F$7:AC$7))))</f>
        <v>0</v>
      </c>
      <c r="AD352" s="2223" cm="1">
        <f t="array" ref="AD352">IF($D352&lt;COLUMNS($F$7:AD$7),"",INDEX(TableDiv[[GASB]:[GASB]],_xlfn.AGGREGATE(15,3,(TableDiv[[Agency]:[Agency]]=$E352)/(TableDiv[[Agency]:[Agency]]=$E352)*(ROW(TableDiv[Agency])-ROW(TableDiv[[#Headers],[Agency]])),COLUMNS($F$7:AD$7))))</f>
        <v>0</v>
      </c>
      <c r="AE352" s="2223" cm="1">
        <f t="array" ref="AE352">IF($D352&lt;COLUMNS($F$7:AE$7),"",INDEX(TableDiv[[GASB]:[GASB]],_xlfn.AGGREGATE(15,3,(TableDiv[[Agency]:[Agency]]=$E352)/(TableDiv[[Agency]:[Agency]]=$E352)*(ROW(TableDiv[Agency])-ROW(TableDiv[[#Headers],[Agency]])),COLUMNS($F$7:AE$7))))</f>
        <v>0</v>
      </c>
      <c r="AF352" s="2223" cm="1">
        <f t="array" ref="AF352">IF($D352&lt;COLUMNS($F$7:AF$7),"",INDEX(TableDiv[[GASB]:[GASB]],_xlfn.AGGREGATE(15,3,(TableDiv[[Agency]:[Agency]]=$E352)/(TableDiv[[Agency]:[Agency]]=$E352)*(ROW(TableDiv[Agency])-ROW(TableDiv[[#Headers],[Agency]])),COLUMNS($F$7:AF$7))))</f>
        <v>0</v>
      </c>
      <c r="AG352" s="2223" cm="1">
        <f t="array" ref="AG352">IF($D352&lt;COLUMNS($F$7:AG$7),"",INDEX(TableDiv[[GASB]:[GASB]],_xlfn.AGGREGATE(15,3,(TableDiv[[Agency]:[Agency]]=$E352)/(TableDiv[[Agency]:[Agency]]=$E352)*(ROW(TableDiv[Agency])-ROW(TableDiv[[#Headers],[Agency]])),COLUMNS($F$7:AG$7))))</f>
        <v>0</v>
      </c>
      <c r="AH352" s="2223" cm="1">
        <f t="array" ref="AH352">IF($D352&lt;COLUMNS($F$7:AH$7),"",INDEX(TableDiv[[GASB]:[GASB]],_xlfn.AGGREGATE(15,3,(TableDiv[[Agency]:[Agency]]=$E352)/(TableDiv[[Agency]:[Agency]]=$E352)*(ROW(TableDiv[Agency])-ROW(TableDiv[[#Headers],[Agency]])),COLUMNS($F$7:AH$7))))</f>
        <v>0</v>
      </c>
      <c r="AI352" s="2223" cm="1">
        <f t="array" ref="AI352">IF($D352&lt;COLUMNS($F$7:AI$7),"",INDEX(TableDiv[[GASB]:[GASB]],_xlfn.AGGREGATE(15,3,(TableDiv[[Agency]:[Agency]]=$E352)/(TableDiv[[Agency]:[Agency]]=$E352)*(ROW(TableDiv[Agency])-ROW(TableDiv[[#Headers],[Agency]])),COLUMNS($F$7:AI$7))))</f>
        <v>0</v>
      </c>
      <c r="AJ352" s="2223" cm="1">
        <f t="array" ref="AJ352">IF($D352&lt;COLUMNS($F$7:AJ$7),"",INDEX(TableDiv[[GASB]:[GASB]],_xlfn.AGGREGATE(15,3,(TableDiv[[Agency]:[Agency]]=$E352)/(TableDiv[[Agency]:[Agency]]=$E352)*(ROW(TableDiv[Agency])-ROW(TableDiv[[#Headers],[Agency]])),COLUMNS($F$7:AJ$7))))</f>
        <v>0</v>
      </c>
      <c r="AK352" s="2223" t="str" cm="1">
        <f t="array" ref="AK352">IF($D352&lt;COLUMNS($F$7:AK$7),"",INDEX(TableDiv[[GASB]:[GASB]],_xlfn.AGGREGATE(15,3,(TableDiv[[Agency]:[Agency]]=$E352)/(TableDiv[[Agency]:[Agency]]=$E352)*(ROW(TableDiv[Agency])-ROW(TableDiv[[#Headers],[Agency]])),COLUMNS($F$7:AK$7))))</f>
        <v/>
      </c>
      <c r="AL352" s="2223" t="str" cm="1">
        <f t="array" ref="AL352">IF($D352&lt;COLUMNS($F$7:AL$7),"",INDEX(TableDiv[[GASB]:[GASB]],_xlfn.AGGREGATE(15,3,(TableDiv[[Agency]:[Agency]]=$E352)/(TableDiv[[Agency]:[Agency]]=$E352)*(ROW(TableDiv[Agency])-ROW(TableDiv[[#Headers],[Agency]])),COLUMNS($F$7:AL$7))))</f>
        <v/>
      </c>
      <c r="AM352" s="2223" t="str" cm="1">
        <f t="array" ref="AM352">IF($D352&lt;COLUMNS($F$7:AM$7),"",INDEX(TableDiv[[GASB]:[GASB]],_xlfn.AGGREGATE(15,3,(TableDiv[[Agency]:[Agency]]=$E352)/(TableDiv[[Agency]:[Agency]]=$E352)*(ROW(TableDiv[Agency])-ROW(TableDiv[[#Headers],[Agency]])),COLUMNS($F$7:AM$7))))</f>
        <v/>
      </c>
      <c r="AN352" s="2223"/>
      <c r="AO352" s="2223"/>
      <c r="AP352" s="2223"/>
      <c r="AQ352" s="2223"/>
      <c r="AR352" s="2223"/>
      <c r="AS352" s="2223"/>
    </row>
    <row r="353" spans="1:45" ht="15" x14ac:dyDescent="0.25">
      <c r="A353" s="2219" t="s">
        <v>6491</v>
      </c>
      <c r="B353" s="2219" t="s">
        <v>6369</v>
      </c>
      <c r="C353" s="2223"/>
      <c r="D353" s="2223">
        <f>COUNTIF(TableDiv[Agency],E353)</f>
        <v>31</v>
      </c>
      <c r="E353" s="2230" t="str" cm="1">
        <f t="array" ref="E353">IFERROR(INDEX(TableDiv[Agency],MATCH(0,INDEX(COUNTIF($E$7:E352,TableDiv[Agency]),),0)),"")</f>
        <v/>
      </c>
      <c r="F353" s="2223" cm="1">
        <f t="array" ref="F353">IF($D353&lt;COLUMNS($F$7:F$7),"",INDEX(TableDiv[[GASB]:[GASB]],_xlfn.AGGREGATE(15,3,(TableDiv[[Agency]:[Agency]]=$E353)/(TableDiv[[Agency]:[Agency]]=$E353)*(ROW(TableDiv[Agency])-ROW(TableDiv[[#Headers],[Agency]])),COLUMNS($F$7:F$7))))</f>
        <v>0</v>
      </c>
      <c r="G353" s="2223" cm="1">
        <f t="array" ref="G353">IF($D353&lt;COLUMNS($F$7:G$7),"",INDEX(TableDiv[[GASB]:[GASB]],_xlfn.AGGREGATE(15,3,(TableDiv[[Agency]:[Agency]]=$E353)/(TableDiv[[Agency]:[Agency]]=$E353)*(ROW(TableDiv[Agency])-ROW(TableDiv[[#Headers],[Agency]])),COLUMNS($F$7:G$7))))</f>
        <v>0</v>
      </c>
      <c r="H353" s="2223" cm="1">
        <f t="array" ref="H353">IF($D353&lt;COLUMNS($F$7:H$7),"",INDEX(TableDiv[[GASB]:[GASB]],_xlfn.AGGREGATE(15,3,(TableDiv[[Agency]:[Agency]]=$E353)/(TableDiv[[Agency]:[Agency]]=$E353)*(ROW(TableDiv[Agency])-ROW(TableDiv[[#Headers],[Agency]])),COLUMNS($F$7:H$7))))</f>
        <v>0</v>
      </c>
      <c r="I353" s="2223" cm="1">
        <f t="array" ref="I353">IF($D353&lt;COLUMNS($F$7:I$7),"",INDEX(TableDiv[[GASB]:[GASB]],_xlfn.AGGREGATE(15,3,(TableDiv[[Agency]:[Agency]]=$E353)/(TableDiv[[Agency]:[Agency]]=$E353)*(ROW(TableDiv[Agency])-ROW(TableDiv[[#Headers],[Agency]])),COLUMNS($F$7:I$7))))</f>
        <v>0</v>
      </c>
      <c r="J353" s="2223" cm="1">
        <f t="array" ref="J353">IF($D353&lt;COLUMNS($F$7:J$7),"",INDEX(TableDiv[[GASB]:[GASB]],_xlfn.AGGREGATE(15,3,(TableDiv[[Agency]:[Agency]]=$E353)/(TableDiv[[Agency]:[Agency]]=$E353)*(ROW(TableDiv[Agency])-ROW(TableDiv[[#Headers],[Agency]])),COLUMNS($F$7:J$7))))</f>
        <v>0</v>
      </c>
      <c r="K353" s="2223" cm="1">
        <f t="array" ref="K353">IF($D353&lt;COLUMNS($F$7:K$7),"",INDEX(TableDiv[[GASB]:[GASB]],_xlfn.AGGREGATE(15,3,(TableDiv[[Agency]:[Agency]]=$E353)/(TableDiv[[Agency]:[Agency]]=$E353)*(ROW(TableDiv[Agency])-ROW(TableDiv[[#Headers],[Agency]])),COLUMNS($F$7:K$7))))</f>
        <v>0</v>
      </c>
      <c r="L353" s="2223" cm="1">
        <f t="array" ref="L353">IF($D353&lt;COLUMNS($F$7:L$7),"",INDEX(TableDiv[[GASB]:[GASB]],_xlfn.AGGREGATE(15,3,(TableDiv[[Agency]:[Agency]]=$E353)/(TableDiv[[Agency]:[Agency]]=$E353)*(ROW(TableDiv[Agency])-ROW(TableDiv[[#Headers],[Agency]])),COLUMNS($F$7:L$7))))</f>
        <v>0</v>
      </c>
      <c r="M353" s="2223" cm="1">
        <f t="array" ref="M353">IF($D353&lt;COLUMNS($F$7:M$7),"",INDEX(TableDiv[[GASB]:[GASB]],_xlfn.AGGREGATE(15,3,(TableDiv[[Agency]:[Agency]]=$E353)/(TableDiv[[Agency]:[Agency]]=$E353)*(ROW(TableDiv[Agency])-ROW(TableDiv[[#Headers],[Agency]])),COLUMNS($F$7:M$7))))</f>
        <v>0</v>
      </c>
      <c r="N353" s="2223" cm="1">
        <f t="array" ref="N353">IF($D353&lt;COLUMNS($F$7:N$7),"",INDEX(TableDiv[[GASB]:[GASB]],_xlfn.AGGREGATE(15,3,(TableDiv[[Agency]:[Agency]]=$E353)/(TableDiv[[Agency]:[Agency]]=$E353)*(ROW(TableDiv[Agency])-ROW(TableDiv[[#Headers],[Agency]])),COLUMNS($F$7:N$7))))</f>
        <v>0</v>
      </c>
      <c r="O353" s="2223" cm="1">
        <f t="array" ref="O353">IF($D353&lt;COLUMNS($F$7:O$7),"",INDEX(TableDiv[[GASB]:[GASB]],_xlfn.AGGREGATE(15,3,(TableDiv[[Agency]:[Agency]]=$E353)/(TableDiv[[Agency]:[Agency]]=$E353)*(ROW(TableDiv[Agency])-ROW(TableDiv[[#Headers],[Agency]])),COLUMNS($F$7:O$7))))</f>
        <v>0</v>
      </c>
      <c r="P353" s="2223" cm="1">
        <f t="array" ref="P353">IF($D353&lt;COLUMNS($F$7:P$7),"",INDEX(TableDiv[[GASB]:[GASB]],_xlfn.AGGREGATE(15,3,(TableDiv[[Agency]:[Agency]]=$E353)/(TableDiv[[Agency]:[Agency]]=$E353)*(ROW(TableDiv[Agency])-ROW(TableDiv[[#Headers],[Agency]])),COLUMNS($F$7:P$7))))</f>
        <v>0</v>
      </c>
      <c r="Q353" s="2223" cm="1">
        <f t="array" ref="Q353">IF($D353&lt;COLUMNS($F$7:Q$7),"",INDEX(TableDiv[[GASB]:[GASB]],_xlfn.AGGREGATE(15,3,(TableDiv[[Agency]:[Agency]]=$E353)/(TableDiv[[Agency]:[Agency]]=$E353)*(ROW(TableDiv[Agency])-ROW(TableDiv[[#Headers],[Agency]])),COLUMNS($F$7:Q$7))))</f>
        <v>0</v>
      </c>
      <c r="R353" s="2223" cm="1">
        <f t="array" ref="R353">IF($D353&lt;COLUMNS($F$7:R$7),"",INDEX(TableDiv[[GASB]:[GASB]],_xlfn.AGGREGATE(15,3,(TableDiv[[Agency]:[Agency]]=$E353)/(TableDiv[[Agency]:[Agency]]=$E353)*(ROW(TableDiv[Agency])-ROW(TableDiv[[#Headers],[Agency]])),COLUMNS($F$7:R$7))))</f>
        <v>0</v>
      </c>
      <c r="S353" s="2223" cm="1">
        <f t="array" ref="S353">IF($D353&lt;COLUMNS($F$7:S$7),"",INDEX(TableDiv[[GASB]:[GASB]],_xlfn.AGGREGATE(15,3,(TableDiv[[Agency]:[Agency]]=$E353)/(TableDiv[[Agency]:[Agency]]=$E353)*(ROW(TableDiv[Agency])-ROW(TableDiv[[#Headers],[Agency]])),COLUMNS($F$7:S$7))))</f>
        <v>0</v>
      </c>
      <c r="T353" s="2223" cm="1">
        <f t="array" ref="T353">IF($D353&lt;COLUMNS($F$7:T$7),"",INDEX(TableDiv[[GASB]:[GASB]],_xlfn.AGGREGATE(15,3,(TableDiv[[Agency]:[Agency]]=$E353)/(TableDiv[[Agency]:[Agency]]=$E353)*(ROW(TableDiv[Agency])-ROW(TableDiv[[#Headers],[Agency]])),COLUMNS($F$7:T$7))))</f>
        <v>0</v>
      </c>
      <c r="U353" s="2223" cm="1">
        <f t="array" ref="U353">IF($D353&lt;COLUMNS($F$7:U$7),"",INDEX(TableDiv[[GASB]:[GASB]],_xlfn.AGGREGATE(15,3,(TableDiv[[Agency]:[Agency]]=$E353)/(TableDiv[[Agency]:[Agency]]=$E353)*(ROW(TableDiv[Agency])-ROW(TableDiv[[#Headers],[Agency]])),COLUMNS($F$7:U$7))))</f>
        <v>0</v>
      </c>
      <c r="V353" s="2223" cm="1">
        <f t="array" ref="V353">IF($D353&lt;COLUMNS($F$7:V$7),"",INDEX(TableDiv[[GASB]:[GASB]],_xlfn.AGGREGATE(15,3,(TableDiv[[Agency]:[Agency]]=$E353)/(TableDiv[[Agency]:[Agency]]=$E353)*(ROW(TableDiv[Agency])-ROW(TableDiv[[#Headers],[Agency]])),COLUMNS($F$7:V$7))))</f>
        <v>0</v>
      </c>
      <c r="W353" s="2223" cm="1">
        <f t="array" ref="W353">IF($D353&lt;COLUMNS($F$7:W$7),"",INDEX(TableDiv[[GASB]:[GASB]],_xlfn.AGGREGATE(15,3,(TableDiv[[Agency]:[Agency]]=$E353)/(TableDiv[[Agency]:[Agency]]=$E353)*(ROW(TableDiv[Agency])-ROW(TableDiv[[#Headers],[Agency]])),COLUMNS($F$7:W$7))))</f>
        <v>0</v>
      </c>
      <c r="X353" s="2223" cm="1">
        <f t="array" ref="X353">IF($D353&lt;COLUMNS($F$7:X$7),"",INDEX(TableDiv[[GASB]:[GASB]],_xlfn.AGGREGATE(15,3,(TableDiv[[Agency]:[Agency]]=$E353)/(TableDiv[[Agency]:[Agency]]=$E353)*(ROW(TableDiv[Agency])-ROW(TableDiv[[#Headers],[Agency]])),COLUMNS($F$7:X$7))))</f>
        <v>0</v>
      </c>
      <c r="Y353" s="2223" cm="1">
        <f t="array" ref="Y353">IF($D353&lt;COLUMNS($F$7:Y$7),"",INDEX(TableDiv[[GASB]:[GASB]],_xlfn.AGGREGATE(15,3,(TableDiv[[Agency]:[Agency]]=$E353)/(TableDiv[[Agency]:[Agency]]=$E353)*(ROW(TableDiv[Agency])-ROW(TableDiv[[#Headers],[Agency]])),COLUMNS($F$7:Y$7))))</f>
        <v>0</v>
      </c>
      <c r="Z353" s="2223" cm="1">
        <f t="array" ref="Z353">IF($D353&lt;COLUMNS($F$7:Z$7),"",INDEX(TableDiv[[GASB]:[GASB]],_xlfn.AGGREGATE(15,3,(TableDiv[[Agency]:[Agency]]=$E353)/(TableDiv[[Agency]:[Agency]]=$E353)*(ROW(TableDiv[Agency])-ROW(TableDiv[[#Headers],[Agency]])),COLUMNS($F$7:Z$7))))</f>
        <v>0</v>
      </c>
      <c r="AA353" s="2223" cm="1">
        <f t="array" ref="AA353">IF($D353&lt;COLUMNS($F$7:AA$7),"",INDEX(TableDiv[[GASB]:[GASB]],_xlfn.AGGREGATE(15,3,(TableDiv[[Agency]:[Agency]]=$E353)/(TableDiv[[Agency]:[Agency]]=$E353)*(ROW(TableDiv[Agency])-ROW(TableDiv[[#Headers],[Agency]])),COLUMNS($F$7:AA$7))))</f>
        <v>0</v>
      </c>
      <c r="AB353" s="2223" cm="1">
        <f t="array" ref="AB353">IF($D353&lt;COLUMNS($F$7:AB$7),"",INDEX(TableDiv[[GASB]:[GASB]],_xlfn.AGGREGATE(15,3,(TableDiv[[Agency]:[Agency]]=$E353)/(TableDiv[[Agency]:[Agency]]=$E353)*(ROW(TableDiv[Agency])-ROW(TableDiv[[#Headers],[Agency]])),COLUMNS($F$7:AB$7))))</f>
        <v>0</v>
      </c>
      <c r="AC353" s="2223" cm="1">
        <f t="array" ref="AC353">IF($D353&lt;COLUMNS($F$7:AC$7),"",INDEX(TableDiv[[GASB]:[GASB]],_xlfn.AGGREGATE(15,3,(TableDiv[[Agency]:[Agency]]=$E353)/(TableDiv[[Agency]:[Agency]]=$E353)*(ROW(TableDiv[Agency])-ROW(TableDiv[[#Headers],[Agency]])),COLUMNS($F$7:AC$7))))</f>
        <v>0</v>
      </c>
      <c r="AD353" s="2223" cm="1">
        <f t="array" ref="AD353">IF($D353&lt;COLUMNS($F$7:AD$7),"",INDEX(TableDiv[[GASB]:[GASB]],_xlfn.AGGREGATE(15,3,(TableDiv[[Agency]:[Agency]]=$E353)/(TableDiv[[Agency]:[Agency]]=$E353)*(ROW(TableDiv[Agency])-ROW(TableDiv[[#Headers],[Agency]])),COLUMNS($F$7:AD$7))))</f>
        <v>0</v>
      </c>
      <c r="AE353" s="2223" cm="1">
        <f t="array" ref="AE353">IF($D353&lt;COLUMNS($F$7:AE$7),"",INDEX(TableDiv[[GASB]:[GASB]],_xlfn.AGGREGATE(15,3,(TableDiv[[Agency]:[Agency]]=$E353)/(TableDiv[[Agency]:[Agency]]=$E353)*(ROW(TableDiv[Agency])-ROW(TableDiv[[#Headers],[Agency]])),COLUMNS($F$7:AE$7))))</f>
        <v>0</v>
      </c>
      <c r="AF353" s="2223" cm="1">
        <f t="array" ref="AF353">IF($D353&lt;COLUMNS($F$7:AF$7),"",INDEX(TableDiv[[GASB]:[GASB]],_xlfn.AGGREGATE(15,3,(TableDiv[[Agency]:[Agency]]=$E353)/(TableDiv[[Agency]:[Agency]]=$E353)*(ROW(TableDiv[Agency])-ROW(TableDiv[[#Headers],[Agency]])),COLUMNS($F$7:AF$7))))</f>
        <v>0</v>
      </c>
      <c r="AG353" s="2223" cm="1">
        <f t="array" ref="AG353">IF($D353&lt;COLUMNS($F$7:AG$7),"",INDEX(TableDiv[[GASB]:[GASB]],_xlfn.AGGREGATE(15,3,(TableDiv[[Agency]:[Agency]]=$E353)/(TableDiv[[Agency]:[Agency]]=$E353)*(ROW(TableDiv[Agency])-ROW(TableDiv[[#Headers],[Agency]])),COLUMNS($F$7:AG$7))))</f>
        <v>0</v>
      </c>
      <c r="AH353" s="2223" cm="1">
        <f t="array" ref="AH353">IF($D353&lt;COLUMNS($F$7:AH$7),"",INDEX(TableDiv[[GASB]:[GASB]],_xlfn.AGGREGATE(15,3,(TableDiv[[Agency]:[Agency]]=$E353)/(TableDiv[[Agency]:[Agency]]=$E353)*(ROW(TableDiv[Agency])-ROW(TableDiv[[#Headers],[Agency]])),COLUMNS($F$7:AH$7))))</f>
        <v>0</v>
      </c>
      <c r="AI353" s="2223" cm="1">
        <f t="array" ref="AI353">IF($D353&lt;COLUMNS($F$7:AI$7),"",INDEX(TableDiv[[GASB]:[GASB]],_xlfn.AGGREGATE(15,3,(TableDiv[[Agency]:[Agency]]=$E353)/(TableDiv[[Agency]:[Agency]]=$E353)*(ROW(TableDiv[Agency])-ROW(TableDiv[[#Headers],[Agency]])),COLUMNS($F$7:AI$7))))</f>
        <v>0</v>
      </c>
      <c r="AJ353" s="2223" cm="1">
        <f t="array" ref="AJ353">IF($D353&lt;COLUMNS($F$7:AJ$7),"",INDEX(TableDiv[[GASB]:[GASB]],_xlfn.AGGREGATE(15,3,(TableDiv[[Agency]:[Agency]]=$E353)/(TableDiv[[Agency]:[Agency]]=$E353)*(ROW(TableDiv[Agency])-ROW(TableDiv[[#Headers],[Agency]])),COLUMNS($F$7:AJ$7))))</f>
        <v>0</v>
      </c>
      <c r="AK353" s="2223" t="str" cm="1">
        <f t="array" ref="AK353">IF($D353&lt;COLUMNS($F$7:AK$7),"",INDEX(TableDiv[[GASB]:[GASB]],_xlfn.AGGREGATE(15,3,(TableDiv[[Agency]:[Agency]]=$E353)/(TableDiv[[Agency]:[Agency]]=$E353)*(ROW(TableDiv[Agency])-ROW(TableDiv[[#Headers],[Agency]])),COLUMNS($F$7:AK$7))))</f>
        <v/>
      </c>
      <c r="AL353" s="2223" t="str" cm="1">
        <f t="array" ref="AL353">IF($D353&lt;COLUMNS($F$7:AL$7),"",INDEX(TableDiv[[GASB]:[GASB]],_xlfn.AGGREGATE(15,3,(TableDiv[[Agency]:[Agency]]=$E353)/(TableDiv[[Agency]:[Agency]]=$E353)*(ROW(TableDiv[Agency])-ROW(TableDiv[[#Headers],[Agency]])),COLUMNS($F$7:AL$7))))</f>
        <v/>
      </c>
      <c r="AM353" s="2223" t="str" cm="1">
        <f t="array" ref="AM353">IF($D353&lt;COLUMNS($F$7:AM$7),"",INDEX(TableDiv[[GASB]:[GASB]],_xlfn.AGGREGATE(15,3,(TableDiv[[Agency]:[Agency]]=$E353)/(TableDiv[[Agency]:[Agency]]=$E353)*(ROW(TableDiv[Agency])-ROW(TableDiv[[#Headers],[Agency]])),COLUMNS($F$7:AM$7))))</f>
        <v/>
      </c>
      <c r="AN353" s="2223"/>
      <c r="AO353" s="2223"/>
      <c r="AP353" s="2223"/>
      <c r="AQ353" s="2223"/>
      <c r="AR353" s="2223"/>
      <c r="AS353" s="2223"/>
    </row>
    <row r="354" spans="1:45" ht="15" x14ac:dyDescent="0.25">
      <c r="A354" s="2219" t="s">
        <v>6491</v>
      </c>
      <c r="B354" s="2219" t="s">
        <v>6370</v>
      </c>
      <c r="C354" s="2223"/>
      <c r="D354" s="2223">
        <f>COUNTIF(TableDiv[Agency],E354)</f>
        <v>31</v>
      </c>
      <c r="E354" s="2230" t="str" cm="1">
        <f t="array" ref="E354">IFERROR(INDEX(TableDiv[Agency],MATCH(0,INDEX(COUNTIF($E$7:E353,TableDiv[Agency]),),0)),"")</f>
        <v/>
      </c>
      <c r="F354" s="2223" cm="1">
        <f t="array" ref="F354">IF($D354&lt;COLUMNS($F$7:F$7),"",INDEX(TableDiv[[GASB]:[GASB]],_xlfn.AGGREGATE(15,3,(TableDiv[[Agency]:[Agency]]=$E354)/(TableDiv[[Agency]:[Agency]]=$E354)*(ROW(TableDiv[Agency])-ROW(TableDiv[[#Headers],[Agency]])),COLUMNS($F$7:F$7))))</f>
        <v>0</v>
      </c>
      <c r="G354" s="2223" cm="1">
        <f t="array" ref="G354">IF($D354&lt;COLUMNS($F$7:G$7),"",INDEX(TableDiv[[GASB]:[GASB]],_xlfn.AGGREGATE(15,3,(TableDiv[[Agency]:[Agency]]=$E354)/(TableDiv[[Agency]:[Agency]]=$E354)*(ROW(TableDiv[Agency])-ROW(TableDiv[[#Headers],[Agency]])),COLUMNS($F$7:G$7))))</f>
        <v>0</v>
      </c>
      <c r="H354" s="2223" cm="1">
        <f t="array" ref="H354">IF($D354&lt;COLUMNS($F$7:H$7),"",INDEX(TableDiv[[GASB]:[GASB]],_xlfn.AGGREGATE(15,3,(TableDiv[[Agency]:[Agency]]=$E354)/(TableDiv[[Agency]:[Agency]]=$E354)*(ROW(TableDiv[Agency])-ROW(TableDiv[[#Headers],[Agency]])),COLUMNS($F$7:H$7))))</f>
        <v>0</v>
      </c>
      <c r="I354" s="2223" cm="1">
        <f t="array" ref="I354">IF($D354&lt;COLUMNS($F$7:I$7),"",INDEX(TableDiv[[GASB]:[GASB]],_xlfn.AGGREGATE(15,3,(TableDiv[[Agency]:[Agency]]=$E354)/(TableDiv[[Agency]:[Agency]]=$E354)*(ROW(TableDiv[Agency])-ROW(TableDiv[[#Headers],[Agency]])),COLUMNS($F$7:I$7))))</f>
        <v>0</v>
      </c>
      <c r="J354" s="2223" cm="1">
        <f t="array" ref="J354">IF($D354&lt;COLUMNS($F$7:J$7),"",INDEX(TableDiv[[GASB]:[GASB]],_xlfn.AGGREGATE(15,3,(TableDiv[[Agency]:[Agency]]=$E354)/(TableDiv[[Agency]:[Agency]]=$E354)*(ROW(TableDiv[Agency])-ROW(TableDiv[[#Headers],[Agency]])),COLUMNS($F$7:J$7))))</f>
        <v>0</v>
      </c>
      <c r="K354" s="2223" cm="1">
        <f t="array" ref="K354">IF($D354&lt;COLUMNS($F$7:K$7),"",INDEX(TableDiv[[GASB]:[GASB]],_xlfn.AGGREGATE(15,3,(TableDiv[[Agency]:[Agency]]=$E354)/(TableDiv[[Agency]:[Agency]]=$E354)*(ROW(TableDiv[Agency])-ROW(TableDiv[[#Headers],[Agency]])),COLUMNS($F$7:K$7))))</f>
        <v>0</v>
      </c>
      <c r="L354" s="2223" cm="1">
        <f t="array" ref="L354">IF($D354&lt;COLUMNS($F$7:L$7),"",INDEX(TableDiv[[GASB]:[GASB]],_xlfn.AGGREGATE(15,3,(TableDiv[[Agency]:[Agency]]=$E354)/(TableDiv[[Agency]:[Agency]]=$E354)*(ROW(TableDiv[Agency])-ROW(TableDiv[[#Headers],[Agency]])),COLUMNS($F$7:L$7))))</f>
        <v>0</v>
      </c>
      <c r="M354" s="2223" cm="1">
        <f t="array" ref="M354">IF($D354&lt;COLUMNS($F$7:M$7),"",INDEX(TableDiv[[GASB]:[GASB]],_xlfn.AGGREGATE(15,3,(TableDiv[[Agency]:[Agency]]=$E354)/(TableDiv[[Agency]:[Agency]]=$E354)*(ROW(TableDiv[Agency])-ROW(TableDiv[[#Headers],[Agency]])),COLUMNS($F$7:M$7))))</f>
        <v>0</v>
      </c>
      <c r="N354" s="2223" cm="1">
        <f t="array" ref="N354">IF($D354&lt;COLUMNS($F$7:N$7),"",INDEX(TableDiv[[GASB]:[GASB]],_xlfn.AGGREGATE(15,3,(TableDiv[[Agency]:[Agency]]=$E354)/(TableDiv[[Agency]:[Agency]]=$E354)*(ROW(TableDiv[Agency])-ROW(TableDiv[[#Headers],[Agency]])),COLUMNS($F$7:N$7))))</f>
        <v>0</v>
      </c>
      <c r="O354" s="2223" cm="1">
        <f t="array" ref="O354">IF($D354&lt;COLUMNS($F$7:O$7),"",INDEX(TableDiv[[GASB]:[GASB]],_xlfn.AGGREGATE(15,3,(TableDiv[[Agency]:[Agency]]=$E354)/(TableDiv[[Agency]:[Agency]]=$E354)*(ROW(TableDiv[Agency])-ROW(TableDiv[[#Headers],[Agency]])),COLUMNS($F$7:O$7))))</f>
        <v>0</v>
      </c>
      <c r="P354" s="2223" cm="1">
        <f t="array" ref="P354">IF($D354&lt;COLUMNS($F$7:P$7),"",INDEX(TableDiv[[GASB]:[GASB]],_xlfn.AGGREGATE(15,3,(TableDiv[[Agency]:[Agency]]=$E354)/(TableDiv[[Agency]:[Agency]]=$E354)*(ROW(TableDiv[Agency])-ROW(TableDiv[[#Headers],[Agency]])),COLUMNS($F$7:P$7))))</f>
        <v>0</v>
      </c>
      <c r="Q354" s="2223" cm="1">
        <f t="array" ref="Q354">IF($D354&lt;COLUMNS($F$7:Q$7),"",INDEX(TableDiv[[GASB]:[GASB]],_xlfn.AGGREGATE(15,3,(TableDiv[[Agency]:[Agency]]=$E354)/(TableDiv[[Agency]:[Agency]]=$E354)*(ROW(TableDiv[Agency])-ROW(TableDiv[[#Headers],[Agency]])),COLUMNS($F$7:Q$7))))</f>
        <v>0</v>
      </c>
      <c r="R354" s="2223" cm="1">
        <f t="array" ref="R354">IF($D354&lt;COLUMNS($F$7:R$7),"",INDEX(TableDiv[[GASB]:[GASB]],_xlfn.AGGREGATE(15,3,(TableDiv[[Agency]:[Agency]]=$E354)/(TableDiv[[Agency]:[Agency]]=$E354)*(ROW(TableDiv[Agency])-ROW(TableDiv[[#Headers],[Agency]])),COLUMNS($F$7:R$7))))</f>
        <v>0</v>
      </c>
      <c r="S354" s="2223" cm="1">
        <f t="array" ref="S354">IF($D354&lt;COLUMNS($F$7:S$7),"",INDEX(TableDiv[[GASB]:[GASB]],_xlfn.AGGREGATE(15,3,(TableDiv[[Agency]:[Agency]]=$E354)/(TableDiv[[Agency]:[Agency]]=$E354)*(ROW(TableDiv[Agency])-ROW(TableDiv[[#Headers],[Agency]])),COLUMNS($F$7:S$7))))</f>
        <v>0</v>
      </c>
      <c r="T354" s="2223" cm="1">
        <f t="array" ref="T354">IF($D354&lt;COLUMNS($F$7:T$7),"",INDEX(TableDiv[[GASB]:[GASB]],_xlfn.AGGREGATE(15,3,(TableDiv[[Agency]:[Agency]]=$E354)/(TableDiv[[Agency]:[Agency]]=$E354)*(ROW(TableDiv[Agency])-ROW(TableDiv[[#Headers],[Agency]])),COLUMNS($F$7:T$7))))</f>
        <v>0</v>
      </c>
      <c r="U354" s="2223" cm="1">
        <f t="array" ref="U354">IF($D354&lt;COLUMNS($F$7:U$7),"",INDEX(TableDiv[[GASB]:[GASB]],_xlfn.AGGREGATE(15,3,(TableDiv[[Agency]:[Agency]]=$E354)/(TableDiv[[Agency]:[Agency]]=$E354)*(ROW(TableDiv[Agency])-ROW(TableDiv[[#Headers],[Agency]])),COLUMNS($F$7:U$7))))</f>
        <v>0</v>
      </c>
      <c r="V354" s="2223" cm="1">
        <f t="array" ref="V354">IF($D354&lt;COLUMNS($F$7:V$7),"",INDEX(TableDiv[[GASB]:[GASB]],_xlfn.AGGREGATE(15,3,(TableDiv[[Agency]:[Agency]]=$E354)/(TableDiv[[Agency]:[Agency]]=$E354)*(ROW(TableDiv[Agency])-ROW(TableDiv[[#Headers],[Agency]])),COLUMNS($F$7:V$7))))</f>
        <v>0</v>
      </c>
      <c r="W354" s="2223" cm="1">
        <f t="array" ref="W354">IF($D354&lt;COLUMNS($F$7:W$7),"",INDEX(TableDiv[[GASB]:[GASB]],_xlfn.AGGREGATE(15,3,(TableDiv[[Agency]:[Agency]]=$E354)/(TableDiv[[Agency]:[Agency]]=$E354)*(ROW(TableDiv[Agency])-ROW(TableDiv[[#Headers],[Agency]])),COLUMNS($F$7:W$7))))</f>
        <v>0</v>
      </c>
      <c r="X354" s="2223" cm="1">
        <f t="array" ref="X354">IF($D354&lt;COLUMNS($F$7:X$7),"",INDEX(TableDiv[[GASB]:[GASB]],_xlfn.AGGREGATE(15,3,(TableDiv[[Agency]:[Agency]]=$E354)/(TableDiv[[Agency]:[Agency]]=$E354)*(ROW(TableDiv[Agency])-ROW(TableDiv[[#Headers],[Agency]])),COLUMNS($F$7:X$7))))</f>
        <v>0</v>
      </c>
      <c r="Y354" s="2223" cm="1">
        <f t="array" ref="Y354">IF($D354&lt;COLUMNS($F$7:Y$7),"",INDEX(TableDiv[[GASB]:[GASB]],_xlfn.AGGREGATE(15,3,(TableDiv[[Agency]:[Agency]]=$E354)/(TableDiv[[Agency]:[Agency]]=$E354)*(ROW(TableDiv[Agency])-ROW(TableDiv[[#Headers],[Agency]])),COLUMNS($F$7:Y$7))))</f>
        <v>0</v>
      </c>
      <c r="Z354" s="2223" cm="1">
        <f t="array" ref="Z354">IF($D354&lt;COLUMNS($F$7:Z$7),"",INDEX(TableDiv[[GASB]:[GASB]],_xlfn.AGGREGATE(15,3,(TableDiv[[Agency]:[Agency]]=$E354)/(TableDiv[[Agency]:[Agency]]=$E354)*(ROW(TableDiv[Agency])-ROW(TableDiv[[#Headers],[Agency]])),COLUMNS($F$7:Z$7))))</f>
        <v>0</v>
      </c>
      <c r="AA354" s="2223" cm="1">
        <f t="array" ref="AA354">IF($D354&lt;COLUMNS($F$7:AA$7),"",INDEX(TableDiv[[GASB]:[GASB]],_xlfn.AGGREGATE(15,3,(TableDiv[[Agency]:[Agency]]=$E354)/(TableDiv[[Agency]:[Agency]]=$E354)*(ROW(TableDiv[Agency])-ROW(TableDiv[[#Headers],[Agency]])),COLUMNS($F$7:AA$7))))</f>
        <v>0</v>
      </c>
      <c r="AB354" s="2223" cm="1">
        <f t="array" ref="AB354">IF($D354&lt;COLUMNS($F$7:AB$7),"",INDEX(TableDiv[[GASB]:[GASB]],_xlfn.AGGREGATE(15,3,(TableDiv[[Agency]:[Agency]]=$E354)/(TableDiv[[Agency]:[Agency]]=$E354)*(ROW(TableDiv[Agency])-ROW(TableDiv[[#Headers],[Agency]])),COLUMNS($F$7:AB$7))))</f>
        <v>0</v>
      </c>
      <c r="AC354" s="2223" cm="1">
        <f t="array" ref="AC354">IF($D354&lt;COLUMNS($F$7:AC$7),"",INDEX(TableDiv[[GASB]:[GASB]],_xlfn.AGGREGATE(15,3,(TableDiv[[Agency]:[Agency]]=$E354)/(TableDiv[[Agency]:[Agency]]=$E354)*(ROW(TableDiv[Agency])-ROW(TableDiv[[#Headers],[Agency]])),COLUMNS($F$7:AC$7))))</f>
        <v>0</v>
      </c>
      <c r="AD354" s="2223" cm="1">
        <f t="array" ref="AD354">IF($D354&lt;COLUMNS($F$7:AD$7),"",INDEX(TableDiv[[GASB]:[GASB]],_xlfn.AGGREGATE(15,3,(TableDiv[[Agency]:[Agency]]=$E354)/(TableDiv[[Agency]:[Agency]]=$E354)*(ROW(TableDiv[Agency])-ROW(TableDiv[[#Headers],[Agency]])),COLUMNS($F$7:AD$7))))</f>
        <v>0</v>
      </c>
      <c r="AE354" s="2223" cm="1">
        <f t="array" ref="AE354">IF($D354&lt;COLUMNS($F$7:AE$7),"",INDEX(TableDiv[[GASB]:[GASB]],_xlfn.AGGREGATE(15,3,(TableDiv[[Agency]:[Agency]]=$E354)/(TableDiv[[Agency]:[Agency]]=$E354)*(ROW(TableDiv[Agency])-ROW(TableDiv[[#Headers],[Agency]])),COLUMNS($F$7:AE$7))))</f>
        <v>0</v>
      </c>
      <c r="AF354" s="2223" cm="1">
        <f t="array" ref="AF354">IF($D354&lt;COLUMNS($F$7:AF$7),"",INDEX(TableDiv[[GASB]:[GASB]],_xlfn.AGGREGATE(15,3,(TableDiv[[Agency]:[Agency]]=$E354)/(TableDiv[[Agency]:[Agency]]=$E354)*(ROW(TableDiv[Agency])-ROW(TableDiv[[#Headers],[Agency]])),COLUMNS($F$7:AF$7))))</f>
        <v>0</v>
      </c>
      <c r="AG354" s="2223" cm="1">
        <f t="array" ref="AG354">IF($D354&lt;COLUMNS($F$7:AG$7),"",INDEX(TableDiv[[GASB]:[GASB]],_xlfn.AGGREGATE(15,3,(TableDiv[[Agency]:[Agency]]=$E354)/(TableDiv[[Agency]:[Agency]]=$E354)*(ROW(TableDiv[Agency])-ROW(TableDiv[[#Headers],[Agency]])),COLUMNS($F$7:AG$7))))</f>
        <v>0</v>
      </c>
      <c r="AH354" s="2223" cm="1">
        <f t="array" ref="AH354">IF($D354&lt;COLUMNS($F$7:AH$7),"",INDEX(TableDiv[[GASB]:[GASB]],_xlfn.AGGREGATE(15,3,(TableDiv[[Agency]:[Agency]]=$E354)/(TableDiv[[Agency]:[Agency]]=$E354)*(ROW(TableDiv[Agency])-ROW(TableDiv[[#Headers],[Agency]])),COLUMNS($F$7:AH$7))))</f>
        <v>0</v>
      </c>
      <c r="AI354" s="2223" cm="1">
        <f t="array" ref="AI354">IF($D354&lt;COLUMNS($F$7:AI$7),"",INDEX(TableDiv[[GASB]:[GASB]],_xlfn.AGGREGATE(15,3,(TableDiv[[Agency]:[Agency]]=$E354)/(TableDiv[[Agency]:[Agency]]=$E354)*(ROW(TableDiv[Agency])-ROW(TableDiv[[#Headers],[Agency]])),COLUMNS($F$7:AI$7))))</f>
        <v>0</v>
      </c>
      <c r="AJ354" s="2223" cm="1">
        <f t="array" ref="AJ354">IF($D354&lt;COLUMNS($F$7:AJ$7),"",INDEX(TableDiv[[GASB]:[GASB]],_xlfn.AGGREGATE(15,3,(TableDiv[[Agency]:[Agency]]=$E354)/(TableDiv[[Agency]:[Agency]]=$E354)*(ROW(TableDiv[Agency])-ROW(TableDiv[[#Headers],[Agency]])),COLUMNS($F$7:AJ$7))))</f>
        <v>0</v>
      </c>
      <c r="AK354" s="2223" t="str" cm="1">
        <f t="array" ref="AK354">IF($D354&lt;COLUMNS($F$7:AK$7),"",INDEX(TableDiv[[GASB]:[GASB]],_xlfn.AGGREGATE(15,3,(TableDiv[[Agency]:[Agency]]=$E354)/(TableDiv[[Agency]:[Agency]]=$E354)*(ROW(TableDiv[Agency])-ROW(TableDiv[[#Headers],[Agency]])),COLUMNS($F$7:AK$7))))</f>
        <v/>
      </c>
      <c r="AL354" s="2223" t="str" cm="1">
        <f t="array" ref="AL354">IF($D354&lt;COLUMNS($F$7:AL$7),"",INDEX(TableDiv[[GASB]:[GASB]],_xlfn.AGGREGATE(15,3,(TableDiv[[Agency]:[Agency]]=$E354)/(TableDiv[[Agency]:[Agency]]=$E354)*(ROW(TableDiv[Agency])-ROW(TableDiv[[#Headers],[Agency]])),COLUMNS($F$7:AL$7))))</f>
        <v/>
      </c>
      <c r="AM354" s="2223" t="str" cm="1">
        <f t="array" ref="AM354">IF($D354&lt;COLUMNS($F$7:AM$7),"",INDEX(TableDiv[[GASB]:[GASB]],_xlfn.AGGREGATE(15,3,(TableDiv[[Agency]:[Agency]]=$E354)/(TableDiv[[Agency]:[Agency]]=$E354)*(ROW(TableDiv[Agency])-ROW(TableDiv[[#Headers],[Agency]])),COLUMNS($F$7:AM$7))))</f>
        <v/>
      </c>
      <c r="AN354" s="2223"/>
      <c r="AO354" s="2223"/>
      <c r="AP354" s="2223"/>
      <c r="AQ354" s="2223"/>
      <c r="AR354" s="2223"/>
      <c r="AS354" s="2223"/>
    </row>
    <row r="355" spans="1:45" ht="15" x14ac:dyDescent="0.25">
      <c r="A355" s="2219" t="s">
        <v>6491</v>
      </c>
      <c r="B355" s="2219" t="s">
        <v>6378</v>
      </c>
      <c r="C355" s="2223"/>
      <c r="D355" s="2223">
        <f>COUNTIF(TableDiv[Agency],E355)</f>
        <v>31</v>
      </c>
      <c r="E355" s="2230" t="str" cm="1">
        <f t="array" ref="E355">IFERROR(INDEX(TableDiv[Agency],MATCH(0,INDEX(COUNTIF($E$7:E354,TableDiv[Agency]),),0)),"")</f>
        <v/>
      </c>
      <c r="F355" s="2223" cm="1">
        <f t="array" ref="F355">IF($D355&lt;COLUMNS($F$7:F$7),"",INDEX(TableDiv[[GASB]:[GASB]],_xlfn.AGGREGATE(15,3,(TableDiv[[Agency]:[Agency]]=$E355)/(TableDiv[[Agency]:[Agency]]=$E355)*(ROW(TableDiv[Agency])-ROW(TableDiv[[#Headers],[Agency]])),COLUMNS($F$7:F$7))))</f>
        <v>0</v>
      </c>
      <c r="G355" s="2223" cm="1">
        <f t="array" ref="G355">IF($D355&lt;COLUMNS($F$7:G$7),"",INDEX(TableDiv[[GASB]:[GASB]],_xlfn.AGGREGATE(15,3,(TableDiv[[Agency]:[Agency]]=$E355)/(TableDiv[[Agency]:[Agency]]=$E355)*(ROW(TableDiv[Agency])-ROW(TableDiv[[#Headers],[Agency]])),COLUMNS($F$7:G$7))))</f>
        <v>0</v>
      </c>
      <c r="H355" s="2223" cm="1">
        <f t="array" ref="H355">IF($D355&lt;COLUMNS($F$7:H$7),"",INDEX(TableDiv[[GASB]:[GASB]],_xlfn.AGGREGATE(15,3,(TableDiv[[Agency]:[Agency]]=$E355)/(TableDiv[[Agency]:[Agency]]=$E355)*(ROW(TableDiv[Agency])-ROW(TableDiv[[#Headers],[Agency]])),COLUMNS($F$7:H$7))))</f>
        <v>0</v>
      </c>
      <c r="I355" s="2223" cm="1">
        <f t="array" ref="I355">IF($D355&lt;COLUMNS($F$7:I$7),"",INDEX(TableDiv[[GASB]:[GASB]],_xlfn.AGGREGATE(15,3,(TableDiv[[Agency]:[Agency]]=$E355)/(TableDiv[[Agency]:[Agency]]=$E355)*(ROW(TableDiv[Agency])-ROW(TableDiv[[#Headers],[Agency]])),COLUMNS($F$7:I$7))))</f>
        <v>0</v>
      </c>
      <c r="J355" s="2223" cm="1">
        <f t="array" ref="J355">IF($D355&lt;COLUMNS($F$7:J$7),"",INDEX(TableDiv[[GASB]:[GASB]],_xlfn.AGGREGATE(15,3,(TableDiv[[Agency]:[Agency]]=$E355)/(TableDiv[[Agency]:[Agency]]=$E355)*(ROW(TableDiv[Agency])-ROW(TableDiv[[#Headers],[Agency]])),COLUMNS($F$7:J$7))))</f>
        <v>0</v>
      </c>
      <c r="K355" s="2223" cm="1">
        <f t="array" ref="K355">IF($D355&lt;COLUMNS($F$7:K$7),"",INDEX(TableDiv[[GASB]:[GASB]],_xlfn.AGGREGATE(15,3,(TableDiv[[Agency]:[Agency]]=$E355)/(TableDiv[[Agency]:[Agency]]=$E355)*(ROW(TableDiv[Agency])-ROW(TableDiv[[#Headers],[Agency]])),COLUMNS($F$7:K$7))))</f>
        <v>0</v>
      </c>
      <c r="L355" s="2223" cm="1">
        <f t="array" ref="L355">IF($D355&lt;COLUMNS($F$7:L$7),"",INDEX(TableDiv[[GASB]:[GASB]],_xlfn.AGGREGATE(15,3,(TableDiv[[Agency]:[Agency]]=$E355)/(TableDiv[[Agency]:[Agency]]=$E355)*(ROW(TableDiv[Agency])-ROW(TableDiv[[#Headers],[Agency]])),COLUMNS($F$7:L$7))))</f>
        <v>0</v>
      </c>
      <c r="M355" s="2223" cm="1">
        <f t="array" ref="M355">IF($D355&lt;COLUMNS($F$7:M$7),"",INDEX(TableDiv[[GASB]:[GASB]],_xlfn.AGGREGATE(15,3,(TableDiv[[Agency]:[Agency]]=$E355)/(TableDiv[[Agency]:[Agency]]=$E355)*(ROW(TableDiv[Agency])-ROW(TableDiv[[#Headers],[Agency]])),COLUMNS($F$7:M$7))))</f>
        <v>0</v>
      </c>
      <c r="N355" s="2223" cm="1">
        <f t="array" ref="N355">IF($D355&lt;COLUMNS($F$7:N$7),"",INDEX(TableDiv[[GASB]:[GASB]],_xlfn.AGGREGATE(15,3,(TableDiv[[Agency]:[Agency]]=$E355)/(TableDiv[[Agency]:[Agency]]=$E355)*(ROW(TableDiv[Agency])-ROW(TableDiv[[#Headers],[Agency]])),COLUMNS($F$7:N$7))))</f>
        <v>0</v>
      </c>
      <c r="O355" s="2223" cm="1">
        <f t="array" ref="O355">IF($D355&lt;COLUMNS($F$7:O$7),"",INDEX(TableDiv[[GASB]:[GASB]],_xlfn.AGGREGATE(15,3,(TableDiv[[Agency]:[Agency]]=$E355)/(TableDiv[[Agency]:[Agency]]=$E355)*(ROW(TableDiv[Agency])-ROW(TableDiv[[#Headers],[Agency]])),COLUMNS($F$7:O$7))))</f>
        <v>0</v>
      </c>
      <c r="P355" s="2223" cm="1">
        <f t="array" ref="P355">IF($D355&lt;COLUMNS($F$7:P$7),"",INDEX(TableDiv[[GASB]:[GASB]],_xlfn.AGGREGATE(15,3,(TableDiv[[Agency]:[Agency]]=$E355)/(TableDiv[[Agency]:[Agency]]=$E355)*(ROW(TableDiv[Agency])-ROW(TableDiv[[#Headers],[Agency]])),COLUMNS($F$7:P$7))))</f>
        <v>0</v>
      </c>
      <c r="Q355" s="2223" cm="1">
        <f t="array" ref="Q355">IF($D355&lt;COLUMNS($F$7:Q$7),"",INDEX(TableDiv[[GASB]:[GASB]],_xlfn.AGGREGATE(15,3,(TableDiv[[Agency]:[Agency]]=$E355)/(TableDiv[[Agency]:[Agency]]=$E355)*(ROW(TableDiv[Agency])-ROW(TableDiv[[#Headers],[Agency]])),COLUMNS($F$7:Q$7))))</f>
        <v>0</v>
      </c>
      <c r="R355" s="2223" cm="1">
        <f t="array" ref="R355">IF($D355&lt;COLUMNS($F$7:R$7),"",INDEX(TableDiv[[GASB]:[GASB]],_xlfn.AGGREGATE(15,3,(TableDiv[[Agency]:[Agency]]=$E355)/(TableDiv[[Agency]:[Agency]]=$E355)*(ROW(TableDiv[Agency])-ROW(TableDiv[[#Headers],[Agency]])),COLUMNS($F$7:R$7))))</f>
        <v>0</v>
      </c>
      <c r="S355" s="2223" cm="1">
        <f t="array" ref="S355">IF($D355&lt;COLUMNS($F$7:S$7),"",INDEX(TableDiv[[GASB]:[GASB]],_xlfn.AGGREGATE(15,3,(TableDiv[[Agency]:[Agency]]=$E355)/(TableDiv[[Agency]:[Agency]]=$E355)*(ROW(TableDiv[Agency])-ROW(TableDiv[[#Headers],[Agency]])),COLUMNS($F$7:S$7))))</f>
        <v>0</v>
      </c>
      <c r="T355" s="2223" cm="1">
        <f t="array" ref="T355">IF($D355&lt;COLUMNS($F$7:T$7),"",INDEX(TableDiv[[GASB]:[GASB]],_xlfn.AGGREGATE(15,3,(TableDiv[[Agency]:[Agency]]=$E355)/(TableDiv[[Agency]:[Agency]]=$E355)*(ROW(TableDiv[Agency])-ROW(TableDiv[[#Headers],[Agency]])),COLUMNS($F$7:T$7))))</f>
        <v>0</v>
      </c>
      <c r="U355" s="2223" cm="1">
        <f t="array" ref="U355">IF($D355&lt;COLUMNS($F$7:U$7),"",INDEX(TableDiv[[GASB]:[GASB]],_xlfn.AGGREGATE(15,3,(TableDiv[[Agency]:[Agency]]=$E355)/(TableDiv[[Agency]:[Agency]]=$E355)*(ROW(TableDiv[Agency])-ROW(TableDiv[[#Headers],[Agency]])),COLUMNS($F$7:U$7))))</f>
        <v>0</v>
      </c>
      <c r="V355" s="2223" cm="1">
        <f t="array" ref="V355">IF($D355&lt;COLUMNS($F$7:V$7),"",INDEX(TableDiv[[GASB]:[GASB]],_xlfn.AGGREGATE(15,3,(TableDiv[[Agency]:[Agency]]=$E355)/(TableDiv[[Agency]:[Agency]]=$E355)*(ROW(TableDiv[Agency])-ROW(TableDiv[[#Headers],[Agency]])),COLUMNS($F$7:V$7))))</f>
        <v>0</v>
      </c>
      <c r="W355" s="2223" cm="1">
        <f t="array" ref="W355">IF($D355&lt;COLUMNS($F$7:W$7),"",INDEX(TableDiv[[GASB]:[GASB]],_xlfn.AGGREGATE(15,3,(TableDiv[[Agency]:[Agency]]=$E355)/(TableDiv[[Agency]:[Agency]]=$E355)*(ROW(TableDiv[Agency])-ROW(TableDiv[[#Headers],[Agency]])),COLUMNS($F$7:W$7))))</f>
        <v>0</v>
      </c>
      <c r="X355" s="2223" cm="1">
        <f t="array" ref="X355">IF($D355&lt;COLUMNS($F$7:X$7),"",INDEX(TableDiv[[GASB]:[GASB]],_xlfn.AGGREGATE(15,3,(TableDiv[[Agency]:[Agency]]=$E355)/(TableDiv[[Agency]:[Agency]]=$E355)*(ROW(TableDiv[Agency])-ROW(TableDiv[[#Headers],[Agency]])),COLUMNS($F$7:X$7))))</f>
        <v>0</v>
      </c>
      <c r="Y355" s="2223" cm="1">
        <f t="array" ref="Y355">IF($D355&lt;COLUMNS($F$7:Y$7),"",INDEX(TableDiv[[GASB]:[GASB]],_xlfn.AGGREGATE(15,3,(TableDiv[[Agency]:[Agency]]=$E355)/(TableDiv[[Agency]:[Agency]]=$E355)*(ROW(TableDiv[Agency])-ROW(TableDiv[[#Headers],[Agency]])),COLUMNS($F$7:Y$7))))</f>
        <v>0</v>
      </c>
      <c r="Z355" s="2223" cm="1">
        <f t="array" ref="Z355">IF($D355&lt;COLUMNS($F$7:Z$7),"",INDEX(TableDiv[[GASB]:[GASB]],_xlfn.AGGREGATE(15,3,(TableDiv[[Agency]:[Agency]]=$E355)/(TableDiv[[Agency]:[Agency]]=$E355)*(ROW(TableDiv[Agency])-ROW(TableDiv[[#Headers],[Agency]])),COLUMNS($F$7:Z$7))))</f>
        <v>0</v>
      </c>
      <c r="AA355" s="2223" cm="1">
        <f t="array" ref="AA355">IF($D355&lt;COLUMNS($F$7:AA$7),"",INDEX(TableDiv[[GASB]:[GASB]],_xlfn.AGGREGATE(15,3,(TableDiv[[Agency]:[Agency]]=$E355)/(TableDiv[[Agency]:[Agency]]=$E355)*(ROW(TableDiv[Agency])-ROW(TableDiv[[#Headers],[Agency]])),COLUMNS($F$7:AA$7))))</f>
        <v>0</v>
      </c>
      <c r="AB355" s="2223" cm="1">
        <f t="array" ref="AB355">IF($D355&lt;COLUMNS($F$7:AB$7),"",INDEX(TableDiv[[GASB]:[GASB]],_xlfn.AGGREGATE(15,3,(TableDiv[[Agency]:[Agency]]=$E355)/(TableDiv[[Agency]:[Agency]]=$E355)*(ROW(TableDiv[Agency])-ROW(TableDiv[[#Headers],[Agency]])),COLUMNS($F$7:AB$7))))</f>
        <v>0</v>
      </c>
      <c r="AC355" s="2223" cm="1">
        <f t="array" ref="AC355">IF($D355&lt;COLUMNS($F$7:AC$7),"",INDEX(TableDiv[[GASB]:[GASB]],_xlfn.AGGREGATE(15,3,(TableDiv[[Agency]:[Agency]]=$E355)/(TableDiv[[Agency]:[Agency]]=$E355)*(ROW(TableDiv[Agency])-ROW(TableDiv[[#Headers],[Agency]])),COLUMNS($F$7:AC$7))))</f>
        <v>0</v>
      </c>
      <c r="AD355" s="2223" cm="1">
        <f t="array" ref="AD355">IF($D355&lt;COLUMNS($F$7:AD$7),"",INDEX(TableDiv[[GASB]:[GASB]],_xlfn.AGGREGATE(15,3,(TableDiv[[Agency]:[Agency]]=$E355)/(TableDiv[[Agency]:[Agency]]=$E355)*(ROW(TableDiv[Agency])-ROW(TableDiv[[#Headers],[Agency]])),COLUMNS($F$7:AD$7))))</f>
        <v>0</v>
      </c>
      <c r="AE355" s="2223" cm="1">
        <f t="array" ref="AE355">IF($D355&lt;COLUMNS($F$7:AE$7),"",INDEX(TableDiv[[GASB]:[GASB]],_xlfn.AGGREGATE(15,3,(TableDiv[[Agency]:[Agency]]=$E355)/(TableDiv[[Agency]:[Agency]]=$E355)*(ROW(TableDiv[Agency])-ROW(TableDiv[[#Headers],[Agency]])),COLUMNS($F$7:AE$7))))</f>
        <v>0</v>
      </c>
      <c r="AF355" s="2223" cm="1">
        <f t="array" ref="AF355">IF($D355&lt;COLUMNS($F$7:AF$7),"",INDEX(TableDiv[[GASB]:[GASB]],_xlfn.AGGREGATE(15,3,(TableDiv[[Agency]:[Agency]]=$E355)/(TableDiv[[Agency]:[Agency]]=$E355)*(ROW(TableDiv[Agency])-ROW(TableDiv[[#Headers],[Agency]])),COLUMNS($F$7:AF$7))))</f>
        <v>0</v>
      </c>
      <c r="AG355" s="2223" cm="1">
        <f t="array" ref="AG355">IF($D355&lt;COLUMNS($F$7:AG$7),"",INDEX(TableDiv[[GASB]:[GASB]],_xlfn.AGGREGATE(15,3,(TableDiv[[Agency]:[Agency]]=$E355)/(TableDiv[[Agency]:[Agency]]=$E355)*(ROW(TableDiv[Agency])-ROW(TableDiv[[#Headers],[Agency]])),COLUMNS($F$7:AG$7))))</f>
        <v>0</v>
      </c>
      <c r="AH355" s="2223" cm="1">
        <f t="array" ref="AH355">IF($D355&lt;COLUMNS($F$7:AH$7),"",INDEX(TableDiv[[GASB]:[GASB]],_xlfn.AGGREGATE(15,3,(TableDiv[[Agency]:[Agency]]=$E355)/(TableDiv[[Agency]:[Agency]]=$E355)*(ROW(TableDiv[Agency])-ROW(TableDiv[[#Headers],[Agency]])),COLUMNS($F$7:AH$7))))</f>
        <v>0</v>
      </c>
      <c r="AI355" s="2223" cm="1">
        <f t="array" ref="AI355">IF($D355&lt;COLUMNS($F$7:AI$7),"",INDEX(TableDiv[[GASB]:[GASB]],_xlfn.AGGREGATE(15,3,(TableDiv[[Agency]:[Agency]]=$E355)/(TableDiv[[Agency]:[Agency]]=$E355)*(ROW(TableDiv[Agency])-ROW(TableDiv[[#Headers],[Agency]])),COLUMNS($F$7:AI$7))))</f>
        <v>0</v>
      </c>
      <c r="AJ355" s="2223" cm="1">
        <f t="array" ref="AJ355">IF($D355&lt;COLUMNS($F$7:AJ$7),"",INDEX(TableDiv[[GASB]:[GASB]],_xlfn.AGGREGATE(15,3,(TableDiv[[Agency]:[Agency]]=$E355)/(TableDiv[[Agency]:[Agency]]=$E355)*(ROW(TableDiv[Agency])-ROW(TableDiv[[#Headers],[Agency]])),COLUMNS($F$7:AJ$7))))</f>
        <v>0</v>
      </c>
      <c r="AK355" s="2223" t="str" cm="1">
        <f t="array" ref="AK355">IF($D355&lt;COLUMNS($F$7:AK$7),"",INDEX(TableDiv[[GASB]:[GASB]],_xlfn.AGGREGATE(15,3,(TableDiv[[Agency]:[Agency]]=$E355)/(TableDiv[[Agency]:[Agency]]=$E355)*(ROW(TableDiv[Agency])-ROW(TableDiv[[#Headers],[Agency]])),COLUMNS($F$7:AK$7))))</f>
        <v/>
      </c>
      <c r="AL355" s="2223" t="str" cm="1">
        <f t="array" ref="AL355">IF($D355&lt;COLUMNS($F$7:AL$7),"",INDEX(TableDiv[[GASB]:[GASB]],_xlfn.AGGREGATE(15,3,(TableDiv[[Agency]:[Agency]]=$E355)/(TableDiv[[Agency]:[Agency]]=$E355)*(ROW(TableDiv[Agency])-ROW(TableDiv[[#Headers],[Agency]])),COLUMNS($F$7:AL$7))))</f>
        <v/>
      </c>
      <c r="AM355" s="2223" t="str" cm="1">
        <f t="array" ref="AM355">IF($D355&lt;COLUMNS($F$7:AM$7),"",INDEX(TableDiv[[GASB]:[GASB]],_xlfn.AGGREGATE(15,3,(TableDiv[[Agency]:[Agency]]=$E355)/(TableDiv[[Agency]:[Agency]]=$E355)*(ROW(TableDiv[Agency])-ROW(TableDiv[[#Headers],[Agency]])),COLUMNS($F$7:AM$7))))</f>
        <v/>
      </c>
      <c r="AN355" s="2223"/>
      <c r="AO355" s="2223"/>
      <c r="AP355" s="2223"/>
      <c r="AQ355" s="2223"/>
      <c r="AR355" s="2223"/>
      <c r="AS355" s="2223"/>
    </row>
    <row r="356" spans="1:45" ht="15" x14ac:dyDescent="0.25">
      <c r="A356" s="2219" t="s">
        <v>6491</v>
      </c>
      <c r="B356" s="2219" t="s">
        <v>6379</v>
      </c>
      <c r="C356" s="2223"/>
      <c r="D356" s="2223">
        <f>COUNTIF(TableDiv[Agency],E356)</f>
        <v>31</v>
      </c>
      <c r="E356" s="2230" t="str" cm="1">
        <f t="array" ref="E356">IFERROR(INDEX(TableDiv[Agency],MATCH(0,INDEX(COUNTIF($E$7:E355,TableDiv[Agency]),),0)),"")</f>
        <v/>
      </c>
      <c r="F356" s="2223" cm="1">
        <f t="array" ref="F356">IF($D356&lt;COLUMNS($F$7:F$7),"",INDEX(TableDiv[[GASB]:[GASB]],_xlfn.AGGREGATE(15,3,(TableDiv[[Agency]:[Agency]]=$E356)/(TableDiv[[Agency]:[Agency]]=$E356)*(ROW(TableDiv[Agency])-ROW(TableDiv[[#Headers],[Agency]])),COLUMNS($F$7:F$7))))</f>
        <v>0</v>
      </c>
      <c r="G356" s="2223" cm="1">
        <f t="array" ref="G356">IF($D356&lt;COLUMNS($F$7:G$7),"",INDEX(TableDiv[[GASB]:[GASB]],_xlfn.AGGREGATE(15,3,(TableDiv[[Agency]:[Agency]]=$E356)/(TableDiv[[Agency]:[Agency]]=$E356)*(ROW(TableDiv[Agency])-ROW(TableDiv[[#Headers],[Agency]])),COLUMNS($F$7:G$7))))</f>
        <v>0</v>
      </c>
      <c r="H356" s="2223" cm="1">
        <f t="array" ref="H356">IF($D356&lt;COLUMNS($F$7:H$7),"",INDEX(TableDiv[[GASB]:[GASB]],_xlfn.AGGREGATE(15,3,(TableDiv[[Agency]:[Agency]]=$E356)/(TableDiv[[Agency]:[Agency]]=$E356)*(ROW(TableDiv[Agency])-ROW(TableDiv[[#Headers],[Agency]])),COLUMNS($F$7:H$7))))</f>
        <v>0</v>
      </c>
      <c r="I356" s="2223" cm="1">
        <f t="array" ref="I356">IF($D356&lt;COLUMNS($F$7:I$7),"",INDEX(TableDiv[[GASB]:[GASB]],_xlfn.AGGREGATE(15,3,(TableDiv[[Agency]:[Agency]]=$E356)/(TableDiv[[Agency]:[Agency]]=$E356)*(ROW(TableDiv[Agency])-ROW(TableDiv[[#Headers],[Agency]])),COLUMNS($F$7:I$7))))</f>
        <v>0</v>
      </c>
      <c r="J356" s="2223" cm="1">
        <f t="array" ref="J356">IF($D356&lt;COLUMNS($F$7:J$7),"",INDEX(TableDiv[[GASB]:[GASB]],_xlfn.AGGREGATE(15,3,(TableDiv[[Agency]:[Agency]]=$E356)/(TableDiv[[Agency]:[Agency]]=$E356)*(ROW(TableDiv[Agency])-ROW(TableDiv[[#Headers],[Agency]])),COLUMNS($F$7:J$7))))</f>
        <v>0</v>
      </c>
      <c r="K356" s="2223" cm="1">
        <f t="array" ref="K356">IF($D356&lt;COLUMNS($F$7:K$7),"",INDEX(TableDiv[[GASB]:[GASB]],_xlfn.AGGREGATE(15,3,(TableDiv[[Agency]:[Agency]]=$E356)/(TableDiv[[Agency]:[Agency]]=$E356)*(ROW(TableDiv[Agency])-ROW(TableDiv[[#Headers],[Agency]])),COLUMNS($F$7:K$7))))</f>
        <v>0</v>
      </c>
      <c r="L356" s="2223" cm="1">
        <f t="array" ref="L356">IF($D356&lt;COLUMNS($F$7:L$7),"",INDEX(TableDiv[[GASB]:[GASB]],_xlfn.AGGREGATE(15,3,(TableDiv[[Agency]:[Agency]]=$E356)/(TableDiv[[Agency]:[Agency]]=$E356)*(ROW(TableDiv[Agency])-ROW(TableDiv[[#Headers],[Agency]])),COLUMNS($F$7:L$7))))</f>
        <v>0</v>
      </c>
      <c r="M356" s="2223" cm="1">
        <f t="array" ref="M356">IF($D356&lt;COLUMNS($F$7:M$7),"",INDEX(TableDiv[[GASB]:[GASB]],_xlfn.AGGREGATE(15,3,(TableDiv[[Agency]:[Agency]]=$E356)/(TableDiv[[Agency]:[Agency]]=$E356)*(ROW(TableDiv[Agency])-ROW(TableDiv[[#Headers],[Agency]])),COLUMNS($F$7:M$7))))</f>
        <v>0</v>
      </c>
      <c r="N356" s="2223" cm="1">
        <f t="array" ref="N356">IF($D356&lt;COLUMNS($F$7:N$7),"",INDEX(TableDiv[[GASB]:[GASB]],_xlfn.AGGREGATE(15,3,(TableDiv[[Agency]:[Agency]]=$E356)/(TableDiv[[Agency]:[Agency]]=$E356)*(ROW(TableDiv[Agency])-ROW(TableDiv[[#Headers],[Agency]])),COLUMNS($F$7:N$7))))</f>
        <v>0</v>
      </c>
      <c r="O356" s="2223" cm="1">
        <f t="array" ref="O356">IF($D356&lt;COLUMNS($F$7:O$7),"",INDEX(TableDiv[[GASB]:[GASB]],_xlfn.AGGREGATE(15,3,(TableDiv[[Agency]:[Agency]]=$E356)/(TableDiv[[Agency]:[Agency]]=$E356)*(ROW(TableDiv[Agency])-ROW(TableDiv[[#Headers],[Agency]])),COLUMNS($F$7:O$7))))</f>
        <v>0</v>
      </c>
      <c r="P356" s="2223" cm="1">
        <f t="array" ref="P356">IF($D356&lt;COLUMNS($F$7:P$7),"",INDEX(TableDiv[[GASB]:[GASB]],_xlfn.AGGREGATE(15,3,(TableDiv[[Agency]:[Agency]]=$E356)/(TableDiv[[Agency]:[Agency]]=$E356)*(ROW(TableDiv[Agency])-ROW(TableDiv[[#Headers],[Agency]])),COLUMNS($F$7:P$7))))</f>
        <v>0</v>
      </c>
      <c r="Q356" s="2223" cm="1">
        <f t="array" ref="Q356">IF($D356&lt;COLUMNS($F$7:Q$7),"",INDEX(TableDiv[[GASB]:[GASB]],_xlfn.AGGREGATE(15,3,(TableDiv[[Agency]:[Agency]]=$E356)/(TableDiv[[Agency]:[Agency]]=$E356)*(ROW(TableDiv[Agency])-ROW(TableDiv[[#Headers],[Agency]])),COLUMNS($F$7:Q$7))))</f>
        <v>0</v>
      </c>
      <c r="R356" s="2223" cm="1">
        <f t="array" ref="R356">IF($D356&lt;COLUMNS($F$7:R$7),"",INDEX(TableDiv[[GASB]:[GASB]],_xlfn.AGGREGATE(15,3,(TableDiv[[Agency]:[Agency]]=$E356)/(TableDiv[[Agency]:[Agency]]=$E356)*(ROW(TableDiv[Agency])-ROW(TableDiv[[#Headers],[Agency]])),COLUMNS($F$7:R$7))))</f>
        <v>0</v>
      </c>
      <c r="S356" s="2223" cm="1">
        <f t="array" ref="S356">IF($D356&lt;COLUMNS($F$7:S$7),"",INDEX(TableDiv[[GASB]:[GASB]],_xlfn.AGGREGATE(15,3,(TableDiv[[Agency]:[Agency]]=$E356)/(TableDiv[[Agency]:[Agency]]=$E356)*(ROW(TableDiv[Agency])-ROW(TableDiv[[#Headers],[Agency]])),COLUMNS($F$7:S$7))))</f>
        <v>0</v>
      </c>
      <c r="T356" s="2223" cm="1">
        <f t="array" ref="T356">IF($D356&lt;COLUMNS($F$7:T$7),"",INDEX(TableDiv[[GASB]:[GASB]],_xlfn.AGGREGATE(15,3,(TableDiv[[Agency]:[Agency]]=$E356)/(TableDiv[[Agency]:[Agency]]=$E356)*(ROW(TableDiv[Agency])-ROW(TableDiv[[#Headers],[Agency]])),COLUMNS($F$7:T$7))))</f>
        <v>0</v>
      </c>
      <c r="U356" s="2223" cm="1">
        <f t="array" ref="U356">IF($D356&lt;COLUMNS($F$7:U$7),"",INDEX(TableDiv[[GASB]:[GASB]],_xlfn.AGGREGATE(15,3,(TableDiv[[Agency]:[Agency]]=$E356)/(TableDiv[[Agency]:[Agency]]=$E356)*(ROW(TableDiv[Agency])-ROW(TableDiv[[#Headers],[Agency]])),COLUMNS($F$7:U$7))))</f>
        <v>0</v>
      </c>
      <c r="V356" s="2223" cm="1">
        <f t="array" ref="V356">IF($D356&lt;COLUMNS($F$7:V$7),"",INDEX(TableDiv[[GASB]:[GASB]],_xlfn.AGGREGATE(15,3,(TableDiv[[Agency]:[Agency]]=$E356)/(TableDiv[[Agency]:[Agency]]=$E356)*(ROW(TableDiv[Agency])-ROW(TableDiv[[#Headers],[Agency]])),COLUMNS($F$7:V$7))))</f>
        <v>0</v>
      </c>
      <c r="W356" s="2223" cm="1">
        <f t="array" ref="W356">IF($D356&lt;COLUMNS($F$7:W$7),"",INDEX(TableDiv[[GASB]:[GASB]],_xlfn.AGGREGATE(15,3,(TableDiv[[Agency]:[Agency]]=$E356)/(TableDiv[[Agency]:[Agency]]=$E356)*(ROW(TableDiv[Agency])-ROW(TableDiv[[#Headers],[Agency]])),COLUMNS($F$7:W$7))))</f>
        <v>0</v>
      </c>
      <c r="X356" s="2223" cm="1">
        <f t="array" ref="X356">IF($D356&lt;COLUMNS($F$7:X$7),"",INDEX(TableDiv[[GASB]:[GASB]],_xlfn.AGGREGATE(15,3,(TableDiv[[Agency]:[Agency]]=$E356)/(TableDiv[[Agency]:[Agency]]=$E356)*(ROW(TableDiv[Agency])-ROW(TableDiv[[#Headers],[Agency]])),COLUMNS($F$7:X$7))))</f>
        <v>0</v>
      </c>
      <c r="Y356" s="2223" cm="1">
        <f t="array" ref="Y356">IF($D356&lt;COLUMNS($F$7:Y$7),"",INDEX(TableDiv[[GASB]:[GASB]],_xlfn.AGGREGATE(15,3,(TableDiv[[Agency]:[Agency]]=$E356)/(TableDiv[[Agency]:[Agency]]=$E356)*(ROW(TableDiv[Agency])-ROW(TableDiv[[#Headers],[Agency]])),COLUMNS($F$7:Y$7))))</f>
        <v>0</v>
      </c>
      <c r="Z356" s="2223" cm="1">
        <f t="array" ref="Z356">IF($D356&lt;COLUMNS($F$7:Z$7),"",INDEX(TableDiv[[GASB]:[GASB]],_xlfn.AGGREGATE(15,3,(TableDiv[[Agency]:[Agency]]=$E356)/(TableDiv[[Agency]:[Agency]]=$E356)*(ROW(TableDiv[Agency])-ROW(TableDiv[[#Headers],[Agency]])),COLUMNS($F$7:Z$7))))</f>
        <v>0</v>
      </c>
      <c r="AA356" s="2223" cm="1">
        <f t="array" ref="AA356">IF($D356&lt;COLUMNS($F$7:AA$7),"",INDEX(TableDiv[[GASB]:[GASB]],_xlfn.AGGREGATE(15,3,(TableDiv[[Agency]:[Agency]]=$E356)/(TableDiv[[Agency]:[Agency]]=$E356)*(ROW(TableDiv[Agency])-ROW(TableDiv[[#Headers],[Agency]])),COLUMNS($F$7:AA$7))))</f>
        <v>0</v>
      </c>
      <c r="AB356" s="2223" cm="1">
        <f t="array" ref="AB356">IF($D356&lt;COLUMNS($F$7:AB$7),"",INDEX(TableDiv[[GASB]:[GASB]],_xlfn.AGGREGATE(15,3,(TableDiv[[Agency]:[Agency]]=$E356)/(TableDiv[[Agency]:[Agency]]=$E356)*(ROW(TableDiv[Agency])-ROW(TableDiv[[#Headers],[Agency]])),COLUMNS($F$7:AB$7))))</f>
        <v>0</v>
      </c>
      <c r="AC356" s="2223" cm="1">
        <f t="array" ref="AC356">IF($D356&lt;COLUMNS($F$7:AC$7),"",INDEX(TableDiv[[GASB]:[GASB]],_xlfn.AGGREGATE(15,3,(TableDiv[[Agency]:[Agency]]=$E356)/(TableDiv[[Agency]:[Agency]]=$E356)*(ROW(TableDiv[Agency])-ROW(TableDiv[[#Headers],[Agency]])),COLUMNS($F$7:AC$7))))</f>
        <v>0</v>
      </c>
      <c r="AD356" s="2223" cm="1">
        <f t="array" ref="AD356">IF($D356&lt;COLUMNS($F$7:AD$7),"",INDEX(TableDiv[[GASB]:[GASB]],_xlfn.AGGREGATE(15,3,(TableDiv[[Agency]:[Agency]]=$E356)/(TableDiv[[Agency]:[Agency]]=$E356)*(ROW(TableDiv[Agency])-ROW(TableDiv[[#Headers],[Agency]])),COLUMNS($F$7:AD$7))))</f>
        <v>0</v>
      </c>
      <c r="AE356" s="2223" cm="1">
        <f t="array" ref="AE356">IF($D356&lt;COLUMNS($F$7:AE$7),"",INDEX(TableDiv[[GASB]:[GASB]],_xlfn.AGGREGATE(15,3,(TableDiv[[Agency]:[Agency]]=$E356)/(TableDiv[[Agency]:[Agency]]=$E356)*(ROW(TableDiv[Agency])-ROW(TableDiv[[#Headers],[Agency]])),COLUMNS($F$7:AE$7))))</f>
        <v>0</v>
      </c>
      <c r="AF356" s="2223" cm="1">
        <f t="array" ref="AF356">IF($D356&lt;COLUMNS($F$7:AF$7),"",INDEX(TableDiv[[GASB]:[GASB]],_xlfn.AGGREGATE(15,3,(TableDiv[[Agency]:[Agency]]=$E356)/(TableDiv[[Agency]:[Agency]]=$E356)*(ROW(TableDiv[Agency])-ROW(TableDiv[[#Headers],[Agency]])),COLUMNS($F$7:AF$7))))</f>
        <v>0</v>
      </c>
      <c r="AG356" s="2223" cm="1">
        <f t="array" ref="AG356">IF($D356&lt;COLUMNS($F$7:AG$7),"",INDEX(TableDiv[[GASB]:[GASB]],_xlfn.AGGREGATE(15,3,(TableDiv[[Agency]:[Agency]]=$E356)/(TableDiv[[Agency]:[Agency]]=$E356)*(ROW(TableDiv[Agency])-ROW(TableDiv[[#Headers],[Agency]])),COLUMNS($F$7:AG$7))))</f>
        <v>0</v>
      </c>
      <c r="AH356" s="2223" cm="1">
        <f t="array" ref="AH356">IF($D356&lt;COLUMNS($F$7:AH$7),"",INDEX(TableDiv[[GASB]:[GASB]],_xlfn.AGGREGATE(15,3,(TableDiv[[Agency]:[Agency]]=$E356)/(TableDiv[[Agency]:[Agency]]=$E356)*(ROW(TableDiv[Agency])-ROW(TableDiv[[#Headers],[Agency]])),COLUMNS($F$7:AH$7))))</f>
        <v>0</v>
      </c>
      <c r="AI356" s="2223" cm="1">
        <f t="array" ref="AI356">IF($D356&lt;COLUMNS($F$7:AI$7),"",INDEX(TableDiv[[GASB]:[GASB]],_xlfn.AGGREGATE(15,3,(TableDiv[[Agency]:[Agency]]=$E356)/(TableDiv[[Agency]:[Agency]]=$E356)*(ROW(TableDiv[Agency])-ROW(TableDiv[[#Headers],[Agency]])),COLUMNS($F$7:AI$7))))</f>
        <v>0</v>
      </c>
      <c r="AJ356" s="2223" cm="1">
        <f t="array" ref="AJ356">IF($D356&lt;COLUMNS($F$7:AJ$7),"",INDEX(TableDiv[[GASB]:[GASB]],_xlfn.AGGREGATE(15,3,(TableDiv[[Agency]:[Agency]]=$E356)/(TableDiv[[Agency]:[Agency]]=$E356)*(ROW(TableDiv[Agency])-ROW(TableDiv[[#Headers],[Agency]])),COLUMNS($F$7:AJ$7))))</f>
        <v>0</v>
      </c>
      <c r="AK356" s="2223" t="str" cm="1">
        <f t="array" ref="AK356">IF($D356&lt;COLUMNS($F$7:AK$7),"",INDEX(TableDiv[[GASB]:[GASB]],_xlfn.AGGREGATE(15,3,(TableDiv[[Agency]:[Agency]]=$E356)/(TableDiv[[Agency]:[Agency]]=$E356)*(ROW(TableDiv[Agency])-ROW(TableDiv[[#Headers],[Agency]])),COLUMNS($F$7:AK$7))))</f>
        <v/>
      </c>
      <c r="AL356" s="2223" t="str" cm="1">
        <f t="array" ref="AL356">IF($D356&lt;COLUMNS($F$7:AL$7),"",INDEX(TableDiv[[GASB]:[GASB]],_xlfn.AGGREGATE(15,3,(TableDiv[[Agency]:[Agency]]=$E356)/(TableDiv[[Agency]:[Agency]]=$E356)*(ROW(TableDiv[Agency])-ROW(TableDiv[[#Headers],[Agency]])),COLUMNS($F$7:AL$7))))</f>
        <v/>
      </c>
      <c r="AM356" s="2223" t="str" cm="1">
        <f t="array" ref="AM356">IF($D356&lt;COLUMNS($F$7:AM$7),"",INDEX(TableDiv[[GASB]:[GASB]],_xlfn.AGGREGATE(15,3,(TableDiv[[Agency]:[Agency]]=$E356)/(TableDiv[[Agency]:[Agency]]=$E356)*(ROW(TableDiv[Agency])-ROW(TableDiv[[#Headers],[Agency]])),COLUMNS($F$7:AM$7))))</f>
        <v/>
      </c>
      <c r="AN356" s="2223"/>
      <c r="AO356" s="2223"/>
      <c r="AP356" s="2223"/>
      <c r="AQ356" s="2223"/>
      <c r="AR356" s="2223"/>
      <c r="AS356" s="2223"/>
    </row>
    <row r="357" spans="1:45" ht="15" x14ac:dyDescent="0.25">
      <c r="A357" s="2219" t="s">
        <v>6493</v>
      </c>
      <c r="B357" s="2219" t="s">
        <v>1878</v>
      </c>
      <c r="C357" s="2223"/>
      <c r="D357" s="2223">
        <f>COUNTIF(TableDiv[Agency],E357)</f>
        <v>31</v>
      </c>
      <c r="E357" s="2230" t="str" cm="1">
        <f t="array" ref="E357">IFERROR(INDEX(TableDiv[Agency],MATCH(0,INDEX(COUNTIF($E$7:E356,TableDiv[Agency]),),0)),"")</f>
        <v/>
      </c>
      <c r="F357" s="2223" cm="1">
        <f t="array" ref="F357">IF($D357&lt;COLUMNS($F$7:F$7),"",INDEX(TableDiv[[GASB]:[GASB]],_xlfn.AGGREGATE(15,3,(TableDiv[[Agency]:[Agency]]=$E357)/(TableDiv[[Agency]:[Agency]]=$E357)*(ROW(TableDiv[Agency])-ROW(TableDiv[[#Headers],[Agency]])),COLUMNS($F$7:F$7))))</f>
        <v>0</v>
      </c>
      <c r="G357" s="2223" cm="1">
        <f t="array" ref="G357">IF($D357&lt;COLUMNS($F$7:G$7),"",INDEX(TableDiv[[GASB]:[GASB]],_xlfn.AGGREGATE(15,3,(TableDiv[[Agency]:[Agency]]=$E357)/(TableDiv[[Agency]:[Agency]]=$E357)*(ROW(TableDiv[Agency])-ROW(TableDiv[[#Headers],[Agency]])),COLUMNS($F$7:G$7))))</f>
        <v>0</v>
      </c>
      <c r="H357" s="2223" cm="1">
        <f t="array" ref="H357">IF($D357&lt;COLUMNS($F$7:H$7),"",INDEX(TableDiv[[GASB]:[GASB]],_xlfn.AGGREGATE(15,3,(TableDiv[[Agency]:[Agency]]=$E357)/(TableDiv[[Agency]:[Agency]]=$E357)*(ROW(TableDiv[Agency])-ROW(TableDiv[[#Headers],[Agency]])),COLUMNS($F$7:H$7))))</f>
        <v>0</v>
      </c>
      <c r="I357" s="2223" cm="1">
        <f t="array" ref="I357">IF($D357&lt;COLUMNS($F$7:I$7),"",INDEX(TableDiv[[GASB]:[GASB]],_xlfn.AGGREGATE(15,3,(TableDiv[[Agency]:[Agency]]=$E357)/(TableDiv[[Agency]:[Agency]]=$E357)*(ROW(TableDiv[Agency])-ROW(TableDiv[[#Headers],[Agency]])),COLUMNS($F$7:I$7))))</f>
        <v>0</v>
      </c>
      <c r="J357" s="2223" cm="1">
        <f t="array" ref="J357">IF($D357&lt;COLUMNS($F$7:J$7),"",INDEX(TableDiv[[GASB]:[GASB]],_xlfn.AGGREGATE(15,3,(TableDiv[[Agency]:[Agency]]=$E357)/(TableDiv[[Agency]:[Agency]]=$E357)*(ROW(TableDiv[Agency])-ROW(TableDiv[[#Headers],[Agency]])),COLUMNS($F$7:J$7))))</f>
        <v>0</v>
      </c>
      <c r="K357" s="2223" cm="1">
        <f t="array" ref="K357">IF($D357&lt;COLUMNS($F$7:K$7),"",INDEX(TableDiv[[GASB]:[GASB]],_xlfn.AGGREGATE(15,3,(TableDiv[[Agency]:[Agency]]=$E357)/(TableDiv[[Agency]:[Agency]]=$E357)*(ROW(TableDiv[Agency])-ROW(TableDiv[[#Headers],[Agency]])),COLUMNS($F$7:K$7))))</f>
        <v>0</v>
      </c>
      <c r="L357" s="2223" cm="1">
        <f t="array" ref="L357">IF($D357&lt;COLUMNS($F$7:L$7),"",INDEX(TableDiv[[GASB]:[GASB]],_xlfn.AGGREGATE(15,3,(TableDiv[[Agency]:[Agency]]=$E357)/(TableDiv[[Agency]:[Agency]]=$E357)*(ROW(TableDiv[Agency])-ROW(TableDiv[[#Headers],[Agency]])),COLUMNS($F$7:L$7))))</f>
        <v>0</v>
      </c>
      <c r="M357" s="2223" cm="1">
        <f t="array" ref="M357">IF($D357&lt;COLUMNS($F$7:M$7),"",INDEX(TableDiv[[GASB]:[GASB]],_xlfn.AGGREGATE(15,3,(TableDiv[[Agency]:[Agency]]=$E357)/(TableDiv[[Agency]:[Agency]]=$E357)*(ROW(TableDiv[Agency])-ROW(TableDiv[[#Headers],[Agency]])),COLUMNS($F$7:M$7))))</f>
        <v>0</v>
      </c>
      <c r="N357" s="2223" cm="1">
        <f t="array" ref="N357">IF($D357&lt;COLUMNS($F$7:N$7),"",INDEX(TableDiv[[GASB]:[GASB]],_xlfn.AGGREGATE(15,3,(TableDiv[[Agency]:[Agency]]=$E357)/(TableDiv[[Agency]:[Agency]]=$E357)*(ROW(TableDiv[Agency])-ROW(TableDiv[[#Headers],[Agency]])),COLUMNS($F$7:N$7))))</f>
        <v>0</v>
      </c>
      <c r="O357" s="2223" cm="1">
        <f t="array" ref="O357">IF($D357&lt;COLUMNS($F$7:O$7),"",INDEX(TableDiv[[GASB]:[GASB]],_xlfn.AGGREGATE(15,3,(TableDiv[[Agency]:[Agency]]=$E357)/(TableDiv[[Agency]:[Agency]]=$E357)*(ROW(TableDiv[Agency])-ROW(TableDiv[[#Headers],[Agency]])),COLUMNS($F$7:O$7))))</f>
        <v>0</v>
      </c>
      <c r="P357" s="2223" cm="1">
        <f t="array" ref="P357">IF($D357&lt;COLUMNS($F$7:P$7),"",INDEX(TableDiv[[GASB]:[GASB]],_xlfn.AGGREGATE(15,3,(TableDiv[[Agency]:[Agency]]=$E357)/(TableDiv[[Agency]:[Agency]]=$E357)*(ROW(TableDiv[Agency])-ROW(TableDiv[[#Headers],[Agency]])),COLUMNS($F$7:P$7))))</f>
        <v>0</v>
      </c>
      <c r="Q357" s="2223" cm="1">
        <f t="array" ref="Q357">IF($D357&lt;COLUMNS($F$7:Q$7),"",INDEX(TableDiv[[GASB]:[GASB]],_xlfn.AGGREGATE(15,3,(TableDiv[[Agency]:[Agency]]=$E357)/(TableDiv[[Agency]:[Agency]]=$E357)*(ROW(TableDiv[Agency])-ROW(TableDiv[[#Headers],[Agency]])),COLUMNS($F$7:Q$7))))</f>
        <v>0</v>
      </c>
      <c r="R357" s="2223" cm="1">
        <f t="array" ref="R357">IF($D357&lt;COLUMNS($F$7:R$7),"",INDEX(TableDiv[[GASB]:[GASB]],_xlfn.AGGREGATE(15,3,(TableDiv[[Agency]:[Agency]]=$E357)/(TableDiv[[Agency]:[Agency]]=$E357)*(ROW(TableDiv[Agency])-ROW(TableDiv[[#Headers],[Agency]])),COLUMNS($F$7:R$7))))</f>
        <v>0</v>
      </c>
      <c r="S357" s="2223" cm="1">
        <f t="array" ref="S357">IF($D357&lt;COLUMNS($F$7:S$7),"",INDEX(TableDiv[[GASB]:[GASB]],_xlfn.AGGREGATE(15,3,(TableDiv[[Agency]:[Agency]]=$E357)/(TableDiv[[Agency]:[Agency]]=$E357)*(ROW(TableDiv[Agency])-ROW(TableDiv[[#Headers],[Agency]])),COLUMNS($F$7:S$7))))</f>
        <v>0</v>
      </c>
      <c r="T357" s="2223" cm="1">
        <f t="array" ref="T357">IF($D357&lt;COLUMNS($F$7:T$7),"",INDEX(TableDiv[[GASB]:[GASB]],_xlfn.AGGREGATE(15,3,(TableDiv[[Agency]:[Agency]]=$E357)/(TableDiv[[Agency]:[Agency]]=$E357)*(ROW(TableDiv[Agency])-ROW(TableDiv[[#Headers],[Agency]])),COLUMNS($F$7:T$7))))</f>
        <v>0</v>
      </c>
      <c r="U357" s="2223" cm="1">
        <f t="array" ref="U357">IF($D357&lt;COLUMNS($F$7:U$7),"",INDEX(TableDiv[[GASB]:[GASB]],_xlfn.AGGREGATE(15,3,(TableDiv[[Agency]:[Agency]]=$E357)/(TableDiv[[Agency]:[Agency]]=$E357)*(ROW(TableDiv[Agency])-ROW(TableDiv[[#Headers],[Agency]])),COLUMNS($F$7:U$7))))</f>
        <v>0</v>
      </c>
      <c r="V357" s="2223" cm="1">
        <f t="array" ref="V357">IF($D357&lt;COLUMNS($F$7:V$7),"",INDEX(TableDiv[[GASB]:[GASB]],_xlfn.AGGREGATE(15,3,(TableDiv[[Agency]:[Agency]]=$E357)/(TableDiv[[Agency]:[Agency]]=$E357)*(ROW(TableDiv[Agency])-ROW(TableDiv[[#Headers],[Agency]])),COLUMNS($F$7:V$7))))</f>
        <v>0</v>
      </c>
      <c r="W357" s="2223" cm="1">
        <f t="array" ref="W357">IF($D357&lt;COLUMNS($F$7:W$7),"",INDEX(TableDiv[[GASB]:[GASB]],_xlfn.AGGREGATE(15,3,(TableDiv[[Agency]:[Agency]]=$E357)/(TableDiv[[Agency]:[Agency]]=$E357)*(ROW(TableDiv[Agency])-ROW(TableDiv[[#Headers],[Agency]])),COLUMNS($F$7:W$7))))</f>
        <v>0</v>
      </c>
      <c r="X357" s="2223" cm="1">
        <f t="array" ref="X357">IF($D357&lt;COLUMNS($F$7:X$7),"",INDEX(TableDiv[[GASB]:[GASB]],_xlfn.AGGREGATE(15,3,(TableDiv[[Agency]:[Agency]]=$E357)/(TableDiv[[Agency]:[Agency]]=$E357)*(ROW(TableDiv[Agency])-ROW(TableDiv[[#Headers],[Agency]])),COLUMNS($F$7:X$7))))</f>
        <v>0</v>
      </c>
      <c r="Y357" s="2223" cm="1">
        <f t="array" ref="Y357">IF($D357&lt;COLUMNS($F$7:Y$7),"",INDEX(TableDiv[[GASB]:[GASB]],_xlfn.AGGREGATE(15,3,(TableDiv[[Agency]:[Agency]]=$E357)/(TableDiv[[Agency]:[Agency]]=$E357)*(ROW(TableDiv[Agency])-ROW(TableDiv[[#Headers],[Agency]])),COLUMNS($F$7:Y$7))))</f>
        <v>0</v>
      </c>
      <c r="Z357" s="2223" cm="1">
        <f t="array" ref="Z357">IF($D357&lt;COLUMNS($F$7:Z$7),"",INDEX(TableDiv[[GASB]:[GASB]],_xlfn.AGGREGATE(15,3,(TableDiv[[Agency]:[Agency]]=$E357)/(TableDiv[[Agency]:[Agency]]=$E357)*(ROW(TableDiv[Agency])-ROW(TableDiv[[#Headers],[Agency]])),COLUMNS($F$7:Z$7))))</f>
        <v>0</v>
      </c>
      <c r="AA357" s="2223" cm="1">
        <f t="array" ref="AA357">IF($D357&lt;COLUMNS($F$7:AA$7),"",INDEX(TableDiv[[GASB]:[GASB]],_xlfn.AGGREGATE(15,3,(TableDiv[[Agency]:[Agency]]=$E357)/(TableDiv[[Agency]:[Agency]]=$E357)*(ROW(TableDiv[Agency])-ROW(TableDiv[[#Headers],[Agency]])),COLUMNS($F$7:AA$7))))</f>
        <v>0</v>
      </c>
      <c r="AB357" s="2223" cm="1">
        <f t="array" ref="AB357">IF($D357&lt;COLUMNS($F$7:AB$7),"",INDEX(TableDiv[[GASB]:[GASB]],_xlfn.AGGREGATE(15,3,(TableDiv[[Agency]:[Agency]]=$E357)/(TableDiv[[Agency]:[Agency]]=$E357)*(ROW(TableDiv[Agency])-ROW(TableDiv[[#Headers],[Agency]])),COLUMNS($F$7:AB$7))))</f>
        <v>0</v>
      </c>
      <c r="AC357" s="2223" cm="1">
        <f t="array" ref="AC357">IF($D357&lt;COLUMNS($F$7:AC$7),"",INDEX(TableDiv[[GASB]:[GASB]],_xlfn.AGGREGATE(15,3,(TableDiv[[Agency]:[Agency]]=$E357)/(TableDiv[[Agency]:[Agency]]=$E357)*(ROW(TableDiv[Agency])-ROW(TableDiv[[#Headers],[Agency]])),COLUMNS($F$7:AC$7))))</f>
        <v>0</v>
      </c>
      <c r="AD357" s="2223" cm="1">
        <f t="array" ref="AD357">IF($D357&lt;COLUMNS($F$7:AD$7),"",INDEX(TableDiv[[GASB]:[GASB]],_xlfn.AGGREGATE(15,3,(TableDiv[[Agency]:[Agency]]=$E357)/(TableDiv[[Agency]:[Agency]]=$E357)*(ROW(TableDiv[Agency])-ROW(TableDiv[[#Headers],[Agency]])),COLUMNS($F$7:AD$7))))</f>
        <v>0</v>
      </c>
      <c r="AE357" s="2223" cm="1">
        <f t="array" ref="AE357">IF($D357&lt;COLUMNS($F$7:AE$7),"",INDEX(TableDiv[[GASB]:[GASB]],_xlfn.AGGREGATE(15,3,(TableDiv[[Agency]:[Agency]]=$E357)/(TableDiv[[Agency]:[Agency]]=$E357)*(ROW(TableDiv[Agency])-ROW(TableDiv[[#Headers],[Agency]])),COLUMNS($F$7:AE$7))))</f>
        <v>0</v>
      </c>
      <c r="AF357" s="2223" cm="1">
        <f t="array" ref="AF357">IF($D357&lt;COLUMNS($F$7:AF$7),"",INDEX(TableDiv[[GASB]:[GASB]],_xlfn.AGGREGATE(15,3,(TableDiv[[Agency]:[Agency]]=$E357)/(TableDiv[[Agency]:[Agency]]=$E357)*(ROW(TableDiv[Agency])-ROW(TableDiv[[#Headers],[Agency]])),COLUMNS($F$7:AF$7))))</f>
        <v>0</v>
      </c>
      <c r="AG357" s="2223" cm="1">
        <f t="array" ref="AG357">IF($D357&lt;COLUMNS($F$7:AG$7),"",INDEX(TableDiv[[GASB]:[GASB]],_xlfn.AGGREGATE(15,3,(TableDiv[[Agency]:[Agency]]=$E357)/(TableDiv[[Agency]:[Agency]]=$E357)*(ROW(TableDiv[Agency])-ROW(TableDiv[[#Headers],[Agency]])),COLUMNS($F$7:AG$7))))</f>
        <v>0</v>
      </c>
      <c r="AH357" s="2223" cm="1">
        <f t="array" ref="AH357">IF($D357&lt;COLUMNS($F$7:AH$7),"",INDEX(TableDiv[[GASB]:[GASB]],_xlfn.AGGREGATE(15,3,(TableDiv[[Agency]:[Agency]]=$E357)/(TableDiv[[Agency]:[Agency]]=$E357)*(ROW(TableDiv[Agency])-ROW(TableDiv[[#Headers],[Agency]])),COLUMNS($F$7:AH$7))))</f>
        <v>0</v>
      </c>
      <c r="AI357" s="2223" cm="1">
        <f t="array" ref="AI357">IF($D357&lt;COLUMNS($F$7:AI$7),"",INDEX(TableDiv[[GASB]:[GASB]],_xlfn.AGGREGATE(15,3,(TableDiv[[Agency]:[Agency]]=$E357)/(TableDiv[[Agency]:[Agency]]=$E357)*(ROW(TableDiv[Agency])-ROW(TableDiv[[#Headers],[Agency]])),COLUMNS($F$7:AI$7))))</f>
        <v>0</v>
      </c>
      <c r="AJ357" s="2223" cm="1">
        <f t="array" ref="AJ357">IF($D357&lt;COLUMNS($F$7:AJ$7),"",INDEX(TableDiv[[GASB]:[GASB]],_xlfn.AGGREGATE(15,3,(TableDiv[[Agency]:[Agency]]=$E357)/(TableDiv[[Agency]:[Agency]]=$E357)*(ROW(TableDiv[Agency])-ROW(TableDiv[[#Headers],[Agency]])),COLUMNS($F$7:AJ$7))))</f>
        <v>0</v>
      </c>
      <c r="AK357" s="2223" t="str" cm="1">
        <f t="array" ref="AK357">IF($D357&lt;COLUMNS($F$7:AK$7),"",INDEX(TableDiv[[GASB]:[GASB]],_xlfn.AGGREGATE(15,3,(TableDiv[[Agency]:[Agency]]=$E357)/(TableDiv[[Agency]:[Agency]]=$E357)*(ROW(TableDiv[Agency])-ROW(TableDiv[[#Headers],[Agency]])),COLUMNS($F$7:AK$7))))</f>
        <v/>
      </c>
      <c r="AL357" s="2223" t="str" cm="1">
        <f t="array" ref="AL357">IF($D357&lt;COLUMNS($F$7:AL$7),"",INDEX(TableDiv[[GASB]:[GASB]],_xlfn.AGGREGATE(15,3,(TableDiv[[Agency]:[Agency]]=$E357)/(TableDiv[[Agency]:[Agency]]=$E357)*(ROW(TableDiv[Agency])-ROW(TableDiv[[#Headers],[Agency]])),COLUMNS($F$7:AL$7))))</f>
        <v/>
      </c>
      <c r="AM357" s="2223" t="str" cm="1">
        <f t="array" ref="AM357">IF($D357&lt;COLUMNS($F$7:AM$7),"",INDEX(TableDiv[[GASB]:[GASB]],_xlfn.AGGREGATE(15,3,(TableDiv[[Agency]:[Agency]]=$E357)/(TableDiv[[Agency]:[Agency]]=$E357)*(ROW(TableDiv[Agency])-ROW(TableDiv[[#Headers],[Agency]])),COLUMNS($F$7:AM$7))))</f>
        <v/>
      </c>
      <c r="AN357" s="2223"/>
      <c r="AO357" s="2223"/>
      <c r="AP357" s="2223"/>
      <c r="AQ357" s="2223"/>
      <c r="AR357" s="2223"/>
      <c r="AS357" s="2223"/>
    </row>
    <row r="358" spans="1:45" ht="15" x14ac:dyDescent="0.25">
      <c r="A358" s="2219" t="s">
        <v>6493</v>
      </c>
      <c r="B358" s="2219" t="s">
        <v>6372</v>
      </c>
      <c r="C358" s="2223"/>
      <c r="D358" s="2223">
        <f>COUNTIF(TableDiv[Agency],E358)</f>
        <v>31</v>
      </c>
      <c r="E358" s="2230" t="str" cm="1">
        <f t="array" ref="E358">IFERROR(INDEX(TableDiv[Agency],MATCH(0,INDEX(COUNTIF($E$7:E357,TableDiv[Agency]),),0)),"")</f>
        <v/>
      </c>
      <c r="F358" s="2223" cm="1">
        <f t="array" ref="F358">IF($D358&lt;COLUMNS($F$7:F$7),"",INDEX(TableDiv[[GASB]:[GASB]],_xlfn.AGGREGATE(15,3,(TableDiv[[Agency]:[Agency]]=$E358)/(TableDiv[[Agency]:[Agency]]=$E358)*(ROW(TableDiv[Agency])-ROW(TableDiv[[#Headers],[Agency]])),COLUMNS($F$7:F$7))))</f>
        <v>0</v>
      </c>
      <c r="G358" s="2223" cm="1">
        <f t="array" ref="G358">IF($D358&lt;COLUMNS($F$7:G$7),"",INDEX(TableDiv[[GASB]:[GASB]],_xlfn.AGGREGATE(15,3,(TableDiv[[Agency]:[Agency]]=$E358)/(TableDiv[[Agency]:[Agency]]=$E358)*(ROW(TableDiv[Agency])-ROW(TableDiv[[#Headers],[Agency]])),COLUMNS($F$7:G$7))))</f>
        <v>0</v>
      </c>
      <c r="H358" s="2223" cm="1">
        <f t="array" ref="H358">IF($D358&lt;COLUMNS($F$7:H$7),"",INDEX(TableDiv[[GASB]:[GASB]],_xlfn.AGGREGATE(15,3,(TableDiv[[Agency]:[Agency]]=$E358)/(TableDiv[[Agency]:[Agency]]=$E358)*(ROW(TableDiv[Agency])-ROW(TableDiv[[#Headers],[Agency]])),COLUMNS($F$7:H$7))))</f>
        <v>0</v>
      </c>
      <c r="I358" s="2223" cm="1">
        <f t="array" ref="I358">IF($D358&lt;COLUMNS($F$7:I$7),"",INDEX(TableDiv[[GASB]:[GASB]],_xlfn.AGGREGATE(15,3,(TableDiv[[Agency]:[Agency]]=$E358)/(TableDiv[[Agency]:[Agency]]=$E358)*(ROW(TableDiv[Agency])-ROW(TableDiv[[#Headers],[Agency]])),COLUMNS($F$7:I$7))))</f>
        <v>0</v>
      </c>
      <c r="J358" s="2223" cm="1">
        <f t="array" ref="J358">IF($D358&lt;COLUMNS($F$7:J$7),"",INDEX(TableDiv[[GASB]:[GASB]],_xlfn.AGGREGATE(15,3,(TableDiv[[Agency]:[Agency]]=$E358)/(TableDiv[[Agency]:[Agency]]=$E358)*(ROW(TableDiv[Agency])-ROW(TableDiv[[#Headers],[Agency]])),COLUMNS($F$7:J$7))))</f>
        <v>0</v>
      </c>
      <c r="K358" s="2223" cm="1">
        <f t="array" ref="K358">IF($D358&lt;COLUMNS($F$7:K$7),"",INDEX(TableDiv[[GASB]:[GASB]],_xlfn.AGGREGATE(15,3,(TableDiv[[Agency]:[Agency]]=$E358)/(TableDiv[[Agency]:[Agency]]=$E358)*(ROW(TableDiv[Agency])-ROW(TableDiv[[#Headers],[Agency]])),COLUMNS($F$7:K$7))))</f>
        <v>0</v>
      </c>
      <c r="L358" s="2223" cm="1">
        <f t="array" ref="L358">IF($D358&lt;COLUMNS($F$7:L$7),"",INDEX(TableDiv[[GASB]:[GASB]],_xlfn.AGGREGATE(15,3,(TableDiv[[Agency]:[Agency]]=$E358)/(TableDiv[[Agency]:[Agency]]=$E358)*(ROW(TableDiv[Agency])-ROW(TableDiv[[#Headers],[Agency]])),COLUMNS($F$7:L$7))))</f>
        <v>0</v>
      </c>
      <c r="M358" s="2223" cm="1">
        <f t="array" ref="M358">IF($D358&lt;COLUMNS($F$7:M$7),"",INDEX(TableDiv[[GASB]:[GASB]],_xlfn.AGGREGATE(15,3,(TableDiv[[Agency]:[Agency]]=$E358)/(TableDiv[[Agency]:[Agency]]=$E358)*(ROW(TableDiv[Agency])-ROW(TableDiv[[#Headers],[Agency]])),COLUMNS($F$7:M$7))))</f>
        <v>0</v>
      </c>
      <c r="N358" s="2223" cm="1">
        <f t="array" ref="N358">IF($D358&lt;COLUMNS($F$7:N$7),"",INDEX(TableDiv[[GASB]:[GASB]],_xlfn.AGGREGATE(15,3,(TableDiv[[Agency]:[Agency]]=$E358)/(TableDiv[[Agency]:[Agency]]=$E358)*(ROW(TableDiv[Agency])-ROW(TableDiv[[#Headers],[Agency]])),COLUMNS($F$7:N$7))))</f>
        <v>0</v>
      </c>
      <c r="O358" s="2223" cm="1">
        <f t="array" ref="O358">IF($D358&lt;COLUMNS($F$7:O$7),"",INDEX(TableDiv[[GASB]:[GASB]],_xlfn.AGGREGATE(15,3,(TableDiv[[Agency]:[Agency]]=$E358)/(TableDiv[[Agency]:[Agency]]=$E358)*(ROW(TableDiv[Agency])-ROW(TableDiv[[#Headers],[Agency]])),COLUMNS($F$7:O$7))))</f>
        <v>0</v>
      </c>
      <c r="P358" s="2223" cm="1">
        <f t="array" ref="P358">IF($D358&lt;COLUMNS($F$7:P$7),"",INDEX(TableDiv[[GASB]:[GASB]],_xlfn.AGGREGATE(15,3,(TableDiv[[Agency]:[Agency]]=$E358)/(TableDiv[[Agency]:[Agency]]=$E358)*(ROW(TableDiv[Agency])-ROW(TableDiv[[#Headers],[Agency]])),COLUMNS($F$7:P$7))))</f>
        <v>0</v>
      </c>
      <c r="Q358" s="2223" cm="1">
        <f t="array" ref="Q358">IF($D358&lt;COLUMNS($F$7:Q$7),"",INDEX(TableDiv[[GASB]:[GASB]],_xlfn.AGGREGATE(15,3,(TableDiv[[Agency]:[Agency]]=$E358)/(TableDiv[[Agency]:[Agency]]=$E358)*(ROW(TableDiv[Agency])-ROW(TableDiv[[#Headers],[Agency]])),COLUMNS($F$7:Q$7))))</f>
        <v>0</v>
      </c>
      <c r="R358" s="2223" cm="1">
        <f t="array" ref="R358">IF($D358&lt;COLUMNS($F$7:R$7),"",INDEX(TableDiv[[GASB]:[GASB]],_xlfn.AGGREGATE(15,3,(TableDiv[[Agency]:[Agency]]=$E358)/(TableDiv[[Agency]:[Agency]]=$E358)*(ROW(TableDiv[Agency])-ROW(TableDiv[[#Headers],[Agency]])),COLUMNS($F$7:R$7))))</f>
        <v>0</v>
      </c>
      <c r="S358" s="2223" cm="1">
        <f t="array" ref="S358">IF($D358&lt;COLUMNS($F$7:S$7),"",INDEX(TableDiv[[GASB]:[GASB]],_xlfn.AGGREGATE(15,3,(TableDiv[[Agency]:[Agency]]=$E358)/(TableDiv[[Agency]:[Agency]]=$E358)*(ROW(TableDiv[Agency])-ROW(TableDiv[[#Headers],[Agency]])),COLUMNS($F$7:S$7))))</f>
        <v>0</v>
      </c>
      <c r="T358" s="2223" cm="1">
        <f t="array" ref="T358">IF($D358&lt;COLUMNS($F$7:T$7),"",INDEX(TableDiv[[GASB]:[GASB]],_xlfn.AGGREGATE(15,3,(TableDiv[[Agency]:[Agency]]=$E358)/(TableDiv[[Agency]:[Agency]]=$E358)*(ROW(TableDiv[Agency])-ROW(TableDiv[[#Headers],[Agency]])),COLUMNS($F$7:T$7))))</f>
        <v>0</v>
      </c>
      <c r="U358" s="2223" cm="1">
        <f t="array" ref="U358">IF($D358&lt;COLUMNS($F$7:U$7),"",INDEX(TableDiv[[GASB]:[GASB]],_xlfn.AGGREGATE(15,3,(TableDiv[[Agency]:[Agency]]=$E358)/(TableDiv[[Agency]:[Agency]]=$E358)*(ROW(TableDiv[Agency])-ROW(TableDiv[[#Headers],[Agency]])),COLUMNS($F$7:U$7))))</f>
        <v>0</v>
      </c>
      <c r="V358" s="2223" cm="1">
        <f t="array" ref="V358">IF($D358&lt;COLUMNS($F$7:V$7),"",INDEX(TableDiv[[GASB]:[GASB]],_xlfn.AGGREGATE(15,3,(TableDiv[[Agency]:[Agency]]=$E358)/(TableDiv[[Agency]:[Agency]]=$E358)*(ROW(TableDiv[Agency])-ROW(TableDiv[[#Headers],[Agency]])),COLUMNS($F$7:V$7))))</f>
        <v>0</v>
      </c>
      <c r="W358" s="2223" cm="1">
        <f t="array" ref="W358">IF($D358&lt;COLUMNS($F$7:W$7),"",INDEX(TableDiv[[GASB]:[GASB]],_xlfn.AGGREGATE(15,3,(TableDiv[[Agency]:[Agency]]=$E358)/(TableDiv[[Agency]:[Agency]]=$E358)*(ROW(TableDiv[Agency])-ROW(TableDiv[[#Headers],[Agency]])),COLUMNS($F$7:W$7))))</f>
        <v>0</v>
      </c>
      <c r="X358" s="2223" cm="1">
        <f t="array" ref="X358">IF($D358&lt;COLUMNS($F$7:X$7),"",INDEX(TableDiv[[GASB]:[GASB]],_xlfn.AGGREGATE(15,3,(TableDiv[[Agency]:[Agency]]=$E358)/(TableDiv[[Agency]:[Agency]]=$E358)*(ROW(TableDiv[Agency])-ROW(TableDiv[[#Headers],[Agency]])),COLUMNS($F$7:X$7))))</f>
        <v>0</v>
      </c>
      <c r="Y358" s="2223" cm="1">
        <f t="array" ref="Y358">IF($D358&lt;COLUMNS($F$7:Y$7),"",INDEX(TableDiv[[GASB]:[GASB]],_xlfn.AGGREGATE(15,3,(TableDiv[[Agency]:[Agency]]=$E358)/(TableDiv[[Agency]:[Agency]]=$E358)*(ROW(TableDiv[Agency])-ROW(TableDiv[[#Headers],[Agency]])),COLUMNS($F$7:Y$7))))</f>
        <v>0</v>
      </c>
      <c r="Z358" s="2223" cm="1">
        <f t="array" ref="Z358">IF($D358&lt;COLUMNS($F$7:Z$7),"",INDEX(TableDiv[[GASB]:[GASB]],_xlfn.AGGREGATE(15,3,(TableDiv[[Agency]:[Agency]]=$E358)/(TableDiv[[Agency]:[Agency]]=$E358)*(ROW(TableDiv[Agency])-ROW(TableDiv[[#Headers],[Agency]])),COLUMNS($F$7:Z$7))))</f>
        <v>0</v>
      </c>
      <c r="AA358" s="2223" cm="1">
        <f t="array" ref="AA358">IF($D358&lt;COLUMNS($F$7:AA$7),"",INDEX(TableDiv[[GASB]:[GASB]],_xlfn.AGGREGATE(15,3,(TableDiv[[Agency]:[Agency]]=$E358)/(TableDiv[[Agency]:[Agency]]=$E358)*(ROW(TableDiv[Agency])-ROW(TableDiv[[#Headers],[Agency]])),COLUMNS($F$7:AA$7))))</f>
        <v>0</v>
      </c>
      <c r="AB358" s="2223" cm="1">
        <f t="array" ref="AB358">IF($D358&lt;COLUMNS($F$7:AB$7),"",INDEX(TableDiv[[GASB]:[GASB]],_xlfn.AGGREGATE(15,3,(TableDiv[[Agency]:[Agency]]=$E358)/(TableDiv[[Agency]:[Agency]]=$E358)*(ROW(TableDiv[Agency])-ROW(TableDiv[[#Headers],[Agency]])),COLUMNS($F$7:AB$7))))</f>
        <v>0</v>
      </c>
      <c r="AC358" s="2223" cm="1">
        <f t="array" ref="AC358">IF($D358&lt;COLUMNS($F$7:AC$7),"",INDEX(TableDiv[[GASB]:[GASB]],_xlfn.AGGREGATE(15,3,(TableDiv[[Agency]:[Agency]]=$E358)/(TableDiv[[Agency]:[Agency]]=$E358)*(ROW(TableDiv[Agency])-ROW(TableDiv[[#Headers],[Agency]])),COLUMNS($F$7:AC$7))))</f>
        <v>0</v>
      </c>
      <c r="AD358" s="2223" cm="1">
        <f t="array" ref="AD358">IF($D358&lt;COLUMNS($F$7:AD$7),"",INDEX(TableDiv[[GASB]:[GASB]],_xlfn.AGGREGATE(15,3,(TableDiv[[Agency]:[Agency]]=$E358)/(TableDiv[[Agency]:[Agency]]=$E358)*(ROW(TableDiv[Agency])-ROW(TableDiv[[#Headers],[Agency]])),COLUMNS($F$7:AD$7))))</f>
        <v>0</v>
      </c>
      <c r="AE358" s="2223" cm="1">
        <f t="array" ref="AE358">IF($D358&lt;COLUMNS($F$7:AE$7),"",INDEX(TableDiv[[GASB]:[GASB]],_xlfn.AGGREGATE(15,3,(TableDiv[[Agency]:[Agency]]=$E358)/(TableDiv[[Agency]:[Agency]]=$E358)*(ROW(TableDiv[Agency])-ROW(TableDiv[[#Headers],[Agency]])),COLUMNS($F$7:AE$7))))</f>
        <v>0</v>
      </c>
      <c r="AF358" s="2223" cm="1">
        <f t="array" ref="AF358">IF($D358&lt;COLUMNS($F$7:AF$7),"",INDEX(TableDiv[[GASB]:[GASB]],_xlfn.AGGREGATE(15,3,(TableDiv[[Agency]:[Agency]]=$E358)/(TableDiv[[Agency]:[Agency]]=$E358)*(ROW(TableDiv[Agency])-ROW(TableDiv[[#Headers],[Agency]])),COLUMNS($F$7:AF$7))))</f>
        <v>0</v>
      </c>
      <c r="AG358" s="2223" cm="1">
        <f t="array" ref="AG358">IF($D358&lt;COLUMNS($F$7:AG$7),"",INDEX(TableDiv[[GASB]:[GASB]],_xlfn.AGGREGATE(15,3,(TableDiv[[Agency]:[Agency]]=$E358)/(TableDiv[[Agency]:[Agency]]=$E358)*(ROW(TableDiv[Agency])-ROW(TableDiv[[#Headers],[Agency]])),COLUMNS($F$7:AG$7))))</f>
        <v>0</v>
      </c>
      <c r="AH358" s="2223" cm="1">
        <f t="array" ref="AH358">IF($D358&lt;COLUMNS($F$7:AH$7),"",INDEX(TableDiv[[GASB]:[GASB]],_xlfn.AGGREGATE(15,3,(TableDiv[[Agency]:[Agency]]=$E358)/(TableDiv[[Agency]:[Agency]]=$E358)*(ROW(TableDiv[Agency])-ROW(TableDiv[[#Headers],[Agency]])),COLUMNS($F$7:AH$7))))</f>
        <v>0</v>
      </c>
      <c r="AI358" s="2223" cm="1">
        <f t="array" ref="AI358">IF($D358&lt;COLUMNS($F$7:AI$7),"",INDEX(TableDiv[[GASB]:[GASB]],_xlfn.AGGREGATE(15,3,(TableDiv[[Agency]:[Agency]]=$E358)/(TableDiv[[Agency]:[Agency]]=$E358)*(ROW(TableDiv[Agency])-ROW(TableDiv[[#Headers],[Agency]])),COLUMNS($F$7:AI$7))))</f>
        <v>0</v>
      </c>
      <c r="AJ358" s="2223" cm="1">
        <f t="array" ref="AJ358">IF($D358&lt;COLUMNS($F$7:AJ$7),"",INDEX(TableDiv[[GASB]:[GASB]],_xlfn.AGGREGATE(15,3,(TableDiv[[Agency]:[Agency]]=$E358)/(TableDiv[[Agency]:[Agency]]=$E358)*(ROW(TableDiv[Agency])-ROW(TableDiv[[#Headers],[Agency]])),COLUMNS($F$7:AJ$7))))</f>
        <v>0</v>
      </c>
      <c r="AK358" s="2223" t="str" cm="1">
        <f t="array" ref="AK358">IF($D358&lt;COLUMNS($F$7:AK$7),"",INDEX(TableDiv[[GASB]:[GASB]],_xlfn.AGGREGATE(15,3,(TableDiv[[Agency]:[Agency]]=$E358)/(TableDiv[[Agency]:[Agency]]=$E358)*(ROW(TableDiv[Agency])-ROW(TableDiv[[#Headers],[Agency]])),COLUMNS($F$7:AK$7))))</f>
        <v/>
      </c>
      <c r="AL358" s="2223" t="str" cm="1">
        <f t="array" ref="AL358">IF($D358&lt;COLUMNS($F$7:AL$7),"",INDEX(TableDiv[[GASB]:[GASB]],_xlfn.AGGREGATE(15,3,(TableDiv[[Agency]:[Agency]]=$E358)/(TableDiv[[Agency]:[Agency]]=$E358)*(ROW(TableDiv[Agency])-ROW(TableDiv[[#Headers],[Agency]])),COLUMNS($F$7:AL$7))))</f>
        <v/>
      </c>
      <c r="AM358" s="2223" t="str" cm="1">
        <f t="array" ref="AM358">IF($D358&lt;COLUMNS($F$7:AM$7),"",INDEX(TableDiv[[GASB]:[GASB]],_xlfn.AGGREGATE(15,3,(TableDiv[[Agency]:[Agency]]=$E358)/(TableDiv[[Agency]:[Agency]]=$E358)*(ROW(TableDiv[Agency])-ROW(TableDiv[[#Headers],[Agency]])),COLUMNS($F$7:AM$7))))</f>
        <v/>
      </c>
      <c r="AN358" s="2223"/>
      <c r="AO358" s="2223"/>
      <c r="AP358" s="2223"/>
      <c r="AQ358" s="2223"/>
      <c r="AR358" s="2223"/>
      <c r="AS358" s="2223"/>
    </row>
    <row r="359" spans="1:45" ht="15" x14ac:dyDescent="0.25">
      <c r="A359" s="2219" t="s">
        <v>6493</v>
      </c>
      <c r="B359" s="2219" t="s">
        <v>6361</v>
      </c>
      <c r="C359" s="2223"/>
      <c r="D359" s="2223">
        <f>COUNTIF(TableDiv[Agency],E359)</f>
        <v>31</v>
      </c>
      <c r="E359" s="2230" t="str" cm="1">
        <f t="array" ref="E359">IFERROR(INDEX(TableDiv[Agency],MATCH(0,INDEX(COUNTIF($E$7:E358,TableDiv[Agency]),),0)),"")</f>
        <v/>
      </c>
      <c r="F359" s="2223" cm="1">
        <f t="array" ref="F359">IF($D359&lt;COLUMNS($F$7:F$7),"",INDEX(TableDiv[[GASB]:[GASB]],_xlfn.AGGREGATE(15,3,(TableDiv[[Agency]:[Agency]]=$E359)/(TableDiv[[Agency]:[Agency]]=$E359)*(ROW(TableDiv[Agency])-ROW(TableDiv[[#Headers],[Agency]])),COLUMNS($F$7:F$7))))</f>
        <v>0</v>
      </c>
      <c r="G359" s="2223" cm="1">
        <f t="array" ref="G359">IF($D359&lt;COLUMNS($F$7:G$7),"",INDEX(TableDiv[[GASB]:[GASB]],_xlfn.AGGREGATE(15,3,(TableDiv[[Agency]:[Agency]]=$E359)/(TableDiv[[Agency]:[Agency]]=$E359)*(ROW(TableDiv[Agency])-ROW(TableDiv[[#Headers],[Agency]])),COLUMNS($F$7:G$7))))</f>
        <v>0</v>
      </c>
      <c r="H359" s="2223" cm="1">
        <f t="array" ref="H359">IF($D359&lt;COLUMNS($F$7:H$7),"",INDEX(TableDiv[[GASB]:[GASB]],_xlfn.AGGREGATE(15,3,(TableDiv[[Agency]:[Agency]]=$E359)/(TableDiv[[Agency]:[Agency]]=$E359)*(ROW(TableDiv[Agency])-ROW(TableDiv[[#Headers],[Agency]])),COLUMNS($F$7:H$7))))</f>
        <v>0</v>
      </c>
      <c r="I359" s="2223" cm="1">
        <f t="array" ref="I359">IF($D359&lt;COLUMNS($F$7:I$7),"",INDEX(TableDiv[[GASB]:[GASB]],_xlfn.AGGREGATE(15,3,(TableDiv[[Agency]:[Agency]]=$E359)/(TableDiv[[Agency]:[Agency]]=$E359)*(ROW(TableDiv[Agency])-ROW(TableDiv[[#Headers],[Agency]])),COLUMNS($F$7:I$7))))</f>
        <v>0</v>
      </c>
      <c r="J359" s="2223" cm="1">
        <f t="array" ref="J359">IF($D359&lt;COLUMNS($F$7:J$7),"",INDEX(TableDiv[[GASB]:[GASB]],_xlfn.AGGREGATE(15,3,(TableDiv[[Agency]:[Agency]]=$E359)/(TableDiv[[Agency]:[Agency]]=$E359)*(ROW(TableDiv[Agency])-ROW(TableDiv[[#Headers],[Agency]])),COLUMNS($F$7:J$7))))</f>
        <v>0</v>
      </c>
      <c r="K359" s="2223" cm="1">
        <f t="array" ref="K359">IF($D359&lt;COLUMNS($F$7:K$7),"",INDEX(TableDiv[[GASB]:[GASB]],_xlfn.AGGREGATE(15,3,(TableDiv[[Agency]:[Agency]]=$E359)/(TableDiv[[Agency]:[Agency]]=$E359)*(ROW(TableDiv[Agency])-ROW(TableDiv[[#Headers],[Agency]])),COLUMNS($F$7:K$7))))</f>
        <v>0</v>
      </c>
      <c r="L359" s="2223" cm="1">
        <f t="array" ref="L359">IF($D359&lt;COLUMNS($F$7:L$7),"",INDEX(TableDiv[[GASB]:[GASB]],_xlfn.AGGREGATE(15,3,(TableDiv[[Agency]:[Agency]]=$E359)/(TableDiv[[Agency]:[Agency]]=$E359)*(ROW(TableDiv[Agency])-ROW(TableDiv[[#Headers],[Agency]])),COLUMNS($F$7:L$7))))</f>
        <v>0</v>
      </c>
      <c r="M359" s="2223" cm="1">
        <f t="array" ref="M359">IF($D359&lt;COLUMNS($F$7:M$7),"",INDEX(TableDiv[[GASB]:[GASB]],_xlfn.AGGREGATE(15,3,(TableDiv[[Agency]:[Agency]]=$E359)/(TableDiv[[Agency]:[Agency]]=$E359)*(ROW(TableDiv[Agency])-ROW(TableDiv[[#Headers],[Agency]])),COLUMNS($F$7:M$7))))</f>
        <v>0</v>
      </c>
      <c r="N359" s="2223" cm="1">
        <f t="array" ref="N359">IF($D359&lt;COLUMNS($F$7:N$7),"",INDEX(TableDiv[[GASB]:[GASB]],_xlfn.AGGREGATE(15,3,(TableDiv[[Agency]:[Agency]]=$E359)/(TableDiv[[Agency]:[Agency]]=$E359)*(ROW(TableDiv[Agency])-ROW(TableDiv[[#Headers],[Agency]])),COLUMNS($F$7:N$7))))</f>
        <v>0</v>
      </c>
      <c r="O359" s="2223" cm="1">
        <f t="array" ref="O359">IF($D359&lt;COLUMNS($F$7:O$7),"",INDEX(TableDiv[[GASB]:[GASB]],_xlfn.AGGREGATE(15,3,(TableDiv[[Agency]:[Agency]]=$E359)/(TableDiv[[Agency]:[Agency]]=$E359)*(ROW(TableDiv[Agency])-ROW(TableDiv[[#Headers],[Agency]])),COLUMNS($F$7:O$7))))</f>
        <v>0</v>
      </c>
      <c r="P359" s="2223" cm="1">
        <f t="array" ref="P359">IF($D359&lt;COLUMNS($F$7:P$7),"",INDEX(TableDiv[[GASB]:[GASB]],_xlfn.AGGREGATE(15,3,(TableDiv[[Agency]:[Agency]]=$E359)/(TableDiv[[Agency]:[Agency]]=$E359)*(ROW(TableDiv[Agency])-ROW(TableDiv[[#Headers],[Agency]])),COLUMNS($F$7:P$7))))</f>
        <v>0</v>
      </c>
      <c r="Q359" s="2223" cm="1">
        <f t="array" ref="Q359">IF($D359&lt;COLUMNS($F$7:Q$7),"",INDEX(TableDiv[[GASB]:[GASB]],_xlfn.AGGREGATE(15,3,(TableDiv[[Agency]:[Agency]]=$E359)/(TableDiv[[Agency]:[Agency]]=$E359)*(ROW(TableDiv[Agency])-ROW(TableDiv[[#Headers],[Agency]])),COLUMNS($F$7:Q$7))))</f>
        <v>0</v>
      </c>
      <c r="R359" s="2223" cm="1">
        <f t="array" ref="R359">IF($D359&lt;COLUMNS($F$7:R$7),"",INDEX(TableDiv[[GASB]:[GASB]],_xlfn.AGGREGATE(15,3,(TableDiv[[Agency]:[Agency]]=$E359)/(TableDiv[[Agency]:[Agency]]=$E359)*(ROW(TableDiv[Agency])-ROW(TableDiv[[#Headers],[Agency]])),COLUMNS($F$7:R$7))))</f>
        <v>0</v>
      </c>
      <c r="S359" s="2223" cm="1">
        <f t="array" ref="S359">IF($D359&lt;COLUMNS($F$7:S$7),"",INDEX(TableDiv[[GASB]:[GASB]],_xlfn.AGGREGATE(15,3,(TableDiv[[Agency]:[Agency]]=$E359)/(TableDiv[[Agency]:[Agency]]=$E359)*(ROW(TableDiv[Agency])-ROW(TableDiv[[#Headers],[Agency]])),COLUMNS($F$7:S$7))))</f>
        <v>0</v>
      </c>
      <c r="T359" s="2223" cm="1">
        <f t="array" ref="T359">IF($D359&lt;COLUMNS($F$7:T$7),"",INDEX(TableDiv[[GASB]:[GASB]],_xlfn.AGGREGATE(15,3,(TableDiv[[Agency]:[Agency]]=$E359)/(TableDiv[[Agency]:[Agency]]=$E359)*(ROW(TableDiv[Agency])-ROW(TableDiv[[#Headers],[Agency]])),COLUMNS($F$7:T$7))))</f>
        <v>0</v>
      </c>
      <c r="U359" s="2223" cm="1">
        <f t="array" ref="U359">IF($D359&lt;COLUMNS($F$7:U$7),"",INDEX(TableDiv[[GASB]:[GASB]],_xlfn.AGGREGATE(15,3,(TableDiv[[Agency]:[Agency]]=$E359)/(TableDiv[[Agency]:[Agency]]=$E359)*(ROW(TableDiv[Agency])-ROW(TableDiv[[#Headers],[Agency]])),COLUMNS($F$7:U$7))))</f>
        <v>0</v>
      </c>
      <c r="V359" s="2223" cm="1">
        <f t="array" ref="V359">IF($D359&lt;COLUMNS($F$7:V$7),"",INDEX(TableDiv[[GASB]:[GASB]],_xlfn.AGGREGATE(15,3,(TableDiv[[Agency]:[Agency]]=$E359)/(TableDiv[[Agency]:[Agency]]=$E359)*(ROW(TableDiv[Agency])-ROW(TableDiv[[#Headers],[Agency]])),COLUMNS($F$7:V$7))))</f>
        <v>0</v>
      </c>
      <c r="W359" s="2223" cm="1">
        <f t="array" ref="W359">IF($D359&lt;COLUMNS($F$7:W$7),"",INDEX(TableDiv[[GASB]:[GASB]],_xlfn.AGGREGATE(15,3,(TableDiv[[Agency]:[Agency]]=$E359)/(TableDiv[[Agency]:[Agency]]=$E359)*(ROW(TableDiv[Agency])-ROW(TableDiv[[#Headers],[Agency]])),COLUMNS($F$7:W$7))))</f>
        <v>0</v>
      </c>
      <c r="X359" s="2223" cm="1">
        <f t="array" ref="X359">IF($D359&lt;COLUMNS($F$7:X$7),"",INDEX(TableDiv[[GASB]:[GASB]],_xlfn.AGGREGATE(15,3,(TableDiv[[Agency]:[Agency]]=$E359)/(TableDiv[[Agency]:[Agency]]=$E359)*(ROW(TableDiv[Agency])-ROW(TableDiv[[#Headers],[Agency]])),COLUMNS($F$7:X$7))))</f>
        <v>0</v>
      </c>
      <c r="Y359" s="2223" cm="1">
        <f t="array" ref="Y359">IF($D359&lt;COLUMNS($F$7:Y$7),"",INDEX(TableDiv[[GASB]:[GASB]],_xlfn.AGGREGATE(15,3,(TableDiv[[Agency]:[Agency]]=$E359)/(TableDiv[[Agency]:[Agency]]=$E359)*(ROW(TableDiv[Agency])-ROW(TableDiv[[#Headers],[Agency]])),COLUMNS($F$7:Y$7))))</f>
        <v>0</v>
      </c>
      <c r="Z359" s="2223" cm="1">
        <f t="array" ref="Z359">IF($D359&lt;COLUMNS($F$7:Z$7),"",INDEX(TableDiv[[GASB]:[GASB]],_xlfn.AGGREGATE(15,3,(TableDiv[[Agency]:[Agency]]=$E359)/(TableDiv[[Agency]:[Agency]]=$E359)*(ROW(TableDiv[Agency])-ROW(TableDiv[[#Headers],[Agency]])),COLUMNS($F$7:Z$7))))</f>
        <v>0</v>
      </c>
      <c r="AA359" s="2223" cm="1">
        <f t="array" ref="AA359">IF($D359&lt;COLUMNS($F$7:AA$7),"",INDEX(TableDiv[[GASB]:[GASB]],_xlfn.AGGREGATE(15,3,(TableDiv[[Agency]:[Agency]]=$E359)/(TableDiv[[Agency]:[Agency]]=$E359)*(ROW(TableDiv[Agency])-ROW(TableDiv[[#Headers],[Agency]])),COLUMNS($F$7:AA$7))))</f>
        <v>0</v>
      </c>
      <c r="AB359" s="2223" cm="1">
        <f t="array" ref="AB359">IF($D359&lt;COLUMNS($F$7:AB$7),"",INDEX(TableDiv[[GASB]:[GASB]],_xlfn.AGGREGATE(15,3,(TableDiv[[Agency]:[Agency]]=$E359)/(TableDiv[[Agency]:[Agency]]=$E359)*(ROW(TableDiv[Agency])-ROW(TableDiv[[#Headers],[Agency]])),COLUMNS($F$7:AB$7))))</f>
        <v>0</v>
      </c>
      <c r="AC359" s="2223" cm="1">
        <f t="array" ref="AC359">IF($D359&lt;COLUMNS($F$7:AC$7),"",INDEX(TableDiv[[GASB]:[GASB]],_xlfn.AGGREGATE(15,3,(TableDiv[[Agency]:[Agency]]=$E359)/(TableDiv[[Agency]:[Agency]]=$E359)*(ROW(TableDiv[Agency])-ROW(TableDiv[[#Headers],[Agency]])),COLUMNS($F$7:AC$7))))</f>
        <v>0</v>
      </c>
      <c r="AD359" s="2223" cm="1">
        <f t="array" ref="AD359">IF($D359&lt;COLUMNS($F$7:AD$7),"",INDEX(TableDiv[[GASB]:[GASB]],_xlfn.AGGREGATE(15,3,(TableDiv[[Agency]:[Agency]]=$E359)/(TableDiv[[Agency]:[Agency]]=$E359)*(ROW(TableDiv[Agency])-ROW(TableDiv[[#Headers],[Agency]])),COLUMNS($F$7:AD$7))))</f>
        <v>0</v>
      </c>
      <c r="AE359" s="2223" cm="1">
        <f t="array" ref="AE359">IF($D359&lt;COLUMNS($F$7:AE$7),"",INDEX(TableDiv[[GASB]:[GASB]],_xlfn.AGGREGATE(15,3,(TableDiv[[Agency]:[Agency]]=$E359)/(TableDiv[[Agency]:[Agency]]=$E359)*(ROW(TableDiv[Agency])-ROW(TableDiv[[#Headers],[Agency]])),COLUMNS($F$7:AE$7))))</f>
        <v>0</v>
      </c>
      <c r="AF359" s="2223" cm="1">
        <f t="array" ref="AF359">IF($D359&lt;COLUMNS($F$7:AF$7),"",INDEX(TableDiv[[GASB]:[GASB]],_xlfn.AGGREGATE(15,3,(TableDiv[[Agency]:[Agency]]=$E359)/(TableDiv[[Agency]:[Agency]]=$E359)*(ROW(TableDiv[Agency])-ROW(TableDiv[[#Headers],[Agency]])),COLUMNS($F$7:AF$7))))</f>
        <v>0</v>
      </c>
      <c r="AG359" s="2223" cm="1">
        <f t="array" ref="AG359">IF($D359&lt;COLUMNS($F$7:AG$7),"",INDEX(TableDiv[[GASB]:[GASB]],_xlfn.AGGREGATE(15,3,(TableDiv[[Agency]:[Agency]]=$E359)/(TableDiv[[Agency]:[Agency]]=$E359)*(ROW(TableDiv[Agency])-ROW(TableDiv[[#Headers],[Agency]])),COLUMNS($F$7:AG$7))))</f>
        <v>0</v>
      </c>
      <c r="AH359" s="2223" cm="1">
        <f t="array" ref="AH359">IF($D359&lt;COLUMNS($F$7:AH$7),"",INDEX(TableDiv[[GASB]:[GASB]],_xlfn.AGGREGATE(15,3,(TableDiv[[Agency]:[Agency]]=$E359)/(TableDiv[[Agency]:[Agency]]=$E359)*(ROW(TableDiv[Agency])-ROW(TableDiv[[#Headers],[Agency]])),COLUMNS($F$7:AH$7))))</f>
        <v>0</v>
      </c>
      <c r="AI359" s="2223" cm="1">
        <f t="array" ref="AI359">IF($D359&lt;COLUMNS($F$7:AI$7),"",INDEX(TableDiv[[GASB]:[GASB]],_xlfn.AGGREGATE(15,3,(TableDiv[[Agency]:[Agency]]=$E359)/(TableDiv[[Agency]:[Agency]]=$E359)*(ROW(TableDiv[Agency])-ROW(TableDiv[[#Headers],[Agency]])),COLUMNS($F$7:AI$7))))</f>
        <v>0</v>
      </c>
      <c r="AJ359" s="2223" cm="1">
        <f t="array" ref="AJ359">IF($D359&lt;COLUMNS($F$7:AJ$7),"",INDEX(TableDiv[[GASB]:[GASB]],_xlfn.AGGREGATE(15,3,(TableDiv[[Agency]:[Agency]]=$E359)/(TableDiv[[Agency]:[Agency]]=$E359)*(ROW(TableDiv[Agency])-ROW(TableDiv[[#Headers],[Agency]])),COLUMNS($F$7:AJ$7))))</f>
        <v>0</v>
      </c>
      <c r="AK359" s="2223" t="str" cm="1">
        <f t="array" ref="AK359">IF($D359&lt;COLUMNS($F$7:AK$7),"",INDEX(TableDiv[[GASB]:[GASB]],_xlfn.AGGREGATE(15,3,(TableDiv[[Agency]:[Agency]]=$E359)/(TableDiv[[Agency]:[Agency]]=$E359)*(ROW(TableDiv[Agency])-ROW(TableDiv[[#Headers],[Agency]])),COLUMNS($F$7:AK$7))))</f>
        <v/>
      </c>
      <c r="AL359" s="2223" t="str" cm="1">
        <f t="array" ref="AL359">IF($D359&lt;COLUMNS($F$7:AL$7),"",INDEX(TableDiv[[GASB]:[GASB]],_xlfn.AGGREGATE(15,3,(TableDiv[[Agency]:[Agency]]=$E359)/(TableDiv[[Agency]:[Agency]]=$E359)*(ROW(TableDiv[Agency])-ROW(TableDiv[[#Headers],[Agency]])),COLUMNS($F$7:AL$7))))</f>
        <v/>
      </c>
      <c r="AM359" s="2223" t="str" cm="1">
        <f t="array" ref="AM359">IF($D359&lt;COLUMNS($F$7:AM$7),"",INDEX(TableDiv[[GASB]:[GASB]],_xlfn.AGGREGATE(15,3,(TableDiv[[Agency]:[Agency]]=$E359)/(TableDiv[[Agency]:[Agency]]=$E359)*(ROW(TableDiv[Agency])-ROW(TableDiv[[#Headers],[Agency]])),COLUMNS($F$7:AM$7))))</f>
        <v/>
      </c>
      <c r="AN359" s="2223"/>
      <c r="AO359" s="2223"/>
      <c r="AP359" s="2223"/>
      <c r="AQ359" s="2223"/>
      <c r="AR359" s="2223"/>
      <c r="AS359" s="2223"/>
    </row>
    <row r="360" spans="1:45" ht="15" x14ac:dyDescent="0.25">
      <c r="A360" s="2219" t="s">
        <v>6493</v>
      </c>
      <c r="B360" s="2219" t="s">
        <v>6393</v>
      </c>
      <c r="C360" s="2223"/>
      <c r="D360" s="2223">
        <f>COUNTIF(TableDiv[Agency],E360)</f>
        <v>31</v>
      </c>
      <c r="E360" s="2230" t="str" cm="1">
        <f t="array" ref="E360">IFERROR(INDEX(TableDiv[Agency],MATCH(0,INDEX(COUNTIF($E$7:E359,TableDiv[Agency]),),0)),"")</f>
        <v/>
      </c>
      <c r="F360" s="2223" cm="1">
        <f t="array" ref="F360">IF($D360&lt;COLUMNS($F$7:F$7),"",INDEX(TableDiv[[GASB]:[GASB]],_xlfn.AGGREGATE(15,3,(TableDiv[[Agency]:[Agency]]=$E360)/(TableDiv[[Agency]:[Agency]]=$E360)*(ROW(TableDiv[Agency])-ROW(TableDiv[[#Headers],[Agency]])),COLUMNS($F$7:F$7))))</f>
        <v>0</v>
      </c>
      <c r="G360" s="2223" cm="1">
        <f t="array" ref="G360">IF($D360&lt;COLUMNS($F$7:G$7),"",INDEX(TableDiv[[GASB]:[GASB]],_xlfn.AGGREGATE(15,3,(TableDiv[[Agency]:[Agency]]=$E360)/(TableDiv[[Agency]:[Agency]]=$E360)*(ROW(TableDiv[Agency])-ROW(TableDiv[[#Headers],[Agency]])),COLUMNS($F$7:G$7))))</f>
        <v>0</v>
      </c>
      <c r="H360" s="2223" cm="1">
        <f t="array" ref="H360">IF($D360&lt;COLUMNS($F$7:H$7),"",INDEX(TableDiv[[GASB]:[GASB]],_xlfn.AGGREGATE(15,3,(TableDiv[[Agency]:[Agency]]=$E360)/(TableDiv[[Agency]:[Agency]]=$E360)*(ROW(TableDiv[Agency])-ROW(TableDiv[[#Headers],[Agency]])),COLUMNS($F$7:H$7))))</f>
        <v>0</v>
      </c>
      <c r="I360" s="2223" cm="1">
        <f t="array" ref="I360">IF($D360&lt;COLUMNS($F$7:I$7),"",INDEX(TableDiv[[GASB]:[GASB]],_xlfn.AGGREGATE(15,3,(TableDiv[[Agency]:[Agency]]=$E360)/(TableDiv[[Agency]:[Agency]]=$E360)*(ROW(TableDiv[Agency])-ROW(TableDiv[[#Headers],[Agency]])),COLUMNS($F$7:I$7))))</f>
        <v>0</v>
      </c>
      <c r="J360" s="2223" cm="1">
        <f t="array" ref="J360">IF($D360&lt;COLUMNS($F$7:J$7),"",INDEX(TableDiv[[GASB]:[GASB]],_xlfn.AGGREGATE(15,3,(TableDiv[[Agency]:[Agency]]=$E360)/(TableDiv[[Agency]:[Agency]]=$E360)*(ROW(TableDiv[Agency])-ROW(TableDiv[[#Headers],[Agency]])),COLUMNS($F$7:J$7))))</f>
        <v>0</v>
      </c>
      <c r="K360" s="2223" cm="1">
        <f t="array" ref="K360">IF($D360&lt;COLUMNS($F$7:K$7),"",INDEX(TableDiv[[GASB]:[GASB]],_xlfn.AGGREGATE(15,3,(TableDiv[[Agency]:[Agency]]=$E360)/(TableDiv[[Agency]:[Agency]]=$E360)*(ROW(TableDiv[Agency])-ROW(TableDiv[[#Headers],[Agency]])),COLUMNS($F$7:K$7))))</f>
        <v>0</v>
      </c>
      <c r="L360" s="2223" cm="1">
        <f t="array" ref="L360">IF($D360&lt;COLUMNS($F$7:L$7),"",INDEX(TableDiv[[GASB]:[GASB]],_xlfn.AGGREGATE(15,3,(TableDiv[[Agency]:[Agency]]=$E360)/(TableDiv[[Agency]:[Agency]]=$E360)*(ROW(TableDiv[Agency])-ROW(TableDiv[[#Headers],[Agency]])),COLUMNS($F$7:L$7))))</f>
        <v>0</v>
      </c>
      <c r="M360" s="2223" cm="1">
        <f t="array" ref="M360">IF($D360&lt;COLUMNS($F$7:M$7),"",INDEX(TableDiv[[GASB]:[GASB]],_xlfn.AGGREGATE(15,3,(TableDiv[[Agency]:[Agency]]=$E360)/(TableDiv[[Agency]:[Agency]]=$E360)*(ROW(TableDiv[Agency])-ROW(TableDiv[[#Headers],[Agency]])),COLUMNS($F$7:M$7))))</f>
        <v>0</v>
      </c>
      <c r="N360" s="2223" cm="1">
        <f t="array" ref="N360">IF($D360&lt;COLUMNS($F$7:N$7),"",INDEX(TableDiv[[GASB]:[GASB]],_xlfn.AGGREGATE(15,3,(TableDiv[[Agency]:[Agency]]=$E360)/(TableDiv[[Agency]:[Agency]]=$E360)*(ROW(TableDiv[Agency])-ROW(TableDiv[[#Headers],[Agency]])),COLUMNS($F$7:N$7))))</f>
        <v>0</v>
      </c>
      <c r="O360" s="2223" cm="1">
        <f t="array" ref="O360">IF($D360&lt;COLUMNS($F$7:O$7),"",INDEX(TableDiv[[GASB]:[GASB]],_xlfn.AGGREGATE(15,3,(TableDiv[[Agency]:[Agency]]=$E360)/(TableDiv[[Agency]:[Agency]]=$E360)*(ROW(TableDiv[Agency])-ROW(TableDiv[[#Headers],[Agency]])),COLUMNS($F$7:O$7))))</f>
        <v>0</v>
      </c>
      <c r="P360" s="2223" cm="1">
        <f t="array" ref="P360">IF($D360&lt;COLUMNS($F$7:P$7),"",INDEX(TableDiv[[GASB]:[GASB]],_xlfn.AGGREGATE(15,3,(TableDiv[[Agency]:[Agency]]=$E360)/(TableDiv[[Agency]:[Agency]]=$E360)*(ROW(TableDiv[Agency])-ROW(TableDiv[[#Headers],[Agency]])),COLUMNS($F$7:P$7))))</f>
        <v>0</v>
      </c>
      <c r="Q360" s="2223" cm="1">
        <f t="array" ref="Q360">IF($D360&lt;COLUMNS($F$7:Q$7),"",INDEX(TableDiv[[GASB]:[GASB]],_xlfn.AGGREGATE(15,3,(TableDiv[[Agency]:[Agency]]=$E360)/(TableDiv[[Agency]:[Agency]]=$E360)*(ROW(TableDiv[Agency])-ROW(TableDiv[[#Headers],[Agency]])),COLUMNS($F$7:Q$7))))</f>
        <v>0</v>
      </c>
      <c r="R360" s="2223" cm="1">
        <f t="array" ref="R360">IF($D360&lt;COLUMNS($F$7:R$7),"",INDEX(TableDiv[[GASB]:[GASB]],_xlfn.AGGREGATE(15,3,(TableDiv[[Agency]:[Agency]]=$E360)/(TableDiv[[Agency]:[Agency]]=$E360)*(ROW(TableDiv[Agency])-ROW(TableDiv[[#Headers],[Agency]])),COLUMNS($F$7:R$7))))</f>
        <v>0</v>
      </c>
      <c r="S360" s="2223" cm="1">
        <f t="array" ref="S360">IF($D360&lt;COLUMNS($F$7:S$7),"",INDEX(TableDiv[[GASB]:[GASB]],_xlfn.AGGREGATE(15,3,(TableDiv[[Agency]:[Agency]]=$E360)/(TableDiv[[Agency]:[Agency]]=$E360)*(ROW(TableDiv[Agency])-ROW(TableDiv[[#Headers],[Agency]])),COLUMNS($F$7:S$7))))</f>
        <v>0</v>
      </c>
      <c r="T360" s="2223" cm="1">
        <f t="array" ref="T360">IF($D360&lt;COLUMNS($F$7:T$7),"",INDEX(TableDiv[[GASB]:[GASB]],_xlfn.AGGREGATE(15,3,(TableDiv[[Agency]:[Agency]]=$E360)/(TableDiv[[Agency]:[Agency]]=$E360)*(ROW(TableDiv[Agency])-ROW(TableDiv[[#Headers],[Agency]])),COLUMNS($F$7:T$7))))</f>
        <v>0</v>
      </c>
      <c r="U360" s="2223" cm="1">
        <f t="array" ref="U360">IF($D360&lt;COLUMNS($F$7:U$7),"",INDEX(TableDiv[[GASB]:[GASB]],_xlfn.AGGREGATE(15,3,(TableDiv[[Agency]:[Agency]]=$E360)/(TableDiv[[Agency]:[Agency]]=$E360)*(ROW(TableDiv[Agency])-ROW(TableDiv[[#Headers],[Agency]])),COLUMNS($F$7:U$7))))</f>
        <v>0</v>
      </c>
      <c r="V360" s="2223" cm="1">
        <f t="array" ref="V360">IF($D360&lt;COLUMNS($F$7:V$7),"",INDEX(TableDiv[[GASB]:[GASB]],_xlfn.AGGREGATE(15,3,(TableDiv[[Agency]:[Agency]]=$E360)/(TableDiv[[Agency]:[Agency]]=$E360)*(ROW(TableDiv[Agency])-ROW(TableDiv[[#Headers],[Agency]])),COLUMNS($F$7:V$7))))</f>
        <v>0</v>
      </c>
      <c r="W360" s="2223" cm="1">
        <f t="array" ref="W360">IF($D360&lt;COLUMNS($F$7:W$7),"",INDEX(TableDiv[[GASB]:[GASB]],_xlfn.AGGREGATE(15,3,(TableDiv[[Agency]:[Agency]]=$E360)/(TableDiv[[Agency]:[Agency]]=$E360)*(ROW(TableDiv[Agency])-ROW(TableDiv[[#Headers],[Agency]])),COLUMNS($F$7:W$7))))</f>
        <v>0</v>
      </c>
      <c r="X360" s="2223" cm="1">
        <f t="array" ref="X360">IF($D360&lt;COLUMNS($F$7:X$7),"",INDEX(TableDiv[[GASB]:[GASB]],_xlfn.AGGREGATE(15,3,(TableDiv[[Agency]:[Agency]]=$E360)/(TableDiv[[Agency]:[Agency]]=$E360)*(ROW(TableDiv[Agency])-ROW(TableDiv[[#Headers],[Agency]])),COLUMNS($F$7:X$7))))</f>
        <v>0</v>
      </c>
      <c r="Y360" s="2223" cm="1">
        <f t="array" ref="Y360">IF($D360&lt;COLUMNS($F$7:Y$7),"",INDEX(TableDiv[[GASB]:[GASB]],_xlfn.AGGREGATE(15,3,(TableDiv[[Agency]:[Agency]]=$E360)/(TableDiv[[Agency]:[Agency]]=$E360)*(ROW(TableDiv[Agency])-ROW(TableDiv[[#Headers],[Agency]])),COLUMNS($F$7:Y$7))))</f>
        <v>0</v>
      </c>
      <c r="Z360" s="2223" cm="1">
        <f t="array" ref="Z360">IF($D360&lt;COLUMNS($F$7:Z$7),"",INDEX(TableDiv[[GASB]:[GASB]],_xlfn.AGGREGATE(15,3,(TableDiv[[Agency]:[Agency]]=$E360)/(TableDiv[[Agency]:[Agency]]=$E360)*(ROW(TableDiv[Agency])-ROW(TableDiv[[#Headers],[Agency]])),COLUMNS($F$7:Z$7))))</f>
        <v>0</v>
      </c>
      <c r="AA360" s="2223" cm="1">
        <f t="array" ref="AA360">IF($D360&lt;COLUMNS($F$7:AA$7),"",INDEX(TableDiv[[GASB]:[GASB]],_xlfn.AGGREGATE(15,3,(TableDiv[[Agency]:[Agency]]=$E360)/(TableDiv[[Agency]:[Agency]]=$E360)*(ROW(TableDiv[Agency])-ROW(TableDiv[[#Headers],[Agency]])),COLUMNS($F$7:AA$7))))</f>
        <v>0</v>
      </c>
      <c r="AB360" s="2223" cm="1">
        <f t="array" ref="AB360">IF($D360&lt;COLUMNS($F$7:AB$7),"",INDEX(TableDiv[[GASB]:[GASB]],_xlfn.AGGREGATE(15,3,(TableDiv[[Agency]:[Agency]]=$E360)/(TableDiv[[Agency]:[Agency]]=$E360)*(ROW(TableDiv[Agency])-ROW(TableDiv[[#Headers],[Agency]])),COLUMNS($F$7:AB$7))))</f>
        <v>0</v>
      </c>
      <c r="AC360" s="2223" cm="1">
        <f t="array" ref="AC360">IF($D360&lt;COLUMNS($F$7:AC$7),"",INDEX(TableDiv[[GASB]:[GASB]],_xlfn.AGGREGATE(15,3,(TableDiv[[Agency]:[Agency]]=$E360)/(TableDiv[[Agency]:[Agency]]=$E360)*(ROW(TableDiv[Agency])-ROW(TableDiv[[#Headers],[Agency]])),COLUMNS($F$7:AC$7))))</f>
        <v>0</v>
      </c>
      <c r="AD360" s="2223" cm="1">
        <f t="array" ref="AD360">IF($D360&lt;COLUMNS($F$7:AD$7),"",INDEX(TableDiv[[GASB]:[GASB]],_xlfn.AGGREGATE(15,3,(TableDiv[[Agency]:[Agency]]=$E360)/(TableDiv[[Agency]:[Agency]]=$E360)*(ROW(TableDiv[Agency])-ROW(TableDiv[[#Headers],[Agency]])),COLUMNS($F$7:AD$7))))</f>
        <v>0</v>
      </c>
      <c r="AE360" s="2223" cm="1">
        <f t="array" ref="AE360">IF($D360&lt;COLUMNS($F$7:AE$7),"",INDEX(TableDiv[[GASB]:[GASB]],_xlfn.AGGREGATE(15,3,(TableDiv[[Agency]:[Agency]]=$E360)/(TableDiv[[Agency]:[Agency]]=$E360)*(ROW(TableDiv[Agency])-ROW(TableDiv[[#Headers],[Agency]])),COLUMNS($F$7:AE$7))))</f>
        <v>0</v>
      </c>
      <c r="AF360" s="2223" cm="1">
        <f t="array" ref="AF360">IF($D360&lt;COLUMNS($F$7:AF$7),"",INDEX(TableDiv[[GASB]:[GASB]],_xlfn.AGGREGATE(15,3,(TableDiv[[Agency]:[Agency]]=$E360)/(TableDiv[[Agency]:[Agency]]=$E360)*(ROW(TableDiv[Agency])-ROW(TableDiv[[#Headers],[Agency]])),COLUMNS($F$7:AF$7))))</f>
        <v>0</v>
      </c>
      <c r="AG360" s="2223" cm="1">
        <f t="array" ref="AG360">IF($D360&lt;COLUMNS($F$7:AG$7),"",INDEX(TableDiv[[GASB]:[GASB]],_xlfn.AGGREGATE(15,3,(TableDiv[[Agency]:[Agency]]=$E360)/(TableDiv[[Agency]:[Agency]]=$E360)*(ROW(TableDiv[Agency])-ROW(TableDiv[[#Headers],[Agency]])),COLUMNS($F$7:AG$7))))</f>
        <v>0</v>
      </c>
      <c r="AH360" s="2223" cm="1">
        <f t="array" ref="AH360">IF($D360&lt;COLUMNS($F$7:AH$7),"",INDEX(TableDiv[[GASB]:[GASB]],_xlfn.AGGREGATE(15,3,(TableDiv[[Agency]:[Agency]]=$E360)/(TableDiv[[Agency]:[Agency]]=$E360)*(ROW(TableDiv[Agency])-ROW(TableDiv[[#Headers],[Agency]])),COLUMNS($F$7:AH$7))))</f>
        <v>0</v>
      </c>
      <c r="AI360" s="2223" cm="1">
        <f t="array" ref="AI360">IF($D360&lt;COLUMNS($F$7:AI$7),"",INDEX(TableDiv[[GASB]:[GASB]],_xlfn.AGGREGATE(15,3,(TableDiv[[Agency]:[Agency]]=$E360)/(TableDiv[[Agency]:[Agency]]=$E360)*(ROW(TableDiv[Agency])-ROW(TableDiv[[#Headers],[Agency]])),COLUMNS($F$7:AI$7))))</f>
        <v>0</v>
      </c>
      <c r="AJ360" s="2223" cm="1">
        <f t="array" ref="AJ360">IF($D360&lt;COLUMNS($F$7:AJ$7),"",INDEX(TableDiv[[GASB]:[GASB]],_xlfn.AGGREGATE(15,3,(TableDiv[[Agency]:[Agency]]=$E360)/(TableDiv[[Agency]:[Agency]]=$E360)*(ROW(TableDiv[Agency])-ROW(TableDiv[[#Headers],[Agency]])),COLUMNS($F$7:AJ$7))))</f>
        <v>0</v>
      </c>
      <c r="AK360" s="2223" t="str" cm="1">
        <f t="array" ref="AK360">IF($D360&lt;COLUMNS($F$7:AK$7),"",INDEX(TableDiv[[GASB]:[GASB]],_xlfn.AGGREGATE(15,3,(TableDiv[[Agency]:[Agency]]=$E360)/(TableDiv[[Agency]:[Agency]]=$E360)*(ROW(TableDiv[Agency])-ROW(TableDiv[[#Headers],[Agency]])),COLUMNS($F$7:AK$7))))</f>
        <v/>
      </c>
      <c r="AL360" s="2223" t="str" cm="1">
        <f t="array" ref="AL360">IF($D360&lt;COLUMNS($F$7:AL$7),"",INDEX(TableDiv[[GASB]:[GASB]],_xlfn.AGGREGATE(15,3,(TableDiv[[Agency]:[Agency]]=$E360)/(TableDiv[[Agency]:[Agency]]=$E360)*(ROW(TableDiv[Agency])-ROW(TableDiv[[#Headers],[Agency]])),COLUMNS($F$7:AL$7))))</f>
        <v/>
      </c>
      <c r="AM360" s="2223" t="str" cm="1">
        <f t="array" ref="AM360">IF($D360&lt;COLUMNS($F$7:AM$7),"",INDEX(TableDiv[[GASB]:[GASB]],_xlfn.AGGREGATE(15,3,(TableDiv[[Agency]:[Agency]]=$E360)/(TableDiv[[Agency]:[Agency]]=$E360)*(ROW(TableDiv[Agency])-ROW(TableDiv[[#Headers],[Agency]])),COLUMNS($F$7:AM$7))))</f>
        <v/>
      </c>
      <c r="AN360" s="2223"/>
      <c r="AO360" s="2223"/>
      <c r="AP360" s="2223"/>
      <c r="AQ360" s="2223"/>
      <c r="AR360" s="2223"/>
      <c r="AS360" s="2223"/>
    </row>
    <row r="361" spans="1:45" ht="15" x14ac:dyDescent="0.25">
      <c r="A361" s="2219" t="s">
        <v>5133</v>
      </c>
      <c r="B361" s="2219" t="s">
        <v>5055</v>
      </c>
      <c r="C361" s="2223"/>
      <c r="D361" s="2223">
        <f>COUNTIF(TableDiv[Agency],E361)</f>
        <v>31</v>
      </c>
      <c r="E361" s="2230" t="str" cm="1">
        <f t="array" ref="E361">IFERROR(INDEX(TableDiv[Agency],MATCH(0,INDEX(COUNTIF($E$7:E360,TableDiv[Agency]),),0)),"")</f>
        <v/>
      </c>
      <c r="F361" s="2223" cm="1">
        <f t="array" ref="F361">IF($D361&lt;COLUMNS($F$7:F$7),"",INDEX(TableDiv[[GASB]:[GASB]],_xlfn.AGGREGATE(15,3,(TableDiv[[Agency]:[Agency]]=$E361)/(TableDiv[[Agency]:[Agency]]=$E361)*(ROW(TableDiv[Agency])-ROW(TableDiv[[#Headers],[Agency]])),COLUMNS($F$7:F$7))))</f>
        <v>0</v>
      </c>
      <c r="G361" s="2223" cm="1">
        <f t="array" ref="G361">IF($D361&lt;COLUMNS($F$7:G$7),"",INDEX(TableDiv[[GASB]:[GASB]],_xlfn.AGGREGATE(15,3,(TableDiv[[Agency]:[Agency]]=$E361)/(TableDiv[[Agency]:[Agency]]=$E361)*(ROW(TableDiv[Agency])-ROW(TableDiv[[#Headers],[Agency]])),COLUMNS($F$7:G$7))))</f>
        <v>0</v>
      </c>
      <c r="H361" s="2223" cm="1">
        <f t="array" ref="H361">IF($D361&lt;COLUMNS($F$7:H$7),"",INDEX(TableDiv[[GASB]:[GASB]],_xlfn.AGGREGATE(15,3,(TableDiv[[Agency]:[Agency]]=$E361)/(TableDiv[[Agency]:[Agency]]=$E361)*(ROW(TableDiv[Agency])-ROW(TableDiv[[#Headers],[Agency]])),COLUMNS($F$7:H$7))))</f>
        <v>0</v>
      </c>
      <c r="I361" s="2223" cm="1">
        <f t="array" ref="I361">IF($D361&lt;COLUMNS($F$7:I$7),"",INDEX(TableDiv[[GASB]:[GASB]],_xlfn.AGGREGATE(15,3,(TableDiv[[Agency]:[Agency]]=$E361)/(TableDiv[[Agency]:[Agency]]=$E361)*(ROW(TableDiv[Agency])-ROW(TableDiv[[#Headers],[Agency]])),COLUMNS($F$7:I$7))))</f>
        <v>0</v>
      </c>
      <c r="J361" s="2223" cm="1">
        <f t="array" ref="J361">IF($D361&lt;COLUMNS($F$7:J$7),"",INDEX(TableDiv[[GASB]:[GASB]],_xlfn.AGGREGATE(15,3,(TableDiv[[Agency]:[Agency]]=$E361)/(TableDiv[[Agency]:[Agency]]=$E361)*(ROW(TableDiv[Agency])-ROW(TableDiv[[#Headers],[Agency]])),COLUMNS($F$7:J$7))))</f>
        <v>0</v>
      </c>
      <c r="K361" s="2223" cm="1">
        <f t="array" ref="K361">IF($D361&lt;COLUMNS($F$7:K$7),"",INDEX(TableDiv[[GASB]:[GASB]],_xlfn.AGGREGATE(15,3,(TableDiv[[Agency]:[Agency]]=$E361)/(TableDiv[[Agency]:[Agency]]=$E361)*(ROW(TableDiv[Agency])-ROW(TableDiv[[#Headers],[Agency]])),COLUMNS($F$7:K$7))))</f>
        <v>0</v>
      </c>
      <c r="L361" s="2223" cm="1">
        <f t="array" ref="L361">IF($D361&lt;COLUMNS($F$7:L$7),"",INDEX(TableDiv[[GASB]:[GASB]],_xlfn.AGGREGATE(15,3,(TableDiv[[Agency]:[Agency]]=$E361)/(TableDiv[[Agency]:[Agency]]=$E361)*(ROW(TableDiv[Agency])-ROW(TableDiv[[#Headers],[Agency]])),COLUMNS($F$7:L$7))))</f>
        <v>0</v>
      </c>
      <c r="M361" s="2223" cm="1">
        <f t="array" ref="M361">IF($D361&lt;COLUMNS($F$7:M$7),"",INDEX(TableDiv[[GASB]:[GASB]],_xlfn.AGGREGATE(15,3,(TableDiv[[Agency]:[Agency]]=$E361)/(TableDiv[[Agency]:[Agency]]=$E361)*(ROW(TableDiv[Agency])-ROW(TableDiv[[#Headers],[Agency]])),COLUMNS($F$7:M$7))))</f>
        <v>0</v>
      </c>
      <c r="N361" s="2223" cm="1">
        <f t="array" ref="N361">IF($D361&lt;COLUMNS($F$7:N$7),"",INDEX(TableDiv[[GASB]:[GASB]],_xlfn.AGGREGATE(15,3,(TableDiv[[Agency]:[Agency]]=$E361)/(TableDiv[[Agency]:[Agency]]=$E361)*(ROW(TableDiv[Agency])-ROW(TableDiv[[#Headers],[Agency]])),COLUMNS($F$7:N$7))))</f>
        <v>0</v>
      </c>
      <c r="O361" s="2223" cm="1">
        <f t="array" ref="O361">IF($D361&lt;COLUMNS($F$7:O$7),"",INDEX(TableDiv[[GASB]:[GASB]],_xlfn.AGGREGATE(15,3,(TableDiv[[Agency]:[Agency]]=$E361)/(TableDiv[[Agency]:[Agency]]=$E361)*(ROW(TableDiv[Agency])-ROW(TableDiv[[#Headers],[Agency]])),COLUMNS($F$7:O$7))))</f>
        <v>0</v>
      </c>
      <c r="P361" s="2223" cm="1">
        <f t="array" ref="P361">IF($D361&lt;COLUMNS($F$7:P$7),"",INDEX(TableDiv[[GASB]:[GASB]],_xlfn.AGGREGATE(15,3,(TableDiv[[Agency]:[Agency]]=$E361)/(TableDiv[[Agency]:[Agency]]=$E361)*(ROW(TableDiv[Agency])-ROW(TableDiv[[#Headers],[Agency]])),COLUMNS($F$7:P$7))))</f>
        <v>0</v>
      </c>
      <c r="Q361" s="2223" cm="1">
        <f t="array" ref="Q361">IF($D361&lt;COLUMNS($F$7:Q$7),"",INDEX(TableDiv[[GASB]:[GASB]],_xlfn.AGGREGATE(15,3,(TableDiv[[Agency]:[Agency]]=$E361)/(TableDiv[[Agency]:[Agency]]=$E361)*(ROW(TableDiv[Agency])-ROW(TableDiv[[#Headers],[Agency]])),COLUMNS($F$7:Q$7))))</f>
        <v>0</v>
      </c>
      <c r="R361" s="2223" cm="1">
        <f t="array" ref="R361">IF($D361&lt;COLUMNS($F$7:R$7),"",INDEX(TableDiv[[GASB]:[GASB]],_xlfn.AGGREGATE(15,3,(TableDiv[[Agency]:[Agency]]=$E361)/(TableDiv[[Agency]:[Agency]]=$E361)*(ROW(TableDiv[Agency])-ROW(TableDiv[[#Headers],[Agency]])),COLUMNS($F$7:R$7))))</f>
        <v>0</v>
      </c>
      <c r="S361" s="2223" cm="1">
        <f t="array" ref="S361">IF($D361&lt;COLUMNS($F$7:S$7),"",INDEX(TableDiv[[GASB]:[GASB]],_xlfn.AGGREGATE(15,3,(TableDiv[[Agency]:[Agency]]=$E361)/(TableDiv[[Agency]:[Agency]]=$E361)*(ROW(TableDiv[Agency])-ROW(TableDiv[[#Headers],[Agency]])),COLUMNS($F$7:S$7))))</f>
        <v>0</v>
      </c>
      <c r="T361" s="2223" cm="1">
        <f t="array" ref="T361">IF($D361&lt;COLUMNS($F$7:T$7),"",INDEX(TableDiv[[GASB]:[GASB]],_xlfn.AGGREGATE(15,3,(TableDiv[[Agency]:[Agency]]=$E361)/(TableDiv[[Agency]:[Agency]]=$E361)*(ROW(TableDiv[Agency])-ROW(TableDiv[[#Headers],[Agency]])),COLUMNS($F$7:T$7))))</f>
        <v>0</v>
      </c>
      <c r="U361" s="2223" cm="1">
        <f t="array" ref="U361">IF($D361&lt;COLUMNS($F$7:U$7),"",INDEX(TableDiv[[GASB]:[GASB]],_xlfn.AGGREGATE(15,3,(TableDiv[[Agency]:[Agency]]=$E361)/(TableDiv[[Agency]:[Agency]]=$E361)*(ROW(TableDiv[Agency])-ROW(TableDiv[[#Headers],[Agency]])),COLUMNS($F$7:U$7))))</f>
        <v>0</v>
      </c>
      <c r="V361" s="2223" cm="1">
        <f t="array" ref="V361">IF($D361&lt;COLUMNS($F$7:V$7),"",INDEX(TableDiv[[GASB]:[GASB]],_xlfn.AGGREGATE(15,3,(TableDiv[[Agency]:[Agency]]=$E361)/(TableDiv[[Agency]:[Agency]]=$E361)*(ROW(TableDiv[Agency])-ROW(TableDiv[[#Headers],[Agency]])),COLUMNS($F$7:V$7))))</f>
        <v>0</v>
      </c>
      <c r="W361" s="2223" cm="1">
        <f t="array" ref="W361">IF($D361&lt;COLUMNS($F$7:W$7),"",INDEX(TableDiv[[GASB]:[GASB]],_xlfn.AGGREGATE(15,3,(TableDiv[[Agency]:[Agency]]=$E361)/(TableDiv[[Agency]:[Agency]]=$E361)*(ROW(TableDiv[Agency])-ROW(TableDiv[[#Headers],[Agency]])),COLUMNS($F$7:W$7))))</f>
        <v>0</v>
      </c>
      <c r="X361" s="2223" cm="1">
        <f t="array" ref="X361">IF($D361&lt;COLUMNS($F$7:X$7),"",INDEX(TableDiv[[GASB]:[GASB]],_xlfn.AGGREGATE(15,3,(TableDiv[[Agency]:[Agency]]=$E361)/(TableDiv[[Agency]:[Agency]]=$E361)*(ROW(TableDiv[Agency])-ROW(TableDiv[[#Headers],[Agency]])),COLUMNS($F$7:X$7))))</f>
        <v>0</v>
      </c>
      <c r="Y361" s="2223" cm="1">
        <f t="array" ref="Y361">IF($D361&lt;COLUMNS($F$7:Y$7),"",INDEX(TableDiv[[GASB]:[GASB]],_xlfn.AGGREGATE(15,3,(TableDiv[[Agency]:[Agency]]=$E361)/(TableDiv[[Agency]:[Agency]]=$E361)*(ROW(TableDiv[Agency])-ROW(TableDiv[[#Headers],[Agency]])),COLUMNS($F$7:Y$7))))</f>
        <v>0</v>
      </c>
      <c r="Z361" s="2223" cm="1">
        <f t="array" ref="Z361">IF($D361&lt;COLUMNS($F$7:Z$7),"",INDEX(TableDiv[[GASB]:[GASB]],_xlfn.AGGREGATE(15,3,(TableDiv[[Agency]:[Agency]]=$E361)/(TableDiv[[Agency]:[Agency]]=$E361)*(ROW(TableDiv[Agency])-ROW(TableDiv[[#Headers],[Agency]])),COLUMNS($F$7:Z$7))))</f>
        <v>0</v>
      </c>
      <c r="AA361" s="2223" cm="1">
        <f t="array" ref="AA361">IF($D361&lt;COLUMNS($F$7:AA$7),"",INDEX(TableDiv[[GASB]:[GASB]],_xlfn.AGGREGATE(15,3,(TableDiv[[Agency]:[Agency]]=$E361)/(TableDiv[[Agency]:[Agency]]=$E361)*(ROW(TableDiv[Agency])-ROW(TableDiv[[#Headers],[Agency]])),COLUMNS($F$7:AA$7))))</f>
        <v>0</v>
      </c>
      <c r="AB361" s="2223" cm="1">
        <f t="array" ref="AB361">IF($D361&lt;COLUMNS($F$7:AB$7),"",INDEX(TableDiv[[GASB]:[GASB]],_xlfn.AGGREGATE(15,3,(TableDiv[[Agency]:[Agency]]=$E361)/(TableDiv[[Agency]:[Agency]]=$E361)*(ROW(TableDiv[Agency])-ROW(TableDiv[[#Headers],[Agency]])),COLUMNS($F$7:AB$7))))</f>
        <v>0</v>
      </c>
      <c r="AC361" s="2223" cm="1">
        <f t="array" ref="AC361">IF($D361&lt;COLUMNS($F$7:AC$7),"",INDEX(TableDiv[[GASB]:[GASB]],_xlfn.AGGREGATE(15,3,(TableDiv[[Agency]:[Agency]]=$E361)/(TableDiv[[Agency]:[Agency]]=$E361)*(ROW(TableDiv[Agency])-ROW(TableDiv[[#Headers],[Agency]])),COLUMNS($F$7:AC$7))))</f>
        <v>0</v>
      </c>
      <c r="AD361" s="2223" cm="1">
        <f t="array" ref="AD361">IF($D361&lt;COLUMNS($F$7:AD$7),"",INDEX(TableDiv[[GASB]:[GASB]],_xlfn.AGGREGATE(15,3,(TableDiv[[Agency]:[Agency]]=$E361)/(TableDiv[[Agency]:[Agency]]=$E361)*(ROW(TableDiv[Agency])-ROW(TableDiv[[#Headers],[Agency]])),COLUMNS($F$7:AD$7))))</f>
        <v>0</v>
      </c>
      <c r="AE361" s="2223" cm="1">
        <f t="array" ref="AE361">IF($D361&lt;COLUMNS($F$7:AE$7),"",INDEX(TableDiv[[GASB]:[GASB]],_xlfn.AGGREGATE(15,3,(TableDiv[[Agency]:[Agency]]=$E361)/(TableDiv[[Agency]:[Agency]]=$E361)*(ROW(TableDiv[Agency])-ROW(TableDiv[[#Headers],[Agency]])),COLUMNS($F$7:AE$7))))</f>
        <v>0</v>
      </c>
      <c r="AF361" s="2223" cm="1">
        <f t="array" ref="AF361">IF($D361&lt;COLUMNS($F$7:AF$7),"",INDEX(TableDiv[[GASB]:[GASB]],_xlfn.AGGREGATE(15,3,(TableDiv[[Agency]:[Agency]]=$E361)/(TableDiv[[Agency]:[Agency]]=$E361)*(ROW(TableDiv[Agency])-ROW(TableDiv[[#Headers],[Agency]])),COLUMNS($F$7:AF$7))))</f>
        <v>0</v>
      </c>
      <c r="AG361" s="2223" cm="1">
        <f t="array" ref="AG361">IF($D361&lt;COLUMNS($F$7:AG$7),"",INDEX(TableDiv[[GASB]:[GASB]],_xlfn.AGGREGATE(15,3,(TableDiv[[Agency]:[Agency]]=$E361)/(TableDiv[[Agency]:[Agency]]=$E361)*(ROW(TableDiv[Agency])-ROW(TableDiv[[#Headers],[Agency]])),COLUMNS($F$7:AG$7))))</f>
        <v>0</v>
      </c>
      <c r="AH361" s="2223" cm="1">
        <f t="array" ref="AH361">IF($D361&lt;COLUMNS($F$7:AH$7),"",INDEX(TableDiv[[GASB]:[GASB]],_xlfn.AGGREGATE(15,3,(TableDiv[[Agency]:[Agency]]=$E361)/(TableDiv[[Agency]:[Agency]]=$E361)*(ROW(TableDiv[Agency])-ROW(TableDiv[[#Headers],[Agency]])),COLUMNS($F$7:AH$7))))</f>
        <v>0</v>
      </c>
      <c r="AI361" s="2223" cm="1">
        <f t="array" ref="AI361">IF($D361&lt;COLUMNS($F$7:AI$7),"",INDEX(TableDiv[[GASB]:[GASB]],_xlfn.AGGREGATE(15,3,(TableDiv[[Agency]:[Agency]]=$E361)/(TableDiv[[Agency]:[Agency]]=$E361)*(ROW(TableDiv[Agency])-ROW(TableDiv[[#Headers],[Agency]])),COLUMNS($F$7:AI$7))))</f>
        <v>0</v>
      </c>
      <c r="AJ361" s="2223" cm="1">
        <f t="array" ref="AJ361">IF($D361&lt;COLUMNS($F$7:AJ$7),"",INDEX(TableDiv[[GASB]:[GASB]],_xlfn.AGGREGATE(15,3,(TableDiv[[Agency]:[Agency]]=$E361)/(TableDiv[[Agency]:[Agency]]=$E361)*(ROW(TableDiv[Agency])-ROW(TableDiv[[#Headers],[Agency]])),COLUMNS($F$7:AJ$7))))</f>
        <v>0</v>
      </c>
      <c r="AK361" s="2223" t="str" cm="1">
        <f t="array" ref="AK361">IF($D361&lt;COLUMNS($F$7:AK$7),"",INDEX(TableDiv[[GASB]:[GASB]],_xlfn.AGGREGATE(15,3,(TableDiv[[Agency]:[Agency]]=$E361)/(TableDiv[[Agency]:[Agency]]=$E361)*(ROW(TableDiv[Agency])-ROW(TableDiv[[#Headers],[Agency]])),COLUMNS($F$7:AK$7))))</f>
        <v/>
      </c>
      <c r="AL361" s="2223" t="str" cm="1">
        <f t="array" ref="AL361">IF($D361&lt;COLUMNS($F$7:AL$7),"",INDEX(TableDiv[[GASB]:[GASB]],_xlfn.AGGREGATE(15,3,(TableDiv[[Agency]:[Agency]]=$E361)/(TableDiv[[Agency]:[Agency]]=$E361)*(ROW(TableDiv[Agency])-ROW(TableDiv[[#Headers],[Agency]])),COLUMNS($F$7:AL$7))))</f>
        <v/>
      </c>
      <c r="AM361" s="2223" t="str" cm="1">
        <f t="array" ref="AM361">IF($D361&lt;COLUMNS($F$7:AM$7),"",INDEX(TableDiv[[GASB]:[GASB]],_xlfn.AGGREGATE(15,3,(TableDiv[[Agency]:[Agency]]=$E361)/(TableDiv[[Agency]:[Agency]]=$E361)*(ROW(TableDiv[Agency])-ROW(TableDiv[[#Headers],[Agency]])),COLUMNS($F$7:AM$7))))</f>
        <v/>
      </c>
      <c r="AN361" s="2223"/>
      <c r="AO361" s="2223"/>
      <c r="AP361" s="2223"/>
      <c r="AQ361" s="2223"/>
      <c r="AR361" s="2223"/>
      <c r="AS361" s="2223"/>
    </row>
    <row r="362" spans="1:45" ht="15" x14ac:dyDescent="0.25">
      <c r="A362" s="2219" t="s">
        <v>5134</v>
      </c>
      <c r="B362" s="2219" t="s">
        <v>5057</v>
      </c>
      <c r="C362" s="2223"/>
      <c r="D362" s="2223">
        <f>COUNTIF(TableDiv[Agency],E362)</f>
        <v>31</v>
      </c>
      <c r="E362" s="2230" t="str" cm="1">
        <f t="array" ref="E362">IFERROR(INDEX(TableDiv[Agency],MATCH(0,INDEX(COUNTIF($E$7:E361,TableDiv[Agency]),),0)),"")</f>
        <v/>
      </c>
      <c r="F362" s="2223" cm="1">
        <f t="array" ref="F362">IF($D362&lt;COLUMNS($F$7:F$7),"",INDEX(TableDiv[[GASB]:[GASB]],_xlfn.AGGREGATE(15,3,(TableDiv[[Agency]:[Agency]]=$E362)/(TableDiv[[Agency]:[Agency]]=$E362)*(ROW(TableDiv[Agency])-ROW(TableDiv[[#Headers],[Agency]])),COLUMNS($F$7:F$7))))</f>
        <v>0</v>
      </c>
      <c r="G362" s="2223" cm="1">
        <f t="array" ref="G362">IF($D362&lt;COLUMNS($F$7:G$7),"",INDEX(TableDiv[[GASB]:[GASB]],_xlfn.AGGREGATE(15,3,(TableDiv[[Agency]:[Agency]]=$E362)/(TableDiv[[Agency]:[Agency]]=$E362)*(ROW(TableDiv[Agency])-ROW(TableDiv[[#Headers],[Agency]])),COLUMNS($F$7:G$7))))</f>
        <v>0</v>
      </c>
      <c r="H362" s="2223" cm="1">
        <f t="array" ref="H362">IF($D362&lt;COLUMNS($F$7:H$7),"",INDEX(TableDiv[[GASB]:[GASB]],_xlfn.AGGREGATE(15,3,(TableDiv[[Agency]:[Agency]]=$E362)/(TableDiv[[Agency]:[Agency]]=$E362)*(ROW(TableDiv[Agency])-ROW(TableDiv[[#Headers],[Agency]])),COLUMNS($F$7:H$7))))</f>
        <v>0</v>
      </c>
      <c r="I362" s="2223" cm="1">
        <f t="array" ref="I362">IF($D362&lt;COLUMNS($F$7:I$7),"",INDEX(TableDiv[[GASB]:[GASB]],_xlfn.AGGREGATE(15,3,(TableDiv[[Agency]:[Agency]]=$E362)/(TableDiv[[Agency]:[Agency]]=$E362)*(ROW(TableDiv[Agency])-ROW(TableDiv[[#Headers],[Agency]])),COLUMNS($F$7:I$7))))</f>
        <v>0</v>
      </c>
      <c r="J362" s="2223" cm="1">
        <f t="array" ref="J362">IF($D362&lt;COLUMNS($F$7:J$7),"",INDEX(TableDiv[[GASB]:[GASB]],_xlfn.AGGREGATE(15,3,(TableDiv[[Agency]:[Agency]]=$E362)/(TableDiv[[Agency]:[Agency]]=$E362)*(ROW(TableDiv[Agency])-ROW(TableDiv[[#Headers],[Agency]])),COLUMNS($F$7:J$7))))</f>
        <v>0</v>
      </c>
      <c r="K362" s="2223" cm="1">
        <f t="array" ref="K362">IF($D362&lt;COLUMNS($F$7:K$7),"",INDEX(TableDiv[[GASB]:[GASB]],_xlfn.AGGREGATE(15,3,(TableDiv[[Agency]:[Agency]]=$E362)/(TableDiv[[Agency]:[Agency]]=$E362)*(ROW(TableDiv[Agency])-ROW(TableDiv[[#Headers],[Agency]])),COLUMNS($F$7:K$7))))</f>
        <v>0</v>
      </c>
      <c r="L362" s="2223" cm="1">
        <f t="array" ref="L362">IF($D362&lt;COLUMNS($F$7:L$7),"",INDEX(TableDiv[[GASB]:[GASB]],_xlfn.AGGREGATE(15,3,(TableDiv[[Agency]:[Agency]]=$E362)/(TableDiv[[Agency]:[Agency]]=$E362)*(ROW(TableDiv[Agency])-ROW(TableDiv[[#Headers],[Agency]])),COLUMNS($F$7:L$7))))</f>
        <v>0</v>
      </c>
      <c r="M362" s="2223" cm="1">
        <f t="array" ref="M362">IF($D362&lt;COLUMNS($F$7:M$7),"",INDEX(TableDiv[[GASB]:[GASB]],_xlfn.AGGREGATE(15,3,(TableDiv[[Agency]:[Agency]]=$E362)/(TableDiv[[Agency]:[Agency]]=$E362)*(ROW(TableDiv[Agency])-ROW(TableDiv[[#Headers],[Agency]])),COLUMNS($F$7:M$7))))</f>
        <v>0</v>
      </c>
      <c r="N362" s="2223" cm="1">
        <f t="array" ref="N362">IF($D362&lt;COLUMNS($F$7:N$7),"",INDEX(TableDiv[[GASB]:[GASB]],_xlfn.AGGREGATE(15,3,(TableDiv[[Agency]:[Agency]]=$E362)/(TableDiv[[Agency]:[Agency]]=$E362)*(ROW(TableDiv[Agency])-ROW(TableDiv[[#Headers],[Agency]])),COLUMNS($F$7:N$7))))</f>
        <v>0</v>
      </c>
      <c r="O362" s="2223" cm="1">
        <f t="array" ref="O362">IF($D362&lt;COLUMNS($F$7:O$7),"",INDEX(TableDiv[[GASB]:[GASB]],_xlfn.AGGREGATE(15,3,(TableDiv[[Agency]:[Agency]]=$E362)/(TableDiv[[Agency]:[Agency]]=$E362)*(ROW(TableDiv[Agency])-ROW(TableDiv[[#Headers],[Agency]])),COLUMNS($F$7:O$7))))</f>
        <v>0</v>
      </c>
      <c r="P362" s="2223" cm="1">
        <f t="array" ref="P362">IF($D362&lt;COLUMNS($F$7:P$7),"",INDEX(TableDiv[[GASB]:[GASB]],_xlfn.AGGREGATE(15,3,(TableDiv[[Agency]:[Agency]]=$E362)/(TableDiv[[Agency]:[Agency]]=$E362)*(ROW(TableDiv[Agency])-ROW(TableDiv[[#Headers],[Agency]])),COLUMNS($F$7:P$7))))</f>
        <v>0</v>
      </c>
      <c r="Q362" s="2223" cm="1">
        <f t="array" ref="Q362">IF($D362&lt;COLUMNS($F$7:Q$7),"",INDEX(TableDiv[[GASB]:[GASB]],_xlfn.AGGREGATE(15,3,(TableDiv[[Agency]:[Agency]]=$E362)/(TableDiv[[Agency]:[Agency]]=$E362)*(ROW(TableDiv[Agency])-ROW(TableDiv[[#Headers],[Agency]])),COLUMNS($F$7:Q$7))))</f>
        <v>0</v>
      </c>
      <c r="R362" s="2223" cm="1">
        <f t="array" ref="R362">IF($D362&lt;COLUMNS($F$7:R$7),"",INDEX(TableDiv[[GASB]:[GASB]],_xlfn.AGGREGATE(15,3,(TableDiv[[Agency]:[Agency]]=$E362)/(TableDiv[[Agency]:[Agency]]=$E362)*(ROW(TableDiv[Agency])-ROW(TableDiv[[#Headers],[Agency]])),COLUMNS($F$7:R$7))))</f>
        <v>0</v>
      </c>
      <c r="S362" s="2223" cm="1">
        <f t="array" ref="S362">IF($D362&lt;COLUMNS($F$7:S$7),"",INDEX(TableDiv[[GASB]:[GASB]],_xlfn.AGGREGATE(15,3,(TableDiv[[Agency]:[Agency]]=$E362)/(TableDiv[[Agency]:[Agency]]=$E362)*(ROW(TableDiv[Agency])-ROW(TableDiv[[#Headers],[Agency]])),COLUMNS($F$7:S$7))))</f>
        <v>0</v>
      </c>
      <c r="T362" s="2223" cm="1">
        <f t="array" ref="T362">IF($D362&lt;COLUMNS($F$7:T$7),"",INDEX(TableDiv[[GASB]:[GASB]],_xlfn.AGGREGATE(15,3,(TableDiv[[Agency]:[Agency]]=$E362)/(TableDiv[[Agency]:[Agency]]=$E362)*(ROW(TableDiv[Agency])-ROW(TableDiv[[#Headers],[Agency]])),COLUMNS($F$7:T$7))))</f>
        <v>0</v>
      </c>
      <c r="U362" s="2223" cm="1">
        <f t="array" ref="U362">IF($D362&lt;COLUMNS($F$7:U$7),"",INDEX(TableDiv[[GASB]:[GASB]],_xlfn.AGGREGATE(15,3,(TableDiv[[Agency]:[Agency]]=$E362)/(TableDiv[[Agency]:[Agency]]=$E362)*(ROW(TableDiv[Agency])-ROW(TableDiv[[#Headers],[Agency]])),COLUMNS($F$7:U$7))))</f>
        <v>0</v>
      </c>
      <c r="V362" s="2223" cm="1">
        <f t="array" ref="V362">IF($D362&lt;COLUMNS($F$7:V$7),"",INDEX(TableDiv[[GASB]:[GASB]],_xlfn.AGGREGATE(15,3,(TableDiv[[Agency]:[Agency]]=$E362)/(TableDiv[[Agency]:[Agency]]=$E362)*(ROW(TableDiv[Agency])-ROW(TableDiv[[#Headers],[Agency]])),COLUMNS($F$7:V$7))))</f>
        <v>0</v>
      </c>
      <c r="W362" s="2223" cm="1">
        <f t="array" ref="W362">IF($D362&lt;COLUMNS($F$7:W$7),"",INDEX(TableDiv[[GASB]:[GASB]],_xlfn.AGGREGATE(15,3,(TableDiv[[Agency]:[Agency]]=$E362)/(TableDiv[[Agency]:[Agency]]=$E362)*(ROW(TableDiv[Agency])-ROW(TableDiv[[#Headers],[Agency]])),COLUMNS($F$7:W$7))))</f>
        <v>0</v>
      </c>
      <c r="X362" s="2223" cm="1">
        <f t="array" ref="X362">IF($D362&lt;COLUMNS($F$7:X$7),"",INDEX(TableDiv[[GASB]:[GASB]],_xlfn.AGGREGATE(15,3,(TableDiv[[Agency]:[Agency]]=$E362)/(TableDiv[[Agency]:[Agency]]=$E362)*(ROW(TableDiv[Agency])-ROW(TableDiv[[#Headers],[Agency]])),COLUMNS($F$7:X$7))))</f>
        <v>0</v>
      </c>
      <c r="Y362" s="2223" cm="1">
        <f t="array" ref="Y362">IF($D362&lt;COLUMNS($F$7:Y$7),"",INDEX(TableDiv[[GASB]:[GASB]],_xlfn.AGGREGATE(15,3,(TableDiv[[Agency]:[Agency]]=$E362)/(TableDiv[[Agency]:[Agency]]=$E362)*(ROW(TableDiv[Agency])-ROW(TableDiv[[#Headers],[Agency]])),COLUMNS($F$7:Y$7))))</f>
        <v>0</v>
      </c>
      <c r="Z362" s="2223" cm="1">
        <f t="array" ref="Z362">IF($D362&lt;COLUMNS($F$7:Z$7),"",INDEX(TableDiv[[GASB]:[GASB]],_xlfn.AGGREGATE(15,3,(TableDiv[[Agency]:[Agency]]=$E362)/(TableDiv[[Agency]:[Agency]]=$E362)*(ROW(TableDiv[Agency])-ROW(TableDiv[[#Headers],[Agency]])),COLUMNS($F$7:Z$7))))</f>
        <v>0</v>
      </c>
      <c r="AA362" s="2223" cm="1">
        <f t="array" ref="AA362">IF($D362&lt;COLUMNS($F$7:AA$7),"",INDEX(TableDiv[[GASB]:[GASB]],_xlfn.AGGREGATE(15,3,(TableDiv[[Agency]:[Agency]]=$E362)/(TableDiv[[Agency]:[Agency]]=$E362)*(ROW(TableDiv[Agency])-ROW(TableDiv[[#Headers],[Agency]])),COLUMNS($F$7:AA$7))))</f>
        <v>0</v>
      </c>
      <c r="AB362" s="2223" cm="1">
        <f t="array" ref="AB362">IF($D362&lt;COLUMNS($F$7:AB$7),"",INDEX(TableDiv[[GASB]:[GASB]],_xlfn.AGGREGATE(15,3,(TableDiv[[Agency]:[Agency]]=$E362)/(TableDiv[[Agency]:[Agency]]=$E362)*(ROW(TableDiv[Agency])-ROW(TableDiv[[#Headers],[Agency]])),COLUMNS($F$7:AB$7))))</f>
        <v>0</v>
      </c>
      <c r="AC362" s="2223" cm="1">
        <f t="array" ref="AC362">IF($D362&lt;COLUMNS($F$7:AC$7),"",INDEX(TableDiv[[GASB]:[GASB]],_xlfn.AGGREGATE(15,3,(TableDiv[[Agency]:[Agency]]=$E362)/(TableDiv[[Agency]:[Agency]]=$E362)*(ROW(TableDiv[Agency])-ROW(TableDiv[[#Headers],[Agency]])),COLUMNS($F$7:AC$7))))</f>
        <v>0</v>
      </c>
      <c r="AD362" s="2223" cm="1">
        <f t="array" ref="AD362">IF($D362&lt;COLUMNS($F$7:AD$7),"",INDEX(TableDiv[[GASB]:[GASB]],_xlfn.AGGREGATE(15,3,(TableDiv[[Agency]:[Agency]]=$E362)/(TableDiv[[Agency]:[Agency]]=$E362)*(ROW(TableDiv[Agency])-ROW(TableDiv[[#Headers],[Agency]])),COLUMNS($F$7:AD$7))))</f>
        <v>0</v>
      </c>
      <c r="AE362" s="2223" cm="1">
        <f t="array" ref="AE362">IF($D362&lt;COLUMNS($F$7:AE$7),"",INDEX(TableDiv[[GASB]:[GASB]],_xlfn.AGGREGATE(15,3,(TableDiv[[Agency]:[Agency]]=$E362)/(TableDiv[[Agency]:[Agency]]=$E362)*(ROW(TableDiv[Agency])-ROW(TableDiv[[#Headers],[Agency]])),COLUMNS($F$7:AE$7))))</f>
        <v>0</v>
      </c>
      <c r="AF362" s="2223" cm="1">
        <f t="array" ref="AF362">IF($D362&lt;COLUMNS($F$7:AF$7),"",INDEX(TableDiv[[GASB]:[GASB]],_xlfn.AGGREGATE(15,3,(TableDiv[[Agency]:[Agency]]=$E362)/(TableDiv[[Agency]:[Agency]]=$E362)*(ROW(TableDiv[Agency])-ROW(TableDiv[[#Headers],[Agency]])),COLUMNS($F$7:AF$7))))</f>
        <v>0</v>
      </c>
      <c r="AG362" s="2223" cm="1">
        <f t="array" ref="AG362">IF($D362&lt;COLUMNS($F$7:AG$7),"",INDEX(TableDiv[[GASB]:[GASB]],_xlfn.AGGREGATE(15,3,(TableDiv[[Agency]:[Agency]]=$E362)/(TableDiv[[Agency]:[Agency]]=$E362)*(ROW(TableDiv[Agency])-ROW(TableDiv[[#Headers],[Agency]])),COLUMNS($F$7:AG$7))))</f>
        <v>0</v>
      </c>
      <c r="AH362" s="2223" cm="1">
        <f t="array" ref="AH362">IF($D362&lt;COLUMNS($F$7:AH$7),"",INDEX(TableDiv[[GASB]:[GASB]],_xlfn.AGGREGATE(15,3,(TableDiv[[Agency]:[Agency]]=$E362)/(TableDiv[[Agency]:[Agency]]=$E362)*(ROW(TableDiv[Agency])-ROW(TableDiv[[#Headers],[Agency]])),COLUMNS($F$7:AH$7))))</f>
        <v>0</v>
      </c>
      <c r="AI362" s="2223" cm="1">
        <f t="array" ref="AI362">IF($D362&lt;COLUMNS($F$7:AI$7),"",INDEX(TableDiv[[GASB]:[GASB]],_xlfn.AGGREGATE(15,3,(TableDiv[[Agency]:[Agency]]=$E362)/(TableDiv[[Agency]:[Agency]]=$E362)*(ROW(TableDiv[Agency])-ROW(TableDiv[[#Headers],[Agency]])),COLUMNS($F$7:AI$7))))</f>
        <v>0</v>
      </c>
      <c r="AJ362" s="2223" cm="1">
        <f t="array" ref="AJ362">IF($D362&lt;COLUMNS($F$7:AJ$7),"",INDEX(TableDiv[[GASB]:[GASB]],_xlfn.AGGREGATE(15,3,(TableDiv[[Agency]:[Agency]]=$E362)/(TableDiv[[Agency]:[Agency]]=$E362)*(ROW(TableDiv[Agency])-ROW(TableDiv[[#Headers],[Agency]])),COLUMNS($F$7:AJ$7))))</f>
        <v>0</v>
      </c>
      <c r="AK362" s="2223" t="str" cm="1">
        <f t="array" ref="AK362">IF($D362&lt;COLUMNS($F$7:AK$7),"",INDEX(TableDiv[[GASB]:[GASB]],_xlfn.AGGREGATE(15,3,(TableDiv[[Agency]:[Agency]]=$E362)/(TableDiv[[Agency]:[Agency]]=$E362)*(ROW(TableDiv[Agency])-ROW(TableDiv[[#Headers],[Agency]])),COLUMNS($F$7:AK$7))))</f>
        <v/>
      </c>
      <c r="AL362" s="2223" t="str" cm="1">
        <f t="array" ref="AL362">IF($D362&lt;COLUMNS($F$7:AL$7),"",INDEX(TableDiv[[GASB]:[GASB]],_xlfn.AGGREGATE(15,3,(TableDiv[[Agency]:[Agency]]=$E362)/(TableDiv[[Agency]:[Agency]]=$E362)*(ROW(TableDiv[Agency])-ROW(TableDiv[[#Headers],[Agency]])),COLUMNS($F$7:AL$7))))</f>
        <v/>
      </c>
      <c r="AM362" s="2223" t="str" cm="1">
        <f t="array" ref="AM362">IF($D362&lt;COLUMNS($F$7:AM$7),"",INDEX(TableDiv[[GASB]:[GASB]],_xlfn.AGGREGATE(15,3,(TableDiv[[Agency]:[Agency]]=$E362)/(TableDiv[[Agency]:[Agency]]=$E362)*(ROW(TableDiv[Agency])-ROW(TableDiv[[#Headers],[Agency]])),COLUMNS($F$7:AM$7))))</f>
        <v/>
      </c>
      <c r="AN362" s="2223"/>
      <c r="AO362" s="2223"/>
      <c r="AP362" s="2223"/>
      <c r="AQ362" s="2223"/>
      <c r="AR362" s="2223"/>
      <c r="AS362" s="2223"/>
    </row>
    <row r="363" spans="1:45" ht="15" x14ac:dyDescent="0.25">
      <c r="A363" s="2219" t="s">
        <v>5135</v>
      </c>
      <c r="B363" s="2219" t="s">
        <v>5059</v>
      </c>
      <c r="C363" s="2223"/>
      <c r="D363" s="2223">
        <f>COUNTIF(TableDiv[Agency],E363)</f>
        <v>31</v>
      </c>
      <c r="E363" s="2230" t="str" cm="1">
        <f t="array" ref="E363">IFERROR(INDEX(TableDiv[Agency],MATCH(0,INDEX(COUNTIF($E$7:E362,TableDiv[Agency]),),0)),"")</f>
        <v/>
      </c>
      <c r="F363" s="2223" cm="1">
        <f t="array" ref="F363">IF($D363&lt;COLUMNS($F$7:F$7),"",INDEX(TableDiv[[GASB]:[GASB]],_xlfn.AGGREGATE(15,3,(TableDiv[[Agency]:[Agency]]=$E363)/(TableDiv[[Agency]:[Agency]]=$E363)*(ROW(TableDiv[Agency])-ROW(TableDiv[[#Headers],[Agency]])),COLUMNS($F$7:F$7))))</f>
        <v>0</v>
      </c>
      <c r="G363" s="2223" cm="1">
        <f t="array" ref="G363">IF($D363&lt;COLUMNS($F$7:G$7),"",INDEX(TableDiv[[GASB]:[GASB]],_xlfn.AGGREGATE(15,3,(TableDiv[[Agency]:[Agency]]=$E363)/(TableDiv[[Agency]:[Agency]]=$E363)*(ROW(TableDiv[Agency])-ROW(TableDiv[[#Headers],[Agency]])),COLUMNS($F$7:G$7))))</f>
        <v>0</v>
      </c>
      <c r="H363" s="2223" cm="1">
        <f t="array" ref="H363">IF($D363&lt;COLUMNS($F$7:H$7),"",INDEX(TableDiv[[GASB]:[GASB]],_xlfn.AGGREGATE(15,3,(TableDiv[[Agency]:[Agency]]=$E363)/(TableDiv[[Agency]:[Agency]]=$E363)*(ROW(TableDiv[Agency])-ROW(TableDiv[[#Headers],[Agency]])),COLUMNS($F$7:H$7))))</f>
        <v>0</v>
      </c>
      <c r="I363" s="2223" cm="1">
        <f t="array" ref="I363">IF($D363&lt;COLUMNS($F$7:I$7),"",INDEX(TableDiv[[GASB]:[GASB]],_xlfn.AGGREGATE(15,3,(TableDiv[[Agency]:[Agency]]=$E363)/(TableDiv[[Agency]:[Agency]]=$E363)*(ROW(TableDiv[Agency])-ROW(TableDiv[[#Headers],[Agency]])),COLUMNS($F$7:I$7))))</f>
        <v>0</v>
      </c>
      <c r="J363" s="2223" cm="1">
        <f t="array" ref="J363">IF($D363&lt;COLUMNS($F$7:J$7),"",INDEX(TableDiv[[GASB]:[GASB]],_xlfn.AGGREGATE(15,3,(TableDiv[[Agency]:[Agency]]=$E363)/(TableDiv[[Agency]:[Agency]]=$E363)*(ROW(TableDiv[Agency])-ROW(TableDiv[[#Headers],[Agency]])),COLUMNS($F$7:J$7))))</f>
        <v>0</v>
      </c>
      <c r="K363" s="2223" cm="1">
        <f t="array" ref="K363">IF($D363&lt;COLUMNS($F$7:K$7),"",INDEX(TableDiv[[GASB]:[GASB]],_xlfn.AGGREGATE(15,3,(TableDiv[[Agency]:[Agency]]=$E363)/(TableDiv[[Agency]:[Agency]]=$E363)*(ROW(TableDiv[Agency])-ROW(TableDiv[[#Headers],[Agency]])),COLUMNS($F$7:K$7))))</f>
        <v>0</v>
      </c>
      <c r="L363" s="2223" cm="1">
        <f t="array" ref="L363">IF($D363&lt;COLUMNS($F$7:L$7),"",INDEX(TableDiv[[GASB]:[GASB]],_xlfn.AGGREGATE(15,3,(TableDiv[[Agency]:[Agency]]=$E363)/(TableDiv[[Agency]:[Agency]]=$E363)*(ROW(TableDiv[Agency])-ROW(TableDiv[[#Headers],[Agency]])),COLUMNS($F$7:L$7))))</f>
        <v>0</v>
      </c>
      <c r="M363" s="2223" cm="1">
        <f t="array" ref="M363">IF($D363&lt;COLUMNS($F$7:M$7),"",INDEX(TableDiv[[GASB]:[GASB]],_xlfn.AGGREGATE(15,3,(TableDiv[[Agency]:[Agency]]=$E363)/(TableDiv[[Agency]:[Agency]]=$E363)*(ROW(TableDiv[Agency])-ROW(TableDiv[[#Headers],[Agency]])),COLUMNS($F$7:M$7))))</f>
        <v>0</v>
      </c>
      <c r="N363" s="2223" cm="1">
        <f t="array" ref="N363">IF($D363&lt;COLUMNS($F$7:N$7),"",INDEX(TableDiv[[GASB]:[GASB]],_xlfn.AGGREGATE(15,3,(TableDiv[[Agency]:[Agency]]=$E363)/(TableDiv[[Agency]:[Agency]]=$E363)*(ROW(TableDiv[Agency])-ROW(TableDiv[[#Headers],[Agency]])),COLUMNS($F$7:N$7))))</f>
        <v>0</v>
      </c>
      <c r="O363" s="2223" cm="1">
        <f t="array" ref="O363">IF($D363&lt;COLUMNS($F$7:O$7),"",INDEX(TableDiv[[GASB]:[GASB]],_xlfn.AGGREGATE(15,3,(TableDiv[[Agency]:[Agency]]=$E363)/(TableDiv[[Agency]:[Agency]]=$E363)*(ROW(TableDiv[Agency])-ROW(TableDiv[[#Headers],[Agency]])),COLUMNS($F$7:O$7))))</f>
        <v>0</v>
      </c>
      <c r="P363" s="2223" cm="1">
        <f t="array" ref="P363">IF($D363&lt;COLUMNS($F$7:P$7),"",INDEX(TableDiv[[GASB]:[GASB]],_xlfn.AGGREGATE(15,3,(TableDiv[[Agency]:[Agency]]=$E363)/(TableDiv[[Agency]:[Agency]]=$E363)*(ROW(TableDiv[Agency])-ROW(TableDiv[[#Headers],[Agency]])),COLUMNS($F$7:P$7))))</f>
        <v>0</v>
      </c>
      <c r="Q363" s="2223" cm="1">
        <f t="array" ref="Q363">IF($D363&lt;COLUMNS($F$7:Q$7),"",INDEX(TableDiv[[GASB]:[GASB]],_xlfn.AGGREGATE(15,3,(TableDiv[[Agency]:[Agency]]=$E363)/(TableDiv[[Agency]:[Agency]]=$E363)*(ROW(TableDiv[Agency])-ROW(TableDiv[[#Headers],[Agency]])),COLUMNS($F$7:Q$7))))</f>
        <v>0</v>
      </c>
      <c r="R363" s="2223" cm="1">
        <f t="array" ref="R363">IF($D363&lt;COLUMNS($F$7:R$7),"",INDEX(TableDiv[[GASB]:[GASB]],_xlfn.AGGREGATE(15,3,(TableDiv[[Agency]:[Agency]]=$E363)/(TableDiv[[Agency]:[Agency]]=$E363)*(ROW(TableDiv[Agency])-ROW(TableDiv[[#Headers],[Agency]])),COLUMNS($F$7:R$7))))</f>
        <v>0</v>
      </c>
      <c r="S363" s="2223" cm="1">
        <f t="array" ref="S363">IF($D363&lt;COLUMNS($F$7:S$7),"",INDEX(TableDiv[[GASB]:[GASB]],_xlfn.AGGREGATE(15,3,(TableDiv[[Agency]:[Agency]]=$E363)/(TableDiv[[Agency]:[Agency]]=$E363)*(ROW(TableDiv[Agency])-ROW(TableDiv[[#Headers],[Agency]])),COLUMNS($F$7:S$7))))</f>
        <v>0</v>
      </c>
      <c r="T363" s="2223" cm="1">
        <f t="array" ref="T363">IF($D363&lt;COLUMNS($F$7:T$7),"",INDEX(TableDiv[[GASB]:[GASB]],_xlfn.AGGREGATE(15,3,(TableDiv[[Agency]:[Agency]]=$E363)/(TableDiv[[Agency]:[Agency]]=$E363)*(ROW(TableDiv[Agency])-ROW(TableDiv[[#Headers],[Agency]])),COLUMNS($F$7:T$7))))</f>
        <v>0</v>
      </c>
      <c r="U363" s="2223" cm="1">
        <f t="array" ref="U363">IF($D363&lt;COLUMNS($F$7:U$7),"",INDEX(TableDiv[[GASB]:[GASB]],_xlfn.AGGREGATE(15,3,(TableDiv[[Agency]:[Agency]]=$E363)/(TableDiv[[Agency]:[Agency]]=$E363)*(ROW(TableDiv[Agency])-ROW(TableDiv[[#Headers],[Agency]])),COLUMNS($F$7:U$7))))</f>
        <v>0</v>
      </c>
      <c r="V363" s="2223" cm="1">
        <f t="array" ref="V363">IF($D363&lt;COLUMNS($F$7:V$7),"",INDEX(TableDiv[[GASB]:[GASB]],_xlfn.AGGREGATE(15,3,(TableDiv[[Agency]:[Agency]]=$E363)/(TableDiv[[Agency]:[Agency]]=$E363)*(ROW(TableDiv[Agency])-ROW(TableDiv[[#Headers],[Agency]])),COLUMNS($F$7:V$7))))</f>
        <v>0</v>
      </c>
      <c r="W363" s="2223" cm="1">
        <f t="array" ref="W363">IF($D363&lt;COLUMNS($F$7:W$7),"",INDEX(TableDiv[[GASB]:[GASB]],_xlfn.AGGREGATE(15,3,(TableDiv[[Agency]:[Agency]]=$E363)/(TableDiv[[Agency]:[Agency]]=$E363)*(ROW(TableDiv[Agency])-ROW(TableDiv[[#Headers],[Agency]])),COLUMNS($F$7:W$7))))</f>
        <v>0</v>
      </c>
      <c r="X363" s="2223" cm="1">
        <f t="array" ref="X363">IF($D363&lt;COLUMNS($F$7:X$7),"",INDEX(TableDiv[[GASB]:[GASB]],_xlfn.AGGREGATE(15,3,(TableDiv[[Agency]:[Agency]]=$E363)/(TableDiv[[Agency]:[Agency]]=$E363)*(ROW(TableDiv[Agency])-ROW(TableDiv[[#Headers],[Agency]])),COLUMNS($F$7:X$7))))</f>
        <v>0</v>
      </c>
      <c r="Y363" s="2223" cm="1">
        <f t="array" ref="Y363">IF($D363&lt;COLUMNS($F$7:Y$7),"",INDEX(TableDiv[[GASB]:[GASB]],_xlfn.AGGREGATE(15,3,(TableDiv[[Agency]:[Agency]]=$E363)/(TableDiv[[Agency]:[Agency]]=$E363)*(ROW(TableDiv[Agency])-ROW(TableDiv[[#Headers],[Agency]])),COLUMNS($F$7:Y$7))))</f>
        <v>0</v>
      </c>
      <c r="Z363" s="2223" cm="1">
        <f t="array" ref="Z363">IF($D363&lt;COLUMNS($F$7:Z$7),"",INDEX(TableDiv[[GASB]:[GASB]],_xlfn.AGGREGATE(15,3,(TableDiv[[Agency]:[Agency]]=$E363)/(TableDiv[[Agency]:[Agency]]=$E363)*(ROW(TableDiv[Agency])-ROW(TableDiv[[#Headers],[Agency]])),COLUMNS($F$7:Z$7))))</f>
        <v>0</v>
      </c>
      <c r="AA363" s="2223" cm="1">
        <f t="array" ref="AA363">IF($D363&lt;COLUMNS($F$7:AA$7),"",INDEX(TableDiv[[GASB]:[GASB]],_xlfn.AGGREGATE(15,3,(TableDiv[[Agency]:[Agency]]=$E363)/(TableDiv[[Agency]:[Agency]]=$E363)*(ROW(TableDiv[Agency])-ROW(TableDiv[[#Headers],[Agency]])),COLUMNS($F$7:AA$7))))</f>
        <v>0</v>
      </c>
      <c r="AB363" s="2223" cm="1">
        <f t="array" ref="AB363">IF($D363&lt;COLUMNS($F$7:AB$7),"",INDEX(TableDiv[[GASB]:[GASB]],_xlfn.AGGREGATE(15,3,(TableDiv[[Agency]:[Agency]]=$E363)/(TableDiv[[Agency]:[Agency]]=$E363)*(ROW(TableDiv[Agency])-ROW(TableDiv[[#Headers],[Agency]])),COLUMNS($F$7:AB$7))))</f>
        <v>0</v>
      </c>
      <c r="AC363" s="2223" cm="1">
        <f t="array" ref="AC363">IF($D363&lt;COLUMNS($F$7:AC$7),"",INDEX(TableDiv[[GASB]:[GASB]],_xlfn.AGGREGATE(15,3,(TableDiv[[Agency]:[Agency]]=$E363)/(TableDiv[[Agency]:[Agency]]=$E363)*(ROW(TableDiv[Agency])-ROW(TableDiv[[#Headers],[Agency]])),COLUMNS($F$7:AC$7))))</f>
        <v>0</v>
      </c>
      <c r="AD363" s="2223" cm="1">
        <f t="array" ref="AD363">IF($D363&lt;COLUMNS($F$7:AD$7),"",INDEX(TableDiv[[GASB]:[GASB]],_xlfn.AGGREGATE(15,3,(TableDiv[[Agency]:[Agency]]=$E363)/(TableDiv[[Agency]:[Agency]]=$E363)*(ROW(TableDiv[Agency])-ROW(TableDiv[[#Headers],[Agency]])),COLUMNS($F$7:AD$7))))</f>
        <v>0</v>
      </c>
      <c r="AE363" s="2223" cm="1">
        <f t="array" ref="AE363">IF($D363&lt;COLUMNS($F$7:AE$7),"",INDEX(TableDiv[[GASB]:[GASB]],_xlfn.AGGREGATE(15,3,(TableDiv[[Agency]:[Agency]]=$E363)/(TableDiv[[Agency]:[Agency]]=$E363)*(ROW(TableDiv[Agency])-ROW(TableDiv[[#Headers],[Agency]])),COLUMNS($F$7:AE$7))))</f>
        <v>0</v>
      </c>
      <c r="AF363" s="2223" cm="1">
        <f t="array" ref="AF363">IF($D363&lt;COLUMNS($F$7:AF$7),"",INDEX(TableDiv[[GASB]:[GASB]],_xlfn.AGGREGATE(15,3,(TableDiv[[Agency]:[Agency]]=$E363)/(TableDiv[[Agency]:[Agency]]=$E363)*(ROW(TableDiv[Agency])-ROW(TableDiv[[#Headers],[Agency]])),COLUMNS($F$7:AF$7))))</f>
        <v>0</v>
      </c>
      <c r="AG363" s="2223" cm="1">
        <f t="array" ref="AG363">IF($D363&lt;COLUMNS($F$7:AG$7),"",INDEX(TableDiv[[GASB]:[GASB]],_xlfn.AGGREGATE(15,3,(TableDiv[[Agency]:[Agency]]=$E363)/(TableDiv[[Agency]:[Agency]]=$E363)*(ROW(TableDiv[Agency])-ROW(TableDiv[[#Headers],[Agency]])),COLUMNS($F$7:AG$7))))</f>
        <v>0</v>
      </c>
      <c r="AH363" s="2223" cm="1">
        <f t="array" ref="AH363">IF($D363&lt;COLUMNS($F$7:AH$7),"",INDEX(TableDiv[[GASB]:[GASB]],_xlfn.AGGREGATE(15,3,(TableDiv[[Agency]:[Agency]]=$E363)/(TableDiv[[Agency]:[Agency]]=$E363)*(ROW(TableDiv[Agency])-ROW(TableDiv[[#Headers],[Agency]])),COLUMNS($F$7:AH$7))))</f>
        <v>0</v>
      </c>
      <c r="AI363" s="2223" cm="1">
        <f t="array" ref="AI363">IF($D363&lt;COLUMNS($F$7:AI$7),"",INDEX(TableDiv[[GASB]:[GASB]],_xlfn.AGGREGATE(15,3,(TableDiv[[Agency]:[Agency]]=$E363)/(TableDiv[[Agency]:[Agency]]=$E363)*(ROW(TableDiv[Agency])-ROW(TableDiv[[#Headers],[Agency]])),COLUMNS($F$7:AI$7))))</f>
        <v>0</v>
      </c>
      <c r="AJ363" s="2223" cm="1">
        <f t="array" ref="AJ363">IF($D363&lt;COLUMNS($F$7:AJ$7),"",INDEX(TableDiv[[GASB]:[GASB]],_xlfn.AGGREGATE(15,3,(TableDiv[[Agency]:[Agency]]=$E363)/(TableDiv[[Agency]:[Agency]]=$E363)*(ROW(TableDiv[Agency])-ROW(TableDiv[[#Headers],[Agency]])),COLUMNS($F$7:AJ$7))))</f>
        <v>0</v>
      </c>
      <c r="AK363" s="2223" t="str" cm="1">
        <f t="array" ref="AK363">IF($D363&lt;COLUMNS($F$7:AK$7),"",INDEX(TableDiv[[GASB]:[GASB]],_xlfn.AGGREGATE(15,3,(TableDiv[[Agency]:[Agency]]=$E363)/(TableDiv[[Agency]:[Agency]]=$E363)*(ROW(TableDiv[Agency])-ROW(TableDiv[[#Headers],[Agency]])),COLUMNS($F$7:AK$7))))</f>
        <v/>
      </c>
      <c r="AL363" s="2223" t="str" cm="1">
        <f t="array" ref="AL363">IF($D363&lt;COLUMNS($F$7:AL$7),"",INDEX(TableDiv[[GASB]:[GASB]],_xlfn.AGGREGATE(15,3,(TableDiv[[Agency]:[Agency]]=$E363)/(TableDiv[[Agency]:[Agency]]=$E363)*(ROW(TableDiv[Agency])-ROW(TableDiv[[#Headers],[Agency]])),COLUMNS($F$7:AL$7))))</f>
        <v/>
      </c>
      <c r="AM363" s="2223" t="str" cm="1">
        <f t="array" ref="AM363">IF($D363&lt;COLUMNS($F$7:AM$7),"",INDEX(TableDiv[[GASB]:[GASB]],_xlfn.AGGREGATE(15,3,(TableDiv[[Agency]:[Agency]]=$E363)/(TableDiv[[Agency]:[Agency]]=$E363)*(ROW(TableDiv[Agency])-ROW(TableDiv[[#Headers],[Agency]])),COLUMNS($F$7:AM$7))))</f>
        <v/>
      </c>
      <c r="AN363" s="2223"/>
      <c r="AO363" s="2223"/>
      <c r="AP363" s="2223"/>
      <c r="AQ363" s="2223"/>
      <c r="AR363" s="2223"/>
      <c r="AS363" s="2223"/>
    </row>
    <row r="364" spans="1:45" ht="15" x14ac:dyDescent="0.25">
      <c r="A364" s="2219" t="s">
        <v>5136</v>
      </c>
      <c r="B364" s="2219" t="s">
        <v>5061</v>
      </c>
      <c r="C364" s="2223"/>
      <c r="D364" s="2223">
        <f>COUNTIF(TableDiv[Agency],E364)</f>
        <v>31</v>
      </c>
      <c r="E364" s="2230" t="str" cm="1">
        <f t="array" ref="E364">IFERROR(INDEX(TableDiv[Agency],MATCH(0,INDEX(COUNTIF($E$7:E363,TableDiv[Agency]),),0)),"")</f>
        <v/>
      </c>
      <c r="F364" s="2223" cm="1">
        <f t="array" ref="F364">IF($D364&lt;COLUMNS($F$7:F$7),"",INDEX(TableDiv[[GASB]:[GASB]],_xlfn.AGGREGATE(15,3,(TableDiv[[Agency]:[Agency]]=$E364)/(TableDiv[[Agency]:[Agency]]=$E364)*(ROW(TableDiv[Agency])-ROW(TableDiv[[#Headers],[Agency]])),COLUMNS($F$7:F$7))))</f>
        <v>0</v>
      </c>
      <c r="G364" s="2223" cm="1">
        <f t="array" ref="G364">IF($D364&lt;COLUMNS($F$7:G$7),"",INDEX(TableDiv[[GASB]:[GASB]],_xlfn.AGGREGATE(15,3,(TableDiv[[Agency]:[Agency]]=$E364)/(TableDiv[[Agency]:[Agency]]=$E364)*(ROW(TableDiv[Agency])-ROW(TableDiv[[#Headers],[Agency]])),COLUMNS($F$7:G$7))))</f>
        <v>0</v>
      </c>
      <c r="H364" s="2223" cm="1">
        <f t="array" ref="H364">IF($D364&lt;COLUMNS($F$7:H$7),"",INDEX(TableDiv[[GASB]:[GASB]],_xlfn.AGGREGATE(15,3,(TableDiv[[Agency]:[Agency]]=$E364)/(TableDiv[[Agency]:[Agency]]=$E364)*(ROW(TableDiv[Agency])-ROW(TableDiv[[#Headers],[Agency]])),COLUMNS($F$7:H$7))))</f>
        <v>0</v>
      </c>
      <c r="I364" s="2223" cm="1">
        <f t="array" ref="I364">IF($D364&lt;COLUMNS($F$7:I$7),"",INDEX(TableDiv[[GASB]:[GASB]],_xlfn.AGGREGATE(15,3,(TableDiv[[Agency]:[Agency]]=$E364)/(TableDiv[[Agency]:[Agency]]=$E364)*(ROW(TableDiv[Agency])-ROW(TableDiv[[#Headers],[Agency]])),COLUMNS($F$7:I$7))))</f>
        <v>0</v>
      </c>
      <c r="J364" s="2223" cm="1">
        <f t="array" ref="J364">IF($D364&lt;COLUMNS($F$7:J$7),"",INDEX(TableDiv[[GASB]:[GASB]],_xlfn.AGGREGATE(15,3,(TableDiv[[Agency]:[Agency]]=$E364)/(TableDiv[[Agency]:[Agency]]=$E364)*(ROW(TableDiv[Agency])-ROW(TableDiv[[#Headers],[Agency]])),COLUMNS($F$7:J$7))))</f>
        <v>0</v>
      </c>
      <c r="K364" s="2223" cm="1">
        <f t="array" ref="K364">IF($D364&lt;COLUMNS($F$7:K$7),"",INDEX(TableDiv[[GASB]:[GASB]],_xlfn.AGGREGATE(15,3,(TableDiv[[Agency]:[Agency]]=$E364)/(TableDiv[[Agency]:[Agency]]=$E364)*(ROW(TableDiv[Agency])-ROW(TableDiv[[#Headers],[Agency]])),COLUMNS($F$7:K$7))))</f>
        <v>0</v>
      </c>
      <c r="L364" s="2223" cm="1">
        <f t="array" ref="L364">IF($D364&lt;COLUMNS($F$7:L$7),"",INDEX(TableDiv[[GASB]:[GASB]],_xlfn.AGGREGATE(15,3,(TableDiv[[Agency]:[Agency]]=$E364)/(TableDiv[[Agency]:[Agency]]=$E364)*(ROW(TableDiv[Agency])-ROW(TableDiv[[#Headers],[Agency]])),COLUMNS($F$7:L$7))))</f>
        <v>0</v>
      </c>
      <c r="M364" s="2223" cm="1">
        <f t="array" ref="M364">IF($D364&lt;COLUMNS($F$7:M$7),"",INDEX(TableDiv[[GASB]:[GASB]],_xlfn.AGGREGATE(15,3,(TableDiv[[Agency]:[Agency]]=$E364)/(TableDiv[[Agency]:[Agency]]=$E364)*(ROW(TableDiv[Agency])-ROW(TableDiv[[#Headers],[Agency]])),COLUMNS($F$7:M$7))))</f>
        <v>0</v>
      </c>
      <c r="N364" s="2223" cm="1">
        <f t="array" ref="N364">IF($D364&lt;COLUMNS($F$7:N$7),"",INDEX(TableDiv[[GASB]:[GASB]],_xlfn.AGGREGATE(15,3,(TableDiv[[Agency]:[Agency]]=$E364)/(TableDiv[[Agency]:[Agency]]=$E364)*(ROW(TableDiv[Agency])-ROW(TableDiv[[#Headers],[Agency]])),COLUMNS($F$7:N$7))))</f>
        <v>0</v>
      </c>
      <c r="O364" s="2223" cm="1">
        <f t="array" ref="O364">IF($D364&lt;COLUMNS($F$7:O$7),"",INDEX(TableDiv[[GASB]:[GASB]],_xlfn.AGGREGATE(15,3,(TableDiv[[Agency]:[Agency]]=$E364)/(TableDiv[[Agency]:[Agency]]=$E364)*(ROW(TableDiv[Agency])-ROW(TableDiv[[#Headers],[Agency]])),COLUMNS($F$7:O$7))))</f>
        <v>0</v>
      </c>
      <c r="P364" s="2223" cm="1">
        <f t="array" ref="P364">IF($D364&lt;COLUMNS($F$7:P$7),"",INDEX(TableDiv[[GASB]:[GASB]],_xlfn.AGGREGATE(15,3,(TableDiv[[Agency]:[Agency]]=$E364)/(TableDiv[[Agency]:[Agency]]=$E364)*(ROW(TableDiv[Agency])-ROW(TableDiv[[#Headers],[Agency]])),COLUMNS($F$7:P$7))))</f>
        <v>0</v>
      </c>
      <c r="Q364" s="2223" cm="1">
        <f t="array" ref="Q364">IF($D364&lt;COLUMNS($F$7:Q$7),"",INDEX(TableDiv[[GASB]:[GASB]],_xlfn.AGGREGATE(15,3,(TableDiv[[Agency]:[Agency]]=$E364)/(TableDiv[[Agency]:[Agency]]=$E364)*(ROW(TableDiv[Agency])-ROW(TableDiv[[#Headers],[Agency]])),COLUMNS($F$7:Q$7))))</f>
        <v>0</v>
      </c>
      <c r="R364" s="2223" cm="1">
        <f t="array" ref="R364">IF($D364&lt;COLUMNS($F$7:R$7),"",INDEX(TableDiv[[GASB]:[GASB]],_xlfn.AGGREGATE(15,3,(TableDiv[[Agency]:[Agency]]=$E364)/(TableDiv[[Agency]:[Agency]]=$E364)*(ROW(TableDiv[Agency])-ROW(TableDiv[[#Headers],[Agency]])),COLUMNS($F$7:R$7))))</f>
        <v>0</v>
      </c>
      <c r="S364" s="2223" cm="1">
        <f t="array" ref="S364">IF($D364&lt;COLUMNS($F$7:S$7),"",INDEX(TableDiv[[GASB]:[GASB]],_xlfn.AGGREGATE(15,3,(TableDiv[[Agency]:[Agency]]=$E364)/(TableDiv[[Agency]:[Agency]]=$E364)*(ROW(TableDiv[Agency])-ROW(TableDiv[[#Headers],[Agency]])),COLUMNS($F$7:S$7))))</f>
        <v>0</v>
      </c>
      <c r="T364" s="2223" cm="1">
        <f t="array" ref="T364">IF($D364&lt;COLUMNS($F$7:T$7),"",INDEX(TableDiv[[GASB]:[GASB]],_xlfn.AGGREGATE(15,3,(TableDiv[[Agency]:[Agency]]=$E364)/(TableDiv[[Agency]:[Agency]]=$E364)*(ROW(TableDiv[Agency])-ROW(TableDiv[[#Headers],[Agency]])),COLUMNS($F$7:T$7))))</f>
        <v>0</v>
      </c>
      <c r="U364" s="2223" cm="1">
        <f t="array" ref="U364">IF($D364&lt;COLUMNS($F$7:U$7),"",INDEX(TableDiv[[GASB]:[GASB]],_xlfn.AGGREGATE(15,3,(TableDiv[[Agency]:[Agency]]=$E364)/(TableDiv[[Agency]:[Agency]]=$E364)*(ROW(TableDiv[Agency])-ROW(TableDiv[[#Headers],[Agency]])),COLUMNS($F$7:U$7))))</f>
        <v>0</v>
      </c>
      <c r="V364" s="2223" cm="1">
        <f t="array" ref="V364">IF($D364&lt;COLUMNS($F$7:V$7),"",INDEX(TableDiv[[GASB]:[GASB]],_xlfn.AGGREGATE(15,3,(TableDiv[[Agency]:[Agency]]=$E364)/(TableDiv[[Agency]:[Agency]]=$E364)*(ROW(TableDiv[Agency])-ROW(TableDiv[[#Headers],[Agency]])),COLUMNS($F$7:V$7))))</f>
        <v>0</v>
      </c>
      <c r="W364" s="2223" cm="1">
        <f t="array" ref="W364">IF($D364&lt;COLUMNS($F$7:W$7),"",INDEX(TableDiv[[GASB]:[GASB]],_xlfn.AGGREGATE(15,3,(TableDiv[[Agency]:[Agency]]=$E364)/(TableDiv[[Agency]:[Agency]]=$E364)*(ROW(TableDiv[Agency])-ROW(TableDiv[[#Headers],[Agency]])),COLUMNS($F$7:W$7))))</f>
        <v>0</v>
      </c>
      <c r="X364" s="2223" cm="1">
        <f t="array" ref="X364">IF($D364&lt;COLUMNS($F$7:X$7),"",INDEX(TableDiv[[GASB]:[GASB]],_xlfn.AGGREGATE(15,3,(TableDiv[[Agency]:[Agency]]=$E364)/(TableDiv[[Agency]:[Agency]]=$E364)*(ROW(TableDiv[Agency])-ROW(TableDiv[[#Headers],[Agency]])),COLUMNS($F$7:X$7))))</f>
        <v>0</v>
      </c>
      <c r="Y364" s="2223" cm="1">
        <f t="array" ref="Y364">IF($D364&lt;COLUMNS($F$7:Y$7),"",INDEX(TableDiv[[GASB]:[GASB]],_xlfn.AGGREGATE(15,3,(TableDiv[[Agency]:[Agency]]=$E364)/(TableDiv[[Agency]:[Agency]]=$E364)*(ROW(TableDiv[Agency])-ROW(TableDiv[[#Headers],[Agency]])),COLUMNS($F$7:Y$7))))</f>
        <v>0</v>
      </c>
      <c r="Z364" s="2223" cm="1">
        <f t="array" ref="Z364">IF($D364&lt;COLUMNS($F$7:Z$7),"",INDEX(TableDiv[[GASB]:[GASB]],_xlfn.AGGREGATE(15,3,(TableDiv[[Agency]:[Agency]]=$E364)/(TableDiv[[Agency]:[Agency]]=$E364)*(ROW(TableDiv[Agency])-ROW(TableDiv[[#Headers],[Agency]])),COLUMNS($F$7:Z$7))))</f>
        <v>0</v>
      </c>
      <c r="AA364" s="2223" cm="1">
        <f t="array" ref="AA364">IF($D364&lt;COLUMNS($F$7:AA$7),"",INDEX(TableDiv[[GASB]:[GASB]],_xlfn.AGGREGATE(15,3,(TableDiv[[Agency]:[Agency]]=$E364)/(TableDiv[[Agency]:[Agency]]=$E364)*(ROW(TableDiv[Agency])-ROW(TableDiv[[#Headers],[Agency]])),COLUMNS($F$7:AA$7))))</f>
        <v>0</v>
      </c>
      <c r="AB364" s="2223" cm="1">
        <f t="array" ref="AB364">IF($D364&lt;COLUMNS($F$7:AB$7),"",INDEX(TableDiv[[GASB]:[GASB]],_xlfn.AGGREGATE(15,3,(TableDiv[[Agency]:[Agency]]=$E364)/(TableDiv[[Agency]:[Agency]]=$E364)*(ROW(TableDiv[Agency])-ROW(TableDiv[[#Headers],[Agency]])),COLUMNS($F$7:AB$7))))</f>
        <v>0</v>
      </c>
      <c r="AC364" s="2223" cm="1">
        <f t="array" ref="AC364">IF($D364&lt;COLUMNS($F$7:AC$7),"",INDEX(TableDiv[[GASB]:[GASB]],_xlfn.AGGREGATE(15,3,(TableDiv[[Agency]:[Agency]]=$E364)/(TableDiv[[Agency]:[Agency]]=$E364)*(ROW(TableDiv[Agency])-ROW(TableDiv[[#Headers],[Agency]])),COLUMNS($F$7:AC$7))))</f>
        <v>0</v>
      </c>
      <c r="AD364" s="2223" cm="1">
        <f t="array" ref="AD364">IF($D364&lt;COLUMNS($F$7:AD$7),"",INDEX(TableDiv[[GASB]:[GASB]],_xlfn.AGGREGATE(15,3,(TableDiv[[Agency]:[Agency]]=$E364)/(TableDiv[[Agency]:[Agency]]=$E364)*(ROW(TableDiv[Agency])-ROW(TableDiv[[#Headers],[Agency]])),COLUMNS($F$7:AD$7))))</f>
        <v>0</v>
      </c>
      <c r="AE364" s="2223" cm="1">
        <f t="array" ref="AE364">IF($D364&lt;COLUMNS($F$7:AE$7),"",INDEX(TableDiv[[GASB]:[GASB]],_xlfn.AGGREGATE(15,3,(TableDiv[[Agency]:[Agency]]=$E364)/(TableDiv[[Agency]:[Agency]]=$E364)*(ROW(TableDiv[Agency])-ROW(TableDiv[[#Headers],[Agency]])),COLUMNS($F$7:AE$7))))</f>
        <v>0</v>
      </c>
      <c r="AF364" s="2223" cm="1">
        <f t="array" ref="AF364">IF($D364&lt;COLUMNS($F$7:AF$7),"",INDEX(TableDiv[[GASB]:[GASB]],_xlfn.AGGREGATE(15,3,(TableDiv[[Agency]:[Agency]]=$E364)/(TableDiv[[Agency]:[Agency]]=$E364)*(ROW(TableDiv[Agency])-ROW(TableDiv[[#Headers],[Agency]])),COLUMNS($F$7:AF$7))))</f>
        <v>0</v>
      </c>
      <c r="AG364" s="2223" cm="1">
        <f t="array" ref="AG364">IF($D364&lt;COLUMNS($F$7:AG$7),"",INDEX(TableDiv[[GASB]:[GASB]],_xlfn.AGGREGATE(15,3,(TableDiv[[Agency]:[Agency]]=$E364)/(TableDiv[[Agency]:[Agency]]=$E364)*(ROW(TableDiv[Agency])-ROW(TableDiv[[#Headers],[Agency]])),COLUMNS($F$7:AG$7))))</f>
        <v>0</v>
      </c>
      <c r="AH364" s="2223" cm="1">
        <f t="array" ref="AH364">IF($D364&lt;COLUMNS($F$7:AH$7),"",INDEX(TableDiv[[GASB]:[GASB]],_xlfn.AGGREGATE(15,3,(TableDiv[[Agency]:[Agency]]=$E364)/(TableDiv[[Agency]:[Agency]]=$E364)*(ROW(TableDiv[Agency])-ROW(TableDiv[[#Headers],[Agency]])),COLUMNS($F$7:AH$7))))</f>
        <v>0</v>
      </c>
      <c r="AI364" s="2223" cm="1">
        <f t="array" ref="AI364">IF($D364&lt;COLUMNS($F$7:AI$7),"",INDEX(TableDiv[[GASB]:[GASB]],_xlfn.AGGREGATE(15,3,(TableDiv[[Agency]:[Agency]]=$E364)/(TableDiv[[Agency]:[Agency]]=$E364)*(ROW(TableDiv[Agency])-ROW(TableDiv[[#Headers],[Agency]])),COLUMNS($F$7:AI$7))))</f>
        <v>0</v>
      </c>
      <c r="AJ364" s="2223" cm="1">
        <f t="array" ref="AJ364">IF($D364&lt;COLUMNS($F$7:AJ$7),"",INDEX(TableDiv[[GASB]:[GASB]],_xlfn.AGGREGATE(15,3,(TableDiv[[Agency]:[Agency]]=$E364)/(TableDiv[[Agency]:[Agency]]=$E364)*(ROW(TableDiv[Agency])-ROW(TableDiv[[#Headers],[Agency]])),COLUMNS($F$7:AJ$7))))</f>
        <v>0</v>
      </c>
      <c r="AK364" s="2223" t="str" cm="1">
        <f t="array" ref="AK364">IF($D364&lt;COLUMNS($F$7:AK$7),"",INDEX(TableDiv[[GASB]:[GASB]],_xlfn.AGGREGATE(15,3,(TableDiv[[Agency]:[Agency]]=$E364)/(TableDiv[[Agency]:[Agency]]=$E364)*(ROW(TableDiv[Agency])-ROW(TableDiv[[#Headers],[Agency]])),COLUMNS($F$7:AK$7))))</f>
        <v/>
      </c>
      <c r="AL364" s="2223" t="str" cm="1">
        <f t="array" ref="AL364">IF($D364&lt;COLUMNS($F$7:AL$7),"",INDEX(TableDiv[[GASB]:[GASB]],_xlfn.AGGREGATE(15,3,(TableDiv[[Agency]:[Agency]]=$E364)/(TableDiv[[Agency]:[Agency]]=$E364)*(ROW(TableDiv[Agency])-ROW(TableDiv[[#Headers],[Agency]])),COLUMNS($F$7:AL$7))))</f>
        <v/>
      </c>
      <c r="AM364" s="2223" t="str" cm="1">
        <f t="array" ref="AM364">IF($D364&lt;COLUMNS($F$7:AM$7),"",INDEX(TableDiv[[GASB]:[GASB]],_xlfn.AGGREGATE(15,3,(TableDiv[[Agency]:[Agency]]=$E364)/(TableDiv[[Agency]:[Agency]]=$E364)*(ROW(TableDiv[Agency])-ROW(TableDiv[[#Headers],[Agency]])),COLUMNS($F$7:AM$7))))</f>
        <v/>
      </c>
      <c r="AN364" s="2223"/>
      <c r="AO364" s="2223"/>
      <c r="AP364" s="2223"/>
      <c r="AQ364" s="2223"/>
      <c r="AR364" s="2223"/>
      <c r="AS364" s="2223"/>
    </row>
    <row r="365" spans="1:45" ht="15" x14ac:dyDescent="0.25">
      <c r="A365" s="2219" t="s">
        <v>5137</v>
      </c>
      <c r="B365" s="2219" t="s">
        <v>5063</v>
      </c>
      <c r="C365" s="2223"/>
      <c r="D365" s="2223">
        <f>COUNTIF(TableDiv[Agency],E365)</f>
        <v>31</v>
      </c>
      <c r="E365" s="2230" t="str" cm="1">
        <f t="array" ref="E365">IFERROR(INDEX(TableDiv[Agency],MATCH(0,INDEX(COUNTIF($E$7:E364,TableDiv[Agency]),),0)),"")</f>
        <v/>
      </c>
      <c r="F365" s="2223" cm="1">
        <f t="array" ref="F365">IF($D365&lt;COLUMNS($F$7:F$7),"",INDEX(TableDiv[[GASB]:[GASB]],_xlfn.AGGREGATE(15,3,(TableDiv[[Agency]:[Agency]]=$E365)/(TableDiv[[Agency]:[Agency]]=$E365)*(ROW(TableDiv[Agency])-ROW(TableDiv[[#Headers],[Agency]])),COLUMNS($F$7:F$7))))</f>
        <v>0</v>
      </c>
      <c r="G365" s="2223" cm="1">
        <f t="array" ref="G365">IF($D365&lt;COLUMNS($F$7:G$7),"",INDEX(TableDiv[[GASB]:[GASB]],_xlfn.AGGREGATE(15,3,(TableDiv[[Agency]:[Agency]]=$E365)/(TableDiv[[Agency]:[Agency]]=$E365)*(ROW(TableDiv[Agency])-ROW(TableDiv[[#Headers],[Agency]])),COLUMNS($F$7:G$7))))</f>
        <v>0</v>
      </c>
      <c r="H365" s="2223" cm="1">
        <f t="array" ref="H365">IF($D365&lt;COLUMNS($F$7:H$7),"",INDEX(TableDiv[[GASB]:[GASB]],_xlfn.AGGREGATE(15,3,(TableDiv[[Agency]:[Agency]]=$E365)/(TableDiv[[Agency]:[Agency]]=$E365)*(ROW(TableDiv[Agency])-ROW(TableDiv[[#Headers],[Agency]])),COLUMNS($F$7:H$7))))</f>
        <v>0</v>
      </c>
      <c r="I365" s="2223" cm="1">
        <f t="array" ref="I365">IF($D365&lt;COLUMNS($F$7:I$7),"",INDEX(TableDiv[[GASB]:[GASB]],_xlfn.AGGREGATE(15,3,(TableDiv[[Agency]:[Agency]]=$E365)/(TableDiv[[Agency]:[Agency]]=$E365)*(ROW(TableDiv[Agency])-ROW(TableDiv[[#Headers],[Agency]])),COLUMNS($F$7:I$7))))</f>
        <v>0</v>
      </c>
      <c r="J365" s="2223" cm="1">
        <f t="array" ref="J365">IF($D365&lt;COLUMNS($F$7:J$7),"",INDEX(TableDiv[[GASB]:[GASB]],_xlfn.AGGREGATE(15,3,(TableDiv[[Agency]:[Agency]]=$E365)/(TableDiv[[Agency]:[Agency]]=$E365)*(ROW(TableDiv[Agency])-ROW(TableDiv[[#Headers],[Agency]])),COLUMNS($F$7:J$7))))</f>
        <v>0</v>
      </c>
      <c r="K365" s="2223" cm="1">
        <f t="array" ref="K365">IF($D365&lt;COLUMNS($F$7:K$7),"",INDEX(TableDiv[[GASB]:[GASB]],_xlfn.AGGREGATE(15,3,(TableDiv[[Agency]:[Agency]]=$E365)/(TableDiv[[Agency]:[Agency]]=$E365)*(ROW(TableDiv[Agency])-ROW(TableDiv[[#Headers],[Agency]])),COLUMNS($F$7:K$7))))</f>
        <v>0</v>
      </c>
      <c r="L365" s="2223" cm="1">
        <f t="array" ref="L365">IF($D365&lt;COLUMNS($F$7:L$7),"",INDEX(TableDiv[[GASB]:[GASB]],_xlfn.AGGREGATE(15,3,(TableDiv[[Agency]:[Agency]]=$E365)/(TableDiv[[Agency]:[Agency]]=$E365)*(ROW(TableDiv[Agency])-ROW(TableDiv[[#Headers],[Agency]])),COLUMNS($F$7:L$7))))</f>
        <v>0</v>
      </c>
      <c r="M365" s="2223" cm="1">
        <f t="array" ref="M365">IF($D365&lt;COLUMNS($F$7:M$7),"",INDEX(TableDiv[[GASB]:[GASB]],_xlfn.AGGREGATE(15,3,(TableDiv[[Agency]:[Agency]]=$E365)/(TableDiv[[Agency]:[Agency]]=$E365)*(ROW(TableDiv[Agency])-ROW(TableDiv[[#Headers],[Agency]])),COLUMNS($F$7:M$7))))</f>
        <v>0</v>
      </c>
      <c r="N365" s="2223" cm="1">
        <f t="array" ref="N365">IF($D365&lt;COLUMNS($F$7:N$7),"",INDEX(TableDiv[[GASB]:[GASB]],_xlfn.AGGREGATE(15,3,(TableDiv[[Agency]:[Agency]]=$E365)/(TableDiv[[Agency]:[Agency]]=$E365)*(ROW(TableDiv[Agency])-ROW(TableDiv[[#Headers],[Agency]])),COLUMNS($F$7:N$7))))</f>
        <v>0</v>
      </c>
      <c r="O365" s="2223" cm="1">
        <f t="array" ref="O365">IF($D365&lt;COLUMNS($F$7:O$7),"",INDEX(TableDiv[[GASB]:[GASB]],_xlfn.AGGREGATE(15,3,(TableDiv[[Agency]:[Agency]]=$E365)/(TableDiv[[Agency]:[Agency]]=$E365)*(ROW(TableDiv[Agency])-ROW(TableDiv[[#Headers],[Agency]])),COLUMNS($F$7:O$7))))</f>
        <v>0</v>
      </c>
      <c r="P365" s="2223" cm="1">
        <f t="array" ref="P365">IF($D365&lt;COLUMNS($F$7:P$7),"",INDEX(TableDiv[[GASB]:[GASB]],_xlfn.AGGREGATE(15,3,(TableDiv[[Agency]:[Agency]]=$E365)/(TableDiv[[Agency]:[Agency]]=$E365)*(ROW(TableDiv[Agency])-ROW(TableDiv[[#Headers],[Agency]])),COLUMNS($F$7:P$7))))</f>
        <v>0</v>
      </c>
      <c r="Q365" s="2223" cm="1">
        <f t="array" ref="Q365">IF($D365&lt;COLUMNS($F$7:Q$7),"",INDEX(TableDiv[[GASB]:[GASB]],_xlfn.AGGREGATE(15,3,(TableDiv[[Agency]:[Agency]]=$E365)/(TableDiv[[Agency]:[Agency]]=$E365)*(ROW(TableDiv[Agency])-ROW(TableDiv[[#Headers],[Agency]])),COLUMNS($F$7:Q$7))))</f>
        <v>0</v>
      </c>
      <c r="R365" s="2223" cm="1">
        <f t="array" ref="R365">IF($D365&lt;COLUMNS($F$7:R$7),"",INDEX(TableDiv[[GASB]:[GASB]],_xlfn.AGGREGATE(15,3,(TableDiv[[Agency]:[Agency]]=$E365)/(TableDiv[[Agency]:[Agency]]=$E365)*(ROW(TableDiv[Agency])-ROW(TableDiv[[#Headers],[Agency]])),COLUMNS($F$7:R$7))))</f>
        <v>0</v>
      </c>
      <c r="S365" s="2223" cm="1">
        <f t="array" ref="S365">IF($D365&lt;COLUMNS($F$7:S$7),"",INDEX(TableDiv[[GASB]:[GASB]],_xlfn.AGGREGATE(15,3,(TableDiv[[Agency]:[Agency]]=$E365)/(TableDiv[[Agency]:[Agency]]=$E365)*(ROW(TableDiv[Agency])-ROW(TableDiv[[#Headers],[Agency]])),COLUMNS($F$7:S$7))))</f>
        <v>0</v>
      </c>
      <c r="T365" s="2223" cm="1">
        <f t="array" ref="T365">IF($D365&lt;COLUMNS($F$7:T$7),"",INDEX(TableDiv[[GASB]:[GASB]],_xlfn.AGGREGATE(15,3,(TableDiv[[Agency]:[Agency]]=$E365)/(TableDiv[[Agency]:[Agency]]=$E365)*(ROW(TableDiv[Agency])-ROW(TableDiv[[#Headers],[Agency]])),COLUMNS($F$7:T$7))))</f>
        <v>0</v>
      </c>
      <c r="U365" s="2223" cm="1">
        <f t="array" ref="U365">IF($D365&lt;COLUMNS($F$7:U$7),"",INDEX(TableDiv[[GASB]:[GASB]],_xlfn.AGGREGATE(15,3,(TableDiv[[Agency]:[Agency]]=$E365)/(TableDiv[[Agency]:[Agency]]=$E365)*(ROW(TableDiv[Agency])-ROW(TableDiv[[#Headers],[Agency]])),COLUMNS($F$7:U$7))))</f>
        <v>0</v>
      </c>
      <c r="V365" s="2223" cm="1">
        <f t="array" ref="V365">IF($D365&lt;COLUMNS($F$7:V$7),"",INDEX(TableDiv[[GASB]:[GASB]],_xlfn.AGGREGATE(15,3,(TableDiv[[Agency]:[Agency]]=$E365)/(TableDiv[[Agency]:[Agency]]=$E365)*(ROW(TableDiv[Agency])-ROW(TableDiv[[#Headers],[Agency]])),COLUMNS($F$7:V$7))))</f>
        <v>0</v>
      </c>
      <c r="W365" s="2223" cm="1">
        <f t="array" ref="W365">IF($D365&lt;COLUMNS($F$7:W$7),"",INDEX(TableDiv[[GASB]:[GASB]],_xlfn.AGGREGATE(15,3,(TableDiv[[Agency]:[Agency]]=$E365)/(TableDiv[[Agency]:[Agency]]=$E365)*(ROW(TableDiv[Agency])-ROW(TableDiv[[#Headers],[Agency]])),COLUMNS($F$7:W$7))))</f>
        <v>0</v>
      </c>
      <c r="X365" s="2223" cm="1">
        <f t="array" ref="X365">IF($D365&lt;COLUMNS($F$7:X$7),"",INDEX(TableDiv[[GASB]:[GASB]],_xlfn.AGGREGATE(15,3,(TableDiv[[Agency]:[Agency]]=$E365)/(TableDiv[[Agency]:[Agency]]=$E365)*(ROW(TableDiv[Agency])-ROW(TableDiv[[#Headers],[Agency]])),COLUMNS($F$7:X$7))))</f>
        <v>0</v>
      </c>
      <c r="Y365" s="2223" cm="1">
        <f t="array" ref="Y365">IF($D365&lt;COLUMNS($F$7:Y$7),"",INDEX(TableDiv[[GASB]:[GASB]],_xlfn.AGGREGATE(15,3,(TableDiv[[Agency]:[Agency]]=$E365)/(TableDiv[[Agency]:[Agency]]=$E365)*(ROW(TableDiv[Agency])-ROW(TableDiv[[#Headers],[Agency]])),COLUMNS($F$7:Y$7))))</f>
        <v>0</v>
      </c>
      <c r="Z365" s="2223" cm="1">
        <f t="array" ref="Z365">IF($D365&lt;COLUMNS($F$7:Z$7),"",INDEX(TableDiv[[GASB]:[GASB]],_xlfn.AGGREGATE(15,3,(TableDiv[[Agency]:[Agency]]=$E365)/(TableDiv[[Agency]:[Agency]]=$E365)*(ROW(TableDiv[Agency])-ROW(TableDiv[[#Headers],[Agency]])),COLUMNS($F$7:Z$7))))</f>
        <v>0</v>
      </c>
      <c r="AA365" s="2223" cm="1">
        <f t="array" ref="AA365">IF($D365&lt;COLUMNS($F$7:AA$7),"",INDEX(TableDiv[[GASB]:[GASB]],_xlfn.AGGREGATE(15,3,(TableDiv[[Agency]:[Agency]]=$E365)/(TableDiv[[Agency]:[Agency]]=$E365)*(ROW(TableDiv[Agency])-ROW(TableDiv[[#Headers],[Agency]])),COLUMNS($F$7:AA$7))))</f>
        <v>0</v>
      </c>
      <c r="AB365" s="2223" cm="1">
        <f t="array" ref="AB365">IF($D365&lt;COLUMNS($F$7:AB$7),"",INDEX(TableDiv[[GASB]:[GASB]],_xlfn.AGGREGATE(15,3,(TableDiv[[Agency]:[Agency]]=$E365)/(TableDiv[[Agency]:[Agency]]=$E365)*(ROW(TableDiv[Agency])-ROW(TableDiv[[#Headers],[Agency]])),COLUMNS($F$7:AB$7))))</f>
        <v>0</v>
      </c>
      <c r="AC365" s="2223" cm="1">
        <f t="array" ref="AC365">IF($D365&lt;COLUMNS($F$7:AC$7),"",INDEX(TableDiv[[GASB]:[GASB]],_xlfn.AGGREGATE(15,3,(TableDiv[[Agency]:[Agency]]=$E365)/(TableDiv[[Agency]:[Agency]]=$E365)*(ROW(TableDiv[Agency])-ROW(TableDiv[[#Headers],[Agency]])),COLUMNS($F$7:AC$7))))</f>
        <v>0</v>
      </c>
      <c r="AD365" s="2223" cm="1">
        <f t="array" ref="AD365">IF($D365&lt;COLUMNS($F$7:AD$7),"",INDEX(TableDiv[[GASB]:[GASB]],_xlfn.AGGREGATE(15,3,(TableDiv[[Agency]:[Agency]]=$E365)/(TableDiv[[Agency]:[Agency]]=$E365)*(ROW(TableDiv[Agency])-ROW(TableDiv[[#Headers],[Agency]])),COLUMNS($F$7:AD$7))))</f>
        <v>0</v>
      </c>
      <c r="AE365" s="2223" cm="1">
        <f t="array" ref="AE365">IF($D365&lt;COLUMNS($F$7:AE$7),"",INDEX(TableDiv[[GASB]:[GASB]],_xlfn.AGGREGATE(15,3,(TableDiv[[Agency]:[Agency]]=$E365)/(TableDiv[[Agency]:[Agency]]=$E365)*(ROW(TableDiv[Agency])-ROW(TableDiv[[#Headers],[Agency]])),COLUMNS($F$7:AE$7))))</f>
        <v>0</v>
      </c>
      <c r="AF365" s="2223" cm="1">
        <f t="array" ref="AF365">IF($D365&lt;COLUMNS($F$7:AF$7),"",INDEX(TableDiv[[GASB]:[GASB]],_xlfn.AGGREGATE(15,3,(TableDiv[[Agency]:[Agency]]=$E365)/(TableDiv[[Agency]:[Agency]]=$E365)*(ROW(TableDiv[Agency])-ROW(TableDiv[[#Headers],[Agency]])),COLUMNS($F$7:AF$7))))</f>
        <v>0</v>
      </c>
      <c r="AG365" s="2223" cm="1">
        <f t="array" ref="AG365">IF($D365&lt;COLUMNS($F$7:AG$7),"",INDEX(TableDiv[[GASB]:[GASB]],_xlfn.AGGREGATE(15,3,(TableDiv[[Agency]:[Agency]]=$E365)/(TableDiv[[Agency]:[Agency]]=$E365)*(ROW(TableDiv[Agency])-ROW(TableDiv[[#Headers],[Agency]])),COLUMNS($F$7:AG$7))))</f>
        <v>0</v>
      </c>
      <c r="AH365" s="2223" cm="1">
        <f t="array" ref="AH365">IF($D365&lt;COLUMNS($F$7:AH$7),"",INDEX(TableDiv[[GASB]:[GASB]],_xlfn.AGGREGATE(15,3,(TableDiv[[Agency]:[Agency]]=$E365)/(TableDiv[[Agency]:[Agency]]=$E365)*(ROW(TableDiv[Agency])-ROW(TableDiv[[#Headers],[Agency]])),COLUMNS($F$7:AH$7))))</f>
        <v>0</v>
      </c>
      <c r="AI365" s="2223" cm="1">
        <f t="array" ref="AI365">IF($D365&lt;COLUMNS($F$7:AI$7),"",INDEX(TableDiv[[GASB]:[GASB]],_xlfn.AGGREGATE(15,3,(TableDiv[[Agency]:[Agency]]=$E365)/(TableDiv[[Agency]:[Agency]]=$E365)*(ROW(TableDiv[Agency])-ROW(TableDiv[[#Headers],[Agency]])),COLUMNS($F$7:AI$7))))</f>
        <v>0</v>
      </c>
      <c r="AJ365" s="2223" cm="1">
        <f t="array" ref="AJ365">IF($D365&lt;COLUMNS($F$7:AJ$7),"",INDEX(TableDiv[[GASB]:[GASB]],_xlfn.AGGREGATE(15,3,(TableDiv[[Agency]:[Agency]]=$E365)/(TableDiv[[Agency]:[Agency]]=$E365)*(ROW(TableDiv[Agency])-ROW(TableDiv[[#Headers],[Agency]])),COLUMNS($F$7:AJ$7))))</f>
        <v>0</v>
      </c>
      <c r="AK365" s="2223" t="str" cm="1">
        <f t="array" ref="AK365">IF($D365&lt;COLUMNS($F$7:AK$7),"",INDEX(TableDiv[[GASB]:[GASB]],_xlfn.AGGREGATE(15,3,(TableDiv[[Agency]:[Agency]]=$E365)/(TableDiv[[Agency]:[Agency]]=$E365)*(ROW(TableDiv[Agency])-ROW(TableDiv[[#Headers],[Agency]])),COLUMNS($F$7:AK$7))))</f>
        <v/>
      </c>
      <c r="AL365" s="2223" t="str" cm="1">
        <f t="array" ref="AL365">IF($D365&lt;COLUMNS($F$7:AL$7),"",INDEX(TableDiv[[GASB]:[GASB]],_xlfn.AGGREGATE(15,3,(TableDiv[[Agency]:[Agency]]=$E365)/(TableDiv[[Agency]:[Agency]]=$E365)*(ROW(TableDiv[Agency])-ROW(TableDiv[[#Headers],[Agency]])),COLUMNS($F$7:AL$7))))</f>
        <v/>
      </c>
      <c r="AM365" s="2223" t="str" cm="1">
        <f t="array" ref="AM365">IF($D365&lt;COLUMNS($F$7:AM$7),"",INDEX(TableDiv[[GASB]:[GASB]],_xlfn.AGGREGATE(15,3,(TableDiv[[Agency]:[Agency]]=$E365)/(TableDiv[[Agency]:[Agency]]=$E365)*(ROW(TableDiv[Agency])-ROW(TableDiv[[#Headers],[Agency]])),COLUMNS($F$7:AM$7))))</f>
        <v/>
      </c>
      <c r="AN365" s="2223"/>
      <c r="AO365" s="2223"/>
      <c r="AP365" s="2223"/>
      <c r="AQ365" s="2223"/>
      <c r="AR365" s="2223"/>
      <c r="AS365" s="2223"/>
    </row>
    <row r="366" spans="1:45" ht="15" x14ac:dyDescent="0.25">
      <c r="A366" s="2219" t="s">
        <v>5138</v>
      </c>
      <c r="B366" s="2219" t="s">
        <v>5065</v>
      </c>
      <c r="C366" s="2223"/>
      <c r="D366" s="2223">
        <f>COUNTIF(TableDiv[Agency],E366)</f>
        <v>31</v>
      </c>
      <c r="E366" s="2230" t="str" cm="1">
        <f t="array" ref="E366">IFERROR(INDEX(TableDiv[Agency],MATCH(0,INDEX(COUNTIF($E$7:E365,TableDiv[Agency]),),0)),"")</f>
        <v/>
      </c>
      <c r="F366" s="2223" cm="1">
        <f t="array" ref="F366">IF($D366&lt;COLUMNS($F$7:F$7),"",INDEX(TableDiv[[GASB]:[GASB]],_xlfn.AGGREGATE(15,3,(TableDiv[[Agency]:[Agency]]=$E366)/(TableDiv[[Agency]:[Agency]]=$E366)*(ROW(TableDiv[Agency])-ROW(TableDiv[[#Headers],[Agency]])),COLUMNS($F$7:F$7))))</f>
        <v>0</v>
      </c>
      <c r="G366" s="2223" cm="1">
        <f t="array" ref="G366">IF($D366&lt;COLUMNS($F$7:G$7),"",INDEX(TableDiv[[GASB]:[GASB]],_xlfn.AGGREGATE(15,3,(TableDiv[[Agency]:[Agency]]=$E366)/(TableDiv[[Agency]:[Agency]]=$E366)*(ROW(TableDiv[Agency])-ROW(TableDiv[[#Headers],[Agency]])),COLUMNS($F$7:G$7))))</f>
        <v>0</v>
      </c>
      <c r="H366" s="2223" cm="1">
        <f t="array" ref="H366">IF($D366&lt;COLUMNS($F$7:H$7),"",INDEX(TableDiv[[GASB]:[GASB]],_xlfn.AGGREGATE(15,3,(TableDiv[[Agency]:[Agency]]=$E366)/(TableDiv[[Agency]:[Agency]]=$E366)*(ROW(TableDiv[Agency])-ROW(TableDiv[[#Headers],[Agency]])),COLUMNS($F$7:H$7))))</f>
        <v>0</v>
      </c>
      <c r="I366" s="2223" cm="1">
        <f t="array" ref="I366">IF($D366&lt;COLUMNS($F$7:I$7),"",INDEX(TableDiv[[GASB]:[GASB]],_xlfn.AGGREGATE(15,3,(TableDiv[[Agency]:[Agency]]=$E366)/(TableDiv[[Agency]:[Agency]]=$E366)*(ROW(TableDiv[Agency])-ROW(TableDiv[[#Headers],[Agency]])),COLUMNS($F$7:I$7))))</f>
        <v>0</v>
      </c>
      <c r="J366" s="2223" cm="1">
        <f t="array" ref="J366">IF($D366&lt;COLUMNS($F$7:J$7),"",INDEX(TableDiv[[GASB]:[GASB]],_xlfn.AGGREGATE(15,3,(TableDiv[[Agency]:[Agency]]=$E366)/(TableDiv[[Agency]:[Agency]]=$E366)*(ROW(TableDiv[Agency])-ROW(TableDiv[[#Headers],[Agency]])),COLUMNS($F$7:J$7))))</f>
        <v>0</v>
      </c>
      <c r="K366" s="2223" cm="1">
        <f t="array" ref="K366">IF($D366&lt;COLUMNS($F$7:K$7),"",INDEX(TableDiv[[GASB]:[GASB]],_xlfn.AGGREGATE(15,3,(TableDiv[[Agency]:[Agency]]=$E366)/(TableDiv[[Agency]:[Agency]]=$E366)*(ROW(TableDiv[Agency])-ROW(TableDiv[[#Headers],[Agency]])),COLUMNS($F$7:K$7))))</f>
        <v>0</v>
      </c>
      <c r="L366" s="2223" cm="1">
        <f t="array" ref="L366">IF($D366&lt;COLUMNS($F$7:L$7),"",INDEX(TableDiv[[GASB]:[GASB]],_xlfn.AGGREGATE(15,3,(TableDiv[[Agency]:[Agency]]=$E366)/(TableDiv[[Agency]:[Agency]]=$E366)*(ROW(TableDiv[Agency])-ROW(TableDiv[[#Headers],[Agency]])),COLUMNS($F$7:L$7))))</f>
        <v>0</v>
      </c>
      <c r="M366" s="2223" cm="1">
        <f t="array" ref="M366">IF($D366&lt;COLUMNS($F$7:M$7),"",INDEX(TableDiv[[GASB]:[GASB]],_xlfn.AGGREGATE(15,3,(TableDiv[[Agency]:[Agency]]=$E366)/(TableDiv[[Agency]:[Agency]]=$E366)*(ROW(TableDiv[Agency])-ROW(TableDiv[[#Headers],[Agency]])),COLUMNS($F$7:M$7))))</f>
        <v>0</v>
      </c>
      <c r="N366" s="2223" cm="1">
        <f t="array" ref="N366">IF($D366&lt;COLUMNS($F$7:N$7),"",INDEX(TableDiv[[GASB]:[GASB]],_xlfn.AGGREGATE(15,3,(TableDiv[[Agency]:[Agency]]=$E366)/(TableDiv[[Agency]:[Agency]]=$E366)*(ROW(TableDiv[Agency])-ROW(TableDiv[[#Headers],[Agency]])),COLUMNS($F$7:N$7))))</f>
        <v>0</v>
      </c>
      <c r="O366" s="2223" cm="1">
        <f t="array" ref="O366">IF($D366&lt;COLUMNS($F$7:O$7),"",INDEX(TableDiv[[GASB]:[GASB]],_xlfn.AGGREGATE(15,3,(TableDiv[[Agency]:[Agency]]=$E366)/(TableDiv[[Agency]:[Agency]]=$E366)*(ROW(TableDiv[Agency])-ROW(TableDiv[[#Headers],[Agency]])),COLUMNS($F$7:O$7))))</f>
        <v>0</v>
      </c>
      <c r="P366" s="2223" cm="1">
        <f t="array" ref="P366">IF($D366&lt;COLUMNS($F$7:P$7),"",INDEX(TableDiv[[GASB]:[GASB]],_xlfn.AGGREGATE(15,3,(TableDiv[[Agency]:[Agency]]=$E366)/(TableDiv[[Agency]:[Agency]]=$E366)*(ROW(TableDiv[Agency])-ROW(TableDiv[[#Headers],[Agency]])),COLUMNS($F$7:P$7))))</f>
        <v>0</v>
      </c>
      <c r="Q366" s="2223" cm="1">
        <f t="array" ref="Q366">IF($D366&lt;COLUMNS($F$7:Q$7),"",INDEX(TableDiv[[GASB]:[GASB]],_xlfn.AGGREGATE(15,3,(TableDiv[[Agency]:[Agency]]=$E366)/(TableDiv[[Agency]:[Agency]]=$E366)*(ROW(TableDiv[Agency])-ROW(TableDiv[[#Headers],[Agency]])),COLUMNS($F$7:Q$7))))</f>
        <v>0</v>
      </c>
      <c r="R366" s="2223" cm="1">
        <f t="array" ref="R366">IF($D366&lt;COLUMNS($F$7:R$7),"",INDEX(TableDiv[[GASB]:[GASB]],_xlfn.AGGREGATE(15,3,(TableDiv[[Agency]:[Agency]]=$E366)/(TableDiv[[Agency]:[Agency]]=$E366)*(ROW(TableDiv[Agency])-ROW(TableDiv[[#Headers],[Agency]])),COLUMNS($F$7:R$7))))</f>
        <v>0</v>
      </c>
      <c r="S366" s="2223" cm="1">
        <f t="array" ref="S366">IF($D366&lt;COLUMNS($F$7:S$7),"",INDEX(TableDiv[[GASB]:[GASB]],_xlfn.AGGREGATE(15,3,(TableDiv[[Agency]:[Agency]]=$E366)/(TableDiv[[Agency]:[Agency]]=$E366)*(ROW(TableDiv[Agency])-ROW(TableDiv[[#Headers],[Agency]])),COLUMNS($F$7:S$7))))</f>
        <v>0</v>
      </c>
      <c r="T366" s="2223" cm="1">
        <f t="array" ref="T366">IF($D366&lt;COLUMNS($F$7:T$7),"",INDEX(TableDiv[[GASB]:[GASB]],_xlfn.AGGREGATE(15,3,(TableDiv[[Agency]:[Agency]]=$E366)/(TableDiv[[Agency]:[Agency]]=$E366)*(ROW(TableDiv[Agency])-ROW(TableDiv[[#Headers],[Agency]])),COLUMNS($F$7:T$7))))</f>
        <v>0</v>
      </c>
      <c r="U366" s="2223" cm="1">
        <f t="array" ref="U366">IF($D366&lt;COLUMNS($F$7:U$7),"",INDEX(TableDiv[[GASB]:[GASB]],_xlfn.AGGREGATE(15,3,(TableDiv[[Agency]:[Agency]]=$E366)/(TableDiv[[Agency]:[Agency]]=$E366)*(ROW(TableDiv[Agency])-ROW(TableDiv[[#Headers],[Agency]])),COLUMNS($F$7:U$7))))</f>
        <v>0</v>
      </c>
      <c r="V366" s="2223" cm="1">
        <f t="array" ref="V366">IF($D366&lt;COLUMNS($F$7:V$7),"",INDEX(TableDiv[[GASB]:[GASB]],_xlfn.AGGREGATE(15,3,(TableDiv[[Agency]:[Agency]]=$E366)/(TableDiv[[Agency]:[Agency]]=$E366)*(ROW(TableDiv[Agency])-ROW(TableDiv[[#Headers],[Agency]])),COLUMNS($F$7:V$7))))</f>
        <v>0</v>
      </c>
      <c r="W366" s="2223" cm="1">
        <f t="array" ref="W366">IF($D366&lt;COLUMNS($F$7:W$7),"",INDEX(TableDiv[[GASB]:[GASB]],_xlfn.AGGREGATE(15,3,(TableDiv[[Agency]:[Agency]]=$E366)/(TableDiv[[Agency]:[Agency]]=$E366)*(ROW(TableDiv[Agency])-ROW(TableDiv[[#Headers],[Agency]])),COLUMNS($F$7:W$7))))</f>
        <v>0</v>
      </c>
      <c r="X366" s="2223" cm="1">
        <f t="array" ref="X366">IF($D366&lt;COLUMNS($F$7:X$7),"",INDEX(TableDiv[[GASB]:[GASB]],_xlfn.AGGREGATE(15,3,(TableDiv[[Agency]:[Agency]]=$E366)/(TableDiv[[Agency]:[Agency]]=$E366)*(ROW(TableDiv[Agency])-ROW(TableDiv[[#Headers],[Agency]])),COLUMNS($F$7:X$7))))</f>
        <v>0</v>
      </c>
      <c r="Y366" s="2223" cm="1">
        <f t="array" ref="Y366">IF($D366&lt;COLUMNS($F$7:Y$7),"",INDEX(TableDiv[[GASB]:[GASB]],_xlfn.AGGREGATE(15,3,(TableDiv[[Agency]:[Agency]]=$E366)/(TableDiv[[Agency]:[Agency]]=$E366)*(ROW(TableDiv[Agency])-ROW(TableDiv[[#Headers],[Agency]])),COLUMNS($F$7:Y$7))))</f>
        <v>0</v>
      </c>
      <c r="Z366" s="2223" cm="1">
        <f t="array" ref="Z366">IF($D366&lt;COLUMNS($F$7:Z$7),"",INDEX(TableDiv[[GASB]:[GASB]],_xlfn.AGGREGATE(15,3,(TableDiv[[Agency]:[Agency]]=$E366)/(TableDiv[[Agency]:[Agency]]=$E366)*(ROW(TableDiv[Agency])-ROW(TableDiv[[#Headers],[Agency]])),COLUMNS($F$7:Z$7))))</f>
        <v>0</v>
      </c>
      <c r="AA366" s="2223" cm="1">
        <f t="array" ref="AA366">IF($D366&lt;COLUMNS($F$7:AA$7),"",INDEX(TableDiv[[GASB]:[GASB]],_xlfn.AGGREGATE(15,3,(TableDiv[[Agency]:[Agency]]=$E366)/(TableDiv[[Agency]:[Agency]]=$E366)*(ROW(TableDiv[Agency])-ROW(TableDiv[[#Headers],[Agency]])),COLUMNS($F$7:AA$7))))</f>
        <v>0</v>
      </c>
      <c r="AB366" s="2223" cm="1">
        <f t="array" ref="AB366">IF($D366&lt;COLUMNS($F$7:AB$7),"",INDEX(TableDiv[[GASB]:[GASB]],_xlfn.AGGREGATE(15,3,(TableDiv[[Agency]:[Agency]]=$E366)/(TableDiv[[Agency]:[Agency]]=$E366)*(ROW(TableDiv[Agency])-ROW(TableDiv[[#Headers],[Agency]])),COLUMNS($F$7:AB$7))))</f>
        <v>0</v>
      </c>
      <c r="AC366" s="2223" cm="1">
        <f t="array" ref="AC366">IF($D366&lt;COLUMNS($F$7:AC$7),"",INDEX(TableDiv[[GASB]:[GASB]],_xlfn.AGGREGATE(15,3,(TableDiv[[Agency]:[Agency]]=$E366)/(TableDiv[[Agency]:[Agency]]=$E366)*(ROW(TableDiv[Agency])-ROW(TableDiv[[#Headers],[Agency]])),COLUMNS($F$7:AC$7))))</f>
        <v>0</v>
      </c>
      <c r="AD366" s="2223" cm="1">
        <f t="array" ref="AD366">IF($D366&lt;COLUMNS($F$7:AD$7),"",INDEX(TableDiv[[GASB]:[GASB]],_xlfn.AGGREGATE(15,3,(TableDiv[[Agency]:[Agency]]=$E366)/(TableDiv[[Agency]:[Agency]]=$E366)*(ROW(TableDiv[Agency])-ROW(TableDiv[[#Headers],[Agency]])),COLUMNS($F$7:AD$7))))</f>
        <v>0</v>
      </c>
      <c r="AE366" s="2223" cm="1">
        <f t="array" ref="AE366">IF($D366&lt;COLUMNS($F$7:AE$7),"",INDEX(TableDiv[[GASB]:[GASB]],_xlfn.AGGREGATE(15,3,(TableDiv[[Agency]:[Agency]]=$E366)/(TableDiv[[Agency]:[Agency]]=$E366)*(ROW(TableDiv[Agency])-ROW(TableDiv[[#Headers],[Agency]])),COLUMNS($F$7:AE$7))))</f>
        <v>0</v>
      </c>
      <c r="AF366" s="2223" cm="1">
        <f t="array" ref="AF366">IF($D366&lt;COLUMNS($F$7:AF$7),"",INDEX(TableDiv[[GASB]:[GASB]],_xlfn.AGGREGATE(15,3,(TableDiv[[Agency]:[Agency]]=$E366)/(TableDiv[[Agency]:[Agency]]=$E366)*(ROW(TableDiv[Agency])-ROW(TableDiv[[#Headers],[Agency]])),COLUMNS($F$7:AF$7))))</f>
        <v>0</v>
      </c>
      <c r="AG366" s="2223" cm="1">
        <f t="array" ref="AG366">IF($D366&lt;COLUMNS($F$7:AG$7),"",INDEX(TableDiv[[GASB]:[GASB]],_xlfn.AGGREGATE(15,3,(TableDiv[[Agency]:[Agency]]=$E366)/(TableDiv[[Agency]:[Agency]]=$E366)*(ROW(TableDiv[Agency])-ROW(TableDiv[[#Headers],[Agency]])),COLUMNS($F$7:AG$7))))</f>
        <v>0</v>
      </c>
      <c r="AH366" s="2223" cm="1">
        <f t="array" ref="AH366">IF($D366&lt;COLUMNS($F$7:AH$7),"",INDEX(TableDiv[[GASB]:[GASB]],_xlfn.AGGREGATE(15,3,(TableDiv[[Agency]:[Agency]]=$E366)/(TableDiv[[Agency]:[Agency]]=$E366)*(ROW(TableDiv[Agency])-ROW(TableDiv[[#Headers],[Agency]])),COLUMNS($F$7:AH$7))))</f>
        <v>0</v>
      </c>
      <c r="AI366" s="2223" cm="1">
        <f t="array" ref="AI366">IF($D366&lt;COLUMNS($F$7:AI$7),"",INDEX(TableDiv[[GASB]:[GASB]],_xlfn.AGGREGATE(15,3,(TableDiv[[Agency]:[Agency]]=$E366)/(TableDiv[[Agency]:[Agency]]=$E366)*(ROW(TableDiv[Agency])-ROW(TableDiv[[#Headers],[Agency]])),COLUMNS($F$7:AI$7))))</f>
        <v>0</v>
      </c>
      <c r="AJ366" s="2223" cm="1">
        <f t="array" ref="AJ366">IF($D366&lt;COLUMNS($F$7:AJ$7),"",INDEX(TableDiv[[GASB]:[GASB]],_xlfn.AGGREGATE(15,3,(TableDiv[[Agency]:[Agency]]=$E366)/(TableDiv[[Agency]:[Agency]]=$E366)*(ROW(TableDiv[Agency])-ROW(TableDiv[[#Headers],[Agency]])),COLUMNS($F$7:AJ$7))))</f>
        <v>0</v>
      </c>
      <c r="AK366" s="2223" t="str" cm="1">
        <f t="array" ref="AK366">IF($D366&lt;COLUMNS($F$7:AK$7),"",INDEX(TableDiv[[GASB]:[GASB]],_xlfn.AGGREGATE(15,3,(TableDiv[[Agency]:[Agency]]=$E366)/(TableDiv[[Agency]:[Agency]]=$E366)*(ROW(TableDiv[Agency])-ROW(TableDiv[[#Headers],[Agency]])),COLUMNS($F$7:AK$7))))</f>
        <v/>
      </c>
      <c r="AL366" s="2223" t="str" cm="1">
        <f t="array" ref="AL366">IF($D366&lt;COLUMNS($F$7:AL$7),"",INDEX(TableDiv[[GASB]:[GASB]],_xlfn.AGGREGATE(15,3,(TableDiv[[Agency]:[Agency]]=$E366)/(TableDiv[[Agency]:[Agency]]=$E366)*(ROW(TableDiv[Agency])-ROW(TableDiv[[#Headers],[Agency]])),COLUMNS($F$7:AL$7))))</f>
        <v/>
      </c>
      <c r="AM366" s="2223" t="str" cm="1">
        <f t="array" ref="AM366">IF($D366&lt;COLUMNS($F$7:AM$7),"",INDEX(TableDiv[[GASB]:[GASB]],_xlfn.AGGREGATE(15,3,(TableDiv[[Agency]:[Agency]]=$E366)/(TableDiv[[Agency]:[Agency]]=$E366)*(ROW(TableDiv[Agency])-ROW(TableDiv[[#Headers],[Agency]])),COLUMNS($F$7:AM$7))))</f>
        <v/>
      </c>
      <c r="AN366" s="2223"/>
      <c r="AO366" s="2223"/>
      <c r="AP366" s="2223"/>
      <c r="AQ366" s="2223"/>
      <c r="AR366" s="2223"/>
      <c r="AS366" s="2223"/>
    </row>
    <row r="367" spans="1:45" ht="15" x14ac:dyDescent="0.25">
      <c r="A367" s="2219" t="s">
        <v>5139</v>
      </c>
      <c r="B367" s="2219" t="s">
        <v>5067</v>
      </c>
      <c r="C367" s="2223"/>
      <c r="D367" s="2223">
        <f>COUNTIF(TableDiv[Agency],E367)</f>
        <v>31</v>
      </c>
      <c r="E367" s="2230" t="str" cm="1">
        <f t="array" ref="E367">IFERROR(INDEX(TableDiv[Agency],MATCH(0,INDEX(COUNTIF($E$7:E366,TableDiv[Agency]),),0)),"")</f>
        <v/>
      </c>
      <c r="F367" s="2223" cm="1">
        <f t="array" ref="F367">IF($D367&lt;COLUMNS($F$7:F$7),"",INDEX(TableDiv[[GASB]:[GASB]],_xlfn.AGGREGATE(15,3,(TableDiv[[Agency]:[Agency]]=$E367)/(TableDiv[[Agency]:[Agency]]=$E367)*(ROW(TableDiv[Agency])-ROW(TableDiv[[#Headers],[Agency]])),COLUMNS($F$7:F$7))))</f>
        <v>0</v>
      </c>
      <c r="G367" s="2223" cm="1">
        <f t="array" ref="G367">IF($D367&lt;COLUMNS($F$7:G$7),"",INDEX(TableDiv[[GASB]:[GASB]],_xlfn.AGGREGATE(15,3,(TableDiv[[Agency]:[Agency]]=$E367)/(TableDiv[[Agency]:[Agency]]=$E367)*(ROW(TableDiv[Agency])-ROW(TableDiv[[#Headers],[Agency]])),COLUMNS($F$7:G$7))))</f>
        <v>0</v>
      </c>
      <c r="H367" s="2223" cm="1">
        <f t="array" ref="H367">IF($D367&lt;COLUMNS($F$7:H$7),"",INDEX(TableDiv[[GASB]:[GASB]],_xlfn.AGGREGATE(15,3,(TableDiv[[Agency]:[Agency]]=$E367)/(TableDiv[[Agency]:[Agency]]=$E367)*(ROW(TableDiv[Agency])-ROW(TableDiv[[#Headers],[Agency]])),COLUMNS($F$7:H$7))))</f>
        <v>0</v>
      </c>
      <c r="I367" s="2223" cm="1">
        <f t="array" ref="I367">IF($D367&lt;COLUMNS($F$7:I$7),"",INDEX(TableDiv[[GASB]:[GASB]],_xlfn.AGGREGATE(15,3,(TableDiv[[Agency]:[Agency]]=$E367)/(TableDiv[[Agency]:[Agency]]=$E367)*(ROW(TableDiv[Agency])-ROW(TableDiv[[#Headers],[Agency]])),COLUMNS($F$7:I$7))))</f>
        <v>0</v>
      </c>
      <c r="J367" s="2223" cm="1">
        <f t="array" ref="J367">IF($D367&lt;COLUMNS($F$7:J$7),"",INDEX(TableDiv[[GASB]:[GASB]],_xlfn.AGGREGATE(15,3,(TableDiv[[Agency]:[Agency]]=$E367)/(TableDiv[[Agency]:[Agency]]=$E367)*(ROW(TableDiv[Agency])-ROW(TableDiv[[#Headers],[Agency]])),COLUMNS($F$7:J$7))))</f>
        <v>0</v>
      </c>
      <c r="K367" s="2223" cm="1">
        <f t="array" ref="K367">IF($D367&lt;COLUMNS($F$7:K$7),"",INDEX(TableDiv[[GASB]:[GASB]],_xlfn.AGGREGATE(15,3,(TableDiv[[Agency]:[Agency]]=$E367)/(TableDiv[[Agency]:[Agency]]=$E367)*(ROW(TableDiv[Agency])-ROW(TableDiv[[#Headers],[Agency]])),COLUMNS($F$7:K$7))))</f>
        <v>0</v>
      </c>
      <c r="L367" s="2223" cm="1">
        <f t="array" ref="L367">IF($D367&lt;COLUMNS($F$7:L$7),"",INDEX(TableDiv[[GASB]:[GASB]],_xlfn.AGGREGATE(15,3,(TableDiv[[Agency]:[Agency]]=$E367)/(TableDiv[[Agency]:[Agency]]=$E367)*(ROW(TableDiv[Agency])-ROW(TableDiv[[#Headers],[Agency]])),COLUMNS($F$7:L$7))))</f>
        <v>0</v>
      </c>
      <c r="M367" s="2223" cm="1">
        <f t="array" ref="M367">IF($D367&lt;COLUMNS($F$7:M$7),"",INDEX(TableDiv[[GASB]:[GASB]],_xlfn.AGGREGATE(15,3,(TableDiv[[Agency]:[Agency]]=$E367)/(TableDiv[[Agency]:[Agency]]=$E367)*(ROW(TableDiv[Agency])-ROW(TableDiv[[#Headers],[Agency]])),COLUMNS($F$7:M$7))))</f>
        <v>0</v>
      </c>
      <c r="N367" s="2223" cm="1">
        <f t="array" ref="N367">IF($D367&lt;COLUMNS($F$7:N$7),"",INDEX(TableDiv[[GASB]:[GASB]],_xlfn.AGGREGATE(15,3,(TableDiv[[Agency]:[Agency]]=$E367)/(TableDiv[[Agency]:[Agency]]=$E367)*(ROW(TableDiv[Agency])-ROW(TableDiv[[#Headers],[Agency]])),COLUMNS($F$7:N$7))))</f>
        <v>0</v>
      </c>
      <c r="O367" s="2223" cm="1">
        <f t="array" ref="O367">IF($D367&lt;COLUMNS($F$7:O$7),"",INDEX(TableDiv[[GASB]:[GASB]],_xlfn.AGGREGATE(15,3,(TableDiv[[Agency]:[Agency]]=$E367)/(TableDiv[[Agency]:[Agency]]=$E367)*(ROW(TableDiv[Agency])-ROW(TableDiv[[#Headers],[Agency]])),COLUMNS($F$7:O$7))))</f>
        <v>0</v>
      </c>
      <c r="P367" s="2223" cm="1">
        <f t="array" ref="P367">IF($D367&lt;COLUMNS($F$7:P$7),"",INDEX(TableDiv[[GASB]:[GASB]],_xlfn.AGGREGATE(15,3,(TableDiv[[Agency]:[Agency]]=$E367)/(TableDiv[[Agency]:[Agency]]=$E367)*(ROW(TableDiv[Agency])-ROW(TableDiv[[#Headers],[Agency]])),COLUMNS($F$7:P$7))))</f>
        <v>0</v>
      </c>
      <c r="Q367" s="2223" cm="1">
        <f t="array" ref="Q367">IF($D367&lt;COLUMNS($F$7:Q$7),"",INDEX(TableDiv[[GASB]:[GASB]],_xlfn.AGGREGATE(15,3,(TableDiv[[Agency]:[Agency]]=$E367)/(TableDiv[[Agency]:[Agency]]=$E367)*(ROW(TableDiv[Agency])-ROW(TableDiv[[#Headers],[Agency]])),COLUMNS($F$7:Q$7))))</f>
        <v>0</v>
      </c>
      <c r="R367" s="2223" cm="1">
        <f t="array" ref="R367">IF($D367&lt;COLUMNS($F$7:R$7),"",INDEX(TableDiv[[GASB]:[GASB]],_xlfn.AGGREGATE(15,3,(TableDiv[[Agency]:[Agency]]=$E367)/(TableDiv[[Agency]:[Agency]]=$E367)*(ROW(TableDiv[Agency])-ROW(TableDiv[[#Headers],[Agency]])),COLUMNS($F$7:R$7))))</f>
        <v>0</v>
      </c>
      <c r="S367" s="2223" cm="1">
        <f t="array" ref="S367">IF($D367&lt;COLUMNS($F$7:S$7),"",INDEX(TableDiv[[GASB]:[GASB]],_xlfn.AGGREGATE(15,3,(TableDiv[[Agency]:[Agency]]=$E367)/(TableDiv[[Agency]:[Agency]]=$E367)*(ROW(TableDiv[Agency])-ROW(TableDiv[[#Headers],[Agency]])),COLUMNS($F$7:S$7))))</f>
        <v>0</v>
      </c>
      <c r="T367" s="2223" cm="1">
        <f t="array" ref="T367">IF($D367&lt;COLUMNS($F$7:T$7),"",INDEX(TableDiv[[GASB]:[GASB]],_xlfn.AGGREGATE(15,3,(TableDiv[[Agency]:[Agency]]=$E367)/(TableDiv[[Agency]:[Agency]]=$E367)*(ROW(TableDiv[Agency])-ROW(TableDiv[[#Headers],[Agency]])),COLUMNS($F$7:T$7))))</f>
        <v>0</v>
      </c>
      <c r="U367" s="2223" cm="1">
        <f t="array" ref="U367">IF($D367&lt;COLUMNS($F$7:U$7),"",INDEX(TableDiv[[GASB]:[GASB]],_xlfn.AGGREGATE(15,3,(TableDiv[[Agency]:[Agency]]=$E367)/(TableDiv[[Agency]:[Agency]]=$E367)*(ROW(TableDiv[Agency])-ROW(TableDiv[[#Headers],[Agency]])),COLUMNS($F$7:U$7))))</f>
        <v>0</v>
      </c>
      <c r="V367" s="2223" cm="1">
        <f t="array" ref="V367">IF($D367&lt;COLUMNS($F$7:V$7),"",INDEX(TableDiv[[GASB]:[GASB]],_xlfn.AGGREGATE(15,3,(TableDiv[[Agency]:[Agency]]=$E367)/(TableDiv[[Agency]:[Agency]]=$E367)*(ROW(TableDiv[Agency])-ROW(TableDiv[[#Headers],[Agency]])),COLUMNS($F$7:V$7))))</f>
        <v>0</v>
      </c>
      <c r="W367" s="2223" cm="1">
        <f t="array" ref="W367">IF($D367&lt;COLUMNS($F$7:W$7),"",INDEX(TableDiv[[GASB]:[GASB]],_xlfn.AGGREGATE(15,3,(TableDiv[[Agency]:[Agency]]=$E367)/(TableDiv[[Agency]:[Agency]]=$E367)*(ROW(TableDiv[Agency])-ROW(TableDiv[[#Headers],[Agency]])),COLUMNS($F$7:W$7))))</f>
        <v>0</v>
      </c>
      <c r="X367" s="2223" cm="1">
        <f t="array" ref="X367">IF($D367&lt;COLUMNS($F$7:X$7),"",INDEX(TableDiv[[GASB]:[GASB]],_xlfn.AGGREGATE(15,3,(TableDiv[[Agency]:[Agency]]=$E367)/(TableDiv[[Agency]:[Agency]]=$E367)*(ROW(TableDiv[Agency])-ROW(TableDiv[[#Headers],[Agency]])),COLUMNS($F$7:X$7))))</f>
        <v>0</v>
      </c>
      <c r="Y367" s="2223" cm="1">
        <f t="array" ref="Y367">IF($D367&lt;COLUMNS($F$7:Y$7),"",INDEX(TableDiv[[GASB]:[GASB]],_xlfn.AGGREGATE(15,3,(TableDiv[[Agency]:[Agency]]=$E367)/(TableDiv[[Agency]:[Agency]]=$E367)*(ROW(TableDiv[Agency])-ROW(TableDiv[[#Headers],[Agency]])),COLUMNS($F$7:Y$7))))</f>
        <v>0</v>
      </c>
      <c r="Z367" s="2223" cm="1">
        <f t="array" ref="Z367">IF($D367&lt;COLUMNS($F$7:Z$7),"",INDEX(TableDiv[[GASB]:[GASB]],_xlfn.AGGREGATE(15,3,(TableDiv[[Agency]:[Agency]]=$E367)/(TableDiv[[Agency]:[Agency]]=$E367)*(ROW(TableDiv[Agency])-ROW(TableDiv[[#Headers],[Agency]])),COLUMNS($F$7:Z$7))))</f>
        <v>0</v>
      </c>
      <c r="AA367" s="2223" cm="1">
        <f t="array" ref="AA367">IF($D367&lt;COLUMNS($F$7:AA$7),"",INDEX(TableDiv[[GASB]:[GASB]],_xlfn.AGGREGATE(15,3,(TableDiv[[Agency]:[Agency]]=$E367)/(TableDiv[[Agency]:[Agency]]=$E367)*(ROW(TableDiv[Agency])-ROW(TableDiv[[#Headers],[Agency]])),COLUMNS($F$7:AA$7))))</f>
        <v>0</v>
      </c>
      <c r="AB367" s="2223" cm="1">
        <f t="array" ref="AB367">IF($D367&lt;COLUMNS($F$7:AB$7),"",INDEX(TableDiv[[GASB]:[GASB]],_xlfn.AGGREGATE(15,3,(TableDiv[[Agency]:[Agency]]=$E367)/(TableDiv[[Agency]:[Agency]]=$E367)*(ROW(TableDiv[Agency])-ROW(TableDiv[[#Headers],[Agency]])),COLUMNS($F$7:AB$7))))</f>
        <v>0</v>
      </c>
      <c r="AC367" s="2223" cm="1">
        <f t="array" ref="AC367">IF($D367&lt;COLUMNS($F$7:AC$7),"",INDEX(TableDiv[[GASB]:[GASB]],_xlfn.AGGREGATE(15,3,(TableDiv[[Agency]:[Agency]]=$E367)/(TableDiv[[Agency]:[Agency]]=$E367)*(ROW(TableDiv[Agency])-ROW(TableDiv[[#Headers],[Agency]])),COLUMNS($F$7:AC$7))))</f>
        <v>0</v>
      </c>
      <c r="AD367" s="2223" cm="1">
        <f t="array" ref="AD367">IF($D367&lt;COLUMNS($F$7:AD$7),"",INDEX(TableDiv[[GASB]:[GASB]],_xlfn.AGGREGATE(15,3,(TableDiv[[Agency]:[Agency]]=$E367)/(TableDiv[[Agency]:[Agency]]=$E367)*(ROW(TableDiv[Agency])-ROW(TableDiv[[#Headers],[Agency]])),COLUMNS($F$7:AD$7))))</f>
        <v>0</v>
      </c>
      <c r="AE367" s="2223" cm="1">
        <f t="array" ref="AE367">IF($D367&lt;COLUMNS($F$7:AE$7),"",INDEX(TableDiv[[GASB]:[GASB]],_xlfn.AGGREGATE(15,3,(TableDiv[[Agency]:[Agency]]=$E367)/(TableDiv[[Agency]:[Agency]]=$E367)*(ROW(TableDiv[Agency])-ROW(TableDiv[[#Headers],[Agency]])),COLUMNS($F$7:AE$7))))</f>
        <v>0</v>
      </c>
      <c r="AF367" s="2223" cm="1">
        <f t="array" ref="AF367">IF($D367&lt;COLUMNS($F$7:AF$7),"",INDEX(TableDiv[[GASB]:[GASB]],_xlfn.AGGREGATE(15,3,(TableDiv[[Agency]:[Agency]]=$E367)/(TableDiv[[Agency]:[Agency]]=$E367)*(ROW(TableDiv[Agency])-ROW(TableDiv[[#Headers],[Agency]])),COLUMNS($F$7:AF$7))))</f>
        <v>0</v>
      </c>
      <c r="AG367" s="2223" cm="1">
        <f t="array" ref="AG367">IF($D367&lt;COLUMNS($F$7:AG$7),"",INDEX(TableDiv[[GASB]:[GASB]],_xlfn.AGGREGATE(15,3,(TableDiv[[Agency]:[Agency]]=$E367)/(TableDiv[[Agency]:[Agency]]=$E367)*(ROW(TableDiv[Agency])-ROW(TableDiv[[#Headers],[Agency]])),COLUMNS($F$7:AG$7))))</f>
        <v>0</v>
      </c>
      <c r="AH367" s="2223" cm="1">
        <f t="array" ref="AH367">IF($D367&lt;COLUMNS($F$7:AH$7),"",INDEX(TableDiv[[GASB]:[GASB]],_xlfn.AGGREGATE(15,3,(TableDiv[[Agency]:[Agency]]=$E367)/(TableDiv[[Agency]:[Agency]]=$E367)*(ROW(TableDiv[Agency])-ROW(TableDiv[[#Headers],[Agency]])),COLUMNS($F$7:AH$7))))</f>
        <v>0</v>
      </c>
      <c r="AI367" s="2223" cm="1">
        <f t="array" ref="AI367">IF($D367&lt;COLUMNS($F$7:AI$7),"",INDEX(TableDiv[[GASB]:[GASB]],_xlfn.AGGREGATE(15,3,(TableDiv[[Agency]:[Agency]]=$E367)/(TableDiv[[Agency]:[Agency]]=$E367)*(ROW(TableDiv[Agency])-ROW(TableDiv[[#Headers],[Agency]])),COLUMNS($F$7:AI$7))))</f>
        <v>0</v>
      </c>
      <c r="AJ367" s="2223" cm="1">
        <f t="array" ref="AJ367">IF($D367&lt;COLUMNS($F$7:AJ$7),"",INDEX(TableDiv[[GASB]:[GASB]],_xlfn.AGGREGATE(15,3,(TableDiv[[Agency]:[Agency]]=$E367)/(TableDiv[[Agency]:[Agency]]=$E367)*(ROW(TableDiv[Agency])-ROW(TableDiv[[#Headers],[Agency]])),COLUMNS($F$7:AJ$7))))</f>
        <v>0</v>
      </c>
      <c r="AK367" s="2223" t="str" cm="1">
        <f t="array" ref="AK367">IF($D367&lt;COLUMNS($F$7:AK$7),"",INDEX(TableDiv[[GASB]:[GASB]],_xlfn.AGGREGATE(15,3,(TableDiv[[Agency]:[Agency]]=$E367)/(TableDiv[[Agency]:[Agency]]=$E367)*(ROW(TableDiv[Agency])-ROW(TableDiv[[#Headers],[Agency]])),COLUMNS($F$7:AK$7))))</f>
        <v/>
      </c>
      <c r="AL367" s="2223" t="str" cm="1">
        <f t="array" ref="AL367">IF($D367&lt;COLUMNS($F$7:AL$7),"",INDEX(TableDiv[[GASB]:[GASB]],_xlfn.AGGREGATE(15,3,(TableDiv[[Agency]:[Agency]]=$E367)/(TableDiv[[Agency]:[Agency]]=$E367)*(ROW(TableDiv[Agency])-ROW(TableDiv[[#Headers],[Agency]])),COLUMNS($F$7:AL$7))))</f>
        <v/>
      </c>
      <c r="AM367" s="2223" t="str" cm="1">
        <f t="array" ref="AM367">IF($D367&lt;COLUMNS($F$7:AM$7),"",INDEX(TableDiv[[GASB]:[GASB]],_xlfn.AGGREGATE(15,3,(TableDiv[[Agency]:[Agency]]=$E367)/(TableDiv[[Agency]:[Agency]]=$E367)*(ROW(TableDiv[Agency])-ROW(TableDiv[[#Headers],[Agency]])),COLUMNS($F$7:AM$7))))</f>
        <v/>
      </c>
      <c r="AN367" s="2223"/>
      <c r="AO367" s="2223"/>
      <c r="AP367" s="2223"/>
      <c r="AQ367" s="2223"/>
      <c r="AR367" s="2223"/>
      <c r="AS367" s="2223"/>
    </row>
    <row r="368" spans="1:45" ht="15" x14ac:dyDescent="0.25">
      <c r="A368" s="2219" t="s">
        <v>5140</v>
      </c>
      <c r="B368" s="2219" t="s">
        <v>5069</v>
      </c>
      <c r="C368" s="2223"/>
      <c r="D368" s="2223">
        <f>COUNTIF(TableDiv[Agency],E368)</f>
        <v>31</v>
      </c>
      <c r="E368" s="2230" t="str" cm="1">
        <f t="array" ref="E368">IFERROR(INDEX(TableDiv[Agency],MATCH(0,INDEX(COUNTIF($E$7:E367,TableDiv[Agency]),),0)),"")</f>
        <v/>
      </c>
      <c r="F368" s="2223" cm="1">
        <f t="array" ref="F368">IF($D368&lt;COLUMNS($F$7:F$7),"",INDEX(TableDiv[[GASB]:[GASB]],_xlfn.AGGREGATE(15,3,(TableDiv[[Agency]:[Agency]]=$E368)/(TableDiv[[Agency]:[Agency]]=$E368)*(ROW(TableDiv[Agency])-ROW(TableDiv[[#Headers],[Agency]])),COLUMNS($F$7:F$7))))</f>
        <v>0</v>
      </c>
      <c r="G368" s="2223" cm="1">
        <f t="array" ref="G368">IF($D368&lt;COLUMNS($F$7:G$7),"",INDEX(TableDiv[[GASB]:[GASB]],_xlfn.AGGREGATE(15,3,(TableDiv[[Agency]:[Agency]]=$E368)/(TableDiv[[Agency]:[Agency]]=$E368)*(ROW(TableDiv[Agency])-ROW(TableDiv[[#Headers],[Agency]])),COLUMNS($F$7:G$7))))</f>
        <v>0</v>
      </c>
      <c r="H368" s="2223" cm="1">
        <f t="array" ref="H368">IF($D368&lt;COLUMNS($F$7:H$7),"",INDEX(TableDiv[[GASB]:[GASB]],_xlfn.AGGREGATE(15,3,(TableDiv[[Agency]:[Agency]]=$E368)/(TableDiv[[Agency]:[Agency]]=$E368)*(ROW(TableDiv[Agency])-ROW(TableDiv[[#Headers],[Agency]])),COLUMNS($F$7:H$7))))</f>
        <v>0</v>
      </c>
      <c r="I368" s="2223" cm="1">
        <f t="array" ref="I368">IF($D368&lt;COLUMNS($F$7:I$7),"",INDEX(TableDiv[[GASB]:[GASB]],_xlfn.AGGREGATE(15,3,(TableDiv[[Agency]:[Agency]]=$E368)/(TableDiv[[Agency]:[Agency]]=$E368)*(ROW(TableDiv[Agency])-ROW(TableDiv[[#Headers],[Agency]])),COLUMNS($F$7:I$7))))</f>
        <v>0</v>
      </c>
      <c r="J368" s="2223" cm="1">
        <f t="array" ref="J368">IF($D368&lt;COLUMNS($F$7:J$7),"",INDEX(TableDiv[[GASB]:[GASB]],_xlfn.AGGREGATE(15,3,(TableDiv[[Agency]:[Agency]]=$E368)/(TableDiv[[Agency]:[Agency]]=$E368)*(ROW(TableDiv[Agency])-ROW(TableDiv[[#Headers],[Agency]])),COLUMNS($F$7:J$7))))</f>
        <v>0</v>
      </c>
      <c r="K368" s="2223" cm="1">
        <f t="array" ref="K368">IF($D368&lt;COLUMNS($F$7:K$7),"",INDEX(TableDiv[[GASB]:[GASB]],_xlfn.AGGREGATE(15,3,(TableDiv[[Agency]:[Agency]]=$E368)/(TableDiv[[Agency]:[Agency]]=$E368)*(ROW(TableDiv[Agency])-ROW(TableDiv[[#Headers],[Agency]])),COLUMNS($F$7:K$7))))</f>
        <v>0</v>
      </c>
      <c r="L368" s="2223" cm="1">
        <f t="array" ref="L368">IF($D368&lt;COLUMNS($F$7:L$7),"",INDEX(TableDiv[[GASB]:[GASB]],_xlfn.AGGREGATE(15,3,(TableDiv[[Agency]:[Agency]]=$E368)/(TableDiv[[Agency]:[Agency]]=$E368)*(ROW(TableDiv[Agency])-ROW(TableDiv[[#Headers],[Agency]])),COLUMNS($F$7:L$7))))</f>
        <v>0</v>
      </c>
      <c r="M368" s="2223" cm="1">
        <f t="array" ref="M368">IF($D368&lt;COLUMNS($F$7:M$7),"",INDEX(TableDiv[[GASB]:[GASB]],_xlfn.AGGREGATE(15,3,(TableDiv[[Agency]:[Agency]]=$E368)/(TableDiv[[Agency]:[Agency]]=$E368)*(ROW(TableDiv[Agency])-ROW(TableDiv[[#Headers],[Agency]])),COLUMNS($F$7:M$7))))</f>
        <v>0</v>
      </c>
      <c r="N368" s="2223" cm="1">
        <f t="array" ref="N368">IF($D368&lt;COLUMNS($F$7:N$7),"",INDEX(TableDiv[[GASB]:[GASB]],_xlfn.AGGREGATE(15,3,(TableDiv[[Agency]:[Agency]]=$E368)/(TableDiv[[Agency]:[Agency]]=$E368)*(ROW(TableDiv[Agency])-ROW(TableDiv[[#Headers],[Agency]])),COLUMNS($F$7:N$7))))</f>
        <v>0</v>
      </c>
      <c r="O368" s="2223" cm="1">
        <f t="array" ref="O368">IF($D368&lt;COLUMNS($F$7:O$7),"",INDEX(TableDiv[[GASB]:[GASB]],_xlfn.AGGREGATE(15,3,(TableDiv[[Agency]:[Agency]]=$E368)/(TableDiv[[Agency]:[Agency]]=$E368)*(ROW(TableDiv[Agency])-ROW(TableDiv[[#Headers],[Agency]])),COLUMNS($F$7:O$7))))</f>
        <v>0</v>
      </c>
      <c r="P368" s="2223" cm="1">
        <f t="array" ref="P368">IF($D368&lt;COLUMNS($F$7:P$7),"",INDEX(TableDiv[[GASB]:[GASB]],_xlfn.AGGREGATE(15,3,(TableDiv[[Agency]:[Agency]]=$E368)/(TableDiv[[Agency]:[Agency]]=$E368)*(ROW(TableDiv[Agency])-ROW(TableDiv[[#Headers],[Agency]])),COLUMNS($F$7:P$7))))</f>
        <v>0</v>
      </c>
      <c r="Q368" s="2223" cm="1">
        <f t="array" ref="Q368">IF($D368&lt;COLUMNS($F$7:Q$7),"",INDEX(TableDiv[[GASB]:[GASB]],_xlfn.AGGREGATE(15,3,(TableDiv[[Agency]:[Agency]]=$E368)/(TableDiv[[Agency]:[Agency]]=$E368)*(ROW(TableDiv[Agency])-ROW(TableDiv[[#Headers],[Agency]])),COLUMNS($F$7:Q$7))))</f>
        <v>0</v>
      </c>
      <c r="R368" s="2223" cm="1">
        <f t="array" ref="R368">IF($D368&lt;COLUMNS($F$7:R$7),"",INDEX(TableDiv[[GASB]:[GASB]],_xlfn.AGGREGATE(15,3,(TableDiv[[Agency]:[Agency]]=$E368)/(TableDiv[[Agency]:[Agency]]=$E368)*(ROW(TableDiv[Agency])-ROW(TableDiv[[#Headers],[Agency]])),COLUMNS($F$7:R$7))))</f>
        <v>0</v>
      </c>
      <c r="S368" s="2223" cm="1">
        <f t="array" ref="S368">IF($D368&lt;COLUMNS($F$7:S$7),"",INDEX(TableDiv[[GASB]:[GASB]],_xlfn.AGGREGATE(15,3,(TableDiv[[Agency]:[Agency]]=$E368)/(TableDiv[[Agency]:[Agency]]=$E368)*(ROW(TableDiv[Agency])-ROW(TableDiv[[#Headers],[Agency]])),COLUMNS($F$7:S$7))))</f>
        <v>0</v>
      </c>
      <c r="T368" s="2223" cm="1">
        <f t="array" ref="T368">IF($D368&lt;COLUMNS($F$7:T$7),"",INDEX(TableDiv[[GASB]:[GASB]],_xlfn.AGGREGATE(15,3,(TableDiv[[Agency]:[Agency]]=$E368)/(TableDiv[[Agency]:[Agency]]=$E368)*(ROW(TableDiv[Agency])-ROW(TableDiv[[#Headers],[Agency]])),COLUMNS($F$7:T$7))))</f>
        <v>0</v>
      </c>
      <c r="U368" s="2223" cm="1">
        <f t="array" ref="U368">IF($D368&lt;COLUMNS($F$7:U$7),"",INDEX(TableDiv[[GASB]:[GASB]],_xlfn.AGGREGATE(15,3,(TableDiv[[Agency]:[Agency]]=$E368)/(TableDiv[[Agency]:[Agency]]=$E368)*(ROW(TableDiv[Agency])-ROW(TableDiv[[#Headers],[Agency]])),COLUMNS($F$7:U$7))))</f>
        <v>0</v>
      </c>
      <c r="V368" s="2223" cm="1">
        <f t="array" ref="V368">IF($D368&lt;COLUMNS($F$7:V$7),"",INDEX(TableDiv[[GASB]:[GASB]],_xlfn.AGGREGATE(15,3,(TableDiv[[Agency]:[Agency]]=$E368)/(TableDiv[[Agency]:[Agency]]=$E368)*(ROW(TableDiv[Agency])-ROW(TableDiv[[#Headers],[Agency]])),COLUMNS($F$7:V$7))))</f>
        <v>0</v>
      </c>
      <c r="W368" s="2223" cm="1">
        <f t="array" ref="W368">IF($D368&lt;COLUMNS($F$7:W$7),"",INDEX(TableDiv[[GASB]:[GASB]],_xlfn.AGGREGATE(15,3,(TableDiv[[Agency]:[Agency]]=$E368)/(TableDiv[[Agency]:[Agency]]=$E368)*(ROW(TableDiv[Agency])-ROW(TableDiv[[#Headers],[Agency]])),COLUMNS($F$7:W$7))))</f>
        <v>0</v>
      </c>
      <c r="X368" s="2223" cm="1">
        <f t="array" ref="X368">IF($D368&lt;COLUMNS($F$7:X$7),"",INDEX(TableDiv[[GASB]:[GASB]],_xlfn.AGGREGATE(15,3,(TableDiv[[Agency]:[Agency]]=$E368)/(TableDiv[[Agency]:[Agency]]=$E368)*(ROW(TableDiv[Agency])-ROW(TableDiv[[#Headers],[Agency]])),COLUMNS($F$7:X$7))))</f>
        <v>0</v>
      </c>
      <c r="Y368" s="2223" cm="1">
        <f t="array" ref="Y368">IF($D368&lt;COLUMNS($F$7:Y$7),"",INDEX(TableDiv[[GASB]:[GASB]],_xlfn.AGGREGATE(15,3,(TableDiv[[Agency]:[Agency]]=$E368)/(TableDiv[[Agency]:[Agency]]=$E368)*(ROW(TableDiv[Agency])-ROW(TableDiv[[#Headers],[Agency]])),COLUMNS($F$7:Y$7))))</f>
        <v>0</v>
      </c>
      <c r="Z368" s="2223" cm="1">
        <f t="array" ref="Z368">IF($D368&lt;COLUMNS($F$7:Z$7),"",INDEX(TableDiv[[GASB]:[GASB]],_xlfn.AGGREGATE(15,3,(TableDiv[[Agency]:[Agency]]=$E368)/(TableDiv[[Agency]:[Agency]]=$E368)*(ROW(TableDiv[Agency])-ROW(TableDiv[[#Headers],[Agency]])),COLUMNS($F$7:Z$7))))</f>
        <v>0</v>
      </c>
      <c r="AA368" s="2223" cm="1">
        <f t="array" ref="AA368">IF($D368&lt;COLUMNS($F$7:AA$7),"",INDEX(TableDiv[[GASB]:[GASB]],_xlfn.AGGREGATE(15,3,(TableDiv[[Agency]:[Agency]]=$E368)/(TableDiv[[Agency]:[Agency]]=$E368)*(ROW(TableDiv[Agency])-ROW(TableDiv[[#Headers],[Agency]])),COLUMNS($F$7:AA$7))))</f>
        <v>0</v>
      </c>
      <c r="AB368" s="2223" cm="1">
        <f t="array" ref="AB368">IF($D368&lt;COLUMNS($F$7:AB$7),"",INDEX(TableDiv[[GASB]:[GASB]],_xlfn.AGGREGATE(15,3,(TableDiv[[Agency]:[Agency]]=$E368)/(TableDiv[[Agency]:[Agency]]=$E368)*(ROW(TableDiv[Agency])-ROW(TableDiv[[#Headers],[Agency]])),COLUMNS($F$7:AB$7))))</f>
        <v>0</v>
      </c>
      <c r="AC368" s="2223" cm="1">
        <f t="array" ref="AC368">IF($D368&lt;COLUMNS($F$7:AC$7),"",INDEX(TableDiv[[GASB]:[GASB]],_xlfn.AGGREGATE(15,3,(TableDiv[[Agency]:[Agency]]=$E368)/(TableDiv[[Agency]:[Agency]]=$E368)*(ROW(TableDiv[Agency])-ROW(TableDiv[[#Headers],[Agency]])),COLUMNS($F$7:AC$7))))</f>
        <v>0</v>
      </c>
      <c r="AD368" s="2223" cm="1">
        <f t="array" ref="AD368">IF($D368&lt;COLUMNS($F$7:AD$7),"",INDEX(TableDiv[[GASB]:[GASB]],_xlfn.AGGREGATE(15,3,(TableDiv[[Agency]:[Agency]]=$E368)/(TableDiv[[Agency]:[Agency]]=$E368)*(ROW(TableDiv[Agency])-ROW(TableDiv[[#Headers],[Agency]])),COLUMNS($F$7:AD$7))))</f>
        <v>0</v>
      </c>
      <c r="AE368" s="2223" cm="1">
        <f t="array" ref="AE368">IF($D368&lt;COLUMNS($F$7:AE$7),"",INDEX(TableDiv[[GASB]:[GASB]],_xlfn.AGGREGATE(15,3,(TableDiv[[Agency]:[Agency]]=$E368)/(TableDiv[[Agency]:[Agency]]=$E368)*(ROW(TableDiv[Agency])-ROW(TableDiv[[#Headers],[Agency]])),COLUMNS($F$7:AE$7))))</f>
        <v>0</v>
      </c>
      <c r="AF368" s="2223" cm="1">
        <f t="array" ref="AF368">IF($D368&lt;COLUMNS($F$7:AF$7),"",INDEX(TableDiv[[GASB]:[GASB]],_xlfn.AGGREGATE(15,3,(TableDiv[[Agency]:[Agency]]=$E368)/(TableDiv[[Agency]:[Agency]]=$E368)*(ROW(TableDiv[Agency])-ROW(TableDiv[[#Headers],[Agency]])),COLUMNS($F$7:AF$7))))</f>
        <v>0</v>
      </c>
      <c r="AG368" s="2223" cm="1">
        <f t="array" ref="AG368">IF($D368&lt;COLUMNS($F$7:AG$7),"",INDEX(TableDiv[[GASB]:[GASB]],_xlfn.AGGREGATE(15,3,(TableDiv[[Agency]:[Agency]]=$E368)/(TableDiv[[Agency]:[Agency]]=$E368)*(ROW(TableDiv[Agency])-ROW(TableDiv[[#Headers],[Agency]])),COLUMNS($F$7:AG$7))))</f>
        <v>0</v>
      </c>
      <c r="AH368" s="2223" cm="1">
        <f t="array" ref="AH368">IF($D368&lt;COLUMNS($F$7:AH$7),"",INDEX(TableDiv[[GASB]:[GASB]],_xlfn.AGGREGATE(15,3,(TableDiv[[Agency]:[Agency]]=$E368)/(TableDiv[[Agency]:[Agency]]=$E368)*(ROW(TableDiv[Agency])-ROW(TableDiv[[#Headers],[Agency]])),COLUMNS($F$7:AH$7))))</f>
        <v>0</v>
      </c>
      <c r="AI368" s="2223" cm="1">
        <f t="array" ref="AI368">IF($D368&lt;COLUMNS($F$7:AI$7),"",INDEX(TableDiv[[GASB]:[GASB]],_xlfn.AGGREGATE(15,3,(TableDiv[[Agency]:[Agency]]=$E368)/(TableDiv[[Agency]:[Agency]]=$E368)*(ROW(TableDiv[Agency])-ROW(TableDiv[[#Headers],[Agency]])),COLUMNS($F$7:AI$7))))</f>
        <v>0</v>
      </c>
      <c r="AJ368" s="2223" cm="1">
        <f t="array" ref="AJ368">IF($D368&lt;COLUMNS($F$7:AJ$7),"",INDEX(TableDiv[[GASB]:[GASB]],_xlfn.AGGREGATE(15,3,(TableDiv[[Agency]:[Agency]]=$E368)/(TableDiv[[Agency]:[Agency]]=$E368)*(ROW(TableDiv[Agency])-ROW(TableDiv[[#Headers],[Agency]])),COLUMNS($F$7:AJ$7))))</f>
        <v>0</v>
      </c>
      <c r="AK368" s="2223" t="str" cm="1">
        <f t="array" ref="AK368">IF($D368&lt;COLUMNS($F$7:AK$7),"",INDEX(TableDiv[[GASB]:[GASB]],_xlfn.AGGREGATE(15,3,(TableDiv[[Agency]:[Agency]]=$E368)/(TableDiv[[Agency]:[Agency]]=$E368)*(ROW(TableDiv[Agency])-ROW(TableDiv[[#Headers],[Agency]])),COLUMNS($F$7:AK$7))))</f>
        <v/>
      </c>
      <c r="AL368" s="2223" t="str" cm="1">
        <f t="array" ref="AL368">IF($D368&lt;COLUMNS($F$7:AL$7),"",INDEX(TableDiv[[GASB]:[GASB]],_xlfn.AGGREGATE(15,3,(TableDiv[[Agency]:[Agency]]=$E368)/(TableDiv[[Agency]:[Agency]]=$E368)*(ROW(TableDiv[Agency])-ROW(TableDiv[[#Headers],[Agency]])),COLUMNS($F$7:AL$7))))</f>
        <v/>
      </c>
      <c r="AM368" s="2223" t="str" cm="1">
        <f t="array" ref="AM368">IF($D368&lt;COLUMNS($F$7:AM$7),"",INDEX(TableDiv[[GASB]:[GASB]],_xlfn.AGGREGATE(15,3,(TableDiv[[Agency]:[Agency]]=$E368)/(TableDiv[[Agency]:[Agency]]=$E368)*(ROW(TableDiv[Agency])-ROW(TableDiv[[#Headers],[Agency]])),COLUMNS($F$7:AM$7))))</f>
        <v/>
      </c>
      <c r="AN368" s="2223"/>
      <c r="AO368" s="2223"/>
      <c r="AP368" s="2223"/>
      <c r="AQ368" s="2223"/>
      <c r="AR368" s="2223"/>
      <c r="AS368" s="2223"/>
    </row>
    <row r="369" spans="1:45" ht="15" x14ac:dyDescent="0.25">
      <c r="A369" s="2219" t="s">
        <v>5141</v>
      </c>
      <c r="B369" s="2219" t="s">
        <v>5071</v>
      </c>
      <c r="C369" s="2223"/>
      <c r="D369" s="2223">
        <f>COUNTIF(TableDiv[Agency],E369)</f>
        <v>31</v>
      </c>
      <c r="E369" s="2230" t="str" cm="1">
        <f t="array" ref="E369">IFERROR(INDEX(TableDiv[Agency],MATCH(0,INDEX(COUNTIF($E$7:E368,TableDiv[Agency]),),0)),"")</f>
        <v/>
      </c>
      <c r="F369" s="2223" cm="1">
        <f t="array" ref="F369">IF($D369&lt;COLUMNS($F$7:F$7),"",INDEX(TableDiv[[GASB]:[GASB]],_xlfn.AGGREGATE(15,3,(TableDiv[[Agency]:[Agency]]=$E369)/(TableDiv[[Agency]:[Agency]]=$E369)*(ROW(TableDiv[Agency])-ROW(TableDiv[[#Headers],[Agency]])),COLUMNS($F$7:F$7))))</f>
        <v>0</v>
      </c>
      <c r="G369" s="2223" cm="1">
        <f t="array" ref="G369">IF($D369&lt;COLUMNS($F$7:G$7),"",INDEX(TableDiv[[GASB]:[GASB]],_xlfn.AGGREGATE(15,3,(TableDiv[[Agency]:[Agency]]=$E369)/(TableDiv[[Agency]:[Agency]]=$E369)*(ROW(TableDiv[Agency])-ROW(TableDiv[[#Headers],[Agency]])),COLUMNS($F$7:G$7))))</f>
        <v>0</v>
      </c>
      <c r="H369" s="2223" cm="1">
        <f t="array" ref="H369">IF($D369&lt;COLUMNS($F$7:H$7),"",INDEX(TableDiv[[GASB]:[GASB]],_xlfn.AGGREGATE(15,3,(TableDiv[[Agency]:[Agency]]=$E369)/(TableDiv[[Agency]:[Agency]]=$E369)*(ROW(TableDiv[Agency])-ROW(TableDiv[[#Headers],[Agency]])),COLUMNS($F$7:H$7))))</f>
        <v>0</v>
      </c>
      <c r="I369" s="2223" cm="1">
        <f t="array" ref="I369">IF($D369&lt;COLUMNS($F$7:I$7),"",INDEX(TableDiv[[GASB]:[GASB]],_xlfn.AGGREGATE(15,3,(TableDiv[[Agency]:[Agency]]=$E369)/(TableDiv[[Agency]:[Agency]]=$E369)*(ROW(TableDiv[Agency])-ROW(TableDiv[[#Headers],[Agency]])),COLUMNS($F$7:I$7))))</f>
        <v>0</v>
      </c>
      <c r="J369" s="2223" cm="1">
        <f t="array" ref="J369">IF($D369&lt;COLUMNS($F$7:J$7),"",INDEX(TableDiv[[GASB]:[GASB]],_xlfn.AGGREGATE(15,3,(TableDiv[[Agency]:[Agency]]=$E369)/(TableDiv[[Agency]:[Agency]]=$E369)*(ROW(TableDiv[Agency])-ROW(TableDiv[[#Headers],[Agency]])),COLUMNS($F$7:J$7))))</f>
        <v>0</v>
      </c>
      <c r="K369" s="2223" cm="1">
        <f t="array" ref="K369">IF($D369&lt;COLUMNS($F$7:K$7),"",INDEX(TableDiv[[GASB]:[GASB]],_xlfn.AGGREGATE(15,3,(TableDiv[[Agency]:[Agency]]=$E369)/(TableDiv[[Agency]:[Agency]]=$E369)*(ROW(TableDiv[Agency])-ROW(TableDiv[[#Headers],[Agency]])),COLUMNS($F$7:K$7))))</f>
        <v>0</v>
      </c>
      <c r="L369" s="2223" cm="1">
        <f t="array" ref="L369">IF($D369&lt;COLUMNS($F$7:L$7),"",INDEX(TableDiv[[GASB]:[GASB]],_xlfn.AGGREGATE(15,3,(TableDiv[[Agency]:[Agency]]=$E369)/(TableDiv[[Agency]:[Agency]]=$E369)*(ROW(TableDiv[Agency])-ROW(TableDiv[[#Headers],[Agency]])),COLUMNS($F$7:L$7))))</f>
        <v>0</v>
      </c>
      <c r="M369" s="2223" cm="1">
        <f t="array" ref="M369">IF($D369&lt;COLUMNS($F$7:M$7),"",INDEX(TableDiv[[GASB]:[GASB]],_xlfn.AGGREGATE(15,3,(TableDiv[[Agency]:[Agency]]=$E369)/(TableDiv[[Agency]:[Agency]]=$E369)*(ROW(TableDiv[Agency])-ROW(TableDiv[[#Headers],[Agency]])),COLUMNS($F$7:M$7))))</f>
        <v>0</v>
      </c>
      <c r="N369" s="2223" cm="1">
        <f t="array" ref="N369">IF($D369&lt;COLUMNS($F$7:N$7),"",INDEX(TableDiv[[GASB]:[GASB]],_xlfn.AGGREGATE(15,3,(TableDiv[[Agency]:[Agency]]=$E369)/(TableDiv[[Agency]:[Agency]]=$E369)*(ROW(TableDiv[Agency])-ROW(TableDiv[[#Headers],[Agency]])),COLUMNS($F$7:N$7))))</f>
        <v>0</v>
      </c>
      <c r="O369" s="2223" cm="1">
        <f t="array" ref="O369">IF($D369&lt;COLUMNS($F$7:O$7),"",INDEX(TableDiv[[GASB]:[GASB]],_xlfn.AGGREGATE(15,3,(TableDiv[[Agency]:[Agency]]=$E369)/(TableDiv[[Agency]:[Agency]]=$E369)*(ROW(TableDiv[Agency])-ROW(TableDiv[[#Headers],[Agency]])),COLUMNS($F$7:O$7))))</f>
        <v>0</v>
      </c>
      <c r="P369" s="2223" cm="1">
        <f t="array" ref="P369">IF($D369&lt;COLUMNS($F$7:P$7),"",INDEX(TableDiv[[GASB]:[GASB]],_xlfn.AGGREGATE(15,3,(TableDiv[[Agency]:[Agency]]=$E369)/(TableDiv[[Agency]:[Agency]]=$E369)*(ROW(TableDiv[Agency])-ROW(TableDiv[[#Headers],[Agency]])),COLUMNS($F$7:P$7))))</f>
        <v>0</v>
      </c>
      <c r="Q369" s="2223" cm="1">
        <f t="array" ref="Q369">IF($D369&lt;COLUMNS($F$7:Q$7),"",INDEX(TableDiv[[GASB]:[GASB]],_xlfn.AGGREGATE(15,3,(TableDiv[[Agency]:[Agency]]=$E369)/(TableDiv[[Agency]:[Agency]]=$E369)*(ROW(TableDiv[Agency])-ROW(TableDiv[[#Headers],[Agency]])),COLUMNS($F$7:Q$7))))</f>
        <v>0</v>
      </c>
      <c r="R369" s="2223" cm="1">
        <f t="array" ref="R369">IF($D369&lt;COLUMNS($F$7:R$7),"",INDEX(TableDiv[[GASB]:[GASB]],_xlfn.AGGREGATE(15,3,(TableDiv[[Agency]:[Agency]]=$E369)/(TableDiv[[Agency]:[Agency]]=$E369)*(ROW(TableDiv[Agency])-ROW(TableDiv[[#Headers],[Agency]])),COLUMNS($F$7:R$7))))</f>
        <v>0</v>
      </c>
      <c r="S369" s="2223" cm="1">
        <f t="array" ref="S369">IF($D369&lt;COLUMNS($F$7:S$7),"",INDEX(TableDiv[[GASB]:[GASB]],_xlfn.AGGREGATE(15,3,(TableDiv[[Agency]:[Agency]]=$E369)/(TableDiv[[Agency]:[Agency]]=$E369)*(ROW(TableDiv[Agency])-ROW(TableDiv[[#Headers],[Agency]])),COLUMNS($F$7:S$7))))</f>
        <v>0</v>
      </c>
      <c r="T369" s="2223" cm="1">
        <f t="array" ref="T369">IF($D369&lt;COLUMNS($F$7:T$7),"",INDEX(TableDiv[[GASB]:[GASB]],_xlfn.AGGREGATE(15,3,(TableDiv[[Agency]:[Agency]]=$E369)/(TableDiv[[Agency]:[Agency]]=$E369)*(ROW(TableDiv[Agency])-ROW(TableDiv[[#Headers],[Agency]])),COLUMNS($F$7:T$7))))</f>
        <v>0</v>
      </c>
      <c r="U369" s="2223" cm="1">
        <f t="array" ref="U369">IF($D369&lt;COLUMNS($F$7:U$7),"",INDEX(TableDiv[[GASB]:[GASB]],_xlfn.AGGREGATE(15,3,(TableDiv[[Agency]:[Agency]]=$E369)/(TableDiv[[Agency]:[Agency]]=$E369)*(ROW(TableDiv[Agency])-ROW(TableDiv[[#Headers],[Agency]])),COLUMNS($F$7:U$7))))</f>
        <v>0</v>
      </c>
      <c r="V369" s="2223" cm="1">
        <f t="array" ref="V369">IF($D369&lt;COLUMNS($F$7:V$7),"",INDEX(TableDiv[[GASB]:[GASB]],_xlfn.AGGREGATE(15,3,(TableDiv[[Agency]:[Agency]]=$E369)/(TableDiv[[Agency]:[Agency]]=$E369)*(ROW(TableDiv[Agency])-ROW(TableDiv[[#Headers],[Agency]])),COLUMNS($F$7:V$7))))</f>
        <v>0</v>
      </c>
      <c r="W369" s="2223" cm="1">
        <f t="array" ref="W369">IF($D369&lt;COLUMNS($F$7:W$7),"",INDEX(TableDiv[[GASB]:[GASB]],_xlfn.AGGREGATE(15,3,(TableDiv[[Agency]:[Agency]]=$E369)/(TableDiv[[Agency]:[Agency]]=$E369)*(ROW(TableDiv[Agency])-ROW(TableDiv[[#Headers],[Agency]])),COLUMNS($F$7:W$7))))</f>
        <v>0</v>
      </c>
      <c r="X369" s="2223" cm="1">
        <f t="array" ref="X369">IF($D369&lt;COLUMNS($F$7:X$7),"",INDEX(TableDiv[[GASB]:[GASB]],_xlfn.AGGREGATE(15,3,(TableDiv[[Agency]:[Agency]]=$E369)/(TableDiv[[Agency]:[Agency]]=$E369)*(ROW(TableDiv[Agency])-ROW(TableDiv[[#Headers],[Agency]])),COLUMNS($F$7:X$7))))</f>
        <v>0</v>
      </c>
      <c r="Y369" s="2223" cm="1">
        <f t="array" ref="Y369">IF($D369&lt;COLUMNS($F$7:Y$7),"",INDEX(TableDiv[[GASB]:[GASB]],_xlfn.AGGREGATE(15,3,(TableDiv[[Agency]:[Agency]]=$E369)/(TableDiv[[Agency]:[Agency]]=$E369)*(ROW(TableDiv[Agency])-ROW(TableDiv[[#Headers],[Agency]])),COLUMNS($F$7:Y$7))))</f>
        <v>0</v>
      </c>
      <c r="Z369" s="2223" cm="1">
        <f t="array" ref="Z369">IF($D369&lt;COLUMNS($F$7:Z$7),"",INDEX(TableDiv[[GASB]:[GASB]],_xlfn.AGGREGATE(15,3,(TableDiv[[Agency]:[Agency]]=$E369)/(TableDiv[[Agency]:[Agency]]=$E369)*(ROW(TableDiv[Agency])-ROW(TableDiv[[#Headers],[Agency]])),COLUMNS($F$7:Z$7))))</f>
        <v>0</v>
      </c>
      <c r="AA369" s="2223" cm="1">
        <f t="array" ref="AA369">IF($D369&lt;COLUMNS($F$7:AA$7),"",INDEX(TableDiv[[GASB]:[GASB]],_xlfn.AGGREGATE(15,3,(TableDiv[[Agency]:[Agency]]=$E369)/(TableDiv[[Agency]:[Agency]]=$E369)*(ROW(TableDiv[Agency])-ROW(TableDiv[[#Headers],[Agency]])),COLUMNS($F$7:AA$7))))</f>
        <v>0</v>
      </c>
      <c r="AB369" s="2223" cm="1">
        <f t="array" ref="AB369">IF($D369&lt;COLUMNS($F$7:AB$7),"",INDEX(TableDiv[[GASB]:[GASB]],_xlfn.AGGREGATE(15,3,(TableDiv[[Agency]:[Agency]]=$E369)/(TableDiv[[Agency]:[Agency]]=$E369)*(ROW(TableDiv[Agency])-ROW(TableDiv[[#Headers],[Agency]])),COLUMNS($F$7:AB$7))))</f>
        <v>0</v>
      </c>
      <c r="AC369" s="2223" cm="1">
        <f t="array" ref="AC369">IF($D369&lt;COLUMNS($F$7:AC$7),"",INDEX(TableDiv[[GASB]:[GASB]],_xlfn.AGGREGATE(15,3,(TableDiv[[Agency]:[Agency]]=$E369)/(TableDiv[[Agency]:[Agency]]=$E369)*(ROW(TableDiv[Agency])-ROW(TableDiv[[#Headers],[Agency]])),COLUMNS($F$7:AC$7))))</f>
        <v>0</v>
      </c>
      <c r="AD369" s="2223" cm="1">
        <f t="array" ref="AD369">IF($D369&lt;COLUMNS($F$7:AD$7),"",INDEX(TableDiv[[GASB]:[GASB]],_xlfn.AGGREGATE(15,3,(TableDiv[[Agency]:[Agency]]=$E369)/(TableDiv[[Agency]:[Agency]]=$E369)*(ROW(TableDiv[Agency])-ROW(TableDiv[[#Headers],[Agency]])),COLUMNS($F$7:AD$7))))</f>
        <v>0</v>
      </c>
      <c r="AE369" s="2223" cm="1">
        <f t="array" ref="AE369">IF($D369&lt;COLUMNS($F$7:AE$7),"",INDEX(TableDiv[[GASB]:[GASB]],_xlfn.AGGREGATE(15,3,(TableDiv[[Agency]:[Agency]]=$E369)/(TableDiv[[Agency]:[Agency]]=$E369)*(ROW(TableDiv[Agency])-ROW(TableDiv[[#Headers],[Agency]])),COLUMNS($F$7:AE$7))))</f>
        <v>0</v>
      </c>
      <c r="AF369" s="2223" cm="1">
        <f t="array" ref="AF369">IF($D369&lt;COLUMNS($F$7:AF$7),"",INDEX(TableDiv[[GASB]:[GASB]],_xlfn.AGGREGATE(15,3,(TableDiv[[Agency]:[Agency]]=$E369)/(TableDiv[[Agency]:[Agency]]=$E369)*(ROW(TableDiv[Agency])-ROW(TableDiv[[#Headers],[Agency]])),COLUMNS($F$7:AF$7))))</f>
        <v>0</v>
      </c>
      <c r="AG369" s="2223" cm="1">
        <f t="array" ref="AG369">IF($D369&lt;COLUMNS($F$7:AG$7),"",INDEX(TableDiv[[GASB]:[GASB]],_xlfn.AGGREGATE(15,3,(TableDiv[[Agency]:[Agency]]=$E369)/(TableDiv[[Agency]:[Agency]]=$E369)*(ROW(TableDiv[Agency])-ROW(TableDiv[[#Headers],[Agency]])),COLUMNS($F$7:AG$7))))</f>
        <v>0</v>
      </c>
      <c r="AH369" s="2223" cm="1">
        <f t="array" ref="AH369">IF($D369&lt;COLUMNS($F$7:AH$7),"",INDEX(TableDiv[[GASB]:[GASB]],_xlfn.AGGREGATE(15,3,(TableDiv[[Agency]:[Agency]]=$E369)/(TableDiv[[Agency]:[Agency]]=$E369)*(ROW(TableDiv[Agency])-ROW(TableDiv[[#Headers],[Agency]])),COLUMNS($F$7:AH$7))))</f>
        <v>0</v>
      </c>
      <c r="AI369" s="2223" cm="1">
        <f t="array" ref="AI369">IF($D369&lt;COLUMNS($F$7:AI$7),"",INDEX(TableDiv[[GASB]:[GASB]],_xlfn.AGGREGATE(15,3,(TableDiv[[Agency]:[Agency]]=$E369)/(TableDiv[[Agency]:[Agency]]=$E369)*(ROW(TableDiv[Agency])-ROW(TableDiv[[#Headers],[Agency]])),COLUMNS($F$7:AI$7))))</f>
        <v>0</v>
      </c>
      <c r="AJ369" s="2223" cm="1">
        <f t="array" ref="AJ369">IF($D369&lt;COLUMNS($F$7:AJ$7),"",INDEX(TableDiv[[GASB]:[GASB]],_xlfn.AGGREGATE(15,3,(TableDiv[[Agency]:[Agency]]=$E369)/(TableDiv[[Agency]:[Agency]]=$E369)*(ROW(TableDiv[Agency])-ROW(TableDiv[[#Headers],[Agency]])),COLUMNS($F$7:AJ$7))))</f>
        <v>0</v>
      </c>
      <c r="AK369" s="2223" t="str" cm="1">
        <f t="array" ref="AK369">IF($D369&lt;COLUMNS($F$7:AK$7),"",INDEX(TableDiv[[GASB]:[GASB]],_xlfn.AGGREGATE(15,3,(TableDiv[[Agency]:[Agency]]=$E369)/(TableDiv[[Agency]:[Agency]]=$E369)*(ROW(TableDiv[Agency])-ROW(TableDiv[[#Headers],[Agency]])),COLUMNS($F$7:AK$7))))</f>
        <v/>
      </c>
      <c r="AL369" s="2223" t="str" cm="1">
        <f t="array" ref="AL369">IF($D369&lt;COLUMNS($F$7:AL$7),"",INDEX(TableDiv[[GASB]:[GASB]],_xlfn.AGGREGATE(15,3,(TableDiv[[Agency]:[Agency]]=$E369)/(TableDiv[[Agency]:[Agency]]=$E369)*(ROW(TableDiv[Agency])-ROW(TableDiv[[#Headers],[Agency]])),COLUMNS($F$7:AL$7))))</f>
        <v/>
      </c>
      <c r="AM369" s="2223" t="str" cm="1">
        <f t="array" ref="AM369">IF($D369&lt;COLUMNS($F$7:AM$7),"",INDEX(TableDiv[[GASB]:[GASB]],_xlfn.AGGREGATE(15,3,(TableDiv[[Agency]:[Agency]]=$E369)/(TableDiv[[Agency]:[Agency]]=$E369)*(ROW(TableDiv[Agency])-ROW(TableDiv[[#Headers],[Agency]])),COLUMNS($F$7:AM$7))))</f>
        <v/>
      </c>
      <c r="AN369" s="2223"/>
      <c r="AO369" s="2223"/>
      <c r="AP369" s="2223"/>
      <c r="AQ369" s="2223"/>
      <c r="AR369" s="2223"/>
      <c r="AS369" s="2223"/>
    </row>
    <row r="370" spans="1:45" ht="15" x14ac:dyDescent="0.25">
      <c r="A370" s="2219" t="s">
        <v>5142</v>
      </c>
      <c r="B370" s="2219" t="s">
        <v>5073</v>
      </c>
      <c r="C370" s="2223"/>
      <c r="D370" s="2223">
        <f>COUNTIF(TableDiv[Agency],E370)</f>
        <v>31</v>
      </c>
      <c r="E370" s="2230" t="str" cm="1">
        <f t="array" ref="E370">IFERROR(INDEX(TableDiv[Agency],MATCH(0,INDEX(COUNTIF($E$7:E369,TableDiv[Agency]),),0)),"")</f>
        <v/>
      </c>
      <c r="F370" s="2223" cm="1">
        <f t="array" ref="F370">IF($D370&lt;COLUMNS($F$7:F$7),"",INDEX(TableDiv[[GASB]:[GASB]],_xlfn.AGGREGATE(15,3,(TableDiv[[Agency]:[Agency]]=$E370)/(TableDiv[[Agency]:[Agency]]=$E370)*(ROW(TableDiv[Agency])-ROW(TableDiv[[#Headers],[Agency]])),COLUMNS($F$7:F$7))))</f>
        <v>0</v>
      </c>
      <c r="G370" s="2223" cm="1">
        <f t="array" ref="G370">IF($D370&lt;COLUMNS($F$7:G$7),"",INDEX(TableDiv[[GASB]:[GASB]],_xlfn.AGGREGATE(15,3,(TableDiv[[Agency]:[Agency]]=$E370)/(TableDiv[[Agency]:[Agency]]=$E370)*(ROW(TableDiv[Agency])-ROW(TableDiv[[#Headers],[Agency]])),COLUMNS($F$7:G$7))))</f>
        <v>0</v>
      </c>
      <c r="H370" s="2223" cm="1">
        <f t="array" ref="H370">IF($D370&lt;COLUMNS($F$7:H$7),"",INDEX(TableDiv[[GASB]:[GASB]],_xlfn.AGGREGATE(15,3,(TableDiv[[Agency]:[Agency]]=$E370)/(TableDiv[[Agency]:[Agency]]=$E370)*(ROW(TableDiv[Agency])-ROW(TableDiv[[#Headers],[Agency]])),COLUMNS($F$7:H$7))))</f>
        <v>0</v>
      </c>
      <c r="I370" s="2223" cm="1">
        <f t="array" ref="I370">IF($D370&lt;COLUMNS($F$7:I$7),"",INDEX(TableDiv[[GASB]:[GASB]],_xlfn.AGGREGATE(15,3,(TableDiv[[Agency]:[Agency]]=$E370)/(TableDiv[[Agency]:[Agency]]=$E370)*(ROW(TableDiv[Agency])-ROW(TableDiv[[#Headers],[Agency]])),COLUMNS($F$7:I$7))))</f>
        <v>0</v>
      </c>
      <c r="J370" s="2223" cm="1">
        <f t="array" ref="J370">IF($D370&lt;COLUMNS($F$7:J$7),"",INDEX(TableDiv[[GASB]:[GASB]],_xlfn.AGGREGATE(15,3,(TableDiv[[Agency]:[Agency]]=$E370)/(TableDiv[[Agency]:[Agency]]=$E370)*(ROW(TableDiv[Agency])-ROW(TableDiv[[#Headers],[Agency]])),COLUMNS($F$7:J$7))))</f>
        <v>0</v>
      </c>
      <c r="K370" s="2223" cm="1">
        <f t="array" ref="K370">IF($D370&lt;COLUMNS($F$7:K$7),"",INDEX(TableDiv[[GASB]:[GASB]],_xlfn.AGGREGATE(15,3,(TableDiv[[Agency]:[Agency]]=$E370)/(TableDiv[[Agency]:[Agency]]=$E370)*(ROW(TableDiv[Agency])-ROW(TableDiv[[#Headers],[Agency]])),COLUMNS($F$7:K$7))))</f>
        <v>0</v>
      </c>
      <c r="L370" s="2223" cm="1">
        <f t="array" ref="L370">IF($D370&lt;COLUMNS($F$7:L$7),"",INDEX(TableDiv[[GASB]:[GASB]],_xlfn.AGGREGATE(15,3,(TableDiv[[Agency]:[Agency]]=$E370)/(TableDiv[[Agency]:[Agency]]=$E370)*(ROW(TableDiv[Agency])-ROW(TableDiv[[#Headers],[Agency]])),COLUMNS($F$7:L$7))))</f>
        <v>0</v>
      </c>
      <c r="M370" s="2223" cm="1">
        <f t="array" ref="M370">IF($D370&lt;COLUMNS($F$7:M$7),"",INDEX(TableDiv[[GASB]:[GASB]],_xlfn.AGGREGATE(15,3,(TableDiv[[Agency]:[Agency]]=$E370)/(TableDiv[[Agency]:[Agency]]=$E370)*(ROW(TableDiv[Agency])-ROW(TableDiv[[#Headers],[Agency]])),COLUMNS($F$7:M$7))))</f>
        <v>0</v>
      </c>
      <c r="N370" s="2223" cm="1">
        <f t="array" ref="N370">IF($D370&lt;COLUMNS($F$7:N$7),"",INDEX(TableDiv[[GASB]:[GASB]],_xlfn.AGGREGATE(15,3,(TableDiv[[Agency]:[Agency]]=$E370)/(TableDiv[[Agency]:[Agency]]=$E370)*(ROW(TableDiv[Agency])-ROW(TableDiv[[#Headers],[Agency]])),COLUMNS($F$7:N$7))))</f>
        <v>0</v>
      </c>
      <c r="O370" s="2223" cm="1">
        <f t="array" ref="O370">IF($D370&lt;COLUMNS($F$7:O$7),"",INDEX(TableDiv[[GASB]:[GASB]],_xlfn.AGGREGATE(15,3,(TableDiv[[Agency]:[Agency]]=$E370)/(TableDiv[[Agency]:[Agency]]=$E370)*(ROW(TableDiv[Agency])-ROW(TableDiv[[#Headers],[Agency]])),COLUMNS($F$7:O$7))))</f>
        <v>0</v>
      </c>
      <c r="P370" s="2223" cm="1">
        <f t="array" ref="P370">IF($D370&lt;COLUMNS($F$7:P$7),"",INDEX(TableDiv[[GASB]:[GASB]],_xlfn.AGGREGATE(15,3,(TableDiv[[Agency]:[Agency]]=$E370)/(TableDiv[[Agency]:[Agency]]=$E370)*(ROW(TableDiv[Agency])-ROW(TableDiv[[#Headers],[Agency]])),COLUMNS($F$7:P$7))))</f>
        <v>0</v>
      </c>
      <c r="Q370" s="2223" cm="1">
        <f t="array" ref="Q370">IF($D370&lt;COLUMNS($F$7:Q$7),"",INDEX(TableDiv[[GASB]:[GASB]],_xlfn.AGGREGATE(15,3,(TableDiv[[Agency]:[Agency]]=$E370)/(TableDiv[[Agency]:[Agency]]=$E370)*(ROW(TableDiv[Agency])-ROW(TableDiv[[#Headers],[Agency]])),COLUMNS($F$7:Q$7))))</f>
        <v>0</v>
      </c>
      <c r="R370" s="2223" cm="1">
        <f t="array" ref="R370">IF($D370&lt;COLUMNS($F$7:R$7),"",INDEX(TableDiv[[GASB]:[GASB]],_xlfn.AGGREGATE(15,3,(TableDiv[[Agency]:[Agency]]=$E370)/(TableDiv[[Agency]:[Agency]]=$E370)*(ROW(TableDiv[Agency])-ROW(TableDiv[[#Headers],[Agency]])),COLUMNS($F$7:R$7))))</f>
        <v>0</v>
      </c>
      <c r="S370" s="2223" cm="1">
        <f t="array" ref="S370">IF($D370&lt;COLUMNS($F$7:S$7),"",INDEX(TableDiv[[GASB]:[GASB]],_xlfn.AGGREGATE(15,3,(TableDiv[[Agency]:[Agency]]=$E370)/(TableDiv[[Agency]:[Agency]]=$E370)*(ROW(TableDiv[Agency])-ROW(TableDiv[[#Headers],[Agency]])),COLUMNS($F$7:S$7))))</f>
        <v>0</v>
      </c>
      <c r="T370" s="2223" cm="1">
        <f t="array" ref="T370">IF($D370&lt;COLUMNS($F$7:T$7),"",INDEX(TableDiv[[GASB]:[GASB]],_xlfn.AGGREGATE(15,3,(TableDiv[[Agency]:[Agency]]=$E370)/(TableDiv[[Agency]:[Agency]]=$E370)*(ROW(TableDiv[Agency])-ROW(TableDiv[[#Headers],[Agency]])),COLUMNS($F$7:T$7))))</f>
        <v>0</v>
      </c>
      <c r="U370" s="2223" cm="1">
        <f t="array" ref="U370">IF($D370&lt;COLUMNS($F$7:U$7),"",INDEX(TableDiv[[GASB]:[GASB]],_xlfn.AGGREGATE(15,3,(TableDiv[[Agency]:[Agency]]=$E370)/(TableDiv[[Agency]:[Agency]]=$E370)*(ROW(TableDiv[Agency])-ROW(TableDiv[[#Headers],[Agency]])),COLUMNS($F$7:U$7))))</f>
        <v>0</v>
      </c>
      <c r="V370" s="2223" cm="1">
        <f t="array" ref="V370">IF($D370&lt;COLUMNS($F$7:V$7),"",INDEX(TableDiv[[GASB]:[GASB]],_xlfn.AGGREGATE(15,3,(TableDiv[[Agency]:[Agency]]=$E370)/(TableDiv[[Agency]:[Agency]]=$E370)*(ROW(TableDiv[Agency])-ROW(TableDiv[[#Headers],[Agency]])),COLUMNS($F$7:V$7))))</f>
        <v>0</v>
      </c>
      <c r="W370" s="2223" cm="1">
        <f t="array" ref="W370">IF($D370&lt;COLUMNS($F$7:W$7),"",INDEX(TableDiv[[GASB]:[GASB]],_xlfn.AGGREGATE(15,3,(TableDiv[[Agency]:[Agency]]=$E370)/(TableDiv[[Agency]:[Agency]]=$E370)*(ROW(TableDiv[Agency])-ROW(TableDiv[[#Headers],[Agency]])),COLUMNS($F$7:W$7))))</f>
        <v>0</v>
      </c>
      <c r="X370" s="2223" cm="1">
        <f t="array" ref="X370">IF($D370&lt;COLUMNS($F$7:X$7),"",INDEX(TableDiv[[GASB]:[GASB]],_xlfn.AGGREGATE(15,3,(TableDiv[[Agency]:[Agency]]=$E370)/(TableDiv[[Agency]:[Agency]]=$E370)*(ROW(TableDiv[Agency])-ROW(TableDiv[[#Headers],[Agency]])),COLUMNS($F$7:X$7))))</f>
        <v>0</v>
      </c>
      <c r="Y370" s="2223" cm="1">
        <f t="array" ref="Y370">IF($D370&lt;COLUMNS($F$7:Y$7),"",INDEX(TableDiv[[GASB]:[GASB]],_xlfn.AGGREGATE(15,3,(TableDiv[[Agency]:[Agency]]=$E370)/(TableDiv[[Agency]:[Agency]]=$E370)*(ROW(TableDiv[Agency])-ROW(TableDiv[[#Headers],[Agency]])),COLUMNS($F$7:Y$7))))</f>
        <v>0</v>
      </c>
      <c r="Z370" s="2223" cm="1">
        <f t="array" ref="Z370">IF($D370&lt;COLUMNS($F$7:Z$7),"",INDEX(TableDiv[[GASB]:[GASB]],_xlfn.AGGREGATE(15,3,(TableDiv[[Agency]:[Agency]]=$E370)/(TableDiv[[Agency]:[Agency]]=$E370)*(ROW(TableDiv[Agency])-ROW(TableDiv[[#Headers],[Agency]])),COLUMNS($F$7:Z$7))))</f>
        <v>0</v>
      </c>
      <c r="AA370" s="2223" cm="1">
        <f t="array" ref="AA370">IF($D370&lt;COLUMNS($F$7:AA$7),"",INDEX(TableDiv[[GASB]:[GASB]],_xlfn.AGGREGATE(15,3,(TableDiv[[Agency]:[Agency]]=$E370)/(TableDiv[[Agency]:[Agency]]=$E370)*(ROW(TableDiv[Agency])-ROW(TableDiv[[#Headers],[Agency]])),COLUMNS($F$7:AA$7))))</f>
        <v>0</v>
      </c>
      <c r="AB370" s="2223" cm="1">
        <f t="array" ref="AB370">IF($D370&lt;COLUMNS($F$7:AB$7),"",INDEX(TableDiv[[GASB]:[GASB]],_xlfn.AGGREGATE(15,3,(TableDiv[[Agency]:[Agency]]=$E370)/(TableDiv[[Agency]:[Agency]]=$E370)*(ROW(TableDiv[Agency])-ROW(TableDiv[[#Headers],[Agency]])),COLUMNS($F$7:AB$7))))</f>
        <v>0</v>
      </c>
      <c r="AC370" s="2223" cm="1">
        <f t="array" ref="AC370">IF($D370&lt;COLUMNS($F$7:AC$7),"",INDEX(TableDiv[[GASB]:[GASB]],_xlfn.AGGREGATE(15,3,(TableDiv[[Agency]:[Agency]]=$E370)/(TableDiv[[Agency]:[Agency]]=$E370)*(ROW(TableDiv[Agency])-ROW(TableDiv[[#Headers],[Agency]])),COLUMNS($F$7:AC$7))))</f>
        <v>0</v>
      </c>
      <c r="AD370" s="2223" cm="1">
        <f t="array" ref="AD370">IF($D370&lt;COLUMNS($F$7:AD$7),"",INDEX(TableDiv[[GASB]:[GASB]],_xlfn.AGGREGATE(15,3,(TableDiv[[Agency]:[Agency]]=$E370)/(TableDiv[[Agency]:[Agency]]=$E370)*(ROW(TableDiv[Agency])-ROW(TableDiv[[#Headers],[Agency]])),COLUMNS($F$7:AD$7))))</f>
        <v>0</v>
      </c>
      <c r="AE370" s="2223" cm="1">
        <f t="array" ref="AE370">IF($D370&lt;COLUMNS($F$7:AE$7),"",INDEX(TableDiv[[GASB]:[GASB]],_xlfn.AGGREGATE(15,3,(TableDiv[[Agency]:[Agency]]=$E370)/(TableDiv[[Agency]:[Agency]]=$E370)*(ROW(TableDiv[Agency])-ROW(TableDiv[[#Headers],[Agency]])),COLUMNS($F$7:AE$7))))</f>
        <v>0</v>
      </c>
      <c r="AF370" s="2223" cm="1">
        <f t="array" ref="AF370">IF($D370&lt;COLUMNS($F$7:AF$7),"",INDEX(TableDiv[[GASB]:[GASB]],_xlfn.AGGREGATE(15,3,(TableDiv[[Agency]:[Agency]]=$E370)/(TableDiv[[Agency]:[Agency]]=$E370)*(ROW(TableDiv[Agency])-ROW(TableDiv[[#Headers],[Agency]])),COLUMNS($F$7:AF$7))))</f>
        <v>0</v>
      </c>
      <c r="AG370" s="2223" cm="1">
        <f t="array" ref="AG370">IF($D370&lt;COLUMNS($F$7:AG$7),"",INDEX(TableDiv[[GASB]:[GASB]],_xlfn.AGGREGATE(15,3,(TableDiv[[Agency]:[Agency]]=$E370)/(TableDiv[[Agency]:[Agency]]=$E370)*(ROW(TableDiv[Agency])-ROW(TableDiv[[#Headers],[Agency]])),COLUMNS($F$7:AG$7))))</f>
        <v>0</v>
      </c>
      <c r="AH370" s="2223" cm="1">
        <f t="array" ref="AH370">IF($D370&lt;COLUMNS($F$7:AH$7),"",INDEX(TableDiv[[GASB]:[GASB]],_xlfn.AGGREGATE(15,3,(TableDiv[[Agency]:[Agency]]=$E370)/(TableDiv[[Agency]:[Agency]]=$E370)*(ROW(TableDiv[Agency])-ROW(TableDiv[[#Headers],[Agency]])),COLUMNS($F$7:AH$7))))</f>
        <v>0</v>
      </c>
      <c r="AI370" s="2223" cm="1">
        <f t="array" ref="AI370">IF($D370&lt;COLUMNS($F$7:AI$7),"",INDEX(TableDiv[[GASB]:[GASB]],_xlfn.AGGREGATE(15,3,(TableDiv[[Agency]:[Agency]]=$E370)/(TableDiv[[Agency]:[Agency]]=$E370)*(ROW(TableDiv[Agency])-ROW(TableDiv[[#Headers],[Agency]])),COLUMNS($F$7:AI$7))))</f>
        <v>0</v>
      </c>
      <c r="AJ370" s="2223" cm="1">
        <f t="array" ref="AJ370">IF($D370&lt;COLUMNS($F$7:AJ$7),"",INDEX(TableDiv[[GASB]:[GASB]],_xlfn.AGGREGATE(15,3,(TableDiv[[Agency]:[Agency]]=$E370)/(TableDiv[[Agency]:[Agency]]=$E370)*(ROW(TableDiv[Agency])-ROW(TableDiv[[#Headers],[Agency]])),COLUMNS($F$7:AJ$7))))</f>
        <v>0</v>
      </c>
      <c r="AK370" s="2223" t="str" cm="1">
        <f t="array" ref="AK370">IF($D370&lt;COLUMNS($F$7:AK$7),"",INDEX(TableDiv[[GASB]:[GASB]],_xlfn.AGGREGATE(15,3,(TableDiv[[Agency]:[Agency]]=$E370)/(TableDiv[[Agency]:[Agency]]=$E370)*(ROW(TableDiv[Agency])-ROW(TableDiv[[#Headers],[Agency]])),COLUMNS($F$7:AK$7))))</f>
        <v/>
      </c>
      <c r="AL370" s="2223" t="str" cm="1">
        <f t="array" ref="AL370">IF($D370&lt;COLUMNS($F$7:AL$7),"",INDEX(TableDiv[[GASB]:[GASB]],_xlfn.AGGREGATE(15,3,(TableDiv[[Agency]:[Agency]]=$E370)/(TableDiv[[Agency]:[Agency]]=$E370)*(ROW(TableDiv[Agency])-ROW(TableDiv[[#Headers],[Agency]])),COLUMNS($F$7:AL$7))))</f>
        <v/>
      </c>
      <c r="AM370" s="2223" t="str" cm="1">
        <f t="array" ref="AM370">IF($D370&lt;COLUMNS($F$7:AM$7),"",INDEX(TableDiv[[GASB]:[GASB]],_xlfn.AGGREGATE(15,3,(TableDiv[[Agency]:[Agency]]=$E370)/(TableDiv[[Agency]:[Agency]]=$E370)*(ROW(TableDiv[Agency])-ROW(TableDiv[[#Headers],[Agency]])),COLUMNS($F$7:AM$7))))</f>
        <v/>
      </c>
      <c r="AN370" s="2223"/>
      <c r="AO370" s="2223"/>
      <c r="AP370" s="2223"/>
      <c r="AQ370" s="2223"/>
      <c r="AR370" s="2223"/>
      <c r="AS370" s="2223"/>
    </row>
    <row r="371" spans="1:45" ht="15" x14ac:dyDescent="0.25">
      <c r="A371" s="2219" t="s">
        <v>5143</v>
      </c>
      <c r="B371" s="2219" t="s">
        <v>5075</v>
      </c>
      <c r="C371" s="2223"/>
      <c r="D371" s="2223">
        <f>COUNTIF(TableDiv[Agency],E371)</f>
        <v>31</v>
      </c>
      <c r="E371" s="2230" t="str" cm="1">
        <f t="array" ref="E371">IFERROR(INDEX(TableDiv[Agency],MATCH(0,INDEX(COUNTIF($E$7:E370,TableDiv[Agency]),),0)),"")</f>
        <v/>
      </c>
      <c r="F371" s="2223" cm="1">
        <f t="array" ref="F371">IF($D371&lt;COLUMNS($F$7:F$7),"",INDEX(TableDiv[[GASB]:[GASB]],_xlfn.AGGREGATE(15,3,(TableDiv[[Agency]:[Agency]]=$E371)/(TableDiv[[Agency]:[Agency]]=$E371)*(ROW(TableDiv[Agency])-ROW(TableDiv[[#Headers],[Agency]])),COLUMNS($F$7:F$7))))</f>
        <v>0</v>
      </c>
      <c r="G371" s="2223" cm="1">
        <f t="array" ref="G371">IF($D371&lt;COLUMNS($F$7:G$7),"",INDEX(TableDiv[[GASB]:[GASB]],_xlfn.AGGREGATE(15,3,(TableDiv[[Agency]:[Agency]]=$E371)/(TableDiv[[Agency]:[Agency]]=$E371)*(ROW(TableDiv[Agency])-ROW(TableDiv[[#Headers],[Agency]])),COLUMNS($F$7:G$7))))</f>
        <v>0</v>
      </c>
      <c r="H371" s="2223" cm="1">
        <f t="array" ref="H371">IF($D371&lt;COLUMNS($F$7:H$7),"",INDEX(TableDiv[[GASB]:[GASB]],_xlfn.AGGREGATE(15,3,(TableDiv[[Agency]:[Agency]]=$E371)/(TableDiv[[Agency]:[Agency]]=$E371)*(ROW(TableDiv[Agency])-ROW(TableDiv[[#Headers],[Agency]])),COLUMNS($F$7:H$7))))</f>
        <v>0</v>
      </c>
      <c r="I371" s="2223" cm="1">
        <f t="array" ref="I371">IF($D371&lt;COLUMNS($F$7:I$7),"",INDEX(TableDiv[[GASB]:[GASB]],_xlfn.AGGREGATE(15,3,(TableDiv[[Agency]:[Agency]]=$E371)/(TableDiv[[Agency]:[Agency]]=$E371)*(ROW(TableDiv[Agency])-ROW(TableDiv[[#Headers],[Agency]])),COLUMNS($F$7:I$7))))</f>
        <v>0</v>
      </c>
      <c r="J371" s="2223" cm="1">
        <f t="array" ref="J371">IF($D371&lt;COLUMNS($F$7:J$7),"",INDEX(TableDiv[[GASB]:[GASB]],_xlfn.AGGREGATE(15,3,(TableDiv[[Agency]:[Agency]]=$E371)/(TableDiv[[Agency]:[Agency]]=$E371)*(ROW(TableDiv[Agency])-ROW(TableDiv[[#Headers],[Agency]])),COLUMNS($F$7:J$7))))</f>
        <v>0</v>
      </c>
      <c r="K371" s="2223" cm="1">
        <f t="array" ref="K371">IF($D371&lt;COLUMNS($F$7:K$7),"",INDEX(TableDiv[[GASB]:[GASB]],_xlfn.AGGREGATE(15,3,(TableDiv[[Agency]:[Agency]]=$E371)/(TableDiv[[Agency]:[Agency]]=$E371)*(ROW(TableDiv[Agency])-ROW(TableDiv[[#Headers],[Agency]])),COLUMNS($F$7:K$7))))</f>
        <v>0</v>
      </c>
      <c r="L371" s="2223" cm="1">
        <f t="array" ref="L371">IF($D371&lt;COLUMNS($F$7:L$7),"",INDEX(TableDiv[[GASB]:[GASB]],_xlfn.AGGREGATE(15,3,(TableDiv[[Agency]:[Agency]]=$E371)/(TableDiv[[Agency]:[Agency]]=$E371)*(ROW(TableDiv[Agency])-ROW(TableDiv[[#Headers],[Agency]])),COLUMNS($F$7:L$7))))</f>
        <v>0</v>
      </c>
      <c r="M371" s="2223" cm="1">
        <f t="array" ref="M371">IF($D371&lt;COLUMNS($F$7:M$7),"",INDEX(TableDiv[[GASB]:[GASB]],_xlfn.AGGREGATE(15,3,(TableDiv[[Agency]:[Agency]]=$E371)/(TableDiv[[Agency]:[Agency]]=$E371)*(ROW(TableDiv[Agency])-ROW(TableDiv[[#Headers],[Agency]])),COLUMNS($F$7:M$7))))</f>
        <v>0</v>
      </c>
      <c r="N371" s="2223" cm="1">
        <f t="array" ref="N371">IF($D371&lt;COLUMNS($F$7:N$7),"",INDEX(TableDiv[[GASB]:[GASB]],_xlfn.AGGREGATE(15,3,(TableDiv[[Agency]:[Agency]]=$E371)/(TableDiv[[Agency]:[Agency]]=$E371)*(ROW(TableDiv[Agency])-ROW(TableDiv[[#Headers],[Agency]])),COLUMNS($F$7:N$7))))</f>
        <v>0</v>
      </c>
      <c r="O371" s="2223" cm="1">
        <f t="array" ref="O371">IF($D371&lt;COLUMNS($F$7:O$7),"",INDEX(TableDiv[[GASB]:[GASB]],_xlfn.AGGREGATE(15,3,(TableDiv[[Agency]:[Agency]]=$E371)/(TableDiv[[Agency]:[Agency]]=$E371)*(ROW(TableDiv[Agency])-ROW(TableDiv[[#Headers],[Agency]])),COLUMNS($F$7:O$7))))</f>
        <v>0</v>
      </c>
      <c r="P371" s="2223" cm="1">
        <f t="array" ref="P371">IF($D371&lt;COLUMNS($F$7:P$7),"",INDEX(TableDiv[[GASB]:[GASB]],_xlfn.AGGREGATE(15,3,(TableDiv[[Agency]:[Agency]]=$E371)/(TableDiv[[Agency]:[Agency]]=$E371)*(ROW(TableDiv[Agency])-ROW(TableDiv[[#Headers],[Agency]])),COLUMNS($F$7:P$7))))</f>
        <v>0</v>
      </c>
      <c r="Q371" s="2223" cm="1">
        <f t="array" ref="Q371">IF($D371&lt;COLUMNS($F$7:Q$7),"",INDEX(TableDiv[[GASB]:[GASB]],_xlfn.AGGREGATE(15,3,(TableDiv[[Agency]:[Agency]]=$E371)/(TableDiv[[Agency]:[Agency]]=$E371)*(ROW(TableDiv[Agency])-ROW(TableDiv[[#Headers],[Agency]])),COLUMNS($F$7:Q$7))))</f>
        <v>0</v>
      </c>
      <c r="R371" s="2223" cm="1">
        <f t="array" ref="R371">IF($D371&lt;COLUMNS($F$7:R$7),"",INDEX(TableDiv[[GASB]:[GASB]],_xlfn.AGGREGATE(15,3,(TableDiv[[Agency]:[Agency]]=$E371)/(TableDiv[[Agency]:[Agency]]=$E371)*(ROW(TableDiv[Agency])-ROW(TableDiv[[#Headers],[Agency]])),COLUMNS($F$7:R$7))))</f>
        <v>0</v>
      </c>
      <c r="S371" s="2223" cm="1">
        <f t="array" ref="S371">IF($D371&lt;COLUMNS($F$7:S$7),"",INDEX(TableDiv[[GASB]:[GASB]],_xlfn.AGGREGATE(15,3,(TableDiv[[Agency]:[Agency]]=$E371)/(TableDiv[[Agency]:[Agency]]=$E371)*(ROW(TableDiv[Agency])-ROW(TableDiv[[#Headers],[Agency]])),COLUMNS($F$7:S$7))))</f>
        <v>0</v>
      </c>
      <c r="T371" s="2223" cm="1">
        <f t="array" ref="T371">IF($D371&lt;COLUMNS($F$7:T$7),"",INDEX(TableDiv[[GASB]:[GASB]],_xlfn.AGGREGATE(15,3,(TableDiv[[Agency]:[Agency]]=$E371)/(TableDiv[[Agency]:[Agency]]=$E371)*(ROW(TableDiv[Agency])-ROW(TableDiv[[#Headers],[Agency]])),COLUMNS($F$7:T$7))))</f>
        <v>0</v>
      </c>
      <c r="U371" s="2223" cm="1">
        <f t="array" ref="U371">IF($D371&lt;COLUMNS($F$7:U$7),"",INDEX(TableDiv[[GASB]:[GASB]],_xlfn.AGGREGATE(15,3,(TableDiv[[Agency]:[Agency]]=$E371)/(TableDiv[[Agency]:[Agency]]=$E371)*(ROW(TableDiv[Agency])-ROW(TableDiv[[#Headers],[Agency]])),COLUMNS($F$7:U$7))))</f>
        <v>0</v>
      </c>
      <c r="V371" s="2223" cm="1">
        <f t="array" ref="V371">IF($D371&lt;COLUMNS($F$7:V$7),"",INDEX(TableDiv[[GASB]:[GASB]],_xlfn.AGGREGATE(15,3,(TableDiv[[Agency]:[Agency]]=$E371)/(TableDiv[[Agency]:[Agency]]=$E371)*(ROW(TableDiv[Agency])-ROW(TableDiv[[#Headers],[Agency]])),COLUMNS($F$7:V$7))))</f>
        <v>0</v>
      </c>
      <c r="W371" s="2223" cm="1">
        <f t="array" ref="W371">IF($D371&lt;COLUMNS($F$7:W$7),"",INDEX(TableDiv[[GASB]:[GASB]],_xlfn.AGGREGATE(15,3,(TableDiv[[Agency]:[Agency]]=$E371)/(TableDiv[[Agency]:[Agency]]=$E371)*(ROW(TableDiv[Agency])-ROW(TableDiv[[#Headers],[Agency]])),COLUMNS($F$7:W$7))))</f>
        <v>0</v>
      </c>
      <c r="X371" s="2223" cm="1">
        <f t="array" ref="X371">IF($D371&lt;COLUMNS($F$7:X$7),"",INDEX(TableDiv[[GASB]:[GASB]],_xlfn.AGGREGATE(15,3,(TableDiv[[Agency]:[Agency]]=$E371)/(TableDiv[[Agency]:[Agency]]=$E371)*(ROW(TableDiv[Agency])-ROW(TableDiv[[#Headers],[Agency]])),COLUMNS($F$7:X$7))))</f>
        <v>0</v>
      </c>
      <c r="Y371" s="2223" cm="1">
        <f t="array" ref="Y371">IF($D371&lt;COLUMNS($F$7:Y$7),"",INDEX(TableDiv[[GASB]:[GASB]],_xlfn.AGGREGATE(15,3,(TableDiv[[Agency]:[Agency]]=$E371)/(TableDiv[[Agency]:[Agency]]=$E371)*(ROW(TableDiv[Agency])-ROW(TableDiv[[#Headers],[Agency]])),COLUMNS($F$7:Y$7))))</f>
        <v>0</v>
      </c>
      <c r="Z371" s="2223" cm="1">
        <f t="array" ref="Z371">IF($D371&lt;COLUMNS($F$7:Z$7),"",INDEX(TableDiv[[GASB]:[GASB]],_xlfn.AGGREGATE(15,3,(TableDiv[[Agency]:[Agency]]=$E371)/(TableDiv[[Agency]:[Agency]]=$E371)*(ROW(TableDiv[Agency])-ROW(TableDiv[[#Headers],[Agency]])),COLUMNS($F$7:Z$7))))</f>
        <v>0</v>
      </c>
      <c r="AA371" s="2223" cm="1">
        <f t="array" ref="AA371">IF($D371&lt;COLUMNS($F$7:AA$7),"",INDEX(TableDiv[[GASB]:[GASB]],_xlfn.AGGREGATE(15,3,(TableDiv[[Agency]:[Agency]]=$E371)/(TableDiv[[Agency]:[Agency]]=$E371)*(ROW(TableDiv[Agency])-ROW(TableDiv[[#Headers],[Agency]])),COLUMNS($F$7:AA$7))))</f>
        <v>0</v>
      </c>
      <c r="AB371" s="2223" cm="1">
        <f t="array" ref="AB371">IF($D371&lt;COLUMNS($F$7:AB$7),"",INDEX(TableDiv[[GASB]:[GASB]],_xlfn.AGGREGATE(15,3,(TableDiv[[Agency]:[Agency]]=$E371)/(TableDiv[[Agency]:[Agency]]=$E371)*(ROW(TableDiv[Agency])-ROW(TableDiv[[#Headers],[Agency]])),COLUMNS($F$7:AB$7))))</f>
        <v>0</v>
      </c>
      <c r="AC371" s="2223" cm="1">
        <f t="array" ref="AC371">IF($D371&lt;COLUMNS($F$7:AC$7),"",INDEX(TableDiv[[GASB]:[GASB]],_xlfn.AGGREGATE(15,3,(TableDiv[[Agency]:[Agency]]=$E371)/(TableDiv[[Agency]:[Agency]]=$E371)*(ROW(TableDiv[Agency])-ROW(TableDiv[[#Headers],[Agency]])),COLUMNS($F$7:AC$7))))</f>
        <v>0</v>
      </c>
      <c r="AD371" s="2223" cm="1">
        <f t="array" ref="AD371">IF($D371&lt;COLUMNS($F$7:AD$7),"",INDEX(TableDiv[[GASB]:[GASB]],_xlfn.AGGREGATE(15,3,(TableDiv[[Agency]:[Agency]]=$E371)/(TableDiv[[Agency]:[Agency]]=$E371)*(ROW(TableDiv[Agency])-ROW(TableDiv[[#Headers],[Agency]])),COLUMNS($F$7:AD$7))))</f>
        <v>0</v>
      </c>
      <c r="AE371" s="2223" cm="1">
        <f t="array" ref="AE371">IF($D371&lt;COLUMNS($F$7:AE$7),"",INDEX(TableDiv[[GASB]:[GASB]],_xlfn.AGGREGATE(15,3,(TableDiv[[Agency]:[Agency]]=$E371)/(TableDiv[[Agency]:[Agency]]=$E371)*(ROW(TableDiv[Agency])-ROW(TableDiv[[#Headers],[Agency]])),COLUMNS($F$7:AE$7))))</f>
        <v>0</v>
      </c>
      <c r="AF371" s="2223" cm="1">
        <f t="array" ref="AF371">IF($D371&lt;COLUMNS($F$7:AF$7),"",INDEX(TableDiv[[GASB]:[GASB]],_xlfn.AGGREGATE(15,3,(TableDiv[[Agency]:[Agency]]=$E371)/(TableDiv[[Agency]:[Agency]]=$E371)*(ROW(TableDiv[Agency])-ROW(TableDiv[[#Headers],[Agency]])),COLUMNS($F$7:AF$7))))</f>
        <v>0</v>
      </c>
      <c r="AG371" s="2223" cm="1">
        <f t="array" ref="AG371">IF($D371&lt;COLUMNS($F$7:AG$7),"",INDEX(TableDiv[[GASB]:[GASB]],_xlfn.AGGREGATE(15,3,(TableDiv[[Agency]:[Agency]]=$E371)/(TableDiv[[Agency]:[Agency]]=$E371)*(ROW(TableDiv[Agency])-ROW(TableDiv[[#Headers],[Agency]])),COLUMNS($F$7:AG$7))))</f>
        <v>0</v>
      </c>
      <c r="AH371" s="2223" cm="1">
        <f t="array" ref="AH371">IF($D371&lt;COLUMNS($F$7:AH$7),"",INDEX(TableDiv[[GASB]:[GASB]],_xlfn.AGGREGATE(15,3,(TableDiv[[Agency]:[Agency]]=$E371)/(TableDiv[[Agency]:[Agency]]=$E371)*(ROW(TableDiv[Agency])-ROW(TableDiv[[#Headers],[Agency]])),COLUMNS($F$7:AH$7))))</f>
        <v>0</v>
      </c>
      <c r="AI371" s="2223" cm="1">
        <f t="array" ref="AI371">IF($D371&lt;COLUMNS($F$7:AI$7),"",INDEX(TableDiv[[GASB]:[GASB]],_xlfn.AGGREGATE(15,3,(TableDiv[[Agency]:[Agency]]=$E371)/(TableDiv[[Agency]:[Agency]]=$E371)*(ROW(TableDiv[Agency])-ROW(TableDiv[[#Headers],[Agency]])),COLUMNS($F$7:AI$7))))</f>
        <v>0</v>
      </c>
      <c r="AJ371" s="2223" cm="1">
        <f t="array" ref="AJ371">IF($D371&lt;COLUMNS($F$7:AJ$7),"",INDEX(TableDiv[[GASB]:[GASB]],_xlfn.AGGREGATE(15,3,(TableDiv[[Agency]:[Agency]]=$E371)/(TableDiv[[Agency]:[Agency]]=$E371)*(ROW(TableDiv[Agency])-ROW(TableDiv[[#Headers],[Agency]])),COLUMNS($F$7:AJ$7))))</f>
        <v>0</v>
      </c>
      <c r="AK371" s="2223" t="str" cm="1">
        <f t="array" ref="AK371">IF($D371&lt;COLUMNS($F$7:AK$7),"",INDEX(TableDiv[[GASB]:[GASB]],_xlfn.AGGREGATE(15,3,(TableDiv[[Agency]:[Agency]]=$E371)/(TableDiv[[Agency]:[Agency]]=$E371)*(ROW(TableDiv[Agency])-ROW(TableDiv[[#Headers],[Agency]])),COLUMNS($F$7:AK$7))))</f>
        <v/>
      </c>
      <c r="AL371" s="2223" t="str" cm="1">
        <f t="array" ref="AL371">IF($D371&lt;COLUMNS($F$7:AL$7),"",INDEX(TableDiv[[GASB]:[GASB]],_xlfn.AGGREGATE(15,3,(TableDiv[[Agency]:[Agency]]=$E371)/(TableDiv[[Agency]:[Agency]]=$E371)*(ROW(TableDiv[Agency])-ROW(TableDiv[[#Headers],[Agency]])),COLUMNS($F$7:AL$7))))</f>
        <v/>
      </c>
      <c r="AM371" s="2223" t="str" cm="1">
        <f t="array" ref="AM371">IF($D371&lt;COLUMNS($F$7:AM$7),"",INDEX(TableDiv[[GASB]:[GASB]],_xlfn.AGGREGATE(15,3,(TableDiv[[Agency]:[Agency]]=$E371)/(TableDiv[[Agency]:[Agency]]=$E371)*(ROW(TableDiv[Agency])-ROW(TableDiv[[#Headers],[Agency]])),COLUMNS($F$7:AM$7))))</f>
        <v/>
      </c>
      <c r="AN371" s="2223"/>
      <c r="AO371" s="2223"/>
      <c r="AP371" s="2223"/>
      <c r="AQ371" s="2223"/>
      <c r="AR371" s="2223"/>
      <c r="AS371" s="2223"/>
    </row>
    <row r="372" spans="1:45" ht="15" x14ac:dyDescent="0.25">
      <c r="A372" s="2219" t="s">
        <v>5144</v>
      </c>
      <c r="B372" s="2219" t="s">
        <v>5077</v>
      </c>
      <c r="C372" s="2223"/>
      <c r="D372" s="2223">
        <f>COUNTIF(TableDiv[Agency],E372)</f>
        <v>31</v>
      </c>
      <c r="E372" s="2230" t="str" cm="1">
        <f t="array" ref="E372">IFERROR(INDEX(TableDiv[Agency],MATCH(0,INDEX(COUNTIF($E$7:E371,TableDiv[Agency]),),0)),"")</f>
        <v/>
      </c>
      <c r="F372" s="2223" cm="1">
        <f t="array" ref="F372">IF($D372&lt;COLUMNS($F$7:F$7),"",INDEX(TableDiv[[GASB]:[GASB]],_xlfn.AGGREGATE(15,3,(TableDiv[[Agency]:[Agency]]=$E372)/(TableDiv[[Agency]:[Agency]]=$E372)*(ROW(TableDiv[Agency])-ROW(TableDiv[[#Headers],[Agency]])),COLUMNS($F$7:F$7))))</f>
        <v>0</v>
      </c>
      <c r="G372" s="2223" cm="1">
        <f t="array" ref="G372">IF($D372&lt;COLUMNS($F$7:G$7),"",INDEX(TableDiv[[GASB]:[GASB]],_xlfn.AGGREGATE(15,3,(TableDiv[[Agency]:[Agency]]=$E372)/(TableDiv[[Agency]:[Agency]]=$E372)*(ROW(TableDiv[Agency])-ROW(TableDiv[[#Headers],[Agency]])),COLUMNS($F$7:G$7))))</f>
        <v>0</v>
      </c>
      <c r="H372" s="2223" cm="1">
        <f t="array" ref="H372">IF($D372&lt;COLUMNS($F$7:H$7),"",INDEX(TableDiv[[GASB]:[GASB]],_xlfn.AGGREGATE(15,3,(TableDiv[[Agency]:[Agency]]=$E372)/(TableDiv[[Agency]:[Agency]]=$E372)*(ROW(TableDiv[Agency])-ROW(TableDiv[[#Headers],[Agency]])),COLUMNS($F$7:H$7))))</f>
        <v>0</v>
      </c>
      <c r="I372" s="2223" cm="1">
        <f t="array" ref="I372">IF($D372&lt;COLUMNS($F$7:I$7),"",INDEX(TableDiv[[GASB]:[GASB]],_xlfn.AGGREGATE(15,3,(TableDiv[[Agency]:[Agency]]=$E372)/(TableDiv[[Agency]:[Agency]]=$E372)*(ROW(TableDiv[Agency])-ROW(TableDiv[[#Headers],[Agency]])),COLUMNS($F$7:I$7))))</f>
        <v>0</v>
      </c>
      <c r="J372" s="2223" cm="1">
        <f t="array" ref="J372">IF($D372&lt;COLUMNS($F$7:J$7),"",INDEX(TableDiv[[GASB]:[GASB]],_xlfn.AGGREGATE(15,3,(TableDiv[[Agency]:[Agency]]=$E372)/(TableDiv[[Agency]:[Agency]]=$E372)*(ROW(TableDiv[Agency])-ROW(TableDiv[[#Headers],[Agency]])),COLUMNS($F$7:J$7))))</f>
        <v>0</v>
      </c>
      <c r="K372" s="2223" cm="1">
        <f t="array" ref="K372">IF($D372&lt;COLUMNS($F$7:K$7),"",INDEX(TableDiv[[GASB]:[GASB]],_xlfn.AGGREGATE(15,3,(TableDiv[[Agency]:[Agency]]=$E372)/(TableDiv[[Agency]:[Agency]]=$E372)*(ROW(TableDiv[Agency])-ROW(TableDiv[[#Headers],[Agency]])),COLUMNS($F$7:K$7))))</f>
        <v>0</v>
      </c>
      <c r="L372" s="2223" cm="1">
        <f t="array" ref="L372">IF($D372&lt;COLUMNS($F$7:L$7),"",INDEX(TableDiv[[GASB]:[GASB]],_xlfn.AGGREGATE(15,3,(TableDiv[[Agency]:[Agency]]=$E372)/(TableDiv[[Agency]:[Agency]]=$E372)*(ROW(TableDiv[Agency])-ROW(TableDiv[[#Headers],[Agency]])),COLUMNS($F$7:L$7))))</f>
        <v>0</v>
      </c>
      <c r="M372" s="2223" cm="1">
        <f t="array" ref="M372">IF($D372&lt;COLUMNS($F$7:M$7),"",INDEX(TableDiv[[GASB]:[GASB]],_xlfn.AGGREGATE(15,3,(TableDiv[[Agency]:[Agency]]=$E372)/(TableDiv[[Agency]:[Agency]]=$E372)*(ROW(TableDiv[Agency])-ROW(TableDiv[[#Headers],[Agency]])),COLUMNS($F$7:M$7))))</f>
        <v>0</v>
      </c>
      <c r="N372" s="2223" cm="1">
        <f t="array" ref="N372">IF($D372&lt;COLUMNS($F$7:N$7),"",INDEX(TableDiv[[GASB]:[GASB]],_xlfn.AGGREGATE(15,3,(TableDiv[[Agency]:[Agency]]=$E372)/(TableDiv[[Agency]:[Agency]]=$E372)*(ROW(TableDiv[Agency])-ROW(TableDiv[[#Headers],[Agency]])),COLUMNS($F$7:N$7))))</f>
        <v>0</v>
      </c>
      <c r="O372" s="2223" cm="1">
        <f t="array" ref="O372">IF($D372&lt;COLUMNS($F$7:O$7),"",INDEX(TableDiv[[GASB]:[GASB]],_xlfn.AGGREGATE(15,3,(TableDiv[[Agency]:[Agency]]=$E372)/(TableDiv[[Agency]:[Agency]]=$E372)*(ROW(TableDiv[Agency])-ROW(TableDiv[[#Headers],[Agency]])),COLUMNS($F$7:O$7))))</f>
        <v>0</v>
      </c>
      <c r="P372" s="2223" cm="1">
        <f t="array" ref="P372">IF($D372&lt;COLUMNS($F$7:P$7),"",INDEX(TableDiv[[GASB]:[GASB]],_xlfn.AGGREGATE(15,3,(TableDiv[[Agency]:[Agency]]=$E372)/(TableDiv[[Agency]:[Agency]]=$E372)*(ROW(TableDiv[Agency])-ROW(TableDiv[[#Headers],[Agency]])),COLUMNS($F$7:P$7))))</f>
        <v>0</v>
      </c>
      <c r="Q372" s="2223" cm="1">
        <f t="array" ref="Q372">IF($D372&lt;COLUMNS($F$7:Q$7),"",INDEX(TableDiv[[GASB]:[GASB]],_xlfn.AGGREGATE(15,3,(TableDiv[[Agency]:[Agency]]=$E372)/(TableDiv[[Agency]:[Agency]]=$E372)*(ROW(TableDiv[Agency])-ROW(TableDiv[[#Headers],[Agency]])),COLUMNS($F$7:Q$7))))</f>
        <v>0</v>
      </c>
      <c r="R372" s="2223" cm="1">
        <f t="array" ref="R372">IF($D372&lt;COLUMNS($F$7:R$7),"",INDEX(TableDiv[[GASB]:[GASB]],_xlfn.AGGREGATE(15,3,(TableDiv[[Agency]:[Agency]]=$E372)/(TableDiv[[Agency]:[Agency]]=$E372)*(ROW(TableDiv[Agency])-ROW(TableDiv[[#Headers],[Agency]])),COLUMNS($F$7:R$7))))</f>
        <v>0</v>
      </c>
      <c r="S372" s="2223" cm="1">
        <f t="array" ref="S372">IF($D372&lt;COLUMNS($F$7:S$7),"",INDEX(TableDiv[[GASB]:[GASB]],_xlfn.AGGREGATE(15,3,(TableDiv[[Agency]:[Agency]]=$E372)/(TableDiv[[Agency]:[Agency]]=$E372)*(ROW(TableDiv[Agency])-ROW(TableDiv[[#Headers],[Agency]])),COLUMNS($F$7:S$7))))</f>
        <v>0</v>
      </c>
      <c r="T372" s="2223" cm="1">
        <f t="array" ref="T372">IF($D372&lt;COLUMNS($F$7:T$7),"",INDEX(TableDiv[[GASB]:[GASB]],_xlfn.AGGREGATE(15,3,(TableDiv[[Agency]:[Agency]]=$E372)/(TableDiv[[Agency]:[Agency]]=$E372)*(ROW(TableDiv[Agency])-ROW(TableDiv[[#Headers],[Agency]])),COLUMNS($F$7:T$7))))</f>
        <v>0</v>
      </c>
      <c r="U372" s="2223" cm="1">
        <f t="array" ref="U372">IF($D372&lt;COLUMNS($F$7:U$7),"",INDEX(TableDiv[[GASB]:[GASB]],_xlfn.AGGREGATE(15,3,(TableDiv[[Agency]:[Agency]]=$E372)/(TableDiv[[Agency]:[Agency]]=$E372)*(ROW(TableDiv[Agency])-ROW(TableDiv[[#Headers],[Agency]])),COLUMNS($F$7:U$7))))</f>
        <v>0</v>
      </c>
      <c r="V372" s="2223" cm="1">
        <f t="array" ref="V372">IF($D372&lt;COLUMNS($F$7:V$7),"",INDEX(TableDiv[[GASB]:[GASB]],_xlfn.AGGREGATE(15,3,(TableDiv[[Agency]:[Agency]]=$E372)/(TableDiv[[Agency]:[Agency]]=$E372)*(ROW(TableDiv[Agency])-ROW(TableDiv[[#Headers],[Agency]])),COLUMNS($F$7:V$7))))</f>
        <v>0</v>
      </c>
      <c r="W372" s="2223" cm="1">
        <f t="array" ref="W372">IF($D372&lt;COLUMNS($F$7:W$7),"",INDEX(TableDiv[[GASB]:[GASB]],_xlfn.AGGREGATE(15,3,(TableDiv[[Agency]:[Agency]]=$E372)/(TableDiv[[Agency]:[Agency]]=$E372)*(ROW(TableDiv[Agency])-ROW(TableDiv[[#Headers],[Agency]])),COLUMNS($F$7:W$7))))</f>
        <v>0</v>
      </c>
      <c r="X372" s="2223" cm="1">
        <f t="array" ref="X372">IF($D372&lt;COLUMNS($F$7:X$7),"",INDEX(TableDiv[[GASB]:[GASB]],_xlfn.AGGREGATE(15,3,(TableDiv[[Agency]:[Agency]]=$E372)/(TableDiv[[Agency]:[Agency]]=$E372)*(ROW(TableDiv[Agency])-ROW(TableDiv[[#Headers],[Agency]])),COLUMNS($F$7:X$7))))</f>
        <v>0</v>
      </c>
      <c r="Y372" s="2223" cm="1">
        <f t="array" ref="Y372">IF($D372&lt;COLUMNS($F$7:Y$7),"",INDEX(TableDiv[[GASB]:[GASB]],_xlfn.AGGREGATE(15,3,(TableDiv[[Agency]:[Agency]]=$E372)/(TableDiv[[Agency]:[Agency]]=$E372)*(ROW(TableDiv[Agency])-ROW(TableDiv[[#Headers],[Agency]])),COLUMNS($F$7:Y$7))))</f>
        <v>0</v>
      </c>
      <c r="Z372" s="2223" cm="1">
        <f t="array" ref="Z372">IF($D372&lt;COLUMNS($F$7:Z$7),"",INDEX(TableDiv[[GASB]:[GASB]],_xlfn.AGGREGATE(15,3,(TableDiv[[Agency]:[Agency]]=$E372)/(TableDiv[[Agency]:[Agency]]=$E372)*(ROW(TableDiv[Agency])-ROW(TableDiv[[#Headers],[Agency]])),COLUMNS($F$7:Z$7))))</f>
        <v>0</v>
      </c>
      <c r="AA372" s="2223" cm="1">
        <f t="array" ref="AA372">IF($D372&lt;COLUMNS($F$7:AA$7),"",INDEX(TableDiv[[GASB]:[GASB]],_xlfn.AGGREGATE(15,3,(TableDiv[[Agency]:[Agency]]=$E372)/(TableDiv[[Agency]:[Agency]]=$E372)*(ROW(TableDiv[Agency])-ROW(TableDiv[[#Headers],[Agency]])),COLUMNS($F$7:AA$7))))</f>
        <v>0</v>
      </c>
      <c r="AB372" s="2223" cm="1">
        <f t="array" ref="AB372">IF($D372&lt;COLUMNS($F$7:AB$7),"",INDEX(TableDiv[[GASB]:[GASB]],_xlfn.AGGREGATE(15,3,(TableDiv[[Agency]:[Agency]]=$E372)/(TableDiv[[Agency]:[Agency]]=$E372)*(ROW(TableDiv[Agency])-ROW(TableDiv[[#Headers],[Agency]])),COLUMNS($F$7:AB$7))))</f>
        <v>0</v>
      </c>
      <c r="AC372" s="2223" cm="1">
        <f t="array" ref="AC372">IF($D372&lt;COLUMNS($F$7:AC$7),"",INDEX(TableDiv[[GASB]:[GASB]],_xlfn.AGGREGATE(15,3,(TableDiv[[Agency]:[Agency]]=$E372)/(TableDiv[[Agency]:[Agency]]=$E372)*(ROW(TableDiv[Agency])-ROW(TableDiv[[#Headers],[Agency]])),COLUMNS($F$7:AC$7))))</f>
        <v>0</v>
      </c>
      <c r="AD372" s="2223" cm="1">
        <f t="array" ref="AD372">IF($D372&lt;COLUMNS($F$7:AD$7),"",INDEX(TableDiv[[GASB]:[GASB]],_xlfn.AGGREGATE(15,3,(TableDiv[[Agency]:[Agency]]=$E372)/(TableDiv[[Agency]:[Agency]]=$E372)*(ROW(TableDiv[Agency])-ROW(TableDiv[[#Headers],[Agency]])),COLUMNS($F$7:AD$7))))</f>
        <v>0</v>
      </c>
      <c r="AE372" s="2223" cm="1">
        <f t="array" ref="AE372">IF($D372&lt;COLUMNS($F$7:AE$7),"",INDEX(TableDiv[[GASB]:[GASB]],_xlfn.AGGREGATE(15,3,(TableDiv[[Agency]:[Agency]]=$E372)/(TableDiv[[Agency]:[Agency]]=$E372)*(ROW(TableDiv[Agency])-ROW(TableDiv[[#Headers],[Agency]])),COLUMNS($F$7:AE$7))))</f>
        <v>0</v>
      </c>
      <c r="AF372" s="2223" cm="1">
        <f t="array" ref="AF372">IF($D372&lt;COLUMNS($F$7:AF$7),"",INDEX(TableDiv[[GASB]:[GASB]],_xlfn.AGGREGATE(15,3,(TableDiv[[Agency]:[Agency]]=$E372)/(TableDiv[[Agency]:[Agency]]=$E372)*(ROW(TableDiv[Agency])-ROW(TableDiv[[#Headers],[Agency]])),COLUMNS($F$7:AF$7))))</f>
        <v>0</v>
      </c>
      <c r="AG372" s="2223" cm="1">
        <f t="array" ref="AG372">IF($D372&lt;COLUMNS($F$7:AG$7),"",INDEX(TableDiv[[GASB]:[GASB]],_xlfn.AGGREGATE(15,3,(TableDiv[[Agency]:[Agency]]=$E372)/(TableDiv[[Agency]:[Agency]]=$E372)*(ROW(TableDiv[Agency])-ROW(TableDiv[[#Headers],[Agency]])),COLUMNS($F$7:AG$7))))</f>
        <v>0</v>
      </c>
      <c r="AH372" s="2223" cm="1">
        <f t="array" ref="AH372">IF($D372&lt;COLUMNS($F$7:AH$7),"",INDEX(TableDiv[[GASB]:[GASB]],_xlfn.AGGREGATE(15,3,(TableDiv[[Agency]:[Agency]]=$E372)/(TableDiv[[Agency]:[Agency]]=$E372)*(ROW(TableDiv[Agency])-ROW(TableDiv[[#Headers],[Agency]])),COLUMNS($F$7:AH$7))))</f>
        <v>0</v>
      </c>
      <c r="AI372" s="2223" cm="1">
        <f t="array" ref="AI372">IF($D372&lt;COLUMNS($F$7:AI$7),"",INDEX(TableDiv[[GASB]:[GASB]],_xlfn.AGGREGATE(15,3,(TableDiv[[Agency]:[Agency]]=$E372)/(TableDiv[[Agency]:[Agency]]=$E372)*(ROW(TableDiv[Agency])-ROW(TableDiv[[#Headers],[Agency]])),COLUMNS($F$7:AI$7))))</f>
        <v>0</v>
      </c>
      <c r="AJ372" s="2223" cm="1">
        <f t="array" ref="AJ372">IF($D372&lt;COLUMNS($F$7:AJ$7),"",INDEX(TableDiv[[GASB]:[GASB]],_xlfn.AGGREGATE(15,3,(TableDiv[[Agency]:[Agency]]=$E372)/(TableDiv[[Agency]:[Agency]]=$E372)*(ROW(TableDiv[Agency])-ROW(TableDiv[[#Headers],[Agency]])),COLUMNS($F$7:AJ$7))))</f>
        <v>0</v>
      </c>
      <c r="AK372" s="2223" t="str" cm="1">
        <f t="array" ref="AK372">IF($D372&lt;COLUMNS($F$7:AK$7),"",INDEX(TableDiv[[GASB]:[GASB]],_xlfn.AGGREGATE(15,3,(TableDiv[[Agency]:[Agency]]=$E372)/(TableDiv[[Agency]:[Agency]]=$E372)*(ROW(TableDiv[Agency])-ROW(TableDiv[[#Headers],[Agency]])),COLUMNS($F$7:AK$7))))</f>
        <v/>
      </c>
      <c r="AL372" s="2223" t="str" cm="1">
        <f t="array" ref="AL372">IF($D372&lt;COLUMNS($F$7:AL$7),"",INDEX(TableDiv[[GASB]:[GASB]],_xlfn.AGGREGATE(15,3,(TableDiv[[Agency]:[Agency]]=$E372)/(TableDiv[[Agency]:[Agency]]=$E372)*(ROW(TableDiv[Agency])-ROW(TableDiv[[#Headers],[Agency]])),COLUMNS($F$7:AL$7))))</f>
        <v/>
      </c>
      <c r="AM372" s="2223" t="str" cm="1">
        <f t="array" ref="AM372">IF($D372&lt;COLUMNS($F$7:AM$7),"",INDEX(TableDiv[[GASB]:[GASB]],_xlfn.AGGREGATE(15,3,(TableDiv[[Agency]:[Agency]]=$E372)/(TableDiv[[Agency]:[Agency]]=$E372)*(ROW(TableDiv[Agency])-ROW(TableDiv[[#Headers],[Agency]])),COLUMNS($F$7:AM$7))))</f>
        <v/>
      </c>
      <c r="AN372" s="2223"/>
      <c r="AO372" s="2223"/>
      <c r="AP372" s="2223"/>
      <c r="AQ372" s="2223"/>
      <c r="AR372" s="2223"/>
      <c r="AS372" s="2223"/>
    </row>
    <row r="373" spans="1:45" ht="15" x14ac:dyDescent="0.25">
      <c r="A373" s="2219" t="s">
        <v>5145</v>
      </c>
      <c r="B373" s="2219" t="s">
        <v>5079</v>
      </c>
      <c r="C373" s="2223"/>
      <c r="D373" s="2223">
        <f>COUNTIF(TableDiv[Agency],E373)</f>
        <v>31</v>
      </c>
      <c r="E373" s="2230" t="str" cm="1">
        <f t="array" ref="E373">IFERROR(INDEX(TableDiv[Agency],MATCH(0,INDEX(COUNTIF($E$7:E372,TableDiv[Agency]),),0)),"")</f>
        <v/>
      </c>
      <c r="F373" s="2223" cm="1">
        <f t="array" ref="F373">IF($D373&lt;COLUMNS($F$7:F$7),"",INDEX(TableDiv[[GASB]:[GASB]],_xlfn.AGGREGATE(15,3,(TableDiv[[Agency]:[Agency]]=$E373)/(TableDiv[[Agency]:[Agency]]=$E373)*(ROW(TableDiv[Agency])-ROW(TableDiv[[#Headers],[Agency]])),COLUMNS($F$7:F$7))))</f>
        <v>0</v>
      </c>
      <c r="G373" s="2223" cm="1">
        <f t="array" ref="G373">IF($D373&lt;COLUMNS($F$7:G$7),"",INDEX(TableDiv[[GASB]:[GASB]],_xlfn.AGGREGATE(15,3,(TableDiv[[Agency]:[Agency]]=$E373)/(TableDiv[[Agency]:[Agency]]=$E373)*(ROW(TableDiv[Agency])-ROW(TableDiv[[#Headers],[Agency]])),COLUMNS($F$7:G$7))))</f>
        <v>0</v>
      </c>
      <c r="H373" s="2223" cm="1">
        <f t="array" ref="H373">IF($D373&lt;COLUMNS($F$7:H$7),"",INDEX(TableDiv[[GASB]:[GASB]],_xlfn.AGGREGATE(15,3,(TableDiv[[Agency]:[Agency]]=$E373)/(TableDiv[[Agency]:[Agency]]=$E373)*(ROW(TableDiv[Agency])-ROW(TableDiv[[#Headers],[Agency]])),COLUMNS($F$7:H$7))))</f>
        <v>0</v>
      </c>
      <c r="I373" s="2223" cm="1">
        <f t="array" ref="I373">IF($D373&lt;COLUMNS($F$7:I$7),"",INDEX(TableDiv[[GASB]:[GASB]],_xlfn.AGGREGATE(15,3,(TableDiv[[Agency]:[Agency]]=$E373)/(TableDiv[[Agency]:[Agency]]=$E373)*(ROW(TableDiv[Agency])-ROW(TableDiv[[#Headers],[Agency]])),COLUMNS($F$7:I$7))))</f>
        <v>0</v>
      </c>
      <c r="J373" s="2223" cm="1">
        <f t="array" ref="J373">IF($D373&lt;COLUMNS($F$7:J$7),"",INDEX(TableDiv[[GASB]:[GASB]],_xlfn.AGGREGATE(15,3,(TableDiv[[Agency]:[Agency]]=$E373)/(TableDiv[[Agency]:[Agency]]=$E373)*(ROW(TableDiv[Agency])-ROW(TableDiv[[#Headers],[Agency]])),COLUMNS($F$7:J$7))))</f>
        <v>0</v>
      </c>
      <c r="K373" s="2223" cm="1">
        <f t="array" ref="K373">IF($D373&lt;COLUMNS($F$7:K$7),"",INDEX(TableDiv[[GASB]:[GASB]],_xlfn.AGGREGATE(15,3,(TableDiv[[Agency]:[Agency]]=$E373)/(TableDiv[[Agency]:[Agency]]=$E373)*(ROW(TableDiv[Agency])-ROW(TableDiv[[#Headers],[Agency]])),COLUMNS($F$7:K$7))))</f>
        <v>0</v>
      </c>
      <c r="L373" s="2223" cm="1">
        <f t="array" ref="L373">IF($D373&lt;COLUMNS($F$7:L$7),"",INDEX(TableDiv[[GASB]:[GASB]],_xlfn.AGGREGATE(15,3,(TableDiv[[Agency]:[Agency]]=$E373)/(TableDiv[[Agency]:[Agency]]=$E373)*(ROW(TableDiv[Agency])-ROW(TableDiv[[#Headers],[Agency]])),COLUMNS($F$7:L$7))))</f>
        <v>0</v>
      </c>
      <c r="M373" s="2223" cm="1">
        <f t="array" ref="M373">IF($D373&lt;COLUMNS($F$7:M$7),"",INDEX(TableDiv[[GASB]:[GASB]],_xlfn.AGGREGATE(15,3,(TableDiv[[Agency]:[Agency]]=$E373)/(TableDiv[[Agency]:[Agency]]=$E373)*(ROW(TableDiv[Agency])-ROW(TableDiv[[#Headers],[Agency]])),COLUMNS($F$7:M$7))))</f>
        <v>0</v>
      </c>
      <c r="N373" s="2223" cm="1">
        <f t="array" ref="N373">IF($D373&lt;COLUMNS($F$7:N$7),"",INDEX(TableDiv[[GASB]:[GASB]],_xlfn.AGGREGATE(15,3,(TableDiv[[Agency]:[Agency]]=$E373)/(TableDiv[[Agency]:[Agency]]=$E373)*(ROW(TableDiv[Agency])-ROW(TableDiv[[#Headers],[Agency]])),COLUMNS($F$7:N$7))))</f>
        <v>0</v>
      </c>
      <c r="O373" s="2223" cm="1">
        <f t="array" ref="O373">IF($D373&lt;COLUMNS($F$7:O$7),"",INDEX(TableDiv[[GASB]:[GASB]],_xlfn.AGGREGATE(15,3,(TableDiv[[Agency]:[Agency]]=$E373)/(TableDiv[[Agency]:[Agency]]=$E373)*(ROW(TableDiv[Agency])-ROW(TableDiv[[#Headers],[Agency]])),COLUMNS($F$7:O$7))))</f>
        <v>0</v>
      </c>
      <c r="P373" s="2223" cm="1">
        <f t="array" ref="P373">IF($D373&lt;COLUMNS($F$7:P$7),"",INDEX(TableDiv[[GASB]:[GASB]],_xlfn.AGGREGATE(15,3,(TableDiv[[Agency]:[Agency]]=$E373)/(TableDiv[[Agency]:[Agency]]=$E373)*(ROW(TableDiv[Agency])-ROW(TableDiv[[#Headers],[Agency]])),COLUMNS($F$7:P$7))))</f>
        <v>0</v>
      </c>
      <c r="Q373" s="2223" cm="1">
        <f t="array" ref="Q373">IF($D373&lt;COLUMNS($F$7:Q$7),"",INDEX(TableDiv[[GASB]:[GASB]],_xlfn.AGGREGATE(15,3,(TableDiv[[Agency]:[Agency]]=$E373)/(TableDiv[[Agency]:[Agency]]=$E373)*(ROW(TableDiv[Agency])-ROW(TableDiv[[#Headers],[Agency]])),COLUMNS($F$7:Q$7))))</f>
        <v>0</v>
      </c>
      <c r="R373" s="2223" cm="1">
        <f t="array" ref="R373">IF($D373&lt;COLUMNS($F$7:R$7),"",INDEX(TableDiv[[GASB]:[GASB]],_xlfn.AGGREGATE(15,3,(TableDiv[[Agency]:[Agency]]=$E373)/(TableDiv[[Agency]:[Agency]]=$E373)*(ROW(TableDiv[Agency])-ROW(TableDiv[[#Headers],[Agency]])),COLUMNS($F$7:R$7))))</f>
        <v>0</v>
      </c>
      <c r="S373" s="2223" cm="1">
        <f t="array" ref="S373">IF($D373&lt;COLUMNS($F$7:S$7),"",INDEX(TableDiv[[GASB]:[GASB]],_xlfn.AGGREGATE(15,3,(TableDiv[[Agency]:[Agency]]=$E373)/(TableDiv[[Agency]:[Agency]]=$E373)*(ROW(TableDiv[Agency])-ROW(TableDiv[[#Headers],[Agency]])),COLUMNS($F$7:S$7))))</f>
        <v>0</v>
      </c>
      <c r="T373" s="2223" cm="1">
        <f t="array" ref="T373">IF($D373&lt;COLUMNS($F$7:T$7),"",INDEX(TableDiv[[GASB]:[GASB]],_xlfn.AGGREGATE(15,3,(TableDiv[[Agency]:[Agency]]=$E373)/(TableDiv[[Agency]:[Agency]]=$E373)*(ROW(TableDiv[Agency])-ROW(TableDiv[[#Headers],[Agency]])),COLUMNS($F$7:T$7))))</f>
        <v>0</v>
      </c>
      <c r="U373" s="2223" cm="1">
        <f t="array" ref="U373">IF($D373&lt;COLUMNS($F$7:U$7),"",INDEX(TableDiv[[GASB]:[GASB]],_xlfn.AGGREGATE(15,3,(TableDiv[[Agency]:[Agency]]=$E373)/(TableDiv[[Agency]:[Agency]]=$E373)*(ROW(TableDiv[Agency])-ROW(TableDiv[[#Headers],[Agency]])),COLUMNS($F$7:U$7))))</f>
        <v>0</v>
      </c>
      <c r="V373" s="2223" cm="1">
        <f t="array" ref="V373">IF($D373&lt;COLUMNS($F$7:V$7),"",INDEX(TableDiv[[GASB]:[GASB]],_xlfn.AGGREGATE(15,3,(TableDiv[[Agency]:[Agency]]=$E373)/(TableDiv[[Agency]:[Agency]]=$E373)*(ROW(TableDiv[Agency])-ROW(TableDiv[[#Headers],[Agency]])),COLUMNS($F$7:V$7))))</f>
        <v>0</v>
      </c>
      <c r="W373" s="2223" cm="1">
        <f t="array" ref="W373">IF($D373&lt;COLUMNS($F$7:W$7),"",INDEX(TableDiv[[GASB]:[GASB]],_xlfn.AGGREGATE(15,3,(TableDiv[[Agency]:[Agency]]=$E373)/(TableDiv[[Agency]:[Agency]]=$E373)*(ROW(TableDiv[Agency])-ROW(TableDiv[[#Headers],[Agency]])),COLUMNS($F$7:W$7))))</f>
        <v>0</v>
      </c>
      <c r="X373" s="2223" cm="1">
        <f t="array" ref="X373">IF($D373&lt;COLUMNS($F$7:X$7),"",INDEX(TableDiv[[GASB]:[GASB]],_xlfn.AGGREGATE(15,3,(TableDiv[[Agency]:[Agency]]=$E373)/(TableDiv[[Agency]:[Agency]]=$E373)*(ROW(TableDiv[Agency])-ROW(TableDiv[[#Headers],[Agency]])),COLUMNS($F$7:X$7))))</f>
        <v>0</v>
      </c>
      <c r="Y373" s="2223" cm="1">
        <f t="array" ref="Y373">IF($D373&lt;COLUMNS($F$7:Y$7),"",INDEX(TableDiv[[GASB]:[GASB]],_xlfn.AGGREGATE(15,3,(TableDiv[[Agency]:[Agency]]=$E373)/(TableDiv[[Agency]:[Agency]]=$E373)*(ROW(TableDiv[Agency])-ROW(TableDiv[[#Headers],[Agency]])),COLUMNS($F$7:Y$7))))</f>
        <v>0</v>
      </c>
      <c r="Z373" s="2223" cm="1">
        <f t="array" ref="Z373">IF($D373&lt;COLUMNS($F$7:Z$7),"",INDEX(TableDiv[[GASB]:[GASB]],_xlfn.AGGREGATE(15,3,(TableDiv[[Agency]:[Agency]]=$E373)/(TableDiv[[Agency]:[Agency]]=$E373)*(ROW(TableDiv[Agency])-ROW(TableDiv[[#Headers],[Agency]])),COLUMNS($F$7:Z$7))))</f>
        <v>0</v>
      </c>
      <c r="AA373" s="2223" cm="1">
        <f t="array" ref="AA373">IF($D373&lt;COLUMNS($F$7:AA$7),"",INDEX(TableDiv[[GASB]:[GASB]],_xlfn.AGGREGATE(15,3,(TableDiv[[Agency]:[Agency]]=$E373)/(TableDiv[[Agency]:[Agency]]=$E373)*(ROW(TableDiv[Agency])-ROW(TableDiv[[#Headers],[Agency]])),COLUMNS($F$7:AA$7))))</f>
        <v>0</v>
      </c>
      <c r="AB373" s="2223" cm="1">
        <f t="array" ref="AB373">IF($D373&lt;COLUMNS($F$7:AB$7),"",INDEX(TableDiv[[GASB]:[GASB]],_xlfn.AGGREGATE(15,3,(TableDiv[[Agency]:[Agency]]=$E373)/(TableDiv[[Agency]:[Agency]]=$E373)*(ROW(TableDiv[Agency])-ROW(TableDiv[[#Headers],[Agency]])),COLUMNS($F$7:AB$7))))</f>
        <v>0</v>
      </c>
      <c r="AC373" s="2223" cm="1">
        <f t="array" ref="AC373">IF($D373&lt;COLUMNS($F$7:AC$7),"",INDEX(TableDiv[[GASB]:[GASB]],_xlfn.AGGREGATE(15,3,(TableDiv[[Agency]:[Agency]]=$E373)/(TableDiv[[Agency]:[Agency]]=$E373)*(ROW(TableDiv[Agency])-ROW(TableDiv[[#Headers],[Agency]])),COLUMNS($F$7:AC$7))))</f>
        <v>0</v>
      </c>
      <c r="AD373" s="2223" cm="1">
        <f t="array" ref="AD373">IF($D373&lt;COLUMNS($F$7:AD$7),"",INDEX(TableDiv[[GASB]:[GASB]],_xlfn.AGGREGATE(15,3,(TableDiv[[Agency]:[Agency]]=$E373)/(TableDiv[[Agency]:[Agency]]=$E373)*(ROW(TableDiv[Agency])-ROW(TableDiv[[#Headers],[Agency]])),COLUMNS($F$7:AD$7))))</f>
        <v>0</v>
      </c>
      <c r="AE373" s="2223" cm="1">
        <f t="array" ref="AE373">IF($D373&lt;COLUMNS($F$7:AE$7),"",INDEX(TableDiv[[GASB]:[GASB]],_xlfn.AGGREGATE(15,3,(TableDiv[[Agency]:[Agency]]=$E373)/(TableDiv[[Agency]:[Agency]]=$E373)*(ROW(TableDiv[Agency])-ROW(TableDiv[[#Headers],[Agency]])),COLUMNS($F$7:AE$7))))</f>
        <v>0</v>
      </c>
      <c r="AF373" s="2223" cm="1">
        <f t="array" ref="AF373">IF($D373&lt;COLUMNS($F$7:AF$7),"",INDEX(TableDiv[[GASB]:[GASB]],_xlfn.AGGREGATE(15,3,(TableDiv[[Agency]:[Agency]]=$E373)/(TableDiv[[Agency]:[Agency]]=$E373)*(ROW(TableDiv[Agency])-ROW(TableDiv[[#Headers],[Agency]])),COLUMNS($F$7:AF$7))))</f>
        <v>0</v>
      </c>
      <c r="AG373" s="2223" cm="1">
        <f t="array" ref="AG373">IF($D373&lt;COLUMNS($F$7:AG$7),"",INDEX(TableDiv[[GASB]:[GASB]],_xlfn.AGGREGATE(15,3,(TableDiv[[Agency]:[Agency]]=$E373)/(TableDiv[[Agency]:[Agency]]=$E373)*(ROW(TableDiv[Agency])-ROW(TableDiv[[#Headers],[Agency]])),COLUMNS($F$7:AG$7))))</f>
        <v>0</v>
      </c>
      <c r="AH373" s="2223" cm="1">
        <f t="array" ref="AH373">IF($D373&lt;COLUMNS($F$7:AH$7),"",INDEX(TableDiv[[GASB]:[GASB]],_xlfn.AGGREGATE(15,3,(TableDiv[[Agency]:[Agency]]=$E373)/(TableDiv[[Agency]:[Agency]]=$E373)*(ROW(TableDiv[Agency])-ROW(TableDiv[[#Headers],[Agency]])),COLUMNS($F$7:AH$7))))</f>
        <v>0</v>
      </c>
      <c r="AI373" s="2223" cm="1">
        <f t="array" ref="AI373">IF($D373&lt;COLUMNS($F$7:AI$7),"",INDEX(TableDiv[[GASB]:[GASB]],_xlfn.AGGREGATE(15,3,(TableDiv[[Agency]:[Agency]]=$E373)/(TableDiv[[Agency]:[Agency]]=$E373)*(ROW(TableDiv[Agency])-ROW(TableDiv[[#Headers],[Agency]])),COLUMNS($F$7:AI$7))))</f>
        <v>0</v>
      </c>
      <c r="AJ373" s="2223" cm="1">
        <f t="array" ref="AJ373">IF($D373&lt;COLUMNS($F$7:AJ$7),"",INDEX(TableDiv[[GASB]:[GASB]],_xlfn.AGGREGATE(15,3,(TableDiv[[Agency]:[Agency]]=$E373)/(TableDiv[[Agency]:[Agency]]=$E373)*(ROW(TableDiv[Agency])-ROW(TableDiv[[#Headers],[Agency]])),COLUMNS($F$7:AJ$7))))</f>
        <v>0</v>
      </c>
      <c r="AK373" s="2223" t="str" cm="1">
        <f t="array" ref="AK373">IF($D373&lt;COLUMNS($F$7:AK$7),"",INDEX(TableDiv[[GASB]:[GASB]],_xlfn.AGGREGATE(15,3,(TableDiv[[Agency]:[Agency]]=$E373)/(TableDiv[[Agency]:[Agency]]=$E373)*(ROW(TableDiv[Agency])-ROW(TableDiv[[#Headers],[Agency]])),COLUMNS($F$7:AK$7))))</f>
        <v/>
      </c>
      <c r="AL373" s="2223" t="str" cm="1">
        <f t="array" ref="AL373">IF($D373&lt;COLUMNS($F$7:AL$7),"",INDEX(TableDiv[[GASB]:[GASB]],_xlfn.AGGREGATE(15,3,(TableDiv[[Agency]:[Agency]]=$E373)/(TableDiv[[Agency]:[Agency]]=$E373)*(ROW(TableDiv[Agency])-ROW(TableDiv[[#Headers],[Agency]])),COLUMNS($F$7:AL$7))))</f>
        <v/>
      </c>
      <c r="AM373" s="2223" t="str" cm="1">
        <f t="array" ref="AM373">IF($D373&lt;COLUMNS($F$7:AM$7),"",INDEX(TableDiv[[GASB]:[GASB]],_xlfn.AGGREGATE(15,3,(TableDiv[[Agency]:[Agency]]=$E373)/(TableDiv[[Agency]:[Agency]]=$E373)*(ROW(TableDiv[Agency])-ROW(TableDiv[[#Headers],[Agency]])),COLUMNS($F$7:AM$7))))</f>
        <v/>
      </c>
      <c r="AN373" s="2223"/>
      <c r="AO373" s="2223"/>
      <c r="AP373" s="2223"/>
      <c r="AQ373" s="2223"/>
      <c r="AR373" s="2223"/>
      <c r="AS373" s="2223"/>
    </row>
    <row r="374" spans="1:45" ht="15" x14ac:dyDescent="0.25">
      <c r="A374" s="2219" t="s">
        <v>5146</v>
      </c>
      <c r="B374" s="2219" t="s">
        <v>5081</v>
      </c>
      <c r="C374" s="2223"/>
      <c r="D374" s="2223">
        <f>COUNTIF(TableDiv[Agency],E374)</f>
        <v>31</v>
      </c>
      <c r="E374" s="2230" t="str" cm="1">
        <f t="array" ref="E374">IFERROR(INDEX(TableDiv[Agency],MATCH(0,INDEX(COUNTIF($E$7:E373,TableDiv[Agency]),),0)),"")</f>
        <v/>
      </c>
      <c r="F374" s="2223" cm="1">
        <f t="array" ref="F374">IF($D374&lt;COLUMNS($F$7:F$7),"",INDEX(TableDiv[[GASB]:[GASB]],_xlfn.AGGREGATE(15,3,(TableDiv[[Agency]:[Agency]]=$E374)/(TableDiv[[Agency]:[Agency]]=$E374)*(ROW(TableDiv[Agency])-ROW(TableDiv[[#Headers],[Agency]])),COLUMNS($F$7:F$7))))</f>
        <v>0</v>
      </c>
      <c r="G374" s="2223" cm="1">
        <f t="array" ref="G374">IF($D374&lt;COLUMNS($F$7:G$7),"",INDEX(TableDiv[[GASB]:[GASB]],_xlfn.AGGREGATE(15,3,(TableDiv[[Agency]:[Agency]]=$E374)/(TableDiv[[Agency]:[Agency]]=$E374)*(ROW(TableDiv[Agency])-ROW(TableDiv[[#Headers],[Agency]])),COLUMNS($F$7:G$7))))</f>
        <v>0</v>
      </c>
      <c r="H374" s="2223" cm="1">
        <f t="array" ref="H374">IF($D374&lt;COLUMNS($F$7:H$7),"",INDEX(TableDiv[[GASB]:[GASB]],_xlfn.AGGREGATE(15,3,(TableDiv[[Agency]:[Agency]]=$E374)/(TableDiv[[Agency]:[Agency]]=$E374)*(ROW(TableDiv[Agency])-ROW(TableDiv[[#Headers],[Agency]])),COLUMNS($F$7:H$7))))</f>
        <v>0</v>
      </c>
      <c r="I374" s="2223" cm="1">
        <f t="array" ref="I374">IF($D374&lt;COLUMNS($F$7:I$7),"",INDEX(TableDiv[[GASB]:[GASB]],_xlfn.AGGREGATE(15,3,(TableDiv[[Agency]:[Agency]]=$E374)/(TableDiv[[Agency]:[Agency]]=$E374)*(ROW(TableDiv[Agency])-ROW(TableDiv[[#Headers],[Agency]])),COLUMNS($F$7:I$7))))</f>
        <v>0</v>
      </c>
      <c r="J374" s="2223" cm="1">
        <f t="array" ref="J374">IF($D374&lt;COLUMNS($F$7:J$7),"",INDEX(TableDiv[[GASB]:[GASB]],_xlfn.AGGREGATE(15,3,(TableDiv[[Agency]:[Agency]]=$E374)/(TableDiv[[Agency]:[Agency]]=$E374)*(ROW(TableDiv[Agency])-ROW(TableDiv[[#Headers],[Agency]])),COLUMNS($F$7:J$7))))</f>
        <v>0</v>
      </c>
      <c r="K374" s="2223" cm="1">
        <f t="array" ref="K374">IF($D374&lt;COLUMNS($F$7:K$7),"",INDEX(TableDiv[[GASB]:[GASB]],_xlfn.AGGREGATE(15,3,(TableDiv[[Agency]:[Agency]]=$E374)/(TableDiv[[Agency]:[Agency]]=$E374)*(ROW(TableDiv[Agency])-ROW(TableDiv[[#Headers],[Agency]])),COLUMNS($F$7:K$7))))</f>
        <v>0</v>
      </c>
      <c r="L374" s="2223" cm="1">
        <f t="array" ref="L374">IF($D374&lt;COLUMNS($F$7:L$7),"",INDEX(TableDiv[[GASB]:[GASB]],_xlfn.AGGREGATE(15,3,(TableDiv[[Agency]:[Agency]]=$E374)/(TableDiv[[Agency]:[Agency]]=$E374)*(ROW(TableDiv[Agency])-ROW(TableDiv[[#Headers],[Agency]])),COLUMNS($F$7:L$7))))</f>
        <v>0</v>
      </c>
      <c r="M374" s="2223" cm="1">
        <f t="array" ref="M374">IF($D374&lt;COLUMNS($F$7:M$7),"",INDEX(TableDiv[[GASB]:[GASB]],_xlfn.AGGREGATE(15,3,(TableDiv[[Agency]:[Agency]]=$E374)/(TableDiv[[Agency]:[Agency]]=$E374)*(ROW(TableDiv[Agency])-ROW(TableDiv[[#Headers],[Agency]])),COLUMNS($F$7:M$7))))</f>
        <v>0</v>
      </c>
      <c r="N374" s="2223" cm="1">
        <f t="array" ref="N374">IF($D374&lt;COLUMNS($F$7:N$7),"",INDEX(TableDiv[[GASB]:[GASB]],_xlfn.AGGREGATE(15,3,(TableDiv[[Agency]:[Agency]]=$E374)/(TableDiv[[Agency]:[Agency]]=$E374)*(ROW(TableDiv[Agency])-ROW(TableDiv[[#Headers],[Agency]])),COLUMNS($F$7:N$7))))</f>
        <v>0</v>
      </c>
      <c r="O374" s="2223" cm="1">
        <f t="array" ref="O374">IF($D374&lt;COLUMNS($F$7:O$7),"",INDEX(TableDiv[[GASB]:[GASB]],_xlfn.AGGREGATE(15,3,(TableDiv[[Agency]:[Agency]]=$E374)/(TableDiv[[Agency]:[Agency]]=$E374)*(ROW(TableDiv[Agency])-ROW(TableDiv[[#Headers],[Agency]])),COLUMNS($F$7:O$7))))</f>
        <v>0</v>
      </c>
      <c r="P374" s="2223" cm="1">
        <f t="array" ref="P374">IF($D374&lt;COLUMNS($F$7:P$7),"",INDEX(TableDiv[[GASB]:[GASB]],_xlfn.AGGREGATE(15,3,(TableDiv[[Agency]:[Agency]]=$E374)/(TableDiv[[Agency]:[Agency]]=$E374)*(ROW(TableDiv[Agency])-ROW(TableDiv[[#Headers],[Agency]])),COLUMNS($F$7:P$7))))</f>
        <v>0</v>
      </c>
      <c r="Q374" s="2223" cm="1">
        <f t="array" ref="Q374">IF($D374&lt;COLUMNS($F$7:Q$7),"",INDEX(TableDiv[[GASB]:[GASB]],_xlfn.AGGREGATE(15,3,(TableDiv[[Agency]:[Agency]]=$E374)/(TableDiv[[Agency]:[Agency]]=$E374)*(ROW(TableDiv[Agency])-ROW(TableDiv[[#Headers],[Agency]])),COLUMNS($F$7:Q$7))))</f>
        <v>0</v>
      </c>
      <c r="R374" s="2223" cm="1">
        <f t="array" ref="R374">IF($D374&lt;COLUMNS($F$7:R$7),"",INDEX(TableDiv[[GASB]:[GASB]],_xlfn.AGGREGATE(15,3,(TableDiv[[Agency]:[Agency]]=$E374)/(TableDiv[[Agency]:[Agency]]=$E374)*(ROW(TableDiv[Agency])-ROW(TableDiv[[#Headers],[Agency]])),COLUMNS($F$7:R$7))))</f>
        <v>0</v>
      </c>
      <c r="S374" s="2223" cm="1">
        <f t="array" ref="S374">IF($D374&lt;COLUMNS($F$7:S$7),"",INDEX(TableDiv[[GASB]:[GASB]],_xlfn.AGGREGATE(15,3,(TableDiv[[Agency]:[Agency]]=$E374)/(TableDiv[[Agency]:[Agency]]=$E374)*(ROW(TableDiv[Agency])-ROW(TableDiv[[#Headers],[Agency]])),COLUMNS($F$7:S$7))))</f>
        <v>0</v>
      </c>
      <c r="T374" s="2223" cm="1">
        <f t="array" ref="T374">IF($D374&lt;COLUMNS($F$7:T$7),"",INDEX(TableDiv[[GASB]:[GASB]],_xlfn.AGGREGATE(15,3,(TableDiv[[Agency]:[Agency]]=$E374)/(TableDiv[[Agency]:[Agency]]=$E374)*(ROW(TableDiv[Agency])-ROW(TableDiv[[#Headers],[Agency]])),COLUMNS($F$7:T$7))))</f>
        <v>0</v>
      </c>
      <c r="U374" s="2223" cm="1">
        <f t="array" ref="U374">IF($D374&lt;COLUMNS($F$7:U$7),"",INDEX(TableDiv[[GASB]:[GASB]],_xlfn.AGGREGATE(15,3,(TableDiv[[Agency]:[Agency]]=$E374)/(TableDiv[[Agency]:[Agency]]=$E374)*(ROW(TableDiv[Agency])-ROW(TableDiv[[#Headers],[Agency]])),COLUMNS($F$7:U$7))))</f>
        <v>0</v>
      </c>
      <c r="V374" s="2223" cm="1">
        <f t="array" ref="V374">IF($D374&lt;COLUMNS($F$7:V$7),"",INDEX(TableDiv[[GASB]:[GASB]],_xlfn.AGGREGATE(15,3,(TableDiv[[Agency]:[Agency]]=$E374)/(TableDiv[[Agency]:[Agency]]=$E374)*(ROW(TableDiv[Agency])-ROW(TableDiv[[#Headers],[Agency]])),COLUMNS($F$7:V$7))))</f>
        <v>0</v>
      </c>
      <c r="W374" s="2223" cm="1">
        <f t="array" ref="W374">IF($D374&lt;COLUMNS($F$7:W$7),"",INDEX(TableDiv[[GASB]:[GASB]],_xlfn.AGGREGATE(15,3,(TableDiv[[Agency]:[Agency]]=$E374)/(TableDiv[[Agency]:[Agency]]=$E374)*(ROW(TableDiv[Agency])-ROW(TableDiv[[#Headers],[Agency]])),COLUMNS($F$7:W$7))))</f>
        <v>0</v>
      </c>
      <c r="X374" s="2223" cm="1">
        <f t="array" ref="X374">IF($D374&lt;COLUMNS($F$7:X$7),"",INDEX(TableDiv[[GASB]:[GASB]],_xlfn.AGGREGATE(15,3,(TableDiv[[Agency]:[Agency]]=$E374)/(TableDiv[[Agency]:[Agency]]=$E374)*(ROW(TableDiv[Agency])-ROW(TableDiv[[#Headers],[Agency]])),COLUMNS($F$7:X$7))))</f>
        <v>0</v>
      </c>
      <c r="Y374" s="2223" cm="1">
        <f t="array" ref="Y374">IF($D374&lt;COLUMNS($F$7:Y$7),"",INDEX(TableDiv[[GASB]:[GASB]],_xlfn.AGGREGATE(15,3,(TableDiv[[Agency]:[Agency]]=$E374)/(TableDiv[[Agency]:[Agency]]=$E374)*(ROW(TableDiv[Agency])-ROW(TableDiv[[#Headers],[Agency]])),COLUMNS($F$7:Y$7))))</f>
        <v>0</v>
      </c>
      <c r="Z374" s="2223" cm="1">
        <f t="array" ref="Z374">IF($D374&lt;COLUMNS($F$7:Z$7),"",INDEX(TableDiv[[GASB]:[GASB]],_xlfn.AGGREGATE(15,3,(TableDiv[[Agency]:[Agency]]=$E374)/(TableDiv[[Agency]:[Agency]]=$E374)*(ROW(TableDiv[Agency])-ROW(TableDiv[[#Headers],[Agency]])),COLUMNS($F$7:Z$7))))</f>
        <v>0</v>
      </c>
      <c r="AA374" s="2223" cm="1">
        <f t="array" ref="AA374">IF($D374&lt;COLUMNS($F$7:AA$7),"",INDEX(TableDiv[[GASB]:[GASB]],_xlfn.AGGREGATE(15,3,(TableDiv[[Agency]:[Agency]]=$E374)/(TableDiv[[Agency]:[Agency]]=$E374)*(ROW(TableDiv[Agency])-ROW(TableDiv[[#Headers],[Agency]])),COLUMNS($F$7:AA$7))))</f>
        <v>0</v>
      </c>
      <c r="AB374" s="2223" cm="1">
        <f t="array" ref="AB374">IF($D374&lt;COLUMNS($F$7:AB$7),"",INDEX(TableDiv[[GASB]:[GASB]],_xlfn.AGGREGATE(15,3,(TableDiv[[Agency]:[Agency]]=$E374)/(TableDiv[[Agency]:[Agency]]=$E374)*(ROW(TableDiv[Agency])-ROW(TableDiv[[#Headers],[Agency]])),COLUMNS($F$7:AB$7))))</f>
        <v>0</v>
      </c>
      <c r="AC374" s="2223" cm="1">
        <f t="array" ref="AC374">IF($D374&lt;COLUMNS($F$7:AC$7),"",INDEX(TableDiv[[GASB]:[GASB]],_xlfn.AGGREGATE(15,3,(TableDiv[[Agency]:[Agency]]=$E374)/(TableDiv[[Agency]:[Agency]]=$E374)*(ROW(TableDiv[Agency])-ROW(TableDiv[[#Headers],[Agency]])),COLUMNS($F$7:AC$7))))</f>
        <v>0</v>
      </c>
      <c r="AD374" s="2223" cm="1">
        <f t="array" ref="AD374">IF($D374&lt;COLUMNS($F$7:AD$7),"",INDEX(TableDiv[[GASB]:[GASB]],_xlfn.AGGREGATE(15,3,(TableDiv[[Agency]:[Agency]]=$E374)/(TableDiv[[Agency]:[Agency]]=$E374)*(ROW(TableDiv[Agency])-ROW(TableDiv[[#Headers],[Agency]])),COLUMNS($F$7:AD$7))))</f>
        <v>0</v>
      </c>
      <c r="AE374" s="2223" cm="1">
        <f t="array" ref="AE374">IF($D374&lt;COLUMNS($F$7:AE$7),"",INDEX(TableDiv[[GASB]:[GASB]],_xlfn.AGGREGATE(15,3,(TableDiv[[Agency]:[Agency]]=$E374)/(TableDiv[[Agency]:[Agency]]=$E374)*(ROW(TableDiv[Agency])-ROW(TableDiv[[#Headers],[Agency]])),COLUMNS($F$7:AE$7))))</f>
        <v>0</v>
      </c>
      <c r="AF374" s="2223" cm="1">
        <f t="array" ref="AF374">IF($D374&lt;COLUMNS($F$7:AF$7),"",INDEX(TableDiv[[GASB]:[GASB]],_xlfn.AGGREGATE(15,3,(TableDiv[[Agency]:[Agency]]=$E374)/(TableDiv[[Agency]:[Agency]]=$E374)*(ROW(TableDiv[Agency])-ROW(TableDiv[[#Headers],[Agency]])),COLUMNS($F$7:AF$7))))</f>
        <v>0</v>
      </c>
      <c r="AG374" s="2223" cm="1">
        <f t="array" ref="AG374">IF($D374&lt;COLUMNS($F$7:AG$7),"",INDEX(TableDiv[[GASB]:[GASB]],_xlfn.AGGREGATE(15,3,(TableDiv[[Agency]:[Agency]]=$E374)/(TableDiv[[Agency]:[Agency]]=$E374)*(ROW(TableDiv[Agency])-ROW(TableDiv[[#Headers],[Agency]])),COLUMNS($F$7:AG$7))))</f>
        <v>0</v>
      </c>
      <c r="AH374" s="2223" cm="1">
        <f t="array" ref="AH374">IF($D374&lt;COLUMNS($F$7:AH$7),"",INDEX(TableDiv[[GASB]:[GASB]],_xlfn.AGGREGATE(15,3,(TableDiv[[Agency]:[Agency]]=$E374)/(TableDiv[[Agency]:[Agency]]=$E374)*(ROW(TableDiv[Agency])-ROW(TableDiv[[#Headers],[Agency]])),COLUMNS($F$7:AH$7))))</f>
        <v>0</v>
      </c>
      <c r="AI374" s="2223" cm="1">
        <f t="array" ref="AI374">IF($D374&lt;COLUMNS($F$7:AI$7),"",INDEX(TableDiv[[GASB]:[GASB]],_xlfn.AGGREGATE(15,3,(TableDiv[[Agency]:[Agency]]=$E374)/(TableDiv[[Agency]:[Agency]]=$E374)*(ROW(TableDiv[Agency])-ROW(TableDiv[[#Headers],[Agency]])),COLUMNS($F$7:AI$7))))</f>
        <v>0</v>
      </c>
      <c r="AJ374" s="2223" cm="1">
        <f t="array" ref="AJ374">IF($D374&lt;COLUMNS($F$7:AJ$7),"",INDEX(TableDiv[[GASB]:[GASB]],_xlfn.AGGREGATE(15,3,(TableDiv[[Agency]:[Agency]]=$E374)/(TableDiv[[Agency]:[Agency]]=$E374)*(ROW(TableDiv[Agency])-ROW(TableDiv[[#Headers],[Agency]])),COLUMNS($F$7:AJ$7))))</f>
        <v>0</v>
      </c>
      <c r="AK374" s="2223" t="str" cm="1">
        <f t="array" ref="AK374">IF($D374&lt;COLUMNS($F$7:AK$7),"",INDEX(TableDiv[[GASB]:[GASB]],_xlfn.AGGREGATE(15,3,(TableDiv[[Agency]:[Agency]]=$E374)/(TableDiv[[Agency]:[Agency]]=$E374)*(ROW(TableDiv[Agency])-ROW(TableDiv[[#Headers],[Agency]])),COLUMNS($F$7:AK$7))))</f>
        <v/>
      </c>
      <c r="AL374" s="2223" t="str" cm="1">
        <f t="array" ref="AL374">IF($D374&lt;COLUMNS($F$7:AL$7),"",INDEX(TableDiv[[GASB]:[GASB]],_xlfn.AGGREGATE(15,3,(TableDiv[[Agency]:[Agency]]=$E374)/(TableDiv[[Agency]:[Agency]]=$E374)*(ROW(TableDiv[Agency])-ROW(TableDiv[[#Headers],[Agency]])),COLUMNS($F$7:AL$7))))</f>
        <v/>
      </c>
      <c r="AM374" s="2223" t="str" cm="1">
        <f t="array" ref="AM374">IF($D374&lt;COLUMNS($F$7:AM$7),"",INDEX(TableDiv[[GASB]:[GASB]],_xlfn.AGGREGATE(15,3,(TableDiv[[Agency]:[Agency]]=$E374)/(TableDiv[[Agency]:[Agency]]=$E374)*(ROW(TableDiv[Agency])-ROW(TableDiv[[#Headers],[Agency]])),COLUMNS($F$7:AM$7))))</f>
        <v/>
      </c>
      <c r="AN374" s="2223"/>
      <c r="AO374" s="2223"/>
      <c r="AP374" s="2223"/>
      <c r="AQ374" s="2223"/>
      <c r="AR374" s="2223"/>
      <c r="AS374" s="2223"/>
    </row>
    <row r="375" spans="1:45" ht="15" x14ac:dyDescent="0.25">
      <c r="A375" s="2219" t="s">
        <v>5147</v>
      </c>
      <c r="B375" s="2219" t="s">
        <v>5083</v>
      </c>
      <c r="C375" s="2223"/>
      <c r="D375" s="2223">
        <f>COUNTIF(TableDiv[Agency],E375)</f>
        <v>31</v>
      </c>
      <c r="E375" s="2230" t="str" cm="1">
        <f t="array" ref="E375">IFERROR(INDEX(TableDiv[Agency],MATCH(0,INDEX(COUNTIF($E$7:E374,TableDiv[Agency]),),0)),"")</f>
        <v/>
      </c>
      <c r="F375" s="2223" cm="1">
        <f t="array" ref="F375">IF($D375&lt;COLUMNS($F$7:F$7),"",INDEX(TableDiv[[GASB]:[GASB]],_xlfn.AGGREGATE(15,3,(TableDiv[[Agency]:[Agency]]=$E375)/(TableDiv[[Agency]:[Agency]]=$E375)*(ROW(TableDiv[Agency])-ROW(TableDiv[[#Headers],[Agency]])),COLUMNS($F$7:F$7))))</f>
        <v>0</v>
      </c>
      <c r="G375" s="2223" cm="1">
        <f t="array" ref="G375">IF($D375&lt;COLUMNS($F$7:G$7),"",INDEX(TableDiv[[GASB]:[GASB]],_xlfn.AGGREGATE(15,3,(TableDiv[[Agency]:[Agency]]=$E375)/(TableDiv[[Agency]:[Agency]]=$E375)*(ROW(TableDiv[Agency])-ROW(TableDiv[[#Headers],[Agency]])),COLUMNS($F$7:G$7))))</f>
        <v>0</v>
      </c>
      <c r="H375" s="2223" cm="1">
        <f t="array" ref="H375">IF($D375&lt;COLUMNS($F$7:H$7),"",INDEX(TableDiv[[GASB]:[GASB]],_xlfn.AGGREGATE(15,3,(TableDiv[[Agency]:[Agency]]=$E375)/(TableDiv[[Agency]:[Agency]]=$E375)*(ROW(TableDiv[Agency])-ROW(TableDiv[[#Headers],[Agency]])),COLUMNS($F$7:H$7))))</f>
        <v>0</v>
      </c>
      <c r="I375" s="2223" cm="1">
        <f t="array" ref="I375">IF($D375&lt;COLUMNS($F$7:I$7),"",INDEX(TableDiv[[GASB]:[GASB]],_xlfn.AGGREGATE(15,3,(TableDiv[[Agency]:[Agency]]=$E375)/(TableDiv[[Agency]:[Agency]]=$E375)*(ROW(TableDiv[Agency])-ROW(TableDiv[[#Headers],[Agency]])),COLUMNS($F$7:I$7))))</f>
        <v>0</v>
      </c>
      <c r="J375" s="2223" cm="1">
        <f t="array" ref="J375">IF($D375&lt;COLUMNS($F$7:J$7),"",INDEX(TableDiv[[GASB]:[GASB]],_xlfn.AGGREGATE(15,3,(TableDiv[[Agency]:[Agency]]=$E375)/(TableDiv[[Agency]:[Agency]]=$E375)*(ROW(TableDiv[Agency])-ROW(TableDiv[[#Headers],[Agency]])),COLUMNS($F$7:J$7))))</f>
        <v>0</v>
      </c>
      <c r="K375" s="2223" cm="1">
        <f t="array" ref="K375">IF($D375&lt;COLUMNS($F$7:K$7),"",INDEX(TableDiv[[GASB]:[GASB]],_xlfn.AGGREGATE(15,3,(TableDiv[[Agency]:[Agency]]=$E375)/(TableDiv[[Agency]:[Agency]]=$E375)*(ROW(TableDiv[Agency])-ROW(TableDiv[[#Headers],[Agency]])),COLUMNS($F$7:K$7))))</f>
        <v>0</v>
      </c>
      <c r="L375" s="2223" cm="1">
        <f t="array" ref="L375">IF($D375&lt;COLUMNS($F$7:L$7),"",INDEX(TableDiv[[GASB]:[GASB]],_xlfn.AGGREGATE(15,3,(TableDiv[[Agency]:[Agency]]=$E375)/(TableDiv[[Agency]:[Agency]]=$E375)*(ROW(TableDiv[Agency])-ROW(TableDiv[[#Headers],[Agency]])),COLUMNS($F$7:L$7))))</f>
        <v>0</v>
      </c>
      <c r="M375" s="2223" cm="1">
        <f t="array" ref="M375">IF($D375&lt;COLUMNS($F$7:M$7),"",INDEX(TableDiv[[GASB]:[GASB]],_xlfn.AGGREGATE(15,3,(TableDiv[[Agency]:[Agency]]=$E375)/(TableDiv[[Agency]:[Agency]]=$E375)*(ROW(TableDiv[Agency])-ROW(TableDiv[[#Headers],[Agency]])),COLUMNS($F$7:M$7))))</f>
        <v>0</v>
      </c>
      <c r="N375" s="2223" cm="1">
        <f t="array" ref="N375">IF($D375&lt;COLUMNS($F$7:N$7),"",INDEX(TableDiv[[GASB]:[GASB]],_xlfn.AGGREGATE(15,3,(TableDiv[[Agency]:[Agency]]=$E375)/(TableDiv[[Agency]:[Agency]]=$E375)*(ROW(TableDiv[Agency])-ROW(TableDiv[[#Headers],[Agency]])),COLUMNS($F$7:N$7))))</f>
        <v>0</v>
      </c>
      <c r="O375" s="2223" cm="1">
        <f t="array" ref="O375">IF($D375&lt;COLUMNS($F$7:O$7),"",INDEX(TableDiv[[GASB]:[GASB]],_xlfn.AGGREGATE(15,3,(TableDiv[[Agency]:[Agency]]=$E375)/(TableDiv[[Agency]:[Agency]]=$E375)*(ROW(TableDiv[Agency])-ROW(TableDiv[[#Headers],[Agency]])),COLUMNS($F$7:O$7))))</f>
        <v>0</v>
      </c>
      <c r="P375" s="2223" cm="1">
        <f t="array" ref="P375">IF($D375&lt;COLUMNS($F$7:P$7),"",INDEX(TableDiv[[GASB]:[GASB]],_xlfn.AGGREGATE(15,3,(TableDiv[[Agency]:[Agency]]=$E375)/(TableDiv[[Agency]:[Agency]]=$E375)*(ROW(TableDiv[Agency])-ROW(TableDiv[[#Headers],[Agency]])),COLUMNS($F$7:P$7))))</f>
        <v>0</v>
      </c>
      <c r="Q375" s="2223" cm="1">
        <f t="array" ref="Q375">IF($D375&lt;COLUMNS($F$7:Q$7),"",INDEX(TableDiv[[GASB]:[GASB]],_xlfn.AGGREGATE(15,3,(TableDiv[[Agency]:[Agency]]=$E375)/(TableDiv[[Agency]:[Agency]]=$E375)*(ROW(TableDiv[Agency])-ROW(TableDiv[[#Headers],[Agency]])),COLUMNS($F$7:Q$7))))</f>
        <v>0</v>
      </c>
      <c r="R375" s="2223" cm="1">
        <f t="array" ref="R375">IF($D375&lt;COLUMNS($F$7:R$7),"",INDEX(TableDiv[[GASB]:[GASB]],_xlfn.AGGREGATE(15,3,(TableDiv[[Agency]:[Agency]]=$E375)/(TableDiv[[Agency]:[Agency]]=$E375)*(ROW(TableDiv[Agency])-ROW(TableDiv[[#Headers],[Agency]])),COLUMNS($F$7:R$7))))</f>
        <v>0</v>
      </c>
      <c r="S375" s="2223" cm="1">
        <f t="array" ref="S375">IF($D375&lt;COLUMNS($F$7:S$7),"",INDEX(TableDiv[[GASB]:[GASB]],_xlfn.AGGREGATE(15,3,(TableDiv[[Agency]:[Agency]]=$E375)/(TableDiv[[Agency]:[Agency]]=$E375)*(ROW(TableDiv[Agency])-ROW(TableDiv[[#Headers],[Agency]])),COLUMNS($F$7:S$7))))</f>
        <v>0</v>
      </c>
      <c r="T375" s="2223" cm="1">
        <f t="array" ref="T375">IF($D375&lt;COLUMNS($F$7:T$7),"",INDEX(TableDiv[[GASB]:[GASB]],_xlfn.AGGREGATE(15,3,(TableDiv[[Agency]:[Agency]]=$E375)/(TableDiv[[Agency]:[Agency]]=$E375)*(ROW(TableDiv[Agency])-ROW(TableDiv[[#Headers],[Agency]])),COLUMNS($F$7:T$7))))</f>
        <v>0</v>
      </c>
      <c r="U375" s="2223" cm="1">
        <f t="array" ref="U375">IF($D375&lt;COLUMNS($F$7:U$7),"",INDEX(TableDiv[[GASB]:[GASB]],_xlfn.AGGREGATE(15,3,(TableDiv[[Agency]:[Agency]]=$E375)/(TableDiv[[Agency]:[Agency]]=$E375)*(ROW(TableDiv[Agency])-ROW(TableDiv[[#Headers],[Agency]])),COLUMNS($F$7:U$7))))</f>
        <v>0</v>
      </c>
      <c r="V375" s="2223" cm="1">
        <f t="array" ref="V375">IF($D375&lt;COLUMNS($F$7:V$7),"",INDEX(TableDiv[[GASB]:[GASB]],_xlfn.AGGREGATE(15,3,(TableDiv[[Agency]:[Agency]]=$E375)/(TableDiv[[Agency]:[Agency]]=$E375)*(ROW(TableDiv[Agency])-ROW(TableDiv[[#Headers],[Agency]])),COLUMNS($F$7:V$7))))</f>
        <v>0</v>
      </c>
      <c r="W375" s="2223" cm="1">
        <f t="array" ref="W375">IF($D375&lt;COLUMNS($F$7:W$7),"",INDEX(TableDiv[[GASB]:[GASB]],_xlfn.AGGREGATE(15,3,(TableDiv[[Agency]:[Agency]]=$E375)/(TableDiv[[Agency]:[Agency]]=$E375)*(ROW(TableDiv[Agency])-ROW(TableDiv[[#Headers],[Agency]])),COLUMNS($F$7:W$7))))</f>
        <v>0</v>
      </c>
      <c r="X375" s="2223" cm="1">
        <f t="array" ref="X375">IF($D375&lt;COLUMNS($F$7:X$7),"",INDEX(TableDiv[[GASB]:[GASB]],_xlfn.AGGREGATE(15,3,(TableDiv[[Agency]:[Agency]]=$E375)/(TableDiv[[Agency]:[Agency]]=$E375)*(ROW(TableDiv[Agency])-ROW(TableDiv[[#Headers],[Agency]])),COLUMNS($F$7:X$7))))</f>
        <v>0</v>
      </c>
      <c r="Y375" s="2223" cm="1">
        <f t="array" ref="Y375">IF($D375&lt;COLUMNS($F$7:Y$7),"",INDEX(TableDiv[[GASB]:[GASB]],_xlfn.AGGREGATE(15,3,(TableDiv[[Agency]:[Agency]]=$E375)/(TableDiv[[Agency]:[Agency]]=$E375)*(ROW(TableDiv[Agency])-ROW(TableDiv[[#Headers],[Agency]])),COLUMNS($F$7:Y$7))))</f>
        <v>0</v>
      </c>
      <c r="Z375" s="2223" cm="1">
        <f t="array" ref="Z375">IF($D375&lt;COLUMNS($F$7:Z$7),"",INDEX(TableDiv[[GASB]:[GASB]],_xlfn.AGGREGATE(15,3,(TableDiv[[Agency]:[Agency]]=$E375)/(TableDiv[[Agency]:[Agency]]=$E375)*(ROW(TableDiv[Agency])-ROW(TableDiv[[#Headers],[Agency]])),COLUMNS($F$7:Z$7))))</f>
        <v>0</v>
      </c>
      <c r="AA375" s="2223" cm="1">
        <f t="array" ref="AA375">IF($D375&lt;COLUMNS($F$7:AA$7),"",INDEX(TableDiv[[GASB]:[GASB]],_xlfn.AGGREGATE(15,3,(TableDiv[[Agency]:[Agency]]=$E375)/(TableDiv[[Agency]:[Agency]]=$E375)*(ROW(TableDiv[Agency])-ROW(TableDiv[[#Headers],[Agency]])),COLUMNS($F$7:AA$7))))</f>
        <v>0</v>
      </c>
      <c r="AB375" s="2223" cm="1">
        <f t="array" ref="AB375">IF($D375&lt;COLUMNS($F$7:AB$7),"",INDEX(TableDiv[[GASB]:[GASB]],_xlfn.AGGREGATE(15,3,(TableDiv[[Agency]:[Agency]]=$E375)/(TableDiv[[Agency]:[Agency]]=$E375)*(ROW(TableDiv[Agency])-ROW(TableDiv[[#Headers],[Agency]])),COLUMNS($F$7:AB$7))))</f>
        <v>0</v>
      </c>
      <c r="AC375" s="2223" cm="1">
        <f t="array" ref="AC375">IF($D375&lt;COLUMNS($F$7:AC$7),"",INDEX(TableDiv[[GASB]:[GASB]],_xlfn.AGGREGATE(15,3,(TableDiv[[Agency]:[Agency]]=$E375)/(TableDiv[[Agency]:[Agency]]=$E375)*(ROW(TableDiv[Agency])-ROW(TableDiv[[#Headers],[Agency]])),COLUMNS($F$7:AC$7))))</f>
        <v>0</v>
      </c>
      <c r="AD375" s="2223" cm="1">
        <f t="array" ref="AD375">IF($D375&lt;COLUMNS($F$7:AD$7),"",INDEX(TableDiv[[GASB]:[GASB]],_xlfn.AGGREGATE(15,3,(TableDiv[[Agency]:[Agency]]=$E375)/(TableDiv[[Agency]:[Agency]]=$E375)*(ROW(TableDiv[Agency])-ROW(TableDiv[[#Headers],[Agency]])),COLUMNS($F$7:AD$7))))</f>
        <v>0</v>
      </c>
      <c r="AE375" s="2223" cm="1">
        <f t="array" ref="AE375">IF($D375&lt;COLUMNS($F$7:AE$7),"",INDEX(TableDiv[[GASB]:[GASB]],_xlfn.AGGREGATE(15,3,(TableDiv[[Agency]:[Agency]]=$E375)/(TableDiv[[Agency]:[Agency]]=$E375)*(ROW(TableDiv[Agency])-ROW(TableDiv[[#Headers],[Agency]])),COLUMNS($F$7:AE$7))))</f>
        <v>0</v>
      </c>
      <c r="AF375" s="2223" cm="1">
        <f t="array" ref="AF375">IF($D375&lt;COLUMNS($F$7:AF$7),"",INDEX(TableDiv[[GASB]:[GASB]],_xlfn.AGGREGATE(15,3,(TableDiv[[Agency]:[Agency]]=$E375)/(TableDiv[[Agency]:[Agency]]=$E375)*(ROW(TableDiv[Agency])-ROW(TableDiv[[#Headers],[Agency]])),COLUMNS($F$7:AF$7))))</f>
        <v>0</v>
      </c>
      <c r="AG375" s="2223" cm="1">
        <f t="array" ref="AG375">IF($D375&lt;COLUMNS($F$7:AG$7),"",INDEX(TableDiv[[GASB]:[GASB]],_xlfn.AGGREGATE(15,3,(TableDiv[[Agency]:[Agency]]=$E375)/(TableDiv[[Agency]:[Agency]]=$E375)*(ROW(TableDiv[Agency])-ROW(TableDiv[[#Headers],[Agency]])),COLUMNS($F$7:AG$7))))</f>
        <v>0</v>
      </c>
      <c r="AH375" s="2223" cm="1">
        <f t="array" ref="AH375">IF($D375&lt;COLUMNS($F$7:AH$7),"",INDEX(TableDiv[[GASB]:[GASB]],_xlfn.AGGREGATE(15,3,(TableDiv[[Agency]:[Agency]]=$E375)/(TableDiv[[Agency]:[Agency]]=$E375)*(ROW(TableDiv[Agency])-ROW(TableDiv[[#Headers],[Agency]])),COLUMNS($F$7:AH$7))))</f>
        <v>0</v>
      </c>
      <c r="AI375" s="2223" cm="1">
        <f t="array" ref="AI375">IF($D375&lt;COLUMNS($F$7:AI$7),"",INDEX(TableDiv[[GASB]:[GASB]],_xlfn.AGGREGATE(15,3,(TableDiv[[Agency]:[Agency]]=$E375)/(TableDiv[[Agency]:[Agency]]=$E375)*(ROW(TableDiv[Agency])-ROW(TableDiv[[#Headers],[Agency]])),COLUMNS($F$7:AI$7))))</f>
        <v>0</v>
      </c>
      <c r="AJ375" s="2223" cm="1">
        <f t="array" ref="AJ375">IF($D375&lt;COLUMNS($F$7:AJ$7),"",INDEX(TableDiv[[GASB]:[GASB]],_xlfn.AGGREGATE(15,3,(TableDiv[[Agency]:[Agency]]=$E375)/(TableDiv[[Agency]:[Agency]]=$E375)*(ROW(TableDiv[Agency])-ROW(TableDiv[[#Headers],[Agency]])),COLUMNS($F$7:AJ$7))))</f>
        <v>0</v>
      </c>
      <c r="AK375" s="2223" t="str" cm="1">
        <f t="array" ref="AK375">IF($D375&lt;COLUMNS($F$7:AK$7),"",INDEX(TableDiv[[GASB]:[GASB]],_xlfn.AGGREGATE(15,3,(TableDiv[[Agency]:[Agency]]=$E375)/(TableDiv[[Agency]:[Agency]]=$E375)*(ROW(TableDiv[Agency])-ROW(TableDiv[[#Headers],[Agency]])),COLUMNS($F$7:AK$7))))</f>
        <v/>
      </c>
      <c r="AL375" s="2223" t="str" cm="1">
        <f t="array" ref="AL375">IF($D375&lt;COLUMNS($F$7:AL$7),"",INDEX(TableDiv[[GASB]:[GASB]],_xlfn.AGGREGATE(15,3,(TableDiv[[Agency]:[Agency]]=$E375)/(TableDiv[[Agency]:[Agency]]=$E375)*(ROW(TableDiv[Agency])-ROW(TableDiv[[#Headers],[Agency]])),COLUMNS($F$7:AL$7))))</f>
        <v/>
      </c>
      <c r="AM375" s="2223" t="str" cm="1">
        <f t="array" ref="AM375">IF($D375&lt;COLUMNS($F$7:AM$7),"",INDEX(TableDiv[[GASB]:[GASB]],_xlfn.AGGREGATE(15,3,(TableDiv[[Agency]:[Agency]]=$E375)/(TableDiv[[Agency]:[Agency]]=$E375)*(ROW(TableDiv[Agency])-ROW(TableDiv[[#Headers],[Agency]])),COLUMNS($F$7:AM$7))))</f>
        <v/>
      </c>
      <c r="AN375" s="2223"/>
      <c r="AO375" s="2223"/>
      <c r="AP375" s="2223"/>
      <c r="AQ375" s="2223"/>
      <c r="AR375" s="2223"/>
      <c r="AS375" s="2223"/>
    </row>
    <row r="376" spans="1:45" ht="15" x14ac:dyDescent="0.25">
      <c r="A376" s="2219" t="s">
        <v>5148</v>
      </c>
      <c r="B376" s="2219" t="s">
        <v>5085</v>
      </c>
      <c r="C376" s="2223"/>
      <c r="D376" s="2223">
        <f>COUNTIF(TableDiv[Agency],E376)</f>
        <v>31</v>
      </c>
      <c r="E376" s="2230" t="str" cm="1">
        <f t="array" ref="E376">IFERROR(INDEX(TableDiv[Agency],MATCH(0,INDEX(COUNTIF($E$7:E375,TableDiv[Agency]),),0)),"")</f>
        <v/>
      </c>
      <c r="F376" s="2223" cm="1">
        <f t="array" ref="F376">IF($D376&lt;COLUMNS($F$7:F$7),"",INDEX(TableDiv[[GASB]:[GASB]],_xlfn.AGGREGATE(15,3,(TableDiv[[Agency]:[Agency]]=$E376)/(TableDiv[[Agency]:[Agency]]=$E376)*(ROW(TableDiv[Agency])-ROW(TableDiv[[#Headers],[Agency]])),COLUMNS($F$7:F$7))))</f>
        <v>0</v>
      </c>
      <c r="G376" s="2223" cm="1">
        <f t="array" ref="G376">IF($D376&lt;COLUMNS($F$7:G$7),"",INDEX(TableDiv[[GASB]:[GASB]],_xlfn.AGGREGATE(15,3,(TableDiv[[Agency]:[Agency]]=$E376)/(TableDiv[[Agency]:[Agency]]=$E376)*(ROW(TableDiv[Agency])-ROW(TableDiv[[#Headers],[Agency]])),COLUMNS($F$7:G$7))))</f>
        <v>0</v>
      </c>
      <c r="H376" s="2223" cm="1">
        <f t="array" ref="H376">IF($D376&lt;COLUMNS($F$7:H$7),"",INDEX(TableDiv[[GASB]:[GASB]],_xlfn.AGGREGATE(15,3,(TableDiv[[Agency]:[Agency]]=$E376)/(TableDiv[[Agency]:[Agency]]=$E376)*(ROW(TableDiv[Agency])-ROW(TableDiv[[#Headers],[Agency]])),COLUMNS($F$7:H$7))))</f>
        <v>0</v>
      </c>
      <c r="I376" s="2223" cm="1">
        <f t="array" ref="I376">IF($D376&lt;COLUMNS($F$7:I$7),"",INDEX(TableDiv[[GASB]:[GASB]],_xlfn.AGGREGATE(15,3,(TableDiv[[Agency]:[Agency]]=$E376)/(TableDiv[[Agency]:[Agency]]=$E376)*(ROW(TableDiv[Agency])-ROW(TableDiv[[#Headers],[Agency]])),COLUMNS($F$7:I$7))))</f>
        <v>0</v>
      </c>
      <c r="J376" s="2223" cm="1">
        <f t="array" ref="J376">IF($D376&lt;COLUMNS($F$7:J$7),"",INDEX(TableDiv[[GASB]:[GASB]],_xlfn.AGGREGATE(15,3,(TableDiv[[Agency]:[Agency]]=$E376)/(TableDiv[[Agency]:[Agency]]=$E376)*(ROW(TableDiv[Agency])-ROW(TableDiv[[#Headers],[Agency]])),COLUMNS($F$7:J$7))))</f>
        <v>0</v>
      </c>
      <c r="K376" s="2223" cm="1">
        <f t="array" ref="K376">IF($D376&lt;COLUMNS($F$7:K$7),"",INDEX(TableDiv[[GASB]:[GASB]],_xlfn.AGGREGATE(15,3,(TableDiv[[Agency]:[Agency]]=$E376)/(TableDiv[[Agency]:[Agency]]=$E376)*(ROW(TableDiv[Agency])-ROW(TableDiv[[#Headers],[Agency]])),COLUMNS($F$7:K$7))))</f>
        <v>0</v>
      </c>
      <c r="L376" s="2223" cm="1">
        <f t="array" ref="L376">IF($D376&lt;COLUMNS($F$7:L$7),"",INDEX(TableDiv[[GASB]:[GASB]],_xlfn.AGGREGATE(15,3,(TableDiv[[Agency]:[Agency]]=$E376)/(TableDiv[[Agency]:[Agency]]=$E376)*(ROW(TableDiv[Agency])-ROW(TableDiv[[#Headers],[Agency]])),COLUMNS($F$7:L$7))))</f>
        <v>0</v>
      </c>
      <c r="M376" s="2223" cm="1">
        <f t="array" ref="M376">IF($D376&lt;COLUMNS($F$7:M$7),"",INDEX(TableDiv[[GASB]:[GASB]],_xlfn.AGGREGATE(15,3,(TableDiv[[Agency]:[Agency]]=$E376)/(TableDiv[[Agency]:[Agency]]=$E376)*(ROW(TableDiv[Agency])-ROW(TableDiv[[#Headers],[Agency]])),COLUMNS($F$7:M$7))))</f>
        <v>0</v>
      </c>
      <c r="N376" s="2223" cm="1">
        <f t="array" ref="N376">IF($D376&lt;COLUMNS($F$7:N$7),"",INDEX(TableDiv[[GASB]:[GASB]],_xlfn.AGGREGATE(15,3,(TableDiv[[Agency]:[Agency]]=$E376)/(TableDiv[[Agency]:[Agency]]=$E376)*(ROW(TableDiv[Agency])-ROW(TableDiv[[#Headers],[Agency]])),COLUMNS($F$7:N$7))))</f>
        <v>0</v>
      </c>
      <c r="O376" s="2223" cm="1">
        <f t="array" ref="O376">IF($D376&lt;COLUMNS($F$7:O$7),"",INDEX(TableDiv[[GASB]:[GASB]],_xlfn.AGGREGATE(15,3,(TableDiv[[Agency]:[Agency]]=$E376)/(TableDiv[[Agency]:[Agency]]=$E376)*(ROW(TableDiv[Agency])-ROW(TableDiv[[#Headers],[Agency]])),COLUMNS($F$7:O$7))))</f>
        <v>0</v>
      </c>
      <c r="P376" s="2223" cm="1">
        <f t="array" ref="P376">IF($D376&lt;COLUMNS($F$7:P$7),"",INDEX(TableDiv[[GASB]:[GASB]],_xlfn.AGGREGATE(15,3,(TableDiv[[Agency]:[Agency]]=$E376)/(TableDiv[[Agency]:[Agency]]=$E376)*(ROW(TableDiv[Agency])-ROW(TableDiv[[#Headers],[Agency]])),COLUMNS($F$7:P$7))))</f>
        <v>0</v>
      </c>
      <c r="Q376" s="2223" cm="1">
        <f t="array" ref="Q376">IF($D376&lt;COLUMNS($F$7:Q$7),"",INDEX(TableDiv[[GASB]:[GASB]],_xlfn.AGGREGATE(15,3,(TableDiv[[Agency]:[Agency]]=$E376)/(TableDiv[[Agency]:[Agency]]=$E376)*(ROW(TableDiv[Agency])-ROW(TableDiv[[#Headers],[Agency]])),COLUMNS($F$7:Q$7))))</f>
        <v>0</v>
      </c>
      <c r="R376" s="2223" cm="1">
        <f t="array" ref="R376">IF($D376&lt;COLUMNS($F$7:R$7),"",INDEX(TableDiv[[GASB]:[GASB]],_xlfn.AGGREGATE(15,3,(TableDiv[[Agency]:[Agency]]=$E376)/(TableDiv[[Agency]:[Agency]]=$E376)*(ROW(TableDiv[Agency])-ROW(TableDiv[[#Headers],[Agency]])),COLUMNS($F$7:R$7))))</f>
        <v>0</v>
      </c>
      <c r="S376" s="2223" cm="1">
        <f t="array" ref="S376">IF($D376&lt;COLUMNS($F$7:S$7),"",INDEX(TableDiv[[GASB]:[GASB]],_xlfn.AGGREGATE(15,3,(TableDiv[[Agency]:[Agency]]=$E376)/(TableDiv[[Agency]:[Agency]]=$E376)*(ROW(TableDiv[Agency])-ROW(TableDiv[[#Headers],[Agency]])),COLUMNS($F$7:S$7))))</f>
        <v>0</v>
      </c>
      <c r="T376" s="2223" cm="1">
        <f t="array" ref="T376">IF($D376&lt;COLUMNS($F$7:T$7),"",INDEX(TableDiv[[GASB]:[GASB]],_xlfn.AGGREGATE(15,3,(TableDiv[[Agency]:[Agency]]=$E376)/(TableDiv[[Agency]:[Agency]]=$E376)*(ROW(TableDiv[Agency])-ROW(TableDiv[[#Headers],[Agency]])),COLUMNS($F$7:T$7))))</f>
        <v>0</v>
      </c>
      <c r="U376" s="2223" cm="1">
        <f t="array" ref="U376">IF($D376&lt;COLUMNS($F$7:U$7),"",INDEX(TableDiv[[GASB]:[GASB]],_xlfn.AGGREGATE(15,3,(TableDiv[[Agency]:[Agency]]=$E376)/(TableDiv[[Agency]:[Agency]]=$E376)*(ROW(TableDiv[Agency])-ROW(TableDiv[[#Headers],[Agency]])),COLUMNS($F$7:U$7))))</f>
        <v>0</v>
      </c>
      <c r="V376" s="2223" cm="1">
        <f t="array" ref="V376">IF($D376&lt;COLUMNS($F$7:V$7),"",INDEX(TableDiv[[GASB]:[GASB]],_xlfn.AGGREGATE(15,3,(TableDiv[[Agency]:[Agency]]=$E376)/(TableDiv[[Agency]:[Agency]]=$E376)*(ROW(TableDiv[Agency])-ROW(TableDiv[[#Headers],[Agency]])),COLUMNS($F$7:V$7))))</f>
        <v>0</v>
      </c>
      <c r="W376" s="2223" cm="1">
        <f t="array" ref="W376">IF($D376&lt;COLUMNS($F$7:W$7),"",INDEX(TableDiv[[GASB]:[GASB]],_xlfn.AGGREGATE(15,3,(TableDiv[[Agency]:[Agency]]=$E376)/(TableDiv[[Agency]:[Agency]]=$E376)*(ROW(TableDiv[Agency])-ROW(TableDiv[[#Headers],[Agency]])),COLUMNS($F$7:W$7))))</f>
        <v>0</v>
      </c>
      <c r="X376" s="2223" cm="1">
        <f t="array" ref="X376">IF($D376&lt;COLUMNS($F$7:X$7),"",INDEX(TableDiv[[GASB]:[GASB]],_xlfn.AGGREGATE(15,3,(TableDiv[[Agency]:[Agency]]=$E376)/(TableDiv[[Agency]:[Agency]]=$E376)*(ROW(TableDiv[Agency])-ROW(TableDiv[[#Headers],[Agency]])),COLUMNS($F$7:X$7))))</f>
        <v>0</v>
      </c>
      <c r="Y376" s="2223" cm="1">
        <f t="array" ref="Y376">IF($D376&lt;COLUMNS($F$7:Y$7),"",INDEX(TableDiv[[GASB]:[GASB]],_xlfn.AGGREGATE(15,3,(TableDiv[[Agency]:[Agency]]=$E376)/(TableDiv[[Agency]:[Agency]]=$E376)*(ROW(TableDiv[Agency])-ROW(TableDiv[[#Headers],[Agency]])),COLUMNS($F$7:Y$7))))</f>
        <v>0</v>
      </c>
      <c r="Z376" s="2223" cm="1">
        <f t="array" ref="Z376">IF($D376&lt;COLUMNS($F$7:Z$7),"",INDEX(TableDiv[[GASB]:[GASB]],_xlfn.AGGREGATE(15,3,(TableDiv[[Agency]:[Agency]]=$E376)/(TableDiv[[Agency]:[Agency]]=$E376)*(ROW(TableDiv[Agency])-ROW(TableDiv[[#Headers],[Agency]])),COLUMNS($F$7:Z$7))))</f>
        <v>0</v>
      </c>
      <c r="AA376" s="2223" cm="1">
        <f t="array" ref="AA376">IF($D376&lt;COLUMNS($F$7:AA$7),"",INDEX(TableDiv[[GASB]:[GASB]],_xlfn.AGGREGATE(15,3,(TableDiv[[Agency]:[Agency]]=$E376)/(TableDiv[[Agency]:[Agency]]=$E376)*(ROW(TableDiv[Agency])-ROW(TableDiv[[#Headers],[Agency]])),COLUMNS($F$7:AA$7))))</f>
        <v>0</v>
      </c>
      <c r="AB376" s="2223" cm="1">
        <f t="array" ref="AB376">IF($D376&lt;COLUMNS($F$7:AB$7),"",INDEX(TableDiv[[GASB]:[GASB]],_xlfn.AGGREGATE(15,3,(TableDiv[[Agency]:[Agency]]=$E376)/(TableDiv[[Agency]:[Agency]]=$E376)*(ROW(TableDiv[Agency])-ROW(TableDiv[[#Headers],[Agency]])),COLUMNS($F$7:AB$7))))</f>
        <v>0</v>
      </c>
      <c r="AC376" s="2223" cm="1">
        <f t="array" ref="AC376">IF($D376&lt;COLUMNS($F$7:AC$7),"",INDEX(TableDiv[[GASB]:[GASB]],_xlfn.AGGREGATE(15,3,(TableDiv[[Agency]:[Agency]]=$E376)/(TableDiv[[Agency]:[Agency]]=$E376)*(ROW(TableDiv[Agency])-ROW(TableDiv[[#Headers],[Agency]])),COLUMNS($F$7:AC$7))))</f>
        <v>0</v>
      </c>
      <c r="AD376" s="2223" cm="1">
        <f t="array" ref="AD376">IF($D376&lt;COLUMNS($F$7:AD$7),"",INDEX(TableDiv[[GASB]:[GASB]],_xlfn.AGGREGATE(15,3,(TableDiv[[Agency]:[Agency]]=$E376)/(TableDiv[[Agency]:[Agency]]=$E376)*(ROW(TableDiv[Agency])-ROW(TableDiv[[#Headers],[Agency]])),COLUMNS($F$7:AD$7))))</f>
        <v>0</v>
      </c>
      <c r="AE376" s="2223" cm="1">
        <f t="array" ref="AE376">IF($D376&lt;COLUMNS($F$7:AE$7),"",INDEX(TableDiv[[GASB]:[GASB]],_xlfn.AGGREGATE(15,3,(TableDiv[[Agency]:[Agency]]=$E376)/(TableDiv[[Agency]:[Agency]]=$E376)*(ROW(TableDiv[Agency])-ROW(TableDiv[[#Headers],[Agency]])),COLUMNS($F$7:AE$7))))</f>
        <v>0</v>
      </c>
      <c r="AF376" s="2223" cm="1">
        <f t="array" ref="AF376">IF($D376&lt;COLUMNS($F$7:AF$7),"",INDEX(TableDiv[[GASB]:[GASB]],_xlfn.AGGREGATE(15,3,(TableDiv[[Agency]:[Agency]]=$E376)/(TableDiv[[Agency]:[Agency]]=$E376)*(ROW(TableDiv[Agency])-ROW(TableDiv[[#Headers],[Agency]])),COLUMNS($F$7:AF$7))))</f>
        <v>0</v>
      </c>
      <c r="AG376" s="2223" cm="1">
        <f t="array" ref="AG376">IF($D376&lt;COLUMNS($F$7:AG$7),"",INDEX(TableDiv[[GASB]:[GASB]],_xlfn.AGGREGATE(15,3,(TableDiv[[Agency]:[Agency]]=$E376)/(TableDiv[[Agency]:[Agency]]=$E376)*(ROW(TableDiv[Agency])-ROW(TableDiv[[#Headers],[Agency]])),COLUMNS($F$7:AG$7))))</f>
        <v>0</v>
      </c>
      <c r="AH376" s="2223" cm="1">
        <f t="array" ref="AH376">IF($D376&lt;COLUMNS($F$7:AH$7),"",INDEX(TableDiv[[GASB]:[GASB]],_xlfn.AGGREGATE(15,3,(TableDiv[[Agency]:[Agency]]=$E376)/(TableDiv[[Agency]:[Agency]]=$E376)*(ROW(TableDiv[Agency])-ROW(TableDiv[[#Headers],[Agency]])),COLUMNS($F$7:AH$7))))</f>
        <v>0</v>
      </c>
      <c r="AI376" s="2223" cm="1">
        <f t="array" ref="AI376">IF($D376&lt;COLUMNS($F$7:AI$7),"",INDEX(TableDiv[[GASB]:[GASB]],_xlfn.AGGREGATE(15,3,(TableDiv[[Agency]:[Agency]]=$E376)/(TableDiv[[Agency]:[Agency]]=$E376)*(ROW(TableDiv[Agency])-ROW(TableDiv[[#Headers],[Agency]])),COLUMNS($F$7:AI$7))))</f>
        <v>0</v>
      </c>
      <c r="AJ376" s="2223" cm="1">
        <f t="array" ref="AJ376">IF($D376&lt;COLUMNS($F$7:AJ$7),"",INDEX(TableDiv[[GASB]:[GASB]],_xlfn.AGGREGATE(15,3,(TableDiv[[Agency]:[Agency]]=$E376)/(TableDiv[[Agency]:[Agency]]=$E376)*(ROW(TableDiv[Agency])-ROW(TableDiv[[#Headers],[Agency]])),COLUMNS($F$7:AJ$7))))</f>
        <v>0</v>
      </c>
      <c r="AK376" s="2223" t="str" cm="1">
        <f t="array" ref="AK376">IF($D376&lt;COLUMNS($F$7:AK$7),"",INDEX(TableDiv[[GASB]:[GASB]],_xlfn.AGGREGATE(15,3,(TableDiv[[Agency]:[Agency]]=$E376)/(TableDiv[[Agency]:[Agency]]=$E376)*(ROW(TableDiv[Agency])-ROW(TableDiv[[#Headers],[Agency]])),COLUMNS($F$7:AK$7))))</f>
        <v/>
      </c>
      <c r="AL376" s="2223" t="str" cm="1">
        <f t="array" ref="AL376">IF($D376&lt;COLUMNS($F$7:AL$7),"",INDEX(TableDiv[[GASB]:[GASB]],_xlfn.AGGREGATE(15,3,(TableDiv[[Agency]:[Agency]]=$E376)/(TableDiv[[Agency]:[Agency]]=$E376)*(ROW(TableDiv[Agency])-ROW(TableDiv[[#Headers],[Agency]])),COLUMNS($F$7:AL$7))))</f>
        <v/>
      </c>
      <c r="AM376" s="2223" t="str" cm="1">
        <f t="array" ref="AM376">IF($D376&lt;COLUMNS($F$7:AM$7),"",INDEX(TableDiv[[GASB]:[GASB]],_xlfn.AGGREGATE(15,3,(TableDiv[[Agency]:[Agency]]=$E376)/(TableDiv[[Agency]:[Agency]]=$E376)*(ROW(TableDiv[Agency])-ROW(TableDiv[[#Headers],[Agency]])),COLUMNS($F$7:AM$7))))</f>
        <v/>
      </c>
      <c r="AN376" s="2223"/>
      <c r="AO376" s="2223"/>
      <c r="AP376" s="2223"/>
      <c r="AQ376" s="2223"/>
      <c r="AR376" s="2223"/>
      <c r="AS376" s="2223"/>
    </row>
    <row r="377" spans="1:45" ht="15" x14ac:dyDescent="0.25">
      <c r="A377" s="2219" t="s">
        <v>5149</v>
      </c>
      <c r="B377" s="2219" t="s">
        <v>5087</v>
      </c>
      <c r="C377" s="2223"/>
      <c r="D377" s="2223">
        <f>COUNTIF(TableDiv[Agency],E377)</f>
        <v>31</v>
      </c>
      <c r="E377" s="2230" t="str" cm="1">
        <f t="array" ref="E377">IFERROR(INDEX(TableDiv[Agency],MATCH(0,INDEX(COUNTIF($E$7:E376,TableDiv[Agency]),),0)),"")</f>
        <v/>
      </c>
      <c r="F377" s="2223" cm="1">
        <f t="array" ref="F377">IF($D377&lt;COLUMNS($F$7:F$7),"",INDEX(TableDiv[[GASB]:[GASB]],_xlfn.AGGREGATE(15,3,(TableDiv[[Agency]:[Agency]]=$E377)/(TableDiv[[Agency]:[Agency]]=$E377)*(ROW(TableDiv[Agency])-ROW(TableDiv[[#Headers],[Agency]])),COLUMNS($F$7:F$7))))</f>
        <v>0</v>
      </c>
      <c r="G377" s="2223" cm="1">
        <f t="array" ref="G377">IF($D377&lt;COLUMNS($F$7:G$7),"",INDEX(TableDiv[[GASB]:[GASB]],_xlfn.AGGREGATE(15,3,(TableDiv[[Agency]:[Agency]]=$E377)/(TableDiv[[Agency]:[Agency]]=$E377)*(ROW(TableDiv[Agency])-ROW(TableDiv[[#Headers],[Agency]])),COLUMNS($F$7:G$7))))</f>
        <v>0</v>
      </c>
      <c r="H377" s="2223" cm="1">
        <f t="array" ref="H377">IF($D377&lt;COLUMNS($F$7:H$7),"",INDEX(TableDiv[[GASB]:[GASB]],_xlfn.AGGREGATE(15,3,(TableDiv[[Agency]:[Agency]]=$E377)/(TableDiv[[Agency]:[Agency]]=$E377)*(ROW(TableDiv[Agency])-ROW(TableDiv[[#Headers],[Agency]])),COLUMNS($F$7:H$7))))</f>
        <v>0</v>
      </c>
      <c r="I377" s="2223" cm="1">
        <f t="array" ref="I377">IF($D377&lt;COLUMNS($F$7:I$7),"",INDEX(TableDiv[[GASB]:[GASB]],_xlfn.AGGREGATE(15,3,(TableDiv[[Agency]:[Agency]]=$E377)/(TableDiv[[Agency]:[Agency]]=$E377)*(ROW(TableDiv[Agency])-ROW(TableDiv[[#Headers],[Agency]])),COLUMNS($F$7:I$7))))</f>
        <v>0</v>
      </c>
      <c r="J377" s="2223" cm="1">
        <f t="array" ref="J377">IF($D377&lt;COLUMNS($F$7:J$7),"",INDEX(TableDiv[[GASB]:[GASB]],_xlfn.AGGREGATE(15,3,(TableDiv[[Agency]:[Agency]]=$E377)/(TableDiv[[Agency]:[Agency]]=$E377)*(ROW(TableDiv[Agency])-ROW(TableDiv[[#Headers],[Agency]])),COLUMNS($F$7:J$7))))</f>
        <v>0</v>
      </c>
      <c r="K377" s="2223" cm="1">
        <f t="array" ref="K377">IF($D377&lt;COLUMNS($F$7:K$7),"",INDEX(TableDiv[[GASB]:[GASB]],_xlfn.AGGREGATE(15,3,(TableDiv[[Agency]:[Agency]]=$E377)/(TableDiv[[Agency]:[Agency]]=$E377)*(ROW(TableDiv[Agency])-ROW(TableDiv[[#Headers],[Agency]])),COLUMNS($F$7:K$7))))</f>
        <v>0</v>
      </c>
      <c r="L377" s="2223" cm="1">
        <f t="array" ref="L377">IF($D377&lt;COLUMNS($F$7:L$7),"",INDEX(TableDiv[[GASB]:[GASB]],_xlfn.AGGREGATE(15,3,(TableDiv[[Agency]:[Agency]]=$E377)/(TableDiv[[Agency]:[Agency]]=$E377)*(ROW(TableDiv[Agency])-ROW(TableDiv[[#Headers],[Agency]])),COLUMNS($F$7:L$7))))</f>
        <v>0</v>
      </c>
      <c r="M377" s="2223" cm="1">
        <f t="array" ref="M377">IF($D377&lt;COLUMNS($F$7:M$7),"",INDEX(TableDiv[[GASB]:[GASB]],_xlfn.AGGREGATE(15,3,(TableDiv[[Agency]:[Agency]]=$E377)/(TableDiv[[Agency]:[Agency]]=$E377)*(ROW(TableDiv[Agency])-ROW(TableDiv[[#Headers],[Agency]])),COLUMNS($F$7:M$7))))</f>
        <v>0</v>
      </c>
      <c r="N377" s="2223" cm="1">
        <f t="array" ref="N377">IF($D377&lt;COLUMNS($F$7:N$7),"",INDEX(TableDiv[[GASB]:[GASB]],_xlfn.AGGREGATE(15,3,(TableDiv[[Agency]:[Agency]]=$E377)/(TableDiv[[Agency]:[Agency]]=$E377)*(ROW(TableDiv[Agency])-ROW(TableDiv[[#Headers],[Agency]])),COLUMNS($F$7:N$7))))</f>
        <v>0</v>
      </c>
      <c r="O377" s="2223" cm="1">
        <f t="array" ref="O377">IF($D377&lt;COLUMNS($F$7:O$7),"",INDEX(TableDiv[[GASB]:[GASB]],_xlfn.AGGREGATE(15,3,(TableDiv[[Agency]:[Agency]]=$E377)/(TableDiv[[Agency]:[Agency]]=$E377)*(ROW(TableDiv[Agency])-ROW(TableDiv[[#Headers],[Agency]])),COLUMNS($F$7:O$7))))</f>
        <v>0</v>
      </c>
      <c r="P377" s="2223" cm="1">
        <f t="array" ref="P377">IF($D377&lt;COLUMNS($F$7:P$7),"",INDEX(TableDiv[[GASB]:[GASB]],_xlfn.AGGREGATE(15,3,(TableDiv[[Agency]:[Agency]]=$E377)/(TableDiv[[Agency]:[Agency]]=$E377)*(ROW(TableDiv[Agency])-ROW(TableDiv[[#Headers],[Agency]])),COLUMNS($F$7:P$7))))</f>
        <v>0</v>
      </c>
      <c r="Q377" s="2223" cm="1">
        <f t="array" ref="Q377">IF($D377&lt;COLUMNS($F$7:Q$7),"",INDEX(TableDiv[[GASB]:[GASB]],_xlfn.AGGREGATE(15,3,(TableDiv[[Agency]:[Agency]]=$E377)/(TableDiv[[Agency]:[Agency]]=$E377)*(ROW(TableDiv[Agency])-ROW(TableDiv[[#Headers],[Agency]])),COLUMNS($F$7:Q$7))))</f>
        <v>0</v>
      </c>
      <c r="R377" s="2223" cm="1">
        <f t="array" ref="R377">IF($D377&lt;COLUMNS($F$7:R$7),"",INDEX(TableDiv[[GASB]:[GASB]],_xlfn.AGGREGATE(15,3,(TableDiv[[Agency]:[Agency]]=$E377)/(TableDiv[[Agency]:[Agency]]=$E377)*(ROW(TableDiv[Agency])-ROW(TableDiv[[#Headers],[Agency]])),COLUMNS($F$7:R$7))))</f>
        <v>0</v>
      </c>
      <c r="S377" s="2223" cm="1">
        <f t="array" ref="S377">IF($D377&lt;COLUMNS($F$7:S$7),"",INDEX(TableDiv[[GASB]:[GASB]],_xlfn.AGGREGATE(15,3,(TableDiv[[Agency]:[Agency]]=$E377)/(TableDiv[[Agency]:[Agency]]=$E377)*(ROW(TableDiv[Agency])-ROW(TableDiv[[#Headers],[Agency]])),COLUMNS($F$7:S$7))))</f>
        <v>0</v>
      </c>
      <c r="T377" s="2223" cm="1">
        <f t="array" ref="T377">IF($D377&lt;COLUMNS($F$7:T$7),"",INDEX(TableDiv[[GASB]:[GASB]],_xlfn.AGGREGATE(15,3,(TableDiv[[Agency]:[Agency]]=$E377)/(TableDiv[[Agency]:[Agency]]=$E377)*(ROW(TableDiv[Agency])-ROW(TableDiv[[#Headers],[Agency]])),COLUMNS($F$7:T$7))))</f>
        <v>0</v>
      </c>
      <c r="U377" s="2223" cm="1">
        <f t="array" ref="U377">IF($D377&lt;COLUMNS($F$7:U$7),"",INDEX(TableDiv[[GASB]:[GASB]],_xlfn.AGGREGATE(15,3,(TableDiv[[Agency]:[Agency]]=$E377)/(TableDiv[[Agency]:[Agency]]=$E377)*(ROW(TableDiv[Agency])-ROW(TableDiv[[#Headers],[Agency]])),COLUMNS($F$7:U$7))))</f>
        <v>0</v>
      </c>
      <c r="V377" s="2223" cm="1">
        <f t="array" ref="V377">IF($D377&lt;COLUMNS($F$7:V$7),"",INDEX(TableDiv[[GASB]:[GASB]],_xlfn.AGGREGATE(15,3,(TableDiv[[Agency]:[Agency]]=$E377)/(TableDiv[[Agency]:[Agency]]=$E377)*(ROW(TableDiv[Agency])-ROW(TableDiv[[#Headers],[Agency]])),COLUMNS($F$7:V$7))))</f>
        <v>0</v>
      </c>
      <c r="W377" s="2223" cm="1">
        <f t="array" ref="W377">IF($D377&lt;COLUMNS($F$7:W$7),"",INDEX(TableDiv[[GASB]:[GASB]],_xlfn.AGGREGATE(15,3,(TableDiv[[Agency]:[Agency]]=$E377)/(TableDiv[[Agency]:[Agency]]=$E377)*(ROW(TableDiv[Agency])-ROW(TableDiv[[#Headers],[Agency]])),COLUMNS($F$7:W$7))))</f>
        <v>0</v>
      </c>
      <c r="X377" s="2223" cm="1">
        <f t="array" ref="X377">IF($D377&lt;COLUMNS($F$7:X$7),"",INDEX(TableDiv[[GASB]:[GASB]],_xlfn.AGGREGATE(15,3,(TableDiv[[Agency]:[Agency]]=$E377)/(TableDiv[[Agency]:[Agency]]=$E377)*(ROW(TableDiv[Agency])-ROW(TableDiv[[#Headers],[Agency]])),COLUMNS($F$7:X$7))))</f>
        <v>0</v>
      </c>
      <c r="Y377" s="2223" cm="1">
        <f t="array" ref="Y377">IF($D377&lt;COLUMNS($F$7:Y$7),"",INDEX(TableDiv[[GASB]:[GASB]],_xlfn.AGGREGATE(15,3,(TableDiv[[Agency]:[Agency]]=$E377)/(TableDiv[[Agency]:[Agency]]=$E377)*(ROW(TableDiv[Agency])-ROW(TableDiv[[#Headers],[Agency]])),COLUMNS($F$7:Y$7))))</f>
        <v>0</v>
      </c>
      <c r="Z377" s="2223" cm="1">
        <f t="array" ref="Z377">IF($D377&lt;COLUMNS($F$7:Z$7),"",INDEX(TableDiv[[GASB]:[GASB]],_xlfn.AGGREGATE(15,3,(TableDiv[[Agency]:[Agency]]=$E377)/(TableDiv[[Agency]:[Agency]]=$E377)*(ROW(TableDiv[Agency])-ROW(TableDiv[[#Headers],[Agency]])),COLUMNS($F$7:Z$7))))</f>
        <v>0</v>
      </c>
      <c r="AA377" s="2223" cm="1">
        <f t="array" ref="AA377">IF($D377&lt;COLUMNS($F$7:AA$7),"",INDEX(TableDiv[[GASB]:[GASB]],_xlfn.AGGREGATE(15,3,(TableDiv[[Agency]:[Agency]]=$E377)/(TableDiv[[Agency]:[Agency]]=$E377)*(ROW(TableDiv[Agency])-ROW(TableDiv[[#Headers],[Agency]])),COLUMNS($F$7:AA$7))))</f>
        <v>0</v>
      </c>
      <c r="AB377" s="2223" cm="1">
        <f t="array" ref="AB377">IF($D377&lt;COLUMNS($F$7:AB$7),"",INDEX(TableDiv[[GASB]:[GASB]],_xlfn.AGGREGATE(15,3,(TableDiv[[Agency]:[Agency]]=$E377)/(TableDiv[[Agency]:[Agency]]=$E377)*(ROW(TableDiv[Agency])-ROW(TableDiv[[#Headers],[Agency]])),COLUMNS($F$7:AB$7))))</f>
        <v>0</v>
      </c>
      <c r="AC377" s="2223" cm="1">
        <f t="array" ref="AC377">IF($D377&lt;COLUMNS($F$7:AC$7),"",INDEX(TableDiv[[GASB]:[GASB]],_xlfn.AGGREGATE(15,3,(TableDiv[[Agency]:[Agency]]=$E377)/(TableDiv[[Agency]:[Agency]]=$E377)*(ROW(TableDiv[Agency])-ROW(TableDiv[[#Headers],[Agency]])),COLUMNS($F$7:AC$7))))</f>
        <v>0</v>
      </c>
      <c r="AD377" s="2223" cm="1">
        <f t="array" ref="AD377">IF($D377&lt;COLUMNS($F$7:AD$7),"",INDEX(TableDiv[[GASB]:[GASB]],_xlfn.AGGREGATE(15,3,(TableDiv[[Agency]:[Agency]]=$E377)/(TableDiv[[Agency]:[Agency]]=$E377)*(ROW(TableDiv[Agency])-ROW(TableDiv[[#Headers],[Agency]])),COLUMNS($F$7:AD$7))))</f>
        <v>0</v>
      </c>
      <c r="AE377" s="2223" cm="1">
        <f t="array" ref="AE377">IF($D377&lt;COLUMNS($F$7:AE$7),"",INDEX(TableDiv[[GASB]:[GASB]],_xlfn.AGGREGATE(15,3,(TableDiv[[Agency]:[Agency]]=$E377)/(TableDiv[[Agency]:[Agency]]=$E377)*(ROW(TableDiv[Agency])-ROW(TableDiv[[#Headers],[Agency]])),COLUMNS($F$7:AE$7))))</f>
        <v>0</v>
      </c>
      <c r="AF377" s="2223" cm="1">
        <f t="array" ref="AF377">IF($D377&lt;COLUMNS($F$7:AF$7),"",INDEX(TableDiv[[GASB]:[GASB]],_xlfn.AGGREGATE(15,3,(TableDiv[[Agency]:[Agency]]=$E377)/(TableDiv[[Agency]:[Agency]]=$E377)*(ROW(TableDiv[Agency])-ROW(TableDiv[[#Headers],[Agency]])),COLUMNS($F$7:AF$7))))</f>
        <v>0</v>
      </c>
      <c r="AG377" s="2223" cm="1">
        <f t="array" ref="AG377">IF($D377&lt;COLUMNS($F$7:AG$7),"",INDEX(TableDiv[[GASB]:[GASB]],_xlfn.AGGREGATE(15,3,(TableDiv[[Agency]:[Agency]]=$E377)/(TableDiv[[Agency]:[Agency]]=$E377)*(ROW(TableDiv[Agency])-ROW(TableDiv[[#Headers],[Agency]])),COLUMNS($F$7:AG$7))))</f>
        <v>0</v>
      </c>
      <c r="AH377" s="2223" cm="1">
        <f t="array" ref="AH377">IF($D377&lt;COLUMNS($F$7:AH$7),"",INDEX(TableDiv[[GASB]:[GASB]],_xlfn.AGGREGATE(15,3,(TableDiv[[Agency]:[Agency]]=$E377)/(TableDiv[[Agency]:[Agency]]=$E377)*(ROW(TableDiv[Agency])-ROW(TableDiv[[#Headers],[Agency]])),COLUMNS($F$7:AH$7))))</f>
        <v>0</v>
      </c>
      <c r="AI377" s="2223" cm="1">
        <f t="array" ref="AI377">IF($D377&lt;COLUMNS($F$7:AI$7),"",INDEX(TableDiv[[GASB]:[GASB]],_xlfn.AGGREGATE(15,3,(TableDiv[[Agency]:[Agency]]=$E377)/(TableDiv[[Agency]:[Agency]]=$E377)*(ROW(TableDiv[Agency])-ROW(TableDiv[[#Headers],[Agency]])),COLUMNS($F$7:AI$7))))</f>
        <v>0</v>
      </c>
      <c r="AJ377" s="2223" cm="1">
        <f t="array" ref="AJ377">IF($D377&lt;COLUMNS($F$7:AJ$7),"",INDEX(TableDiv[[GASB]:[GASB]],_xlfn.AGGREGATE(15,3,(TableDiv[[Agency]:[Agency]]=$E377)/(TableDiv[[Agency]:[Agency]]=$E377)*(ROW(TableDiv[Agency])-ROW(TableDiv[[#Headers],[Agency]])),COLUMNS($F$7:AJ$7))))</f>
        <v>0</v>
      </c>
      <c r="AK377" s="2223" t="str" cm="1">
        <f t="array" ref="AK377">IF($D377&lt;COLUMNS($F$7:AK$7),"",INDEX(TableDiv[[GASB]:[GASB]],_xlfn.AGGREGATE(15,3,(TableDiv[[Agency]:[Agency]]=$E377)/(TableDiv[[Agency]:[Agency]]=$E377)*(ROW(TableDiv[Agency])-ROW(TableDiv[[#Headers],[Agency]])),COLUMNS($F$7:AK$7))))</f>
        <v/>
      </c>
      <c r="AL377" s="2223" t="str" cm="1">
        <f t="array" ref="AL377">IF($D377&lt;COLUMNS($F$7:AL$7),"",INDEX(TableDiv[[GASB]:[GASB]],_xlfn.AGGREGATE(15,3,(TableDiv[[Agency]:[Agency]]=$E377)/(TableDiv[[Agency]:[Agency]]=$E377)*(ROW(TableDiv[Agency])-ROW(TableDiv[[#Headers],[Agency]])),COLUMNS($F$7:AL$7))))</f>
        <v/>
      </c>
      <c r="AM377" s="2223" t="str" cm="1">
        <f t="array" ref="AM377">IF($D377&lt;COLUMNS($F$7:AM$7),"",INDEX(TableDiv[[GASB]:[GASB]],_xlfn.AGGREGATE(15,3,(TableDiv[[Agency]:[Agency]]=$E377)/(TableDiv[[Agency]:[Agency]]=$E377)*(ROW(TableDiv[Agency])-ROW(TableDiv[[#Headers],[Agency]])),COLUMNS($F$7:AM$7))))</f>
        <v/>
      </c>
      <c r="AN377" s="2223"/>
      <c r="AO377" s="2223"/>
      <c r="AP377" s="2223"/>
      <c r="AQ377" s="2223"/>
      <c r="AR377" s="2223"/>
      <c r="AS377" s="2223"/>
    </row>
    <row r="378" spans="1:45" ht="15" x14ac:dyDescent="0.25">
      <c r="A378" s="2219" t="s">
        <v>5155</v>
      </c>
      <c r="B378" s="2219" t="s">
        <v>6494</v>
      </c>
      <c r="C378" s="2223"/>
      <c r="D378" s="2223">
        <f>COUNTIF(TableDiv[Agency],E378)</f>
        <v>31</v>
      </c>
      <c r="E378" s="2230" t="str" cm="1">
        <f t="array" ref="E378">IFERROR(INDEX(TableDiv[Agency],MATCH(0,INDEX(COUNTIF($E$7:E377,TableDiv[Agency]),),0)),"")</f>
        <v/>
      </c>
      <c r="F378" s="2223" cm="1">
        <f t="array" ref="F378">IF($D378&lt;COLUMNS($F$7:F$7),"",INDEX(TableDiv[[GASB]:[GASB]],_xlfn.AGGREGATE(15,3,(TableDiv[[Agency]:[Agency]]=$E378)/(TableDiv[[Agency]:[Agency]]=$E378)*(ROW(TableDiv[Agency])-ROW(TableDiv[[#Headers],[Agency]])),COLUMNS($F$7:F$7))))</f>
        <v>0</v>
      </c>
      <c r="G378" s="2223" cm="1">
        <f t="array" ref="G378">IF($D378&lt;COLUMNS($F$7:G$7),"",INDEX(TableDiv[[GASB]:[GASB]],_xlfn.AGGREGATE(15,3,(TableDiv[[Agency]:[Agency]]=$E378)/(TableDiv[[Agency]:[Agency]]=$E378)*(ROW(TableDiv[Agency])-ROW(TableDiv[[#Headers],[Agency]])),COLUMNS($F$7:G$7))))</f>
        <v>0</v>
      </c>
      <c r="H378" s="2223" cm="1">
        <f t="array" ref="H378">IF($D378&lt;COLUMNS($F$7:H$7),"",INDEX(TableDiv[[GASB]:[GASB]],_xlfn.AGGREGATE(15,3,(TableDiv[[Agency]:[Agency]]=$E378)/(TableDiv[[Agency]:[Agency]]=$E378)*(ROW(TableDiv[Agency])-ROW(TableDiv[[#Headers],[Agency]])),COLUMNS($F$7:H$7))))</f>
        <v>0</v>
      </c>
      <c r="I378" s="2223" cm="1">
        <f t="array" ref="I378">IF($D378&lt;COLUMNS($F$7:I$7),"",INDEX(TableDiv[[GASB]:[GASB]],_xlfn.AGGREGATE(15,3,(TableDiv[[Agency]:[Agency]]=$E378)/(TableDiv[[Agency]:[Agency]]=$E378)*(ROW(TableDiv[Agency])-ROW(TableDiv[[#Headers],[Agency]])),COLUMNS($F$7:I$7))))</f>
        <v>0</v>
      </c>
      <c r="J378" s="2223" cm="1">
        <f t="array" ref="J378">IF($D378&lt;COLUMNS($F$7:J$7),"",INDEX(TableDiv[[GASB]:[GASB]],_xlfn.AGGREGATE(15,3,(TableDiv[[Agency]:[Agency]]=$E378)/(TableDiv[[Agency]:[Agency]]=$E378)*(ROW(TableDiv[Agency])-ROW(TableDiv[[#Headers],[Agency]])),COLUMNS($F$7:J$7))))</f>
        <v>0</v>
      </c>
      <c r="K378" s="2223" cm="1">
        <f t="array" ref="K378">IF($D378&lt;COLUMNS($F$7:K$7),"",INDEX(TableDiv[[GASB]:[GASB]],_xlfn.AGGREGATE(15,3,(TableDiv[[Agency]:[Agency]]=$E378)/(TableDiv[[Agency]:[Agency]]=$E378)*(ROW(TableDiv[Agency])-ROW(TableDiv[[#Headers],[Agency]])),COLUMNS($F$7:K$7))))</f>
        <v>0</v>
      </c>
      <c r="L378" s="2223" cm="1">
        <f t="array" ref="L378">IF($D378&lt;COLUMNS($F$7:L$7),"",INDEX(TableDiv[[GASB]:[GASB]],_xlfn.AGGREGATE(15,3,(TableDiv[[Agency]:[Agency]]=$E378)/(TableDiv[[Agency]:[Agency]]=$E378)*(ROW(TableDiv[Agency])-ROW(TableDiv[[#Headers],[Agency]])),COLUMNS($F$7:L$7))))</f>
        <v>0</v>
      </c>
      <c r="M378" s="2223" cm="1">
        <f t="array" ref="M378">IF($D378&lt;COLUMNS($F$7:M$7),"",INDEX(TableDiv[[GASB]:[GASB]],_xlfn.AGGREGATE(15,3,(TableDiv[[Agency]:[Agency]]=$E378)/(TableDiv[[Agency]:[Agency]]=$E378)*(ROW(TableDiv[Agency])-ROW(TableDiv[[#Headers],[Agency]])),COLUMNS($F$7:M$7))))</f>
        <v>0</v>
      </c>
      <c r="N378" s="2223" cm="1">
        <f t="array" ref="N378">IF($D378&lt;COLUMNS($F$7:N$7),"",INDEX(TableDiv[[GASB]:[GASB]],_xlfn.AGGREGATE(15,3,(TableDiv[[Agency]:[Agency]]=$E378)/(TableDiv[[Agency]:[Agency]]=$E378)*(ROW(TableDiv[Agency])-ROW(TableDiv[[#Headers],[Agency]])),COLUMNS($F$7:N$7))))</f>
        <v>0</v>
      </c>
      <c r="O378" s="2223" cm="1">
        <f t="array" ref="O378">IF($D378&lt;COLUMNS($F$7:O$7),"",INDEX(TableDiv[[GASB]:[GASB]],_xlfn.AGGREGATE(15,3,(TableDiv[[Agency]:[Agency]]=$E378)/(TableDiv[[Agency]:[Agency]]=$E378)*(ROW(TableDiv[Agency])-ROW(TableDiv[[#Headers],[Agency]])),COLUMNS($F$7:O$7))))</f>
        <v>0</v>
      </c>
      <c r="P378" s="2223" cm="1">
        <f t="array" ref="P378">IF($D378&lt;COLUMNS($F$7:P$7),"",INDEX(TableDiv[[GASB]:[GASB]],_xlfn.AGGREGATE(15,3,(TableDiv[[Agency]:[Agency]]=$E378)/(TableDiv[[Agency]:[Agency]]=$E378)*(ROW(TableDiv[Agency])-ROW(TableDiv[[#Headers],[Agency]])),COLUMNS($F$7:P$7))))</f>
        <v>0</v>
      </c>
      <c r="Q378" s="2223" cm="1">
        <f t="array" ref="Q378">IF($D378&lt;COLUMNS($F$7:Q$7),"",INDEX(TableDiv[[GASB]:[GASB]],_xlfn.AGGREGATE(15,3,(TableDiv[[Agency]:[Agency]]=$E378)/(TableDiv[[Agency]:[Agency]]=$E378)*(ROW(TableDiv[Agency])-ROW(TableDiv[[#Headers],[Agency]])),COLUMNS($F$7:Q$7))))</f>
        <v>0</v>
      </c>
      <c r="R378" s="2223" cm="1">
        <f t="array" ref="R378">IF($D378&lt;COLUMNS($F$7:R$7),"",INDEX(TableDiv[[GASB]:[GASB]],_xlfn.AGGREGATE(15,3,(TableDiv[[Agency]:[Agency]]=$E378)/(TableDiv[[Agency]:[Agency]]=$E378)*(ROW(TableDiv[Agency])-ROW(TableDiv[[#Headers],[Agency]])),COLUMNS($F$7:R$7))))</f>
        <v>0</v>
      </c>
      <c r="S378" s="2223" cm="1">
        <f t="array" ref="S378">IF($D378&lt;COLUMNS($F$7:S$7),"",INDEX(TableDiv[[GASB]:[GASB]],_xlfn.AGGREGATE(15,3,(TableDiv[[Agency]:[Agency]]=$E378)/(TableDiv[[Agency]:[Agency]]=$E378)*(ROW(TableDiv[Agency])-ROW(TableDiv[[#Headers],[Agency]])),COLUMNS($F$7:S$7))))</f>
        <v>0</v>
      </c>
      <c r="T378" s="2223" cm="1">
        <f t="array" ref="T378">IF($D378&lt;COLUMNS($F$7:T$7),"",INDEX(TableDiv[[GASB]:[GASB]],_xlfn.AGGREGATE(15,3,(TableDiv[[Agency]:[Agency]]=$E378)/(TableDiv[[Agency]:[Agency]]=$E378)*(ROW(TableDiv[Agency])-ROW(TableDiv[[#Headers],[Agency]])),COLUMNS($F$7:T$7))))</f>
        <v>0</v>
      </c>
      <c r="U378" s="2223" cm="1">
        <f t="array" ref="U378">IF($D378&lt;COLUMNS($F$7:U$7),"",INDEX(TableDiv[[GASB]:[GASB]],_xlfn.AGGREGATE(15,3,(TableDiv[[Agency]:[Agency]]=$E378)/(TableDiv[[Agency]:[Agency]]=$E378)*(ROW(TableDiv[Agency])-ROW(TableDiv[[#Headers],[Agency]])),COLUMNS($F$7:U$7))))</f>
        <v>0</v>
      </c>
      <c r="V378" s="2223" cm="1">
        <f t="array" ref="V378">IF($D378&lt;COLUMNS($F$7:V$7),"",INDEX(TableDiv[[GASB]:[GASB]],_xlfn.AGGREGATE(15,3,(TableDiv[[Agency]:[Agency]]=$E378)/(TableDiv[[Agency]:[Agency]]=$E378)*(ROW(TableDiv[Agency])-ROW(TableDiv[[#Headers],[Agency]])),COLUMNS($F$7:V$7))))</f>
        <v>0</v>
      </c>
      <c r="W378" s="2223" cm="1">
        <f t="array" ref="W378">IF($D378&lt;COLUMNS($F$7:W$7),"",INDEX(TableDiv[[GASB]:[GASB]],_xlfn.AGGREGATE(15,3,(TableDiv[[Agency]:[Agency]]=$E378)/(TableDiv[[Agency]:[Agency]]=$E378)*(ROW(TableDiv[Agency])-ROW(TableDiv[[#Headers],[Agency]])),COLUMNS($F$7:W$7))))</f>
        <v>0</v>
      </c>
      <c r="X378" s="2223" cm="1">
        <f t="array" ref="X378">IF($D378&lt;COLUMNS($F$7:X$7),"",INDEX(TableDiv[[GASB]:[GASB]],_xlfn.AGGREGATE(15,3,(TableDiv[[Agency]:[Agency]]=$E378)/(TableDiv[[Agency]:[Agency]]=$E378)*(ROW(TableDiv[Agency])-ROW(TableDiv[[#Headers],[Agency]])),COLUMNS($F$7:X$7))))</f>
        <v>0</v>
      </c>
      <c r="Y378" s="2223" cm="1">
        <f t="array" ref="Y378">IF($D378&lt;COLUMNS($F$7:Y$7),"",INDEX(TableDiv[[GASB]:[GASB]],_xlfn.AGGREGATE(15,3,(TableDiv[[Agency]:[Agency]]=$E378)/(TableDiv[[Agency]:[Agency]]=$E378)*(ROW(TableDiv[Agency])-ROW(TableDiv[[#Headers],[Agency]])),COLUMNS($F$7:Y$7))))</f>
        <v>0</v>
      </c>
      <c r="Z378" s="2223" cm="1">
        <f t="array" ref="Z378">IF($D378&lt;COLUMNS($F$7:Z$7),"",INDEX(TableDiv[[GASB]:[GASB]],_xlfn.AGGREGATE(15,3,(TableDiv[[Agency]:[Agency]]=$E378)/(TableDiv[[Agency]:[Agency]]=$E378)*(ROW(TableDiv[Agency])-ROW(TableDiv[[#Headers],[Agency]])),COLUMNS($F$7:Z$7))))</f>
        <v>0</v>
      </c>
      <c r="AA378" s="2223" cm="1">
        <f t="array" ref="AA378">IF($D378&lt;COLUMNS($F$7:AA$7),"",INDEX(TableDiv[[GASB]:[GASB]],_xlfn.AGGREGATE(15,3,(TableDiv[[Agency]:[Agency]]=$E378)/(TableDiv[[Agency]:[Agency]]=$E378)*(ROW(TableDiv[Agency])-ROW(TableDiv[[#Headers],[Agency]])),COLUMNS($F$7:AA$7))))</f>
        <v>0</v>
      </c>
      <c r="AB378" s="2223" cm="1">
        <f t="array" ref="AB378">IF($D378&lt;COLUMNS($F$7:AB$7),"",INDEX(TableDiv[[GASB]:[GASB]],_xlfn.AGGREGATE(15,3,(TableDiv[[Agency]:[Agency]]=$E378)/(TableDiv[[Agency]:[Agency]]=$E378)*(ROW(TableDiv[Agency])-ROW(TableDiv[[#Headers],[Agency]])),COLUMNS($F$7:AB$7))))</f>
        <v>0</v>
      </c>
      <c r="AC378" s="2223" cm="1">
        <f t="array" ref="AC378">IF($D378&lt;COLUMNS($F$7:AC$7),"",INDEX(TableDiv[[GASB]:[GASB]],_xlfn.AGGREGATE(15,3,(TableDiv[[Agency]:[Agency]]=$E378)/(TableDiv[[Agency]:[Agency]]=$E378)*(ROW(TableDiv[Agency])-ROW(TableDiv[[#Headers],[Agency]])),COLUMNS($F$7:AC$7))))</f>
        <v>0</v>
      </c>
      <c r="AD378" s="2223" cm="1">
        <f t="array" ref="AD378">IF($D378&lt;COLUMNS($F$7:AD$7),"",INDEX(TableDiv[[GASB]:[GASB]],_xlfn.AGGREGATE(15,3,(TableDiv[[Agency]:[Agency]]=$E378)/(TableDiv[[Agency]:[Agency]]=$E378)*(ROW(TableDiv[Agency])-ROW(TableDiv[[#Headers],[Agency]])),COLUMNS($F$7:AD$7))))</f>
        <v>0</v>
      </c>
      <c r="AE378" s="2223" cm="1">
        <f t="array" ref="AE378">IF($D378&lt;COLUMNS($F$7:AE$7),"",INDEX(TableDiv[[GASB]:[GASB]],_xlfn.AGGREGATE(15,3,(TableDiv[[Agency]:[Agency]]=$E378)/(TableDiv[[Agency]:[Agency]]=$E378)*(ROW(TableDiv[Agency])-ROW(TableDiv[[#Headers],[Agency]])),COLUMNS($F$7:AE$7))))</f>
        <v>0</v>
      </c>
      <c r="AF378" s="2223" cm="1">
        <f t="array" ref="AF378">IF($D378&lt;COLUMNS($F$7:AF$7),"",INDEX(TableDiv[[GASB]:[GASB]],_xlfn.AGGREGATE(15,3,(TableDiv[[Agency]:[Agency]]=$E378)/(TableDiv[[Agency]:[Agency]]=$E378)*(ROW(TableDiv[Agency])-ROW(TableDiv[[#Headers],[Agency]])),COLUMNS($F$7:AF$7))))</f>
        <v>0</v>
      </c>
      <c r="AG378" s="2223" cm="1">
        <f t="array" ref="AG378">IF($D378&lt;COLUMNS($F$7:AG$7),"",INDEX(TableDiv[[GASB]:[GASB]],_xlfn.AGGREGATE(15,3,(TableDiv[[Agency]:[Agency]]=$E378)/(TableDiv[[Agency]:[Agency]]=$E378)*(ROW(TableDiv[Agency])-ROW(TableDiv[[#Headers],[Agency]])),COLUMNS($F$7:AG$7))))</f>
        <v>0</v>
      </c>
      <c r="AH378" s="2223" cm="1">
        <f t="array" ref="AH378">IF($D378&lt;COLUMNS($F$7:AH$7),"",INDEX(TableDiv[[GASB]:[GASB]],_xlfn.AGGREGATE(15,3,(TableDiv[[Agency]:[Agency]]=$E378)/(TableDiv[[Agency]:[Agency]]=$E378)*(ROW(TableDiv[Agency])-ROW(TableDiv[[#Headers],[Agency]])),COLUMNS($F$7:AH$7))))</f>
        <v>0</v>
      </c>
      <c r="AI378" s="2223" cm="1">
        <f t="array" ref="AI378">IF($D378&lt;COLUMNS($F$7:AI$7),"",INDEX(TableDiv[[GASB]:[GASB]],_xlfn.AGGREGATE(15,3,(TableDiv[[Agency]:[Agency]]=$E378)/(TableDiv[[Agency]:[Agency]]=$E378)*(ROW(TableDiv[Agency])-ROW(TableDiv[[#Headers],[Agency]])),COLUMNS($F$7:AI$7))))</f>
        <v>0</v>
      </c>
      <c r="AJ378" s="2223" cm="1">
        <f t="array" ref="AJ378">IF($D378&lt;COLUMNS($F$7:AJ$7),"",INDEX(TableDiv[[GASB]:[GASB]],_xlfn.AGGREGATE(15,3,(TableDiv[[Agency]:[Agency]]=$E378)/(TableDiv[[Agency]:[Agency]]=$E378)*(ROW(TableDiv[Agency])-ROW(TableDiv[[#Headers],[Agency]])),COLUMNS($F$7:AJ$7))))</f>
        <v>0</v>
      </c>
      <c r="AK378" s="2223" t="str" cm="1">
        <f t="array" ref="AK378">IF($D378&lt;COLUMNS($F$7:AK$7),"",INDEX(TableDiv[[GASB]:[GASB]],_xlfn.AGGREGATE(15,3,(TableDiv[[Agency]:[Agency]]=$E378)/(TableDiv[[Agency]:[Agency]]=$E378)*(ROW(TableDiv[Agency])-ROW(TableDiv[[#Headers],[Agency]])),COLUMNS($F$7:AK$7))))</f>
        <v/>
      </c>
      <c r="AL378" s="2223" t="str" cm="1">
        <f t="array" ref="AL378">IF($D378&lt;COLUMNS($F$7:AL$7),"",INDEX(TableDiv[[GASB]:[GASB]],_xlfn.AGGREGATE(15,3,(TableDiv[[Agency]:[Agency]]=$E378)/(TableDiv[[Agency]:[Agency]]=$E378)*(ROW(TableDiv[Agency])-ROW(TableDiv[[#Headers],[Agency]])),COLUMNS($F$7:AL$7))))</f>
        <v/>
      </c>
      <c r="AM378" s="2223" t="str" cm="1">
        <f t="array" ref="AM378">IF($D378&lt;COLUMNS($F$7:AM$7),"",INDEX(TableDiv[[GASB]:[GASB]],_xlfn.AGGREGATE(15,3,(TableDiv[[Agency]:[Agency]]=$E378)/(TableDiv[[Agency]:[Agency]]=$E378)*(ROW(TableDiv[Agency])-ROW(TableDiv[[#Headers],[Agency]])),COLUMNS($F$7:AM$7))))</f>
        <v/>
      </c>
      <c r="AN378" s="2223"/>
      <c r="AO378" s="2223"/>
      <c r="AP378" s="2223"/>
      <c r="AQ378" s="2223"/>
      <c r="AR378" s="2223"/>
      <c r="AS378" s="2223"/>
    </row>
    <row r="379" spans="1:45" ht="15" x14ac:dyDescent="0.25">
      <c r="A379" s="2219" t="s">
        <v>5161</v>
      </c>
      <c r="B379" s="2219" t="s">
        <v>6495</v>
      </c>
      <c r="C379" s="2223"/>
      <c r="D379" s="2223">
        <f>COUNTIF(TableDiv[Agency],E379)</f>
        <v>31</v>
      </c>
      <c r="E379" s="2230" t="str" cm="1">
        <f t="array" ref="E379">IFERROR(INDEX(TableDiv[Agency],MATCH(0,INDEX(COUNTIF($E$7:E378,TableDiv[Agency]),),0)),"")</f>
        <v/>
      </c>
      <c r="F379" s="2223" cm="1">
        <f t="array" ref="F379">IF($D379&lt;COLUMNS($F$7:F$7),"",INDEX(TableDiv[[GASB]:[GASB]],_xlfn.AGGREGATE(15,3,(TableDiv[[Agency]:[Agency]]=$E379)/(TableDiv[[Agency]:[Agency]]=$E379)*(ROW(TableDiv[Agency])-ROW(TableDiv[[#Headers],[Agency]])),COLUMNS($F$7:F$7))))</f>
        <v>0</v>
      </c>
      <c r="G379" s="2223" cm="1">
        <f t="array" ref="G379">IF($D379&lt;COLUMNS($F$7:G$7),"",INDEX(TableDiv[[GASB]:[GASB]],_xlfn.AGGREGATE(15,3,(TableDiv[[Agency]:[Agency]]=$E379)/(TableDiv[[Agency]:[Agency]]=$E379)*(ROW(TableDiv[Agency])-ROW(TableDiv[[#Headers],[Agency]])),COLUMNS($F$7:G$7))))</f>
        <v>0</v>
      </c>
      <c r="H379" s="2223" cm="1">
        <f t="array" ref="H379">IF($D379&lt;COLUMNS($F$7:H$7),"",INDEX(TableDiv[[GASB]:[GASB]],_xlfn.AGGREGATE(15,3,(TableDiv[[Agency]:[Agency]]=$E379)/(TableDiv[[Agency]:[Agency]]=$E379)*(ROW(TableDiv[Agency])-ROW(TableDiv[[#Headers],[Agency]])),COLUMNS($F$7:H$7))))</f>
        <v>0</v>
      </c>
      <c r="I379" s="2223" cm="1">
        <f t="array" ref="I379">IF($D379&lt;COLUMNS($F$7:I$7),"",INDEX(TableDiv[[GASB]:[GASB]],_xlfn.AGGREGATE(15,3,(TableDiv[[Agency]:[Agency]]=$E379)/(TableDiv[[Agency]:[Agency]]=$E379)*(ROW(TableDiv[Agency])-ROW(TableDiv[[#Headers],[Agency]])),COLUMNS($F$7:I$7))))</f>
        <v>0</v>
      </c>
      <c r="J379" s="2223" cm="1">
        <f t="array" ref="J379">IF($D379&lt;COLUMNS($F$7:J$7),"",INDEX(TableDiv[[GASB]:[GASB]],_xlfn.AGGREGATE(15,3,(TableDiv[[Agency]:[Agency]]=$E379)/(TableDiv[[Agency]:[Agency]]=$E379)*(ROW(TableDiv[Agency])-ROW(TableDiv[[#Headers],[Agency]])),COLUMNS($F$7:J$7))))</f>
        <v>0</v>
      </c>
      <c r="K379" s="2223" cm="1">
        <f t="array" ref="K379">IF($D379&lt;COLUMNS($F$7:K$7),"",INDEX(TableDiv[[GASB]:[GASB]],_xlfn.AGGREGATE(15,3,(TableDiv[[Agency]:[Agency]]=$E379)/(TableDiv[[Agency]:[Agency]]=$E379)*(ROW(TableDiv[Agency])-ROW(TableDiv[[#Headers],[Agency]])),COLUMNS($F$7:K$7))))</f>
        <v>0</v>
      </c>
      <c r="L379" s="2223" cm="1">
        <f t="array" ref="L379">IF($D379&lt;COLUMNS($F$7:L$7),"",INDEX(TableDiv[[GASB]:[GASB]],_xlfn.AGGREGATE(15,3,(TableDiv[[Agency]:[Agency]]=$E379)/(TableDiv[[Agency]:[Agency]]=$E379)*(ROW(TableDiv[Agency])-ROW(TableDiv[[#Headers],[Agency]])),COLUMNS($F$7:L$7))))</f>
        <v>0</v>
      </c>
      <c r="M379" s="2223" cm="1">
        <f t="array" ref="M379">IF($D379&lt;COLUMNS($F$7:M$7),"",INDEX(TableDiv[[GASB]:[GASB]],_xlfn.AGGREGATE(15,3,(TableDiv[[Agency]:[Agency]]=$E379)/(TableDiv[[Agency]:[Agency]]=$E379)*(ROW(TableDiv[Agency])-ROW(TableDiv[[#Headers],[Agency]])),COLUMNS($F$7:M$7))))</f>
        <v>0</v>
      </c>
      <c r="N379" s="2223" cm="1">
        <f t="array" ref="N379">IF($D379&lt;COLUMNS($F$7:N$7),"",INDEX(TableDiv[[GASB]:[GASB]],_xlfn.AGGREGATE(15,3,(TableDiv[[Agency]:[Agency]]=$E379)/(TableDiv[[Agency]:[Agency]]=$E379)*(ROW(TableDiv[Agency])-ROW(TableDiv[[#Headers],[Agency]])),COLUMNS($F$7:N$7))))</f>
        <v>0</v>
      </c>
      <c r="O379" s="2223" cm="1">
        <f t="array" ref="O379">IF($D379&lt;COLUMNS($F$7:O$7),"",INDEX(TableDiv[[GASB]:[GASB]],_xlfn.AGGREGATE(15,3,(TableDiv[[Agency]:[Agency]]=$E379)/(TableDiv[[Agency]:[Agency]]=$E379)*(ROW(TableDiv[Agency])-ROW(TableDiv[[#Headers],[Agency]])),COLUMNS($F$7:O$7))))</f>
        <v>0</v>
      </c>
      <c r="P379" s="2223" cm="1">
        <f t="array" ref="P379">IF($D379&lt;COLUMNS($F$7:P$7),"",INDEX(TableDiv[[GASB]:[GASB]],_xlfn.AGGREGATE(15,3,(TableDiv[[Agency]:[Agency]]=$E379)/(TableDiv[[Agency]:[Agency]]=$E379)*(ROW(TableDiv[Agency])-ROW(TableDiv[[#Headers],[Agency]])),COLUMNS($F$7:P$7))))</f>
        <v>0</v>
      </c>
      <c r="Q379" s="2223" cm="1">
        <f t="array" ref="Q379">IF($D379&lt;COLUMNS($F$7:Q$7),"",INDEX(TableDiv[[GASB]:[GASB]],_xlfn.AGGREGATE(15,3,(TableDiv[[Agency]:[Agency]]=$E379)/(TableDiv[[Agency]:[Agency]]=$E379)*(ROW(TableDiv[Agency])-ROW(TableDiv[[#Headers],[Agency]])),COLUMNS($F$7:Q$7))))</f>
        <v>0</v>
      </c>
      <c r="R379" s="2223" cm="1">
        <f t="array" ref="R379">IF($D379&lt;COLUMNS($F$7:R$7),"",INDEX(TableDiv[[GASB]:[GASB]],_xlfn.AGGREGATE(15,3,(TableDiv[[Agency]:[Agency]]=$E379)/(TableDiv[[Agency]:[Agency]]=$E379)*(ROW(TableDiv[Agency])-ROW(TableDiv[[#Headers],[Agency]])),COLUMNS($F$7:R$7))))</f>
        <v>0</v>
      </c>
      <c r="S379" s="2223" cm="1">
        <f t="array" ref="S379">IF($D379&lt;COLUMNS($F$7:S$7),"",INDEX(TableDiv[[GASB]:[GASB]],_xlfn.AGGREGATE(15,3,(TableDiv[[Agency]:[Agency]]=$E379)/(TableDiv[[Agency]:[Agency]]=$E379)*(ROW(TableDiv[Agency])-ROW(TableDiv[[#Headers],[Agency]])),COLUMNS($F$7:S$7))))</f>
        <v>0</v>
      </c>
      <c r="T379" s="2223" cm="1">
        <f t="array" ref="T379">IF($D379&lt;COLUMNS($F$7:T$7),"",INDEX(TableDiv[[GASB]:[GASB]],_xlfn.AGGREGATE(15,3,(TableDiv[[Agency]:[Agency]]=$E379)/(TableDiv[[Agency]:[Agency]]=$E379)*(ROW(TableDiv[Agency])-ROW(TableDiv[[#Headers],[Agency]])),COLUMNS($F$7:T$7))))</f>
        <v>0</v>
      </c>
      <c r="U379" s="2223" cm="1">
        <f t="array" ref="U379">IF($D379&lt;COLUMNS($F$7:U$7),"",INDEX(TableDiv[[GASB]:[GASB]],_xlfn.AGGREGATE(15,3,(TableDiv[[Agency]:[Agency]]=$E379)/(TableDiv[[Agency]:[Agency]]=$E379)*(ROW(TableDiv[Agency])-ROW(TableDiv[[#Headers],[Agency]])),COLUMNS($F$7:U$7))))</f>
        <v>0</v>
      </c>
      <c r="V379" s="2223" cm="1">
        <f t="array" ref="V379">IF($D379&lt;COLUMNS($F$7:V$7),"",INDEX(TableDiv[[GASB]:[GASB]],_xlfn.AGGREGATE(15,3,(TableDiv[[Agency]:[Agency]]=$E379)/(TableDiv[[Agency]:[Agency]]=$E379)*(ROW(TableDiv[Agency])-ROW(TableDiv[[#Headers],[Agency]])),COLUMNS($F$7:V$7))))</f>
        <v>0</v>
      </c>
      <c r="W379" s="2223" cm="1">
        <f t="array" ref="W379">IF($D379&lt;COLUMNS($F$7:W$7),"",INDEX(TableDiv[[GASB]:[GASB]],_xlfn.AGGREGATE(15,3,(TableDiv[[Agency]:[Agency]]=$E379)/(TableDiv[[Agency]:[Agency]]=$E379)*(ROW(TableDiv[Agency])-ROW(TableDiv[[#Headers],[Agency]])),COLUMNS($F$7:W$7))))</f>
        <v>0</v>
      </c>
      <c r="X379" s="2223" cm="1">
        <f t="array" ref="X379">IF($D379&lt;COLUMNS($F$7:X$7),"",INDEX(TableDiv[[GASB]:[GASB]],_xlfn.AGGREGATE(15,3,(TableDiv[[Agency]:[Agency]]=$E379)/(TableDiv[[Agency]:[Agency]]=$E379)*(ROW(TableDiv[Agency])-ROW(TableDiv[[#Headers],[Agency]])),COLUMNS($F$7:X$7))))</f>
        <v>0</v>
      </c>
      <c r="Y379" s="2223" cm="1">
        <f t="array" ref="Y379">IF($D379&lt;COLUMNS($F$7:Y$7),"",INDEX(TableDiv[[GASB]:[GASB]],_xlfn.AGGREGATE(15,3,(TableDiv[[Agency]:[Agency]]=$E379)/(TableDiv[[Agency]:[Agency]]=$E379)*(ROW(TableDiv[Agency])-ROW(TableDiv[[#Headers],[Agency]])),COLUMNS($F$7:Y$7))))</f>
        <v>0</v>
      </c>
      <c r="Z379" s="2223" cm="1">
        <f t="array" ref="Z379">IF($D379&lt;COLUMNS($F$7:Z$7),"",INDEX(TableDiv[[GASB]:[GASB]],_xlfn.AGGREGATE(15,3,(TableDiv[[Agency]:[Agency]]=$E379)/(TableDiv[[Agency]:[Agency]]=$E379)*(ROW(TableDiv[Agency])-ROW(TableDiv[[#Headers],[Agency]])),COLUMNS($F$7:Z$7))))</f>
        <v>0</v>
      </c>
      <c r="AA379" s="2223" cm="1">
        <f t="array" ref="AA379">IF($D379&lt;COLUMNS($F$7:AA$7),"",INDEX(TableDiv[[GASB]:[GASB]],_xlfn.AGGREGATE(15,3,(TableDiv[[Agency]:[Agency]]=$E379)/(TableDiv[[Agency]:[Agency]]=$E379)*(ROW(TableDiv[Agency])-ROW(TableDiv[[#Headers],[Agency]])),COLUMNS($F$7:AA$7))))</f>
        <v>0</v>
      </c>
      <c r="AB379" s="2223" cm="1">
        <f t="array" ref="AB379">IF($D379&lt;COLUMNS($F$7:AB$7),"",INDEX(TableDiv[[GASB]:[GASB]],_xlfn.AGGREGATE(15,3,(TableDiv[[Agency]:[Agency]]=$E379)/(TableDiv[[Agency]:[Agency]]=$E379)*(ROW(TableDiv[Agency])-ROW(TableDiv[[#Headers],[Agency]])),COLUMNS($F$7:AB$7))))</f>
        <v>0</v>
      </c>
      <c r="AC379" s="2223" cm="1">
        <f t="array" ref="AC379">IF($D379&lt;COLUMNS($F$7:AC$7),"",INDEX(TableDiv[[GASB]:[GASB]],_xlfn.AGGREGATE(15,3,(TableDiv[[Agency]:[Agency]]=$E379)/(TableDiv[[Agency]:[Agency]]=$E379)*(ROW(TableDiv[Agency])-ROW(TableDiv[[#Headers],[Agency]])),COLUMNS($F$7:AC$7))))</f>
        <v>0</v>
      </c>
      <c r="AD379" s="2223" cm="1">
        <f t="array" ref="AD379">IF($D379&lt;COLUMNS($F$7:AD$7),"",INDEX(TableDiv[[GASB]:[GASB]],_xlfn.AGGREGATE(15,3,(TableDiv[[Agency]:[Agency]]=$E379)/(TableDiv[[Agency]:[Agency]]=$E379)*(ROW(TableDiv[Agency])-ROW(TableDiv[[#Headers],[Agency]])),COLUMNS($F$7:AD$7))))</f>
        <v>0</v>
      </c>
      <c r="AE379" s="2223" cm="1">
        <f t="array" ref="AE379">IF($D379&lt;COLUMNS($F$7:AE$7),"",INDEX(TableDiv[[GASB]:[GASB]],_xlfn.AGGREGATE(15,3,(TableDiv[[Agency]:[Agency]]=$E379)/(TableDiv[[Agency]:[Agency]]=$E379)*(ROW(TableDiv[Agency])-ROW(TableDiv[[#Headers],[Agency]])),COLUMNS($F$7:AE$7))))</f>
        <v>0</v>
      </c>
      <c r="AF379" s="2223" cm="1">
        <f t="array" ref="AF379">IF($D379&lt;COLUMNS($F$7:AF$7),"",INDEX(TableDiv[[GASB]:[GASB]],_xlfn.AGGREGATE(15,3,(TableDiv[[Agency]:[Agency]]=$E379)/(TableDiv[[Agency]:[Agency]]=$E379)*(ROW(TableDiv[Agency])-ROW(TableDiv[[#Headers],[Agency]])),COLUMNS($F$7:AF$7))))</f>
        <v>0</v>
      </c>
      <c r="AG379" s="2223" cm="1">
        <f t="array" ref="AG379">IF($D379&lt;COLUMNS($F$7:AG$7),"",INDEX(TableDiv[[GASB]:[GASB]],_xlfn.AGGREGATE(15,3,(TableDiv[[Agency]:[Agency]]=$E379)/(TableDiv[[Agency]:[Agency]]=$E379)*(ROW(TableDiv[Agency])-ROW(TableDiv[[#Headers],[Agency]])),COLUMNS($F$7:AG$7))))</f>
        <v>0</v>
      </c>
      <c r="AH379" s="2223" cm="1">
        <f t="array" ref="AH379">IF($D379&lt;COLUMNS($F$7:AH$7),"",INDEX(TableDiv[[GASB]:[GASB]],_xlfn.AGGREGATE(15,3,(TableDiv[[Agency]:[Agency]]=$E379)/(TableDiv[[Agency]:[Agency]]=$E379)*(ROW(TableDiv[Agency])-ROW(TableDiv[[#Headers],[Agency]])),COLUMNS($F$7:AH$7))))</f>
        <v>0</v>
      </c>
      <c r="AI379" s="2223" cm="1">
        <f t="array" ref="AI379">IF($D379&lt;COLUMNS($F$7:AI$7),"",INDEX(TableDiv[[GASB]:[GASB]],_xlfn.AGGREGATE(15,3,(TableDiv[[Agency]:[Agency]]=$E379)/(TableDiv[[Agency]:[Agency]]=$E379)*(ROW(TableDiv[Agency])-ROW(TableDiv[[#Headers],[Agency]])),COLUMNS($F$7:AI$7))))</f>
        <v>0</v>
      </c>
      <c r="AJ379" s="2223" cm="1">
        <f t="array" ref="AJ379">IF($D379&lt;COLUMNS($F$7:AJ$7),"",INDEX(TableDiv[[GASB]:[GASB]],_xlfn.AGGREGATE(15,3,(TableDiv[[Agency]:[Agency]]=$E379)/(TableDiv[[Agency]:[Agency]]=$E379)*(ROW(TableDiv[Agency])-ROW(TableDiv[[#Headers],[Agency]])),COLUMNS($F$7:AJ$7))))</f>
        <v>0</v>
      </c>
      <c r="AK379" s="2223" t="str" cm="1">
        <f t="array" ref="AK379">IF($D379&lt;COLUMNS($F$7:AK$7),"",INDEX(TableDiv[[GASB]:[GASB]],_xlfn.AGGREGATE(15,3,(TableDiv[[Agency]:[Agency]]=$E379)/(TableDiv[[Agency]:[Agency]]=$E379)*(ROW(TableDiv[Agency])-ROW(TableDiv[[#Headers],[Agency]])),COLUMNS($F$7:AK$7))))</f>
        <v/>
      </c>
      <c r="AL379" s="2223" t="str" cm="1">
        <f t="array" ref="AL379">IF($D379&lt;COLUMNS($F$7:AL$7),"",INDEX(TableDiv[[GASB]:[GASB]],_xlfn.AGGREGATE(15,3,(TableDiv[[Agency]:[Agency]]=$E379)/(TableDiv[[Agency]:[Agency]]=$E379)*(ROW(TableDiv[Agency])-ROW(TableDiv[[#Headers],[Agency]])),COLUMNS($F$7:AL$7))))</f>
        <v/>
      </c>
      <c r="AM379" s="2223" t="str" cm="1">
        <f t="array" ref="AM379">IF($D379&lt;COLUMNS($F$7:AM$7),"",INDEX(TableDiv[[GASB]:[GASB]],_xlfn.AGGREGATE(15,3,(TableDiv[[Agency]:[Agency]]=$E379)/(TableDiv[[Agency]:[Agency]]=$E379)*(ROW(TableDiv[Agency])-ROW(TableDiv[[#Headers],[Agency]])),COLUMNS($F$7:AM$7))))</f>
        <v/>
      </c>
      <c r="AN379" s="2223"/>
      <c r="AO379" s="2223"/>
      <c r="AP379" s="2223"/>
      <c r="AQ379" s="2223"/>
      <c r="AR379" s="2223"/>
      <c r="AS379" s="2223"/>
    </row>
    <row r="380" spans="1:45" ht="15" x14ac:dyDescent="0.25">
      <c r="A380" s="2219" t="s">
        <v>6496</v>
      </c>
      <c r="B380" s="2219" t="s">
        <v>6497</v>
      </c>
      <c r="C380" s="2223"/>
      <c r="D380" s="2223">
        <f>COUNTIF(TableDiv[Agency],E380)</f>
        <v>31</v>
      </c>
      <c r="E380" s="2230" t="str" cm="1">
        <f t="array" ref="E380">IFERROR(INDEX(TableDiv[Agency],MATCH(0,INDEX(COUNTIF($E$7:E379,TableDiv[Agency]),),0)),"")</f>
        <v/>
      </c>
      <c r="F380" s="2223" cm="1">
        <f t="array" ref="F380">IF($D380&lt;COLUMNS($F$7:F$7),"",INDEX(TableDiv[[GASB]:[GASB]],_xlfn.AGGREGATE(15,3,(TableDiv[[Agency]:[Agency]]=$E380)/(TableDiv[[Agency]:[Agency]]=$E380)*(ROW(TableDiv[Agency])-ROW(TableDiv[[#Headers],[Agency]])),COLUMNS($F$7:F$7))))</f>
        <v>0</v>
      </c>
      <c r="G380" s="2223" cm="1">
        <f t="array" ref="G380">IF($D380&lt;COLUMNS($F$7:G$7),"",INDEX(TableDiv[[GASB]:[GASB]],_xlfn.AGGREGATE(15,3,(TableDiv[[Agency]:[Agency]]=$E380)/(TableDiv[[Agency]:[Agency]]=$E380)*(ROW(TableDiv[Agency])-ROW(TableDiv[[#Headers],[Agency]])),COLUMNS($F$7:G$7))))</f>
        <v>0</v>
      </c>
      <c r="H380" s="2223" cm="1">
        <f t="array" ref="H380">IF($D380&lt;COLUMNS($F$7:H$7),"",INDEX(TableDiv[[GASB]:[GASB]],_xlfn.AGGREGATE(15,3,(TableDiv[[Agency]:[Agency]]=$E380)/(TableDiv[[Agency]:[Agency]]=$E380)*(ROW(TableDiv[Agency])-ROW(TableDiv[[#Headers],[Agency]])),COLUMNS($F$7:H$7))))</f>
        <v>0</v>
      </c>
      <c r="I380" s="2223" cm="1">
        <f t="array" ref="I380">IF($D380&lt;COLUMNS($F$7:I$7),"",INDEX(TableDiv[[GASB]:[GASB]],_xlfn.AGGREGATE(15,3,(TableDiv[[Agency]:[Agency]]=$E380)/(TableDiv[[Agency]:[Agency]]=$E380)*(ROW(TableDiv[Agency])-ROW(TableDiv[[#Headers],[Agency]])),COLUMNS($F$7:I$7))))</f>
        <v>0</v>
      </c>
      <c r="J380" s="2223" cm="1">
        <f t="array" ref="J380">IF($D380&lt;COLUMNS($F$7:J$7),"",INDEX(TableDiv[[GASB]:[GASB]],_xlfn.AGGREGATE(15,3,(TableDiv[[Agency]:[Agency]]=$E380)/(TableDiv[[Agency]:[Agency]]=$E380)*(ROW(TableDiv[Agency])-ROW(TableDiv[[#Headers],[Agency]])),COLUMNS($F$7:J$7))))</f>
        <v>0</v>
      </c>
      <c r="K380" s="2223" cm="1">
        <f t="array" ref="K380">IF($D380&lt;COLUMNS($F$7:K$7),"",INDEX(TableDiv[[GASB]:[GASB]],_xlfn.AGGREGATE(15,3,(TableDiv[[Agency]:[Agency]]=$E380)/(TableDiv[[Agency]:[Agency]]=$E380)*(ROW(TableDiv[Agency])-ROW(TableDiv[[#Headers],[Agency]])),COLUMNS($F$7:K$7))))</f>
        <v>0</v>
      </c>
      <c r="L380" s="2223" cm="1">
        <f t="array" ref="L380">IF($D380&lt;COLUMNS($F$7:L$7),"",INDEX(TableDiv[[GASB]:[GASB]],_xlfn.AGGREGATE(15,3,(TableDiv[[Agency]:[Agency]]=$E380)/(TableDiv[[Agency]:[Agency]]=$E380)*(ROW(TableDiv[Agency])-ROW(TableDiv[[#Headers],[Agency]])),COLUMNS($F$7:L$7))))</f>
        <v>0</v>
      </c>
      <c r="M380" s="2223" cm="1">
        <f t="array" ref="M380">IF($D380&lt;COLUMNS($F$7:M$7),"",INDEX(TableDiv[[GASB]:[GASB]],_xlfn.AGGREGATE(15,3,(TableDiv[[Agency]:[Agency]]=$E380)/(TableDiv[[Agency]:[Agency]]=$E380)*(ROW(TableDiv[Agency])-ROW(TableDiv[[#Headers],[Agency]])),COLUMNS($F$7:M$7))))</f>
        <v>0</v>
      </c>
      <c r="N380" s="2223" cm="1">
        <f t="array" ref="N380">IF($D380&lt;COLUMNS($F$7:N$7),"",INDEX(TableDiv[[GASB]:[GASB]],_xlfn.AGGREGATE(15,3,(TableDiv[[Agency]:[Agency]]=$E380)/(TableDiv[[Agency]:[Agency]]=$E380)*(ROW(TableDiv[Agency])-ROW(TableDiv[[#Headers],[Agency]])),COLUMNS($F$7:N$7))))</f>
        <v>0</v>
      </c>
      <c r="O380" s="2223" cm="1">
        <f t="array" ref="O380">IF($D380&lt;COLUMNS($F$7:O$7),"",INDEX(TableDiv[[GASB]:[GASB]],_xlfn.AGGREGATE(15,3,(TableDiv[[Agency]:[Agency]]=$E380)/(TableDiv[[Agency]:[Agency]]=$E380)*(ROW(TableDiv[Agency])-ROW(TableDiv[[#Headers],[Agency]])),COLUMNS($F$7:O$7))))</f>
        <v>0</v>
      </c>
      <c r="P380" s="2223" cm="1">
        <f t="array" ref="P380">IF($D380&lt;COLUMNS($F$7:P$7),"",INDEX(TableDiv[[GASB]:[GASB]],_xlfn.AGGREGATE(15,3,(TableDiv[[Agency]:[Agency]]=$E380)/(TableDiv[[Agency]:[Agency]]=$E380)*(ROW(TableDiv[Agency])-ROW(TableDiv[[#Headers],[Agency]])),COLUMNS($F$7:P$7))))</f>
        <v>0</v>
      </c>
      <c r="Q380" s="2223" cm="1">
        <f t="array" ref="Q380">IF($D380&lt;COLUMNS($F$7:Q$7),"",INDEX(TableDiv[[GASB]:[GASB]],_xlfn.AGGREGATE(15,3,(TableDiv[[Agency]:[Agency]]=$E380)/(TableDiv[[Agency]:[Agency]]=$E380)*(ROW(TableDiv[Agency])-ROW(TableDiv[[#Headers],[Agency]])),COLUMNS($F$7:Q$7))))</f>
        <v>0</v>
      </c>
      <c r="R380" s="2223" cm="1">
        <f t="array" ref="R380">IF($D380&lt;COLUMNS($F$7:R$7),"",INDEX(TableDiv[[GASB]:[GASB]],_xlfn.AGGREGATE(15,3,(TableDiv[[Agency]:[Agency]]=$E380)/(TableDiv[[Agency]:[Agency]]=$E380)*(ROW(TableDiv[Agency])-ROW(TableDiv[[#Headers],[Agency]])),COLUMNS($F$7:R$7))))</f>
        <v>0</v>
      </c>
      <c r="S380" s="2223" cm="1">
        <f t="array" ref="S380">IF($D380&lt;COLUMNS($F$7:S$7),"",INDEX(TableDiv[[GASB]:[GASB]],_xlfn.AGGREGATE(15,3,(TableDiv[[Agency]:[Agency]]=$E380)/(TableDiv[[Agency]:[Agency]]=$E380)*(ROW(TableDiv[Agency])-ROW(TableDiv[[#Headers],[Agency]])),COLUMNS($F$7:S$7))))</f>
        <v>0</v>
      </c>
      <c r="T380" s="2223" cm="1">
        <f t="array" ref="T380">IF($D380&lt;COLUMNS($F$7:T$7),"",INDEX(TableDiv[[GASB]:[GASB]],_xlfn.AGGREGATE(15,3,(TableDiv[[Agency]:[Agency]]=$E380)/(TableDiv[[Agency]:[Agency]]=$E380)*(ROW(TableDiv[Agency])-ROW(TableDiv[[#Headers],[Agency]])),COLUMNS($F$7:T$7))))</f>
        <v>0</v>
      </c>
      <c r="U380" s="2223" cm="1">
        <f t="array" ref="U380">IF($D380&lt;COLUMNS($F$7:U$7),"",INDEX(TableDiv[[GASB]:[GASB]],_xlfn.AGGREGATE(15,3,(TableDiv[[Agency]:[Agency]]=$E380)/(TableDiv[[Agency]:[Agency]]=$E380)*(ROW(TableDiv[Agency])-ROW(TableDiv[[#Headers],[Agency]])),COLUMNS($F$7:U$7))))</f>
        <v>0</v>
      </c>
      <c r="V380" s="2223" cm="1">
        <f t="array" ref="V380">IF($D380&lt;COLUMNS($F$7:V$7),"",INDEX(TableDiv[[GASB]:[GASB]],_xlfn.AGGREGATE(15,3,(TableDiv[[Agency]:[Agency]]=$E380)/(TableDiv[[Agency]:[Agency]]=$E380)*(ROW(TableDiv[Agency])-ROW(TableDiv[[#Headers],[Agency]])),COLUMNS($F$7:V$7))))</f>
        <v>0</v>
      </c>
      <c r="W380" s="2223" cm="1">
        <f t="array" ref="W380">IF($D380&lt;COLUMNS($F$7:W$7),"",INDEX(TableDiv[[GASB]:[GASB]],_xlfn.AGGREGATE(15,3,(TableDiv[[Agency]:[Agency]]=$E380)/(TableDiv[[Agency]:[Agency]]=$E380)*(ROW(TableDiv[Agency])-ROW(TableDiv[[#Headers],[Agency]])),COLUMNS($F$7:W$7))))</f>
        <v>0</v>
      </c>
      <c r="X380" s="2223" cm="1">
        <f t="array" ref="X380">IF($D380&lt;COLUMNS($F$7:X$7),"",INDEX(TableDiv[[GASB]:[GASB]],_xlfn.AGGREGATE(15,3,(TableDiv[[Agency]:[Agency]]=$E380)/(TableDiv[[Agency]:[Agency]]=$E380)*(ROW(TableDiv[Agency])-ROW(TableDiv[[#Headers],[Agency]])),COLUMNS($F$7:X$7))))</f>
        <v>0</v>
      </c>
      <c r="Y380" s="2223" cm="1">
        <f t="array" ref="Y380">IF($D380&lt;COLUMNS($F$7:Y$7),"",INDEX(TableDiv[[GASB]:[GASB]],_xlfn.AGGREGATE(15,3,(TableDiv[[Agency]:[Agency]]=$E380)/(TableDiv[[Agency]:[Agency]]=$E380)*(ROW(TableDiv[Agency])-ROW(TableDiv[[#Headers],[Agency]])),COLUMNS($F$7:Y$7))))</f>
        <v>0</v>
      </c>
      <c r="Z380" s="2223" cm="1">
        <f t="array" ref="Z380">IF($D380&lt;COLUMNS($F$7:Z$7),"",INDEX(TableDiv[[GASB]:[GASB]],_xlfn.AGGREGATE(15,3,(TableDiv[[Agency]:[Agency]]=$E380)/(TableDiv[[Agency]:[Agency]]=$E380)*(ROW(TableDiv[Agency])-ROW(TableDiv[[#Headers],[Agency]])),COLUMNS($F$7:Z$7))))</f>
        <v>0</v>
      </c>
      <c r="AA380" s="2223" cm="1">
        <f t="array" ref="AA380">IF($D380&lt;COLUMNS($F$7:AA$7),"",INDEX(TableDiv[[GASB]:[GASB]],_xlfn.AGGREGATE(15,3,(TableDiv[[Agency]:[Agency]]=$E380)/(TableDiv[[Agency]:[Agency]]=$E380)*(ROW(TableDiv[Agency])-ROW(TableDiv[[#Headers],[Agency]])),COLUMNS($F$7:AA$7))))</f>
        <v>0</v>
      </c>
      <c r="AB380" s="2223" cm="1">
        <f t="array" ref="AB380">IF($D380&lt;COLUMNS($F$7:AB$7),"",INDEX(TableDiv[[GASB]:[GASB]],_xlfn.AGGREGATE(15,3,(TableDiv[[Agency]:[Agency]]=$E380)/(TableDiv[[Agency]:[Agency]]=$E380)*(ROW(TableDiv[Agency])-ROW(TableDiv[[#Headers],[Agency]])),COLUMNS($F$7:AB$7))))</f>
        <v>0</v>
      </c>
      <c r="AC380" s="2223" cm="1">
        <f t="array" ref="AC380">IF($D380&lt;COLUMNS($F$7:AC$7),"",INDEX(TableDiv[[GASB]:[GASB]],_xlfn.AGGREGATE(15,3,(TableDiv[[Agency]:[Agency]]=$E380)/(TableDiv[[Agency]:[Agency]]=$E380)*(ROW(TableDiv[Agency])-ROW(TableDiv[[#Headers],[Agency]])),COLUMNS($F$7:AC$7))))</f>
        <v>0</v>
      </c>
      <c r="AD380" s="2223" cm="1">
        <f t="array" ref="AD380">IF($D380&lt;COLUMNS($F$7:AD$7),"",INDEX(TableDiv[[GASB]:[GASB]],_xlfn.AGGREGATE(15,3,(TableDiv[[Agency]:[Agency]]=$E380)/(TableDiv[[Agency]:[Agency]]=$E380)*(ROW(TableDiv[Agency])-ROW(TableDiv[[#Headers],[Agency]])),COLUMNS($F$7:AD$7))))</f>
        <v>0</v>
      </c>
      <c r="AE380" s="2223" cm="1">
        <f t="array" ref="AE380">IF($D380&lt;COLUMNS($F$7:AE$7),"",INDEX(TableDiv[[GASB]:[GASB]],_xlfn.AGGREGATE(15,3,(TableDiv[[Agency]:[Agency]]=$E380)/(TableDiv[[Agency]:[Agency]]=$E380)*(ROW(TableDiv[Agency])-ROW(TableDiv[[#Headers],[Agency]])),COLUMNS($F$7:AE$7))))</f>
        <v>0</v>
      </c>
      <c r="AF380" s="2223" cm="1">
        <f t="array" ref="AF380">IF($D380&lt;COLUMNS($F$7:AF$7),"",INDEX(TableDiv[[GASB]:[GASB]],_xlfn.AGGREGATE(15,3,(TableDiv[[Agency]:[Agency]]=$E380)/(TableDiv[[Agency]:[Agency]]=$E380)*(ROW(TableDiv[Agency])-ROW(TableDiv[[#Headers],[Agency]])),COLUMNS($F$7:AF$7))))</f>
        <v>0</v>
      </c>
      <c r="AG380" s="2223" cm="1">
        <f t="array" ref="AG380">IF($D380&lt;COLUMNS($F$7:AG$7),"",INDEX(TableDiv[[GASB]:[GASB]],_xlfn.AGGREGATE(15,3,(TableDiv[[Agency]:[Agency]]=$E380)/(TableDiv[[Agency]:[Agency]]=$E380)*(ROW(TableDiv[Agency])-ROW(TableDiv[[#Headers],[Agency]])),COLUMNS($F$7:AG$7))))</f>
        <v>0</v>
      </c>
      <c r="AH380" s="2223" cm="1">
        <f t="array" ref="AH380">IF($D380&lt;COLUMNS($F$7:AH$7),"",INDEX(TableDiv[[GASB]:[GASB]],_xlfn.AGGREGATE(15,3,(TableDiv[[Agency]:[Agency]]=$E380)/(TableDiv[[Agency]:[Agency]]=$E380)*(ROW(TableDiv[Agency])-ROW(TableDiv[[#Headers],[Agency]])),COLUMNS($F$7:AH$7))))</f>
        <v>0</v>
      </c>
      <c r="AI380" s="2223" cm="1">
        <f t="array" ref="AI380">IF($D380&lt;COLUMNS($F$7:AI$7),"",INDEX(TableDiv[[GASB]:[GASB]],_xlfn.AGGREGATE(15,3,(TableDiv[[Agency]:[Agency]]=$E380)/(TableDiv[[Agency]:[Agency]]=$E380)*(ROW(TableDiv[Agency])-ROW(TableDiv[[#Headers],[Agency]])),COLUMNS($F$7:AI$7))))</f>
        <v>0</v>
      </c>
      <c r="AJ380" s="2223" cm="1">
        <f t="array" ref="AJ380">IF($D380&lt;COLUMNS($F$7:AJ$7),"",INDEX(TableDiv[[GASB]:[GASB]],_xlfn.AGGREGATE(15,3,(TableDiv[[Agency]:[Agency]]=$E380)/(TableDiv[[Agency]:[Agency]]=$E380)*(ROW(TableDiv[Agency])-ROW(TableDiv[[#Headers],[Agency]])),COLUMNS($F$7:AJ$7))))</f>
        <v>0</v>
      </c>
      <c r="AK380" s="2223" t="str" cm="1">
        <f t="array" ref="AK380">IF($D380&lt;COLUMNS($F$7:AK$7),"",INDEX(TableDiv[[GASB]:[GASB]],_xlfn.AGGREGATE(15,3,(TableDiv[[Agency]:[Agency]]=$E380)/(TableDiv[[Agency]:[Agency]]=$E380)*(ROW(TableDiv[Agency])-ROW(TableDiv[[#Headers],[Agency]])),COLUMNS($F$7:AK$7))))</f>
        <v/>
      </c>
      <c r="AL380" s="2223" t="str" cm="1">
        <f t="array" ref="AL380">IF($D380&lt;COLUMNS($F$7:AL$7),"",INDEX(TableDiv[[GASB]:[GASB]],_xlfn.AGGREGATE(15,3,(TableDiv[[Agency]:[Agency]]=$E380)/(TableDiv[[Agency]:[Agency]]=$E380)*(ROW(TableDiv[Agency])-ROW(TableDiv[[#Headers],[Agency]])),COLUMNS($F$7:AL$7))))</f>
        <v/>
      </c>
      <c r="AM380" s="2223" t="str" cm="1">
        <f t="array" ref="AM380">IF($D380&lt;COLUMNS($F$7:AM$7),"",INDEX(TableDiv[[GASB]:[GASB]],_xlfn.AGGREGATE(15,3,(TableDiv[[Agency]:[Agency]]=$E380)/(TableDiv[[Agency]:[Agency]]=$E380)*(ROW(TableDiv[Agency])-ROW(TableDiv[[#Headers],[Agency]])),COLUMNS($F$7:AM$7))))</f>
        <v/>
      </c>
      <c r="AN380" s="2223"/>
      <c r="AO380" s="2223"/>
      <c r="AP380" s="2223"/>
      <c r="AQ380" s="2223"/>
      <c r="AR380" s="2223"/>
      <c r="AS380" s="2223"/>
    </row>
    <row r="381" spans="1:45" ht="15" x14ac:dyDescent="0.25">
      <c r="A381" s="2219" t="s">
        <v>6498</v>
      </c>
      <c r="B381" s="2219" t="s">
        <v>6497</v>
      </c>
      <c r="C381" s="2223"/>
      <c r="D381" s="2223">
        <f>COUNTIF(TableDiv[Agency],E381)</f>
        <v>31</v>
      </c>
      <c r="E381" s="2230" t="str" cm="1">
        <f t="array" ref="E381">IFERROR(INDEX(TableDiv[Agency],MATCH(0,INDEX(COUNTIF($E$7:E380,TableDiv[Agency]),),0)),"")</f>
        <v/>
      </c>
      <c r="F381" s="2223" cm="1">
        <f t="array" ref="F381">IF($D381&lt;COLUMNS($F$7:F$7),"",INDEX(TableDiv[[GASB]:[GASB]],_xlfn.AGGREGATE(15,3,(TableDiv[[Agency]:[Agency]]=$E381)/(TableDiv[[Agency]:[Agency]]=$E381)*(ROW(TableDiv[Agency])-ROW(TableDiv[[#Headers],[Agency]])),COLUMNS($F$7:F$7))))</f>
        <v>0</v>
      </c>
      <c r="G381" s="2223" cm="1">
        <f t="array" ref="G381">IF($D381&lt;COLUMNS($F$7:G$7),"",INDEX(TableDiv[[GASB]:[GASB]],_xlfn.AGGREGATE(15,3,(TableDiv[[Agency]:[Agency]]=$E381)/(TableDiv[[Agency]:[Agency]]=$E381)*(ROW(TableDiv[Agency])-ROW(TableDiv[[#Headers],[Agency]])),COLUMNS($F$7:G$7))))</f>
        <v>0</v>
      </c>
      <c r="H381" s="2223" cm="1">
        <f t="array" ref="H381">IF($D381&lt;COLUMNS($F$7:H$7),"",INDEX(TableDiv[[GASB]:[GASB]],_xlfn.AGGREGATE(15,3,(TableDiv[[Agency]:[Agency]]=$E381)/(TableDiv[[Agency]:[Agency]]=$E381)*(ROW(TableDiv[Agency])-ROW(TableDiv[[#Headers],[Agency]])),COLUMNS($F$7:H$7))))</f>
        <v>0</v>
      </c>
      <c r="I381" s="2223" cm="1">
        <f t="array" ref="I381">IF($D381&lt;COLUMNS($F$7:I$7),"",INDEX(TableDiv[[GASB]:[GASB]],_xlfn.AGGREGATE(15,3,(TableDiv[[Agency]:[Agency]]=$E381)/(TableDiv[[Agency]:[Agency]]=$E381)*(ROW(TableDiv[Agency])-ROW(TableDiv[[#Headers],[Agency]])),COLUMNS($F$7:I$7))))</f>
        <v>0</v>
      </c>
      <c r="J381" s="2223" cm="1">
        <f t="array" ref="J381">IF($D381&lt;COLUMNS($F$7:J$7),"",INDEX(TableDiv[[GASB]:[GASB]],_xlfn.AGGREGATE(15,3,(TableDiv[[Agency]:[Agency]]=$E381)/(TableDiv[[Agency]:[Agency]]=$E381)*(ROW(TableDiv[Agency])-ROW(TableDiv[[#Headers],[Agency]])),COLUMNS($F$7:J$7))))</f>
        <v>0</v>
      </c>
      <c r="K381" s="2223" cm="1">
        <f t="array" ref="K381">IF($D381&lt;COLUMNS($F$7:K$7),"",INDEX(TableDiv[[GASB]:[GASB]],_xlfn.AGGREGATE(15,3,(TableDiv[[Agency]:[Agency]]=$E381)/(TableDiv[[Agency]:[Agency]]=$E381)*(ROW(TableDiv[Agency])-ROW(TableDiv[[#Headers],[Agency]])),COLUMNS($F$7:K$7))))</f>
        <v>0</v>
      </c>
      <c r="L381" s="2223" cm="1">
        <f t="array" ref="L381">IF($D381&lt;COLUMNS($F$7:L$7),"",INDEX(TableDiv[[GASB]:[GASB]],_xlfn.AGGREGATE(15,3,(TableDiv[[Agency]:[Agency]]=$E381)/(TableDiv[[Agency]:[Agency]]=$E381)*(ROW(TableDiv[Agency])-ROW(TableDiv[[#Headers],[Agency]])),COLUMNS($F$7:L$7))))</f>
        <v>0</v>
      </c>
      <c r="M381" s="2223" cm="1">
        <f t="array" ref="M381">IF($D381&lt;COLUMNS($F$7:M$7),"",INDEX(TableDiv[[GASB]:[GASB]],_xlfn.AGGREGATE(15,3,(TableDiv[[Agency]:[Agency]]=$E381)/(TableDiv[[Agency]:[Agency]]=$E381)*(ROW(TableDiv[Agency])-ROW(TableDiv[[#Headers],[Agency]])),COLUMNS($F$7:M$7))))</f>
        <v>0</v>
      </c>
      <c r="N381" s="2223" cm="1">
        <f t="array" ref="N381">IF($D381&lt;COLUMNS($F$7:N$7),"",INDEX(TableDiv[[GASB]:[GASB]],_xlfn.AGGREGATE(15,3,(TableDiv[[Agency]:[Agency]]=$E381)/(TableDiv[[Agency]:[Agency]]=$E381)*(ROW(TableDiv[Agency])-ROW(TableDiv[[#Headers],[Agency]])),COLUMNS($F$7:N$7))))</f>
        <v>0</v>
      </c>
      <c r="O381" s="2223" cm="1">
        <f t="array" ref="O381">IF($D381&lt;COLUMNS($F$7:O$7),"",INDEX(TableDiv[[GASB]:[GASB]],_xlfn.AGGREGATE(15,3,(TableDiv[[Agency]:[Agency]]=$E381)/(TableDiv[[Agency]:[Agency]]=$E381)*(ROW(TableDiv[Agency])-ROW(TableDiv[[#Headers],[Agency]])),COLUMNS($F$7:O$7))))</f>
        <v>0</v>
      </c>
      <c r="P381" s="2223" cm="1">
        <f t="array" ref="P381">IF($D381&lt;COLUMNS($F$7:P$7),"",INDEX(TableDiv[[GASB]:[GASB]],_xlfn.AGGREGATE(15,3,(TableDiv[[Agency]:[Agency]]=$E381)/(TableDiv[[Agency]:[Agency]]=$E381)*(ROW(TableDiv[Agency])-ROW(TableDiv[[#Headers],[Agency]])),COLUMNS($F$7:P$7))))</f>
        <v>0</v>
      </c>
      <c r="Q381" s="2223" cm="1">
        <f t="array" ref="Q381">IF($D381&lt;COLUMNS($F$7:Q$7),"",INDEX(TableDiv[[GASB]:[GASB]],_xlfn.AGGREGATE(15,3,(TableDiv[[Agency]:[Agency]]=$E381)/(TableDiv[[Agency]:[Agency]]=$E381)*(ROW(TableDiv[Agency])-ROW(TableDiv[[#Headers],[Agency]])),COLUMNS($F$7:Q$7))))</f>
        <v>0</v>
      </c>
      <c r="R381" s="2223" cm="1">
        <f t="array" ref="R381">IF($D381&lt;COLUMNS($F$7:R$7),"",INDEX(TableDiv[[GASB]:[GASB]],_xlfn.AGGREGATE(15,3,(TableDiv[[Agency]:[Agency]]=$E381)/(TableDiv[[Agency]:[Agency]]=$E381)*(ROW(TableDiv[Agency])-ROW(TableDiv[[#Headers],[Agency]])),COLUMNS($F$7:R$7))))</f>
        <v>0</v>
      </c>
      <c r="S381" s="2223" cm="1">
        <f t="array" ref="S381">IF($D381&lt;COLUMNS($F$7:S$7),"",INDEX(TableDiv[[GASB]:[GASB]],_xlfn.AGGREGATE(15,3,(TableDiv[[Agency]:[Agency]]=$E381)/(TableDiv[[Agency]:[Agency]]=$E381)*(ROW(TableDiv[Agency])-ROW(TableDiv[[#Headers],[Agency]])),COLUMNS($F$7:S$7))))</f>
        <v>0</v>
      </c>
      <c r="T381" s="2223" cm="1">
        <f t="array" ref="T381">IF($D381&lt;COLUMNS($F$7:T$7),"",INDEX(TableDiv[[GASB]:[GASB]],_xlfn.AGGREGATE(15,3,(TableDiv[[Agency]:[Agency]]=$E381)/(TableDiv[[Agency]:[Agency]]=$E381)*(ROW(TableDiv[Agency])-ROW(TableDiv[[#Headers],[Agency]])),COLUMNS($F$7:T$7))))</f>
        <v>0</v>
      </c>
      <c r="U381" s="2223" cm="1">
        <f t="array" ref="U381">IF($D381&lt;COLUMNS($F$7:U$7),"",INDEX(TableDiv[[GASB]:[GASB]],_xlfn.AGGREGATE(15,3,(TableDiv[[Agency]:[Agency]]=$E381)/(TableDiv[[Agency]:[Agency]]=$E381)*(ROW(TableDiv[Agency])-ROW(TableDiv[[#Headers],[Agency]])),COLUMNS($F$7:U$7))))</f>
        <v>0</v>
      </c>
      <c r="V381" s="2223" cm="1">
        <f t="array" ref="V381">IF($D381&lt;COLUMNS($F$7:V$7),"",INDEX(TableDiv[[GASB]:[GASB]],_xlfn.AGGREGATE(15,3,(TableDiv[[Agency]:[Agency]]=$E381)/(TableDiv[[Agency]:[Agency]]=$E381)*(ROW(TableDiv[Agency])-ROW(TableDiv[[#Headers],[Agency]])),COLUMNS($F$7:V$7))))</f>
        <v>0</v>
      </c>
      <c r="W381" s="2223" cm="1">
        <f t="array" ref="W381">IF($D381&lt;COLUMNS($F$7:W$7),"",INDEX(TableDiv[[GASB]:[GASB]],_xlfn.AGGREGATE(15,3,(TableDiv[[Agency]:[Agency]]=$E381)/(TableDiv[[Agency]:[Agency]]=$E381)*(ROW(TableDiv[Agency])-ROW(TableDiv[[#Headers],[Agency]])),COLUMNS($F$7:W$7))))</f>
        <v>0</v>
      </c>
      <c r="X381" s="2223" cm="1">
        <f t="array" ref="X381">IF($D381&lt;COLUMNS($F$7:X$7),"",INDEX(TableDiv[[GASB]:[GASB]],_xlfn.AGGREGATE(15,3,(TableDiv[[Agency]:[Agency]]=$E381)/(TableDiv[[Agency]:[Agency]]=$E381)*(ROW(TableDiv[Agency])-ROW(TableDiv[[#Headers],[Agency]])),COLUMNS($F$7:X$7))))</f>
        <v>0</v>
      </c>
      <c r="Y381" s="2223" cm="1">
        <f t="array" ref="Y381">IF($D381&lt;COLUMNS($F$7:Y$7),"",INDEX(TableDiv[[GASB]:[GASB]],_xlfn.AGGREGATE(15,3,(TableDiv[[Agency]:[Agency]]=$E381)/(TableDiv[[Agency]:[Agency]]=$E381)*(ROW(TableDiv[Agency])-ROW(TableDiv[[#Headers],[Agency]])),COLUMNS($F$7:Y$7))))</f>
        <v>0</v>
      </c>
      <c r="Z381" s="2223" cm="1">
        <f t="array" ref="Z381">IF($D381&lt;COLUMNS($F$7:Z$7),"",INDEX(TableDiv[[GASB]:[GASB]],_xlfn.AGGREGATE(15,3,(TableDiv[[Agency]:[Agency]]=$E381)/(TableDiv[[Agency]:[Agency]]=$E381)*(ROW(TableDiv[Agency])-ROW(TableDiv[[#Headers],[Agency]])),COLUMNS($F$7:Z$7))))</f>
        <v>0</v>
      </c>
      <c r="AA381" s="2223" cm="1">
        <f t="array" ref="AA381">IF($D381&lt;COLUMNS($F$7:AA$7),"",INDEX(TableDiv[[GASB]:[GASB]],_xlfn.AGGREGATE(15,3,(TableDiv[[Agency]:[Agency]]=$E381)/(TableDiv[[Agency]:[Agency]]=$E381)*(ROW(TableDiv[Agency])-ROW(TableDiv[[#Headers],[Agency]])),COLUMNS($F$7:AA$7))))</f>
        <v>0</v>
      </c>
      <c r="AB381" s="2223" cm="1">
        <f t="array" ref="AB381">IF($D381&lt;COLUMNS($F$7:AB$7),"",INDEX(TableDiv[[GASB]:[GASB]],_xlfn.AGGREGATE(15,3,(TableDiv[[Agency]:[Agency]]=$E381)/(TableDiv[[Agency]:[Agency]]=$E381)*(ROW(TableDiv[Agency])-ROW(TableDiv[[#Headers],[Agency]])),COLUMNS($F$7:AB$7))))</f>
        <v>0</v>
      </c>
      <c r="AC381" s="2223" cm="1">
        <f t="array" ref="AC381">IF($D381&lt;COLUMNS($F$7:AC$7),"",INDEX(TableDiv[[GASB]:[GASB]],_xlfn.AGGREGATE(15,3,(TableDiv[[Agency]:[Agency]]=$E381)/(TableDiv[[Agency]:[Agency]]=$E381)*(ROW(TableDiv[Agency])-ROW(TableDiv[[#Headers],[Agency]])),COLUMNS($F$7:AC$7))))</f>
        <v>0</v>
      </c>
      <c r="AD381" s="2223" cm="1">
        <f t="array" ref="AD381">IF($D381&lt;COLUMNS($F$7:AD$7),"",INDEX(TableDiv[[GASB]:[GASB]],_xlfn.AGGREGATE(15,3,(TableDiv[[Agency]:[Agency]]=$E381)/(TableDiv[[Agency]:[Agency]]=$E381)*(ROW(TableDiv[Agency])-ROW(TableDiv[[#Headers],[Agency]])),COLUMNS($F$7:AD$7))))</f>
        <v>0</v>
      </c>
      <c r="AE381" s="2223" cm="1">
        <f t="array" ref="AE381">IF($D381&lt;COLUMNS($F$7:AE$7),"",INDEX(TableDiv[[GASB]:[GASB]],_xlfn.AGGREGATE(15,3,(TableDiv[[Agency]:[Agency]]=$E381)/(TableDiv[[Agency]:[Agency]]=$E381)*(ROW(TableDiv[Agency])-ROW(TableDiv[[#Headers],[Agency]])),COLUMNS($F$7:AE$7))))</f>
        <v>0</v>
      </c>
      <c r="AF381" s="2223" cm="1">
        <f t="array" ref="AF381">IF($D381&lt;COLUMNS($F$7:AF$7),"",INDEX(TableDiv[[GASB]:[GASB]],_xlfn.AGGREGATE(15,3,(TableDiv[[Agency]:[Agency]]=$E381)/(TableDiv[[Agency]:[Agency]]=$E381)*(ROW(TableDiv[Agency])-ROW(TableDiv[[#Headers],[Agency]])),COLUMNS($F$7:AF$7))))</f>
        <v>0</v>
      </c>
      <c r="AG381" s="2223" cm="1">
        <f t="array" ref="AG381">IF($D381&lt;COLUMNS($F$7:AG$7),"",INDEX(TableDiv[[GASB]:[GASB]],_xlfn.AGGREGATE(15,3,(TableDiv[[Agency]:[Agency]]=$E381)/(TableDiv[[Agency]:[Agency]]=$E381)*(ROW(TableDiv[Agency])-ROW(TableDiv[[#Headers],[Agency]])),COLUMNS($F$7:AG$7))))</f>
        <v>0</v>
      </c>
      <c r="AH381" s="2223" cm="1">
        <f t="array" ref="AH381">IF($D381&lt;COLUMNS($F$7:AH$7),"",INDEX(TableDiv[[GASB]:[GASB]],_xlfn.AGGREGATE(15,3,(TableDiv[[Agency]:[Agency]]=$E381)/(TableDiv[[Agency]:[Agency]]=$E381)*(ROW(TableDiv[Agency])-ROW(TableDiv[[#Headers],[Agency]])),COLUMNS($F$7:AH$7))))</f>
        <v>0</v>
      </c>
      <c r="AI381" s="2223" cm="1">
        <f t="array" ref="AI381">IF($D381&lt;COLUMNS($F$7:AI$7),"",INDEX(TableDiv[[GASB]:[GASB]],_xlfn.AGGREGATE(15,3,(TableDiv[[Agency]:[Agency]]=$E381)/(TableDiv[[Agency]:[Agency]]=$E381)*(ROW(TableDiv[Agency])-ROW(TableDiv[[#Headers],[Agency]])),COLUMNS($F$7:AI$7))))</f>
        <v>0</v>
      </c>
      <c r="AJ381" s="2223" cm="1">
        <f t="array" ref="AJ381">IF($D381&lt;COLUMNS($F$7:AJ$7),"",INDEX(TableDiv[[GASB]:[GASB]],_xlfn.AGGREGATE(15,3,(TableDiv[[Agency]:[Agency]]=$E381)/(TableDiv[[Agency]:[Agency]]=$E381)*(ROW(TableDiv[Agency])-ROW(TableDiv[[#Headers],[Agency]])),COLUMNS($F$7:AJ$7))))</f>
        <v>0</v>
      </c>
      <c r="AK381" s="2223" t="str" cm="1">
        <f t="array" ref="AK381">IF($D381&lt;COLUMNS($F$7:AK$7),"",INDEX(TableDiv[[GASB]:[GASB]],_xlfn.AGGREGATE(15,3,(TableDiv[[Agency]:[Agency]]=$E381)/(TableDiv[[Agency]:[Agency]]=$E381)*(ROW(TableDiv[Agency])-ROW(TableDiv[[#Headers],[Agency]])),COLUMNS($F$7:AK$7))))</f>
        <v/>
      </c>
      <c r="AL381" s="2223" t="str" cm="1">
        <f t="array" ref="AL381">IF($D381&lt;COLUMNS($F$7:AL$7),"",INDEX(TableDiv[[GASB]:[GASB]],_xlfn.AGGREGATE(15,3,(TableDiv[[Agency]:[Agency]]=$E381)/(TableDiv[[Agency]:[Agency]]=$E381)*(ROW(TableDiv[Agency])-ROW(TableDiv[[#Headers],[Agency]])),COLUMNS($F$7:AL$7))))</f>
        <v/>
      </c>
      <c r="AM381" s="2223" t="str" cm="1">
        <f t="array" ref="AM381">IF($D381&lt;COLUMNS($F$7:AM$7),"",INDEX(TableDiv[[GASB]:[GASB]],_xlfn.AGGREGATE(15,3,(TableDiv[[Agency]:[Agency]]=$E381)/(TableDiv[[Agency]:[Agency]]=$E381)*(ROW(TableDiv[Agency])-ROW(TableDiv[[#Headers],[Agency]])),COLUMNS($F$7:AM$7))))</f>
        <v/>
      </c>
      <c r="AN381" s="2223"/>
      <c r="AO381" s="2223"/>
      <c r="AP381" s="2223"/>
      <c r="AQ381" s="2223"/>
      <c r="AR381" s="2223"/>
      <c r="AS381" s="2223"/>
    </row>
    <row r="382" spans="1:45" ht="15" x14ac:dyDescent="0.25">
      <c r="A382" s="2219" t="s">
        <v>6499</v>
      </c>
      <c r="B382" s="2219" t="s">
        <v>6497</v>
      </c>
      <c r="C382" s="2223"/>
      <c r="D382" s="2223">
        <f>COUNTIF(TableDiv[Agency],E382)</f>
        <v>31</v>
      </c>
      <c r="E382" s="2230" t="str" cm="1">
        <f t="array" ref="E382">IFERROR(INDEX(TableDiv[Agency],MATCH(0,INDEX(COUNTIF($E$7:E381,TableDiv[Agency]),),0)),"")</f>
        <v/>
      </c>
      <c r="F382" s="2223" cm="1">
        <f t="array" ref="F382">IF($D382&lt;COLUMNS($F$7:F$7),"",INDEX(TableDiv[[GASB]:[GASB]],_xlfn.AGGREGATE(15,3,(TableDiv[[Agency]:[Agency]]=$E382)/(TableDiv[[Agency]:[Agency]]=$E382)*(ROW(TableDiv[Agency])-ROW(TableDiv[[#Headers],[Agency]])),COLUMNS($F$7:F$7))))</f>
        <v>0</v>
      </c>
      <c r="G382" s="2223" cm="1">
        <f t="array" ref="G382">IF($D382&lt;COLUMNS($F$7:G$7),"",INDEX(TableDiv[[GASB]:[GASB]],_xlfn.AGGREGATE(15,3,(TableDiv[[Agency]:[Agency]]=$E382)/(TableDiv[[Agency]:[Agency]]=$E382)*(ROW(TableDiv[Agency])-ROW(TableDiv[[#Headers],[Agency]])),COLUMNS($F$7:G$7))))</f>
        <v>0</v>
      </c>
      <c r="H382" s="2223" cm="1">
        <f t="array" ref="H382">IF($D382&lt;COLUMNS($F$7:H$7),"",INDEX(TableDiv[[GASB]:[GASB]],_xlfn.AGGREGATE(15,3,(TableDiv[[Agency]:[Agency]]=$E382)/(TableDiv[[Agency]:[Agency]]=$E382)*(ROW(TableDiv[Agency])-ROW(TableDiv[[#Headers],[Agency]])),COLUMNS($F$7:H$7))))</f>
        <v>0</v>
      </c>
      <c r="I382" s="2223" cm="1">
        <f t="array" ref="I382">IF($D382&lt;COLUMNS($F$7:I$7),"",INDEX(TableDiv[[GASB]:[GASB]],_xlfn.AGGREGATE(15,3,(TableDiv[[Agency]:[Agency]]=$E382)/(TableDiv[[Agency]:[Agency]]=$E382)*(ROW(TableDiv[Agency])-ROW(TableDiv[[#Headers],[Agency]])),COLUMNS($F$7:I$7))))</f>
        <v>0</v>
      </c>
      <c r="J382" s="2223" cm="1">
        <f t="array" ref="J382">IF($D382&lt;COLUMNS($F$7:J$7),"",INDEX(TableDiv[[GASB]:[GASB]],_xlfn.AGGREGATE(15,3,(TableDiv[[Agency]:[Agency]]=$E382)/(TableDiv[[Agency]:[Agency]]=$E382)*(ROW(TableDiv[Agency])-ROW(TableDiv[[#Headers],[Agency]])),COLUMNS($F$7:J$7))))</f>
        <v>0</v>
      </c>
      <c r="K382" s="2223" cm="1">
        <f t="array" ref="K382">IF($D382&lt;COLUMNS($F$7:K$7),"",INDEX(TableDiv[[GASB]:[GASB]],_xlfn.AGGREGATE(15,3,(TableDiv[[Agency]:[Agency]]=$E382)/(TableDiv[[Agency]:[Agency]]=$E382)*(ROW(TableDiv[Agency])-ROW(TableDiv[[#Headers],[Agency]])),COLUMNS($F$7:K$7))))</f>
        <v>0</v>
      </c>
      <c r="L382" s="2223" cm="1">
        <f t="array" ref="L382">IF($D382&lt;COLUMNS($F$7:L$7),"",INDEX(TableDiv[[GASB]:[GASB]],_xlfn.AGGREGATE(15,3,(TableDiv[[Agency]:[Agency]]=$E382)/(TableDiv[[Agency]:[Agency]]=$E382)*(ROW(TableDiv[Agency])-ROW(TableDiv[[#Headers],[Agency]])),COLUMNS($F$7:L$7))))</f>
        <v>0</v>
      </c>
      <c r="M382" s="2223" cm="1">
        <f t="array" ref="M382">IF($D382&lt;COLUMNS($F$7:M$7),"",INDEX(TableDiv[[GASB]:[GASB]],_xlfn.AGGREGATE(15,3,(TableDiv[[Agency]:[Agency]]=$E382)/(TableDiv[[Agency]:[Agency]]=$E382)*(ROW(TableDiv[Agency])-ROW(TableDiv[[#Headers],[Agency]])),COLUMNS($F$7:M$7))))</f>
        <v>0</v>
      </c>
      <c r="N382" s="2223" cm="1">
        <f t="array" ref="N382">IF($D382&lt;COLUMNS($F$7:N$7),"",INDEX(TableDiv[[GASB]:[GASB]],_xlfn.AGGREGATE(15,3,(TableDiv[[Agency]:[Agency]]=$E382)/(TableDiv[[Agency]:[Agency]]=$E382)*(ROW(TableDiv[Agency])-ROW(TableDiv[[#Headers],[Agency]])),COLUMNS($F$7:N$7))))</f>
        <v>0</v>
      </c>
      <c r="O382" s="2223" cm="1">
        <f t="array" ref="O382">IF($D382&lt;COLUMNS($F$7:O$7),"",INDEX(TableDiv[[GASB]:[GASB]],_xlfn.AGGREGATE(15,3,(TableDiv[[Agency]:[Agency]]=$E382)/(TableDiv[[Agency]:[Agency]]=$E382)*(ROW(TableDiv[Agency])-ROW(TableDiv[[#Headers],[Agency]])),COLUMNS($F$7:O$7))))</f>
        <v>0</v>
      </c>
      <c r="P382" s="2223" cm="1">
        <f t="array" ref="P382">IF($D382&lt;COLUMNS($F$7:P$7),"",INDEX(TableDiv[[GASB]:[GASB]],_xlfn.AGGREGATE(15,3,(TableDiv[[Agency]:[Agency]]=$E382)/(TableDiv[[Agency]:[Agency]]=$E382)*(ROW(TableDiv[Agency])-ROW(TableDiv[[#Headers],[Agency]])),COLUMNS($F$7:P$7))))</f>
        <v>0</v>
      </c>
      <c r="Q382" s="2223" cm="1">
        <f t="array" ref="Q382">IF($D382&lt;COLUMNS($F$7:Q$7),"",INDEX(TableDiv[[GASB]:[GASB]],_xlfn.AGGREGATE(15,3,(TableDiv[[Agency]:[Agency]]=$E382)/(TableDiv[[Agency]:[Agency]]=$E382)*(ROW(TableDiv[Agency])-ROW(TableDiv[[#Headers],[Agency]])),COLUMNS($F$7:Q$7))))</f>
        <v>0</v>
      </c>
      <c r="R382" s="2223" cm="1">
        <f t="array" ref="R382">IF($D382&lt;COLUMNS($F$7:R$7),"",INDEX(TableDiv[[GASB]:[GASB]],_xlfn.AGGREGATE(15,3,(TableDiv[[Agency]:[Agency]]=$E382)/(TableDiv[[Agency]:[Agency]]=$E382)*(ROW(TableDiv[Agency])-ROW(TableDiv[[#Headers],[Agency]])),COLUMNS($F$7:R$7))))</f>
        <v>0</v>
      </c>
      <c r="S382" s="2223" cm="1">
        <f t="array" ref="S382">IF($D382&lt;COLUMNS($F$7:S$7),"",INDEX(TableDiv[[GASB]:[GASB]],_xlfn.AGGREGATE(15,3,(TableDiv[[Agency]:[Agency]]=$E382)/(TableDiv[[Agency]:[Agency]]=$E382)*(ROW(TableDiv[Agency])-ROW(TableDiv[[#Headers],[Agency]])),COLUMNS($F$7:S$7))))</f>
        <v>0</v>
      </c>
      <c r="T382" s="2223" cm="1">
        <f t="array" ref="T382">IF($D382&lt;COLUMNS($F$7:T$7),"",INDEX(TableDiv[[GASB]:[GASB]],_xlfn.AGGREGATE(15,3,(TableDiv[[Agency]:[Agency]]=$E382)/(TableDiv[[Agency]:[Agency]]=$E382)*(ROW(TableDiv[Agency])-ROW(TableDiv[[#Headers],[Agency]])),COLUMNS($F$7:T$7))))</f>
        <v>0</v>
      </c>
      <c r="U382" s="2223" cm="1">
        <f t="array" ref="U382">IF($D382&lt;COLUMNS($F$7:U$7),"",INDEX(TableDiv[[GASB]:[GASB]],_xlfn.AGGREGATE(15,3,(TableDiv[[Agency]:[Agency]]=$E382)/(TableDiv[[Agency]:[Agency]]=$E382)*(ROW(TableDiv[Agency])-ROW(TableDiv[[#Headers],[Agency]])),COLUMNS($F$7:U$7))))</f>
        <v>0</v>
      </c>
      <c r="V382" s="2223" cm="1">
        <f t="array" ref="V382">IF($D382&lt;COLUMNS($F$7:V$7),"",INDEX(TableDiv[[GASB]:[GASB]],_xlfn.AGGREGATE(15,3,(TableDiv[[Agency]:[Agency]]=$E382)/(TableDiv[[Agency]:[Agency]]=$E382)*(ROW(TableDiv[Agency])-ROW(TableDiv[[#Headers],[Agency]])),COLUMNS($F$7:V$7))))</f>
        <v>0</v>
      </c>
      <c r="W382" s="2223" cm="1">
        <f t="array" ref="W382">IF($D382&lt;COLUMNS($F$7:W$7),"",INDEX(TableDiv[[GASB]:[GASB]],_xlfn.AGGREGATE(15,3,(TableDiv[[Agency]:[Agency]]=$E382)/(TableDiv[[Agency]:[Agency]]=$E382)*(ROW(TableDiv[Agency])-ROW(TableDiv[[#Headers],[Agency]])),COLUMNS($F$7:W$7))))</f>
        <v>0</v>
      </c>
      <c r="X382" s="2223" cm="1">
        <f t="array" ref="X382">IF($D382&lt;COLUMNS($F$7:X$7),"",INDEX(TableDiv[[GASB]:[GASB]],_xlfn.AGGREGATE(15,3,(TableDiv[[Agency]:[Agency]]=$E382)/(TableDiv[[Agency]:[Agency]]=$E382)*(ROW(TableDiv[Agency])-ROW(TableDiv[[#Headers],[Agency]])),COLUMNS($F$7:X$7))))</f>
        <v>0</v>
      </c>
      <c r="Y382" s="2223" cm="1">
        <f t="array" ref="Y382">IF($D382&lt;COLUMNS($F$7:Y$7),"",INDEX(TableDiv[[GASB]:[GASB]],_xlfn.AGGREGATE(15,3,(TableDiv[[Agency]:[Agency]]=$E382)/(TableDiv[[Agency]:[Agency]]=$E382)*(ROW(TableDiv[Agency])-ROW(TableDiv[[#Headers],[Agency]])),COLUMNS($F$7:Y$7))))</f>
        <v>0</v>
      </c>
      <c r="Z382" s="2223" cm="1">
        <f t="array" ref="Z382">IF($D382&lt;COLUMNS($F$7:Z$7),"",INDEX(TableDiv[[GASB]:[GASB]],_xlfn.AGGREGATE(15,3,(TableDiv[[Agency]:[Agency]]=$E382)/(TableDiv[[Agency]:[Agency]]=$E382)*(ROW(TableDiv[Agency])-ROW(TableDiv[[#Headers],[Agency]])),COLUMNS($F$7:Z$7))))</f>
        <v>0</v>
      </c>
      <c r="AA382" s="2223" cm="1">
        <f t="array" ref="AA382">IF($D382&lt;COLUMNS($F$7:AA$7),"",INDEX(TableDiv[[GASB]:[GASB]],_xlfn.AGGREGATE(15,3,(TableDiv[[Agency]:[Agency]]=$E382)/(TableDiv[[Agency]:[Agency]]=$E382)*(ROW(TableDiv[Agency])-ROW(TableDiv[[#Headers],[Agency]])),COLUMNS($F$7:AA$7))))</f>
        <v>0</v>
      </c>
      <c r="AB382" s="2223" cm="1">
        <f t="array" ref="AB382">IF($D382&lt;COLUMNS($F$7:AB$7),"",INDEX(TableDiv[[GASB]:[GASB]],_xlfn.AGGREGATE(15,3,(TableDiv[[Agency]:[Agency]]=$E382)/(TableDiv[[Agency]:[Agency]]=$E382)*(ROW(TableDiv[Agency])-ROW(TableDiv[[#Headers],[Agency]])),COLUMNS($F$7:AB$7))))</f>
        <v>0</v>
      </c>
      <c r="AC382" s="2223" cm="1">
        <f t="array" ref="AC382">IF($D382&lt;COLUMNS($F$7:AC$7),"",INDEX(TableDiv[[GASB]:[GASB]],_xlfn.AGGREGATE(15,3,(TableDiv[[Agency]:[Agency]]=$E382)/(TableDiv[[Agency]:[Agency]]=$E382)*(ROW(TableDiv[Agency])-ROW(TableDiv[[#Headers],[Agency]])),COLUMNS($F$7:AC$7))))</f>
        <v>0</v>
      </c>
      <c r="AD382" s="2223" cm="1">
        <f t="array" ref="AD382">IF($D382&lt;COLUMNS($F$7:AD$7),"",INDEX(TableDiv[[GASB]:[GASB]],_xlfn.AGGREGATE(15,3,(TableDiv[[Agency]:[Agency]]=$E382)/(TableDiv[[Agency]:[Agency]]=$E382)*(ROW(TableDiv[Agency])-ROW(TableDiv[[#Headers],[Agency]])),COLUMNS($F$7:AD$7))))</f>
        <v>0</v>
      </c>
      <c r="AE382" s="2223" cm="1">
        <f t="array" ref="AE382">IF($D382&lt;COLUMNS($F$7:AE$7),"",INDEX(TableDiv[[GASB]:[GASB]],_xlfn.AGGREGATE(15,3,(TableDiv[[Agency]:[Agency]]=$E382)/(TableDiv[[Agency]:[Agency]]=$E382)*(ROW(TableDiv[Agency])-ROW(TableDiv[[#Headers],[Agency]])),COLUMNS($F$7:AE$7))))</f>
        <v>0</v>
      </c>
      <c r="AF382" s="2223" cm="1">
        <f t="array" ref="AF382">IF($D382&lt;COLUMNS($F$7:AF$7),"",INDEX(TableDiv[[GASB]:[GASB]],_xlfn.AGGREGATE(15,3,(TableDiv[[Agency]:[Agency]]=$E382)/(TableDiv[[Agency]:[Agency]]=$E382)*(ROW(TableDiv[Agency])-ROW(TableDiv[[#Headers],[Agency]])),COLUMNS($F$7:AF$7))))</f>
        <v>0</v>
      </c>
      <c r="AG382" s="2223" cm="1">
        <f t="array" ref="AG382">IF($D382&lt;COLUMNS($F$7:AG$7),"",INDEX(TableDiv[[GASB]:[GASB]],_xlfn.AGGREGATE(15,3,(TableDiv[[Agency]:[Agency]]=$E382)/(TableDiv[[Agency]:[Agency]]=$E382)*(ROW(TableDiv[Agency])-ROW(TableDiv[[#Headers],[Agency]])),COLUMNS($F$7:AG$7))))</f>
        <v>0</v>
      </c>
      <c r="AH382" s="2223" cm="1">
        <f t="array" ref="AH382">IF($D382&lt;COLUMNS($F$7:AH$7),"",INDEX(TableDiv[[GASB]:[GASB]],_xlfn.AGGREGATE(15,3,(TableDiv[[Agency]:[Agency]]=$E382)/(TableDiv[[Agency]:[Agency]]=$E382)*(ROW(TableDiv[Agency])-ROW(TableDiv[[#Headers],[Agency]])),COLUMNS($F$7:AH$7))))</f>
        <v>0</v>
      </c>
      <c r="AI382" s="2223" cm="1">
        <f t="array" ref="AI382">IF($D382&lt;COLUMNS($F$7:AI$7),"",INDEX(TableDiv[[GASB]:[GASB]],_xlfn.AGGREGATE(15,3,(TableDiv[[Agency]:[Agency]]=$E382)/(TableDiv[[Agency]:[Agency]]=$E382)*(ROW(TableDiv[Agency])-ROW(TableDiv[[#Headers],[Agency]])),COLUMNS($F$7:AI$7))))</f>
        <v>0</v>
      </c>
      <c r="AJ382" s="2223" cm="1">
        <f t="array" ref="AJ382">IF($D382&lt;COLUMNS($F$7:AJ$7),"",INDEX(TableDiv[[GASB]:[GASB]],_xlfn.AGGREGATE(15,3,(TableDiv[[Agency]:[Agency]]=$E382)/(TableDiv[[Agency]:[Agency]]=$E382)*(ROW(TableDiv[Agency])-ROW(TableDiv[[#Headers],[Agency]])),COLUMNS($F$7:AJ$7))))</f>
        <v>0</v>
      </c>
      <c r="AK382" s="2223" t="str" cm="1">
        <f t="array" ref="AK382">IF($D382&lt;COLUMNS($F$7:AK$7),"",INDEX(TableDiv[[GASB]:[GASB]],_xlfn.AGGREGATE(15,3,(TableDiv[[Agency]:[Agency]]=$E382)/(TableDiv[[Agency]:[Agency]]=$E382)*(ROW(TableDiv[Agency])-ROW(TableDiv[[#Headers],[Agency]])),COLUMNS($F$7:AK$7))))</f>
        <v/>
      </c>
      <c r="AL382" s="2223" t="str" cm="1">
        <f t="array" ref="AL382">IF($D382&lt;COLUMNS($F$7:AL$7),"",INDEX(TableDiv[[GASB]:[GASB]],_xlfn.AGGREGATE(15,3,(TableDiv[[Agency]:[Agency]]=$E382)/(TableDiv[[Agency]:[Agency]]=$E382)*(ROW(TableDiv[Agency])-ROW(TableDiv[[#Headers],[Agency]])),COLUMNS($F$7:AL$7))))</f>
        <v/>
      </c>
      <c r="AM382" s="2223" t="str" cm="1">
        <f t="array" ref="AM382">IF($D382&lt;COLUMNS($F$7:AM$7),"",INDEX(TableDiv[[GASB]:[GASB]],_xlfn.AGGREGATE(15,3,(TableDiv[[Agency]:[Agency]]=$E382)/(TableDiv[[Agency]:[Agency]]=$E382)*(ROW(TableDiv[Agency])-ROW(TableDiv[[#Headers],[Agency]])),COLUMNS($F$7:AM$7))))</f>
        <v/>
      </c>
      <c r="AN382" s="2223"/>
      <c r="AO382" s="2223"/>
      <c r="AP382" s="2223"/>
      <c r="AQ382" s="2223"/>
      <c r="AR382" s="2223"/>
      <c r="AS382" s="2223"/>
    </row>
    <row r="383" spans="1:45" ht="15" x14ac:dyDescent="0.25">
      <c r="A383" s="2219" t="s">
        <v>6500</v>
      </c>
      <c r="B383" s="2219" t="s">
        <v>6497</v>
      </c>
      <c r="C383" s="2223"/>
      <c r="D383" s="2223">
        <f>COUNTIF(TableDiv[Agency],E383)</f>
        <v>31</v>
      </c>
      <c r="E383" s="2230" t="str" cm="1">
        <f t="array" ref="E383">IFERROR(INDEX(TableDiv[Agency],MATCH(0,INDEX(COUNTIF($E$7:E382,TableDiv[Agency]),),0)),"")</f>
        <v/>
      </c>
      <c r="F383" s="2223" cm="1">
        <f t="array" ref="F383">IF($D383&lt;COLUMNS($F$7:F$7),"",INDEX(TableDiv[[GASB]:[GASB]],_xlfn.AGGREGATE(15,3,(TableDiv[[Agency]:[Agency]]=$E383)/(TableDiv[[Agency]:[Agency]]=$E383)*(ROW(TableDiv[Agency])-ROW(TableDiv[[#Headers],[Agency]])),COLUMNS($F$7:F$7))))</f>
        <v>0</v>
      </c>
      <c r="G383" s="2223" cm="1">
        <f t="array" ref="G383">IF($D383&lt;COLUMNS($F$7:G$7),"",INDEX(TableDiv[[GASB]:[GASB]],_xlfn.AGGREGATE(15,3,(TableDiv[[Agency]:[Agency]]=$E383)/(TableDiv[[Agency]:[Agency]]=$E383)*(ROW(TableDiv[Agency])-ROW(TableDiv[[#Headers],[Agency]])),COLUMNS($F$7:G$7))))</f>
        <v>0</v>
      </c>
      <c r="H383" s="2223" cm="1">
        <f t="array" ref="H383">IF($D383&lt;COLUMNS($F$7:H$7),"",INDEX(TableDiv[[GASB]:[GASB]],_xlfn.AGGREGATE(15,3,(TableDiv[[Agency]:[Agency]]=$E383)/(TableDiv[[Agency]:[Agency]]=$E383)*(ROW(TableDiv[Agency])-ROW(TableDiv[[#Headers],[Agency]])),COLUMNS($F$7:H$7))))</f>
        <v>0</v>
      </c>
      <c r="I383" s="2223" cm="1">
        <f t="array" ref="I383">IF($D383&lt;COLUMNS($F$7:I$7),"",INDEX(TableDiv[[GASB]:[GASB]],_xlfn.AGGREGATE(15,3,(TableDiv[[Agency]:[Agency]]=$E383)/(TableDiv[[Agency]:[Agency]]=$E383)*(ROW(TableDiv[Agency])-ROW(TableDiv[[#Headers],[Agency]])),COLUMNS($F$7:I$7))))</f>
        <v>0</v>
      </c>
      <c r="J383" s="2223" cm="1">
        <f t="array" ref="J383">IF($D383&lt;COLUMNS($F$7:J$7),"",INDEX(TableDiv[[GASB]:[GASB]],_xlfn.AGGREGATE(15,3,(TableDiv[[Agency]:[Agency]]=$E383)/(TableDiv[[Agency]:[Agency]]=$E383)*(ROW(TableDiv[Agency])-ROW(TableDiv[[#Headers],[Agency]])),COLUMNS($F$7:J$7))))</f>
        <v>0</v>
      </c>
      <c r="K383" s="2223" cm="1">
        <f t="array" ref="K383">IF($D383&lt;COLUMNS($F$7:K$7),"",INDEX(TableDiv[[GASB]:[GASB]],_xlfn.AGGREGATE(15,3,(TableDiv[[Agency]:[Agency]]=$E383)/(TableDiv[[Agency]:[Agency]]=$E383)*(ROW(TableDiv[Agency])-ROW(TableDiv[[#Headers],[Agency]])),COLUMNS($F$7:K$7))))</f>
        <v>0</v>
      </c>
      <c r="L383" s="2223" cm="1">
        <f t="array" ref="L383">IF($D383&lt;COLUMNS($F$7:L$7),"",INDEX(TableDiv[[GASB]:[GASB]],_xlfn.AGGREGATE(15,3,(TableDiv[[Agency]:[Agency]]=$E383)/(TableDiv[[Agency]:[Agency]]=$E383)*(ROW(TableDiv[Agency])-ROW(TableDiv[[#Headers],[Agency]])),COLUMNS($F$7:L$7))))</f>
        <v>0</v>
      </c>
      <c r="M383" s="2223" cm="1">
        <f t="array" ref="M383">IF($D383&lt;COLUMNS($F$7:M$7),"",INDEX(TableDiv[[GASB]:[GASB]],_xlfn.AGGREGATE(15,3,(TableDiv[[Agency]:[Agency]]=$E383)/(TableDiv[[Agency]:[Agency]]=$E383)*(ROW(TableDiv[Agency])-ROW(TableDiv[[#Headers],[Agency]])),COLUMNS($F$7:M$7))))</f>
        <v>0</v>
      </c>
      <c r="N383" s="2223" cm="1">
        <f t="array" ref="N383">IF($D383&lt;COLUMNS($F$7:N$7),"",INDEX(TableDiv[[GASB]:[GASB]],_xlfn.AGGREGATE(15,3,(TableDiv[[Agency]:[Agency]]=$E383)/(TableDiv[[Agency]:[Agency]]=$E383)*(ROW(TableDiv[Agency])-ROW(TableDiv[[#Headers],[Agency]])),COLUMNS($F$7:N$7))))</f>
        <v>0</v>
      </c>
      <c r="O383" s="2223" cm="1">
        <f t="array" ref="O383">IF($D383&lt;COLUMNS($F$7:O$7),"",INDEX(TableDiv[[GASB]:[GASB]],_xlfn.AGGREGATE(15,3,(TableDiv[[Agency]:[Agency]]=$E383)/(TableDiv[[Agency]:[Agency]]=$E383)*(ROW(TableDiv[Agency])-ROW(TableDiv[[#Headers],[Agency]])),COLUMNS($F$7:O$7))))</f>
        <v>0</v>
      </c>
      <c r="P383" s="2223" cm="1">
        <f t="array" ref="P383">IF($D383&lt;COLUMNS($F$7:P$7),"",INDEX(TableDiv[[GASB]:[GASB]],_xlfn.AGGREGATE(15,3,(TableDiv[[Agency]:[Agency]]=$E383)/(TableDiv[[Agency]:[Agency]]=$E383)*(ROW(TableDiv[Agency])-ROW(TableDiv[[#Headers],[Agency]])),COLUMNS($F$7:P$7))))</f>
        <v>0</v>
      </c>
      <c r="Q383" s="2223" cm="1">
        <f t="array" ref="Q383">IF($D383&lt;COLUMNS($F$7:Q$7),"",INDEX(TableDiv[[GASB]:[GASB]],_xlfn.AGGREGATE(15,3,(TableDiv[[Agency]:[Agency]]=$E383)/(TableDiv[[Agency]:[Agency]]=$E383)*(ROW(TableDiv[Agency])-ROW(TableDiv[[#Headers],[Agency]])),COLUMNS($F$7:Q$7))))</f>
        <v>0</v>
      </c>
      <c r="R383" s="2223" cm="1">
        <f t="array" ref="R383">IF($D383&lt;COLUMNS($F$7:R$7),"",INDEX(TableDiv[[GASB]:[GASB]],_xlfn.AGGREGATE(15,3,(TableDiv[[Agency]:[Agency]]=$E383)/(TableDiv[[Agency]:[Agency]]=$E383)*(ROW(TableDiv[Agency])-ROW(TableDiv[[#Headers],[Agency]])),COLUMNS($F$7:R$7))))</f>
        <v>0</v>
      </c>
      <c r="S383" s="2223" cm="1">
        <f t="array" ref="S383">IF($D383&lt;COLUMNS($F$7:S$7),"",INDEX(TableDiv[[GASB]:[GASB]],_xlfn.AGGREGATE(15,3,(TableDiv[[Agency]:[Agency]]=$E383)/(TableDiv[[Agency]:[Agency]]=$E383)*(ROW(TableDiv[Agency])-ROW(TableDiv[[#Headers],[Agency]])),COLUMNS($F$7:S$7))))</f>
        <v>0</v>
      </c>
      <c r="T383" s="2223" cm="1">
        <f t="array" ref="T383">IF($D383&lt;COLUMNS($F$7:T$7),"",INDEX(TableDiv[[GASB]:[GASB]],_xlfn.AGGREGATE(15,3,(TableDiv[[Agency]:[Agency]]=$E383)/(TableDiv[[Agency]:[Agency]]=$E383)*(ROW(TableDiv[Agency])-ROW(TableDiv[[#Headers],[Agency]])),COLUMNS($F$7:T$7))))</f>
        <v>0</v>
      </c>
      <c r="U383" s="2223" cm="1">
        <f t="array" ref="U383">IF($D383&lt;COLUMNS($F$7:U$7),"",INDEX(TableDiv[[GASB]:[GASB]],_xlfn.AGGREGATE(15,3,(TableDiv[[Agency]:[Agency]]=$E383)/(TableDiv[[Agency]:[Agency]]=$E383)*(ROW(TableDiv[Agency])-ROW(TableDiv[[#Headers],[Agency]])),COLUMNS($F$7:U$7))))</f>
        <v>0</v>
      </c>
      <c r="V383" s="2223" cm="1">
        <f t="array" ref="V383">IF($D383&lt;COLUMNS($F$7:V$7),"",INDEX(TableDiv[[GASB]:[GASB]],_xlfn.AGGREGATE(15,3,(TableDiv[[Agency]:[Agency]]=$E383)/(TableDiv[[Agency]:[Agency]]=$E383)*(ROW(TableDiv[Agency])-ROW(TableDiv[[#Headers],[Agency]])),COLUMNS($F$7:V$7))))</f>
        <v>0</v>
      </c>
      <c r="W383" s="2223" cm="1">
        <f t="array" ref="W383">IF($D383&lt;COLUMNS($F$7:W$7),"",INDEX(TableDiv[[GASB]:[GASB]],_xlfn.AGGREGATE(15,3,(TableDiv[[Agency]:[Agency]]=$E383)/(TableDiv[[Agency]:[Agency]]=$E383)*(ROW(TableDiv[Agency])-ROW(TableDiv[[#Headers],[Agency]])),COLUMNS($F$7:W$7))))</f>
        <v>0</v>
      </c>
      <c r="X383" s="2223" cm="1">
        <f t="array" ref="X383">IF($D383&lt;COLUMNS($F$7:X$7),"",INDEX(TableDiv[[GASB]:[GASB]],_xlfn.AGGREGATE(15,3,(TableDiv[[Agency]:[Agency]]=$E383)/(TableDiv[[Agency]:[Agency]]=$E383)*(ROW(TableDiv[Agency])-ROW(TableDiv[[#Headers],[Agency]])),COLUMNS($F$7:X$7))))</f>
        <v>0</v>
      </c>
      <c r="Y383" s="2223" cm="1">
        <f t="array" ref="Y383">IF($D383&lt;COLUMNS($F$7:Y$7),"",INDEX(TableDiv[[GASB]:[GASB]],_xlfn.AGGREGATE(15,3,(TableDiv[[Agency]:[Agency]]=$E383)/(TableDiv[[Agency]:[Agency]]=$E383)*(ROW(TableDiv[Agency])-ROW(TableDiv[[#Headers],[Agency]])),COLUMNS($F$7:Y$7))))</f>
        <v>0</v>
      </c>
      <c r="Z383" s="2223" cm="1">
        <f t="array" ref="Z383">IF($D383&lt;COLUMNS($F$7:Z$7),"",INDEX(TableDiv[[GASB]:[GASB]],_xlfn.AGGREGATE(15,3,(TableDiv[[Agency]:[Agency]]=$E383)/(TableDiv[[Agency]:[Agency]]=$E383)*(ROW(TableDiv[Agency])-ROW(TableDiv[[#Headers],[Agency]])),COLUMNS($F$7:Z$7))))</f>
        <v>0</v>
      </c>
      <c r="AA383" s="2223" cm="1">
        <f t="array" ref="AA383">IF($D383&lt;COLUMNS($F$7:AA$7),"",INDEX(TableDiv[[GASB]:[GASB]],_xlfn.AGGREGATE(15,3,(TableDiv[[Agency]:[Agency]]=$E383)/(TableDiv[[Agency]:[Agency]]=$E383)*(ROW(TableDiv[Agency])-ROW(TableDiv[[#Headers],[Agency]])),COLUMNS($F$7:AA$7))))</f>
        <v>0</v>
      </c>
      <c r="AB383" s="2223" cm="1">
        <f t="array" ref="AB383">IF($D383&lt;COLUMNS($F$7:AB$7),"",INDEX(TableDiv[[GASB]:[GASB]],_xlfn.AGGREGATE(15,3,(TableDiv[[Agency]:[Agency]]=$E383)/(TableDiv[[Agency]:[Agency]]=$E383)*(ROW(TableDiv[Agency])-ROW(TableDiv[[#Headers],[Agency]])),COLUMNS($F$7:AB$7))))</f>
        <v>0</v>
      </c>
      <c r="AC383" s="2223" cm="1">
        <f t="array" ref="AC383">IF($D383&lt;COLUMNS($F$7:AC$7),"",INDEX(TableDiv[[GASB]:[GASB]],_xlfn.AGGREGATE(15,3,(TableDiv[[Agency]:[Agency]]=$E383)/(TableDiv[[Agency]:[Agency]]=$E383)*(ROW(TableDiv[Agency])-ROW(TableDiv[[#Headers],[Agency]])),COLUMNS($F$7:AC$7))))</f>
        <v>0</v>
      </c>
      <c r="AD383" s="2223" cm="1">
        <f t="array" ref="AD383">IF($D383&lt;COLUMNS($F$7:AD$7),"",INDEX(TableDiv[[GASB]:[GASB]],_xlfn.AGGREGATE(15,3,(TableDiv[[Agency]:[Agency]]=$E383)/(TableDiv[[Agency]:[Agency]]=$E383)*(ROW(TableDiv[Agency])-ROW(TableDiv[[#Headers],[Agency]])),COLUMNS($F$7:AD$7))))</f>
        <v>0</v>
      </c>
      <c r="AE383" s="2223" cm="1">
        <f t="array" ref="AE383">IF($D383&lt;COLUMNS($F$7:AE$7),"",INDEX(TableDiv[[GASB]:[GASB]],_xlfn.AGGREGATE(15,3,(TableDiv[[Agency]:[Agency]]=$E383)/(TableDiv[[Agency]:[Agency]]=$E383)*(ROW(TableDiv[Agency])-ROW(TableDiv[[#Headers],[Agency]])),COLUMNS($F$7:AE$7))))</f>
        <v>0</v>
      </c>
      <c r="AF383" s="2223" cm="1">
        <f t="array" ref="AF383">IF($D383&lt;COLUMNS($F$7:AF$7),"",INDEX(TableDiv[[GASB]:[GASB]],_xlfn.AGGREGATE(15,3,(TableDiv[[Agency]:[Agency]]=$E383)/(TableDiv[[Agency]:[Agency]]=$E383)*(ROW(TableDiv[Agency])-ROW(TableDiv[[#Headers],[Agency]])),COLUMNS($F$7:AF$7))))</f>
        <v>0</v>
      </c>
      <c r="AG383" s="2223" cm="1">
        <f t="array" ref="AG383">IF($D383&lt;COLUMNS($F$7:AG$7),"",INDEX(TableDiv[[GASB]:[GASB]],_xlfn.AGGREGATE(15,3,(TableDiv[[Agency]:[Agency]]=$E383)/(TableDiv[[Agency]:[Agency]]=$E383)*(ROW(TableDiv[Agency])-ROW(TableDiv[[#Headers],[Agency]])),COLUMNS($F$7:AG$7))))</f>
        <v>0</v>
      </c>
      <c r="AH383" s="2223" cm="1">
        <f t="array" ref="AH383">IF($D383&lt;COLUMNS($F$7:AH$7),"",INDEX(TableDiv[[GASB]:[GASB]],_xlfn.AGGREGATE(15,3,(TableDiv[[Agency]:[Agency]]=$E383)/(TableDiv[[Agency]:[Agency]]=$E383)*(ROW(TableDiv[Agency])-ROW(TableDiv[[#Headers],[Agency]])),COLUMNS($F$7:AH$7))))</f>
        <v>0</v>
      </c>
      <c r="AI383" s="2223" cm="1">
        <f t="array" ref="AI383">IF($D383&lt;COLUMNS($F$7:AI$7),"",INDEX(TableDiv[[GASB]:[GASB]],_xlfn.AGGREGATE(15,3,(TableDiv[[Agency]:[Agency]]=$E383)/(TableDiv[[Agency]:[Agency]]=$E383)*(ROW(TableDiv[Agency])-ROW(TableDiv[[#Headers],[Agency]])),COLUMNS($F$7:AI$7))))</f>
        <v>0</v>
      </c>
      <c r="AJ383" s="2223" cm="1">
        <f t="array" ref="AJ383">IF($D383&lt;COLUMNS($F$7:AJ$7),"",INDEX(TableDiv[[GASB]:[GASB]],_xlfn.AGGREGATE(15,3,(TableDiv[[Agency]:[Agency]]=$E383)/(TableDiv[[Agency]:[Agency]]=$E383)*(ROW(TableDiv[Agency])-ROW(TableDiv[[#Headers],[Agency]])),COLUMNS($F$7:AJ$7))))</f>
        <v>0</v>
      </c>
      <c r="AK383" s="2223" t="str" cm="1">
        <f t="array" ref="AK383">IF($D383&lt;COLUMNS($F$7:AK$7),"",INDEX(TableDiv[[GASB]:[GASB]],_xlfn.AGGREGATE(15,3,(TableDiv[[Agency]:[Agency]]=$E383)/(TableDiv[[Agency]:[Agency]]=$E383)*(ROW(TableDiv[Agency])-ROW(TableDiv[[#Headers],[Agency]])),COLUMNS($F$7:AK$7))))</f>
        <v/>
      </c>
      <c r="AL383" s="2223" t="str" cm="1">
        <f t="array" ref="AL383">IF($D383&lt;COLUMNS($F$7:AL$7),"",INDEX(TableDiv[[GASB]:[GASB]],_xlfn.AGGREGATE(15,3,(TableDiv[[Agency]:[Agency]]=$E383)/(TableDiv[[Agency]:[Agency]]=$E383)*(ROW(TableDiv[Agency])-ROW(TableDiv[[#Headers],[Agency]])),COLUMNS($F$7:AL$7))))</f>
        <v/>
      </c>
      <c r="AM383" s="2223" t="str" cm="1">
        <f t="array" ref="AM383">IF($D383&lt;COLUMNS($F$7:AM$7),"",INDEX(TableDiv[[GASB]:[GASB]],_xlfn.AGGREGATE(15,3,(TableDiv[[Agency]:[Agency]]=$E383)/(TableDiv[[Agency]:[Agency]]=$E383)*(ROW(TableDiv[Agency])-ROW(TableDiv[[#Headers],[Agency]])),COLUMNS($F$7:AM$7))))</f>
        <v/>
      </c>
      <c r="AN383" s="2223"/>
      <c r="AO383" s="2223"/>
      <c r="AP383" s="2223"/>
      <c r="AQ383" s="2223"/>
      <c r="AR383" s="2223"/>
      <c r="AS383" s="2223"/>
    </row>
    <row r="384" spans="1:45" ht="15" x14ac:dyDescent="0.25">
      <c r="A384" s="2219" t="s">
        <v>6501</v>
      </c>
      <c r="B384" s="2219" t="s">
        <v>6497</v>
      </c>
      <c r="C384" s="2223"/>
      <c r="D384" s="2223">
        <f>COUNTIF(TableDiv[Agency],E384)</f>
        <v>31</v>
      </c>
      <c r="E384" s="2230" t="str" cm="1">
        <f t="array" ref="E384">IFERROR(INDEX(TableDiv[Agency],MATCH(0,INDEX(COUNTIF($E$7:E383,TableDiv[Agency]),),0)),"")</f>
        <v/>
      </c>
      <c r="F384" s="2223" cm="1">
        <f t="array" ref="F384">IF($D384&lt;COLUMNS($F$7:F$7),"",INDEX(TableDiv[[GASB]:[GASB]],_xlfn.AGGREGATE(15,3,(TableDiv[[Agency]:[Agency]]=$E384)/(TableDiv[[Agency]:[Agency]]=$E384)*(ROW(TableDiv[Agency])-ROW(TableDiv[[#Headers],[Agency]])),COLUMNS($F$7:F$7))))</f>
        <v>0</v>
      </c>
      <c r="G384" s="2223" cm="1">
        <f t="array" ref="G384">IF($D384&lt;COLUMNS($F$7:G$7),"",INDEX(TableDiv[[GASB]:[GASB]],_xlfn.AGGREGATE(15,3,(TableDiv[[Agency]:[Agency]]=$E384)/(TableDiv[[Agency]:[Agency]]=$E384)*(ROW(TableDiv[Agency])-ROW(TableDiv[[#Headers],[Agency]])),COLUMNS($F$7:G$7))))</f>
        <v>0</v>
      </c>
      <c r="H384" s="2223" cm="1">
        <f t="array" ref="H384">IF($D384&lt;COLUMNS($F$7:H$7),"",INDEX(TableDiv[[GASB]:[GASB]],_xlfn.AGGREGATE(15,3,(TableDiv[[Agency]:[Agency]]=$E384)/(TableDiv[[Agency]:[Agency]]=$E384)*(ROW(TableDiv[Agency])-ROW(TableDiv[[#Headers],[Agency]])),COLUMNS($F$7:H$7))))</f>
        <v>0</v>
      </c>
      <c r="I384" s="2223" cm="1">
        <f t="array" ref="I384">IF($D384&lt;COLUMNS($F$7:I$7),"",INDEX(TableDiv[[GASB]:[GASB]],_xlfn.AGGREGATE(15,3,(TableDiv[[Agency]:[Agency]]=$E384)/(TableDiv[[Agency]:[Agency]]=$E384)*(ROW(TableDiv[Agency])-ROW(TableDiv[[#Headers],[Agency]])),COLUMNS($F$7:I$7))))</f>
        <v>0</v>
      </c>
      <c r="J384" s="2223" cm="1">
        <f t="array" ref="J384">IF($D384&lt;COLUMNS($F$7:J$7),"",INDEX(TableDiv[[GASB]:[GASB]],_xlfn.AGGREGATE(15,3,(TableDiv[[Agency]:[Agency]]=$E384)/(TableDiv[[Agency]:[Agency]]=$E384)*(ROW(TableDiv[Agency])-ROW(TableDiv[[#Headers],[Agency]])),COLUMNS($F$7:J$7))))</f>
        <v>0</v>
      </c>
      <c r="K384" s="2223" cm="1">
        <f t="array" ref="K384">IF($D384&lt;COLUMNS($F$7:K$7),"",INDEX(TableDiv[[GASB]:[GASB]],_xlfn.AGGREGATE(15,3,(TableDiv[[Agency]:[Agency]]=$E384)/(TableDiv[[Agency]:[Agency]]=$E384)*(ROW(TableDiv[Agency])-ROW(TableDiv[[#Headers],[Agency]])),COLUMNS($F$7:K$7))))</f>
        <v>0</v>
      </c>
      <c r="L384" s="2223" cm="1">
        <f t="array" ref="L384">IF($D384&lt;COLUMNS($F$7:L$7),"",INDEX(TableDiv[[GASB]:[GASB]],_xlfn.AGGREGATE(15,3,(TableDiv[[Agency]:[Agency]]=$E384)/(TableDiv[[Agency]:[Agency]]=$E384)*(ROW(TableDiv[Agency])-ROW(TableDiv[[#Headers],[Agency]])),COLUMNS($F$7:L$7))))</f>
        <v>0</v>
      </c>
      <c r="M384" s="2223" cm="1">
        <f t="array" ref="M384">IF($D384&lt;COLUMNS($F$7:M$7),"",INDEX(TableDiv[[GASB]:[GASB]],_xlfn.AGGREGATE(15,3,(TableDiv[[Agency]:[Agency]]=$E384)/(TableDiv[[Agency]:[Agency]]=$E384)*(ROW(TableDiv[Agency])-ROW(TableDiv[[#Headers],[Agency]])),COLUMNS($F$7:M$7))))</f>
        <v>0</v>
      </c>
      <c r="N384" s="2223" cm="1">
        <f t="array" ref="N384">IF($D384&lt;COLUMNS($F$7:N$7),"",INDEX(TableDiv[[GASB]:[GASB]],_xlfn.AGGREGATE(15,3,(TableDiv[[Agency]:[Agency]]=$E384)/(TableDiv[[Agency]:[Agency]]=$E384)*(ROW(TableDiv[Agency])-ROW(TableDiv[[#Headers],[Agency]])),COLUMNS($F$7:N$7))))</f>
        <v>0</v>
      </c>
      <c r="O384" s="2223" cm="1">
        <f t="array" ref="O384">IF($D384&lt;COLUMNS($F$7:O$7),"",INDEX(TableDiv[[GASB]:[GASB]],_xlfn.AGGREGATE(15,3,(TableDiv[[Agency]:[Agency]]=$E384)/(TableDiv[[Agency]:[Agency]]=$E384)*(ROW(TableDiv[Agency])-ROW(TableDiv[[#Headers],[Agency]])),COLUMNS($F$7:O$7))))</f>
        <v>0</v>
      </c>
      <c r="P384" s="2223" cm="1">
        <f t="array" ref="P384">IF($D384&lt;COLUMNS($F$7:P$7),"",INDEX(TableDiv[[GASB]:[GASB]],_xlfn.AGGREGATE(15,3,(TableDiv[[Agency]:[Agency]]=$E384)/(TableDiv[[Agency]:[Agency]]=$E384)*(ROW(TableDiv[Agency])-ROW(TableDiv[[#Headers],[Agency]])),COLUMNS($F$7:P$7))))</f>
        <v>0</v>
      </c>
      <c r="Q384" s="2223" cm="1">
        <f t="array" ref="Q384">IF($D384&lt;COLUMNS($F$7:Q$7),"",INDEX(TableDiv[[GASB]:[GASB]],_xlfn.AGGREGATE(15,3,(TableDiv[[Agency]:[Agency]]=$E384)/(TableDiv[[Agency]:[Agency]]=$E384)*(ROW(TableDiv[Agency])-ROW(TableDiv[[#Headers],[Agency]])),COLUMNS($F$7:Q$7))))</f>
        <v>0</v>
      </c>
      <c r="R384" s="2223" cm="1">
        <f t="array" ref="R384">IF($D384&lt;COLUMNS($F$7:R$7),"",INDEX(TableDiv[[GASB]:[GASB]],_xlfn.AGGREGATE(15,3,(TableDiv[[Agency]:[Agency]]=$E384)/(TableDiv[[Agency]:[Agency]]=$E384)*(ROW(TableDiv[Agency])-ROW(TableDiv[[#Headers],[Agency]])),COLUMNS($F$7:R$7))))</f>
        <v>0</v>
      </c>
      <c r="S384" s="2223" cm="1">
        <f t="array" ref="S384">IF($D384&lt;COLUMNS($F$7:S$7),"",INDEX(TableDiv[[GASB]:[GASB]],_xlfn.AGGREGATE(15,3,(TableDiv[[Agency]:[Agency]]=$E384)/(TableDiv[[Agency]:[Agency]]=$E384)*(ROW(TableDiv[Agency])-ROW(TableDiv[[#Headers],[Agency]])),COLUMNS($F$7:S$7))))</f>
        <v>0</v>
      </c>
      <c r="T384" s="2223" cm="1">
        <f t="array" ref="T384">IF($D384&lt;COLUMNS($F$7:T$7),"",INDEX(TableDiv[[GASB]:[GASB]],_xlfn.AGGREGATE(15,3,(TableDiv[[Agency]:[Agency]]=$E384)/(TableDiv[[Agency]:[Agency]]=$E384)*(ROW(TableDiv[Agency])-ROW(TableDiv[[#Headers],[Agency]])),COLUMNS($F$7:T$7))))</f>
        <v>0</v>
      </c>
      <c r="U384" s="2223" cm="1">
        <f t="array" ref="U384">IF($D384&lt;COLUMNS($F$7:U$7),"",INDEX(TableDiv[[GASB]:[GASB]],_xlfn.AGGREGATE(15,3,(TableDiv[[Agency]:[Agency]]=$E384)/(TableDiv[[Agency]:[Agency]]=$E384)*(ROW(TableDiv[Agency])-ROW(TableDiv[[#Headers],[Agency]])),COLUMNS($F$7:U$7))))</f>
        <v>0</v>
      </c>
      <c r="V384" s="2223" cm="1">
        <f t="array" ref="V384">IF($D384&lt;COLUMNS($F$7:V$7),"",INDEX(TableDiv[[GASB]:[GASB]],_xlfn.AGGREGATE(15,3,(TableDiv[[Agency]:[Agency]]=$E384)/(TableDiv[[Agency]:[Agency]]=$E384)*(ROW(TableDiv[Agency])-ROW(TableDiv[[#Headers],[Agency]])),COLUMNS($F$7:V$7))))</f>
        <v>0</v>
      </c>
      <c r="W384" s="2223" cm="1">
        <f t="array" ref="W384">IF($D384&lt;COLUMNS($F$7:W$7),"",INDEX(TableDiv[[GASB]:[GASB]],_xlfn.AGGREGATE(15,3,(TableDiv[[Agency]:[Agency]]=$E384)/(TableDiv[[Agency]:[Agency]]=$E384)*(ROW(TableDiv[Agency])-ROW(TableDiv[[#Headers],[Agency]])),COLUMNS($F$7:W$7))))</f>
        <v>0</v>
      </c>
      <c r="X384" s="2223" cm="1">
        <f t="array" ref="X384">IF($D384&lt;COLUMNS($F$7:X$7),"",INDEX(TableDiv[[GASB]:[GASB]],_xlfn.AGGREGATE(15,3,(TableDiv[[Agency]:[Agency]]=$E384)/(TableDiv[[Agency]:[Agency]]=$E384)*(ROW(TableDiv[Agency])-ROW(TableDiv[[#Headers],[Agency]])),COLUMNS($F$7:X$7))))</f>
        <v>0</v>
      </c>
      <c r="Y384" s="2223" cm="1">
        <f t="array" ref="Y384">IF($D384&lt;COLUMNS($F$7:Y$7),"",INDEX(TableDiv[[GASB]:[GASB]],_xlfn.AGGREGATE(15,3,(TableDiv[[Agency]:[Agency]]=$E384)/(TableDiv[[Agency]:[Agency]]=$E384)*(ROW(TableDiv[Agency])-ROW(TableDiv[[#Headers],[Agency]])),COLUMNS($F$7:Y$7))))</f>
        <v>0</v>
      </c>
      <c r="Z384" s="2223" cm="1">
        <f t="array" ref="Z384">IF($D384&lt;COLUMNS($F$7:Z$7),"",INDEX(TableDiv[[GASB]:[GASB]],_xlfn.AGGREGATE(15,3,(TableDiv[[Agency]:[Agency]]=$E384)/(TableDiv[[Agency]:[Agency]]=$E384)*(ROW(TableDiv[Agency])-ROW(TableDiv[[#Headers],[Agency]])),COLUMNS($F$7:Z$7))))</f>
        <v>0</v>
      </c>
      <c r="AA384" s="2223" cm="1">
        <f t="array" ref="AA384">IF($D384&lt;COLUMNS($F$7:AA$7),"",INDEX(TableDiv[[GASB]:[GASB]],_xlfn.AGGREGATE(15,3,(TableDiv[[Agency]:[Agency]]=$E384)/(TableDiv[[Agency]:[Agency]]=$E384)*(ROW(TableDiv[Agency])-ROW(TableDiv[[#Headers],[Agency]])),COLUMNS($F$7:AA$7))))</f>
        <v>0</v>
      </c>
      <c r="AB384" s="2223" cm="1">
        <f t="array" ref="AB384">IF($D384&lt;COLUMNS($F$7:AB$7),"",INDEX(TableDiv[[GASB]:[GASB]],_xlfn.AGGREGATE(15,3,(TableDiv[[Agency]:[Agency]]=$E384)/(TableDiv[[Agency]:[Agency]]=$E384)*(ROW(TableDiv[Agency])-ROW(TableDiv[[#Headers],[Agency]])),COLUMNS($F$7:AB$7))))</f>
        <v>0</v>
      </c>
      <c r="AC384" s="2223" cm="1">
        <f t="array" ref="AC384">IF($D384&lt;COLUMNS($F$7:AC$7),"",INDEX(TableDiv[[GASB]:[GASB]],_xlfn.AGGREGATE(15,3,(TableDiv[[Agency]:[Agency]]=$E384)/(TableDiv[[Agency]:[Agency]]=$E384)*(ROW(TableDiv[Agency])-ROW(TableDiv[[#Headers],[Agency]])),COLUMNS($F$7:AC$7))))</f>
        <v>0</v>
      </c>
      <c r="AD384" s="2223" cm="1">
        <f t="array" ref="AD384">IF($D384&lt;COLUMNS($F$7:AD$7),"",INDEX(TableDiv[[GASB]:[GASB]],_xlfn.AGGREGATE(15,3,(TableDiv[[Agency]:[Agency]]=$E384)/(TableDiv[[Agency]:[Agency]]=$E384)*(ROW(TableDiv[Agency])-ROW(TableDiv[[#Headers],[Agency]])),COLUMNS($F$7:AD$7))))</f>
        <v>0</v>
      </c>
      <c r="AE384" s="2223" cm="1">
        <f t="array" ref="AE384">IF($D384&lt;COLUMNS($F$7:AE$7),"",INDEX(TableDiv[[GASB]:[GASB]],_xlfn.AGGREGATE(15,3,(TableDiv[[Agency]:[Agency]]=$E384)/(TableDiv[[Agency]:[Agency]]=$E384)*(ROW(TableDiv[Agency])-ROW(TableDiv[[#Headers],[Agency]])),COLUMNS($F$7:AE$7))))</f>
        <v>0</v>
      </c>
      <c r="AF384" s="2223" cm="1">
        <f t="array" ref="AF384">IF($D384&lt;COLUMNS($F$7:AF$7),"",INDEX(TableDiv[[GASB]:[GASB]],_xlfn.AGGREGATE(15,3,(TableDiv[[Agency]:[Agency]]=$E384)/(TableDiv[[Agency]:[Agency]]=$E384)*(ROW(TableDiv[Agency])-ROW(TableDiv[[#Headers],[Agency]])),COLUMNS($F$7:AF$7))))</f>
        <v>0</v>
      </c>
      <c r="AG384" s="2223" cm="1">
        <f t="array" ref="AG384">IF($D384&lt;COLUMNS($F$7:AG$7),"",INDEX(TableDiv[[GASB]:[GASB]],_xlfn.AGGREGATE(15,3,(TableDiv[[Agency]:[Agency]]=$E384)/(TableDiv[[Agency]:[Agency]]=$E384)*(ROW(TableDiv[Agency])-ROW(TableDiv[[#Headers],[Agency]])),COLUMNS($F$7:AG$7))))</f>
        <v>0</v>
      </c>
      <c r="AH384" s="2223" cm="1">
        <f t="array" ref="AH384">IF($D384&lt;COLUMNS($F$7:AH$7),"",INDEX(TableDiv[[GASB]:[GASB]],_xlfn.AGGREGATE(15,3,(TableDiv[[Agency]:[Agency]]=$E384)/(TableDiv[[Agency]:[Agency]]=$E384)*(ROW(TableDiv[Agency])-ROW(TableDiv[[#Headers],[Agency]])),COLUMNS($F$7:AH$7))))</f>
        <v>0</v>
      </c>
      <c r="AI384" s="2223" cm="1">
        <f t="array" ref="AI384">IF($D384&lt;COLUMNS($F$7:AI$7),"",INDEX(TableDiv[[GASB]:[GASB]],_xlfn.AGGREGATE(15,3,(TableDiv[[Agency]:[Agency]]=$E384)/(TableDiv[[Agency]:[Agency]]=$E384)*(ROW(TableDiv[Agency])-ROW(TableDiv[[#Headers],[Agency]])),COLUMNS($F$7:AI$7))))</f>
        <v>0</v>
      </c>
      <c r="AJ384" s="2223" cm="1">
        <f t="array" ref="AJ384">IF($D384&lt;COLUMNS($F$7:AJ$7),"",INDEX(TableDiv[[GASB]:[GASB]],_xlfn.AGGREGATE(15,3,(TableDiv[[Agency]:[Agency]]=$E384)/(TableDiv[[Agency]:[Agency]]=$E384)*(ROW(TableDiv[Agency])-ROW(TableDiv[[#Headers],[Agency]])),COLUMNS($F$7:AJ$7))))</f>
        <v>0</v>
      </c>
      <c r="AK384" s="2223" t="str" cm="1">
        <f t="array" ref="AK384">IF($D384&lt;COLUMNS($F$7:AK$7),"",INDEX(TableDiv[[GASB]:[GASB]],_xlfn.AGGREGATE(15,3,(TableDiv[[Agency]:[Agency]]=$E384)/(TableDiv[[Agency]:[Agency]]=$E384)*(ROW(TableDiv[Agency])-ROW(TableDiv[[#Headers],[Agency]])),COLUMNS($F$7:AK$7))))</f>
        <v/>
      </c>
      <c r="AL384" s="2223" t="str" cm="1">
        <f t="array" ref="AL384">IF($D384&lt;COLUMNS($F$7:AL$7),"",INDEX(TableDiv[[GASB]:[GASB]],_xlfn.AGGREGATE(15,3,(TableDiv[[Agency]:[Agency]]=$E384)/(TableDiv[[Agency]:[Agency]]=$E384)*(ROW(TableDiv[Agency])-ROW(TableDiv[[#Headers],[Agency]])),COLUMNS($F$7:AL$7))))</f>
        <v/>
      </c>
      <c r="AM384" s="2223" t="str" cm="1">
        <f t="array" ref="AM384">IF($D384&lt;COLUMNS($F$7:AM$7),"",INDEX(TableDiv[[GASB]:[GASB]],_xlfn.AGGREGATE(15,3,(TableDiv[[Agency]:[Agency]]=$E384)/(TableDiv[[Agency]:[Agency]]=$E384)*(ROW(TableDiv[Agency])-ROW(TableDiv[[#Headers],[Agency]])),COLUMNS($F$7:AM$7))))</f>
        <v/>
      </c>
      <c r="AN384" s="2223"/>
      <c r="AO384" s="2223"/>
      <c r="AP384" s="2223"/>
      <c r="AQ384" s="2223"/>
      <c r="AR384" s="2223"/>
      <c r="AS384" s="2223"/>
    </row>
    <row r="385" spans="1:45" ht="15" x14ac:dyDescent="0.25">
      <c r="A385" s="2219" t="s">
        <v>6502</v>
      </c>
      <c r="B385" s="2219" t="s">
        <v>6497</v>
      </c>
      <c r="C385" s="2223"/>
      <c r="D385" s="2223">
        <f>COUNTIF(TableDiv[Agency],E385)</f>
        <v>31</v>
      </c>
      <c r="E385" s="2230" t="str" cm="1">
        <f t="array" ref="E385">IFERROR(INDEX(TableDiv[Agency],MATCH(0,INDEX(COUNTIF($E$7:E384,TableDiv[Agency]),),0)),"")</f>
        <v/>
      </c>
      <c r="F385" s="2223" cm="1">
        <f t="array" ref="F385">IF($D385&lt;COLUMNS($F$7:F$7),"",INDEX(TableDiv[[GASB]:[GASB]],_xlfn.AGGREGATE(15,3,(TableDiv[[Agency]:[Agency]]=$E385)/(TableDiv[[Agency]:[Agency]]=$E385)*(ROW(TableDiv[Agency])-ROW(TableDiv[[#Headers],[Agency]])),COLUMNS($F$7:F$7))))</f>
        <v>0</v>
      </c>
      <c r="G385" s="2223" cm="1">
        <f t="array" ref="G385">IF($D385&lt;COLUMNS($F$7:G$7),"",INDEX(TableDiv[[GASB]:[GASB]],_xlfn.AGGREGATE(15,3,(TableDiv[[Agency]:[Agency]]=$E385)/(TableDiv[[Agency]:[Agency]]=$E385)*(ROW(TableDiv[Agency])-ROW(TableDiv[[#Headers],[Agency]])),COLUMNS($F$7:G$7))))</f>
        <v>0</v>
      </c>
      <c r="H385" s="2223" cm="1">
        <f t="array" ref="H385">IF($D385&lt;COLUMNS($F$7:H$7),"",INDEX(TableDiv[[GASB]:[GASB]],_xlfn.AGGREGATE(15,3,(TableDiv[[Agency]:[Agency]]=$E385)/(TableDiv[[Agency]:[Agency]]=$E385)*(ROW(TableDiv[Agency])-ROW(TableDiv[[#Headers],[Agency]])),COLUMNS($F$7:H$7))))</f>
        <v>0</v>
      </c>
      <c r="I385" s="2223" cm="1">
        <f t="array" ref="I385">IF($D385&lt;COLUMNS($F$7:I$7),"",INDEX(TableDiv[[GASB]:[GASB]],_xlfn.AGGREGATE(15,3,(TableDiv[[Agency]:[Agency]]=$E385)/(TableDiv[[Agency]:[Agency]]=$E385)*(ROW(TableDiv[Agency])-ROW(TableDiv[[#Headers],[Agency]])),COLUMNS($F$7:I$7))))</f>
        <v>0</v>
      </c>
      <c r="J385" s="2223" cm="1">
        <f t="array" ref="J385">IF($D385&lt;COLUMNS($F$7:J$7),"",INDEX(TableDiv[[GASB]:[GASB]],_xlfn.AGGREGATE(15,3,(TableDiv[[Agency]:[Agency]]=$E385)/(TableDiv[[Agency]:[Agency]]=$E385)*(ROW(TableDiv[Agency])-ROW(TableDiv[[#Headers],[Agency]])),COLUMNS($F$7:J$7))))</f>
        <v>0</v>
      </c>
      <c r="K385" s="2223" cm="1">
        <f t="array" ref="K385">IF($D385&lt;COLUMNS($F$7:K$7),"",INDEX(TableDiv[[GASB]:[GASB]],_xlfn.AGGREGATE(15,3,(TableDiv[[Agency]:[Agency]]=$E385)/(TableDiv[[Agency]:[Agency]]=$E385)*(ROW(TableDiv[Agency])-ROW(TableDiv[[#Headers],[Agency]])),COLUMNS($F$7:K$7))))</f>
        <v>0</v>
      </c>
      <c r="L385" s="2223" cm="1">
        <f t="array" ref="L385">IF($D385&lt;COLUMNS($F$7:L$7),"",INDEX(TableDiv[[GASB]:[GASB]],_xlfn.AGGREGATE(15,3,(TableDiv[[Agency]:[Agency]]=$E385)/(TableDiv[[Agency]:[Agency]]=$E385)*(ROW(TableDiv[Agency])-ROW(TableDiv[[#Headers],[Agency]])),COLUMNS($F$7:L$7))))</f>
        <v>0</v>
      </c>
      <c r="M385" s="2223" cm="1">
        <f t="array" ref="M385">IF($D385&lt;COLUMNS($F$7:M$7),"",INDEX(TableDiv[[GASB]:[GASB]],_xlfn.AGGREGATE(15,3,(TableDiv[[Agency]:[Agency]]=$E385)/(TableDiv[[Agency]:[Agency]]=$E385)*(ROW(TableDiv[Agency])-ROW(TableDiv[[#Headers],[Agency]])),COLUMNS($F$7:M$7))))</f>
        <v>0</v>
      </c>
      <c r="N385" s="2223" cm="1">
        <f t="array" ref="N385">IF($D385&lt;COLUMNS($F$7:N$7),"",INDEX(TableDiv[[GASB]:[GASB]],_xlfn.AGGREGATE(15,3,(TableDiv[[Agency]:[Agency]]=$E385)/(TableDiv[[Agency]:[Agency]]=$E385)*(ROW(TableDiv[Agency])-ROW(TableDiv[[#Headers],[Agency]])),COLUMNS($F$7:N$7))))</f>
        <v>0</v>
      </c>
      <c r="O385" s="2223" cm="1">
        <f t="array" ref="O385">IF($D385&lt;COLUMNS($F$7:O$7),"",INDEX(TableDiv[[GASB]:[GASB]],_xlfn.AGGREGATE(15,3,(TableDiv[[Agency]:[Agency]]=$E385)/(TableDiv[[Agency]:[Agency]]=$E385)*(ROW(TableDiv[Agency])-ROW(TableDiv[[#Headers],[Agency]])),COLUMNS($F$7:O$7))))</f>
        <v>0</v>
      </c>
      <c r="P385" s="2223" cm="1">
        <f t="array" ref="P385">IF($D385&lt;COLUMNS($F$7:P$7),"",INDEX(TableDiv[[GASB]:[GASB]],_xlfn.AGGREGATE(15,3,(TableDiv[[Agency]:[Agency]]=$E385)/(TableDiv[[Agency]:[Agency]]=$E385)*(ROW(TableDiv[Agency])-ROW(TableDiv[[#Headers],[Agency]])),COLUMNS($F$7:P$7))))</f>
        <v>0</v>
      </c>
      <c r="Q385" s="2223" cm="1">
        <f t="array" ref="Q385">IF($D385&lt;COLUMNS($F$7:Q$7),"",INDEX(TableDiv[[GASB]:[GASB]],_xlfn.AGGREGATE(15,3,(TableDiv[[Agency]:[Agency]]=$E385)/(TableDiv[[Agency]:[Agency]]=$E385)*(ROW(TableDiv[Agency])-ROW(TableDiv[[#Headers],[Agency]])),COLUMNS($F$7:Q$7))))</f>
        <v>0</v>
      </c>
      <c r="R385" s="2223" cm="1">
        <f t="array" ref="R385">IF($D385&lt;COLUMNS($F$7:R$7),"",INDEX(TableDiv[[GASB]:[GASB]],_xlfn.AGGREGATE(15,3,(TableDiv[[Agency]:[Agency]]=$E385)/(TableDiv[[Agency]:[Agency]]=$E385)*(ROW(TableDiv[Agency])-ROW(TableDiv[[#Headers],[Agency]])),COLUMNS($F$7:R$7))))</f>
        <v>0</v>
      </c>
      <c r="S385" s="2223" cm="1">
        <f t="array" ref="S385">IF($D385&lt;COLUMNS($F$7:S$7),"",INDEX(TableDiv[[GASB]:[GASB]],_xlfn.AGGREGATE(15,3,(TableDiv[[Agency]:[Agency]]=$E385)/(TableDiv[[Agency]:[Agency]]=$E385)*(ROW(TableDiv[Agency])-ROW(TableDiv[[#Headers],[Agency]])),COLUMNS($F$7:S$7))))</f>
        <v>0</v>
      </c>
      <c r="T385" s="2223" cm="1">
        <f t="array" ref="T385">IF($D385&lt;COLUMNS($F$7:T$7),"",INDEX(TableDiv[[GASB]:[GASB]],_xlfn.AGGREGATE(15,3,(TableDiv[[Agency]:[Agency]]=$E385)/(TableDiv[[Agency]:[Agency]]=$E385)*(ROW(TableDiv[Agency])-ROW(TableDiv[[#Headers],[Agency]])),COLUMNS($F$7:T$7))))</f>
        <v>0</v>
      </c>
      <c r="U385" s="2223" cm="1">
        <f t="array" ref="U385">IF($D385&lt;COLUMNS($F$7:U$7),"",INDEX(TableDiv[[GASB]:[GASB]],_xlfn.AGGREGATE(15,3,(TableDiv[[Agency]:[Agency]]=$E385)/(TableDiv[[Agency]:[Agency]]=$E385)*(ROW(TableDiv[Agency])-ROW(TableDiv[[#Headers],[Agency]])),COLUMNS($F$7:U$7))))</f>
        <v>0</v>
      </c>
      <c r="V385" s="2223" cm="1">
        <f t="array" ref="V385">IF($D385&lt;COLUMNS($F$7:V$7),"",INDEX(TableDiv[[GASB]:[GASB]],_xlfn.AGGREGATE(15,3,(TableDiv[[Agency]:[Agency]]=$E385)/(TableDiv[[Agency]:[Agency]]=$E385)*(ROW(TableDiv[Agency])-ROW(TableDiv[[#Headers],[Agency]])),COLUMNS($F$7:V$7))))</f>
        <v>0</v>
      </c>
      <c r="W385" s="2223" cm="1">
        <f t="array" ref="W385">IF($D385&lt;COLUMNS($F$7:W$7),"",INDEX(TableDiv[[GASB]:[GASB]],_xlfn.AGGREGATE(15,3,(TableDiv[[Agency]:[Agency]]=$E385)/(TableDiv[[Agency]:[Agency]]=$E385)*(ROW(TableDiv[Agency])-ROW(TableDiv[[#Headers],[Agency]])),COLUMNS($F$7:W$7))))</f>
        <v>0</v>
      </c>
      <c r="X385" s="2223" cm="1">
        <f t="array" ref="X385">IF($D385&lt;COLUMNS($F$7:X$7),"",INDEX(TableDiv[[GASB]:[GASB]],_xlfn.AGGREGATE(15,3,(TableDiv[[Agency]:[Agency]]=$E385)/(TableDiv[[Agency]:[Agency]]=$E385)*(ROW(TableDiv[Agency])-ROW(TableDiv[[#Headers],[Agency]])),COLUMNS($F$7:X$7))))</f>
        <v>0</v>
      </c>
      <c r="Y385" s="2223" cm="1">
        <f t="array" ref="Y385">IF($D385&lt;COLUMNS($F$7:Y$7),"",INDEX(TableDiv[[GASB]:[GASB]],_xlfn.AGGREGATE(15,3,(TableDiv[[Agency]:[Agency]]=$E385)/(TableDiv[[Agency]:[Agency]]=$E385)*(ROW(TableDiv[Agency])-ROW(TableDiv[[#Headers],[Agency]])),COLUMNS($F$7:Y$7))))</f>
        <v>0</v>
      </c>
      <c r="Z385" s="2223" cm="1">
        <f t="array" ref="Z385">IF($D385&lt;COLUMNS($F$7:Z$7),"",INDEX(TableDiv[[GASB]:[GASB]],_xlfn.AGGREGATE(15,3,(TableDiv[[Agency]:[Agency]]=$E385)/(TableDiv[[Agency]:[Agency]]=$E385)*(ROW(TableDiv[Agency])-ROW(TableDiv[[#Headers],[Agency]])),COLUMNS($F$7:Z$7))))</f>
        <v>0</v>
      </c>
      <c r="AA385" s="2223" cm="1">
        <f t="array" ref="AA385">IF($D385&lt;COLUMNS($F$7:AA$7),"",INDEX(TableDiv[[GASB]:[GASB]],_xlfn.AGGREGATE(15,3,(TableDiv[[Agency]:[Agency]]=$E385)/(TableDiv[[Agency]:[Agency]]=$E385)*(ROW(TableDiv[Agency])-ROW(TableDiv[[#Headers],[Agency]])),COLUMNS($F$7:AA$7))))</f>
        <v>0</v>
      </c>
      <c r="AB385" s="2223" cm="1">
        <f t="array" ref="AB385">IF($D385&lt;COLUMNS($F$7:AB$7),"",INDEX(TableDiv[[GASB]:[GASB]],_xlfn.AGGREGATE(15,3,(TableDiv[[Agency]:[Agency]]=$E385)/(TableDiv[[Agency]:[Agency]]=$E385)*(ROW(TableDiv[Agency])-ROW(TableDiv[[#Headers],[Agency]])),COLUMNS($F$7:AB$7))))</f>
        <v>0</v>
      </c>
      <c r="AC385" s="2223" cm="1">
        <f t="array" ref="AC385">IF($D385&lt;COLUMNS($F$7:AC$7),"",INDEX(TableDiv[[GASB]:[GASB]],_xlfn.AGGREGATE(15,3,(TableDiv[[Agency]:[Agency]]=$E385)/(TableDiv[[Agency]:[Agency]]=$E385)*(ROW(TableDiv[Agency])-ROW(TableDiv[[#Headers],[Agency]])),COLUMNS($F$7:AC$7))))</f>
        <v>0</v>
      </c>
      <c r="AD385" s="2223" cm="1">
        <f t="array" ref="AD385">IF($D385&lt;COLUMNS($F$7:AD$7),"",INDEX(TableDiv[[GASB]:[GASB]],_xlfn.AGGREGATE(15,3,(TableDiv[[Agency]:[Agency]]=$E385)/(TableDiv[[Agency]:[Agency]]=$E385)*(ROW(TableDiv[Agency])-ROW(TableDiv[[#Headers],[Agency]])),COLUMNS($F$7:AD$7))))</f>
        <v>0</v>
      </c>
      <c r="AE385" s="2223" cm="1">
        <f t="array" ref="AE385">IF($D385&lt;COLUMNS($F$7:AE$7),"",INDEX(TableDiv[[GASB]:[GASB]],_xlfn.AGGREGATE(15,3,(TableDiv[[Agency]:[Agency]]=$E385)/(TableDiv[[Agency]:[Agency]]=$E385)*(ROW(TableDiv[Agency])-ROW(TableDiv[[#Headers],[Agency]])),COLUMNS($F$7:AE$7))))</f>
        <v>0</v>
      </c>
      <c r="AF385" s="2223" cm="1">
        <f t="array" ref="AF385">IF($D385&lt;COLUMNS($F$7:AF$7),"",INDEX(TableDiv[[GASB]:[GASB]],_xlfn.AGGREGATE(15,3,(TableDiv[[Agency]:[Agency]]=$E385)/(TableDiv[[Agency]:[Agency]]=$E385)*(ROW(TableDiv[Agency])-ROW(TableDiv[[#Headers],[Agency]])),COLUMNS($F$7:AF$7))))</f>
        <v>0</v>
      </c>
      <c r="AG385" s="2223" cm="1">
        <f t="array" ref="AG385">IF($D385&lt;COLUMNS($F$7:AG$7),"",INDEX(TableDiv[[GASB]:[GASB]],_xlfn.AGGREGATE(15,3,(TableDiv[[Agency]:[Agency]]=$E385)/(TableDiv[[Agency]:[Agency]]=$E385)*(ROW(TableDiv[Agency])-ROW(TableDiv[[#Headers],[Agency]])),COLUMNS($F$7:AG$7))))</f>
        <v>0</v>
      </c>
      <c r="AH385" s="2223" cm="1">
        <f t="array" ref="AH385">IF($D385&lt;COLUMNS($F$7:AH$7),"",INDEX(TableDiv[[GASB]:[GASB]],_xlfn.AGGREGATE(15,3,(TableDiv[[Agency]:[Agency]]=$E385)/(TableDiv[[Agency]:[Agency]]=$E385)*(ROW(TableDiv[Agency])-ROW(TableDiv[[#Headers],[Agency]])),COLUMNS($F$7:AH$7))))</f>
        <v>0</v>
      </c>
      <c r="AI385" s="2223" cm="1">
        <f t="array" ref="AI385">IF($D385&lt;COLUMNS($F$7:AI$7),"",INDEX(TableDiv[[GASB]:[GASB]],_xlfn.AGGREGATE(15,3,(TableDiv[[Agency]:[Agency]]=$E385)/(TableDiv[[Agency]:[Agency]]=$E385)*(ROW(TableDiv[Agency])-ROW(TableDiv[[#Headers],[Agency]])),COLUMNS($F$7:AI$7))))</f>
        <v>0</v>
      </c>
      <c r="AJ385" s="2223" cm="1">
        <f t="array" ref="AJ385">IF($D385&lt;COLUMNS($F$7:AJ$7),"",INDEX(TableDiv[[GASB]:[GASB]],_xlfn.AGGREGATE(15,3,(TableDiv[[Agency]:[Agency]]=$E385)/(TableDiv[[Agency]:[Agency]]=$E385)*(ROW(TableDiv[Agency])-ROW(TableDiv[[#Headers],[Agency]])),COLUMNS($F$7:AJ$7))))</f>
        <v>0</v>
      </c>
      <c r="AK385" s="2223" t="str" cm="1">
        <f t="array" ref="AK385">IF($D385&lt;COLUMNS($F$7:AK$7),"",INDEX(TableDiv[[GASB]:[GASB]],_xlfn.AGGREGATE(15,3,(TableDiv[[Agency]:[Agency]]=$E385)/(TableDiv[[Agency]:[Agency]]=$E385)*(ROW(TableDiv[Agency])-ROW(TableDiv[[#Headers],[Agency]])),COLUMNS($F$7:AK$7))))</f>
        <v/>
      </c>
      <c r="AL385" s="2223" t="str" cm="1">
        <f t="array" ref="AL385">IF($D385&lt;COLUMNS($F$7:AL$7),"",INDEX(TableDiv[[GASB]:[GASB]],_xlfn.AGGREGATE(15,3,(TableDiv[[Agency]:[Agency]]=$E385)/(TableDiv[[Agency]:[Agency]]=$E385)*(ROW(TableDiv[Agency])-ROW(TableDiv[[#Headers],[Agency]])),COLUMNS($F$7:AL$7))))</f>
        <v/>
      </c>
      <c r="AM385" s="2223" t="str" cm="1">
        <f t="array" ref="AM385">IF($D385&lt;COLUMNS($F$7:AM$7),"",INDEX(TableDiv[[GASB]:[GASB]],_xlfn.AGGREGATE(15,3,(TableDiv[[Agency]:[Agency]]=$E385)/(TableDiv[[Agency]:[Agency]]=$E385)*(ROW(TableDiv[Agency])-ROW(TableDiv[[#Headers],[Agency]])),COLUMNS($F$7:AM$7))))</f>
        <v/>
      </c>
      <c r="AN385" s="2223"/>
      <c r="AO385" s="2223"/>
      <c r="AP385" s="2223"/>
      <c r="AQ385" s="2223"/>
      <c r="AR385" s="2223"/>
      <c r="AS385" s="2223"/>
    </row>
    <row r="386" spans="1:45" ht="15" x14ac:dyDescent="0.25">
      <c r="A386" s="2219" t="s">
        <v>6503</v>
      </c>
      <c r="B386" s="2219" t="s">
        <v>6497</v>
      </c>
      <c r="C386" s="2223"/>
      <c r="D386" s="2223">
        <f>COUNTIF(TableDiv[Agency],E386)</f>
        <v>31</v>
      </c>
      <c r="E386" s="2230" t="str" cm="1">
        <f t="array" ref="E386">IFERROR(INDEX(TableDiv[Agency],MATCH(0,INDEX(COUNTIF($E$7:E385,TableDiv[Agency]),),0)),"")</f>
        <v/>
      </c>
      <c r="F386" s="2223" cm="1">
        <f t="array" ref="F386">IF($D386&lt;COLUMNS($F$7:F$7),"",INDEX(TableDiv[[GASB]:[GASB]],_xlfn.AGGREGATE(15,3,(TableDiv[[Agency]:[Agency]]=$E386)/(TableDiv[[Agency]:[Agency]]=$E386)*(ROW(TableDiv[Agency])-ROW(TableDiv[[#Headers],[Agency]])),COLUMNS($F$7:F$7))))</f>
        <v>0</v>
      </c>
      <c r="G386" s="2223" cm="1">
        <f t="array" ref="G386">IF($D386&lt;COLUMNS($F$7:G$7),"",INDEX(TableDiv[[GASB]:[GASB]],_xlfn.AGGREGATE(15,3,(TableDiv[[Agency]:[Agency]]=$E386)/(TableDiv[[Agency]:[Agency]]=$E386)*(ROW(TableDiv[Agency])-ROW(TableDiv[[#Headers],[Agency]])),COLUMNS($F$7:G$7))))</f>
        <v>0</v>
      </c>
      <c r="H386" s="2223" cm="1">
        <f t="array" ref="H386">IF($D386&lt;COLUMNS($F$7:H$7),"",INDEX(TableDiv[[GASB]:[GASB]],_xlfn.AGGREGATE(15,3,(TableDiv[[Agency]:[Agency]]=$E386)/(TableDiv[[Agency]:[Agency]]=$E386)*(ROW(TableDiv[Agency])-ROW(TableDiv[[#Headers],[Agency]])),COLUMNS($F$7:H$7))))</f>
        <v>0</v>
      </c>
      <c r="I386" s="2223" cm="1">
        <f t="array" ref="I386">IF($D386&lt;COLUMNS($F$7:I$7),"",INDEX(TableDiv[[GASB]:[GASB]],_xlfn.AGGREGATE(15,3,(TableDiv[[Agency]:[Agency]]=$E386)/(TableDiv[[Agency]:[Agency]]=$E386)*(ROW(TableDiv[Agency])-ROW(TableDiv[[#Headers],[Agency]])),COLUMNS($F$7:I$7))))</f>
        <v>0</v>
      </c>
      <c r="J386" s="2223" cm="1">
        <f t="array" ref="J386">IF($D386&lt;COLUMNS($F$7:J$7),"",INDEX(TableDiv[[GASB]:[GASB]],_xlfn.AGGREGATE(15,3,(TableDiv[[Agency]:[Agency]]=$E386)/(TableDiv[[Agency]:[Agency]]=$E386)*(ROW(TableDiv[Agency])-ROW(TableDiv[[#Headers],[Agency]])),COLUMNS($F$7:J$7))))</f>
        <v>0</v>
      </c>
      <c r="K386" s="2223" cm="1">
        <f t="array" ref="K386">IF($D386&lt;COLUMNS($F$7:K$7),"",INDEX(TableDiv[[GASB]:[GASB]],_xlfn.AGGREGATE(15,3,(TableDiv[[Agency]:[Agency]]=$E386)/(TableDiv[[Agency]:[Agency]]=$E386)*(ROW(TableDiv[Agency])-ROW(TableDiv[[#Headers],[Agency]])),COLUMNS($F$7:K$7))))</f>
        <v>0</v>
      </c>
      <c r="L386" s="2223" cm="1">
        <f t="array" ref="L386">IF($D386&lt;COLUMNS($F$7:L$7),"",INDEX(TableDiv[[GASB]:[GASB]],_xlfn.AGGREGATE(15,3,(TableDiv[[Agency]:[Agency]]=$E386)/(TableDiv[[Agency]:[Agency]]=$E386)*(ROW(TableDiv[Agency])-ROW(TableDiv[[#Headers],[Agency]])),COLUMNS($F$7:L$7))))</f>
        <v>0</v>
      </c>
      <c r="M386" s="2223" cm="1">
        <f t="array" ref="M386">IF($D386&lt;COLUMNS($F$7:M$7),"",INDEX(TableDiv[[GASB]:[GASB]],_xlfn.AGGREGATE(15,3,(TableDiv[[Agency]:[Agency]]=$E386)/(TableDiv[[Agency]:[Agency]]=$E386)*(ROW(TableDiv[Agency])-ROW(TableDiv[[#Headers],[Agency]])),COLUMNS($F$7:M$7))))</f>
        <v>0</v>
      </c>
      <c r="N386" s="2223" cm="1">
        <f t="array" ref="N386">IF($D386&lt;COLUMNS($F$7:N$7),"",INDEX(TableDiv[[GASB]:[GASB]],_xlfn.AGGREGATE(15,3,(TableDiv[[Agency]:[Agency]]=$E386)/(TableDiv[[Agency]:[Agency]]=$E386)*(ROW(TableDiv[Agency])-ROW(TableDiv[[#Headers],[Agency]])),COLUMNS($F$7:N$7))))</f>
        <v>0</v>
      </c>
      <c r="O386" s="2223" cm="1">
        <f t="array" ref="O386">IF($D386&lt;COLUMNS($F$7:O$7),"",INDEX(TableDiv[[GASB]:[GASB]],_xlfn.AGGREGATE(15,3,(TableDiv[[Agency]:[Agency]]=$E386)/(TableDiv[[Agency]:[Agency]]=$E386)*(ROW(TableDiv[Agency])-ROW(TableDiv[[#Headers],[Agency]])),COLUMNS($F$7:O$7))))</f>
        <v>0</v>
      </c>
      <c r="P386" s="2223" cm="1">
        <f t="array" ref="P386">IF($D386&lt;COLUMNS($F$7:P$7),"",INDEX(TableDiv[[GASB]:[GASB]],_xlfn.AGGREGATE(15,3,(TableDiv[[Agency]:[Agency]]=$E386)/(TableDiv[[Agency]:[Agency]]=$E386)*(ROW(TableDiv[Agency])-ROW(TableDiv[[#Headers],[Agency]])),COLUMNS($F$7:P$7))))</f>
        <v>0</v>
      </c>
      <c r="Q386" s="2223" cm="1">
        <f t="array" ref="Q386">IF($D386&lt;COLUMNS($F$7:Q$7),"",INDEX(TableDiv[[GASB]:[GASB]],_xlfn.AGGREGATE(15,3,(TableDiv[[Agency]:[Agency]]=$E386)/(TableDiv[[Agency]:[Agency]]=$E386)*(ROW(TableDiv[Agency])-ROW(TableDiv[[#Headers],[Agency]])),COLUMNS($F$7:Q$7))))</f>
        <v>0</v>
      </c>
      <c r="R386" s="2223" cm="1">
        <f t="array" ref="R386">IF($D386&lt;COLUMNS($F$7:R$7),"",INDEX(TableDiv[[GASB]:[GASB]],_xlfn.AGGREGATE(15,3,(TableDiv[[Agency]:[Agency]]=$E386)/(TableDiv[[Agency]:[Agency]]=$E386)*(ROW(TableDiv[Agency])-ROW(TableDiv[[#Headers],[Agency]])),COLUMNS($F$7:R$7))))</f>
        <v>0</v>
      </c>
      <c r="S386" s="2223" cm="1">
        <f t="array" ref="S386">IF($D386&lt;COLUMNS($F$7:S$7),"",INDEX(TableDiv[[GASB]:[GASB]],_xlfn.AGGREGATE(15,3,(TableDiv[[Agency]:[Agency]]=$E386)/(TableDiv[[Agency]:[Agency]]=$E386)*(ROW(TableDiv[Agency])-ROW(TableDiv[[#Headers],[Agency]])),COLUMNS($F$7:S$7))))</f>
        <v>0</v>
      </c>
      <c r="T386" s="2223" cm="1">
        <f t="array" ref="T386">IF($D386&lt;COLUMNS($F$7:T$7),"",INDEX(TableDiv[[GASB]:[GASB]],_xlfn.AGGREGATE(15,3,(TableDiv[[Agency]:[Agency]]=$E386)/(TableDiv[[Agency]:[Agency]]=$E386)*(ROW(TableDiv[Agency])-ROW(TableDiv[[#Headers],[Agency]])),COLUMNS($F$7:T$7))))</f>
        <v>0</v>
      </c>
      <c r="U386" s="2223" cm="1">
        <f t="array" ref="U386">IF($D386&lt;COLUMNS($F$7:U$7),"",INDEX(TableDiv[[GASB]:[GASB]],_xlfn.AGGREGATE(15,3,(TableDiv[[Agency]:[Agency]]=$E386)/(TableDiv[[Agency]:[Agency]]=$E386)*(ROW(TableDiv[Agency])-ROW(TableDiv[[#Headers],[Agency]])),COLUMNS($F$7:U$7))))</f>
        <v>0</v>
      </c>
      <c r="V386" s="2223" cm="1">
        <f t="array" ref="V386">IF($D386&lt;COLUMNS($F$7:V$7),"",INDEX(TableDiv[[GASB]:[GASB]],_xlfn.AGGREGATE(15,3,(TableDiv[[Agency]:[Agency]]=$E386)/(TableDiv[[Agency]:[Agency]]=$E386)*(ROW(TableDiv[Agency])-ROW(TableDiv[[#Headers],[Agency]])),COLUMNS($F$7:V$7))))</f>
        <v>0</v>
      </c>
      <c r="W386" s="2223" cm="1">
        <f t="array" ref="W386">IF($D386&lt;COLUMNS($F$7:W$7),"",INDEX(TableDiv[[GASB]:[GASB]],_xlfn.AGGREGATE(15,3,(TableDiv[[Agency]:[Agency]]=$E386)/(TableDiv[[Agency]:[Agency]]=$E386)*(ROW(TableDiv[Agency])-ROW(TableDiv[[#Headers],[Agency]])),COLUMNS($F$7:W$7))))</f>
        <v>0</v>
      </c>
      <c r="X386" s="2223" cm="1">
        <f t="array" ref="X386">IF($D386&lt;COLUMNS($F$7:X$7),"",INDEX(TableDiv[[GASB]:[GASB]],_xlfn.AGGREGATE(15,3,(TableDiv[[Agency]:[Agency]]=$E386)/(TableDiv[[Agency]:[Agency]]=$E386)*(ROW(TableDiv[Agency])-ROW(TableDiv[[#Headers],[Agency]])),COLUMNS($F$7:X$7))))</f>
        <v>0</v>
      </c>
      <c r="Y386" s="2223" cm="1">
        <f t="array" ref="Y386">IF($D386&lt;COLUMNS($F$7:Y$7),"",INDEX(TableDiv[[GASB]:[GASB]],_xlfn.AGGREGATE(15,3,(TableDiv[[Agency]:[Agency]]=$E386)/(TableDiv[[Agency]:[Agency]]=$E386)*(ROW(TableDiv[Agency])-ROW(TableDiv[[#Headers],[Agency]])),COLUMNS($F$7:Y$7))))</f>
        <v>0</v>
      </c>
      <c r="Z386" s="2223" cm="1">
        <f t="array" ref="Z386">IF($D386&lt;COLUMNS($F$7:Z$7),"",INDEX(TableDiv[[GASB]:[GASB]],_xlfn.AGGREGATE(15,3,(TableDiv[[Agency]:[Agency]]=$E386)/(TableDiv[[Agency]:[Agency]]=$E386)*(ROW(TableDiv[Agency])-ROW(TableDiv[[#Headers],[Agency]])),COLUMNS($F$7:Z$7))))</f>
        <v>0</v>
      </c>
      <c r="AA386" s="2223" cm="1">
        <f t="array" ref="AA386">IF($D386&lt;COLUMNS($F$7:AA$7),"",INDEX(TableDiv[[GASB]:[GASB]],_xlfn.AGGREGATE(15,3,(TableDiv[[Agency]:[Agency]]=$E386)/(TableDiv[[Agency]:[Agency]]=$E386)*(ROW(TableDiv[Agency])-ROW(TableDiv[[#Headers],[Agency]])),COLUMNS($F$7:AA$7))))</f>
        <v>0</v>
      </c>
      <c r="AB386" s="2223" cm="1">
        <f t="array" ref="AB386">IF($D386&lt;COLUMNS($F$7:AB$7),"",INDEX(TableDiv[[GASB]:[GASB]],_xlfn.AGGREGATE(15,3,(TableDiv[[Agency]:[Agency]]=$E386)/(TableDiv[[Agency]:[Agency]]=$E386)*(ROW(TableDiv[Agency])-ROW(TableDiv[[#Headers],[Agency]])),COLUMNS($F$7:AB$7))))</f>
        <v>0</v>
      </c>
      <c r="AC386" s="2223" cm="1">
        <f t="array" ref="AC386">IF($D386&lt;COLUMNS($F$7:AC$7),"",INDEX(TableDiv[[GASB]:[GASB]],_xlfn.AGGREGATE(15,3,(TableDiv[[Agency]:[Agency]]=$E386)/(TableDiv[[Agency]:[Agency]]=$E386)*(ROW(TableDiv[Agency])-ROW(TableDiv[[#Headers],[Agency]])),COLUMNS($F$7:AC$7))))</f>
        <v>0</v>
      </c>
      <c r="AD386" s="2223" cm="1">
        <f t="array" ref="AD386">IF($D386&lt;COLUMNS($F$7:AD$7),"",INDEX(TableDiv[[GASB]:[GASB]],_xlfn.AGGREGATE(15,3,(TableDiv[[Agency]:[Agency]]=$E386)/(TableDiv[[Agency]:[Agency]]=$E386)*(ROW(TableDiv[Agency])-ROW(TableDiv[[#Headers],[Agency]])),COLUMNS($F$7:AD$7))))</f>
        <v>0</v>
      </c>
      <c r="AE386" s="2223" cm="1">
        <f t="array" ref="AE386">IF($D386&lt;COLUMNS($F$7:AE$7),"",INDEX(TableDiv[[GASB]:[GASB]],_xlfn.AGGREGATE(15,3,(TableDiv[[Agency]:[Agency]]=$E386)/(TableDiv[[Agency]:[Agency]]=$E386)*(ROW(TableDiv[Agency])-ROW(TableDiv[[#Headers],[Agency]])),COLUMNS($F$7:AE$7))))</f>
        <v>0</v>
      </c>
      <c r="AF386" s="2223" cm="1">
        <f t="array" ref="AF386">IF($D386&lt;COLUMNS($F$7:AF$7),"",INDEX(TableDiv[[GASB]:[GASB]],_xlfn.AGGREGATE(15,3,(TableDiv[[Agency]:[Agency]]=$E386)/(TableDiv[[Agency]:[Agency]]=$E386)*(ROW(TableDiv[Agency])-ROW(TableDiv[[#Headers],[Agency]])),COLUMNS($F$7:AF$7))))</f>
        <v>0</v>
      </c>
      <c r="AG386" s="2223" cm="1">
        <f t="array" ref="AG386">IF($D386&lt;COLUMNS($F$7:AG$7),"",INDEX(TableDiv[[GASB]:[GASB]],_xlfn.AGGREGATE(15,3,(TableDiv[[Agency]:[Agency]]=$E386)/(TableDiv[[Agency]:[Agency]]=$E386)*(ROW(TableDiv[Agency])-ROW(TableDiv[[#Headers],[Agency]])),COLUMNS($F$7:AG$7))))</f>
        <v>0</v>
      </c>
      <c r="AH386" s="2223" cm="1">
        <f t="array" ref="AH386">IF($D386&lt;COLUMNS($F$7:AH$7),"",INDEX(TableDiv[[GASB]:[GASB]],_xlfn.AGGREGATE(15,3,(TableDiv[[Agency]:[Agency]]=$E386)/(TableDiv[[Agency]:[Agency]]=$E386)*(ROW(TableDiv[Agency])-ROW(TableDiv[[#Headers],[Agency]])),COLUMNS($F$7:AH$7))))</f>
        <v>0</v>
      </c>
      <c r="AI386" s="2223" cm="1">
        <f t="array" ref="AI386">IF($D386&lt;COLUMNS($F$7:AI$7),"",INDEX(TableDiv[[GASB]:[GASB]],_xlfn.AGGREGATE(15,3,(TableDiv[[Agency]:[Agency]]=$E386)/(TableDiv[[Agency]:[Agency]]=$E386)*(ROW(TableDiv[Agency])-ROW(TableDiv[[#Headers],[Agency]])),COLUMNS($F$7:AI$7))))</f>
        <v>0</v>
      </c>
      <c r="AJ386" s="2223" cm="1">
        <f t="array" ref="AJ386">IF($D386&lt;COLUMNS($F$7:AJ$7),"",INDEX(TableDiv[[GASB]:[GASB]],_xlfn.AGGREGATE(15,3,(TableDiv[[Agency]:[Agency]]=$E386)/(TableDiv[[Agency]:[Agency]]=$E386)*(ROW(TableDiv[Agency])-ROW(TableDiv[[#Headers],[Agency]])),COLUMNS($F$7:AJ$7))))</f>
        <v>0</v>
      </c>
      <c r="AK386" s="2223" t="str" cm="1">
        <f t="array" ref="AK386">IF($D386&lt;COLUMNS($F$7:AK$7),"",INDEX(TableDiv[[GASB]:[GASB]],_xlfn.AGGREGATE(15,3,(TableDiv[[Agency]:[Agency]]=$E386)/(TableDiv[[Agency]:[Agency]]=$E386)*(ROW(TableDiv[Agency])-ROW(TableDiv[[#Headers],[Agency]])),COLUMNS($F$7:AK$7))))</f>
        <v/>
      </c>
      <c r="AL386" s="2223" t="str" cm="1">
        <f t="array" ref="AL386">IF($D386&lt;COLUMNS($F$7:AL$7),"",INDEX(TableDiv[[GASB]:[GASB]],_xlfn.AGGREGATE(15,3,(TableDiv[[Agency]:[Agency]]=$E386)/(TableDiv[[Agency]:[Agency]]=$E386)*(ROW(TableDiv[Agency])-ROW(TableDiv[[#Headers],[Agency]])),COLUMNS($F$7:AL$7))))</f>
        <v/>
      </c>
      <c r="AM386" s="2223" t="str" cm="1">
        <f t="array" ref="AM386">IF($D386&lt;COLUMNS($F$7:AM$7),"",INDEX(TableDiv[[GASB]:[GASB]],_xlfn.AGGREGATE(15,3,(TableDiv[[Agency]:[Agency]]=$E386)/(TableDiv[[Agency]:[Agency]]=$E386)*(ROW(TableDiv[Agency])-ROW(TableDiv[[#Headers],[Agency]])),COLUMNS($F$7:AM$7))))</f>
        <v/>
      </c>
      <c r="AN386" s="2223"/>
      <c r="AO386" s="2223"/>
      <c r="AP386" s="2223"/>
      <c r="AQ386" s="2223"/>
      <c r="AR386" s="2223"/>
      <c r="AS386" s="2223"/>
    </row>
    <row r="387" spans="1:45" ht="15" x14ac:dyDescent="0.25">
      <c r="A387" s="2219" t="s">
        <v>6504</v>
      </c>
      <c r="B387" s="2219" t="s">
        <v>6497</v>
      </c>
      <c r="C387" s="2223"/>
      <c r="D387" s="2223">
        <f>COUNTIF(TableDiv[Agency],E387)</f>
        <v>31</v>
      </c>
      <c r="E387" s="2230" t="str" cm="1">
        <f t="array" ref="E387">IFERROR(INDEX(TableDiv[Agency],MATCH(0,INDEX(COUNTIF($E$7:E386,TableDiv[Agency]),),0)),"")</f>
        <v/>
      </c>
      <c r="F387" s="2223" cm="1">
        <f t="array" ref="F387">IF($D387&lt;COLUMNS($F$7:F$7),"",INDEX(TableDiv[[GASB]:[GASB]],_xlfn.AGGREGATE(15,3,(TableDiv[[Agency]:[Agency]]=$E387)/(TableDiv[[Agency]:[Agency]]=$E387)*(ROW(TableDiv[Agency])-ROW(TableDiv[[#Headers],[Agency]])),COLUMNS($F$7:F$7))))</f>
        <v>0</v>
      </c>
      <c r="G387" s="2223" cm="1">
        <f t="array" ref="G387">IF($D387&lt;COLUMNS($F$7:G$7),"",INDEX(TableDiv[[GASB]:[GASB]],_xlfn.AGGREGATE(15,3,(TableDiv[[Agency]:[Agency]]=$E387)/(TableDiv[[Agency]:[Agency]]=$E387)*(ROW(TableDiv[Agency])-ROW(TableDiv[[#Headers],[Agency]])),COLUMNS($F$7:G$7))))</f>
        <v>0</v>
      </c>
      <c r="H387" s="2223" cm="1">
        <f t="array" ref="H387">IF($D387&lt;COLUMNS($F$7:H$7),"",INDEX(TableDiv[[GASB]:[GASB]],_xlfn.AGGREGATE(15,3,(TableDiv[[Agency]:[Agency]]=$E387)/(TableDiv[[Agency]:[Agency]]=$E387)*(ROW(TableDiv[Agency])-ROW(TableDiv[[#Headers],[Agency]])),COLUMNS($F$7:H$7))))</f>
        <v>0</v>
      </c>
      <c r="I387" s="2223" cm="1">
        <f t="array" ref="I387">IF($D387&lt;COLUMNS($F$7:I$7),"",INDEX(TableDiv[[GASB]:[GASB]],_xlfn.AGGREGATE(15,3,(TableDiv[[Agency]:[Agency]]=$E387)/(TableDiv[[Agency]:[Agency]]=$E387)*(ROW(TableDiv[Agency])-ROW(TableDiv[[#Headers],[Agency]])),COLUMNS($F$7:I$7))))</f>
        <v>0</v>
      </c>
      <c r="J387" s="2223" cm="1">
        <f t="array" ref="J387">IF($D387&lt;COLUMNS($F$7:J$7),"",INDEX(TableDiv[[GASB]:[GASB]],_xlfn.AGGREGATE(15,3,(TableDiv[[Agency]:[Agency]]=$E387)/(TableDiv[[Agency]:[Agency]]=$E387)*(ROW(TableDiv[Agency])-ROW(TableDiv[[#Headers],[Agency]])),COLUMNS($F$7:J$7))))</f>
        <v>0</v>
      </c>
      <c r="K387" s="2223" cm="1">
        <f t="array" ref="K387">IF($D387&lt;COLUMNS($F$7:K$7),"",INDEX(TableDiv[[GASB]:[GASB]],_xlfn.AGGREGATE(15,3,(TableDiv[[Agency]:[Agency]]=$E387)/(TableDiv[[Agency]:[Agency]]=$E387)*(ROW(TableDiv[Agency])-ROW(TableDiv[[#Headers],[Agency]])),COLUMNS($F$7:K$7))))</f>
        <v>0</v>
      </c>
      <c r="L387" s="2223" cm="1">
        <f t="array" ref="L387">IF($D387&lt;COLUMNS($F$7:L$7),"",INDEX(TableDiv[[GASB]:[GASB]],_xlfn.AGGREGATE(15,3,(TableDiv[[Agency]:[Agency]]=$E387)/(TableDiv[[Agency]:[Agency]]=$E387)*(ROW(TableDiv[Agency])-ROW(TableDiv[[#Headers],[Agency]])),COLUMNS($F$7:L$7))))</f>
        <v>0</v>
      </c>
      <c r="M387" s="2223" cm="1">
        <f t="array" ref="M387">IF($D387&lt;COLUMNS($F$7:M$7),"",INDEX(TableDiv[[GASB]:[GASB]],_xlfn.AGGREGATE(15,3,(TableDiv[[Agency]:[Agency]]=$E387)/(TableDiv[[Agency]:[Agency]]=$E387)*(ROW(TableDiv[Agency])-ROW(TableDiv[[#Headers],[Agency]])),COLUMNS($F$7:M$7))))</f>
        <v>0</v>
      </c>
      <c r="N387" s="2223" cm="1">
        <f t="array" ref="N387">IF($D387&lt;COLUMNS($F$7:N$7),"",INDEX(TableDiv[[GASB]:[GASB]],_xlfn.AGGREGATE(15,3,(TableDiv[[Agency]:[Agency]]=$E387)/(TableDiv[[Agency]:[Agency]]=$E387)*(ROW(TableDiv[Agency])-ROW(TableDiv[[#Headers],[Agency]])),COLUMNS($F$7:N$7))))</f>
        <v>0</v>
      </c>
      <c r="O387" s="2223" cm="1">
        <f t="array" ref="O387">IF($D387&lt;COLUMNS($F$7:O$7),"",INDEX(TableDiv[[GASB]:[GASB]],_xlfn.AGGREGATE(15,3,(TableDiv[[Agency]:[Agency]]=$E387)/(TableDiv[[Agency]:[Agency]]=$E387)*(ROW(TableDiv[Agency])-ROW(TableDiv[[#Headers],[Agency]])),COLUMNS($F$7:O$7))))</f>
        <v>0</v>
      </c>
      <c r="P387" s="2223" cm="1">
        <f t="array" ref="P387">IF($D387&lt;COLUMNS($F$7:P$7),"",INDEX(TableDiv[[GASB]:[GASB]],_xlfn.AGGREGATE(15,3,(TableDiv[[Agency]:[Agency]]=$E387)/(TableDiv[[Agency]:[Agency]]=$E387)*(ROW(TableDiv[Agency])-ROW(TableDiv[[#Headers],[Agency]])),COLUMNS($F$7:P$7))))</f>
        <v>0</v>
      </c>
      <c r="Q387" s="2223" cm="1">
        <f t="array" ref="Q387">IF($D387&lt;COLUMNS($F$7:Q$7),"",INDEX(TableDiv[[GASB]:[GASB]],_xlfn.AGGREGATE(15,3,(TableDiv[[Agency]:[Agency]]=$E387)/(TableDiv[[Agency]:[Agency]]=$E387)*(ROW(TableDiv[Agency])-ROW(TableDiv[[#Headers],[Agency]])),COLUMNS($F$7:Q$7))))</f>
        <v>0</v>
      </c>
      <c r="R387" s="2223" cm="1">
        <f t="array" ref="R387">IF($D387&lt;COLUMNS($F$7:R$7),"",INDEX(TableDiv[[GASB]:[GASB]],_xlfn.AGGREGATE(15,3,(TableDiv[[Agency]:[Agency]]=$E387)/(TableDiv[[Agency]:[Agency]]=$E387)*(ROW(TableDiv[Agency])-ROW(TableDiv[[#Headers],[Agency]])),COLUMNS($F$7:R$7))))</f>
        <v>0</v>
      </c>
      <c r="S387" s="2223" cm="1">
        <f t="array" ref="S387">IF($D387&lt;COLUMNS($F$7:S$7),"",INDEX(TableDiv[[GASB]:[GASB]],_xlfn.AGGREGATE(15,3,(TableDiv[[Agency]:[Agency]]=$E387)/(TableDiv[[Agency]:[Agency]]=$E387)*(ROW(TableDiv[Agency])-ROW(TableDiv[[#Headers],[Agency]])),COLUMNS($F$7:S$7))))</f>
        <v>0</v>
      </c>
      <c r="T387" s="2223" cm="1">
        <f t="array" ref="T387">IF($D387&lt;COLUMNS($F$7:T$7),"",INDEX(TableDiv[[GASB]:[GASB]],_xlfn.AGGREGATE(15,3,(TableDiv[[Agency]:[Agency]]=$E387)/(TableDiv[[Agency]:[Agency]]=$E387)*(ROW(TableDiv[Agency])-ROW(TableDiv[[#Headers],[Agency]])),COLUMNS($F$7:T$7))))</f>
        <v>0</v>
      </c>
      <c r="U387" s="2223" cm="1">
        <f t="array" ref="U387">IF($D387&lt;COLUMNS($F$7:U$7),"",INDEX(TableDiv[[GASB]:[GASB]],_xlfn.AGGREGATE(15,3,(TableDiv[[Agency]:[Agency]]=$E387)/(TableDiv[[Agency]:[Agency]]=$E387)*(ROW(TableDiv[Agency])-ROW(TableDiv[[#Headers],[Agency]])),COLUMNS($F$7:U$7))))</f>
        <v>0</v>
      </c>
      <c r="V387" s="2223" cm="1">
        <f t="array" ref="V387">IF($D387&lt;COLUMNS($F$7:V$7),"",INDEX(TableDiv[[GASB]:[GASB]],_xlfn.AGGREGATE(15,3,(TableDiv[[Agency]:[Agency]]=$E387)/(TableDiv[[Agency]:[Agency]]=$E387)*(ROW(TableDiv[Agency])-ROW(TableDiv[[#Headers],[Agency]])),COLUMNS($F$7:V$7))))</f>
        <v>0</v>
      </c>
      <c r="W387" s="2223" cm="1">
        <f t="array" ref="W387">IF($D387&lt;COLUMNS($F$7:W$7),"",INDEX(TableDiv[[GASB]:[GASB]],_xlfn.AGGREGATE(15,3,(TableDiv[[Agency]:[Agency]]=$E387)/(TableDiv[[Agency]:[Agency]]=$E387)*(ROW(TableDiv[Agency])-ROW(TableDiv[[#Headers],[Agency]])),COLUMNS($F$7:W$7))))</f>
        <v>0</v>
      </c>
      <c r="X387" s="2223" cm="1">
        <f t="array" ref="X387">IF($D387&lt;COLUMNS($F$7:X$7),"",INDEX(TableDiv[[GASB]:[GASB]],_xlfn.AGGREGATE(15,3,(TableDiv[[Agency]:[Agency]]=$E387)/(TableDiv[[Agency]:[Agency]]=$E387)*(ROW(TableDiv[Agency])-ROW(TableDiv[[#Headers],[Agency]])),COLUMNS($F$7:X$7))))</f>
        <v>0</v>
      </c>
      <c r="Y387" s="2223" cm="1">
        <f t="array" ref="Y387">IF($D387&lt;COLUMNS($F$7:Y$7),"",INDEX(TableDiv[[GASB]:[GASB]],_xlfn.AGGREGATE(15,3,(TableDiv[[Agency]:[Agency]]=$E387)/(TableDiv[[Agency]:[Agency]]=$E387)*(ROW(TableDiv[Agency])-ROW(TableDiv[[#Headers],[Agency]])),COLUMNS($F$7:Y$7))))</f>
        <v>0</v>
      </c>
      <c r="Z387" s="2223" cm="1">
        <f t="array" ref="Z387">IF($D387&lt;COLUMNS($F$7:Z$7),"",INDEX(TableDiv[[GASB]:[GASB]],_xlfn.AGGREGATE(15,3,(TableDiv[[Agency]:[Agency]]=$E387)/(TableDiv[[Agency]:[Agency]]=$E387)*(ROW(TableDiv[Agency])-ROW(TableDiv[[#Headers],[Agency]])),COLUMNS($F$7:Z$7))))</f>
        <v>0</v>
      </c>
      <c r="AA387" s="2223" cm="1">
        <f t="array" ref="AA387">IF($D387&lt;COLUMNS($F$7:AA$7),"",INDEX(TableDiv[[GASB]:[GASB]],_xlfn.AGGREGATE(15,3,(TableDiv[[Agency]:[Agency]]=$E387)/(TableDiv[[Agency]:[Agency]]=$E387)*(ROW(TableDiv[Agency])-ROW(TableDiv[[#Headers],[Agency]])),COLUMNS($F$7:AA$7))))</f>
        <v>0</v>
      </c>
      <c r="AB387" s="2223" cm="1">
        <f t="array" ref="AB387">IF($D387&lt;COLUMNS($F$7:AB$7),"",INDEX(TableDiv[[GASB]:[GASB]],_xlfn.AGGREGATE(15,3,(TableDiv[[Agency]:[Agency]]=$E387)/(TableDiv[[Agency]:[Agency]]=$E387)*(ROW(TableDiv[Agency])-ROW(TableDiv[[#Headers],[Agency]])),COLUMNS($F$7:AB$7))))</f>
        <v>0</v>
      </c>
      <c r="AC387" s="2223" cm="1">
        <f t="array" ref="AC387">IF($D387&lt;COLUMNS($F$7:AC$7),"",INDEX(TableDiv[[GASB]:[GASB]],_xlfn.AGGREGATE(15,3,(TableDiv[[Agency]:[Agency]]=$E387)/(TableDiv[[Agency]:[Agency]]=$E387)*(ROW(TableDiv[Agency])-ROW(TableDiv[[#Headers],[Agency]])),COLUMNS($F$7:AC$7))))</f>
        <v>0</v>
      </c>
      <c r="AD387" s="2223" cm="1">
        <f t="array" ref="AD387">IF($D387&lt;COLUMNS($F$7:AD$7),"",INDEX(TableDiv[[GASB]:[GASB]],_xlfn.AGGREGATE(15,3,(TableDiv[[Agency]:[Agency]]=$E387)/(TableDiv[[Agency]:[Agency]]=$E387)*(ROW(TableDiv[Agency])-ROW(TableDiv[[#Headers],[Agency]])),COLUMNS($F$7:AD$7))))</f>
        <v>0</v>
      </c>
      <c r="AE387" s="2223" cm="1">
        <f t="array" ref="AE387">IF($D387&lt;COLUMNS($F$7:AE$7),"",INDEX(TableDiv[[GASB]:[GASB]],_xlfn.AGGREGATE(15,3,(TableDiv[[Agency]:[Agency]]=$E387)/(TableDiv[[Agency]:[Agency]]=$E387)*(ROW(TableDiv[Agency])-ROW(TableDiv[[#Headers],[Agency]])),COLUMNS($F$7:AE$7))))</f>
        <v>0</v>
      </c>
      <c r="AF387" s="2223" cm="1">
        <f t="array" ref="AF387">IF($D387&lt;COLUMNS($F$7:AF$7),"",INDEX(TableDiv[[GASB]:[GASB]],_xlfn.AGGREGATE(15,3,(TableDiv[[Agency]:[Agency]]=$E387)/(TableDiv[[Agency]:[Agency]]=$E387)*(ROW(TableDiv[Agency])-ROW(TableDiv[[#Headers],[Agency]])),COLUMNS($F$7:AF$7))))</f>
        <v>0</v>
      </c>
      <c r="AG387" s="2223" cm="1">
        <f t="array" ref="AG387">IF($D387&lt;COLUMNS($F$7:AG$7),"",INDEX(TableDiv[[GASB]:[GASB]],_xlfn.AGGREGATE(15,3,(TableDiv[[Agency]:[Agency]]=$E387)/(TableDiv[[Agency]:[Agency]]=$E387)*(ROW(TableDiv[Agency])-ROW(TableDiv[[#Headers],[Agency]])),COLUMNS($F$7:AG$7))))</f>
        <v>0</v>
      </c>
      <c r="AH387" s="2223" cm="1">
        <f t="array" ref="AH387">IF($D387&lt;COLUMNS($F$7:AH$7),"",INDEX(TableDiv[[GASB]:[GASB]],_xlfn.AGGREGATE(15,3,(TableDiv[[Agency]:[Agency]]=$E387)/(TableDiv[[Agency]:[Agency]]=$E387)*(ROW(TableDiv[Agency])-ROW(TableDiv[[#Headers],[Agency]])),COLUMNS($F$7:AH$7))))</f>
        <v>0</v>
      </c>
      <c r="AI387" s="2223" cm="1">
        <f t="array" ref="AI387">IF($D387&lt;COLUMNS($F$7:AI$7),"",INDEX(TableDiv[[GASB]:[GASB]],_xlfn.AGGREGATE(15,3,(TableDiv[[Agency]:[Agency]]=$E387)/(TableDiv[[Agency]:[Agency]]=$E387)*(ROW(TableDiv[Agency])-ROW(TableDiv[[#Headers],[Agency]])),COLUMNS($F$7:AI$7))))</f>
        <v>0</v>
      </c>
      <c r="AJ387" s="2223" cm="1">
        <f t="array" ref="AJ387">IF($D387&lt;COLUMNS($F$7:AJ$7),"",INDEX(TableDiv[[GASB]:[GASB]],_xlfn.AGGREGATE(15,3,(TableDiv[[Agency]:[Agency]]=$E387)/(TableDiv[[Agency]:[Agency]]=$E387)*(ROW(TableDiv[Agency])-ROW(TableDiv[[#Headers],[Agency]])),COLUMNS($F$7:AJ$7))))</f>
        <v>0</v>
      </c>
      <c r="AK387" s="2223" t="str" cm="1">
        <f t="array" ref="AK387">IF($D387&lt;COLUMNS($F$7:AK$7),"",INDEX(TableDiv[[GASB]:[GASB]],_xlfn.AGGREGATE(15,3,(TableDiv[[Agency]:[Agency]]=$E387)/(TableDiv[[Agency]:[Agency]]=$E387)*(ROW(TableDiv[Agency])-ROW(TableDiv[[#Headers],[Agency]])),COLUMNS($F$7:AK$7))))</f>
        <v/>
      </c>
      <c r="AL387" s="2223" t="str" cm="1">
        <f t="array" ref="AL387">IF($D387&lt;COLUMNS($F$7:AL$7),"",INDEX(TableDiv[[GASB]:[GASB]],_xlfn.AGGREGATE(15,3,(TableDiv[[Agency]:[Agency]]=$E387)/(TableDiv[[Agency]:[Agency]]=$E387)*(ROW(TableDiv[Agency])-ROW(TableDiv[[#Headers],[Agency]])),COLUMNS($F$7:AL$7))))</f>
        <v/>
      </c>
      <c r="AM387" s="2223" t="str" cm="1">
        <f t="array" ref="AM387">IF($D387&lt;COLUMNS($F$7:AM$7),"",INDEX(TableDiv[[GASB]:[GASB]],_xlfn.AGGREGATE(15,3,(TableDiv[[Agency]:[Agency]]=$E387)/(TableDiv[[Agency]:[Agency]]=$E387)*(ROW(TableDiv[Agency])-ROW(TableDiv[[#Headers],[Agency]])),COLUMNS($F$7:AM$7))))</f>
        <v/>
      </c>
      <c r="AN387" s="2223"/>
      <c r="AO387" s="2223"/>
      <c r="AP387" s="2223"/>
      <c r="AQ387" s="2223"/>
      <c r="AR387" s="2223"/>
      <c r="AS387" s="2223"/>
    </row>
    <row r="388" spans="1:45" ht="15" x14ac:dyDescent="0.25">
      <c r="A388" s="2219" t="s">
        <v>6505</v>
      </c>
      <c r="B388" s="2219" t="s">
        <v>6497</v>
      </c>
      <c r="C388" s="2223"/>
      <c r="D388" s="2223">
        <f>COUNTIF(TableDiv[Agency],E388)</f>
        <v>31</v>
      </c>
      <c r="E388" s="2230" t="str" cm="1">
        <f t="array" ref="E388">IFERROR(INDEX(TableDiv[Agency],MATCH(0,INDEX(COUNTIF($E$7:E387,TableDiv[Agency]),),0)),"")</f>
        <v/>
      </c>
      <c r="F388" s="2223" cm="1">
        <f t="array" ref="F388">IF($D388&lt;COLUMNS($F$7:F$7),"",INDEX(TableDiv[[GASB]:[GASB]],_xlfn.AGGREGATE(15,3,(TableDiv[[Agency]:[Agency]]=$E388)/(TableDiv[[Agency]:[Agency]]=$E388)*(ROW(TableDiv[Agency])-ROW(TableDiv[[#Headers],[Agency]])),COLUMNS($F$7:F$7))))</f>
        <v>0</v>
      </c>
      <c r="G388" s="2223" cm="1">
        <f t="array" ref="G388">IF($D388&lt;COLUMNS($F$7:G$7),"",INDEX(TableDiv[[GASB]:[GASB]],_xlfn.AGGREGATE(15,3,(TableDiv[[Agency]:[Agency]]=$E388)/(TableDiv[[Agency]:[Agency]]=$E388)*(ROW(TableDiv[Agency])-ROW(TableDiv[[#Headers],[Agency]])),COLUMNS($F$7:G$7))))</f>
        <v>0</v>
      </c>
      <c r="H388" s="2223" cm="1">
        <f t="array" ref="H388">IF($D388&lt;COLUMNS($F$7:H$7),"",INDEX(TableDiv[[GASB]:[GASB]],_xlfn.AGGREGATE(15,3,(TableDiv[[Agency]:[Agency]]=$E388)/(TableDiv[[Agency]:[Agency]]=$E388)*(ROW(TableDiv[Agency])-ROW(TableDiv[[#Headers],[Agency]])),COLUMNS($F$7:H$7))))</f>
        <v>0</v>
      </c>
      <c r="I388" s="2223" cm="1">
        <f t="array" ref="I388">IF($D388&lt;COLUMNS($F$7:I$7),"",INDEX(TableDiv[[GASB]:[GASB]],_xlfn.AGGREGATE(15,3,(TableDiv[[Agency]:[Agency]]=$E388)/(TableDiv[[Agency]:[Agency]]=$E388)*(ROW(TableDiv[Agency])-ROW(TableDiv[[#Headers],[Agency]])),COLUMNS($F$7:I$7))))</f>
        <v>0</v>
      </c>
      <c r="J388" s="2223" cm="1">
        <f t="array" ref="J388">IF($D388&lt;COLUMNS($F$7:J$7),"",INDEX(TableDiv[[GASB]:[GASB]],_xlfn.AGGREGATE(15,3,(TableDiv[[Agency]:[Agency]]=$E388)/(TableDiv[[Agency]:[Agency]]=$E388)*(ROW(TableDiv[Agency])-ROW(TableDiv[[#Headers],[Agency]])),COLUMNS($F$7:J$7))))</f>
        <v>0</v>
      </c>
      <c r="K388" s="2223" cm="1">
        <f t="array" ref="K388">IF($D388&lt;COLUMNS($F$7:K$7),"",INDEX(TableDiv[[GASB]:[GASB]],_xlfn.AGGREGATE(15,3,(TableDiv[[Agency]:[Agency]]=$E388)/(TableDiv[[Agency]:[Agency]]=$E388)*(ROW(TableDiv[Agency])-ROW(TableDiv[[#Headers],[Agency]])),COLUMNS($F$7:K$7))))</f>
        <v>0</v>
      </c>
      <c r="L388" s="2223" cm="1">
        <f t="array" ref="L388">IF($D388&lt;COLUMNS($F$7:L$7),"",INDEX(TableDiv[[GASB]:[GASB]],_xlfn.AGGREGATE(15,3,(TableDiv[[Agency]:[Agency]]=$E388)/(TableDiv[[Agency]:[Agency]]=$E388)*(ROW(TableDiv[Agency])-ROW(TableDiv[[#Headers],[Agency]])),COLUMNS($F$7:L$7))))</f>
        <v>0</v>
      </c>
      <c r="M388" s="2223" cm="1">
        <f t="array" ref="M388">IF($D388&lt;COLUMNS($F$7:M$7),"",INDEX(TableDiv[[GASB]:[GASB]],_xlfn.AGGREGATE(15,3,(TableDiv[[Agency]:[Agency]]=$E388)/(TableDiv[[Agency]:[Agency]]=$E388)*(ROW(TableDiv[Agency])-ROW(TableDiv[[#Headers],[Agency]])),COLUMNS($F$7:M$7))))</f>
        <v>0</v>
      </c>
      <c r="N388" s="2223" cm="1">
        <f t="array" ref="N388">IF($D388&lt;COLUMNS($F$7:N$7),"",INDEX(TableDiv[[GASB]:[GASB]],_xlfn.AGGREGATE(15,3,(TableDiv[[Agency]:[Agency]]=$E388)/(TableDiv[[Agency]:[Agency]]=$E388)*(ROW(TableDiv[Agency])-ROW(TableDiv[[#Headers],[Agency]])),COLUMNS($F$7:N$7))))</f>
        <v>0</v>
      </c>
      <c r="O388" s="2223" cm="1">
        <f t="array" ref="O388">IF($D388&lt;COLUMNS($F$7:O$7),"",INDEX(TableDiv[[GASB]:[GASB]],_xlfn.AGGREGATE(15,3,(TableDiv[[Agency]:[Agency]]=$E388)/(TableDiv[[Agency]:[Agency]]=$E388)*(ROW(TableDiv[Agency])-ROW(TableDiv[[#Headers],[Agency]])),COLUMNS($F$7:O$7))))</f>
        <v>0</v>
      </c>
      <c r="P388" s="2223" cm="1">
        <f t="array" ref="P388">IF($D388&lt;COLUMNS($F$7:P$7),"",INDEX(TableDiv[[GASB]:[GASB]],_xlfn.AGGREGATE(15,3,(TableDiv[[Agency]:[Agency]]=$E388)/(TableDiv[[Agency]:[Agency]]=$E388)*(ROW(TableDiv[Agency])-ROW(TableDiv[[#Headers],[Agency]])),COLUMNS($F$7:P$7))))</f>
        <v>0</v>
      </c>
      <c r="Q388" s="2223" cm="1">
        <f t="array" ref="Q388">IF($D388&lt;COLUMNS($F$7:Q$7),"",INDEX(TableDiv[[GASB]:[GASB]],_xlfn.AGGREGATE(15,3,(TableDiv[[Agency]:[Agency]]=$E388)/(TableDiv[[Agency]:[Agency]]=$E388)*(ROW(TableDiv[Agency])-ROW(TableDiv[[#Headers],[Agency]])),COLUMNS($F$7:Q$7))))</f>
        <v>0</v>
      </c>
      <c r="R388" s="2223" cm="1">
        <f t="array" ref="R388">IF($D388&lt;COLUMNS($F$7:R$7),"",INDEX(TableDiv[[GASB]:[GASB]],_xlfn.AGGREGATE(15,3,(TableDiv[[Agency]:[Agency]]=$E388)/(TableDiv[[Agency]:[Agency]]=$E388)*(ROW(TableDiv[Agency])-ROW(TableDiv[[#Headers],[Agency]])),COLUMNS($F$7:R$7))))</f>
        <v>0</v>
      </c>
      <c r="S388" s="2223" cm="1">
        <f t="array" ref="S388">IF($D388&lt;COLUMNS($F$7:S$7),"",INDEX(TableDiv[[GASB]:[GASB]],_xlfn.AGGREGATE(15,3,(TableDiv[[Agency]:[Agency]]=$E388)/(TableDiv[[Agency]:[Agency]]=$E388)*(ROW(TableDiv[Agency])-ROW(TableDiv[[#Headers],[Agency]])),COLUMNS($F$7:S$7))))</f>
        <v>0</v>
      </c>
      <c r="T388" s="2223" cm="1">
        <f t="array" ref="T388">IF($D388&lt;COLUMNS($F$7:T$7),"",INDEX(TableDiv[[GASB]:[GASB]],_xlfn.AGGREGATE(15,3,(TableDiv[[Agency]:[Agency]]=$E388)/(TableDiv[[Agency]:[Agency]]=$E388)*(ROW(TableDiv[Agency])-ROW(TableDiv[[#Headers],[Agency]])),COLUMNS($F$7:T$7))))</f>
        <v>0</v>
      </c>
      <c r="U388" s="2223" cm="1">
        <f t="array" ref="U388">IF($D388&lt;COLUMNS($F$7:U$7),"",INDEX(TableDiv[[GASB]:[GASB]],_xlfn.AGGREGATE(15,3,(TableDiv[[Agency]:[Agency]]=$E388)/(TableDiv[[Agency]:[Agency]]=$E388)*(ROW(TableDiv[Agency])-ROW(TableDiv[[#Headers],[Agency]])),COLUMNS($F$7:U$7))))</f>
        <v>0</v>
      </c>
      <c r="V388" s="2223" cm="1">
        <f t="array" ref="V388">IF($D388&lt;COLUMNS($F$7:V$7),"",INDEX(TableDiv[[GASB]:[GASB]],_xlfn.AGGREGATE(15,3,(TableDiv[[Agency]:[Agency]]=$E388)/(TableDiv[[Agency]:[Agency]]=$E388)*(ROW(TableDiv[Agency])-ROW(TableDiv[[#Headers],[Agency]])),COLUMNS($F$7:V$7))))</f>
        <v>0</v>
      </c>
      <c r="W388" s="2223" cm="1">
        <f t="array" ref="W388">IF($D388&lt;COLUMNS($F$7:W$7),"",INDEX(TableDiv[[GASB]:[GASB]],_xlfn.AGGREGATE(15,3,(TableDiv[[Agency]:[Agency]]=$E388)/(TableDiv[[Agency]:[Agency]]=$E388)*(ROW(TableDiv[Agency])-ROW(TableDiv[[#Headers],[Agency]])),COLUMNS($F$7:W$7))))</f>
        <v>0</v>
      </c>
      <c r="X388" s="2223" cm="1">
        <f t="array" ref="X388">IF($D388&lt;COLUMNS($F$7:X$7),"",INDEX(TableDiv[[GASB]:[GASB]],_xlfn.AGGREGATE(15,3,(TableDiv[[Agency]:[Agency]]=$E388)/(TableDiv[[Agency]:[Agency]]=$E388)*(ROW(TableDiv[Agency])-ROW(TableDiv[[#Headers],[Agency]])),COLUMNS($F$7:X$7))))</f>
        <v>0</v>
      </c>
      <c r="Y388" s="2223" cm="1">
        <f t="array" ref="Y388">IF($D388&lt;COLUMNS($F$7:Y$7),"",INDEX(TableDiv[[GASB]:[GASB]],_xlfn.AGGREGATE(15,3,(TableDiv[[Agency]:[Agency]]=$E388)/(TableDiv[[Agency]:[Agency]]=$E388)*(ROW(TableDiv[Agency])-ROW(TableDiv[[#Headers],[Agency]])),COLUMNS($F$7:Y$7))))</f>
        <v>0</v>
      </c>
      <c r="Z388" s="2223" cm="1">
        <f t="array" ref="Z388">IF($D388&lt;COLUMNS($F$7:Z$7),"",INDEX(TableDiv[[GASB]:[GASB]],_xlfn.AGGREGATE(15,3,(TableDiv[[Agency]:[Agency]]=$E388)/(TableDiv[[Agency]:[Agency]]=$E388)*(ROW(TableDiv[Agency])-ROW(TableDiv[[#Headers],[Agency]])),COLUMNS($F$7:Z$7))))</f>
        <v>0</v>
      </c>
      <c r="AA388" s="2223" cm="1">
        <f t="array" ref="AA388">IF($D388&lt;COLUMNS($F$7:AA$7),"",INDEX(TableDiv[[GASB]:[GASB]],_xlfn.AGGREGATE(15,3,(TableDiv[[Agency]:[Agency]]=$E388)/(TableDiv[[Agency]:[Agency]]=$E388)*(ROW(TableDiv[Agency])-ROW(TableDiv[[#Headers],[Agency]])),COLUMNS($F$7:AA$7))))</f>
        <v>0</v>
      </c>
      <c r="AB388" s="2223" cm="1">
        <f t="array" ref="AB388">IF($D388&lt;COLUMNS($F$7:AB$7),"",INDEX(TableDiv[[GASB]:[GASB]],_xlfn.AGGREGATE(15,3,(TableDiv[[Agency]:[Agency]]=$E388)/(TableDiv[[Agency]:[Agency]]=$E388)*(ROW(TableDiv[Agency])-ROW(TableDiv[[#Headers],[Agency]])),COLUMNS($F$7:AB$7))))</f>
        <v>0</v>
      </c>
      <c r="AC388" s="2223" cm="1">
        <f t="array" ref="AC388">IF($D388&lt;COLUMNS($F$7:AC$7),"",INDEX(TableDiv[[GASB]:[GASB]],_xlfn.AGGREGATE(15,3,(TableDiv[[Agency]:[Agency]]=$E388)/(TableDiv[[Agency]:[Agency]]=$E388)*(ROW(TableDiv[Agency])-ROW(TableDiv[[#Headers],[Agency]])),COLUMNS($F$7:AC$7))))</f>
        <v>0</v>
      </c>
      <c r="AD388" s="2223" cm="1">
        <f t="array" ref="AD388">IF($D388&lt;COLUMNS($F$7:AD$7),"",INDEX(TableDiv[[GASB]:[GASB]],_xlfn.AGGREGATE(15,3,(TableDiv[[Agency]:[Agency]]=$E388)/(TableDiv[[Agency]:[Agency]]=$E388)*(ROW(TableDiv[Agency])-ROW(TableDiv[[#Headers],[Agency]])),COLUMNS($F$7:AD$7))))</f>
        <v>0</v>
      </c>
      <c r="AE388" s="2223" cm="1">
        <f t="array" ref="AE388">IF($D388&lt;COLUMNS($F$7:AE$7),"",INDEX(TableDiv[[GASB]:[GASB]],_xlfn.AGGREGATE(15,3,(TableDiv[[Agency]:[Agency]]=$E388)/(TableDiv[[Agency]:[Agency]]=$E388)*(ROW(TableDiv[Agency])-ROW(TableDiv[[#Headers],[Agency]])),COLUMNS($F$7:AE$7))))</f>
        <v>0</v>
      </c>
      <c r="AF388" s="2223" cm="1">
        <f t="array" ref="AF388">IF($D388&lt;COLUMNS($F$7:AF$7),"",INDEX(TableDiv[[GASB]:[GASB]],_xlfn.AGGREGATE(15,3,(TableDiv[[Agency]:[Agency]]=$E388)/(TableDiv[[Agency]:[Agency]]=$E388)*(ROW(TableDiv[Agency])-ROW(TableDiv[[#Headers],[Agency]])),COLUMNS($F$7:AF$7))))</f>
        <v>0</v>
      </c>
      <c r="AG388" s="2223" cm="1">
        <f t="array" ref="AG388">IF($D388&lt;COLUMNS($F$7:AG$7),"",INDEX(TableDiv[[GASB]:[GASB]],_xlfn.AGGREGATE(15,3,(TableDiv[[Agency]:[Agency]]=$E388)/(TableDiv[[Agency]:[Agency]]=$E388)*(ROW(TableDiv[Agency])-ROW(TableDiv[[#Headers],[Agency]])),COLUMNS($F$7:AG$7))))</f>
        <v>0</v>
      </c>
      <c r="AH388" s="2223" cm="1">
        <f t="array" ref="AH388">IF($D388&lt;COLUMNS($F$7:AH$7),"",INDEX(TableDiv[[GASB]:[GASB]],_xlfn.AGGREGATE(15,3,(TableDiv[[Agency]:[Agency]]=$E388)/(TableDiv[[Agency]:[Agency]]=$E388)*(ROW(TableDiv[Agency])-ROW(TableDiv[[#Headers],[Agency]])),COLUMNS($F$7:AH$7))))</f>
        <v>0</v>
      </c>
      <c r="AI388" s="2223" cm="1">
        <f t="array" ref="AI388">IF($D388&lt;COLUMNS($F$7:AI$7),"",INDEX(TableDiv[[GASB]:[GASB]],_xlfn.AGGREGATE(15,3,(TableDiv[[Agency]:[Agency]]=$E388)/(TableDiv[[Agency]:[Agency]]=$E388)*(ROW(TableDiv[Agency])-ROW(TableDiv[[#Headers],[Agency]])),COLUMNS($F$7:AI$7))))</f>
        <v>0</v>
      </c>
      <c r="AJ388" s="2223" cm="1">
        <f t="array" ref="AJ388">IF($D388&lt;COLUMNS($F$7:AJ$7),"",INDEX(TableDiv[[GASB]:[GASB]],_xlfn.AGGREGATE(15,3,(TableDiv[[Agency]:[Agency]]=$E388)/(TableDiv[[Agency]:[Agency]]=$E388)*(ROW(TableDiv[Agency])-ROW(TableDiv[[#Headers],[Agency]])),COLUMNS($F$7:AJ$7))))</f>
        <v>0</v>
      </c>
      <c r="AK388" s="2223" t="str" cm="1">
        <f t="array" ref="AK388">IF($D388&lt;COLUMNS($F$7:AK$7),"",INDEX(TableDiv[[GASB]:[GASB]],_xlfn.AGGREGATE(15,3,(TableDiv[[Agency]:[Agency]]=$E388)/(TableDiv[[Agency]:[Agency]]=$E388)*(ROW(TableDiv[Agency])-ROW(TableDiv[[#Headers],[Agency]])),COLUMNS($F$7:AK$7))))</f>
        <v/>
      </c>
      <c r="AL388" s="2223" t="str" cm="1">
        <f t="array" ref="AL388">IF($D388&lt;COLUMNS($F$7:AL$7),"",INDEX(TableDiv[[GASB]:[GASB]],_xlfn.AGGREGATE(15,3,(TableDiv[[Agency]:[Agency]]=$E388)/(TableDiv[[Agency]:[Agency]]=$E388)*(ROW(TableDiv[Agency])-ROW(TableDiv[[#Headers],[Agency]])),COLUMNS($F$7:AL$7))))</f>
        <v/>
      </c>
      <c r="AM388" s="2223" t="str" cm="1">
        <f t="array" ref="AM388">IF($D388&lt;COLUMNS($F$7:AM$7),"",INDEX(TableDiv[[GASB]:[GASB]],_xlfn.AGGREGATE(15,3,(TableDiv[[Agency]:[Agency]]=$E388)/(TableDiv[[Agency]:[Agency]]=$E388)*(ROW(TableDiv[Agency])-ROW(TableDiv[[#Headers],[Agency]])),COLUMNS($F$7:AM$7))))</f>
        <v/>
      </c>
      <c r="AN388" s="2223"/>
      <c r="AO388" s="2223"/>
      <c r="AP388" s="2223"/>
      <c r="AQ388" s="2223"/>
      <c r="AR388" s="2223"/>
      <c r="AS388" s="2223"/>
    </row>
    <row r="389" spans="1:45" ht="15" x14ac:dyDescent="0.25">
      <c r="A389" s="2219" t="s">
        <v>6506</v>
      </c>
      <c r="B389" s="2219" t="s">
        <v>6497</v>
      </c>
      <c r="C389" s="2223"/>
      <c r="D389" s="2223">
        <f>COUNTIF(TableDiv[Agency],E389)</f>
        <v>31</v>
      </c>
      <c r="E389" s="2230" t="str" cm="1">
        <f t="array" ref="E389">IFERROR(INDEX(TableDiv[Agency],MATCH(0,INDEX(COUNTIF($E$7:E388,TableDiv[Agency]),),0)),"")</f>
        <v/>
      </c>
      <c r="F389" s="2223" cm="1">
        <f t="array" ref="F389">IF($D389&lt;COLUMNS($F$7:F$7),"",INDEX(TableDiv[[GASB]:[GASB]],_xlfn.AGGREGATE(15,3,(TableDiv[[Agency]:[Agency]]=$E389)/(TableDiv[[Agency]:[Agency]]=$E389)*(ROW(TableDiv[Agency])-ROW(TableDiv[[#Headers],[Agency]])),COLUMNS($F$7:F$7))))</f>
        <v>0</v>
      </c>
      <c r="G389" s="2223" cm="1">
        <f t="array" ref="G389">IF($D389&lt;COLUMNS($F$7:G$7),"",INDEX(TableDiv[[GASB]:[GASB]],_xlfn.AGGREGATE(15,3,(TableDiv[[Agency]:[Agency]]=$E389)/(TableDiv[[Agency]:[Agency]]=$E389)*(ROW(TableDiv[Agency])-ROW(TableDiv[[#Headers],[Agency]])),COLUMNS($F$7:G$7))))</f>
        <v>0</v>
      </c>
      <c r="H389" s="2223" cm="1">
        <f t="array" ref="H389">IF($D389&lt;COLUMNS($F$7:H$7),"",INDEX(TableDiv[[GASB]:[GASB]],_xlfn.AGGREGATE(15,3,(TableDiv[[Agency]:[Agency]]=$E389)/(TableDiv[[Agency]:[Agency]]=$E389)*(ROW(TableDiv[Agency])-ROW(TableDiv[[#Headers],[Agency]])),COLUMNS($F$7:H$7))))</f>
        <v>0</v>
      </c>
      <c r="I389" s="2223" cm="1">
        <f t="array" ref="I389">IF($D389&lt;COLUMNS($F$7:I$7),"",INDEX(TableDiv[[GASB]:[GASB]],_xlfn.AGGREGATE(15,3,(TableDiv[[Agency]:[Agency]]=$E389)/(TableDiv[[Agency]:[Agency]]=$E389)*(ROW(TableDiv[Agency])-ROW(TableDiv[[#Headers],[Agency]])),COLUMNS($F$7:I$7))))</f>
        <v>0</v>
      </c>
      <c r="J389" s="2223" cm="1">
        <f t="array" ref="J389">IF($D389&lt;COLUMNS($F$7:J$7),"",INDEX(TableDiv[[GASB]:[GASB]],_xlfn.AGGREGATE(15,3,(TableDiv[[Agency]:[Agency]]=$E389)/(TableDiv[[Agency]:[Agency]]=$E389)*(ROW(TableDiv[Agency])-ROW(TableDiv[[#Headers],[Agency]])),COLUMNS($F$7:J$7))))</f>
        <v>0</v>
      </c>
      <c r="K389" s="2223" cm="1">
        <f t="array" ref="K389">IF($D389&lt;COLUMNS($F$7:K$7),"",INDEX(TableDiv[[GASB]:[GASB]],_xlfn.AGGREGATE(15,3,(TableDiv[[Agency]:[Agency]]=$E389)/(TableDiv[[Agency]:[Agency]]=$E389)*(ROW(TableDiv[Agency])-ROW(TableDiv[[#Headers],[Agency]])),COLUMNS($F$7:K$7))))</f>
        <v>0</v>
      </c>
      <c r="L389" s="2223" cm="1">
        <f t="array" ref="L389">IF($D389&lt;COLUMNS($F$7:L$7),"",INDEX(TableDiv[[GASB]:[GASB]],_xlfn.AGGREGATE(15,3,(TableDiv[[Agency]:[Agency]]=$E389)/(TableDiv[[Agency]:[Agency]]=$E389)*(ROW(TableDiv[Agency])-ROW(TableDiv[[#Headers],[Agency]])),COLUMNS($F$7:L$7))))</f>
        <v>0</v>
      </c>
      <c r="M389" s="2223" cm="1">
        <f t="array" ref="M389">IF($D389&lt;COLUMNS($F$7:M$7),"",INDEX(TableDiv[[GASB]:[GASB]],_xlfn.AGGREGATE(15,3,(TableDiv[[Agency]:[Agency]]=$E389)/(TableDiv[[Agency]:[Agency]]=$E389)*(ROW(TableDiv[Agency])-ROW(TableDiv[[#Headers],[Agency]])),COLUMNS($F$7:M$7))))</f>
        <v>0</v>
      </c>
      <c r="N389" s="2223" cm="1">
        <f t="array" ref="N389">IF($D389&lt;COLUMNS($F$7:N$7),"",INDEX(TableDiv[[GASB]:[GASB]],_xlfn.AGGREGATE(15,3,(TableDiv[[Agency]:[Agency]]=$E389)/(TableDiv[[Agency]:[Agency]]=$E389)*(ROW(TableDiv[Agency])-ROW(TableDiv[[#Headers],[Agency]])),COLUMNS($F$7:N$7))))</f>
        <v>0</v>
      </c>
      <c r="O389" s="2223" cm="1">
        <f t="array" ref="O389">IF($D389&lt;COLUMNS($F$7:O$7),"",INDEX(TableDiv[[GASB]:[GASB]],_xlfn.AGGREGATE(15,3,(TableDiv[[Agency]:[Agency]]=$E389)/(TableDiv[[Agency]:[Agency]]=$E389)*(ROW(TableDiv[Agency])-ROW(TableDiv[[#Headers],[Agency]])),COLUMNS($F$7:O$7))))</f>
        <v>0</v>
      </c>
      <c r="P389" s="2223" cm="1">
        <f t="array" ref="P389">IF($D389&lt;COLUMNS($F$7:P$7),"",INDEX(TableDiv[[GASB]:[GASB]],_xlfn.AGGREGATE(15,3,(TableDiv[[Agency]:[Agency]]=$E389)/(TableDiv[[Agency]:[Agency]]=$E389)*(ROW(TableDiv[Agency])-ROW(TableDiv[[#Headers],[Agency]])),COLUMNS($F$7:P$7))))</f>
        <v>0</v>
      </c>
      <c r="Q389" s="2223" cm="1">
        <f t="array" ref="Q389">IF($D389&lt;COLUMNS($F$7:Q$7),"",INDEX(TableDiv[[GASB]:[GASB]],_xlfn.AGGREGATE(15,3,(TableDiv[[Agency]:[Agency]]=$E389)/(TableDiv[[Agency]:[Agency]]=$E389)*(ROW(TableDiv[Agency])-ROW(TableDiv[[#Headers],[Agency]])),COLUMNS($F$7:Q$7))))</f>
        <v>0</v>
      </c>
      <c r="R389" s="2223" cm="1">
        <f t="array" ref="R389">IF($D389&lt;COLUMNS($F$7:R$7),"",INDEX(TableDiv[[GASB]:[GASB]],_xlfn.AGGREGATE(15,3,(TableDiv[[Agency]:[Agency]]=$E389)/(TableDiv[[Agency]:[Agency]]=$E389)*(ROW(TableDiv[Agency])-ROW(TableDiv[[#Headers],[Agency]])),COLUMNS($F$7:R$7))))</f>
        <v>0</v>
      </c>
      <c r="S389" s="2223" cm="1">
        <f t="array" ref="S389">IF($D389&lt;COLUMNS($F$7:S$7),"",INDEX(TableDiv[[GASB]:[GASB]],_xlfn.AGGREGATE(15,3,(TableDiv[[Agency]:[Agency]]=$E389)/(TableDiv[[Agency]:[Agency]]=$E389)*(ROW(TableDiv[Agency])-ROW(TableDiv[[#Headers],[Agency]])),COLUMNS($F$7:S$7))))</f>
        <v>0</v>
      </c>
      <c r="T389" s="2223" cm="1">
        <f t="array" ref="T389">IF($D389&lt;COLUMNS($F$7:T$7),"",INDEX(TableDiv[[GASB]:[GASB]],_xlfn.AGGREGATE(15,3,(TableDiv[[Agency]:[Agency]]=$E389)/(TableDiv[[Agency]:[Agency]]=$E389)*(ROW(TableDiv[Agency])-ROW(TableDiv[[#Headers],[Agency]])),COLUMNS($F$7:T$7))))</f>
        <v>0</v>
      </c>
      <c r="U389" s="2223" cm="1">
        <f t="array" ref="U389">IF($D389&lt;COLUMNS($F$7:U$7),"",INDEX(TableDiv[[GASB]:[GASB]],_xlfn.AGGREGATE(15,3,(TableDiv[[Agency]:[Agency]]=$E389)/(TableDiv[[Agency]:[Agency]]=$E389)*(ROW(TableDiv[Agency])-ROW(TableDiv[[#Headers],[Agency]])),COLUMNS($F$7:U$7))))</f>
        <v>0</v>
      </c>
      <c r="V389" s="2223" cm="1">
        <f t="array" ref="V389">IF($D389&lt;COLUMNS($F$7:V$7),"",INDEX(TableDiv[[GASB]:[GASB]],_xlfn.AGGREGATE(15,3,(TableDiv[[Agency]:[Agency]]=$E389)/(TableDiv[[Agency]:[Agency]]=$E389)*(ROW(TableDiv[Agency])-ROW(TableDiv[[#Headers],[Agency]])),COLUMNS($F$7:V$7))))</f>
        <v>0</v>
      </c>
      <c r="W389" s="2223" cm="1">
        <f t="array" ref="W389">IF($D389&lt;COLUMNS($F$7:W$7),"",INDEX(TableDiv[[GASB]:[GASB]],_xlfn.AGGREGATE(15,3,(TableDiv[[Agency]:[Agency]]=$E389)/(TableDiv[[Agency]:[Agency]]=$E389)*(ROW(TableDiv[Agency])-ROW(TableDiv[[#Headers],[Agency]])),COLUMNS($F$7:W$7))))</f>
        <v>0</v>
      </c>
      <c r="X389" s="2223" cm="1">
        <f t="array" ref="X389">IF($D389&lt;COLUMNS($F$7:X$7),"",INDEX(TableDiv[[GASB]:[GASB]],_xlfn.AGGREGATE(15,3,(TableDiv[[Agency]:[Agency]]=$E389)/(TableDiv[[Agency]:[Agency]]=$E389)*(ROW(TableDiv[Agency])-ROW(TableDiv[[#Headers],[Agency]])),COLUMNS($F$7:X$7))))</f>
        <v>0</v>
      </c>
      <c r="Y389" s="2223" cm="1">
        <f t="array" ref="Y389">IF($D389&lt;COLUMNS($F$7:Y$7),"",INDEX(TableDiv[[GASB]:[GASB]],_xlfn.AGGREGATE(15,3,(TableDiv[[Agency]:[Agency]]=$E389)/(TableDiv[[Agency]:[Agency]]=$E389)*(ROW(TableDiv[Agency])-ROW(TableDiv[[#Headers],[Agency]])),COLUMNS($F$7:Y$7))))</f>
        <v>0</v>
      </c>
      <c r="Z389" s="2223" cm="1">
        <f t="array" ref="Z389">IF($D389&lt;COLUMNS($F$7:Z$7),"",INDEX(TableDiv[[GASB]:[GASB]],_xlfn.AGGREGATE(15,3,(TableDiv[[Agency]:[Agency]]=$E389)/(TableDiv[[Agency]:[Agency]]=$E389)*(ROW(TableDiv[Agency])-ROW(TableDiv[[#Headers],[Agency]])),COLUMNS($F$7:Z$7))))</f>
        <v>0</v>
      </c>
      <c r="AA389" s="2223" cm="1">
        <f t="array" ref="AA389">IF($D389&lt;COLUMNS($F$7:AA$7),"",INDEX(TableDiv[[GASB]:[GASB]],_xlfn.AGGREGATE(15,3,(TableDiv[[Agency]:[Agency]]=$E389)/(TableDiv[[Agency]:[Agency]]=$E389)*(ROW(TableDiv[Agency])-ROW(TableDiv[[#Headers],[Agency]])),COLUMNS($F$7:AA$7))))</f>
        <v>0</v>
      </c>
      <c r="AB389" s="2223" cm="1">
        <f t="array" ref="AB389">IF($D389&lt;COLUMNS($F$7:AB$7),"",INDEX(TableDiv[[GASB]:[GASB]],_xlfn.AGGREGATE(15,3,(TableDiv[[Agency]:[Agency]]=$E389)/(TableDiv[[Agency]:[Agency]]=$E389)*(ROW(TableDiv[Agency])-ROW(TableDiv[[#Headers],[Agency]])),COLUMNS($F$7:AB$7))))</f>
        <v>0</v>
      </c>
      <c r="AC389" s="2223" cm="1">
        <f t="array" ref="AC389">IF($D389&lt;COLUMNS($F$7:AC$7),"",INDEX(TableDiv[[GASB]:[GASB]],_xlfn.AGGREGATE(15,3,(TableDiv[[Agency]:[Agency]]=$E389)/(TableDiv[[Agency]:[Agency]]=$E389)*(ROW(TableDiv[Agency])-ROW(TableDiv[[#Headers],[Agency]])),COLUMNS($F$7:AC$7))))</f>
        <v>0</v>
      </c>
      <c r="AD389" s="2223" cm="1">
        <f t="array" ref="AD389">IF($D389&lt;COLUMNS($F$7:AD$7),"",INDEX(TableDiv[[GASB]:[GASB]],_xlfn.AGGREGATE(15,3,(TableDiv[[Agency]:[Agency]]=$E389)/(TableDiv[[Agency]:[Agency]]=$E389)*(ROW(TableDiv[Agency])-ROW(TableDiv[[#Headers],[Agency]])),COLUMNS($F$7:AD$7))))</f>
        <v>0</v>
      </c>
      <c r="AE389" s="2223" cm="1">
        <f t="array" ref="AE389">IF($D389&lt;COLUMNS($F$7:AE$7),"",INDEX(TableDiv[[GASB]:[GASB]],_xlfn.AGGREGATE(15,3,(TableDiv[[Agency]:[Agency]]=$E389)/(TableDiv[[Agency]:[Agency]]=$E389)*(ROW(TableDiv[Agency])-ROW(TableDiv[[#Headers],[Agency]])),COLUMNS($F$7:AE$7))))</f>
        <v>0</v>
      </c>
      <c r="AF389" s="2223" cm="1">
        <f t="array" ref="AF389">IF($D389&lt;COLUMNS($F$7:AF$7),"",INDEX(TableDiv[[GASB]:[GASB]],_xlfn.AGGREGATE(15,3,(TableDiv[[Agency]:[Agency]]=$E389)/(TableDiv[[Agency]:[Agency]]=$E389)*(ROW(TableDiv[Agency])-ROW(TableDiv[[#Headers],[Agency]])),COLUMNS($F$7:AF$7))))</f>
        <v>0</v>
      </c>
      <c r="AG389" s="2223" cm="1">
        <f t="array" ref="AG389">IF($D389&lt;COLUMNS($F$7:AG$7),"",INDEX(TableDiv[[GASB]:[GASB]],_xlfn.AGGREGATE(15,3,(TableDiv[[Agency]:[Agency]]=$E389)/(TableDiv[[Agency]:[Agency]]=$E389)*(ROW(TableDiv[Agency])-ROW(TableDiv[[#Headers],[Agency]])),COLUMNS($F$7:AG$7))))</f>
        <v>0</v>
      </c>
      <c r="AH389" s="2223" cm="1">
        <f t="array" ref="AH389">IF($D389&lt;COLUMNS($F$7:AH$7),"",INDEX(TableDiv[[GASB]:[GASB]],_xlfn.AGGREGATE(15,3,(TableDiv[[Agency]:[Agency]]=$E389)/(TableDiv[[Agency]:[Agency]]=$E389)*(ROW(TableDiv[Agency])-ROW(TableDiv[[#Headers],[Agency]])),COLUMNS($F$7:AH$7))))</f>
        <v>0</v>
      </c>
      <c r="AI389" s="2223" cm="1">
        <f t="array" ref="AI389">IF($D389&lt;COLUMNS($F$7:AI$7),"",INDEX(TableDiv[[GASB]:[GASB]],_xlfn.AGGREGATE(15,3,(TableDiv[[Agency]:[Agency]]=$E389)/(TableDiv[[Agency]:[Agency]]=$E389)*(ROW(TableDiv[Agency])-ROW(TableDiv[[#Headers],[Agency]])),COLUMNS($F$7:AI$7))))</f>
        <v>0</v>
      </c>
      <c r="AJ389" s="2223" cm="1">
        <f t="array" ref="AJ389">IF($D389&lt;COLUMNS($F$7:AJ$7),"",INDEX(TableDiv[[GASB]:[GASB]],_xlfn.AGGREGATE(15,3,(TableDiv[[Agency]:[Agency]]=$E389)/(TableDiv[[Agency]:[Agency]]=$E389)*(ROW(TableDiv[Agency])-ROW(TableDiv[[#Headers],[Agency]])),COLUMNS($F$7:AJ$7))))</f>
        <v>0</v>
      </c>
      <c r="AK389" s="2223" t="str" cm="1">
        <f t="array" ref="AK389">IF($D389&lt;COLUMNS($F$7:AK$7),"",INDEX(TableDiv[[GASB]:[GASB]],_xlfn.AGGREGATE(15,3,(TableDiv[[Agency]:[Agency]]=$E389)/(TableDiv[[Agency]:[Agency]]=$E389)*(ROW(TableDiv[Agency])-ROW(TableDiv[[#Headers],[Agency]])),COLUMNS($F$7:AK$7))))</f>
        <v/>
      </c>
      <c r="AL389" s="2223" t="str" cm="1">
        <f t="array" ref="AL389">IF($D389&lt;COLUMNS($F$7:AL$7),"",INDEX(TableDiv[[GASB]:[GASB]],_xlfn.AGGREGATE(15,3,(TableDiv[[Agency]:[Agency]]=$E389)/(TableDiv[[Agency]:[Agency]]=$E389)*(ROW(TableDiv[Agency])-ROW(TableDiv[[#Headers],[Agency]])),COLUMNS($F$7:AL$7))))</f>
        <v/>
      </c>
      <c r="AM389" s="2223" t="str" cm="1">
        <f t="array" ref="AM389">IF($D389&lt;COLUMNS($F$7:AM$7),"",INDEX(TableDiv[[GASB]:[GASB]],_xlfn.AGGREGATE(15,3,(TableDiv[[Agency]:[Agency]]=$E389)/(TableDiv[[Agency]:[Agency]]=$E389)*(ROW(TableDiv[Agency])-ROW(TableDiv[[#Headers],[Agency]])),COLUMNS($F$7:AM$7))))</f>
        <v/>
      </c>
      <c r="AN389" s="2223"/>
      <c r="AO389" s="2223"/>
      <c r="AP389" s="2223"/>
      <c r="AQ389" s="2223"/>
      <c r="AR389" s="2223"/>
      <c r="AS389" s="2223"/>
    </row>
    <row r="390" spans="1:45" ht="15" x14ac:dyDescent="0.25">
      <c r="A390" s="2219" t="s">
        <v>6507</v>
      </c>
      <c r="B390" s="2219" t="s">
        <v>6497</v>
      </c>
      <c r="C390" s="2223"/>
      <c r="D390" s="2223">
        <f>COUNTIF(TableDiv[Agency],E390)</f>
        <v>31</v>
      </c>
      <c r="E390" s="2230" t="str" cm="1">
        <f t="array" ref="E390">IFERROR(INDEX(TableDiv[Agency],MATCH(0,INDEX(COUNTIF($E$7:E389,TableDiv[Agency]),),0)),"")</f>
        <v/>
      </c>
      <c r="F390" s="2223" cm="1">
        <f t="array" ref="F390">IF($D390&lt;COLUMNS($F$7:F$7),"",INDEX(TableDiv[[GASB]:[GASB]],_xlfn.AGGREGATE(15,3,(TableDiv[[Agency]:[Agency]]=$E390)/(TableDiv[[Agency]:[Agency]]=$E390)*(ROW(TableDiv[Agency])-ROW(TableDiv[[#Headers],[Agency]])),COLUMNS($F$7:F$7))))</f>
        <v>0</v>
      </c>
      <c r="G390" s="2223" cm="1">
        <f t="array" ref="G390">IF($D390&lt;COLUMNS($F$7:G$7),"",INDEX(TableDiv[[GASB]:[GASB]],_xlfn.AGGREGATE(15,3,(TableDiv[[Agency]:[Agency]]=$E390)/(TableDiv[[Agency]:[Agency]]=$E390)*(ROW(TableDiv[Agency])-ROW(TableDiv[[#Headers],[Agency]])),COLUMNS($F$7:G$7))))</f>
        <v>0</v>
      </c>
      <c r="H390" s="2223" cm="1">
        <f t="array" ref="H390">IF($D390&lt;COLUMNS($F$7:H$7),"",INDEX(TableDiv[[GASB]:[GASB]],_xlfn.AGGREGATE(15,3,(TableDiv[[Agency]:[Agency]]=$E390)/(TableDiv[[Agency]:[Agency]]=$E390)*(ROW(TableDiv[Agency])-ROW(TableDiv[[#Headers],[Agency]])),COLUMNS($F$7:H$7))))</f>
        <v>0</v>
      </c>
      <c r="I390" s="2223" cm="1">
        <f t="array" ref="I390">IF($D390&lt;COLUMNS($F$7:I$7),"",INDEX(TableDiv[[GASB]:[GASB]],_xlfn.AGGREGATE(15,3,(TableDiv[[Agency]:[Agency]]=$E390)/(TableDiv[[Agency]:[Agency]]=$E390)*(ROW(TableDiv[Agency])-ROW(TableDiv[[#Headers],[Agency]])),COLUMNS($F$7:I$7))))</f>
        <v>0</v>
      </c>
      <c r="J390" s="2223" cm="1">
        <f t="array" ref="J390">IF($D390&lt;COLUMNS($F$7:J$7),"",INDEX(TableDiv[[GASB]:[GASB]],_xlfn.AGGREGATE(15,3,(TableDiv[[Agency]:[Agency]]=$E390)/(TableDiv[[Agency]:[Agency]]=$E390)*(ROW(TableDiv[Agency])-ROW(TableDiv[[#Headers],[Agency]])),COLUMNS($F$7:J$7))))</f>
        <v>0</v>
      </c>
      <c r="K390" s="2223" cm="1">
        <f t="array" ref="K390">IF($D390&lt;COLUMNS($F$7:K$7),"",INDEX(TableDiv[[GASB]:[GASB]],_xlfn.AGGREGATE(15,3,(TableDiv[[Agency]:[Agency]]=$E390)/(TableDiv[[Agency]:[Agency]]=$E390)*(ROW(TableDiv[Agency])-ROW(TableDiv[[#Headers],[Agency]])),COLUMNS($F$7:K$7))))</f>
        <v>0</v>
      </c>
      <c r="L390" s="2223" cm="1">
        <f t="array" ref="L390">IF($D390&lt;COLUMNS($F$7:L$7),"",INDEX(TableDiv[[GASB]:[GASB]],_xlfn.AGGREGATE(15,3,(TableDiv[[Agency]:[Agency]]=$E390)/(TableDiv[[Agency]:[Agency]]=$E390)*(ROW(TableDiv[Agency])-ROW(TableDiv[[#Headers],[Agency]])),COLUMNS($F$7:L$7))))</f>
        <v>0</v>
      </c>
      <c r="M390" s="2223" cm="1">
        <f t="array" ref="M390">IF($D390&lt;COLUMNS($F$7:M$7),"",INDEX(TableDiv[[GASB]:[GASB]],_xlfn.AGGREGATE(15,3,(TableDiv[[Agency]:[Agency]]=$E390)/(TableDiv[[Agency]:[Agency]]=$E390)*(ROW(TableDiv[Agency])-ROW(TableDiv[[#Headers],[Agency]])),COLUMNS($F$7:M$7))))</f>
        <v>0</v>
      </c>
      <c r="N390" s="2223" cm="1">
        <f t="array" ref="N390">IF($D390&lt;COLUMNS($F$7:N$7),"",INDEX(TableDiv[[GASB]:[GASB]],_xlfn.AGGREGATE(15,3,(TableDiv[[Agency]:[Agency]]=$E390)/(TableDiv[[Agency]:[Agency]]=$E390)*(ROW(TableDiv[Agency])-ROW(TableDiv[[#Headers],[Agency]])),COLUMNS($F$7:N$7))))</f>
        <v>0</v>
      </c>
      <c r="O390" s="2223" cm="1">
        <f t="array" ref="O390">IF($D390&lt;COLUMNS($F$7:O$7),"",INDEX(TableDiv[[GASB]:[GASB]],_xlfn.AGGREGATE(15,3,(TableDiv[[Agency]:[Agency]]=$E390)/(TableDiv[[Agency]:[Agency]]=$E390)*(ROW(TableDiv[Agency])-ROW(TableDiv[[#Headers],[Agency]])),COLUMNS($F$7:O$7))))</f>
        <v>0</v>
      </c>
      <c r="P390" s="2223" cm="1">
        <f t="array" ref="P390">IF($D390&lt;COLUMNS($F$7:P$7),"",INDEX(TableDiv[[GASB]:[GASB]],_xlfn.AGGREGATE(15,3,(TableDiv[[Agency]:[Agency]]=$E390)/(TableDiv[[Agency]:[Agency]]=$E390)*(ROW(TableDiv[Agency])-ROW(TableDiv[[#Headers],[Agency]])),COLUMNS($F$7:P$7))))</f>
        <v>0</v>
      </c>
      <c r="Q390" s="2223" cm="1">
        <f t="array" ref="Q390">IF($D390&lt;COLUMNS($F$7:Q$7),"",INDEX(TableDiv[[GASB]:[GASB]],_xlfn.AGGREGATE(15,3,(TableDiv[[Agency]:[Agency]]=$E390)/(TableDiv[[Agency]:[Agency]]=$E390)*(ROW(TableDiv[Agency])-ROW(TableDiv[[#Headers],[Agency]])),COLUMNS($F$7:Q$7))))</f>
        <v>0</v>
      </c>
      <c r="R390" s="2223" cm="1">
        <f t="array" ref="R390">IF($D390&lt;COLUMNS($F$7:R$7),"",INDEX(TableDiv[[GASB]:[GASB]],_xlfn.AGGREGATE(15,3,(TableDiv[[Agency]:[Agency]]=$E390)/(TableDiv[[Agency]:[Agency]]=$E390)*(ROW(TableDiv[Agency])-ROW(TableDiv[[#Headers],[Agency]])),COLUMNS($F$7:R$7))))</f>
        <v>0</v>
      </c>
      <c r="S390" s="2223" cm="1">
        <f t="array" ref="S390">IF($D390&lt;COLUMNS($F$7:S$7),"",INDEX(TableDiv[[GASB]:[GASB]],_xlfn.AGGREGATE(15,3,(TableDiv[[Agency]:[Agency]]=$E390)/(TableDiv[[Agency]:[Agency]]=$E390)*(ROW(TableDiv[Agency])-ROW(TableDiv[[#Headers],[Agency]])),COLUMNS($F$7:S$7))))</f>
        <v>0</v>
      </c>
      <c r="T390" s="2223" cm="1">
        <f t="array" ref="T390">IF($D390&lt;COLUMNS($F$7:T$7),"",INDEX(TableDiv[[GASB]:[GASB]],_xlfn.AGGREGATE(15,3,(TableDiv[[Agency]:[Agency]]=$E390)/(TableDiv[[Agency]:[Agency]]=$E390)*(ROW(TableDiv[Agency])-ROW(TableDiv[[#Headers],[Agency]])),COLUMNS($F$7:T$7))))</f>
        <v>0</v>
      </c>
      <c r="U390" s="2223" cm="1">
        <f t="array" ref="U390">IF($D390&lt;COLUMNS($F$7:U$7),"",INDEX(TableDiv[[GASB]:[GASB]],_xlfn.AGGREGATE(15,3,(TableDiv[[Agency]:[Agency]]=$E390)/(TableDiv[[Agency]:[Agency]]=$E390)*(ROW(TableDiv[Agency])-ROW(TableDiv[[#Headers],[Agency]])),COLUMNS($F$7:U$7))))</f>
        <v>0</v>
      </c>
      <c r="V390" s="2223" cm="1">
        <f t="array" ref="V390">IF($D390&lt;COLUMNS($F$7:V$7),"",INDEX(TableDiv[[GASB]:[GASB]],_xlfn.AGGREGATE(15,3,(TableDiv[[Agency]:[Agency]]=$E390)/(TableDiv[[Agency]:[Agency]]=$E390)*(ROW(TableDiv[Agency])-ROW(TableDiv[[#Headers],[Agency]])),COLUMNS($F$7:V$7))))</f>
        <v>0</v>
      </c>
      <c r="W390" s="2223" cm="1">
        <f t="array" ref="W390">IF($D390&lt;COLUMNS($F$7:W$7),"",INDEX(TableDiv[[GASB]:[GASB]],_xlfn.AGGREGATE(15,3,(TableDiv[[Agency]:[Agency]]=$E390)/(TableDiv[[Agency]:[Agency]]=$E390)*(ROW(TableDiv[Agency])-ROW(TableDiv[[#Headers],[Agency]])),COLUMNS($F$7:W$7))))</f>
        <v>0</v>
      </c>
      <c r="X390" s="2223" cm="1">
        <f t="array" ref="X390">IF($D390&lt;COLUMNS($F$7:X$7),"",INDEX(TableDiv[[GASB]:[GASB]],_xlfn.AGGREGATE(15,3,(TableDiv[[Agency]:[Agency]]=$E390)/(TableDiv[[Agency]:[Agency]]=$E390)*(ROW(TableDiv[Agency])-ROW(TableDiv[[#Headers],[Agency]])),COLUMNS($F$7:X$7))))</f>
        <v>0</v>
      </c>
      <c r="Y390" s="2223" cm="1">
        <f t="array" ref="Y390">IF($D390&lt;COLUMNS($F$7:Y$7),"",INDEX(TableDiv[[GASB]:[GASB]],_xlfn.AGGREGATE(15,3,(TableDiv[[Agency]:[Agency]]=$E390)/(TableDiv[[Agency]:[Agency]]=$E390)*(ROW(TableDiv[Agency])-ROW(TableDiv[[#Headers],[Agency]])),COLUMNS($F$7:Y$7))))</f>
        <v>0</v>
      </c>
      <c r="Z390" s="2223" cm="1">
        <f t="array" ref="Z390">IF($D390&lt;COLUMNS($F$7:Z$7),"",INDEX(TableDiv[[GASB]:[GASB]],_xlfn.AGGREGATE(15,3,(TableDiv[[Agency]:[Agency]]=$E390)/(TableDiv[[Agency]:[Agency]]=$E390)*(ROW(TableDiv[Agency])-ROW(TableDiv[[#Headers],[Agency]])),COLUMNS($F$7:Z$7))))</f>
        <v>0</v>
      </c>
      <c r="AA390" s="2223" cm="1">
        <f t="array" ref="AA390">IF($D390&lt;COLUMNS($F$7:AA$7),"",INDEX(TableDiv[[GASB]:[GASB]],_xlfn.AGGREGATE(15,3,(TableDiv[[Agency]:[Agency]]=$E390)/(TableDiv[[Agency]:[Agency]]=$E390)*(ROW(TableDiv[Agency])-ROW(TableDiv[[#Headers],[Agency]])),COLUMNS($F$7:AA$7))))</f>
        <v>0</v>
      </c>
      <c r="AB390" s="2223" cm="1">
        <f t="array" ref="AB390">IF($D390&lt;COLUMNS($F$7:AB$7),"",INDEX(TableDiv[[GASB]:[GASB]],_xlfn.AGGREGATE(15,3,(TableDiv[[Agency]:[Agency]]=$E390)/(TableDiv[[Agency]:[Agency]]=$E390)*(ROW(TableDiv[Agency])-ROW(TableDiv[[#Headers],[Agency]])),COLUMNS($F$7:AB$7))))</f>
        <v>0</v>
      </c>
      <c r="AC390" s="2223" cm="1">
        <f t="array" ref="AC390">IF($D390&lt;COLUMNS($F$7:AC$7),"",INDEX(TableDiv[[GASB]:[GASB]],_xlfn.AGGREGATE(15,3,(TableDiv[[Agency]:[Agency]]=$E390)/(TableDiv[[Agency]:[Agency]]=$E390)*(ROW(TableDiv[Agency])-ROW(TableDiv[[#Headers],[Agency]])),COLUMNS($F$7:AC$7))))</f>
        <v>0</v>
      </c>
      <c r="AD390" s="2223" cm="1">
        <f t="array" ref="AD390">IF($D390&lt;COLUMNS($F$7:AD$7),"",INDEX(TableDiv[[GASB]:[GASB]],_xlfn.AGGREGATE(15,3,(TableDiv[[Agency]:[Agency]]=$E390)/(TableDiv[[Agency]:[Agency]]=$E390)*(ROW(TableDiv[Agency])-ROW(TableDiv[[#Headers],[Agency]])),COLUMNS($F$7:AD$7))))</f>
        <v>0</v>
      </c>
      <c r="AE390" s="2223" cm="1">
        <f t="array" ref="AE390">IF($D390&lt;COLUMNS($F$7:AE$7),"",INDEX(TableDiv[[GASB]:[GASB]],_xlfn.AGGREGATE(15,3,(TableDiv[[Agency]:[Agency]]=$E390)/(TableDiv[[Agency]:[Agency]]=$E390)*(ROW(TableDiv[Agency])-ROW(TableDiv[[#Headers],[Agency]])),COLUMNS($F$7:AE$7))))</f>
        <v>0</v>
      </c>
      <c r="AF390" s="2223" cm="1">
        <f t="array" ref="AF390">IF($D390&lt;COLUMNS($F$7:AF$7),"",INDEX(TableDiv[[GASB]:[GASB]],_xlfn.AGGREGATE(15,3,(TableDiv[[Agency]:[Agency]]=$E390)/(TableDiv[[Agency]:[Agency]]=$E390)*(ROW(TableDiv[Agency])-ROW(TableDiv[[#Headers],[Agency]])),COLUMNS($F$7:AF$7))))</f>
        <v>0</v>
      </c>
      <c r="AG390" s="2223" cm="1">
        <f t="array" ref="AG390">IF($D390&lt;COLUMNS($F$7:AG$7),"",INDEX(TableDiv[[GASB]:[GASB]],_xlfn.AGGREGATE(15,3,(TableDiv[[Agency]:[Agency]]=$E390)/(TableDiv[[Agency]:[Agency]]=$E390)*(ROW(TableDiv[Agency])-ROW(TableDiv[[#Headers],[Agency]])),COLUMNS($F$7:AG$7))))</f>
        <v>0</v>
      </c>
      <c r="AH390" s="2223" cm="1">
        <f t="array" ref="AH390">IF($D390&lt;COLUMNS($F$7:AH$7),"",INDEX(TableDiv[[GASB]:[GASB]],_xlfn.AGGREGATE(15,3,(TableDiv[[Agency]:[Agency]]=$E390)/(TableDiv[[Agency]:[Agency]]=$E390)*(ROW(TableDiv[Agency])-ROW(TableDiv[[#Headers],[Agency]])),COLUMNS($F$7:AH$7))))</f>
        <v>0</v>
      </c>
      <c r="AI390" s="2223" cm="1">
        <f t="array" ref="AI390">IF($D390&lt;COLUMNS($F$7:AI$7),"",INDEX(TableDiv[[GASB]:[GASB]],_xlfn.AGGREGATE(15,3,(TableDiv[[Agency]:[Agency]]=$E390)/(TableDiv[[Agency]:[Agency]]=$E390)*(ROW(TableDiv[Agency])-ROW(TableDiv[[#Headers],[Agency]])),COLUMNS($F$7:AI$7))))</f>
        <v>0</v>
      </c>
      <c r="AJ390" s="2223" cm="1">
        <f t="array" ref="AJ390">IF($D390&lt;COLUMNS($F$7:AJ$7),"",INDEX(TableDiv[[GASB]:[GASB]],_xlfn.AGGREGATE(15,3,(TableDiv[[Agency]:[Agency]]=$E390)/(TableDiv[[Agency]:[Agency]]=$E390)*(ROW(TableDiv[Agency])-ROW(TableDiv[[#Headers],[Agency]])),COLUMNS($F$7:AJ$7))))</f>
        <v>0</v>
      </c>
      <c r="AK390" s="2223" t="str" cm="1">
        <f t="array" ref="AK390">IF($D390&lt;COLUMNS($F$7:AK$7),"",INDEX(TableDiv[[GASB]:[GASB]],_xlfn.AGGREGATE(15,3,(TableDiv[[Agency]:[Agency]]=$E390)/(TableDiv[[Agency]:[Agency]]=$E390)*(ROW(TableDiv[Agency])-ROW(TableDiv[[#Headers],[Agency]])),COLUMNS($F$7:AK$7))))</f>
        <v/>
      </c>
      <c r="AL390" s="2223" t="str" cm="1">
        <f t="array" ref="AL390">IF($D390&lt;COLUMNS($F$7:AL$7),"",INDEX(TableDiv[[GASB]:[GASB]],_xlfn.AGGREGATE(15,3,(TableDiv[[Agency]:[Agency]]=$E390)/(TableDiv[[Agency]:[Agency]]=$E390)*(ROW(TableDiv[Agency])-ROW(TableDiv[[#Headers],[Agency]])),COLUMNS($F$7:AL$7))))</f>
        <v/>
      </c>
      <c r="AM390" s="2223" t="str" cm="1">
        <f t="array" ref="AM390">IF($D390&lt;COLUMNS($F$7:AM$7),"",INDEX(TableDiv[[GASB]:[GASB]],_xlfn.AGGREGATE(15,3,(TableDiv[[Agency]:[Agency]]=$E390)/(TableDiv[[Agency]:[Agency]]=$E390)*(ROW(TableDiv[Agency])-ROW(TableDiv[[#Headers],[Agency]])),COLUMNS($F$7:AM$7))))</f>
        <v/>
      </c>
      <c r="AN390" s="2223"/>
      <c r="AO390" s="2223"/>
      <c r="AP390" s="2223"/>
      <c r="AQ390" s="2223"/>
      <c r="AR390" s="2223"/>
      <c r="AS390" s="2223"/>
    </row>
    <row r="391" spans="1:45" ht="15" x14ac:dyDescent="0.25">
      <c r="A391" s="2219" t="s">
        <v>6508</v>
      </c>
      <c r="B391" s="2219" t="s">
        <v>6497</v>
      </c>
      <c r="C391" s="2223"/>
      <c r="D391" s="2223">
        <f>COUNTIF(TableDiv[Agency],E391)</f>
        <v>31</v>
      </c>
      <c r="E391" s="2230" t="str" cm="1">
        <f t="array" ref="E391">IFERROR(INDEX(TableDiv[Agency],MATCH(0,INDEX(COUNTIF($E$7:E390,TableDiv[Agency]),),0)),"")</f>
        <v/>
      </c>
      <c r="F391" s="2223" cm="1">
        <f t="array" ref="F391">IF($D391&lt;COLUMNS($F$7:F$7),"",INDEX(TableDiv[[GASB]:[GASB]],_xlfn.AGGREGATE(15,3,(TableDiv[[Agency]:[Agency]]=$E391)/(TableDiv[[Agency]:[Agency]]=$E391)*(ROW(TableDiv[Agency])-ROW(TableDiv[[#Headers],[Agency]])),COLUMNS($F$7:F$7))))</f>
        <v>0</v>
      </c>
      <c r="G391" s="2223" cm="1">
        <f t="array" ref="G391">IF($D391&lt;COLUMNS($F$7:G$7),"",INDEX(TableDiv[[GASB]:[GASB]],_xlfn.AGGREGATE(15,3,(TableDiv[[Agency]:[Agency]]=$E391)/(TableDiv[[Agency]:[Agency]]=$E391)*(ROW(TableDiv[Agency])-ROW(TableDiv[[#Headers],[Agency]])),COLUMNS($F$7:G$7))))</f>
        <v>0</v>
      </c>
      <c r="H391" s="2223" cm="1">
        <f t="array" ref="H391">IF($D391&lt;COLUMNS($F$7:H$7),"",INDEX(TableDiv[[GASB]:[GASB]],_xlfn.AGGREGATE(15,3,(TableDiv[[Agency]:[Agency]]=$E391)/(TableDiv[[Agency]:[Agency]]=$E391)*(ROW(TableDiv[Agency])-ROW(TableDiv[[#Headers],[Agency]])),COLUMNS($F$7:H$7))))</f>
        <v>0</v>
      </c>
      <c r="I391" s="2223" cm="1">
        <f t="array" ref="I391">IF($D391&lt;COLUMNS($F$7:I$7),"",INDEX(TableDiv[[GASB]:[GASB]],_xlfn.AGGREGATE(15,3,(TableDiv[[Agency]:[Agency]]=$E391)/(TableDiv[[Agency]:[Agency]]=$E391)*(ROW(TableDiv[Agency])-ROW(TableDiv[[#Headers],[Agency]])),COLUMNS($F$7:I$7))))</f>
        <v>0</v>
      </c>
      <c r="J391" s="2223" cm="1">
        <f t="array" ref="J391">IF($D391&lt;COLUMNS($F$7:J$7),"",INDEX(TableDiv[[GASB]:[GASB]],_xlfn.AGGREGATE(15,3,(TableDiv[[Agency]:[Agency]]=$E391)/(TableDiv[[Agency]:[Agency]]=$E391)*(ROW(TableDiv[Agency])-ROW(TableDiv[[#Headers],[Agency]])),COLUMNS($F$7:J$7))))</f>
        <v>0</v>
      </c>
      <c r="K391" s="2223" cm="1">
        <f t="array" ref="K391">IF($D391&lt;COLUMNS($F$7:K$7),"",INDEX(TableDiv[[GASB]:[GASB]],_xlfn.AGGREGATE(15,3,(TableDiv[[Agency]:[Agency]]=$E391)/(TableDiv[[Agency]:[Agency]]=$E391)*(ROW(TableDiv[Agency])-ROW(TableDiv[[#Headers],[Agency]])),COLUMNS($F$7:K$7))))</f>
        <v>0</v>
      </c>
      <c r="L391" s="2223" cm="1">
        <f t="array" ref="L391">IF($D391&lt;COLUMNS($F$7:L$7),"",INDEX(TableDiv[[GASB]:[GASB]],_xlfn.AGGREGATE(15,3,(TableDiv[[Agency]:[Agency]]=$E391)/(TableDiv[[Agency]:[Agency]]=$E391)*(ROW(TableDiv[Agency])-ROW(TableDiv[[#Headers],[Agency]])),COLUMNS($F$7:L$7))))</f>
        <v>0</v>
      </c>
      <c r="M391" s="2223" cm="1">
        <f t="array" ref="M391">IF($D391&lt;COLUMNS($F$7:M$7),"",INDEX(TableDiv[[GASB]:[GASB]],_xlfn.AGGREGATE(15,3,(TableDiv[[Agency]:[Agency]]=$E391)/(TableDiv[[Agency]:[Agency]]=$E391)*(ROW(TableDiv[Agency])-ROW(TableDiv[[#Headers],[Agency]])),COLUMNS($F$7:M$7))))</f>
        <v>0</v>
      </c>
      <c r="N391" s="2223" cm="1">
        <f t="array" ref="N391">IF($D391&lt;COLUMNS($F$7:N$7),"",INDEX(TableDiv[[GASB]:[GASB]],_xlfn.AGGREGATE(15,3,(TableDiv[[Agency]:[Agency]]=$E391)/(TableDiv[[Agency]:[Agency]]=$E391)*(ROW(TableDiv[Agency])-ROW(TableDiv[[#Headers],[Agency]])),COLUMNS($F$7:N$7))))</f>
        <v>0</v>
      </c>
      <c r="O391" s="2223" cm="1">
        <f t="array" ref="O391">IF($D391&lt;COLUMNS($F$7:O$7),"",INDEX(TableDiv[[GASB]:[GASB]],_xlfn.AGGREGATE(15,3,(TableDiv[[Agency]:[Agency]]=$E391)/(TableDiv[[Agency]:[Agency]]=$E391)*(ROW(TableDiv[Agency])-ROW(TableDiv[[#Headers],[Agency]])),COLUMNS($F$7:O$7))))</f>
        <v>0</v>
      </c>
      <c r="P391" s="2223" cm="1">
        <f t="array" ref="P391">IF($D391&lt;COLUMNS($F$7:P$7),"",INDEX(TableDiv[[GASB]:[GASB]],_xlfn.AGGREGATE(15,3,(TableDiv[[Agency]:[Agency]]=$E391)/(TableDiv[[Agency]:[Agency]]=$E391)*(ROW(TableDiv[Agency])-ROW(TableDiv[[#Headers],[Agency]])),COLUMNS($F$7:P$7))))</f>
        <v>0</v>
      </c>
      <c r="Q391" s="2223" cm="1">
        <f t="array" ref="Q391">IF($D391&lt;COLUMNS($F$7:Q$7),"",INDEX(TableDiv[[GASB]:[GASB]],_xlfn.AGGREGATE(15,3,(TableDiv[[Agency]:[Agency]]=$E391)/(TableDiv[[Agency]:[Agency]]=$E391)*(ROW(TableDiv[Agency])-ROW(TableDiv[[#Headers],[Agency]])),COLUMNS($F$7:Q$7))))</f>
        <v>0</v>
      </c>
      <c r="R391" s="2223" cm="1">
        <f t="array" ref="R391">IF($D391&lt;COLUMNS($F$7:R$7),"",INDEX(TableDiv[[GASB]:[GASB]],_xlfn.AGGREGATE(15,3,(TableDiv[[Agency]:[Agency]]=$E391)/(TableDiv[[Agency]:[Agency]]=$E391)*(ROW(TableDiv[Agency])-ROW(TableDiv[[#Headers],[Agency]])),COLUMNS($F$7:R$7))))</f>
        <v>0</v>
      </c>
      <c r="S391" s="2223" cm="1">
        <f t="array" ref="S391">IF($D391&lt;COLUMNS($F$7:S$7),"",INDEX(TableDiv[[GASB]:[GASB]],_xlfn.AGGREGATE(15,3,(TableDiv[[Agency]:[Agency]]=$E391)/(TableDiv[[Agency]:[Agency]]=$E391)*(ROW(TableDiv[Agency])-ROW(TableDiv[[#Headers],[Agency]])),COLUMNS($F$7:S$7))))</f>
        <v>0</v>
      </c>
      <c r="T391" s="2223" cm="1">
        <f t="array" ref="T391">IF($D391&lt;COLUMNS($F$7:T$7),"",INDEX(TableDiv[[GASB]:[GASB]],_xlfn.AGGREGATE(15,3,(TableDiv[[Agency]:[Agency]]=$E391)/(TableDiv[[Agency]:[Agency]]=$E391)*(ROW(TableDiv[Agency])-ROW(TableDiv[[#Headers],[Agency]])),COLUMNS($F$7:T$7))))</f>
        <v>0</v>
      </c>
      <c r="U391" s="2223" cm="1">
        <f t="array" ref="U391">IF($D391&lt;COLUMNS($F$7:U$7),"",INDEX(TableDiv[[GASB]:[GASB]],_xlfn.AGGREGATE(15,3,(TableDiv[[Agency]:[Agency]]=$E391)/(TableDiv[[Agency]:[Agency]]=$E391)*(ROW(TableDiv[Agency])-ROW(TableDiv[[#Headers],[Agency]])),COLUMNS($F$7:U$7))))</f>
        <v>0</v>
      </c>
      <c r="V391" s="2223" cm="1">
        <f t="array" ref="V391">IF($D391&lt;COLUMNS($F$7:V$7),"",INDEX(TableDiv[[GASB]:[GASB]],_xlfn.AGGREGATE(15,3,(TableDiv[[Agency]:[Agency]]=$E391)/(TableDiv[[Agency]:[Agency]]=$E391)*(ROW(TableDiv[Agency])-ROW(TableDiv[[#Headers],[Agency]])),COLUMNS($F$7:V$7))))</f>
        <v>0</v>
      </c>
      <c r="W391" s="2223" cm="1">
        <f t="array" ref="W391">IF($D391&lt;COLUMNS($F$7:W$7),"",INDEX(TableDiv[[GASB]:[GASB]],_xlfn.AGGREGATE(15,3,(TableDiv[[Agency]:[Agency]]=$E391)/(TableDiv[[Agency]:[Agency]]=$E391)*(ROW(TableDiv[Agency])-ROW(TableDiv[[#Headers],[Agency]])),COLUMNS($F$7:W$7))))</f>
        <v>0</v>
      </c>
      <c r="X391" s="2223" cm="1">
        <f t="array" ref="X391">IF($D391&lt;COLUMNS($F$7:X$7),"",INDEX(TableDiv[[GASB]:[GASB]],_xlfn.AGGREGATE(15,3,(TableDiv[[Agency]:[Agency]]=$E391)/(TableDiv[[Agency]:[Agency]]=$E391)*(ROW(TableDiv[Agency])-ROW(TableDiv[[#Headers],[Agency]])),COLUMNS($F$7:X$7))))</f>
        <v>0</v>
      </c>
      <c r="Y391" s="2223" cm="1">
        <f t="array" ref="Y391">IF($D391&lt;COLUMNS($F$7:Y$7),"",INDEX(TableDiv[[GASB]:[GASB]],_xlfn.AGGREGATE(15,3,(TableDiv[[Agency]:[Agency]]=$E391)/(TableDiv[[Agency]:[Agency]]=$E391)*(ROW(TableDiv[Agency])-ROW(TableDiv[[#Headers],[Agency]])),COLUMNS($F$7:Y$7))))</f>
        <v>0</v>
      </c>
      <c r="Z391" s="2223" cm="1">
        <f t="array" ref="Z391">IF($D391&lt;COLUMNS($F$7:Z$7),"",INDEX(TableDiv[[GASB]:[GASB]],_xlfn.AGGREGATE(15,3,(TableDiv[[Agency]:[Agency]]=$E391)/(TableDiv[[Agency]:[Agency]]=$E391)*(ROW(TableDiv[Agency])-ROW(TableDiv[[#Headers],[Agency]])),COLUMNS($F$7:Z$7))))</f>
        <v>0</v>
      </c>
      <c r="AA391" s="2223" cm="1">
        <f t="array" ref="AA391">IF($D391&lt;COLUMNS($F$7:AA$7),"",INDEX(TableDiv[[GASB]:[GASB]],_xlfn.AGGREGATE(15,3,(TableDiv[[Agency]:[Agency]]=$E391)/(TableDiv[[Agency]:[Agency]]=$E391)*(ROW(TableDiv[Agency])-ROW(TableDiv[[#Headers],[Agency]])),COLUMNS($F$7:AA$7))))</f>
        <v>0</v>
      </c>
      <c r="AB391" s="2223" cm="1">
        <f t="array" ref="AB391">IF($D391&lt;COLUMNS($F$7:AB$7),"",INDEX(TableDiv[[GASB]:[GASB]],_xlfn.AGGREGATE(15,3,(TableDiv[[Agency]:[Agency]]=$E391)/(TableDiv[[Agency]:[Agency]]=$E391)*(ROW(TableDiv[Agency])-ROW(TableDiv[[#Headers],[Agency]])),COLUMNS($F$7:AB$7))))</f>
        <v>0</v>
      </c>
      <c r="AC391" s="2223" cm="1">
        <f t="array" ref="AC391">IF($D391&lt;COLUMNS($F$7:AC$7),"",INDEX(TableDiv[[GASB]:[GASB]],_xlfn.AGGREGATE(15,3,(TableDiv[[Agency]:[Agency]]=$E391)/(TableDiv[[Agency]:[Agency]]=$E391)*(ROW(TableDiv[Agency])-ROW(TableDiv[[#Headers],[Agency]])),COLUMNS($F$7:AC$7))))</f>
        <v>0</v>
      </c>
      <c r="AD391" s="2223" cm="1">
        <f t="array" ref="AD391">IF($D391&lt;COLUMNS($F$7:AD$7),"",INDEX(TableDiv[[GASB]:[GASB]],_xlfn.AGGREGATE(15,3,(TableDiv[[Agency]:[Agency]]=$E391)/(TableDiv[[Agency]:[Agency]]=$E391)*(ROW(TableDiv[Agency])-ROW(TableDiv[[#Headers],[Agency]])),COLUMNS($F$7:AD$7))))</f>
        <v>0</v>
      </c>
      <c r="AE391" s="2223" cm="1">
        <f t="array" ref="AE391">IF($D391&lt;COLUMNS($F$7:AE$7),"",INDEX(TableDiv[[GASB]:[GASB]],_xlfn.AGGREGATE(15,3,(TableDiv[[Agency]:[Agency]]=$E391)/(TableDiv[[Agency]:[Agency]]=$E391)*(ROW(TableDiv[Agency])-ROW(TableDiv[[#Headers],[Agency]])),COLUMNS($F$7:AE$7))))</f>
        <v>0</v>
      </c>
      <c r="AF391" s="2223" cm="1">
        <f t="array" ref="AF391">IF($D391&lt;COLUMNS($F$7:AF$7),"",INDEX(TableDiv[[GASB]:[GASB]],_xlfn.AGGREGATE(15,3,(TableDiv[[Agency]:[Agency]]=$E391)/(TableDiv[[Agency]:[Agency]]=$E391)*(ROW(TableDiv[Agency])-ROW(TableDiv[[#Headers],[Agency]])),COLUMNS($F$7:AF$7))))</f>
        <v>0</v>
      </c>
      <c r="AG391" s="2223" cm="1">
        <f t="array" ref="AG391">IF($D391&lt;COLUMNS($F$7:AG$7),"",INDEX(TableDiv[[GASB]:[GASB]],_xlfn.AGGREGATE(15,3,(TableDiv[[Agency]:[Agency]]=$E391)/(TableDiv[[Agency]:[Agency]]=$E391)*(ROW(TableDiv[Agency])-ROW(TableDiv[[#Headers],[Agency]])),COLUMNS($F$7:AG$7))))</f>
        <v>0</v>
      </c>
      <c r="AH391" s="2223" cm="1">
        <f t="array" ref="AH391">IF($D391&lt;COLUMNS($F$7:AH$7),"",INDEX(TableDiv[[GASB]:[GASB]],_xlfn.AGGREGATE(15,3,(TableDiv[[Agency]:[Agency]]=$E391)/(TableDiv[[Agency]:[Agency]]=$E391)*(ROW(TableDiv[Agency])-ROW(TableDiv[[#Headers],[Agency]])),COLUMNS($F$7:AH$7))))</f>
        <v>0</v>
      </c>
      <c r="AI391" s="2223" cm="1">
        <f t="array" ref="AI391">IF($D391&lt;COLUMNS($F$7:AI$7),"",INDEX(TableDiv[[GASB]:[GASB]],_xlfn.AGGREGATE(15,3,(TableDiv[[Agency]:[Agency]]=$E391)/(TableDiv[[Agency]:[Agency]]=$E391)*(ROW(TableDiv[Agency])-ROW(TableDiv[[#Headers],[Agency]])),COLUMNS($F$7:AI$7))))</f>
        <v>0</v>
      </c>
      <c r="AJ391" s="2223" cm="1">
        <f t="array" ref="AJ391">IF($D391&lt;COLUMNS($F$7:AJ$7),"",INDEX(TableDiv[[GASB]:[GASB]],_xlfn.AGGREGATE(15,3,(TableDiv[[Agency]:[Agency]]=$E391)/(TableDiv[[Agency]:[Agency]]=$E391)*(ROW(TableDiv[Agency])-ROW(TableDiv[[#Headers],[Agency]])),COLUMNS($F$7:AJ$7))))</f>
        <v>0</v>
      </c>
      <c r="AK391" s="2223" t="str" cm="1">
        <f t="array" ref="AK391">IF($D391&lt;COLUMNS($F$7:AK$7),"",INDEX(TableDiv[[GASB]:[GASB]],_xlfn.AGGREGATE(15,3,(TableDiv[[Agency]:[Agency]]=$E391)/(TableDiv[[Agency]:[Agency]]=$E391)*(ROW(TableDiv[Agency])-ROW(TableDiv[[#Headers],[Agency]])),COLUMNS($F$7:AK$7))))</f>
        <v/>
      </c>
      <c r="AL391" s="2223" t="str" cm="1">
        <f t="array" ref="AL391">IF($D391&lt;COLUMNS($F$7:AL$7),"",INDEX(TableDiv[[GASB]:[GASB]],_xlfn.AGGREGATE(15,3,(TableDiv[[Agency]:[Agency]]=$E391)/(TableDiv[[Agency]:[Agency]]=$E391)*(ROW(TableDiv[Agency])-ROW(TableDiv[[#Headers],[Agency]])),COLUMNS($F$7:AL$7))))</f>
        <v/>
      </c>
      <c r="AM391" s="2223" t="str" cm="1">
        <f t="array" ref="AM391">IF($D391&lt;COLUMNS($F$7:AM$7),"",INDEX(TableDiv[[GASB]:[GASB]],_xlfn.AGGREGATE(15,3,(TableDiv[[Agency]:[Agency]]=$E391)/(TableDiv[[Agency]:[Agency]]=$E391)*(ROW(TableDiv[Agency])-ROW(TableDiv[[#Headers],[Agency]])),COLUMNS($F$7:AM$7))))</f>
        <v/>
      </c>
      <c r="AN391" s="2223"/>
      <c r="AO391" s="2223"/>
      <c r="AP391" s="2223"/>
      <c r="AQ391" s="2223"/>
      <c r="AR391" s="2223"/>
      <c r="AS391" s="2223"/>
    </row>
    <row r="392" spans="1:45" ht="15" x14ac:dyDescent="0.25">
      <c r="A392" s="2219" t="s">
        <v>6509</v>
      </c>
      <c r="B392" s="2219" t="s">
        <v>6497</v>
      </c>
      <c r="C392" s="2223"/>
      <c r="D392" s="2223">
        <f>COUNTIF(TableDiv[Agency],E392)</f>
        <v>31</v>
      </c>
      <c r="E392" s="2230" t="str" cm="1">
        <f t="array" ref="E392">IFERROR(INDEX(TableDiv[Agency],MATCH(0,INDEX(COUNTIF($E$7:E391,TableDiv[Agency]),),0)),"")</f>
        <v/>
      </c>
      <c r="F392" s="2223" cm="1">
        <f t="array" ref="F392">IF($D392&lt;COLUMNS($F$7:F$7),"",INDEX(TableDiv[[GASB]:[GASB]],_xlfn.AGGREGATE(15,3,(TableDiv[[Agency]:[Agency]]=$E392)/(TableDiv[[Agency]:[Agency]]=$E392)*(ROW(TableDiv[Agency])-ROW(TableDiv[[#Headers],[Agency]])),COLUMNS($F$7:F$7))))</f>
        <v>0</v>
      </c>
      <c r="G392" s="2223" cm="1">
        <f t="array" ref="G392">IF($D392&lt;COLUMNS($F$7:G$7),"",INDEX(TableDiv[[GASB]:[GASB]],_xlfn.AGGREGATE(15,3,(TableDiv[[Agency]:[Agency]]=$E392)/(TableDiv[[Agency]:[Agency]]=$E392)*(ROW(TableDiv[Agency])-ROW(TableDiv[[#Headers],[Agency]])),COLUMNS($F$7:G$7))))</f>
        <v>0</v>
      </c>
      <c r="H392" s="2223" cm="1">
        <f t="array" ref="H392">IF($D392&lt;COLUMNS($F$7:H$7),"",INDEX(TableDiv[[GASB]:[GASB]],_xlfn.AGGREGATE(15,3,(TableDiv[[Agency]:[Agency]]=$E392)/(TableDiv[[Agency]:[Agency]]=$E392)*(ROW(TableDiv[Agency])-ROW(TableDiv[[#Headers],[Agency]])),COLUMNS($F$7:H$7))))</f>
        <v>0</v>
      </c>
      <c r="I392" s="2223" cm="1">
        <f t="array" ref="I392">IF($D392&lt;COLUMNS($F$7:I$7),"",INDEX(TableDiv[[GASB]:[GASB]],_xlfn.AGGREGATE(15,3,(TableDiv[[Agency]:[Agency]]=$E392)/(TableDiv[[Agency]:[Agency]]=$E392)*(ROW(TableDiv[Agency])-ROW(TableDiv[[#Headers],[Agency]])),COLUMNS($F$7:I$7))))</f>
        <v>0</v>
      </c>
      <c r="J392" s="2223" cm="1">
        <f t="array" ref="J392">IF($D392&lt;COLUMNS($F$7:J$7),"",INDEX(TableDiv[[GASB]:[GASB]],_xlfn.AGGREGATE(15,3,(TableDiv[[Agency]:[Agency]]=$E392)/(TableDiv[[Agency]:[Agency]]=$E392)*(ROW(TableDiv[Agency])-ROW(TableDiv[[#Headers],[Agency]])),COLUMNS($F$7:J$7))))</f>
        <v>0</v>
      </c>
      <c r="K392" s="2223" cm="1">
        <f t="array" ref="K392">IF($D392&lt;COLUMNS($F$7:K$7),"",INDEX(TableDiv[[GASB]:[GASB]],_xlfn.AGGREGATE(15,3,(TableDiv[[Agency]:[Agency]]=$E392)/(TableDiv[[Agency]:[Agency]]=$E392)*(ROW(TableDiv[Agency])-ROW(TableDiv[[#Headers],[Agency]])),COLUMNS($F$7:K$7))))</f>
        <v>0</v>
      </c>
      <c r="L392" s="2223" cm="1">
        <f t="array" ref="L392">IF($D392&lt;COLUMNS($F$7:L$7),"",INDEX(TableDiv[[GASB]:[GASB]],_xlfn.AGGREGATE(15,3,(TableDiv[[Agency]:[Agency]]=$E392)/(TableDiv[[Agency]:[Agency]]=$E392)*(ROW(TableDiv[Agency])-ROW(TableDiv[[#Headers],[Agency]])),COLUMNS($F$7:L$7))))</f>
        <v>0</v>
      </c>
      <c r="M392" s="2223" cm="1">
        <f t="array" ref="M392">IF($D392&lt;COLUMNS($F$7:M$7),"",INDEX(TableDiv[[GASB]:[GASB]],_xlfn.AGGREGATE(15,3,(TableDiv[[Agency]:[Agency]]=$E392)/(TableDiv[[Agency]:[Agency]]=$E392)*(ROW(TableDiv[Agency])-ROW(TableDiv[[#Headers],[Agency]])),COLUMNS($F$7:M$7))))</f>
        <v>0</v>
      </c>
      <c r="N392" s="2223" cm="1">
        <f t="array" ref="N392">IF($D392&lt;COLUMNS($F$7:N$7),"",INDEX(TableDiv[[GASB]:[GASB]],_xlfn.AGGREGATE(15,3,(TableDiv[[Agency]:[Agency]]=$E392)/(TableDiv[[Agency]:[Agency]]=$E392)*(ROW(TableDiv[Agency])-ROW(TableDiv[[#Headers],[Agency]])),COLUMNS($F$7:N$7))))</f>
        <v>0</v>
      </c>
      <c r="O392" s="2223" cm="1">
        <f t="array" ref="O392">IF($D392&lt;COLUMNS($F$7:O$7),"",INDEX(TableDiv[[GASB]:[GASB]],_xlfn.AGGREGATE(15,3,(TableDiv[[Agency]:[Agency]]=$E392)/(TableDiv[[Agency]:[Agency]]=$E392)*(ROW(TableDiv[Agency])-ROW(TableDiv[[#Headers],[Agency]])),COLUMNS($F$7:O$7))))</f>
        <v>0</v>
      </c>
      <c r="P392" s="2223" cm="1">
        <f t="array" ref="P392">IF($D392&lt;COLUMNS($F$7:P$7),"",INDEX(TableDiv[[GASB]:[GASB]],_xlfn.AGGREGATE(15,3,(TableDiv[[Agency]:[Agency]]=$E392)/(TableDiv[[Agency]:[Agency]]=$E392)*(ROW(TableDiv[Agency])-ROW(TableDiv[[#Headers],[Agency]])),COLUMNS($F$7:P$7))))</f>
        <v>0</v>
      </c>
      <c r="Q392" s="2223" cm="1">
        <f t="array" ref="Q392">IF($D392&lt;COLUMNS($F$7:Q$7),"",INDEX(TableDiv[[GASB]:[GASB]],_xlfn.AGGREGATE(15,3,(TableDiv[[Agency]:[Agency]]=$E392)/(TableDiv[[Agency]:[Agency]]=$E392)*(ROW(TableDiv[Agency])-ROW(TableDiv[[#Headers],[Agency]])),COLUMNS($F$7:Q$7))))</f>
        <v>0</v>
      </c>
      <c r="R392" s="2223" cm="1">
        <f t="array" ref="R392">IF($D392&lt;COLUMNS($F$7:R$7),"",INDEX(TableDiv[[GASB]:[GASB]],_xlfn.AGGREGATE(15,3,(TableDiv[[Agency]:[Agency]]=$E392)/(TableDiv[[Agency]:[Agency]]=$E392)*(ROW(TableDiv[Agency])-ROW(TableDiv[[#Headers],[Agency]])),COLUMNS($F$7:R$7))))</f>
        <v>0</v>
      </c>
      <c r="S392" s="2223" cm="1">
        <f t="array" ref="S392">IF($D392&lt;COLUMNS($F$7:S$7),"",INDEX(TableDiv[[GASB]:[GASB]],_xlfn.AGGREGATE(15,3,(TableDiv[[Agency]:[Agency]]=$E392)/(TableDiv[[Agency]:[Agency]]=$E392)*(ROW(TableDiv[Agency])-ROW(TableDiv[[#Headers],[Agency]])),COLUMNS($F$7:S$7))))</f>
        <v>0</v>
      </c>
      <c r="T392" s="2223" cm="1">
        <f t="array" ref="T392">IF($D392&lt;COLUMNS($F$7:T$7),"",INDEX(TableDiv[[GASB]:[GASB]],_xlfn.AGGREGATE(15,3,(TableDiv[[Agency]:[Agency]]=$E392)/(TableDiv[[Agency]:[Agency]]=$E392)*(ROW(TableDiv[Agency])-ROW(TableDiv[[#Headers],[Agency]])),COLUMNS($F$7:T$7))))</f>
        <v>0</v>
      </c>
      <c r="U392" s="2223" cm="1">
        <f t="array" ref="U392">IF($D392&lt;COLUMNS($F$7:U$7),"",INDEX(TableDiv[[GASB]:[GASB]],_xlfn.AGGREGATE(15,3,(TableDiv[[Agency]:[Agency]]=$E392)/(TableDiv[[Agency]:[Agency]]=$E392)*(ROW(TableDiv[Agency])-ROW(TableDiv[[#Headers],[Agency]])),COLUMNS($F$7:U$7))))</f>
        <v>0</v>
      </c>
      <c r="V392" s="2223" cm="1">
        <f t="array" ref="V392">IF($D392&lt;COLUMNS($F$7:V$7),"",INDEX(TableDiv[[GASB]:[GASB]],_xlfn.AGGREGATE(15,3,(TableDiv[[Agency]:[Agency]]=$E392)/(TableDiv[[Agency]:[Agency]]=$E392)*(ROW(TableDiv[Agency])-ROW(TableDiv[[#Headers],[Agency]])),COLUMNS($F$7:V$7))))</f>
        <v>0</v>
      </c>
      <c r="W392" s="2223" cm="1">
        <f t="array" ref="W392">IF($D392&lt;COLUMNS($F$7:W$7),"",INDEX(TableDiv[[GASB]:[GASB]],_xlfn.AGGREGATE(15,3,(TableDiv[[Agency]:[Agency]]=$E392)/(TableDiv[[Agency]:[Agency]]=$E392)*(ROW(TableDiv[Agency])-ROW(TableDiv[[#Headers],[Agency]])),COLUMNS($F$7:W$7))))</f>
        <v>0</v>
      </c>
      <c r="X392" s="2223" cm="1">
        <f t="array" ref="X392">IF($D392&lt;COLUMNS($F$7:X$7),"",INDEX(TableDiv[[GASB]:[GASB]],_xlfn.AGGREGATE(15,3,(TableDiv[[Agency]:[Agency]]=$E392)/(TableDiv[[Agency]:[Agency]]=$E392)*(ROW(TableDiv[Agency])-ROW(TableDiv[[#Headers],[Agency]])),COLUMNS($F$7:X$7))))</f>
        <v>0</v>
      </c>
      <c r="Y392" s="2223" cm="1">
        <f t="array" ref="Y392">IF($D392&lt;COLUMNS($F$7:Y$7),"",INDEX(TableDiv[[GASB]:[GASB]],_xlfn.AGGREGATE(15,3,(TableDiv[[Agency]:[Agency]]=$E392)/(TableDiv[[Agency]:[Agency]]=$E392)*(ROW(TableDiv[Agency])-ROW(TableDiv[[#Headers],[Agency]])),COLUMNS($F$7:Y$7))))</f>
        <v>0</v>
      </c>
      <c r="Z392" s="2223" cm="1">
        <f t="array" ref="Z392">IF($D392&lt;COLUMNS($F$7:Z$7),"",INDEX(TableDiv[[GASB]:[GASB]],_xlfn.AGGREGATE(15,3,(TableDiv[[Agency]:[Agency]]=$E392)/(TableDiv[[Agency]:[Agency]]=$E392)*(ROW(TableDiv[Agency])-ROW(TableDiv[[#Headers],[Agency]])),COLUMNS($F$7:Z$7))))</f>
        <v>0</v>
      </c>
      <c r="AA392" s="2223" cm="1">
        <f t="array" ref="AA392">IF($D392&lt;COLUMNS($F$7:AA$7),"",INDEX(TableDiv[[GASB]:[GASB]],_xlfn.AGGREGATE(15,3,(TableDiv[[Agency]:[Agency]]=$E392)/(TableDiv[[Agency]:[Agency]]=$E392)*(ROW(TableDiv[Agency])-ROW(TableDiv[[#Headers],[Agency]])),COLUMNS($F$7:AA$7))))</f>
        <v>0</v>
      </c>
      <c r="AB392" s="2223" cm="1">
        <f t="array" ref="AB392">IF($D392&lt;COLUMNS($F$7:AB$7),"",INDEX(TableDiv[[GASB]:[GASB]],_xlfn.AGGREGATE(15,3,(TableDiv[[Agency]:[Agency]]=$E392)/(TableDiv[[Agency]:[Agency]]=$E392)*(ROW(TableDiv[Agency])-ROW(TableDiv[[#Headers],[Agency]])),COLUMNS($F$7:AB$7))))</f>
        <v>0</v>
      </c>
      <c r="AC392" s="2223" cm="1">
        <f t="array" ref="AC392">IF($D392&lt;COLUMNS($F$7:AC$7),"",INDEX(TableDiv[[GASB]:[GASB]],_xlfn.AGGREGATE(15,3,(TableDiv[[Agency]:[Agency]]=$E392)/(TableDiv[[Agency]:[Agency]]=$E392)*(ROW(TableDiv[Agency])-ROW(TableDiv[[#Headers],[Agency]])),COLUMNS($F$7:AC$7))))</f>
        <v>0</v>
      </c>
      <c r="AD392" s="2223" cm="1">
        <f t="array" ref="AD392">IF($D392&lt;COLUMNS($F$7:AD$7),"",INDEX(TableDiv[[GASB]:[GASB]],_xlfn.AGGREGATE(15,3,(TableDiv[[Agency]:[Agency]]=$E392)/(TableDiv[[Agency]:[Agency]]=$E392)*(ROW(TableDiv[Agency])-ROW(TableDiv[[#Headers],[Agency]])),COLUMNS($F$7:AD$7))))</f>
        <v>0</v>
      </c>
      <c r="AE392" s="2223" cm="1">
        <f t="array" ref="AE392">IF($D392&lt;COLUMNS($F$7:AE$7),"",INDEX(TableDiv[[GASB]:[GASB]],_xlfn.AGGREGATE(15,3,(TableDiv[[Agency]:[Agency]]=$E392)/(TableDiv[[Agency]:[Agency]]=$E392)*(ROW(TableDiv[Agency])-ROW(TableDiv[[#Headers],[Agency]])),COLUMNS($F$7:AE$7))))</f>
        <v>0</v>
      </c>
      <c r="AF392" s="2223" cm="1">
        <f t="array" ref="AF392">IF($D392&lt;COLUMNS($F$7:AF$7),"",INDEX(TableDiv[[GASB]:[GASB]],_xlfn.AGGREGATE(15,3,(TableDiv[[Agency]:[Agency]]=$E392)/(TableDiv[[Agency]:[Agency]]=$E392)*(ROW(TableDiv[Agency])-ROW(TableDiv[[#Headers],[Agency]])),COLUMNS($F$7:AF$7))))</f>
        <v>0</v>
      </c>
      <c r="AG392" s="2223" cm="1">
        <f t="array" ref="AG392">IF($D392&lt;COLUMNS($F$7:AG$7),"",INDEX(TableDiv[[GASB]:[GASB]],_xlfn.AGGREGATE(15,3,(TableDiv[[Agency]:[Agency]]=$E392)/(TableDiv[[Agency]:[Agency]]=$E392)*(ROW(TableDiv[Agency])-ROW(TableDiv[[#Headers],[Agency]])),COLUMNS($F$7:AG$7))))</f>
        <v>0</v>
      </c>
      <c r="AH392" s="2223" cm="1">
        <f t="array" ref="AH392">IF($D392&lt;COLUMNS($F$7:AH$7),"",INDEX(TableDiv[[GASB]:[GASB]],_xlfn.AGGREGATE(15,3,(TableDiv[[Agency]:[Agency]]=$E392)/(TableDiv[[Agency]:[Agency]]=$E392)*(ROW(TableDiv[Agency])-ROW(TableDiv[[#Headers],[Agency]])),COLUMNS($F$7:AH$7))))</f>
        <v>0</v>
      </c>
      <c r="AI392" s="2223" cm="1">
        <f t="array" ref="AI392">IF($D392&lt;COLUMNS($F$7:AI$7),"",INDEX(TableDiv[[GASB]:[GASB]],_xlfn.AGGREGATE(15,3,(TableDiv[[Agency]:[Agency]]=$E392)/(TableDiv[[Agency]:[Agency]]=$E392)*(ROW(TableDiv[Agency])-ROW(TableDiv[[#Headers],[Agency]])),COLUMNS($F$7:AI$7))))</f>
        <v>0</v>
      </c>
      <c r="AJ392" s="2223" cm="1">
        <f t="array" ref="AJ392">IF($D392&lt;COLUMNS($F$7:AJ$7),"",INDEX(TableDiv[[GASB]:[GASB]],_xlfn.AGGREGATE(15,3,(TableDiv[[Agency]:[Agency]]=$E392)/(TableDiv[[Agency]:[Agency]]=$E392)*(ROW(TableDiv[Agency])-ROW(TableDiv[[#Headers],[Agency]])),COLUMNS($F$7:AJ$7))))</f>
        <v>0</v>
      </c>
      <c r="AK392" s="2223" t="str" cm="1">
        <f t="array" ref="AK392">IF($D392&lt;COLUMNS($F$7:AK$7),"",INDEX(TableDiv[[GASB]:[GASB]],_xlfn.AGGREGATE(15,3,(TableDiv[[Agency]:[Agency]]=$E392)/(TableDiv[[Agency]:[Agency]]=$E392)*(ROW(TableDiv[Agency])-ROW(TableDiv[[#Headers],[Agency]])),COLUMNS($F$7:AK$7))))</f>
        <v/>
      </c>
      <c r="AL392" s="2223" t="str" cm="1">
        <f t="array" ref="AL392">IF($D392&lt;COLUMNS($F$7:AL$7),"",INDEX(TableDiv[[GASB]:[GASB]],_xlfn.AGGREGATE(15,3,(TableDiv[[Agency]:[Agency]]=$E392)/(TableDiv[[Agency]:[Agency]]=$E392)*(ROW(TableDiv[Agency])-ROW(TableDiv[[#Headers],[Agency]])),COLUMNS($F$7:AL$7))))</f>
        <v/>
      </c>
      <c r="AM392" s="2223" t="str" cm="1">
        <f t="array" ref="AM392">IF($D392&lt;COLUMNS($F$7:AM$7),"",INDEX(TableDiv[[GASB]:[GASB]],_xlfn.AGGREGATE(15,3,(TableDiv[[Agency]:[Agency]]=$E392)/(TableDiv[[Agency]:[Agency]]=$E392)*(ROW(TableDiv[Agency])-ROW(TableDiv[[#Headers],[Agency]])),COLUMNS($F$7:AM$7))))</f>
        <v/>
      </c>
      <c r="AN392" s="2223"/>
      <c r="AO392" s="2223"/>
      <c r="AP392" s="2223"/>
      <c r="AQ392" s="2223"/>
      <c r="AR392" s="2223"/>
      <c r="AS392" s="2223"/>
    </row>
    <row r="393" spans="1:45" ht="15" x14ac:dyDescent="0.25">
      <c r="A393" s="2219" t="s">
        <v>6510</v>
      </c>
      <c r="B393" s="2219" t="s">
        <v>6497</v>
      </c>
      <c r="C393" s="2223"/>
      <c r="D393" s="2223">
        <f>COUNTIF(TableDiv[Agency],E393)</f>
        <v>31</v>
      </c>
      <c r="E393" s="2230" t="str" cm="1">
        <f t="array" ref="E393">IFERROR(INDEX(TableDiv[Agency],MATCH(0,INDEX(COUNTIF($E$7:E392,TableDiv[Agency]),),0)),"")</f>
        <v/>
      </c>
      <c r="F393" s="2223" cm="1">
        <f t="array" ref="F393">IF($D393&lt;COLUMNS($F$7:F$7),"",INDEX(TableDiv[[GASB]:[GASB]],_xlfn.AGGREGATE(15,3,(TableDiv[[Agency]:[Agency]]=$E393)/(TableDiv[[Agency]:[Agency]]=$E393)*(ROW(TableDiv[Agency])-ROW(TableDiv[[#Headers],[Agency]])),COLUMNS($F$7:F$7))))</f>
        <v>0</v>
      </c>
      <c r="G393" s="2223" cm="1">
        <f t="array" ref="G393">IF($D393&lt;COLUMNS($F$7:G$7),"",INDEX(TableDiv[[GASB]:[GASB]],_xlfn.AGGREGATE(15,3,(TableDiv[[Agency]:[Agency]]=$E393)/(TableDiv[[Agency]:[Agency]]=$E393)*(ROW(TableDiv[Agency])-ROW(TableDiv[[#Headers],[Agency]])),COLUMNS($F$7:G$7))))</f>
        <v>0</v>
      </c>
      <c r="H393" s="2223" cm="1">
        <f t="array" ref="H393">IF($D393&lt;COLUMNS($F$7:H$7),"",INDEX(TableDiv[[GASB]:[GASB]],_xlfn.AGGREGATE(15,3,(TableDiv[[Agency]:[Agency]]=$E393)/(TableDiv[[Agency]:[Agency]]=$E393)*(ROW(TableDiv[Agency])-ROW(TableDiv[[#Headers],[Agency]])),COLUMNS($F$7:H$7))))</f>
        <v>0</v>
      </c>
      <c r="I393" s="2223" cm="1">
        <f t="array" ref="I393">IF($D393&lt;COLUMNS($F$7:I$7),"",INDEX(TableDiv[[GASB]:[GASB]],_xlfn.AGGREGATE(15,3,(TableDiv[[Agency]:[Agency]]=$E393)/(TableDiv[[Agency]:[Agency]]=$E393)*(ROW(TableDiv[Agency])-ROW(TableDiv[[#Headers],[Agency]])),COLUMNS($F$7:I$7))))</f>
        <v>0</v>
      </c>
      <c r="J393" s="2223" cm="1">
        <f t="array" ref="J393">IF($D393&lt;COLUMNS($F$7:J$7),"",INDEX(TableDiv[[GASB]:[GASB]],_xlfn.AGGREGATE(15,3,(TableDiv[[Agency]:[Agency]]=$E393)/(TableDiv[[Agency]:[Agency]]=$E393)*(ROW(TableDiv[Agency])-ROW(TableDiv[[#Headers],[Agency]])),COLUMNS($F$7:J$7))))</f>
        <v>0</v>
      </c>
      <c r="K393" s="2223" cm="1">
        <f t="array" ref="K393">IF($D393&lt;COLUMNS($F$7:K$7),"",INDEX(TableDiv[[GASB]:[GASB]],_xlfn.AGGREGATE(15,3,(TableDiv[[Agency]:[Agency]]=$E393)/(TableDiv[[Agency]:[Agency]]=$E393)*(ROW(TableDiv[Agency])-ROW(TableDiv[[#Headers],[Agency]])),COLUMNS($F$7:K$7))))</f>
        <v>0</v>
      </c>
      <c r="L393" s="2223" cm="1">
        <f t="array" ref="L393">IF($D393&lt;COLUMNS($F$7:L$7),"",INDEX(TableDiv[[GASB]:[GASB]],_xlfn.AGGREGATE(15,3,(TableDiv[[Agency]:[Agency]]=$E393)/(TableDiv[[Agency]:[Agency]]=$E393)*(ROW(TableDiv[Agency])-ROW(TableDiv[[#Headers],[Agency]])),COLUMNS($F$7:L$7))))</f>
        <v>0</v>
      </c>
      <c r="M393" s="2223" cm="1">
        <f t="array" ref="M393">IF($D393&lt;COLUMNS($F$7:M$7),"",INDEX(TableDiv[[GASB]:[GASB]],_xlfn.AGGREGATE(15,3,(TableDiv[[Agency]:[Agency]]=$E393)/(TableDiv[[Agency]:[Agency]]=$E393)*(ROW(TableDiv[Agency])-ROW(TableDiv[[#Headers],[Agency]])),COLUMNS($F$7:M$7))))</f>
        <v>0</v>
      </c>
      <c r="N393" s="2223" cm="1">
        <f t="array" ref="N393">IF($D393&lt;COLUMNS($F$7:N$7),"",INDEX(TableDiv[[GASB]:[GASB]],_xlfn.AGGREGATE(15,3,(TableDiv[[Agency]:[Agency]]=$E393)/(TableDiv[[Agency]:[Agency]]=$E393)*(ROW(TableDiv[Agency])-ROW(TableDiv[[#Headers],[Agency]])),COLUMNS($F$7:N$7))))</f>
        <v>0</v>
      </c>
      <c r="O393" s="2223" cm="1">
        <f t="array" ref="O393">IF($D393&lt;COLUMNS($F$7:O$7),"",INDEX(TableDiv[[GASB]:[GASB]],_xlfn.AGGREGATE(15,3,(TableDiv[[Agency]:[Agency]]=$E393)/(TableDiv[[Agency]:[Agency]]=$E393)*(ROW(TableDiv[Agency])-ROW(TableDiv[[#Headers],[Agency]])),COLUMNS($F$7:O$7))))</f>
        <v>0</v>
      </c>
      <c r="P393" s="2223" cm="1">
        <f t="array" ref="P393">IF($D393&lt;COLUMNS($F$7:P$7),"",INDEX(TableDiv[[GASB]:[GASB]],_xlfn.AGGREGATE(15,3,(TableDiv[[Agency]:[Agency]]=$E393)/(TableDiv[[Agency]:[Agency]]=$E393)*(ROW(TableDiv[Agency])-ROW(TableDiv[[#Headers],[Agency]])),COLUMNS($F$7:P$7))))</f>
        <v>0</v>
      </c>
      <c r="Q393" s="2223" cm="1">
        <f t="array" ref="Q393">IF($D393&lt;COLUMNS($F$7:Q$7),"",INDEX(TableDiv[[GASB]:[GASB]],_xlfn.AGGREGATE(15,3,(TableDiv[[Agency]:[Agency]]=$E393)/(TableDiv[[Agency]:[Agency]]=$E393)*(ROW(TableDiv[Agency])-ROW(TableDiv[[#Headers],[Agency]])),COLUMNS($F$7:Q$7))))</f>
        <v>0</v>
      </c>
      <c r="R393" s="2223" cm="1">
        <f t="array" ref="R393">IF($D393&lt;COLUMNS($F$7:R$7),"",INDEX(TableDiv[[GASB]:[GASB]],_xlfn.AGGREGATE(15,3,(TableDiv[[Agency]:[Agency]]=$E393)/(TableDiv[[Agency]:[Agency]]=$E393)*(ROW(TableDiv[Agency])-ROW(TableDiv[[#Headers],[Agency]])),COLUMNS($F$7:R$7))))</f>
        <v>0</v>
      </c>
      <c r="S393" s="2223" cm="1">
        <f t="array" ref="S393">IF($D393&lt;COLUMNS($F$7:S$7),"",INDEX(TableDiv[[GASB]:[GASB]],_xlfn.AGGREGATE(15,3,(TableDiv[[Agency]:[Agency]]=$E393)/(TableDiv[[Agency]:[Agency]]=$E393)*(ROW(TableDiv[Agency])-ROW(TableDiv[[#Headers],[Agency]])),COLUMNS($F$7:S$7))))</f>
        <v>0</v>
      </c>
      <c r="T393" s="2223" cm="1">
        <f t="array" ref="T393">IF($D393&lt;COLUMNS($F$7:T$7),"",INDEX(TableDiv[[GASB]:[GASB]],_xlfn.AGGREGATE(15,3,(TableDiv[[Agency]:[Agency]]=$E393)/(TableDiv[[Agency]:[Agency]]=$E393)*(ROW(TableDiv[Agency])-ROW(TableDiv[[#Headers],[Agency]])),COLUMNS($F$7:T$7))))</f>
        <v>0</v>
      </c>
      <c r="U393" s="2223" cm="1">
        <f t="array" ref="U393">IF($D393&lt;COLUMNS($F$7:U$7),"",INDEX(TableDiv[[GASB]:[GASB]],_xlfn.AGGREGATE(15,3,(TableDiv[[Agency]:[Agency]]=$E393)/(TableDiv[[Agency]:[Agency]]=$E393)*(ROW(TableDiv[Agency])-ROW(TableDiv[[#Headers],[Agency]])),COLUMNS($F$7:U$7))))</f>
        <v>0</v>
      </c>
      <c r="V393" s="2223" cm="1">
        <f t="array" ref="V393">IF($D393&lt;COLUMNS($F$7:V$7),"",INDEX(TableDiv[[GASB]:[GASB]],_xlfn.AGGREGATE(15,3,(TableDiv[[Agency]:[Agency]]=$E393)/(TableDiv[[Agency]:[Agency]]=$E393)*(ROW(TableDiv[Agency])-ROW(TableDiv[[#Headers],[Agency]])),COLUMNS($F$7:V$7))))</f>
        <v>0</v>
      </c>
      <c r="W393" s="2223" cm="1">
        <f t="array" ref="W393">IF($D393&lt;COLUMNS($F$7:W$7),"",INDEX(TableDiv[[GASB]:[GASB]],_xlfn.AGGREGATE(15,3,(TableDiv[[Agency]:[Agency]]=$E393)/(TableDiv[[Agency]:[Agency]]=$E393)*(ROW(TableDiv[Agency])-ROW(TableDiv[[#Headers],[Agency]])),COLUMNS($F$7:W$7))))</f>
        <v>0</v>
      </c>
      <c r="X393" s="2223" cm="1">
        <f t="array" ref="X393">IF($D393&lt;COLUMNS($F$7:X$7),"",INDEX(TableDiv[[GASB]:[GASB]],_xlfn.AGGREGATE(15,3,(TableDiv[[Agency]:[Agency]]=$E393)/(TableDiv[[Agency]:[Agency]]=$E393)*(ROW(TableDiv[Agency])-ROW(TableDiv[[#Headers],[Agency]])),COLUMNS($F$7:X$7))))</f>
        <v>0</v>
      </c>
      <c r="Y393" s="2223" cm="1">
        <f t="array" ref="Y393">IF($D393&lt;COLUMNS($F$7:Y$7),"",INDEX(TableDiv[[GASB]:[GASB]],_xlfn.AGGREGATE(15,3,(TableDiv[[Agency]:[Agency]]=$E393)/(TableDiv[[Agency]:[Agency]]=$E393)*(ROW(TableDiv[Agency])-ROW(TableDiv[[#Headers],[Agency]])),COLUMNS($F$7:Y$7))))</f>
        <v>0</v>
      </c>
      <c r="Z393" s="2223" cm="1">
        <f t="array" ref="Z393">IF($D393&lt;COLUMNS($F$7:Z$7),"",INDEX(TableDiv[[GASB]:[GASB]],_xlfn.AGGREGATE(15,3,(TableDiv[[Agency]:[Agency]]=$E393)/(TableDiv[[Agency]:[Agency]]=$E393)*(ROW(TableDiv[Agency])-ROW(TableDiv[[#Headers],[Agency]])),COLUMNS($F$7:Z$7))))</f>
        <v>0</v>
      </c>
      <c r="AA393" s="2223" cm="1">
        <f t="array" ref="AA393">IF($D393&lt;COLUMNS($F$7:AA$7),"",INDEX(TableDiv[[GASB]:[GASB]],_xlfn.AGGREGATE(15,3,(TableDiv[[Agency]:[Agency]]=$E393)/(TableDiv[[Agency]:[Agency]]=$E393)*(ROW(TableDiv[Agency])-ROW(TableDiv[[#Headers],[Agency]])),COLUMNS($F$7:AA$7))))</f>
        <v>0</v>
      </c>
      <c r="AB393" s="2223" cm="1">
        <f t="array" ref="AB393">IF($D393&lt;COLUMNS($F$7:AB$7),"",INDEX(TableDiv[[GASB]:[GASB]],_xlfn.AGGREGATE(15,3,(TableDiv[[Agency]:[Agency]]=$E393)/(TableDiv[[Agency]:[Agency]]=$E393)*(ROW(TableDiv[Agency])-ROW(TableDiv[[#Headers],[Agency]])),COLUMNS($F$7:AB$7))))</f>
        <v>0</v>
      </c>
      <c r="AC393" s="2223" cm="1">
        <f t="array" ref="AC393">IF($D393&lt;COLUMNS($F$7:AC$7),"",INDEX(TableDiv[[GASB]:[GASB]],_xlfn.AGGREGATE(15,3,(TableDiv[[Agency]:[Agency]]=$E393)/(TableDiv[[Agency]:[Agency]]=$E393)*(ROW(TableDiv[Agency])-ROW(TableDiv[[#Headers],[Agency]])),COLUMNS($F$7:AC$7))))</f>
        <v>0</v>
      </c>
      <c r="AD393" s="2223" cm="1">
        <f t="array" ref="AD393">IF($D393&lt;COLUMNS($F$7:AD$7),"",INDEX(TableDiv[[GASB]:[GASB]],_xlfn.AGGREGATE(15,3,(TableDiv[[Agency]:[Agency]]=$E393)/(TableDiv[[Agency]:[Agency]]=$E393)*(ROW(TableDiv[Agency])-ROW(TableDiv[[#Headers],[Agency]])),COLUMNS($F$7:AD$7))))</f>
        <v>0</v>
      </c>
      <c r="AE393" s="2223" cm="1">
        <f t="array" ref="AE393">IF($D393&lt;COLUMNS($F$7:AE$7),"",INDEX(TableDiv[[GASB]:[GASB]],_xlfn.AGGREGATE(15,3,(TableDiv[[Agency]:[Agency]]=$E393)/(TableDiv[[Agency]:[Agency]]=$E393)*(ROW(TableDiv[Agency])-ROW(TableDiv[[#Headers],[Agency]])),COLUMNS($F$7:AE$7))))</f>
        <v>0</v>
      </c>
      <c r="AF393" s="2223" cm="1">
        <f t="array" ref="AF393">IF($D393&lt;COLUMNS($F$7:AF$7),"",INDEX(TableDiv[[GASB]:[GASB]],_xlfn.AGGREGATE(15,3,(TableDiv[[Agency]:[Agency]]=$E393)/(TableDiv[[Agency]:[Agency]]=$E393)*(ROW(TableDiv[Agency])-ROW(TableDiv[[#Headers],[Agency]])),COLUMNS($F$7:AF$7))))</f>
        <v>0</v>
      </c>
      <c r="AG393" s="2223" cm="1">
        <f t="array" ref="AG393">IF($D393&lt;COLUMNS($F$7:AG$7),"",INDEX(TableDiv[[GASB]:[GASB]],_xlfn.AGGREGATE(15,3,(TableDiv[[Agency]:[Agency]]=$E393)/(TableDiv[[Agency]:[Agency]]=$E393)*(ROW(TableDiv[Agency])-ROW(TableDiv[[#Headers],[Agency]])),COLUMNS($F$7:AG$7))))</f>
        <v>0</v>
      </c>
      <c r="AH393" s="2223" cm="1">
        <f t="array" ref="AH393">IF($D393&lt;COLUMNS($F$7:AH$7),"",INDEX(TableDiv[[GASB]:[GASB]],_xlfn.AGGREGATE(15,3,(TableDiv[[Agency]:[Agency]]=$E393)/(TableDiv[[Agency]:[Agency]]=$E393)*(ROW(TableDiv[Agency])-ROW(TableDiv[[#Headers],[Agency]])),COLUMNS($F$7:AH$7))))</f>
        <v>0</v>
      </c>
      <c r="AI393" s="2223" cm="1">
        <f t="array" ref="AI393">IF($D393&lt;COLUMNS($F$7:AI$7),"",INDEX(TableDiv[[GASB]:[GASB]],_xlfn.AGGREGATE(15,3,(TableDiv[[Agency]:[Agency]]=$E393)/(TableDiv[[Agency]:[Agency]]=$E393)*(ROW(TableDiv[Agency])-ROW(TableDiv[[#Headers],[Agency]])),COLUMNS($F$7:AI$7))))</f>
        <v>0</v>
      </c>
      <c r="AJ393" s="2223" cm="1">
        <f t="array" ref="AJ393">IF($D393&lt;COLUMNS($F$7:AJ$7),"",INDEX(TableDiv[[GASB]:[GASB]],_xlfn.AGGREGATE(15,3,(TableDiv[[Agency]:[Agency]]=$E393)/(TableDiv[[Agency]:[Agency]]=$E393)*(ROW(TableDiv[Agency])-ROW(TableDiv[[#Headers],[Agency]])),COLUMNS($F$7:AJ$7))))</f>
        <v>0</v>
      </c>
      <c r="AK393" s="2223" t="str" cm="1">
        <f t="array" ref="AK393">IF($D393&lt;COLUMNS($F$7:AK$7),"",INDEX(TableDiv[[GASB]:[GASB]],_xlfn.AGGREGATE(15,3,(TableDiv[[Agency]:[Agency]]=$E393)/(TableDiv[[Agency]:[Agency]]=$E393)*(ROW(TableDiv[Agency])-ROW(TableDiv[[#Headers],[Agency]])),COLUMNS($F$7:AK$7))))</f>
        <v/>
      </c>
      <c r="AL393" s="2223" t="str" cm="1">
        <f t="array" ref="AL393">IF($D393&lt;COLUMNS($F$7:AL$7),"",INDEX(TableDiv[[GASB]:[GASB]],_xlfn.AGGREGATE(15,3,(TableDiv[[Agency]:[Agency]]=$E393)/(TableDiv[[Agency]:[Agency]]=$E393)*(ROW(TableDiv[Agency])-ROW(TableDiv[[#Headers],[Agency]])),COLUMNS($F$7:AL$7))))</f>
        <v/>
      </c>
      <c r="AM393" s="2223" t="str" cm="1">
        <f t="array" ref="AM393">IF($D393&lt;COLUMNS($F$7:AM$7),"",INDEX(TableDiv[[GASB]:[GASB]],_xlfn.AGGREGATE(15,3,(TableDiv[[Agency]:[Agency]]=$E393)/(TableDiv[[Agency]:[Agency]]=$E393)*(ROW(TableDiv[Agency])-ROW(TableDiv[[#Headers],[Agency]])),COLUMNS($F$7:AM$7))))</f>
        <v/>
      </c>
      <c r="AN393" s="2223"/>
      <c r="AO393" s="2223"/>
      <c r="AP393" s="2223"/>
      <c r="AQ393" s="2223"/>
      <c r="AR393" s="2223"/>
      <c r="AS393" s="2223"/>
    </row>
    <row r="394" spans="1:45" ht="15" x14ac:dyDescent="0.25">
      <c r="A394" s="2219" t="s">
        <v>6511</v>
      </c>
      <c r="B394" s="2219" t="s">
        <v>6497</v>
      </c>
      <c r="C394" s="2223"/>
      <c r="D394" s="2223">
        <f>COUNTIF(TableDiv[Agency],E394)</f>
        <v>31</v>
      </c>
      <c r="E394" s="2230" t="str" cm="1">
        <f t="array" ref="E394">IFERROR(INDEX(TableDiv[Agency],MATCH(0,INDEX(COUNTIF($E$7:E393,TableDiv[Agency]),),0)),"")</f>
        <v/>
      </c>
      <c r="F394" s="2223" cm="1">
        <f t="array" ref="F394">IF($D394&lt;COLUMNS($F$7:F$7),"",INDEX(TableDiv[[GASB]:[GASB]],_xlfn.AGGREGATE(15,3,(TableDiv[[Agency]:[Agency]]=$E394)/(TableDiv[[Agency]:[Agency]]=$E394)*(ROW(TableDiv[Agency])-ROW(TableDiv[[#Headers],[Agency]])),COLUMNS($F$7:F$7))))</f>
        <v>0</v>
      </c>
      <c r="G394" s="2223" cm="1">
        <f t="array" ref="G394">IF($D394&lt;COLUMNS($F$7:G$7),"",INDEX(TableDiv[[GASB]:[GASB]],_xlfn.AGGREGATE(15,3,(TableDiv[[Agency]:[Agency]]=$E394)/(TableDiv[[Agency]:[Agency]]=$E394)*(ROW(TableDiv[Agency])-ROW(TableDiv[[#Headers],[Agency]])),COLUMNS($F$7:G$7))))</f>
        <v>0</v>
      </c>
      <c r="H394" s="2223" cm="1">
        <f t="array" ref="H394">IF($D394&lt;COLUMNS($F$7:H$7),"",INDEX(TableDiv[[GASB]:[GASB]],_xlfn.AGGREGATE(15,3,(TableDiv[[Agency]:[Agency]]=$E394)/(TableDiv[[Agency]:[Agency]]=$E394)*(ROW(TableDiv[Agency])-ROW(TableDiv[[#Headers],[Agency]])),COLUMNS($F$7:H$7))))</f>
        <v>0</v>
      </c>
      <c r="I394" s="2223" cm="1">
        <f t="array" ref="I394">IF($D394&lt;COLUMNS($F$7:I$7),"",INDEX(TableDiv[[GASB]:[GASB]],_xlfn.AGGREGATE(15,3,(TableDiv[[Agency]:[Agency]]=$E394)/(TableDiv[[Agency]:[Agency]]=$E394)*(ROW(TableDiv[Agency])-ROW(TableDiv[[#Headers],[Agency]])),COLUMNS($F$7:I$7))))</f>
        <v>0</v>
      </c>
      <c r="J394" s="2223" cm="1">
        <f t="array" ref="J394">IF($D394&lt;COLUMNS($F$7:J$7),"",INDEX(TableDiv[[GASB]:[GASB]],_xlfn.AGGREGATE(15,3,(TableDiv[[Agency]:[Agency]]=$E394)/(TableDiv[[Agency]:[Agency]]=$E394)*(ROW(TableDiv[Agency])-ROW(TableDiv[[#Headers],[Agency]])),COLUMNS($F$7:J$7))))</f>
        <v>0</v>
      </c>
      <c r="K394" s="2223" cm="1">
        <f t="array" ref="K394">IF($D394&lt;COLUMNS($F$7:K$7),"",INDEX(TableDiv[[GASB]:[GASB]],_xlfn.AGGREGATE(15,3,(TableDiv[[Agency]:[Agency]]=$E394)/(TableDiv[[Agency]:[Agency]]=$E394)*(ROW(TableDiv[Agency])-ROW(TableDiv[[#Headers],[Agency]])),COLUMNS($F$7:K$7))))</f>
        <v>0</v>
      </c>
      <c r="L394" s="2223" cm="1">
        <f t="array" ref="L394">IF($D394&lt;COLUMNS($F$7:L$7),"",INDEX(TableDiv[[GASB]:[GASB]],_xlfn.AGGREGATE(15,3,(TableDiv[[Agency]:[Agency]]=$E394)/(TableDiv[[Agency]:[Agency]]=$E394)*(ROW(TableDiv[Agency])-ROW(TableDiv[[#Headers],[Agency]])),COLUMNS($F$7:L$7))))</f>
        <v>0</v>
      </c>
      <c r="M394" s="2223" cm="1">
        <f t="array" ref="M394">IF($D394&lt;COLUMNS($F$7:M$7),"",INDEX(TableDiv[[GASB]:[GASB]],_xlfn.AGGREGATE(15,3,(TableDiv[[Agency]:[Agency]]=$E394)/(TableDiv[[Agency]:[Agency]]=$E394)*(ROW(TableDiv[Agency])-ROW(TableDiv[[#Headers],[Agency]])),COLUMNS($F$7:M$7))))</f>
        <v>0</v>
      </c>
      <c r="N394" s="2223" cm="1">
        <f t="array" ref="N394">IF($D394&lt;COLUMNS($F$7:N$7),"",INDEX(TableDiv[[GASB]:[GASB]],_xlfn.AGGREGATE(15,3,(TableDiv[[Agency]:[Agency]]=$E394)/(TableDiv[[Agency]:[Agency]]=$E394)*(ROW(TableDiv[Agency])-ROW(TableDiv[[#Headers],[Agency]])),COLUMNS($F$7:N$7))))</f>
        <v>0</v>
      </c>
      <c r="O394" s="2223" cm="1">
        <f t="array" ref="O394">IF($D394&lt;COLUMNS($F$7:O$7),"",INDEX(TableDiv[[GASB]:[GASB]],_xlfn.AGGREGATE(15,3,(TableDiv[[Agency]:[Agency]]=$E394)/(TableDiv[[Agency]:[Agency]]=$E394)*(ROW(TableDiv[Agency])-ROW(TableDiv[[#Headers],[Agency]])),COLUMNS($F$7:O$7))))</f>
        <v>0</v>
      </c>
      <c r="P394" s="2223" cm="1">
        <f t="array" ref="P394">IF($D394&lt;COLUMNS($F$7:P$7),"",INDEX(TableDiv[[GASB]:[GASB]],_xlfn.AGGREGATE(15,3,(TableDiv[[Agency]:[Agency]]=$E394)/(TableDiv[[Agency]:[Agency]]=$E394)*(ROW(TableDiv[Agency])-ROW(TableDiv[[#Headers],[Agency]])),COLUMNS($F$7:P$7))))</f>
        <v>0</v>
      </c>
      <c r="Q394" s="2223" cm="1">
        <f t="array" ref="Q394">IF($D394&lt;COLUMNS($F$7:Q$7),"",INDEX(TableDiv[[GASB]:[GASB]],_xlfn.AGGREGATE(15,3,(TableDiv[[Agency]:[Agency]]=$E394)/(TableDiv[[Agency]:[Agency]]=$E394)*(ROW(TableDiv[Agency])-ROW(TableDiv[[#Headers],[Agency]])),COLUMNS($F$7:Q$7))))</f>
        <v>0</v>
      </c>
      <c r="R394" s="2223" cm="1">
        <f t="array" ref="R394">IF($D394&lt;COLUMNS($F$7:R$7),"",INDEX(TableDiv[[GASB]:[GASB]],_xlfn.AGGREGATE(15,3,(TableDiv[[Agency]:[Agency]]=$E394)/(TableDiv[[Agency]:[Agency]]=$E394)*(ROW(TableDiv[Agency])-ROW(TableDiv[[#Headers],[Agency]])),COLUMNS($F$7:R$7))))</f>
        <v>0</v>
      </c>
      <c r="S394" s="2223" cm="1">
        <f t="array" ref="S394">IF($D394&lt;COLUMNS($F$7:S$7),"",INDEX(TableDiv[[GASB]:[GASB]],_xlfn.AGGREGATE(15,3,(TableDiv[[Agency]:[Agency]]=$E394)/(TableDiv[[Agency]:[Agency]]=$E394)*(ROW(TableDiv[Agency])-ROW(TableDiv[[#Headers],[Agency]])),COLUMNS($F$7:S$7))))</f>
        <v>0</v>
      </c>
      <c r="T394" s="2223" cm="1">
        <f t="array" ref="T394">IF($D394&lt;COLUMNS($F$7:T$7),"",INDEX(TableDiv[[GASB]:[GASB]],_xlfn.AGGREGATE(15,3,(TableDiv[[Agency]:[Agency]]=$E394)/(TableDiv[[Agency]:[Agency]]=$E394)*(ROW(TableDiv[Agency])-ROW(TableDiv[[#Headers],[Agency]])),COLUMNS($F$7:T$7))))</f>
        <v>0</v>
      </c>
      <c r="U394" s="2223" cm="1">
        <f t="array" ref="U394">IF($D394&lt;COLUMNS($F$7:U$7),"",INDEX(TableDiv[[GASB]:[GASB]],_xlfn.AGGREGATE(15,3,(TableDiv[[Agency]:[Agency]]=$E394)/(TableDiv[[Agency]:[Agency]]=$E394)*(ROW(TableDiv[Agency])-ROW(TableDiv[[#Headers],[Agency]])),COLUMNS($F$7:U$7))))</f>
        <v>0</v>
      </c>
      <c r="V394" s="2223" cm="1">
        <f t="array" ref="V394">IF($D394&lt;COLUMNS($F$7:V$7),"",INDEX(TableDiv[[GASB]:[GASB]],_xlfn.AGGREGATE(15,3,(TableDiv[[Agency]:[Agency]]=$E394)/(TableDiv[[Agency]:[Agency]]=$E394)*(ROW(TableDiv[Agency])-ROW(TableDiv[[#Headers],[Agency]])),COLUMNS($F$7:V$7))))</f>
        <v>0</v>
      </c>
      <c r="W394" s="2223" cm="1">
        <f t="array" ref="W394">IF($D394&lt;COLUMNS($F$7:W$7),"",INDEX(TableDiv[[GASB]:[GASB]],_xlfn.AGGREGATE(15,3,(TableDiv[[Agency]:[Agency]]=$E394)/(TableDiv[[Agency]:[Agency]]=$E394)*(ROW(TableDiv[Agency])-ROW(TableDiv[[#Headers],[Agency]])),COLUMNS($F$7:W$7))))</f>
        <v>0</v>
      </c>
      <c r="X394" s="2223" cm="1">
        <f t="array" ref="X394">IF($D394&lt;COLUMNS($F$7:X$7),"",INDEX(TableDiv[[GASB]:[GASB]],_xlfn.AGGREGATE(15,3,(TableDiv[[Agency]:[Agency]]=$E394)/(TableDiv[[Agency]:[Agency]]=$E394)*(ROW(TableDiv[Agency])-ROW(TableDiv[[#Headers],[Agency]])),COLUMNS($F$7:X$7))))</f>
        <v>0</v>
      </c>
      <c r="Y394" s="2223" cm="1">
        <f t="array" ref="Y394">IF($D394&lt;COLUMNS($F$7:Y$7),"",INDEX(TableDiv[[GASB]:[GASB]],_xlfn.AGGREGATE(15,3,(TableDiv[[Agency]:[Agency]]=$E394)/(TableDiv[[Agency]:[Agency]]=$E394)*(ROW(TableDiv[Agency])-ROW(TableDiv[[#Headers],[Agency]])),COLUMNS($F$7:Y$7))))</f>
        <v>0</v>
      </c>
      <c r="Z394" s="2223" cm="1">
        <f t="array" ref="Z394">IF($D394&lt;COLUMNS($F$7:Z$7),"",INDEX(TableDiv[[GASB]:[GASB]],_xlfn.AGGREGATE(15,3,(TableDiv[[Agency]:[Agency]]=$E394)/(TableDiv[[Agency]:[Agency]]=$E394)*(ROW(TableDiv[Agency])-ROW(TableDiv[[#Headers],[Agency]])),COLUMNS($F$7:Z$7))))</f>
        <v>0</v>
      </c>
      <c r="AA394" s="2223" cm="1">
        <f t="array" ref="AA394">IF($D394&lt;COLUMNS($F$7:AA$7),"",INDEX(TableDiv[[GASB]:[GASB]],_xlfn.AGGREGATE(15,3,(TableDiv[[Agency]:[Agency]]=$E394)/(TableDiv[[Agency]:[Agency]]=$E394)*(ROW(TableDiv[Agency])-ROW(TableDiv[[#Headers],[Agency]])),COLUMNS($F$7:AA$7))))</f>
        <v>0</v>
      </c>
      <c r="AB394" s="2223" cm="1">
        <f t="array" ref="AB394">IF($D394&lt;COLUMNS($F$7:AB$7),"",INDEX(TableDiv[[GASB]:[GASB]],_xlfn.AGGREGATE(15,3,(TableDiv[[Agency]:[Agency]]=$E394)/(TableDiv[[Agency]:[Agency]]=$E394)*(ROW(TableDiv[Agency])-ROW(TableDiv[[#Headers],[Agency]])),COLUMNS($F$7:AB$7))))</f>
        <v>0</v>
      </c>
      <c r="AC394" s="2223" cm="1">
        <f t="array" ref="AC394">IF($D394&lt;COLUMNS($F$7:AC$7),"",INDEX(TableDiv[[GASB]:[GASB]],_xlfn.AGGREGATE(15,3,(TableDiv[[Agency]:[Agency]]=$E394)/(TableDiv[[Agency]:[Agency]]=$E394)*(ROW(TableDiv[Agency])-ROW(TableDiv[[#Headers],[Agency]])),COLUMNS($F$7:AC$7))))</f>
        <v>0</v>
      </c>
      <c r="AD394" s="2223" cm="1">
        <f t="array" ref="AD394">IF($D394&lt;COLUMNS($F$7:AD$7),"",INDEX(TableDiv[[GASB]:[GASB]],_xlfn.AGGREGATE(15,3,(TableDiv[[Agency]:[Agency]]=$E394)/(TableDiv[[Agency]:[Agency]]=$E394)*(ROW(TableDiv[Agency])-ROW(TableDiv[[#Headers],[Agency]])),COLUMNS($F$7:AD$7))))</f>
        <v>0</v>
      </c>
      <c r="AE394" s="2223" cm="1">
        <f t="array" ref="AE394">IF($D394&lt;COLUMNS($F$7:AE$7),"",INDEX(TableDiv[[GASB]:[GASB]],_xlfn.AGGREGATE(15,3,(TableDiv[[Agency]:[Agency]]=$E394)/(TableDiv[[Agency]:[Agency]]=$E394)*(ROW(TableDiv[Agency])-ROW(TableDiv[[#Headers],[Agency]])),COLUMNS($F$7:AE$7))))</f>
        <v>0</v>
      </c>
      <c r="AF394" s="2223" cm="1">
        <f t="array" ref="AF394">IF($D394&lt;COLUMNS($F$7:AF$7),"",INDEX(TableDiv[[GASB]:[GASB]],_xlfn.AGGREGATE(15,3,(TableDiv[[Agency]:[Agency]]=$E394)/(TableDiv[[Agency]:[Agency]]=$E394)*(ROW(TableDiv[Agency])-ROW(TableDiv[[#Headers],[Agency]])),COLUMNS($F$7:AF$7))))</f>
        <v>0</v>
      </c>
      <c r="AG394" s="2223" cm="1">
        <f t="array" ref="AG394">IF($D394&lt;COLUMNS($F$7:AG$7),"",INDEX(TableDiv[[GASB]:[GASB]],_xlfn.AGGREGATE(15,3,(TableDiv[[Agency]:[Agency]]=$E394)/(TableDiv[[Agency]:[Agency]]=$E394)*(ROW(TableDiv[Agency])-ROW(TableDiv[[#Headers],[Agency]])),COLUMNS($F$7:AG$7))))</f>
        <v>0</v>
      </c>
      <c r="AH394" s="2223" cm="1">
        <f t="array" ref="AH394">IF($D394&lt;COLUMNS($F$7:AH$7),"",INDEX(TableDiv[[GASB]:[GASB]],_xlfn.AGGREGATE(15,3,(TableDiv[[Agency]:[Agency]]=$E394)/(TableDiv[[Agency]:[Agency]]=$E394)*(ROW(TableDiv[Agency])-ROW(TableDiv[[#Headers],[Agency]])),COLUMNS($F$7:AH$7))))</f>
        <v>0</v>
      </c>
      <c r="AI394" s="2223" cm="1">
        <f t="array" ref="AI394">IF($D394&lt;COLUMNS($F$7:AI$7),"",INDEX(TableDiv[[GASB]:[GASB]],_xlfn.AGGREGATE(15,3,(TableDiv[[Agency]:[Agency]]=$E394)/(TableDiv[[Agency]:[Agency]]=$E394)*(ROW(TableDiv[Agency])-ROW(TableDiv[[#Headers],[Agency]])),COLUMNS($F$7:AI$7))))</f>
        <v>0</v>
      </c>
      <c r="AJ394" s="2223" cm="1">
        <f t="array" ref="AJ394">IF($D394&lt;COLUMNS($F$7:AJ$7),"",INDEX(TableDiv[[GASB]:[GASB]],_xlfn.AGGREGATE(15,3,(TableDiv[[Agency]:[Agency]]=$E394)/(TableDiv[[Agency]:[Agency]]=$E394)*(ROW(TableDiv[Agency])-ROW(TableDiv[[#Headers],[Agency]])),COLUMNS($F$7:AJ$7))))</f>
        <v>0</v>
      </c>
      <c r="AK394" s="2223" t="str" cm="1">
        <f t="array" ref="AK394">IF($D394&lt;COLUMNS($F$7:AK$7),"",INDEX(TableDiv[[GASB]:[GASB]],_xlfn.AGGREGATE(15,3,(TableDiv[[Agency]:[Agency]]=$E394)/(TableDiv[[Agency]:[Agency]]=$E394)*(ROW(TableDiv[Agency])-ROW(TableDiv[[#Headers],[Agency]])),COLUMNS($F$7:AK$7))))</f>
        <v/>
      </c>
      <c r="AL394" s="2223" t="str" cm="1">
        <f t="array" ref="AL394">IF($D394&lt;COLUMNS($F$7:AL$7),"",INDEX(TableDiv[[GASB]:[GASB]],_xlfn.AGGREGATE(15,3,(TableDiv[[Agency]:[Agency]]=$E394)/(TableDiv[[Agency]:[Agency]]=$E394)*(ROW(TableDiv[Agency])-ROW(TableDiv[[#Headers],[Agency]])),COLUMNS($F$7:AL$7))))</f>
        <v/>
      </c>
      <c r="AM394" s="2223" t="str" cm="1">
        <f t="array" ref="AM394">IF($D394&lt;COLUMNS($F$7:AM$7),"",INDEX(TableDiv[[GASB]:[GASB]],_xlfn.AGGREGATE(15,3,(TableDiv[[Agency]:[Agency]]=$E394)/(TableDiv[[Agency]:[Agency]]=$E394)*(ROW(TableDiv[Agency])-ROW(TableDiv[[#Headers],[Agency]])),COLUMNS($F$7:AM$7))))</f>
        <v/>
      </c>
      <c r="AN394" s="2223"/>
      <c r="AO394" s="2223"/>
      <c r="AP394" s="2223"/>
      <c r="AQ394" s="2223"/>
      <c r="AR394" s="2223"/>
      <c r="AS394" s="2223"/>
    </row>
    <row r="395" spans="1:45" ht="15" x14ac:dyDescent="0.25">
      <c r="A395" s="2219" t="s">
        <v>6512</v>
      </c>
      <c r="B395" s="2219" t="s">
        <v>6497</v>
      </c>
      <c r="C395" s="2223"/>
      <c r="D395" s="2223">
        <f>COUNTIF(TableDiv[Agency],E395)</f>
        <v>31</v>
      </c>
      <c r="E395" s="2230" t="str" cm="1">
        <f t="array" ref="E395">IFERROR(INDEX(TableDiv[Agency],MATCH(0,INDEX(COUNTIF($E$7:E394,TableDiv[Agency]),),0)),"")</f>
        <v/>
      </c>
      <c r="F395" s="2223" cm="1">
        <f t="array" ref="F395">IF($D395&lt;COLUMNS($F$7:F$7),"",INDEX(TableDiv[[GASB]:[GASB]],_xlfn.AGGREGATE(15,3,(TableDiv[[Agency]:[Agency]]=$E395)/(TableDiv[[Agency]:[Agency]]=$E395)*(ROW(TableDiv[Agency])-ROW(TableDiv[[#Headers],[Agency]])),COLUMNS($F$7:F$7))))</f>
        <v>0</v>
      </c>
      <c r="G395" s="2223" cm="1">
        <f t="array" ref="G395">IF($D395&lt;COLUMNS($F$7:G$7),"",INDEX(TableDiv[[GASB]:[GASB]],_xlfn.AGGREGATE(15,3,(TableDiv[[Agency]:[Agency]]=$E395)/(TableDiv[[Agency]:[Agency]]=$E395)*(ROW(TableDiv[Agency])-ROW(TableDiv[[#Headers],[Agency]])),COLUMNS($F$7:G$7))))</f>
        <v>0</v>
      </c>
      <c r="H395" s="2223" cm="1">
        <f t="array" ref="H395">IF($D395&lt;COLUMNS($F$7:H$7),"",INDEX(TableDiv[[GASB]:[GASB]],_xlfn.AGGREGATE(15,3,(TableDiv[[Agency]:[Agency]]=$E395)/(TableDiv[[Agency]:[Agency]]=$E395)*(ROW(TableDiv[Agency])-ROW(TableDiv[[#Headers],[Agency]])),COLUMNS($F$7:H$7))))</f>
        <v>0</v>
      </c>
      <c r="I395" s="2223" cm="1">
        <f t="array" ref="I395">IF($D395&lt;COLUMNS($F$7:I$7),"",INDEX(TableDiv[[GASB]:[GASB]],_xlfn.AGGREGATE(15,3,(TableDiv[[Agency]:[Agency]]=$E395)/(TableDiv[[Agency]:[Agency]]=$E395)*(ROW(TableDiv[Agency])-ROW(TableDiv[[#Headers],[Agency]])),COLUMNS($F$7:I$7))))</f>
        <v>0</v>
      </c>
      <c r="J395" s="2223" cm="1">
        <f t="array" ref="J395">IF($D395&lt;COLUMNS($F$7:J$7),"",INDEX(TableDiv[[GASB]:[GASB]],_xlfn.AGGREGATE(15,3,(TableDiv[[Agency]:[Agency]]=$E395)/(TableDiv[[Agency]:[Agency]]=$E395)*(ROW(TableDiv[Agency])-ROW(TableDiv[[#Headers],[Agency]])),COLUMNS($F$7:J$7))))</f>
        <v>0</v>
      </c>
      <c r="K395" s="2223" cm="1">
        <f t="array" ref="K395">IF($D395&lt;COLUMNS($F$7:K$7),"",INDEX(TableDiv[[GASB]:[GASB]],_xlfn.AGGREGATE(15,3,(TableDiv[[Agency]:[Agency]]=$E395)/(TableDiv[[Agency]:[Agency]]=$E395)*(ROW(TableDiv[Agency])-ROW(TableDiv[[#Headers],[Agency]])),COLUMNS($F$7:K$7))))</f>
        <v>0</v>
      </c>
      <c r="L395" s="2223" cm="1">
        <f t="array" ref="L395">IF($D395&lt;COLUMNS($F$7:L$7),"",INDEX(TableDiv[[GASB]:[GASB]],_xlfn.AGGREGATE(15,3,(TableDiv[[Agency]:[Agency]]=$E395)/(TableDiv[[Agency]:[Agency]]=$E395)*(ROW(TableDiv[Agency])-ROW(TableDiv[[#Headers],[Agency]])),COLUMNS($F$7:L$7))))</f>
        <v>0</v>
      </c>
      <c r="M395" s="2223" cm="1">
        <f t="array" ref="M395">IF($D395&lt;COLUMNS($F$7:M$7),"",INDEX(TableDiv[[GASB]:[GASB]],_xlfn.AGGREGATE(15,3,(TableDiv[[Agency]:[Agency]]=$E395)/(TableDiv[[Agency]:[Agency]]=$E395)*(ROW(TableDiv[Agency])-ROW(TableDiv[[#Headers],[Agency]])),COLUMNS($F$7:M$7))))</f>
        <v>0</v>
      </c>
      <c r="N395" s="2223" cm="1">
        <f t="array" ref="N395">IF($D395&lt;COLUMNS($F$7:N$7),"",INDEX(TableDiv[[GASB]:[GASB]],_xlfn.AGGREGATE(15,3,(TableDiv[[Agency]:[Agency]]=$E395)/(TableDiv[[Agency]:[Agency]]=$E395)*(ROW(TableDiv[Agency])-ROW(TableDiv[[#Headers],[Agency]])),COLUMNS($F$7:N$7))))</f>
        <v>0</v>
      </c>
      <c r="O395" s="2223" cm="1">
        <f t="array" ref="O395">IF($D395&lt;COLUMNS($F$7:O$7),"",INDEX(TableDiv[[GASB]:[GASB]],_xlfn.AGGREGATE(15,3,(TableDiv[[Agency]:[Agency]]=$E395)/(TableDiv[[Agency]:[Agency]]=$E395)*(ROW(TableDiv[Agency])-ROW(TableDiv[[#Headers],[Agency]])),COLUMNS($F$7:O$7))))</f>
        <v>0</v>
      </c>
      <c r="P395" s="2223" cm="1">
        <f t="array" ref="P395">IF($D395&lt;COLUMNS($F$7:P$7),"",INDEX(TableDiv[[GASB]:[GASB]],_xlfn.AGGREGATE(15,3,(TableDiv[[Agency]:[Agency]]=$E395)/(TableDiv[[Agency]:[Agency]]=$E395)*(ROW(TableDiv[Agency])-ROW(TableDiv[[#Headers],[Agency]])),COLUMNS($F$7:P$7))))</f>
        <v>0</v>
      </c>
      <c r="Q395" s="2223" cm="1">
        <f t="array" ref="Q395">IF($D395&lt;COLUMNS($F$7:Q$7),"",INDEX(TableDiv[[GASB]:[GASB]],_xlfn.AGGREGATE(15,3,(TableDiv[[Agency]:[Agency]]=$E395)/(TableDiv[[Agency]:[Agency]]=$E395)*(ROW(TableDiv[Agency])-ROW(TableDiv[[#Headers],[Agency]])),COLUMNS($F$7:Q$7))))</f>
        <v>0</v>
      </c>
      <c r="R395" s="2223" cm="1">
        <f t="array" ref="R395">IF($D395&lt;COLUMNS($F$7:R$7),"",INDEX(TableDiv[[GASB]:[GASB]],_xlfn.AGGREGATE(15,3,(TableDiv[[Agency]:[Agency]]=$E395)/(TableDiv[[Agency]:[Agency]]=$E395)*(ROW(TableDiv[Agency])-ROW(TableDiv[[#Headers],[Agency]])),COLUMNS($F$7:R$7))))</f>
        <v>0</v>
      </c>
      <c r="S395" s="2223" cm="1">
        <f t="array" ref="S395">IF($D395&lt;COLUMNS($F$7:S$7),"",INDEX(TableDiv[[GASB]:[GASB]],_xlfn.AGGREGATE(15,3,(TableDiv[[Agency]:[Agency]]=$E395)/(TableDiv[[Agency]:[Agency]]=$E395)*(ROW(TableDiv[Agency])-ROW(TableDiv[[#Headers],[Agency]])),COLUMNS($F$7:S$7))))</f>
        <v>0</v>
      </c>
      <c r="T395" s="2223" cm="1">
        <f t="array" ref="T395">IF($D395&lt;COLUMNS($F$7:T$7),"",INDEX(TableDiv[[GASB]:[GASB]],_xlfn.AGGREGATE(15,3,(TableDiv[[Agency]:[Agency]]=$E395)/(TableDiv[[Agency]:[Agency]]=$E395)*(ROW(TableDiv[Agency])-ROW(TableDiv[[#Headers],[Agency]])),COLUMNS($F$7:T$7))))</f>
        <v>0</v>
      </c>
      <c r="U395" s="2223" cm="1">
        <f t="array" ref="U395">IF($D395&lt;COLUMNS($F$7:U$7),"",INDEX(TableDiv[[GASB]:[GASB]],_xlfn.AGGREGATE(15,3,(TableDiv[[Agency]:[Agency]]=$E395)/(TableDiv[[Agency]:[Agency]]=$E395)*(ROW(TableDiv[Agency])-ROW(TableDiv[[#Headers],[Agency]])),COLUMNS($F$7:U$7))))</f>
        <v>0</v>
      </c>
      <c r="V395" s="2223" cm="1">
        <f t="array" ref="V395">IF($D395&lt;COLUMNS($F$7:V$7),"",INDEX(TableDiv[[GASB]:[GASB]],_xlfn.AGGREGATE(15,3,(TableDiv[[Agency]:[Agency]]=$E395)/(TableDiv[[Agency]:[Agency]]=$E395)*(ROW(TableDiv[Agency])-ROW(TableDiv[[#Headers],[Agency]])),COLUMNS($F$7:V$7))))</f>
        <v>0</v>
      </c>
      <c r="W395" s="2223" cm="1">
        <f t="array" ref="W395">IF($D395&lt;COLUMNS($F$7:W$7),"",INDEX(TableDiv[[GASB]:[GASB]],_xlfn.AGGREGATE(15,3,(TableDiv[[Agency]:[Agency]]=$E395)/(TableDiv[[Agency]:[Agency]]=$E395)*(ROW(TableDiv[Agency])-ROW(TableDiv[[#Headers],[Agency]])),COLUMNS($F$7:W$7))))</f>
        <v>0</v>
      </c>
      <c r="X395" s="2223" cm="1">
        <f t="array" ref="X395">IF($D395&lt;COLUMNS($F$7:X$7),"",INDEX(TableDiv[[GASB]:[GASB]],_xlfn.AGGREGATE(15,3,(TableDiv[[Agency]:[Agency]]=$E395)/(TableDiv[[Agency]:[Agency]]=$E395)*(ROW(TableDiv[Agency])-ROW(TableDiv[[#Headers],[Agency]])),COLUMNS($F$7:X$7))))</f>
        <v>0</v>
      </c>
      <c r="Y395" s="2223" cm="1">
        <f t="array" ref="Y395">IF($D395&lt;COLUMNS($F$7:Y$7),"",INDEX(TableDiv[[GASB]:[GASB]],_xlfn.AGGREGATE(15,3,(TableDiv[[Agency]:[Agency]]=$E395)/(TableDiv[[Agency]:[Agency]]=$E395)*(ROW(TableDiv[Agency])-ROW(TableDiv[[#Headers],[Agency]])),COLUMNS($F$7:Y$7))))</f>
        <v>0</v>
      </c>
      <c r="Z395" s="2223" cm="1">
        <f t="array" ref="Z395">IF($D395&lt;COLUMNS($F$7:Z$7),"",INDEX(TableDiv[[GASB]:[GASB]],_xlfn.AGGREGATE(15,3,(TableDiv[[Agency]:[Agency]]=$E395)/(TableDiv[[Agency]:[Agency]]=$E395)*(ROW(TableDiv[Agency])-ROW(TableDiv[[#Headers],[Agency]])),COLUMNS($F$7:Z$7))))</f>
        <v>0</v>
      </c>
      <c r="AA395" s="2223" cm="1">
        <f t="array" ref="AA395">IF($D395&lt;COLUMNS($F$7:AA$7),"",INDEX(TableDiv[[GASB]:[GASB]],_xlfn.AGGREGATE(15,3,(TableDiv[[Agency]:[Agency]]=$E395)/(TableDiv[[Agency]:[Agency]]=$E395)*(ROW(TableDiv[Agency])-ROW(TableDiv[[#Headers],[Agency]])),COLUMNS($F$7:AA$7))))</f>
        <v>0</v>
      </c>
      <c r="AB395" s="2223" cm="1">
        <f t="array" ref="AB395">IF($D395&lt;COLUMNS($F$7:AB$7),"",INDEX(TableDiv[[GASB]:[GASB]],_xlfn.AGGREGATE(15,3,(TableDiv[[Agency]:[Agency]]=$E395)/(TableDiv[[Agency]:[Agency]]=$E395)*(ROW(TableDiv[Agency])-ROW(TableDiv[[#Headers],[Agency]])),COLUMNS($F$7:AB$7))))</f>
        <v>0</v>
      </c>
      <c r="AC395" s="2223" cm="1">
        <f t="array" ref="AC395">IF($D395&lt;COLUMNS($F$7:AC$7),"",INDEX(TableDiv[[GASB]:[GASB]],_xlfn.AGGREGATE(15,3,(TableDiv[[Agency]:[Agency]]=$E395)/(TableDiv[[Agency]:[Agency]]=$E395)*(ROW(TableDiv[Agency])-ROW(TableDiv[[#Headers],[Agency]])),COLUMNS($F$7:AC$7))))</f>
        <v>0</v>
      </c>
      <c r="AD395" s="2223" cm="1">
        <f t="array" ref="AD395">IF($D395&lt;COLUMNS($F$7:AD$7),"",INDEX(TableDiv[[GASB]:[GASB]],_xlfn.AGGREGATE(15,3,(TableDiv[[Agency]:[Agency]]=$E395)/(TableDiv[[Agency]:[Agency]]=$E395)*(ROW(TableDiv[Agency])-ROW(TableDiv[[#Headers],[Agency]])),COLUMNS($F$7:AD$7))))</f>
        <v>0</v>
      </c>
      <c r="AE395" s="2223" cm="1">
        <f t="array" ref="AE395">IF($D395&lt;COLUMNS($F$7:AE$7),"",INDEX(TableDiv[[GASB]:[GASB]],_xlfn.AGGREGATE(15,3,(TableDiv[[Agency]:[Agency]]=$E395)/(TableDiv[[Agency]:[Agency]]=$E395)*(ROW(TableDiv[Agency])-ROW(TableDiv[[#Headers],[Agency]])),COLUMNS($F$7:AE$7))))</f>
        <v>0</v>
      </c>
      <c r="AF395" s="2223" cm="1">
        <f t="array" ref="AF395">IF($D395&lt;COLUMNS($F$7:AF$7),"",INDEX(TableDiv[[GASB]:[GASB]],_xlfn.AGGREGATE(15,3,(TableDiv[[Agency]:[Agency]]=$E395)/(TableDiv[[Agency]:[Agency]]=$E395)*(ROW(TableDiv[Agency])-ROW(TableDiv[[#Headers],[Agency]])),COLUMNS($F$7:AF$7))))</f>
        <v>0</v>
      </c>
      <c r="AG395" s="2223" cm="1">
        <f t="array" ref="AG395">IF($D395&lt;COLUMNS($F$7:AG$7),"",INDEX(TableDiv[[GASB]:[GASB]],_xlfn.AGGREGATE(15,3,(TableDiv[[Agency]:[Agency]]=$E395)/(TableDiv[[Agency]:[Agency]]=$E395)*(ROW(TableDiv[Agency])-ROW(TableDiv[[#Headers],[Agency]])),COLUMNS($F$7:AG$7))))</f>
        <v>0</v>
      </c>
      <c r="AH395" s="2223" cm="1">
        <f t="array" ref="AH395">IF($D395&lt;COLUMNS($F$7:AH$7),"",INDEX(TableDiv[[GASB]:[GASB]],_xlfn.AGGREGATE(15,3,(TableDiv[[Agency]:[Agency]]=$E395)/(TableDiv[[Agency]:[Agency]]=$E395)*(ROW(TableDiv[Agency])-ROW(TableDiv[[#Headers],[Agency]])),COLUMNS($F$7:AH$7))))</f>
        <v>0</v>
      </c>
      <c r="AI395" s="2223" cm="1">
        <f t="array" ref="AI395">IF($D395&lt;COLUMNS($F$7:AI$7),"",INDEX(TableDiv[[GASB]:[GASB]],_xlfn.AGGREGATE(15,3,(TableDiv[[Agency]:[Agency]]=$E395)/(TableDiv[[Agency]:[Agency]]=$E395)*(ROW(TableDiv[Agency])-ROW(TableDiv[[#Headers],[Agency]])),COLUMNS($F$7:AI$7))))</f>
        <v>0</v>
      </c>
      <c r="AJ395" s="2223" cm="1">
        <f t="array" ref="AJ395">IF($D395&lt;COLUMNS($F$7:AJ$7),"",INDEX(TableDiv[[GASB]:[GASB]],_xlfn.AGGREGATE(15,3,(TableDiv[[Agency]:[Agency]]=$E395)/(TableDiv[[Agency]:[Agency]]=$E395)*(ROW(TableDiv[Agency])-ROW(TableDiv[[#Headers],[Agency]])),COLUMNS($F$7:AJ$7))))</f>
        <v>0</v>
      </c>
      <c r="AK395" s="2223" t="str" cm="1">
        <f t="array" ref="AK395">IF($D395&lt;COLUMNS($F$7:AK$7),"",INDEX(TableDiv[[GASB]:[GASB]],_xlfn.AGGREGATE(15,3,(TableDiv[[Agency]:[Agency]]=$E395)/(TableDiv[[Agency]:[Agency]]=$E395)*(ROW(TableDiv[Agency])-ROW(TableDiv[[#Headers],[Agency]])),COLUMNS($F$7:AK$7))))</f>
        <v/>
      </c>
      <c r="AL395" s="2223" t="str" cm="1">
        <f t="array" ref="AL395">IF($D395&lt;COLUMNS($F$7:AL$7),"",INDEX(TableDiv[[GASB]:[GASB]],_xlfn.AGGREGATE(15,3,(TableDiv[[Agency]:[Agency]]=$E395)/(TableDiv[[Agency]:[Agency]]=$E395)*(ROW(TableDiv[Agency])-ROW(TableDiv[[#Headers],[Agency]])),COLUMNS($F$7:AL$7))))</f>
        <v/>
      </c>
      <c r="AM395" s="2223" t="str" cm="1">
        <f t="array" ref="AM395">IF($D395&lt;COLUMNS($F$7:AM$7),"",INDEX(TableDiv[[GASB]:[GASB]],_xlfn.AGGREGATE(15,3,(TableDiv[[Agency]:[Agency]]=$E395)/(TableDiv[[Agency]:[Agency]]=$E395)*(ROW(TableDiv[Agency])-ROW(TableDiv[[#Headers],[Agency]])),COLUMNS($F$7:AM$7))))</f>
        <v/>
      </c>
      <c r="AN395" s="2223"/>
      <c r="AO395" s="2223"/>
      <c r="AP395" s="2223"/>
      <c r="AQ395" s="2223"/>
      <c r="AR395" s="2223"/>
      <c r="AS395" s="2223"/>
    </row>
    <row r="396" spans="1:45" ht="15" x14ac:dyDescent="0.25">
      <c r="A396" s="2219" t="s">
        <v>6513</v>
      </c>
      <c r="B396" s="2219" t="s">
        <v>6497</v>
      </c>
      <c r="C396" s="2223"/>
      <c r="D396" s="2223">
        <f>COUNTIF(TableDiv[Agency],E396)</f>
        <v>31</v>
      </c>
      <c r="E396" s="2230" t="str" cm="1">
        <f t="array" ref="E396">IFERROR(INDEX(TableDiv[Agency],MATCH(0,INDEX(COUNTIF($E$7:E395,TableDiv[Agency]),),0)),"")</f>
        <v/>
      </c>
      <c r="F396" s="2223" cm="1">
        <f t="array" ref="F396">IF($D396&lt;COLUMNS($F$7:F$7),"",INDEX(TableDiv[[GASB]:[GASB]],_xlfn.AGGREGATE(15,3,(TableDiv[[Agency]:[Agency]]=$E396)/(TableDiv[[Agency]:[Agency]]=$E396)*(ROW(TableDiv[Agency])-ROW(TableDiv[[#Headers],[Agency]])),COLUMNS($F$7:F$7))))</f>
        <v>0</v>
      </c>
      <c r="G396" s="2223" cm="1">
        <f t="array" ref="G396">IF($D396&lt;COLUMNS($F$7:G$7),"",INDEX(TableDiv[[GASB]:[GASB]],_xlfn.AGGREGATE(15,3,(TableDiv[[Agency]:[Agency]]=$E396)/(TableDiv[[Agency]:[Agency]]=$E396)*(ROW(TableDiv[Agency])-ROW(TableDiv[[#Headers],[Agency]])),COLUMNS($F$7:G$7))))</f>
        <v>0</v>
      </c>
      <c r="H396" s="2223" cm="1">
        <f t="array" ref="H396">IF($D396&lt;COLUMNS($F$7:H$7),"",INDEX(TableDiv[[GASB]:[GASB]],_xlfn.AGGREGATE(15,3,(TableDiv[[Agency]:[Agency]]=$E396)/(TableDiv[[Agency]:[Agency]]=$E396)*(ROW(TableDiv[Agency])-ROW(TableDiv[[#Headers],[Agency]])),COLUMNS($F$7:H$7))))</f>
        <v>0</v>
      </c>
      <c r="I396" s="2223" cm="1">
        <f t="array" ref="I396">IF($D396&lt;COLUMNS($F$7:I$7),"",INDEX(TableDiv[[GASB]:[GASB]],_xlfn.AGGREGATE(15,3,(TableDiv[[Agency]:[Agency]]=$E396)/(TableDiv[[Agency]:[Agency]]=$E396)*(ROW(TableDiv[Agency])-ROW(TableDiv[[#Headers],[Agency]])),COLUMNS($F$7:I$7))))</f>
        <v>0</v>
      </c>
      <c r="J396" s="2223" cm="1">
        <f t="array" ref="J396">IF($D396&lt;COLUMNS($F$7:J$7),"",INDEX(TableDiv[[GASB]:[GASB]],_xlfn.AGGREGATE(15,3,(TableDiv[[Agency]:[Agency]]=$E396)/(TableDiv[[Agency]:[Agency]]=$E396)*(ROW(TableDiv[Agency])-ROW(TableDiv[[#Headers],[Agency]])),COLUMNS($F$7:J$7))))</f>
        <v>0</v>
      </c>
      <c r="K396" s="2223" cm="1">
        <f t="array" ref="K396">IF($D396&lt;COLUMNS($F$7:K$7),"",INDEX(TableDiv[[GASB]:[GASB]],_xlfn.AGGREGATE(15,3,(TableDiv[[Agency]:[Agency]]=$E396)/(TableDiv[[Agency]:[Agency]]=$E396)*(ROW(TableDiv[Agency])-ROW(TableDiv[[#Headers],[Agency]])),COLUMNS($F$7:K$7))))</f>
        <v>0</v>
      </c>
      <c r="L396" s="2223" cm="1">
        <f t="array" ref="L396">IF($D396&lt;COLUMNS($F$7:L$7),"",INDEX(TableDiv[[GASB]:[GASB]],_xlfn.AGGREGATE(15,3,(TableDiv[[Agency]:[Agency]]=$E396)/(TableDiv[[Agency]:[Agency]]=$E396)*(ROW(TableDiv[Agency])-ROW(TableDiv[[#Headers],[Agency]])),COLUMNS($F$7:L$7))))</f>
        <v>0</v>
      </c>
      <c r="M396" s="2223" cm="1">
        <f t="array" ref="M396">IF($D396&lt;COLUMNS($F$7:M$7),"",INDEX(TableDiv[[GASB]:[GASB]],_xlfn.AGGREGATE(15,3,(TableDiv[[Agency]:[Agency]]=$E396)/(TableDiv[[Agency]:[Agency]]=$E396)*(ROW(TableDiv[Agency])-ROW(TableDiv[[#Headers],[Agency]])),COLUMNS($F$7:M$7))))</f>
        <v>0</v>
      </c>
      <c r="N396" s="2223" cm="1">
        <f t="array" ref="N396">IF($D396&lt;COLUMNS($F$7:N$7),"",INDEX(TableDiv[[GASB]:[GASB]],_xlfn.AGGREGATE(15,3,(TableDiv[[Agency]:[Agency]]=$E396)/(TableDiv[[Agency]:[Agency]]=$E396)*(ROW(TableDiv[Agency])-ROW(TableDiv[[#Headers],[Agency]])),COLUMNS($F$7:N$7))))</f>
        <v>0</v>
      </c>
      <c r="O396" s="2223" cm="1">
        <f t="array" ref="O396">IF($D396&lt;COLUMNS($F$7:O$7),"",INDEX(TableDiv[[GASB]:[GASB]],_xlfn.AGGREGATE(15,3,(TableDiv[[Agency]:[Agency]]=$E396)/(TableDiv[[Agency]:[Agency]]=$E396)*(ROW(TableDiv[Agency])-ROW(TableDiv[[#Headers],[Agency]])),COLUMNS($F$7:O$7))))</f>
        <v>0</v>
      </c>
      <c r="P396" s="2223" cm="1">
        <f t="array" ref="P396">IF($D396&lt;COLUMNS($F$7:P$7),"",INDEX(TableDiv[[GASB]:[GASB]],_xlfn.AGGREGATE(15,3,(TableDiv[[Agency]:[Agency]]=$E396)/(TableDiv[[Agency]:[Agency]]=$E396)*(ROW(TableDiv[Agency])-ROW(TableDiv[[#Headers],[Agency]])),COLUMNS($F$7:P$7))))</f>
        <v>0</v>
      </c>
      <c r="Q396" s="2223" cm="1">
        <f t="array" ref="Q396">IF($D396&lt;COLUMNS($F$7:Q$7),"",INDEX(TableDiv[[GASB]:[GASB]],_xlfn.AGGREGATE(15,3,(TableDiv[[Agency]:[Agency]]=$E396)/(TableDiv[[Agency]:[Agency]]=$E396)*(ROW(TableDiv[Agency])-ROW(TableDiv[[#Headers],[Agency]])),COLUMNS($F$7:Q$7))))</f>
        <v>0</v>
      </c>
      <c r="R396" s="2223" cm="1">
        <f t="array" ref="R396">IF($D396&lt;COLUMNS($F$7:R$7),"",INDEX(TableDiv[[GASB]:[GASB]],_xlfn.AGGREGATE(15,3,(TableDiv[[Agency]:[Agency]]=$E396)/(TableDiv[[Agency]:[Agency]]=$E396)*(ROW(TableDiv[Agency])-ROW(TableDiv[[#Headers],[Agency]])),COLUMNS($F$7:R$7))))</f>
        <v>0</v>
      </c>
      <c r="S396" s="2223" cm="1">
        <f t="array" ref="S396">IF($D396&lt;COLUMNS($F$7:S$7),"",INDEX(TableDiv[[GASB]:[GASB]],_xlfn.AGGREGATE(15,3,(TableDiv[[Agency]:[Agency]]=$E396)/(TableDiv[[Agency]:[Agency]]=$E396)*(ROW(TableDiv[Agency])-ROW(TableDiv[[#Headers],[Agency]])),COLUMNS($F$7:S$7))))</f>
        <v>0</v>
      </c>
      <c r="T396" s="2223" cm="1">
        <f t="array" ref="T396">IF($D396&lt;COLUMNS($F$7:T$7),"",INDEX(TableDiv[[GASB]:[GASB]],_xlfn.AGGREGATE(15,3,(TableDiv[[Agency]:[Agency]]=$E396)/(TableDiv[[Agency]:[Agency]]=$E396)*(ROW(TableDiv[Agency])-ROW(TableDiv[[#Headers],[Agency]])),COLUMNS($F$7:T$7))))</f>
        <v>0</v>
      </c>
      <c r="U396" s="2223" cm="1">
        <f t="array" ref="U396">IF($D396&lt;COLUMNS($F$7:U$7),"",INDEX(TableDiv[[GASB]:[GASB]],_xlfn.AGGREGATE(15,3,(TableDiv[[Agency]:[Agency]]=$E396)/(TableDiv[[Agency]:[Agency]]=$E396)*(ROW(TableDiv[Agency])-ROW(TableDiv[[#Headers],[Agency]])),COLUMNS($F$7:U$7))))</f>
        <v>0</v>
      </c>
      <c r="V396" s="2223" cm="1">
        <f t="array" ref="V396">IF($D396&lt;COLUMNS($F$7:V$7),"",INDEX(TableDiv[[GASB]:[GASB]],_xlfn.AGGREGATE(15,3,(TableDiv[[Agency]:[Agency]]=$E396)/(TableDiv[[Agency]:[Agency]]=$E396)*(ROW(TableDiv[Agency])-ROW(TableDiv[[#Headers],[Agency]])),COLUMNS($F$7:V$7))))</f>
        <v>0</v>
      </c>
      <c r="W396" s="2223" cm="1">
        <f t="array" ref="W396">IF($D396&lt;COLUMNS($F$7:W$7),"",INDEX(TableDiv[[GASB]:[GASB]],_xlfn.AGGREGATE(15,3,(TableDiv[[Agency]:[Agency]]=$E396)/(TableDiv[[Agency]:[Agency]]=$E396)*(ROW(TableDiv[Agency])-ROW(TableDiv[[#Headers],[Agency]])),COLUMNS($F$7:W$7))))</f>
        <v>0</v>
      </c>
      <c r="X396" s="2223" cm="1">
        <f t="array" ref="X396">IF($D396&lt;COLUMNS($F$7:X$7),"",INDEX(TableDiv[[GASB]:[GASB]],_xlfn.AGGREGATE(15,3,(TableDiv[[Agency]:[Agency]]=$E396)/(TableDiv[[Agency]:[Agency]]=$E396)*(ROW(TableDiv[Agency])-ROW(TableDiv[[#Headers],[Agency]])),COLUMNS($F$7:X$7))))</f>
        <v>0</v>
      </c>
      <c r="Y396" s="2223" cm="1">
        <f t="array" ref="Y396">IF($D396&lt;COLUMNS($F$7:Y$7),"",INDEX(TableDiv[[GASB]:[GASB]],_xlfn.AGGREGATE(15,3,(TableDiv[[Agency]:[Agency]]=$E396)/(TableDiv[[Agency]:[Agency]]=$E396)*(ROW(TableDiv[Agency])-ROW(TableDiv[[#Headers],[Agency]])),COLUMNS($F$7:Y$7))))</f>
        <v>0</v>
      </c>
      <c r="Z396" s="2223" cm="1">
        <f t="array" ref="Z396">IF($D396&lt;COLUMNS($F$7:Z$7),"",INDEX(TableDiv[[GASB]:[GASB]],_xlfn.AGGREGATE(15,3,(TableDiv[[Agency]:[Agency]]=$E396)/(TableDiv[[Agency]:[Agency]]=$E396)*(ROW(TableDiv[Agency])-ROW(TableDiv[[#Headers],[Agency]])),COLUMNS($F$7:Z$7))))</f>
        <v>0</v>
      </c>
      <c r="AA396" s="2223" cm="1">
        <f t="array" ref="AA396">IF($D396&lt;COLUMNS($F$7:AA$7),"",INDEX(TableDiv[[GASB]:[GASB]],_xlfn.AGGREGATE(15,3,(TableDiv[[Agency]:[Agency]]=$E396)/(TableDiv[[Agency]:[Agency]]=$E396)*(ROW(TableDiv[Agency])-ROW(TableDiv[[#Headers],[Agency]])),COLUMNS($F$7:AA$7))))</f>
        <v>0</v>
      </c>
      <c r="AB396" s="2223" cm="1">
        <f t="array" ref="AB396">IF($D396&lt;COLUMNS($F$7:AB$7),"",INDEX(TableDiv[[GASB]:[GASB]],_xlfn.AGGREGATE(15,3,(TableDiv[[Agency]:[Agency]]=$E396)/(TableDiv[[Agency]:[Agency]]=$E396)*(ROW(TableDiv[Agency])-ROW(TableDiv[[#Headers],[Agency]])),COLUMNS($F$7:AB$7))))</f>
        <v>0</v>
      </c>
      <c r="AC396" s="2223" cm="1">
        <f t="array" ref="AC396">IF($D396&lt;COLUMNS($F$7:AC$7),"",INDEX(TableDiv[[GASB]:[GASB]],_xlfn.AGGREGATE(15,3,(TableDiv[[Agency]:[Agency]]=$E396)/(TableDiv[[Agency]:[Agency]]=$E396)*(ROW(TableDiv[Agency])-ROW(TableDiv[[#Headers],[Agency]])),COLUMNS($F$7:AC$7))))</f>
        <v>0</v>
      </c>
      <c r="AD396" s="2223" cm="1">
        <f t="array" ref="AD396">IF($D396&lt;COLUMNS($F$7:AD$7),"",INDEX(TableDiv[[GASB]:[GASB]],_xlfn.AGGREGATE(15,3,(TableDiv[[Agency]:[Agency]]=$E396)/(TableDiv[[Agency]:[Agency]]=$E396)*(ROW(TableDiv[Agency])-ROW(TableDiv[[#Headers],[Agency]])),COLUMNS($F$7:AD$7))))</f>
        <v>0</v>
      </c>
      <c r="AE396" s="2223" cm="1">
        <f t="array" ref="AE396">IF($D396&lt;COLUMNS($F$7:AE$7),"",INDEX(TableDiv[[GASB]:[GASB]],_xlfn.AGGREGATE(15,3,(TableDiv[[Agency]:[Agency]]=$E396)/(TableDiv[[Agency]:[Agency]]=$E396)*(ROW(TableDiv[Agency])-ROW(TableDiv[[#Headers],[Agency]])),COLUMNS($F$7:AE$7))))</f>
        <v>0</v>
      </c>
      <c r="AF396" s="2223" cm="1">
        <f t="array" ref="AF396">IF($D396&lt;COLUMNS($F$7:AF$7),"",INDEX(TableDiv[[GASB]:[GASB]],_xlfn.AGGREGATE(15,3,(TableDiv[[Agency]:[Agency]]=$E396)/(TableDiv[[Agency]:[Agency]]=$E396)*(ROW(TableDiv[Agency])-ROW(TableDiv[[#Headers],[Agency]])),COLUMNS($F$7:AF$7))))</f>
        <v>0</v>
      </c>
      <c r="AG396" s="2223" cm="1">
        <f t="array" ref="AG396">IF($D396&lt;COLUMNS($F$7:AG$7),"",INDEX(TableDiv[[GASB]:[GASB]],_xlfn.AGGREGATE(15,3,(TableDiv[[Agency]:[Agency]]=$E396)/(TableDiv[[Agency]:[Agency]]=$E396)*(ROW(TableDiv[Agency])-ROW(TableDiv[[#Headers],[Agency]])),COLUMNS($F$7:AG$7))))</f>
        <v>0</v>
      </c>
      <c r="AH396" s="2223" cm="1">
        <f t="array" ref="AH396">IF($D396&lt;COLUMNS($F$7:AH$7),"",INDEX(TableDiv[[GASB]:[GASB]],_xlfn.AGGREGATE(15,3,(TableDiv[[Agency]:[Agency]]=$E396)/(TableDiv[[Agency]:[Agency]]=$E396)*(ROW(TableDiv[Agency])-ROW(TableDiv[[#Headers],[Agency]])),COLUMNS($F$7:AH$7))))</f>
        <v>0</v>
      </c>
      <c r="AI396" s="2223" cm="1">
        <f t="array" ref="AI396">IF($D396&lt;COLUMNS($F$7:AI$7),"",INDEX(TableDiv[[GASB]:[GASB]],_xlfn.AGGREGATE(15,3,(TableDiv[[Agency]:[Agency]]=$E396)/(TableDiv[[Agency]:[Agency]]=$E396)*(ROW(TableDiv[Agency])-ROW(TableDiv[[#Headers],[Agency]])),COLUMNS($F$7:AI$7))))</f>
        <v>0</v>
      </c>
      <c r="AJ396" s="2223" cm="1">
        <f t="array" ref="AJ396">IF($D396&lt;COLUMNS($F$7:AJ$7),"",INDEX(TableDiv[[GASB]:[GASB]],_xlfn.AGGREGATE(15,3,(TableDiv[[Agency]:[Agency]]=$E396)/(TableDiv[[Agency]:[Agency]]=$E396)*(ROW(TableDiv[Agency])-ROW(TableDiv[[#Headers],[Agency]])),COLUMNS($F$7:AJ$7))))</f>
        <v>0</v>
      </c>
      <c r="AK396" s="2223" t="str" cm="1">
        <f t="array" ref="AK396">IF($D396&lt;COLUMNS($F$7:AK$7),"",INDEX(TableDiv[[GASB]:[GASB]],_xlfn.AGGREGATE(15,3,(TableDiv[[Agency]:[Agency]]=$E396)/(TableDiv[[Agency]:[Agency]]=$E396)*(ROW(TableDiv[Agency])-ROW(TableDiv[[#Headers],[Agency]])),COLUMNS($F$7:AK$7))))</f>
        <v/>
      </c>
      <c r="AL396" s="2223" t="str" cm="1">
        <f t="array" ref="AL396">IF($D396&lt;COLUMNS($F$7:AL$7),"",INDEX(TableDiv[[GASB]:[GASB]],_xlfn.AGGREGATE(15,3,(TableDiv[[Agency]:[Agency]]=$E396)/(TableDiv[[Agency]:[Agency]]=$E396)*(ROW(TableDiv[Agency])-ROW(TableDiv[[#Headers],[Agency]])),COLUMNS($F$7:AL$7))))</f>
        <v/>
      </c>
      <c r="AM396" s="2223" t="str" cm="1">
        <f t="array" ref="AM396">IF($D396&lt;COLUMNS($F$7:AM$7),"",INDEX(TableDiv[[GASB]:[GASB]],_xlfn.AGGREGATE(15,3,(TableDiv[[Agency]:[Agency]]=$E396)/(TableDiv[[Agency]:[Agency]]=$E396)*(ROW(TableDiv[Agency])-ROW(TableDiv[[#Headers],[Agency]])),COLUMNS($F$7:AM$7))))</f>
        <v/>
      </c>
      <c r="AN396" s="2223"/>
      <c r="AO396" s="2223"/>
      <c r="AP396" s="2223"/>
      <c r="AQ396" s="2223"/>
      <c r="AR396" s="2223"/>
      <c r="AS396" s="2223"/>
    </row>
    <row r="397" spans="1:45" ht="15" x14ac:dyDescent="0.25">
      <c r="A397" s="2219" t="s">
        <v>6514</v>
      </c>
      <c r="B397" s="2219" t="s">
        <v>6497</v>
      </c>
      <c r="C397" s="2223"/>
      <c r="D397" s="2223">
        <f>COUNTIF(TableDiv[Agency],E397)</f>
        <v>31</v>
      </c>
      <c r="E397" s="2230" t="str" cm="1">
        <f t="array" ref="E397">IFERROR(INDEX(TableDiv[Agency],MATCH(0,INDEX(COUNTIF($E$7:E396,TableDiv[Agency]),),0)),"")</f>
        <v/>
      </c>
      <c r="F397" s="2223" cm="1">
        <f t="array" ref="F397">IF($D397&lt;COLUMNS($F$7:F$7),"",INDEX(TableDiv[[GASB]:[GASB]],_xlfn.AGGREGATE(15,3,(TableDiv[[Agency]:[Agency]]=$E397)/(TableDiv[[Agency]:[Agency]]=$E397)*(ROW(TableDiv[Agency])-ROW(TableDiv[[#Headers],[Agency]])),COLUMNS($F$7:F$7))))</f>
        <v>0</v>
      </c>
      <c r="G397" s="2223" cm="1">
        <f t="array" ref="G397">IF($D397&lt;COLUMNS($F$7:G$7),"",INDEX(TableDiv[[GASB]:[GASB]],_xlfn.AGGREGATE(15,3,(TableDiv[[Agency]:[Agency]]=$E397)/(TableDiv[[Agency]:[Agency]]=$E397)*(ROW(TableDiv[Agency])-ROW(TableDiv[[#Headers],[Agency]])),COLUMNS($F$7:G$7))))</f>
        <v>0</v>
      </c>
      <c r="H397" s="2223" cm="1">
        <f t="array" ref="H397">IF($D397&lt;COLUMNS($F$7:H$7),"",INDEX(TableDiv[[GASB]:[GASB]],_xlfn.AGGREGATE(15,3,(TableDiv[[Agency]:[Agency]]=$E397)/(TableDiv[[Agency]:[Agency]]=$E397)*(ROW(TableDiv[Agency])-ROW(TableDiv[[#Headers],[Agency]])),COLUMNS($F$7:H$7))))</f>
        <v>0</v>
      </c>
      <c r="I397" s="2223" cm="1">
        <f t="array" ref="I397">IF($D397&lt;COLUMNS($F$7:I$7),"",INDEX(TableDiv[[GASB]:[GASB]],_xlfn.AGGREGATE(15,3,(TableDiv[[Agency]:[Agency]]=$E397)/(TableDiv[[Agency]:[Agency]]=$E397)*(ROW(TableDiv[Agency])-ROW(TableDiv[[#Headers],[Agency]])),COLUMNS($F$7:I$7))))</f>
        <v>0</v>
      </c>
      <c r="J397" s="2223" cm="1">
        <f t="array" ref="J397">IF($D397&lt;COLUMNS($F$7:J$7),"",INDEX(TableDiv[[GASB]:[GASB]],_xlfn.AGGREGATE(15,3,(TableDiv[[Agency]:[Agency]]=$E397)/(TableDiv[[Agency]:[Agency]]=$E397)*(ROW(TableDiv[Agency])-ROW(TableDiv[[#Headers],[Agency]])),COLUMNS($F$7:J$7))))</f>
        <v>0</v>
      </c>
      <c r="K397" s="2223" cm="1">
        <f t="array" ref="K397">IF($D397&lt;COLUMNS($F$7:K$7),"",INDEX(TableDiv[[GASB]:[GASB]],_xlfn.AGGREGATE(15,3,(TableDiv[[Agency]:[Agency]]=$E397)/(TableDiv[[Agency]:[Agency]]=$E397)*(ROW(TableDiv[Agency])-ROW(TableDiv[[#Headers],[Agency]])),COLUMNS($F$7:K$7))))</f>
        <v>0</v>
      </c>
      <c r="L397" s="2223" cm="1">
        <f t="array" ref="L397">IF($D397&lt;COLUMNS($F$7:L$7),"",INDEX(TableDiv[[GASB]:[GASB]],_xlfn.AGGREGATE(15,3,(TableDiv[[Agency]:[Agency]]=$E397)/(TableDiv[[Agency]:[Agency]]=$E397)*(ROW(TableDiv[Agency])-ROW(TableDiv[[#Headers],[Agency]])),COLUMNS($F$7:L$7))))</f>
        <v>0</v>
      </c>
      <c r="M397" s="2223" cm="1">
        <f t="array" ref="M397">IF($D397&lt;COLUMNS($F$7:M$7),"",INDEX(TableDiv[[GASB]:[GASB]],_xlfn.AGGREGATE(15,3,(TableDiv[[Agency]:[Agency]]=$E397)/(TableDiv[[Agency]:[Agency]]=$E397)*(ROW(TableDiv[Agency])-ROW(TableDiv[[#Headers],[Agency]])),COLUMNS($F$7:M$7))))</f>
        <v>0</v>
      </c>
      <c r="N397" s="2223" cm="1">
        <f t="array" ref="N397">IF($D397&lt;COLUMNS($F$7:N$7),"",INDEX(TableDiv[[GASB]:[GASB]],_xlfn.AGGREGATE(15,3,(TableDiv[[Agency]:[Agency]]=$E397)/(TableDiv[[Agency]:[Agency]]=$E397)*(ROW(TableDiv[Agency])-ROW(TableDiv[[#Headers],[Agency]])),COLUMNS($F$7:N$7))))</f>
        <v>0</v>
      </c>
      <c r="O397" s="2223" cm="1">
        <f t="array" ref="O397">IF($D397&lt;COLUMNS($F$7:O$7),"",INDEX(TableDiv[[GASB]:[GASB]],_xlfn.AGGREGATE(15,3,(TableDiv[[Agency]:[Agency]]=$E397)/(TableDiv[[Agency]:[Agency]]=$E397)*(ROW(TableDiv[Agency])-ROW(TableDiv[[#Headers],[Agency]])),COLUMNS($F$7:O$7))))</f>
        <v>0</v>
      </c>
      <c r="P397" s="2223" cm="1">
        <f t="array" ref="P397">IF($D397&lt;COLUMNS($F$7:P$7),"",INDEX(TableDiv[[GASB]:[GASB]],_xlfn.AGGREGATE(15,3,(TableDiv[[Agency]:[Agency]]=$E397)/(TableDiv[[Agency]:[Agency]]=$E397)*(ROW(TableDiv[Agency])-ROW(TableDiv[[#Headers],[Agency]])),COLUMNS($F$7:P$7))))</f>
        <v>0</v>
      </c>
      <c r="Q397" s="2223" cm="1">
        <f t="array" ref="Q397">IF($D397&lt;COLUMNS($F$7:Q$7),"",INDEX(TableDiv[[GASB]:[GASB]],_xlfn.AGGREGATE(15,3,(TableDiv[[Agency]:[Agency]]=$E397)/(TableDiv[[Agency]:[Agency]]=$E397)*(ROW(TableDiv[Agency])-ROW(TableDiv[[#Headers],[Agency]])),COLUMNS($F$7:Q$7))))</f>
        <v>0</v>
      </c>
      <c r="R397" s="2223" cm="1">
        <f t="array" ref="R397">IF($D397&lt;COLUMNS($F$7:R$7),"",INDEX(TableDiv[[GASB]:[GASB]],_xlfn.AGGREGATE(15,3,(TableDiv[[Agency]:[Agency]]=$E397)/(TableDiv[[Agency]:[Agency]]=$E397)*(ROW(TableDiv[Agency])-ROW(TableDiv[[#Headers],[Agency]])),COLUMNS($F$7:R$7))))</f>
        <v>0</v>
      </c>
      <c r="S397" s="2223" cm="1">
        <f t="array" ref="S397">IF($D397&lt;COLUMNS($F$7:S$7),"",INDEX(TableDiv[[GASB]:[GASB]],_xlfn.AGGREGATE(15,3,(TableDiv[[Agency]:[Agency]]=$E397)/(TableDiv[[Agency]:[Agency]]=$E397)*(ROW(TableDiv[Agency])-ROW(TableDiv[[#Headers],[Agency]])),COLUMNS($F$7:S$7))))</f>
        <v>0</v>
      </c>
      <c r="T397" s="2223" cm="1">
        <f t="array" ref="T397">IF($D397&lt;COLUMNS($F$7:T$7),"",INDEX(TableDiv[[GASB]:[GASB]],_xlfn.AGGREGATE(15,3,(TableDiv[[Agency]:[Agency]]=$E397)/(TableDiv[[Agency]:[Agency]]=$E397)*(ROW(TableDiv[Agency])-ROW(TableDiv[[#Headers],[Agency]])),COLUMNS($F$7:T$7))))</f>
        <v>0</v>
      </c>
      <c r="U397" s="2223" cm="1">
        <f t="array" ref="U397">IF($D397&lt;COLUMNS($F$7:U$7),"",INDEX(TableDiv[[GASB]:[GASB]],_xlfn.AGGREGATE(15,3,(TableDiv[[Agency]:[Agency]]=$E397)/(TableDiv[[Agency]:[Agency]]=$E397)*(ROW(TableDiv[Agency])-ROW(TableDiv[[#Headers],[Agency]])),COLUMNS($F$7:U$7))))</f>
        <v>0</v>
      </c>
      <c r="V397" s="2223" cm="1">
        <f t="array" ref="V397">IF($D397&lt;COLUMNS($F$7:V$7),"",INDEX(TableDiv[[GASB]:[GASB]],_xlfn.AGGREGATE(15,3,(TableDiv[[Agency]:[Agency]]=$E397)/(TableDiv[[Agency]:[Agency]]=$E397)*(ROW(TableDiv[Agency])-ROW(TableDiv[[#Headers],[Agency]])),COLUMNS($F$7:V$7))))</f>
        <v>0</v>
      </c>
      <c r="W397" s="2223" cm="1">
        <f t="array" ref="W397">IF($D397&lt;COLUMNS($F$7:W$7),"",INDEX(TableDiv[[GASB]:[GASB]],_xlfn.AGGREGATE(15,3,(TableDiv[[Agency]:[Agency]]=$E397)/(TableDiv[[Agency]:[Agency]]=$E397)*(ROW(TableDiv[Agency])-ROW(TableDiv[[#Headers],[Agency]])),COLUMNS($F$7:W$7))))</f>
        <v>0</v>
      </c>
      <c r="X397" s="2223" cm="1">
        <f t="array" ref="X397">IF($D397&lt;COLUMNS($F$7:X$7),"",INDEX(TableDiv[[GASB]:[GASB]],_xlfn.AGGREGATE(15,3,(TableDiv[[Agency]:[Agency]]=$E397)/(TableDiv[[Agency]:[Agency]]=$E397)*(ROW(TableDiv[Agency])-ROW(TableDiv[[#Headers],[Agency]])),COLUMNS($F$7:X$7))))</f>
        <v>0</v>
      </c>
      <c r="Y397" s="2223" cm="1">
        <f t="array" ref="Y397">IF($D397&lt;COLUMNS($F$7:Y$7),"",INDEX(TableDiv[[GASB]:[GASB]],_xlfn.AGGREGATE(15,3,(TableDiv[[Agency]:[Agency]]=$E397)/(TableDiv[[Agency]:[Agency]]=$E397)*(ROW(TableDiv[Agency])-ROW(TableDiv[[#Headers],[Agency]])),COLUMNS($F$7:Y$7))))</f>
        <v>0</v>
      </c>
      <c r="Z397" s="2223" cm="1">
        <f t="array" ref="Z397">IF($D397&lt;COLUMNS($F$7:Z$7),"",INDEX(TableDiv[[GASB]:[GASB]],_xlfn.AGGREGATE(15,3,(TableDiv[[Agency]:[Agency]]=$E397)/(TableDiv[[Agency]:[Agency]]=$E397)*(ROW(TableDiv[Agency])-ROW(TableDiv[[#Headers],[Agency]])),COLUMNS($F$7:Z$7))))</f>
        <v>0</v>
      </c>
      <c r="AA397" s="2223" cm="1">
        <f t="array" ref="AA397">IF($D397&lt;COLUMNS($F$7:AA$7),"",INDEX(TableDiv[[GASB]:[GASB]],_xlfn.AGGREGATE(15,3,(TableDiv[[Agency]:[Agency]]=$E397)/(TableDiv[[Agency]:[Agency]]=$E397)*(ROW(TableDiv[Agency])-ROW(TableDiv[[#Headers],[Agency]])),COLUMNS($F$7:AA$7))))</f>
        <v>0</v>
      </c>
      <c r="AB397" s="2223" cm="1">
        <f t="array" ref="AB397">IF($D397&lt;COLUMNS($F$7:AB$7),"",INDEX(TableDiv[[GASB]:[GASB]],_xlfn.AGGREGATE(15,3,(TableDiv[[Agency]:[Agency]]=$E397)/(TableDiv[[Agency]:[Agency]]=$E397)*(ROW(TableDiv[Agency])-ROW(TableDiv[[#Headers],[Agency]])),COLUMNS($F$7:AB$7))))</f>
        <v>0</v>
      </c>
      <c r="AC397" s="2223" cm="1">
        <f t="array" ref="AC397">IF($D397&lt;COLUMNS($F$7:AC$7),"",INDEX(TableDiv[[GASB]:[GASB]],_xlfn.AGGREGATE(15,3,(TableDiv[[Agency]:[Agency]]=$E397)/(TableDiv[[Agency]:[Agency]]=$E397)*(ROW(TableDiv[Agency])-ROW(TableDiv[[#Headers],[Agency]])),COLUMNS($F$7:AC$7))))</f>
        <v>0</v>
      </c>
      <c r="AD397" s="2223" cm="1">
        <f t="array" ref="AD397">IF($D397&lt;COLUMNS($F$7:AD$7),"",INDEX(TableDiv[[GASB]:[GASB]],_xlfn.AGGREGATE(15,3,(TableDiv[[Agency]:[Agency]]=$E397)/(TableDiv[[Agency]:[Agency]]=$E397)*(ROW(TableDiv[Agency])-ROW(TableDiv[[#Headers],[Agency]])),COLUMNS($F$7:AD$7))))</f>
        <v>0</v>
      </c>
      <c r="AE397" s="2223" cm="1">
        <f t="array" ref="AE397">IF($D397&lt;COLUMNS($F$7:AE$7),"",INDEX(TableDiv[[GASB]:[GASB]],_xlfn.AGGREGATE(15,3,(TableDiv[[Agency]:[Agency]]=$E397)/(TableDiv[[Agency]:[Agency]]=$E397)*(ROW(TableDiv[Agency])-ROW(TableDiv[[#Headers],[Agency]])),COLUMNS($F$7:AE$7))))</f>
        <v>0</v>
      </c>
      <c r="AF397" s="2223" cm="1">
        <f t="array" ref="AF397">IF($D397&lt;COLUMNS($F$7:AF$7),"",INDEX(TableDiv[[GASB]:[GASB]],_xlfn.AGGREGATE(15,3,(TableDiv[[Agency]:[Agency]]=$E397)/(TableDiv[[Agency]:[Agency]]=$E397)*(ROW(TableDiv[Agency])-ROW(TableDiv[[#Headers],[Agency]])),COLUMNS($F$7:AF$7))))</f>
        <v>0</v>
      </c>
      <c r="AG397" s="2223" cm="1">
        <f t="array" ref="AG397">IF($D397&lt;COLUMNS($F$7:AG$7),"",INDEX(TableDiv[[GASB]:[GASB]],_xlfn.AGGREGATE(15,3,(TableDiv[[Agency]:[Agency]]=$E397)/(TableDiv[[Agency]:[Agency]]=$E397)*(ROW(TableDiv[Agency])-ROW(TableDiv[[#Headers],[Agency]])),COLUMNS($F$7:AG$7))))</f>
        <v>0</v>
      </c>
      <c r="AH397" s="2223" cm="1">
        <f t="array" ref="AH397">IF($D397&lt;COLUMNS($F$7:AH$7),"",INDEX(TableDiv[[GASB]:[GASB]],_xlfn.AGGREGATE(15,3,(TableDiv[[Agency]:[Agency]]=$E397)/(TableDiv[[Agency]:[Agency]]=$E397)*(ROW(TableDiv[Agency])-ROW(TableDiv[[#Headers],[Agency]])),COLUMNS($F$7:AH$7))))</f>
        <v>0</v>
      </c>
      <c r="AI397" s="2223" cm="1">
        <f t="array" ref="AI397">IF($D397&lt;COLUMNS($F$7:AI$7),"",INDEX(TableDiv[[GASB]:[GASB]],_xlfn.AGGREGATE(15,3,(TableDiv[[Agency]:[Agency]]=$E397)/(TableDiv[[Agency]:[Agency]]=$E397)*(ROW(TableDiv[Agency])-ROW(TableDiv[[#Headers],[Agency]])),COLUMNS($F$7:AI$7))))</f>
        <v>0</v>
      </c>
      <c r="AJ397" s="2223" cm="1">
        <f t="array" ref="AJ397">IF($D397&lt;COLUMNS($F$7:AJ$7),"",INDEX(TableDiv[[GASB]:[GASB]],_xlfn.AGGREGATE(15,3,(TableDiv[[Agency]:[Agency]]=$E397)/(TableDiv[[Agency]:[Agency]]=$E397)*(ROW(TableDiv[Agency])-ROW(TableDiv[[#Headers],[Agency]])),COLUMNS($F$7:AJ$7))))</f>
        <v>0</v>
      </c>
      <c r="AK397" s="2223" t="str" cm="1">
        <f t="array" ref="AK397">IF($D397&lt;COLUMNS($F$7:AK$7),"",INDEX(TableDiv[[GASB]:[GASB]],_xlfn.AGGREGATE(15,3,(TableDiv[[Agency]:[Agency]]=$E397)/(TableDiv[[Agency]:[Agency]]=$E397)*(ROW(TableDiv[Agency])-ROW(TableDiv[[#Headers],[Agency]])),COLUMNS($F$7:AK$7))))</f>
        <v/>
      </c>
      <c r="AL397" s="2223" t="str" cm="1">
        <f t="array" ref="AL397">IF($D397&lt;COLUMNS($F$7:AL$7),"",INDEX(TableDiv[[GASB]:[GASB]],_xlfn.AGGREGATE(15,3,(TableDiv[[Agency]:[Agency]]=$E397)/(TableDiv[[Agency]:[Agency]]=$E397)*(ROW(TableDiv[Agency])-ROW(TableDiv[[#Headers],[Agency]])),COLUMNS($F$7:AL$7))))</f>
        <v/>
      </c>
      <c r="AM397" s="2223" t="str" cm="1">
        <f t="array" ref="AM397">IF($D397&lt;COLUMNS($F$7:AM$7),"",INDEX(TableDiv[[GASB]:[GASB]],_xlfn.AGGREGATE(15,3,(TableDiv[[Agency]:[Agency]]=$E397)/(TableDiv[[Agency]:[Agency]]=$E397)*(ROW(TableDiv[Agency])-ROW(TableDiv[[#Headers],[Agency]])),COLUMNS($F$7:AM$7))))</f>
        <v/>
      </c>
      <c r="AN397" s="2223"/>
      <c r="AO397" s="2223"/>
      <c r="AP397" s="2223"/>
      <c r="AQ397" s="2223"/>
      <c r="AR397" s="2223"/>
      <c r="AS397" s="2223"/>
    </row>
    <row r="398" spans="1:45" ht="15" x14ac:dyDescent="0.25">
      <c r="A398" s="2219" t="s">
        <v>6515</v>
      </c>
      <c r="B398" s="2219" t="s">
        <v>6497</v>
      </c>
      <c r="C398" s="2223"/>
      <c r="D398" s="2223">
        <f>COUNTIF(TableDiv[Agency],E398)</f>
        <v>31</v>
      </c>
      <c r="E398" s="2230" t="str" cm="1">
        <f t="array" ref="E398">IFERROR(INDEX(TableDiv[Agency],MATCH(0,INDEX(COUNTIF($E$7:E397,TableDiv[Agency]),),0)),"")</f>
        <v/>
      </c>
      <c r="F398" s="2223" cm="1">
        <f t="array" ref="F398">IF($D398&lt;COLUMNS($F$7:F$7),"",INDEX(TableDiv[[GASB]:[GASB]],_xlfn.AGGREGATE(15,3,(TableDiv[[Agency]:[Agency]]=$E398)/(TableDiv[[Agency]:[Agency]]=$E398)*(ROW(TableDiv[Agency])-ROW(TableDiv[[#Headers],[Agency]])),COLUMNS($F$7:F$7))))</f>
        <v>0</v>
      </c>
      <c r="G398" s="2223" cm="1">
        <f t="array" ref="G398">IF($D398&lt;COLUMNS($F$7:G$7),"",INDEX(TableDiv[[GASB]:[GASB]],_xlfn.AGGREGATE(15,3,(TableDiv[[Agency]:[Agency]]=$E398)/(TableDiv[[Agency]:[Agency]]=$E398)*(ROW(TableDiv[Agency])-ROW(TableDiv[[#Headers],[Agency]])),COLUMNS($F$7:G$7))))</f>
        <v>0</v>
      </c>
      <c r="H398" s="2223" cm="1">
        <f t="array" ref="H398">IF($D398&lt;COLUMNS($F$7:H$7),"",INDEX(TableDiv[[GASB]:[GASB]],_xlfn.AGGREGATE(15,3,(TableDiv[[Agency]:[Agency]]=$E398)/(TableDiv[[Agency]:[Agency]]=$E398)*(ROW(TableDiv[Agency])-ROW(TableDiv[[#Headers],[Agency]])),COLUMNS($F$7:H$7))))</f>
        <v>0</v>
      </c>
      <c r="I398" s="2223" cm="1">
        <f t="array" ref="I398">IF($D398&lt;COLUMNS($F$7:I$7),"",INDEX(TableDiv[[GASB]:[GASB]],_xlfn.AGGREGATE(15,3,(TableDiv[[Agency]:[Agency]]=$E398)/(TableDiv[[Agency]:[Agency]]=$E398)*(ROW(TableDiv[Agency])-ROW(TableDiv[[#Headers],[Agency]])),COLUMNS($F$7:I$7))))</f>
        <v>0</v>
      </c>
      <c r="J398" s="2223" cm="1">
        <f t="array" ref="J398">IF($D398&lt;COLUMNS($F$7:J$7),"",INDEX(TableDiv[[GASB]:[GASB]],_xlfn.AGGREGATE(15,3,(TableDiv[[Agency]:[Agency]]=$E398)/(TableDiv[[Agency]:[Agency]]=$E398)*(ROW(TableDiv[Agency])-ROW(TableDiv[[#Headers],[Agency]])),COLUMNS($F$7:J$7))))</f>
        <v>0</v>
      </c>
      <c r="K398" s="2223" cm="1">
        <f t="array" ref="K398">IF($D398&lt;COLUMNS($F$7:K$7),"",INDEX(TableDiv[[GASB]:[GASB]],_xlfn.AGGREGATE(15,3,(TableDiv[[Agency]:[Agency]]=$E398)/(TableDiv[[Agency]:[Agency]]=$E398)*(ROW(TableDiv[Agency])-ROW(TableDiv[[#Headers],[Agency]])),COLUMNS($F$7:K$7))))</f>
        <v>0</v>
      </c>
      <c r="L398" s="2223" cm="1">
        <f t="array" ref="L398">IF($D398&lt;COLUMNS($F$7:L$7),"",INDEX(TableDiv[[GASB]:[GASB]],_xlfn.AGGREGATE(15,3,(TableDiv[[Agency]:[Agency]]=$E398)/(TableDiv[[Agency]:[Agency]]=$E398)*(ROW(TableDiv[Agency])-ROW(TableDiv[[#Headers],[Agency]])),COLUMNS($F$7:L$7))))</f>
        <v>0</v>
      </c>
      <c r="M398" s="2223" cm="1">
        <f t="array" ref="M398">IF($D398&lt;COLUMNS($F$7:M$7),"",INDEX(TableDiv[[GASB]:[GASB]],_xlfn.AGGREGATE(15,3,(TableDiv[[Agency]:[Agency]]=$E398)/(TableDiv[[Agency]:[Agency]]=$E398)*(ROW(TableDiv[Agency])-ROW(TableDiv[[#Headers],[Agency]])),COLUMNS($F$7:M$7))))</f>
        <v>0</v>
      </c>
      <c r="N398" s="2223" cm="1">
        <f t="array" ref="N398">IF($D398&lt;COLUMNS($F$7:N$7),"",INDEX(TableDiv[[GASB]:[GASB]],_xlfn.AGGREGATE(15,3,(TableDiv[[Agency]:[Agency]]=$E398)/(TableDiv[[Agency]:[Agency]]=$E398)*(ROW(TableDiv[Agency])-ROW(TableDiv[[#Headers],[Agency]])),COLUMNS($F$7:N$7))))</f>
        <v>0</v>
      </c>
      <c r="O398" s="2223" cm="1">
        <f t="array" ref="O398">IF($D398&lt;COLUMNS($F$7:O$7),"",INDEX(TableDiv[[GASB]:[GASB]],_xlfn.AGGREGATE(15,3,(TableDiv[[Agency]:[Agency]]=$E398)/(TableDiv[[Agency]:[Agency]]=$E398)*(ROW(TableDiv[Agency])-ROW(TableDiv[[#Headers],[Agency]])),COLUMNS($F$7:O$7))))</f>
        <v>0</v>
      </c>
      <c r="P398" s="2223" cm="1">
        <f t="array" ref="P398">IF($D398&lt;COLUMNS($F$7:P$7),"",INDEX(TableDiv[[GASB]:[GASB]],_xlfn.AGGREGATE(15,3,(TableDiv[[Agency]:[Agency]]=$E398)/(TableDiv[[Agency]:[Agency]]=$E398)*(ROW(TableDiv[Agency])-ROW(TableDiv[[#Headers],[Agency]])),COLUMNS($F$7:P$7))))</f>
        <v>0</v>
      </c>
      <c r="Q398" s="2223" cm="1">
        <f t="array" ref="Q398">IF($D398&lt;COLUMNS($F$7:Q$7),"",INDEX(TableDiv[[GASB]:[GASB]],_xlfn.AGGREGATE(15,3,(TableDiv[[Agency]:[Agency]]=$E398)/(TableDiv[[Agency]:[Agency]]=$E398)*(ROW(TableDiv[Agency])-ROW(TableDiv[[#Headers],[Agency]])),COLUMNS($F$7:Q$7))))</f>
        <v>0</v>
      </c>
      <c r="R398" s="2223" cm="1">
        <f t="array" ref="R398">IF($D398&lt;COLUMNS($F$7:R$7),"",INDEX(TableDiv[[GASB]:[GASB]],_xlfn.AGGREGATE(15,3,(TableDiv[[Agency]:[Agency]]=$E398)/(TableDiv[[Agency]:[Agency]]=$E398)*(ROW(TableDiv[Agency])-ROW(TableDiv[[#Headers],[Agency]])),COLUMNS($F$7:R$7))))</f>
        <v>0</v>
      </c>
      <c r="S398" s="2223" cm="1">
        <f t="array" ref="S398">IF($D398&lt;COLUMNS($F$7:S$7),"",INDEX(TableDiv[[GASB]:[GASB]],_xlfn.AGGREGATE(15,3,(TableDiv[[Agency]:[Agency]]=$E398)/(TableDiv[[Agency]:[Agency]]=$E398)*(ROW(TableDiv[Agency])-ROW(TableDiv[[#Headers],[Agency]])),COLUMNS($F$7:S$7))))</f>
        <v>0</v>
      </c>
      <c r="T398" s="2223" cm="1">
        <f t="array" ref="T398">IF($D398&lt;COLUMNS($F$7:T$7),"",INDEX(TableDiv[[GASB]:[GASB]],_xlfn.AGGREGATE(15,3,(TableDiv[[Agency]:[Agency]]=$E398)/(TableDiv[[Agency]:[Agency]]=$E398)*(ROW(TableDiv[Agency])-ROW(TableDiv[[#Headers],[Agency]])),COLUMNS($F$7:T$7))))</f>
        <v>0</v>
      </c>
      <c r="U398" s="2223" cm="1">
        <f t="array" ref="U398">IF($D398&lt;COLUMNS($F$7:U$7),"",INDEX(TableDiv[[GASB]:[GASB]],_xlfn.AGGREGATE(15,3,(TableDiv[[Agency]:[Agency]]=$E398)/(TableDiv[[Agency]:[Agency]]=$E398)*(ROW(TableDiv[Agency])-ROW(TableDiv[[#Headers],[Agency]])),COLUMNS($F$7:U$7))))</f>
        <v>0</v>
      </c>
      <c r="V398" s="2223" cm="1">
        <f t="array" ref="V398">IF($D398&lt;COLUMNS($F$7:V$7),"",INDEX(TableDiv[[GASB]:[GASB]],_xlfn.AGGREGATE(15,3,(TableDiv[[Agency]:[Agency]]=$E398)/(TableDiv[[Agency]:[Agency]]=$E398)*(ROW(TableDiv[Agency])-ROW(TableDiv[[#Headers],[Agency]])),COLUMNS($F$7:V$7))))</f>
        <v>0</v>
      </c>
      <c r="W398" s="2223" cm="1">
        <f t="array" ref="W398">IF($D398&lt;COLUMNS($F$7:W$7),"",INDEX(TableDiv[[GASB]:[GASB]],_xlfn.AGGREGATE(15,3,(TableDiv[[Agency]:[Agency]]=$E398)/(TableDiv[[Agency]:[Agency]]=$E398)*(ROW(TableDiv[Agency])-ROW(TableDiv[[#Headers],[Agency]])),COLUMNS($F$7:W$7))))</f>
        <v>0</v>
      </c>
      <c r="X398" s="2223" cm="1">
        <f t="array" ref="X398">IF($D398&lt;COLUMNS($F$7:X$7),"",INDEX(TableDiv[[GASB]:[GASB]],_xlfn.AGGREGATE(15,3,(TableDiv[[Agency]:[Agency]]=$E398)/(TableDiv[[Agency]:[Agency]]=$E398)*(ROW(TableDiv[Agency])-ROW(TableDiv[[#Headers],[Agency]])),COLUMNS($F$7:X$7))))</f>
        <v>0</v>
      </c>
      <c r="Y398" s="2223" cm="1">
        <f t="array" ref="Y398">IF($D398&lt;COLUMNS($F$7:Y$7),"",INDEX(TableDiv[[GASB]:[GASB]],_xlfn.AGGREGATE(15,3,(TableDiv[[Agency]:[Agency]]=$E398)/(TableDiv[[Agency]:[Agency]]=$E398)*(ROW(TableDiv[Agency])-ROW(TableDiv[[#Headers],[Agency]])),COLUMNS($F$7:Y$7))))</f>
        <v>0</v>
      </c>
      <c r="Z398" s="2223" cm="1">
        <f t="array" ref="Z398">IF($D398&lt;COLUMNS($F$7:Z$7),"",INDEX(TableDiv[[GASB]:[GASB]],_xlfn.AGGREGATE(15,3,(TableDiv[[Agency]:[Agency]]=$E398)/(TableDiv[[Agency]:[Agency]]=$E398)*(ROW(TableDiv[Agency])-ROW(TableDiv[[#Headers],[Agency]])),COLUMNS($F$7:Z$7))))</f>
        <v>0</v>
      </c>
      <c r="AA398" s="2223" cm="1">
        <f t="array" ref="AA398">IF($D398&lt;COLUMNS($F$7:AA$7),"",INDEX(TableDiv[[GASB]:[GASB]],_xlfn.AGGREGATE(15,3,(TableDiv[[Agency]:[Agency]]=$E398)/(TableDiv[[Agency]:[Agency]]=$E398)*(ROW(TableDiv[Agency])-ROW(TableDiv[[#Headers],[Agency]])),COLUMNS($F$7:AA$7))))</f>
        <v>0</v>
      </c>
      <c r="AB398" s="2223" cm="1">
        <f t="array" ref="AB398">IF($D398&lt;COLUMNS($F$7:AB$7),"",INDEX(TableDiv[[GASB]:[GASB]],_xlfn.AGGREGATE(15,3,(TableDiv[[Agency]:[Agency]]=$E398)/(TableDiv[[Agency]:[Agency]]=$E398)*(ROW(TableDiv[Agency])-ROW(TableDiv[[#Headers],[Agency]])),COLUMNS($F$7:AB$7))))</f>
        <v>0</v>
      </c>
      <c r="AC398" s="2223" cm="1">
        <f t="array" ref="AC398">IF($D398&lt;COLUMNS($F$7:AC$7),"",INDEX(TableDiv[[GASB]:[GASB]],_xlfn.AGGREGATE(15,3,(TableDiv[[Agency]:[Agency]]=$E398)/(TableDiv[[Agency]:[Agency]]=$E398)*(ROW(TableDiv[Agency])-ROW(TableDiv[[#Headers],[Agency]])),COLUMNS($F$7:AC$7))))</f>
        <v>0</v>
      </c>
      <c r="AD398" s="2223" cm="1">
        <f t="array" ref="AD398">IF($D398&lt;COLUMNS($F$7:AD$7),"",INDEX(TableDiv[[GASB]:[GASB]],_xlfn.AGGREGATE(15,3,(TableDiv[[Agency]:[Agency]]=$E398)/(TableDiv[[Agency]:[Agency]]=$E398)*(ROW(TableDiv[Agency])-ROW(TableDiv[[#Headers],[Agency]])),COLUMNS($F$7:AD$7))))</f>
        <v>0</v>
      </c>
      <c r="AE398" s="2223" cm="1">
        <f t="array" ref="AE398">IF($D398&lt;COLUMNS($F$7:AE$7),"",INDEX(TableDiv[[GASB]:[GASB]],_xlfn.AGGREGATE(15,3,(TableDiv[[Agency]:[Agency]]=$E398)/(TableDiv[[Agency]:[Agency]]=$E398)*(ROW(TableDiv[Agency])-ROW(TableDiv[[#Headers],[Agency]])),COLUMNS($F$7:AE$7))))</f>
        <v>0</v>
      </c>
      <c r="AF398" s="2223" cm="1">
        <f t="array" ref="AF398">IF($D398&lt;COLUMNS($F$7:AF$7),"",INDEX(TableDiv[[GASB]:[GASB]],_xlfn.AGGREGATE(15,3,(TableDiv[[Agency]:[Agency]]=$E398)/(TableDiv[[Agency]:[Agency]]=$E398)*(ROW(TableDiv[Agency])-ROW(TableDiv[[#Headers],[Agency]])),COLUMNS($F$7:AF$7))))</f>
        <v>0</v>
      </c>
      <c r="AG398" s="2223" cm="1">
        <f t="array" ref="AG398">IF($D398&lt;COLUMNS($F$7:AG$7),"",INDEX(TableDiv[[GASB]:[GASB]],_xlfn.AGGREGATE(15,3,(TableDiv[[Agency]:[Agency]]=$E398)/(TableDiv[[Agency]:[Agency]]=$E398)*(ROW(TableDiv[Agency])-ROW(TableDiv[[#Headers],[Agency]])),COLUMNS($F$7:AG$7))))</f>
        <v>0</v>
      </c>
      <c r="AH398" s="2223" cm="1">
        <f t="array" ref="AH398">IF($D398&lt;COLUMNS($F$7:AH$7),"",INDEX(TableDiv[[GASB]:[GASB]],_xlfn.AGGREGATE(15,3,(TableDiv[[Agency]:[Agency]]=$E398)/(TableDiv[[Agency]:[Agency]]=$E398)*(ROW(TableDiv[Agency])-ROW(TableDiv[[#Headers],[Agency]])),COLUMNS($F$7:AH$7))))</f>
        <v>0</v>
      </c>
      <c r="AI398" s="2223" cm="1">
        <f t="array" ref="AI398">IF($D398&lt;COLUMNS($F$7:AI$7),"",INDEX(TableDiv[[GASB]:[GASB]],_xlfn.AGGREGATE(15,3,(TableDiv[[Agency]:[Agency]]=$E398)/(TableDiv[[Agency]:[Agency]]=$E398)*(ROW(TableDiv[Agency])-ROW(TableDiv[[#Headers],[Agency]])),COLUMNS($F$7:AI$7))))</f>
        <v>0</v>
      </c>
      <c r="AJ398" s="2223" cm="1">
        <f t="array" ref="AJ398">IF($D398&lt;COLUMNS($F$7:AJ$7),"",INDEX(TableDiv[[GASB]:[GASB]],_xlfn.AGGREGATE(15,3,(TableDiv[[Agency]:[Agency]]=$E398)/(TableDiv[[Agency]:[Agency]]=$E398)*(ROW(TableDiv[Agency])-ROW(TableDiv[[#Headers],[Agency]])),COLUMNS($F$7:AJ$7))))</f>
        <v>0</v>
      </c>
      <c r="AK398" s="2223" t="str" cm="1">
        <f t="array" ref="AK398">IF($D398&lt;COLUMNS($F$7:AK$7),"",INDEX(TableDiv[[GASB]:[GASB]],_xlfn.AGGREGATE(15,3,(TableDiv[[Agency]:[Agency]]=$E398)/(TableDiv[[Agency]:[Agency]]=$E398)*(ROW(TableDiv[Agency])-ROW(TableDiv[[#Headers],[Agency]])),COLUMNS($F$7:AK$7))))</f>
        <v/>
      </c>
      <c r="AL398" s="2223" t="str" cm="1">
        <f t="array" ref="AL398">IF($D398&lt;COLUMNS($F$7:AL$7),"",INDEX(TableDiv[[GASB]:[GASB]],_xlfn.AGGREGATE(15,3,(TableDiv[[Agency]:[Agency]]=$E398)/(TableDiv[[Agency]:[Agency]]=$E398)*(ROW(TableDiv[Agency])-ROW(TableDiv[[#Headers],[Agency]])),COLUMNS($F$7:AL$7))))</f>
        <v/>
      </c>
      <c r="AM398" s="2223" t="str" cm="1">
        <f t="array" ref="AM398">IF($D398&lt;COLUMNS($F$7:AM$7),"",INDEX(TableDiv[[GASB]:[GASB]],_xlfn.AGGREGATE(15,3,(TableDiv[[Agency]:[Agency]]=$E398)/(TableDiv[[Agency]:[Agency]]=$E398)*(ROW(TableDiv[Agency])-ROW(TableDiv[[#Headers],[Agency]])),COLUMNS($F$7:AM$7))))</f>
        <v/>
      </c>
      <c r="AN398" s="2223"/>
      <c r="AO398" s="2223"/>
      <c r="AP398" s="2223"/>
      <c r="AQ398" s="2223"/>
      <c r="AR398" s="2223"/>
      <c r="AS398" s="2223"/>
    </row>
    <row r="399" spans="1:45" ht="15" x14ac:dyDescent="0.25">
      <c r="A399" s="2219" t="s">
        <v>6516</v>
      </c>
      <c r="B399" s="2219" t="s">
        <v>6497</v>
      </c>
      <c r="C399" s="2223"/>
      <c r="D399" s="2223">
        <f>COUNTIF(TableDiv[Agency],E399)</f>
        <v>31</v>
      </c>
      <c r="E399" s="2230" t="str" cm="1">
        <f t="array" ref="E399">IFERROR(INDEX(TableDiv[Agency],MATCH(0,INDEX(COUNTIF($E$7:E398,TableDiv[Agency]),),0)),"")</f>
        <v/>
      </c>
      <c r="F399" s="2223" cm="1">
        <f t="array" ref="F399">IF($D399&lt;COLUMNS($F$7:F$7),"",INDEX(TableDiv[[GASB]:[GASB]],_xlfn.AGGREGATE(15,3,(TableDiv[[Agency]:[Agency]]=$E399)/(TableDiv[[Agency]:[Agency]]=$E399)*(ROW(TableDiv[Agency])-ROW(TableDiv[[#Headers],[Agency]])),COLUMNS($F$7:F$7))))</f>
        <v>0</v>
      </c>
      <c r="G399" s="2223" cm="1">
        <f t="array" ref="G399">IF($D399&lt;COLUMNS($F$7:G$7),"",INDEX(TableDiv[[GASB]:[GASB]],_xlfn.AGGREGATE(15,3,(TableDiv[[Agency]:[Agency]]=$E399)/(TableDiv[[Agency]:[Agency]]=$E399)*(ROW(TableDiv[Agency])-ROW(TableDiv[[#Headers],[Agency]])),COLUMNS($F$7:G$7))))</f>
        <v>0</v>
      </c>
      <c r="H399" s="2223" cm="1">
        <f t="array" ref="H399">IF($D399&lt;COLUMNS($F$7:H$7),"",INDEX(TableDiv[[GASB]:[GASB]],_xlfn.AGGREGATE(15,3,(TableDiv[[Agency]:[Agency]]=$E399)/(TableDiv[[Agency]:[Agency]]=$E399)*(ROW(TableDiv[Agency])-ROW(TableDiv[[#Headers],[Agency]])),COLUMNS($F$7:H$7))))</f>
        <v>0</v>
      </c>
      <c r="I399" s="2223" cm="1">
        <f t="array" ref="I399">IF($D399&lt;COLUMNS($F$7:I$7),"",INDEX(TableDiv[[GASB]:[GASB]],_xlfn.AGGREGATE(15,3,(TableDiv[[Agency]:[Agency]]=$E399)/(TableDiv[[Agency]:[Agency]]=$E399)*(ROW(TableDiv[Agency])-ROW(TableDiv[[#Headers],[Agency]])),COLUMNS($F$7:I$7))))</f>
        <v>0</v>
      </c>
      <c r="J399" s="2223" cm="1">
        <f t="array" ref="J399">IF($D399&lt;COLUMNS($F$7:J$7),"",INDEX(TableDiv[[GASB]:[GASB]],_xlfn.AGGREGATE(15,3,(TableDiv[[Agency]:[Agency]]=$E399)/(TableDiv[[Agency]:[Agency]]=$E399)*(ROW(TableDiv[Agency])-ROW(TableDiv[[#Headers],[Agency]])),COLUMNS($F$7:J$7))))</f>
        <v>0</v>
      </c>
      <c r="K399" s="2223" cm="1">
        <f t="array" ref="K399">IF($D399&lt;COLUMNS($F$7:K$7),"",INDEX(TableDiv[[GASB]:[GASB]],_xlfn.AGGREGATE(15,3,(TableDiv[[Agency]:[Agency]]=$E399)/(TableDiv[[Agency]:[Agency]]=$E399)*(ROW(TableDiv[Agency])-ROW(TableDiv[[#Headers],[Agency]])),COLUMNS($F$7:K$7))))</f>
        <v>0</v>
      </c>
      <c r="L399" s="2223" cm="1">
        <f t="array" ref="L399">IF($D399&lt;COLUMNS($F$7:L$7),"",INDEX(TableDiv[[GASB]:[GASB]],_xlfn.AGGREGATE(15,3,(TableDiv[[Agency]:[Agency]]=$E399)/(TableDiv[[Agency]:[Agency]]=$E399)*(ROW(TableDiv[Agency])-ROW(TableDiv[[#Headers],[Agency]])),COLUMNS($F$7:L$7))))</f>
        <v>0</v>
      </c>
      <c r="M399" s="2223" cm="1">
        <f t="array" ref="M399">IF($D399&lt;COLUMNS($F$7:M$7),"",INDEX(TableDiv[[GASB]:[GASB]],_xlfn.AGGREGATE(15,3,(TableDiv[[Agency]:[Agency]]=$E399)/(TableDiv[[Agency]:[Agency]]=$E399)*(ROW(TableDiv[Agency])-ROW(TableDiv[[#Headers],[Agency]])),COLUMNS($F$7:M$7))))</f>
        <v>0</v>
      </c>
      <c r="N399" s="2223" cm="1">
        <f t="array" ref="N399">IF($D399&lt;COLUMNS($F$7:N$7),"",INDEX(TableDiv[[GASB]:[GASB]],_xlfn.AGGREGATE(15,3,(TableDiv[[Agency]:[Agency]]=$E399)/(TableDiv[[Agency]:[Agency]]=$E399)*(ROW(TableDiv[Agency])-ROW(TableDiv[[#Headers],[Agency]])),COLUMNS($F$7:N$7))))</f>
        <v>0</v>
      </c>
      <c r="O399" s="2223" cm="1">
        <f t="array" ref="O399">IF($D399&lt;COLUMNS($F$7:O$7),"",INDEX(TableDiv[[GASB]:[GASB]],_xlfn.AGGREGATE(15,3,(TableDiv[[Agency]:[Agency]]=$E399)/(TableDiv[[Agency]:[Agency]]=$E399)*(ROW(TableDiv[Agency])-ROW(TableDiv[[#Headers],[Agency]])),COLUMNS($F$7:O$7))))</f>
        <v>0</v>
      </c>
      <c r="P399" s="2223" cm="1">
        <f t="array" ref="P399">IF($D399&lt;COLUMNS($F$7:P$7),"",INDEX(TableDiv[[GASB]:[GASB]],_xlfn.AGGREGATE(15,3,(TableDiv[[Agency]:[Agency]]=$E399)/(TableDiv[[Agency]:[Agency]]=$E399)*(ROW(TableDiv[Agency])-ROW(TableDiv[[#Headers],[Agency]])),COLUMNS($F$7:P$7))))</f>
        <v>0</v>
      </c>
      <c r="Q399" s="2223" cm="1">
        <f t="array" ref="Q399">IF($D399&lt;COLUMNS($F$7:Q$7),"",INDEX(TableDiv[[GASB]:[GASB]],_xlfn.AGGREGATE(15,3,(TableDiv[[Agency]:[Agency]]=$E399)/(TableDiv[[Agency]:[Agency]]=$E399)*(ROW(TableDiv[Agency])-ROW(TableDiv[[#Headers],[Agency]])),COLUMNS($F$7:Q$7))))</f>
        <v>0</v>
      </c>
      <c r="R399" s="2223" cm="1">
        <f t="array" ref="R399">IF($D399&lt;COLUMNS($F$7:R$7),"",INDEX(TableDiv[[GASB]:[GASB]],_xlfn.AGGREGATE(15,3,(TableDiv[[Agency]:[Agency]]=$E399)/(TableDiv[[Agency]:[Agency]]=$E399)*(ROW(TableDiv[Agency])-ROW(TableDiv[[#Headers],[Agency]])),COLUMNS($F$7:R$7))))</f>
        <v>0</v>
      </c>
      <c r="S399" s="2223" cm="1">
        <f t="array" ref="S399">IF($D399&lt;COLUMNS($F$7:S$7),"",INDEX(TableDiv[[GASB]:[GASB]],_xlfn.AGGREGATE(15,3,(TableDiv[[Agency]:[Agency]]=$E399)/(TableDiv[[Agency]:[Agency]]=$E399)*(ROW(TableDiv[Agency])-ROW(TableDiv[[#Headers],[Agency]])),COLUMNS($F$7:S$7))))</f>
        <v>0</v>
      </c>
      <c r="T399" s="2223" cm="1">
        <f t="array" ref="T399">IF($D399&lt;COLUMNS($F$7:T$7),"",INDEX(TableDiv[[GASB]:[GASB]],_xlfn.AGGREGATE(15,3,(TableDiv[[Agency]:[Agency]]=$E399)/(TableDiv[[Agency]:[Agency]]=$E399)*(ROW(TableDiv[Agency])-ROW(TableDiv[[#Headers],[Agency]])),COLUMNS($F$7:T$7))))</f>
        <v>0</v>
      </c>
      <c r="U399" s="2223" cm="1">
        <f t="array" ref="U399">IF($D399&lt;COLUMNS($F$7:U$7),"",INDEX(TableDiv[[GASB]:[GASB]],_xlfn.AGGREGATE(15,3,(TableDiv[[Agency]:[Agency]]=$E399)/(TableDiv[[Agency]:[Agency]]=$E399)*(ROW(TableDiv[Agency])-ROW(TableDiv[[#Headers],[Agency]])),COLUMNS($F$7:U$7))))</f>
        <v>0</v>
      </c>
      <c r="V399" s="2223" cm="1">
        <f t="array" ref="V399">IF($D399&lt;COLUMNS($F$7:V$7),"",INDEX(TableDiv[[GASB]:[GASB]],_xlfn.AGGREGATE(15,3,(TableDiv[[Agency]:[Agency]]=$E399)/(TableDiv[[Agency]:[Agency]]=$E399)*(ROW(TableDiv[Agency])-ROW(TableDiv[[#Headers],[Agency]])),COLUMNS($F$7:V$7))))</f>
        <v>0</v>
      </c>
      <c r="W399" s="2223" cm="1">
        <f t="array" ref="W399">IF($D399&lt;COLUMNS($F$7:W$7),"",INDEX(TableDiv[[GASB]:[GASB]],_xlfn.AGGREGATE(15,3,(TableDiv[[Agency]:[Agency]]=$E399)/(TableDiv[[Agency]:[Agency]]=$E399)*(ROW(TableDiv[Agency])-ROW(TableDiv[[#Headers],[Agency]])),COLUMNS($F$7:W$7))))</f>
        <v>0</v>
      </c>
      <c r="X399" s="2223" cm="1">
        <f t="array" ref="X399">IF($D399&lt;COLUMNS($F$7:X$7),"",INDEX(TableDiv[[GASB]:[GASB]],_xlfn.AGGREGATE(15,3,(TableDiv[[Agency]:[Agency]]=$E399)/(TableDiv[[Agency]:[Agency]]=$E399)*(ROW(TableDiv[Agency])-ROW(TableDiv[[#Headers],[Agency]])),COLUMNS($F$7:X$7))))</f>
        <v>0</v>
      </c>
      <c r="Y399" s="2223" cm="1">
        <f t="array" ref="Y399">IF($D399&lt;COLUMNS($F$7:Y$7),"",INDEX(TableDiv[[GASB]:[GASB]],_xlfn.AGGREGATE(15,3,(TableDiv[[Agency]:[Agency]]=$E399)/(TableDiv[[Agency]:[Agency]]=$E399)*(ROW(TableDiv[Agency])-ROW(TableDiv[[#Headers],[Agency]])),COLUMNS($F$7:Y$7))))</f>
        <v>0</v>
      </c>
      <c r="Z399" s="2223" cm="1">
        <f t="array" ref="Z399">IF($D399&lt;COLUMNS($F$7:Z$7),"",INDEX(TableDiv[[GASB]:[GASB]],_xlfn.AGGREGATE(15,3,(TableDiv[[Agency]:[Agency]]=$E399)/(TableDiv[[Agency]:[Agency]]=$E399)*(ROW(TableDiv[Agency])-ROW(TableDiv[[#Headers],[Agency]])),COLUMNS($F$7:Z$7))))</f>
        <v>0</v>
      </c>
      <c r="AA399" s="2223" cm="1">
        <f t="array" ref="AA399">IF($D399&lt;COLUMNS($F$7:AA$7),"",INDEX(TableDiv[[GASB]:[GASB]],_xlfn.AGGREGATE(15,3,(TableDiv[[Agency]:[Agency]]=$E399)/(TableDiv[[Agency]:[Agency]]=$E399)*(ROW(TableDiv[Agency])-ROW(TableDiv[[#Headers],[Agency]])),COLUMNS($F$7:AA$7))))</f>
        <v>0</v>
      </c>
      <c r="AB399" s="2223" cm="1">
        <f t="array" ref="AB399">IF($D399&lt;COLUMNS($F$7:AB$7),"",INDEX(TableDiv[[GASB]:[GASB]],_xlfn.AGGREGATE(15,3,(TableDiv[[Agency]:[Agency]]=$E399)/(TableDiv[[Agency]:[Agency]]=$E399)*(ROW(TableDiv[Agency])-ROW(TableDiv[[#Headers],[Agency]])),COLUMNS($F$7:AB$7))))</f>
        <v>0</v>
      </c>
      <c r="AC399" s="2223" cm="1">
        <f t="array" ref="AC399">IF($D399&lt;COLUMNS($F$7:AC$7),"",INDEX(TableDiv[[GASB]:[GASB]],_xlfn.AGGREGATE(15,3,(TableDiv[[Agency]:[Agency]]=$E399)/(TableDiv[[Agency]:[Agency]]=$E399)*(ROW(TableDiv[Agency])-ROW(TableDiv[[#Headers],[Agency]])),COLUMNS($F$7:AC$7))))</f>
        <v>0</v>
      </c>
      <c r="AD399" s="2223" cm="1">
        <f t="array" ref="AD399">IF($D399&lt;COLUMNS($F$7:AD$7),"",INDEX(TableDiv[[GASB]:[GASB]],_xlfn.AGGREGATE(15,3,(TableDiv[[Agency]:[Agency]]=$E399)/(TableDiv[[Agency]:[Agency]]=$E399)*(ROW(TableDiv[Agency])-ROW(TableDiv[[#Headers],[Agency]])),COLUMNS($F$7:AD$7))))</f>
        <v>0</v>
      </c>
      <c r="AE399" s="2223" cm="1">
        <f t="array" ref="AE399">IF($D399&lt;COLUMNS($F$7:AE$7),"",INDEX(TableDiv[[GASB]:[GASB]],_xlfn.AGGREGATE(15,3,(TableDiv[[Agency]:[Agency]]=$E399)/(TableDiv[[Agency]:[Agency]]=$E399)*(ROW(TableDiv[Agency])-ROW(TableDiv[[#Headers],[Agency]])),COLUMNS($F$7:AE$7))))</f>
        <v>0</v>
      </c>
      <c r="AF399" s="2223" cm="1">
        <f t="array" ref="AF399">IF($D399&lt;COLUMNS($F$7:AF$7),"",INDEX(TableDiv[[GASB]:[GASB]],_xlfn.AGGREGATE(15,3,(TableDiv[[Agency]:[Agency]]=$E399)/(TableDiv[[Agency]:[Agency]]=$E399)*(ROW(TableDiv[Agency])-ROW(TableDiv[[#Headers],[Agency]])),COLUMNS($F$7:AF$7))))</f>
        <v>0</v>
      </c>
      <c r="AG399" s="2223" cm="1">
        <f t="array" ref="AG399">IF($D399&lt;COLUMNS($F$7:AG$7),"",INDEX(TableDiv[[GASB]:[GASB]],_xlfn.AGGREGATE(15,3,(TableDiv[[Agency]:[Agency]]=$E399)/(TableDiv[[Agency]:[Agency]]=$E399)*(ROW(TableDiv[Agency])-ROW(TableDiv[[#Headers],[Agency]])),COLUMNS($F$7:AG$7))))</f>
        <v>0</v>
      </c>
      <c r="AH399" s="2223" cm="1">
        <f t="array" ref="AH399">IF($D399&lt;COLUMNS($F$7:AH$7),"",INDEX(TableDiv[[GASB]:[GASB]],_xlfn.AGGREGATE(15,3,(TableDiv[[Agency]:[Agency]]=$E399)/(TableDiv[[Agency]:[Agency]]=$E399)*(ROW(TableDiv[Agency])-ROW(TableDiv[[#Headers],[Agency]])),COLUMNS($F$7:AH$7))))</f>
        <v>0</v>
      </c>
      <c r="AI399" s="2223" cm="1">
        <f t="array" ref="AI399">IF($D399&lt;COLUMNS($F$7:AI$7),"",INDEX(TableDiv[[GASB]:[GASB]],_xlfn.AGGREGATE(15,3,(TableDiv[[Agency]:[Agency]]=$E399)/(TableDiv[[Agency]:[Agency]]=$E399)*(ROW(TableDiv[Agency])-ROW(TableDiv[[#Headers],[Agency]])),COLUMNS($F$7:AI$7))))</f>
        <v>0</v>
      </c>
      <c r="AJ399" s="2223" cm="1">
        <f t="array" ref="AJ399">IF($D399&lt;COLUMNS($F$7:AJ$7),"",INDEX(TableDiv[[GASB]:[GASB]],_xlfn.AGGREGATE(15,3,(TableDiv[[Agency]:[Agency]]=$E399)/(TableDiv[[Agency]:[Agency]]=$E399)*(ROW(TableDiv[Agency])-ROW(TableDiv[[#Headers],[Agency]])),COLUMNS($F$7:AJ$7))))</f>
        <v>0</v>
      </c>
      <c r="AK399" s="2223" t="str" cm="1">
        <f t="array" ref="AK399">IF($D399&lt;COLUMNS($F$7:AK$7),"",INDEX(TableDiv[[GASB]:[GASB]],_xlfn.AGGREGATE(15,3,(TableDiv[[Agency]:[Agency]]=$E399)/(TableDiv[[Agency]:[Agency]]=$E399)*(ROW(TableDiv[Agency])-ROW(TableDiv[[#Headers],[Agency]])),COLUMNS($F$7:AK$7))))</f>
        <v/>
      </c>
      <c r="AL399" s="2223" t="str" cm="1">
        <f t="array" ref="AL399">IF($D399&lt;COLUMNS($F$7:AL$7),"",INDEX(TableDiv[[GASB]:[GASB]],_xlfn.AGGREGATE(15,3,(TableDiv[[Agency]:[Agency]]=$E399)/(TableDiv[[Agency]:[Agency]]=$E399)*(ROW(TableDiv[Agency])-ROW(TableDiv[[#Headers],[Agency]])),COLUMNS($F$7:AL$7))))</f>
        <v/>
      </c>
      <c r="AM399" s="2223" t="str" cm="1">
        <f t="array" ref="AM399">IF($D399&lt;COLUMNS($F$7:AM$7),"",INDEX(TableDiv[[GASB]:[GASB]],_xlfn.AGGREGATE(15,3,(TableDiv[[Agency]:[Agency]]=$E399)/(TableDiv[[Agency]:[Agency]]=$E399)*(ROW(TableDiv[Agency])-ROW(TableDiv[[#Headers],[Agency]])),COLUMNS($F$7:AM$7))))</f>
        <v/>
      </c>
      <c r="AN399" s="2223"/>
      <c r="AO399" s="2223"/>
      <c r="AP399" s="2223"/>
      <c r="AQ399" s="2223"/>
      <c r="AR399" s="2223"/>
      <c r="AS399" s="2223"/>
    </row>
    <row r="400" spans="1:45" ht="15" x14ac:dyDescent="0.25">
      <c r="A400" s="2219" t="s">
        <v>6517</v>
      </c>
      <c r="B400" s="2219" t="s">
        <v>6497</v>
      </c>
      <c r="C400" s="2223"/>
      <c r="D400" s="2223">
        <f>COUNTIF(TableDiv[Agency],E400)</f>
        <v>31</v>
      </c>
      <c r="E400" s="2230" t="str" cm="1">
        <f t="array" ref="E400">IFERROR(INDEX(TableDiv[Agency],MATCH(0,INDEX(COUNTIF($E$7:E399,TableDiv[Agency]),),0)),"")</f>
        <v/>
      </c>
      <c r="F400" s="2223" cm="1">
        <f t="array" ref="F400">IF($D400&lt;COLUMNS($F$7:F$7),"",INDEX(TableDiv[[GASB]:[GASB]],_xlfn.AGGREGATE(15,3,(TableDiv[[Agency]:[Agency]]=$E400)/(TableDiv[[Agency]:[Agency]]=$E400)*(ROW(TableDiv[Agency])-ROW(TableDiv[[#Headers],[Agency]])),COLUMNS($F$7:F$7))))</f>
        <v>0</v>
      </c>
      <c r="G400" s="2223" cm="1">
        <f t="array" ref="G400">IF($D400&lt;COLUMNS($F$7:G$7),"",INDEX(TableDiv[[GASB]:[GASB]],_xlfn.AGGREGATE(15,3,(TableDiv[[Agency]:[Agency]]=$E400)/(TableDiv[[Agency]:[Agency]]=$E400)*(ROW(TableDiv[Agency])-ROW(TableDiv[[#Headers],[Agency]])),COLUMNS($F$7:G$7))))</f>
        <v>0</v>
      </c>
      <c r="H400" s="2223" cm="1">
        <f t="array" ref="H400">IF($D400&lt;COLUMNS($F$7:H$7),"",INDEX(TableDiv[[GASB]:[GASB]],_xlfn.AGGREGATE(15,3,(TableDiv[[Agency]:[Agency]]=$E400)/(TableDiv[[Agency]:[Agency]]=$E400)*(ROW(TableDiv[Agency])-ROW(TableDiv[[#Headers],[Agency]])),COLUMNS($F$7:H$7))))</f>
        <v>0</v>
      </c>
      <c r="I400" s="2223" cm="1">
        <f t="array" ref="I400">IF($D400&lt;COLUMNS($F$7:I$7),"",INDEX(TableDiv[[GASB]:[GASB]],_xlfn.AGGREGATE(15,3,(TableDiv[[Agency]:[Agency]]=$E400)/(TableDiv[[Agency]:[Agency]]=$E400)*(ROW(TableDiv[Agency])-ROW(TableDiv[[#Headers],[Agency]])),COLUMNS($F$7:I$7))))</f>
        <v>0</v>
      </c>
      <c r="J400" s="2223" cm="1">
        <f t="array" ref="J400">IF($D400&lt;COLUMNS($F$7:J$7),"",INDEX(TableDiv[[GASB]:[GASB]],_xlfn.AGGREGATE(15,3,(TableDiv[[Agency]:[Agency]]=$E400)/(TableDiv[[Agency]:[Agency]]=$E400)*(ROW(TableDiv[Agency])-ROW(TableDiv[[#Headers],[Agency]])),COLUMNS($F$7:J$7))))</f>
        <v>0</v>
      </c>
      <c r="K400" s="2223" cm="1">
        <f t="array" ref="K400">IF($D400&lt;COLUMNS($F$7:K$7),"",INDEX(TableDiv[[GASB]:[GASB]],_xlfn.AGGREGATE(15,3,(TableDiv[[Agency]:[Agency]]=$E400)/(TableDiv[[Agency]:[Agency]]=$E400)*(ROW(TableDiv[Agency])-ROW(TableDiv[[#Headers],[Agency]])),COLUMNS($F$7:K$7))))</f>
        <v>0</v>
      </c>
      <c r="L400" s="2223" cm="1">
        <f t="array" ref="L400">IF($D400&lt;COLUMNS($F$7:L$7),"",INDEX(TableDiv[[GASB]:[GASB]],_xlfn.AGGREGATE(15,3,(TableDiv[[Agency]:[Agency]]=$E400)/(TableDiv[[Agency]:[Agency]]=$E400)*(ROW(TableDiv[Agency])-ROW(TableDiv[[#Headers],[Agency]])),COLUMNS($F$7:L$7))))</f>
        <v>0</v>
      </c>
      <c r="M400" s="2223" cm="1">
        <f t="array" ref="M400">IF($D400&lt;COLUMNS($F$7:M$7),"",INDEX(TableDiv[[GASB]:[GASB]],_xlfn.AGGREGATE(15,3,(TableDiv[[Agency]:[Agency]]=$E400)/(TableDiv[[Agency]:[Agency]]=$E400)*(ROW(TableDiv[Agency])-ROW(TableDiv[[#Headers],[Agency]])),COLUMNS($F$7:M$7))))</f>
        <v>0</v>
      </c>
      <c r="N400" s="2223" cm="1">
        <f t="array" ref="N400">IF($D400&lt;COLUMNS($F$7:N$7),"",INDEX(TableDiv[[GASB]:[GASB]],_xlfn.AGGREGATE(15,3,(TableDiv[[Agency]:[Agency]]=$E400)/(TableDiv[[Agency]:[Agency]]=$E400)*(ROW(TableDiv[Agency])-ROW(TableDiv[[#Headers],[Agency]])),COLUMNS($F$7:N$7))))</f>
        <v>0</v>
      </c>
      <c r="O400" s="2223" cm="1">
        <f t="array" ref="O400">IF($D400&lt;COLUMNS($F$7:O$7),"",INDEX(TableDiv[[GASB]:[GASB]],_xlfn.AGGREGATE(15,3,(TableDiv[[Agency]:[Agency]]=$E400)/(TableDiv[[Agency]:[Agency]]=$E400)*(ROW(TableDiv[Agency])-ROW(TableDiv[[#Headers],[Agency]])),COLUMNS($F$7:O$7))))</f>
        <v>0</v>
      </c>
      <c r="P400" s="2223" cm="1">
        <f t="array" ref="P400">IF($D400&lt;COLUMNS($F$7:P$7),"",INDEX(TableDiv[[GASB]:[GASB]],_xlfn.AGGREGATE(15,3,(TableDiv[[Agency]:[Agency]]=$E400)/(TableDiv[[Agency]:[Agency]]=$E400)*(ROW(TableDiv[Agency])-ROW(TableDiv[[#Headers],[Agency]])),COLUMNS($F$7:P$7))))</f>
        <v>0</v>
      </c>
      <c r="Q400" s="2223" cm="1">
        <f t="array" ref="Q400">IF($D400&lt;COLUMNS($F$7:Q$7),"",INDEX(TableDiv[[GASB]:[GASB]],_xlfn.AGGREGATE(15,3,(TableDiv[[Agency]:[Agency]]=$E400)/(TableDiv[[Agency]:[Agency]]=$E400)*(ROW(TableDiv[Agency])-ROW(TableDiv[[#Headers],[Agency]])),COLUMNS($F$7:Q$7))))</f>
        <v>0</v>
      </c>
      <c r="R400" s="2223" cm="1">
        <f t="array" ref="R400">IF($D400&lt;COLUMNS($F$7:R$7),"",INDEX(TableDiv[[GASB]:[GASB]],_xlfn.AGGREGATE(15,3,(TableDiv[[Agency]:[Agency]]=$E400)/(TableDiv[[Agency]:[Agency]]=$E400)*(ROW(TableDiv[Agency])-ROW(TableDiv[[#Headers],[Agency]])),COLUMNS($F$7:R$7))))</f>
        <v>0</v>
      </c>
      <c r="S400" s="2223" cm="1">
        <f t="array" ref="S400">IF($D400&lt;COLUMNS($F$7:S$7),"",INDEX(TableDiv[[GASB]:[GASB]],_xlfn.AGGREGATE(15,3,(TableDiv[[Agency]:[Agency]]=$E400)/(TableDiv[[Agency]:[Agency]]=$E400)*(ROW(TableDiv[Agency])-ROW(TableDiv[[#Headers],[Agency]])),COLUMNS($F$7:S$7))))</f>
        <v>0</v>
      </c>
      <c r="T400" s="2223" cm="1">
        <f t="array" ref="T400">IF($D400&lt;COLUMNS($F$7:T$7),"",INDEX(TableDiv[[GASB]:[GASB]],_xlfn.AGGREGATE(15,3,(TableDiv[[Agency]:[Agency]]=$E400)/(TableDiv[[Agency]:[Agency]]=$E400)*(ROW(TableDiv[Agency])-ROW(TableDiv[[#Headers],[Agency]])),COLUMNS($F$7:T$7))))</f>
        <v>0</v>
      </c>
      <c r="U400" s="2223" cm="1">
        <f t="array" ref="U400">IF($D400&lt;COLUMNS($F$7:U$7),"",INDEX(TableDiv[[GASB]:[GASB]],_xlfn.AGGREGATE(15,3,(TableDiv[[Agency]:[Agency]]=$E400)/(TableDiv[[Agency]:[Agency]]=$E400)*(ROW(TableDiv[Agency])-ROW(TableDiv[[#Headers],[Agency]])),COLUMNS($F$7:U$7))))</f>
        <v>0</v>
      </c>
      <c r="V400" s="2223" cm="1">
        <f t="array" ref="V400">IF($D400&lt;COLUMNS($F$7:V$7),"",INDEX(TableDiv[[GASB]:[GASB]],_xlfn.AGGREGATE(15,3,(TableDiv[[Agency]:[Agency]]=$E400)/(TableDiv[[Agency]:[Agency]]=$E400)*(ROW(TableDiv[Agency])-ROW(TableDiv[[#Headers],[Agency]])),COLUMNS($F$7:V$7))))</f>
        <v>0</v>
      </c>
      <c r="W400" s="2223" cm="1">
        <f t="array" ref="W400">IF($D400&lt;COLUMNS($F$7:W$7),"",INDEX(TableDiv[[GASB]:[GASB]],_xlfn.AGGREGATE(15,3,(TableDiv[[Agency]:[Agency]]=$E400)/(TableDiv[[Agency]:[Agency]]=$E400)*(ROW(TableDiv[Agency])-ROW(TableDiv[[#Headers],[Agency]])),COLUMNS($F$7:W$7))))</f>
        <v>0</v>
      </c>
      <c r="X400" s="2223" cm="1">
        <f t="array" ref="X400">IF($D400&lt;COLUMNS($F$7:X$7),"",INDEX(TableDiv[[GASB]:[GASB]],_xlfn.AGGREGATE(15,3,(TableDiv[[Agency]:[Agency]]=$E400)/(TableDiv[[Agency]:[Agency]]=$E400)*(ROW(TableDiv[Agency])-ROW(TableDiv[[#Headers],[Agency]])),COLUMNS($F$7:X$7))))</f>
        <v>0</v>
      </c>
      <c r="Y400" s="2223" cm="1">
        <f t="array" ref="Y400">IF($D400&lt;COLUMNS($F$7:Y$7),"",INDEX(TableDiv[[GASB]:[GASB]],_xlfn.AGGREGATE(15,3,(TableDiv[[Agency]:[Agency]]=$E400)/(TableDiv[[Agency]:[Agency]]=$E400)*(ROW(TableDiv[Agency])-ROW(TableDiv[[#Headers],[Agency]])),COLUMNS($F$7:Y$7))))</f>
        <v>0</v>
      </c>
      <c r="Z400" s="2223" cm="1">
        <f t="array" ref="Z400">IF($D400&lt;COLUMNS($F$7:Z$7),"",INDEX(TableDiv[[GASB]:[GASB]],_xlfn.AGGREGATE(15,3,(TableDiv[[Agency]:[Agency]]=$E400)/(TableDiv[[Agency]:[Agency]]=$E400)*(ROW(TableDiv[Agency])-ROW(TableDiv[[#Headers],[Agency]])),COLUMNS($F$7:Z$7))))</f>
        <v>0</v>
      </c>
      <c r="AA400" s="2223" cm="1">
        <f t="array" ref="AA400">IF($D400&lt;COLUMNS($F$7:AA$7),"",INDEX(TableDiv[[GASB]:[GASB]],_xlfn.AGGREGATE(15,3,(TableDiv[[Agency]:[Agency]]=$E400)/(TableDiv[[Agency]:[Agency]]=$E400)*(ROW(TableDiv[Agency])-ROW(TableDiv[[#Headers],[Agency]])),COLUMNS($F$7:AA$7))))</f>
        <v>0</v>
      </c>
      <c r="AB400" s="2223" cm="1">
        <f t="array" ref="AB400">IF($D400&lt;COLUMNS($F$7:AB$7),"",INDEX(TableDiv[[GASB]:[GASB]],_xlfn.AGGREGATE(15,3,(TableDiv[[Agency]:[Agency]]=$E400)/(TableDiv[[Agency]:[Agency]]=$E400)*(ROW(TableDiv[Agency])-ROW(TableDiv[[#Headers],[Agency]])),COLUMNS($F$7:AB$7))))</f>
        <v>0</v>
      </c>
      <c r="AC400" s="2223" cm="1">
        <f t="array" ref="AC400">IF($D400&lt;COLUMNS($F$7:AC$7),"",INDEX(TableDiv[[GASB]:[GASB]],_xlfn.AGGREGATE(15,3,(TableDiv[[Agency]:[Agency]]=$E400)/(TableDiv[[Agency]:[Agency]]=$E400)*(ROW(TableDiv[Agency])-ROW(TableDiv[[#Headers],[Agency]])),COLUMNS($F$7:AC$7))))</f>
        <v>0</v>
      </c>
      <c r="AD400" s="2223" cm="1">
        <f t="array" ref="AD400">IF($D400&lt;COLUMNS($F$7:AD$7),"",INDEX(TableDiv[[GASB]:[GASB]],_xlfn.AGGREGATE(15,3,(TableDiv[[Agency]:[Agency]]=$E400)/(TableDiv[[Agency]:[Agency]]=$E400)*(ROW(TableDiv[Agency])-ROW(TableDiv[[#Headers],[Agency]])),COLUMNS($F$7:AD$7))))</f>
        <v>0</v>
      </c>
      <c r="AE400" s="2223" cm="1">
        <f t="array" ref="AE400">IF($D400&lt;COLUMNS($F$7:AE$7),"",INDEX(TableDiv[[GASB]:[GASB]],_xlfn.AGGREGATE(15,3,(TableDiv[[Agency]:[Agency]]=$E400)/(TableDiv[[Agency]:[Agency]]=$E400)*(ROW(TableDiv[Agency])-ROW(TableDiv[[#Headers],[Agency]])),COLUMNS($F$7:AE$7))))</f>
        <v>0</v>
      </c>
      <c r="AF400" s="2223" cm="1">
        <f t="array" ref="AF400">IF($D400&lt;COLUMNS($F$7:AF$7),"",INDEX(TableDiv[[GASB]:[GASB]],_xlfn.AGGREGATE(15,3,(TableDiv[[Agency]:[Agency]]=$E400)/(TableDiv[[Agency]:[Agency]]=$E400)*(ROW(TableDiv[Agency])-ROW(TableDiv[[#Headers],[Agency]])),COLUMNS($F$7:AF$7))))</f>
        <v>0</v>
      </c>
      <c r="AG400" s="2223" cm="1">
        <f t="array" ref="AG400">IF($D400&lt;COLUMNS($F$7:AG$7),"",INDEX(TableDiv[[GASB]:[GASB]],_xlfn.AGGREGATE(15,3,(TableDiv[[Agency]:[Agency]]=$E400)/(TableDiv[[Agency]:[Agency]]=$E400)*(ROW(TableDiv[Agency])-ROW(TableDiv[[#Headers],[Agency]])),COLUMNS($F$7:AG$7))))</f>
        <v>0</v>
      </c>
      <c r="AH400" s="2223" cm="1">
        <f t="array" ref="AH400">IF($D400&lt;COLUMNS($F$7:AH$7),"",INDEX(TableDiv[[GASB]:[GASB]],_xlfn.AGGREGATE(15,3,(TableDiv[[Agency]:[Agency]]=$E400)/(TableDiv[[Agency]:[Agency]]=$E400)*(ROW(TableDiv[Agency])-ROW(TableDiv[[#Headers],[Agency]])),COLUMNS($F$7:AH$7))))</f>
        <v>0</v>
      </c>
      <c r="AI400" s="2223" cm="1">
        <f t="array" ref="AI400">IF($D400&lt;COLUMNS($F$7:AI$7),"",INDEX(TableDiv[[GASB]:[GASB]],_xlfn.AGGREGATE(15,3,(TableDiv[[Agency]:[Agency]]=$E400)/(TableDiv[[Agency]:[Agency]]=$E400)*(ROW(TableDiv[Agency])-ROW(TableDiv[[#Headers],[Agency]])),COLUMNS($F$7:AI$7))))</f>
        <v>0</v>
      </c>
      <c r="AJ400" s="2223" cm="1">
        <f t="array" ref="AJ400">IF($D400&lt;COLUMNS($F$7:AJ$7),"",INDEX(TableDiv[[GASB]:[GASB]],_xlfn.AGGREGATE(15,3,(TableDiv[[Agency]:[Agency]]=$E400)/(TableDiv[[Agency]:[Agency]]=$E400)*(ROW(TableDiv[Agency])-ROW(TableDiv[[#Headers],[Agency]])),COLUMNS($F$7:AJ$7))))</f>
        <v>0</v>
      </c>
      <c r="AK400" s="2223" t="str" cm="1">
        <f t="array" ref="AK400">IF($D400&lt;COLUMNS($F$7:AK$7),"",INDEX(TableDiv[[GASB]:[GASB]],_xlfn.AGGREGATE(15,3,(TableDiv[[Agency]:[Agency]]=$E400)/(TableDiv[[Agency]:[Agency]]=$E400)*(ROW(TableDiv[Agency])-ROW(TableDiv[[#Headers],[Agency]])),COLUMNS($F$7:AK$7))))</f>
        <v/>
      </c>
      <c r="AL400" s="2223" t="str" cm="1">
        <f t="array" ref="AL400">IF($D400&lt;COLUMNS($F$7:AL$7),"",INDEX(TableDiv[[GASB]:[GASB]],_xlfn.AGGREGATE(15,3,(TableDiv[[Agency]:[Agency]]=$E400)/(TableDiv[[Agency]:[Agency]]=$E400)*(ROW(TableDiv[Agency])-ROW(TableDiv[[#Headers],[Agency]])),COLUMNS($F$7:AL$7))))</f>
        <v/>
      </c>
      <c r="AM400" s="2223" t="str" cm="1">
        <f t="array" ref="AM400">IF($D400&lt;COLUMNS($F$7:AM$7),"",INDEX(TableDiv[[GASB]:[GASB]],_xlfn.AGGREGATE(15,3,(TableDiv[[Agency]:[Agency]]=$E400)/(TableDiv[[Agency]:[Agency]]=$E400)*(ROW(TableDiv[Agency])-ROW(TableDiv[[#Headers],[Agency]])),COLUMNS($F$7:AM$7))))</f>
        <v/>
      </c>
      <c r="AN400" s="2223"/>
      <c r="AO400" s="2223"/>
      <c r="AP400" s="2223"/>
      <c r="AQ400" s="2223"/>
      <c r="AR400" s="2223"/>
      <c r="AS400" s="2223"/>
    </row>
    <row r="401" spans="1:45" ht="15" x14ac:dyDescent="0.25">
      <c r="A401" s="2219" t="s">
        <v>6518</v>
      </c>
      <c r="B401" s="2219" t="s">
        <v>6497</v>
      </c>
      <c r="C401" s="2223"/>
      <c r="D401" s="2223">
        <f>COUNTIF(TableDiv[Agency],E401)</f>
        <v>31</v>
      </c>
      <c r="E401" s="2230" t="str" cm="1">
        <f t="array" ref="E401">IFERROR(INDEX(TableDiv[Agency],MATCH(0,INDEX(COUNTIF($E$7:E400,TableDiv[Agency]),),0)),"")</f>
        <v/>
      </c>
      <c r="F401" s="2223" cm="1">
        <f t="array" ref="F401">IF($D401&lt;COLUMNS($F$7:F$7),"",INDEX(TableDiv[[GASB]:[GASB]],_xlfn.AGGREGATE(15,3,(TableDiv[[Agency]:[Agency]]=$E401)/(TableDiv[[Agency]:[Agency]]=$E401)*(ROW(TableDiv[Agency])-ROW(TableDiv[[#Headers],[Agency]])),COLUMNS($F$7:F$7))))</f>
        <v>0</v>
      </c>
      <c r="G401" s="2223" cm="1">
        <f t="array" ref="G401">IF($D401&lt;COLUMNS($F$7:G$7),"",INDEX(TableDiv[[GASB]:[GASB]],_xlfn.AGGREGATE(15,3,(TableDiv[[Agency]:[Agency]]=$E401)/(TableDiv[[Agency]:[Agency]]=$E401)*(ROW(TableDiv[Agency])-ROW(TableDiv[[#Headers],[Agency]])),COLUMNS($F$7:G$7))))</f>
        <v>0</v>
      </c>
      <c r="H401" s="2223" cm="1">
        <f t="array" ref="H401">IF($D401&lt;COLUMNS($F$7:H$7),"",INDEX(TableDiv[[GASB]:[GASB]],_xlfn.AGGREGATE(15,3,(TableDiv[[Agency]:[Agency]]=$E401)/(TableDiv[[Agency]:[Agency]]=$E401)*(ROW(TableDiv[Agency])-ROW(TableDiv[[#Headers],[Agency]])),COLUMNS($F$7:H$7))))</f>
        <v>0</v>
      </c>
      <c r="I401" s="2223" cm="1">
        <f t="array" ref="I401">IF($D401&lt;COLUMNS($F$7:I$7),"",INDEX(TableDiv[[GASB]:[GASB]],_xlfn.AGGREGATE(15,3,(TableDiv[[Agency]:[Agency]]=$E401)/(TableDiv[[Agency]:[Agency]]=$E401)*(ROW(TableDiv[Agency])-ROW(TableDiv[[#Headers],[Agency]])),COLUMNS($F$7:I$7))))</f>
        <v>0</v>
      </c>
      <c r="J401" s="2223" cm="1">
        <f t="array" ref="J401">IF($D401&lt;COLUMNS($F$7:J$7),"",INDEX(TableDiv[[GASB]:[GASB]],_xlfn.AGGREGATE(15,3,(TableDiv[[Agency]:[Agency]]=$E401)/(TableDiv[[Agency]:[Agency]]=$E401)*(ROW(TableDiv[Agency])-ROW(TableDiv[[#Headers],[Agency]])),COLUMNS($F$7:J$7))))</f>
        <v>0</v>
      </c>
      <c r="K401" s="2223" cm="1">
        <f t="array" ref="K401">IF($D401&lt;COLUMNS($F$7:K$7),"",INDEX(TableDiv[[GASB]:[GASB]],_xlfn.AGGREGATE(15,3,(TableDiv[[Agency]:[Agency]]=$E401)/(TableDiv[[Agency]:[Agency]]=$E401)*(ROW(TableDiv[Agency])-ROW(TableDiv[[#Headers],[Agency]])),COLUMNS($F$7:K$7))))</f>
        <v>0</v>
      </c>
      <c r="L401" s="2223" cm="1">
        <f t="array" ref="L401">IF($D401&lt;COLUMNS($F$7:L$7),"",INDEX(TableDiv[[GASB]:[GASB]],_xlfn.AGGREGATE(15,3,(TableDiv[[Agency]:[Agency]]=$E401)/(TableDiv[[Agency]:[Agency]]=$E401)*(ROW(TableDiv[Agency])-ROW(TableDiv[[#Headers],[Agency]])),COLUMNS($F$7:L$7))))</f>
        <v>0</v>
      </c>
      <c r="M401" s="2223" cm="1">
        <f t="array" ref="M401">IF($D401&lt;COLUMNS($F$7:M$7),"",INDEX(TableDiv[[GASB]:[GASB]],_xlfn.AGGREGATE(15,3,(TableDiv[[Agency]:[Agency]]=$E401)/(TableDiv[[Agency]:[Agency]]=$E401)*(ROW(TableDiv[Agency])-ROW(TableDiv[[#Headers],[Agency]])),COLUMNS($F$7:M$7))))</f>
        <v>0</v>
      </c>
      <c r="N401" s="2223" cm="1">
        <f t="array" ref="N401">IF($D401&lt;COLUMNS($F$7:N$7),"",INDEX(TableDiv[[GASB]:[GASB]],_xlfn.AGGREGATE(15,3,(TableDiv[[Agency]:[Agency]]=$E401)/(TableDiv[[Agency]:[Agency]]=$E401)*(ROW(TableDiv[Agency])-ROW(TableDiv[[#Headers],[Agency]])),COLUMNS($F$7:N$7))))</f>
        <v>0</v>
      </c>
      <c r="O401" s="2223" cm="1">
        <f t="array" ref="O401">IF($D401&lt;COLUMNS($F$7:O$7),"",INDEX(TableDiv[[GASB]:[GASB]],_xlfn.AGGREGATE(15,3,(TableDiv[[Agency]:[Agency]]=$E401)/(TableDiv[[Agency]:[Agency]]=$E401)*(ROW(TableDiv[Agency])-ROW(TableDiv[[#Headers],[Agency]])),COLUMNS($F$7:O$7))))</f>
        <v>0</v>
      </c>
      <c r="P401" s="2223" cm="1">
        <f t="array" ref="P401">IF($D401&lt;COLUMNS($F$7:P$7),"",INDEX(TableDiv[[GASB]:[GASB]],_xlfn.AGGREGATE(15,3,(TableDiv[[Agency]:[Agency]]=$E401)/(TableDiv[[Agency]:[Agency]]=$E401)*(ROW(TableDiv[Agency])-ROW(TableDiv[[#Headers],[Agency]])),COLUMNS($F$7:P$7))))</f>
        <v>0</v>
      </c>
      <c r="Q401" s="2223" cm="1">
        <f t="array" ref="Q401">IF($D401&lt;COLUMNS($F$7:Q$7),"",INDEX(TableDiv[[GASB]:[GASB]],_xlfn.AGGREGATE(15,3,(TableDiv[[Agency]:[Agency]]=$E401)/(TableDiv[[Agency]:[Agency]]=$E401)*(ROW(TableDiv[Agency])-ROW(TableDiv[[#Headers],[Agency]])),COLUMNS($F$7:Q$7))))</f>
        <v>0</v>
      </c>
      <c r="R401" s="2223" cm="1">
        <f t="array" ref="R401">IF($D401&lt;COLUMNS($F$7:R$7),"",INDEX(TableDiv[[GASB]:[GASB]],_xlfn.AGGREGATE(15,3,(TableDiv[[Agency]:[Agency]]=$E401)/(TableDiv[[Agency]:[Agency]]=$E401)*(ROW(TableDiv[Agency])-ROW(TableDiv[[#Headers],[Agency]])),COLUMNS($F$7:R$7))))</f>
        <v>0</v>
      </c>
      <c r="S401" s="2223" cm="1">
        <f t="array" ref="S401">IF($D401&lt;COLUMNS($F$7:S$7),"",INDEX(TableDiv[[GASB]:[GASB]],_xlfn.AGGREGATE(15,3,(TableDiv[[Agency]:[Agency]]=$E401)/(TableDiv[[Agency]:[Agency]]=$E401)*(ROW(TableDiv[Agency])-ROW(TableDiv[[#Headers],[Agency]])),COLUMNS($F$7:S$7))))</f>
        <v>0</v>
      </c>
      <c r="T401" s="2223" cm="1">
        <f t="array" ref="T401">IF($D401&lt;COLUMNS($F$7:T$7),"",INDEX(TableDiv[[GASB]:[GASB]],_xlfn.AGGREGATE(15,3,(TableDiv[[Agency]:[Agency]]=$E401)/(TableDiv[[Agency]:[Agency]]=$E401)*(ROW(TableDiv[Agency])-ROW(TableDiv[[#Headers],[Agency]])),COLUMNS($F$7:T$7))))</f>
        <v>0</v>
      </c>
      <c r="U401" s="2223" cm="1">
        <f t="array" ref="U401">IF($D401&lt;COLUMNS($F$7:U$7),"",INDEX(TableDiv[[GASB]:[GASB]],_xlfn.AGGREGATE(15,3,(TableDiv[[Agency]:[Agency]]=$E401)/(TableDiv[[Agency]:[Agency]]=$E401)*(ROW(TableDiv[Agency])-ROW(TableDiv[[#Headers],[Agency]])),COLUMNS($F$7:U$7))))</f>
        <v>0</v>
      </c>
      <c r="V401" s="2223" cm="1">
        <f t="array" ref="V401">IF($D401&lt;COLUMNS($F$7:V$7),"",INDEX(TableDiv[[GASB]:[GASB]],_xlfn.AGGREGATE(15,3,(TableDiv[[Agency]:[Agency]]=$E401)/(TableDiv[[Agency]:[Agency]]=$E401)*(ROW(TableDiv[Agency])-ROW(TableDiv[[#Headers],[Agency]])),COLUMNS($F$7:V$7))))</f>
        <v>0</v>
      </c>
      <c r="W401" s="2223" cm="1">
        <f t="array" ref="W401">IF($D401&lt;COLUMNS($F$7:W$7),"",INDEX(TableDiv[[GASB]:[GASB]],_xlfn.AGGREGATE(15,3,(TableDiv[[Agency]:[Agency]]=$E401)/(TableDiv[[Agency]:[Agency]]=$E401)*(ROW(TableDiv[Agency])-ROW(TableDiv[[#Headers],[Agency]])),COLUMNS($F$7:W$7))))</f>
        <v>0</v>
      </c>
      <c r="X401" s="2223" cm="1">
        <f t="array" ref="X401">IF($D401&lt;COLUMNS($F$7:X$7),"",INDEX(TableDiv[[GASB]:[GASB]],_xlfn.AGGREGATE(15,3,(TableDiv[[Agency]:[Agency]]=$E401)/(TableDiv[[Agency]:[Agency]]=$E401)*(ROW(TableDiv[Agency])-ROW(TableDiv[[#Headers],[Agency]])),COLUMNS($F$7:X$7))))</f>
        <v>0</v>
      </c>
      <c r="Y401" s="2223" cm="1">
        <f t="array" ref="Y401">IF($D401&lt;COLUMNS($F$7:Y$7),"",INDEX(TableDiv[[GASB]:[GASB]],_xlfn.AGGREGATE(15,3,(TableDiv[[Agency]:[Agency]]=$E401)/(TableDiv[[Agency]:[Agency]]=$E401)*(ROW(TableDiv[Agency])-ROW(TableDiv[[#Headers],[Agency]])),COLUMNS($F$7:Y$7))))</f>
        <v>0</v>
      </c>
      <c r="Z401" s="2223" cm="1">
        <f t="array" ref="Z401">IF($D401&lt;COLUMNS($F$7:Z$7),"",INDEX(TableDiv[[GASB]:[GASB]],_xlfn.AGGREGATE(15,3,(TableDiv[[Agency]:[Agency]]=$E401)/(TableDiv[[Agency]:[Agency]]=$E401)*(ROW(TableDiv[Agency])-ROW(TableDiv[[#Headers],[Agency]])),COLUMNS($F$7:Z$7))))</f>
        <v>0</v>
      </c>
      <c r="AA401" s="2223" cm="1">
        <f t="array" ref="AA401">IF($D401&lt;COLUMNS($F$7:AA$7),"",INDEX(TableDiv[[GASB]:[GASB]],_xlfn.AGGREGATE(15,3,(TableDiv[[Agency]:[Agency]]=$E401)/(TableDiv[[Agency]:[Agency]]=$E401)*(ROW(TableDiv[Agency])-ROW(TableDiv[[#Headers],[Agency]])),COLUMNS($F$7:AA$7))))</f>
        <v>0</v>
      </c>
      <c r="AB401" s="2223" cm="1">
        <f t="array" ref="AB401">IF($D401&lt;COLUMNS($F$7:AB$7),"",INDEX(TableDiv[[GASB]:[GASB]],_xlfn.AGGREGATE(15,3,(TableDiv[[Agency]:[Agency]]=$E401)/(TableDiv[[Agency]:[Agency]]=$E401)*(ROW(TableDiv[Agency])-ROW(TableDiv[[#Headers],[Agency]])),COLUMNS($F$7:AB$7))))</f>
        <v>0</v>
      </c>
      <c r="AC401" s="2223" cm="1">
        <f t="array" ref="AC401">IF($D401&lt;COLUMNS($F$7:AC$7),"",INDEX(TableDiv[[GASB]:[GASB]],_xlfn.AGGREGATE(15,3,(TableDiv[[Agency]:[Agency]]=$E401)/(TableDiv[[Agency]:[Agency]]=$E401)*(ROW(TableDiv[Agency])-ROW(TableDiv[[#Headers],[Agency]])),COLUMNS($F$7:AC$7))))</f>
        <v>0</v>
      </c>
      <c r="AD401" s="2223" cm="1">
        <f t="array" ref="AD401">IF($D401&lt;COLUMNS($F$7:AD$7),"",INDEX(TableDiv[[GASB]:[GASB]],_xlfn.AGGREGATE(15,3,(TableDiv[[Agency]:[Agency]]=$E401)/(TableDiv[[Agency]:[Agency]]=$E401)*(ROW(TableDiv[Agency])-ROW(TableDiv[[#Headers],[Agency]])),COLUMNS($F$7:AD$7))))</f>
        <v>0</v>
      </c>
      <c r="AE401" s="2223" cm="1">
        <f t="array" ref="AE401">IF($D401&lt;COLUMNS($F$7:AE$7),"",INDEX(TableDiv[[GASB]:[GASB]],_xlfn.AGGREGATE(15,3,(TableDiv[[Agency]:[Agency]]=$E401)/(TableDiv[[Agency]:[Agency]]=$E401)*(ROW(TableDiv[Agency])-ROW(TableDiv[[#Headers],[Agency]])),COLUMNS($F$7:AE$7))))</f>
        <v>0</v>
      </c>
      <c r="AF401" s="2223" cm="1">
        <f t="array" ref="AF401">IF($D401&lt;COLUMNS($F$7:AF$7),"",INDEX(TableDiv[[GASB]:[GASB]],_xlfn.AGGREGATE(15,3,(TableDiv[[Agency]:[Agency]]=$E401)/(TableDiv[[Agency]:[Agency]]=$E401)*(ROW(TableDiv[Agency])-ROW(TableDiv[[#Headers],[Agency]])),COLUMNS($F$7:AF$7))))</f>
        <v>0</v>
      </c>
      <c r="AG401" s="2223" cm="1">
        <f t="array" ref="AG401">IF($D401&lt;COLUMNS($F$7:AG$7),"",INDEX(TableDiv[[GASB]:[GASB]],_xlfn.AGGREGATE(15,3,(TableDiv[[Agency]:[Agency]]=$E401)/(TableDiv[[Agency]:[Agency]]=$E401)*(ROW(TableDiv[Agency])-ROW(TableDiv[[#Headers],[Agency]])),COLUMNS($F$7:AG$7))))</f>
        <v>0</v>
      </c>
      <c r="AH401" s="2223" cm="1">
        <f t="array" ref="AH401">IF($D401&lt;COLUMNS($F$7:AH$7),"",INDEX(TableDiv[[GASB]:[GASB]],_xlfn.AGGREGATE(15,3,(TableDiv[[Agency]:[Agency]]=$E401)/(TableDiv[[Agency]:[Agency]]=$E401)*(ROW(TableDiv[Agency])-ROW(TableDiv[[#Headers],[Agency]])),COLUMNS($F$7:AH$7))))</f>
        <v>0</v>
      </c>
      <c r="AI401" s="2223" cm="1">
        <f t="array" ref="AI401">IF($D401&lt;COLUMNS($F$7:AI$7),"",INDEX(TableDiv[[GASB]:[GASB]],_xlfn.AGGREGATE(15,3,(TableDiv[[Agency]:[Agency]]=$E401)/(TableDiv[[Agency]:[Agency]]=$E401)*(ROW(TableDiv[Agency])-ROW(TableDiv[[#Headers],[Agency]])),COLUMNS($F$7:AI$7))))</f>
        <v>0</v>
      </c>
      <c r="AJ401" s="2223" cm="1">
        <f t="array" ref="AJ401">IF($D401&lt;COLUMNS($F$7:AJ$7),"",INDEX(TableDiv[[GASB]:[GASB]],_xlfn.AGGREGATE(15,3,(TableDiv[[Agency]:[Agency]]=$E401)/(TableDiv[[Agency]:[Agency]]=$E401)*(ROW(TableDiv[Agency])-ROW(TableDiv[[#Headers],[Agency]])),COLUMNS($F$7:AJ$7))))</f>
        <v>0</v>
      </c>
      <c r="AK401" s="2223" t="str" cm="1">
        <f t="array" ref="AK401">IF($D401&lt;COLUMNS($F$7:AK$7),"",INDEX(TableDiv[[GASB]:[GASB]],_xlfn.AGGREGATE(15,3,(TableDiv[[Agency]:[Agency]]=$E401)/(TableDiv[[Agency]:[Agency]]=$E401)*(ROW(TableDiv[Agency])-ROW(TableDiv[[#Headers],[Agency]])),COLUMNS($F$7:AK$7))))</f>
        <v/>
      </c>
      <c r="AL401" s="2223" t="str" cm="1">
        <f t="array" ref="AL401">IF($D401&lt;COLUMNS($F$7:AL$7),"",INDEX(TableDiv[[GASB]:[GASB]],_xlfn.AGGREGATE(15,3,(TableDiv[[Agency]:[Agency]]=$E401)/(TableDiv[[Agency]:[Agency]]=$E401)*(ROW(TableDiv[Agency])-ROW(TableDiv[[#Headers],[Agency]])),COLUMNS($F$7:AL$7))))</f>
        <v/>
      </c>
      <c r="AM401" s="2223" t="str" cm="1">
        <f t="array" ref="AM401">IF($D401&lt;COLUMNS($F$7:AM$7),"",INDEX(TableDiv[[GASB]:[GASB]],_xlfn.AGGREGATE(15,3,(TableDiv[[Agency]:[Agency]]=$E401)/(TableDiv[[Agency]:[Agency]]=$E401)*(ROW(TableDiv[Agency])-ROW(TableDiv[[#Headers],[Agency]])),COLUMNS($F$7:AM$7))))</f>
        <v/>
      </c>
      <c r="AN401" s="2223"/>
      <c r="AO401" s="2223"/>
      <c r="AP401" s="2223"/>
      <c r="AQ401" s="2223"/>
      <c r="AR401" s="2223"/>
      <c r="AS401" s="2223"/>
    </row>
    <row r="402" spans="1:45" ht="15" x14ac:dyDescent="0.25">
      <c r="A402" s="2219" t="s">
        <v>6519</v>
      </c>
      <c r="B402" s="2219" t="s">
        <v>6497</v>
      </c>
      <c r="C402" s="2223"/>
      <c r="D402" s="2223">
        <f>COUNTIF(TableDiv[Agency],E402)</f>
        <v>31</v>
      </c>
      <c r="E402" s="2230" t="str" cm="1">
        <f t="array" ref="E402">IFERROR(INDEX(TableDiv[Agency],MATCH(0,INDEX(COUNTIF($E$7:E401,TableDiv[Agency]),),0)),"")</f>
        <v/>
      </c>
      <c r="F402" s="2223" cm="1">
        <f t="array" ref="F402">IF($D402&lt;COLUMNS($F$7:F$7),"",INDEX(TableDiv[[GASB]:[GASB]],_xlfn.AGGREGATE(15,3,(TableDiv[[Agency]:[Agency]]=$E402)/(TableDiv[[Agency]:[Agency]]=$E402)*(ROW(TableDiv[Agency])-ROW(TableDiv[[#Headers],[Agency]])),COLUMNS($F$7:F$7))))</f>
        <v>0</v>
      </c>
      <c r="G402" s="2223" cm="1">
        <f t="array" ref="G402">IF($D402&lt;COLUMNS($F$7:G$7),"",INDEX(TableDiv[[GASB]:[GASB]],_xlfn.AGGREGATE(15,3,(TableDiv[[Agency]:[Agency]]=$E402)/(TableDiv[[Agency]:[Agency]]=$E402)*(ROW(TableDiv[Agency])-ROW(TableDiv[[#Headers],[Agency]])),COLUMNS($F$7:G$7))))</f>
        <v>0</v>
      </c>
      <c r="H402" s="2223" cm="1">
        <f t="array" ref="H402">IF($D402&lt;COLUMNS($F$7:H$7),"",INDEX(TableDiv[[GASB]:[GASB]],_xlfn.AGGREGATE(15,3,(TableDiv[[Agency]:[Agency]]=$E402)/(TableDiv[[Agency]:[Agency]]=$E402)*(ROW(TableDiv[Agency])-ROW(TableDiv[[#Headers],[Agency]])),COLUMNS($F$7:H$7))))</f>
        <v>0</v>
      </c>
      <c r="I402" s="2223" cm="1">
        <f t="array" ref="I402">IF($D402&lt;COLUMNS($F$7:I$7),"",INDEX(TableDiv[[GASB]:[GASB]],_xlfn.AGGREGATE(15,3,(TableDiv[[Agency]:[Agency]]=$E402)/(TableDiv[[Agency]:[Agency]]=$E402)*(ROW(TableDiv[Agency])-ROW(TableDiv[[#Headers],[Agency]])),COLUMNS($F$7:I$7))))</f>
        <v>0</v>
      </c>
      <c r="J402" s="2223" cm="1">
        <f t="array" ref="J402">IF($D402&lt;COLUMNS($F$7:J$7),"",INDEX(TableDiv[[GASB]:[GASB]],_xlfn.AGGREGATE(15,3,(TableDiv[[Agency]:[Agency]]=$E402)/(TableDiv[[Agency]:[Agency]]=$E402)*(ROW(TableDiv[Agency])-ROW(TableDiv[[#Headers],[Agency]])),COLUMNS($F$7:J$7))))</f>
        <v>0</v>
      </c>
      <c r="K402" s="2223" cm="1">
        <f t="array" ref="K402">IF($D402&lt;COLUMNS($F$7:K$7),"",INDEX(TableDiv[[GASB]:[GASB]],_xlfn.AGGREGATE(15,3,(TableDiv[[Agency]:[Agency]]=$E402)/(TableDiv[[Agency]:[Agency]]=$E402)*(ROW(TableDiv[Agency])-ROW(TableDiv[[#Headers],[Agency]])),COLUMNS($F$7:K$7))))</f>
        <v>0</v>
      </c>
      <c r="L402" s="2223" cm="1">
        <f t="array" ref="L402">IF($D402&lt;COLUMNS($F$7:L$7),"",INDEX(TableDiv[[GASB]:[GASB]],_xlfn.AGGREGATE(15,3,(TableDiv[[Agency]:[Agency]]=$E402)/(TableDiv[[Agency]:[Agency]]=$E402)*(ROW(TableDiv[Agency])-ROW(TableDiv[[#Headers],[Agency]])),COLUMNS($F$7:L$7))))</f>
        <v>0</v>
      </c>
      <c r="M402" s="2223" cm="1">
        <f t="array" ref="M402">IF($D402&lt;COLUMNS($F$7:M$7),"",INDEX(TableDiv[[GASB]:[GASB]],_xlfn.AGGREGATE(15,3,(TableDiv[[Agency]:[Agency]]=$E402)/(TableDiv[[Agency]:[Agency]]=$E402)*(ROW(TableDiv[Agency])-ROW(TableDiv[[#Headers],[Agency]])),COLUMNS($F$7:M$7))))</f>
        <v>0</v>
      </c>
      <c r="N402" s="2223" cm="1">
        <f t="array" ref="N402">IF($D402&lt;COLUMNS($F$7:N$7),"",INDEX(TableDiv[[GASB]:[GASB]],_xlfn.AGGREGATE(15,3,(TableDiv[[Agency]:[Agency]]=$E402)/(TableDiv[[Agency]:[Agency]]=$E402)*(ROW(TableDiv[Agency])-ROW(TableDiv[[#Headers],[Agency]])),COLUMNS($F$7:N$7))))</f>
        <v>0</v>
      </c>
      <c r="O402" s="2223" cm="1">
        <f t="array" ref="O402">IF($D402&lt;COLUMNS($F$7:O$7),"",INDEX(TableDiv[[GASB]:[GASB]],_xlfn.AGGREGATE(15,3,(TableDiv[[Agency]:[Agency]]=$E402)/(TableDiv[[Agency]:[Agency]]=$E402)*(ROW(TableDiv[Agency])-ROW(TableDiv[[#Headers],[Agency]])),COLUMNS($F$7:O$7))))</f>
        <v>0</v>
      </c>
      <c r="P402" s="2223" cm="1">
        <f t="array" ref="P402">IF($D402&lt;COLUMNS($F$7:P$7),"",INDEX(TableDiv[[GASB]:[GASB]],_xlfn.AGGREGATE(15,3,(TableDiv[[Agency]:[Agency]]=$E402)/(TableDiv[[Agency]:[Agency]]=$E402)*(ROW(TableDiv[Agency])-ROW(TableDiv[[#Headers],[Agency]])),COLUMNS($F$7:P$7))))</f>
        <v>0</v>
      </c>
      <c r="Q402" s="2223" cm="1">
        <f t="array" ref="Q402">IF($D402&lt;COLUMNS($F$7:Q$7),"",INDEX(TableDiv[[GASB]:[GASB]],_xlfn.AGGREGATE(15,3,(TableDiv[[Agency]:[Agency]]=$E402)/(TableDiv[[Agency]:[Agency]]=$E402)*(ROW(TableDiv[Agency])-ROW(TableDiv[[#Headers],[Agency]])),COLUMNS($F$7:Q$7))))</f>
        <v>0</v>
      </c>
      <c r="R402" s="2223" cm="1">
        <f t="array" ref="R402">IF($D402&lt;COLUMNS($F$7:R$7),"",INDEX(TableDiv[[GASB]:[GASB]],_xlfn.AGGREGATE(15,3,(TableDiv[[Agency]:[Agency]]=$E402)/(TableDiv[[Agency]:[Agency]]=$E402)*(ROW(TableDiv[Agency])-ROW(TableDiv[[#Headers],[Agency]])),COLUMNS($F$7:R$7))))</f>
        <v>0</v>
      </c>
      <c r="S402" s="2223" cm="1">
        <f t="array" ref="S402">IF($D402&lt;COLUMNS($F$7:S$7),"",INDEX(TableDiv[[GASB]:[GASB]],_xlfn.AGGREGATE(15,3,(TableDiv[[Agency]:[Agency]]=$E402)/(TableDiv[[Agency]:[Agency]]=$E402)*(ROW(TableDiv[Agency])-ROW(TableDiv[[#Headers],[Agency]])),COLUMNS($F$7:S$7))))</f>
        <v>0</v>
      </c>
      <c r="T402" s="2223" cm="1">
        <f t="array" ref="T402">IF($D402&lt;COLUMNS($F$7:T$7),"",INDEX(TableDiv[[GASB]:[GASB]],_xlfn.AGGREGATE(15,3,(TableDiv[[Agency]:[Agency]]=$E402)/(TableDiv[[Agency]:[Agency]]=$E402)*(ROW(TableDiv[Agency])-ROW(TableDiv[[#Headers],[Agency]])),COLUMNS($F$7:T$7))))</f>
        <v>0</v>
      </c>
      <c r="U402" s="2223" cm="1">
        <f t="array" ref="U402">IF($D402&lt;COLUMNS($F$7:U$7),"",INDEX(TableDiv[[GASB]:[GASB]],_xlfn.AGGREGATE(15,3,(TableDiv[[Agency]:[Agency]]=$E402)/(TableDiv[[Agency]:[Agency]]=$E402)*(ROW(TableDiv[Agency])-ROW(TableDiv[[#Headers],[Agency]])),COLUMNS($F$7:U$7))))</f>
        <v>0</v>
      </c>
      <c r="V402" s="2223" cm="1">
        <f t="array" ref="V402">IF($D402&lt;COLUMNS($F$7:V$7),"",INDEX(TableDiv[[GASB]:[GASB]],_xlfn.AGGREGATE(15,3,(TableDiv[[Agency]:[Agency]]=$E402)/(TableDiv[[Agency]:[Agency]]=$E402)*(ROW(TableDiv[Agency])-ROW(TableDiv[[#Headers],[Agency]])),COLUMNS($F$7:V$7))))</f>
        <v>0</v>
      </c>
      <c r="W402" s="2223" cm="1">
        <f t="array" ref="W402">IF($D402&lt;COLUMNS($F$7:W$7),"",INDEX(TableDiv[[GASB]:[GASB]],_xlfn.AGGREGATE(15,3,(TableDiv[[Agency]:[Agency]]=$E402)/(TableDiv[[Agency]:[Agency]]=$E402)*(ROW(TableDiv[Agency])-ROW(TableDiv[[#Headers],[Agency]])),COLUMNS($F$7:W$7))))</f>
        <v>0</v>
      </c>
      <c r="X402" s="2223" cm="1">
        <f t="array" ref="X402">IF($D402&lt;COLUMNS($F$7:X$7),"",INDEX(TableDiv[[GASB]:[GASB]],_xlfn.AGGREGATE(15,3,(TableDiv[[Agency]:[Agency]]=$E402)/(TableDiv[[Agency]:[Agency]]=$E402)*(ROW(TableDiv[Agency])-ROW(TableDiv[[#Headers],[Agency]])),COLUMNS($F$7:X$7))))</f>
        <v>0</v>
      </c>
      <c r="Y402" s="2223" cm="1">
        <f t="array" ref="Y402">IF($D402&lt;COLUMNS($F$7:Y$7),"",INDEX(TableDiv[[GASB]:[GASB]],_xlfn.AGGREGATE(15,3,(TableDiv[[Agency]:[Agency]]=$E402)/(TableDiv[[Agency]:[Agency]]=$E402)*(ROW(TableDiv[Agency])-ROW(TableDiv[[#Headers],[Agency]])),COLUMNS($F$7:Y$7))))</f>
        <v>0</v>
      </c>
      <c r="Z402" s="2223" cm="1">
        <f t="array" ref="Z402">IF($D402&lt;COLUMNS($F$7:Z$7),"",INDEX(TableDiv[[GASB]:[GASB]],_xlfn.AGGREGATE(15,3,(TableDiv[[Agency]:[Agency]]=$E402)/(TableDiv[[Agency]:[Agency]]=$E402)*(ROW(TableDiv[Agency])-ROW(TableDiv[[#Headers],[Agency]])),COLUMNS($F$7:Z$7))))</f>
        <v>0</v>
      </c>
      <c r="AA402" s="2223" cm="1">
        <f t="array" ref="AA402">IF($D402&lt;COLUMNS($F$7:AA$7),"",INDEX(TableDiv[[GASB]:[GASB]],_xlfn.AGGREGATE(15,3,(TableDiv[[Agency]:[Agency]]=$E402)/(TableDiv[[Agency]:[Agency]]=$E402)*(ROW(TableDiv[Agency])-ROW(TableDiv[[#Headers],[Agency]])),COLUMNS($F$7:AA$7))))</f>
        <v>0</v>
      </c>
      <c r="AB402" s="2223" cm="1">
        <f t="array" ref="AB402">IF($D402&lt;COLUMNS($F$7:AB$7),"",INDEX(TableDiv[[GASB]:[GASB]],_xlfn.AGGREGATE(15,3,(TableDiv[[Agency]:[Agency]]=$E402)/(TableDiv[[Agency]:[Agency]]=$E402)*(ROW(TableDiv[Agency])-ROW(TableDiv[[#Headers],[Agency]])),COLUMNS($F$7:AB$7))))</f>
        <v>0</v>
      </c>
      <c r="AC402" s="2223" cm="1">
        <f t="array" ref="AC402">IF($D402&lt;COLUMNS($F$7:AC$7),"",INDEX(TableDiv[[GASB]:[GASB]],_xlfn.AGGREGATE(15,3,(TableDiv[[Agency]:[Agency]]=$E402)/(TableDiv[[Agency]:[Agency]]=$E402)*(ROW(TableDiv[Agency])-ROW(TableDiv[[#Headers],[Agency]])),COLUMNS($F$7:AC$7))))</f>
        <v>0</v>
      </c>
      <c r="AD402" s="2223" cm="1">
        <f t="array" ref="AD402">IF($D402&lt;COLUMNS($F$7:AD$7),"",INDEX(TableDiv[[GASB]:[GASB]],_xlfn.AGGREGATE(15,3,(TableDiv[[Agency]:[Agency]]=$E402)/(TableDiv[[Agency]:[Agency]]=$E402)*(ROW(TableDiv[Agency])-ROW(TableDiv[[#Headers],[Agency]])),COLUMNS($F$7:AD$7))))</f>
        <v>0</v>
      </c>
      <c r="AE402" s="2223" cm="1">
        <f t="array" ref="AE402">IF($D402&lt;COLUMNS($F$7:AE$7),"",INDEX(TableDiv[[GASB]:[GASB]],_xlfn.AGGREGATE(15,3,(TableDiv[[Agency]:[Agency]]=$E402)/(TableDiv[[Agency]:[Agency]]=$E402)*(ROW(TableDiv[Agency])-ROW(TableDiv[[#Headers],[Agency]])),COLUMNS($F$7:AE$7))))</f>
        <v>0</v>
      </c>
      <c r="AF402" s="2223" cm="1">
        <f t="array" ref="AF402">IF($D402&lt;COLUMNS($F$7:AF$7),"",INDEX(TableDiv[[GASB]:[GASB]],_xlfn.AGGREGATE(15,3,(TableDiv[[Agency]:[Agency]]=$E402)/(TableDiv[[Agency]:[Agency]]=$E402)*(ROW(TableDiv[Agency])-ROW(TableDiv[[#Headers],[Agency]])),COLUMNS($F$7:AF$7))))</f>
        <v>0</v>
      </c>
      <c r="AG402" s="2223" cm="1">
        <f t="array" ref="AG402">IF($D402&lt;COLUMNS($F$7:AG$7),"",INDEX(TableDiv[[GASB]:[GASB]],_xlfn.AGGREGATE(15,3,(TableDiv[[Agency]:[Agency]]=$E402)/(TableDiv[[Agency]:[Agency]]=$E402)*(ROW(TableDiv[Agency])-ROW(TableDiv[[#Headers],[Agency]])),COLUMNS($F$7:AG$7))))</f>
        <v>0</v>
      </c>
      <c r="AH402" s="2223" cm="1">
        <f t="array" ref="AH402">IF($D402&lt;COLUMNS($F$7:AH$7),"",INDEX(TableDiv[[GASB]:[GASB]],_xlfn.AGGREGATE(15,3,(TableDiv[[Agency]:[Agency]]=$E402)/(TableDiv[[Agency]:[Agency]]=$E402)*(ROW(TableDiv[Agency])-ROW(TableDiv[[#Headers],[Agency]])),COLUMNS($F$7:AH$7))))</f>
        <v>0</v>
      </c>
      <c r="AI402" s="2223" cm="1">
        <f t="array" ref="AI402">IF($D402&lt;COLUMNS($F$7:AI$7),"",INDEX(TableDiv[[GASB]:[GASB]],_xlfn.AGGREGATE(15,3,(TableDiv[[Agency]:[Agency]]=$E402)/(TableDiv[[Agency]:[Agency]]=$E402)*(ROW(TableDiv[Agency])-ROW(TableDiv[[#Headers],[Agency]])),COLUMNS($F$7:AI$7))))</f>
        <v>0</v>
      </c>
      <c r="AJ402" s="2223" cm="1">
        <f t="array" ref="AJ402">IF($D402&lt;COLUMNS($F$7:AJ$7),"",INDEX(TableDiv[[GASB]:[GASB]],_xlfn.AGGREGATE(15,3,(TableDiv[[Agency]:[Agency]]=$E402)/(TableDiv[[Agency]:[Agency]]=$E402)*(ROW(TableDiv[Agency])-ROW(TableDiv[[#Headers],[Agency]])),COLUMNS($F$7:AJ$7))))</f>
        <v>0</v>
      </c>
      <c r="AK402" s="2223" t="str" cm="1">
        <f t="array" ref="AK402">IF($D402&lt;COLUMNS($F$7:AK$7),"",INDEX(TableDiv[[GASB]:[GASB]],_xlfn.AGGREGATE(15,3,(TableDiv[[Agency]:[Agency]]=$E402)/(TableDiv[[Agency]:[Agency]]=$E402)*(ROW(TableDiv[Agency])-ROW(TableDiv[[#Headers],[Agency]])),COLUMNS($F$7:AK$7))))</f>
        <v/>
      </c>
      <c r="AL402" s="2223" t="str" cm="1">
        <f t="array" ref="AL402">IF($D402&lt;COLUMNS($F$7:AL$7),"",INDEX(TableDiv[[GASB]:[GASB]],_xlfn.AGGREGATE(15,3,(TableDiv[[Agency]:[Agency]]=$E402)/(TableDiv[[Agency]:[Agency]]=$E402)*(ROW(TableDiv[Agency])-ROW(TableDiv[[#Headers],[Agency]])),COLUMNS($F$7:AL$7))))</f>
        <v/>
      </c>
      <c r="AM402" s="2223" t="str" cm="1">
        <f t="array" ref="AM402">IF($D402&lt;COLUMNS($F$7:AM$7),"",INDEX(TableDiv[[GASB]:[GASB]],_xlfn.AGGREGATE(15,3,(TableDiv[[Agency]:[Agency]]=$E402)/(TableDiv[[Agency]:[Agency]]=$E402)*(ROW(TableDiv[Agency])-ROW(TableDiv[[#Headers],[Agency]])),COLUMNS($F$7:AM$7))))</f>
        <v/>
      </c>
      <c r="AN402" s="2223"/>
      <c r="AO402" s="2223"/>
      <c r="AP402" s="2223"/>
      <c r="AQ402" s="2223"/>
      <c r="AR402" s="2223"/>
      <c r="AS402" s="2223"/>
    </row>
    <row r="403" spans="1:45" ht="15" x14ac:dyDescent="0.25">
      <c r="A403" s="2219" t="s">
        <v>6520</v>
      </c>
      <c r="B403" s="2219" t="s">
        <v>6497</v>
      </c>
      <c r="C403" s="2223"/>
      <c r="D403" s="2223">
        <f>COUNTIF(TableDiv[Agency],E403)</f>
        <v>31</v>
      </c>
      <c r="E403" s="2230" t="str" cm="1">
        <f t="array" ref="E403">IFERROR(INDEX(TableDiv[Agency],MATCH(0,INDEX(COUNTIF($E$7:E402,TableDiv[Agency]),),0)),"")</f>
        <v/>
      </c>
      <c r="F403" s="2223" cm="1">
        <f t="array" ref="F403">IF($D403&lt;COLUMNS($F$7:F$7),"",INDEX(TableDiv[[GASB]:[GASB]],_xlfn.AGGREGATE(15,3,(TableDiv[[Agency]:[Agency]]=$E403)/(TableDiv[[Agency]:[Agency]]=$E403)*(ROW(TableDiv[Agency])-ROW(TableDiv[[#Headers],[Agency]])),COLUMNS($F$7:F$7))))</f>
        <v>0</v>
      </c>
      <c r="G403" s="2223" cm="1">
        <f t="array" ref="G403">IF($D403&lt;COLUMNS($F$7:G$7),"",INDEX(TableDiv[[GASB]:[GASB]],_xlfn.AGGREGATE(15,3,(TableDiv[[Agency]:[Agency]]=$E403)/(TableDiv[[Agency]:[Agency]]=$E403)*(ROW(TableDiv[Agency])-ROW(TableDiv[[#Headers],[Agency]])),COLUMNS($F$7:G$7))))</f>
        <v>0</v>
      </c>
      <c r="H403" s="2223" cm="1">
        <f t="array" ref="H403">IF($D403&lt;COLUMNS($F$7:H$7),"",INDEX(TableDiv[[GASB]:[GASB]],_xlfn.AGGREGATE(15,3,(TableDiv[[Agency]:[Agency]]=$E403)/(TableDiv[[Agency]:[Agency]]=$E403)*(ROW(TableDiv[Agency])-ROW(TableDiv[[#Headers],[Agency]])),COLUMNS($F$7:H$7))))</f>
        <v>0</v>
      </c>
      <c r="I403" s="2223" cm="1">
        <f t="array" ref="I403">IF($D403&lt;COLUMNS($F$7:I$7),"",INDEX(TableDiv[[GASB]:[GASB]],_xlfn.AGGREGATE(15,3,(TableDiv[[Agency]:[Agency]]=$E403)/(TableDiv[[Agency]:[Agency]]=$E403)*(ROW(TableDiv[Agency])-ROW(TableDiv[[#Headers],[Agency]])),COLUMNS($F$7:I$7))))</f>
        <v>0</v>
      </c>
      <c r="J403" s="2223" cm="1">
        <f t="array" ref="J403">IF($D403&lt;COLUMNS($F$7:J$7),"",INDEX(TableDiv[[GASB]:[GASB]],_xlfn.AGGREGATE(15,3,(TableDiv[[Agency]:[Agency]]=$E403)/(TableDiv[[Agency]:[Agency]]=$E403)*(ROW(TableDiv[Agency])-ROW(TableDiv[[#Headers],[Agency]])),COLUMNS($F$7:J$7))))</f>
        <v>0</v>
      </c>
      <c r="K403" s="2223" cm="1">
        <f t="array" ref="K403">IF($D403&lt;COLUMNS($F$7:K$7),"",INDEX(TableDiv[[GASB]:[GASB]],_xlfn.AGGREGATE(15,3,(TableDiv[[Agency]:[Agency]]=$E403)/(TableDiv[[Agency]:[Agency]]=$E403)*(ROW(TableDiv[Agency])-ROW(TableDiv[[#Headers],[Agency]])),COLUMNS($F$7:K$7))))</f>
        <v>0</v>
      </c>
      <c r="L403" s="2223" cm="1">
        <f t="array" ref="L403">IF($D403&lt;COLUMNS($F$7:L$7),"",INDEX(TableDiv[[GASB]:[GASB]],_xlfn.AGGREGATE(15,3,(TableDiv[[Agency]:[Agency]]=$E403)/(TableDiv[[Agency]:[Agency]]=$E403)*(ROW(TableDiv[Agency])-ROW(TableDiv[[#Headers],[Agency]])),COLUMNS($F$7:L$7))))</f>
        <v>0</v>
      </c>
      <c r="M403" s="2223" cm="1">
        <f t="array" ref="M403">IF($D403&lt;COLUMNS($F$7:M$7),"",INDEX(TableDiv[[GASB]:[GASB]],_xlfn.AGGREGATE(15,3,(TableDiv[[Agency]:[Agency]]=$E403)/(TableDiv[[Agency]:[Agency]]=$E403)*(ROW(TableDiv[Agency])-ROW(TableDiv[[#Headers],[Agency]])),COLUMNS($F$7:M$7))))</f>
        <v>0</v>
      </c>
      <c r="N403" s="2223" cm="1">
        <f t="array" ref="N403">IF($D403&lt;COLUMNS($F$7:N$7),"",INDEX(TableDiv[[GASB]:[GASB]],_xlfn.AGGREGATE(15,3,(TableDiv[[Agency]:[Agency]]=$E403)/(TableDiv[[Agency]:[Agency]]=$E403)*(ROW(TableDiv[Agency])-ROW(TableDiv[[#Headers],[Agency]])),COLUMNS($F$7:N$7))))</f>
        <v>0</v>
      </c>
      <c r="O403" s="2223" cm="1">
        <f t="array" ref="O403">IF($D403&lt;COLUMNS($F$7:O$7),"",INDEX(TableDiv[[GASB]:[GASB]],_xlfn.AGGREGATE(15,3,(TableDiv[[Agency]:[Agency]]=$E403)/(TableDiv[[Agency]:[Agency]]=$E403)*(ROW(TableDiv[Agency])-ROW(TableDiv[[#Headers],[Agency]])),COLUMNS($F$7:O$7))))</f>
        <v>0</v>
      </c>
      <c r="P403" s="2223" cm="1">
        <f t="array" ref="P403">IF($D403&lt;COLUMNS($F$7:P$7),"",INDEX(TableDiv[[GASB]:[GASB]],_xlfn.AGGREGATE(15,3,(TableDiv[[Agency]:[Agency]]=$E403)/(TableDiv[[Agency]:[Agency]]=$E403)*(ROW(TableDiv[Agency])-ROW(TableDiv[[#Headers],[Agency]])),COLUMNS($F$7:P$7))))</f>
        <v>0</v>
      </c>
      <c r="Q403" s="2223" cm="1">
        <f t="array" ref="Q403">IF($D403&lt;COLUMNS($F$7:Q$7),"",INDEX(TableDiv[[GASB]:[GASB]],_xlfn.AGGREGATE(15,3,(TableDiv[[Agency]:[Agency]]=$E403)/(TableDiv[[Agency]:[Agency]]=$E403)*(ROW(TableDiv[Agency])-ROW(TableDiv[[#Headers],[Agency]])),COLUMNS($F$7:Q$7))))</f>
        <v>0</v>
      </c>
      <c r="R403" s="2223" cm="1">
        <f t="array" ref="R403">IF($D403&lt;COLUMNS($F$7:R$7),"",INDEX(TableDiv[[GASB]:[GASB]],_xlfn.AGGREGATE(15,3,(TableDiv[[Agency]:[Agency]]=$E403)/(TableDiv[[Agency]:[Agency]]=$E403)*(ROW(TableDiv[Agency])-ROW(TableDiv[[#Headers],[Agency]])),COLUMNS($F$7:R$7))))</f>
        <v>0</v>
      </c>
      <c r="S403" s="2223" cm="1">
        <f t="array" ref="S403">IF($D403&lt;COLUMNS($F$7:S$7),"",INDEX(TableDiv[[GASB]:[GASB]],_xlfn.AGGREGATE(15,3,(TableDiv[[Agency]:[Agency]]=$E403)/(TableDiv[[Agency]:[Agency]]=$E403)*(ROW(TableDiv[Agency])-ROW(TableDiv[[#Headers],[Agency]])),COLUMNS($F$7:S$7))))</f>
        <v>0</v>
      </c>
      <c r="T403" s="2223" cm="1">
        <f t="array" ref="T403">IF($D403&lt;COLUMNS($F$7:T$7),"",INDEX(TableDiv[[GASB]:[GASB]],_xlfn.AGGREGATE(15,3,(TableDiv[[Agency]:[Agency]]=$E403)/(TableDiv[[Agency]:[Agency]]=$E403)*(ROW(TableDiv[Agency])-ROW(TableDiv[[#Headers],[Agency]])),COLUMNS($F$7:T$7))))</f>
        <v>0</v>
      </c>
      <c r="U403" s="2223" cm="1">
        <f t="array" ref="U403">IF($D403&lt;COLUMNS($F$7:U$7),"",INDEX(TableDiv[[GASB]:[GASB]],_xlfn.AGGREGATE(15,3,(TableDiv[[Agency]:[Agency]]=$E403)/(TableDiv[[Agency]:[Agency]]=$E403)*(ROW(TableDiv[Agency])-ROW(TableDiv[[#Headers],[Agency]])),COLUMNS($F$7:U$7))))</f>
        <v>0</v>
      </c>
      <c r="V403" s="2223" cm="1">
        <f t="array" ref="V403">IF($D403&lt;COLUMNS($F$7:V$7),"",INDEX(TableDiv[[GASB]:[GASB]],_xlfn.AGGREGATE(15,3,(TableDiv[[Agency]:[Agency]]=$E403)/(TableDiv[[Agency]:[Agency]]=$E403)*(ROW(TableDiv[Agency])-ROW(TableDiv[[#Headers],[Agency]])),COLUMNS($F$7:V$7))))</f>
        <v>0</v>
      </c>
      <c r="W403" s="2223" cm="1">
        <f t="array" ref="W403">IF($D403&lt;COLUMNS($F$7:W$7),"",INDEX(TableDiv[[GASB]:[GASB]],_xlfn.AGGREGATE(15,3,(TableDiv[[Agency]:[Agency]]=$E403)/(TableDiv[[Agency]:[Agency]]=$E403)*(ROW(TableDiv[Agency])-ROW(TableDiv[[#Headers],[Agency]])),COLUMNS($F$7:W$7))))</f>
        <v>0</v>
      </c>
      <c r="X403" s="2223" cm="1">
        <f t="array" ref="X403">IF($D403&lt;COLUMNS($F$7:X$7),"",INDEX(TableDiv[[GASB]:[GASB]],_xlfn.AGGREGATE(15,3,(TableDiv[[Agency]:[Agency]]=$E403)/(TableDiv[[Agency]:[Agency]]=$E403)*(ROW(TableDiv[Agency])-ROW(TableDiv[[#Headers],[Agency]])),COLUMNS($F$7:X$7))))</f>
        <v>0</v>
      </c>
      <c r="Y403" s="2223" cm="1">
        <f t="array" ref="Y403">IF($D403&lt;COLUMNS($F$7:Y$7),"",INDEX(TableDiv[[GASB]:[GASB]],_xlfn.AGGREGATE(15,3,(TableDiv[[Agency]:[Agency]]=$E403)/(TableDiv[[Agency]:[Agency]]=$E403)*(ROW(TableDiv[Agency])-ROW(TableDiv[[#Headers],[Agency]])),COLUMNS($F$7:Y$7))))</f>
        <v>0</v>
      </c>
      <c r="Z403" s="2223" cm="1">
        <f t="array" ref="Z403">IF($D403&lt;COLUMNS($F$7:Z$7),"",INDEX(TableDiv[[GASB]:[GASB]],_xlfn.AGGREGATE(15,3,(TableDiv[[Agency]:[Agency]]=$E403)/(TableDiv[[Agency]:[Agency]]=$E403)*(ROW(TableDiv[Agency])-ROW(TableDiv[[#Headers],[Agency]])),COLUMNS($F$7:Z$7))))</f>
        <v>0</v>
      </c>
      <c r="AA403" s="2223" cm="1">
        <f t="array" ref="AA403">IF($D403&lt;COLUMNS($F$7:AA$7),"",INDEX(TableDiv[[GASB]:[GASB]],_xlfn.AGGREGATE(15,3,(TableDiv[[Agency]:[Agency]]=$E403)/(TableDiv[[Agency]:[Agency]]=$E403)*(ROW(TableDiv[Agency])-ROW(TableDiv[[#Headers],[Agency]])),COLUMNS($F$7:AA$7))))</f>
        <v>0</v>
      </c>
      <c r="AB403" s="2223" cm="1">
        <f t="array" ref="AB403">IF($D403&lt;COLUMNS($F$7:AB$7),"",INDEX(TableDiv[[GASB]:[GASB]],_xlfn.AGGREGATE(15,3,(TableDiv[[Agency]:[Agency]]=$E403)/(TableDiv[[Agency]:[Agency]]=$E403)*(ROW(TableDiv[Agency])-ROW(TableDiv[[#Headers],[Agency]])),COLUMNS($F$7:AB$7))))</f>
        <v>0</v>
      </c>
      <c r="AC403" s="2223" cm="1">
        <f t="array" ref="AC403">IF($D403&lt;COLUMNS($F$7:AC$7),"",INDEX(TableDiv[[GASB]:[GASB]],_xlfn.AGGREGATE(15,3,(TableDiv[[Agency]:[Agency]]=$E403)/(TableDiv[[Agency]:[Agency]]=$E403)*(ROW(TableDiv[Agency])-ROW(TableDiv[[#Headers],[Agency]])),COLUMNS($F$7:AC$7))))</f>
        <v>0</v>
      </c>
      <c r="AD403" s="2223" cm="1">
        <f t="array" ref="AD403">IF($D403&lt;COLUMNS($F$7:AD$7),"",INDEX(TableDiv[[GASB]:[GASB]],_xlfn.AGGREGATE(15,3,(TableDiv[[Agency]:[Agency]]=$E403)/(TableDiv[[Agency]:[Agency]]=$E403)*(ROW(TableDiv[Agency])-ROW(TableDiv[[#Headers],[Agency]])),COLUMNS($F$7:AD$7))))</f>
        <v>0</v>
      </c>
      <c r="AE403" s="2223" cm="1">
        <f t="array" ref="AE403">IF($D403&lt;COLUMNS($F$7:AE$7),"",INDEX(TableDiv[[GASB]:[GASB]],_xlfn.AGGREGATE(15,3,(TableDiv[[Agency]:[Agency]]=$E403)/(TableDiv[[Agency]:[Agency]]=$E403)*(ROW(TableDiv[Agency])-ROW(TableDiv[[#Headers],[Agency]])),COLUMNS($F$7:AE$7))))</f>
        <v>0</v>
      </c>
      <c r="AF403" s="2223" cm="1">
        <f t="array" ref="AF403">IF($D403&lt;COLUMNS($F$7:AF$7),"",INDEX(TableDiv[[GASB]:[GASB]],_xlfn.AGGREGATE(15,3,(TableDiv[[Agency]:[Agency]]=$E403)/(TableDiv[[Agency]:[Agency]]=$E403)*(ROW(TableDiv[Agency])-ROW(TableDiv[[#Headers],[Agency]])),COLUMNS($F$7:AF$7))))</f>
        <v>0</v>
      </c>
      <c r="AG403" s="2223" cm="1">
        <f t="array" ref="AG403">IF($D403&lt;COLUMNS($F$7:AG$7),"",INDEX(TableDiv[[GASB]:[GASB]],_xlfn.AGGREGATE(15,3,(TableDiv[[Agency]:[Agency]]=$E403)/(TableDiv[[Agency]:[Agency]]=$E403)*(ROW(TableDiv[Agency])-ROW(TableDiv[[#Headers],[Agency]])),COLUMNS($F$7:AG$7))))</f>
        <v>0</v>
      </c>
      <c r="AH403" s="2223" cm="1">
        <f t="array" ref="AH403">IF($D403&lt;COLUMNS($F$7:AH$7),"",INDEX(TableDiv[[GASB]:[GASB]],_xlfn.AGGREGATE(15,3,(TableDiv[[Agency]:[Agency]]=$E403)/(TableDiv[[Agency]:[Agency]]=$E403)*(ROW(TableDiv[Agency])-ROW(TableDiv[[#Headers],[Agency]])),COLUMNS($F$7:AH$7))))</f>
        <v>0</v>
      </c>
      <c r="AI403" s="2223" cm="1">
        <f t="array" ref="AI403">IF($D403&lt;COLUMNS($F$7:AI$7),"",INDEX(TableDiv[[GASB]:[GASB]],_xlfn.AGGREGATE(15,3,(TableDiv[[Agency]:[Agency]]=$E403)/(TableDiv[[Agency]:[Agency]]=$E403)*(ROW(TableDiv[Agency])-ROW(TableDiv[[#Headers],[Agency]])),COLUMNS($F$7:AI$7))))</f>
        <v>0</v>
      </c>
      <c r="AJ403" s="2223" cm="1">
        <f t="array" ref="AJ403">IF($D403&lt;COLUMNS($F$7:AJ$7),"",INDEX(TableDiv[[GASB]:[GASB]],_xlfn.AGGREGATE(15,3,(TableDiv[[Agency]:[Agency]]=$E403)/(TableDiv[[Agency]:[Agency]]=$E403)*(ROW(TableDiv[Agency])-ROW(TableDiv[[#Headers],[Agency]])),COLUMNS($F$7:AJ$7))))</f>
        <v>0</v>
      </c>
      <c r="AK403" s="2223" t="str" cm="1">
        <f t="array" ref="AK403">IF($D403&lt;COLUMNS($F$7:AK$7),"",INDEX(TableDiv[[GASB]:[GASB]],_xlfn.AGGREGATE(15,3,(TableDiv[[Agency]:[Agency]]=$E403)/(TableDiv[[Agency]:[Agency]]=$E403)*(ROW(TableDiv[Agency])-ROW(TableDiv[[#Headers],[Agency]])),COLUMNS($F$7:AK$7))))</f>
        <v/>
      </c>
      <c r="AL403" s="2223" t="str" cm="1">
        <f t="array" ref="AL403">IF($D403&lt;COLUMNS($F$7:AL$7),"",INDEX(TableDiv[[GASB]:[GASB]],_xlfn.AGGREGATE(15,3,(TableDiv[[Agency]:[Agency]]=$E403)/(TableDiv[[Agency]:[Agency]]=$E403)*(ROW(TableDiv[Agency])-ROW(TableDiv[[#Headers],[Agency]])),COLUMNS($F$7:AL$7))))</f>
        <v/>
      </c>
      <c r="AM403" s="2223" t="str" cm="1">
        <f t="array" ref="AM403">IF($D403&lt;COLUMNS($F$7:AM$7),"",INDEX(TableDiv[[GASB]:[GASB]],_xlfn.AGGREGATE(15,3,(TableDiv[[Agency]:[Agency]]=$E403)/(TableDiv[[Agency]:[Agency]]=$E403)*(ROW(TableDiv[Agency])-ROW(TableDiv[[#Headers],[Agency]])),COLUMNS($F$7:AM$7))))</f>
        <v/>
      </c>
      <c r="AN403" s="2223"/>
      <c r="AO403" s="2223"/>
      <c r="AP403" s="2223"/>
      <c r="AQ403" s="2223"/>
      <c r="AR403" s="2223"/>
      <c r="AS403" s="2223"/>
    </row>
    <row r="404" spans="1:45" ht="15" x14ac:dyDescent="0.25">
      <c r="A404" s="2219" t="s">
        <v>6521</v>
      </c>
      <c r="B404" s="2219" t="s">
        <v>6497</v>
      </c>
      <c r="C404" s="2223"/>
      <c r="D404" s="2223">
        <f>COUNTIF(TableDiv[Agency],E404)</f>
        <v>31</v>
      </c>
      <c r="E404" s="2230" t="str" cm="1">
        <f t="array" ref="E404">IFERROR(INDEX(TableDiv[Agency],MATCH(0,INDEX(COUNTIF($E$7:E403,TableDiv[Agency]),),0)),"")</f>
        <v/>
      </c>
      <c r="F404" s="2223" cm="1">
        <f t="array" ref="F404">IF($D404&lt;COLUMNS($F$7:F$7),"",INDEX(TableDiv[[GASB]:[GASB]],_xlfn.AGGREGATE(15,3,(TableDiv[[Agency]:[Agency]]=$E404)/(TableDiv[[Agency]:[Agency]]=$E404)*(ROW(TableDiv[Agency])-ROW(TableDiv[[#Headers],[Agency]])),COLUMNS($F$7:F$7))))</f>
        <v>0</v>
      </c>
      <c r="G404" s="2223" cm="1">
        <f t="array" ref="G404">IF($D404&lt;COLUMNS($F$7:G$7),"",INDEX(TableDiv[[GASB]:[GASB]],_xlfn.AGGREGATE(15,3,(TableDiv[[Agency]:[Agency]]=$E404)/(TableDiv[[Agency]:[Agency]]=$E404)*(ROW(TableDiv[Agency])-ROW(TableDiv[[#Headers],[Agency]])),COLUMNS($F$7:G$7))))</f>
        <v>0</v>
      </c>
      <c r="H404" s="2223" cm="1">
        <f t="array" ref="H404">IF($D404&lt;COLUMNS($F$7:H$7),"",INDEX(TableDiv[[GASB]:[GASB]],_xlfn.AGGREGATE(15,3,(TableDiv[[Agency]:[Agency]]=$E404)/(TableDiv[[Agency]:[Agency]]=$E404)*(ROW(TableDiv[Agency])-ROW(TableDiv[[#Headers],[Agency]])),COLUMNS($F$7:H$7))))</f>
        <v>0</v>
      </c>
      <c r="I404" s="2223" cm="1">
        <f t="array" ref="I404">IF($D404&lt;COLUMNS($F$7:I$7),"",INDEX(TableDiv[[GASB]:[GASB]],_xlfn.AGGREGATE(15,3,(TableDiv[[Agency]:[Agency]]=$E404)/(TableDiv[[Agency]:[Agency]]=$E404)*(ROW(TableDiv[Agency])-ROW(TableDiv[[#Headers],[Agency]])),COLUMNS($F$7:I$7))))</f>
        <v>0</v>
      </c>
      <c r="J404" s="2223" cm="1">
        <f t="array" ref="J404">IF($D404&lt;COLUMNS($F$7:J$7),"",INDEX(TableDiv[[GASB]:[GASB]],_xlfn.AGGREGATE(15,3,(TableDiv[[Agency]:[Agency]]=$E404)/(TableDiv[[Agency]:[Agency]]=$E404)*(ROW(TableDiv[Agency])-ROW(TableDiv[[#Headers],[Agency]])),COLUMNS($F$7:J$7))))</f>
        <v>0</v>
      </c>
      <c r="K404" s="2223" cm="1">
        <f t="array" ref="K404">IF($D404&lt;COLUMNS($F$7:K$7),"",INDEX(TableDiv[[GASB]:[GASB]],_xlfn.AGGREGATE(15,3,(TableDiv[[Agency]:[Agency]]=$E404)/(TableDiv[[Agency]:[Agency]]=$E404)*(ROW(TableDiv[Agency])-ROW(TableDiv[[#Headers],[Agency]])),COLUMNS($F$7:K$7))))</f>
        <v>0</v>
      </c>
      <c r="L404" s="2223" cm="1">
        <f t="array" ref="L404">IF($D404&lt;COLUMNS($F$7:L$7),"",INDEX(TableDiv[[GASB]:[GASB]],_xlfn.AGGREGATE(15,3,(TableDiv[[Agency]:[Agency]]=$E404)/(TableDiv[[Agency]:[Agency]]=$E404)*(ROW(TableDiv[Agency])-ROW(TableDiv[[#Headers],[Agency]])),COLUMNS($F$7:L$7))))</f>
        <v>0</v>
      </c>
      <c r="M404" s="2223" cm="1">
        <f t="array" ref="M404">IF($D404&lt;COLUMNS($F$7:M$7),"",INDEX(TableDiv[[GASB]:[GASB]],_xlfn.AGGREGATE(15,3,(TableDiv[[Agency]:[Agency]]=$E404)/(TableDiv[[Agency]:[Agency]]=$E404)*(ROW(TableDiv[Agency])-ROW(TableDiv[[#Headers],[Agency]])),COLUMNS($F$7:M$7))))</f>
        <v>0</v>
      </c>
      <c r="N404" s="2223" cm="1">
        <f t="array" ref="N404">IF($D404&lt;COLUMNS($F$7:N$7),"",INDEX(TableDiv[[GASB]:[GASB]],_xlfn.AGGREGATE(15,3,(TableDiv[[Agency]:[Agency]]=$E404)/(TableDiv[[Agency]:[Agency]]=$E404)*(ROW(TableDiv[Agency])-ROW(TableDiv[[#Headers],[Agency]])),COLUMNS($F$7:N$7))))</f>
        <v>0</v>
      </c>
      <c r="O404" s="2223" cm="1">
        <f t="array" ref="O404">IF($D404&lt;COLUMNS($F$7:O$7),"",INDEX(TableDiv[[GASB]:[GASB]],_xlfn.AGGREGATE(15,3,(TableDiv[[Agency]:[Agency]]=$E404)/(TableDiv[[Agency]:[Agency]]=$E404)*(ROW(TableDiv[Agency])-ROW(TableDiv[[#Headers],[Agency]])),COLUMNS($F$7:O$7))))</f>
        <v>0</v>
      </c>
      <c r="P404" s="2223" cm="1">
        <f t="array" ref="P404">IF($D404&lt;COLUMNS($F$7:P$7),"",INDEX(TableDiv[[GASB]:[GASB]],_xlfn.AGGREGATE(15,3,(TableDiv[[Agency]:[Agency]]=$E404)/(TableDiv[[Agency]:[Agency]]=$E404)*(ROW(TableDiv[Agency])-ROW(TableDiv[[#Headers],[Agency]])),COLUMNS($F$7:P$7))))</f>
        <v>0</v>
      </c>
      <c r="Q404" s="2223" cm="1">
        <f t="array" ref="Q404">IF($D404&lt;COLUMNS($F$7:Q$7),"",INDEX(TableDiv[[GASB]:[GASB]],_xlfn.AGGREGATE(15,3,(TableDiv[[Agency]:[Agency]]=$E404)/(TableDiv[[Agency]:[Agency]]=$E404)*(ROW(TableDiv[Agency])-ROW(TableDiv[[#Headers],[Agency]])),COLUMNS($F$7:Q$7))))</f>
        <v>0</v>
      </c>
      <c r="R404" s="2223" cm="1">
        <f t="array" ref="R404">IF($D404&lt;COLUMNS($F$7:R$7),"",INDEX(TableDiv[[GASB]:[GASB]],_xlfn.AGGREGATE(15,3,(TableDiv[[Agency]:[Agency]]=$E404)/(TableDiv[[Agency]:[Agency]]=$E404)*(ROW(TableDiv[Agency])-ROW(TableDiv[[#Headers],[Agency]])),COLUMNS($F$7:R$7))))</f>
        <v>0</v>
      </c>
      <c r="S404" s="2223" cm="1">
        <f t="array" ref="S404">IF($D404&lt;COLUMNS($F$7:S$7),"",INDEX(TableDiv[[GASB]:[GASB]],_xlfn.AGGREGATE(15,3,(TableDiv[[Agency]:[Agency]]=$E404)/(TableDiv[[Agency]:[Agency]]=$E404)*(ROW(TableDiv[Agency])-ROW(TableDiv[[#Headers],[Agency]])),COLUMNS($F$7:S$7))))</f>
        <v>0</v>
      </c>
      <c r="T404" s="2223" cm="1">
        <f t="array" ref="T404">IF($D404&lt;COLUMNS($F$7:T$7),"",INDEX(TableDiv[[GASB]:[GASB]],_xlfn.AGGREGATE(15,3,(TableDiv[[Agency]:[Agency]]=$E404)/(TableDiv[[Agency]:[Agency]]=$E404)*(ROW(TableDiv[Agency])-ROW(TableDiv[[#Headers],[Agency]])),COLUMNS($F$7:T$7))))</f>
        <v>0</v>
      </c>
      <c r="U404" s="2223" cm="1">
        <f t="array" ref="U404">IF($D404&lt;COLUMNS($F$7:U$7),"",INDEX(TableDiv[[GASB]:[GASB]],_xlfn.AGGREGATE(15,3,(TableDiv[[Agency]:[Agency]]=$E404)/(TableDiv[[Agency]:[Agency]]=$E404)*(ROW(TableDiv[Agency])-ROW(TableDiv[[#Headers],[Agency]])),COLUMNS($F$7:U$7))))</f>
        <v>0</v>
      </c>
      <c r="V404" s="2223" cm="1">
        <f t="array" ref="V404">IF($D404&lt;COLUMNS($F$7:V$7),"",INDEX(TableDiv[[GASB]:[GASB]],_xlfn.AGGREGATE(15,3,(TableDiv[[Agency]:[Agency]]=$E404)/(TableDiv[[Agency]:[Agency]]=$E404)*(ROW(TableDiv[Agency])-ROW(TableDiv[[#Headers],[Agency]])),COLUMNS($F$7:V$7))))</f>
        <v>0</v>
      </c>
      <c r="W404" s="2223" cm="1">
        <f t="array" ref="W404">IF($D404&lt;COLUMNS($F$7:W$7),"",INDEX(TableDiv[[GASB]:[GASB]],_xlfn.AGGREGATE(15,3,(TableDiv[[Agency]:[Agency]]=$E404)/(TableDiv[[Agency]:[Agency]]=$E404)*(ROW(TableDiv[Agency])-ROW(TableDiv[[#Headers],[Agency]])),COLUMNS($F$7:W$7))))</f>
        <v>0</v>
      </c>
      <c r="X404" s="2223" cm="1">
        <f t="array" ref="X404">IF($D404&lt;COLUMNS($F$7:X$7),"",INDEX(TableDiv[[GASB]:[GASB]],_xlfn.AGGREGATE(15,3,(TableDiv[[Agency]:[Agency]]=$E404)/(TableDiv[[Agency]:[Agency]]=$E404)*(ROW(TableDiv[Agency])-ROW(TableDiv[[#Headers],[Agency]])),COLUMNS($F$7:X$7))))</f>
        <v>0</v>
      </c>
      <c r="Y404" s="2223" cm="1">
        <f t="array" ref="Y404">IF($D404&lt;COLUMNS($F$7:Y$7),"",INDEX(TableDiv[[GASB]:[GASB]],_xlfn.AGGREGATE(15,3,(TableDiv[[Agency]:[Agency]]=$E404)/(TableDiv[[Agency]:[Agency]]=$E404)*(ROW(TableDiv[Agency])-ROW(TableDiv[[#Headers],[Agency]])),COLUMNS($F$7:Y$7))))</f>
        <v>0</v>
      </c>
      <c r="Z404" s="2223" cm="1">
        <f t="array" ref="Z404">IF($D404&lt;COLUMNS($F$7:Z$7),"",INDEX(TableDiv[[GASB]:[GASB]],_xlfn.AGGREGATE(15,3,(TableDiv[[Agency]:[Agency]]=$E404)/(TableDiv[[Agency]:[Agency]]=$E404)*(ROW(TableDiv[Agency])-ROW(TableDiv[[#Headers],[Agency]])),COLUMNS($F$7:Z$7))))</f>
        <v>0</v>
      </c>
      <c r="AA404" s="2223" cm="1">
        <f t="array" ref="AA404">IF($D404&lt;COLUMNS($F$7:AA$7),"",INDEX(TableDiv[[GASB]:[GASB]],_xlfn.AGGREGATE(15,3,(TableDiv[[Agency]:[Agency]]=$E404)/(TableDiv[[Agency]:[Agency]]=$E404)*(ROW(TableDiv[Agency])-ROW(TableDiv[[#Headers],[Agency]])),COLUMNS($F$7:AA$7))))</f>
        <v>0</v>
      </c>
      <c r="AB404" s="2223" cm="1">
        <f t="array" ref="AB404">IF($D404&lt;COLUMNS($F$7:AB$7),"",INDEX(TableDiv[[GASB]:[GASB]],_xlfn.AGGREGATE(15,3,(TableDiv[[Agency]:[Agency]]=$E404)/(TableDiv[[Agency]:[Agency]]=$E404)*(ROW(TableDiv[Agency])-ROW(TableDiv[[#Headers],[Agency]])),COLUMNS($F$7:AB$7))))</f>
        <v>0</v>
      </c>
      <c r="AC404" s="2223" cm="1">
        <f t="array" ref="AC404">IF($D404&lt;COLUMNS($F$7:AC$7),"",INDEX(TableDiv[[GASB]:[GASB]],_xlfn.AGGREGATE(15,3,(TableDiv[[Agency]:[Agency]]=$E404)/(TableDiv[[Agency]:[Agency]]=$E404)*(ROW(TableDiv[Agency])-ROW(TableDiv[[#Headers],[Agency]])),COLUMNS($F$7:AC$7))))</f>
        <v>0</v>
      </c>
      <c r="AD404" s="2223" cm="1">
        <f t="array" ref="AD404">IF($D404&lt;COLUMNS($F$7:AD$7),"",INDEX(TableDiv[[GASB]:[GASB]],_xlfn.AGGREGATE(15,3,(TableDiv[[Agency]:[Agency]]=$E404)/(TableDiv[[Agency]:[Agency]]=$E404)*(ROW(TableDiv[Agency])-ROW(TableDiv[[#Headers],[Agency]])),COLUMNS($F$7:AD$7))))</f>
        <v>0</v>
      </c>
      <c r="AE404" s="2223" cm="1">
        <f t="array" ref="AE404">IF($D404&lt;COLUMNS($F$7:AE$7),"",INDEX(TableDiv[[GASB]:[GASB]],_xlfn.AGGREGATE(15,3,(TableDiv[[Agency]:[Agency]]=$E404)/(TableDiv[[Agency]:[Agency]]=$E404)*(ROW(TableDiv[Agency])-ROW(TableDiv[[#Headers],[Agency]])),COLUMNS($F$7:AE$7))))</f>
        <v>0</v>
      </c>
      <c r="AF404" s="2223" cm="1">
        <f t="array" ref="AF404">IF($D404&lt;COLUMNS($F$7:AF$7),"",INDEX(TableDiv[[GASB]:[GASB]],_xlfn.AGGREGATE(15,3,(TableDiv[[Agency]:[Agency]]=$E404)/(TableDiv[[Agency]:[Agency]]=$E404)*(ROW(TableDiv[Agency])-ROW(TableDiv[[#Headers],[Agency]])),COLUMNS($F$7:AF$7))))</f>
        <v>0</v>
      </c>
      <c r="AG404" s="2223" cm="1">
        <f t="array" ref="AG404">IF($D404&lt;COLUMNS($F$7:AG$7),"",INDEX(TableDiv[[GASB]:[GASB]],_xlfn.AGGREGATE(15,3,(TableDiv[[Agency]:[Agency]]=$E404)/(TableDiv[[Agency]:[Agency]]=$E404)*(ROW(TableDiv[Agency])-ROW(TableDiv[[#Headers],[Agency]])),COLUMNS($F$7:AG$7))))</f>
        <v>0</v>
      </c>
      <c r="AH404" s="2223" cm="1">
        <f t="array" ref="AH404">IF($D404&lt;COLUMNS($F$7:AH$7),"",INDEX(TableDiv[[GASB]:[GASB]],_xlfn.AGGREGATE(15,3,(TableDiv[[Agency]:[Agency]]=$E404)/(TableDiv[[Agency]:[Agency]]=$E404)*(ROW(TableDiv[Agency])-ROW(TableDiv[[#Headers],[Agency]])),COLUMNS($F$7:AH$7))))</f>
        <v>0</v>
      </c>
      <c r="AI404" s="2223" cm="1">
        <f t="array" ref="AI404">IF($D404&lt;COLUMNS($F$7:AI$7),"",INDEX(TableDiv[[GASB]:[GASB]],_xlfn.AGGREGATE(15,3,(TableDiv[[Agency]:[Agency]]=$E404)/(TableDiv[[Agency]:[Agency]]=$E404)*(ROW(TableDiv[Agency])-ROW(TableDiv[[#Headers],[Agency]])),COLUMNS($F$7:AI$7))))</f>
        <v>0</v>
      </c>
      <c r="AJ404" s="2223" cm="1">
        <f t="array" ref="AJ404">IF($D404&lt;COLUMNS($F$7:AJ$7),"",INDEX(TableDiv[[GASB]:[GASB]],_xlfn.AGGREGATE(15,3,(TableDiv[[Agency]:[Agency]]=$E404)/(TableDiv[[Agency]:[Agency]]=$E404)*(ROW(TableDiv[Agency])-ROW(TableDiv[[#Headers],[Agency]])),COLUMNS($F$7:AJ$7))))</f>
        <v>0</v>
      </c>
      <c r="AK404" s="2223" t="str" cm="1">
        <f t="array" ref="AK404">IF($D404&lt;COLUMNS($F$7:AK$7),"",INDEX(TableDiv[[GASB]:[GASB]],_xlfn.AGGREGATE(15,3,(TableDiv[[Agency]:[Agency]]=$E404)/(TableDiv[[Agency]:[Agency]]=$E404)*(ROW(TableDiv[Agency])-ROW(TableDiv[[#Headers],[Agency]])),COLUMNS($F$7:AK$7))))</f>
        <v/>
      </c>
      <c r="AL404" s="2223" t="str" cm="1">
        <f t="array" ref="AL404">IF($D404&lt;COLUMNS($F$7:AL$7),"",INDEX(TableDiv[[GASB]:[GASB]],_xlfn.AGGREGATE(15,3,(TableDiv[[Agency]:[Agency]]=$E404)/(TableDiv[[Agency]:[Agency]]=$E404)*(ROW(TableDiv[Agency])-ROW(TableDiv[[#Headers],[Agency]])),COLUMNS($F$7:AL$7))))</f>
        <v/>
      </c>
      <c r="AM404" s="2223" t="str" cm="1">
        <f t="array" ref="AM404">IF($D404&lt;COLUMNS($F$7:AM$7),"",INDEX(TableDiv[[GASB]:[GASB]],_xlfn.AGGREGATE(15,3,(TableDiv[[Agency]:[Agency]]=$E404)/(TableDiv[[Agency]:[Agency]]=$E404)*(ROW(TableDiv[Agency])-ROW(TableDiv[[#Headers],[Agency]])),COLUMNS($F$7:AM$7))))</f>
        <v/>
      </c>
      <c r="AN404" s="2223"/>
      <c r="AO404" s="2223"/>
      <c r="AP404" s="2223"/>
      <c r="AQ404" s="2223"/>
      <c r="AR404" s="2223"/>
      <c r="AS404" s="2223"/>
    </row>
    <row r="405" spans="1:45" ht="15" x14ac:dyDescent="0.25">
      <c r="A405" s="2219" t="s">
        <v>6522</v>
      </c>
      <c r="B405" s="2219" t="s">
        <v>6497</v>
      </c>
      <c r="C405" s="2223"/>
      <c r="D405" s="2223">
        <f>COUNTIF(TableDiv[Agency],E405)</f>
        <v>31</v>
      </c>
      <c r="E405" s="2230" t="str" cm="1">
        <f t="array" ref="E405">IFERROR(INDEX(TableDiv[Agency],MATCH(0,INDEX(COUNTIF($E$7:E404,TableDiv[Agency]),),0)),"")</f>
        <v/>
      </c>
      <c r="F405" s="2223" cm="1">
        <f t="array" ref="F405">IF($D405&lt;COLUMNS($F$7:F$7),"",INDEX(TableDiv[[GASB]:[GASB]],_xlfn.AGGREGATE(15,3,(TableDiv[[Agency]:[Agency]]=$E405)/(TableDiv[[Agency]:[Agency]]=$E405)*(ROW(TableDiv[Agency])-ROW(TableDiv[[#Headers],[Agency]])),COLUMNS($F$7:F$7))))</f>
        <v>0</v>
      </c>
      <c r="G405" s="2223" cm="1">
        <f t="array" ref="G405">IF($D405&lt;COLUMNS($F$7:G$7),"",INDEX(TableDiv[[GASB]:[GASB]],_xlfn.AGGREGATE(15,3,(TableDiv[[Agency]:[Agency]]=$E405)/(TableDiv[[Agency]:[Agency]]=$E405)*(ROW(TableDiv[Agency])-ROW(TableDiv[[#Headers],[Agency]])),COLUMNS($F$7:G$7))))</f>
        <v>0</v>
      </c>
      <c r="H405" s="2223" cm="1">
        <f t="array" ref="H405">IF($D405&lt;COLUMNS($F$7:H$7),"",INDEX(TableDiv[[GASB]:[GASB]],_xlfn.AGGREGATE(15,3,(TableDiv[[Agency]:[Agency]]=$E405)/(TableDiv[[Agency]:[Agency]]=$E405)*(ROW(TableDiv[Agency])-ROW(TableDiv[[#Headers],[Agency]])),COLUMNS($F$7:H$7))))</f>
        <v>0</v>
      </c>
      <c r="I405" s="2223" cm="1">
        <f t="array" ref="I405">IF($D405&lt;COLUMNS($F$7:I$7),"",INDEX(TableDiv[[GASB]:[GASB]],_xlfn.AGGREGATE(15,3,(TableDiv[[Agency]:[Agency]]=$E405)/(TableDiv[[Agency]:[Agency]]=$E405)*(ROW(TableDiv[Agency])-ROW(TableDiv[[#Headers],[Agency]])),COLUMNS($F$7:I$7))))</f>
        <v>0</v>
      </c>
      <c r="J405" s="2223" cm="1">
        <f t="array" ref="J405">IF($D405&lt;COLUMNS($F$7:J$7),"",INDEX(TableDiv[[GASB]:[GASB]],_xlfn.AGGREGATE(15,3,(TableDiv[[Agency]:[Agency]]=$E405)/(TableDiv[[Agency]:[Agency]]=$E405)*(ROW(TableDiv[Agency])-ROW(TableDiv[[#Headers],[Agency]])),COLUMNS($F$7:J$7))))</f>
        <v>0</v>
      </c>
      <c r="K405" s="2223" cm="1">
        <f t="array" ref="K405">IF($D405&lt;COLUMNS($F$7:K$7),"",INDEX(TableDiv[[GASB]:[GASB]],_xlfn.AGGREGATE(15,3,(TableDiv[[Agency]:[Agency]]=$E405)/(TableDiv[[Agency]:[Agency]]=$E405)*(ROW(TableDiv[Agency])-ROW(TableDiv[[#Headers],[Agency]])),COLUMNS($F$7:K$7))))</f>
        <v>0</v>
      </c>
      <c r="L405" s="2223" cm="1">
        <f t="array" ref="L405">IF($D405&lt;COLUMNS($F$7:L$7),"",INDEX(TableDiv[[GASB]:[GASB]],_xlfn.AGGREGATE(15,3,(TableDiv[[Agency]:[Agency]]=$E405)/(TableDiv[[Agency]:[Agency]]=$E405)*(ROW(TableDiv[Agency])-ROW(TableDiv[[#Headers],[Agency]])),COLUMNS($F$7:L$7))))</f>
        <v>0</v>
      </c>
      <c r="M405" s="2223" cm="1">
        <f t="array" ref="M405">IF($D405&lt;COLUMNS($F$7:M$7),"",INDEX(TableDiv[[GASB]:[GASB]],_xlfn.AGGREGATE(15,3,(TableDiv[[Agency]:[Agency]]=$E405)/(TableDiv[[Agency]:[Agency]]=$E405)*(ROW(TableDiv[Agency])-ROW(TableDiv[[#Headers],[Agency]])),COLUMNS($F$7:M$7))))</f>
        <v>0</v>
      </c>
      <c r="N405" s="2223" cm="1">
        <f t="array" ref="N405">IF($D405&lt;COLUMNS($F$7:N$7),"",INDEX(TableDiv[[GASB]:[GASB]],_xlfn.AGGREGATE(15,3,(TableDiv[[Agency]:[Agency]]=$E405)/(TableDiv[[Agency]:[Agency]]=$E405)*(ROW(TableDiv[Agency])-ROW(TableDiv[[#Headers],[Agency]])),COLUMNS($F$7:N$7))))</f>
        <v>0</v>
      </c>
      <c r="O405" s="2223" cm="1">
        <f t="array" ref="O405">IF($D405&lt;COLUMNS($F$7:O$7),"",INDEX(TableDiv[[GASB]:[GASB]],_xlfn.AGGREGATE(15,3,(TableDiv[[Agency]:[Agency]]=$E405)/(TableDiv[[Agency]:[Agency]]=$E405)*(ROW(TableDiv[Agency])-ROW(TableDiv[[#Headers],[Agency]])),COLUMNS($F$7:O$7))))</f>
        <v>0</v>
      </c>
      <c r="P405" s="2223" cm="1">
        <f t="array" ref="P405">IF($D405&lt;COLUMNS($F$7:P$7),"",INDEX(TableDiv[[GASB]:[GASB]],_xlfn.AGGREGATE(15,3,(TableDiv[[Agency]:[Agency]]=$E405)/(TableDiv[[Agency]:[Agency]]=$E405)*(ROW(TableDiv[Agency])-ROW(TableDiv[[#Headers],[Agency]])),COLUMNS($F$7:P$7))))</f>
        <v>0</v>
      </c>
      <c r="Q405" s="2223" cm="1">
        <f t="array" ref="Q405">IF($D405&lt;COLUMNS($F$7:Q$7),"",INDEX(TableDiv[[GASB]:[GASB]],_xlfn.AGGREGATE(15,3,(TableDiv[[Agency]:[Agency]]=$E405)/(TableDiv[[Agency]:[Agency]]=$E405)*(ROW(TableDiv[Agency])-ROW(TableDiv[[#Headers],[Agency]])),COLUMNS($F$7:Q$7))))</f>
        <v>0</v>
      </c>
      <c r="R405" s="2223" cm="1">
        <f t="array" ref="R405">IF($D405&lt;COLUMNS($F$7:R$7),"",INDEX(TableDiv[[GASB]:[GASB]],_xlfn.AGGREGATE(15,3,(TableDiv[[Agency]:[Agency]]=$E405)/(TableDiv[[Agency]:[Agency]]=$E405)*(ROW(TableDiv[Agency])-ROW(TableDiv[[#Headers],[Agency]])),COLUMNS($F$7:R$7))))</f>
        <v>0</v>
      </c>
      <c r="S405" s="2223" cm="1">
        <f t="array" ref="S405">IF($D405&lt;COLUMNS($F$7:S$7),"",INDEX(TableDiv[[GASB]:[GASB]],_xlfn.AGGREGATE(15,3,(TableDiv[[Agency]:[Agency]]=$E405)/(TableDiv[[Agency]:[Agency]]=$E405)*(ROW(TableDiv[Agency])-ROW(TableDiv[[#Headers],[Agency]])),COLUMNS($F$7:S$7))))</f>
        <v>0</v>
      </c>
      <c r="T405" s="2223" cm="1">
        <f t="array" ref="T405">IF($D405&lt;COLUMNS($F$7:T$7),"",INDEX(TableDiv[[GASB]:[GASB]],_xlfn.AGGREGATE(15,3,(TableDiv[[Agency]:[Agency]]=$E405)/(TableDiv[[Agency]:[Agency]]=$E405)*(ROW(TableDiv[Agency])-ROW(TableDiv[[#Headers],[Agency]])),COLUMNS($F$7:T$7))))</f>
        <v>0</v>
      </c>
      <c r="U405" s="2223" cm="1">
        <f t="array" ref="U405">IF($D405&lt;COLUMNS($F$7:U$7),"",INDEX(TableDiv[[GASB]:[GASB]],_xlfn.AGGREGATE(15,3,(TableDiv[[Agency]:[Agency]]=$E405)/(TableDiv[[Agency]:[Agency]]=$E405)*(ROW(TableDiv[Agency])-ROW(TableDiv[[#Headers],[Agency]])),COLUMNS($F$7:U$7))))</f>
        <v>0</v>
      </c>
      <c r="V405" s="2223" cm="1">
        <f t="array" ref="V405">IF($D405&lt;COLUMNS($F$7:V$7),"",INDEX(TableDiv[[GASB]:[GASB]],_xlfn.AGGREGATE(15,3,(TableDiv[[Agency]:[Agency]]=$E405)/(TableDiv[[Agency]:[Agency]]=$E405)*(ROW(TableDiv[Agency])-ROW(TableDiv[[#Headers],[Agency]])),COLUMNS($F$7:V$7))))</f>
        <v>0</v>
      </c>
      <c r="W405" s="2223" cm="1">
        <f t="array" ref="W405">IF($D405&lt;COLUMNS($F$7:W$7),"",INDEX(TableDiv[[GASB]:[GASB]],_xlfn.AGGREGATE(15,3,(TableDiv[[Agency]:[Agency]]=$E405)/(TableDiv[[Agency]:[Agency]]=$E405)*(ROW(TableDiv[Agency])-ROW(TableDiv[[#Headers],[Agency]])),COLUMNS($F$7:W$7))))</f>
        <v>0</v>
      </c>
      <c r="X405" s="2223" cm="1">
        <f t="array" ref="X405">IF($D405&lt;COLUMNS($F$7:X$7),"",INDEX(TableDiv[[GASB]:[GASB]],_xlfn.AGGREGATE(15,3,(TableDiv[[Agency]:[Agency]]=$E405)/(TableDiv[[Agency]:[Agency]]=$E405)*(ROW(TableDiv[Agency])-ROW(TableDiv[[#Headers],[Agency]])),COLUMNS($F$7:X$7))))</f>
        <v>0</v>
      </c>
      <c r="Y405" s="2223" cm="1">
        <f t="array" ref="Y405">IF($D405&lt;COLUMNS($F$7:Y$7),"",INDEX(TableDiv[[GASB]:[GASB]],_xlfn.AGGREGATE(15,3,(TableDiv[[Agency]:[Agency]]=$E405)/(TableDiv[[Agency]:[Agency]]=$E405)*(ROW(TableDiv[Agency])-ROW(TableDiv[[#Headers],[Agency]])),COLUMNS($F$7:Y$7))))</f>
        <v>0</v>
      </c>
      <c r="Z405" s="2223" cm="1">
        <f t="array" ref="Z405">IF($D405&lt;COLUMNS($F$7:Z$7),"",INDEX(TableDiv[[GASB]:[GASB]],_xlfn.AGGREGATE(15,3,(TableDiv[[Agency]:[Agency]]=$E405)/(TableDiv[[Agency]:[Agency]]=$E405)*(ROW(TableDiv[Agency])-ROW(TableDiv[[#Headers],[Agency]])),COLUMNS($F$7:Z$7))))</f>
        <v>0</v>
      </c>
      <c r="AA405" s="2223" cm="1">
        <f t="array" ref="AA405">IF($D405&lt;COLUMNS($F$7:AA$7),"",INDEX(TableDiv[[GASB]:[GASB]],_xlfn.AGGREGATE(15,3,(TableDiv[[Agency]:[Agency]]=$E405)/(TableDiv[[Agency]:[Agency]]=$E405)*(ROW(TableDiv[Agency])-ROW(TableDiv[[#Headers],[Agency]])),COLUMNS($F$7:AA$7))))</f>
        <v>0</v>
      </c>
      <c r="AB405" s="2223" cm="1">
        <f t="array" ref="AB405">IF($D405&lt;COLUMNS($F$7:AB$7),"",INDEX(TableDiv[[GASB]:[GASB]],_xlfn.AGGREGATE(15,3,(TableDiv[[Agency]:[Agency]]=$E405)/(TableDiv[[Agency]:[Agency]]=$E405)*(ROW(TableDiv[Agency])-ROW(TableDiv[[#Headers],[Agency]])),COLUMNS($F$7:AB$7))))</f>
        <v>0</v>
      </c>
      <c r="AC405" s="2223" cm="1">
        <f t="array" ref="AC405">IF($D405&lt;COLUMNS($F$7:AC$7),"",INDEX(TableDiv[[GASB]:[GASB]],_xlfn.AGGREGATE(15,3,(TableDiv[[Agency]:[Agency]]=$E405)/(TableDiv[[Agency]:[Agency]]=$E405)*(ROW(TableDiv[Agency])-ROW(TableDiv[[#Headers],[Agency]])),COLUMNS($F$7:AC$7))))</f>
        <v>0</v>
      </c>
      <c r="AD405" s="2223" cm="1">
        <f t="array" ref="AD405">IF($D405&lt;COLUMNS($F$7:AD$7),"",INDEX(TableDiv[[GASB]:[GASB]],_xlfn.AGGREGATE(15,3,(TableDiv[[Agency]:[Agency]]=$E405)/(TableDiv[[Agency]:[Agency]]=$E405)*(ROW(TableDiv[Agency])-ROW(TableDiv[[#Headers],[Agency]])),COLUMNS($F$7:AD$7))))</f>
        <v>0</v>
      </c>
      <c r="AE405" s="2223" cm="1">
        <f t="array" ref="AE405">IF($D405&lt;COLUMNS($F$7:AE$7),"",INDEX(TableDiv[[GASB]:[GASB]],_xlfn.AGGREGATE(15,3,(TableDiv[[Agency]:[Agency]]=$E405)/(TableDiv[[Agency]:[Agency]]=$E405)*(ROW(TableDiv[Agency])-ROW(TableDiv[[#Headers],[Agency]])),COLUMNS($F$7:AE$7))))</f>
        <v>0</v>
      </c>
      <c r="AF405" s="2223" cm="1">
        <f t="array" ref="AF405">IF($D405&lt;COLUMNS($F$7:AF$7),"",INDEX(TableDiv[[GASB]:[GASB]],_xlfn.AGGREGATE(15,3,(TableDiv[[Agency]:[Agency]]=$E405)/(TableDiv[[Agency]:[Agency]]=$E405)*(ROW(TableDiv[Agency])-ROW(TableDiv[[#Headers],[Agency]])),COLUMNS($F$7:AF$7))))</f>
        <v>0</v>
      </c>
      <c r="AG405" s="2223" cm="1">
        <f t="array" ref="AG405">IF($D405&lt;COLUMNS($F$7:AG$7),"",INDEX(TableDiv[[GASB]:[GASB]],_xlfn.AGGREGATE(15,3,(TableDiv[[Agency]:[Agency]]=$E405)/(TableDiv[[Agency]:[Agency]]=$E405)*(ROW(TableDiv[Agency])-ROW(TableDiv[[#Headers],[Agency]])),COLUMNS($F$7:AG$7))))</f>
        <v>0</v>
      </c>
      <c r="AH405" s="2223" cm="1">
        <f t="array" ref="AH405">IF($D405&lt;COLUMNS($F$7:AH$7),"",INDEX(TableDiv[[GASB]:[GASB]],_xlfn.AGGREGATE(15,3,(TableDiv[[Agency]:[Agency]]=$E405)/(TableDiv[[Agency]:[Agency]]=$E405)*(ROW(TableDiv[Agency])-ROW(TableDiv[[#Headers],[Agency]])),COLUMNS($F$7:AH$7))))</f>
        <v>0</v>
      </c>
      <c r="AI405" s="2223" cm="1">
        <f t="array" ref="AI405">IF($D405&lt;COLUMNS($F$7:AI$7),"",INDEX(TableDiv[[GASB]:[GASB]],_xlfn.AGGREGATE(15,3,(TableDiv[[Agency]:[Agency]]=$E405)/(TableDiv[[Agency]:[Agency]]=$E405)*(ROW(TableDiv[Agency])-ROW(TableDiv[[#Headers],[Agency]])),COLUMNS($F$7:AI$7))))</f>
        <v>0</v>
      </c>
      <c r="AJ405" s="2223" cm="1">
        <f t="array" ref="AJ405">IF($D405&lt;COLUMNS($F$7:AJ$7),"",INDEX(TableDiv[[GASB]:[GASB]],_xlfn.AGGREGATE(15,3,(TableDiv[[Agency]:[Agency]]=$E405)/(TableDiv[[Agency]:[Agency]]=$E405)*(ROW(TableDiv[Agency])-ROW(TableDiv[[#Headers],[Agency]])),COLUMNS($F$7:AJ$7))))</f>
        <v>0</v>
      </c>
      <c r="AK405" s="2223" t="str" cm="1">
        <f t="array" ref="AK405">IF($D405&lt;COLUMNS($F$7:AK$7),"",INDEX(TableDiv[[GASB]:[GASB]],_xlfn.AGGREGATE(15,3,(TableDiv[[Agency]:[Agency]]=$E405)/(TableDiv[[Agency]:[Agency]]=$E405)*(ROW(TableDiv[Agency])-ROW(TableDiv[[#Headers],[Agency]])),COLUMNS($F$7:AK$7))))</f>
        <v/>
      </c>
      <c r="AL405" s="2223" t="str" cm="1">
        <f t="array" ref="AL405">IF($D405&lt;COLUMNS($F$7:AL$7),"",INDEX(TableDiv[[GASB]:[GASB]],_xlfn.AGGREGATE(15,3,(TableDiv[[Agency]:[Agency]]=$E405)/(TableDiv[[Agency]:[Agency]]=$E405)*(ROW(TableDiv[Agency])-ROW(TableDiv[[#Headers],[Agency]])),COLUMNS($F$7:AL$7))))</f>
        <v/>
      </c>
      <c r="AM405" s="2223" t="str" cm="1">
        <f t="array" ref="AM405">IF($D405&lt;COLUMNS($F$7:AM$7),"",INDEX(TableDiv[[GASB]:[GASB]],_xlfn.AGGREGATE(15,3,(TableDiv[[Agency]:[Agency]]=$E405)/(TableDiv[[Agency]:[Agency]]=$E405)*(ROW(TableDiv[Agency])-ROW(TableDiv[[#Headers],[Agency]])),COLUMNS($F$7:AM$7))))</f>
        <v/>
      </c>
      <c r="AN405" s="2223"/>
      <c r="AO405" s="2223"/>
      <c r="AP405" s="2223"/>
      <c r="AQ405" s="2223"/>
      <c r="AR405" s="2223"/>
      <c r="AS405" s="2223"/>
    </row>
    <row r="406" spans="1:45" ht="15" x14ac:dyDescent="0.25">
      <c r="A406" s="2219" t="s">
        <v>6523</v>
      </c>
      <c r="B406" s="2219" t="s">
        <v>6497</v>
      </c>
      <c r="C406" s="2223"/>
      <c r="D406" s="2223">
        <f>COUNTIF(TableDiv[Agency],E406)</f>
        <v>31</v>
      </c>
      <c r="E406" s="2230" t="str" cm="1">
        <f t="array" ref="E406">IFERROR(INDEX(TableDiv[Agency],MATCH(0,INDEX(COUNTIF($E$7:E405,TableDiv[Agency]),),0)),"")</f>
        <v/>
      </c>
      <c r="F406" s="2223" cm="1">
        <f t="array" ref="F406">IF($D406&lt;COLUMNS($F$7:F$7),"",INDEX(TableDiv[[GASB]:[GASB]],_xlfn.AGGREGATE(15,3,(TableDiv[[Agency]:[Agency]]=$E406)/(TableDiv[[Agency]:[Agency]]=$E406)*(ROW(TableDiv[Agency])-ROW(TableDiv[[#Headers],[Agency]])),COLUMNS($F$7:F$7))))</f>
        <v>0</v>
      </c>
      <c r="G406" s="2223" cm="1">
        <f t="array" ref="G406">IF($D406&lt;COLUMNS($F$7:G$7),"",INDEX(TableDiv[[GASB]:[GASB]],_xlfn.AGGREGATE(15,3,(TableDiv[[Agency]:[Agency]]=$E406)/(TableDiv[[Agency]:[Agency]]=$E406)*(ROW(TableDiv[Agency])-ROW(TableDiv[[#Headers],[Agency]])),COLUMNS($F$7:G$7))))</f>
        <v>0</v>
      </c>
      <c r="H406" s="2223" cm="1">
        <f t="array" ref="H406">IF($D406&lt;COLUMNS($F$7:H$7),"",INDEX(TableDiv[[GASB]:[GASB]],_xlfn.AGGREGATE(15,3,(TableDiv[[Agency]:[Agency]]=$E406)/(TableDiv[[Agency]:[Agency]]=$E406)*(ROW(TableDiv[Agency])-ROW(TableDiv[[#Headers],[Agency]])),COLUMNS($F$7:H$7))))</f>
        <v>0</v>
      </c>
      <c r="I406" s="2223" cm="1">
        <f t="array" ref="I406">IF($D406&lt;COLUMNS($F$7:I$7),"",INDEX(TableDiv[[GASB]:[GASB]],_xlfn.AGGREGATE(15,3,(TableDiv[[Agency]:[Agency]]=$E406)/(TableDiv[[Agency]:[Agency]]=$E406)*(ROW(TableDiv[Agency])-ROW(TableDiv[[#Headers],[Agency]])),COLUMNS($F$7:I$7))))</f>
        <v>0</v>
      </c>
      <c r="J406" s="2223" cm="1">
        <f t="array" ref="J406">IF($D406&lt;COLUMNS($F$7:J$7),"",INDEX(TableDiv[[GASB]:[GASB]],_xlfn.AGGREGATE(15,3,(TableDiv[[Agency]:[Agency]]=$E406)/(TableDiv[[Agency]:[Agency]]=$E406)*(ROW(TableDiv[Agency])-ROW(TableDiv[[#Headers],[Agency]])),COLUMNS($F$7:J$7))))</f>
        <v>0</v>
      </c>
      <c r="K406" s="2223" cm="1">
        <f t="array" ref="K406">IF($D406&lt;COLUMNS($F$7:K$7),"",INDEX(TableDiv[[GASB]:[GASB]],_xlfn.AGGREGATE(15,3,(TableDiv[[Agency]:[Agency]]=$E406)/(TableDiv[[Agency]:[Agency]]=$E406)*(ROW(TableDiv[Agency])-ROW(TableDiv[[#Headers],[Agency]])),COLUMNS($F$7:K$7))))</f>
        <v>0</v>
      </c>
      <c r="L406" s="2223" cm="1">
        <f t="array" ref="L406">IF($D406&lt;COLUMNS($F$7:L$7),"",INDEX(TableDiv[[GASB]:[GASB]],_xlfn.AGGREGATE(15,3,(TableDiv[[Agency]:[Agency]]=$E406)/(TableDiv[[Agency]:[Agency]]=$E406)*(ROW(TableDiv[Agency])-ROW(TableDiv[[#Headers],[Agency]])),COLUMNS($F$7:L$7))))</f>
        <v>0</v>
      </c>
      <c r="M406" s="2223" cm="1">
        <f t="array" ref="M406">IF($D406&lt;COLUMNS($F$7:M$7),"",INDEX(TableDiv[[GASB]:[GASB]],_xlfn.AGGREGATE(15,3,(TableDiv[[Agency]:[Agency]]=$E406)/(TableDiv[[Agency]:[Agency]]=$E406)*(ROW(TableDiv[Agency])-ROW(TableDiv[[#Headers],[Agency]])),COLUMNS($F$7:M$7))))</f>
        <v>0</v>
      </c>
      <c r="N406" s="2223" cm="1">
        <f t="array" ref="N406">IF($D406&lt;COLUMNS($F$7:N$7),"",INDEX(TableDiv[[GASB]:[GASB]],_xlfn.AGGREGATE(15,3,(TableDiv[[Agency]:[Agency]]=$E406)/(TableDiv[[Agency]:[Agency]]=$E406)*(ROW(TableDiv[Agency])-ROW(TableDiv[[#Headers],[Agency]])),COLUMNS($F$7:N$7))))</f>
        <v>0</v>
      </c>
      <c r="O406" s="2223" cm="1">
        <f t="array" ref="O406">IF($D406&lt;COLUMNS($F$7:O$7),"",INDEX(TableDiv[[GASB]:[GASB]],_xlfn.AGGREGATE(15,3,(TableDiv[[Agency]:[Agency]]=$E406)/(TableDiv[[Agency]:[Agency]]=$E406)*(ROW(TableDiv[Agency])-ROW(TableDiv[[#Headers],[Agency]])),COLUMNS($F$7:O$7))))</f>
        <v>0</v>
      </c>
      <c r="P406" s="2223" cm="1">
        <f t="array" ref="P406">IF($D406&lt;COLUMNS($F$7:P$7),"",INDEX(TableDiv[[GASB]:[GASB]],_xlfn.AGGREGATE(15,3,(TableDiv[[Agency]:[Agency]]=$E406)/(TableDiv[[Agency]:[Agency]]=$E406)*(ROW(TableDiv[Agency])-ROW(TableDiv[[#Headers],[Agency]])),COLUMNS($F$7:P$7))))</f>
        <v>0</v>
      </c>
      <c r="Q406" s="2223" cm="1">
        <f t="array" ref="Q406">IF($D406&lt;COLUMNS($F$7:Q$7),"",INDEX(TableDiv[[GASB]:[GASB]],_xlfn.AGGREGATE(15,3,(TableDiv[[Agency]:[Agency]]=$E406)/(TableDiv[[Agency]:[Agency]]=$E406)*(ROW(TableDiv[Agency])-ROW(TableDiv[[#Headers],[Agency]])),COLUMNS($F$7:Q$7))))</f>
        <v>0</v>
      </c>
      <c r="R406" s="2223" cm="1">
        <f t="array" ref="R406">IF($D406&lt;COLUMNS($F$7:R$7),"",INDEX(TableDiv[[GASB]:[GASB]],_xlfn.AGGREGATE(15,3,(TableDiv[[Agency]:[Agency]]=$E406)/(TableDiv[[Agency]:[Agency]]=$E406)*(ROW(TableDiv[Agency])-ROW(TableDiv[[#Headers],[Agency]])),COLUMNS($F$7:R$7))))</f>
        <v>0</v>
      </c>
      <c r="S406" s="2223" cm="1">
        <f t="array" ref="S406">IF($D406&lt;COLUMNS($F$7:S$7),"",INDEX(TableDiv[[GASB]:[GASB]],_xlfn.AGGREGATE(15,3,(TableDiv[[Agency]:[Agency]]=$E406)/(TableDiv[[Agency]:[Agency]]=$E406)*(ROW(TableDiv[Agency])-ROW(TableDiv[[#Headers],[Agency]])),COLUMNS($F$7:S$7))))</f>
        <v>0</v>
      </c>
      <c r="T406" s="2223" cm="1">
        <f t="array" ref="T406">IF($D406&lt;COLUMNS($F$7:T$7),"",INDEX(TableDiv[[GASB]:[GASB]],_xlfn.AGGREGATE(15,3,(TableDiv[[Agency]:[Agency]]=$E406)/(TableDiv[[Agency]:[Agency]]=$E406)*(ROW(TableDiv[Agency])-ROW(TableDiv[[#Headers],[Agency]])),COLUMNS($F$7:T$7))))</f>
        <v>0</v>
      </c>
      <c r="U406" s="2223" cm="1">
        <f t="array" ref="U406">IF($D406&lt;COLUMNS($F$7:U$7),"",INDEX(TableDiv[[GASB]:[GASB]],_xlfn.AGGREGATE(15,3,(TableDiv[[Agency]:[Agency]]=$E406)/(TableDiv[[Agency]:[Agency]]=$E406)*(ROW(TableDiv[Agency])-ROW(TableDiv[[#Headers],[Agency]])),COLUMNS($F$7:U$7))))</f>
        <v>0</v>
      </c>
      <c r="V406" s="2223" cm="1">
        <f t="array" ref="V406">IF($D406&lt;COLUMNS($F$7:V$7),"",INDEX(TableDiv[[GASB]:[GASB]],_xlfn.AGGREGATE(15,3,(TableDiv[[Agency]:[Agency]]=$E406)/(TableDiv[[Agency]:[Agency]]=$E406)*(ROW(TableDiv[Agency])-ROW(TableDiv[[#Headers],[Agency]])),COLUMNS($F$7:V$7))))</f>
        <v>0</v>
      </c>
      <c r="W406" s="2223" cm="1">
        <f t="array" ref="W406">IF($D406&lt;COLUMNS($F$7:W$7),"",INDEX(TableDiv[[GASB]:[GASB]],_xlfn.AGGREGATE(15,3,(TableDiv[[Agency]:[Agency]]=$E406)/(TableDiv[[Agency]:[Agency]]=$E406)*(ROW(TableDiv[Agency])-ROW(TableDiv[[#Headers],[Agency]])),COLUMNS($F$7:W$7))))</f>
        <v>0</v>
      </c>
      <c r="X406" s="2223" cm="1">
        <f t="array" ref="X406">IF($D406&lt;COLUMNS($F$7:X$7),"",INDEX(TableDiv[[GASB]:[GASB]],_xlfn.AGGREGATE(15,3,(TableDiv[[Agency]:[Agency]]=$E406)/(TableDiv[[Agency]:[Agency]]=$E406)*(ROW(TableDiv[Agency])-ROW(TableDiv[[#Headers],[Agency]])),COLUMNS($F$7:X$7))))</f>
        <v>0</v>
      </c>
      <c r="Y406" s="2223" cm="1">
        <f t="array" ref="Y406">IF($D406&lt;COLUMNS($F$7:Y$7),"",INDEX(TableDiv[[GASB]:[GASB]],_xlfn.AGGREGATE(15,3,(TableDiv[[Agency]:[Agency]]=$E406)/(TableDiv[[Agency]:[Agency]]=$E406)*(ROW(TableDiv[Agency])-ROW(TableDiv[[#Headers],[Agency]])),COLUMNS($F$7:Y$7))))</f>
        <v>0</v>
      </c>
      <c r="Z406" s="2223" cm="1">
        <f t="array" ref="Z406">IF($D406&lt;COLUMNS($F$7:Z$7),"",INDEX(TableDiv[[GASB]:[GASB]],_xlfn.AGGREGATE(15,3,(TableDiv[[Agency]:[Agency]]=$E406)/(TableDiv[[Agency]:[Agency]]=$E406)*(ROW(TableDiv[Agency])-ROW(TableDiv[[#Headers],[Agency]])),COLUMNS($F$7:Z$7))))</f>
        <v>0</v>
      </c>
      <c r="AA406" s="2223" cm="1">
        <f t="array" ref="AA406">IF($D406&lt;COLUMNS($F$7:AA$7),"",INDEX(TableDiv[[GASB]:[GASB]],_xlfn.AGGREGATE(15,3,(TableDiv[[Agency]:[Agency]]=$E406)/(TableDiv[[Agency]:[Agency]]=$E406)*(ROW(TableDiv[Agency])-ROW(TableDiv[[#Headers],[Agency]])),COLUMNS($F$7:AA$7))))</f>
        <v>0</v>
      </c>
      <c r="AB406" s="2223" cm="1">
        <f t="array" ref="AB406">IF($D406&lt;COLUMNS($F$7:AB$7),"",INDEX(TableDiv[[GASB]:[GASB]],_xlfn.AGGREGATE(15,3,(TableDiv[[Agency]:[Agency]]=$E406)/(TableDiv[[Agency]:[Agency]]=$E406)*(ROW(TableDiv[Agency])-ROW(TableDiv[[#Headers],[Agency]])),COLUMNS($F$7:AB$7))))</f>
        <v>0</v>
      </c>
      <c r="AC406" s="2223" cm="1">
        <f t="array" ref="AC406">IF($D406&lt;COLUMNS($F$7:AC$7),"",INDEX(TableDiv[[GASB]:[GASB]],_xlfn.AGGREGATE(15,3,(TableDiv[[Agency]:[Agency]]=$E406)/(TableDiv[[Agency]:[Agency]]=$E406)*(ROW(TableDiv[Agency])-ROW(TableDiv[[#Headers],[Agency]])),COLUMNS($F$7:AC$7))))</f>
        <v>0</v>
      </c>
      <c r="AD406" s="2223" cm="1">
        <f t="array" ref="AD406">IF($D406&lt;COLUMNS($F$7:AD$7),"",INDEX(TableDiv[[GASB]:[GASB]],_xlfn.AGGREGATE(15,3,(TableDiv[[Agency]:[Agency]]=$E406)/(TableDiv[[Agency]:[Agency]]=$E406)*(ROW(TableDiv[Agency])-ROW(TableDiv[[#Headers],[Agency]])),COLUMNS($F$7:AD$7))))</f>
        <v>0</v>
      </c>
      <c r="AE406" s="2223" cm="1">
        <f t="array" ref="AE406">IF($D406&lt;COLUMNS($F$7:AE$7),"",INDEX(TableDiv[[GASB]:[GASB]],_xlfn.AGGREGATE(15,3,(TableDiv[[Agency]:[Agency]]=$E406)/(TableDiv[[Agency]:[Agency]]=$E406)*(ROW(TableDiv[Agency])-ROW(TableDiv[[#Headers],[Agency]])),COLUMNS($F$7:AE$7))))</f>
        <v>0</v>
      </c>
      <c r="AF406" s="2223" cm="1">
        <f t="array" ref="AF406">IF($D406&lt;COLUMNS($F$7:AF$7),"",INDEX(TableDiv[[GASB]:[GASB]],_xlfn.AGGREGATE(15,3,(TableDiv[[Agency]:[Agency]]=$E406)/(TableDiv[[Agency]:[Agency]]=$E406)*(ROW(TableDiv[Agency])-ROW(TableDiv[[#Headers],[Agency]])),COLUMNS($F$7:AF$7))))</f>
        <v>0</v>
      </c>
      <c r="AG406" s="2223" cm="1">
        <f t="array" ref="AG406">IF($D406&lt;COLUMNS($F$7:AG$7),"",INDEX(TableDiv[[GASB]:[GASB]],_xlfn.AGGREGATE(15,3,(TableDiv[[Agency]:[Agency]]=$E406)/(TableDiv[[Agency]:[Agency]]=$E406)*(ROW(TableDiv[Agency])-ROW(TableDiv[[#Headers],[Agency]])),COLUMNS($F$7:AG$7))))</f>
        <v>0</v>
      </c>
      <c r="AH406" s="2223" cm="1">
        <f t="array" ref="AH406">IF($D406&lt;COLUMNS($F$7:AH$7),"",INDEX(TableDiv[[GASB]:[GASB]],_xlfn.AGGREGATE(15,3,(TableDiv[[Agency]:[Agency]]=$E406)/(TableDiv[[Agency]:[Agency]]=$E406)*(ROW(TableDiv[Agency])-ROW(TableDiv[[#Headers],[Agency]])),COLUMNS($F$7:AH$7))))</f>
        <v>0</v>
      </c>
      <c r="AI406" s="2223" cm="1">
        <f t="array" ref="AI406">IF($D406&lt;COLUMNS($F$7:AI$7),"",INDEX(TableDiv[[GASB]:[GASB]],_xlfn.AGGREGATE(15,3,(TableDiv[[Agency]:[Agency]]=$E406)/(TableDiv[[Agency]:[Agency]]=$E406)*(ROW(TableDiv[Agency])-ROW(TableDiv[[#Headers],[Agency]])),COLUMNS($F$7:AI$7))))</f>
        <v>0</v>
      </c>
      <c r="AJ406" s="2223" cm="1">
        <f t="array" ref="AJ406">IF($D406&lt;COLUMNS($F$7:AJ$7),"",INDEX(TableDiv[[GASB]:[GASB]],_xlfn.AGGREGATE(15,3,(TableDiv[[Agency]:[Agency]]=$E406)/(TableDiv[[Agency]:[Agency]]=$E406)*(ROW(TableDiv[Agency])-ROW(TableDiv[[#Headers],[Agency]])),COLUMNS($F$7:AJ$7))))</f>
        <v>0</v>
      </c>
      <c r="AK406" s="2223" t="str" cm="1">
        <f t="array" ref="AK406">IF($D406&lt;COLUMNS($F$7:AK$7),"",INDEX(TableDiv[[GASB]:[GASB]],_xlfn.AGGREGATE(15,3,(TableDiv[[Agency]:[Agency]]=$E406)/(TableDiv[[Agency]:[Agency]]=$E406)*(ROW(TableDiv[Agency])-ROW(TableDiv[[#Headers],[Agency]])),COLUMNS($F$7:AK$7))))</f>
        <v/>
      </c>
      <c r="AL406" s="2223" t="str" cm="1">
        <f t="array" ref="AL406">IF($D406&lt;COLUMNS($F$7:AL$7),"",INDEX(TableDiv[[GASB]:[GASB]],_xlfn.AGGREGATE(15,3,(TableDiv[[Agency]:[Agency]]=$E406)/(TableDiv[[Agency]:[Agency]]=$E406)*(ROW(TableDiv[Agency])-ROW(TableDiv[[#Headers],[Agency]])),COLUMNS($F$7:AL$7))))</f>
        <v/>
      </c>
      <c r="AM406" s="2223" t="str" cm="1">
        <f t="array" ref="AM406">IF($D406&lt;COLUMNS($F$7:AM$7),"",INDEX(TableDiv[[GASB]:[GASB]],_xlfn.AGGREGATE(15,3,(TableDiv[[Agency]:[Agency]]=$E406)/(TableDiv[[Agency]:[Agency]]=$E406)*(ROW(TableDiv[Agency])-ROW(TableDiv[[#Headers],[Agency]])),COLUMNS($F$7:AM$7))))</f>
        <v/>
      </c>
      <c r="AN406" s="2223"/>
      <c r="AO406" s="2223"/>
      <c r="AP406" s="2223"/>
      <c r="AQ406" s="2223"/>
      <c r="AR406" s="2223"/>
      <c r="AS406" s="2223"/>
    </row>
    <row r="407" spans="1:45" ht="15" x14ac:dyDescent="0.25">
      <c r="A407" s="2219" t="s">
        <v>6524</v>
      </c>
      <c r="B407" s="2219" t="s">
        <v>6497</v>
      </c>
      <c r="C407" s="2223"/>
      <c r="D407" s="2223">
        <f>COUNTIF(TableDiv[Agency],E407)</f>
        <v>31</v>
      </c>
      <c r="E407" s="2230" t="str" cm="1">
        <f t="array" ref="E407">IFERROR(INDEX(TableDiv[Agency],MATCH(0,INDEX(COUNTIF($E$7:E406,TableDiv[Agency]),),0)),"")</f>
        <v/>
      </c>
      <c r="F407" s="2223" cm="1">
        <f t="array" ref="F407">IF($D407&lt;COLUMNS($F$7:F$7),"",INDEX(TableDiv[[GASB]:[GASB]],_xlfn.AGGREGATE(15,3,(TableDiv[[Agency]:[Agency]]=$E407)/(TableDiv[[Agency]:[Agency]]=$E407)*(ROW(TableDiv[Agency])-ROW(TableDiv[[#Headers],[Agency]])),COLUMNS($F$7:F$7))))</f>
        <v>0</v>
      </c>
      <c r="G407" s="2223" cm="1">
        <f t="array" ref="G407">IF($D407&lt;COLUMNS($F$7:G$7),"",INDEX(TableDiv[[GASB]:[GASB]],_xlfn.AGGREGATE(15,3,(TableDiv[[Agency]:[Agency]]=$E407)/(TableDiv[[Agency]:[Agency]]=$E407)*(ROW(TableDiv[Agency])-ROW(TableDiv[[#Headers],[Agency]])),COLUMNS($F$7:G$7))))</f>
        <v>0</v>
      </c>
      <c r="H407" s="2223" cm="1">
        <f t="array" ref="H407">IF($D407&lt;COLUMNS($F$7:H$7),"",INDEX(TableDiv[[GASB]:[GASB]],_xlfn.AGGREGATE(15,3,(TableDiv[[Agency]:[Agency]]=$E407)/(TableDiv[[Agency]:[Agency]]=$E407)*(ROW(TableDiv[Agency])-ROW(TableDiv[[#Headers],[Agency]])),COLUMNS($F$7:H$7))))</f>
        <v>0</v>
      </c>
      <c r="I407" s="2223" cm="1">
        <f t="array" ref="I407">IF($D407&lt;COLUMNS($F$7:I$7),"",INDEX(TableDiv[[GASB]:[GASB]],_xlfn.AGGREGATE(15,3,(TableDiv[[Agency]:[Agency]]=$E407)/(TableDiv[[Agency]:[Agency]]=$E407)*(ROW(TableDiv[Agency])-ROW(TableDiv[[#Headers],[Agency]])),COLUMNS($F$7:I$7))))</f>
        <v>0</v>
      </c>
      <c r="J407" s="2223" cm="1">
        <f t="array" ref="J407">IF($D407&lt;COLUMNS($F$7:J$7),"",INDEX(TableDiv[[GASB]:[GASB]],_xlfn.AGGREGATE(15,3,(TableDiv[[Agency]:[Agency]]=$E407)/(TableDiv[[Agency]:[Agency]]=$E407)*(ROW(TableDiv[Agency])-ROW(TableDiv[[#Headers],[Agency]])),COLUMNS($F$7:J$7))))</f>
        <v>0</v>
      </c>
      <c r="K407" s="2223" cm="1">
        <f t="array" ref="K407">IF($D407&lt;COLUMNS($F$7:K$7),"",INDEX(TableDiv[[GASB]:[GASB]],_xlfn.AGGREGATE(15,3,(TableDiv[[Agency]:[Agency]]=$E407)/(TableDiv[[Agency]:[Agency]]=$E407)*(ROW(TableDiv[Agency])-ROW(TableDiv[[#Headers],[Agency]])),COLUMNS($F$7:K$7))))</f>
        <v>0</v>
      </c>
      <c r="L407" s="2223" cm="1">
        <f t="array" ref="L407">IF($D407&lt;COLUMNS($F$7:L$7),"",INDEX(TableDiv[[GASB]:[GASB]],_xlfn.AGGREGATE(15,3,(TableDiv[[Agency]:[Agency]]=$E407)/(TableDiv[[Agency]:[Agency]]=$E407)*(ROW(TableDiv[Agency])-ROW(TableDiv[[#Headers],[Agency]])),COLUMNS($F$7:L$7))))</f>
        <v>0</v>
      </c>
      <c r="M407" s="2223" cm="1">
        <f t="array" ref="M407">IF($D407&lt;COLUMNS($F$7:M$7),"",INDEX(TableDiv[[GASB]:[GASB]],_xlfn.AGGREGATE(15,3,(TableDiv[[Agency]:[Agency]]=$E407)/(TableDiv[[Agency]:[Agency]]=$E407)*(ROW(TableDiv[Agency])-ROW(TableDiv[[#Headers],[Agency]])),COLUMNS($F$7:M$7))))</f>
        <v>0</v>
      </c>
      <c r="N407" s="2223" cm="1">
        <f t="array" ref="N407">IF($D407&lt;COLUMNS($F$7:N$7),"",INDEX(TableDiv[[GASB]:[GASB]],_xlfn.AGGREGATE(15,3,(TableDiv[[Agency]:[Agency]]=$E407)/(TableDiv[[Agency]:[Agency]]=$E407)*(ROW(TableDiv[Agency])-ROW(TableDiv[[#Headers],[Agency]])),COLUMNS($F$7:N$7))))</f>
        <v>0</v>
      </c>
      <c r="O407" s="2223" cm="1">
        <f t="array" ref="O407">IF($D407&lt;COLUMNS($F$7:O$7),"",INDEX(TableDiv[[GASB]:[GASB]],_xlfn.AGGREGATE(15,3,(TableDiv[[Agency]:[Agency]]=$E407)/(TableDiv[[Agency]:[Agency]]=$E407)*(ROW(TableDiv[Agency])-ROW(TableDiv[[#Headers],[Agency]])),COLUMNS($F$7:O$7))))</f>
        <v>0</v>
      </c>
      <c r="P407" s="2223" cm="1">
        <f t="array" ref="P407">IF($D407&lt;COLUMNS($F$7:P$7),"",INDEX(TableDiv[[GASB]:[GASB]],_xlfn.AGGREGATE(15,3,(TableDiv[[Agency]:[Agency]]=$E407)/(TableDiv[[Agency]:[Agency]]=$E407)*(ROW(TableDiv[Agency])-ROW(TableDiv[[#Headers],[Agency]])),COLUMNS($F$7:P$7))))</f>
        <v>0</v>
      </c>
      <c r="Q407" s="2223" cm="1">
        <f t="array" ref="Q407">IF($D407&lt;COLUMNS($F$7:Q$7),"",INDEX(TableDiv[[GASB]:[GASB]],_xlfn.AGGREGATE(15,3,(TableDiv[[Agency]:[Agency]]=$E407)/(TableDiv[[Agency]:[Agency]]=$E407)*(ROW(TableDiv[Agency])-ROW(TableDiv[[#Headers],[Agency]])),COLUMNS($F$7:Q$7))))</f>
        <v>0</v>
      </c>
      <c r="R407" s="2223" cm="1">
        <f t="array" ref="R407">IF($D407&lt;COLUMNS($F$7:R$7),"",INDEX(TableDiv[[GASB]:[GASB]],_xlfn.AGGREGATE(15,3,(TableDiv[[Agency]:[Agency]]=$E407)/(TableDiv[[Agency]:[Agency]]=$E407)*(ROW(TableDiv[Agency])-ROW(TableDiv[[#Headers],[Agency]])),COLUMNS($F$7:R$7))))</f>
        <v>0</v>
      </c>
      <c r="S407" s="2223" cm="1">
        <f t="array" ref="S407">IF($D407&lt;COLUMNS($F$7:S$7),"",INDEX(TableDiv[[GASB]:[GASB]],_xlfn.AGGREGATE(15,3,(TableDiv[[Agency]:[Agency]]=$E407)/(TableDiv[[Agency]:[Agency]]=$E407)*(ROW(TableDiv[Agency])-ROW(TableDiv[[#Headers],[Agency]])),COLUMNS($F$7:S$7))))</f>
        <v>0</v>
      </c>
      <c r="T407" s="2223" cm="1">
        <f t="array" ref="T407">IF($D407&lt;COLUMNS($F$7:T$7),"",INDEX(TableDiv[[GASB]:[GASB]],_xlfn.AGGREGATE(15,3,(TableDiv[[Agency]:[Agency]]=$E407)/(TableDiv[[Agency]:[Agency]]=$E407)*(ROW(TableDiv[Agency])-ROW(TableDiv[[#Headers],[Agency]])),COLUMNS($F$7:T$7))))</f>
        <v>0</v>
      </c>
      <c r="U407" s="2223" cm="1">
        <f t="array" ref="U407">IF($D407&lt;COLUMNS($F$7:U$7),"",INDEX(TableDiv[[GASB]:[GASB]],_xlfn.AGGREGATE(15,3,(TableDiv[[Agency]:[Agency]]=$E407)/(TableDiv[[Agency]:[Agency]]=$E407)*(ROW(TableDiv[Agency])-ROW(TableDiv[[#Headers],[Agency]])),COLUMNS($F$7:U$7))))</f>
        <v>0</v>
      </c>
      <c r="V407" s="2223" cm="1">
        <f t="array" ref="V407">IF($D407&lt;COLUMNS($F$7:V$7),"",INDEX(TableDiv[[GASB]:[GASB]],_xlfn.AGGREGATE(15,3,(TableDiv[[Agency]:[Agency]]=$E407)/(TableDiv[[Agency]:[Agency]]=$E407)*(ROW(TableDiv[Agency])-ROW(TableDiv[[#Headers],[Agency]])),COLUMNS($F$7:V$7))))</f>
        <v>0</v>
      </c>
      <c r="W407" s="2223" cm="1">
        <f t="array" ref="W407">IF($D407&lt;COLUMNS($F$7:W$7),"",INDEX(TableDiv[[GASB]:[GASB]],_xlfn.AGGREGATE(15,3,(TableDiv[[Agency]:[Agency]]=$E407)/(TableDiv[[Agency]:[Agency]]=$E407)*(ROW(TableDiv[Agency])-ROW(TableDiv[[#Headers],[Agency]])),COLUMNS($F$7:W$7))))</f>
        <v>0</v>
      </c>
      <c r="X407" s="2223" cm="1">
        <f t="array" ref="X407">IF($D407&lt;COLUMNS($F$7:X$7),"",INDEX(TableDiv[[GASB]:[GASB]],_xlfn.AGGREGATE(15,3,(TableDiv[[Agency]:[Agency]]=$E407)/(TableDiv[[Agency]:[Agency]]=$E407)*(ROW(TableDiv[Agency])-ROW(TableDiv[[#Headers],[Agency]])),COLUMNS($F$7:X$7))))</f>
        <v>0</v>
      </c>
      <c r="Y407" s="2223" cm="1">
        <f t="array" ref="Y407">IF($D407&lt;COLUMNS($F$7:Y$7),"",INDEX(TableDiv[[GASB]:[GASB]],_xlfn.AGGREGATE(15,3,(TableDiv[[Agency]:[Agency]]=$E407)/(TableDiv[[Agency]:[Agency]]=$E407)*(ROW(TableDiv[Agency])-ROW(TableDiv[[#Headers],[Agency]])),COLUMNS($F$7:Y$7))))</f>
        <v>0</v>
      </c>
      <c r="Z407" s="2223" cm="1">
        <f t="array" ref="Z407">IF($D407&lt;COLUMNS($F$7:Z$7),"",INDEX(TableDiv[[GASB]:[GASB]],_xlfn.AGGREGATE(15,3,(TableDiv[[Agency]:[Agency]]=$E407)/(TableDiv[[Agency]:[Agency]]=$E407)*(ROW(TableDiv[Agency])-ROW(TableDiv[[#Headers],[Agency]])),COLUMNS($F$7:Z$7))))</f>
        <v>0</v>
      </c>
      <c r="AA407" s="2223" cm="1">
        <f t="array" ref="AA407">IF($D407&lt;COLUMNS($F$7:AA$7),"",INDEX(TableDiv[[GASB]:[GASB]],_xlfn.AGGREGATE(15,3,(TableDiv[[Agency]:[Agency]]=$E407)/(TableDiv[[Agency]:[Agency]]=$E407)*(ROW(TableDiv[Agency])-ROW(TableDiv[[#Headers],[Agency]])),COLUMNS($F$7:AA$7))))</f>
        <v>0</v>
      </c>
      <c r="AB407" s="2223" cm="1">
        <f t="array" ref="AB407">IF($D407&lt;COLUMNS($F$7:AB$7),"",INDEX(TableDiv[[GASB]:[GASB]],_xlfn.AGGREGATE(15,3,(TableDiv[[Agency]:[Agency]]=$E407)/(TableDiv[[Agency]:[Agency]]=$E407)*(ROW(TableDiv[Agency])-ROW(TableDiv[[#Headers],[Agency]])),COLUMNS($F$7:AB$7))))</f>
        <v>0</v>
      </c>
      <c r="AC407" s="2223" cm="1">
        <f t="array" ref="AC407">IF($D407&lt;COLUMNS($F$7:AC$7),"",INDEX(TableDiv[[GASB]:[GASB]],_xlfn.AGGREGATE(15,3,(TableDiv[[Agency]:[Agency]]=$E407)/(TableDiv[[Agency]:[Agency]]=$E407)*(ROW(TableDiv[Agency])-ROW(TableDiv[[#Headers],[Agency]])),COLUMNS($F$7:AC$7))))</f>
        <v>0</v>
      </c>
      <c r="AD407" s="2223" cm="1">
        <f t="array" ref="AD407">IF($D407&lt;COLUMNS($F$7:AD$7),"",INDEX(TableDiv[[GASB]:[GASB]],_xlfn.AGGREGATE(15,3,(TableDiv[[Agency]:[Agency]]=$E407)/(TableDiv[[Agency]:[Agency]]=$E407)*(ROW(TableDiv[Agency])-ROW(TableDiv[[#Headers],[Agency]])),COLUMNS($F$7:AD$7))))</f>
        <v>0</v>
      </c>
      <c r="AE407" s="2223" cm="1">
        <f t="array" ref="AE407">IF($D407&lt;COLUMNS($F$7:AE$7),"",INDEX(TableDiv[[GASB]:[GASB]],_xlfn.AGGREGATE(15,3,(TableDiv[[Agency]:[Agency]]=$E407)/(TableDiv[[Agency]:[Agency]]=$E407)*(ROW(TableDiv[Agency])-ROW(TableDiv[[#Headers],[Agency]])),COLUMNS($F$7:AE$7))))</f>
        <v>0</v>
      </c>
      <c r="AF407" s="2223" cm="1">
        <f t="array" ref="AF407">IF($D407&lt;COLUMNS($F$7:AF$7),"",INDEX(TableDiv[[GASB]:[GASB]],_xlfn.AGGREGATE(15,3,(TableDiv[[Agency]:[Agency]]=$E407)/(TableDiv[[Agency]:[Agency]]=$E407)*(ROW(TableDiv[Agency])-ROW(TableDiv[[#Headers],[Agency]])),COLUMNS($F$7:AF$7))))</f>
        <v>0</v>
      </c>
      <c r="AG407" s="2223" cm="1">
        <f t="array" ref="AG407">IF($D407&lt;COLUMNS($F$7:AG$7),"",INDEX(TableDiv[[GASB]:[GASB]],_xlfn.AGGREGATE(15,3,(TableDiv[[Agency]:[Agency]]=$E407)/(TableDiv[[Agency]:[Agency]]=$E407)*(ROW(TableDiv[Agency])-ROW(TableDiv[[#Headers],[Agency]])),COLUMNS($F$7:AG$7))))</f>
        <v>0</v>
      </c>
      <c r="AH407" s="2223" cm="1">
        <f t="array" ref="AH407">IF($D407&lt;COLUMNS($F$7:AH$7),"",INDEX(TableDiv[[GASB]:[GASB]],_xlfn.AGGREGATE(15,3,(TableDiv[[Agency]:[Agency]]=$E407)/(TableDiv[[Agency]:[Agency]]=$E407)*(ROW(TableDiv[Agency])-ROW(TableDiv[[#Headers],[Agency]])),COLUMNS($F$7:AH$7))))</f>
        <v>0</v>
      </c>
      <c r="AI407" s="2223" cm="1">
        <f t="array" ref="AI407">IF($D407&lt;COLUMNS($F$7:AI$7),"",INDEX(TableDiv[[GASB]:[GASB]],_xlfn.AGGREGATE(15,3,(TableDiv[[Agency]:[Agency]]=$E407)/(TableDiv[[Agency]:[Agency]]=$E407)*(ROW(TableDiv[Agency])-ROW(TableDiv[[#Headers],[Agency]])),COLUMNS($F$7:AI$7))))</f>
        <v>0</v>
      </c>
      <c r="AJ407" s="2223" cm="1">
        <f t="array" ref="AJ407">IF($D407&lt;COLUMNS($F$7:AJ$7),"",INDEX(TableDiv[[GASB]:[GASB]],_xlfn.AGGREGATE(15,3,(TableDiv[[Agency]:[Agency]]=$E407)/(TableDiv[[Agency]:[Agency]]=$E407)*(ROW(TableDiv[Agency])-ROW(TableDiv[[#Headers],[Agency]])),COLUMNS($F$7:AJ$7))))</f>
        <v>0</v>
      </c>
      <c r="AK407" s="2223" t="str" cm="1">
        <f t="array" ref="AK407">IF($D407&lt;COLUMNS($F$7:AK$7),"",INDEX(TableDiv[[GASB]:[GASB]],_xlfn.AGGREGATE(15,3,(TableDiv[[Agency]:[Agency]]=$E407)/(TableDiv[[Agency]:[Agency]]=$E407)*(ROW(TableDiv[Agency])-ROW(TableDiv[[#Headers],[Agency]])),COLUMNS($F$7:AK$7))))</f>
        <v/>
      </c>
      <c r="AL407" s="2223" t="str" cm="1">
        <f t="array" ref="AL407">IF($D407&lt;COLUMNS($F$7:AL$7),"",INDEX(TableDiv[[GASB]:[GASB]],_xlfn.AGGREGATE(15,3,(TableDiv[[Agency]:[Agency]]=$E407)/(TableDiv[[Agency]:[Agency]]=$E407)*(ROW(TableDiv[Agency])-ROW(TableDiv[[#Headers],[Agency]])),COLUMNS($F$7:AL$7))))</f>
        <v/>
      </c>
      <c r="AM407" s="2223" t="str" cm="1">
        <f t="array" ref="AM407">IF($D407&lt;COLUMNS($F$7:AM$7),"",INDEX(TableDiv[[GASB]:[GASB]],_xlfn.AGGREGATE(15,3,(TableDiv[[Agency]:[Agency]]=$E407)/(TableDiv[[Agency]:[Agency]]=$E407)*(ROW(TableDiv[Agency])-ROW(TableDiv[[#Headers],[Agency]])),COLUMNS($F$7:AM$7))))</f>
        <v/>
      </c>
      <c r="AN407" s="2223"/>
      <c r="AO407" s="2223"/>
      <c r="AP407" s="2223"/>
      <c r="AQ407" s="2223"/>
      <c r="AR407" s="2223"/>
      <c r="AS407" s="2223"/>
    </row>
    <row r="408" spans="1:45" ht="15" x14ac:dyDescent="0.25">
      <c r="A408" s="2219" t="s">
        <v>6525</v>
      </c>
      <c r="B408" s="2219" t="s">
        <v>6497</v>
      </c>
      <c r="C408" s="2223"/>
      <c r="D408" s="2223">
        <f>COUNTIF(TableDiv[Agency],E408)</f>
        <v>31</v>
      </c>
      <c r="E408" s="2230" t="str" cm="1">
        <f t="array" ref="E408">IFERROR(INDEX(TableDiv[Agency],MATCH(0,INDEX(COUNTIF($E$7:E407,TableDiv[Agency]),),0)),"")</f>
        <v/>
      </c>
      <c r="F408" s="2223" cm="1">
        <f t="array" ref="F408">IF($D408&lt;COLUMNS($F$7:F$7),"",INDEX(TableDiv[[GASB]:[GASB]],_xlfn.AGGREGATE(15,3,(TableDiv[[Agency]:[Agency]]=$E408)/(TableDiv[[Agency]:[Agency]]=$E408)*(ROW(TableDiv[Agency])-ROW(TableDiv[[#Headers],[Agency]])),COLUMNS($F$7:F$7))))</f>
        <v>0</v>
      </c>
      <c r="G408" s="2223" cm="1">
        <f t="array" ref="G408">IF($D408&lt;COLUMNS($F$7:G$7),"",INDEX(TableDiv[[GASB]:[GASB]],_xlfn.AGGREGATE(15,3,(TableDiv[[Agency]:[Agency]]=$E408)/(TableDiv[[Agency]:[Agency]]=$E408)*(ROW(TableDiv[Agency])-ROW(TableDiv[[#Headers],[Agency]])),COLUMNS($F$7:G$7))))</f>
        <v>0</v>
      </c>
      <c r="H408" s="2223" cm="1">
        <f t="array" ref="H408">IF($D408&lt;COLUMNS($F$7:H$7),"",INDEX(TableDiv[[GASB]:[GASB]],_xlfn.AGGREGATE(15,3,(TableDiv[[Agency]:[Agency]]=$E408)/(TableDiv[[Agency]:[Agency]]=$E408)*(ROW(TableDiv[Agency])-ROW(TableDiv[[#Headers],[Agency]])),COLUMNS($F$7:H$7))))</f>
        <v>0</v>
      </c>
      <c r="I408" s="2223" cm="1">
        <f t="array" ref="I408">IF($D408&lt;COLUMNS($F$7:I$7),"",INDEX(TableDiv[[GASB]:[GASB]],_xlfn.AGGREGATE(15,3,(TableDiv[[Agency]:[Agency]]=$E408)/(TableDiv[[Agency]:[Agency]]=$E408)*(ROW(TableDiv[Agency])-ROW(TableDiv[[#Headers],[Agency]])),COLUMNS($F$7:I$7))))</f>
        <v>0</v>
      </c>
      <c r="J408" s="2223" cm="1">
        <f t="array" ref="J408">IF($D408&lt;COLUMNS($F$7:J$7),"",INDEX(TableDiv[[GASB]:[GASB]],_xlfn.AGGREGATE(15,3,(TableDiv[[Agency]:[Agency]]=$E408)/(TableDiv[[Agency]:[Agency]]=$E408)*(ROW(TableDiv[Agency])-ROW(TableDiv[[#Headers],[Agency]])),COLUMNS($F$7:J$7))))</f>
        <v>0</v>
      </c>
      <c r="K408" s="2223" cm="1">
        <f t="array" ref="K408">IF($D408&lt;COLUMNS($F$7:K$7),"",INDEX(TableDiv[[GASB]:[GASB]],_xlfn.AGGREGATE(15,3,(TableDiv[[Agency]:[Agency]]=$E408)/(TableDiv[[Agency]:[Agency]]=$E408)*(ROW(TableDiv[Agency])-ROW(TableDiv[[#Headers],[Agency]])),COLUMNS($F$7:K$7))))</f>
        <v>0</v>
      </c>
      <c r="L408" s="2223" cm="1">
        <f t="array" ref="L408">IF($D408&lt;COLUMNS($F$7:L$7),"",INDEX(TableDiv[[GASB]:[GASB]],_xlfn.AGGREGATE(15,3,(TableDiv[[Agency]:[Agency]]=$E408)/(TableDiv[[Agency]:[Agency]]=$E408)*(ROW(TableDiv[Agency])-ROW(TableDiv[[#Headers],[Agency]])),COLUMNS($F$7:L$7))))</f>
        <v>0</v>
      </c>
      <c r="M408" s="2223" cm="1">
        <f t="array" ref="M408">IF($D408&lt;COLUMNS($F$7:M$7),"",INDEX(TableDiv[[GASB]:[GASB]],_xlfn.AGGREGATE(15,3,(TableDiv[[Agency]:[Agency]]=$E408)/(TableDiv[[Agency]:[Agency]]=$E408)*(ROW(TableDiv[Agency])-ROW(TableDiv[[#Headers],[Agency]])),COLUMNS($F$7:M$7))))</f>
        <v>0</v>
      </c>
      <c r="N408" s="2223" cm="1">
        <f t="array" ref="N408">IF($D408&lt;COLUMNS($F$7:N$7),"",INDEX(TableDiv[[GASB]:[GASB]],_xlfn.AGGREGATE(15,3,(TableDiv[[Agency]:[Agency]]=$E408)/(TableDiv[[Agency]:[Agency]]=$E408)*(ROW(TableDiv[Agency])-ROW(TableDiv[[#Headers],[Agency]])),COLUMNS($F$7:N$7))))</f>
        <v>0</v>
      </c>
      <c r="O408" s="2223" cm="1">
        <f t="array" ref="O408">IF($D408&lt;COLUMNS($F$7:O$7),"",INDEX(TableDiv[[GASB]:[GASB]],_xlfn.AGGREGATE(15,3,(TableDiv[[Agency]:[Agency]]=$E408)/(TableDiv[[Agency]:[Agency]]=$E408)*(ROW(TableDiv[Agency])-ROW(TableDiv[[#Headers],[Agency]])),COLUMNS($F$7:O$7))))</f>
        <v>0</v>
      </c>
      <c r="P408" s="2223" cm="1">
        <f t="array" ref="P408">IF($D408&lt;COLUMNS($F$7:P$7),"",INDEX(TableDiv[[GASB]:[GASB]],_xlfn.AGGREGATE(15,3,(TableDiv[[Agency]:[Agency]]=$E408)/(TableDiv[[Agency]:[Agency]]=$E408)*(ROW(TableDiv[Agency])-ROW(TableDiv[[#Headers],[Agency]])),COLUMNS($F$7:P$7))))</f>
        <v>0</v>
      </c>
      <c r="Q408" s="2223" cm="1">
        <f t="array" ref="Q408">IF($D408&lt;COLUMNS($F$7:Q$7),"",INDEX(TableDiv[[GASB]:[GASB]],_xlfn.AGGREGATE(15,3,(TableDiv[[Agency]:[Agency]]=$E408)/(TableDiv[[Agency]:[Agency]]=$E408)*(ROW(TableDiv[Agency])-ROW(TableDiv[[#Headers],[Agency]])),COLUMNS($F$7:Q$7))))</f>
        <v>0</v>
      </c>
      <c r="R408" s="2223" cm="1">
        <f t="array" ref="R408">IF($D408&lt;COLUMNS($F$7:R$7),"",INDEX(TableDiv[[GASB]:[GASB]],_xlfn.AGGREGATE(15,3,(TableDiv[[Agency]:[Agency]]=$E408)/(TableDiv[[Agency]:[Agency]]=$E408)*(ROW(TableDiv[Agency])-ROW(TableDiv[[#Headers],[Agency]])),COLUMNS($F$7:R$7))))</f>
        <v>0</v>
      </c>
      <c r="S408" s="2223" cm="1">
        <f t="array" ref="S408">IF($D408&lt;COLUMNS($F$7:S$7),"",INDEX(TableDiv[[GASB]:[GASB]],_xlfn.AGGREGATE(15,3,(TableDiv[[Agency]:[Agency]]=$E408)/(TableDiv[[Agency]:[Agency]]=$E408)*(ROW(TableDiv[Agency])-ROW(TableDiv[[#Headers],[Agency]])),COLUMNS($F$7:S$7))))</f>
        <v>0</v>
      </c>
      <c r="T408" s="2223" cm="1">
        <f t="array" ref="T408">IF($D408&lt;COLUMNS($F$7:T$7),"",INDEX(TableDiv[[GASB]:[GASB]],_xlfn.AGGREGATE(15,3,(TableDiv[[Agency]:[Agency]]=$E408)/(TableDiv[[Agency]:[Agency]]=$E408)*(ROW(TableDiv[Agency])-ROW(TableDiv[[#Headers],[Agency]])),COLUMNS($F$7:T$7))))</f>
        <v>0</v>
      </c>
      <c r="U408" s="2223" cm="1">
        <f t="array" ref="U408">IF($D408&lt;COLUMNS($F$7:U$7),"",INDEX(TableDiv[[GASB]:[GASB]],_xlfn.AGGREGATE(15,3,(TableDiv[[Agency]:[Agency]]=$E408)/(TableDiv[[Agency]:[Agency]]=$E408)*(ROW(TableDiv[Agency])-ROW(TableDiv[[#Headers],[Agency]])),COLUMNS($F$7:U$7))))</f>
        <v>0</v>
      </c>
      <c r="V408" s="2223" cm="1">
        <f t="array" ref="V408">IF($D408&lt;COLUMNS($F$7:V$7),"",INDEX(TableDiv[[GASB]:[GASB]],_xlfn.AGGREGATE(15,3,(TableDiv[[Agency]:[Agency]]=$E408)/(TableDiv[[Agency]:[Agency]]=$E408)*(ROW(TableDiv[Agency])-ROW(TableDiv[[#Headers],[Agency]])),COLUMNS($F$7:V$7))))</f>
        <v>0</v>
      </c>
      <c r="W408" s="2223" cm="1">
        <f t="array" ref="W408">IF($D408&lt;COLUMNS($F$7:W$7),"",INDEX(TableDiv[[GASB]:[GASB]],_xlfn.AGGREGATE(15,3,(TableDiv[[Agency]:[Agency]]=$E408)/(TableDiv[[Agency]:[Agency]]=$E408)*(ROW(TableDiv[Agency])-ROW(TableDiv[[#Headers],[Agency]])),COLUMNS($F$7:W$7))))</f>
        <v>0</v>
      </c>
      <c r="X408" s="2223" cm="1">
        <f t="array" ref="X408">IF($D408&lt;COLUMNS($F$7:X$7),"",INDEX(TableDiv[[GASB]:[GASB]],_xlfn.AGGREGATE(15,3,(TableDiv[[Agency]:[Agency]]=$E408)/(TableDiv[[Agency]:[Agency]]=$E408)*(ROW(TableDiv[Agency])-ROW(TableDiv[[#Headers],[Agency]])),COLUMNS($F$7:X$7))))</f>
        <v>0</v>
      </c>
      <c r="Y408" s="2223" cm="1">
        <f t="array" ref="Y408">IF($D408&lt;COLUMNS($F$7:Y$7),"",INDEX(TableDiv[[GASB]:[GASB]],_xlfn.AGGREGATE(15,3,(TableDiv[[Agency]:[Agency]]=$E408)/(TableDiv[[Agency]:[Agency]]=$E408)*(ROW(TableDiv[Agency])-ROW(TableDiv[[#Headers],[Agency]])),COLUMNS($F$7:Y$7))))</f>
        <v>0</v>
      </c>
      <c r="Z408" s="2223" cm="1">
        <f t="array" ref="Z408">IF($D408&lt;COLUMNS($F$7:Z$7),"",INDEX(TableDiv[[GASB]:[GASB]],_xlfn.AGGREGATE(15,3,(TableDiv[[Agency]:[Agency]]=$E408)/(TableDiv[[Agency]:[Agency]]=$E408)*(ROW(TableDiv[Agency])-ROW(TableDiv[[#Headers],[Agency]])),COLUMNS($F$7:Z$7))))</f>
        <v>0</v>
      </c>
      <c r="AA408" s="2223" cm="1">
        <f t="array" ref="AA408">IF($D408&lt;COLUMNS($F$7:AA$7),"",INDEX(TableDiv[[GASB]:[GASB]],_xlfn.AGGREGATE(15,3,(TableDiv[[Agency]:[Agency]]=$E408)/(TableDiv[[Agency]:[Agency]]=$E408)*(ROW(TableDiv[Agency])-ROW(TableDiv[[#Headers],[Agency]])),COLUMNS($F$7:AA$7))))</f>
        <v>0</v>
      </c>
      <c r="AB408" s="2223" cm="1">
        <f t="array" ref="AB408">IF($D408&lt;COLUMNS($F$7:AB$7),"",INDEX(TableDiv[[GASB]:[GASB]],_xlfn.AGGREGATE(15,3,(TableDiv[[Agency]:[Agency]]=$E408)/(TableDiv[[Agency]:[Agency]]=$E408)*(ROW(TableDiv[Agency])-ROW(TableDiv[[#Headers],[Agency]])),COLUMNS($F$7:AB$7))))</f>
        <v>0</v>
      </c>
      <c r="AC408" s="2223" cm="1">
        <f t="array" ref="AC408">IF($D408&lt;COLUMNS($F$7:AC$7),"",INDEX(TableDiv[[GASB]:[GASB]],_xlfn.AGGREGATE(15,3,(TableDiv[[Agency]:[Agency]]=$E408)/(TableDiv[[Agency]:[Agency]]=$E408)*(ROW(TableDiv[Agency])-ROW(TableDiv[[#Headers],[Agency]])),COLUMNS($F$7:AC$7))))</f>
        <v>0</v>
      </c>
      <c r="AD408" s="2223" cm="1">
        <f t="array" ref="AD408">IF($D408&lt;COLUMNS($F$7:AD$7),"",INDEX(TableDiv[[GASB]:[GASB]],_xlfn.AGGREGATE(15,3,(TableDiv[[Agency]:[Agency]]=$E408)/(TableDiv[[Agency]:[Agency]]=$E408)*(ROW(TableDiv[Agency])-ROW(TableDiv[[#Headers],[Agency]])),COLUMNS($F$7:AD$7))))</f>
        <v>0</v>
      </c>
      <c r="AE408" s="2223" cm="1">
        <f t="array" ref="AE408">IF($D408&lt;COLUMNS($F$7:AE$7),"",INDEX(TableDiv[[GASB]:[GASB]],_xlfn.AGGREGATE(15,3,(TableDiv[[Agency]:[Agency]]=$E408)/(TableDiv[[Agency]:[Agency]]=$E408)*(ROW(TableDiv[Agency])-ROW(TableDiv[[#Headers],[Agency]])),COLUMNS($F$7:AE$7))))</f>
        <v>0</v>
      </c>
      <c r="AF408" s="2223" cm="1">
        <f t="array" ref="AF408">IF($D408&lt;COLUMNS($F$7:AF$7),"",INDEX(TableDiv[[GASB]:[GASB]],_xlfn.AGGREGATE(15,3,(TableDiv[[Agency]:[Agency]]=$E408)/(TableDiv[[Agency]:[Agency]]=$E408)*(ROW(TableDiv[Agency])-ROW(TableDiv[[#Headers],[Agency]])),COLUMNS($F$7:AF$7))))</f>
        <v>0</v>
      </c>
      <c r="AG408" s="2223" cm="1">
        <f t="array" ref="AG408">IF($D408&lt;COLUMNS($F$7:AG$7),"",INDEX(TableDiv[[GASB]:[GASB]],_xlfn.AGGREGATE(15,3,(TableDiv[[Agency]:[Agency]]=$E408)/(TableDiv[[Agency]:[Agency]]=$E408)*(ROW(TableDiv[Agency])-ROW(TableDiv[[#Headers],[Agency]])),COLUMNS($F$7:AG$7))))</f>
        <v>0</v>
      </c>
      <c r="AH408" s="2223" cm="1">
        <f t="array" ref="AH408">IF($D408&lt;COLUMNS($F$7:AH$7),"",INDEX(TableDiv[[GASB]:[GASB]],_xlfn.AGGREGATE(15,3,(TableDiv[[Agency]:[Agency]]=$E408)/(TableDiv[[Agency]:[Agency]]=$E408)*(ROW(TableDiv[Agency])-ROW(TableDiv[[#Headers],[Agency]])),COLUMNS($F$7:AH$7))))</f>
        <v>0</v>
      </c>
      <c r="AI408" s="2223" cm="1">
        <f t="array" ref="AI408">IF($D408&lt;COLUMNS($F$7:AI$7),"",INDEX(TableDiv[[GASB]:[GASB]],_xlfn.AGGREGATE(15,3,(TableDiv[[Agency]:[Agency]]=$E408)/(TableDiv[[Agency]:[Agency]]=$E408)*(ROW(TableDiv[Agency])-ROW(TableDiv[[#Headers],[Agency]])),COLUMNS($F$7:AI$7))))</f>
        <v>0</v>
      </c>
      <c r="AJ408" s="2223" cm="1">
        <f t="array" ref="AJ408">IF($D408&lt;COLUMNS($F$7:AJ$7),"",INDEX(TableDiv[[GASB]:[GASB]],_xlfn.AGGREGATE(15,3,(TableDiv[[Agency]:[Agency]]=$E408)/(TableDiv[[Agency]:[Agency]]=$E408)*(ROW(TableDiv[Agency])-ROW(TableDiv[[#Headers],[Agency]])),COLUMNS($F$7:AJ$7))))</f>
        <v>0</v>
      </c>
      <c r="AK408" s="2223" t="str" cm="1">
        <f t="array" ref="AK408">IF($D408&lt;COLUMNS($F$7:AK$7),"",INDEX(TableDiv[[GASB]:[GASB]],_xlfn.AGGREGATE(15,3,(TableDiv[[Agency]:[Agency]]=$E408)/(TableDiv[[Agency]:[Agency]]=$E408)*(ROW(TableDiv[Agency])-ROW(TableDiv[[#Headers],[Agency]])),COLUMNS($F$7:AK$7))))</f>
        <v/>
      </c>
      <c r="AL408" s="2223" t="str" cm="1">
        <f t="array" ref="AL408">IF($D408&lt;COLUMNS($F$7:AL$7),"",INDEX(TableDiv[[GASB]:[GASB]],_xlfn.AGGREGATE(15,3,(TableDiv[[Agency]:[Agency]]=$E408)/(TableDiv[[Agency]:[Agency]]=$E408)*(ROW(TableDiv[Agency])-ROW(TableDiv[[#Headers],[Agency]])),COLUMNS($F$7:AL$7))))</f>
        <v/>
      </c>
      <c r="AM408" s="2223" t="str" cm="1">
        <f t="array" ref="AM408">IF($D408&lt;COLUMNS($F$7:AM$7),"",INDEX(TableDiv[[GASB]:[GASB]],_xlfn.AGGREGATE(15,3,(TableDiv[[Agency]:[Agency]]=$E408)/(TableDiv[[Agency]:[Agency]]=$E408)*(ROW(TableDiv[Agency])-ROW(TableDiv[[#Headers],[Agency]])),COLUMNS($F$7:AM$7))))</f>
        <v/>
      </c>
      <c r="AN408" s="2223"/>
      <c r="AO408" s="2223"/>
      <c r="AP408" s="2223"/>
      <c r="AQ408" s="2223"/>
      <c r="AR408" s="2223"/>
      <c r="AS408" s="2223"/>
    </row>
    <row r="409" spans="1:45" ht="15" x14ac:dyDescent="0.25">
      <c r="A409" s="2219" t="s">
        <v>6526</v>
      </c>
      <c r="B409" s="2219" t="s">
        <v>6497</v>
      </c>
      <c r="C409" s="2223"/>
      <c r="D409" s="2223">
        <f>COUNTIF(TableDiv[Agency],E409)</f>
        <v>31</v>
      </c>
      <c r="E409" s="2230" t="str" cm="1">
        <f t="array" ref="E409">IFERROR(INDEX(TableDiv[Agency],MATCH(0,INDEX(COUNTIF($E$7:E408,TableDiv[Agency]),),0)),"")</f>
        <v/>
      </c>
      <c r="F409" s="2223" cm="1">
        <f t="array" ref="F409">IF($D409&lt;COLUMNS($F$7:F$7),"",INDEX(TableDiv[[GASB]:[GASB]],_xlfn.AGGREGATE(15,3,(TableDiv[[Agency]:[Agency]]=$E409)/(TableDiv[[Agency]:[Agency]]=$E409)*(ROW(TableDiv[Agency])-ROW(TableDiv[[#Headers],[Agency]])),COLUMNS($F$7:F$7))))</f>
        <v>0</v>
      </c>
      <c r="G409" s="2223" cm="1">
        <f t="array" ref="G409">IF($D409&lt;COLUMNS($F$7:G$7),"",INDEX(TableDiv[[GASB]:[GASB]],_xlfn.AGGREGATE(15,3,(TableDiv[[Agency]:[Agency]]=$E409)/(TableDiv[[Agency]:[Agency]]=$E409)*(ROW(TableDiv[Agency])-ROW(TableDiv[[#Headers],[Agency]])),COLUMNS($F$7:G$7))))</f>
        <v>0</v>
      </c>
      <c r="H409" s="2223" cm="1">
        <f t="array" ref="H409">IF($D409&lt;COLUMNS($F$7:H$7),"",INDEX(TableDiv[[GASB]:[GASB]],_xlfn.AGGREGATE(15,3,(TableDiv[[Agency]:[Agency]]=$E409)/(TableDiv[[Agency]:[Agency]]=$E409)*(ROW(TableDiv[Agency])-ROW(TableDiv[[#Headers],[Agency]])),COLUMNS($F$7:H$7))))</f>
        <v>0</v>
      </c>
      <c r="I409" s="2223" cm="1">
        <f t="array" ref="I409">IF($D409&lt;COLUMNS($F$7:I$7),"",INDEX(TableDiv[[GASB]:[GASB]],_xlfn.AGGREGATE(15,3,(TableDiv[[Agency]:[Agency]]=$E409)/(TableDiv[[Agency]:[Agency]]=$E409)*(ROW(TableDiv[Agency])-ROW(TableDiv[[#Headers],[Agency]])),COLUMNS($F$7:I$7))))</f>
        <v>0</v>
      </c>
      <c r="J409" s="2223" cm="1">
        <f t="array" ref="J409">IF($D409&lt;COLUMNS($F$7:J$7),"",INDEX(TableDiv[[GASB]:[GASB]],_xlfn.AGGREGATE(15,3,(TableDiv[[Agency]:[Agency]]=$E409)/(TableDiv[[Agency]:[Agency]]=$E409)*(ROW(TableDiv[Agency])-ROW(TableDiv[[#Headers],[Agency]])),COLUMNS($F$7:J$7))))</f>
        <v>0</v>
      </c>
      <c r="K409" s="2223" cm="1">
        <f t="array" ref="K409">IF($D409&lt;COLUMNS($F$7:K$7),"",INDEX(TableDiv[[GASB]:[GASB]],_xlfn.AGGREGATE(15,3,(TableDiv[[Agency]:[Agency]]=$E409)/(TableDiv[[Agency]:[Agency]]=$E409)*(ROW(TableDiv[Agency])-ROW(TableDiv[[#Headers],[Agency]])),COLUMNS($F$7:K$7))))</f>
        <v>0</v>
      </c>
      <c r="L409" s="2223" cm="1">
        <f t="array" ref="L409">IF($D409&lt;COLUMNS($F$7:L$7),"",INDEX(TableDiv[[GASB]:[GASB]],_xlfn.AGGREGATE(15,3,(TableDiv[[Agency]:[Agency]]=$E409)/(TableDiv[[Agency]:[Agency]]=$E409)*(ROW(TableDiv[Agency])-ROW(TableDiv[[#Headers],[Agency]])),COLUMNS($F$7:L$7))))</f>
        <v>0</v>
      </c>
      <c r="M409" s="2223" cm="1">
        <f t="array" ref="M409">IF($D409&lt;COLUMNS($F$7:M$7),"",INDEX(TableDiv[[GASB]:[GASB]],_xlfn.AGGREGATE(15,3,(TableDiv[[Agency]:[Agency]]=$E409)/(TableDiv[[Agency]:[Agency]]=$E409)*(ROW(TableDiv[Agency])-ROW(TableDiv[[#Headers],[Agency]])),COLUMNS($F$7:M$7))))</f>
        <v>0</v>
      </c>
      <c r="N409" s="2223" cm="1">
        <f t="array" ref="N409">IF($D409&lt;COLUMNS($F$7:N$7),"",INDEX(TableDiv[[GASB]:[GASB]],_xlfn.AGGREGATE(15,3,(TableDiv[[Agency]:[Agency]]=$E409)/(TableDiv[[Agency]:[Agency]]=$E409)*(ROW(TableDiv[Agency])-ROW(TableDiv[[#Headers],[Agency]])),COLUMNS($F$7:N$7))))</f>
        <v>0</v>
      </c>
      <c r="O409" s="2223" cm="1">
        <f t="array" ref="O409">IF($D409&lt;COLUMNS($F$7:O$7),"",INDEX(TableDiv[[GASB]:[GASB]],_xlfn.AGGREGATE(15,3,(TableDiv[[Agency]:[Agency]]=$E409)/(TableDiv[[Agency]:[Agency]]=$E409)*(ROW(TableDiv[Agency])-ROW(TableDiv[[#Headers],[Agency]])),COLUMNS($F$7:O$7))))</f>
        <v>0</v>
      </c>
      <c r="P409" s="2223" cm="1">
        <f t="array" ref="P409">IF($D409&lt;COLUMNS($F$7:P$7),"",INDEX(TableDiv[[GASB]:[GASB]],_xlfn.AGGREGATE(15,3,(TableDiv[[Agency]:[Agency]]=$E409)/(TableDiv[[Agency]:[Agency]]=$E409)*(ROW(TableDiv[Agency])-ROW(TableDiv[[#Headers],[Agency]])),COLUMNS($F$7:P$7))))</f>
        <v>0</v>
      </c>
      <c r="Q409" s="2223" cm="1">
        <f t="array" ref="Q409">IF($D409&lt;COLUMNS($F$7:Q$7),"",INDEX(TableDiv[[GASB]:[GASB]],_xlfn.AGGREGATE(15,3,(TableDiv[[Agency]:[Agency]]=$E409)/(TableDiv[[Agency]:[Agency]]=$E409)*(ROW(TableDiv[Agency])-ROW(TableDiv[[#Headers],[Agency]])),COLUMNS($F$7:Q$7))))</f>
        <v>0</v>
      </c>
      <c r="R409" s="2223" cm="1">
        <f t="array" ref="R409">IF($D409&lt;COLUMNS($F$7:R$7),"",INDEX(TableDiv[[GASB]:[GASB]],_xlfn.AGGREGATE(15,3,(TableDiv[[Agency]:[Agency]]=$E409)/(TableDiv[[Agency]:[Agency]]=$E409)*(ROW(TableDiv[Agency])-ROW(TableDiv[[#Headers],[Agency]])),COLUMNS($F$7:R$7))))</f>
        <v>0</v>
      </c>
      <c r="S409" s="2223" cm="1">
        <f t="array" ref="S409">IF($D409&lt;COLUMNS($F$7:S$7),"",INDEX(TableDiv[[GASB]:[GASB]],_xlfn.AGGREGATE(15,3,(TableDiv[[Agency]:[Agency]]=$E409)/(TableDiv[[Agency]:[Agency]]=$E409)*(ROW(TableDiv[Agency])-ROW(TableDiv[[#Headers],[Agency]])),COLUMNS($F$7:S$7))))</f>
        <v>0</v>
      </c>
      <c r="T409" s="2223" cm="1">
        <f t="array" ref="T409">IF($D409&lt;COLUMNS($F$7:T$7),"",INDEX(TableDiv[[GASB]:[GASB]],_xlfn.AGGREGATE(15,3,(TableDiv[[Agency]:[Agency]]=$E409)/(TableDiv[[Agency]:[Agency]]=$E409)*(ROW(TableDiv[Agency])-ROW(TableDiv[[#Headers],[Agency]])),COLUMNS($F$7:T$7))))</f>
        <v>0</v>
      </c>
      <c r="U409" s="2223" cm="1">
        <f t="array" ref="U409">IF($D409&lt;COLUMNS($F$7:U$7),"",INDEX(TableDiv[[GASB]:[GASB]],_xlfn.AGGREGATE(15,3,(TableDiv[[Agency]:[Agency]]=$E409)/(TableDiv[[Agency]:[Agency]]=$E409)*(ROW(TableDiv[Agency])-ROW(TableDiv[[#Headers],[Agency]])),COLUMNS($F$7:U$7))))</f>
        <v>0</v>
      </c>
      <c r="V409" s="2223" cm="1">
        <f t="array" ref="V409">IF($D409&lt;COLUMNS($F$7:V$7),"",INDEX(TableDiv[[GASB]:[GASB]],_xlfn.AGGREGATE(15,3,(TableDiv[[Agency]:[Agency]]=$E409)/(TableDiv[[Agency]:[Agency]]=$E409)*(ROW(TableDiv[Agency])-ROW(TableDiv[[#Headers],[Agency]])),COLUMNS($F$7:V$7))))</f>
        <v>0</v>
      </c>
      <c r="W409" s="2223" cm="1">
        <f t="array" ref="W409">IF($D409&lt;COLUMNS($F$7:W$7),"",INDEX(TableDiv[[GASB]:[GASB]],_xlfn.AGGREGATE(15,3,(TableDiv[[Agency]:[Agency]]=$E409)/(TableDiv[[Agency]:[Agency]]=$E409)*(ROW(TableDiv[Agency])-ROW(TableDiv[[#Headers],[Agency]])),COLUMNS($F$7:W$7))))</f>
        <v>0</v>
      </c>
      <c r="X409" s="2223" cm="1">
        <f t="array" ref="X409">IF($D409&lt;COLUMNS($F$7:X$7),"",INDEX(TableDiv[[GASB]:[GASB]],_xlfn.AGGREGATE(15,3,(TableDiv[[Agency]:[Agency]]=$E409)/(TableDiv[[Agency]:[Agency]]=$E409)*(ROW(TableDiv[Agency])-ROW(TableDiv[[#Headers],[Agency]])),COLUMNS($F$7:X$7))))</f>
        <v>0</v>
      </c>
      <c r="Y409" s="2223" cm="1">
        <f t="array" ref="Y409">IF($D409&lt;COLUMNS($F$7:Y$7),"",INDEX(TableDiv[[GASB]:[GASB]],_xlfn.AGGREGATE(15,3,(TableDiv[[Agency]:[Agency]]=$E409)/(TableDiv[[Agency]:[Agency]]=$E409)*(ROW(TableDiv[Agency])-ROW(TableDiv[[#Headers],[Agency]])),COLUMNS($F$7:Y$7))))</f>
        <v>0</v>
      </c>
      <c r="Z409" s="2223" cm="1">
        <f t="array" ref="Z409">IF($D409&lt;COLUMNS($F$7:Z$7),"",INDEX(TableDiv[[GASB]:[GASB]],_xlfn.AGGREGATE(15,3,(TableDiv[[Agency]:[Agency]]=$E409)/(TableDiv[[Agency]:[Agency]]=$E409)*(ROW(TableDiv[Agency])-ROW(TableDiv[[#Headers],[Agency]])),COLUMNS($F$7:Z$7))))</f>
        <v>0</v>
      </c>
      <c r="AA409" s="2223" cm="1">
        <f t="array" ref="AA409">IF($D409&lt;COLUMNS($F$7:AA$7),"",INDEX(TableDiv[[GASB]:[GASB]],_xlfn.AGGREGATE(15,3,(TableDiv[[Agency]:[Agency]]=$E409)/(TableDiv[[Agency]:[Agency]]=$E409)*(ROW(TableDiv[Agency])-ROW(TableDiv[[#Headers],[Agency]])),COLUMNS($F$7:AA$7))))</f>
        <v>0</v>
      </c>
      <c r="AB409" s="2223" cm="1">
        <f t="array" ref="AB409">IF($D409&lt;COLUMNS($F$7:AB$7),"",INDEX(TableDiv[[GASB]:[GASB]],_xlfn.AGGREGATE(15,3,(TableDiv[[Agency]:[Agency]]=$E409)/(TableDiv[[Agency]:[Agency]]=$E409)*(ROW(TableDiv[Agency])-ROW(TableDiv[[#Headers],[Agency]])),COLUMNS($F$7:AB$7))))</f>
        <v>0</v>
      </c>
      <c r="AC409" s="2223" cm="1">
        <f t="array" ref="AC409">IF($D409&lt;COLUMNS($F$7:AC$7),"",INDEX(TableDiv[[GASB]:[GASB]],_xlfn.AGGREGATE(15,3,(TableDiv[[Agency]:[Agency]]=$E409)/(TableDiv[[Agency]:[Agency]]=$E409)*(ROW(TableDiv[Agency])-ROW(TableDiv[[#Headers],[Agency]])),COLUMNS($F$7:AC$7))))</f>
        <v>0</v>
      </c>
      <c r="AD409" s="2223" cm="1">
        <f t="array" ref="AD409">IF($D409&lt;COLUMNS($F$7:AD$7),"",INDEX(TableDiv[[GASB]:[GASB]],_xlfn.AGGREGATE(15,3,(TableDiv[[Agency]:[Agency]]=$E409)/(TableDiv[[Agency]:[Agency]]=$E409)*(ROW(TableDiv[Agency])-ROW(TableDiv[[#Headers],[Agency]])),COLUMNS($F$7:AD$7))))</f>
        <v>0</v>
      </c>
      <c r="AE409" s="2223" cm="1">
        <f t="array" ref="AE409">IF($D409&lt;COLUMNS($F$7:AE$7),"",INDEX(TableDiv[[GASB]:[GASB]],_xlfn.AGGREGATE(15,3,(TableDiv[[Agency]:[Agency]]=$E409)/(TableDiv[[Agency]:[Agency]]=$E409)*(ROW(TableDiv[Agency])-ROW(TableDiv[[#Headers],[Agency]])),COLUMNS($F$7:AE$7))))</f>
        <v>0</v>
      </c>
      <c r="AF409" s="2223" cm="1">
        <f t="array" ref="AF409">IF($D409&lt;COLUMNS($F$7:AF$7),"",INDEX(TableDiv[[GASB]:[GASB]],_xlfn.AGGREGATE(15,3,(TableDiv[[Agency]:[Agency]]=$E409)/(TableDiv[[Agency]:[Agency]]=$E409)*(ROW(TableDiv[Agency])-ROW(TableDiv[[#Headers],[Agency]])),COLUMNS($F$7:AF$7))))</f>
        <v>0</v>
      </c>
      <c r="AG409" s="2223" cm="1">
        <f t="array" ref="AG409">IF($D409&lt;COLUMNS($F$7:AG$7),"",INDEX(TableDiv[[GASB]:[GASB]],_xlfn.AGGREGATE(15,3,(TableDiv[[Agency]:[Agency]]=$E409)/(TableDiv[[Agency]:[Agency]]=$E409)*(ROW(TableDiv[Agency])-ROW(TableDiv[[#Headers],[Agency]])),COLUMNS($F$7:AG$7))))</f>
        <v>0</v>
      </c>
      <c r="AH409" s="2223" cm="1">
        <f t="array" ref="AH409">IF($D409&lt;COLUMNS($F$7:AH$7),"",INDEX(TableDiv[[GASB]:[GASB]],_xlfn.AGGREGATE(15,3,(TableDiv[[Agency]:[Agency]]=$E409)/(TableDiv[[Agency]:[Agency]]=$E409)*(ROW(TableDiv[Agency])-ROW(TableDiv[[#Headers],[Agency]])),COLUMNS($F$7:AH$7))))</f>
        <v>0</v>
      </c>
      <c r="AI409" s="2223" cm="1">
        <f t="array" ref="AI409">IF($D409&lt;COLUMNS($F$7:AI$7),"",INDEX(TableDiv[[GASB]:[GASB]],_xlfn.AGGREGATE(15,3,(TableDiv[[Agency]:[Agency]]=$E409)/(TableDiv[[Agency]:[Agency]]=$E409)*(ROW(TableDiv[Agency])-ROW(TableDiv[[#Headers],[Agency]])),COLUMNS($F$7:AI$7))))</f>
        <v>0</v>
      </c>
      <c r="AJ409" s="2223" cm="1">
        <f t="array" ref="AJ409">IF($D409&lt;COLUMNS($F$7:AJ$7),"",INDEX(TableDiv[[GASB]:[GASB]],_xlfn.AGGREGATE(15,3,(TableDiv[[Agency]:[Agency]]=$E409)/(TableDiv[[Agency]:[Agency]]=$E409)*(ROW(TableDiv[Agency])-ROW(TableDiv[[#Headers],[Agency]])),COLUMNS($F$7:AJ$7))))</f>
        <v>0</v>
      </c>
      <c r="AK409" s="2223" t="str" cm="1">
        <f t="array" ref="AK409">IF($D409&lt;COLUMNS($F$7:AK$7),"",INDEX(TableDiv[[GASB]:[GASB]],_xlfn.AGGREGATE(15,3,(TableDiv[[Agency]:[Agency]]=$E409)/(TableDiv[[Agency]:[Agency]]=$E409)*(ROW(TableDiv[Agency])-ROW(TableDiv[[#Headers],[Agency]])),COLUMNS($F$7:AK$7))))</f>
        <v/>
      </c>
      <c r="AL409" s="2223" t="str" cm="1">
        <f t="array" ref="AL409">IF($D409&lt;COLUMNS($F$7:AL$7),"",INDEX(TableDiv[[GASB]:[GASB]],_xlfn.AGGREGATE(15,3,(TableDiv[[Agency]:[Agency]]=$E409)/(TableDiv[[Agency]:[Agency]]=$E409)*(ROW(TableDiv[Agency])-ROW(TableDiv[[#Headers],[Agency]])),COLUMNS($F$7:AL$7))))</f>
        <v/>
      </c>
      <c r="AM409" s="2223" t="str" cm="1">
        <f t="array" ref="AM409">IF($D409&lt;COLUMNS($F$7:AM$7),"",INDEX(TableDiv[[GASB]:[GASB]],_xlfn.AGGREGATE(15,3,(TableDiv[[Agency]:[Agency]]=$E409)/(TableDiv[[Agency]:[Agency]]=$E409)*(ROW(TableDiv[Agency])-ROW(TableDiv[[#Headers],[Agency]])),COLUMNS($F$7:AM$7))))</f>
        <v/>
      </c>
      <c r="AN409" s="2223"/>
      <c r="AO409" s="2223"/>
      <c r="AP409" s="2223"/>
      <c r="AQ409" s="2223"/>
      <c r="AR409" s="2223"/>
      <c r="AS409" s="2223"/>
    </row>
    <row r="410" spans="1:45" ht="15" x14ac:dyDescent="0.25">
      <c r="A410" s="2219" t="s">
        <v>6527</v>
      </c>
      <c r="B410" s="2219" t="s">
        <v>6497</v>
      </c>
      <c r="C410" s="2223"/>
      <c r="D410" s="2223">
        <f>COUNTIF(TableDiv[Agency],E410)</f>
        <v>31</v>
      </c>
      <c r="E410" s="2230" t="str" cm="1">
        <f t="array" ref="E410">IFERROR(INDEX(TableDiv[Agency],MATCH(0,INDEX(COUNTIF($E$7:E409,TableDiv[Agency]),),0)),"")</f>
        <v/>
      </c>
      <c r="F410" s="2223" cm="1">
        <f t="array" ref="F410">IF($D410&lt;COLUMNS($F$7:F$7),"",INDEX(TableDiv[[GASB]:[GASB]],_xlfn.AGGREGATE(15,3,(TableDiv[[Agency]:[Agency]]=$E410)/(TableDiv[[Agency]:[Agency]]=$E410)*(ROW(TableDiv[Agency])-ROW(TableDiv[[#Headers],[Agency]])),COLUMNS($F$7:F$7))))</f>
        <v>0</v>
      </c>
      <c r="G410" s="2223" cm="1">
        <f t="array" ref="G410">IF($D410&lt;COLUMNS($F$7:G$7),"",INDEX(TableDiv[[GASB]:[GASB]],_xlfn.AGGREGATE(15,3,(TableDiv[[Agency]:[Agency]]=$E410)/(TableDiv[[Agency]:[Agency]]=$E410)*(ROW(TableDiv[Agency])-ROW(TableDiv[[#Headers],[Agency]])),COLUMNS($F$7:G$7))))</f>
        <v>0</v>
      </c>
      <c r="H410" s="2223" cm="1">
        <f t="array" ref="H410">IF($D410&lt;COLUMNS($F$7:H$7),"",INDEX(TableDiv[[GASB]:[GASB]],_xlfn.AGGREGATE(15,3,(TableDiv[[Agency]:[Agency]]=$E410)/(TableDiv[[Agency]:[Agency]]=$E410)*(ROW(TableDiv[Agency])-ROW(TableDiv[[#Headers],[Agency]])),COLUMNS($F$7:H$7))))</f>
        <v>0</v>
      </c>
      <c r="I410" s="2223" cm="1">
        <f t="array" ref="I410">IF($D410&lt;COLUMNS($F$7:I$7),"",INDEX(TableDiv[[GASB]:[GASB]],_xlfn.AGGREGATE(15,3,(TableDiv[[Agency]:[Agency]]=$E410)/(TableDiv[[Agency]:[Agency]]=$E410)*(ROW(TableDiv[Agency])-ROW(TableDiv[[#Headers],[Agency]])),COLUMNS($F$7:I$7))))</f>
        <v>0</v>
      </c>
      <c r="J410" s="2223" cm="1">
        <f t="array" ref="J410">IF($D410&lt;COLUMNS($F$7:J$7),"",INDEX(TableDiv[[GASB]:[GASB]],_xlfn.AGGREGATE(15,3,(TableDiv[[Agency]:[Agency]]=$E410)/(TableDiv[[Agency]:[Agency]]=$E410)*(ROW(TableDiv[Agency])-ROW(TableDiv[[#Headers],[Agency]])),COLUMNS($F$7:J$7))))</f>
        <v>0</v>
      </c>
      <c r="K410" s="2223" cm="1">
        <f t="array" ref="K410">IF($D410&lt;COLUMNS($F$7:K$7),"",INDEX(TableDiv[[GASB]:[GASB]],_xlfn.AGGREGATE(15,3,(TableDiv[[Agency]:[Agency]]=$E410)/(TableDiv[[Agency]:[Agency]]=$E410)*(ROW(TableDiv[Agency])-ROW(TableDiv[[#Headers],[Agency]])),COLUMNS($F$7:K$7))))</f>
        <v>0</v>
      </c>
      <c r="L410" s="2223" cm="1">
        <f t="array" ref="L410">IF($D410&lt;COLUMNS($F$7:L$7),"",INDEX(TableDiv[[GASB]:[GASB]],_xlfn.AGGREGATE(15,3,(TableDiv[[Agency]:[Agency]]=$E410)/(TableDiv[[Agency]:[Agency]]=$E410)*(ROW(TableDiv[Agency])-ROW(TableDiv[[#Headers],[Agency]])),COLUMNS($F$7:L$7))))</f>
        <v>0</v>
      </c>
      <c r="M410" s="2223" cm="1">
        <f t="array" ref="M410">IF($D410&lt;COLUMNS($F$7:M$7),"",INDEX(TableDiv[[GASB]:[GASB]],_xlfn.AGGREGATE(15,3,(TableDiv[[Agency]:[Agency]]=$E410)/(TableDiv[[Agency]:[Agency]]=$E410)*(ROW(TableDiv[Agency])-ROW(TableDiv[[#Headers],[Agency]])),COLUMNS($F$7:M$7))))</f>
        <v>0</v>
      </c>
      <c r="N410" s="2223" cm="1">
        <f t="array" ref="N410">IF($D410&lt;COLUMNS($F$7:N$7),"",INDEX(TableDiv[[GASB]:[GASB]],_xlfn.AGGREGATE(15,3,(TableDiv[[Agency]:[Agency]]=$E410)/(TableDiv[[Agency]:[Agency]]=$E410)*(ROW(TableDiv[Agency])-ROW(TableDiv[[#Headers],[Agency]])),COLUMNS($F$7:N$7))))</f>
        <v>0</v>
      </c>
      <c r="O410" s="2223" cm="1">
        <f t="array" ref="O410">IF($D410&lt;COLUMNS($F$7:O$7),"",INDEX(TableDiv[[GASB]:[GASB]],_xlfn.AGGREGATE(15,3,(TableDiv[[Agency]:[Agency]]=$E410)/(TableDiv[[Agency]:[Agency]]=$E410)*(ROW(TableDiv[Agency])-ROW(TableDiv[[#Headers],[Agency]])),COLUMNS($F$7:O$7))))</f>
        <v>0</v>
      </c>
      <c r="P410" s="2223" cm="1">
        <f t="array" ref="P410">IF($D410&lt;COLUMNS($F$7:P$7),"",INDEX(TableDiv[[GASB]:[GASB]],_xlfn.AGGREGATE(15,3,(TableDiv[[Agency]:[Agency]]=$E410)/(TableDiv[[Agency]:[Agency]]=$E410)*(ROW(TableDiv[Agency])-ROW(TableDiv[[#Headers],[Agency]])),COLUMNS($F$7:P$7))))</f>
        <v>0</v>
      </c>
      <c r="Q410" s="2223" cm="1">
        <f t="array" ref="Q410">IF($D410&lt;COLUMNS($F$7:Q$7),"",INDEX(TableDiv[[GASB]:[GASB]],_xlfn.AGGREGATE(15,3,(TableDiv[[Agency]:[Agency]]=$E410)/(TableDiv[[Agency]:[Agency]]=$E410)*(ROW(TableDiv[Agency])-ROW(TableDiv[[#Headers],[Agency]])),COLUMNS($F$7:Q$7))))</f>
        <v>0</v>
      </c>
      <c r="R410" s="2223" cm="1">
        <f t="array" ref="R410">IF($D410&lt;COLUMNS($F$7:R$7),"",INDEX(TableDiv[[GASB]:[GASB]],_xlfn.AGGREGATE(15,3,(TableDiv[[Agency]:[Agency]]=$E410)/(TableDiv[[Agency]:[Agency]]=$E410)*(ROW(TableDiv[Agency])-ROW(TableDiv[[#Headers],[Agency]])),COLUMNS($F$7:R$7))))</f>
        <v>0</v>
      </c>
      <c r="S410" s="2223" cm="1">
        <f t="array" ref="S410">IF($D410&lt;COLUMNS($F$7:S$7),"",INDEX(TableDiv[[GASB]:[GASB]],_xlfn.AGGREGATE(15,3,(TableDiv[[Agency]:[Agency]]=$E410)/(TableDiv[[Agency]:[Agency]]=$E410)*(ROW(TableDiv[Agency])-ROW(TableDiv[[#Headers],[Agency]])),COLUMNS($F$7:S$7))))</f>
        <v>0</v>
      </c>
      <c r="T410" s="2223" cm="1">
        <f t="array" ref="T410">IF($D410&lt;COLUMNS($F$7:T$7),"",INDEX(TableDiv[[GASB]:[GASB]],_xlfn.AGGREGATE(15,3,(TableDiv[[Agency]:[Agency]]=$E410)/(TableDiv[[Agency]:[Agency]]=$E410)*(ROW(TableDiv[Agency])-ROW(TableDiv[[#Headers],[Agency]])),COLUMNS($F$7:T$7))))</f>
        <v>0</v>
      </c>
      <c r="U410" s="2223" cm="1">
        <f t="array" ref="U410">IF($D410&lt;COLUMNS($F$7:U$7),"",INDEX(TableDiv[[GASB]:[GASB]],_xlfn.AGGREGATE(15,3,(TableDiv[[Agency]:[Agency]]=$E410)/(TableDiv[[Agency]:[Agency]]=$E410)*(ROW(TableDiv[Agency])-ROW(TableDiv[[#Headers],[Agency]])),COLUMNS($F$7:U$7))))</f>
        <v>0</v>
      </c>
      <c r="V410" s="2223" cm="1">
        <f t="array" ref="V410">IF($D410&lt;COLUMNS($F$7:V$7),"",INDEX(TableDiv[[GASB]:[GASB]],_xlfn.AGGREGATE(15,3,(TableDiv[[Agency]:[Agency]]=$E410)/(TableDiv[[Agency]:[Agency]]=$E410)*(ROW(TableDiv[Agency])-ROW(TableDiv[[#Headers],[Agency]])),COLUMNS($F$7:V$7))))</f>
        <v>0</v>
      </c>
      <c r="W410" s="2223" cm="1">
        <f t="array" ref="W410">IF($D410&lt;COLUMNS($F$7:W$7),"",INDEX(TableDiv[[GASB]:[GASB]],_xlfn.AGGREGATE(15,3,(TableDiv[[Agency]:[Agency]]=$E410)/(TableDiv[[Agency]:[Agency]]=$E410)*(ROW(TableDiv[Agency])-ROW(TableDiv[[#Headers],[Agency]])),COLUMNS($F$7:W$7))))</f>
        <v>0</v>
      </c>
      <c r="X410" s="2223" cm="1">
        <f t="array" ref="X410">IF($D410&lt;COLUMNS($F$7:X$7),"",INDEX(TableDiv[[GASB]:[GASB]],_xlfn.AGGREGATE(15,3,(TableDiv[[Agency]:[Agency]]=$E410)/(TableDiv[[Agency]:[Agency]]=$E410)*(ROW(TableDiv[Agency])-ROW(TableDiv[[#Headers],[Agency]])),COLUMNS($F$7:X$7))))</f>
        <v>0</v>
      </c>
      <c r="Y410" s="2223" cm="1">
        <f t="array" ref="Y410">IF($D410&lt;COLUMNS($F$7:Y$7),"",INDEX(TableDiv[[GASB]:[GASB]],_xlfn.AGGREGATE(15,3,(TableDiv[[Agency]:[Agency]]=$E410)/(TableDiv[[Agency]:[Agency]]=$E410)*(ROW(TableDiv[Agency])-ROW(TableDiv[[#Headers],[Agency]])),COLUMNS($F$7:Y$7))))</f>
        <v>0</v>
      </c>
      <c r="Z410" s="2223" cm="1">
        <f t="array" ref="Z410">IF($D410&lt;COLUMNS($F$7:Z$7),"",INDEX(TableDiv[[GASB]:[GASB]],_xlfn.AGGREGATE(15,3,(TableDiv[[Agency]:[Agency]]=$E410)/(TableDiv[[Agency]:[Agency]]=$E410)*(ROW(TableDiv[Agency])-ROW(TableDiv[[#Headers],[Agency]])),COLUMNS($F$7:Z$7))))</f>
        <v>0</v>
      </c>
      <c r="AA410" s="2223" cm="1">
        <f t="array" ref="AA410">IF($D410&lt;COLUMNS($F$7:AA$7),"",INDEX(TableDiv[[GASB]:[GASB]],_xlfn.AGGREGATE(15,3,(TableDiv[[Agency]:[Agency]]=$E410)/(TableDiv[[Agency]:[Agency]]=$E410)*(ROW(TableDiv[Agency])-ROW(TableDiv[[#Headers],[Agency]])),COLUMNS($F$7:AA$7))))</f>
        <v>0</v>
      </c>
      <c r="AB410" s="2223" cm="1">
        <f t="array" ref="AB410">IF($D410&lt;COLUMNS($F$7:AB$7),"",INDEX(TableDiv[[GASB]:[GASB]],_xlfn.AGGREGATE(15,3,(TableDiv[[Agency]:[Agency]]=$E410)/(TableDiv[[Agency]:[Agency]]=$E410)*(ROW(TableDiv[Agency])-ROW(TableDiv[[#Headers],[Agency]])),COLUMNS($F$7:AB$7))))</f>
        <v>0</v>
      </c>
      <c r="AC410" s="2223" cm="1">
        <f t="array" ref="AC410">IF($D410&lt;COLUMNS($F$7:AC$7),"",INDEX(TableDiv[[GASB]:[GASB]],_xlfn.AGGREGATE(15,3,(TableDiv[[Agency]:[Agency]]=$E410)/(TableDiv[[Agency]:[Agency]]=$E410)*(ROW(TableDiv[Agency])-ROW(TableDiv[[#Headers],[Agency]])),COLUMNS($F$7:AC$7))))</f>
        <v>0</v>
      </c>
      <c r="AD410" s="2223" cm="1">
        <f t="array" ref="AD410">IF($D410&lt;COLUMNS($F$7:AD$7),"",INDEX(TableDiv[[GASB]:[GASB]],_xlfn.AGGREGATE(15,3,(TableDiv[[Agency]:[Agency]]=$E410)/(TableDiv[[Agency]:[Agency]]=$E410)*(ROW(TableDiv[Agency])-ROW(TableDiv[[#Headers],[Agency]])),COLUMNS($F$7:AD$7))))</f>
        <v>0</v>
      </c>
      <c r="AE410" s="2223" cm="1">
        <f t="array" ref="AE410">IF($D410&lt;COLUMNS($F$7:AE$7),"",INDEX(TableDiv[[GASB]:[GASB]],_xlfn.AGGREGATE(15,3,(TableDiv[[Agency]:[Agency]]=$E410)/(TableDiv[[Agency]:[Agency]]=$E410)*(ROW(TableDiv[Agency])-ROW(TableDiv[[#Headers],[Agency]])),COLUMNS($F$7:AE$7))))</f>
        <v>0</v>
      </c>
      <c r="AF410" s="2223" cm="1">
        <f t="array" ref="AF410">IF($D410&lt;COLUMNS($F$7:AF$7),"",INDEX(TableDiv[[GASB]:[GASB]],_xlfn.AGGREGATE(15,3,(TableDiv[[Agency]:[Agency]]=$E410)/(TableDiv[[Agency]:[Agency]]=$E410)*(ROW(TableDiv[Agency])-ROW(TableDiv[[#Headers],[Agency]])),COLUMNS($F$7:AF$7))))</f>
        <v>0</v>
      </c>
      <c r="AG410" s="2223" cm="1">
        <f t="array" ref="AG410">IF($D410&lt;COLUMNS($F$7:AG$7),"",INDEX(TableDiv[[GASB]:[GASB]],_xlfn.AGGREGATE(15,3,(TableDiv[[Agency]:[Agency]]=$E410)/(TableDiv[[Agency]:[Agency]]=$E410)*(ROW(TableDiv[Agency])-ROW(TableDiv[[#Headers],[Agency]])),COLUMNS($F$7:AG$7))))</f>
        <v>0</v>
      </c>
      <c r="AH410" s="2223" cm="1">
        <f t="array" ref="AH410">IF($D410&lt;COLUMNS($F$7:AH$7),"",INDEX(TableDiv[[GASB]:[GASB]],_xlfn.AGGREGATE(15,3,(TableDiv[[Agency]:[Agency]]=$E410)/(TableDiv[[Agency]:[Agency]]=$E410)*(ROW(TableDiv[Agency])-ROW(TableDiv[[#Headers],[Agency]])),COLUMNS($F$7:AH$7))))</f>
        <v>0</v>
      </c>
      <c r="AI410" s="2223" cm="1">
        <f t="array" ref="AI410">IF($D410&lt;COLUMNS($F$7:AI$7),"",INDEX(TableDiv[[GASB]:[GASB]],_xlfn.AGGREGATE(15,3,(TableDiv[[Agency]:[Agency]]=$E410)/(TableDiv[[Agency]:[Agency]]=$E410)*(ROW(TableDiv[Agency])-ROW(TableDiv[[#Headers],[Agency]])),COLUMNS($F$7:AI$7))))</f>
        <v>0</v>
      </c>
      <c r="AJ410" s="2223" cm="1">
        <f t="array" ref="AJ410">IF($D410&lt;COLUMNS($F$7:AJ$7),"",INDEX(TableDiv[[GASB]:[GASB]],_xlfn.AGGREGATE(15,3,(TableDiv[[Agency]:[Agency]]=$E410)/(TableDiv[[Agency]:[Agency]]=$E410)*(ROW(TableDiv[Agency])-ROW(TableDiv[[#Headers],[Agency]])),COLUMNS($F$7:AJ$7))))</f>
        <v>0</v>
      </c>
      <c r="AK410" s="2223" t="str" cm="1">
        <f t="array" ref="AK410">IF($D410&lt;COLUMNS($F$7:AK$7),"",INDEX(TableDiv[[GASB]:[GASB]],_xlfn.AGGREGATE(15,3,(TableDiv[[Agency]:[Agency]]=$E410)/(TableDiv[[Agency]:[Agency]]=$E410)*(ROW(TableDiv[Agency])-ROW(TableDiv[[#Headers],[Agency]])),COLUMNS($F$7:AK$7))))</f>
        <v/>
      </c>
      <c r="AL410" s="2223" t="str" cm="1">
        <f t="array" ref="AL410">IF($D410&lt;COLUMNS($F$7:AL$7),"",INDEX(TableDiv[[GASB]:[GASB]],_xlfn.AGGREGATE(15,3,(TableDiv[[Agency]:[Agency]]=$E410)/(TableDiv[[Agency]:[Agency]]=$E410)*(ROW(TableDiv[Agency])-ROW(TableDiv[[#Headers],[Agency]])),COLUMNS($F$7:AL$7))))</f>
        <v/>
      </c>
      <c r="AM410" s="2223" t="str" cm="1">
        <f t="array" ref="AM410">IF($D410&lt;COLUMNS($F$7:AM$7),"",INDEX(TableDiv[[GASB]:[GASB]],_xlfn.AGGREGATE(15,3,(TableDiv[[Agency]:[Agency]]=$E410)/(TableDiv[[Agency]:[Agency]]=$E410)*(ROW(TableDiv[Agency])-ROW(TableDiv[[#Headers],[Agency]])),COLUMNS($F$7:AM$7))))</f>
        <v/>
      </c>
      <c r="AN410" s="2223"/>
      <c r="AO410" s="2223"/>
      <c r="AP410" s="2223"/>
      <c r="AQ410" s="2223"/>
      <c r="AR410" s="2223"/>
      <c r="AS410" s="2223"/>
    </row>
    <row r="411" spans="1:45" ht="15" x14ac:dyDescent="0.25">
      <c r="A411" s="2219" t="s">
        <v>6528</v>
      </c>
      <c r="B411" s="2219" t="s">
        <v>6497</v>
      </c>
      <c r="C411" s="2223"/>
      <c r="D411" s="2223">
        <f>COUNTIF(TableDiv[Agency],E411)</f>
        <v>31</v>
      </c>
      <c r="E411" s="2230" t="str" cm="1">
        <f t="array" ref="E411">IFERROR(INDEX(TableDiv[Agency],MATCH(0,INDEX(COUNTIF($E$7:E410,TableDiv[Agency]),),0)),"")</f>
        <v/>
      </c>
      <c r="F411" s="2223" cm="1">
        <f t="array" ref="F411">IF($D411&lt;COLUMNS($F$7:F$7),"",INDEX(TableDiv[[GASB]:[GASB]],_xlfn.AGGREGATE(15,3,(TableDiv[[Agency]:[Agency]]=$E411)/(TableDiv[[Agency]:[Agency]]=$E411)*(ROW(TableDiv[Agency])-ROW(TableDiv[[#Headers],[Agency]])),COLUMNS($F$7:F$7))))</f>
        <v>0</v>
      </c>
      <c r="G411" s="2223" cm="1">
        <f t="array" ref="G411">IF($D411&lt;COLUMNS($F$7:G$7),"",INDEX(TableDiv[[GASB]:[GASB]],_xlfn.AGGREGATE(15,3,(TableDiv[[Agency]:[Agency]]=$E411)/(TableDiv[[Agency]:[Agency]]=$E411)*(ROW(TableDiv[Agency])-ROW(TableDiv[[#Headers],[Agency]])),COLUMNS($F$7:G$7))))</f>
        <v>0</v>
      </c>
      <c r="H411" s="2223" cm="1">
        <f t="array" ref="H411">IF($D411&lt;COLUMNS($F$7:H$7),"",INDEX(TableDiv[[GASB]:[GASB]],_xlfn.AGGREGATE(15,3,(TableDiv[[Agency]:[Agency]]=$E411)/(TableDiv[[Agency]:[Agency]]=$E411)*(ROW(TableDiv[Agency])-ROW(TableDiv[[#Headers],[Agency]])),COLUMNS($F$7:H$7))))</f>
        <v>0</v>
      </c>
      <c r="I411" s="2223" cm="1">
        <f t="array" ref="I411">IF($D411&lt;COLUMNS($F$7:I$7),"",INDEX(TableDiv[[GASB]:[GASB]],_xlfn.AGGREGATE(15,3,(TableDiv[[Agency]:[Agency]]=$E411)/(TableDiv[[Agency]:[Agency]]=$E411)*(ROW(TableDiv[Agency])-ROW(TableDiv[[#Headers],[Agency]])),COLUMNS($F$7:I$7))))</f>
        <v>0</v>
      </c>
      <c r="J411" s="2223" cm="1">
        <f t="array" ref="J411">IF($D411&lt;COLUMNS($F$7:J$7),"",INDEX(TableDiv[[GASB]:[GASB]],_xlfn.AGGREGATE(15,3,(TableDiv[[Agency]:[Agency]]=$E411)/(TableDiv[[Agency]:[Agency]]=$E411)*(ROW(TableDiv[Agency])-ROW(TableDiv[[#Headers],[Agency]])),COLUMNS($F$7:J$7))))</f>
        <v>0</v>
      </c>
      <c r="K411" s="2223" cm="1">
        <f t="array" ref="K411">IF($D411&lt;COLUMNS($F$7:K$7),"",INDEX(TableDiv[[GASB]:[GASB]],_xlfn.AGGREGATE(15,3,(TableDiv[[Agency]:[Agency]]=$E411)/(TableDiv[[Agency]:[Agency]]=$E411)*(ROW(TableDiv[Agency])-ROW(TableDiv[[#Headers],[Agency]])),COLUMNS($F$7:K$7))))</f>
        <v>0</v>
      </c>
      <c r="L411" s="2223" cm="1">
        <f t="array" ref="L411">IF($D411&lt;COLUMNS($F$7:L$7),"",INDEX(TableDiv[[GASB]:[GASB]],_xlfn.AGGREGATE(15,3,(TableDiv[[Agency]:[Agency]]=$E411)/(TableDiv[[Agency]:[Agency]]=$E411)*(ROW(TableDiv[Agency])-ROW(TableDiv[[#Headers],[Agency]])),COLUMNS($F$7:L$7))))</f>
        <v>0</v>
      </c>
      <c r="M411" s="2223" cm="1">
        <f t="array" ref="M411">IF($D411&lt;COLUMNS($F$7:M$7),"",INDEX(TableDiv[[GASB]:[GASB]],_xlfn.AGGREGATE(15,3,(TableDiv[[Agency]:[Agency]]=$E411)/(TableDiv[[Agency]:[Agency]]=$E411)*(ROW(TableDiv[Agency])-ROW(TableDiv[[#Headers],[Agency]])),COLUMNS($F$7:M$7))))</f>
        <v>0</v>
      </c>
      <c r="N411" s="2223" cm="1">
        <f t="array" ref="N411">IF($D411&lt;COLUMNS($F$7:N$7),"",INDEX(TableDiv[[GASB]:[GASB]],_xlfn.AGGREGATE(15,3,(TableDiv[[Agency]:[Agency]]=$E411)/(TableDiv[[Agency]:[Agency]]=$E411)*(ROW(TableDiv[Agency])-ROW(TableDiv[[#Headers],[Agency]])),COLUMNS($F$7:N$7))))</f>
        <v>0</v>
      </c>
      <c r="O411" s="2223" cm="1">
        <f t="array" ref="O411">IF($D411&lt;COLUMNS($F$7:O$7),"",INDEX(TableDiv[[GASB]:[GASB]],_xlfn.AGGREGATE(15,3,(TableDiv[[Agency]:[Agency]]=$E411)/(TableDiv[[Agency]:[Agency]]=$E411)*(ROW(TableDiv[Agency])-ROW(TableDiv[[#Headers],[Agency]])),COLUMNS($F$7:O$7))))</f>
        <v>0</v>
      </c>
      <c r="P411" s="2223" cm="1">
        <f t="array" ref="P411">IF($D411&lt;COLUMNS($F$7:P$7),"",INDEX(TableDiv[[GASB]:[GASB]],_xlfn.AGGREGATE(15,3,(TableDiv[[Agency]:[Agency]]=$E411)/(TableDiv[[Agency]:[Agency]]=$E411)*(ROW(TableDiv[Agency])-ROW(TableDiv[[#Headers],[Agency]])),COLUMNS($F$7:P$7))))</f>
        <v>0</v>
      </c>
      <c r="Q411" s="2223" cm="1">
        <f t="array" ref="Q411">IF($D411&lt;COLUMNS($F$7:Q$7),"",INDEX(TableDiv[[GASB]:[GASB]],_xlfn.AGGREGATE(15,3,(TableDiv[[Agency]:[Agency]]=$E411)/(TableDiv[[Agency]:[Agency]]=$E411)*(ROW(TableDiv[Agency])-ROW(TableDiv[[#Headers],[Agency]])),COLUMNS($F$7:Q$7))))</f>
        <v>0</v>
      </c>
      <c r="R411" s="2223" cm="1">
        <f t="array" ref="R411">IF($D411&lt;COLUMNS($F$7:R$7),"",INDEX(TableDiv[[GASB]:[GASB]],_xlfn.AGGREGATE(15,3,(TableDiv[[Agency]:[Agency]]=$E411)/(TableDiv[[Agency]:[Agency]]=$E411)*(ROW(TableDiv[Agency])-ROW(TableDiv[[#Headers],[Agency]])),COLUMNS($F$7:R$7))))</f>
        <v>0</v>
      </c>
      <c r="S411" s="2223" cm="1">
        <f t="array" ref="S411">IF($D411&lt;COLUMNS($F$7:S$7),"",INDEX(TableDiv[[GASB]:[GASB]],_xlfn.AGGREGATE(15,3,(TableDiv[[Agency]:[Agency]]=$E411)/(TableDiv[[Agency]:[Agency]]=$E411)*(ROW(TableDiv[Agency])-ROW(TableDiv[[#Headers],[Agency]])),COLUMNS($F$7:S$7))))</f>
        <v>0</v>
      </c>
      <c r="T411" s="2223" cm="1">
        <f t="array" ref="T411">IF($D411&lt;COLUMNS($F$7:T$7),"",INDEX(TableDiv[[GASB]:[GASB]],_xlfn.AGGREGATE(15,3,(TableDiv[[Agency]:[Agency]]=$E411)/(TableDiv[[Agency]:[Agency]]=$E411)*(ROW(TableDiv[Agency])-ROW(TableDiv[[#Headers],[Agency]])),COLUMNS($F$7:T$7))))</f>
        <v>0</v>
      </c>
      <c r="U411" s="2223" cm="1">
        <f t="array" ref="U411">IF($D411&lt;COLUMNS($F$7:U$7),"",INDEX(TableDiv[[GASB]:[GASB]],_xlfn.AGGREGATE(15,3,(TableDiv[[Agency]:[Agency]]=$E411)/(TableDiv[[Agency]:[Agency]]=$E411)*(ROW(TableDiv[Agency])-ROW(TableDiv[[#Headers],[Agency]])),COLUMNS($F$7:U$7))))</f>
        <v>0</v>
      </c>
      <c r="V411" s="2223" cm="1">
        <f t="array" ref="V411">IF($D411&lt;COLUMNS($F$7:V$7),"",INDEX(TableDiv[[GASB]:[GASB]],_xlfn.AGGREGATE(15,3,(TableDiv[[Agency]:[Agency]]=$E411)/(TableDiv[[Agency]:[Agency]]=$E411)*(ROW(TableDiv[Agency])-ROW(TableDiv[[#Headers],[Agency]])),COLUMNS($F$7:V$7))))</f>
        <v>0</v>
      </c>
      <c r="W411" s="2223" cm="1">
        <f t="array" ref="W411">IF($D411&lt;COLUMNS($F$7:W$7),"",INDEX(TableDiv[[GASB]:[GASB]],_xlfn.AGGREGATE(15,3,(TableDiv[[Agency]:[Agency]]=$E411)/(TableDiv[[Agency]:[Agency]]=$E411)*(ROW(TableDiv[Agency])-ROW(TableDiv[[#Headers],[Agency]])),COLUMNS($F$7:W$7))))</f>
        <v>0</v>
      </c>
      <c r="X411" s="2223" cm="1">
        <f t="array" ref="X411">IF($D411&lt;COLUMNS($F$7:X$7),"",INDEX(TableDiv[[GASB]:[GASB]],_xlfn.AGGREGATE(15,3,(TableDiv[[Agency]:[Agency]]=$E411)/(TableDiv[[Agency]:[Agency]]=$E411)*(ROW(TableDiv[Agency])-ROW(TableDiv[[#Headers],[Agency]])),COLUMNS($F$7:X$7))))</f>
        <v>0</v>
      </c>
      <c r="Y411" s="2223" cm="1">
        <f t="array" ref="Y411">IF($D411&lt;COLUMNS($F$7:Y$7),"",INDEX(TableDiv[[GASB]:[GASB]],_xlfn.AGGREGATE(15,3,(TableDiv[[Agency]:[Agency]]=$E411)/(TableDiv[[Agency]:[Agency]]=$E411)*(ROW(TableDiv[Agency])-ROW(TableDiv[[#Headers],[Agency]])),COLUMNS($F$7:Y$7))))</f>
        <v>0</v>
      </c>
      <c r="Z411" s="2223" cm="1">
        <f t="array" ref="Z411">IF($D411&lt;COLUMNS($F$7:Z$7),"",INDEX(TableDiv[[GASB]:[GASB]],_xlfn.AGGREGATE(15,3,(TableDiv[[Agency]:[Agency]]=$E411)/(TableDiv[[Agency]:[Agency]]=$E411)*(ROW(TableDiv[Agency])-ROW(TableDiv[[#Headers],[Agency]])),COLUMNS($F$7:Z$7))))</f>
        <v>0</v>
      </c>
      <c r="AA411" s="2223" cm="1">
        <f t="array" ref="AA411">IF($D411&lt;COLUMNS($F$7:AA$7),"",INDEX(TableDiv[[GASB]:[GASB]],_xlfn.AGGREGATE(15,3,(TableDiv[[Agency]:[Agency]]=$E411)/(TableDiv[[Agency]:[Agency]]=$E411)*(ROW(TableDiv[Agency])-ROW(TableDiv[[#Headers],[Agency]])),COLUMNS($F$7:AA$7))))</f>
        <v>0</v>
      </c>
      <c r="AB411" s="2223" cm="1">
        <f t="array" ref="AB411">IF($D411&lt;COLUMNS($F$7:AB$7),"",INDEX(TableDiv[[GASB]:[GASB]],_xlfn.AGGREGATE(15,3,(TableDiv[[Agency]:[Agency]]=$E411)/(TableDiv[[Agency]:[Agency]]=$E411)*(ROW(TableDiv[Agency])-ROW(TableDiv[[#Headers],[Agency]])),COLUMNS($F$7:AB$7))))</f>
        <v>0</v>
      </c>
      <c r="AC411" s="2223" cm="1">
        <f t="array" ref="AC411">IF($D411&lt;COLUMNS($F$7:AC$7),"",INDEX(TableDiv[[GASB]:[GASB]],_xlfn.AGGREGATE(15,3,(TableDiv[[Agency]:[Agency]]=$E411)/(TableDiv[[Agency]:[Agency]]=$E411)*(ROW(TableDiv[Agency])-ROW(TableDiv[[#Headers],[Agency]])),COLUMNS($F$7:AC$7))))</f>
        <v>0</v>
      </c>
      <c r="AD411" s="2223" cm="1">
        <f t="array" ref="AD411">IF($D411&lt;COLUMNS($F$7:AD$7),"",INDEX(TableDiv[[GASB]:[GASB]],_xlfn.AGGREGATE(15,3,(TableDiv[[Agency]:[Agency]]=$E411)/(TableDiv[[Agency]:[Agency]]=$E411)*(ROW(TableDiv[Agency])-ROW(TableDiv[[#Headers],[Agency]])),COLUMNS($F$7:AD$7))))</f>
        <v>0</v>
      </c>
      <c r="AE411" s="2223" cm="1">
        <f t="array" ref="AE411">IF($D411&lt;COLUMNS($F$7:AE$7),"",INDEX(TableDiv[[GASB]:[GASB]],_xlfn.AGGREGATE(15,3,(TableDiv[[Agency]:[Agency]]=$E411)/(TableDiv[[Agency]:[Agency]]=$E411)*(ROW(TableDiv[Agency])-ROW(TableDiv[[#Headers],[Agency]])),COLUMNS($F$7:AE$7))))</f>
        <v>0</v>
      </c>
      <c r="AF411" s="2223" cm="1">
        <f t="array" ref="AF411">IF($D411&lt;COLUMNS($F$7:AF$7),"",INDEX(TableDiv[[GASB]:[GASB]],_xlfn.AGGREGATE(15,3,(TableDiv[[Agency]:[Agency]]=$E411)/(TableDiv[[Agency]:[Agency]]=$E411)*(ROW(TableDiv[Agency])-ROW(TableDiv[[#Headers],[Agency]])),COLUMNS($F$7:AF$7))))</f>
        <v>0</v>
      </c>
      <c r="AG411" s="2223" cm="1">
        <f t="array" ref="AG411">IF($D411&lt;COLUMNS($F$7:AG$7),"",INDEX(TableDiv[[GASB]:[GASB]],_xlfn.AGGREGATE(15,3,(TableDiv[[Agency]:[Agency]]=$E411)/(TableDiv[[Agency]:[Agency]]=$E411)*(ROW(TableDiv[Agency])-ROW(TableDiv[[#Headers],[Agency]])),COLUMNS($F$7:AG$7))))</f>
        <v>0</v>
      </c>
      <c r="AH411" s="2223" cm="1">
        <f t="array" ref="AH411">IF($D411&lt;COLUMNS($F$7:AH$7),"",INDEX(TableDiv[[GASB]:[GASB]],_xlfn.AGGREGATE(15,3,(TableDiv[[Agency]:[Agency]]=$E411)/(TableDiv[[Agency]:[Agency]]=$E411)*(ROW(TableDiv[Agency])-ROW(TableDiv[[#Headers],[Agency]])),COLUMNS($F$7:AH$7))))</f>
        <v>0</v>
      </c>
      <c r="AI411" s="2223" cm="1">
        <f t="array" ref="AI411">IF($D411&lt;COLUMNS($F$7:AI$7),"",INDEX(TableDiv[[GASB]:[GASB]],_xlfn.AGGREGATE(15,3,(TableDiv[[Agency]:[Agency]]=$E411)/(TableDiv[[Agency]:[Agency]]=$E411)*(ROW(TableDiv[Agency])-ROW(TableDiv[[#Headers],[Agency]])),COLUMNS($F$7:AI$7))))</f>
        <v>0</v>
      </c>
      <c r="AJ411" s="2223" cm="1">
        <f t="array" ref="AJ411">IF($D411&lt;COLUMNS($F$7:AJ$7),"",INDEX(TableDiv[[GASB]:[GASB]],_xlfn.AGGREGATE(15,3,(TableDiv[[Agency]:[Agency]]=$E411)/(TableDiv[[Agency]:[Agency]]=$E411)*(ROW(TableDiv[Agency])-ROW(TableDiv[[#Headers],[Agency]])),COLUMNS($F$7:AJ$7))))</f>
        <v>0</v>
      </c>
      <c r="AK411" s="2223" t="str" cm="1">
        <f t="array" ref="AK411">IF($D411&lt;COLUMNS($F$7:AK$7),"",INDEX(TableDiv[[GASB]:[GASB]],_xlfn.AGGREGATE(15,3,(TableDiv[[Agency]:[Agency]]=$E411)/(TableDiv[[Agency]:[Agency]]=$E411)*(ROW(TableDiv[Agency])-ROW(TableDiv[[#Headers],[Agency]])),COLUMNS($F$7:AK$7))))</f>
        <v/>
      </c>
      <c r="AL411" s="2223" t="str" cm="1">
        <f t="array" ref="AL411">IF($D411&lt;COLUMNS($F$7:AL$7),"",INDEX(TableDiv[[GASB]:[GASB]],_xlfn.AGGREGATE(15,3,(TableDiv[[Agency]:[Agency]]=$E411)/(TableDiv[[Agency]:[Agency]]=$E411)*(ROW(TableDiv[Agency])-ROW(TableDiv[[#Headers],[Agency]])),COLUMNS($F$7:AL$7))))</f>
        <v/>
      </c>
      <c r="AM411" s="2223" t="str" cm="1">
        <f t="array" ref="AM411">IF($D411&lt;COLUMNS($F$7:AM$7),"",INDEX(TableDiv[[GASB]:[GASB]],_xlfn.AGGREGATE(15,3,(TableDiv[[Agency]:[Agency]]=$E411)/(TableDiv[[Agency]:[Agency]]=$E411)*(ROW(TableDiv[Agency])-ROW(TableDiv[[#Headers],[Agency]])),COLUMNS($F$7:AM$7))))</f>
        <v/>
      </c>
      <c r="AN411" s="2223"/>
      <c r="AO411" s="2223"/>
      <c r="AP411" s="2223"/>
      <c r="AQ411" s="2223"/>
      <c r="AR411" s="2223"/>
      <c r="AS411" s="2223"/>
    </row>
    <row r="412" spans="1:45" ht="15" x14ac:dyDescent="0.25">
      <c r="A412" s="2219" t="s">
        <v>6529</v>
      </c>
      <c r="B412" s="2219" t="s">
        <v>6497</v>
      </c>
      <c r="C412" s="2223"/>
      <c r="D412" s="2223">
        <f>COUNTIF(TableDiv[Agency],E412)</f>
        <v>31</v>
      </c>
      <c r="E412" s="2230" t="str" cm="1">
        <f t="array" ref="E412">IFERROR(INDEX(TableDiv[Agency],MATCH(0,INDEX(COUNTIF($E$7:E411,TableDiv[Agency]),),0)),"")</f>
        <v/>
      </c>
      <c r="F412" s="2223" cm="1">
        <f t="array" ref="F412">IF($D412&lt;COLUMNS($F$7:F$7),"",INDEX(TableDiv[[GASB]:[GASB]],_xlfn.AGGREGATE(15,3,(TableDiv[[Agency]:[Agency]]=$E412)/(TableDiv[[Agency]:[Agency]]=$E412)*(ROW(TableDiv[Agency])-ROW(TableDiv[[#Headers],[Agency]])),COLUMNS($F$7:F$7))))</f>
        <v>0</v>
      </c>
      <c r="G412" s="2223" cm="1">
        <f t="array" ref="G412">IF($D412&lt;COLUMNS($F$7:G$7),"",INDEX(TableDiv[[GASB]:[GASB]],_xlfn.AGGREGATE(15,3,(TableDiv[[Agency]:[Agency]]=$E412)/(TableDiv[[Agency]:[Agency]]=$E412)*(ROW(TableDiv[Agency])-ROW(TableDiv[[#Headers],[Agency]])),COLUMNS($F$7:G$7))))</f>
        <v>0</v>
      </c>
      <c r="H412" s="2223" cm="1">
        <f t="array" ref="H412">IF($D412&lt;COLUMNS($F$7:H$7),"",INDEX(TableDiv[[GASB]:[GASB]],_xlfn.AGGREGATE(15,3,(TableDiv[[Agency]:[Agency]]=$E412)/(TableDiv[[Agency]:[Agency]]=$E412)*(ROW(TableDiv[Agency])-ROW(TableDiv[[#Headers],[Agency]])),COLUMNS($F$7:H$7))))</f>
        <v>0</v>
      </c>
      <c r="I412" s="2223" cm="1">
        <f t="array" ref="I412">IF($D412&lt;COLUMNS($F$7:I$7),"",INDEX(TableDiv[[GASB]:[GASB]],_xlfn.AGGREGATE(15,3,(TableDiv[[Agency]:[Agency]]=$E412)/(TableDiv[[Agency]:[Agency]]=$E412)*(ROW(TableDiv[Agency])-ROW(TableDiv[[#Headers],[Agency]])),COLUMNS($F$7:I$7))))</f>
        <v>0</v>
      </c>
      <c r="J412" s="2223" cm="1">
        <f t="array" ref="J412">IF($D412&lt;COLUMNS($F$7:J$7),"",INDEX(TableDiv[[GASB]:[GASB]],_xlfn.AGGREGATE(15,3,(TableDiv[[Agency]:[Agency]]=$E412)/(TableDiv[[Agency]:[Agency]]=$E412)*(ROW(TableDiv[Agency])-ROW(TableDiv[[#Headers],[Agency]])),COLUMNS($F$7:J$7))))</f>
        <v>0</v>
      </c>
      <c r="K412" s="2223" cm="1">
        <f t="array" ref="K412">IF($D412&lt;COLUMNS($F$7:K$7),"",INDEX(TableDiv[[GASB]:[GASB]],_xlfn.AGGREGATE(15,3,(TableDiv[[Agency]:[Agency]]=$E412)/(TableDiv[[Agency]:[Agency]]=$E412)*(ROW(TableDiv[Agency])-ROW(TableDiv[[#Headers],[Agency]])),COLUMNS($F$7:K$7))))</f>
        <v>0</v>
      </c>
      <c r="L412" s="2223" cm="1">
        <f t="array" ref="L412">IF($D412&lt;COLUMNS($F$7:L$7),"",INDEX(TableDiv[[GASB]:[GASB]],_xlfn.AGGREGATE(15,3,(TableDiv[[Agency]:[Agency]]=$E412)/(TableDiv[[Agency]:[Agency]]=$E412)*(ROW(TableDiv[Agency])-ROW(TableDiv[[#Headers],[Agency]])),COLUMNS($F$7:L$7))))</f>
        <v>0</v>
      </c>
      <c r="M412" s="2223" cm="1">
        <f t="array" ref="M412">IF($D412&lt;COLUMNS($F$7:M$7),"",INDEX(TableDiv[[GASB]:[GASB]],_xlfn.AGGREGATE(15,3,(TableDiv[[Agency]:[Agency]]=$E412)/(TableDiv[[Agency]:[Agency]]=$E412)*(ROW(TableDiv[Agency])-ROW(TableDiv[[#Headers],[Agency]])),COLUMNS($F$7:M$7))))</f>
        <v>0</v>
      </c>
      <c r="N412" s="2223" cm="1">
        <f t="array" ref="N412">IF($D412&lt;COLUMNS($F$7:N$7),"",INDEX(TableDiv[[GASB]:[GASB]],_xlfn.AGGREGATE(15,3,(TableDiv[[Agency]:[Agency]]=$E412)/(TableDiv[[Agency]:[Agency]]=$E412)*(ROW(TableDiv[Agency])-ROW(TableDiv[[#Headers],[Agency]])),COLUMNS($F$7:N$7))))</f>
        <v>0</v>
      </c>
      <c r="O412" s="2223" cm="1">
        <f t="array" ref="O412">IF($D412&lt;COLUMNS($F$7:O$7),"",INDEX(TableDiv[[GASB]:[GASB]],_xlfn.AGGREGATE(15,3,(TableDiv[[Agency]:[Agency]]=$E412)/(TableDiv[[Agency]:[Agency]]=$E412)*(ROW(TableDiv[Agency])-ROW(TableDiv[[#Headers],[Agency]])),COLUMNS($F$7:O$7))))</f>
        <v>0</v>
      </c>
      <c r="P412" s="2223" cm="1">
        <f t="array" ref="P412">IF($D412&lt;COLUMNS($F$7:P$7),"",INDEX(TableDiv[[GASB]:[GASB]],_xlfn.AGGREGATE(15,3,(TableDiv[[Agency]:[Agency]]=$E412)/(TableDiv[[Agency]:[Agency]]=$E412)*(ROW(TableDiv[Agency])-ROW(TableDiv[[#Headers],[Agency]])),COLUMNS($F$7:P$7))))</f>
        <v>0</v>
      </c>
      <c r="Q412" s="2223" cm="1">
        <f t="array" ref="Q412">IF($D412&lt;COLUMNS($F$7:Q$7),"",INDEX(TableDiv[[GASB]:[GASB]],_xlfn.AGGREGATE(15,3,(TableDiv[[Agency]:[Agency]]=$E412)/(TableDiv[[Agency]:[Agency]]=$E412)*(ROW(TableDiv[Agency])-ROW(TableDiv[[#Headers],[Agency]])),COLUMNS($F$7:Q$7))))</f>
        <v>0</v>
      </c>
      <c r="R412" s="2223" cm="1">
        <f t="array" ref="R412">IF($D412&lt;COLUMNS($F$7:R$7),"",INDEX(TableDiv[[GASB]:[GASB]],_xlfn.AGGREGATE(15,3,(TableDiv[[Agency]:[Agency]]=$E412)/(TableDiv[[Agency]:[Agency]]=$E412)*(ROW(TableDiv[Agency])-ROW(TableDiv[[#Headers],[Agency]])),COLUMNS($F$7:R$7))))</f>
        <v>0</v>
      </c>
      <c r="S412" s="2223" cm="1">
        <f t="array" ref="S412">IF($D412&lt;COLUMNS($F$7:S$7),"",INDEX(TableDiv[[GASB]:[GASB]],_xlfn.AGGREGATE(15,3,(TableDiv[[Agency]:[Agency]]=$E412)/(TableDiv[[Agency]:[Agency]]=$E412)*(ROW(TableDiv[Agency])-ROW(TableDiv[[#Headers],[Agency]])),COLUMNS($F$7:S$7))))</f>
        <v>0</v>
      </c>
      <c r="T412" s="2223" cm="1">
        <f t="array" ref="T412">IF($D412&lt;COLUMNS($F$7:T$7),"",INDEX(TableDiv[[GASB]:[GASB]],_xlfn.AGGREGATE(15,3,(TableDiv[[Agency]:[Agency]]=$E412)/(TableDiv[[Agency]:[Agency]]=$E412)*(ROW(TableDiv[Agency])-ROW(TableDiv[[#Headers],[Agency]])),COLUMNS($F$7:T$7))))</f>
        <v>0</v>
      </c>
      <c r="U412" s="2223" cm="1">
        <f t="array" ref="U412">IF($D412&lt;COLUMNS($F$7:U$7),"",INDEX(TableDiv[[GASB]:[GASB]],_xlfn.AGGREGATE(15,3,(TableDiv[[Agency]:[Agency]]=$E412)/(TableDiv[[Agency]:[Agency]]=$E412)*(ROW(TableDiv[Agency])-ROW(TableDiv[[#Headers],[Agency]])),COLUMNS($F$7:U$7))))</f>
        <v>0</v>
      </c>
      <c r="V412" s="2223" cm="1">
        <f t="array" ref="V412">IF($D412&lt;COLUMNS($F$7:V$7),"",INDEX(TableDiv[[GASB]:[GASB]],_xlfn.AGGREGATE(15,3,(TableDiv[[Agency]:[Agency]]=$E412)/(TableDiv[[Agency]:[Agency]]=$E412)*(ROW(TableDiv[Agency])-ROW(TableDiv[[#Headers],[Agency]])),COLUMNS($F$7:V$7))))</f>
        <v>0</v>
      </c>
      <c r="W412" s="2223" cm="1">
        <f t="array" ref="W412">IF($D412&lt;COLUMNS($F$7:W$7),"",INDEX(TableDiv[[GASB]:[GASB]],_xlfn.AGGREGATE(15,3,(TableDiv[[Agency]:[Agency]]=$E412)/(TableDiv[[Agency]:[Agency]]=$E412)*(ROW(TableDiv[Agency])-ROW(TableDiv[[#Headers],[Agency]])),COLUMNS($F$7:W$7))))</f>
        <v>0</v>
      </c>
      <c r="X412" s="2223" cm="1">
        <f t="array" ref="X412">IF($D412&lt;COLUMNS($F$7:X$7),"",INDEX(TableDiv[[GASB]:[GASB]],_xlfn.AGGREGATE(15,3,(TableDiv[[Agency]:[Agency]]=$E412)/(TableDiv[[Agency]:[Agency]]=$E412)*(ROW(TableDiv[Agency])-ROW(TableDiv[[#Headers],[Agency]])),COLUMNS($F$7:X$7))))</f>
        <v>0</v>
      </c>
      <c r="Y412" s="2223" cm="1">
        <f t="array" ref="Y412">IF($D412&lt;COLUMNS($F$7:Y$7),"",INDEX(TableDiv[[GASB]:[GASB]],_xlfn.AGGREGATE(15,3,(TableDiv[[Agency]:[Agency]]=$E412)/(TableDiv[[Agency]:[Agency]]=$E412)*(ROW(TableDiv[Agency])-ROW(TableDiv[[#Headers],[Agency]])),COLUMNS($F$7:Y$7))))</f>
        <v>0</v>
      </c>
      <c r="Z412" s="2223" cm="1">
        <f t="array" ref="Z412">IF($D412&lt;COLUMNS($F$7:Z$7),"",INDEX(TableDiv[[GASB]:[GASB]],_xlfn.AGGREGATE(15,3,(TableDiv[[Agency]:[Agency]]=$E412)/(TableDiv[[Agency]:[Agency]]=$E412)*(ROW(TableDiv[Agency])-ROW(TableDiv[[#Headers],[Agency]])),COLUMNS($F$7:Z$7))))</f>
        <v>0</v>
      </c>
      <c r="AA412" s="2223" cm="1">
        <f t="array" ref="AA412">IF($D412&lt;COLUMNS($F$7:AA$7),"",INDEX(TableDiv[[GASB]:[GASB]],_xlfn.AGGREGATE(15,3,(TableDiv[[Agency]:[Agency]]=$E412)/(TableDiv[[Agency]:[Agency]]=$E412)*(ROW(TableDiv[Agency])-ROW(TableDiv[[#Headers],[Agency]])),COLUMNS($F$7:AA$7))))</f>
        <v>0</v>
      </c>
      <c r="AB412" s="2223" cm="1">
        <f t="array" ref="AB412">IF($D412&lt;COLUMNS($F$7:AB$7),"",INDEX(TableDiv[[GASB]:[GASB]],_xlfn.AGGREGATE(15,3,(TableDiv[[Agency]:[Agency]]=$E412)/(TableDiv[[Agency]:[Agency]]=$E412)*(ROW(TableDiv[Agency])-ROW(TableDiv[[#Headers],[Agency]])),COLUMNS($F$7:AB$7))))</f>
        <v>0</v>
      </c>
      <c r="AC412" s="2223" cm="1">
        <f t="array" ref="AC412">IF($D412&lt;COLUMNS($F$7:AC$7),"",INDEX(TableDiv[[GASB]:[GASB]],_xlfn.AGGREGATE(15,3,(TableDiv[[Agency]:[Agency]]=$E412)/(TableDiv[[Agency]:[Agency]]=$E412)*(ROW(TableDiv[Agency])-ROW(TableDiv[[#Headers],[Agency]])),COLUMNS($F$7:AC$7))))</f>
        <v>0</v>
      </c>
      <c r="AD412" s="2223" cm="1">
        <f t="array" ref="AD412">IF($D412&lt;COLUMNS($F$7:AD$7),"",INDEX(TableDiv[[GASB]:[GASB]],_xlfn.AGGREGATE(15,3,(TableDiv[[Agency]:[Agency]]=$E412)/(TableDiv[[Agency]:[Agency]]=$E412)*(ROW(TableDiv[Agency])-ROW(TableDiv[[#Headers],[Agency]])),COLUMNS($F$7:AD$7))))</f>
        <v>0</v>
      </c>
      <c r="AE412" s="2223" cm="1">
        <f t="array" ref="AE412">IF($D412&lt;COLUMNS($F$7:AE$7),"",INDEX(TableDiv[[GASB]:[GASB]],_xlfn.AGGREGATE(15,3,(TableDiv[[Agency]:[Agency]]=$E412)/(TableDiv[[Agency]:[Agency]]=$E412)*(ROW(TableDiv[Agency])-ROW(TableDiv[[#Headers],[Agency]])),COLUMNS($F$7:AE$7))))</f>
        <v>0</v>
      </c>
      <c r="AF412" s="2223" cm="1">
        <f t="array" ref="AF412">IF($D412&lt;COLUMNS($F$7:AF$7),"",INDEX(TableDiv[[GASB]:[GASB]],_xlfn.AGGREGATE(15,3,(TableDiv[[Agency]:[Agency]]=$E412)/(TableDiv[[Agency]:[Agency]]=$E412)*(ROW(TableDiv[Agency])-ROW(TableDiv[[#Headers],[Agency]])),COLUMNS($F$7:AF$7))))</f>
        <v>0</v>
      </c>
      <c r="AG412" s="2223" cm="1">
        <f t="array" ref="AG412">IF($D412&lt;COLUMNS($F$7:AG$7),"",INDEX(TableDiv[[GASB]:[GASB]],_xlfn.AGGREGATE(15,3,(TableDiv[[Agency]:[Agency]]=$E412)/(TableDiv[[Agency]:[Agency]]=$E412)*(ROW(TableDiv[Agency])-ROW(TableDiv[[#Headers],[Agency]])),COLUMNS($F$7:AG$7))))</f>
        <v>0</v>
      </c>
      <c r="AH412" s="2223" cm="1">
        <f t="array" ref="AH412">IF($D412&lt;COLUMNS($F$7:AH$7),"",INDEX(TableDiv[[GASB]:[GASB]],_xlfn.AGGREGATE(15,3,(TableDiv[[Agency]:[Agency]]=$E412)/(TableDiv[[Agency]:[Agency]]=$E412)*(ROW(TableDiv[Agency])-ROW(TableDiv[[#Headers],[Agency]])),COLUMNS($F$7:AH$7))))</f>
        <v>0</v>
      </c>
      <c r="AI412" s="2223" cm="1">
        <f t="array" ref="AI412">IF($D412&lt;COLUMNS($F$7:AI$7),"",INDEX(TableDiv[[GASB]:[GASB]],_xlfn.AGGREGATE(15,3,(TableDiv[[Agency]:[Agency]]=$E412)/(TableDiv[[Agency]:[Agency]]=$E412)*(ROW(TableDiv[Agency])-ROW(TableDiv[[#Headers],[Agency]])),COLUMNS($F$7:AI$7))))</f>
        <v>0</v>
      </c>
      <c r="AJ412" s="2223" cm="1">
        <f t="array" ref="AJ412">IF($D412&lt;COLUMNS($F$7:AJ$7),"",INDEX(TableDiv[[GASB]:[GASB]],_xlfn.AGGREGATE(15,3,(TableDiv[[Agency]:[Agency]]=$E412)/(TableDiv[[Agency]:[Agency]]=$E412)*(ROW(TableDiv[Agency])-ROW(TableDiv[[#Headers],[Agency]])),COLUMNS($F$7:AJ$7))))</f>
        <v>0</v>
      </c>
      <c r="AK412" s="2223" t="str" cm="1">
        <f t="array" ref="AK412">IF($D412&lt;COLUMNS($F$7:AK$7),"",INDEX(TableDiv[[GASB]:[GASB]],_xlfn.AGGREGATE(15,3,(TableDiv[[Agency]:[Agency]]=$E412)/(TableDiv[[Agency]:[Agency]]=$E412)*(ROW(TableDiv[Agency])-ROW(TableDiv[[#Headers],[Agency]])),COLUMNS($F$7:AK$7))))</f>
        <v/>
      </c>
      <c r="AL412" s="2223" t="str" cm="1">
        <f t="array" ref="AL412">IF($D412&lt;COLUMNS($F$7:AL$7),"",INDEX(TableDiv[[GASB]:[GASB]],_xlfn.AGGREGATE(15,3,(TableDiv[[Agency]:[Agency]]=$E412)/(TableDiv[[Agency]:[Agency]]=$E412)*(ROW(TableDiv[Agency])-ROW(TableDiv[[#Headers],[Agency]])),COLUMNS($F$7:AL$7))))</f>
        <v/>
      </c>
      <c r="AM412" s="2223" t="str" cm="1">
        <f t="array" ref="AM412">IF($D412&lt;COLUMNS($F$7:AM$7),"",INDEX(TableDiv[[GASB]:[GASB]],_xlfn.AGGREGATE(15,3,(TableDiv[[Agency]:[Agency]]=$E412)/(TableDiv[[Agency]:[Agency]]=$E412)*(ROW(TableDiv[Agency])-ROW(TableDiv[[#Headers],[Agency]])),COLUMNS($F$7:AM$7))))</f>
        <v/>
      </c>
      <c r="AN412" s="2223"/>
      <c r="AO412" s="2223"/>
      <c r="AP412" s="2223"/>
      <c r="AQ412" s="2223"/>
      <c r="AR412" s="2223"/>
      <c r="AS412" s="2223"/>
    </row>
    <row r="413" spans="1:45" ht="15" x14ac:dyDescent="0.25">
      <c r="A413" s="2219" t="s">
        <v>6530</v>
      </c>
      <c r="B413" s="2219" t="s">
        <v>6497</v>
      </c>
      <c r="C413" s="2223"/>
      <c r="D413" s="2223">
        <f>COUNTIF(TableDiv[Agency],E413)</f>
        <v>31</v>
      </c>
      <c r="E413" s="2230" t="str" cm="1">
        <f t="array" ref="E413">IFERROR(INDEX(TableDiv[Agency],MATCH(0,INDEX(COUNTIF($E$7:E412,TableDiv[Agency]),),0)),"")</f>
        <v/>
      </c>
      <c r="F413" s="2223" cm="1">
        <f t="array" ref="F413">IF($D413&lt;COLUMNS($F$7:F$7),"",INDEX(TableDiv[[GASB]:[GASB]],_xlfn.AGGREGATE(15,3,(TableDiv[[Agency]:[Agency]]=$E413)/(TableDiv[[Agency]:[Agency]]=$E413)*(ROW(TableDiv[Agency])-ROW(TableDiv[[#Headers],[Agency]])),COLUMNS($F$7:F$7))))</f>
        <v>0</v>
      </c>
      <c r="G413" s="2223" cm="1">
        <f t="array" ref="G413">IF($D413&lt;COLUMNS($F$7:G$7),"",INDEX(TableDiv[[GASB]:[GASB]],_xlfn.AGGREGATE(15,3,(TableDiv[[Agency]:[Agency]]=$E413)/(TableDiv[[Agency]:[Agency]]=$E413)*(ROW(TableDiv[Agency])-ROW(TableDiv[[#Headers],[Agency]])),COLUMNS($F$7:G$7))))</f>
        <v>0</v>
      </c>
      <c r="H413" s="2223" cm="1">
        <f t="array" ref="H413">IF($D413&lt;COLUMNS($F$7:H$7),"",INDEX(TableDiv[[GASB]:[GASB]],_xlfn.AGGREGATE(15,3,(TableDiv[[Agency]:[Agency]]=$E413)/(TableDiv[[Agency]:[Agency]]=$E413)*(ROW(TableDiv[Agency])-ROW(TableDiv[[#Headers],[Agency]])),COLUMNS($F$7:H$7))))</f>
        <v>0</v>
      </c>
      <c r="I413" s="2223" cm="1">
        <f t="array" ref="I413">IF($D413&lt;COLUMNS($F$7:I$7),"",INDEX(TableDiv[[GASB]:[GASB]],_xlfn.AGGREGATE(15,3,(TableDiv[[Agency]:[Agency]]=$E413)/(TableDiv[[Agency]:[Agency]]=$E413)*(ROW(TableDiv[Agency])-ROW(TableDiv[[#Headers],[Agency]])),COLUMNS($F$7:I$7))))</f>
        <v>0</v>
      </c>
      <c r="J413" s="2223" cm="1">
        <f t="array" ref="J413">IF($D413&lt;COLUMNS($F$7:J$7),"",INDEX(TableDiv[[GASB]:[GASB]],_xlfn.AGGREGATE(15,3,(TableDiv[[Agency]:[Agency]]=$E413)/(TableDiv[[Agency]:[Agency]]=$E413)*(ROW(TableDiv[Agency])-ROW(TableDiv[[#Headers],[Agency]])),COLUMNS($F$7:J$7))))</f>
        <v>0</v>
      </c>
      <c r="K413" s="2223" cm="1">
        <f t="array" ref="K413">IF($D413&lt;COLUMNS($F$7:K$7),"",INDEX(TableDiv[[GASB]:[GASB]],_xlfn.AGGREGATE(15,3,(TableDiv[[Agency]:[Agency]]=$E413)/(TableDiv[[Agency]:[Agency]]=$E413)*(ROW(TableDiv[Agency])-ROW(TableDiv[[#Headers],[Agency]])),COLUMNS($F$7:K$7))))</f>
        <v>0</v>
      </c>
      <c r="L413" s="2223" cm="1">
        <f t="array" ref="L413">IF($D413&lt;COLUMNS($F$7:L$7),"",INDEX(TableDiv[[GASB]:[GASB]],_xlfn.AGGREGATE(15,3,(TableDiv[[Agency]:[Agency]]=$E413)/(TableDiv[[Agency]:[Agency]]=$E413)*(ROW(TableDiv[Agency])-ROW(TableDiv[[#Headers],[Agency]])),COLUMNS($F$7:L$7))))</f>
        <v>0</v>
      </c>
      <c r="M413" s="2223" cm="1">
        <f t="array" ref="M413">IF($D413&lt;COLUMNS($F$7:M$7),"",INDEX(TableDiv[[GASB]:[GASB]],_xlfn.AGGREGATE(15,3,(TableDiv[[Agency]:[Agency]]=$E413)/(TableDiv[[Agency]:[Agency]]=$E413)*(ROW(TableDiv[Agency])-ROW(TableDiv[[#Headers],[Agency]])),COLUMNS($F$7:M$7))))</f>
        <v>0</v>
      </c>
      <c r="N413" s="2223" cm="1">
        <f t="array" ref="N413">IF($D413&lt;COLUMNS($F$7:N$7),"",INDEX(TableDiv[[GASB]:[GASB]],_xlfn.AGGREGATE(15,3,(TableDiv[[Agency]:[Agency]]=$E413)/(TableDiv[[Agency]:[Agency]]=$E413)*(ROW(TableDiv[Agency])-ROW(TableDiv[[#Headers],[Agency]])),COLUMNS($F$7:N$7))))</f>
        <v>0</v>
      </c>
      <c r="O413" s="2223" cm="1">
        <f t="array" ref="O413">IF($D413&lt;COLUMNS($F$7:O$7),"",INDEX(TableDiv[[GASB]:[GASB]],_xlfn.AGGREGATE(15,3,(TableDiv[[Agency]:[Agency]]=$E413)/(TableDiv[[Agency]:[Agency]]=$E413)*(ROW(TableDiv[Agency])-ROW(TableDiv[[#Headers],[Agency]])),COLUMNS($F$7:O$7))))</f>
        <v>0</v>
      </c>
      <c r="P413" s="2223" cm="1">
        <f t="array" ref="P413">IF($D413&lt;COLUMNS($F$7:P$7),"",INDEX(TableDiv[[GASB]:[GASB]],_xlfn.AGGREGATE(15,3,(TableDiv[[Agency]:[Agency]]=$E413)/(TableDiv[[Agency]:[Agency]]=$E413)*(ROW(TableDiv[Agency])-ROW(TableDiv[[#Headers],[Agency]])),COLUMNS($F$7:P$7))))</f>
        <v>0</v>
      </c>
      <c r="Q413" s="2223" cm="1">
        <f t="array" ref="Q413">IF($D413&lt;COLUMNS($F$7:Q$7),"",INDEX(TableDiv[[GASB]:[GASB]],_xlfn.AGGREGATE(15,3,(TableDiv[[Agency]:[Agency]]=$E413)/(TableDiv[[Agency]:[Agency]]=$E413)*(ROW(TableDiv[Agency])-ROW(TableDiv[[#Headers],[Agency]])),COLUMNS($F$7:Q$7))))</f>
        <v>0</v>
      </c>
      <c r="R413" s="2223" cm="1">
        <f t="array" ref="R413">IF($D413&lt;COLUMNS($F$7:R$7),"",INDEX(TableDiv[[GASB]:[GASB]],_xlfn.AGGREGATE(15,3,(TableDiv[[Agency]:[Agency]]=$E413)/(TableDiv[[Agency]:[Agency]]=$E413)*(ROW(TableDiv[Agency])-ROW(TableDiv[[#Headers],[Agency]])),COLUMNS($F$7:R$7))))</f>
        <v>0</v>
      </c>
      <c r="S413" s="2223" cm="1">
        <f t="array" ref="S413">IF($D413&lt;COLUMNS($F$7:S$7),"",INDEX(TableDiv[[GASB]:[GASB]],_xlfn.AGGREGATE(15,3,(TableDiv[[Agency]:[Agency]]=$E413)/(TableDiv[[Agency]:[Agency]]=$E413)*(ROW(TableDiv[Agency])-ROW(TableDiv[[#Headers],[Agency]])),COLUMNS($F$7:S$7))))</f>
        <v>0</v>
      </c>
      <c r="T413" s="2223" cm="1">
        <f t="array" ref="T413">IF($D413&lt;COLUMNS($F$7:T$7),"",INDEX(TableDiv[[GASB]:[GASB]],_xlfn.AGGREGATE(15,3,(TableDiv[[Agency]:[Agency]]=$E413)/(TableDiv[[Agency]:[Agency]]=$E413)*(ROW(TableDiv[Agency])-ROW(TableDiv[[#Headers],[Agency]])),COLUMNS($F$7:T$7))))</f>
        <v>0</v>
      </c>
      <c r="U413" s="2223" cm="1">
        <f t="array" ref="U413">IF($D413&lt;COLUMNS($F$7:U$7),"",INDEX(TableDiv[[GASB]:[GASB]],_xlfn.AGGREGATE(15,3,(TableDiv[[Agency]:[Agency]]=$E413)/(TableDiv[[Agency]:[Agency]]=$E413)*(ROW(TableDiv[Agency])-ROW(TableDiv[[#Headers],[Agency]])),COLUMNS($F$7:U$7))))</f>
        <v>0</v>
      </c>
      <c r="V413" s="2223" cm="1">
        <f t="array" ref="V413">IF($D413&lt;COLUMNS($F$7:V$7),"",INDEX(TableDiv[[GASB]:[GASB]],_xlfn.AGGREGATE(15,3,(TableDiv[[Agency]:[Agency]]=$E413)/(TableDiv[[Agency]:[Agency]]=$E413)*(ROW(TableDiv[Agency])-ROW(TableDiv[[#Headers],[Agency]])),COLUMNS($F$7:V$7))))</f>
        <v>0</v>
      </c>
      <c r="W413" s="2223" cm="1">
        <f t="array" ref="W413">IF($D413&lt;COLUMNS($F$7:W$7),"",INDEX(TableDiv[[GASB]:[GASB]],_xlfn.AGGREGATE(15,3,(TableDiv[[Agency]:[Agency]]=$E413)/(TableDiv[[Agency]:[Agency]]=$E413)*(ROW(TableDiv[Agency])-ROW(TableDiv[[#Headers],[Agency]])),COLUMNS($F$7:W$7))))</f>
        <v>0</v>
      </c>
      <c r="X413" s="2223" cm="1">
        <f t="array" ref="X413">IF($D413&lt;COLUMNS($F$7:X$7),"",INDEX(TableDiv[[GASB]:[GASB]],_xlfn.AGGREGATE(15,3,(TableDiv[[Agency]:[Agency]]=$E413)/(TableDiv[[Agency]:[Agency]]=$E413)*(ROW(TableDiv[Agency])-ROW(TableDiv[[#Headers],[Agency]])),COLUMNS($F$7:X$7))))</f>
        <v>0</v>
      </c>
      <c r="Y413" s="2223" cm="1">
        <f t="array" ref="Y413">IF($D413&lt;COLUMNS($F$7:Y$7),"",INDEX(TableDiv[[GASB]:[GASB]],_xlfn.AGGREGATE(15,3,(TableDiv[[Agency]:[Agency]]=$E413)/(TableDiv[[Agency]:[Agency]]=$E413)*(ROW(TableDiv[Agency])-ROW(TableDiv[[#Headers],[Agency]])),COLUMNS($F$7:Y$7))))</f>
        <v>0</v>
      </c>
      <c r="Z413" s="2223" cm="1">
        <f t="array" ref="Z413">IF($D413&lt;COLUMNS($F$7:Z$7),"",INDEX(TableDiv[[GASB]:[GASB]],_xlfn.AGGREGATE(15,3,(TableDiv[[Agency]:[Agency]]=$E413)/(TableDiv[[Agency]:[Agency]]=$E413)*(ROW(TableDiv[Agency])-ROW(TableDiv[[#Headers],[Agency]])),COLUMNS($F$7:Z$7))))</f>
        <v>0</v>
      </c>
      <c r="AA413" s="2223" cm="1">
        <f t="array" ref="AA413">IF($D413&lt;COLUMNS($F$7:AA$7),"",INDEX(TableDiv[[GASB]:[GASB]],_xlfn.AGGREGATE(15,3,(TableDiv[[Agency]:[Agency]]=$E413)/(TableDiv[[Agency]:[Agency]]=$E413)*(ROW(TableDiv[Agency])-ROW(TableDiv[[#Headers],[Agency]])),COLUMNS($F$7:AA$7))))</f>
        <v>0</v>
      </c>
      <c r="AB413" s="2223" cm="1">
        <f t="array" ref="AB413">IF($D413&lt;COLUMNS($F$7:AB$7),"",INDEX(TableDiv[[GASB]:[GASB]],_xlfn.AGGREGATE(15,3,(TableDiv[[Agency]:[Agency]]=$E413)/(TableDiv[[Agency]:[Agency]]=$E413)*(ROW(TableDiv[Agency])-ROW(TableDiv[[#Headers],[Agency]])),COLUMNS($F$7:AB$7))))</f>
        <v>0</v>
      </c>
      <c r="AC413" s="2223" cm="1">
        <f t="array" ref="AC413">IF($D413&lt;COLUMNS($F$7:AC$7),"",INDEX(TableDiv[[GASB]:[GASB]],_xlfn.AGGREGATE(15,3,(TableDiv[[Agency]:[Agency]]=$E413)/(TableDiv[[Agency]:[Agency]]=$E413)*(ROW(TableDiv[Agency])-ROW(TableDiv[[#Headers],[Agency]])),COLUMNS($F$7:AC$7))))</f>
        <v>0</v>
      </c>
      <c r="AD413" s="2223" cm="1">
        <f t="array" ref="AD413">IF($D413&lt;COLUMNS($F$7:AD$7),"",INDEX(TableDiv[[GASB]:[GASB]],_xlfn.AGGREGATE(15,3,(TableDiv[[Agency]:[Agency]]=$E413)/(TableDiv[[Agency]:[Agency]]=$E413)*(ROW(TableDiv[Agency])-ROW(TableDiv[[#Headers],[Agency]])),COLUMNS($F$7:AD$7))))</f>
        <v>0</v>
      </c>
      <c r="AE413" s="2223" cm="1">
        <f t="array" ref="AE413">IF($D413&lt;COLUMNS($F$7:AE$7),"",INDEX(TableDiv[[GASB]:[GASB]],_xlfn.AGGREGATE(15,3,(TableDiv[[Agency]:[Agency]]=$E413)/(TableDiv[[Agency]:[Agency]]=$E413)*(ROW(TableDiv[Agency])-ROW(TableDiv[[#Headers],[Agency]])),COLUMNS($F$7:AE$7))))</f>
        <v>0</v>
      </c>
      <c r="AF413" s="2223" cm="1">
        <f t="array" ref="AF413">IF($D413&lt;COLUMNS($F$7:AF$7),"",INDEX(TableDiv[[GASB]:[GASB]],_xlfn.AGGREGATE(15,3,(TableDiv[[Agency]:[Agency]]=$E413)/(TableDiv[[Agency]:[Agency]]=$E413)*(ROW(TableDiv[Agency])-ROW(TableDiv[[#Headers],[Agency]])),COLUMNS($F$7:AF$7))))</f>
        <v>0</v>
      </c>
      <c r="AG413" s="2223" cm="1">
        <f t="array" ref="AG413">IF($D413&lt;COLUMNS($F$7:AG$7),"",INDEX(TableDiv[[GASB]:[GASB]],_xlfn.AGGREGATE(15,3,(TableDiv[[Agency]:[Agency]]=$E413)/(TableDiv[[Agency]:[Agency]]=$E413)*(ROW(TableDiv[Agency])-ROW(TableDiv[[#Headers],[Agency]])),COLUMNS($F$7:AG$7))))</f>
        <v>0</v>
      </c>
      <c r="AH413" s="2223" cm="1">
        <f t="array" ref="AH413">IF($D413&lt;COLUMNS($F$7:AH$7),"",INDEX(TableDiv[[GASB]:[GASB]],_xlfn.AGGREGATE(15,3,(TableDiv[[Agency]:[Agency]]=$E413)/(TableDiv[[Agency]:[Agency]]=$E413)*(ROW(TableDiv[Agency])-ROW(TableDiv[[#Headers],[Agency]])),COLUMNS($F$7:AH$7))))</f>
        <v>0</v>
      </c>
      <c r="AI413" s="2223" cm="1">
        <f t="array" ref="AI413">IF($D413&lt;COLUMNS($F$7:AI$7),"",INDEX(TableDiv[[GASB]:[GASB]],_xlfn.AGGREGATE(15,3,(TableDiv[[Agency]:[Agency]]=$E413)/(TableDiv[[Agency]:[Agency]]=$E413)*(ROW(TableDiv[Agency])-ROW(TableDiv[[#Headers],[Agency]])),COLUMNS($F$7:AI$7))))</f>
        <v>0</v>
      </c>
      <c r="AJ413" s="2223" cm="1">
        <f t="array" ref="AJ413">IF($D413&lt;COLUMNS($F$7:AJ$7),"",INDEX(TableDiv[[GASB]:[GASB]],_xlfn.AGGREGATE(15,3,(TableDiv[[Agency]:[Agency]]=$E413)/(TableDiv[[Agency]:[Agency]]=$E413)*(ROW(TableDiv[Agency])-ROW(TableDiv[[#Headers],[Agency]])),COLUMNS($F$7:AJ$7))))</f>
        <v>0</v>
      </c>
      <c r="AK413" s="2223" t="str" cm="1">
        <f t="array" ref="AK413">IF($D413&lt;COLUMNS($F$7:AK$7),"",INDEX(TableDiv[[GASB]:[GASB]],_xlfn.AGGREGATE(15,3,(TableDiv[[Agency]:[Agency]]=$E413)/(TableDiv[[Agency]:[Agency]]=$E413)*(ROW(TableDiv[Agency])-ROW(TableDiv[[#Headers],[Agency]])),COLUMNS($F$7:AK$7))))</f>
        <v/>
      </c>
      <c r="AL413" s="2223" t="str" cm="1">
        <f t="array" ref="AL413">IF($D413&lt;COLUMNS($F$7:AL$7),"",INDEX(TableDiv[[GASB]:[GASB]],_xlfn.AGGREGATE(15,3,(TableDiv[[Agency]:[Agency]]=$E413)/(TableDiv[[Agency]:[Agency]]=$E413)*(ROW(TableDiv[Agency])-ROW(TableDiv[[#Headers],[Agency]])),COLUMNS($F$7:AL$7))))</f>
        <v/>
      </c>
      <c r="AM413" s="2223" t="str" cm="1">
        <f t="array" ref="AM413">IF($D413&lt;COLUMNS($F$7:AM$7),"",INDEX(TableDiv[[GASB]:[GASB]],_xlfn.AGGREGATE(15,3,(TableDiv[[Agency]:[Agency]]=$E413)/(TableDiv[[Agency]:[Agency]]=$E413)*(ROW(TableDiv[Agency])-ROW(TableDiv[[#Headers],[Agency]])),COLUMNS($F$7:AM$7))))</f>
        <v/>
      </c>
      <c r="AN413" s="2223"/>
      <c r="AO413" s="2223"/>
      <c r="AP413" s="2223"/>
      <c r="AQ413" s="2223"/>
      <c r="AR413" s="2223"/>
      <c r="AS413" s="2223"/>
    </row>
    <row r="414" spans="1:45" ht="15" x14ac:dyDescent="0.25">
      <c r="A414" s="2219" t="s">
        <v>6531</v>
      </c>
      <c r="B414" s="2219" t="s">
        <v>6497</v>
      </c>
      <c r="C414" s="2223"/>
      <c r="D414" s="2223">
        <f>COUNTIF(TableDiv[Agency],E414)</f>
        <v>31</v>
      </c>
      <c r="E414" s="2230" t="str" cm="1">
        <f t="array" ref="E414">IFERROR(INDEX(TableDiv[Agency],MATCH(0,INDEX(COUNTIF($E$7:E413,TableDiv[Agency]),),0)),"")</f>
        <v/>
      </c>
      <c r="F414" s="2223" cm="1">
        <f t="array" ref="F414">IF($D414&lt;COLUMNS($F$7:F$7),"",INDEX(TableDiv[[GASB]:[GASB]],_xlfn.AGGREGATE(15,3,(TableDiv[[Agency]:[Agency]]=$E414)/(TableDiv[[Agency]:[Agency]]=$E414)*(ROW(TableDiv[Agency])-ROW(TableDiv[[#Headers],[Agency]])),COLUMNS($F$7:F$7))))</f>
        <v>0</v>
      </c>
      <c r="G414" s="2223" cm="1">
        <f t="array" ref="G414">IF($D414&lt;COLUMNS($F$7:G$7),"",INDEX(TableDiv[[GASB]:[GASB]],_xlfn.AGGREGATE(15,3,(TableDiv[[Agency]:[Agency]]=$E414)/(TableDiv[[Agency]:[Agency]]=$E414)*(ROW(TableDiv[Agency])-ROW(TableDiv[[#Headers],[Agency]])),COLUMNS($F$7:G$7))))</f>
        <v>0</v>
      </c>
      <c r="H414" s="2223" cm="1">
        <f t="array" ref="H414">IF($D414&lt;COLUMNS($F$7:H$7),"",INDEX(TableDiv[[GASB]:[GASB]],_xlfn.AGGREGATE(15,3,(TableDiv[[Agency]:[Agency]]=$E414)/(TableDiv[[Agency]:[Agency]]=$E414)*(ROW(TableDiv[Agency])-ROW(TableDiv[[#Headers],[Agency]])),COLUMNS($F$7:H$7))))</f>
        <v>0</v>
      </c>
      <c r="I414" s="2223" cm="1">
        <f t="array" ref="I414">IF($D414&lt;COLUMNS($F$7:I$7),"",INDEX(TableDiv[[GASB]:[GASB]],_xlfn.AGGREGATE(15,3,(TableDiv[[Agency]:[Agency]]=$E414)/(TableDiv[[Agency]:[Agency]]=$E414)*(ROW(TableDiv[Agency])-ROW(TableDiv[[#Headers],[Agency]])),COLUMNS($F$7:I$7))))</f>
        <v>0</v>
      </c>
      <c r="J414" s="2223" cm="1">
        <f t="array" ref="J414">IF($D414&lt;COLUMNS($F$7:J$7),"",INDEX(TableDiv[[GASB]:[GASB]],_xlfn.AGGREGATE(15,3,(TableDiv[[Agency]:[Agency]]=$E414)/(TableDiv[[Agency]:[Agency]]=$E414)*(ROW(TableDiv[Agency])-ROW(TableDiv[[#Headers],[Agency]])),COLUMNS($F$7:J$7))))</f>
        <v>0</v>
      </c>
      <c r="K414" s="2223" cm="1">
        <f t="array" ref="K414">IF($D414&lt;COLUMNS($F$7:K$7),"",INDEX(TableDiv[[GASB]:[GASB]],_xlfn.AGGREGATE(15,3,(TableDiv[[Agency]:[Agency]]=$E414)/(TableDiv[[Agency]:[Agency]]=$E414)*(ROW(TableDiv[Agency])-ROW(TableDiv[[#Headers],[Agency]])),COLUMNS($F$7:K$7))))</f>
        <v>0</v>
      </c>
      <c r="L414" s="2223" cm="1">
        <f t="array" ref="L414">IF($D414&lt;COLUMNS($F$7:L$7),"",INDEX(TableDiv[[GASB]:[GASB]],_xlfn.AGGREGATE(15,3,(TableDiv[[Agency]:[Agency]]=$E414)/(TableDiv[[Agency]:[Agency]]=$E414)*(ROW(TableDiv[Agency])-ROW(TableDiv[[#Headers],[Agency]])),COLUMNS($F$7:L$7))))</f>
        <v>0</v>
      </c>
      <c r="M414" s="2223" cm="1">
        <f t="array" ref="M414">IF($D414&lt;COLUMNS($F$7:M$7),"",INDEX(TableDiv[[GASB]:[GASB]],_xlfn.AGGREGATE(15,3,(TableDiv[[Agency]:[Agency]]=$E414)/(TableDiv[[Agency]:[Agency]]=$E414)*(ROW(TableDiv[Agency])-ROW(TableDiv[[#Headers],[Agency]])),COLUMNS($F$7:M$7))))</f>
        <v>0</v>
      </c>
      <c r="N414" s="2223" cm="1">
        <f t="array" ref="N414">IF($D414&lt;COLUMNS($F$7:N$7),"",INDEX(TableDiv[[GASB]:[GASB]],_xlfn.AGGREGATE(15,3,(TableDiv[[Agency]:[Agency]]=$E414)/(TableDiv[[Agency]:[Agency]]=$E414)*(ROW(TableDiv[Agency])-ROW(TableDiv[[#Headers],[Agency]])),COLUMNS($F$7:N$7))))</f>
        <v>0</v>
      </c>
      <c r="O414" s="2223" cm="1">
        <f t="array" ref="O414">IF($D414&lt;COLUMNS($F$7:O$7),"",INDEX(TableDiv[[GASB]:[GASB]],_xlfn.AGGREGATE(15,3,(TableDiv[[Agency]:[Agency]]=$E414)/(TableDiv[[Agency]:[Agency]]=$E414)*(ROW(TableDiv[Agency])-ROW(TableDiv[[#Headers],[Agency]])),COLUMNS($F$7:O$7))))</f>
        <v>0</v>
      </c>
      <c r="P414" s="2223" cm="1">
        <f t="array" ref="P414">IF($D414&lt;COLUMNS($F$7:P$7),"",INDEX(TableDiv[[GASB]:[GASB]],_xlfn.AGGREGATE(15,3,(TableDiv[[Agency]:[Agency]]=$E414)/(TableDiv[[Agency]:[Agency]]=$E414)*(ROW(TableDiv[Agency])-ROW(TableDiv[[#Headers],[Agency]])),COLUMNS($F$7:P$7))))</f>
        <v>0</v>
      </c>
      <c r="Q414" s="2223" cm="1">
        <f t="array" ref="Q414">IF($D414&lt;COLUMNS($F$7:Q$7),"",INDEX(TableDiv[[GASB]:[GASB]],_xlfn.AGGREGATE(15,3,(TableDiv[[Agency]:[Agency]]=$E414)/(TableDiv[[Agency]:[Agency]]=$E414)*(ROW(TableDiv[Agency])-ROW(TableDiv[[#Headers],[Agency]])),COLUMNS($F$7:Q$7))))</f>
        <v>0</v>
      </c>
      <c r="R414" s="2223" cm="1">
        <f t="array" ref="R414">IF($D414&lt;COLUMNS($F$7:R$7),"",INDEX(TableDiv[[GASB]:[GASB]],_xlfn.AGGREGATE(15,3,(TableDiv[[Agency]:[Agency]]=$E414)/(TableDiv[[Agency]:[Agency]]=$E414)*(ROW(TableDiv[Agency])-ROW(TableDiv[[#Headers],[Agency]])),COLUMNS($F$7:R$7))))</f>
        <v>0</v>
      </c>
      <c r="S414" s="2223" cm="1">
        <f t="array" ref="S414">IF($D414&lt;COLUMNS($F$7:S$7),"",INDEX(TableDiv[[GASB]:[GASB]],_xlfn.AGGREGATE(15,3,(TableDiv[[Agency]:[Agency]]=$E414)/(TableDiv[[Agency]:[Agency]]=$E414)*(ROW(TableDiv[Agency])-ROW(TableDiv[[#Headers],[Agency]])),COLUMNS($F$7:S$7))))</f>
        <v>0</v>
      </c>
      <c r="T414" s="2223" cm="1">
        <f t="array" ref="T414">IF($D414&lt;COLUMNS($F$7:T$7),"",INDEX(TableDiv[[GASB]:[GASB]],_xlfn.AGGREGATE(15,3,(TableDiv[[Agency]:[Agency]]=$E414)/(TableDiv[[Agency]:[Agency]]=$E414)*(ROW(TableDiv[Agency])-ROW(TableDiv[[#Headers],[Agency]])),COLUMNS($F$7:T$7))))</f>
        <v>0</v>
      </c>
      <c r="U414" s="2223" cm="1">
        <f t="array" ref="U414">IF($D414&lt;COLUMNS($F$7:U$7),"",INDEX(TableDiv[[GASB]:[GASB]],_xlfn.AGGREGATE(15,3,(TableDiv[[Agency]:[Agency]]=$E414)/(TableDiv[[Agency]:[Agency]]=$E414)*(ROW(TableDiv[Agency])-ROW(TableDiv[[#Headers],[Agency]])),COLUMNS($F$7:U$7))))</f>
        <v>0</v>
      </c>
      <c r="V414" s="2223" cm="1">
        <f t="array" ref="V414">IF($D414&lt;COLUMNS($F$7:V$7),"",INDEX(TableDiv[[GASB]:[GASB]],_xlfn.AGGREGATE(15,3,(TableDiv[[Agency]:[Agency]]=$E414)/(TableDiv[[Agency]:[Agency]]=$E414)*(ROW(TableDiv[Agency])-ROW(TableDiv[[#Headers],[Agency]])),COLUMNS($F$7:V$7))))</f>
        <v>0</v>
      </c>
      <c r="W414" s="2223" cm="1">
        <f t="array" ref="W414">IF($D414&lt;COLUMNS($F$7:W$7),"",INDEX(TableDiv[[GASB]:[GASB]],_xlfn.AGGREGATE(15,3,(TableDiv[[Agency]:[Agency]]=$E414)/(TableDiv[[Agency]:[Agency]]=$E414)*(ROW(TableDiv[Agency])-ROW(TableDiv[[#Headers],[Agency]])),COLUMNS($F$7:W$7))))</f>
        <v>0</v>
      </c>
      <c r="X414" s="2223" cm="1">
        <f t="array" ref="X414">IF($D414&lt;COLUMNS($F$7:X$7),"",INDEX(TableDiv[[GASB]:[GASB]],_xlfn.AGGREGATE(15,3,(TableDiv[[Agency]:[Agency]]=$E414)/(TableDiv[[Agency]:[Agency]]=$E414)*(ROW(TableDiv[Agency])-ROW(TableDiv[[#Headers],[Agency]])),COLUMNS($F$7:X$7))))</f>
        <v>0</v>
      </c>
      <c r="Y414" s="2223" cm="1">
        <f t="array" ref="Y414">IF($D414&lt;COLUMNS($F$7:Y$7),"",INDEX(TableDiv[[GASB]:[GASB]],_xlfn.AGGREGATE(15,3,(TableDiv[[Agency]:[Agency]]=$E414)/(TableDiv[[Agency]:[Agency]]=$E414)*(ROW(TableDiv[Agency])-ROW(TableDiv[[#Headers],[Agency]])),COLUMNS($F$7:Y$7))))</f>
        <v>0</v>
      </c>
      <c r="Z414" s="2223" cm="1">
        <f t="array" ref="Z414">IF($D414&lt;COLUMNS($F$7:Z$7),"",INDEX(TableDiv[[GASB]:[GASB]],_xlfn.AGGREGATE(15,3,(TableDiv[[Agency]:[Agency]]=$E414)/(TableDiv[[Agency]:[Agency]]=$E414)*(ROW(TableDiv[Agency])-ROW(TableDiv[[#Headers],[Agency]])),COLUMNS($F$7:Z$7))))</f>
        <v>0</v>
      </c>
      <c r="AA414" s="2223" cm="1">
        <f t="array" ref="AA414">IF($D414&lt;COLUMNS($F$7:AA$7),"",INDEX(TableDiv[[GASB]:[GASB]],_xlfn.AGGREGATE(15,3,(TableDiv[[Agency]:[Agency]]=$E414)/(TableDiv[[Agency]:[Agency]]=$E414)*(ROW(TableDiv[Agency])-ROW(TableDiv[[#Headers],[Agency]])),COLUMNS($F$7:AA$7))))</f>
        <v>0</v>
      </c>
      <c r="AB414" s="2223" cm="1">
        <f t="array" ref="AB414">IF($D414&lt;COLUMNS($F$7:AB$7),"",INDEX(TableDiv[[GASB]:[GASB]],_xlfn.AGGREGATE(15,3,(TableDiv[[Agency]:[Agency]]=$E414)/(TableDiv[[Agency]:[Agency]]=$E414)*(ROW(TableDiv[Agency])-ROW(TableDiv[[#Headers],[Agency]])),COLUMNS($F$7:AB$7))))</f>
        <v>0</v>
      </c>
      <c r="AC414" s="2223" cm="1">
        <f t="array" ref="AC414">IF($D414&lt;COLUMNS($F$7:AC$7),"",INDEX(TableDiv[[GASB]:[GASB]],_xlfn.AGGREGATE(15,3,(TableDiv[[Agency]:[Agency]]=$E414)/(TableDiv[[Agency]:[Agency]]=$E414)*(ROW(TableDiv[Agency])-ROW(TableDiv[[#Headers],[Agency]])),COLUMNS($F$7:AC$7))))</f>
        <v>0</v>
      </c>
      <c r="AD414" s="2223" cm="1">
        <f t="array" ref="AD414">IF($D414&lt;COLUMNS($F$7:AD$7),"",INDEX(TableDiv[[GASB]:[GASB]],_xlfn.AGGREGATE(15,3,(TableDiv[[Agency]:[Agency]]=$E414)/(TableDiv[[Agency]:[Agency]]=$E414)*(ROW(TableDiv[Agency])-ROW(TableDiv[[#Headers],[Agency]])),COLUMNS($F$7:AD$7))))</f>
        <v>0</v>
      </c>
      <c r="AE414" s="2223" cm="1">
        <f t="array" ref="AE414">IF($D414&lt;COLUMNS($F$7:AE$7),"",INDEX(TableDiv[[GASB]:[GASB]],_xlfn.AGGREGATE(15,3,(TableDiv[[Agency]:[Agency]]=$E414)/(TableDiv[[Agency]:[Agency]]=$E414)*(ROW(TableDiv[Agency])-ROW(TableDiv[[#Headers],[Agency]])),COLUMNS($F$7:AE$7))))</f>
        <v>0</v>
      </c>
      <c r="AF414" s="2223" cm="1">
        <f t="array" ref="AF414">IF($D414&lt;COLUMNS($F$7:AF$7),"",INDEX(TableDiv[[GASB]:[GASB]],_xlfn.AGGREGATE(15,3,(TableDiv[[Agency]:[Agency]]=$E414)/(TableDiv[[Agency]:[Agency]]=$E414)*(ROW(TableDiv[Agency])-ROW(TableDiv[[#Headers],[Agency]])),COLUMNS($F$7:AF$7))))</f>
        <v>0</v>
      </c>
      <c r="AG414" s="2223" cm="1">
        <f t="array" ref="AG414">IF($D414&lt;COLUMNS($F$7:AG$7),"",INDEX(TableDiv[[GASB]:[GASB]],_xlfn.AGGREGATE(15,3,(TableDiv[[Agency]:[Agency]]=$E414)/(TableDiv[[Agency]:[Agency]]=$E414)*(ROW(TableDiv[Agency])-ROW(TableDiv[[#Headers],[Agency]])),COLUMNS($F$7:AG$7))))</f>
        <v>0</v>
      </c>
      <c r="AH414" s="2223" cm="1">
        <f t="array" ref="AH414">IF($D414&lt;COLUMNS($F$7:AH$7),"",INDEX(TableDiv[[GASB]:[GASB]],_xlfn.AGGREGATE(15,3,(TableDiv[[Agency]:[Agency]]=$E414)/(TableDiv[[Agency]:[Agency]]=$E414)*(ROW(TableDiv[Agency])-ROW(TableDiv[[#Headers],[Agency]])),COLUMNS($F$7:AH$7))))</f>
        <v>0</v>
      </c>
      <c r="AI414" s="2223" cm="1">
        <f t="array" ref="AI414">IF($D414&lt;COLUMNS($F$7:AI$7),"",INDEX(TableDiv[[GASB]:[GASB]],_xlfn.AGGREGATE(15,3,(TableDiv[[Agency]:[Agency]]=$E414)/(TableDiv[[Agency]:[Agency]]=$E414)*(ROW(TableDiv[Agency])-ROW(TableDiv[[#Headers],[Agency]])),COLUMNS($F$7:AI$7))))</f>
        <v>0</v>
      </c>
      <c r="AJ414" s="2223" cm="1">
        <f t="array" ref="AJ414">IF($D414&lt;COLUMNS($F$7:AJ$7),"",INDEX(TableDiv[[GASB]:[GASB]],_xlfn.AGGREGATE(15,3,(TableDiv[[Agency]:[Agency]]=$E414)/(TableDiv[[Agency]:[Agency]]=$E414)*(ROW(TableDiv[Agency])-ROW(TableDiv[[#Headers],[Agency]])),COLUMNS($F$7:AJ$7))))</f>
        <v>0</v>
      </c>
      <c r="AK414" s="2223" t="str" cm="1">
        <f t="array" ref="AK414">IF($D414&lt;COLUMNS($F$7:AK$7),"",INDEX(TableDiv[[GASB]:[GASB]],_xlfn.AGGREGATE(15,3,(TableDiv[[Agency]:[Agency]]=$E414)/(TableDiv[[Agency]:[Agency]]=$E414)*(ROW(TableDiv[Agency])-ROW(TableDiv[[#Headers],[Agency]])),COLUMNS($F$7:AK$7))))</f>
        <v/>
      </c>
      <c r="AL414" s="2223" t="str" cm="1">
        <f t="array" ref="AL414">IF($D414&lt;COLUMNS($F$7:AL$7),"",INDEX(TableDiv[[GASB]:[GASB]],_xlfn.AGGREGATE(15,3,(TableDiv[[Agency]:[Agency]]=$E414)/(TableDiv[[Agency]:[Agency]]=$E414)*(ROW(TableDiv[Agency])-ROW(TableDiv[[#Headers],[Agency]])),COLUMNS($F$7:AL$7))))</f>
        <v/>
      </c>
      <c r="AM414" s="2223" t="str" cm="1">
        <f t="array" ref="AM414">IF($D414&lt;COLUMNS($F$7:AM$7),"",INDEX(TableDiv[[GASB]:[GASB]],_xlfn.AGGREGATE(15,3,(TableDiv[[Agency]:[Agency]]=$E414)/(TableDiv[[Agency]:[Agency]]=$E414)*(ROW(TableDiv[Agency])-ROW(TableDiv[[#Headers],[Agency]])),COLUMNS($F$7:AM$7))))</f>
        <v/>
      </c>
      <c r="AN414" s="2223"/>
      <c r="AO414" s="2223"/>
      <c r="AP414" s="2223"/>
      <c r="AQ414" s="2223"/>
      <c r="AR414" s="2223"/>
      <c r="AS414" s="2223"/>
    </row>
    <row r="415" spans="1:45" ht="15" x14ac:dyDescent="0.25">
      <c r="A415" s="2219" t="s">
        <v>6532</v>
      </c>
      <c r="B415" s="2219" t="s">
        <v>6497</v>
      </c>
      <c r="C415" s="2223"/>
      <c r="D415" s="2223">
        <f>COUNTIF(TableDiv[Agency],E415)</f>
        <v>31</v>
      </c>
      <c r="E415" s="2230" t="str" cm="1">
        <f t="array" ref="E415">IFERROR(INDEX(TableDiv[Agency],MATCH(0,INDEX(COUNTIF($E$7:E414,TableDiv[Agency]),),0)),"")</f>
        <v/>
      </c>
      <c r="F415" s="2223" cm="1">
        <f t="array" ref="F415">IF($D415&lt;COLUMNS($F$7:F$7),"",INDEX(TableDiv[[GASB]:[GASB]],_xlfn.AGGREGATE(15,3,(TableDiv[[Agency]:[Agency]]=$E415)/(TableDiv[[Agency]:[Agency]]=$E415)*(ROW(TableDiv[Agency])-ROW(TableDiv[[#Headers],[Agency]])),COLUMNS($F$7:F$7))))</f>
        <v>0</v>
      </c>
      <c r="G415" s="2223" cm="1">
        <f t="array" ref="G415">IF($D415&lt;COLUMNS($F$7:G$7),"",INDEX(TableDiv[[GASB]:[GASB]],_xlfn.AGGREGATE(15,3,(TableDiv[[Agency]:[Agency]]=$E415)/(TableDiv[[Agency]:[Agency]]=$E415)*(ROW(TableDiv[Agency])-ROW(TableDiv[[#Headers],[Agency]])),COLUMNS($F$7:G$7))))</f>
        <v>0</v>
      </c>
      <c r="H415" s="2223" cm="1">
        <f t="array" ref="H415">IF($D415&lt;COLUMNS($F$7:H$7),"",INDEX(TableDiv[[GASB]:[GASB]],_xlfn.AGGREGATE(15,3,(TableDiv[[Agency]:[Agency]]=$E415)/(TableDiv[[Agency]:[Agency]]=$E415)*(ROW(TableDiv[Agency])-ROW(TableDiv[[#Headers],[Agency]])),COLUMNS($F$7:H$7))))</f>
        <v>0</v>
      </c>
      <c r="I415" s="2223" cm="1">
        <f t="array" ref="I415">IF($D415&lt;COLUMNS($F$7:I$7),"",INDEX(TableDiv[[GASB]:[GASB]],_xlfn.AGGREGATE(15,3,(TableDiv[[Agency]:[Agency]]=$E415)/(TableDiv[[Agency]:[Agency]]=$E415)*(ROW(TableDiv[Agency])-ROW(TableDiv[[#Headers],[Agency]])),COLUMNS($F$7:I$7))))</f>
        <v>0</v>
      </c>
      <c r="J415" s="2223" cm="1">
        <f t="array" ref="J415">IF($D415&lt;COLUMNS($F$7:J$7),"",INDEX(TableDiv[[GASB]:[GASB]],_xlfn.AGGREGATE(15,3,(TableDiv[[Agency]:[Agency]]=$E415)/(TableDiv[[Agency]:[Agency]]=$E415)*(ROW(TableDiv[Agency])-ROW(TableDiv[[#Headers],[Agency]])),COLUMNS($F$7:J$7))))</f>
        <v>0</v>
      </c>
      <c r="K415" s="2223" cm="1">
        <f t="array" ref="K415">IF($D415&lt;COLUMNS($F$7:K$7),"",INDEX(TableDiv[[GASB]:[GASB]],_xlfn.AGGREGATE(15,3,(TableDiv[[Agency]:[Agency]]=$E415)/(TableDiv[[Agency]:[Agency]]=$E415)*(ROW(TableDiv[Agency])-ROW(TableDiv[[#Headers],[Agency]])),COLUMNS($F$7:K$7))))</f>
        <v>0</v>
      </c>
      <c r="L415" s="2223" cm="1">
        <f t="array" ref="L415">IF($D415&lt;COLUMNS($F$7:L$7),"",INDEX(TableDiv[[GASB]:[GASB]],_xlfn.AGGREGATE(15,3,(TableDiv[[Agency]:[Agency]]=$E415)/(TableDiv[[Agency]:[Agency]]=$E415)*(ROW(TableDiv[Agency])-ROW(TableDiv[[#Headers],[Agency]])),COLUMNS($F$7:L$7))))</f>
        <v>0</v>
      </c>
      <c r="M415" s="2223" cm="1">
        <f t="array" ref="M415">IF($D415&lt;COLUMNS($F$7:M$7),"",INDEX(TableDiv[[GASB]:[GASB]],_xlfn.AGGREGATE(15,3,(TableDiv[[Agency]:[Agency]]=$E415)/(TableDiv[[Agency]:[Agency]]=$E415)*(ROW(TableDiv[Agency])-ROW(TableDiv[[#Headers],[Agency]])),COLUMNS($F$7:M$7))))</f>
        <v>0</v>
      </c>
      <c r="N415" s="2223" cm="1">
        <f t="array" ref="N415">IF($D415&lt;COLUMNS($F$7:N$7),"",INDEX(TableDiv[[GASB]:[GASB]],_xlfn.AGGREGATE(15,3,(TableDiv[[Agency]:[Agency]]=$E415)/(TableDiv[[Agency]:[Agency]]=$E415)*(ROW(TableDiv[Agency])-ROW(TableDiv[[#Headers],[Agency]])),COLUMNS($F$7:N$7))))</f>
        <v>0</v>
      </c>
      <c r="O415" s="2223" cm="1">
        <f t="array" ref="O415">IF($D415&lt;COLUMNS($F$7:O$7),"",INDEX(TableDiv[[GASB]:[GASB]],_xlfn.AGGREGATE(15,3,(TableDiv[[Agency]:[Agency]]=$E415)/(TableDiv[[Agency]:[Agency]]=$E415)*(ROW(TableDiv[Agency])-ROW(TableDiv[[#Headers],[Agency]])),COLUMNS($F$7:O$7))))</f>
        <v>0</v>
      </c>
      <c r="P415" s="2223" cm="1">
        <f t="array" ref="P415">IF($D415&lt;COLUMNS($F$7:P$7),"",INDEX(TableDiv[[GASB]:[GASB]],_xlfn.AGGREGATE(15,3,(TableDiv[[Agency]:[Agency]]=$E415)/(TableDiv[[Agency]:[Agency]]=$E415)*(ROW(TableDiv[Agency])-ROW(TableDiv[[#Headers],[Agency]])),COLUMNS($F$7:P$7))))</f>
        <v>0</v>
      </c>
      <c r="Q415" s="2223" cm="1">
        <f t="array" ref="Q415">IF($D415&lt;COLUMNS($F$7:Q$7),"",INDEX(TableDiv[[GASB]:[GASB]],_xlfn.AGGREGATE(15,3,(TableDiv[[Agency]:[Agency]]=$E415)/(TableDiv[[Agency]:[Agency]]=$E415)*(ROW(TableDiv[Agency])-ROW(TableDiv[[#Headers],[Agency]])),COLUMNS($F$7:Q$7))))</f>
        <v>0</v>
      </c>
      <c r="R415" s="2223" cm="1">
        <f t="array" ref="R415">IF($D415&lt;COLUMNS($F$7:R$7),"",INDEX(TableDiv[[GASB]:[GASB]],_xlfn.AGGREGATE(15,3,(TableDiv[[Agency]:[Agency]]=$E415)/(TableDiv[[Agency]:[Agency]]=$E415)*(ROW(TableDiv[Agency])-ROW(TableDiv[[#Headers],[Agency]])),COLUMNS($F$7:R$7))))</f>
        <v>0</v>
      </c>
      <c r="S415" s="2223" cm="1">
        <f t="array" ref="S415">IF($D415&lt;COLUMNS($F$7:S$7),"",INDEX(TableDiv[[GASB]:[GASB]],_xlfn.AGGREGATE(15,3,(TableDiv[[Agency]:[Agency]]=$E415)/(TableDiv[[Agency]:[Agency]]=$E415)*(ROW(TableDiv[Agency])-ROW(TableDiv[[#Headers],[Agency]])),COLUMNS($F$7:S$7))))</f>
        <v>0</v>
      </c>
      <c r="T415" s="2223" cm="1">
        <f t="array" ref="T415">IF($D415&lt;COLUMNS($F$7:T$7),"",INDEX(TableDiv[[GASB]:[GASB]],_xlfn.AGGREGATE(15,3,(TableDiv[[Agency]:[Agency]]=$E415)/(TableDiv[[Agency]:[Agency]]=$E415)*(ROW(TableDiv[Agency])-ROW(TableDiv[[#Headers],[Agency]])),COLUMNS($F$7:T$7))))</f>
        <v>0</v>
      </c>
      <c r="U415" s="2223" cm="1">
        <f t="array" ref="U415">IF($D415&lt;COLUMNS($F$7:U$7),"",INDEX(TableDiv[[GASB]:[GASB]],_xlfn.AGGREGATE(15,3,(TableDiv[[Agency]:[Agency]]=$E415)/(TableDiv[[Agency]:[Agency]]=$E415)*(ROW(TableDiv[Agency])-ROW(TableDiv[[#Headers],[Agency]])),COLUMNS($F$7:U$7))))</f>
        <v>0</v>
      </c>
      <c r="V415" s="2223" cm="1">
        <f t="array" ref="V415">IF($D415&lt;COLUMNS($F$7:V$7),"",INDEX(TableDiv[[GASB]:[GASB]],_xlfn.AGGREGATE(15,3,(TableDiv[[Agency]:[Agency]]=$E415)/(TableDiv[[Agency]:[Agency]]=$E415)*(ROW(TableDiv[Agency])-ROW(TableDiv[[#Headers],[Agency]])),COLUMNS($F$7:V$7))))</f>
        <v>0</v>
      </c>
      <c r="W415" s="2223" cm="1">
        <f t="array" ref="W415">IF($D415&lt;COLUMNS($F$7:W$7),"",INDEX(TableDiv[[GASB]:[GASB]],_xlfn.AGGREGATE(15,3,(TableDiv[[Agency]:[Agency]]=$E415)/(TableDiv[[Agency]:[Agency]]=$E415)*(ROW(TableDiv[Agency])-ROW(TableDiv[[#Headers],[Agency]])),COLUMNS($F$7:W$7))))</f>
        <v>0</v>
      </c>
      <c r="X415" s="2223" cm="1">
        <f t="array" ref="X415">IF($D415&lt;COLUMNS($F$7:X$7),"",INDEX(TableDiv[[GASB]:[GASB]],_xlfn.AGGREGATE(15,3,(TableDiv[[Agency]:[Agency]]=$E415)/(TableDiv[[Agency]:[Agency]]=$E415)*(ROW(TableDiv[Agency])-ROW(TableDiv[[#Headers],[Agency]])),COLUMNS($F$7:X$7))))</f>
        <v>0</v>
      </c>
      <c r="Y415" s="2223" cm="1">
        <f t="array" ref="Y415">IF($D415&lt;COLUMNS($F$7:Y$7),"",INDEX(TableDiv[[GASB]:[GASB]],_xlfn.AGGREGATE(15,3,(TableDiv[[Agency]:[Agency]]=$E415)/(TableDiv[[Agency]:[Agency]]=$E415)*(ROW(TableDiv[Agency])-ROW(TableDiv[[#Headers],[Agency]])),COLUMNS($F$7:Y$7))))</f>
        <v>0</v>
      </c>
      <c r="Z415" s="2223" cm="1">
        <f t="array" ref="Z415">IF($D415&lt;COLUMNS($F$7:Z$7),"",INDEX(TableDiv[[GASB]:[GASB]],_xlfn.AGGREGATE(15,3,(TableDiv[[Agency]:[Agency]]=$E415)/(TableDiv[[Agency]:[Agency]]=$E415)*(ROW(TableDiv[Agency])-ROW(TableDiv[[#Headers],[Agency]])),COLUMNS($F$7:Z$7))))</f>
        <v>0</v>
      </c>
      <c r="AA415" s="2223" cm="1">
        <f t="array" ref="AA415">IF($D415&lt;COLUMNS($F$7:AA$7),"",INDEX(TableDiv[[GASB]:[GASB]],_xlfn.AGGREGATE(15,3,(TableDiv[[Agency]:[Agency]]=$E415)/(TableDiv[[Agency]:[Agency]]=$E415)*(ROW(TableDiv[Agency])-ROW(TableDiv[[#Headers],[Agency]])),COLUMNS($F$7:AA$7))))</f>
        <v>0</v>
      </c>
      <c r="AB415" s="2223" cm="1">
        <f t="array" ref="AB415">IF($D415&lt;COLUMNS($F$7:AB$7),"",INDEX(TableDiv[[GASB]:[GASB]],_xlfn.AGGREGATE(15,3,(TableDiv[[Agency]:[Agency]]=$E415)/(TableDiv[[Agency]:[Agency]]=$E415)*(ROW(TableDiv[Agency])-ROW(TableDiv[[#Headers],[Agency]])),COLUMNS($F$7:AB$7))))</f>
        <v>0</v>
      </c>
      <c r="AC415" s="2223" cm="1">
        <f t="array" ref="AC415">IF($D415&lt;COLUMNS($F$7:AC$7),"",INDEX(TableDiv[[GASB]:[GASB]],_xlfn.AGGREGATE(15,3,(TableDiv[[Agency]:[Agency]]=$E415)/(TableDiv[[Agency]:[Agency]]=$E415)*(ROW(TableDiv[Agency])-ROW(TableDiv[[#Headers],[Agency]])),COLUMNS($F$7:AC$7))))</f>
        <v>0</v>
      </c>
      <c r="AD415" s="2223" cm="1">
        <f t="array" ref="AD415">IF($D415&lt;COLUMNS($F$7:AD$7),"",INDEX(TableDiv[[GASB]:[GASB]],_xlfn.AGGREGATE(15,3,(TableDiv[[Agency]:[Agency]]=$E415)/(TableDiv[[Agency]:[Agency]]=$E415)*(ROW(TableDiv[Agency])-ROW(TableDiv[[#Headers],[Agency]])),COLUMNS($F$7:AD$7))))</f>
        <v>0</v>
      </c>
      <c r="AE415" s="2223" cm="1">
        <f t="array" ref="AE415">IF($D415&lt;COLUMNS($F$7:AE$7),"",INDEX(TableDiv[[GASB]:[GASB]],_xlfn.AGGREGATE(15,3,(TableDiv[[Agency]:[Agency]]=$E415)/(TableDiv[[Agency]:[Agency]]=$E415)*(ROW(TableDiv[Agency])-ROW(TableDiv[[#Headers],[Agency]])),COLUMNS($F$7:AE$7))))</f>
        <v>0</v>
      </c>
      <c r="AF415" s="2223" cm="1">
        <f t="array" ref="AF415">IF($D415&lt;COLUMNS($F$7:AF$7),"",INDEX(TableDiv[[GASB]:[GASB]],_xlfn.AGGREGATE(15,3,(TableDiv[[Agency]:[Agency]]=$E415)/(TableDiv[[Agency]:[Agency]]=$E415)*(ROW(TableDiv[Agency])-ROW(TableDiv[[#Headers],[Agency]])),COLUMNS($F$7:AF$7))))</f>
        <v>0</v>
      </c>
      <c r="AG415" s="2223" cm="1">
        <f t="array" ref="AG415">IF($D415&lt;COLUMNS($F$7:AG$7),"",INDEX(TableDiv[[GASB]:[GASB]],_xlfn.AGGREGATE(15,3,(TableDiv[[Agency]:[Agency]]=$E415)/(TableDiv[[Agency]:[Agency]]=$E415)*(ROW(TableDiv[Agency])-ROW(TableDiv[[#Headers],[Agency]])),COLUMNS($F$7:AG$7))))</f>
        <v>0</v>
      </c>
      <c r="AH415" s="2223" cm="1">
        <f t="array" ref="AH415">IF($D415&lt;COLUMNS($F$7:AH$7),"",INDEX(TableDiv[[GASB]:[GASB]],_xlfn.AGGREGATE(15,3,(TableDiv[[Agency]:[Agency]]=$E415)/(TableDiv[[Agency]:[Agency]]=$E415)*(ROW(TableDiv[Agency])-ROW(TableDiv[[#Headers],[Agency]])),COLUMNS($F$7:AH$7))))</f>
        <v>0</v>
      </c>
      <c r="AI415" s="2223" cm="1">
        <f t="array" ref="AI415">IF($D415&lt;COLUMNS($F$7:AI$7),"",INDEX(TableDiv[[GASB]:[GASB]],_xlfn.AGGREGATE(15,3,(TableDiv[[Agency]:[Agency]]=$E415)/(TableDiv[[Agency]:[Agency]]=$E415)*(ROW(TableDiv[Agency])-ROW(TableDiv[[#Headers],[Agency]])),COLUMNS($F$7:AI$7))))</f>
        <v>0</v>
      </c>
      <c r="AJ415" s="2223" cm="1">
        <f t="array" ref="AJ415">IF($D415&lt;COLUMNS($F$7:AJ$7),"",INDEX(TableDiv[[GASB]:[GASB]],_xlfn.AGGREGATE(15,3,(TableDiv[[Agency]:[Agency]]=$E415)/(TableDiv[[Agency]:[Agency]]=$E415)*(ROW(TableDiv[Agency])-ROW(TableDiv[[#Headers],[Agency]])),COLUMNS($F$7:AJ$7))))</f>
        <v>0</v>
      </c>
      <c r="AK415" s="2223" t="str" cm="1">
        <f t="array" ref="AK415">IF($D415&lt;COLUMNS($F$7:AK$7),"",INDEX(TableDiv[[GASB]:[GASB]],_xlfn.AGGREGATE(15,3,(TableDiv[[Agency]:[Agency]]=$E415)/(TableDiv[[Agency]:[Agency]]=$E415)*(ROW(TableDiv[Agency])-ROW(TableDiv[[#Headers],[Agency]])),COLUMNS($F$7:AK$7))))</f>
        <v/>
      </c>
      <c r="AL415" s="2223" t="str" cm="1">
        <f t="array" ref="AL415">IF($D415&lt;COLUMNS($F$7:AL$7),"",INDEX(TableDiv[[GASB]:[GASB]],_xlfn.AGGREGATE(15,3,(TableDiv[[Agency]:[Agency]]=$E415)/(TableDiv[[Agency]:[Agency]]=$E415)*(ROW(TableDiv[Agency])-ROW(TableDiv[[#Headers],[Agency]])),COLUMNS($F$7:AL$7))))</f>
        <v/>
      </c>
      <c r="AM415" s="2223" t="str" cm="1">
        <f t="array" ref="AM415">IF($D415&lt;COLUMNS($F$7:AM$7),"",INDEX(TableDiv[[GASB]:[GASB]],_xlfn.AGGREGATE(15,3,(TableDiv[[Agency]:[Agency]]=$E415)/(TableDiv[[Agency]:[Agency]]=$E415)*(ROW(TableDiv[Agency])-ROW(TableDiv[[#Headers],[Agency]])),COLUMNS($F$7:AM$7))))</f>
        <v/>
      </c>
      <c r="AN415" s="2223"/>
      <c r="AO415" s="2223"/>
      <c r="AP415" s="2223"/>
      <c r="AQ415" s="2223"/>
      <c r="AR415" s="2223"/>
      <c r="AS415" s="2223"/>
    </row>
    <row r="416" spans="1:45" ht="15" x14ac:dyDescent="0.25">
      <c r="A416" s="2219" t="s">
        <v>6533</v>
      </c>
      <c r="B416" s="2219" t="s">
        <v>6497</v>
      </c>
      <c r="C416" s="2223"/>
      <c r="D416" s="2223">
        <f>COUNTIF(TableDiv[Agency],E416)</f>
        <v>31</v>
      </c>
      <c r="E416" s="2230" t="str" cm="1">
        <f t="array" ref="E416">IFERROR(INDEX(TableDiv[Agency],MATCH(0,INDEX(COUNTIF($E$7:E415,TableDiv[Agency]),),0)),"")</f>
        <v/>
      </c>
      <c r="F416" s="2223" cm="1">
        <f t="array" ref="F416">IF($D416&lt;COLUMNS($F$7:F$7),"",INDEX(TableDiv[[GASB]:[GASB]],_xlfn.AGGREGATE(15,3,(TableDiv[[Agency]:[Agency]]=$E416)/(TableDiv[[Agency]:[Agency]]=$E416)*(ROW(TableDiv[Agency])-ROW(TableDiv[[#Headers],[Agency]])),COLUMNS($F$7:F$7))))</f>
        <v>0</v>
      </c>
      <c r="G416" s="2223" cm="1">
        <f t="array" ref="G416">IF($D416&lt;COLUMNS($F$7:G$7),"",INDEX(TableDiv[[GASB]:[GASB]],_xlfn.AGGREGATE(15,3,(TableDiv[[Agency]:[Agency]]=$E416)/(TableDiv[[Agency]:[Agency]]=$E416)*(ROW(TableDiv[Agency])-ROW(TableDiv[[#Headers],[Agency]])),COLUMNS($F$7:G$7))))</f>
        <v>0</v>
      </c>
      <c r="H416" s="2223" cm="1">
        <f t="array" ref="H416">IF($D416&lt;COLUMNS($F$7:H$7),"",INDEX(TableDiv[[GASB]:[GASB]],_xlfn.AGGREGATE(15,3,(TableDiv[[Agency]:[Agency]]=$E416)/(TableDiv[[Agency]:[Agency]]=$E416)*(ROW(TableDiv[Agency])-ROW(TableDiv[[#Headers],[Agency]])),COLUMNS($F$7:H$7))))</f>
        <v>0</v>
      </c>
      <c r="I416" s="2223" cm="1">
        <f t="array" ref="I416">IF($D416&lt;COLUMNS($F$7:I$7),"",INDEX(TableDiv[[GASB]:[GASB]],_xlfn.AGGREGATE(15,3,(TableDiv[[Agency]:[Agency]]=$E416)/(TableDiv[[Agency]:[Agency]]=$E416)*(ROW(TableDiv[Agency])-ROW(TableDiv[[#Headers],[Agency]])),COLUMNS($F$7:I$7))))</f>
        <v>0</v>
      </c>
      <c r="J416" s="2223" cm="1">
        <f t="array" ref="J416">IF($D416&lt;COLUMNS($F$7:J$7),"",INDEX(TableDiv[[GASB]:[GASB]],_xlfn.AGGREGATE(15,3,(TableDiv[[Agency]:[Agency]]=$E416)/(TableDiv[[Agency]:[Agency]]=$E416)*(ROW(TableDiv[Agency])-ROW(TableDiv[[#Headers],[Agency]])),COLUMNS($F$7:J$7))))</f>
        <v>0</v>
      </c>
      <c r="K416" s="2223" cm="1">
        <f t="array" ref="K416">IF($D416&lt;COLUMNS($F$7:K$7),"",INDEX(TableDiv[[GASB]:[GASB]],_xlfn.AGGREGATE(15,3,(TableDiv[[Agency]:[Agency]]=$E416)/(TableDiv[[Agency]:[Agency]]=$E416)*(ROW(TableDiv[Agency])-ROW(TableDiv[[#Headers],[Agency]])),COLUMNS($F$7:K$7))))</f>
        <v>0</v>
      </c>
      <c r="L416" s="2223" cm="1">
        <f t="array" ref="L416">IF($D416&lt;COLUMNS($F$7:L$7),"",INDEX(TableDiv[[GASB]:[GASB]],_xlfn.AGGREGATE(15,3,(TableDiv[[Agency]:[Agency]]=$E416)/(TableDiv[[Agency]:[Agency]]=$E416)*(ROW(TableDiv[Agency])-ROW(TableDiv[[#Headers],[Agency]])),COLUMNS($F$7:L$7))))</f>
        <v>0</v>
      </c>
      <c r="M416" s="2223" cm="1">
        <f t="array" ref="M416">IF($D416&lt;COLUMNS($F$7:M$7),"",INDEX(TableDiv[[GASB]:[GASB]],_xlfn.AGGREGATE(15,3,(TableDiv[[Agency]:[Agency]]=$E416)/(TableDiv[[Agency]:[Agency]]=$E416)*(ROW(TableDiv[Agency])-ROW(TableDiv[[#Headers],[Agency]])),COLUMNS($F$7:M$7))))</f>
        <v>0</v>
      </c>
      <c r="N416" s="2223" cm="1">
        <f t="array" ref="N416">IF($D416&lt;COLUMNS($F$7:N$7),"",INDEX(TableDiv[[GASB]:[GASB]],_xlfn.AGGREGATE(15,3,(TableDiv[[Agency]:[Agency]]=$E416)/(TableDiv[[Agency]:[Agency]]=$E416)*(ROW(TableDiv[Agency])-ROW(TableDiv[[#Headers],[Agency]])),COLUMNS($F$7:N$7))))</f>
        <v>0</v>
      </c>
      <c r="O416" s="2223" cm="1">
        <f t="array" ref="O416">IF($D416&lt;COLUMNS($F$7:O$7),"",INDEX(TableDiv[[GASB]:[GASB]],_xlfn.AGGREGATE(15,3,(TableDiv[[Agency]:[Agency]]=$E416)/(TableDiv[[Agency]:[Agency]]=$E416)*(ROW(TableDiv[Agency])-ROW(TableDiv[[#Headers],[Agency]])),COLUMNS($F$7:O$7))))</f>
        <v>0</v>
      </c>
      <c r="P416" s="2223" cm="1">
        <f t="array" ref="P416">IF($D416&lt;COLUMNS($F$7:P$7),"",INDEX(TableDiv[[GASB]:[GASB]],_xlfn.AGGREGATE(15,3,(TableDiv[[Agency]:[Agency]]=$E416)/(TableDiv[[Agency]:[Agency]]=$E416)*(ROW(TableDiv[Agency])-ROW(TableDiv[[#Headers],[Agency]])),COLUMNS($F$7:P$7))))</f>
        <v>0</v>
      </c>
      <c r="Q416" s="2223" cm="1">
        <f t="array" ref="Q416">IF($D416&lt;COLUMNS($F$7:Q$7),"",INDEX(TableDiv[[GASB]:[GASB]],_xlfn.AGGREGATE(15,3,(TableDiv[[Agency]:[Agency]]=$E416)/(TableDiv[[Agency]:[Agency]]=$E416)*(ROW(TableDiv[Agency])-ROW(TableDiv[[#Headers],[Agency]])),COLUMNS($F$7:Q$7))))</f>
        <v>0</v>
      </c>
      <c r="R416" s="2223" cm="1">
        <f t="array" ref="R416">IF($D416&lt;COLUMNS($F$7:R$7),"",INDEX(TableDiv[[GASB]:[GASB]],_xlfn.AGGREGATE(15,3,(TableDiv[[Agency]:[Agency]]=$E416)/(TableDiv[[Agency]:[Agency]]=$E416)*(ROW(TableDiv[Agency])-ROW(TableDiv[[#Headers],[Agency]])),COLUMNS($F$7:R$7))))</f>
        <v>0</v>
      </c>
      <c r="S416" s="2223" cm="1">
        <f t="array" ref="S416">IF($D416&lt;COLUMNS($F$7:S$7),"",INDEX(TableDiv[[GASB]:[GASB]],_xlfn.AGGREGATE(15,3,(TableDiv[[Agency]:[Agency]]=$E416)/(TableDiv[[Agency]:[Agency]]=$E416)*(ROW(TableDiv[Agency])-ROW(TableDiv[[#Headers],[Agency]])),COLUMNS($F$7:S$7))))</f>
        <v>0</v>
      </c>
      <c r="T416" s="2223" cm="1">
        <f t="array" ref="T416">IF($D416&lt;COLUMNS($F$7:T$7),"",INDEX(TableDiv[[GASB]:[GASB]],_xlfn.AGGREGATE(15,3,(TableDiv[[Agency]:[Agency]]=$E416)/(TableDiv[[Agency]:[Agency]]=$E416)*(ROW(TableDiv[Agency])-ROW(TableDiv[[#Headers],[Agency]])),COLUMNS($F$7:T$7))))</f>
        <v>0</v>
      </c>
      <c r="U416" s="2223" cm="1">
        <f t="array" ref="U416">IF($D416&lt;COLUMNS($F$7:U$7),"",INDEX(TableDiv[[GASB]:[GASB]],_xlfn.AGGREGATE(15,3,(TableDiv[[Agency]:[Agency]]=$E416)/(TableDiv[[Agency]:[Agency]]=$E416)*(ROW(TableDiv[Agency])-ROW(TableDiv[[#Headers],[Agency]])),COLUMNS($F$7:U$7))))</f>
        <v>0</v>
      </c>
      <c r="V416" s="2223" cm="1">
        <f t="array" ref="V416">IF($D416&lt;COLUMNS($F$7:V$7),"",INDEX(TableDiv[[GASB]:[GASB]],_xlfn.AGGREGATE(15,3,(TableDiv[[Agency]:[Agency]]=$E416)/(TableDiv[[Agency]:[Agency]]=$E416)*(ROW(TableDiv[Agency])-ROW(TableDiv[[#Headers],[Agency]])),COLUMNS($F$7:V$7))))</f>
        <v>0</v>
      </c>
      <c r="W416" s="2223" cm="1">
        <f t="array" ref="W416">IF($D416&lt;COLUMNS($F$7:W$7),"",INDEX(TableDiv[[GASB]:[GASB]],_xlfn.AGGREGATE(15,3,(TableDiv[[Agency]:[Agency]]=$E416)/(TableDiv[[Agency]:[Agency]]=$E416)*(ROW(TableDiv[Agency])-ROW(TableDiv[[#Headers],[Agency]])),COLUMNS($F$7:W$7))))</f>
        <v>0</v>
      </c>
      <c r="X416" s="2223" cm="1">
        <f t="array" ref="X416">IF($D416&lt;COLUMNS($F$7:X$7),"",INDEX(TableDiv[[GASB]:[GASB]],_xlfn.AGGREGATE(15,3,(TableDiv[[Agency]:[Agency]]=$E416)/(TableDiv[[Agency]:[Agency]]=$E416)*(ROW(TableDiv[Agency])-ROW(TableDiv[[#Headers],[Agency]])),COLUMNS($F$7:X$7))))</f>
        <v>0</v>
      </c>
      <c r="Y416" s="2223" cm="1">
        <f t="array" ref="Y416">IF($D416&lt;COLUMNS($F$7:Y$7),"",INDEX(TableDiv[[GASB]:[GASB]],_xlfn.AGGREGATE(15,3,(TableDiv[[Agency]:[Agency]]=$E416)/(TableDiv[[Agency]:[Agency]]=$E416)*(ROW(TableDiv[Agency])-ROW(TableDiv[[#Headers],[Agency]])),COLUMNS($F$7:Y$7))))</f>
        <v>0</v>
      </c>
      <c r="Z416" s="2223" cm="1">
        <f t="array" ref="Z416">IF($D416&lt;COLUMNS($F$7:Z$7),"",INDEX(TableDiv[[GASB]:[GASB]],_xlfn.AGGREGATE(15,3,(TableDiv[[Agency]:[Agency]]=$E416)/(TableDiv[[Agency]:[Agency]]=$E416)*(ROW(TableDiv[Agency])-ROW(TableDiv[[#Headers],[Agency]])),COLUMNS($F$7:Z$7))))</f>
        <v>0</v>
      </c>
      <c r="AA416" s="2223" cm="1">
        <f t="array" ref="AA416">IF($D416&lt;COLUMNS($F$7:AA$7),"",INDEX(TableDiv[[GASB]:[GASB]],_xlfn.AGGREGATE(15,3,(TableDiv[[Agency]:[Agency]]=$E416)/(TableDiv[[Agency]:[Agency]]=$E416)*(ROW(TableDiv[Agency])-ROW(TableDiv[[#Headers],[Agency]])),COLUMNS($F$7:AA$7))))</f>
        <v>0</v>
      </c>
      <c r="AB416" s="2223" cm="1">
        <f t="array" ref="AB416">IF($D416&lt;COLUMNS($F$7:AB$7),"",INDEX(TableDiv[[GASB]:[GASB]],_xlfn.AGGREGATE(15,3,(TableDiv[[Agency]:[Agency]]=$E416)/(TableDiv[[Agency]:[Agency]]=$E416)*(ROW(TableDiv[Agency])-ROW(TableDiv[[#Headers],[Agency]])),COLUMNS($F$7:AB$7))))</f>
        <v>0</v>
      </c>
      <c r="AC416" s="2223" cm="1">
        <f t="array" ref="AC416">IF($D416&lt;COLUMNS($F$7:AC$7),"",INDEX(TableDiv[[GASB]:[GASB]],_xlfn.AGGREGATE(15,3,(TableDiv[[Agency]:[Agency]]=$E416)/(TableDiv[[Agency]:[Agency]]=$E416)*(ROW(TableDiv[Agency])-ROW(TableDiv[[#Headers],[Agency]])),COLUMNS($F$7:AC$7))))</f>
        <v>0</v>
      </c>
      <c r="AD416" s="2223" cm="1">
        <f t="array" ref="AD416">IF($D416&lt;COLUMNS($F$7:AD$7),"",INDEX(TableDiv[[GASB]:[GASB]],_xlfn.AGGREGATE(15,3,(TableDiv[[Agency]:[Agency]]=$E416)/(TableDiv[[Agency]:[Agency]]=$E416)*(ROW(TableDiv[Agency])-ROW(TableDiv[[#Headers],[Agency]])),COLUMNS($F$7:AD$7))))</f>
        <v>0</v>
      </c>
      <c r="AE416" s="2223" cm="1">
        <f t="array" ref="AE416">IF($D416&lt;COLUMNS($F$7:AE$7),"",INDEX(TableDiv[[GASB]:[GASB]],_xlfn.AGGREGATE(15,3,(TableDiv[[Agency]:[Agency]]=$E416)/(TableDiv[[Agency]:[Agency]]=$E416)*(ROW(TableDiv[Agency])-ROW(TableDiv[[#Headers],[Agency]])),COLUMNS($F$7:AE$7))))</f>
        <v>0</v>
      </c>
      <c r="AF416" s="2223" cm="1">
        <f t="array" ref="AF416">IF($D416&lt;COLUMNS($F$7:AF$7),"",INDEX(TableDiv[[GASB]:[GASB]],_xlfn.AGGREGATE(15,3,(TableDiv[[Agency]:[Agency]]=$E416)/(TableDiv[[Agency]:[Agency]]=$E416)*(ROW(TableDiv[Agency])-ROW(TableDiv[[#Headers],[Agency]])),COLUMNS($F$7:AF$7))))</f>
        <v>0</v>
      </c>
      <c r="AG416" s="2223" cm="1">
        <f t="array" ref="AG416">IF($D416&lt;COLUMNS($F$7:AG$7),"",INDEX(TableDiv[[GASB]:[GASB]],_xlfn.AGGREGATE(15,3,(TableDiv[[Agency]:[Agency]]=$E416)/(TableDiv[[Agency]:[Agency]]=$E416)*(ROW(TableDiv[Agency])-ROW(TableDiv[[#Headers],[Agency]])),COLUMNS($F$7:AG$7))))</f>
        <v>0</v>
      </c>
      <c r="AH416" s="2223" cm="1">
        <f t="array" ref="AH416">IF($D416&lt;COLUMNS($F$7:AH$7),"",INDEX(TableDiv[[GASB]:[GASB]],_xlfn.AGGREGATE(15,3,(TableDiv[[Agency]:[Agency]]=$E416)/(TableDiv[[Agency]:[Agency]]=$E416)*(ROW(TableDiv[Agency])-ROW(TableDiv[[#Headers],[Agency]])),COLUMNS($F$7:AH$7))))</f>
        <v>0</v>
      </c>
      <c r="AI416" s="2223" cm="1">
        <f t="array" ref="AI416">IF($D416&lt;COLUMNS($F$7:AI$7),"",INDEX(TableDiv[[GASB]:[GASB]],_xlfn.AGGREGATE(15,3,(TableDiv[[Agency]:[Agency]]=$E416)/(TableDiv[[Agency]:[Agency]]=$E416)*(ROW(TableDiv[Agency])-ROW(TableDiv[[#Headers],[Agency]])),COLUMNS($F$7:AI$7))))</f>
        <v>0</v>
      </c>
      <c r="AJ416" s="2223" cm="1">
        <f t="array" ref="AJ416">IF($D416&lt;COLUMNS($F$7:AJ$7),"",INDEX(TableDiv[[GASB]:[GASB]],_xlfn.AGGREGATE(15,3,(TableDiv[[Agency]:[Agency]]=$E416)/(TableDiv[[Agency]:[Agency]]=$E416)*(ROW(TableDiv[Agency])-ROW(TableDiv[[#Headers],[Agency]])),COLUMNS($F$7:AJ$7))))</f>
        <v>0</v>
      </c>
      <c r="AK416" s="2223" t="str" cm="1">
        <f t="array" ref="AK416">IF($D416&lt;COLUMNS($F$7:AK$7),"",INDEX(TableDiv[[GASB]:[GASB]],_xlfn.AGGREGATE(15,3,(TableDiv[[Agency]:[Agency]]=$E416)/(TableDiv[[Agency]:[Agency]]=$E416)*(ROW(TableDiv[Agency])-ROW(TableDiv[[#Headers],[Agency]])),COLUMNS($F$7:AK$7))))</f>
        <v/>
      </c>
      <c r="AL416" s="2223" t="str" cm="1">
        <f t="array" ref="AL416">IF($D416&lt;COLUMNS($F$7:AL$7),"",INDEX(TableDiv[[GASB]:[GASB]],_xlfn.AGGREGATE(15,3,(TableDiv[[Agency]:[Agency]]=$E416)/(TableDiv[[Agency]:[Agency]]=$E416)*(ROW(TableDiv[Agency])-ROW(TableDiv[[#Headers],[Agency]])),COLUMNS($F$7:AL$7))))</f>
        <v/>
      </c>
      <c r="AM416" s="2223" t="str" cm="1">
        <f t="array" ref="AM416">IF($D416&lt;COLUMNS($F$7:AM$7),"",INDEX(TableDiv[[GASB]:[GASB]],_xlfn.AGGREGATE(15,3,(TableDiv[[Agency]:[Agency]]=$E416)/(TableDiv[[Agency]:[Agency]]=$E416)*(ROW(TableDiv[Agency])-ROW(TableDiv[[#Headers],[Agency]])),COLUMNS($F$7:AM$7))))</f>
        <v/>
      </c>
      <c r="AN416" s="2223"/>
      <c r="AO416" s="2223"/>
      <c r="AP416" s="2223"/>
      <c r="AQ416" s="2223"/>
      <c r="AR416" s="2223"/>
      <c r="AS416" s="2223"/>
    </row>
    <row r="417" spans="1:45" ht="15" x14ac:dyDescent="0.25">
      <c r="A417" s="2219" t="s">
        <v>6534</v>
      </c>
      <c r="B417" s="2219" t="s">
        <v>6497</v>
      </c>
      <c r="C417" s="2223"/>
      <c r="D417" s="2223">
        <f>COUNTIF(TableDiv[Agency],E417)</f>
        <v>31</v>
      </c>
      <c r="E417" s="2230" t="str" cm="1">
        <f t="array" ref="E417">IFERROR(INDEX(TableDiv[Agency],MATCH(0,INDEX(COUNTIF($E$7:E416,TableDiv[Agency]),),0)),"")</f>
        <v/>
      </c>
      <c r="F417" s="2223" cm="1">
        <f t="array" ref="F417">IF($D417&lt;COLUMNS($F$7:F$7),"",INDEX(TableDiv[[GASB]:[GASB]],_xlfn.AGGREGATE(15,3,(TableDiv[[Agency]:[Agency]]=$E417)/(TableDiv[[Agency]:[Agency]]=$E417)*(ROW(TableDiv[Agency])-ROW(TableDiv[[#Headers],[Agency]])),COLUMNS($F$7:F$7))))</f>
        <v>0</v>
      </c>
      <c r="G417" s="2223" cm="1">
        <f t="array" ref="G417">IF($D417&lt;COLUMNS($F$7:G$7),"",INDEX(TableDiv[[GASB]:[GASB]],_xlfn.AGGREGATE(15,3,(TableDiv[[Agency]:[Agency]]=$E417)/(TableDiv[[Agency]:[Agency]]=$E417)*(ROW(TableDiv[Agency])-ROW(TableDiv[[#Headers],[Agency]])),COLUMNS($F$7:G$7))))</f>
        <v>0</v>
      </c>
      <c r="H417" s="2223" cm="1">
        <f t="array" ref="H417">IF($D417&lt;COLUMNS($F$7:H$7),"",INDEX(TableDiv[[GASB]:[GASB]],_xlfn.AGGREGATE(15,3,(TableDiv[[Agency]:[Agency]]=$E417)/(TableDiv[[Agency]:[Agency]]=$E417)*(ROW(TableDiv[Agency])-ROW(TableDiv[[#Headers],[Agency]])),COLUMNS($F$7:H$7))))</f>
        <v>0</v>
      </c>
      <c r="I417" s="2223" cm="1">
        <f t="array" ref="I417">IF($D417&lt;COLUMNS($F$7:I$7),"",INDEX(TableDiv[[GASB]:[GASB]],_xlfn.AGGREGATE(15,3,(TableDiv[[Agency]:[Agency]]=$E417)/(TableDiv[[Agency]:[Agency]]=$E417)*(ROW(TableDiv[Agency])-ROW(TableDiv[[#Headers],[Agency]])),COLUMNS($F$7:I$7))))</f>
        <v>0</v>
      </c>
      <c r="J417" s="2223" cm="1">
        <f t="array" ref="J417">IF($D417&lt;COLUMNS($F$7:J$7),"",INDEX(TableDiv[[GASB]:[GASB]],_xlfn.AGGREGATE(15,3,(TableDiv[[Agency]:[Agency]]=$E417)/(TableDiv[[Agency]:[Agency]]=$E417)*(ROW(TableDiv[Agency])-ROW(TableDiv[[#Headers],[Agency]])),COLUMNS($F$7:J$7))))</f>
        <v>0</v>
      </c>
      <c r="K417" s="2223" cm="1">
        <f t="array" ref="K417">IF($D417&lt;COLUMNS($F$7:K$7),"",INDEX(TableDiv[[GASB]:[GASB]],_xlfn.AGGREGATE(15,3,(TableDiv[[Agency]:[Agency]]=$E417)/(TableDiv[[Agency]:[Agency]]=$E417)*(ROW(TableDiv[Agency])-ROW(TableDiv[[#Headers],[Agency]])),COLUMNS($F$7:K$7))))</f>
        <v>0</v>
      </c>
      <c r="L417" s="2223" cm="1">
        <f t="array" ref="L417">IF($D417&lt;COLUMNS($F$7:L$7),"",INDEX(TableDiv[[GASB]:[GASB]],_xlfn.AGGREGATE(15,3,(TableDiv[[Agency]:[Agency]]=$E417)/(TableDiv[[Agency]:[Agency]]=$E417)*(ROW(TableDiv[Agency])-ROW(TableDiv[[#Headers],[Agency]])),COLUMNS($F$7:L$7))))</f>
        <v>0</v>
      </c>
      <c r="M417" s="2223" cm="1">
        <f t="array" ref="M417">IF($D417&lt;COLUMNS($F$7:M$7),"",INDEX(TableDiv[[GASB]:[GASB]],_xlfn.AGGREGATE(15,3,(TableDiv[[Agency]:[Agency]]=$E417)/(TableDiv[[Agency]:[Agency]]=$E417)*(ROW(TableDiv[Agency])-ROW(TableDiv[[#Headers],[Agency]])),COLUMNS($F$7:M$7))))</f>
        <v>0</v>
      </c>
      <c r="N417" s="2223" cm="1">
        <f t="array" ref="N417">IF($D417&lt;COLUMNS($F$7:N$7),"",INDEX(TableDiv[[GASB]:[GASB]],_xlfn.AGGREGATE(15,3,(TableDiv[[Agency]:[Agency]]=$E417)/(TableDiv[[Agency]:[Agency]]=$E417)*(ROW(TableDiv[Agency])-ROW(TableDiv[[#Headers],[Agency]])),COLUMNS($F$7:N$7))))</f>
        <v>0</v>
      </c>
      <c r="O417" s="2223" cm="1">
        <f t="array" ref="O417">IF($D417&lt;COLUMNS($F$7:O$7),"",INDEX(TableDiv[[GASB]:[GASB]],_xlfn.AGGREGATE(15,3,(TableDiv[[Agency]:[Agency]]=$E417)/(TableDiv[[Agency]:[Agency]]=$E417)*(ROW(TableDiv[Agency])-ROW(TableDiv[[#Headers],[Agency]])),COLUMNS($F$7:O$7))))</f>
        <v>0</v>
      </c>
      <c r="P417" s="2223" cm="1">
        <f t="array" ref="P417">IF($D417&lt;COLUMNS($F$7:P$7),"",INDEX(TableDiv[[GASB]:[GASB]],_xlfn.AGGREGATE(15,3,(TableDiv[[Agency]:[Agency]]=$E417)/(TableDiv[[Agency]:[Agency]]=$E417)*(ROW(TableDiv[Agency])-ROW(TableDiv[[#Headers],[Agency]])),COLUMNS($F$7:P$7))))</f>
        <v>0</v>
      </c>
      <c r="Q417" s="2223" cm="1">
        <f t="array" ref="Q417">IF($D417&lt;COLUMNS($F$7:Q$7),"",INDEX(TableDiv[[GASB]:[GASB]],_xlfn.AGGREGATE(15,3,(TableDiv[[Agency]:[Agency]]=$E417)/(TableDiv[[Agency]:[Agency]]=$E417)*(ROW(TableDiv[Agency])-ROW(TableDiv[[#Headers],[Agency]])),COLUMNS($F$7:Q$7))))</f>
        <v>0</v>
      </c>
      <c r="R417" s="2223" cm="1">
        <f t="array" ref="R417">IF($D417&lt;COLUMNS($F$7:R$7),"",INDEX(TableDiv[[GASB]:[GASB]],_xlfn.AGGREGATE(15,3,(TableDiv[[Agency]:[Agency]]=$E417)/(TableDiv[[Agency]:[Agency]]=$E417)*(ROW(TableDiv[Agency])-ROW(TableDiv[[#Headers],[Agency]])),COLUMNS($F$7:R$7))))</f>
        <v>0</v>
      </c>
      <c r="S417" s="2223" cm="1">
        <f t="array" ref="S417">IF($D417&lt;COLUMNS($F$7:S$7),"",INDEX(TableDiv[[GASB]:[GASB]],_xlfn.AGGREGATE(15,3,(TableDiv[[Agency]:[Agency]]=$E417)/(TableDiv[[Agency]:[Agency]]=$E417)*(ROW(TableDiv[Agency])-ROW(TableDiv[[#Headers],[Agency]])),COLUMNS($F$7:S$7))))</f>
        <v>0</v>
      </c>
      <c r="T417" s="2223" cm="1">
        <f t="array" ref="T417">IF($D417&lt;COLUMNS($F$7:T$7),"",INDEX(TableDiv[[GASB]:[GASB]],_xlfn.AGGREGATE(15,3,(TableDiv[[Agency]:[Agency]]=$E417)/(TableDiv[[Agency]:[Agency]]=$E417)*(ROW(TableDiv[Agency])-ROW(TableDiv[[#Headers],[Agency]])),COLUMNS($F$7:T$7))))</f>
        <v>0</v>
      </c>
      <c r="U417" s="2223" cm="1">
        <f t="array" ref="U417">IF($D417&lt;COLUMNS($F$7:U$7),"",INDEX(TableDiv[[GASB]:[GASB]],_xlfn.AGGREGATE(15,3,(TableDiv[[Agency]:[Agency]]=$E417)/(TableDiv[[Agency]:[Agency]]=$E417)*(ROW(TableDiv[Agency])-ROW(TableDiv[[#Headers],[Agency]])),COLUMNS($F$7:U$7))))</f>
        <v>0</v>
      </c>
      <c r="V417" s="2223" cm="1">
        <f t="array" ref="V417">IF($D417&lt;COLUMNS($F$7:V$7),"",INDEX(TableDiv[[GASB]:[GASB]],_xlfn.AGGREGATE(15,3,(TableDiv[[Agency]:[Agency]]=$E417)/(TableDiv[[Agency]:[Agency]]=$E417)*(ROW(TableDiv[Agency])-ROW(TableDiv[[#Headers],[Agency]])),COLUMNS($F$7:V$7))))</f>
        <v>0</v>
      </c>
      <c r="W417" s="2223" cm="1">
        <f t="array" ref="W417">IF($D417&lt;COLUMNS($F$7:W$7),"",INDEX(TableDiv[[GASB]:[GASB]],_xlfn.AGGREGATE(15,3,(TableDiv[[Agency]:[Agency]]=$E417)/(TableDiv[[Agency]:[Agency]]=$E417)*(ROW(TableDiv[Agency])-ROW(TableDiv[[#Headers],[Agency]])),COLUMNS($F$7:W$7))))</f>
        <v>0</v>
      </c>
      <c r="X417" s="2223" cm="1">
        <f t="array" ref="X417">IF($D417&lt;COLUMNS($F$7:X$7),"",INDEX(TableDiv[[GASB]:[GASB]],_xlfn.AGGREGATE(15,3,(TableDiv[[Agency]:[Agency]]=$E417)/(TableDiv[[Agency]:[Agency]]=$E417)*(ROW(TableDiv[Agency])-ROW(TableDiv[[#Headers],[Agency]])),COLUMNS($F$7:X$7))))</f>
        <v>0</v>
      </c>
      <c r="Y417" s="2223" cm="1">
        <f t="array" ref="Y417">IF($D417&lt;COLUMNS($F$7:Y$7),"",INDEX(TableDiv[[GASB]:[GASB]],_xlfn.AGGREGATE(15,3,(TableDiv[[Agency]:[Agency]]=$E417)/(TableDiv[[Agency]:[Agency]]=$E417)*(ROW(TableDiv[Agency])-ROW(TableDiv[[#Headers],[Agency]])),COLUMNS($F$7:Y$7))))</f>
        <v>0</v>
      </c>
      <c r="Z417" s="2223" cm="1">
        <f t="array" ref="Z417">IF($D417&lt;COLUMNS($F$7:Z$7),"",INDEX(TableDiv[[GASB]:[GASB]],_xlfn.AGGREGATE(15,3,(TableDiv[[Agency]:[Agency]]=$E417)/(TableDiv[[Agency]:[Agency]]=$E417)*(ROW(TableDiv[Agency])-ROW(TableDiv[[#Headers],[Agency]])),COLUMNS($F$7:Z$7))))</f>
        <v>0</v>
      </c>
      <c r="AA417" s="2223" cm="1">
        <f t="array" ref="AA417">IF($D417&lt;COLUMNS($F$7:AA$7),"",INDEX(TableDiv[[GASB]:[GASB]],_xlfn.AGGREGATE(15,3,(TableDiv[[Agency]:[Agency]]=$E417)/(TableDiv[[Agency]:[Agency]]=$E417)*(ROW(TableDiv[Agency])-ROW(TableDiv[[#Headers],[Agency]])),COLUMNS($F$7:AA$7))))</f>
        <v>0</v>
      </c>
      <c r="AB417" s="2223" cm="1">
        <f t="array" ref="AB417">IF($D417&lt;COLUMNS($F$7:AB$7),"",INDEX(TableDiv[[GASB]:[GASB]],_xlfn.AGGREGATE(15,3,(TableDiv[[Agency]:[Agency]]=$E417)/(TableDiv[[Agency]:[Agency]]=$E417)*(ROW(TableDiv[Agency])-ROW(TableDiv[[#Headers],[Agency]])),COLUMNS($F$7:AB$7))))</f>
        <v>0</v>
      </c>
      <c r="AC417" s="2223" cm="1">
        <f t="array" ref="AC417">IF($D417&lt;COLUMNS($F$7:AC$7),"",INDEX(TableDiv[[GASB]:[GASB]],_xlfn.AGGREGATE(15,3,(TableDiv[[Agency]:[Agency]]=$E417)/(TableDiv[[Agency]:[Agency]]=$E417)*(ROW(TableDiv[Agency])-ROW(TableDiv[[#Headers],[Agency]])),COLUMNS($F$7:AC$7))))</f>
        <v>0</v>
      </c>
      <c r="AD417" s="2223" cm="1">
        <f t="array" ref="AD417">IF($D417&lt;COLUMNS($F$7:AD$7),"",INDEX(TableDiv[[GASB]:[GASB]],_xlfn.AGGREGATE(15,3,(TableDiv[[Agency]:[Agency]]=$E417)/(TableDiv[[Agency]:[Agency]]=$E417)*(ROW(TableDiv[Agency])-ROW(TableDiv[[#Headers],[Agency]])),COLUMNS($F$7:AD$7))))</f>
        <v>0</v>
      </c>
      <c r="AE417" s="2223" cm="1">
        <f t="array" ref="AE417">IF($D417&lt;COLUMNS($F$7:AE$7),"",INDEX(TableDiv[[GASB]:[GASB]],_xlfn.AGGREGATE(15,3,(TableDiv[[Agency]:[Agency]]=$E417)/(TableDiv[[Agency]:[Agency]]=$E417)*(ROW(TableDiv[Agency])-ROW(TableDiv[[#Headers],[Agency]])),COLUMNS($F$7:AE$7))))</f>
        <v>0</v>
      </c>
      <c r="AF417" s="2223" cm="1">
        <f t="array" ref="AF417">IF($D417&lt;COLUMNS($F$7:AF$7),"",INDEX(TableDiv[[GASB]:[GASB]],_xlfn.AGGREGATE(15,3,(TableDiv[[Agency]:[Agency]]=$E417)/(TableDiv[[Agency]:[Agency]]=$E417)*(ROW(TableDiv[Agency])-ROW(TableDiv[[#Headers],[Agency]])),COLUMNS($F$7:AF$7))))</f>
        <v>0</v>
      </c>
      <c r="AG417" s="2223" cm="1">
        <f t="array" ref="AG417">IF($D417&lt;COLUMNS($F$7:AG$7),"",INDEX(TableDiv[[GASB]:[GASB]],_xlfn.AGGREGATE(15,3,(TableDiv[[Agency]:[Agency]]=$E417)/(TableDiv[[Agency]:[Agency]]=$E417)*(ROW(TableDiv[Agency])-ROW(TableDiv[[#Headers],[Agency]])),COLUMNS($F$7:AG$7))))</f>
        <v>0</v>
      </c>
      <c r="AH417" s="2223" cm="1">
        <f t="array" ref="AH417">IF($D417&lt;COLUMNS($F$7:AH$7),"",INDEX(TableDiv[[GASB]:[GASB]],_xlfn.AGGREGATE(15,3,(TableDiv[[Agency]:[Agency]]=$E417)/(TableDiv[[Agency]:[Agency]]=$E417)*(ROW(TableDiv[Agency])-ROW(TableDiv[[#Headers],[Agency]])),COLUMNS($F$7:AH$7))))</f>
        <v>0</v>
      </c>
      <c r="AI417" s="2223" cm="1">
        <f t="array" ref="AI417">IF($D417&lt;COLUMNS($F$7:AI$7),"",INDEX(TableDiv[[GASB]:[GASB]],_xlfn.AGGREGATE(15,3,(TableDiv[[Agency]:[Agency]]=$E417)/(TableDiv[[Agency]:[Agency]]=$E417)*(ROW(TableDiv[Agency])-ROW(TableDiv[[#Headers],[Agency]])),COLUMNS($F$7:AI$7))))</f>
        <v>0</v>
      </c>
      <c r="AJ417" s="2223" cm="1">
        <f t="array" ref="AJ417">IF($D417&lt;COLUMNS($F$7:AJ$7),"",INDEX(TableDiv[[GASB]:[GASB]],_xlfn.AGGREGATE(15,3,(TableDiv[[Agency]:[Agency]]=$E417)/(TableDiv[[Agency]:[Agency]]=$E417)*(ROW(TableDiv[Agency])-ROW(TableDiv[[#Headers],[Agency]])),COLUMNS($F$7:AJ$7))))</f>
        <v>0</v>
      </c>
      <c r="AK417" s="2223" t="str" cm="1">
        <f t="array" ref="AK417">IF($D417&lt;COLUMNS($F$7:AK$7),"",INDEX(TableDiv[[GASB]:[GASB]],_xlfn.AGGREGATE(15,3,(TableDiv[[Agency]:[Agency]]=$E417)/(TableDiv[[Agency]:[Agency]]=$E417)*(ROW(TableDiv[Agency])-ROW(TableDiv[[#Headers],[Agency]])),COLUMNS($F$7:AK$7))))</f>
        <v/>
      </c>
      <c r="AL417" s="2223" t="str" cm="1">
        <f t="array" ref="AL417">IF($D417&lt;COLUMNS($F$7:AL$7),"",INDEX(TableDiv[[GASB]:[GASB]],_xlfn.AGGREGATE(15,3,(TableDiv[[Agency]:[Agency]]=$E417)/(TableDiv[[Agency]:[Agency]]=$E417)*(ROW(TableDiv[Agency])-ROW(TableDiv[[#Headers],[Agency]])),COLUMNS($F$7:AL$7))))</f>
        <v/>
      </c>
      <c r="AM417" s="2223" t="str" cm="1">
        <f t="array" ref="AM417">IF($D417&lt;COLUMNS($F$7:AM$7),"",INDEX(TableDiv[[GASB]:[GASB]],_xlfn.AGGREGATE(15,3,(TableDiv[[Agency]:[Agency]]=$E417)/(TableDiv[[Agency]:[Agency]]=$E417)*(ROW(TableDiv[Agency])-ROW(TableDiv[[#Headers],[Agency]])),COLUMNS($F$7:AM$7))))</f>
        <v/>
      </c>
      <c r="AN417" s="2223"/>
      <c r="AO417" s="2223"/>
      <c r="AP417" s="2223"/>
      <c r="AQ417" s="2223"/>
      <c r="AR417" s="2223"/>
      <c r="AS417" s="2223"/>
    </row>
    <row r="418" spans="1:45" ht="15" x14ac:dyDescent="0.25">
      <c r="A418" s="2219" t="s">
        <v>6535</v>
      </c>
      <c r="B418" s="2219" t="s">
        <v>6497</v>
      </c>
      <c r="C418" s="2223"/>
      <c r="D418" s="2223">
        <f>COUNTIF(TableDiv[Agency],E418)</f>
        <v>31</v>
      </c>
      <c r="E418" s="2230" t="str" cm="1">
        <f t="array" ref="E418">IFERROR(INDEX(TableDiv[Agency],MATCH(0,INDEX(COUNTIF($E$7:E417,TableDiv[Agency]),),0)),"")</f>
        <v/>
      </c>
      <c r="F418" s="2223" cm="1">
        <f t="array" ref="F418">IF($D418&lt;COLUMNS($F$7:F$7),"",INDEX(TableDiv[[GASB]:[GASB]],_xlfn.AGGREGATE(15,3,(TableDiv[[Agency]:[Agency]]=$E418)/(TableDiv[[Agency]:[Agency]]=$E418)*(ROW(TableDiv[Agency])-ROW(TableDiv[[#Headers],[Agency]])),COLUMNS($F$7:F$7))))</f>
        <v>0</v>
      </c>
      <c r="G418" s="2223" cm="1">
        <f t="array" ref="G418">IF($D418&lt;COLUMNS($F$7:G$7),"",INDEX(TableDiv[[GASB]:[GASB]],_xlfn.AGGREGATE(15,3,(TableDiv[[Agency]:[Agency]]=$E418)/(TableDiv[[Agency]:[Agency]]=$E418)*(ROW(TableDiv[Agency])-ROW(TableDiv[[#Headers],[Agency]])),COLUMNS($F$7:G$7))))</f>
        <v>0</v>
      </c>
      <c r="H418" s="2223" cm="1">
        <f t="array" ref="H418">IF($D418&lt;COLUMNS($F$7:H$7),"",INDEX(TableDiv[[GASB]:[GASB]],_xlfn.AGGREGATE(15,3,(TableDiv[[Agency]:[Agency]]=$E418)/(TableDiv[[Agency]:[Agency]]=$E418)*(ROW(TableDiv[Agency])-ROW(TableDiv[[#Headers],[Agency]])),COLUMNS($F$7:H$7))))</f>
        <v>0</v>
      </c>
      <c r="I418" s="2223" cm="1">
        <f t="array" ref="I418">IF($D418&lt;COLUMNS($F$7:I$7),"",INDEX(TableDiv[[GASB]:[GASB]],_xlfn.AGGREGATE(15,3,(TableDiv[[Agency]:[Agency]]=$E418)/(TableDiv[[Agency]:[Agency]]=$E418)*(ROW(TableDiv[Agency])-ROW(TableDiv[[#Headers],[Agency]])),COLUMNS($F$7:I$7))))</f>
        <v>0</v>
      </c>
      <c r="J418" s="2223" cm="1">
        <f t="array" ref="J418">IF($D418&lt;COLUMNS($F$7:J$7),"",INDEX(TableDiv[[GASB]:[GASB]],_xlfn.AGGREGATE(15,3,(TableDiv[[Agency]:[Agency]]=$E418)/(TableDiv[[Agency]:[Agency]]=$E418)*(ROW(TableDiv[Agency])-ROW(TableDiv[[#Headers],[Agency]])),COLUMNS($F$7:J$7))))</f>
        <v>0</v>
      </c>
      <c r="K418" s="2223" cm="1">
        <f t="array" ref="K418">IF($D418&lt;COLUMNS($F$7:K$7),"",INDEX(TableDiv[[GASB]:[GASB]],_xlfn.AGGREGATE(15,3,(TableDiv[[Agency]:[Agency]]=$E418)/(TableDiv[[Agency]:[Agency]]=$E418)*(ROW(TableDiv[Agency])-ROW(TableDiv[[#Headers],[Agency]])),COLUMNS($F$7:K$7))))</f>
        <v>0</v>
      </c>
      <c r="L418" s="2223" cm="1">
        <f t="array" ref="L418">IF($D418&lt;COLUMNS($F$7:L$7),"",INDEX(TableDiv[[GASB]:[GASB]],_xlfn.AGGREGATE(15,3,(TableDiv[[Agency]:[Agency]]=$E418)/(TableDiv[[Agency]:[Agency]]=$E418)*(ROW(TableDiv[Agency])-ROW(TableDiv[[#Headers],[Agency]])),COLUMNS($F$7:L$7))))</f>
        <v>0</v>
      </c>
      <c r="M418" s="2223" cm="1">
        <f t="array" ref="M418">IF($D418&lt;COLUMNS($F$7:M$7),"",INDEX(TableDiv[[GASB]:[GASB]],_xlfn.AGGREGATE(15,3,(TableDiv[[Agency]:[Agency]]=$E418)/(TableDiv[[Agency]:[Agency]]=$E418)*(ROW(TableDiv[Agency])-ROW(TableDiv[[#Headers],[Agency]])),COLUMNS($F$7:M$7))))</f>
        <v>0</v>
      </c>
      <c r="N418" s="2223" cm="1">
        <f t="array" ref="N418">IF($D418&lt;COLUMNS($F$7:N$7),"",INDEX(TableDiv[[GASB]:[GASB]],_xlfn.AGGREGATE(15,3,(TableDiv[[Agency]:[Agency]]=$E418)/(TableDiv[[Agency]:[Agency]]=$E418)*(ROW(TableDiv[Agency])-ROW(TableDiv[[#Headers],[Agency]])),COLUMNS($F$7:N$7))))</f>
        <v>0</v>
      </c>
      <c r="O418" s="2223" cm="1">
        <f t="array" ref="O418">IF($D418&lt;COLUMNS($F$7:O$7),"",INDEX(TableDiv[[GASB]:[GASB]],_xlfn.AGGREGATE(15,3,(TableDiv[[Agency]:[Agency]]=$E418)/(TableDiv[[Agency]:[Agency]]=$E418)*(ROW(TableDiv[Agency])-ROW(TableDiv[[#Headers],[Agency]])),COLUMNS($F$7:O$7))))</f>
        <v>0</v>
      </c>
      <c r="P418" s="2223" cm="1">
        <f t="array" ref="P418">IF($D418&lt;COLUMNS($F$7:P$7),"",INDEX(TableDiv[[GASB]:[GASB]],_xlfn.AGGREGATE(15,3,(TableDiv[[Agency]:[Agency]]=$E418)/(TableDiv[[Agency]:[Agency]]=$E418)*(ROW(TableDiv[Agency])-ROW(TableDiv[[#Headers],[Agency]])),COLUMNS($F$7:P$7))))</f>
        <v>0</v>
      </c>
      <c r="Q418" s="2223" cm="1">
        <f t="array" ref="Q418">IF($D418&lt;COLUMNS($F$7:Q$7),"",INDEX(TableDiv[[GASB]:[GASB]],_xlfn.AGGREGATE(15,3,(TableDiv[[Agency]:[Agency]]=$E418)/(TableDiv[[Agency]:[Agency]]=$E418)*(ROW(TableDiv[Agency])-ROW(TableDiv[[#Headers],[Agency]])),COLUMNS($F$7:Q$7))))</f>
        <v>0</v>
      </c>
      <c r="R418" s="2223" cm="1">
        <f t="array" ref="R418">IF($D418&lt;COLUMNS($F$7:R$7),"",INDEX(TableDiv[[GASB]:[GASB]],_xlfn.AGGREGATE(15,3,(TableDiv[[Agency]:[Agency]]=$E418)/(TableDiv[[Agency]:[Agency]]=$E418)*(ROW(TableDiv[Agency])-ROW(TableDiv[[#Headers],[Agency]])),COLUMNS($F$7:R$7))))</f>
        <v>0</v>
      </c>
      <c r="S418" s="2223" cm="1">
        <f t="array" ref="S418">IF($D418&lt;COLUMNS($F$7:S$7),"",INDEX(TableDiv[[GASB]:[GASB]],_xlfn.AGGREGATE(15,3,(TableDiv[[Agency]:[Agency]]=$E418)/(TableDiv[[Agency]:[Agency]]=$E418)*(ROW(TableDiv[Agency])-ROW(TableDiv[[#Headers],[Agency]])),COLUMNS($F$7:S$7))))</f>
        <v>0</v>
      </c>
      <c r="T418" s="2223" cm="1">
        <f t="array" ref="T418">IF($D418&lt;COLUMNS($F$7:T$7),"",INDEX(TableDiv[[GASB]:[GASB]],_xlfn.AGGREGATE(15,3,(TableDiv[[Agency]:[Agency]]=$E418)/(TableDiv[[Agency]:[Agency]]=$E418)*(ROW(TableDiv[Agency])-ROW(TableDiv[[#Headers],[Agency]])),COLUMNS($F$7:T$7))))</f>
        <v>0</v>
      </c>
      <c r="U418" s="2223" cm="1">
        <f t="array" ref="U418">IF($D418&lt;COLUMNS($F$7:U$7),"",INDEX(TableDiv[[GASB]:[GASB]],_xlfn.AGGREGATE(15,3,(TableDiv[[Agency]:[Agency]]=$E418)/(TableDiv[[Agency]:[Agency]]=$E418)*(ROW(TableDiv[Agency])-ROW(TableDiv[[#Headers],[Agency]])),COLUMNS($F$7:U$7))))</f>
        <v>0</v>
      </c>
      <c r="V418" s="2223" cm="1">
        <f t="array" ref="V418">IF($D418&lt;COLUMNS($F$7:V$7),"",INDEX(TableDiv[[GASB]:[GASB]],_xlfn.AGGREGATE(15,3,(TableDiv[[Agency]:[Agency]]=$E418)/(TableDiv[[Agency]:[Agency]]=$E418)*(ROW(TableDiv[Agency])-ROW(TableDiv[[#Headers],[Agency]])),COLUMNS($F$7:V$7))))</f>
        <v>0</v>
      </c>
      <c r="W418" s="2223" cm="1">
        <f t="array" ref="W418">IF($D418&lt;COLUMNS($F$7:W$7),"",INDEX(TableDiv[[GASB]:[GASB]],_xlfn.AGGREGATE(15,3,(TableDiv[[Agency]:[Agency]]=$E418)/(TableDiv[[Agency]:[Agency]]=$E418)*(ROW(TableDiv[Agency])-ROW(TableDiv[[#Headers],[Agency]])),COLUMNS($F$7:W$7))))</f>
        <v>0</v>
      </c>
      <c r="X418" s="2223" cm="1">
        <f t="array" ref="X418">IF($D418&lt;COLUMNS($F$7:X$7),"",INDEX(TableDiv[[GASB]:[GASB]],_xlfn.AGGREGATE(15,3,(TableDiv[[Agency]:[Agency]]=$E418)/(TableDiv[[Agency]:[Agency]]=$E418)*(ROW(TableDiv[Agency])-ROW(TableDiv[[#Headers],[Agency]])),COLUMNS($F$7:X$7))))</f>
        <v>0</v>
      </c>
      <c r="Y418" s="2223" cm="1">
        <f t="array" ref="Y418">IF($D418&lt;COLUMNS($F$7:Y$7),"",INDEX(TableDiv[[GASB]:[GASB]],_xlfn.AGGREGATE(15,3,(TableDiv[[Agency]:[Agency]]=$E418)/(TableDiv[[Agency]:[Agency]]=$E418)*(ROW(TableDiv[Agency])-ROW(TableDiv[[#Headers],[Agency]])),COLUMNS($F$7:Y$7))))</f>
        <v>0</v>
      </c>
      <c r="Z418" s="2223" cm="1">
        <f t="array" ref="Z418">IF($D418&lt;COLUMNS($F$7:Z$7),"",INDEX(TableDiv[[GASB]:[GASB]],_xlfn.AGGREGATE(15,3,(TableDiv[[Agency]:[Agency]]=$E418)/(TableDiv[[Agency]:[Agency]]=$E418)*(ROW(TableDiv[Agency])-ROW(TableDiv[[#Headers],[Agency]])),COLUMNS($F$7:Z$7))))</f>
        <v>0</v>
      </c>
      <c r="AA418" s="2223" cm="1">
        <f t="array" ref="AA418">IF($D418&lt;COLUMNS($F$7:AA$7),"",INDEX(TableDiv[[GASB]:[GASB]],_xlfn.AGGREGATE(15,3,(TableDiv[[Agency]:[Agency]]=$E418)/(TableDiv[[Agency]:[Agency]]=$E418)*(ROW(TableDiv[Agency])-ROW(TableDiv[[#Headers],[Agency]])),COLUMNS($F$7:AA$7))))</f>
        <v>0</v>
      </c>
      <c r="AB418" s="2223" cm="1">
        <f t="array" ref="AB418">IF($D418&lt;COLUMNS($F$7:AB$7),"",INDEX(TableDiv[[GASB]:[GASB]],_xlfn.AGGREGATE(15,3,(TableDiv[[Agency]:[Agency]]=$E418)/(TableDiv[[Agency]:[Agency]]=$E418)*(ROW(TableDiv[Agency])-ROW(TableDiv[[#Headers],[Agency]])),COLUMNS($F$7:AB$7))))</f>
        <v>0</v>
      </c>
      <c r="AC418" s="2223" cm="1">
        <f t="array" ref="AC418">IF($D418&lt;COLUMNS($F$7:AC$7),"",INDEX(TableDiv[[GASB]:[GASB]],_xlfn.AGGREGATE(15,3,(TableDiv[[Agency]:[Agency]]=$E418)/(TableDiv[[Agency]:[Agency]]=$E418)*(ROW(TableDiv[Agency])-ROW(TableDiv[[#Headers],[Agency]])),COLUMNS($F$7:AC$7))))</f>
        <v>0</v>
      </c>
      <c r="AD418" s="2223" cm="1">
        <f t="array" ref="AD418">IF($D418&lt;COLUMNS($F$7:AD$7),"",INDEX(TableDiv[[GASB]:[GASB]],_xlfn.AGGREGATE(15,3,(TableDiv[[Agency]:[Agency]]=$E418)/(TableDiv[[Agency]:[Agency]]=$E418)*(ROW(TableDiv[Agency])-ROW(TableDiv[[#Headers],[Agency]])),COLUMNS($F$7:AD$7))))</f>
        <v>0</v>
      </c>
      <c r="AE418" s="2223" cm="1">
        <f t="array" ref="AE418">IF($D418&lt;COLUMNS($F$7:AE$7),"",INDEX(TableDiv[[GASB]:[GASB]],_xlfn.AGGREGATE(15,3,(TableDiv[[Agency]:[Agency]]=$E418)/(TableDiv[[Agency]:[Agency]]=$E418)*(ROW(TableDiv[Agency])-ROW(TableDiv[[#Headers],[Agency]])),COLUMNS($F$7:AE$7))))</f>
        <v>0</v>
      </c>
      <c r="AF418" s="2223" cm="1">
        <f t="array" ref="AF418">IF($D418&lt;COLUMNS($F$7:AF$7),"",INDEX(TableDiv[[GASB]:[GASB]],_xlfn.AGGREGATE(15,3,(TableDiv[[Agency]:[Agency]]=$E418)/(TableDiv[[Agency]:[Agency]]=$E418)*(ROW(TableDiv[Agency])-ROW(TableDiv[[#Headers],[Agency]])),COLUMNS($F$7:AF$7))))</f>
        <v>0</v>
      </c>
      <c r="AG418" s="2223" cm="1">
        <f t="array" ref="AG418">IF($D418&lt;COLUMNS($F$7:AG$7),"",INDEX(TableDiv[[GASB]:[GASB]],_xlfn.AGGREGATE(15,3,(TableDiv[[Agency]:[Agency]]=$E418)/(TableDiv[[Agency]:[Agency]]=$E418)*(ROW(TableDiv[Agency])-ROW(TableDiv[[#Headers],[Agency]])),COLUMNS($F$7:AG$7))))</f>
        <v>0</v>
      </c>
      <c r="AH418" s="2223" cm="1">
        <f t="array" ref="AH418">IF($D418&lt;COLUMNS($F$7:AH$7),"",INDEX(TableDiv[[GASB]:[GASB]],_xlfn.AGGREGATE(15,3,(TableDiv[[Agency]:[Agency]]=$E418)/(TableDiv[[Agency]:[Agency]]=$E418)*(ROW(TableDiv[Agency])-ROW(TableDiv[[#Headers],[Agency]])),COLUMNS($F$7:AH$7))))</f>
        <v>0</v>
      </c>
      <c r="AI418" s="2223" cm="1">
        <f t="array" ref="AI418">IF($D418&lt;COLUMNS($F$7:AI$7),"",INDEX(TableDiv[[GASB]:[GASB]],_xlfn.AGGREGATE(15,3,(TableDiv[[Agency]:[Agency]]=$E418)/(TableDiv[[Agency]:[Agency]]=$E418)*(ROW(TableDiv[Agency])-ROW(TableDiv[[#Headers],[Agency]])),COLUMNS($F$7:AI$7))))</f>
        <v>0</v>
      </c>
      <c r="AJ418" s="2223" cm="1">
        <f t="array" ref="AJ418">IF($D418&lt;COLUMNS($F$7:AJ$7),"",INDEX(TableDiv[[GASB]:[GASB]],_xlfn.AGGREGATE(15,3,(TableDiv[[Agency]:[Agency]]=$E418)/(TableDiv[[Agency]:[Agency]]=$E418)*(ROW(TableDiv[Agency])-ROW(TableDiv[[#Headers],[Agency]])),COLUMNS($F$7:AJ$7))))</f>
        <v>0</v>
      </c>
      <c r="AK418" s="2223" t="str" cm="1">
        <f t="array" ref="AK418">IF($D418&lt;COLUMNS($F$7:AK$7),"",INDEX(TableDiv[[GASB]:[GASB]],_xlfn.AGGREGATE(15,3,(TableDiv[[Agency]:[Agency]]=$E418)/(TableDiv[[Agency]:[Agency]]=$E418)*(ROW(TableDiv[Agency])-ROW(TableDiv[[#Headers],[Agency]])),COLUMNS($F$7:AK$7))))</f>
        <v/>
      </c>
      <c r="AL418" s="2223" t="str" cm="1">
        <f t="array" ref="AL418">IF($D418&lt;COLUMNS($F$7:AL$7),"",INDEX(TableDiv[[GASB]:[GASB]],_xlfn.AGGREGATE(15,3,(TableDiv[[Agency]:[Agency]]=$E418)/(TableDiv[[Agency]:[Agency]]=$E418)*(ROW(TableDiv[Agency])-ROW(TableDiv[[#Headers],[Agency]])),COLUMNS($F$7:AL$7))))</f>
        <v/>
      </c>
      <c r="AM418" s="2223" t="str" cm="1">
        <f t="array" ref="AM418">IF($D418&lt;COLUMNS($F$7:AM$7),"",INDEX(TableDiv[[GASB]:[GASB]],_xlfn.AGGREGATE(15,3,(TableDiv[[Agency]:[Agency]]=$E418)/(TableDiv[[Agency]:[Agency]]=$E418)*(ROW(TableDiv[Agency])-ROW(TableDiv[[#Headers],[Agency]])),COLUMNS($F$7:AM$7))))</f>
        <v/>
      </c>
      <c r="AN418" s="2223"/>
      <c r="AO418" s="2223"/>
      <c r="AP418" s="2223"/>
      <c r="AQ418" s="2223"/>
      <c r="AR418" s="2223"/>
      <c r="AS418" s="2223"/>
    </row>
    <row r="419" spans="1:45" ht="15" x14ac:dyDescent="0.25">
      <c r="A419" s="2219" t="s">
        <v>6536</v>
      </c>
      <c r="B419" s="2219" t="s">
        <v>6497</v>
      </c>
      <c r="C419" s="2223"/>
      <c r="D419" s="2223">
        <f>COUNTIF(TableDiv[Agency],E419)</f>
        <v>31</v>
      </c>
      <c r="E419" s="2230" t="str" cm="1">
        <f t="array" ref="E419">IFERROR(INDEX(TableDiv[Agency],MATCH(0,INDEX(COUNTIF($E$7:E418,TableDiv[Agency]),),0)),"")</f>
        <v/>
      </c>
      <c r="F419" s="2223" cm="1">
        <f t="array" ref="F419">IF($D419&lt;COLUMNS($F$7:F$7),"",INDEX(TableDiv[[GASB]:[GASB]],_xlfn.AGGREGATE(15,3,(TableDiv[[Agency]:[Agency]]=$E419)/(TableDiv[[Agency]:[Agency]]=$E419)*(ROW(TableDiv[Agency])-ROW(TableDiv[[#Headers],[Agency]])),COLUMNS($F$7:F$7))))</f>
        <v>0</v>
      </c>
      <c r="G419" s="2223" cm="1">
        <f t="array" ref="G419">IF($D419&lt;COLUMNS($F$7:G$7),"",INDEX(TableDiv[[GASB]:[GASB]],_xlfn.AGGREGATE(15,3,(TableDiv[[Agency]:[Agency]]=$E419)/(TableDiv[[Agency]:[Agency]]=$E419)*(ROW(TableDiv[Agency])-ROW(TableDiv[[#Headers],[Agency]])),COLUMNS($F$7:G$7))))</f>
        <v>0</v>
      </c>
      <c r="H419" s="2223" cm="1">
        <f t="array" ref="H419">IF($D419&lt;COLUMNS($F$7:H$7),"",INDEX(TableDiv[[GASB]:[GASB]],_xlfn.AGGREGATE(15,3,(TableDiv[[Agency]:[Agency]]=$E419)/(TableDiv[[Agency]:[Agency]]=$E419)*(ROW(TableDiv[Agency])-ROW(TableDiv[[#Headers],[Agency]])),COLUMNS($F$7:H$7))))</f>
        <v>0</v>
      </c>
      <c r="I419" s="2223" cm="1">
        <f t="array" ref="I419">IF($D419&lt;COLUMNS($F$7:I$7),"",INDEX(TableDiv[[GASB]:[GASB]],_xlfn.AGGREGATE(15,3,(TableDiv[[Agency]:[Agency]]=$E419)/(TableDiv[[Agency]:[Agency]]=$E419)*(ROW(TableDiv[Agency])-ROW(TableDiv[[#Headers],[Agency]])),COLUMNS($F$7:I$7))))</f>
        <v>0</v>
      </c>
      <c r="J419" s="2223" cm="1">
        <f t="array" ref="J419">IF($D419&lt;COLUMNS($F$7:J$7),"",INDEX(TableDiv[[GASB]:[GASB]],_xlfn.AGGREGATE(15,3,(TableDiv[[Agency]:[Agency]]=$E419)/(TableDiv[[Agency]:[Agency]]=$E419)*(ROW(TableDiv[Agency])-ROW(TableDiv[[#Headers],[Agency]])),COLUMNS($F$7:J$7))))</f>
        <v>0</v>
      </c>
      <c r="K419" s="2223" cm="1">
        <f t="array" ref="K419">IF($D419&lt;COLUMNS($F$7:K$7),"",INDEX(TableDiv[[GASB]:[GASB]],_xlfn.AGGREGATE(15,3,(TableDiv[[Agency]:[Agency]]=$E419)/(TableDiv[[Agency]:[Agency]]=$E419)*(ROW(TableDiv[Agency])-ROW(TableDiv[[#Headers],[Agency]])),COLUMNS($F$7:K$7))))</f>
        <v>0</v>
      </c>
      <c r="L419" s="2223" cm="1">
        <f t="array" ref="L419">IF($D419&lt;COLUMNS($F$7:L$7),"",INDEX(TableDiv[[GASB]:[GASB]],_xlfn.AGGREGATE(15,3,(TableDiv[[Agency]:[Agency]]=$E419)/(TableDiv[[Agency]:[Agency]]=$E419)*(ROW(TableDiv[Agency])-ROW(TableDiv[[#Headers],[Agency]])),COLUMNS($F$7:L$7))))</f>
        <v>0</v>
      </c>
      <c r="M419" s="2223" cm="1">
        <f t="array" ref="M419">IF($D419&lt;COLUMNS($F$7:M$7),"",INDEX(TableDiv[[GASB]:[GASB]],_xlfn.AGGREGATE(15,3,(TableDiv[[Agency]:[Agency]]=$E419)/(TableDiv[[Agency]:[Agency]]=$E419)*(ROW(TableDiv[Agency])-ROW(TableDiv[[#Headers],[Agency]])),COLUMNS($F$7:M$7))))</f>
        <v>0</v>
      </c>
      <c r="N419" s="2223" cm="1">
        <f t="array" ref="N419">IF($D419&lt;COLUMNS($F$7:N$7),"",INDEX(TableDiv[[GASB]:[GASB]],_xlfn.AGGREGATE(15,3,(TableDiv[[Agency]:[Agency]]=$E419)/(TableDiv[[Agency]:[Agency]]=$E419)*(ROW(TableDiv[Agency])-ROW(TableDiv[[#Headers],[Agency]])),COLUMNS($F$7:N$7))))</f>
        <v>0</v>
      </c>
      <c r="O419" s="2223" cm="1">
        <f t="array" ref="O419">IF($D419&lt;COLUMNS($F$7:O$7),"",INDEX(TableDiv[[GASB]:[GASB]],_xlfn.AGGREGATE(15,3,(TableDiv[[Agency]:[Agency]]=$E419)/(TableDiv[[Agency]:[Agency]]=$E419)*(ROW(TableDiv[Agency])-ROW(TableDiv[[#Headers],[Agency]])),COLUMNS($F$7:O$7))))</f>
        <v>0</v>
      </c>
      <c r="P419" s="2223" cm="1">
        <f t="array" ref="P419">IF($D419&lt;COLUMNS($F$7:P$7),"",INDEX(TableDiv[[GASB]:[GASB]],_xlfn.AGGREGATE(15,3,(TableDiv[[Agency]:[Agency]]=$E419)/(TableDiv[[Agency]:[Agency]]=$E419)*(ROW(TableDiv[Agency])-ROW(TableDiv[[#Headers],[Agency]])),COLUMNS($F$7:P$7))))</f>
        <v>0</v>
      </c>
      <c r="Q419" s="2223" cm="1">
        <f t="array" ref="Q419">IF($D419&lt;COLUMNS($F$7:Q$7),"",INDEX(TableDiv[[GASB]:[GASB]],_xlfn.AGGREGATE(15,3,(TableDiv[[Agency]:[Agency]]=$E419)/(TableDiv[[Agency]:[Agency]]=$E419)*(ROW(TableDiv[Agency])-ROW(TableDiv[[#Headers],[Agency]])),COLUMNS($F$7:Q$7))))</f>
        <v>0</v>
      </c>
      <c r="R419" s="2223" cm="1">
        <f t="array" ref="R419">IF($D419&lt;COLUMNS($F$7:R$7),"",INDEX(TableDiv[[GASB]:[GASB]],_xlfn.AGGREGATE(15,3,(TableDiv[[Agency]:[Agency]]=$E419)/(TableDiv[[Agency]:[Agency]]=$E419)*(ROW(TableDiv[Agency])-ROW(TableDiv[[#Headers],[Agency]])),COLUMNS($F$7:R$7))))</f>
        <v>0</v>
      </c>
      <c r="S419" s="2223" cm="1">
        <f t="array" ref="S419">IF($D419&lt;COLUMNS($F$7:S$7),"",INDEX(TableDiv[[GASB]:[GASB]],_xlfn.AGGREGATE(15,3,(TableDiv[[Agency]:[Agency]]=$E419)/(TableDiv[[Agency]:[Agency]]=$E419)*(ROW(TableDiv[Agency])-ROW(TableDiv[[#Headers],[Agency]])),COLUMNS($F$7:S$7))))</f>
        <v>0</v>
      </c>
      <c r="T419" s="2223" cm="1">
        <f t="array" ref="T419">IF($D419&lt;COLUMNS($F$7:T$7),"",INDEX(TableDiv[[GASB]:[GASB]],_xlfn.AGGREGATE(15,3,(TableDiv[[Agency]:[Agency]]=$E419)/(TableDiv[[Agency]:[Agency]]=$E419)*(ROW(TableDiv[Agency])-ROW(TableDiv[[#Headers],[Agency]])),COLUMNS($F$7:T$7))))</f>
        <v>0</v>
      </c>
      <c r="U419" s="2223" cm="1">
        <f t="array" ref="U419">IF($D419&lt;COLUMNS($F$7:U$7),"",INDEX(TableDiv[[GASB]:[GASB]],_xlfn.AGGREGATE(15,3,(TableDiv[[Agency]:[Agency]]=$E419)/(TableDiv[[Agency]:[Agency]]=$E419)*(ROW(TableDiv[Agency])-ROW(TableDiv[[#Headers],[Agency]])),COLUMNS($F$7:U$7))))</f>
        <v>0</v>
      </c>
      <c r="V419" s="2223" cm="1">
        <f t="array" ref="V419">IF($D419&lt;COLUMNS($F$7:V$7),"",INDEX(TableDiv[[GASB]:[GASB]],_xlfn.AGGREGATE(15,3,(TableDiv[[Agency]:[Agency]]=$E419)/(TableDiv[[Agency]:[Agency]]=$E419)*(ROW(TableDiv[Agency])-ROW(TableDiv[[#Headers],[Agency]])),COLUMNS($F$7:V$7))))</f>
        <v>0</v>
      </c>
      <c r="W419" s="2223" cm="1">
        <f t="array" ref="W419">IF($D419&lt;COLUMNS($F$7:W$7),"",INDEX(TableDiv[[GASB]:[GASB]],_xlfn.AGGREGATE(15,3,(TableDiv[[Agency]:[Agency]]=$E419)/(TableDiv[[Agency]:[Agency]]=$E419)*(ROW(TableDiv[Agency])-ROW(TableDiv[[#Headers],[Agency]])),COLUMNS($F$7:W$7))))</f>
        <v>0</v>
      </c>
      <c r="X419" s="2223" cm="1">
        <f t="array" ref="X419">IF($D419&lt;COLUMNS($F$7:X$7),"",INDEX(TableDiv[[GASB]:[GASB]],_xlfn.AGGREGATE(15,3,(TableDiv[[Agency]:[Agency]]=$E419)/(TableDiv[[Agency]:[Agency]]=$E419)*(ROW(TableDiv[Agency])-ROW(TableDiv[[#Headers],[Agency]])),COLUMNS($F$7:X$7))))</f>
        <v>0</v>
      </c>
      <c r="Y419" s="2223" cm="1">
        <f t="array" ref="Y419">IF($D419&lt;COLUMNS($F$7:Y$7),"",INDEX(TableDiv[[GASB]:[GASB]],_xlfn.AGGREGATE(15,3,(TableDiv[[Agency]:[Agency]]=$E419)/(TableDiv[[Agency]:[Agency]]=$E419)*(ROW(TableDiv[Agency])-ROW(TableDiv[[#Headers],[Agency]])),COLUMNS($F$7:Y$7))))</f>
        <v>0</v>
      </c>
      <c r="Z419" s="2223" cm="1">
        <f t="array" ref="Z419">IF($D419&lt;COLUMNS($F$7:Z$7),"",INDEX(TableDiv[[GASB]:[GASB]],_xlfn.AGGREGATE(15,3,(TableDiv[[Agency]:[Agency]]=$E419)/(TableDiv[[Agency]:[Agency]]=$E419)*(ROW(TableDiv[Agency])-ROW(TableDiv[[#Headers],[Agency]])),COLUMNS($F$7:Z$7))))</f>
        <v>0</v>
      </c>
      <c r="AA419" s="2223" cm="1">
        <f t="array" ref="AA419">IF($D419&lt;COLUMNS($F$7:AA$7),"",INDEX(TableDiv[[GASB]:[GASB]],_xlfn.AGGREGATE(15,3,(TableDiv[[Agency]:[Agency]]=$E419)/(TableDiv[[Agency]:[Agency]]=$E419)*(ROW(TableDiv[Agency])-ROW(TableDiv[[#Headers],[Agency]])),COLUMNS($F$7:AA$7))))</f>
        <v>0</v>
      </c>
      <c r="AB419" s="2223" cm="1">
        <f t="array" ref="AB419">IF($D419&lt;COLUMNS($F$7:AB$7),"",INDEX(TableDiv[[GASB]:[GASB]],_xlfn.AGGREGATE(15,3,(TableDiv[[Agency]:[Agency]]=$E419)/(TableDiv[[Agency]:[Agency]]=$E419)*(ROW(TableDiv[Agency])-ROW(TableDiv[[#Headers],[Agency]])),COLUMNS($F$7:AB$7))))</f>
        <v>0</v>
      </c>
      <c r="AC419" s="2223" cm="1">
        <f t="array" ref="AC419">IF($D419&lt;COLUMNS($F$7:AC$7),"",INDEX(TableDiv[[GASB]:[GASB]],_xlfn.AGGREGATE(15,3,(TableDiv[[Agency]:[Agency]]=$E419)/(TableDiv[[Agency]:[Agency]]=$E419)*(ROW(TableDiv[Agency])-ROW(TableDiv[[#Headers],[Agency]])),COLUMNS($F$7:AC$7))))</f>
        <v>0</v>
      </c>
      <c r="AD419" s="2223" cm="1">
        <f t="array" ref="AD419">IF($D419&lt;COLUMNS($F$7:AD$7),"",INDEX(TableDiv[[GASB]:[GASB]],_xlfn.AGGREGATE(15,3,(TableDiv[[Agency]:[Agency]]=$E419)/(TableDiv[[Agency]:[Agency]]=$E419)*(ROW(TableDiv[Agency])-ROW(TableDiv[[#Headers],[Agency]])),COLUMNS($F$7:AD$7))))</f>
        <v>0</v>
      </c>
      <c r="AE419" s="2223" cm="1">
        <f t="array" ref="AE419">IF($D419&lt;COLUMNS($F$7:AE$7),"",INDEX(TableDiv[[GASB]:[GASB]],_xlfn.AGGREGATE(15,3,(TableDiv[[Agency]:[Agency]]=$E419)/(TableDiv[[Agency]:[Agency]]=$E419)*(ROW(TableDiv[Agency])-ROW(TableDiv[[#Headers],[Agency]])),COLUMNS($F$7:AE$7))))</f>
        <v>0</v>
      </c>
      <c r="AF419" s="2223" cm="1">
        <f t="array" ref="AF419">IF($D419&lt;COLUMNS($F$7:AF$7),"",INDEX(TableDiv[[GASB]:[GASB]],_xlfn.AGGREGATE(15,3,(TableDiv[[Agency]:[Agency]]=$E419)/(TableDiv[[Agency]:[Agency]]=$E419)*(ROW(TableDiv[Agency])-ROW(TableDiv[[#Headers],[Agency]])),COLUMNS($F$7:AF$7))))</f>
        <v>0</v>
      </c>
      <c r="AG419" s="2223" cm="1">
        <f t="array" ref="AG419">IF($D419&lt;COLUMNS($F$7:AG$7),"",INDEX(TableDiv[[GASB]:[GASB]],_xlfn.AGGREGATE(15,3,(TableDiv[[Agency]:[Agency]]=$E419)/(TableDiv[[Agency]:[Agency]]=$E419)*(ROW(TableDiv[Agency])-ROW(TableDiv[[#Headers],[Agency]])),COLUMNS($F$7:AG$7))))</f>
        <v>0</v>
      </c>
      <c r="AH419" s="2223" cm="1">
        <f t="array" ref="AH419">IF($D419&lt;COLUMNS($F$7:AH$7),"",INDEX(TableDiv[[GASB]:[GASB]],_xlfn.AGGREGATE(15,3,(TableDiv[[Agency]:[Agency]]=$E419)/(TableDiv[[Agency]:[Agency]]=$E419)*(ROW(TableDiv[Agency])-ROW(TableDiv[[#Headers],[Agency]])),COLUMNS($F$7:AH$7))))</f>
        <v>0</v>
      </c>
      <c r="AI419" s="2223" cm="1">
        <f t="array" ref="AI419">IF($D419&lt;COLUMNS($F$7:AI$7),"",INDEX(TableDiv[[GASB]:[GASB]],_xlfn.AGGREGATE(15,3,(TableDiv[[Agency]:[Agency]]=$E419)/(TableDiv[[Agency]:[Agency]]=$E419)*(ROW(TableDiv[Agency])-ROW(TableDiv[[#Headers],[Agency]])),COLUMNS($F$7:AI$7))))</f>
        <v>0</v>
      </c>
      <c r="AJ419" s="2223" cm="1">
        <f t="array" ref="AJ419">IF($D419&lt;COLUMNS($F$7:AJ$7),"",INDEX(TableDiv[[GASB]:[GASB]],_xlfn.AGGREGATE(15,3,(TableDiv[[Agency]:[Agency]]=$E419)/(TableDiv[[Agency]:[Agency]]=$E419)*(ROW(TableDiv[Agency])-ROW(TableDiv[[#Headers],[Agency]])),COLUMNS($F$7:AJ$7))))</f>
        <v>0</v>
      </c>
      <c r="AK419" s="2223" t="str" cm="1">
        <f t="array" ref="AK419">IF($D419&lt;COLUMNS($F$7:AK$7),"",INDEX(TableDiv[[GASB]:[GASB]],_xlfn.AGGREGATE(15,3,(TableDiv[[Agency]:[Agency]]=$E419)/(TableDiv[[Agency]:[Agency]]=$E419)*(ROW(TableDiv[Agency])-ROW(TableDiv[[#Headers],[Agency]])),COLUMNS($F$7:AK$7))))</f>
        <v/>
      </c>
      <c r="AL419" s="2223" t="str" cm="1">
        <f t="array" ref="AL419">IF($D419&lt;COLUMNS($F$7:AL$7),"",INDEX(TableDiv[[GASB]:[GASB]],_xlfn.AGGREGATE(15,3,(TableDiv[[Agency]:[Agency]]=$E419)/(TableDiv[[Agency]:[Agency]]=$E419)*(ROW(TableDiv[Agency])-ROW(TableDiv[[#Headers],[Agency]])),COLUMNS($F$7:AL$7))))</f>
        <v/>
      </c>
      <c r="AM419" s="2223" t="str" cm="1">
        <f t="array" ref="AM419">IF($D419&lt;COLUMNS($F$7:AM$7),"",INDEX(TableDiv[[GASB]:[GASB]],_xlfn.AGGREGATE(15,3,(TableDiv[[Agency]:[Agency]]=$E419)/(TableDiv[[Agency]:[Agency]]=$E419)*(ROW(TableDiv[Agency])-ROW(TableDiv[[#Headers],[Agency]])),COLUMNS($F$7:AM$7))))</f>
        <v/>
      </c>
      <c r="AN419" s="2223"/>
      <c r="AO419" s="2223"/>
      <c r="AP419" s="2223"/>
      <c r="AQ419" s="2223"/>
      <c r="AR419" s="2223"/>
      <c r="AS419" s="2223"/>
    </row>
    <row r="420" spans="1:45" ht="15" x14ac:dyDescent="0.25">
      <c r="A420" s="2219" t="s">
        <v>6537</v>
      </c>
      <c r="B420" s="2219" t="s">
        <v>6497</v>
      </c>
      <c r="C420" s="2223"/>
      <c r="D420" s="2223">
        <f>COUNTIF(TableDiv[Agency],E420)</f>
        <v>31</v>
      </c>
      <c r="E420" s="2230" t="str" cm="1">
        <f t="array" ref="E420">IFERROR(INDEX(TableDiv[Agency],MATCH(0,INDEX(COUNTIF($E$7:E419,TableDiv[Agency]),),0)),"")</f>
        <v/>
      </c>
      <c r="F420" s="2223" cm="1">
        <f t="array" ref="F420">IF($D420&lt;COLUMNS($F$7:F$7),"",INDEX(TableDiv[[GASB]:[GASB]],_xlfn.AGGREGATE(15,3,(TableDiv[[Agency]:[Agency]]=$E420)/(TableDiv[[Agency]:[Agency]]=$E420)*(ROW(TableDiv[Agency])-ROW(TableDiv[[#Headers],[Agency]])),COLUMNS($F$7:F$7))))</f>
        <v>0</v>
      </c>
      <c r="G420" s="2223" cm="1">
        <f t="array" ref="G420">IF($D420&lt;COLUMNS($F$7:G$7),"",INDEX(TableDiv[[GASB]:[GASB]],_xlfn.AGGREGATE(15,3,(TableDiv[[Agency]:[Agency]]=$E420)/(TableDiv[[Agency]:[Agency]]=$E420)*(ROW(TableDiv[Agency])-ROW(TableDiv[[#Headers],[Agency]])),COLUMNS($F$7:G$7))))</f>
        <v>0</v>
      </c>
      <c r="H420" s="2223" cm="1">
        <f t="array" ref="H420">IF($D420&lt;COLUMNS($F$7:H$7),"",INDEX(TableDiv[[GASB]:[GASB]],_xlfn.AGGREGATE(15,3,(TableDiv[[Agency]:[Agency]]=$E420)/(TableDiv[[Agency]:[Agency]]=$E420)*(ROW(TableDiv[Agency])-ROW(TableDiv[[#Headers],[Agency]])),COLUMNS($F$7:H$7))))</f>
        <v>0</v>
      </c>
      <c r="I420" s="2223" cm="1">
        <f t="array" ref="I420">IF($D420&lt;COLUMNS($F$7:I$7),"",INDEX(TableDiv[[GASB]:[GASB]],_xlfn.AGGREGATE(15,3,(TableDiv[[Agency]:[Agency]]=$E420)/(TableDiv[[Agency]:[Agency]]=$E420)*(ROW(TableDiv[Agency])-ROW(TableDiv[[#Headers],[Agency]])),COLUMNS($F$7:I$7))))</f>
        <v>0</v>
      </c>
      <c r="J420" s="2223" cm="1">
        <f t="array" ref="J420">IF($D420&lt;COLUMNS($F$7:J$7),"",INDEX(TableDiv[[GASB]:[GASB]],_xlfn.AGGREGATE(15,3,(TableDiv[[Agency]:[Agency]]=$E420)/(TableDiv[[Agency]:[Agency]]=$E420)*(ROW(TableDiv[Agency])-ROW(TableDiv[[#Headers],[Agency]])),COLUMNS($F$7:J$7))))</f>
        <v>0</v>
      </c>
      <c r="K420" s="2223" cm="1">
        <f t="array" ref="K420">IF($D420&lt;COLUMNS($F$7:K$7),"",INDEX(TableDiv[[GASB]:[GASB]],_xlfn.AGGREGATE(15,3,(TableDiv[[Agency]:[Agency]]=$E420)/(TableDiv[[Agency]:[Agency]]=$E420)*(ROW(TableDiv[Agency])-ROW(TableDiv[[#Headers],[Agency]])),COLUMNS($F$7:K$7))))</f>
        <v>0</v>
      </c>
      <c r="L420" s="2223" cm="1">
        <f t="array" ref="L420">IF($D420&lt;COLUMNS($F$7:L$7),"",INDEX(TableDiv[[GASB]:[GASB]],_xlfn.AGGREGATE(15,3,(TableDiv[[Agency]:[Agency]]=$E420)/(TableDiv[[Agency]:[Agency]]=$E420)*(ROW(TableDiv[Agency])-ROW(TableDiv[[#Headers],[Agency]])),COLUMNS($F$7:L$7))))</f>
        <v>0</v>
      </c>
      <c r="M420" s="2223" cm="1">
        <f t="array" ref="M420">IF($D420&lt;COLUMNS($F$7:M$7),"",INDEX(TableDiv[[GASB]:[GASB]],_xlfn.AGGREGATE(15,3,(TableDiv[[Agency]:[Agency]]=$E420)/(TableDiv[[Agency]:[Agency]]=$E420)*(ROW(TableDiv[Agency])-ROW(TableDiv[[#Headers],[Agency]])),COLUMNS($F$7:M$7))))</f>
        <v>0</v>
      </c>
      <c r="N420" s="2223" cm="1">
        <f t="array" ref="N420">IF($D420&lt;COLUMNS($F$7:N$7),"",INDEX(TableDiv[[GASB]:[GASB]],_xlfn.AGGREGATE(15,3,(TableDiv[[Agency]:[Agency]]=$E420)/(TableDiv[[Agency]:[Agency]]=$E420)*(ROW(TableDiv[Agency])-ROW(TableDiv[[#Headers],[Agency]])),COLUMNS($F$7:N$7))))</f>
        <v>0</v>
      </c>
      <c r="O420" s="2223" cm="1">
        <f t="array" ref="O420">IF($D420&lt;COLUMNS($F$7:O$7),"",INDEX(TableDiv[[GASB]:[GASB]],_xlfn.AGGREGATE(15,3,(TableDiv[[Agency]:[Agency]]=$E420)/(TableDiv[[Agency]:[Agency]]=$E420)*(ROW(TableDiv[Agency])-ROW(TableDiv[[#Headers],[Agency]])),COLUMNS($F$7:O$7))))</f>
        <v>0</v>
      </c>
      <c r="P420" s="2223" cm="1">
        <f t="array" ref="P420">IF($D420&lt;COLUMNS($F$7:P$7),"",INDEX(TableDiv[[GASB]:[GASB]],_xlfn.AGGREGATE(15,3,(TableDiv[[Agency]:[Agency]]=$E420)/(TableDiv[[Agency]:[Agency]]=$E420)*(ROW(TableDiv[Agency])-ROW(TableDiv[[#Headers],[Agency]])),COLUMNS($F$7:P$7))))</f>
        <v>0</v>
      </c>
      <c r="Q420" s="2223" cm="1">
        <f t="array" ref="Q420">IF($D420&lt;COLUMNS($F$7:Q$7),"",INDEX(TableDiv[[GASB]:[GASB]],_xlfn.AGGREGATE(15,3,(TableDiv[[Agency]:[Agency]]=$E420)/(TableDiv[[Agency]:[Agency]]=$E420)*(ROW(TableDiv[Agency])-ROW(TableDiv[[#Headers],[Agency]])),COLUMNS($F$7:Q$7))))</f>
        <v>0</v>
      </c>
      <c r="R420" s="2223" cm="1">
        <f t="array" ref="R420">IF($D420&lt;COLUMNS($F$7:R$7),"",INDEX(TableDiv[[GASB]:[GASB]],_xlfn.AGGREGATE(15,3,(TableDiv[[Agency]:[Agency]]=$E420)/(TableDiv[[Agency]:[Agency]]=$E420)*(ROW(TableDiv[Agency])-ROW(TableDiv[[#Headers],[Agency]])),COLUMNS($F$7:R$7))))</f>
        <v>0</v>
      </c>
      <c r="S420" s="2223" cm="1">
        <f t="array" ref="S420">IF($D420&lt;COLUMNS($F$7:S$7),"",INDEX(TableDiv[[GASB]:[GASB]],_xlfn.AGGREGATE(15,3,(TableDiv[[Agency]:[Agency]]=$E420)/(TableDiv[[Agency]:[Agency]]=$E420)*(ROW(TableDiv[Agency])-ROW(TableDiv[[#Headers],[Agency]])),COLUMNS($F$7:S$7))))</f>
        <v>0</v>
      </c>
      <c r="T420" s="2223" cm="1">
        <f t="array" ref="T420">IF($D420&lt;COLUMNS($F$7:T$7),"",INDEX(TableDiv[[GASB]:[GASB]],_xlfn.AGGREGATE(15,3,(TableDiv[[Agency]:[Agency]]=$E420)/(TableDiv[[Agency]:[Agency]]=$E420)*(ROW(TableDiv[Agency])-ROW(TableDiv[[#Headers],[Agency]])),COLUMNS($F$7:T$7))))</f>
        <v>0</v>
      </c>
      <c r="U420" s="2223" cm="1">
        <f t="array" ref="U420">IF($D420&lt;COLUMNS($F$7:U$7),"",INDEX(TableDiv[[GASB]:[GASB]],_xlfn.AGGREGATE(15,3,(TableDiv[[Agency]:[Agency]]=$E420)/(TableDiv[[Agency]:[Agency]]=$E420)*(ROW(TableDiv[Agency])-ROW(TableDiv[[#Headers],[Agency]])),COLUMNS($F$7:U$7))))</f>
        <v>0</v>
      </c>
      <c r="V420" s="2223" cm="1">
        <f t="array" ref="V420">IF($D420&lt;COLUMNS($F$7:V$7),"",INDEX(TableDiv[[GASB]:[GASB]],_xlfn.AGGREGATE(15,3,(TableDiv[[Agency]:[Agency]]=$E420)/(TableDiv[[Agency]:[Agency]]=$E420)*(ROW(TableDiv[Agency])-ROW(TableDiv[[#Headers],[Agency]])),COLUMNS($F$7:V$7))))</f>
        <v>0</v>
      </c>
      <c r="W420" s="2223" cm="1">
        <f t="array" ref="W420">IF($D420&lt;COLUMNS($F$7:W$7),"",INDEX(TableDiv[[GASB]:[GASB]],_xlfn.AGGREGATE(15,3,(TableDiv[[Agency]:[Agency]]=$E420)/(TableDiv[[Agency]:[Agency]]=$E420)*(ROW(TableDiv[Agency])-ROW(TableDiv[[#Headers],[Agency]])),COLUMNS($F$7:W$7))))</f>
        <v>0</v>
      </c>
      <c r="X420" s="2223" cm="1">
        <f t="array" ref="X420">IF($D420&lt;COLUMNS($F$7:X$7),"",INDEX(TableDiv[[GASB]:[GASB]],_xlfn.AGGREGATE(15,3,(TableDiv[[Agency]:[Agency]]=$E420)/(TableDiv[[Agency]:[Agency]]=$E420)*(ROW(TableDiv[Agency])-ROW(TableDiv[[#Headers],[Agency]])),COLUMNS($F$7:X$7))))</f>
        <v>0</v>
      </c>
      <c r="Y420" s="2223" cm="1">
        <f t="array" ref="Y420">IF($D420&lt;COLUMNS($F$7:Y$7),"",INDEX(TableDiv[[GASB]:[GASB]],_xlfn.AGGREGATE(15,3,(TableDiv[[Agency]:[Agency]]=$E420)/(TableDiv[[Agency]:[Agency]]=$E420)*(ROW(TableDiv[Agency])-ROW(TableDiv[[#Headers],[Agency]])),COLUMNS($F$7:Y$7))))</f>
        <v>0</v>
      </c>
      <c r="Z420" s="2223" cm="1">
        <f t="array" ref="Z420">IF($D420&lt;COLUMNS($F$7:Z$7),"",INDEX(TableDiv[[GASB]:[GASB]],_xlfn.AGGREGATE(15,3,(TableDiv[[Agency]:[Agency]]=$E420)/(TableDiv[[Agency]:[Agency]]=$E420)*(ROW(TableDiv[Agency])-ROW(TableDiv[[#Headers],[Agency]])),COLUMNS($F$7:Z$7))))</f>
        <v>0</v>
      </c>
      <c r="AA420" s="2223" cm="1">
        <f t="array" ref="AA420">IF($D420&lt;COLUMNS($F$7:AA$7),"",INDEX(TableDiv[[GASB]:[GASB]],_xlfn.AGGREGATE(15,3,(TableDiv[[Agency]:[Agency]]=$E420)/(TableDiv[[Agency]:[Agency]]=$E420)*(ROW(TableDiv[Agency])-ROW(TableDiv[[#Headers],[Agency]])),COLUMNS($F$7:AA$7))))</f>
        <v>0</v>
      </c>
      <c r="AB420" s="2223" cm="1">
        <f t="array" ref="AB420">IF($D420&lt;COLUMNS($F$7:AB$7),"",INDEX(TableDiv[[GASB]:[GASB]],_xlfn.AGGREGATE(15,3,(TableDiv[[Agency]:[Agency]]=$E420)/(TableDiv[[Agency]:[Agency]]=$E420)*(ROW(TableDiv[Agency])-ROW(TableDiv[[#Headers],[Agency]])),COLUMNS($F$7:AB$7))))</f>
        <v>0</v>
      </c>
      <c r="AC420" s="2223" cm="1">
        <f t="array" ref="AC420">IF($D420&lt;COLUMNS($F$7:AC$7),"",INDEX(TableDiv[[GASB]:[GASB]],_xlfn.AGGREGATE(15,3,(TableDiv[[Agency]:[Agency]]=$E420)/(TableDiv[[Agency]:[Agency]]=$E420)*(ROW(TableDiv[Agency])-ROW(TableDiv[[#Headers],[Agency]])),COLUMNS($F$7:AC$7))))</f>
        <v>0</v>
      </c>
      <c r="AD420" s="2223" cm="1">
        <f t="array" ref="AD420">IF($D420&lt;COLUMNS($F$7:AD$7),"",INDEX(TableDiv[[GASB]:[GASB]],_xlfn.AGGREGATE(15,3,(TableDiv[[Agency]:[Agency]]=$E420)/(TableDiv[[Agency]:[Agency]]=$E420)*(ROW(TableDiv[Agency])-ROW(TableDiv[[#Headers],[Agency]])),COLUMNS($F$7:AD$7))))</f>
        <v>0</v>
      </c>
      <c r="AE420" s="2223" cm="1">
        <f t="array" ref="AE420">IF($D420&lt;COLUMNS($F$7:AE$7),"",INDEX(TableDiv[[GASB]:[GASB]],_xlfn.AGGREGATE(15,3,(TableDiv[[Agency]:[Agency]]=$E420)/(TableDiv[[Agency]:[Agency]]=$E420)*(ROW(TableDiv[Agency])-ROW(TableDiv[[#Headers],[Agency]])),COLUMNS($F$7:AE$7))))</f>
        <v>0</v>
      </c>
      <c r="AF420" s="2223" cm="1">
        <f t="array" ref="AF420">IF($D420&lt;COLUMNS($F$7:AF$7),"",INDEX(TableDiv[[GASB]:[GASB]],_xlfn.AGGREGATE(15,3,(TableDiv[[Agency]:[Agency]]=$E420)/(TableDiv[[Agency]:[Agency]]=$E420)*(ROW(TableDiv[Agency])-ROW(TableDiv[[#Headers],[Agency]])),COLUMNS($F$7:AF$7))))</f>
        <v>0</v>
      </c>
      <c r="AG420" s="2223" cm="1">
        <f t="array" ref="AG420">IF($D420&lt;COLUMNS($F$7:AG$7),"",INDEX(TableDiv[[GASB]:[GASB]],_xlfn.AGGREGATE(15,3,(TableDiv[[Agency]:[Agency]]=$E420)/(TableDiv[[Agency]:[Agency]]=$E420)*(ROW(TableDiv[Agency])-ROW(TableDiv[[#Headers],[Agency]])),COLUMNS($F$7:AG$7))))</f>
        <v>0</v>
      </c>
      <c r="AH420" s="2223" cm="1">
        <f t="array" ref="AH420">IF($D420&lt;COLUMNS($F$7:AH$7),"",INDEX(TableDiv[[GASB]:[GASB]],_xlfn.AGGREGATE(15,3,(TableDiv[[Agency]:[Agency]]=$E420)/(TableDiv[[Agency]:[Agency]]=$E420)*(ROW(TableDiv[Agency])-ROW(TableDiv[[#Headers],[Agency]])),COLUMNS($F$7:AH$7))))</f>
        <v>0</v>
      </c>
      <c r="AI420" s="2223" cm="1">
        <f t="array" ref="AI420">IF($D420&lt;COLUMNS($F$7:AI$7),"",INDEX(TableDiv[[GASB]:[GASB]],_xlfn.AGGREGATE(15,3,(TableDiv[[Agency]:[Agency]]=$E420)/(TableDiv[[Agency]:[Agency]]=$E420)*(ROW(TableDiv[Agency])-ROW(TableDiv[[#Headers],[Agency]])),COLUMNS($F$7:AI$7))))</f>
        <v>0</v>
      </c>
      <c r="AJ420" s="2223" cm="1">
        <f t="array" ref="AJ420">IF($D420&lt;COLUMNS($F$7:AJ$7),"",INDEX(TableDiv[[GASB]:[GASB]],_xlfn.AGGREGATE(15,3,(TableDiv[[Agency]:[Agency]]=$E420)/(TableDiv[[Agency]:[Agency]]=$E420)*(ROW(TableDiv[Agency])-ROW(TableDiv[[#Headers],[Agency]])),COLUMNS($F$7:AJ$7))))</f>
        <v>0</v>
      </c>
      <c r="AK420" s="2223" t="str" cm="1">
        <f t="array" ref="AK420">IF($D420&lt;COLUMNS($F$7:AK$7),"",INDEX(TableDiv[[GASB]:[GASB]],_xlfn.AGGREGATE(15,3,(TableDiv[[Agency]:[Agency]]=$E420)/(TableDiv[[Agency]:[Agency]]=$E420)*(ROW(TableDiv[Agency])-ROW(TableDiv[[#Headers],[Agency]])),COLUMNS($F$7:AK$7))))</f>
        <v/>
      </c>
      <c r="AL420" s="2223" t="str" cm="1">
        <f t="array" ref="AL420">IF($D420&lt;COLUMNS($F$7:AL$7),"",INDEX(TableDiv[[GASB]:[GASB]],_xlfn.AGGREGATE(15,3,(TableDiv[[Agency]:[Agency]]=$E420)/(TableDiv[[Agency]:[Agency]]=$E420)*(ROW(TableDiv[Agency])-ROW(TableDiv[[#Headers],[Agency]])),COLUMNS($F$7:AL$7))))</f>
        <v/>
      </c>
      <c r="AM420" s="2223" t="str" cm="1">
        <f t="array" ref="AM420">IF($D420&lt;COLUMNS($F$7:AM$7),"",INDEX(TableDiv[[GASB]:[GASB]],_xlfn.AGGREGATE(15,3,(TableDiv[[Agency]:[Agency]]=$E420)/(TableDiv[[Agency]:[Agency]]=$E420)*(ROW(TableDiv[Agency])-ROW(TableDiv[[#Headers],[Agency]])),COLUMNS($F$7:AM$7))))</f>
        <v/>
      </c>
      <c r="AN420" s="2223"/>
      <c r="AO420" s="2223"/>
      <c r="AP420" s="2223"/>
      <c r="AQ420" s="2223"/>
      <c r="AR420" s="2223"/>
      <c r="AS420" s="2223"/>
    </row>
    <row r="421" spans="1:45" ht="15" x14ac:dyDescent="0.25">
      <c r="A421" s="2219" t="s">
        <v>6538</v>
      </c>
      <c r="B421" s="2219" t="s">
        <v>6497</v>
      </c>
      <c r="C421" s="2223"/>
      <c r="D421" s="2223">
        <f>COUNTIF(TableDiv[Agency],E421)</f>
        <v>31</v>
      </c>
      <c r="E421" s="2230" t="str" cm="1">
        <f t="array" ref="E421">IFERROR(INDEX(TableDiv[Agency],MATCH(0,INDEX(COUNTIF($E$7:E420,TableDiv[Agency]),),0)),"")</f>
        <v/>
      </c>
      <c r="F421" s="2223" cm="1">
        <f t="array" ref="F421">IF($D421&lt;COLUMNS($F$7:F$7),"",INDEX(TableDiv[[GASB]:[GASB]],_xlfn.AGGREGATE(15,3,(TableDiv[[Agency]:[Agency]]=$E421)/(TableDiv[[Agency]:[Agency]]=$E421)*(ROW(TableDiv[Agency])-ROW(TableDiv[[#Headers],[Agency]])),COLUMNS($F$7:F$7))))</f>
        <v>0</v>
      </c>
      <c r="G421" s="2223" cm="1">
        <f t="array" ref="G421">IF($D421&lt;COLUMNS($F$7:G$7),"",INDEX(TableDiv[[GASB]:[GASB]],_xlfn.AGGREGATE(15,3,(TableDiv[[Agency]:[Agency]]=$E421)/(TableDiv[[Agency]:[Agency]]=$E421)*(ROW(TableDiv[Agency])-ROW(TableDiv[[#Headers],[Agency]])),COLUMNS($F$7:G$7))))</f>
        <v>0</v>
      </c>
      <c r="H421" s="2223" cm="1">
        <f t="array" ref="H421">IF($D421&lt;COLUMNS($F$7:H$7),"",INDEX(TableDiv[[GASB]:[GASB]],_xlfn.AGGREGATE(15,3,(TableDiv[[Agency]:[Agency]]=$E421)/(TableDiv[[Agency]:[Agency]]=$E421)*(ROW(TableDiv[Agency])-ROW(TableDiv[[#Headers],[Agency]])),COLUMNS($F$7:H$7))))</f>
        <v>0</v>
      </c>
      <c r="I421" s="2223" cm="1">
        <f t="array" ref="I421">IF($D421&lt;COLUMNS($F$7:I$7),"",INDEX(TableDiv[[GASB]:[GASB]],_xlfn.AGGREGATE(15,3,(TableDiv[[Agency]:[Agency]]=$E421)/(TableDiv[[Agency]:[Agency]]=$E421)*(ROW(TableDiv[Agency])-ROW(TableDiv[[#Headers],[Agency]])),COLUMNS($F$7:I$7))))</f>
        <v>0</v>
      </c>
      <c r="J421" s="2223" cm="1">
        <f t="array" ref="J421">IF($D421&lt;COLUMNS($F$7:J$7),"",INDEX(TableDiv[[GASB]:[GASB]],_xlfn.AGGREGATE(15,3,(TableDiv[[Agency]:[Agency]]=$E421)/(TableDiv[[Agency]:[Agency]]=$E421)*(ROW(TableDiv[Agency])-ROW(TableDiv[[#Headers],[Agency]])),COLUMNS($F$7:J$7))))</f>
        <v>0</v>
      </c>
      <c r="K421" s="2223" cm="1">
        <f t="array" ref="K421">IF($D421&lt;COLUMNS($F$7:K$7),"",INDEX(TableDiv[[GASB]:[GASB]],_xlfn.AGGREGATE(15,3,(TableDiv[[Agency]:[Agency]]=$E421)/(TableDiv[[Agency]:[Agency]]=$E421)*(ROW(TableDiv[Agency])-ROW(TableDiv[[#Headers],[Agency]])),COLUMNS($F$7:K$7))))</f>
        <v>0</v>
      </c>
      <c r="L421" s="2223" cm="1">
        <f t="array" ref="L421">IF($D421&lt;COLUMNS($F$7:L$7),"",INDEX(TableDiv[[GASB]:[GASB]],_xlfn.AGGREGATE(15,3,(TableDiv[[Agency]:[Agency]]=$E421)/(TableDiv[[Agency]:[Agency]]=$E421)*(ROW(TableDiv[Agency])-ROW(TableDiv[[#Headers],[Agency]])),COLUMNS($F$7:L$7))))</f>
        <v>0</v>
      </c>
      <c r="M421" s="2223" cm="1">
        <f t="array" ref="M421">IF($D421&lt;COLUMNS($F$7:M$7),"",INDEX(TableDiv[[GASB]:[GASB]],_xlfn.AGGREGATE(15,3,(TableDiv[[Agency]:[Agency]]=$E421)/(TableDiv[[Agency]:[Agency]]=$E421)*(ROW(TableDiv[Agency])-ROW(TableDiv[[#Headers],[Agency]])),COLUMNS($F$7:M$7))))</f>
        <v>0</v>
      </c>
      <c r="N421" s="2223" cm="1">
        <f t="array" ref="N421">IF($D421&lt;COLUMNS($F$7:N$7),"",INDEX(TableDiv[[GASB]:[GASB]],_xlfn.AGGREGATE(15,3,(TableDiv[[Agency]:[Agency]]=$E421)/(TableDiv[[Agency]:[Agency]]=$E421)*(ROW(TableDiv[Agency])-ROW(TableDiv[[#Headers],[Agency]])),COLUMNS($F$7:N$7))))</f>
        <v>0</v>
      </c>
      <c r="O421" s="2223" cm="1">
        <f t="array" ref="O421">IF($D421&lt;COLUMNS($F$7:O$7),"",INDEX(TableDiv[[GASB]:[GASB]],_xlfn.AGGREGATE(15,3,(TableDiv[[Agency]:[Agency]]=$E421)/(TableDiv[[Agency]:[Agency]]=$E421)*(ROW(TableDiv[Agency])-ROW(TableDiv[[#Headers],[Agency]])),COLUMNS($F$7:O$7))))</f>
        <v>0</v>
      </c>
      <c r="P421" s="2223" cm="1">
        <f t="array" ref="P421">IF($D421&lt;COLUMNS($F$7:P$7),"",INDEX(TableDiv[[GASB]:[GASB]],_xlfn.AGGREGATE(15,3,(TableDiv[[Agency]:[Agency]]=$E421)/(TableDiv[[Agency]:[Agency]]=$E421)*(ROW(TableDiv[Agency])-ROW(TableDiv[[#Headers],[Agency]])),COLUMNS($F$7:P$7))))</f>
        <v>0</v>
      </c>
      <c r="Q421" s="2223" cm="1">
        <f t="array" ref="Q421">IF($D421&lt;COLUMNS($F$7:Q$7),"",INDEX(TableDiv[[GASB]:[GASB]],_xlfn.AGGREGATE(15,3,(TableDiv[[Agency]:[Agency]]=$E421)/(TableDiv[[Agency]:[Agency]]=$E421)*(ROW(TableDiv[Agency])-ROW(TableDiv[[#Headers],[Agency]])),COLUMNS($F$7:Q$7))))</f>
        <v>0</v>
      </c>
      <c r="R421" s="2223" cm="1">
        <f t="array" ref="R421">IF($D421&lt;COLUMNS($F$7:R$7),"",INDEX(TableDiv[[GASB]:[GASB]],_xlfn.AGGREGATE(15,3,(TableDiv[[Agency]:[Agency]]=$E421)/(TableDiv[[Agency]:[Agency]]=$E421)*(ROW(TableDiv[Agency])-ROW(TableDiv[[#Headers],[Agency]])),COLUMNS($F$7:R$7))))</f>
        <v>0</v>
      </c>
      <c r="S421" s="2223" cm="1">
        <f t="array" ref="S421">IF($D421&lt;COLUMNS($F$7:S$7),"",INDEX(TableDiv[[GASB]:[GASB]],_xlfn.AGGREGATE(15,3,(TableDiv[[Agency]:[Agency]]=$E421)/(TableDiv[[Agency]:[Agency]]=$E421)*(ROW(TableDiv[Agency])-ROW(TableDiv[[#Headers],[Agency]])),COLUMNS($F$7:S$7))))</f>
        <v>0</v>
      </c>
      <c r="T421" s="2223" cm="1">
        <f t="array" ref="T421">IF($D421&lt;COLUMNS($F$7:T$7),"",INDEX(TableDiv[[GASB]:[GASB]],_xlfn.AGGREGATE(15,3,(TableDiv[[Agency]:[Agency]]=$E421)/(TableDiv[[Agency]:[Agency]]=$E421)*(ROW(TableDiv[Agency])-ROW(TableDiv[[#Headers],[Agency]])),COLUMNS($F$7:T$7))))</f>
        <v>0</v>
      </c>
      <c r="U421" s="2223" cm="1">
        <f t="array" ref="U421">IF($D421&lt;COLUMNS($F$7:U$7),"",INDEX(TableDiv[[GASB]:[GASB]],_xlfn.AGGREGATE(15,3,(TableDiv[[Agency]:[Agency]]=$E421)/(TableDiv[[Agency]:[Agency]]=$E421)*(ROW(TableDiv[Agency])-ROW(TableDiv[[#Headers],[Agency]])),COLUMNS($F$7:U$7))))</f>
        <v>0</v>
      </c>
      <c r="V421" s="2223" cm="1">
        <f t="array" ref="V421">IF($D421&lt;COLUMNS($F$7:V$7),"",INDEX(TableDiv[[GASB]:[GASB]],_xlfn.AGGREGATE(15,3,(TableDiv[[Agency]:[Agency]]=$E421)/(TableDiv[[Agency]:[Agency]]=$E421)*(ROW(TableDiv[Agency])-ROW(TableDiv[[#Headers],[Agency]])),COLUMNS($F$7:V$7))))</f>
        <v>0</v>
      </c>
      <c r="W421" s="2223" cm="1">
        <f t="array" ref="W421">IF($D421&lt;COLUMNS($F$7:W$7),"",INDEX(TableDiv[[GASB]:[GASB]],_xlfn.AGGREGATE(15,3,(TableDiv[[Agency]:[Agency]]=$E421)/(TableDiv[[Agency]:[Agency]]=$E421)*(ROW(TableDiv[Agency])-ROW(TableDiv[[#Headers],[Agency]])),COLUMNS($F$7:W$7))))</f>
        <v>0</v>
      </c>
      <c r="X421" s="2223" cm="1">
        <f t="array" ref="X421">IF($D421&lt;COLUMNS($F$7:X$7),"",INDEX(TableDiv[[GASB]:[GASB]],_xlfn.AGGREGATE(15,3,(TableDiv[[Agency]:[Agency]]=$E421)/(TableDiv[[Agency]:[Agency]]=$E421)*(ROW(TableDiv[Agency])-ROW(TableDiv[[#Headers],[Agency]])),COLUMNS($F$7:X$7))))</f>
        <v>0</v>
      </c>
      <c r="Y421" s="2223" cm="1">
        <f t="array" ref="Y421">IF($D421&lt;COLUMNS($F$7:Y$7),"",INDEX(TableDiv[[GASB]:[GASB]],_xlfn.AGGREGATE(15,3,(TableDiv[[Agency]:[Agency]]=$E421)/(TableDiv[[Agency]:[Agency]]=$E421)*(ROW(TableDiv[Agency])-ROW(TableDiv[[#Headers],[Agency]])),COLUMNS($F$7:Y$7))))</f>
        <v>0</v>
      </c>
      <c r="Z421" s="2223" cm="1">
        <f t="array" ref="Z421">IF($D421&lt;COLUMNS($F$7:Z$7),"",INDEX(TableDiv[[GASB]:[GASB]],_xlfn.AGGREGATE(15,3,(TableDiv[[Agency]:[Agency]]=$E421)/(TableDiv[[Agency]:[Agency]]=$E421)*(ROW(TableDiv[Agency])-ROW(TableDiv[[#Headers],[Agency]])),COLUMNS($F$7:Z$7))))</f>
        <v>0</v>
      </c>
      <c r="AA421" s="2223" cm="1">
        <f t="array" ref="AA421">IF($D421&lt;COLUMNS($F$7:AA$7),"",INDEX(TableDiv[[GASB]:[GASB]],_xlfn.AGGREGATE(15,3,(TableDiv[[Agency]:[Agency]]=$E421)/(TableDiv[[Agency]:[Agency]]=$E421)*(ROW(TableDiv[Agency])-ROW(TableDiv[[#Headers],[Agency]])),COLUMNS($F$7:AA$7))))</f>
        <v>0</v>
      </c>
      <c r="AB421" s="2223" cm="1">
        <f t="array" ref="AB421">IF($D421&lt;COLUMNS($F$7:AB$7),"",INDEX(TableDiv[[GASB]:[GASB]],_xlfn.AGGREGATE(15,3,(TableDiv[[Agency]:[Agency]]=$E421)/(TableDiv[[Agency]:[Agency]]=$E421)*(ROW(TableDiv[Agency])-ROW(TableDiv[[#Headers],[Agency]])),COLUMNS($F$7:AB$7))))</f>
        <v>0</v>
      </c>
      <c r="AC421" s="2223" cm="1">
        <f t="array" ref="AC421">IF($D421&lt;COLUMNS($F$7:AC$7),"",INDEX(TableDiv[[GASB]:[GASB]],_xlfn.AGGREGATE(15,3,(TableDiv[[Agency]:[Agency]]=$E421)/(TableDiv[[Agency]:[Agency]]=$E421)*(ROW(TableDiv[Agency])-ROW(TableDiv[[#Headers],[Agency]])),COLUMNS($F$7:AC$7))))</f>
        <v>0</v>
      </c>
      <c r="AD421" s="2223" cm="1">
        <f t="array" ref="AD421">IF($D421&lt;COLUMNS($F$7:AD$7),"",INDEX(TableDiv[[GASB]:[GASB]],_xlfn.AGGREGATE(15,3,(TableDiv[[Agency]:[Agency]]=$E421)/(TableDiv[[Agency]:[Agency]]=$E421)*(ROW(TableDiv[Agency])-ROW(TableDiv[[#Headers],[Agency]])),COLUMNS($F$7:AD$7))))</f>
        <v>0</v>
      </c>
      <c r="AE421" s="2223" cm="1">
        <f t="array" ref="AE421">IF($D421&lt;COLUMNS($F$7:AE$7),"",INDEX(TableDiv[[GASB]:[GASB]],_xlfn.AGGREGATE(15,3,(TableDiv[[Agency]:[Agency]]=$E421)/(TableDiv[[Agency]:[Agency]]=$E421)*(ROW(TableDiv[Agency])-ROW(TableDiv[[#Headers],[Agency]])),COLUMNS($F$7:AE$7))))</f>
        <v>0</v>
      </c>
      <c r="AF421" s="2223" cm="1">
        <f t="array" ref="AF421">IF($D421&lt;COLUMNS($F$7:AF$7),"",INDEX(TableDiv[[GASB]:[GASB]],_xlfn.AGGREGATE(15,3,(TableDiv[[Agency]:[Agency]]=$E421)/(TableDiv[[Agency]:[Agency]]=$E421)*(ROW(TableDiv[Agency])-ROW(TableDiv[[#Headers],[Agency]])),COLUMNS($F$7:AF$7))))</f>
        <v>0</v>
      </c>
      <c r="AG421" s="2223" cm="1">
        <f t="array" ref="AG421">IF($D421&lt;COLUMNS($F$7:AG$7),"",INDEX(TableDiv[[GASB]:[GASB]],_xlfn.AGGREGATE(15,3,(TableDiv[[Agency]:[Agency]]=$E421)/(TableDiv[[Agency]:[Agency]]=$E421)*(ROW(TableDiv[Agency])-ROW(TableDiv[[#Headers],[Agency]])),COLUMNS($F$7:AG$7))))</f>
        <v>0</v>
      </c>
      <c r="AH421" s="2223" cm="1">
        <f t="array" ref="AH421">IF($D421&lt;COLUMNS($F$7:AH$7),"",INDEX(TableDiv[[GASB]:[GASB]],_xlfn.AGGREGATE(15,3,(TableDiv[[Agency]:[Agency]]=$E421)/(TableDiv[[Agency]:[Agency]]=$E421)*(ROW(TableDiv[Agency])-ROW(TableDiv[[#Headers],[Agency]])),COLUMNS($F$7:AH$7))))</f>
        <v>0</v>
      </c>
      <c r="AI421" s="2223" cm="1">
        <f t="array" ref="AI421">IF($D421&lt;COLUMNS($F$7:AI$7),"",INDEX(TableDiv[[GASB]:[GASB]],_xlfn.AGGREGATE(15,3,(TableDiv[[Agency]:[Agency]]=$E421)/(TableDiv[[Agency]:[Agency]]=$E421)*(ROW(TableDiv[Agency])-ROW(TableDiv[[#Headers],[Agency]])),COLUMNS($F$7:AI$7))))</f>
        <v>0</v>
      </c>
      <c r="AJ421" s="2223" cm="1">
        <f t="array" ref="AJ421">IF($D421&lt;COLUMNS($F$7:AJ$7),"",INDEX(TableDiv[[GASB]:[GASB]],_xlfn.AGGREGATE(15,3,(TableDiv[[Agency]:[Agency]]=$E421)/(TableDiv[[Agency]:[Agency]]=$E421)*(ROW(TableDiv[Agency])-ROW(TableDiv[[#Headers],[Agency]])),COLUMNS($F$7:AJ$7))))</f>
        <v>0</v>
      </c>
      <c r="AK421" s="2223" t="str" cm="1">
        <f t="array" ref="AK421">IF($D421&lt;COLUMNS($F$7:AK$7),"",INDEX(TableDiv[[GASB]:[GASB]],_xlfn.AGGREGATE(15,3,(TableDiv[[Agency]:[Agency]]=$E421)/(TableDiv[[Agency]:[Agency]]=$E421)*(ROW(TableDiv[Agency])-ROW(TableDiv[[#Headers],[Agency]])),COLUMNS($F$7:AK$7))))</f>
        <v/>
      </c>
      <c r="AL421" s="2223" t="str" cm="1">
        <f t="array" ref="AL421">IF($D421&lt;COLUMNS($F$7:AL$7),"",INDEX(TableDiv[[GASB]:[GASB]],_xlfn.AGGREGATE(15,3,(TableDiv[[Agency]:[Agency]]=$E421)/(TableDiv[[Agency]:[Agency]]=$E421)*(ROW(TableDiv[Agency])-ROW(TableDiv[[#Headers],[Agency]])),COLUMNS($F$7:AL$7))))</f>
        <v/>
      </c>
      <c r="AM421" s="2223" t="str" cm="1">
        <f t="array" ref="AM421">IF($D421&lt;COLUMNS($F$7:AM$7),"",INDEX(TableDiv[[GASB]:[GASB]],_xlfn.AGGREGATE(15,3,(TableDiv[[Agency]:[Agency]]=$E421)/(TableDiv[[Agency]:[Agency]]=$E421)*(ROW(TableDiv[Agency])-ROW(TableDiv[[#Headers],[Agency]])),COLUMNS($F$7:AM$7))))</f>
        <v/>
      </c>
      <c r="AN421" s="2223"/>
      <c r="AO421" s="2223"/>
      <c r="AP421" s="2223"/>
      <c r="AQ421" s="2223"/>
      <c r="AR421" s="2223"/>
      <c r="AS421" s="2223"/>
    </row>
    <row r="422" spans="1:45" ht="15" x14ac:dyDescent="0.25">
      <c r="A422" s="2219" t="s">
        <v>6539</v>
      </c>
      <c r="B422" s="2219" t="s">
        <v>6497</v>
      </c>
      <c r="C422" s="2223"/>
      <c r="D422" s="2223">
        <f>COUNTIF(TableDiv[Agency],E422)</f>
        <v>31</v>
      </c>
      <c r="E422" s="2230" t="str" cm="1">
        <f t="array" ref="E422">IFERROR(INDEX(TableDiv[Agency],MATCH(0,INDEX(COUNTIF($E$7:E421,TableDiv[Agency]),),0)),"")</f>
        <v/>
      </c>
      <c r="F422" s="2223" cm="1">
        <f t="array" ref="F422">IF($D422&lt;COLUMNS($F$7:F$7),"",INDEX(TableDiv[[GASB]:[GASB]],_xlfn.AGGREGATE(15,3,(TableDiv[[Agency]:[Agency]]=$E422)/(TableDiv[[Agency]:[Agency]]=$E422)*(ROW(TableDiv[Agency])-ROW(TableDiv[[#Headers],[Agency]])),COLUMNS($F$7:F$7))))</f>
        <v>0</v>
      </c>
      <c r="G422" s="2223" cm="1">
        <f t="array" ref="G422">IF($D422&lt;COLUMNS($F$7:G$7),"",INDEX(TableDiv[[GASB]:[GASB]],_xlfn.AGGREGATE(15,3,(TableDiv[[Agency]:[Agency]]=$E422)/(TableDiv[[Agency]:[Agency]]=$E422)*(ROW(TableDiv[Agency])-ROW(TableDiv[[#Headers],[Agency]])),COLUMNS($F$7:G$7))))</f>
        <v>0</v>
      </c>
      <c r="H422" s="2223" cm="1">
        <f t="array" ref="H422">IF($D422&lt;COLUMNS($F$7:H$7),"",INDEX(TableDiv[[GASB]:[GASB]],_xlfn.AGGREGATE(15,3,(TableDiv[[Agency]:[Agency]]=$E422)/(TableDiv[[Agency]:[Agency]]=$E422)*(ROW(TableDiv[Agency])-ROW(TableDiv[[#Headers],[Agency]])),COLUMNS($F$7:H$7))))</f>
        <v>0</v>
      </c>
      <c r="I422" s="2223" cm="1">
        <f t="array" ref="I422">IF($D422&lt;COLUMNS($F$7:I$7),"",INDEX(TableDiv[[GASB]:[GASB]],_xlfn.AGGREGATE(15,3,(TableDiv[[Agency]:[Agency]]=$E422)/(TableDiv[[Agency]:[Agency]]=$E422)*(ROW(TableDiv[Agency])-ROW(TableDiv[[#Headers],[Agency]])),COLUMNS($F$7:I$7))))</f>
        <v>0</v>
      </c>
      <c r="J422" s="2223" cm="1">
        <f t="array" ref="J422">IF($D422&lt;COLUMNS($F$7:J$7),"",INDEX(TableDiv[[GASB]:[GASB]],_xlfn.AGGREGATE(15,3,(TableDiv[[Agency]:[Agency]]=$E422)/(TableDiv[[Agency]:[Agency]]=$E422)*(ROW(TableDiv[Agency])-ROW(TableDiv[[#Headers],[Agency]])),COLUMNS($F$7:J$7))))</f>
        <v>0</v>
      </c>
      <c r="K422" s="2223" cm="1">
        <f t="array" ref="K422">IF($D422&lt;COLUMNS($F$7:K$7),"",INDEX(TableDiv[[GASB]:[GASB]],_xlfn.AGGREGATE(15,3,(TableDiv[[Agency]:[Agency]]=$E422)/(TableDiv[[Agency]:[Agency]]=$E422)*(ROW(TableDiv[Agency])-ROW(TableDiv[[#Headers],[Agency]])),COLUMNS($F$7:K$7))))</f>
        <v>0</v>
      </c>
      <c r="L422" s="2223" cm="1">
        <f t="array" ref="L422">IF($D422&lt;COLUMNS($F$7:L$7),"",INDEX(TableDiv[[GASB]:[GASB]],_xlfn.AGGREGATE(15,3,(TableDiv[[Agency]:[Agency]]=$E422)/(TableDiv[[Agency]:[Agency]]=$E422)*(ROW(TableDiv[Agency])-ROW(TableDiv[[#Headers],[Agency]])),COLUMNS($F$7:L$7))))</f>
        <v>0</v>
      </c>
      <c r="M422" s="2223" cm="1">
        <f t="array" ref="M422">IF($D422&lt;COLUMNS($F$7:M$7),"",INDEX(TableDiv[[GASB]:[GASB]],_xlfn.AGGREGATE(15,3,(TableDiv[[Agency]:[Agency]]=$E422)/(TableDiv[[Agency]:[Agency]]=$E422)*(ROW(TableDiv[Agency])-ROW(TableDiv[[#Headers],[Agency]])),COLUMNS($F$7:M$7))))</f>
        <v>0</v>
      </c>
      <c r="N422" s="2223" cm="1">
        <f t="array" ref="N422">IF($D422&lt;COLUMNS($F$7:N$7),"",INDEX(TableDiv[[GASB]:[GASB]],_xlfn.AGGREGATE(15,3,(TableDiv[[Agency]:[Agency]]=$E422)/(TableDiv[[Agency]:[Agency]]=$E422)*(ROW(TableDiv[Agency])-ROW(TableDiv[[#Headers],[Agency]])),COLUMNS($F$7:N$7))))</f>
        <v>0</v>
      </c>
      <c r="O422" s="2223" cm="1">
        <f t="array" ref="O422">IF($D422&lt;COLUMNS($F$7:O$7),"",INDEX(TableDiv[[GASB]:[GASB]],_xlfn.AGGREGATE(15,3,(TableDiv[[Agency]:[Agency]]=$E422)/(TableDiv[[Agency]:[Agency]]=$E422)*(ROW(TableDiv[Agency])-ROW(TableDiv[[#Headers],[Agency]])),COLUMNS($F$7:O$7))))</f>
        <v>0</v>
      </c>
      <c r="P422" s="2223" cm="1">
        <f t="array" ref="P422">IF($D422&lt;COLUMNS($F$7:P$7),"",INDEX(TableDiv[[GASB]:[GASB]],_xlfn.AGGREGATE(15,3,(TableDiv[[Agency]:[Agency]]=$E422)/(TableDiv[[Agency]:[Agency]]=$E422)*(ROW(TableDiv[Agency])-ROW(TableDiv[[#Headers],[Agency]])),COLUMNS($F$7:P$7))))</f>
        <v>0</v>
      </c>
      <c r="Q422" s="2223" cm="1">
        <f t="array" ref="Q422">IF($D422&lt;COLUMNS($F$7:Q$7),"",INDEX(TableDiv[[GASB]:[GASB]],_xlfn.AGGREGATE(15,3,(TableDiv[[Agency]:[Agency]]=$E422)/(TableDiv[[Agency]:[Agency]]=$E422)*(ROW(TableDiv[Agency])-ROW(TableDiv[[#Headers],[Agency]])),COLUMNS($F$7:Q$7))))</f>
        <v>0</v>
      </c>
      <c r="R422" s="2223" cm="1">
        <f t="array" ref="R422">IF($D422&lt;COLUMNS($F$7:R$7),"",INDEX(TableDiv[[GASB]:[GASB]],_xlfn.AGGREGATE(15,3,(TableDiv[[Agency]:[Agency]]=$E422)/(TableDiv[[Agency]:[Agency]]=$E422)*(ROW(TableDiv[Agency])-ROW(TableDiv[[#Headers],[Agency]])),COLUMNS($F$7:R$7))))</f>
        <v>0</v>
      </c>
      <c r="S422" s="2223" cm="1">
        <f t="array" ref="S422">IF($D422&lt;COLUMNS($F$7:S$7),"",INDEX(TableDiv[[GASB]:[GASB]],_xlfn.AGGREGATE(15,3,(TableDiv[[Agency]:[Agency]]=$E422)/(TableDiv[[Agency]:[Agency]]=$E422)*(ROW(TableDiv[Agency])-ROW(TableDiv[[#Headers],[Agency]])),COLUMNS($F$7:S$7))))</f>
        <v>0</v>
      </c>
      <c r="T422" s="2223" cm="1">
        <f t="array" ref="T422">IF($D422&lt;COLUMNS($F$7:T$7),"",INDEX(TableDiv[[GASB]:[GASB]],_xlfn.AGGREGATE(15,3,(TableDiv[[Agency]:[Agency]]=$E422)/(TableDiv[[Agency]:[Agency]]=$E422)*(ROW(TableDiv[Agency])-ROW(TableDiv[[#Headers],[Agency]])),COLUMNS($F$7:T$7))))</f>
        <v>0</v>
      </c>
      <c r="U422" s="2223" cm="1">
        <f t="array" ref="U422">IF($D422&lt;COLUMNS($F$7:U$7),"",INDEX(TableDiv[[GASB]:[GASB]],_xlfn.AGGREGATE(15,3,(TableDiv[[Agency]:[Agency]]=$E422)/(TableDiv[[Agency]:[Agency]]=$E422)*(ROW(TableDiv[Agency])-ROW(TableDiv[[#Headers],[Agency]])),COLUMNS($F$7:U$7))))</f>
        <v>0</v>
      </c>
      <c r="V422" s="2223" cm="1">
        <f t="array" ref="V422">IF($D422&lt;COLUMNS($F$7:V$7),"",INDEX(TableDiv[[GASB]:[GASB]],_xlfn.AGGREGATE(15,3,(TableDiv[[Agency]:[Agency]]=$E422)/(TableDiv[[Agency]:[Agency]]=$E422)*(ROW(TableDiv[Agency])-ROW(TableDiv[[#Headers],[Agency]])),COLUMNS($F$7:V$7))))</f>
        <v>0</v>
      </c>
      <c r="W422" s="2223" cm="1">
        <f t="array" ref="W422">IF($D422&lt;COLUMNS($F$7:W$7),"",INDEX(TableDiv[[GASB]:[GASB]],_xlfn.AGGREGATE(15,3,(TableDiv[[Agency]:[Agency]]=$E422)/(TableDiv[[Agency]:[Agency]]=$E422)*(ROW(TableDiv[Agency])-ROW(TableDiv[[#Headers],[Agency]])),COLUMNS($F$7:W$7))))</f>
        <v>0</v>
      </c>
      <c r="X422" s="2223" cm="1">
        <f t="array" ref="X422">IF($D422&lt;COLUMNS($F$7:X$7),"",INDEX(TableDiv[[GASB]:[GASB]],_xlfn.AGGREGATE(15,3,(TableDiv[[Agency]:[Agency]]=$E422)/(TableDiv[[Agency]:[Agency]]=$E422)*(ROW(TableDiv[Agency])-ROW(TableDiv[[#Headers],[Agency]])),COLUMNS($F$7:X$7))))</f>
        <v>0</v>
      </c>
      <c r="Y422" s="2223" cm="1">
        <f t="array" ref="Y422">IF($D422&lt;COLUMNS($F$7:Y$7),"",INDEX(TableDiv[[GASB]:[GASB]],_xlfn.AGGREGATE(15,3,(TableDiv[[Agency]:[Agency]]=$E422)/(TableDiv[[Agency]:[Agency]]=$E422)*(ROW(TableDiv[Agency])-ROW(TableDiv[[#Headers],[Agency]])),COLUMNS($F$7:Y$7))))</f>
        <v>0</v>
      </c>
      <c r="Z422" s="2223" cm="1">
        <f t="array" ref="Z422">IF($D422&lt;COLUMNS($F$7:Z$7),"",INDEX(TableDiv[[GASB]:[GASB]],_xlfn.AGGREGATE(15,3,(TableDiv[[Agency]:[Agency]]=$E422)/(TableDiv[[Agency]:[Agency]]=$E422)*(ROW(TableDiv[Agency])-ROW(TableDiv[[#Headers],[Agency]])),COLUMNS($F$7:Z$7))))</f>
        <v>0</v>
      </c>
      <c r="AA422" s="2223" cm="1">
        <f t="array" ref="AA422">IF($D422&lt;COLUMNS($F$7:AA$7),"",INDEX(TableDiv[[GASB]:[GASB]],_xlfn.AGGREGATE(15,3,(TableDiv[[Agency]:[Agency]]=$E422)/(TableDiv[[Agency]:[Agency]]=$E422)*(ROW(TableDiv[Agency])-ROW(TableDiv[[#Headers],[Agency]])),COLUMNS($F$7:AA$7))))</f>
        <v>0</v>
      </c>
      <c r="AB422" s="2223" cm="1">
        <f t="array" ref="AB422">IF($D422&lt;COLUMNS($F$7:AB$7),"",INDEX(TableDiv[[GASB]:[GASB]],_xlfn.AGGREGATE(15,3,(TableDiv[[Agency]:[Agency]]=$E422)/(TableDiv[[Agency]:[Agency]]=$E422)*(ROW(TableDiv[Agency])-ROW(TableDiv[[#Headers],[Agency]])),COLUMNS($F$7:AB$7))))</f>
        <v>0</v>
      </c>
      <c r="AC422" s="2223" cm="1">
        <f t="array" ref="AC422">IF($D422&lt;COLUMNS($F$7:AC$7),"",INDEX(TableDiv[[GASB]:[GASB]],_xlfn.AGGREGATE(15,3,(TableDiv[[Agency]:[Agency]]=$E422)/(TableDiv[[Agency]:[Agency]]=$E422)*(ROW(TableDiv[Agency])-ROW(TableDiv[[#Headers],[Agency]])),COLUMNS($F$7:AC$7))))</f>
        <v>0</v>
      </c>
      <c r="AD422" s="2223" cm="1">
        <f t="array" ref="AD422">IF($D422&lt;COLUMNS($F$7:AD$7),"",INDEX(TableDiv[[GASB]:[GASB]],_xlfn.AGGREGATE(15,3,(TableDiv[[Agency]:[Agency]]=$E422)/(TableDiv[[Agency]:[Agency]]=$E422)*(ROW(TableDiv[Agency])-ROW(TableDiv[[#Headers],[Agency]])),COLUMNS($F$7:AD$7))))</f>
        <v>0</v>
      </c>
      <c r="AE422" s="2223" cm="1">
        <f t="array" ref="AE422">IF($D422&lt;COLUMNS($F$7:AE$7),"",INDEX(TableDiv[[GASB]:[GASB]],_xlfn.AGGREGATE(15,3,(TableDiv[[Agency]:[Agency]]=$E422)/(TableDiv[[Agency]:[Agency]]=$E422)*(ROW(TableDiv[Agency])-ROW(TableDiv[[#Headers],[Agency]])),COLUMNS($F$7:AE$7))))</f>
        <v>0</v>
      </c>
      <c r="AF422" s="2223" cm="1">
        <f t="array" ref="AF422">IF($D422&lt;COLUMNS($F$7:AF$7),"",INDEX(TableDiv[[GASB]:[GASB]],_xlfn.AGGREGATE(15,3,(TableDiv[[Agency]:[Agency]]=$E422)/(TableDiv[[Agency]:[Agency]]=$E422)*(ROW(TableDiv[Agency])-ROW(TableDiv[[#Headers],[Agency]])),COLUMNS($F$7:AF$7))))</f>
        <v>0</v>
      </c>
      <c r="AG422" s="2223" cm="1">
        <f t="array" ref="AG422">IF($D422&lt;COLUMNS($F$7:AG$7),"",INDEX(TableDiv[[GASB]:[GASB]],_xlfn.AGGREGATE(15,3,(TableDiv[[Agency]:[Agency]]=$E422)/(TableDiv[[Agency]:[Agency]]=$E422)*(ROW(TableDiv[Agency])-ROW(TableDiv[[#Headers],[Agency]])),COLUMNS($F$7:AG$7))))</f>
        <v>0</v>
      </c>
      <c r="AH422" s="2223" cm="1">
        <f t="array" ref="AH422">IF($D422&lt;COLUMNS($F$7:AH$7),"",INDEX(TableDiv[[GASB]:[GASB]],_xlfn.AGGREGATE(15,3,(TableDiv[[Agency]:[Agency]]=$E422)/(TableDiv[[Agency]:[Agency]]=$E422)*(ROW(TableDiv[Agency])-ROW(TableDiv[[#Headers],[Agency]])),COLUMNS($F$7:AH$7))))</f>
        <v>0</v>
      </c>
      <c r="AI422" s="2223" cm="1">
        <f t="array" ref="AI422">IF($D422&lt;COLUMNS($F$7:AI$7),"",INDEX(TableDiv[[GASB]:[GASB]],_xlfn.AGGREGATE(15,3,(TableDiv[[Agency]:[Agency]]=$E422)/(TableDiv[[Agency]:[Agency]]=$E422)*(ROW(TableDiv[Agency])-ROW(TableDiv[[#Headers],[Agency]])),COLUMNS($F$7:AI$7))))</f>
        <v>0</v>
      </c>
      <c r="AJ422" s="2223" cm="1">
        <f t="array" ref="AJ422">IF($D422&lt;COLUMNS($F$7:AJ$7),"",INDEX(TableDiv[[GASB]:[GASB]],_xlfn.AGGREGATE(15,3,(TableDiv[[Agency]:[Agency]]=$E422)/(TableDiv[[Agency]:[Agency]]=$E422)*(ROW(TableDiv[Agency])-ROW(TableDiv[[#Headers],[Agency]])),COLUMNS($F$7:AJ$7))))</f>
        <v>0</v>
      </c>
      <c r="AK422" s="2223" t="str" cm="1">
        <f t="array" ref="AK422">IF($D422&lt;COLUMNS($F$7:AK$7),"",INDEX(TableDiv[[GASB]:[GASB]],_xlfn.AGGREGATE(15,3,(TableDiv[[Agency]:[Agency]]=$E422)/(TableDiv[[Agency]:[Agency]]=$E422)*(ROW(TableDiv[Agency])-ROW(TableDiv[[#Headers],[Agency]])),COLUMNS($F$7:AK$7))))</f>
        <v/>
      </c>
      <c r="AL422" s="2223" t="str" cm="1">
        <f t="array" ref="AL422">IF($D422&lt;COLUMNS($F$7:AL$7),"",INDEX(TableDiv[[GASB]:[GASB]],_xlfn.AGGREGATE(15,3,(TableDiv[[Agency]:[Agency]]=$E422)/(TableDiv[[Agency]:[Agency]]=$E422)*(ROW(TableDiv[Agency])-ROW(TableDiv[[#Headers],[Agency]])),COLUMNS($F$7:AL$7))))</f>
        <v/>
      </c>
      <c r="AM422" s="2223" t="str" cm="1">
        <f t="array" ref="AM422">IF($D422&lt;COLUMNS($F$7:AM$7),"",INDEX(TableDiv[[GASB]:[GASB]],_xlfn.AGGREGATE(15,3,(TableDiv[[Agency]:[Agency]]=$E422)/(TableDiv[[Agency]:[Agency]]=$E422)*(ROW(TableDiv[Agency])-ROW(TableDiv[[#Headers],[Agency]])),COLUMNS($F$7:AM$7))))</f>
        <v/>
      </c>
      <c r="AN422" s="2223"/>
      <c r="AO422" s="2223"/>
      <c r="AP422" s="2223"/>
      <c r="AQ422" s="2223"/>
      <c r="AR422" s="2223"/>
      <c r="AS422" s="2223"/>
    </row>
    <row r="423" spans="1:45" ht="15" x14ac:dyDescent="0.25">
      <c r="A423" s="2219" t="s">
        <v>6540</v>
      </c>
      <c r="B423" s="2219" t="s">
        <v>6497</v>
      </c>
      <c r="C423" s="2223"/>
      <c r="D423" s="2223">
        <f>COUNTIF(TableDiv[Agency],E423)</f>
        <v>31</v>
      </c>
      <c r="E423" s="2230" t="str" cm="1">
        <f t="array" ref="E423">IFERROR(INDEX(TableDiv[Agency],MATCH(0,INDEX(COUNTIF($E$7:E422,TableDiv[Agency]),),0)),"")</f>
        <v/>
      </c>
      <c r="F423" s="2223" cm="1">
        <f t="array" ref="F423">IF($D423&lt;COLUMNS($F$7:F$7),"",INDEX(TableDiv[[GASB]:[GASB]],_xlfn.AGGREGATE(15,3,(TableDiv[[Agency]:[Agency]]=$E423)/(TableDiv[[Agency]:[Agency]]=$E423)*(ROW(TableDiv[Agency])-ROW(TableDiv[[#Headers],[Agency]])),COLUMNS($F$7:F$7))))</f>
        <v>0</v>
      </c>
      <c r="G423" s="2223" cm="1">
        <f t="array" ref="G423">IF($D423&lt;COLUMNS($F$7:G$7),"",INDEX(TableDiv[[GASB]:[GASB]],_xlfn.AGGREGATE(15,3,(TableDiv[[Agency]:[Agency]]=$E423)/(TableDiv[[Agency]:[Agency]]=$E423)*(ROW(TableDiv[Agency])-ROW(TableDiv[[#Headers],[Agency]])),COLUMNS($F$7:G$7))))</f>
        <v>0</v>
      </c>
      <c r="H423" s="2223" cm="1">
        <f t="array" ref="H423">IF($D423&lt;COLUMNS($F$7:H$7),"",INDEX(TableDiv[[GASB]:[GASB]],_xlfn.AGGREGATE(15,3,(TableDiv[[Agency]:[Agency]]=$E423)/(TableDiv[[Agency]:[Agency]]=$E423)*(ROW(TableDiv[Agency])-ROW(TableDiv[[#Headers],[Agency]])),COLUMNS($F$7:H$7))))</f>
        <v>0</v>
      </c>
      <c r="I423" s="2223" cm="1">
        <f t="array" ref="I423">IF($D423&lt;COLUMNS($F$7:I$7),"",INDEX(TableDiv[[GASB]:[GASB]],_xlfn.AGGREGATE(15,3,(TableDiv[[Agency]:[Agency]]=$E423)/(TableDiv[[Agency]:[Agency]]=$E423)*(ROW(TableDiv[Agency])-ROW(TableDiv[[#Headers],[Agency]])),COLUMNS($F$7:I$7))))</f>
        <v>0</v>
      </c>
      <c r="J423" s="2223" cm="1">
        <f t="array" ref="J423">IF($D423&lt;COLUMNS($F$7:J$7),"",INDEX(TableDiv[[GASB]:[GASB]],_xlfn.AGGREGATE(15,3,(TableDiv[[Agency]:[Agency]]=$E423)/(TableDiv[[Agency]:[Agency]]=$E423)*(ROW(TableDiv[Agency])-ROW(TableDiv[[#Headers],[Agency]])),COLUMNS($F$7:J$7))))</f>
        <v>0</v>
      </c>
      <c r="K423" s="2223" cm="1">
        <f t="array" ref="K423">IF($D423&lt;COLUMNS($F$7:K$7),"",INDEX(TableDiv[[GASB]:[GASB]],_xlfn.AGGREGATE(15,3,(TableDiv[[Agency]:[Agency]]=$E423)/(TableDiv[[Agency]:[Agency]]=$E423)*(ROW(TableDiv[Agency])-ROW(TableDiv[[#Headers],[Agency]])),COLUMNS($F$7:K$7))))</f>
        <v>0</v>
      </c>
      <c r="L423" s="2223" cm="1">
        <f t="array" ref="L423">IF($D423&lt;COLUMNS($F$7:L$7),"",INDEX(TableDiv[[GASB]:[GASB]],_xlfn.AGGREGATE(15,3,(TableDiv[[Agency]:[Agency]]=$E423)/(TableDiv[[Agency]:[Agency]]=$E423)*(ROW(TableDiv[Agency])-ROW(TableDiv[[#Headers],[Agency]])),COLUMNS($F$7:L$7))))</f>
        <v>0</v>
      </c>
      <c r="M423" s="2223" cm="1">
        <f t="array" ref="M423">IF($D423&lt;COLUMNS($F$7:M$7),"",INDEX(TableDiv[[GASB]:[GASB]],_xlfn.AGGREGATE(15,3,(TableDiv[[Agency]:[Agency]]=$E423)/(TableDiv[[Agency]:[Agency]]=$E423)*(ROW(TableDiv[Agency])-ROW(TableDiv[[#Headers],[Agency]])),COLUMNS($F$7:M$7))))</f>
        <v>0</v>
      </c>
      <c r="N423" s="2223" cm="1">
        <f t="array" ref="N423">IF($D423&lt;COLUMNS($F$7:N$7),"",INDEX(TableDiv[[GASB]:[GASB]],_xlfn.AGGREGATE(15,3,(TableDiv[[Agency]:[Agency]]=$E423)/(TableDiv[[Agency]:[Agency]]=$E423)*(ROW(TableDiv[Agency])-ROW(TableDiv[[#Headers],[Agency]])),COLUMNS($F$7:N$7))))</f>
        <v>0</v>
      </c>
      <c r="O423" s="2223" cm="1">
        <f t="array" ref="O423">IF($D423&lt;COLUMNS($F$7:O$7),"",INDEX(TableDiv[[GASB]:[GASB]],_xlfn.AGGREGATE(15,3,(TableDiv[[Agency]:[Agency]]=$E423)/(TableDiv[[Agency]:[Agency]]=$E423)*(ROW(TableDiv[Agency])-ROW(TableDiv[[#Headers],[Agency]])),COLUMNS($F$7:O$7))))</f>
        <v>0</v>
      </c>
      <c r="P423" s="2223" cm="1">
        <f t="array" ref="P423">IF($D423&lt;COLUMNS($F$7:P$7),"",INDEX(TableDiv[[GASB]:[GASB]],_xlfn.AGGREGATE(15,3,(TableDiv[[Agency]:[Agency]]=$E423)/(TableDiv[[Agency]:[Agency]]=$E423)*(ROW(TableDiv[Agency])-ROW(TableDiv[[#Headers],[Agency]])),COLUMNS($F$7:P$7))))</f>
        <v>0</v>
      </c>
      <c r="Q423" s="2223" cm="1">
        <f t="array" ref="Q423">IF($D423&lt;COLUMNS($F$7:Q$7),"",INDEX(TableDiv[[GASB]:[GASB]],_xlfn.AGGREGATE(15,3,(TableDiv[[Agency]:[Agency]]=$E423)/(TableDiv[[Agency]:[Agency]]=$E423)*(ROW(TableDiv[Agency])-ROW(TableDiv[[#Headers],[Agency]])),COLUMNS($F$7:Q$7))))</f>
        <v>0</v>
      </c>
      <c r="R423" s="2223" cm="1">
        <f t="array" ref="R423">IF($D423&lt;COLUMNS($F$7:R$7),"",INDEX(TableDiv[[GASB]:[GASB]],_xlfn.AGGREGATE(15,3,(TableDiv[[Agency]:[Agency]]=$E423)/(TableDiv[[Agency]:[Agency]]=$E423)*(ROW(TableDiv[Agency])-ROW(TableDiv[[#Headers],[Agency]])),COLUMNS($F$7:R$7))))</f>
        <v>0</v>
      </c>
      <c r="S423" s="2223" cm="1">
        <f t="array" ref="S423">IF($D423&lt;COLUMNS($F$7:S$7),"",INDEX(TableDiv[[GASB]:[GASB]],_xlfn.AGGREGATE(15,3,(TableDiv[[Agency]:[Agency]]=$E423)/(TableDiv[[Agency]:[Agency]]=$E423)*(ROW(TableDiv[Agency])-ROW(TableDiv[[#Headers],[Agency]])),COLUMNS($F$7:S$7))))</f>
        <v>0</v>
      </c>
      <c r="T423" s="2223" cm="1">
        <f t="array" ref="T423">IF($D423&lt;COLUMNS($F$7:T$7),"",INDEX(TableDiv[[GASB]:[GASB]],_xlfn.AGGREGATE(15,3,(TableDiv[[Agency]:[Agency]]=$E423)/(TableDiv[[Agency]:[Agency]]=$E423)*(ROW(TableDiv[Agency])-ROW(TableDiv[[#Headers],[Agency]])),COLUMNS($F$7:T$7))))</f>
        <v>0</v>
      </c>
      <c r="U423" s="2223" cm="1">
        <f t="array" ref="U423">IF($D423&lt;COLUMNS($F$7:U$7),"",INDEX(TableDiv[[GASB]:[GASB]],_xlfn.AGGREGATE(15,3,(TableDiv[[Agency]:[Agency]]=$E423)/(TableDiv[[Agency]:[Agency]]=$E423)*(ROW(TableDiv[Agency])-ROW(TableDiv[[#Headers],[Agency]])),COLUMNS($F$7:U$7))))</f>
        <v>0</v>
      </c>
      <c r="V423" s="2223" cm="1">
        <f t="array" ref="V423">IF($D423&lt;COLUMNS($F$7:V$7),"",INDEX(TableDiv[[GASB]:[GASB]],_xlfn.AGGREGATE(15,3,(TableDiv[[Agency]:[Agency]]=$E423)/(TableDiv[[Agency]:[Agency]]=$E423)*(ROW(TableDiv[Agency])-ROW(TableDiv[[#Headers],[Agency]])),COLUMNS($F$7:V$7))))</f>
        <v>0</v>
      </c>
      <c r="W423" s="2223" cm="1">
        <f t="array" ref="W423">IF($D423&lt;COLUMNS($F$7:W$7),"",INDEX(TableDiv[[GASB]:[GASB]],_xlfn.AGGREGATE(15,3,(TableDiv[[Agency]:[Agency]]=$E423)/(TableDiv[[Agency]:[Agency]]=$E423)*(ROW(TableDiv[Agency])-ROW(TableDiv[[#Headers],[Agency]])),COLUMNS($F$7:W$7))))</f>
        <v>0</v>
      </c>
      <c r="X423" s="2223" cm="1">
        <f t="array" ref="X423">IF($D423&lt;COLUMNS($F$7:X$7),"",INDEX(TableDiv[[GASB]:[GASB]],_xlfn.AGGREGATE(15,3,(TableDiv[[Agency]:[Agency]]=$E423)/(TableDiv[[Agency]:[Agency]]=$E423)*(ROW(TableDiv[Agency])-ROW(TableDiv[[#Headers],[Agency]])),COLUMNS($F$7:X$7))))</f>
        <v>0</v>
      </c>
      <c r="Y423" s="2223" cm="1">
        <f t="array" ref="Y423">IF($D423&lt;COLUMNS($F$7:Y$7),"",INDEX(TableDiv[[GASB]:[GASB]],_xlfn.AGGREGATE(15,3,(TableDiv[[Agency]:[Agency]]=$E423)/(TableDiv[[Agency]:[Agency]]=$E423)*(ROW(TableDiv[Agency])-ROW(TableDiv[[#Headers],[Agency]])),COLUMNS($F$7:Y$7))))</f>
        <v>0</v>
      </c>
      <c r="Z423" s="2223" cm="1">
        <f t="array" ref="Z423">IF($D423&lt;COLUMNS($F$7:Z$7),"",INDEX(TableDiv[[GASB]:[GASB]],_xlfn.AGGREGATE(15,3,(TableDiv[[Agency]:[Agency]]=$E423)/(TableDiv[[Agency]:[Agency]]=$E423)*(ROW(TableDiv[Agency])-ROW(TableDiv[[#Headers],[Agency]])),COLUMNS($F$7:Z$7))))</f>
        <v>0</v>
      </c>
      <c r="AA423" s="2223" cm="1">
        <f t="array" ref="AA423">IF($D423&lt;COLUMNS($F$7:AA$7),"",INDEX(TableDiv[[GASB]:[GASB]],_xlfn.AGGREGATE(15,3,(TableDiv[[Agency]:[Agency]]=$E423)/(TableDiv[[Agency]:[Agency]]=$E423)*(ROW(TableDiv[Agency])-ROW(TableDiv[[#Headers],[Agency]])),COLUMNS($F$7:AA$7))))</f>
        <v>0</v>
      </c>
      <c r="AB423" s="2223" cm="1">
        <f t="array" ref="AB423">IF($D423&lt;COLUMNS($F$7:AB$7),"",INDEX(TableDiv[[GASB]:[GASB]],_xlfn.AGGREGATE(15,3,(TableDiv[[Agency]:[Agency]]=$E423)/(TableDiv[[Agency]:[Agency]]=$E423)*(ROW(TableDiv[Agency])-ROW(TableDiv[[#Headers],[Agency]])),COLUMNS($F$7:AB$7))))</f>
        <v>0</v>
      </c>
      <c r="AC423" s="2223" cm="1">
        <f t="array" ref="AC423">IF($D423&lt;COLUMNS($F$7:AC$7),"",INDEX(TableDiv[[GASB]:[GASB]],_xlfn.AGGREGATE(15,3,(TableDiv[[Agency]:[Agency]]=$E423)/(TableDiv[[Agency]:[Agency]]=$E423)*(ROW(TableDiv[Agency])-ROW(TableDiv[[#Headers],[Agency]])),COLUMNS($F$7:AC$7))))</f>
        <v>0</v>
      </c>
      <c r="AD423" s="2223" cm="1">
        <f t="array" ref="AD423">IF($D423&lt;COLUMNS($F$7:AD$7),"",INDEX(TableDiv[[GASB]:[GASB]],_xlfn.AGGREGATE(15,3,(TableDiv[[Agency]:[Agency]]=$E423)/(TableDiv[[Agency]:[Agency]]=$E423)*(ROW(TableDiv[Agency])-ROW(TableDiv[[#Headers],[Agency]])),COLUMNS($F$7:AD$7))))</f>
        <v>0</v>
      </c>
      <c r="AE423" s="2223" cm="1">
        <f t="array" ref="AE423">IF($D423&lt;COLUMNS($F$7:AE$7),"",INDEX(TableDiv[[GASB]:[GASB]],_xlfn.AGGREGATE(15,3,(TableDiv[[Agency]:[Agency]]=$E423)/(TableDiv[[Agency]:[Agency]]=$E423)*(ROW(TableDiv[Agency])-ROW(TableDiv[[#Headers],[Agency]])),COLUMNS($F$7:AE$7))))</f>
        <v>0</v>
      </c>
      <c r="AF423" s="2223" cm="1">
        <f t="array" ref="AF423">IF($D423&lt;COLUMNS($F$7:AF$7),"",INDEX(TableDiv[[GASB]:[GASB]],_xlfn.AGGREGATE(15,3,(TableDiv[[Agency]:[Agency]]=$E423)/(TableDiv[[Agency]:[Agency]]=$E423)*(ROW(TableDiv[Agency])-ROW(TableDiv[[#Headers],[Agency]])),COLUMNS($F$7:AF$7))))</f>
        <v>0</v>
      </c>
      <c r="AG423" s="2223" cm="1">
        <f t="array" ref="AG423">IF($D423&lt;COLUMNS($F$7:AG$7),"",INDEX(TableDiv[[GASB]:[GASB]],_xlfn.AGGREGATE(15,3,(TableDiv[[Agency]:[Agency]]=$E423)/(TableDiv[[Agency]:[Agency]]=$E423)*(ROW(TableDiv[Agency])-ROW(TableDiv[[#Headers],[Agency]])),COLUMNS($F$7:AG$7))))</f>
        <v>0</v>
      </c>
      <c r="AH423" s="2223" cm="1">
        <f t="array" ref="AH423">IF($D423&lt;COLUMNS($F$7:AH$7),"",INDEX(TableDiv[[GASB]:[GASB]],_xlfn.AGGREGATE(15,3,(TableDiv[[Agency]:[Agency]]=$E423)/(TableDiv[[Agency]:[Agency]]=$E423)*(ROW(TableDiv[Agency])-ROW(TableDiv[[#Headers],[Agency]])),COLUMNS($F$7:AH$7))))</f>
        <v>0</v>
      </c>
      <c r="AI423" s="2223" cm="1">
        <f t="array" ref="AI423">IF($D423&lt;COLUMNS($F$7:AI$7),"",INDEX(TableDiv[[GASB]:[GASB]],_xlfn.AGGREGATE(15,3,(TableDiv[[Agency]:[Agency]]=$E423)/(TableDiv[[Agency]:[Agency]]=$E423)*(ROW(TableDiv[Agency])-ROW(TableDiv[[#Headers],[Agency]])),COLUMNS($F$7:AI$7))))</f>
        <v>0</v>
      </c>
      <c r="AJ423" s="2223" cm="1">
        <f t="array" ref="AJ423">IF($D423&lt;COLUMNS($F$7:AJ$7),"",INDEX(TableDiv[[GASB]:[GASB]],_xlfn.AGGREGATE(15,3,(TableDiv[[Agency]:[Agency]]=$E423)/(TableDiv[[Agency]:[Agency]]=$E423)*(ROW(TableDiv[Agency])-ROW(TableDiv[[#Headers],[Agency]])),COLUMNS($F$7:AJ$7))))</f>
        <v>0</v>
      </c>
      <c r="AK423" s="2223" t="str" cm="1">
        <f t="array" ref="AK423">IF($D423&lt;COLUMNS($F$7:AK$7),"",INDEX(TableDiv[[GASB]:[GASB]],_xlfn.AGGREGATE(15,3,(TableDiv[[Agency]:[Agency]]=$E423)/(TableDiv[[Agency]:[Agency]]=$E423)*(ROW(TableDiv[Agency])-ROW(TableDiv[[#Headers],[Agency]])),COLUMNS($F$7:AK$7))))</f>
        <v/>
      </c>
      <c r="AL423" s="2223" t="str" cm="1">
        <f t="array" ref="AL423">IF($D423&lt;COLUMNS($F$7:AL$7),"",INDEX(TableDiv[[GASB]:[GASB]],_xlfn.AGGREGATE(15,3,(TableDiv[[Agency]:[Agency]]=$E423)/(TableDiv[[Agency]:[Agency]]=$E423)*(ROW(TableDiv[Agency])-ROW(TableDiv[[#Headers],[Agency]])),COLUMNS($F$7:AL$7))))</f>
        <v/>
      </c>
      <c r="AM423" s="2223" t="str" cm="1">
        <f t="array" ref="AM423">IF($D423&lt;COLUMNS($F$7:AM$7),"",INDEX(TableDiv[[GASB]:[GASB]],_xlfn.AGGREGATE(15,3,(TableDiv[[Agency]:[Agency]]=$E423)/(TableDiv[[Agency]:[Agency]]=$E423)*(ROW(TableDiv[Agency])-ROW(TableDiv[[#Headers],[Agency]])),COLUMNS($F$7:AM$7))))</f>
        <v/>
      </c>
      <c r="AN423" s="2223"/>
      <c r="AO423" s="2223"/>
      <c r="AP423" s="2223"/>
      <c r="AQ423" s="2223"/>
      <c r="AR423" s="2223"/>
      <c r="AS423" s="2223"/>
    </row>
    <row r="424" spans="1:45" ht="15" x14ac:dyDescent="0.25">
      <c r="A424" s="2219" t="s">
        <v>6541</v>
      </c>
      <c r="B424" s="2219" t="s">
        <v>6497</v>
      </c>
      <c r="C424" s="2223"/>
      <c r="D424" s="2223">
        <f>COUNTIF(TableDiv[Agency],E424)</f>
        <v>31</v>
      </c>
      <c r="E424" s="2230" t="str" cm="1">
        <f t="array" ref="E424">IFERROR(INDEX(TableDiv[Agency],MATCH(0,INDEX(COUNTIF($E$7:E423,TableDiv[Agency]),),0)),"")</f>
        <v/>
      </c>
      <c r="F424" s="2223" cm="1">
        <f t="array" ref="F424">IF($D424&lt;COLUMNS($F$7:F$7),"",INDEX(TableDiv[[GASB]:[GASB]],_xlfn.AGGREGATE(15,3,(TableDiv[[Agency]:[Agency]]=$E424)/(TableDiv[[Agency]:[Agency]]=$E424)*(ROW(TableDiv[Agency])-ROW(TableDiv[[#Headers],[Agency]])),COLUMNS($F$7:F$7))))</f>
        <v>0</v>
      </c>
      <c r="G424" s="2223" cm="1">
        <f t="array" ref="G424">IF($D424&lt;COLUMNS($F$7:G$7),"",INDEX(TableDiv[[GASB]:[GASB]],_xlfn.AGGREGATE(15,3,(TableDiv[[Agency]:[Agency]]=$E424)/(TableDiv[[Agency]:[Agency]]=$E424)*(ROW(TableDiv[Agency])-ROW(TableDiv[[#Headers],[Agency]])),COLUMNS($F$7:G$7))))</f>
        <v>0</v>
      </c>
      <c r="H424" s="2223" cm="1">
        <f t="array" ref="H424">IF($D424&lt;COLUMNS($F$7:H$7),"",INDEX(TableDiv[[GASB]:[GASB]],_xlfn.AGGREGATE(15,3,(TableDiv[[Agency]:[Agency]]=$E424)/(TableDiv[[Agency]:[Agency]]=$E424)*(ROW(TableDiv[Agency])-ROW(TableDiv[[#Headers],[Agency]])),COLUMNS($F$7:H$7))))</f>
        <v>0</v>
      </c>
      <c r="I424" s="2223" cm="1">
        <f t="array" ref="I424">IF($D424&lt;COLUMNS($F$7:I$7),"",INDEX(TableDiv[[GASB]:[GASB]],_xlfn.AGGREGATE(15,3,(TableDiv[[Agency]:[Agency]]=$E424)/(TableDiv[[Agency]:[Agency]]=$E424)*(ROW(TableDiv[Agency])-ROW(TableDiv[[#Headers],[Agency]])),COLUMNS($F$7:I$7))))</f>
        <v>0</v>
      </c>
      <c r="J424" s="2223" cm="1">
        <f t="array" ref="J424">IF($D424&lt;COLUMNS($F$7:J$7),"",INDEX(TableDiv[[GASB]:[GASB]],_xlfn.AGGREGATE(15,3,(TableDiv[[Agency]:[Agency]]=$E424)/(TableDiv[[Agency]:[Agency]]=$E424)*(ROW(TableDiv[Agency])-ROW(TableDiv[[#Headers],[Agency]])),COLUMNS($F$7:J$7))))</f>
        <v>0</v>
      </c>
      <c r="K424" s="2223" cm="1">
        <f t="array" ref="K424">IF($D424&lt;COLUMNS($F$7:K$7),"",INDEX(TableDiv[[GASB]:[GASB]],_xlfn.AGGREGATE(15,3,(TableDiv[[Agency]:[Agency]]=$E424)/(TableDiv[[Agency]:[Agency]]=$E424)*(ROW(TableDiv[Agency])-ROW(TableDiv[[#Headers],[Agency]])),COLUMNS($F$7:K$7))))</f>
        <v>0</v>
      </c>
      <c r="L424" s="2223" cm="1">
        <f t="array" ref="L424">IF($D424&lt;COLUMNS($F$7:L$7),"",INDEX(TableDiv[[GASB]:[GASB]],_xlfn.AGGREGATE(15,3,(TableDiv[[Agency]:[Agency]]=$E424)/(TableDiv[[Agency]:[Agency]]=$E424)*(ROW(TableDiv[Agency])-ROW(TableDiv[[#Headers],[Agency]])),COLUMNS($F$7:L$7))))</f>
        <v>0</v>
      </c>
      <c r="M424" s="2223" cm="1">
        <f t="array" ref="M424">IF($D424&lt;COLUMNS($F$7:M$7),"",INDEX(TableDiv[[GASB]:[GASB]],_xlfn.AGGREGATE(15,3,(TableDiv[[Agency]:[Agency]]=$E424)/(TableDiv[[Agency]:[Agency]]=$E424)*(ROW(TableDiv[Agency])-ROW(TableDiv[[#Headers],[Agency]])),COLUMNS($F$7:M$7))))</f>
        <v>0</v>
      </c>
      <c r="N424" s="2223" cm="1">
        <f t="array" ref="N424">IF($D424&lt;COLUMNS($F$7:N$7),"",INDEX(TableDiv[[GASB]:[GASB]],_xlfn.AGGREGATE(15,3,(TableDiv[[Agency]:[Agency]]=$E424)/(TableDiv[[Agency]:[Agency]]=$E424)*(ROW(TableDiv[Agency])-ROW(TableDiv[[#Headers],[Agency]])),COLUMNS($F$7:N$7))))</f>
        <v>0</v>
      </c>
      <c r="O424" s="2223" cm="1">
        <f t="array" ref="O424">IF($D424&lt;COLUMNS($F$7:O$7),"",INDEX(TableDiv[[GASB]:[GASB]],_xlfn.AGGREGATE(15,3,(TableDiv[[Agency]:[Agency]]=$E424)/(TableDiv[[Agency]:[Agency]]=$E424)*(ROW(TableDiv[Agency])-ROW(TableDiv[[#Headers],[Agency]])),COLUMNS($F$7:O$7))))</f>
        <v>0</v>
      </c>
      <c r="P424" s="2223" cm="1">
        <f t="array" ref="P424">IF($D424&lt;COLUMNS($F$7:P$7),"",INDEX(TableDiv[[GASB]:[GASB]],_xlfn.AGGREGATE(15,3,(TableDiv[[Agency]:[Agency]]=$E424)/(TableDiv[[Agency]:[Agency]]=$E424)*(ROW(TableDiv[Agency])-ROW(TableDiv[[#Headers],[Agency]])),COLUMNS($F$7:P$7))))</f>
        <v>0</v>
      </c>
      <c r="Q424" s="2223" cm="1">
        <f t="array" ref="Q424">IF($D424&lt;COLUMNS($F$7:Q$7),"",INDEX(TableDiv[[GASB]:[GASB]],_xlfn.AGGREGATE(15,3,(TableDiv[[Agency]:[Agency]]=$E424)/(TableDiv[[Agency]:[Agency]]=$E424)*(ROW(TableDiv[Agency])-ROW(TableDiv[[#Headers],[Agency]])),COLUMNS($F$7:Q$7))))</f>
        <v>0</v>
      </c>
      <c r="R424" s="2223" cm="1">
        <f t="array" ref="R424">IF($D424&lt;COLUMNS($F$7:R$7),"",INDEX(TableDiv[[GASB]:[GASB]],_xlfn.AGGREGATE(15,3,(TableDiv[[Agency]:[Agency]]=$E424)/(TableDiv[[Agency]:[Agency]]=$E424)*(ROW(TableDiv[Agency])-ROW(TableDiv[[#Headers],[Agency]])),COLUMNS($F$7:R$7))))</f>
        <v>0</v>
      </c>
      <c r="S424" s="2223" cm="1">
        <f t="array" ref="S424">IF($D424&lt;COLUMNS($F$7:S$7),"",INDEX(TableDiv[[GASB]:[GASB]],_xlfn.AGGREGATE(15,3,(TableDiv[[Agency]:[Agency]]=$E424)/(TableDiv[[Agency]:[Agency]]=$E424)*(ROW(TableDiv[Agency])-ROW(TableDiv[[#Headers],[Agency]])),COLUMNS($F$7:S$7))))</f>
        <v>0</v>
      </c>
      <c r="T424" s="2223" cm="1">
        <f t="array" ref="T424">IF($D424&lt;COLUMNS($F$7:T$7),"",INDEX(TableDiv[[GASB]:[GASB]],_xlfn.AGGREGATE(15,3,(TableDiv[[Agency]:[Agency]]=$E424)/(TableDiv[[Agency]:[Agency]]=$E424)*(ROW(TableDiv[Agency])-ROW(TableDiv[[#Headers],[Agency]])),COLUMNS($F$7:T$7))))</f>
        <v>0</v>
      </c>
      <c r="U424" s="2223" cm="1">
        <f t="array" ref="U424">IF($D424&lt;COLUMNS($F$7:U$7),"",INDEX(TableDiv[[GASB]:[GASB]],_xlfn.AGGREGATE(15,3,(TableDiv[[Agency]:[Agency]]=$E424)/(TableDiv[[Agency]:[Agency]]=$E424)*(ROW(TableDiv[Agency])-ROW(TableDiv[[#Headers],[Agency]])),COLUMNS($F$7:U$7))))</f>
        <v>0</v>
      </c>
      <c r="V424" s="2223" cm="1">
        <f t="array" ref="V424">IF($D424&lt;COLUMNS($F$7:V$7),"",INDEX(TableDiv[[GASB]:[GASB]],_xlfn.AGGREGATE(15,3,(TableDiv[[Agency]:[Agency]]=$E424)/(TableDiv[[Agency]:[Agency]]=$E424)*(ROW(TableDiv[Agency])-ROW(TableDiv[[#Headers],[Agency]])),COLUMNS($F$7:V$7))))</f>
        <v>0</v>
      </c>
      <c r="W424" s="2223" cm="1">
        <f t="array" ref="W424">IF($D424&lt;COLUMNS($F$7:W$7),"",INDEX(TableDiv[[GASB]:[GASB]],_xlfn.AGGREGATE(15,3,(TableDiv[[Agency]:[Agency]]=$E424)/(TableDiv[[Agency]:[Agency]]=$E424)*(ROW(TableDiv[Agency])-ROW(TableDiv[[#Headers],[Agency]])),COLUMNS($F$7:W$7))))</f>
        <v>0</v>
      </c>
      <c r="X424" s="2223" cm="1">
        <f t="array" ref="X424">IF($D424&lt;COLUMNS($F$7:X$7),"",INDEX(TableDiv[[GASB]:[GASB]],_xlfn.AGGREGATE(15,3,(TableDiv[[Agency]:[Agency]]=$E424)/(TableDiv[[Agency]:[Agency]]=$E424)*(ROW(TableDiv[Agency])-ROW(TableDiv[[#Headers],[Agency]])),COLUMNS($F$7:X$7))))</f>
        <v>0</v>
      </c>
      <c r="Y424" s="2223" cm="1">
        <f t="array" ref="Y424">IF($D424&lt;COLUMNS($F$7:Y$7),"",INDEX(TableDiv[[GASB]:[GASB]],_xlfn.AGGREGATE(15,3,(TableDiv[[Agency]:[Agency]]=$E424)/(TableDiv[[Agency]:[Agency]]=$E424)*(ROW(TableDiv[Agency])-ROW(TableDiv[[#Headers],[Agency]])),COLUMNS($F$7:Y$7))))</f>
        <v>0</v>
      </c>
      <c r="Z424" s="2223" cm="1">
        <f t="array" ref="Z424">IF($D424&lt;COLUMNS($F$7:Z$7),"",INDEX(TableDiv[[GASB]:[GASB]],_xlfn.AGGREGATE(15,3,(TableDiv[[Agency]:[Agency]]=$E424)/(TableDiv[[Agency]:[Agency]]=$E424)*(ROW(TableDiv[Agency])-ROW(TableDiv[[#Headers],[Agency]])),COLUMNS($F$7:Z$7))))</f>
        <v>0</v>
      </c>
      <c r="AA424" s="2223" cm="1">
        <f t="array" ref="AA424">IF($D424&lt;COLUMNS($F$7:AA$7),"",INDEX(TableDiv[[GASB]:[GASB]],_xlfn.AGGREGATE(15,3,(TableDiv[[Agency]:[Agency]]=$E424)/(TableDiv[[Agency]:[Agency]]=$E424)*(ROW(TableDiv[Agency])-ROW(TableDiv[[#Headers],[Agency]])),COLUMNS($F$7:AA$7))))</f>
        <v>0</v>
      </c>
      <c r="AB424" s="2223" cm="1">
        <f t="array" ref="AB424">IF($D424&lt;COLUMNS($F$7:AB$7),"",INDEX(TableDiv[[GASB]:[GASB]],_xlfn.AGGREGATE(15,3,(TableDiv[[Agency]:[Agency]]=$E424)/(TableDiv[[Agency]:[Agency]]=$E424)*(ROW(TableDiv[Agency])-ROW(TableDiv[[#Headers],[Agency]])),COLUMNS($F$7:AB$7))))</f>
        <v>0</v>
      </c>
      <c r="AC424" s="2223" cm="1">
        <f t="array" ref="AC424">IF($D424&lt;COLUMNS($F$7:AC$7),"",INDEX(TableDiv[[GASB]:[GASB]],_xlfn.AGGREGATE(15,3,(TableDiv[[Agency]:[Agency]]=$E424)/(TableDiv[[Agency]:[Agency]]=$E424)*(ROW(TableDiv[Agency])-ROW(TableDiv[[#Headers],[Agency]])),COLUMNS($F$7:AC$7))))</f>
        <v>0</v>
      </c>
      <c r="AD424" s="2223" cm="1">
        <f t="array" ref="AD424">IF($D424&lt;COLUMNS($F$7:AD$7),"",INDEX(TableDiv[[GASB]:[GASB]],_xlfn.AGGREGATE(15,3,(TableDiv[[Agency]:[Agency]]=$E424)/(TableDiv[[Agency]:[Agency]]=$E424)*(ROW(TableDiv[Agency])-ROW(TableDiv[[#Headers],[Agency]])),COLUMNS($F$7:AD$7))))</f>
        <v>0</v>
      </c>
      <c r="AE424" s="2223" cm="1">
        <f t="array" ref="AE424">IF($D424&lt;COLUMNS($F$7:AE$7),"",INDEX(TableDiv[[GASB]:[GASB]],_xlfn.AGGREGATE(15,3,(TableDiv[[Agency]:[Agency]]=$E424)/(TableDiv[[Agency]:[Agency]]=$E424)*(ROW(TableDiv[Agency])-ROW(TableDiv[[#Headers],[Agency]])),COLUMNS($F$7:AE$7))))</f>
        <v>0</v>
      </c>
      <c r="AF424" s="2223" cm="1">
        <f t="array" ref="AF424">IF($D424&lt;COLUMNS($F$7:AF$7),"",INDEX(TableDiv[[GASB]:[GASB]],_xlfn.AGGREGATE(15,3,(TableDiv[[Agency]:[Agency]]=$E424)/(TableDiv[[Agency]:[Agency]]=$E424)*(ROW(TableDiv[Agency])-ROW(TableDiv[[#Headers],[Agency]])),COLUMNS($F$7:AF$7))))</f>
        <v>0</v>
      </c>
      <c r="AG424" s="2223" cm="1">
        <f t="array" ref="AG424">IF($D424&lt;COLUMNS($F$7:AG$7),"",INDEX(TableDiv[[GASB]:[GASB]],_xlfn.AGGREGATE(15,3,(TableDiv[[Agency]:[Agency]]=$E424)/(TableDiv[[Agency]:[Agency]]=$E424)*(ROW(TableDiv[Agency])-ROW(TableDiv[[#Headers],[Agency]])),COLUMNS($F$7:AG$7))))</f>
        <v>0</v>
      </c>
      <c r="AH424" s="2223" cm="1">
        <f t="array" ref="AH424">IF($D424&lt;COLUMNS($F$7:AH$7),"",INDEX(TableDiv[[GASB]:[GASB]],_xlfn.AGGREGATE(15,3,(TableDiv[[Agency]:[Agency]]=$E424)/(TableDiv[[Agency]:[Agency]]=$E424)*(ROW(TableDiv[Agency])-ROW(TableDiv[[#Headers],[Agency]])),COLUMNS($F$7:AH$7))))</f>
        <v>0</v>
      </c>
      <c r="AI424" s="2223" cm="1">
        <f t="array" ref="AI424">IF($D424&lt;COLUMNS($F$7:AI$7),"",INDEX(TableDiv[[GASB]:[GASB]],_xlfn.AGGREGATE(15,3,(TableDiv[[Agency]:[Agency]]=$E424)/(TableDiv[[Agency]:[Agency]]=$E424)*(ROW(TableDiv[Agency])-ROW(TableDiv[[#Headers],[Agency]])),COLUMNS($F$7:AI$7))))</f>
        <v>0</v>
      </c>
      <c r="AJ424" s="2223" cm="1">
        <f t="array" ref="AJ424">IF($D424&lt;COLUMNS($F$7:AJ$7),"",INDEX(TableDiv[[GASB]:[GASB]],_xlfn.AGGREGATE(15,3,(TableDiv[[Agency]:[Agency]]=$E424)/(TableDiv[[Agency]:[Agency]]=$E424)*(ROW(TableDiv[Agency])-ROW(TableDiv[[#Headers],[Agency]])),COLUMNS($F$7:AJ$7))))</f>
        <v>0</v>
      </c>
      <c r="AK424" s="2223" t="str" cm="1">
        <f t="array" ref="AK424">IF($D424&lt;COLUMNS($F$7:AK$7),"",INDEX(TableDiv[[GASB]:[GASB]],_xlfn.AGGREGATE(15,3,(TableDiv[[Agency]:[Agency]]=$E424)/(TableDiv[[Agency]:[Agency]]=$E424)*(ROW(TableDiv[Agency])-ROW(TableDiv[[#Headers],[Agency]])),COLUMNS($F$7:AK$7))))</f>
        <v/>
      </c>
      <c r="AL424" s="2223" t="str" cm="1">
        <f t="array" ref="AL424">IF($D424&lt;COLUMNS($F$7:AL$7),"",INDEX(TableDiv[[GASB]:[GASB]],_xlfn.AGGREGATE(15,3,(TableDiv[[Agency]:[Agency]]=$E424)/(TableDiv[[Agency]:[Agency]]=$E424)*(ROW(TableDiv[Agency])-ROW(TableDiv[[#Headers],[Agency]])),COLUMNS($F$7:AL$7))))</f>
        <v/>
      </c>
      <c r="AM424" s="2223" t="str" cm="1">
        <f t="array" ref="AM424">IF($D424&lt;COLUMNS($F$7:AM$7),"",INDEX(TableDiv[[GASB]:[GASB]],_xlfn.AGGREGATE(15,3,(TableDiv[[Agency]:[Agency]]=$E424)/(TableDiv[[Agency]:[Agency]]=$E424)*(ROW(TableDiv[Agency])-ROW(TableDiv[[#Headers],[Agency]])),COLUMNS($F$7:AM$7))))</f>
        <v/>
      </c>
      <c r="AN424" s="2223"/>
      <c r="AO424" s="2223"/>
      <c r="AP424" s="2223"/>
      <c r="AQ424" s="2223"/>
      <c r="AR424" s="2223"/>
      <c r="AS424" s="2223"/>
    </row>
    <row r="425" spans="1:45" ht="15" x14ac:dyDescent="0.25">
      <c r="A425" s="2219" t="s">
        <v>6542</v>
      </c>
      <c r="B425" s="2219" t="s">
        <v>6497</v>
      </c>
      <c r="C425" s="2223"/>
      <c r="D425" s="2223">
        <f>COUNTIF(TableDiv[Agency],E425)</f>
        <v>31</v>
      </c>
      <c r="E425" s="2230" t="str" cm="1">
        <f t="array" ref="E425">IFERROR(INDEX(TableDiv[Agency],MATCH(0,INDEX(COUNTIF($E$7:E424,TableDiv[Agency]),),0)),"")</f>
        <v/>
      </c>
      <c r="F425" s="2223" cm="1">
        <f t="array" ref="F425">IF($D425&lt;COLUMNS($F$7:F$7),"",INDEX(TableDiv[[GASB]:[GASB]],_xlfn.AGGREGATE(15,3,(TableDiv[[Agency]:[Agency]]=$E425)/(TableDiv[[Agency]:[Agency]]=$E425)*(ROW(TableDiv[Agency])-ROW(TableDiv[[#Headers],[Agency]])),COLUMNS($F$7:F$7))))</f>
        <v>0</v>
      </c>
      <c r="G425" s="2223" cm="1">
        <f t="array" ref="G425">IF($D425&lt;COLUMNS($F$7:G$7),"",INDEX(TableDiv[[GASB]:[GASB]],_xlfn.AGGREGATE(15,3,(TableDiv[[Agency]:[Agency]]=$E425)/(TableDiv[[Agency]:[Agency]]=$E425)*(ROW(TableDiv[Agency])-ROW(TableDiv[[#Headers],[Agency]])),COLUMNS($F$7:G$7))))</f>
        <v>0</v>
      </c>
      <c r="H425" s="2223" cm="1">
        <f t="array" ref="H425">IF($D425&lt;COLUMNS($F$7:H$7),"",INDEX(TableDiv[[GASB]:[GASB]],_xlfn.AGGREGATE(15,3,(TableDiv[[Agency]:[Agency]]=$E425)/(TableDiv[[Agency]:[Agency]]=$E425)*(ROW(TableDiv[Agency])-ROW(TableDiv[[#Headers],[Agency]])),COLUMNS($F$7:H$7))))</f>
        <v>0</v>
      </c>
      <c r="I425" s="2223" cm="1">
        <f t="array" ref="I425">IF($D425&lt;COLUMNS($F$7:I$7),"",INDEX(TableDiv[[GASB]:[GASB]],_xlfn.AGGREGATE(15,3,(TableDiv[[Agency]:[Agency]]=$E425)/(TableDiv[[Agency]:[Agency]]=$E425)*(ROW(TableDiv[Agency])-ROW(TableDiv[[#Headers],[Agency]])),COLUMNS($F$7:I$7))))</f>
        <v>0</v>
      </c>
      <c r="J425" s="2223" cm="1">
        <f t="array" ref="J425">IF($D425&lt;COLUMNS($F$7:J$7),"",INDEX(TableDiv[[GASB]:[GASB]],_xlfn.AGGREGATE(15,3,(TableDiv[[Agency]:[Agency]]=$E425)/(TableDiv[[Agency]:[Agency]]=$E425)*(ROW(TableDiv[Agency])-ROW(TableDiv[[#Headers],[Agency]])),COLUMNS($F$7:J$7))))</f>
        <v>0</v>
      </c>
      <c r="K425" s="2223" cm="1">
        <f t="array" ref="K425">IF($D425&lt;COLUMNS($F$7:K$7),"",INDEX(TableDiv[[GASB]:[GASB]],_xlfn.AGGREGATE(15,3,(TableDiv[[Agency]:[Agency]]=$E425)/(TableDiv[[Agency]:[Agency]]=$E425)*(ROW(TableDiv[Agency])-ROW(TableDiv[[#Headers],[Agency]])),COLUMNS($F$7:K$7))))</f>
        <v>0</v>
      </c>
      <c r="L425" s="2223" cm="1">
        <f t="array" ref="L425">IF($D425&lt;COLUMNS($F$7:L$7),"",INDEX(TableDiv[[GASB]:[GASB]],_xlfn.AGGREGATE(15,3,(TableDiv[[Agency]:[Agency]]=$E425)/(TableDiv[[Agency]:[Agency]]=$E425)*(ROW(TableDiv[Agency])-ROW(TableDiv[[#Headers],[Agency]])),COLUMNS($F$7:L$7))))</f>
        <v>0</v>
      </c>
      <c r="M425" s="2223" cm="1">
        <f t="array" ref="M425">IF($D425&lt;COLUMNS($F$7:M$7),"",INDEX(TableDiv[[GASB]:[GASB]],_xlfn.AGGREGATE(15,3,(TableDiv[[Agency]:[Agency]]=$E425)/(TableDiv[[Agency]:[Agency]]=$E425)*(ROW(TableDiv[Agency])-ROW(TableDiv[[#Headers],[Agency]])),COLUMNS($F$7:M$7))))</f>
        <v>0</v>
      </c>
      <c r="N425" s="2223" cm="1">
        <f t="array" ref="N425">IF($D425&lt;COLUMNS($F$7:N$7),"",INDEX(TableDiv[[GASB]:[GASB]],_xlfn.AGGREGATE(15,3,(TableDiv[[Agency]:[Agency]]=$E425)/(TableDiv[[Agency]:[Agency]]=$E425)*(ROW(TableDiv[Agency])-ROW(TableDiv[[#Headers],[Agency]])),COLUMNS($F$7:N$7))))</f>
        <v>0</v>
      </c>
      <c r="O425" s="2223" cm="1">
        <f t="array" ref="O425">IF($D425&lt;COLUMNS($F$7:O$7),"",INDEX(TableDiv[[GASB]:[GASB]],_xlfn.AGGREGATE(15,3,(TableDiv[[Agency]:[Agency]]=$E425)/(TableDiv[[Agency]:[Agency]]=$E425)*(ROW(TableDiv[Agency])-ROW(TableDiv[[#Headers],[Agency]])),COLUMNS($F$7:O$7))))</f>
        <v>0</v>
      </c>
      <c r="P425" s="2223" cm="1">
        <f t="array" ref="P425">IF($D425&lt;COLUMNS($F$7:P$7),"",INDEX(TableDiv[[GASB]:[GASB]],_xlfn.AGGREGATE(15,3,(TableDiv[[Agency]:[Agency]]=$E425)/(TableDiv[[Agency]:[Agency]]=$E425)*(ROW(TableDiv[Agency])-ROW(TableDiv[[#Headers],[Agency]])),COLUMNS($F$7:P$7))))</f>
        <v>0</v>
      </c>
      <c r="Q425" s="2223" cm="1">
        <f t="array" ref="Q425">IF($D425&lt;COLUMNS($F$7:Q$7),"",INDEX(TableDiv[[GASB]:[GASB]],_xlfn.AGGREGATE(15,3,(TableDiv[[Agency]:[Agency]]=$E425)/(TableDiv[[Agency]:[Agency]]=$E425)*(ROW(TableDiv[Agency])-ROW(TableDiv[[#Headers],[Agency]])),COLUMNS($F$7:Q$7))))</f>
        <v>0</v>
      </c>
      <c r="R425" s="2223" cm="1">
        <f t="array" ref="R425">IF($D425&lt;COLUMNS($F$7:R$7),"",INDEX(TableDiv[[GASB]:[GASB]],_xlfn.AGGREGATE(15,3,(TableDiv[[Agency]:[Agency]]=$E425)/(TableDiv[[Agency]:[Agency]]=$E425)*(ROW(TableDiv[Agency])-ROW(TableDiv[[#Headers],[Agency]])),COLUMNS($F$7:R$7))))</f>
        <v>0</v>
      </c>
      <c r="S425" s="2223" cm="1">
        <f t="array" ref="S425">IF($D425&lt;COLUMNS($F$7:S$7),"",INDEX(TableDiv[[GASB]:[GASB]],_xlfn.AGGREGATE(15,3,(TableDiv[[Agency]:[Agency]]=$E425)/(TableDiv[[Agency]:[Agency]]=$E425)*(ROW(TableDiv[Agency])-ROW(TableDiv[[#Headers],[Agency]])),COLUMNS($F$7:S$7))))</f>
        <v>0</v>
      </c>
      <c r="T425" s="2223" cm="1">
        <f t="array" ref="T425">IF($D425&lt;COLUMNS($F$7:T$7),"",INDEX(TableDiv[[GASB]:[GASB]],_xlfn.AGGREGATE(15,3,(TableDiv[[Agency]:[Agency]]=$E425)/(TableDiv[[Agency]:[Agency]]=$E425)*(ROW(TableDiv[Agency])-ROW(TableDiv[[#Headers],[Agency]])),COLUMNS($F$7:T$7))))</f>
        <v>0</v>
      </c>
      <c r="U425" s="2223" cm="1">
        <f t="array" ref="U425">IF($D425&lt;COLUMNS($F$7:U$7),"",INDEX(TableDiv[[GASB]:[GASB]],_xlfn.AGGREGATE(15,3,(TableDiv[[Agency]:[Agency]]=$E425)/(TableDiv[[Agency]:[Agency]]=$E425)*(ROW(TableDiv[Agency])-ROW(TableDiv[[#Headers],[Agency]])),COLUMNS($F$7:U$7))))</f>
        <v>0</v>
      </c>
      <c r="V425" s="2223" cm="1">
        <f t="array" ref="V425">IF($D425&lt;COLUMNS($F$7:V$7),"",INDEX(TableDiv[[GASB]:[GASB]],_xlfn.AGGREGATE(15,3,(TableDiv[[Agency]:[Agency]]=$E425)/(TableDiv[[Agency]:[Agency]]=$E425)*(ROW(TableDiv[Agency])-ROW(TableDiv[[#Headers],[Agency]])),COLUMNS($F$7:V$7))))</f>
        <v>0</v>
      </c>
      <c r="W425" s="2223" cm="1">
        <f t="array" ref="W425">IF($D425&lt;COLUMNS($F$7:W$7),"",INDEX(TableDiv[[GASB]:[GASB]],_xlfn.AGGREGATE(15,3,(TableDiv[[Agency]:[Agency]]=$E425)/(TableDiv[[Agency]:[Agency]]=$E425)*(ROW(TableDiv[Agency])-ROW(TableDiv[[#Headers],[Agency]])),COLUMNS($F$7:W$7))))</f>
        <v>0</v>
      </c>
      <c r="X425" s="2223" cm="1">
        <f t="array" ref="X425">IF($D425&lt;COLUMNS($F$7:X$7),"",INDEX(TableDiv[[GASB]:[GASB]],_xlfn.AGGREGATE(15,3,(TableDiv[[Agency]:[Agency]]=$E425)/(TableDiv[[Agency]:[Agency]]=$E425)*(ROW(TableDiv[Agency])-ROW(TableDiv[[#Headers],[Agency]])),COLUMNS($F$7:X$7))))</f>
        <v>0</v>
      </c>
      <c r="Y425" s="2223" cm="1">
        <f t="array" ref="Y425">IF($D425&lt;COLUMNS($F$7:Y$7),"",INDEX(TableDiv[[GASB]:[GASB]],_xlfn.AGGREGATE(15,3,(TableDiv[[Agency]:[Agency]]=$E425)/(TableDiv[[Agency]:[Agency]]=$E425)*(ROW(TableDiv[Agency])-ROW(TableDiv[[#Headers],[Agency]])),COLUMNS($F$7:Y$7))))</f>
        <v>0</v>
      </c>
      <c r="Z425" s="2223" cm="1">
        <f t="array" ref="Z425">IF($D425&lt;COLUMNS($F$7:Z$7),"",INDEX(TableDiv[[GASB]:[GASB]],_xlfn.AGGREGATE(15,3,(TableDiv[[Agency]:[Agency]]=$E425)/(TableDiv[[Agency]:[Agency]]=$E425)*(ROW(TableDiv[Agency])-ROW(TableDiv[[#Headers],[Agency]])),COLUMNS($F$7:Z$7))))</f>
        <v>0</v>
      </c>
      <c r="AA425" s="2223" cm="1">
        <f t="array" ref="AA425">IF($D425&lt;COLUMNS($F$7:AA$7),"",INDEX(TableDiv[[GASB]:[GASB]],_xlfn.AGGREGATE(15,3,(TableDiv[[Agency]:[Agency]]=$E425)/(TableDiv[[Agency]:[Agency]]=$E425)*(ROW(TableDiv[Agency])-ROW(TableDiv[[#Headers],[Agency]])),COLUMNS($F$7:AA$7))))</f>
        <v>0</v>
      </c>
      <c r="AB425" s="2223" cm="1">
        <f t="array" ref="AB425">IF($D425&lt;COLUMNS($F$7:AB$7),"",INDEX(TableDiv[[GASB]:[GASB]],_xlfn.AGGREGATE(15,3,(TableDiv[[Agency]:[Agency]]=$E425)/(TableDiv[[Agency]:[Agency]]=$E425)*(ROW(TableDiv[Agency])-ROW(TableDiv[[#Headers],[Agency]])),COLUMNS($F$7:AB$7))))</f>
        <v>0</v>
      </c>
      <c r="AC425" s="2223" cm="1">
        <f t="array" ref="AC425">IF($D425&lt;COLUMNS($F$7:AC$7),"",INDEX(TableDiv[[GASB]:[GASB]],_xlfn.AGGREGATE(15,3,(TableDiv[[Agency]:[Agency]]=$E425)/(TableDiv[[Agency]:[Agency]]=$E425)*(ROW(TableDiv[Agency])-ROW(TableDiv[[#Headers],[Agency]])),COLUMNS($F$7:AC$7))))</f>
        <v>0</v>
      </c>
      <c r="AD425" s="2223" cm="1">
        <f t="array" ref="AD425">IF($D425&lt;COLUMNS($F$7:AD$7),"",INDEX(TableDiv[[GASB]:[GASB]],_xlfn.AGGREGATE(15,3,(TableDiv[[Agency]:[Agency]]=$E425)/(TableDiv[[Agency]:[Agency]]=$E425)*(ROW(TableDiv[Agency])-ROW(TableDiv[[#Headers],[Agency]])),COLUMNS($F$7:AD$7))))</f>
        <v>0</v>
      </c>
      <c r="AE425" s="2223" cm="1">
        <f t="array" ref="AE425">IF($D425&lt;COLUMNS($F$7:AE$7),"",INDEX(TableDiv[[GASB]:[GASB]],_xlfn.AGGREGATE(15,3,(TableDiv[[Agency]:[Agency]]=$E425)/(TableDiv[[Agency]:[Agency]]=$E425)*(ROW(TableDiv[Agency])-ROW(TableDiv[[#Headers],[Agency]])),COLUMNS($F$7:AE$7))))</f>
        <v>0</v>
      </c>
      <c r="AF425" s="2223" cm="1">
        <f t="array" ref="AF425">IF($D425&lt;COLUMNS($F$7:AF$7),"",INDEX(TableDiv[[GASB]:[GASB]],_xlfn.AGGREGATE(15,3,(TableDiv[[Agency]:[Agency]]=$E425)/(TableDiv[[Agency]:[Agency]]=$E425)*(ROW(TableDiv[Agency])-ROW(TableDiv[[#Headers],[Agency]])),COLUMNS($F$7:AF$7))))</f>
        <v>0</v>
      </c>
      <c r="AG425" s="2223" cm="1">
        <f t="array" ref="AG425">IF($D425&lt;COLUMNS($F$7:AG$7),"",INDEX(TableDiv[[GASB]:[GASB]],_xlfn.AGGREGATE(15,3,(TableDiv[[Agency]:[Agency]]=$E425)/(TableDiv[[Agency]:[Agency]]=$E425)*(ROW(TableDiv[Agency])-ROW(TableDiv[[#Headers],[Agency]])),COLUMNS($F$7:AG$7))))</f>
        <v>0</v>
      </c>
      <c r="AH425" s="2223" cm="1">
        <f t="array" ref="AH425">IF($D425&lt;COLUMNS($F$7:AH$7),"",INDEX(TableDiv[[GASB]:[GASB]],_xlfn.AGGREGATE(15,3,(TableDiv[[Agency]:[Agency]]=$E425)/(TableDiv[[Agency]:[Agency]]=$E425)*(ROW(TableDiv[Agency])-ROW(TableDiv[[#Headers],[Agency]])),COLUMNS($F$7:AH$7))))</f>
        <v>0</v>
      </c>
      <c r="AI425" s="2223" cm="1">
        <f t="array" ref="AI425">IF($D425&lt;COLUMNS($F$7:AI$7),"",INDEX(TableDiv[[GASB]:[GASB]],_xlfn.AGGREGATE(15,3,(TableDiv[[Agency]:[Agency]]=$E425)/(TableDiv[[Agency]:[Agency]]=$E425)*(ROW(TableDiv[Agency])-ROW(TableDiv[[#Headers],[Agency]])),COLUMNS($F$7:AI$7))))</f>
        <v>0</v>
      </c>
      <c r="AJ425" s="2223" cm="1">
        <f t="array" ref="AJ425">IF($D425&lt;COLUMNS($F$7:AJ$7),"",INDEX(TableDiv[[GASB]:[GASB]],_xlfn.AGGREGATE(15,3,(TableDiv[[Agency]:[Agency]]=$E425)/(TableDiv[[Agency]:[Agency]]=$E425)*(ROW(TableDiv[Agency])-ROW(TableDiv[[#Headers],[Agency]])),COLUMNS($F$7:AJ$7))))</f>
        <v>0</v>
      </c>
      <c r="AK425" s="2223" t="str" cm="1">
        <f t="array" ref="AK425">IF($D425&lt;COLUMNS($F$7:AK$7),"",INDEX(TableDiv[[GASB]:[GASB]],_xlfn.AGGREGATE(15,3,(TableDiv[[Agency]:[Agency]]=$E425)/(TableDiv[[Agency]:[Agency]]=$E425)*(ROW(TableDiv[Agency])-ROW(TableDiv[[#Headers],[Agency]])),COLUMNS($F$7:AK$7))))</f>
        <v/>
      </c>
      <c r="AL425" s="2223" t="str" cm="1">
        <f t="array" ref="AL425">IF($D425&lt;COLUMNS($F$7:AL$7),"",INDEX(TableDiv[[GASB]:[GASB]],_xlfn.AGGREGATE(15,3,(TableDiv[[Agency]:[Agency]]=$E425)/(TableDiv[[Agency]:[Agency]]=$E425)*(ROW(TableDiv[Agency])-ROW(TableDiv[[#Headers],[Agency]])),COLUMNS($F$7:AL$7))))</f>
        <v/>
      </c>
      <c r="AM425" s="2223" t="str" cm="1">
        <f t="array" ref="AM425">IF($D425&lt;COLUMNS($F$7:AM$7),"",INDEX(TableDiv[[GASB]:[GASB]],_xlfn.AGGREGATE(15,3,(TableDiv[[Agency]:[Agency]]=$E425)/(TableDiv[[Agency]:[Agency]]=$E425)*(ROW(TableDiv[Agency])-ROW(TableDiv[[#Headers],[Agency]])),COLUMNS($F$7:AM$7))))</f>
        <v/>
      </c>
      <c r="AN425" s="2223"/>
      <c r="AO425" s="2223"/>
      <c r="AP425" s="2223"/>
      <c r="AQ425" s="2223"/>
      <c r="AR425" s="2223"/>
      <c r="AS425" s="2223"/>
    </row>
    <row r="426" spans="1:45" ht="15" x14ac:dyDescent="0.25">
      <c r="A426" s="2219" t="s">
        <v>5176</v>
      </c>
      <c r="B426" s="2219" t="s">
        <v>6543</v>
      </c>
      <c r="C426" s="2223"/>
      <c r="D426" s="2223">
        <f>COUNTIF(TableDiv[Agency],E426)</f>
        <v>31</v>
      </c>
      <c r="E426" s="2230" t="str" cm="1">
        <f t="array" ref="E426">IFERROR(INDEX(TableDiv[Agency],MATCH(0,INDEX(COUNTIF($E$7:E425,TableDiv[Agency]),),0)),"")</f>
        <v/>
      </c>
      <c r="F426" s="2223" cm="1">
        <f t="array" ref="F426">IF($D426&lt;COLUMNS($F$7:F$7),"",INDEX(TableDiv[[GASB]:[GASB]],_xlfn.AGGREGATE(15,3,(TableDiv[[Agency]:[Agency]]=$E426)/(TableDiv[[Agency]:[Agency]]=$E426)*(ROW(TableDiv[Agency])-ROW(TableDiv[[#Headers],[Agency]])),COLUMNS($F$7:F$7))))</f>
        <v>0</v>
      </c>
      <c r="G426" s="2223" cm="1">
        <f t="array" ref="G426">IF($D426&lt;COLUMNS($F$7:G$7),"",INDEX(TableDiv[[GASB]:[GASB]],_xlfn.AGGREGATE(15,3,(TableDiv[[Agency]:[Agency]]=$E426)/(TableDiv[[Agency]:[Agency]]=$E426)*(ROW(TableDiv[Agency])-ROW(TableDiv[[#Headers],[Agency]])),COLUMNS($F$7:G$7))))</f>
        <v>0</v>
      </c>
      <c r="H426" s="2223" cm="1">
        <f t="array" ref="H426">IF($D426&lt;COLUMNS($F$7:H$7),"",INDEX(TableDiv[[GASB]:[GASB]],_xlfn.AGGREGATE(15,3,(TableDiv[[Agency]:[Agency]]=$E426)/(TableDiv[[Agency]:[Agency]]=$E426)*(ROW(TableDiv[Agency])-ROW(TableDiv[[#Headers],[Agency]])),COLUMNS($F$7:H$7))))</f>
        <v>0</v>
      </c>
      <c r="I426" s="2223" cm="1">
        <f t="array" ref="I426">IF($D426&lt;COLUMNS($F$7:I$7),"",INDEX(TableDiv[[GASB]:[GASB]],_xlfn.AGGREGATE(15,3,(TableDiv[[Agency]:[Agency]]=$E426)/(TableDiv[[Agency]:[Agency]]=$E426)*(ROW(TableDiv[Agency])-ROW(TableDiv[[#Headers],[Agency]])),COLUMNS($F$7:I$7))))</f>
        <v>0</v>
      </c>
      <c r="J426" s="2223" cm="1">
        <f t="array" ref="J426">IF($D426&lt;COLUMNS($F$7:J$7),"",INDEX(TableDiv[[GASB]:[GASB]],_xlfn.AGGREGATE(15,3,(TableDiv[[Agency]:[Agency]]=$E426)/(TableDiv[[Agency]:[Agency]]=$E426)*(ROW(TableDiv[Agency])-ROW(TableDiv[[#Headers],[Agency]])),COLUMNS($F$7:J$7))))</f>
        <v>0</v>
      </c>
      <c r="K426" s="2223" cm="1">
        <f t="array" ref="K426">IF($D426&lt;COLUMNS($F$7:K$7),"",INDEX(TableDiv[[GASB]:[GASB]],_xlfn.AGGREGATE(15,3,(TableDiv[[Agency]:[Agency]]=$E426)/(TableDiv[[Agency]:[Agency]]=$E426)*(ROW(TableDiv[Agency])-ROW(TableDiv[[#Headers],[Agency]])),COLUMNS($F$7:K$7))))</f>
        <v>0</v>
      </c>
      <c r="L426" s="2223" cm="1">
        <f t="array" ref="L426">IF($D426&lt;COLUMNS($F$7:L$7),"",INDEX(TableDiv[[GASB]:[GASB]],_xlfn.AGGREGATE(15,3,(TableDiv[[Agency]:[Agency]]=$E426)/(TableDiv[[Agency]:[Agency]]=$E426)*(ROW(TableDiv[Agency])-ROW(TableDiv[[#Headers],[Agency]])),COLUMNS($F$7:L$7))))</f>
        <v>0</v>
      </c>
      <c r="M426" s="2223" cm="1">
        <f t="array" ref="M426">IF($D426&lt;COLUMNS($F$7:M$7),"",INDEX(TableDiv[[GASB]:[GASB]],_xlfn.AGGREGATE(15,3,(TableDiv[[Agency]:[Agency]]=$E426)/(TableDiv[[Agency]:[Agency]]=$E426)*(ROW(TableDiv[Agency])-ROW(TableDiv[[#Headers],[Agency]])),COLUMNS($F$7:M$7))))</f>
        <v>0</v>
      </c>
      <c r="N426" s="2223" cm="1">
        <f t="array" ref="N426">IF($D426&lt;COLUMNS($F$7:N$7),"",INDEX(TableDiv[[GASB]:[GASB]],_xlfn.AGGREGATE(15,3,(TableDiv[[Agency]:[Agency]]=$E426)/(TableDiv[[Agency]:[Agency]]=$E426)*(ROW(TableDiv[Agency])-ROW(TableDiv[[#Headers],[Agency]])),COLUMNS($F$7:N$7))))</f>
        <v>0</v>
      </c>
      <c r="O426" s="2223" cm="1">
        <f t="array" ref="O426">IF($D426&lt;COLUMNS($F$7:O$7),"",INDEX(TableDiv[[GASB]:[GASB]],_xlfn.AGGREGATE(15,3,(TableDiv[[Agency]:[Agency]]=$E426)/(TableDiv[[Agency]:[Agency]]=$E426)*(ROW(TableDiv[Agency])-ROW(TableDiv[[#Headers],[Agency]])),COLUMNS($F$7:O$7))))</f>
        <v>0</v>
      </c>
      <c r="P426" s="2223" cm="1">
        <f t="array" ref="P426">IF($D426&lt;COLUMNS($F$7:P$7),"",INDEX(TableDiv[[GASB]:[GASB]],_xlfn.AGGREGATE(15,3,(TableDiv[[Agency]:[Agency]]=$E426)/(TableDiv[[Agency]:[Agency]]=$E426)*(ROW(TableDiv[Agency])-ROW(TableDiv[[#Headers],[Agency]])),COLUMNS($F$7:P$7))))</f>
        <v>0</v>
      </c>
      <c r="Q426" s="2223" cm="1">
        <f t="array" ref="Q426">IF($D426&lt;COLUMNS($F$7:Q$7),"",INDEX(TableDiv[[GASB]:[GASB]],_xlfn.AGGREGATE(15,3,(TableDiv[[Agency]:[Agency]]=$E426)/(TableDiv[[Agency]:[Agency]]=$E426)*(ROW(TableDiv[Agency])-ROW(TableDiv[[#Headers],[Agency]])),COLUMNS($F$7:Q$7))))</f>
        <v>0</v>
      </c>
      <c r="R426" s="2223" cm="1">
        <f t="array" ref="R426">IF($D426&lt;COLUMNS($F$7:R$7),"",INDEX(TableDiv[[GASB]:[GASB]],_xlfn.AGGREGATE(15,3,(TableDiv[[Agency]:[Agency]]=$E426)/(TableDiv[[Agency]:[Agency]]=$E426)*(ROW(TableDiv[Agency])-ROW(TableDiv[[#Headers],[Agency]])),COLUMNS($F$7:R$7))))</f>
        <v>0</v>
      </c>
      <c r="S426" s="2223" cm="1">
        <f t="array" ref="S426">IF($D426&lt;COLUMNS($F$7:S$7),"",INDEX(TableDiv[[GASB]:[GASB]],_xlfn.AGGREGATE(15,3,(TableDiv[[Agency]:[Agency]]=$E426)/(TableDiv[[Agency]:[Agency]]=$E426)*(ROW(TableDiv[Agency])-ROW(TableDiv[[#Headers],[Agency]])),COLUMNS($F$7:S$7))))</f>
        <v>0</v>
      </c>
      <c r="T426" s="2223" cm="1">
        <f t="array" ref="T426">IF($D426&lt;COLUMNS($F$7:T$7),"",INDEX(TableDiv[[GASB]:[GASB]],_xlfn.AGGREGATE(15,3,(TableDiv[[Agency]:[Agency]]=$E426)/(TableDiv[[Agency]:[Agency]]=$E426)*(ROW(TableDiv[Agency])-ROW(TableDiv[[#Headers],[Agency]])),COLUMNS($F$7:T$7))))</f>
        <v>0</v>
      </c>
      <c r="U426" s="2223" cm="1">
        <f t="array" ref="U426">IF($D426&lt;COLUMNS($F$7:U$7),"",INDEX(TableDiv[[GASB]:[GASB]],_xlfn.AGGREGATE(15,3,(TableDiv[[Agency]:[Agency]]=$E426)/(TableDiv[[Agency]:[Agency]]=$E426)*(ROW(TableDiv[Agency])-ROW(TableDiv[[#Headers],[Agency]])),COLUMNS($F$7:U$7))))</f>
        <v>0</v>
      </c>
      <c r="V426" s="2223" cm="1">
        <f t="array" ref="V426">IF($D426&lt;COLUMNS($F$7:V$7),"",INDEX(TableDiv[[GASB]:[GASB]],_xlfn.AGGREGATE(15,3,(TableDiv[[Agency]:[Agency]]=$E426)/(TableDiv[[Agency]:[Agency]]=$E426)*(ROW(TableDiv[Agency])-ROW(TableDiv[[#Headers],[Agency]])),COLUMNS($F$7:V$7))))</f>
        <v>0</v>
      </c>
      <c r="W426" s="2223" cm="1">
        <f t="array" ref="W426">IF($D426&lt;COLUMNS($F$7:W$7),"",INDEX(TableDiv[[GASB]:[GASB]],_xlfn.AGGREGATE(15,3,(TableDiv[[Agency]:[Agency]]=$E426)/(TableDiv[[Agency]:[Agency]]=$E426)*(ROW(TableDiv[Agency])-ROW(TableDiv[[#Headers],[Agency]])),COLUMNS($F$7:W$7))))</f>
        <v>0</v>
      </c>
      <c r="X426" s="2223" cm="1">
        <f t="array" ref="X426">IF($D426&lt;COLUMNS($F$7:X$7),"",INDEX(TableDiv[[GASB]:[GASB]],_xlfn.AGGREGATE(15,3,(TableDiv[[Agency]:[Agency]]=$E426)/(TableDiv[[Agency]:[Agency]]=$E426)*(ROW(TableDiv[Agency])-ROW(TableDiv[[#Headers],[Agency]])),COLUMNS($F$7:X$7))))</f>
        <v>0</v>
      </c>
      <c r="Y426" s="2223" cm="1">
        <f t="array" ref="Y426">IF($D426&lt;COLUMNS($F$7:Y$7),"",INDEX(TableDiv[[GASB]:[GASB]],_xlfn.AGGREGATE(15,3,(TableDiv[[Agency]:[Agency]]=$E426)/(TableDiv[[Agency]:[Agency]]=$E426)*(ROW(TableDiv[Agency])-ROW(TableDiv[[#Headers],[Agency]])),COLUMNS($F$7:Y$7))))</f>
        <v>0</v>
      </c>
      <c r="Z426" s="2223" cm="1">
        <f t="array" ref="Z426">IF($D426&lt;COLUMNS($F$7:Z$7),"",INDEX(TableDiv[[GASB]:[GASB]],_xlfn.AGGREGATE(15,3,(TableDiv[[Agency]:[Agency]]=$E426)/(TableDiv[[Agency]:[Agency]]=$E426)*(ROW(TableDiv[Agency])-ROW(TableDiv[[#Headers],[Agency]])),COLUMNS($F$7:Z$7))))</f>
        <v>0</v>
      </c>
      <c r="AA426" s="2223" cm="1">
        <f t="array" ref="AA426">IF($D426&lt;COLUMNS($F$7:AA$7),"",INDEX(TableDiv[[GASB]:[GASB]],_xlfn.AGGREGATE(15,3,(TableDiv[[Agency]:[Agency]]=$E426)/(TableDiv[[Agency]:[Agency]]=$E426)*(ROW(TableDiv[Agency])-ROW(TableDiv[[#Headers],[Agency]])),COLUMNS($F$7:AA$7))))</f>
        <v>0</v>
      </c>
      <c r="AB426" s="2223" cm="1">
        <f t="array" ref="AB426">IF($D426&lt;COLUMNS($F$7:AB$7),"",INDEX(TableDiv[[GASB]:[GASB]],_xlfn.AGGREGATE(15,3,(TableDiv[[Agency]:[Agency]]=$E426)/(TableDiv[[Agency]:[Agency]]=$E426)*(ROW(TableDiv[Agency])-ROW(TableDiv[[#Headers],[Agency]])),COLUMNS($F$7:AB$7))))</f>
        <v>0</v>
      </c>
      <c r="AC426" s="2223" cm="1">
        <f t="array" ref="AC426">IF($D426&lt;COLUMNS($F$7:AC$7),"",INDEX(TableDiv[[GASB]:[GASB]],_xlfn.AGGREGATE(15,3,(TableDiv[[Agency]:[Agency]]=$E426)/(TableDiv[[Agency]:[Agency]]=$E426)*(ROW(TableDiv[Agency])-ROW(TableDiv[[#Headers],[Agency]])),COLUMNS($F$7:AC$7))))</f>
        <v>0</v>
      </c>
      <c r="AD426" s="2223" cm="1">
        <f t="array" ref="AD426">IF($D426&lt;COLUMNS($F$7:AD$7),"",INDEX(TableDiv[[GASB]:[GASB]],_xlfn.AGGREGATE(15,3,(TableDiv[[Agency]:[Agency]]=$E426)/(TableDiv[[Agency]:[Agency]]=$E426)*(ROW(TableDiv[Agency])-ROW(TableDiv[[#Headers],[Agency]])),COLUMNS($F$7:AD$7))))</f>
        <v>0</v>
      </c>
      <c r="AE426" s="2223" cm="1">
        <f t="array" ref="AE426">IF($D426&lt;COLUMNS($F$7:AE$7),"",INDEX(TableDiv[[GASB]:[GASB]],_xlfn.AGGREGATE(15,3,(TableDiv[[Agency]:[Agency]]=$E426)/(TableDiv[[Agency]:[Agency]]=$E426)*(ROW(TableDiv[Agency])-ROW(TableDiv[[#Headers],[Agency]])),COLUMNS($F$7:AE$7))))</f>
        <v>0</v>
      </c>
      <c r="AF426" s="2223" cm="1">
        <f t="array" ref="AF426">IF($D426&lt;COLUMNS($F$7:AF$7),"",INDEX(TableDiv[[GASB]:[GASB]],_xlfn.AGGREGATE(15,3,(TableDiv[[Agency]:[Agency]]=$E426)/(TableDiv[[Agency]:[Agency]]=$E426)*(ROW(TableDiv[Agency])-ROW(TableDiv[[#Headers],[Agency]])),COLUMNS($F$7:AF$7))))</f>
        <v>0</v>
      </c>
      <c r="AG426" s="2223" cm="1">
        <f t="array" ref="AG426">IF($D426&lt;COLUMNS($F$7:AG$7),"",INDEX(TableDiv[[GASB]:[GASB]],_xlfn.AGGREGATE(15,3,(TableDiv[[Agency]:[Agency]]=$E426)/(TableDiv[[Agency]:[Agency]]=$E426)*(ROW(TableDiv[Agency])-ROW(TableDiv[[#Headers],[Agency]])),COLUMNS($F$7:AG$7))))</f>
        <v>0</v>
      </c>
      <c r="AH426" s="2223" cm="1">
        <f t="array" ref="AH426">IF($D426&lt;COLUMNS($F$7:AH$7),"",INDEX(TableDiv[[GASB]:[GASB]],_xlfn.AGGREGATE(15,3,(TableDiv[[Agency]:[Agency]]=$E426)/(TableDiv[[Agency]:[Agency]]=$E426)*(ROW(TableDiv[Agency])-ROW(TableDiv[[#Headers],[Agency]])),COLUMNS($F$7:AH$7))))</f>
        <v>0</v>
      </c>
      <c r="AI426" s="2223" cm="1">
        <f t="array" ref="AI426">IF($D426&lt;COLUMNS($F$7:AI$7),"",INDEX(TableDiv[[GASB]:[GASB]],_xlfn.AGGREGATE(15,3,(TableDiv[[Agency]:[Agency]]=$E426)/(TableDiv[[Agency]:[Agency]]=$E426)*(ROW(TableDiv[Agency])-ROW(TableDiv[[#Headers],[Agency]])),COLUMNS($F$7:AI$7))))</f>
        <v>0</v>
      </c>
      <c r="AJ426" s="2223" cm="1">
        <f t="array" ref="AJ426">IF($D426&lt;COLUMNS($F$7:AJ$7),"",INDEX(TableDiv[[GASB]:[GASB]],_xlfn.AGGREGATE(15,3,(TableDiv[[Agency]:[Agency]]=$E426)/(TableDiv[[Agency]:[Agency]]=$E426)*(ROW(TableDiv[Agency])-ROW(TableDiv[[#Headers],[Agency]])),COLUMNS($F$7:AJ$7))))</f>
        <v>0</v>
      </c>
      <c r="AK426" s="2223" t="str" cm="1">
        <f t="array" ref="AK426">IF($D426&lt;COLUMNS($F$7:AK$7),"",INDEX(TableDiv[[GASB]:[GASB]],_xlfn.AGGREGATE(15,3,(TableDiv[[Agency]:[Agency]]=$E426)/(TableDiv[[Agency]:[Agency]]=$E426)*(ROW(TableDiv[Agency])-ROW(TableDiv[[#Headers],[Agency]])),COLUMNS($F$7:AK$7))))</f>
        <v/>
      </c>
      <c r="AL426" s="2223" t="str" cm="1">
        <f t="array" ref="AL426">IF($D426&lt;COLUMNS($F$7:AL$7),"",INDEX(TableDiv[[GASB]:[GASB]],_xlfn.AGGREGATE(15,3,(TableDiv[[Agency]:[Agency]]=$E426)/(TableDiv[[Agency]:[Agency]]=$E426)*(ROW(TableDiv[Agency])-ROW(TableDiv[[#Headers],[Agency]])),COLUMNS($F$7:AL$7))))</f>
        <v/>
      </c>
      <c r="AM426" s="2223" t="str" cm="1">
        <f t="array" ref="AM426">IF($D426&lt;COLUMNS($F$7:AM$7),"",INDEX(TableDiv[[GASB]:[GASB]],_xlfn.AGGREGATE(15,3,(TableDiv[[Agency]:[Agency]]=$E426)/(TableDiv[[Agency]:[Agency]]=$E426)*(ROW(TableDiv[Agency])-ROW(TableDiv[[#Headers],[Agency]])),COLUMNS($F$7:AM$7))))</f>
        <v/>
      </c>
      <c r="AN426" s="2223"/>
      <c r="AO426" s="2223"/>
      <c r="AP426" s="2223"/>
      <c r="AQ426" s="2223"/>
      <c r="AR426" s="2223"/>
      <c r="AS426" s="2223"/>
    </row>
    <row r="427" spans="1:45" ht="15" x14ac:dyDescent="0.25">
      <c r="A427" s="2219" t="s">
        <v>5269</v>
      </c>
      <c r="B427" s="2219" t="s">
        <v>6543</v>
      </c>
      <c r="C427" s="2223"/>
      <c r="D427" s="2223">
        <f>COUNTIF(TableDiv[Agency],E427)</f>
        <v>31</v>
      </c>
      <c r="E427" s="2230" t="str" cm="1">
        <f t="array" ref="E427">IFERROR(INDEX(TableDiv[Agency],MATCH(0,INDEX(COUNTIF($E$7:E426,TableDiv[Agency]),),0)),"")</f>
        <v/>
      </c>
      <c r="F427" s="2223" cm="1">
        <f t="array" ref="F427">IF($D427&lt;COLUMNS($F$7:F$7),"",INDEX(TableDiv[[GASB]:[GASB]],_xlfn.AGGREGATE(15,3,(TableDiv[[Agency]:[Agency]]=$E427)/(TableDiv[[Agency]:[Agency]]=$E427)*(ROW(TableDiv[Agency])-ROW(TableDiv[[#Headers],[Agency]])),COLUMNS($F$7:F$7))))</f>
        <v>0</v>
      </c>
      <c r="G427" s="2223" cm="1">
        <f t="array" ref="G427">IF($D427&lt;COLUMNS($F$7:G$7),"",INDEX(TableDiv[[GASB]:[GASB]],_xlfn.AGGREGATE(15,3,(TableDiv[[Agency]:[Agency]]=$E427)/(TableDiv[[Agency]:[Agency]]=$E427)*(ROW(TableDiv[Agency])-ROW(TableDiv[[#Headers],[Agency]])),COLUMNS($F$7:G$7))))</f>
        <v>0</v>
      </c>
      <c r="H427" s="2223" cm="1">
        <f t="array" ref="H427">IF($D427&lt;COLUMNS($F$7:H$7),"",INDEX(TableDiv[[GASB]:[GASB]],_xlfn.AGGREGATE(15,3,(TableDiv[[Agency]:[Agency]]=$E427)/(TableDiv[[Agency]:[Agency]]=$E427)*(ROW(TableDiv[Agency])-ROW(TableDiv[[#Headers],[Agency]])),COLUMNS($F$7:H$7))))</f>
        <v>0</v>
      </c>
      <c r="I427" s="2223" cm="1">
        <f t="array" ref="I427">IF($D427&lt;COLUMNS($F$7:I$7),"",INDEX(TableDiv[[GASB]:[GASB]],_xlfn.AGGREGATE(15,3,(TableDiv[[Agency]:[Agency]]=$E427)/(TableDiv[[Agency]:[Agency]]=$E427)*(ROW(TableDiv[Agency])-ROW(TableDiv[[#Headers],[Agency]])),COLUMNS($F$7:I$7))))</f>
        <v>0</v>
      </c>
      <c r="J427" s="2223" cm="1">
        <f t="array" ref="J427">IF($D427&lt;COLUMNS($F$7:J$7),"",INDEX(TableDiv[[GASB]:[GASB]],_xlfn.AGGREGATE(15,3,(TableDiv[[Agency]:[Agency]]=$E427)/(TableDiv[[Agency]:[Agency]]=$E427)*(ROW(TableDiv[Agency])-ROW(TableDiv[[#Headers],[Agency]])),COLUMNS($F$7:J$7))))</f>
        <v>0</v>
      </c>
      <c r="K427" s="2223" cm="1">
        <f t="array" ref="K427">IF($D427&lt;COLUMNS($F$7:K$7),"",INDEX(TableDiv[[GASB]:[GASB]],_xlfn.AGGREGATE(15,3,(TableDiv[[Agency]:[Agency]]=$E427)/(TableDiv[[Agency]:[Agency]]=$E427)*(ROW(TableDiv[Agency])-ROW(TableDiv[[#Headers],[Agency]])),COLUMNS($F$7:K$7))))</f>
        <v>0</v>
      </c>
      <c r="L427" s="2223" cm="1">
        <f t="array" ref="L427">IF($D427&lt;COLUMNS($F$7:L$7),"",INDEX(TableDiv[[GASB]:[GASB]],_xlfn.AGGREGATE(15,3,(TableDiv[[Agency]:[Agency]]=$E427)/(TableDiv[[Agency]:[Agency]]=$E427)*(ROW(TableDiv[Agency])-ROW(TableDiv[[#Headers],[Agency]])),COLUMNS($F$7:L$7))))</f>
        <v>0</v>
      </c>
      <c r="M427" s="2223" cm="1">
        <f t="array" ref="M427">IF($D427&lt;COLUMNS($F$7:M$7),"",INDEX(TableDiv[[GASB]:[GASB]],_xlfn.AGGREGATE(15,3,(TableDiv[[Agency]:[Agency]]=$E427)/(TableDiv[[Agency]:[Agency]]=$E427)*(ROW(TableDiv[Agency])-ROW(TableDiv[[#Headers],[Agency]])),COLUMNS($F$7:M$7))))</f>
        <v>0</v>
      </c>
      <c r="N427" s="2223" cm="1">
        <f t="array" ref="N427">IF($D427&lt;COLUMNS($F$7:N$7),"",INDEX(TableDiv[[GASB]:[GASB]],_xlfn.AGGREGATE(15,3,(TableDiv[[Agency]:[Agency]]=$E427)/(TableDiv[[Agency]:[Agency]]=$E427)*(ROW(TableDiv[Agency])-ROW(TableDiv[[#Headers],[Agency]])),COLUMNS($F$7:N$7))))</f>
        <v>0</v>
      </c>
      <c r="O427" s="2223" cm="1">
        <f t="array" ref="O427">IF($D427&lt;COLUMNS($F$7:O$7),"",INDEX(TableDiv[[GASB]:[GASB]],_xlfn.AGGREGATE(15,3,(TableDiv[[Agency]:[Agency]]=$E427)/(TableDiv[[Agency]:[Agency]]=$E427)*(ROW(TableDiv[Agency])-ROW(TableDiv[[#Headers],[Agency]])),COLUMNS($F$7:O$7))))</f>
        <v>0</v>
      </c>
      <c r="P427" s="2223" cm="1">
        <f t="array" ref="P427">IF($D427&lt;COLUMNS($F$7:P$7),"",INDEX(TableDiv[[GASB]:[GASB]],_xlfn.AGGREGATE(15,3,(TableDiv[[Agency]:[Agency]]=$E427)/(TableDiv[[Agency]:[Agency]]=$E427)*(ROW(TableDiv[Agency])-ROW(TableDiv[[#Headers],[Agency]])),COLUMNS($F$7:P$7))))</f>
        <v>0</v>
      </c>
      <c r="Q427" s="2223" cm="1">
        <f t="array" ref="Q427">IF($D427&lt;COLUMNS($F$7:Q$7),"",INDEX(TableDiv[[GASB]:[GASB]],_xlfn.AGGREGATE(15,3,(TableDiv[[Agency]:[Agency]]=$E427)/(TableDiv[[Agency]:[Agency]]=$E427)*(ROW(TableDiv[Agency])-ROW(TableDiv[[#Headers],[Agency]])),COLUMNS($F$7:Q$7))))</f>
        <v>0</v>
      </c>
      <c r="R427" s="2223" cm="1">
        <f t="array" ref="R427">IF($D427&lt;COLUMNS($F$7:R$7),"",INDEX(TableDiv[[GASB]:[GASB]],_xlfn.AGGREGATE(15,3,(TableDiv[[Agency]:[Agency]]=$E427)/(TableDiv[[Agency]:[Agency]]=$E427)*(ROW(TableDiv[Agency])-ROW(TableDiv[[#Headers],[Agency]])),COLUMNS($F$7:R$7))))</f>
        <v>0</v>
      </c>
      <c r="S427" s="2223" cm="1">
        <f t="array" ref="S427">IF($D427&lt;COLUMNS($F$7:S$7),"",INDEX(TableDiv[[GASB]:[GASB]],_xlfn.AGGREGATE(15,3,(TableDiv[[Agency]:[Agency]]=$E427)/(TableDiv[[Agency]:[Agency]]=$E427)*(ROW(TableDiv[Agency])-ROW(TableDiv[[#Headers],[Agency]])),COLUMNS($F$7:S$7))))</f>
        <v>0</v>
      </c>
      <c r="T427" s="2223" cm="1">
        <f t="array" ref="T427">IF($D427&lt;COLUMNS($F$7:T$7),"",INDEX(TableDiv[[GASB]:[GASB]],_xlfn.AGGREGATE(15,3,(TableDiv[[Agency]:[Agency]]=$E427)/(TableDiv[[Agency]:[Agency]]=$E427)*(ROW(TableDiv[Agency])-ROW(TableDiv[[#Headers],[Agency]])),COLUMNS($F$7:T$7))))</f>
        <v>0</v>
      </c>
      <c r="U427" s="2223" cm="1">
        <f t="array" ref="U427">IF($D427&lt;COLUMNS($F$7:U$7),"",INDEX(TableDiv[[GASB]:[GASB]],_xlfn.AGGREGATE(15,3,(TableDiv[[Agency]:[Agency]]=$E427)/(TableDiv[[Agency]:[Agency]]=$E427)*(ROW(TableDiv[Agency])-ROW(TableDiv[[#Headers],[Agency]])),COLUMNS($F$7:U$7))))</f>
        <v>0</v>
      </c>
      <c r="V427" s="2223" cm="1">
        <f t="array" ref="V427">IF($D427&lt;COLUMNS($F$7:V$7),"",INDEX(TableDiv[[GASB]:[GASB]],_xlfn.AGGREGATE(15,3,(TableDiv[[Agency]:[Agency]]=$E427)/(TableDiv[[Agency]:[Agency]]=$E427)*(ROW(TableDiv[Agency])-ROW(TableDiv[[#Headers],[Agency]])),COLUMNS($F$7:V$7))))</f>
        <v>0</v>
      </c>
      <c r="W427" s="2223" cm="1">
        <f t="array" ref="W427">IF($D427&lt;COLUMNS($F$7:W$7),"",INDEX(TableDiv[[GASB]:[GASB]],_xlfn.AGGREGATE(15,3,(TableDiv[[Agency]:[Agency]]=$E427)/(TableDiv[[Agency]:[Agency]]=$E427)*(ROW(TableDiv[Agency])-ROW(TableDiv[[#Headers],[Agency]])),COLUMNS($F$7:W$7))))</f>
        <v>0</v>
      </c>
      <c r="X427" s="2223" cm="1">
        <f t="array" ref="X427">IF($D427&lt;COLUMNS($F$7:X$7),"",INDEX(TableDiv[[GASB]:[GASB]],_xlfn.AGGREGATE(15,3,(TableDiv[[Agency]:[Agency]]=$E427)/(TableDiv[[Agency]:[Agency]]=$E427)*(ROW(TableDiv[Agency])-ROW(TableDiv[[#Headers],[Agency]])),COLUMNS($F$7:X$7))))</f>
        <v>0</v>
      </c>
      <c r="Y427" s="2223" cm="1">
        <f t="array" ref="Y427">IF($D427&lt;COLUMNS($F$7:Y$7),"",INDEX(TableDiv[[GASB]:[GASB]],_xlfn.AGGREGATE(15,3,(TableDiv[[Agency]:[Agency]]=$E427)/(TableDiv[[Agency]:[Agency]]=$E427)*(ROW(TableDiv[Agency])-ROW(TableDiv[[#Headers],[Agency]])),COLUMNS($F$7:Y$7))))</f>
        <v>0</v>
      </c>
      <c r="Z427" s="2223" cm="1">
        <f t="array" ref="Z427">IF($D427&lt;COLUMNS($F$7:Z$7),"",INDEX(TableDiv[[GASB]:[GASB]],_xlfn.AGGREGATE(15,3,(TableDiv[[Agency]:[Agency]]=$E427)/(TableDiv[[Agency]:[Agency]]=$E427)*(ROW(TableDiv[Agency])-ROW(TableDiv[[#Headers],[Agency]])),COLUMNS($F$7:Z$7))))</f>
        <v>0</v>
      </c>
      <c r="AA427" s="2223" cm="1">
        <f t="array" ref="AA427">IF($D427&lt;COLUMNS($F$7:AA$7),"",INDEX(TableDiv[[GASB]:[GASB]],_xlfn.AGGREGATE(15,3,(TableDiv[[Agency]:[Agency]]=$E427)/(TableDiv[[Agency]:[Agency]]=$E427)*(ROW(TableDiv[Agency])-ROW(TableDiv[[#Headers],[Agency]])),COLUMNS($F$7:AA$7))))</f>
        <v>0</v>
      </c>
      <c r="AB427" s="2223" cm="1">
        <f t="array" ref="AB427">IF($D427&lt;COLUMNS($F$7:AB$7),"",INDEX(TableDiv[[GASB]:[GASB]],_xlfn.AGGREGATE(15,3,(TableDiv[[Agency]:[Agency]]=$E427)/(TableDiv[[Agency]:[Agency]]=$E427)*(ROW(TableDiv[Agency])-ROW(TableDiv[[#Headers],[Agency]])),COLUMNS($F$7:AB$7))))</f>
        <v>0</v>
      </c>
      <c r="AC427" s="2223" cm="1">
        <f t="array" ref="AC427">IF($D427&lt;COLUMNS($F$7:AC$7),"",INDEX(TableDiv[[GASB]:[GASB]],_xlfn.AGGREGATE(15,3,(TableDiv[[Agency]:[Agency]]=$E427)/(TableDiv[[Agency]:[Agency]]=$E427)*(ROW(TableDiv[Agency])-ROW(TableDiv[[#Headers],[Agency]])),COLUMNS($F$7:AC$7))))</f>
        <v>0</v>
      </c>
      <c r="AD427" s="2223" cm="1">
        <f t="array" ref="AD427">IF($D427&lt;COLUMNS($F$7:AD$7),"",INDEX(TableDiv[[GASB]:[GASB]],_xlfn.AGGREGATE(15,3,(TableDiv[[Agency]:[Agency]]=$E427)/(TableDiv[[Agency]:[Agency]]=$E427)*(ROW(TableDiv[Agency])-ROW(TableDiv[[#Headers],[Agency]])),COLUMNS($F$7:AD$7))))</f>
        <v>0</v>
      </c>
      <c r="AE427" s="2223" cm="1">
        <f t="array" ref="AE427">IF($D427&lt;COLUMNS($F$7:AE$7),"",INDEX(TableDiv[[GASB]:[GASB]],_xlfn.AGGREGATE(15,3,(TableDiv[[Agency]:[Agency]]=$E427)/(TableDiv[[Agency]:[Agency]]=$E427)*(ROW(TableDiv[Agency])-ROW(TableDiv[[#Headers],[Agency]])),COLUMNS($F$7:AE$7))))</f>
        <v>0</v>
      </c>
      <c r="AF427" s="2223" cm="1">
        <f t="array" ref="AF427">IF($D427&lt;COLUMNS($F$7:AF$7),"",INDEX(TableDiv[[GASB]:[GASB]],_xlfn.AGGREGATE(15,3,(TableDiv[[Agency]:[Agency]]=$E427)/(TableDiv[[Agency]:[Agency]]=$E427)*(ROW(TableDiv[Agency])-ROW(TableDiv[[#Headers],[Agency]])),COLUMNS($F$7:AF$7))))</f>
        <v>0</v>
      </c>
      <c r="AG427" s="2223" cm="1">
        <f t="array" ref="AG427">IF($D427&lt;COLUMNS($F$7:AG$7),"",INDEX(TableDiv[[GASB]:[GASB]],_xlfn.AGGREGATE(15,3,(TableDiv[[Agency]:[Agency]]=$E427)/(TableDiv[[Agency]:[Agency]]=$E427)*(ROW(TableDiv[Agency])-ROW(TableDiv[[#Headers],[Agency]])),COLUMNS($F$7:AG$7))))</f>
        <v>0</v>
      </c>
      <c r="AH427" s="2223" cm="1">
        <f t="array" ref="AH427">IF($D427&lt;COLUMNS($F$7:AH$7),"",INDEX(TableDiv[[GASB]:[GASB]],_xlfn.AGGREGATE(15,3,(TableDiv[[Agency]:[Agency]]=$E427)/(TableDiv[[Agency]:[Agency]]=$E427)*(ROW(TableDiv[Agency])-ROW(TableDiv[[#Headers],[Agency]])),COLUMNS($F$7:AH$7))))</f>
        <v>0</v>
      </c>
      <c r="AI427" s="2223" cm="1">
        <f t="array" ref="AI427">IF($D427&lt;COLUMNS($F$7:AI$7),"",INDEX(TableDiv[[GASB]:[GASB]],_xlfn.AGGREGATE(15,3,(TableDiv[[Agency]:[Agency]]=$E427)/(TableDiv[[Agency]:[Agency]]=$E427)*(ROW(TableDiv[Agency])-ROW(TableDiv[[#Headers],[Agency]])),COLUMNS($F$7:AI$7))))</f>
        <v>0</v>
      </c>
      <c r="AJ427" s="2223" cm="1">
        <f t="array" ref="AJ427">IF($D427&lt;COLUMNS($F$7:AJ$7),"",INDEX(TableDiv[[GASB]:[GASB]],_xlfn.AGGREGATE(15,3,(TableDiv[[Agency]:[Agency]]=$E427)/(TableDiv[[Agency]:[Agency]]=$E427)*(ROW(TableDiv[Agency])-ROW(TableDiv[[#Headers],[Agency]])),COLUMNS($F$7:AJ$7))))</f>
        <v>0</v>
      </c>
      <c r="AK427" s="2223" t="str" cm="1">
        <f t="array" ref="AK427">IF($D427&lt;COLUMNS($F$7:AK$7),"",INDEX(TableDiv[[GASB]:[GASB]],_xlfn.AGGREGATE(15,3,(TableDiv[[Agency]:[Agency]]=$E427)/(TableDiv[[Agency]:[Agency]]=$E427)*(ROW(TableDiv[Agency])-ROW(TableDiv[[#Headers],[Agency]])),COLUMNS($F$7:AK$7))))</f>
        <v/>
      </c>
      <c r="AL427" s="2223" t="str" cm="1">
        <f t="array" ref="AL427">IF($D427&lt;COLUMNS($F$7:AL$7),"",INDEX(TableDiv[[GASB]:[GASB]],_xlfn.AGGREGATE(15,3,(TableDiv[[Agency]:[Agency]]=$E427)/(TableDiv[[Agency]:[Agency]]=$E427)*(ROW(TableDiv[Agency])-ROW(TableDiv[[#Headers],[Agency]])),COLUMNS($F$7:AL$7))))</f>
        <v/>
      </c>
      <c r="AM427" s="2223" t="str" cm="1">
        <f t="array" ref="AM427">IF($D427&lt;COLUMNS($F$7:AM$7),"",INDEX(TableDiv[[GASB]:[GASB]],_xlfn.AGGREGATE(15,3,(TableDiv[[Agency]:[Agency]]=$E427)/(TableDiv[[Agency]:[Agency]]=$E427)*(ROW(TableDiv[Agency])-ROW(TableDiv[[#Headers],[Agency]])),COLUMNS($F$7:AM$7))))</f>
        <v/>
      </c>
      <c r="AN427" s="2223"/>
      <c r="AO427" s="2223"/>
      <c r="AP427" s="2223"/>
      <c r="AQ427" s="2223"/>
      <c r="AR427" s="2223"/>
      <c r="AS427" s="2223"/>
    </row>
    <row r="428" spans="1:45" ht="15" x14ac:dyDescent="0.25">
      <c r="A428" s="2219" t="s">
        <v>5179</v>
      </c>
      <c r="B428" s="2219" t="s">
        <v>6543</v>
      </c>
      <c r="C428" s="2223"/>
      <c r="D428" s="2223">
        <f>COUNTIF(TableDiv[Agency],E428)</f>
        <v>31</v>
      </c>
      <c r="E428" s="2230" t="str" cm="1">
        <f t="array" ref="E428">IFERROR(INDEX(TableDiv[Agency],MATCH(0,INDEX(COUNTIF($E$7:E427,TableDiv[Agency]),),0)),"")</f>
        <v/>
      </c>
      <c r="F428" s="2223" cm="1">
        <f t="array" ref="F428">IF($D428&lt;COLUMNS($F$7:F$7),"",INDEX(TableDiv[[GASB]:[GASB]],_xlfn.AGGREGATE(15,3,(TableDiv[[Agency]:[Agency]]=$E428)/(TableDiv[[Agency]:[Agency]]=$E428)*(ROW(TableDiv[Agency])-ROW(TableDiv[[#Headers],[Agency]])),COLUMNS($F$7:F$7))))</f>
        <v>0</v>
      </c>
      <c r="G428" s="2223" cm="1">
        <f t="array" ref="G428">IF($D428&lt;COLUMNS($F$7:G$7),"",INDEX(TableDiv[[GASB]:[GASB]],_xlfn.AGGREGATE(15,3,(TableDiv[[Agency]:[Agency]]=$E428)/(TableDiv[[Agency]:[Agency]]=$E428)*(ROW(TableDiv[Agency])-ROW(TableDiv[[#Headers],[Agency]])),COLUMNS($F$7:G$7))))</f>
        <v>0</v>
      </c>
      <c r="H428" s="2223" cm="1">
        <f t="array" ref="H428">IF($D428&lt;COLUMNS($F$7:H$7),"",INDEX(TableDiv[[GASB]:[GASB]],_xlfn.AGGREGATE(15,3,(TableDiv[[Agency]:[Agency]]=$E428)/(TableDiv[[Agency]:[Agency]]=$E428)*(ROW(TableDiv[Agency])-ROW(TableDiv[[#Headers],[Agency]])),COLUMNS($F$7:H$7))))</f>
        <v>0</v>
      </c>
      <c r="I428" s="2223" cm="1">
        <f t="array" ref="I428">IF($D428&lt;COLUMNS($F$7:I$7),"",INDEX(TableDiv[[GASB]:[GASB]],_xlfn.AGGREGATE(15,3,(TableDiv[[Agency]:[Agency]]=$E428)/(TableDiv[[Agency]:[Agency]]=$E428)*(ROW(TableDiv[Agency])-ROW(TableDiv[[#Headers],[Agency]])),COLUMNS($F$7:I$7))))</f>
        <v>0</v>
      </c>
      <c r="J428" s="2223" cm="1">
        <f t="array" ref="J428">IF($D428&lt;COLUMNS($F$7:J$7),"",INDEX(TableDiv[[GASB]:[GASB]],_xlfn.AGGREGATE(15,3,(TableDiv[[Agency]:[Agency]]=$E428)/(TableDiv[[Agency]:[Agency]]=$E428)*(ROW(TableDiv[Agency])-ROW(TableDiv[[#Headers],[Agency]])),COLUMNS($F$7:J$7))))</f>
        <v>0</v>
      </c>
      <c r="K428" s="2223" cm="1">
        <f t="array" ref="K428">IF($D428&lt;COLUMNS($F$7:K$7),"",INDEX(TableDiv[[GASB]:[GASB]],_xlfn.AGGREGATE(15,3,(TableDiv[[Agency]:[Agency]]=$E428)/(TableDiv[[Agency]:[Agency]]=$E428)*(ROW(TableDiv[Agency])-ROW(TableDiv[[#Headers],[Agency]])),COLUMNS($F$7:K$7))))</f>
        <v>0</v>
      </c>
      <c r="L428" s="2223" cm="1">
        <f t="array" ref="L428">IF($D428&lt;COLUMNS($F$7:L$7),"",INDEX(TableDiv[[GASB]:[GASB]],_xlfn.AGGREGATE(15,3,(TableDiv[[Agency]:[Agency]]=$E428)/(TableDiv[[Agency]:[Agency]]=$E428)*(ROW(TableDiv[Agency])-ROW(TableDiv[[#Headers],[Agency]])),COLUMNS($F$7:L$7))))</f>
        <v>0</v>
      </c>
      <c r="M428" s="2223" cm="1">
        <f t="array" ref="M428">IF($D428&lt;COLUMNS($F$7:M$7),"",INDEX(TableDiv[[GASB]:[GASB]],_xlfn.AGGREGATE(15,3,(TableDiv[[Agency]:[Agency]]=$E428)/(TableDiv[[Agency]:[Agency]]=$E428)*(ROW(TableDiv[Agency])-ROW(TableDiv[[#Headers],[Agency]])),COLUMNS($F$7:M$7))))</f>
        <v>0</v>
      </c>
      <c r="N428" s="2223" cm="1">
        <f t="array" ref="N428">IF($D428&lt;COLUMNS($F$7:N$7),"",INDEX(TableDiv[[GASB]:[GASB]],_xlfn.AGGREGATE(15,3,(TableDiv[[Agency]:[Agency]]=$E428)/(TableDiv[[Agency]:[Agency]]=$E428)*(ROW(TableDiv[Agency])-ROW(TableDiv[[#Headers],[Agency]])),COLUMNS($F$7:N$7))))</f>
        <v>0</v>
      </c>
      <c r="O428" s="2223" cm="1">
        <f t="array" ref="O428">IF($D428&lt;COLUMNS($F$7:O$7),"",INDEX(TableDiv[[GASB]:[GASB]],_xlfn.AGGREGATE(15,3,(TableDiv[[Agency]:[Agency]]=$E428)/(TableDiv[[Agency]:[Agency]]=$E428)*(ROW(TableDiv[Agency])-ROW(TableDiv[[#Headers],[Agency]])),COLUMNS($F$7:O$7))))</f>
        <v>0</v>
      </c>
      <c r="P428" s="2223" cm="1">
        <f t="array" ref="P428">IF($D428&lt;COLUMNS($F$7:P$7),"",INDEX(TableDiv[[GASB]:[GASB]],_xlfn.AGGREGATE(15,3,(TableDiv[[Agency]:[Agency]]=$E428)/(TableDiv[[Agency]:[Agency]]=$E428)*(ROW(TableDiv[Agency])-ROW(TableDiv[[#Headers],[Agency]])),COLUMNS($F$7:P$7))))</f>
        <v>0</v>
      </c>
      <c r="Q428" s="2223" cm="1">
        <f t="array" ref="Q428">IF($D428&lt;COLUMNS($F$7:Q$7),"",INDEX(TableDiv[[GASB]:[GASB]],_xlfn.AGGREGATE(15,3,(TableDiv[[Agency]:[Agency]]=$E428)/(TableDiv[[Agency]:[Agency]]=$E428)*(ROW(TableDiv[Agency])-ROW(TableDiv[[#Headers],[Agency]])),COLUMNS($F$7:Q$7))))</f>
        <v>0</v>
      </c>
      <c r="R428" s="2223" cm="1">
        <f t="array" ref="R428">IF($D428&lt;COLUMNS($F$7:R$7),"",INDEX(TableDiv[[GASB]:[GASB]],_xlfn.AGGREGATE(15,3,(TableDiv[[Agency]:[Agency]]=$E428)/(TableDiv[[Agency]:[Agency]]=$E428)*(ROW(TableDiv[Agency])-ROW(TableDiv[[#Headers],[Agency]])),COLUMNS($F$7:R$7))))</f>
        <v>0</v>
      </c>
      <c r="S428" s="2223" cm="1">
        <f t="array" ref="S428">IF($D428&lt;COLUMNS($F$7:S$7),"",INDEX(TableDiv[[GASB]:[GASB]],_xlfn.AGGREGATE(15,3,(TableDiv[[Agency]:[Agency]]=$E428)/(TableDiv[[Agency]:[Agency]]=$E428)*(ROW(TableDiv[Agency])-ROW(TableDiv[[#Headers],[Agency]])),COLUMNS($F$7:S$7))))</f>
        <v>0</v>
      </c>
      <c r="T428" s="2223" cm="1">
        <f t="array" ref="T428">IF($D428&lt;COLUMNS($F$7:T$7),"",INDEX(TableDiv[[GASB]:[GASB]],_xlfn.AGGREGATE(15,3,(TableDiv[[Agency]:[Agency]]=$E428)/(TableDiv[[Agency]:[Agency]]=$E428)*(ROW(TableDiv[Agency])-ROW(TableDiv[[#Headers],[Agency]])),COLUMNS($F$7:T$7))))</f>
        <v>0</v>
      </c>
      <c r="U428" s="2223" cm="1">
        <f t="array" ref="U428">IF($D428&lt;COLUMNS($F$7:U$7),"",INDEX(TableDiv[[GASB]:[GASB]],_xlfn.AGGREGATE(15,3,(TableDiv[[Agency]:[Agency]]=$E428)/(TableDiv[[Agency]:[Agency]]=$E428)*(ROW(TableDiv[Agency])-ROW(TableDiv[[#Headers],[Agency]])),COLUMNS($F$7:U$7))))</f>
        <v>0</v>
      </c>
      <c r="V428" s="2223" cm="1">
        <f t="array" ref="V428">IF($D428&lt;COLUMNS($F$7:V$7),"",INDEX(TableDiv[[GASB]:[GASB]],_xlfn.AGGREGATE(15,3,(TableDiv[[Agency]:[Agency]]=$E428)/(TableDiv[[Agency]:[Agency]]=$E428)*(ROW(TableDiv[Agency])-ROW(TableDiv[[#Headers],[Agency]])),COLUMNS($F$7:V$7))))</f>
        <v>0</v>
      </c>
      <c r="W428" s="2223" cm="1">
        <f t="array" ref="W428">IF($D428&lt;COLUMNS($F$7:W$7),"",INDEX(TableDiv[[GASB]:[GASB]],_xlfn.AGGREGATE(15,3,(TableDiv[[Agency]:[Agency]]=$E428)/(TableDiv[[Agency]:[Agency]]=$E428)*(ROW(TableDiv[Agency])-ROW(TableDiv[[#Headers],[Agency]])),COLUMNS($F$7:W$7))))</f>
        <v>0</v>
      </c>
      <c r="X428" s="2223" cm="1">
        <f t="array" ref="X428">IF($D428&lt;COLUMNS($F$7:X$7),"",INDEX(TableDiv[[GASB]:[GASB]],_xlfn.AGGREGATE(15,3,(TableDiv[[Agency]:[Agency]]=$E428)/(TableDiv[[Agency]:[Agency]]=$E428)*(ROW(TableDiv[Agency])-ROW(TableDiv[[#Headers],[Agency]])),COLUMNS($F$7:X$7))))</f>
        <v>0</v>
      </c>
      <c r="Y428" s="2223" cm="1">
        <f t="array" ref="Y428">IF($D428&lt;COLUMNS($F$7:Y$7),"",INDEX(TableDiv[[GASB]:[GASB]],_xlfn.AGGREGATE(15,3,(TableDiv[[Agency]:[Agency]]=$E428)/(TableDiv[[Agency]:[Agency]]=$E428)*(ROW(TableDiv[Agency])-ROW(TableDiv[[#Headers],[Agency]])),COLUMNS($F$7:Y$7))))</f>
        <v>0</v>
      </c>
      <c r="Z428" s="2223" cm="1">
        <f t="array" ref="Z428">IF($D428&lt;COLUMNS($F$7:Z$7),"",INDEX(TableDiv[[GASB]:[GASB]],_xlfn.AGGREGATE(15,3,(TableDiv[[Agency]:[Agency]]=$E428)/(TableDiv[[Agency]:[Agency]]=$E428)*(ROW(TableDiv[Agency])-ROW(TableDiv[[#Headers],[Agency]])),COLUMNS($F$7:Z$7))))</f>
        <v>0</v>
      </c>
      <c r="AA428" s="2223" cm="1">
        <f t="array" ref="AA428">IF($D428&lt;COLUMNS($F$7:AA$7),"",INDEX(TableDiv[[GASB]:[GASB]],_xlfn.AGGREGATE(15,3,(TableDiv[[Agency]:[Agency]]=$E428)/(TableDiv[[Agency]:[Agency]]=$E428)*(ROW(TableDiv[Agency])-ROW(TableDiv[[#Headers],[Agency]])),COLUMNS($F$7:AA$7))))</f>
        <v>0</v>
      </c>
      <c r="AB428" s="2223" cm="1">
        <f t="array" ref="AB428">IF($D428&lt;COLUMNS($F$7:AB$7),"",INDEX(TableDiv[[GASB]:[GASB]],_xlfn.AGGREGATE(15,3,(TableDiv[[Agency]:[Agency]]=$E428)/(TableDiv[[Agency]:[Agency]]=$E428)*(ROW(TableDiv[Agency])-ROW(TableDiv[[#Headers],[Agency]])),COLUMNS($F$7:AB$7))))</f>
        <v>0</v>
      </c>
      <c r="AC428" s="2223" cm="1">
        <f t="array" ref="AC428">IF($D428&lt;COLUMNS($F$7:AC$7),"",INDEX(TableDiv[[GASB]:[GASB]],_xlfn.AGGREGATE(15,3,(TableDiv[[Agency]:[Agency]]=$E428)/(TableDiv[[Agency]:[Agency]]=$E428)*(ROW(TableDiv[Agency])-ROW(TableDiv[[#Headers],[Agency]])),COLUMNS($F$7:AC$7))))</f>
        <v>0</v>
      </c>
      <c r="AD428" s="2223" cm="1">
        <f t="array" ref="AD428">IF($D428&lt;COLUMNS($F$7:AD$7),"",INDEX(TableDiv[[GASB]:[GASB]],_xlfn.AGGREGATE(15,3,(TableDiv[[Agency]:[Agency]]=$E428)/(TableDiv[[Agency]:[Agency]]=$E428)*(ROW(TableDiv[Agency])-ROW(TableDiv[[#Headers],[Agency]])),COLUMNS($F$7:AD$7))))</f>
        <v>0</v>
      </c>
      <c r="AE428" s="2223" cm="1">
        <f t="array" ref="AE428">IF($D428&lt;COLUMNS($F$7:AE$7),"",INDEX(TableDiv[[GASB]:[GASB]],_xlfn.AGGREGATE(15,3,(TableDiv[[Agency]:[Agency]]=$E428)/(TableDiv[[Agency]:[Agency]]=$E428)*(ROW(TableDiv[Agency])-ROW(TableDiv[[#Headers],[Agency]])),COLUMNS($F$7:AE$7))))</f>
        <v>0</v>
      </c>
      <c r="AF428" s="2223" cm="1">
        <f t="array" ref="AF428">IF($D428&lt;COLUMNS($F$7:AF$7),"",INDEX(TableDiv[[GASB]:[GASB]],_xlfn.AGGREGATE(15,3,(TableDiv[[Agency]:[Agency]]=$E428)/(TableDiv[[Agency]:[Agency]]=$E428)*(ROW(TableDiv[Agency])-ROW(TableDiv[[#Headers],[Agency]])),COLUMNS($F$7:AF$7))))</f>
        <v>0</v>
      </c>
      <c r="AG428" s="2223" cm="1">
        <f t="array" ref="AG428">IF($D428&lt;COLUMNS($F$7:AG$7),"",INDEX(TableDiv[[GASB]:[GASB]],_xlfn.AGGREGATE(15,3,(TableDiv[[Agency]:[Agency]]=$E428)/(TableDiv[[Agency]:[Agency]]=$E428)*(ROW(TableDiv[Agency])-ROW(TableDiv[[#Headers],[Agency]])),COLUMNS($F$7:AG$7))))</f>
        <v>0</v>
      </c>
      <c r="AH428" s="2223" cm="1">
        <f t="array" ref="AH428">IF($D428&lt;COLUMNS($F$7:AH$7),"",INDEX(TableDiv[[GASB]:[GASB]],_xlfn.AGGREGATE(15,3,(TableDiv[[Agency]:[Agency]]=$E428)/(TableDiv[[Agency]:[Agency]]=$E428)*(ROW(TableDiv[Agency])-ROW(TableDiv[[#Headers],[Agency]])),COLUMNS($F$7:AH$7))))</f>
        <v>0</v>
      </c>
      <c r="AI428" s="2223" cm="1">
        <f t="array" ref="AI428">IF($D428&lt;COLUMNS($F$7:AI$7),"",INDEX(TableDiv[[GASB]:[GASB]],_xlfn.AGGREGATE(15,3,(TableDiv[[Agency]:[Agency]]=$E428)/(TableDiv[[Agency]:[Agency]]=$E428)*(ROW(TableDiv[Agency])-ROW(TableDiv[[#Headers],[Agency]])),COLUMNS($F$7:AI$7))))</f>
        <v>0</v>
      </c>
      <c r="AJ428" s="2223" cm="1">
        <f t="array" ref="AJ428">IF($D428&lt;COLUMNS($F$7:AJ$7),"",INDEX(TableDiv[[GASB]:[GASB]],_xlfn.AGGREGATE(15,3,(TableDiv[[Agency]:[Agency]]=$E428)/(TableDiv[[Agency]:[Agency]]=$E428)*(ROW(TableDiv[Agency])-ROW(TableDiv[[#Headers],[Agency]])),COLUMNS($F$7:AJ$7))))</f>
        <v>0</v>
      </c>
      <c r="AK428" s="2223" t="str" cm="1">
        <f t="array" ref="AK428">IF($D428&lt;COLUMNS($F$7:AK$7),"",INDEX(TableDiv[[GASB]:[GASB]],_xlfn.AGGREGATE(15,3,(TableDiv[[Agency]:[Agency]]=$E428)/(TableDiv[[Agency]:[Agency]]=$E428)*(ROW(TableDiv[Agency])-ROW(TableDiv[[#Headers],[Agency]])),COLUMNS($F$7:AK$7))))</f>
        <v/>
      </c>
      <c r="AL428" s="2223" t="str" cm="1">
        <f t="array" ref="AL428">IF($D428&lt;COLUMNS($F$7:AL$7),"",INDEX(TableDiv[[GASB]:[GASB]],_xlfn.AGGREGATE(15,3,(TableDiv[[Agency]:[Agency]]=$E428)/(TableDiv[[Agency]:[Agency]]=$E428)*(ROW(TableDiv[Agency])-ROW(TableDiv[[#Headers],[Agency]])),COLUMNS($F$7:AL$7))))</f>
        <v/>
      </c>
      <c r="AM428" s="2223" t="str" cm="1">
        <f t="array" ref="AM428">IF($D428&lt;COLUMNS($F$7:AM$7),"",INDEX(TableDiv[[GASB]:[GASB]],_xlfn.AGGREGATE(15,3,(TableDiv[[Agency]:[Agency]]=$E428)/(TableDiv[[Agency]:[Agency]]=$E428)*(ROW(TableDiv[Agency])-ROW(TableDiv[[#Headers],[Agency]])),COLUMNS($F$7:AM$7))))</f>
        <v/>
      </c>
      <c r="AN428" s="2223"/>
      <c r="AO428" s="2223"/>
      <c r="AP428" s="2223"/>
      <c r="AQ428" s="2223"/>
      <c r="AR428" s="2223"/>
      <c r="AS428" s="2223"/>
    </row>
    <row r="429" spans="1:45" ht="15" x14ac:dyDescent="0.25">
      <c r="A429" s="2219" t="s">
        <v>5181</v>
      </c>
      <c r="B429" s="2219" t="s">
        <v>6543</v>
      </c>
      <c r="C429" s="2223"/>
      <c r="D429" s="2223">
        <f>COUNTIF(TableDiv[Agency],E429)</f>
        <v>31</v>
      </c>
      <c r="E429" s="2230" t="str" cm="1">
        <f t="array" ref="E429">IFERROR(INDEX(TableDiv[Agency],MATCH(0,INDEX(COUNTIF($E$7:E428,TableDiv[Agency]),),0)),"")</f>
        <v/>
      </c>
      <c r="F429" s="2223" cm="1">
        <f t="array" ref="F429">IF($D429&lt;COLUMNS($F$7:F$7),"",INDEX(TableDiv[[GASB]:[GASB]],_xlfn.AGGREGATE(15,3,(TableDiv[[Agency]:[Agency]]=$E429)/(TableDiv[[Agency]:[Agency]]=$E429)*(ROW(TableDiv[Agency])-ROW(TableDiv[[#Headers],[Agency]])),COLUMNS($F$7:F$7))))</f>
        <v>0</v>
      </c>
      <c r="G429" s="2223" cm="1">
        <f t="array" ref="G429">IF($D429&lt;COLUMNS($F$7:G$7),"",INDEX(TableDiv[[GASB]:[GASB]],_xlfn.AGGREGATE(15,3,(TableDiv[[Agency]:[Agency]]=$E429)/(TableDiv[[Agency]:[Agency]]=$E429)*(ROW(TableDiv[Agency])-ROW(TableDiv[[#Headers],[Agency]])),COLUMNS($F$7:G$7))))</f>
        <v>0</v>
      </c>
      <c r="H429" s="2223" cm="1">
        <f t="array" ref="H429">IF($D429&lt;COLUMNS($F$7:H$7),"",INDEX(TableDiv[[GASB]:[GASB]],_xlfn.AGGREGATE(15,3,(TableDiv[[Agency]:[Agency]]=$E429)/(TableDiv[[Agency]:[Agency]]=$E429)*(ROW(TableDiv[Agency])-ROW(TableDiv[[#Headers],[Agency]])),COLUMNS($F$7:H$7))))</f>
        <v>0</v>
      </c>
      <c r="I429" s="2223" cm="1">
        <f t="array" ref="I429">IF($D429&lt;COLUMNS($F$7:I$7),"",INDEX(TableDiv[[GASB]:[GASB]],_xlfn.AGGREGATE(15,3,(TableDiv[[Agency]:[Agency]]=$E429)/(TableDiv[[Agency]:[Agency]]=$E429)*(ROW(TableDiv[Agency])-ROW(TableDiv[[#Headers],[Agency]])),COLUMNS($F$7:I$7))))</f>
        <v>0</v>
      </c>
      <c r="J429" s="2223" cm="1">
        <f t="array" ref="J429">IF($D429&lt;COLUMNS($F$7:J$7),"",INDEX(TableDiv[[GASB]:[GASB]],_xlfn.AGGREGATE(15,3,(TableDiv[[Agency]:[Agency]]=$E429)/(TableDiv[[Agency]:[Agency]]=$E429)*(ROW(TableDiv[Agency])-ROW(TableDiv[[#Headers],[Agency]])),COLUMNS($F$7:J$7))))</f>
        <v>0</v>
      </c>
      <c r="K429" s="2223" cm="1">
        <f t="array" ref="K429">IF($D429&lt;COLUMNS($F$7:K$7),"",INDEX(TableDiv[[GASB]:[GASB]],_xlfn.AGGREGATE(15,3,(TableDiv[[Agency]:[Agency]]=$E429)/(TableDiv[[Agency]:[Agency]]=$E429)*(ROW(TableDiv[Agency])-ROW(TableDiv[[#Headers],[Agency]])),COLUMNS($F$7:K$7))))</f>
        <v>0</v>
      </c>
      <c r="L429" s="2223" cm="1">
        <f t="array" ref="L429">IF($D429&lt;COLUMNS($F$7:L$7),"",INDEX(TableDiv[[GASB]:[GASB]],_xlfn.AGGREGATE(15,3,(TableDiv[[Agency]:[Agency]]=$E429)/(TableDiv[[Agency]:[Agency]]=$E429)*(ROW(TableDiv[Agency])-ROW(TableDiv[[#Headers],[Agency]])),COLUMNS($F$7:L$7))))</f>
        <v>0</v>
      </c>
      <c r="M429" s="2223" cm="1">
        <f t="array" ref="M429">IF($D429&lt;COLUMNS($F$7:M$7),"",INDEX(TableDiv[[GASB]:[GASB]],_xlfn.AGGREGATE(15,3,(TableDiv[[Agency]:[Agency]]=$E429)/(TableDiv[[Agency]:[Agency]]=$E429)*(ROW(TableDiv[Agency])-ROW(TableDiv[[#Headers],[Agency]])),COLUMNS($F$7:M$7))))</f>
        <v>0</v>
      </c>
      <c r="N429" s="2223" cm="1">
        <f t="array" ref="N429">IF($D429&lt;COLUMNS($F$7:N$7),"",INDEX(TableDiv[[GASB]:[GASB]],_xlfn.AGGREGATE(15,3,(TableDiv[[Agency]:[Agency]]=$E429)/(TableDiv[[Agency]:[Agency]]=$E429)*(ROW(TableDiv[Agency])-ROW(TableDiv[[#Headers],[Agency]])),COLUMNS($F$7:N$7))))</f>
        <v>0</v>
      </c>
      <c r="O429" s="2223" cm="1">
        <f t="array" ref="O429">IF($D429&lt;COLUMNS($F$7:O$7),"",INDEX(TableDiv[[GASB]:[GASB]],_xlfn.AGGREGATE(15,3,(TableDiv[[Agency]:[Agency]]=$E429)/(TableDiv[[Agency]:[Agency]]=$E429)*(ROW(TableDiv[Agency])-ROW(TableDiv[[#Headers],[Agency]])),COLUMNS($F$7:O$7))))</f>
        <v>0</v>
      </c>
      <c r="P429" s="2223" cm="1">
        <f t="array" ref="P429">IF($D429&lt;COLUMNS($F$7:P$7),"",INDEX(TableDiv[[GASB]:[GASB]],_xlfn.AGGREGATE(15,3,(TableDiv[[Agency]:[Agency]]=$E429)/(TableDiv[[Agency]:[Agency]]=$E429)*(ROW(TableDiv[Agency])-ROW(TableDiv[[#Headers],[Agency]])),COLUMNS($F$7:P$7))))</f>
        <v>0</v>
      </c>
      <c r="Q429" s="2223" cm="1">
        <f t="array" ref="Q429">IF($D429&lt;COLUMNS($F$7:Q$7),"",INDEX(TableDiv[[GASB]:[GASB]],_xlfn.AGGREGATE(15,3,(TableDiv[[Agency]:[Agency]]=$E429)/(TableDiv[[Agency]:[Agency]]=$E429)*(ROW(TableDiv[Agency])-ROW(TableDiv[[#Headers],[Agency]])),COLUMNS($F$7:Q$7))))</f>
        <v>0</v>
      </c>
      <c r="R429" s="2223" cm="1">
        <f t="array" ref="R429">IF($D429&lt;COLUMNS($F$7:R$7),"",INDEX(TableDiv[[GASB]:[GASB]],_xlfn.AGGREGATE(15,3,(TableDiv[[Agency]:[Agency]]=$E429)/(TableDiv[[Agency]:[Agency]]=$E429)*(ROW(TableDiv[Agency])-ROW(TableDiv[[#Headers],[Agency]])),COLUMNS($F$7:R$7))))</f>
        <v>0</v>
      </c>
      <c r="S429" s="2223" cm="1">
        <f t="array" ref="S429">IF($D429&lt;COLUMNS($F$7:S$7),"",INDEX(TableDiv[[GASB]:[GASB]],_xlfn.AGGREGATE(15,3,(TableDiv[[Agency]:[Agency]]=$E429)/(TableDiv[[Agency]:[Agency]]=$E429)*(ROW(TableDiv[Agency])-ROW(TableDiv[[#Headers],[Agency]])),COLUMNS($F$7:S$7))))</f>
        <v>0</v>
      </c>
      <c r="T429" s="2223" cm="1">
        <f t="array" ref="T429">IF($D429&lt;COLUMNS($F$7:T$7),"",INDEX(TableDiv[[GASB]:[GASB]],_xlfn.AGGREGATE(15,3,(TableDiv[[Agency]:[Agency]]=$E429)/(TableDiv[[Agency]:[Agency]]=$E429)*(ROW(TableDiv[Agency])-ROW(TableDiv[[#Headers],[Agency]])),COLUMNS($F$7:T$7))))</f>
        <v>0</v>
      </c>
      <c r="U429" s="2223" cm="1">
        <f t="array" ref="U429">IF($D429&lt;COLUMNS($F$7:U$7),"",INDEX(TableDiv[[GASB]:[GASB]],_xlfn.AGGREGATE(15,3,(TableDiv[[Agency]:[Agency]]=$E429)/(TableDiv[[Agency]:[Agency]]=$E429)*(ROW(TableDiv[Agency])-ROW(TableDiv[[#Headers],[Agency]])),COLUMNS($F$7:U$7))))</f>
        <v>0</v>
      </c>
      <c r="V429" s="2223" cm="1">
        <f t="array" ref="V429">IF($D429&lt;COLUMNS($F$7:V$7),"",INDEX(TableDiv[[GASB]:[GASB]],_xlfn.AGGREGATE(15,3,(TableDiv[[Agency]:[Agency]]=$E429)/(TableDiv[[Agency]:[Agency]]=$E429)*(ROW(TableDiv[Agency])-ROW(TableDiv[[#Headers],[Agency]])),COLUMNS($F$7:V$7))))</f>
        <v>0</v>
      </c>
      <c r="W429" s="2223" cm="1">
        <f t="array" ref="W429">IF($D429&lt;COLUMNS($F$7:W$7),"",INDEX(TableDiv[[GASB]:[GASB]],_xlfn.AGGREGATE(15,3,(TableDiv[[Agency]:[Agency]]=$E429)/(TableDiv[[Agency]:[Agency]]=$E429)*(ROW(TableDiv[Agency])-ROW(TableDiv[[#Headers],[Agency]])),COLUMNS($F$7:W$7))))</f>
        <v>0</v>
      </c>
      <c r="X429" s="2223" cm="1">
        <f t="array" ref="X429">IF($D429&lt;COLUMNS($F$7:X$7),"",INDEX(TableDiv[[GASB]:[GASB]],_xlfn.AGGREGATE(15,3,(TableDiv[[Agency]:[Agency]]=$E429)/(TableDiv[[Agency]:[Agency]]=$E429)*(ROW(TableDiv[Agency])-ROW(TableDiv[[#Headers],[Agency]])),COLUMNS($F$7:X$7))))</f>
        <v>0</v>
      </c>
      <c r="Y429" s="2223" cm="1">
        <f t="array" ref="Y429">IF($D429&lt;COLUMNS($F$7:Y$7),"",INDEX(TableDiv[[GASB]:[GASB]],_xlfn.AGGREGATE(15,3,(TableDiv[[Agency]:[Agency]]=$E429)/(TableDiv[[Agency]:[Agency]]=$E429)*(ROW(TableDiv[Agency])-ROW(TableDiv[[#Headers],[Agency]])),COLUMNS($F$7:Y$7))))</f>
        <v>0</v>
      </c>
      <c r="Z429" s="2223" cm="1">
        <f t="array" ref="Z429">IF($D429&lt;COLUMNS($F$7:Z$7),"",INDEX(TableDiv[[GASB]:[GASB]],_xlfn.AGGREGATE(15,3,(TableDiv[[Agency]:[Agency]]=$E429)/(TableDiv[[Agency]:[Agency]]=$E429)*(ROW(TableDiv[Agency])-ROW(TableDiv[[#Headers],[Agency]])),COLUMNS($F$7:Z$7))))</f>
        <v>0</v>
      </c>
      <c r="AA429" s="2223" cm="1">
        <f t="array" ref="AA429">IF($D429&lt;COLUMNS($F$7:AA$7),"",INDEX(TableDiv[[GASB]:[GASB]],_xlfn.AGGREGATE(15,3,(TableDiv[[Agency]:[Agency]]=$E429)/(TableDiv[[Agency]:[Agency]]=$E429)*(ROW(TableDiv[Agency])-ROW(TableDiv[[#Headers],[Agency]])),COLUMNS($F$7:AA$7))))</f>
        <v>0</v>
      </c>
      <c r="AB429" s="2223" cm="1">
        <f t="array" ref="AB429">IF($D429&lt;COLUMNS($F$7:AB$7),"",INDEX(TableDiv[[GASB]:[GASB]],_xlfn.AGGREGATE(15,3,(TableDiv[[Agency]:[Agency]]=$E429)/(TableDiv[[Agency]:[Agency]]=$E429)*(ROW(TableDiv[Agency])-ROW(TableDiv[[#Headers],[Agency]])),COLUMNS($F$7:AB$7))))</f>
        <v>0</v>
      </c>
      <c r="AC429" s="2223" cm="1">
        <f t="array" ref="AC429">IF($D429&lt;COLUMNS($F$7:AC$7),"",INDEX(TableDiv[[GASB]:[GASB]],_xlfn.AGGREGATE(15,3,(TableDiv[[Agency]:[Agency]]=$E429)/(TableDiv[[Agency]:[Agency]]=$E429)*(ROW(TableDiv[Agency])-ROW(TableDiv[[#Headers],[Agency]])),COLUMNS($F$7:AC$7))))</f>
        <v>0</v>
      </c>
      <c r="AD429" s="2223" cm="1">
        <f t="array" ref="AD429">IF($D429&lt;COLUMNS($F$7:AD$7),"",INDEX(TableDiv[[GASB]:[GASB]],_xlfn.AGGREGATE(15,3,(TableDiv[[Agency]:[Agency]]=$E429)/(TableDiv[[Agency]:[Agency]]=$E429)*(ROW(TableDiv[Agency])-ROW(TableDiv[[#Headers],[Agency]])),COLUMNS($F$7:AD$7))))</f>
        <v>0</v>
      </c>
      <c r="AE429" s="2223" cm="1">
        <f t="array" ref="AE429">IF($D429&lt;COLUMNS($F$7:AE$7),"",INDEX(TableDiv[[GASB]:[GASB]],_xlfn.AGGREGATE(15,3,(TableDiv[[Agency]:[Agency]]=$E429)/(TableDiv[[Agency]:[Agency]]=$E429)*(ROW(TableDiv[Agency])-ROW(TableDiv[[#Headers],[Agency]])),COLUMNS($F$7:AE$7))))</f>
        <v>0</v>
      </c>
      <c r="AF429" s="2223" cm="1">
        <f t="array" ref="AF429">IF($D429&lt;COLUMNS($F$7:AF$7),"",INDEX(TableDiv[[GASB]:[GASB]],_xlfn.AGGREGATE(15,3,(TableDiv[[Agency]:[Agency]]=$E429)/(TableDiv[[Agency]:[Agency]]=$E429)*(ROW(TableDiv[Agency])-ROW(TableDiv[[#Headers],[Agency]])),COLUMNS($F$7:AF$7))))</f>
        <v>0</v>
      </c>
      <c r="AG429" s="2223" cm="1">
        <f t="array" ref="AG429">IF($D429&lt;COLUMNS($F$7:AG$7),"",INDEX(TableDiv[[GASB]:[GASB]],_xlfn.AGGREGATE(15,3,(TableDiv[[Agency]:[Agency]]=$E429)/(TableDiv[[Agency]:[Agency]]=$E429)*(ROW(TableDiv[Agency])-ROW(TableDiv[[#Headers],[Agency]])),COLUMNS($F$7:AG$7))))</f>
        <v>0</v>
      </c>
      <c r="AH429" s="2223" cm="1">
        <f t="array" ref="AH429">IF($D429&lt;COLUMNS($F$7:AH$7),"",INDEX(TableDiv[[GASB]:[GASB]],_xlfn.AGGREGATE(15,3,(TableDiv[[Agency]:[Agency]]=$E429)/(TableDiv[[Agency]:[Agency]]=$E429)*(ROW(TableDiv[Agency])-ROW(TableDiv[[#Headers],[Agency]])),COLUMNS($F$7:AH$7))))</f>
        <v>0</v>
      </c>
      <c r="AI429" s="2223" cm="1">
        <f t="array" ref="AI429">IF($D429&lt;COLUMNS($F$7:AI$7),"",INDEX(TableDiv[[GASB]:[GASB]],_xlfn.AGGREGATE(15,3,(TableDiv[[Agency]:[Agency]]=$E429)/(TableDiv[[Agency]:[Agency]]=$E429)*(ROW(TableDiv[Agency])-ROW(TableDiv[[#Headers],[Agency]])),COLUMNS($F$7:AI$7))))</f>
        <v>0</v>
      </c>
      <c r="AJ429" s="2223" cm="1">
        <f t="array" ref="AJ429">IF($D429&lt;COLUMNS($F$7:AJ$7),"",INDEX(TableDiv[[GASB]:[GASB]],_xlfn.AGGREGATE(15,3,(TableDiv[[Agency]:[Agency]]=$E429)/(TableDiv[[Agency]:[Agency]]=$E429)*(ROW(TableDiv[Agency])-ROW(TableDiv[[#Headers],[Agency]])),COLUMNS($F$7:AJ$7))))</f>
        <v>0</v>
      </c>
      <c r="AK429" s="2223" t="str" cm="1">
        <f t="array" ref="AK429">IF($D429&lt;COLUMNS($F$7:AK$7),"",INDEX(TableDiv[[GASB]:[GASB]],_xlfn.AGGREGATE(15,3,(TableDiv[[Agency]:[Agency]]=$E429)/(TableDiv[[Agency]:[Agency]]=$E429)*(ROW(TableDiv[Agency])-ROW(TableDiv[[#Headers],[Agency]])),COLUMNS($F$7:AK$7))))</f>
        <v/>
      </c>
      <c r="AL429" s="2223" t="str" cm="1">
        <f t="array" ref="AL429">IF($D429&lt;COLUMNS($F$7:AL$7),"",INDEX(TableDiv[[GASB]:[GASB]],_xlfn.AGGREGATE(15,3,(TableDiv[[Agency]:[Agency]]=$E429)/(TableDiv[[Agency]:[Agency]]=$E429)*(ROW(TableDiv[Agency])-ROW(TableDiv[[#Headers],[Agency]])),COLUMNS($F$7:AL$7))))</f>
        <v/>
      </c>
      <c r="AM429" s="2223" t="str" cm="1">
        <f t="array" ref="AM429">IF($D429&lt;COLUMNS($F$7:AM$7),"",INDEX(TableDiv[[GASB]:[GASB]],_xlfn.AGGREGATE(15,3,(TableDiv[[Agency]:[Agency]]=$E429)/(TableDiv[[Agency]:[Agency]]=$E429)*(ROW(TableDiv[Agency])-ROW(TableDiv[[#Headers],[Agency]])),COLUMNS($F$7:AM$7))))</f>
        <v/>
      </c>
      <c r="AN429" s="2223"/>
      <c r="AO429" s="2223"/>
      <c r="AP429" s="2223"/>
      <c r="AQ429" s="2223"/>
      <c r="AR429" s="2223"/>
      <c r="AS429" s="2223"/>
    </row>
    <row r="430" spans="1:45" ht="15" x14ac:dyDescent="0.25">
      <c r="A430" s="2219" t="s">
        <v>5183</v>
      </c>
      <c r="B430" s="2219" t="s">
        <v>6543</v>
      </c>
      <c r="C430" s="2223"/>
      <c r="D430" s="2223">
        <f>COUNTIF(TableDiv[Agency],E430)</f>
        <v>31</v>
      </c>
      <c r="E430" s="2230" t="str" cm="1">
        <f t="array" ref="E430">IFERROR(INDEX(TableDiv[Agency],MATCH(0,INDEX(COUNTIF($E$7:E429,TableDiv[Agency]),),0)),"")</f>
        <v/>
      </c>
      <c r="F430" s="2223" cm="1">
        <f t="array" ref="F430">IF($D430&lt;COLUMNS($F$7:F$7),"",INDEX(TableDiv[[GASB]:[GASB]],_xlfn.AGGREGATE(15,3,(TableDiv[[Agency]:[Agency]]=$E430)/(TableDiv[[Agency]:[Agency]]=$E430)*(ROW(TableDiv[Agency])-ROW(TableDiv[[#Headers],[Agency]])),COLUMNS($F$7:F$7))))</f>
        <v>0</v>
      </c>
      <c r="G430" s="2223" cm="1">
        <f t="array" ref="G430">IF($D430&lt;COLUMNS($F$7:G$7),"",INDEX(TableDiv[[GASB]:[GASB]],_xlfn.AGGREGATE(15,3,(TableDiv[[Agency]:[Agency]]=$E430)/(TableDiv[[Agency]:[Agency]]=$E430)*(ROW(TableDiv[Agency])-ROW(TableDiv[[#Headers],[Agency]])),COLUMNS($F$7:G$7))))</f>
        <v>0</v>
      </c>
      <c r="H430" s="2223" cm="1">
        <f t="array" ref="H430">IF($D430&lt;COLUMNS($F$7:H$7),"",INDEX(TableDiv[[GASB]:[GASB]],_xlfn.AGGREGATE(15,3,(TableDiv[[Agency]:[Agency]]=$E430)/(TableDiv[[Agency]:[Agency]]=$E430)*(ROW(TableDiv[Agency])-ROW(TableDiv[[#Headers],[Agency]])),COLUMNS($F$7:H$7))))</f>
        <v>0</v>
      </c>
      <c r="I430" s="2223" cm="1">
        <f t="array" ref="I430">IF($D430&lt;COLUMNS($F$7:I$7),"",INDEX(TableDiv[[GASB]:[GASB]],_xlfn.AGGREGATE(15,3,(TableDiv[[Agency]:[Agency]]=$E430)/(TableDiv[[Agency]:[Agency]]=$E430)*(ROW(TableDiv[Agency])-ROW(TableDiv[[#Headers],[Agency]])),COLUMNS($F$7:I$7))))</f>
        <v>0</v>
      </c>
      <c r="J430" s="2223" cm="1">
        <f t="array" ref="J430">IF($D430&lt;COLUMNS($F$7:J$7),"",INDEX(TableDiv[[GASB]:[GASB]],_xlfn.AGGREGATE(15,3,(TableDiv[[Agency]:[Agency]]=$E430)/(TableDiv[[Agency]:[Agency]]=$E430)*(ROW(TableDiv[Agency])-ROW(TableDiv[[#Headers],[Agency]])),COLUMNS($F$7:J$7))))</f>
        <v>0</v>
      </c>
      <c r="K430" s="2223" cm="1">
        <f t="array" ref="K430">IF($D430&lt;COLUMNS($F$7:K$7),"",INDEX(TableDiv[[GASB]:[GASB]],_xlfn.AGGREGATE(15,3,(TableDiv[[Agency]:[Agency]]=$E430)/(TableDiv[[Agency]:[Agency]]=$E430)*(ROW(TableDiv[Agency])-ROW(TableDiv[[#Headers],[Agency]])),COLUMNS($F$7:K$7))))</f>
        <v>0</v>
      </c>
      <c r="L430" s="2223" cm="1">
        <f t="array" ref="L430">IF($D430&lt;COLUMNS($F$7:L$7),"",INDEX(TableDiv[[GASB]:[GASB]],_xlfn.AGGREGATE(15,3,(TableDiv[[Agency]:[Agency]]=$E430)/(TableDiv[[Agency]:[Agency]]=$E430)*(ROW(TableDiv[Agency])-ROW(TableDiv[[#Headers],[Agency]])),COLUMNS($F$7:L$7))))</f>
        <v>0</v>
      </c>
      <c r="M430" s="2223" cm="1">
        <f t="array" ref="M430">IF($D430&lt;COLUMNS($F$7:M$7),"",INDEX(TableDiv[[GASB]:[GASB]],_xlfn.AGGREGATE(15,3,(TableDiv[[Agency]:[Agency]]=$E430)/(TableDiv[[Agency]:[Agency]]=$E430)*(ROW(TableDiv[Agency])-ROW(TableDiv[[#Headers],[Agency]])),COLUMNS($F$7:M$7))))</f>
        <v>0</v>
      </c>
      <c r="N430" s="2223" cm="1">
        <f t="array" ref="N430">IF($D430&lt;COLUMNS($F$7:N$7),"",INDEX(TableDiv[[GASB]:[GASB]],_xlfn.AGGREGATE(15,3,(TableDiv[[Agency]:[Agency]]=$E430)/(TableDiv[[Agency]:[Agency]]=$E430)*(ROW(TableDiv[Agency])-ROW(TableDiv[[#Headers],[Agency]])),COLUMNS($F$7:N$7))))</f>
        <v>0</v>
      </c>
      <c r="O430" s="2223" cm="1">
        <f t="array" ref="O430">IF($D430&lt;COLUMNS($F$7:O$7),"",INDEX(TableDiv[[GASB]:[GASB]],_xlfn.AGGREGATE(15,3,(TableDiv[[Agency]:[Agency]]=$E430)/(TableDiv[[Agency]:[Agency]]=$E430)*(ROW(TableDiv[Agency])-ROW(TableDiv[[#Headers],[Agency]])),COLUMNS($F$7:O$7))))</f>
        <v>0</v>
      </c>
      <c r="P430" s="2223" cm="1">
        <f t="array" ref="P430">IF($D430&lt;COLUMNS($F$7:P$7),"",INDEX(TableDiv[[GASB]:[GASB]],_xlfn.AGGREGATE(15,3,(TableDiv[[Agency]:[Agency]]=$E430)/(TableDiv[[Agency]:[Agency]]=$E430)*(ROW(TableDiv[Agency])-ROW(TableDiv[[#Headers],[Agency]])),COLUMNS($F$7:P$7))))</f>
        <v>0</v>
      </c>
      <c r="Q430" s="2223" cm="1">
        <f t="array" ref="Q430">IF($D430&lt;COLUMNS($F$7:Q$7),"",INDEX(TableDiv[[GASB]:[GASB]],_xlfn.AGGREGATE(15,3,(TableDiv[[Agency]:[Agency]]=$E430)/(TableDiv[[Agency]:[Agency]]=$E430)*(ROW(TableDiv[Agency])-ROW(TableDiv[[#Headers],[Agency]])),COLUMNS($F$7:Q$7))))</f>
        <v>0</v>
      </c>
      <c r="R430" s="2223" cm="1">
        <f t="array" ref="R430">IF($D430&lt;COLUMNS($F$7:R$7),"",INDEX(TableDiv[[GASB]:[GASB]],_xlfn.AGGREGATE(15,3,(TableDiv[[Agency]:[Agency]]=$E430)/(TableDiv[[Agency]:[Agency]]=$E430)*(ROW(TableDiv[Agency])-ROW(TableDiv[[#Headers],[Agency]])),COLUMNS($F$7:R$7))))</f>
        <v>0</v>
      </c>
      <c r="S430" s="2223" cm="1">
        <f t="array" ref="S430">IF($D430&lt;COLUMNS($F$7:S$7),"",INDEX(TableDiv[[GASB]:[GASB]],_xlfn.AGGREGATE(15,3,(TableDiv[[Agency]:[Agency]]=$E430)/(TableDiv[[Agency]:[Agency]]=$E430)*(ROW(TableDiv[Agency])-ROW(TableDiv[[#Headers],[Agency]])),COLUMNS($F$7:S$7))))</f>
        <v>0</v>
      </c>
      <c r="T430" s="2223" cm="1">
        <f t="array" ref="T430">IF($D430&lt;COLUMNS($F$7:T$7),"",INDEX(TableDiv[[GASB]:[GASB]],_xlfn.AGGREGATE(15,3,(TableDiv[[Agency]:[Agency]]=$E430)/(TableDiv[[Agency]:[Agency]]=$E430)*(ROW(TableDiv[Agency])-ROW(TableDiv[[#Headers],[Agency]])),COLUMNS($F$7:T$7))))</f>
        <v>0</v>
      </c>
      <c r="U430" s="2223" cm="1">
        <f t="array" ref="U430">IF($D430&lt;COLUMNS($F$7:U$7),"",INDEX(TableDiv[[GASB]:[GASB]],_xlfn.AGGREGATE(15,3,(TableDiv[[Agency]:[Agency]]=$E430)/(TableDiv[[Agency]:[Agency]]=$E430)*(ROW(TableDiv[Agency])-ROW(TableDiv[[#Headers],[Agency]])),COLUMNS($F$7:U$7))))</f>
        <v>0</v>
      </c>
      <c r="V430" s="2223" cm="1">
        <f t="array" ref="V430">IF($D430&lt;COLUMNS($F$7:V$7),"",INDEX(TableDiv[[GASB]:[GASB]],_xlfn.AGGREGATE(15,3,(TableDiv[[Agency]:[Agency]]=$E430)/(TableDiv[[Agency]:[Agency]]=$E430)*(ROW(TableDiv[Agency])-ROW(TableDiv[[#Headers],[Agency]])),COLUMNS($F$7:V$7))))</f>
        <v>0</v>
      </c>
      <c r="W430" s="2223" cm="1">
        <f t="array" ref="W430">IF($D430&lt;COLUMNS($F$7:W$7),"",INDEX(TableDiv[[GASB]:[GASB]],_xlfn.AGGREGATE(15,3,(TableDiv[[Agency]:[Agency]]=$E430)/(TableDiv[[Agency]:[Agency]]=$E430)*(ROW(TableDiv[Agency])-ROW(TableDiv[[#Headers],[Agency]])),COLUMNS($F$7:W$7))))</f>
        <v>0</v>
      </c>
      <c r="X430" s="2223" cm="1">
        <f t="array" ref="X430">IF($D430&lt;COLUMNS($F$7:X$7),"",INDEX(TableDiv[[GASB]:[GASB]],_xlfn.AGGREGATE(15,3,(TableDiv[[Agency]:[Agency]]=$E430)/(TableDiv[[Agency]:[Agency]]=$E430)*(ROW(TableDiv[Agency])-ROW(TableDiv[[#Headers],[Agency]])),COLUMNS($F$7:X$7))))</f>
        <v>0</v>
      </c>
      <c r="Y430" s="2223" cm="1">
        <f t="array" ref="Y430">IF($D430&lt;COLUMNS($F$7:Y$7),"",INDEX(TableDiv[[GASB]:[GASB]],_xlfn.AGGREGATE(15,3,(TableDiv[[Agency]:[Agency]]=$E430)/(TableDiv[[Agency]:[Agency]]=$E430)*(ROW(TableDiv[Agency])-ROW(TableDiv[[#Headers],[Agency]])),COLUMNS($F$7:Y$7))))</f>
        <v>0</v>
      </c>
      <c r="Z430" s="2223" cm="1">
        <f t="array" ref="Z430">IF($D430&lt;COLUMNS($F$7:Z$7),"",INDEX(TableDiv[[GASB]:[GASB]],_xlfn.AGGREGATE(15,3,(TableDiv[[Agency]:[Agency]]=$E430)/(TableDiv[[Agency]:[Agency]]=$E430)*(ROW(TableDiv[Agency])-ROW(TableDiv[[#Headers],[Agency]])),COLUMNS($F$7:Z$7))))</f>
        <v>0</v>
      </c>
      <c r="AA430" s="2223" cm="1">
        <f t="array" ref="AA430">IF($D430&lt;COLUMNS($F$7:AA$7),"",INDEX(TableDiv[[GASB]:[GASB]],_xlfn.AGGREGATE(15,3,(TableDiv[[Agency]:[Agency]]=$E430)/(TableDiv[[Agency]:[Agency]]=$E430)*(ROW(TableDiv[Agency])-ROW(TableDiv[[#Headers],[Agency]])),COLUMNS($F$7:AA$7))))</f>
        <v>0</v>
      </c>
      <c r="AB430" s="2223" cm="1">
        <f t="array" ref="AB430">IF($D430&lt;COLUMNS($F$7:AB$7),"",INDEX(TableDiv[[GASB]:[GASB]],_xlfn.AGGREGATE(15,3,(TableDiv[[Agency]:[Agency]]=$E430)/(TableDiv[[Agency]:[Agency]]=$E430)*(ROW(TableDiv[Agency])-ROW(TableDiv[[#Headers],[Agency]])),COLUMNS($F$7:AB$7))))</f>
        <v>0</v>
      </c>
      <c r="AC430" s="2223" cm="1">
        <f t="array" ref="AC430">IF($D430&lt;COLUMNS($F$7:AC$7),"",INDEX(TableDiv[[GASB]:[GASB]],_xlfn.AGGREGATE(15,3,(TableDiv[[Agency]:[Agency]]=$E430)/(TableDiv[[Agency]:[Agency]]=$E430)*(ROW(TableDiv[Agency])-ROW(TableDiv[[#Headers],[Agency]])),COLUMNS($F$7:AC$7))))</f>
        <v>0</v>
      </c>
      <c r="AD430" s="2223" cm="1">
        <f t="array" ref="AD430">IF($D430&lt;COLUMNS($F$7:AD$7),"",INDEX(TableDiv[[GASB]:[GASB]],_xlfn.AGGREGATE(15,3,(TableDiv[[Agency]:[Agency]]=$E430)/(TableDiv[[Agency]:[Agency]]=$E430)*(ROW(TableDiv[Agency])-ROW(TableDiv[[#Headers],[Agency]])),COLUMNS($F$7:AD$7))))</f>
        <v>0</v>
      </c>
      <c r="AE430" s="2223" cm="1">
        <f t="array" ref="AE430">IF($D430&lt;COLUMNS($F$7:AE$7),"",INDEX(TableDiv[[GASB]:[GASB]],_xlfn.AGGREGATE(15,3,(TableDiv[[Agency]:[Agency]]=$E430)/(TableDiv[[Agency]:[Agency]]=$E430)*(ROW(TableDiv[Agency])-ROW(TableDiv[[#Headers],[Agency]])),COLUMNS($F$7:AE$7))))</f>
        <v>0</v>
      </c>
      <c r="AF430" s="2223" cm="1">
        <f t="array" ref="AF430">IF($D430&lt;COLUMNS($F$7:AF$7),"",INDEX(TableDiv[[GASB]:[GASB]],_xlfn.AGGREGATE(15,3,(TableDiv[[Agency]:[Agency]]=$E430)/(TableDiv[[Agency]:[Agency]]=$E430)*(ROW(TableDiv[Agency])-ROW(TableDiv[[#Headers],[Agency]])),COLUMNS($F$7:AF$7))))</f>
        <v>0</v>
      </c>
      <c r="AG430" s="2223" cm="1">
        <f t="array" ref="AG430">IF($D430&lt;COLUMNS($F$7:AG$7),"",INDEX(TableDiv[[GASB]:[GASB]],_xlfn.AGGREGATE(15,3,(TableDiv[[Agency]:[Agency]]=$E430)/(TableDiv[[Agency]:[Agency]]=$E430)*(ROW(TableDiv[Agency])-ROW(TableDiv[[#Headers],[Agency]])),COLUMNS($F$7:AG$7))))</f>
        <v>0</v>
      </c>
      <c r="AH430" s="2223" cm="1">
        <f t="array" ref="AH430">IF($D430&lt;COLUMNS($F$7:AH$7),"",INDEX(TableDiv[[GASB]:[GASB]],_xlfn.AGGREGATE(15,3,(TableDiv[[Agency]:[Agency]]=$E430)/(TableDiv[[Agency]:[Agency]]=$E430)*(ROW(TableDiv[Agency])-ROW(TableDiv[[#Headers],[Agency]])),COLUMNS($F$7:AH$7))))</f>
        <v>0</v>
      </c>
      <c r="AI430" s="2223" cm="1">
        <f t="array" ref="AI430">IF($D430&lt;COLUMNS($F$7:AI$7),"",INDEX(TableDiv[[GASB]:[GASB]],_xlfn.AGGREGATE(15,3,(TableDiv[[Agency]:[Agency]]=$E430)/(TableDiv[[Agency]:[Agency]]=$E430)*(ROW(TableDiv[Agency])-ROW(TableDiv[[#Headers],[Agency]])),COLUMNS($F$7:AI$7))))</f>
        <v>0</v>
      </c>
      <c r="AJ430" s="2223" cm="1">
        <f t="array" ref="AJ430">IF($D430&lt;COLUMNS($F$7:AJ$7),"",INDEX(TableDiv[[GASB]:[GASB]],_xlfn.AGGREGATE(15,3,(TableDiv[[Agency]:[Agency]]=$E430)/(TableDiv[[Agency]:[Agency]]=$E430)*(ROW(TableDiv[Agency])-ROW(TableDiv[[#Headers],[Agency]])),COLUMNS($F$7:AJ$7))))</f>
        <v>0</v>
      </c>
      <c r="AK430" s="2223" t="str" cm="1">
        <f t="array" ref="AK430">IF($D430&lt;COLUMNS($F$7:AK$7),"",INDEX(TableDiv[[GASB]:[GASB]],_xlfn.AGGREGATE(15,3,(TableDiv[[Agency]:[Agency]]=$E430)/(TableDiv[[Agency]:[Agency]]=$E430)*(ROW(TableDiv[Agency])-ROW(TableDiv[[#Headers],[Agency]])),COLUMNS($F$7:AK$7))))</f>
        <v/>
      </c>
      <c r="AL430" s="2223" t="str" cm="1">
        <f t="array" ref="AL430">IF($D430&lt;COLUMNS($F$7:AL$7),"",INDEX(TableDiv[[GASB]:[GASB]],_xlfn.AGGREGATE(15,3,(TableDiv[[Agency]:[Agency]]=$E430)/(TableDiv[[Agency]:[Agency]]=$E430)*(ROW(TableDiv[Agency])-ROW(TableDiv[[#Headers],[Agency]])),COLUMNS($F$7:AL$7))))</f>
        <v/>
      </c>
      <c r="AM430" s="2223" t="str" cm="1">
        <f t="array" ref="AM430">IF($D430&lt;COLUMNS($F$7:AM$7),"",INDEX(TableDiv[[GASB]:[GASB]],_xlfn.AGGREGATE(15,3,(TableDiv[[Agency]:[Agency]]=$E430)/(TableDiv[[Agency]:[Agency]]=$E430)*(ROW(TableDiv[Agency])-ROW(TableDiv[[#Headers],[Agency]])),COLUMNS($F$7:AM$7))))</f>
        <v/>
      </c>
      <c r="AN430" s="2223"/>
      <c r="AO430" s="2223"/>
      <c r="AP430" s="2223"/>
      <c r="AQ430" s="2223"/>
      <c r="AR430" s="2223"/>
      <c r="AS430" s="2223"/>
    </row>
    <row r="431" spans="1:45" ht="15" x14ac:dyDescent="0.25">
      <c r="A431" s="2219" t="s">
        <v>5185</v>
      </c>
      <c r="B431" s="2219" t="s">
        <v>6543</v>
      </c>
      <c r="C431" s="2223"/>
      <c r="D431" s="2223">
        <f>COUNTIF(TableDiv[Agency],E431)</f>
        <v>31</v>
      </c>
      <c r="E431" s="2230" t="str" cm="1">
        <f t="array" ref="E431">IFERROR(INDEX(TableDiv[Agency],MATCH(0,INDEX(COUNTIF($E$7:E430,TableDiv[Agency]),),0)),"")</f>
        <v/>
      </c>
      <c r="F431" s="2223" cm="1">
        <f t="array" ref="F431">IF($D431&lt;COLUMNS($F$7:F$7),"",INDEX(TableDiv[[GASB]:[GASB]],_xlfn.AGGREGATE(15,3,(TableDiv[[Agency]:[Agency]]=$E431)/(TableDiv[[Agency]:[Agency]]=$E431)*(ROW(TableDiv[Agency])-ROW(TableDiv[[#Headers],[Agency]])),COLUMNS($F$7:F$7))))</f>
        <v>0</v>
      </c>
      <c r="G431" s="2223" cm="1">
        <f t="array" ref="G431">IF($D431&lt;COLUMNS($F$7:G$7),"",INDEX(TableDiv[[GASB]:[GASB]],_xlfn.AGGREGATE(15,3,(TableDiv[[Agency]:[Agency]]=$E431)/(TableDiv[[Agency]:[Agency]]=$E431)*(ROW(TableDiv[Agency])-ROW(TableDiv[[#Headers],[Agency]])),COLUMNS($F$7:G$7))))</f>
        <v>0</v>
      </c>
      <c r="H431" s="2223" cm="1">
        <f t="array" ref="H431">IF($D431&lt;COLUMNS($F$7:H$7),"",INDEX(TableDiv[[GASB]:[GASB]],_xlfn.AGGREGATE(15,3,(TableDiv[[Agency]:[Agency]]=$E431)/(TableDiv[[Agency]:[Agency]]=$E431)*(ROW(TableDiv[Agency])-ROW(TableDiv[[#Headers],[Agency]])),COLUMNS($F$7:H$7))))</f>
        <v>0</v>
      </c>
      <c r="I431" s="2223" cm="1">
        <f t="array" ref="I431">IF($D431&lt;COLUMNS($F$7:I$7),"",INDEX(TableDiv[[GASB]:[GASB]],_xlfn.AGGREGATE(15,3,(TableDiv[[Agency]:[Agency]]=$E431)/(TableDiv[[Agency]:[Agency]]=$E431)*(ROW(TableDiv[Agency])-ROW(TableDiv[[#Headers],[Agency]])),COLUMNS($F$7:I$7))))</f>
        <v>0</v>
      </c>
      <c r="J431" s="2223" cm="1">
        <f t="array" ref="J431">IF($D431&lt;COLUMNS($F$7:J$7),"",INDEX(TableDiv[[GASB]:[GASB]],_xlfn.AGGREGATE(15,3,(TableDiv[[Agency]:[Agency]]=$E431)/(TableDiv[[Agency]:[Agency]]=$E431)*(ROW(TableDiv[Agency])-ROW(TableDiv[[#Headers],[Agency]])),COLUMNS($F$7:J$7))))</f>
        <v>0</v>
      </c>
      <c r="K431" s="2223" cm="1">
        <f t="array" ref="K431">IF($D431&lt;COLUMNS($F$7:K$7),"",INDEX(TableDiv[[GASB]:[GASB]],_xlfn.AGGREGATE(15,3,(TableDiv[[Agency]:[Agency]]=$E431)/(TableDiv[[Agency]:[Agency]]=$E431)*(ROW(TableDiv[Agency])-ROW(TableDiv[[#Headers],[Agency]])),COLUMNS($F$7:K$7))))</f>
        <v>0</v>
      </c>
      <c r="L431" s="2223" cm="1">
        <f t="array" ref="L431">IF($D431&lt;COLUMNS($F$7:L$7),"",INDEX(TableDiv[[GASB]:[GASB]],_xlfn.AGGREGATE(15,3,(TableDiv[[Agency]:[Agency]]=$E431)/(TableDiv[[Agency]:[Agency]]=$E431)*(ROW(TableDiv[Agency])-ROW(TableDiv[[#Headers],[Agency]])),COLUMNS($F$7:L$7))))</f>
        <v>0</v>
      </c>
      <c r="M431" s="2223" cm="1">
        <f t="array" ref="M431">IF($D431&lt;COLUMNS($F$7:M$7),"",INDEX(TableDiv[[GASB]:[GASB]],_xlfn.AGGREGATE(15,3,(TableDiv[[Agency]:[Agency]]=$E431)/(TableDiv[[Agency]:[Agency]]=$E431)*(ROW(TableDiv[Agency])-ROW(TableDiv[[#Headers],[Agency]])),COLUMNS($F$7:M$7))))</f>
        <v>0</v>
      </c>
      <c r="N431" s="2223" cm="1">
        <f t="array" ref="N431">IF($D431&lt;COLUMNS($F$7:N$7),"",INDEX(TableDiv[[GASB]:[GASB]],_xlfn.AGGREGATE(15,3,(TableDiv[[Agency]:[Agency]]=$E431)/(TableDiv[[Agency]:[Agency]]=$E431)*(ROW(TableDiv[Agency])-ROW(TableDiv[[#Headers],[Agency]])),COLUMNS($F$7:N$7))))</f>
        <v>0</v>
      </c>
      <c r="O431" s="2223" cm="1">
        <f t="array" ref="O431">IF($D431&lt;COLUMNS($F$7:O$7),"",INDEX(TableDiv[[GASB]:[GASB]],_xlfn.AGGREGATE(15,3,(TableDiv[[Agency]:[Agency]]=$E431)/(TableDiv[[Agency]:[Agency]]=$E431)*(ROW(TableDiv[Agency])-ROW(TableDiv[[#Headers],[Agency]])),COLUMNS($F$7:O$7))))</f>
        <v>0</v>
      </c>
      <c r="P431" s="2223" cm="1">
        <f t="array" ref="P431">IF($D431&lt;COLUMNS($F$7:P$7),"",INDEX(TableDiv[[GASB]:[GASB]],_xlfn.AGGREGATE(15,3,(TableDiv[[Agency]:[Agency]]=$E431)/(TableDiv[[Agency]:[Agency]]=$E431)*(ROW(TableDiv[Agency])-ROW(TableDiv[[#Headers],[Agency]])),COLUMNS($F$7:P$7))))</f>
        <v>0</v>
      </c>
      <c r="Q431" s="2223" cm="1">
        <f t="array" ref="Q431">IF($D431&lt;COLUMNS($F$7:Q$7),"",INDEX(TableDiv[[GASB]:[GASB]],_xlfn.AGGREGATE(15,3,(TableDiv[[Agency]:[Agency]]=$E431)/(TableDiv[[Agency]:[Agency]]=$E431)*(ROW(TableDiv[Agency])-ROW(TableDiv[[#Headers],[Agency]])),COLUMNS($F$7:Q$7))))</f>
        <v>0</v>
      </c>
      <c r="R431" s="2223" cm="1">
        <f t="array" ref="R431">IF($D431&lt;COLUMNS($F$7:R$7),"",INDEX(TableDiv[[GASB]:[GASB]],_xlfn.AGGREGATE(15,3,(TableDiv[[Agency]:[Agency]]=$E431)/(TableDiv[[Agency]:[Agency]]=$E431)*(ROW(TableDiv[Agency])-ROW(TableDiv[[#Headers],[Agency]])),COLUMNS($F$7:R$7))))</f>
        <v>0</v>
      </c>
      <c r="S431" s="2223" cm="1">
        <f t="array" ref="S431">IF($D431&lt;COLUMNS($F$7:S$7),"",INDEX(TableDiv[[GASB]:[GASB]],_xlfn.AGGREGATE(15,3,(TableDiv[[Agency]:[Agency]]=$E431)/(TableDiv[[Agency]:[Agency]]=$E431)*(ROW(TableDiv[Agency])-ROW(TableDiv[[#Headers],[Agency]])),COLUMNS($F$7:S$7))))</f>
        <v>0</v>
      </c>
      <c r="T431" s="2223" cm="1">
        <f t="array" ref="T431">IF($D431&lt;COLUMNS($F$7:T$7),"",INDEX(TableDiv[[GASB]:[GASB]],_xlfn.AGGREGATE(15,3,(TableDiv[[Agency]:[Agency]]=$E431)/(TableDiv[[Agency]:[Agency]]=$E431)*(ROW(TableDiv[Agency])-ROW(TableDiv[[#Headers],[Agency]])),COLUMNS($F$7:T$7))))</f>
        <v>0</v>
      </c>
      <c r="U431" s="2223" cm="1">
        <f t="array" ref="U431">IF($D431&lt;COLUMNS($F$7:U$7),"",INDEX(TableDiv[[GASB]:[GASB]],_xlfn.AGGREGATE(15,3,(TableDiv[[Agency]:[Agency]]=$E431)/(TableDiv[[Agency]:[Agency]]=$E431)*(ROW(TableDiv[Agency])-ROW(TableDiv[[#Headers],[Agency]])),COLUMNS($F$7:U$7))))</f>
        <v>0</v>
      </c>
      <c r="V431" s="2223" cm="1">
        <f t="array" ref="V431">IF($D431&lt;COLUMNS($F$7:V$7),"",INDEX(TableDiv[[GASB]:[GASB]],_xlfn.AGGREGATE(15,3,(TableDiv[[Agency]:[Agency]]=$E431)/(TableDiv[[Agency]:[Agency]]=$E431)*(ROW(TableDiv[Agency])-ROW(TableDiv[[#Headers],[Agency]])),COLUMNS($F$7:V$7))))</f>
        <v>0</v>
      </c>
      <c r="W431" s="2223" cm="1">
        <f t="array" ref="W431">IF($D431&lt;COLUMNS($F$7:W$7),"",INDEX(TableDiv[[GASB]:[GASB]],_xlfn.AGGREGATE(15,3,(TableDiv[[Agency]:[Agency]]=$E431)/(TableDiv[[Agency]:[Agency]]=$E431)*(ROW(TableDiv[Agency])-ROW(TableDiv[[#Headers],[Agency]])),COLUMNS($F$7:W$7))))</f>
        <v>0</v>
      </c>
      <c r="X431" s="2223" cm="1">
        <f t="array" ref="X431">IF($D431&lt;COLUMNS($F$7:X$7),"",INDEX(TableDiv[[GASB]:[GASB]],_xlfn.AGGREGATE(15,3,(TableDiv[[Agency]:[Agency]]=$E431)/(TableDiv[[Agency]:[Agency]]=$E431)*(ROW(TableDiv[Agency])-ROW(TableDiv[[#Headers],[Agency]])),COLUMNS($F$7:X$7))))</f>
        <v>0</v>
      </c>
      <c r="Y431" s="2223" cm="1">
        <f t="array" ref="Y431">IF($D431&lt;COLUMNS($F$7:Y$7),"",INDEX(TableDiv[[GASB]:[GASB]],_xlfn.AGGREGATE(15,3,(TableDiv[[Agency]:[Agency]]=$E431)/(TableDiv[[Agency]:[Agency]]=$E431)*(ROW(TableDiv[Agency])-ROW(TableDiv[[#Headers],[Agency]])),COLUMNS($F$7:Y$7))))</f>
        <v>0</v>
      </c>
      <c r="Z431" s="2223" cm="1">
        <f t="array" ref="Z431">IF($D431&lt;COLUMNS($F$7:Z$7),"",INDEX(TableDiv[[GASB]:[GASB]],_xlfn.AGGREGATE(15,3,(TableDiv[[Agency]:[Agency]]=$E431)/(TableDiv[[Agency]:[Agency]]=$E431)*(ROW(TableDiv[Agency])-ROW(TableDiv[[#Headers],[Agency]])),COLUMNS($F$7:Z$7))))</f>
        <v>0</v>
      </c>
      <c r="AA431" s="2223" cm="1">
        <f t="array" ref="AA431">IF($D431&lt;COLUMNS($F$7:AA$7),"",INDEX(TableDiv[[GASB]:[GASB]],_xlfn.AGGREGATE(15,3,(TableDiv[[Agency]:[Agency]]=$E431)/(TableDiv[[Agency]:[Agency]]=$E431)*(ROW(TableDiv[Agency])-ROW(TableDiv[[#Headers],[Agency]])),COLUMNS($F$7:AA$7))))</f>
        <v>0</v>
      </c>
      <c r="AB431" s="2223" cm="1">
        <f t="array" ref="AB431">IF($D431&lt;COLUMNS($F$7:AB$7),"",INDEX(TableDiv[[GASB]:[GASB]],_xlfn.AGGREGATE(15,3,(TableDiv[[Agency]:[Agency]]=$E431)/(TableDiv[[Agency]:[Agency]]=$E431)*(ROW(TableDiv[Agency])-ROW(TableDiv[[#Headers],[Agency]])),COLUMNS($F$7:AB$7))))</f>
        <v>0</v>
      </c>
      <c r="AC431" s="2223" cm="1">
        <f t="array" ref="AC431">IF($D431&lt;COLUMNS($F$7:AC$7),"",INDEX(TableDiv[[GASB]:[GASB]],_xlfn.AGGREGATE(15,3,(TableDiv[[Agency]:[Agency]]=$E431)/(TableDiv[[Agency]:[Agency]]=$E431)*(ROW(TableDiv[Agency])-ROW(TableDiv[[#Headers],[Agency]])),COLUMNS($F$7:AC$7))))</f>
        <v>0</v>
      </c>
      <c r="AD431" s="2223" cm="1">
        <f t="array" ref="AD431">IF($D431&lt;COLUMNS($F$7:AD$7),"",INDEX(TableDiv[[GASB]:[GASB]],_xlfn.AGGREGATE(15,3,(TableDiv[[Agency]:[Agency]]=$E431)/(TableDiv[[Agency]:[Agency]]=$E431)*(ROW(TableDiv[Agency])-ROW(TableDiv[[#Headers],[Agency]])),COLUMNS($F$7:AD$7))))</f>
        <v>0</v>
      </c>
      <c r="AE431" s="2223" cm="1">
        <f t="array" ref="AE431">IF($D431&lt;COLUMNS($F$7:AE$7),"",INDEX(TableDiv[[GASB]:[GASB]],_xlfn.AGGREGATE(15,3,(TableDiv[[Agency]:[Agency]]=$E431)/(TableDiv[[Agency]:[Agency]]=$E431)*(ROW(TableDiv[Agency])-ROW(TableDiv[[#Headers],[Agency]])),COLUMNS($F$7:AE$7))))</f>
        <v>0</v>
      </c>
      <c r="AF431" s="2223" cm="1">
        <f t="array" ref="AF431">IF($D431&lt;COLUMNS($F$7:AF$7),"",INDEX(TableDiv[[GASB]:[GASB]],_xlfn.AGGREGATE(15,3,(TableDiv[[Agency]:[Agency]]=$E431)/(TableDiv[[Agency]:[Agency]]=$E431)*(ROW(TableDiv[Agency])-ROW(TableDiv[[#Headers],[Agency]])),COLUMNS($F$7:AF$7))))</f>
        <v>0</v>
      </c>
      <c r="AG431" s="2223" cm="1">
        <f t="array" ref="AG431">IF($D431&lt;COLUMNS($F$7:AG$7),"",INDEX(TableDiv[[GASB]:[GASB]],_xlfn.AGGREGATE(15,3,(TableDiv[[Agency]:[Agency]]=$E431)/(TableDiv[[Agency]:[Agency]]=$E431)*(ROW(TableDiv[Agency])-ROW(TableDiv[[#Headers],[Agency]])),COLUMNS($F$7:AG$7))))</f>
        <v>0</v>
      </c>
      <c r="AH431" s="2223" cm="1">
        <f t="array" ref="AH431">IF($D431&lt;COLUMNS($F$7:AH$7),"",INDEX(TableDiv[[GASB]:[GASB]],_xlfn.AGGREGATE(15,3,(TableDiv[[Agency]:[Agency]]=$E431)/(TableDiv[[Agency]:[Agency]]=$E431)*(ROW(TableDiv[Agency])-ROW(TableDiv[[#Headers],[Agency]])),COLUMNS($F$7:AH$7))))</f>
        <v>0</v>
      </c>
      <c r="AI431" s="2223" cm="1">
        <f t="array" ref="AI431">IF($D431&lt;COLUMNS($F$7:AI$7),"",INDEX(TableDiv[[GASB]:[GASB]],_xlfn.AGGREGATE(15,3,(TableDiv[[Agency]:[Agency]]=$E431)/(TableDiv[[Agency]:[Agency]]=$E431)*(ROW(TableDiv[Agency])-ROW(TableDiv[[#Headers],[Agency]])),COLUMNS($F$7:AI$7))))</f>
        <v>0</v>
      </c>
      <c r="AJ431" s="2223" cm="1">
        <f t="array" ref="AJ431">IF($D431&lt;COLUMNS($F$7:AJ$7),"",INDEX(TableDiv[[GASB]:[GASB]],_xlfn.AGGREGATE(15,3,(TableDiv[[Agency]:[Agency]]=$E431)/(TableDiv[[Agency]:[Agency]]=$E431)*(ROW(TableDiv[Agency])-ROW(TableDiv[[#Headers],[Agency]])),COLUMNS($F$7:AJ$7))))</f>
        <v>0</v>
      </c>
      <c r="AK431" s="2223" t="str" cm="1">
        <f t="array" ref="AK431">IF($D431&lt;COLUMNS($F$7:AK$7),"",INDEX(TableDiv[[GASB]:[GASB]],_xlfn.AGGREGATE(15,3,(TableDiv[[Agency]:[Agency]]=$E431)/(TableDiv[[Agency]:[Agency]]=$E431)*(ROW(TableDiv[Agency])-ROW(TableDiv[[#Headers],[Agency]])),COLUMNS($F$7:AK$7))))</f>
        <v/>
      </c>
      <c r="AL431" s="2223" t="str" cm="1">
        <f t="array" ref="AL431">IF($D431&lt;COLUMNS($F$7:AL$7),"",INDEX(TableDiv[[GASB]:[GASB]],_xlfn.AGGREGATE(15,3,(TableDiv[[Agency]:[Agency]]=$E431)/(TableDiv[[Agency]:[Agency]]=$E431)*(ROW(TableDiv[Agency])-ROW(TableDiv[[#Headers],[Agency]])),COLUMNS($F$7:AL$7))))</f>
        <v/>
      </c>
      <c r="AM431" s="2223" t="str" cm="1">
        <f t="array" ref="AM431">IF($D431&lt;COLUMNS($F$7:AM$7),"",INDEX(TableDiv[[GASB]:[GASB]],_xlfn.AGGREGATE(15,3,(TableDiv[[Agency]:[Agency]]=$E431)/(TableDiv[[Agency]:[Agency]]=$E431)*(ROW(TableDiv[Agency])-ROW(TableDiv[[#Headers],[Agency]])),COLUMNS($F$7:AM$7))))</f>
        <v/>
      </c>
      <c r="AN431" s="2223"/>
      <c r="AO431" s="2223"/>
      <c r="AP431" s="2223"/>
      <c r="AQ431" s="2223"/>
      <c r="AR431" s="2223"/>
      <c r="AS431" s="2223"/>
    </row>
    <row r="432" spans="1:45" ht="15" x14ac:dyDescent="0.25">
      <c r="A432" s="2219" t="s">
        <v>5187</v>
      </c>
      <c r="B432" s="2219" t="s">
        <v>6543</v>
      </c>
      <c r="C432" s="2223"/>
      <c r="D432" s="2223">
        <f>COUNTIF(TableDiv[Agency],E432)</f>
        <v>31</v>
      </c>
      <c r="E432" s="2230" t="str" cm="1">
        <f t="array" ref="E432">IFERROR(INDEX(TableDiv[Agency],MATCH(0,INDEX(COUNTIF($E$7:E431,TableDiv[Agency]),),0)),"")</f>
        <v/>
      </c>
      <c r="F432" s="2223" cm="1">
        <f t="array" ref="F432">IF($D432&lt;COLUMNS($F$7:F$7),"",INDEX(TableDiv[[GASB]:[GASB]],_xlfn.AGGREGATE(15,3,(TableDiv[[Agency]:[Agency]]=$E432)/(TableDiv[[Agency]:[Agency]]=$E432)*(ROW(TableDiv[Agency])-ROW(TableDiv[[#Headers],[Agency]])),COLUMNS($F$7:F$7))))</f>
        <v>0</v>
      </c>
      <c r="G432" s="2223" cm="1">
        <f t="array" ref="G432">IF($D432&lt;COLUMNS($F$7:G$7),"",INDEX(TableDiv[[GASB]:[GASB]],_xlfn.AGGREGATE(15,3,(TableDiv[[Agency]:[Agency]]=$E432)/(TableDiv[[Agency]:[Agency]]=$E432)*(ROW(TableDiv[Agency])-ROW(TableDiv[[#Headers],[Agency]])),COLUMNS($F$7:G$7))))</f>
        <v>0</v>
      </c>
      <c r="H432" s="2223" cm="1">
        <f t="array" ref="H432">IF($D432&lt;COLUMNS($F$7:H$7),"",INDEX(TableDiv[[GASB]:[GASB]],_xlfn.AGGREGATE(15,3,(TableDiv[[Agency]:[Agency]]=$E432)/(TableDiv[[Agency]:[Agency]]=$E432)*(ROW(TableDiv[Agency])-ROW(TableDiv[[#Headers],[Agency]])),COLUMNS($F$7:H$7))))</f>
        <v>0</v>
      </c>
      <c r="I432" s="2223" cm="1">
        <f t="array" ref="I432">IF($D432&lt;COLUMNS($F$7:I$7),"",INDEX(TableDiv[[GASB]:[GASB]],_xlfn.AGGREGATE(15,3,(TableDiv[[Agency]:[Agency]]=$E432)/(TableDiv[[Agency]:[Agency]]=$E432)*(ROW(TableDiv[Agency])-ROW(TableDiv[[#Headers],[Agency]])),COLUMNS($F$7:I$7))))</f>
        <v>0</v>
      </c>
      <c r="J432" s="2223" cm="1">
        <f t="array" ref="J432">IF($D432&lt;COLUMNS($F$7:J$7),"",INDEX(TableDiv[[GASB]:[GASB]],_xlfn.AGGREGATE(15,3,(TableDiv[[Agency]:[Agency]]=$E432)/(TableDiv[[Agency]:[Agency]]=$E432)*(ROW(TableDiv[Agency])-ROW(TableDiv[[#Headers],[Agency]])),COLUMNS($F$7:J$7))))</f>
        <v>0</v>
      </c>
      <c r="K432" s="2223" cm="1">
        <f t="array" ref="K432">IF($D432&lt;COLUMNS($F$7:K$7),"",INDEX(TableDiv[[GASB]:[GASB]],_xlfn.AGGREGATE(15,3,(TableDiv[[Agency]:[Agency]]=$E432)/(TableDiv[[Agency]:[Agency]]=$E432)*(ROW(TableDiv[Agency])-ROW(TableDiv[[#Headers],[Agency]])),COLUMNS($F$7:K$7))))</f>
        <v>0</v>
      </c>
      <c r="L432" s="2223" cm="1">
        <f t="array" ref="L432">IF($D432&lt;COLUMNS($F$7:L$7),"",INDEX(TableDiv[[GASB]:[GASB]],_xlfn.AGGREGATE(15,3,(TableDiv[[Agency]:[Agency]]=$E432)/(TableDiv[[Agency]:[Agency]]=$E432)*(ROW(TableDiv[Agency])-ROW(TableDiv[[#Headers],[Agency]])),COLUMNS($F$7:L$7))))</f>
        <v>0</v>
      </c>
      <c r="M432" s="2223" cm="1">
        <f t="array" ref="M432">IF($D432&lt;COLUMNS($F$7:M$7),"",INDEX(TableDiv[[GASB]:[GASB]],_xlfn.AGGREGATE(15,3,(TableDiv[[Agency]:[Agency]]=$E432)/(TableDiv[[Agency]:[Agency]]=$E432)*(ROW(TableDiv[Agency])-ROW(TableDiv[[#Headers],[Agency]])),COLUMNS($F$7:M$7))))</f>
        <v>0</v>
      </c>
      <c r="N432" s="2223" cm="1">
        <f t="array" ref="N432">IF($D432&lt;COLUMNS($F$7:N$7),"",INDEX(TableDiv[[GASB]:[GASB]],_xlfn.AGGREGATE(15,3,(TableDiv[[Agency]:[Agency]]=$E432)/(TableDiv[[Agency]:[Agency]]=$E432)*(ROW(TableDiv[Agency])-ROW(TableDiv[[#Headers],[Agency]])),COLUMNS($F$7:N$7))))</f>
        <v>0</v>
      </c>
      <c r="O432" s="2223" cm="1">
        <f t="array" ref="O432">IF($D432&lt;COLUMNS($F$7:O$7),"",INDEX(TableDiv[[GASB]:[GASB]],_xlfn.AGGREGATE(15,3,(TableDiv[[Agency]:[Agency]]=$E432)/(TableDiv[[Agency]:[Agency]]=$E432)*(ROW(TableDiv[Agency])-ROW(TableDiv[[#Headers],[Agency]])),COLUMNS($F$7:O$7))))</f>
        <v>0</v>
      </c>
      <c r="P432" s="2223" cm="1">
        <f t="array" ref="P432">IF($D432&lt;COLUMNS($F$7:P$7),"",INDEX(TableDiv[[GASB]:[GASB]],_xlfn.AGGREGATE(15,3,(TableDiv[[Agency]:[Agency]]=$E432)/(TableDiv[[Agency]:[Agency]]=$E432)*(ROW(TableDiv[Agency])-ROW(TableDiv[[#Headers],[Agency]])),COLUMNS($F$7:P$7))))</f>
        <v>0</v>
      </c>
      <c r="Q432" s="2223" cm="1">
        <f t="array" ref="Q432">IF($D432&lt;COLUMNS($F$7:Q$7),"",INDEX(TableDiv[[GASB]:[GASB]],_xlfn.AGGREGATE(15,3,(TableDiv[[Agency]:[Agency]]=$E432)/(TableDiv[[Agency]:[Agency]]=$E432)*(ROW(TableDiv[Agency])-ROW(TableDiv[[#Headers],[Agency]])),COLUMNS($F$7:Q$7))))</f>
        <v>0</v>
      </c>
      <c r="R432" s="2223" cm="1">
        <f t="array" ref="R432">IF($D432&lt;COLUMNS($F$7:R$7),"",INDEX(TableDiv[[GASB]:[GASB]],_xlfn.AGGREGATE(15,3,(TableDiv[[Agency]:[Agency]]=$E432)/(TableDiv[[Agency]:[Agency]]=$E432)*(ROW(TableDiv[Agency])-ROW(TableDiv[[#Headers],[Agency]])),COLUMNS($F$7:R$7))))</f>
        <v>0</v>
      </c>
      <c r="S432" s="2223" cm="1">
        <f t="array" ref="S432">IF($D432&lt;COLUMNS($F$7:S$7),"",INDEX(TableDiv[[GASB]:[GASB]],_xlfn.AGGREGATE(15,3,(TableDiv[[Agency]:[Agency]]=$E432)/(TableDiv[[Agency]:[Agency]]=$E432)*(ROW(TableDiv[Agency])-ROW(TableDiv[[#Headers],[Agency]])),COLUMNS($F$7:S$7))))</f>
        <v>0</v>
      </c>
      <c r="T432" s="2223" cm="1">
        <f t="array" ref="T432">IF($D432&lt;COLUMNS($F$7:T$7),"",INDEX(TableDiv[[GASB]:[GASB]],_xlfn.AGGREGATE(15,3,(TableDiv[[Agency]:[Agency]]=$E432)/(TableDiv[[Agency]:[Agency]]=$E432)*(ROW(TableDiv[Agency])-ROW(TableDiv[[#Headers],[Agency]])),COLUMNS($F$7:T$7))))</f>
        <v>0</v>
      </c>
      <c r="U432" s="2223" cm="1">
        <f t="array" ref="U432">IF($D432&lt;COLUMNS($F$7:U$7),"",INDEX(TableDiv[[GASB]:[GASB]],_xlfn.AGGREGATE(15,3,(TableDiv[[Agency]:[Agency]]=$E432)/(TableDiv[[Agency]:[Agency]]=$E432)*(ROW(TableDiv[Agency])-ROW(TableDiv[[#Headers],[Agency]])),COLUMNS($F$7:U$7))))</f>
        <v>0</v>
      </c>
      <c r="V432" s="2223" cm="1">
        <f t="array" ref="V432">IF($D432&lt;COLUMNS($F$7:V$7),"",INDEX(TableDiv[[GASB]:[GASB]],_xlfn.AGGREGATE(15,3,(TableDiv[[Agency]:[Agency]]=$E432)/(TableDiv[[Agency]:[Agency]]=$E432)*(ROW(TableDiv[Agency])-ROW(TableDiv[[#Headers],[Agency]])),COLUMNS($F$7:V$7))))</f>
        <v>0</v>
      </c>
      <c r="W432" s="2223" cm="1">
        <f t="array" ref="W432">IF($D432&lt;COLUMNS($F$7:W$7),"",INDEX(TableDiv[[GASB]:[GASB]],_xlfn.AGGREGATE(15,3,(TableDiv[[Agency]:[Agency]]=$E432)/(TableDiv[[Agency]:[Agency]]=$E432)*(ROW(TableDiv[Agency])-ROW(TableDiv[[#Headers],[Agency]])),COLUMNS($F$7:W$7))))</f>
        <v>0</v>
      </c>
      <c r="X432" s="2223" cm="1">
        <f t="array" ref="X432">IF($D432&lt;COLUMNS($F$7:X$7),"",INDEX(TableDiv[[GASB]:[GASB]],_xlfn.AGGREGATE(15,3,(TableDiv[[Agency]:[Agency]]=$E432)/(TableDiv[[Agency]:[Agency]]=$E432)*(ROW(TableDiv[Agency])-ROW(TableDiv[[#Headers],[Agency]])),COLUMNS($F$7:X$7))))</f>
        <v>0</v>
      </c>
      <c r="Y432" s="2223" cm="1">
        <f t="array" ref="Y432">IF($D432&lt;COLUMNS($F$7:Y$7),"",INDEX(TableDiv[[GASB]:[GASB]],_xlfn.AGGREGATE(15,3,(TableDiv[[Agency]:[Agency]]=$E432)/(TableDiv[[Agency]:[Agency]]=$E432)*(ROW(TableDiv[Agency])-ROW(TableDiv[[#Headers],[Agency]])),COLUMNS($F$7:Y$7))))</f>
        <v>0</v>
      </c>
      <c r="Z432" s="2223" cm="1">
        <f t="array" ref="Z432">IF($D432&lt;COLUMNS($F$7:Z$7),"",INDEX(TableDiv[[GASB]:[GASB]],_xlfn.AGGREGATE(15,3,(TableDiv[[Agency]:[Agency]]=$E432)/(TableDiv[[Agency]:[Agency]]=$E432)*(ROW(TableDiv[Agency])-ROW(TableDiv[[#Headers],[Agency]])),COLUMNS($F$7:Z$7))))</f>
        <v>0</v>
      </c>
      <c r="AA432" s="2223" cm="1">
        <f t="array" ref="AA432">IF($D432&lt;COLUMNS($F$7:AA$7),"",INDEX(TableDiv[[GASB]:[GASB]],_xlfn.AGGREGATE(15,3,(TableDiv[[Agency]:[Agency]]=$E432)/(TableDiv[[Agency]:[Agency]]=$E432)*(ROW(TableDiv[Agency])-ROW(TableDiv[[#Headers],[Agency]])),COLUMNS($F$7:AA$7))))</f>
        <v>0</v>
      </c>
      <c r="AB432" s="2223" cm="1">
        <f t="array" ref="AB432">IF($D432&lt;COLUMNS($F$7:AB$7),"",INDEX(TableDiv[[GASB]:[GASB]],_xlfn.AGGREGATE(15,3,(TableDiv[[Agency]:[Agency]]=$E432)/(TableDiv[[Agency]:[Agency]]=$E432)*(ROW(TableDiv[Agency])-ROW(TableDiv[[#Headers],[Agency]])),COLUMNS($F$7:AB$7))))</f>
        <v>0</v>
      </c>
      <c r="AC432" s="2223" cm="1">
        <f t="array" ref="AC432">IF($D432&lt;COLUMNS($F$7:AC$7),"",INDEX(TableDiv[[GASB]:[GASB]],_xlfn.AGGREGATE(15,3,(TableDiv[[Agency]:[Agency]]=$E432)/(TableDiv[[Agency]:[Agency]]=$E432)*(ROW(TableDiv[Agency])-ROW(TableDiv[[#Headers],[Agency]])),COLUMNS($F$7:AC$7))))</f>
        <v>0</v>
      </c>
      <c r="AD432" s="2223" cm="1">
        <f t="array" ref="AD432">IF($D432&lt;COLUMNS($F$7:AD$7),"",INDEX(TableDiv[[GASB]:[GASB]],_xlfn.AGGREGATE(15,3,(TableDiv[[Agency]:[Agency]]=$E432)/(TableDiv[[Agency]:[Agency]]=$E432)*(ROW(TableDiv[Agency])-ROW(TableDiv[[#Headers],[Agency]])),COLUMNS($F$7:AD$7))))</f>
        <v>0</v>
      </c>
      <c r="AE432" s="2223" cm="1">
        <f t="array" ref="AE432">IF($D432&lt;COLUMNS($F$7:AE$7),"",INDEX(TableDiv[[GASB]:[GASB]],_xlfn.AGGREGATE(15,3,(TableDiv[[Agency]:[Agency]]=$E432)/(TableDiv[[Agency]:[Agency]]=$E432)*(ROW(TableDiv[Agency])-ROW(TableDiv[[#Headers],[Agency]])),COLUMNS($F$7:AE$7))))</f>
        <v>0</v>
      </c>
      <c r="AF432" s="2223" cm="1">
        <f t="array" ref="AF432">IF($D432&lt;COLUMNS($F$7:AF$7),"",INDEX(TableDiv[[GASB]:[GASB]],_xlfn.AGGREGATE(15,3,(TableDiv[[Agency]:[Agency]]=$E432)/(TableDiv[[Agency]:[Agency]]=$E432)*(ROW(TableDiv[Agency])-ROW(TableDiv[[#Headers],[Agency]])),COLUMNS($F$7:AF$7))))</f>
        <v>0</v>
      </c>
      <c r="AG432" s="2223" cm="1">
        <f t="array" ref="AG432">IF($D432&lt;COLUMNS($F$7:AG$7),"",INDEX(TableDiv[[GASB]:[GASB]],_xlfn.AGGREGATE(15,3,(TableDiv[[Agency]:[Agency]]=$E432)/(TableDiv[[Agency]:[Agency]]=$E432)*(ROW(TableDiv[Agency])-ROW(TableDiv[[#Headers],[Agency]])),COLUMNS($F$7:AG$7))))</f>
        <v>0</v>
      </c>
      <c r="AH432" s="2223" cm="1">
        <f t="array" ref="AH432">IF($D432&lt;COLUMNS($F$7:AH$7),"",INDEX(TableDiv[[GASB]:[GASB]],_xlfn.AGGREGATE(15,3,(TableDiv[[Agency]:[Agency]]=$E432)/(TableDiv[[Agency]:[Agency]]=$E432)*(ROW(TableDiv[Agency])-ROW(TableDiv[[#Headers],[Agency]])),COLUMNS($F$7:AH$7))))</f>
        <v>0</v>
      </c>
      <c r="AI432" s="2223" cm="1">
        <f t="array" ref="AI432">IF($D432&lt;COLUMNS($F$7:AI$7),"",INDEX(TableDiv[[GASB]:[GASB]],_xlfn.AGGREGATE(15,3,(TableDiv[[Agency]:[Agency]]=$E432)/(TableDiv[[Agency]:[Agency]]=$E432)*(ROW(TableDiv[Agency])-ROW(TableDiv[[#Headers],[Agency]])),COLUMNS($F$7:AI$7))))</f>
        <v>0</v>
      </c>
      <c r="AJ432" s="2223" cm="1">
        <f t="array" ref="AJ432">IF($D432&lt;COLUMNS($F$7:AJ$7),"",INDEX(TableDiv[[GASB]:[GASB]],_xlfn.AGGREGATE(15,3,(TableDiv[[Agency]:[Agency]]=$E432)/(TableDiv[[Agency]:[Agency]]=$E432)*(ROW(TableDiv[Agency])-ROW(TableDiv[[#Headers],[Agency]])),COLUMNS($F$7:AJ$7))))</f>
        <v>0</v>
      </c>
      <c r="AK432" s="2223" t="str" cm="1">
        <f t="array" ref="AK432">IF($D432&lt;COLUMNS($F$7:AK$7),"",INDEX(TableDiv[[GASB]:[GASB]],_xlfn.AGGREGATE(15,3,(TableDiv[[Agency]:[Agency]]=$E432)/(TableDiv[[Agency]:[Agency]]=$E432)*(ROW(TableDiv[Agency])-ROW(TableDiv[[#Headers],[Agency]])),COLUMNS($F$7:AK$7))))</f>
        <v/>
      </c>
      <c r="AL432" s="2223" t="str" cm="1">
        <f t="array" ref="AL432">IF($D432&lt;COLUMNS($F$7:AL$7),"",INDEX(TableDiv[[GASB]:[GASB]],_xlfn.AGGREGATE(15,3,(TableDiv[[Agency]:[Agency]]=$E432)/(TableDiv[[Agency]:[Agency]]=$E432)*(ROW(TableDiv[Agency])-ROW(TableDiv[[#Headers],[Agency]])),COLUMNS($F$7:AL$7))))</f>
        <v/>
      </c>
      <c r="AM432" s="2223" t="str" cm="1">
        <f t="array" ref="AM432">IF($D432&lt;COLUMNS($F$7:AM$7),"",INDEX(TableDiv[[GASB]:[GASB]],_xlfn.AGGREGATE(15,3,(TableDiv[[Agency]:[Agency]]=$E432)/(TableDiv[[Agency]:[Agency]]=$E432)*(ROW(TableDiv[Agency])-ROW(TableDiv[[#Headers],[Agency]])),COLUMNS($F$7:AM$7))))</f>
        <v/>
      </c>
      <c r="AN432" s="2223"/>
      <c r="AO432" s="2223"/>
      <c r="AP432" s="2223"/>
      <c r="AQ432" s="2223"/>
      <c r="AR432" s="2223"/>
      <c r="AS432" s="2223"/>
    </row>
    <row r="433" spans="1:45" ht="15" x14ac:dyDescent="0.25">
      <c r="A433" s="2219" t="s">
        <v>5189</v>
      </c>
      <c r="B433" s="2219" t="s">
        <v>6543</v>
      </c>
      <c r="C433" s="2223"/>
      <c r="D433" s="2223">
        <f>COUNTIF(TableDiv[Agency],E433)</f>
        <v>31</v>
      </c>
      <c r="E433" s="2230" t="str" cm="1">
        <f t="array" ref="E433">IFERROR(INDEX(TableDiv[Agency],MATCH(0,INDEX(COUNTIF($E$7:E432,TableDiv[Agency]),),0)),"")</f>
        <v/>
      </c>
      <c r="F433" s="2223" cm="1">
        <f t="array" ref="F433">IF($D433&lt;COLUMNS($F$7:F$7),"",INDEX(TableDiv[[GASB]:[GASB]],_xlfn.AGGREGATE(15,3,(TableDiv[[Agency]:[Agency]]=$E433)/(TableDiv[[Agency]:[Agency]]=$E433)*(ROW(TableDiv[Agency])-ROW(TableDiv[[#Headers],[Agency]])),COLUMNS($F$7:F$7))))</f>
        <v>0</v>
      </c>
      <c r="G433" s="2223" cm="1">
        <f t="array" ref="G433">IF($D433&lt;COLUMNS($F$7:G$7),"",INDEX(TableDiv[[GASB]:[GASB]],_xlfn.AGGREGATE(15,3,(TableDiv[[Agency]:[Agency]]=$E433)/(TableDiv[[Agency]:[Agency]]=$E433)*(ROW(TableDiv[Agency])-ROW(TableDiv[[#Headers],[Agency]])),COLUMNS($F$7:G$7))))</f>
        <v>0</v>
      </c>
      <c r="H433" s="2223" cm="1">
        <f t="array" ref="H433">IF($D433&lt;COLUMNS($F$7:H$7),"",INDEX(TableDiv[[GASB]:[GASB]],_xlfn.AGGREGATE(15,3,(TableDiv[[Agency]:[Agency]]=$E433)/(TableDiv[[Agency]:[Agency]]=$E433)*(ROW(TableDiv[Agency])-ROW(TableDiv[[#Headers],[Agency]])),COLUMNS($F$7:H$7))))</f>
        <v>0</v>
      </c>
      <c r="I433" s="2223" cm="1">
        <f t="array" ref="I433">IF($D433&lt;COLUMNS($F$7:I$7),"",INDEX(TableDiv[[GASB]:[GASB]],_xlfn.AGGREGATE(15,3,(TableDiv[[Agency]:[Agency]]=$E433)/(TableDiv[[Agency]:[Agency]]=$E433)*(ROW(TableDiv[Agency])-ROW(TableDiv[[#Headers],[Agency]])),COLUMNS($F$7:I$7))))</f>
        <v>0</v>
      </c>
      <c r="J433" s="2223" cm="1">
        <f t="array" ref="J433">IF($D433&lt;COLUMNS($F$7:J$7),"",INDEX(TableDiv[[GASB]:[GASB]],_xlfn.AGGREGATE(15,3,(TableDiv[[Agency]:[Agency]]=$E433)/(TableDiv[[Agency]:[Agency]]=$E433)*(ROW(TableDiv[Agency])-ROW(TableDiv[[#Headers],[Agency]])),COLUMNS($F$7:J$7))))</f>
        <v>0</v>
      </c>
      <c r="K433" s="2223" cm="1">
        <f t="array" ref="K433">IF($D433&lt;COLUMNS($F$7:K$7),"",INDEX(TableDiv[[GASB]:[GASB]],_xlfn.AGGREGATE(15,3,(TableDiv[[Agency]:[Agency]]=$E433)/(TableDiv[[Agency]:[Agency]]=$E433)*(ROW(TableDiv[Agency])-ROW(TableDiv[[#Headers],[Agency]])),COLUMNS($F$7:K$7))))</f>
        <v>0</v>
      </c>
      <c r="L433" s="2223" cm="1">
        <f t="array" ref="L433">IF($D433&lt;COLUMNS($F$7:L$7),"",INDEX(TableDiv[[GASB]:[GASB]],_xlfn.AGGREGATE(15,3,(TableDiv[[Agency]:[Agency]]=$E433)/(TableDiv[[Agency]:[Agency]]=$E433)*(ROW(TableDiv[Agency])-ROW(TableDiv[[#Headers],[Agency]])),COLUMNS($F$7:L$7))))</f>
        <v>0</v>
      </c>
      <c r="M433" s="2223" cm="1">
        <f t="array" ref="M433">IF($D433&lt;COLUMNS($F$7:M$7),"",INDEX(TableDiv[[GASB]:[GASB]],_xlfn.AGGREGATE(15,3,(TableDiv[[Agency]:[Agency]]=$E433)/(TableDiv[[Agency]:[Agency]]=$E433)*(ROW(TableDiv[Agency])-ROW(TableDiv[[#Headers],[Agency]])),COLUMNS($F$7:M$7))))</f>
        <v>0</v>
      </c>
      <c r="N433" s="2223" cm="1">
        <f t="array" ref="N433">IF($D433&lt;COLUMNS($F$7:N$7),"",INDEX(TableDiv[[GASB]:[GASB]],_xlfn.AGGREGATE(15,3,(TableDiv[[Agency]:[Agency]]=$E433)/(TableDiv[[Agency]:[Agency]]=$E433)*(ROW(TableDiv[Agency])-ROW(TableDiv[[#Headers],[Agency]])),COLUMNS($F$7:N$7))))</f>
        <v>0</v>
      </c>
      <c r="O433" s="2223" cm="1">
        <f t="array" ref="O433">IF($D433&lt;COLUMNS($F$7:O$7),"",INDEX(TableDiv[[GASB]:[GASB]],_xlfn.AGGREGATE(15,3,(TableDiv[[Agency]:[Agency]]=$E433)/(TableDiv[[Agency]:[Agency]]=$E433)*(ROW(TableDiv[Agency])-ROW(TableDiv[[#Headers],[Agency]])),COLUMNS($F$7:O$7))))</f>
        <v>0</v>
      </c>
      <c r="P433" s="2223" cm="1">
        <f t="array" ref="P433">IF($D433&lt;COLUMNS($F$7:P$7),"",INDEX(TableDiv[[GASB]:[GASB]],_xlfn.AGGREGATE(15,3,(TableDiv[[Agency]:[Agency]]=$E433)/(TableDiv[[Agency]:[Agency]]=$E433)*(ROW(TableDiv[Agency])-ROW(TableDiv[[#Headers],[Agency]])),COLUMNS($F$7:P$7))))</f>
        <v>0</v>
      </c>
      <c r="Q433" s="2223" cm="1">
        <f t="array" ref="Q433">IF($D433&lt;COLUMNS($F$7:Q$7),"",INDEX(TableDiv[[GASB]:[GASB]],_xlfn.AGGREGATE(15,3,(TableDiv[[Agency]:[Agency]]=$E433)/(TableDiv[[Agency]:[Agency]]=$E433)*(ROW(TableDiv[Agency])-ROW(TableDiv[[#Headers],[Agency]])),COLUMNS($F$7:Q$7))))</f>
        <v>0</v>
      </c>
      <c r="R433" s="2223" cm="1">
        <f t="array" ref="R433">IF($D433&lt;COLUMNS($F$7:R$7),"",INDEX(TableDiv[[GASB]:[GASB]],_xlfn.AGGREGATE(15,3,(TableDiv[[Agency]:[Agency]]=$E433)/(TableDiv[[Agency]:[Agency]]=$E433)*(ROW(TableDiv[Agency])-ROW(TableDiv[[#Headers],[Agency]])),COLUMNS($F$7:R$7))))</f>
        <v>0</v>
      </c>
      <c r="S433" s="2223" cm="1">
        <f t="array" ref="S433">IF($D433&lt;COLUMNS($F$7:S$7),"",INDEX(TableDiv[[GASB]:[GASB]],_xlfn.AGGREGATE(15,3,(TableDiv[[Agency]:[Agency]]=$E433)/(TableDiv[[Agency]:[Agency]]=$E433)*(ROW(TableDiv[Agency])-ROW(TableDiv[[#Headers],[Agency]])),COLUMNS($F$7:S$7))))</f>
        <v>0</v>
      </c>
      <c r="T433" s="2223" cm="1">
        <f t="array" ref="T433">IF($D433&lt;COLUMNS($F$7:T$7),"",INDEX(TableDiv[[GASB]:[GASB]],_xlfn.AGGREGATE(15,3,(TableDiv[[Agency]:[Agency]]=$E433)/(TableDiv[[Agency]:[Agency]]=$E433)*(ROW(TableDiv[Agency])-ROW(TableDiv[[#Headers],[Agency]])),COLUMNS($F$7:T$7))))</f>
        <v>0</v>
      </c>
      <c r="U433" s="2223" cm="1">
        <f t="array" ref="U433">IF($D433&lt;COLUMNS($F$7:U$7),"",INDEX(TableDiv[[GASB]:[GASB]],_xlfn.AGGREGATE(15,3,(TableDiv[[Agency]:[Agency]]=$E433)/(TableDiv[[Agency]:[Agency]]=$E433)*(ROW(TableDiv[Agency])-ROW(TableDiv[[#Headers],[Agency]])),COLUMNS($F$7:U$7))))</f>
        <v>0</v>
      </c>
      <c r="V433" s="2223" cm="1">
        <f t="array" ref="V433">IF($D433&lt;COLUMNS($F$7:V$7),"",INDEX(TableDiv[[GASB]:[GASB]],_xlfn.AGGREGATE(15,3,(TableDiv[[Agency]:[Agency]]=$E433)/(TableDiv[[Agency]:[Agency]]=$E433)*(ROW(TableDiv[Agency])-ROW(TableDiv[[#Headers],[Agency]])),COLUMNS($F$7:V$7))))</f>
        <v>0</v>
      </c>
      <c r="W433" s="2223" cm="1">
        <f t="array" ref="W433">IF($D433&lt;COLUMNS($F$7:W$7),"",INDEX(TableDiv[[GASB]:[GASB]],_xlfn.AGGREGATE(15,3,(TableDiv[[Agency]:[Agency]]=$E433)/(TableDiv[[Agency]:[Agency]]=$E433)*(ROW(TableDiv[Agency])-ROW(TableDiv[[#Headers],[Agency]])),COLUMNS($F$7:W$7))))</f>
        <v>0</v>
      </c>
      <c r="X433" s="2223" cm="1">
        <f t="array" ref="X433">IF($D433&lt;COLUMNS($F$7:X$7),"",INDEX(TableDiv[[GASB]:[GASB]],_xlfn.AGGREGATE(15,3,(TableDiv[[Agency]:[Agency]]=$E433)/(TableDiv[[Agency]:[Agency]]=$E433)*(ROW(TableDiv[Agency])-ROW(TableDiv[[#Headers],[Agency]])),COLUMNS($F$7:X$7))))</f>
        <v>0</v>
      </c>
      <c r="Y433" s="2223" cm="1">
        <f t="array" ref="Y433">IF($D433&lt;COLUMNS($F$7:Y$7),"",INDEX(TableDiv[[GASB]:[GASB]],_xlfn.AGGREGATE(15,3,(TableDiv[[Agency]:[Agency]]=$E433)/(TableDiv[[Agency]:[Agency]]=$E433)*(ROW(TableDiv[Agency])-ROW(TableDiv[[#Headers],[Agency]])),COLUMNS($F$7:Y$7))))</f>
        <v>0</v>
      </c>
      <c r="Z433" s="2223" cm="1">
        <f t="array" ref="Z433">IF($D433&lt;COLUMNS($F$7:Z$7),"",INDEX(TableDiv[[GASB]:[GASB]],_xlfn.AGGREGATE(15,3,(TableDiv[[Agency]:[Agency]]=$E433)/(TableDiv[[Agency]:[Agency]]=$E433)*(ROW(TableDiv[Agency])-ROW(TableDiv[[#Headers],[Agency]])),COLUMNS($F$7:Z$7))))</f>
        <v>0</v>
      </c>
      <c r="AA433" s="2223" cm="1">
        <f t="array" ref="AA433">IF($D433&lt;COLUMNS($F$7:AA$7),"",INDEX(TableDiv[[GASB]:[GASB]],_xlfn.AGGREGATE(15,3,(TableDiv[[Agency]:[Agency]]=$E433)/(TableDiv[[Agency]:[Agency]]=$E433)*(ROW(TableDiv[Agency])-ROW(TableDiv[[#Headers],[Agency]])),COLUMNS($F$7:AA$7))))</f>
        <v>0</v>
      </c>
      <c r="AB433" s="2223" cm="1">
        <f t="array" ref="AB433">IF($D433&lt;COLUMNS($F$7:AB$7),"",INDEX(TableDiv[[GASB]:[GASB]],_xlfn.AGGREGATE(15,3,(TableDiv[[Agency]:[Agency]]=$E433)/(TableDiv[[Agency]:[Agency]]=$E433)*(ROW(TableDiv[Agency])-ROW(TableDiv[[#Headers],[Agency]])),COLUMNS($F$7:AB$7))))</f>
        <v>0</v>
      </c>
      <c r="AC433" s="2223" cm="1">
        <f t="array" ref="AC433">IF($D433&lt;COLUMNS($F$7:AC$7),"",INDEX(TableDiv[[GASB]:[GASB]],_xlfn.AGGREGATE(15,3,(TableDiv[[Agency]:[Agency]]=$E433)/(TableDiv[[Agency]:[Agency]]=$E433)*(ROW(TableDiv[Agency])-ROW(TableDiv[[#Headers],[Agency]])),COLUMNS($F$7:AC$7))))</f>
        <v>0</v>
      </c>
      <c r="AD433" s="2223" cm="1">
        <f t="array" ref="AD433">IF($D433&lt;COLUMNS($F$7:AD$7),"",INDEX(TableDiv[[GASB]:[GASB]],_xlfn.AGGREGATE(15,3,(TableDiv[[Agency]:[Agency]]=$E433)/(TableDiv[[Agency]:[Agency]]=$E433)*(ROW(TableDiv[Agency])-ROW(TableDiv[[#Headers],[Agency]])),COLUMNS($F$7:AD$7))))</f>
        <v>0</v>
      </c>
      <c r="AE433" s="2223" cm="1">
        <f t="array" ref="AE433">IF($D433&lt;COLUMNS($F$7:AE$7),"",INDEX(TableDiv[[GASB]:[GASB]],_xlfn.AGGREGATE(15,3,(TableDiv[[Agency]:[Agency]]=$E433)/(TableDiv[[Agency]:[Agency]]=$E433)*(ROW(TableDiv[Agency])-ROW(TableDiv[[#Headers],[Agency]])),COLUMNS($F$7:AE$7))))</f>
        <v>0</v>
      </c>
      <c r="AF433" s="2223" cm="1">
        <f t="array" ref="AF433">IF($D433&lt;COLUMNS($F$7:AF$7),"",INDEX(TableDiv[[GASB]:[GASB]],_xlfn.AGGREGATE(15,3,(TableDiv[[Agency]:[Agency]]=$E433)/(TableDiv[[Agency]:[Agency]]=$E433)*(ROW(TableDiv[Agency])-ROW(TableDiv[[#Headers],[Agency]])),COLUMNS($F$7:AF$7))))</f>
        <v>0</v>
      </c>
      <c r="AG433" s="2223" cm="1">
        <f t="array" ref="AG433">IF($D433&lt;COLUMNS($F$7:AG$7),"",INDEX(TableDiv[[GASB]:[GASB]],_xlfn.AGGREGATE(15,3,(TableDiv[[Agency]:[Agency]]=$E433)/(TableDiv[[Agency]:[Agency]]=$E433)*(ROW(TableDiv[Agency])-ROW(TableDiv[[#Headers],[Agency]])),COLUMNS($F$7:AG$7))))</f>
        <v>0</v>
      </c>
      <c r="AH433" s="2223" cm="1">
        <f t="array" ref="AH433">IF($D433&lt;COLUMNS($F$7:AH$7),"",INDEX(TableDiv[[GASB]:[GASB]],_xlfn.AGGREGATE(15,3,(TableDiv[[Agency]:[Agency]]=$E433)/(TableDiv[[Agency]:[Agency]]=$E433)*(ROW(TableDiv[Agency])-ROW(TableDiv[[#Headers],[Agency]])),COLUMNS($F$7:AH$7))))</f>
        <v>0</v>
      </c>
      <c r="AI433" s="2223" cm="1">
        <f t="array" ref="AI433">IF($D433&lt;COLUMNS($F$7:AI$7),"",INDEX(TableDiv[[GASB]:[GASB]],_xlfn.AGGREGATE(15,3,(TableDiv[[Agency]:[Agency]]=$E433)/(TableDiv[[Agency]:[Agency]]=$E433)*(ROW(TableDiv[Agency])-ROW(TableDiv[[#Headers],[Agency]])),COLUMNS($F$7:AI$7))))</f>
        <v>0</v>
      </c>
      <c r="AJ433" s="2223" cm="1">
        <f t="array" ref="AJ433">IF($D433&lt;COLUMNS($F$7:AJ$7),"",INDEX(TableDiv[[GASB]:[GASB]],_xlfn.AGGREGATE(15,3,(TableDiv[[Agency]:[Agency]]=$E433)/(TableDiv[[Agency]:[Agency]]=$E433)*(ROW(TableDiv[Agency])-ROW(TableDiv[[#Headers],[Agency]])),COLUMNS($F$7:AJ$7))))</f>
        <v>0</v>
      </c>
      <c r="AK433" s="2223" t="str" cm="1">
        <f t="array" ref="AK433">IF($D433&lt;COLUMNS($F$7:AK$7),"",INDEX(TableDiv[[GASB]:[GASB]],_xlfn.AGGREGATE(15,3,(TableDiv[[Agency]:[Agency]]=$E433)/(TableDiv[[Agency]:[Agency]]=$E433)*(ROW(TableDiv[Agency])-ROW(TableDiv[[#Headers],[Agency]])),COLUMNS($F$7:AK$7))))</f>
        <v/>
      </c>
      <c r="AL433" s="2223" t="str" cm="1">
        <f t="array" ref="AL433">IF($D433&lt;COLUMNS($F$7:AL$7),"",INDEX(TableDiv[[GASB]:[GASB]],_xlfn.AGGREGATE(15,3,(TableDiv[[Agency]:[Agency]]=$E433)/(TableDiv[[Agency]:[Agency]]=$E433)*(ROW(TableDiv[Agency])-ROW(TableDiv[[#Headers],[Agency]])),COLUMNS($F$7:AL$7))))</f>
        <v/>
      </c>
      <c r="AM433" s="2223" t="str" cm="1">
        <f t="array" ref="AM433">IF($D433&lt;COLUMNS($F$7:AM$7),"",INDEX(TableDiv[[GASB]:[GASB]],_xlfn.AGGREGATE(15,3,(TableDiv[[Agency]:[Agency]]=$E433)/(TableDiv[[Agency]:[Agency]]=$E433)*(ROW(TableDiv[Agency])-ROW(TableDiv[[#Headers],[Agency]])),COLUMNS($F$7:AM$7))))</f>
        <v/>
      </c>
      <c r="AN433" s="2223"/>
      <c r="AO433" s="2223"/>
      <c r="AP433" s="2223"/>
      <c r="AQ433" s="2223"/>
      <c r="AR433" s="2223"/>
      <c r="AS433" s="2223"/>
    </row>
    <row r="434" spans="1:45" ht="15" x14ac:dyDescent="0.25">
      <c r="A434" s="2219" t="s">
        <v>5191</v>
      </c>
      <c r="B434" s="2219" t="s">
        <v>6543</v>
      </c>
      <c r="C434" s="2223"/>
      <c r="D434" s="2223">
        <f>COUNTIF(TableDiv[Agency],E434)</f>
        <v>31</v>
      </c>
      <c r="E434" s="2230" t="str" cm="1">
        <f t="array" ref="E434">IFERROR(INDEX(TableDiv[Agency],MATCH(0,INDEX(COUNTIF($E$7:E433,TableDiv[Agency]),),0)),"")</f>
        <v/>
      </c>
      <c r="F434" s="2223" cm="1">
        <f t="array" ref="F434">IF($D434&lt;COLUMNS($F$7:F$7),"",INDEX(TableDiv[[GASB]:[GASB]],_xlfn.AGGREGATE(15,3,(TableDiv[[Agency]:[Agency]]=$E434)/(TableDiv[[Agency]:[Agency]]=$E434)*(ROW(TableDiv[Agency])-ROW(TableDiv[[#Headers],[Agency]])),COLUMNS($F$7:F$7))))</f>
        <v>0</v>
      </c>
      <c r="G434" s="2223" cm="1">
        <f t="array" ref="G434">IF($D434&lt;COLUMNS($F$7:G$7),"",INDEX(TableDiv[[GASB]:[GASB]],_xlfn.AGGREGATE(15,3,(TableDiv[[Agency]:[Agency]]=$E434)/(TableDiv[[Agency]:[Agency]]=$E434)*(ROW(TableDiv[Agency])-ROW(TableDiv[[#Headers],[Agency]])),COLUMNS($F$7:G$7))))</f>
        <v>0</v>
      </c>
      <c r="H434" s="2223" cm="1">
        <f t="array" ref="H434">IF($D434&lt;COLUMNS($F$7:H$7),"",INDEX(TableDiv[[GASB]:[GASB]],_xlfn.AGGREGATE(15,3,(TableDiv[[Agency]:[Agency]]=$E434)/(TableDiv[[Agency]:[Agency]]=$E434)*(ROW(TableDiv[Agency])-ROW(TableDiv[[#Headers],[Agency]])),COLUMNS($F$7:H$7))))</f>
        <v>0</v>
      </c>
      <c r="I434" s="2223" cm="1">
        <f t="array" ref="I434">IF($D434&lt;COLUMNS($F$7:I$7),"",INDEX(TableDiv[[GASB]:[GASB]],_xlfn.AGGREGATE(15,3,(TableDiv[[Agency]:[Agency]]=$E434)/(TableDiv[[Agency]:[Agency]]=$E434)*(ROW(TableDiv[Agency])-ROW(TableDiv[[#Headers],[Agency]])),COLUMNS($F$7:I$7))))</f>
        <v>0</v>
      </c>
      <c r="J434" s="2223" cm="1">
        <f t="array" ref="J434">IF($D434&lt;COLUMNS($F$7:J$7),"",INDEX(TableDiv[[GASB]:[GASB]],_xlfn.AGGREGATE(15,3,(TableDiv[[Agency]:[Agency]]=$E434)/(TableDiv[[Agency]:[Agency]]=$E434)*(ROW(TableDiv[Agency])-ROW(TableDiv[[#Headers],[Agency]])),COLUMNS($F$7:J$7))))</f>
        <v>0</v>
      </c>
      <c r="K434" s="2223" cm="1">
        <f t="array" ref="K434">IF($D434&lt;COLUMNS($F$7:K$7),"",INDEX(TableDiv[[GASB]:[GASB]],_xlfn.AGGREGATE(15,3,(TableDiv[[Agency]:[Agency]]=$E434)/(TableDiv[[Agency]:[Agency]]=$E434)*(ROW(TableDiv[Agency])-ROW(TableDiv[[#Headers],[Agency]])),COLUMNS($F$7:K$7))))</f>
        <v>0</v>
      </c>
      <c r="L434" s="2223" cm="1">
        <f t="array" ref="L434">IF($D434&lt;COLUMNS($F$7:L$7),"",INDEX(TableDiv[[GASB]:[GASB]],_xlfn.AGGREGATE(15,3,(TableDiv[[Agency]:[Agency]]=$E434)/(TableDiv[[Agency]:[Agency]]=$E434)*(ROW(TableDiv[Agency])-ROW(TableDiv[[#Headers],[Agency]])),COLUMNS($F$7:L$7))))</f>
        <v>0</v>
      </c>
      <c r="M434" s="2223" cm="1">
        <f t="array" ref="M434">IF($D434&lt;COLUMNS($F$7:M$7),"",INDEX(TableDiv[[GASB]:[GASB]],_xlfn.AGGREGATE(15,3,(TableDiv[[Agency]:[Agency]]=$E434)/(TableDiv[[Agency]:[Agency]]=$E434)*(ROW(TableDiv[Agency])-ROW(TableDiv[[#Headers],[Agency]])),COLUMNS($F$7:M$7))))</f>
        <v>0</v>
      </c>
      <c r="N434" s="2223" cm="1">
        <f t="array" ref="N434">IF($D434&lt;COLUMNS($F$7:N$7),"",INDEX(TableDiv[[GASB]:[GASB]],_xlfn.AGGREGATE(15,3,(TableDiv[[Agency]:[Agency]]=$E434)/(TableDiv[[Agency]:[Agency]]=$E434)*(ROW(TableDiv[Agency])-ROW(TableDiv[[#Headers],[Agency]])),COLUMNS($F$7:N$7))))</f>
        <v>0</v>
      </c>
      <c r="O434" s="2223" cm="1">
        <f t="array" ref="O434">IF($D434&lt;COLUMNS($F$7:O$7),"",INDEX(TableDiv[[GASB]:[GASB]],_xlfn.AGGREGATE(15,3,(TableDiv[[Agency]:[Agency]]=$E434)/(TableDiv[[Agency]:[Agency]]=$E434)*(ROW(TableDiv[Agency])-ROW(TableDiv[[#Headers],[Agency]])),COLUMNS($F$7:O$7))))</f>
        <v>0</v>
      </c>
      <c r="P434" s="2223" cm="1">
        <f t="array" ref="P434">IF($D434&lt;COLUMNS($F$7:P$7),"",INDEX(TableDiv[[GASB]:[GASB]],_xlfn.AGGREGATE(15,3,(TableDiv[[Agency]:[Agency]]=$E434)/(TableDiv[[Agency]:[Agency]]=$E434)*(ROW(TableDiv[Agency])-ROW(TableDiv[[#Headers],[Agency]])),COLUMNS($F$7:P$7))))</f>
        <v>0</v>
      </c>
      <c r="Q434" s="2223" cm="1">
        <f t="array" ref="Q434">IF($D434&lt;COLUMNS($F$7:Q$7),"",INDEX(TableDiv[[GASB]:[GASB]],_xlfn.AGGREGATE(15,3,(TableDiv[[Agency]:[Agency]]=$E434)/(TableDiv[[Agency]:[Agency]]=$E434)*(ROW(TableDiv[Agency])-ROW(TableDiv[[#Headers],[Agency]])),COLUMNS($F$7:Q$7))))</f>
        <v>0</v>
      </c>
      <c r="R434" s="2223" cm="1">
        <f t="array" ref="R434">IF($D434&lt;COLUMNS($F$7:R$7),"",INDEX(TableDiv[[GASB]:[GASB]],_xlfn.AGGREGATE(15,3,(TableDiv[[Agency]:[Agency]]=$E434)/(TableDiv[[Agency]:[Agency]]=$E434)*(ROW(TableDiv[Agency])-ROW(TableDiv[[#Headers],[Agency]])),COLUMNS($F$7:R$7))))</f>
        <v>0</v>
      </c>
      <c r="S434" s="2223" cm="1">
        <f t="array" ref="S434">IF($D434&lt;COLUMNS($F$7:S$7),"",INDEX(TableDiv[[GASB]:[GASB]],_xlfn.AGGREGATE(15,3,(TableDiv[[Agency]:[Agency]]=$E434)/(TableDiv[[Agency]:[Agency]]=$E434)*(ROW(TableDiv[Agency])-ROW(TableDiv[[#Headers],[Agency]])),COLUMNS($F$7:S$7))))</f>
        <v>0</v>
      </c>
      <c r="T434" s="2223" cm="1">
        <f t="array" ref="T434">IF($D434&lt;COLUMNS($F$7:T$7),"",INDEX(TableDiv[[GASB]:[GASB]],_xlfn.AGGREGATE(15,3,(TableDiv[[Agency]:[Agency]]=$E434)/(TableDiv[[Agency]:[Agency]]=$E434)*(ROW(TableDiv[Agency])-ROW(TableDiv[[#Headers],[Agency]])),COLUMNS($F$7:T$7))))</f>
        <v>0</v>
      </c>
      <c r="U434" s="2223" cm="1">
        <f t="array" ref="U434">IF($D434&lt;COLUMNS($F$7:U$7),"",INDEX(TableDiv[[GASB]:[GASB]],_xlfn.AGGREGATE(15,3,(TableDiv[[Agency]:[Agency]]=$E434)/(TableDiv[[Agency]:[Agency]]=$E434)*(ROW(TableDiv[Agency])-ROW(TableDiv[[#Headers],[Agency]])),COLUMNS($F$7:U$7))))</f>
        <v>0</v>
      </c>
      <c r="V434" s="2223" cm="1">
        <f t="array" ref="V434">IF($D434&lt;COLUMNS($F$7:V$7),"",INDEX(TableDiv[[GASB]:[GASB]],_xlfn.AGGREGATE(15,3,(TableDiv[[Agency]:[Agency]]=$E434)/(TableDiv[[Agency]:[Agency]]=$E434)*(ROW(TableDiv[Agency])-ROW(TableDiv[[#Headers],[Agency]])),COLUMNS($F$7:V$7))))</f>
        <v>0</v>
      </c>
      <c r="W434" s="2223" cm="1">
        <f t="array" ref="W434">IF($D434&lt;COLUMNS($F$7:W$7),"",INDEX(TableDiv[[GASB]:[GASB]],_xlfn.AGGREGATE(15,3,(TableDiv[[Agency]:[Agency]]=$E434)/(TableDiv[[Agency]:[Agency]]=$E434)*(ROW(TableDiv[Agency])-ROW(TableDiv[[#Headers],[Agency]])),COLUMNS($F$7:W$7))))</f>
        <v>0</v>
      </c>
      <c r="X434" s="2223" cm="1">
        <f t="array" ref="X434">IF($D434&lt;COLUMNS($F$7:X$7),"",INDEX(TableDiv[[GASB]:[GASB]],_xlfn.AGGREGATE(15,3,(TableDiv[[Agency]:[Agency]]=$E434)/(TableDiv[[Agency]:[Agency]]=$E434)*(ROW(TableDiv[Agency])-ROW(TableDiv[[#Headers],[Agency]])),COLUMNS($F$7:X$7))))</f>
        <v>0</v>
      </c>
      <c r="Y434" s="2223" cm="1">
        <f t="array" ref="Y434">IF($D434&lt;COLUMNS($F$7:Y$7),"",INDEX(TableDiv[[GASB]:[GASB]],_xlfn.AGGREGATE(15,3,(TableDiv[[Agency]:[Agency]]=$E434)/(TableDiv[[Agency]:[Agency]]=$E434)*(ROW(TableDiv[Agency])-ROW(TableDiv[[#Headers],[Agency]])),COLUMNS($F$7:Y$7))))</f>
        <v>0</v>
      </c>
      <c r="Z434" s="2223" cm="1">
        <f t="array" ref="Z434">IF($D434&lt;COLUMNS($F$7:Z$7),"",INDEX(TableDiv[[GASB]:[GASB]],_xlfn.AGGREGATE(15,3,(TableDiv[[Agency]:[Agency]]=$E434)/(TableDiv[[Agency]:[Agency]]=$E434)*(ROW(TableDiv[Agency])-ROW(TableDiv[[#Headers],[Agency]])),COLUMNS($F$7:Z$7))))</f>
        <v>0</v>
      </c>
      <c r="AA434" s="2223" cm="1">
        <f t="array" ref="AA434">IF($D434&lt;COLUMNS($F$7:AA$7),"",INDEX(TableDiv[[GASB]:[GASB]],_xlfn.AGGREGATE(15,3,(TableDiv[[Agency]:[Agency]]=$E434)/(TableDiv[[Agency]:[Agency]]=$E434)*(ROW(TableDiv[Agency])-ROW(TableDiv[[#Headers],[Agency]])),COLUMNS($F$7:AA$7))))</f>
        <v>0</v>
      </c>
      <c r="AB434" s="2223" cm="1">
        <f t="array" ref="AB434">IF($D434&lt;COLUMNS($F$7:AB$7),"",INDEX(TableDiv[[GASB]:[GASB]],_xlfn.AGGREGATE(15,3,(TableDiv[[Agency]:[Agency]]=$E434)/(TableDiv[[Agency]:[Agency]]=$E434)*(ROW(TableDiv[Agency])-ROW(TableDiv[[#Headers],[Agency]])),COLUMNS($F$7:AB$7))))</f>
        <v>0</v>
      </c>
      <c r="AC434" s="2223" cm="1">
        <f t="array" ref="AC434">IF($D434&lt;COLUMNS($F$7:AC$7),"",INDEX(TableDiv[[GASB]:[GASB]],_xlfn.AGGREGATE(15,3,(TableDiv[[Agency]:[Agency]]=$E434)/(TableDiv[[Agency]:[Agency]]=$E434)*(ROW(TableDiv[Agency])-ROW(TableDiv[[#Headers],[Agency]])),COLUMNS($F$7:AC$7))))</f>
        <v>0</v>
      </c>
      <c r="AD434" s="2223" cm="1">
        <f t="array" ref="AD434">IF($D434&lt;COLUMNS($F$7:AD$7),"",INDEX(TableDiv[[GASB]:[GASB]],_xlfn.AGGREGATE(15,3,(TableDiv[[Agency]:[Agency]]=$E434)/(TableDiv[[Agency]:[Agency]]=$E434)*(ROW(TableDiv[Agency])-ROW(TableDiv[[#Headers],[Agency]])),COLUMNS($F$7:AD$7))))</f>
        <v>0</v>
      </c>
      <c r="AE434" s="2223" cm="1">
        <f t="array" ref="AE434">IF($D434&lt;COLUMNS($F$7:AE$7),"",INDEX(TableDiv[[GASB]:[GASB]],_xlfn.AGGREGATE(15,3,(TableDiv[[Agency]:[Agency]]=$E434)/(TableDiv[[Agency]:[Agency]]=$E434)*(ROW(TableDiv[Agency])-ROW(TableDiv[[#Headers],[Agency]])),COLUMNS($F$7:AE$7))))</f>
        <v>0</v>
      </c>
      <c r="AF434" s="2223" cm="1">
        <f t="array" ref="AF434">IF($D434&lt;COLUMNS($F$7:AF$7),"",INDEX(TableDiv[[GASB]:[GASB]],_xlfn.AGGREGATE(15,3,(TableDiv[[Agency]:[Agency]]=$E434)/(TableDiv[[Agency]:[Agency]]=$E434)*(ROW(TableDiv[Agency])-ROW(TableDiv[[#Headers],[Agency]])),COLUMNS($F$7:AF$7))))</f>
        <v>0</v>
      </c>
      <c r="AG434" s="2223" cm="1">
        <f t="array" ref="AG434">IF($D434&lt;COLUMNS($F$7:AG$7),"",INDEX(TableDiv[[GASB]:[GASB]],_xlfn.AGGREGATE(15,3,(TableDiv[[Agency]:[Agency]]=$E434)/(TableDiv[[Agency]:[Agency]]=$E434)*(ROW(TableDiv[Agency])-ROW(TableDiv[[#Headers],[Agency]])),COLUMNS($F$7:AG$7))))</f>
        <v>0</v>
      </c>
      <c r="AH434" s="2223" cm="1">
        <f t="array" ref="AH434">IF($D434&lt;COLUMNS($F$7:AH$7),"",INDEX(TableDiv[[GASB]:[GASB]],_xlfn.AGGREGATE(15,3,(TableDiv[[Agency]:[Agency]]=$E434)/(TableDiv[[Agency]:[Agency]]=$E434)*(ROW(TableDiv[Agency])-ROW(TableDiv[[#Headers],[Agency]])),COLUMNS($F$7:AH$7))))</f>
        <v>0</v>
      </c>
      <c r="AI434" s="2223" cm="1">
        <f t="array" ref="AI434">IF($D434&lt;COLUMNS($F$7:AI$7),"",INDEX(TableDiv[[GASB]:[GASB]],_xlfn.AGGREGATE(15,3,(TableDiv[[Agency]:[Agency]]=$E434)/(TableDiv[[Agency]:[Agency]]=$E434)*(ROW(TableDiv[Agency])-ROW(TableDiv[[#Headers],[Agency]])),COLUMNS($F$7:AI$7))))</f>
        <v>0</v>
      </c>
      <c r="AJ434" s="2223" cm="1">
        <f t="array" ref="AJ434">IF($D434&lt;COLUMNS($F$7:AJ$7),"",INDEX(TableDiv[[GASB]:[GASB]],_xlfn.AGGREGATE(15,3,(TableDiv[[Agency]:[Agency]]=$E434)/(TableDiv[[Agency]:[Agency]]=$E434)*(ROW(TableDiv[Agency])-ROW(TableDiv[[#Headers],[Agency]])),COLUMNS($F$7:AJ$7))))</f>
        <v>0</v>
      </c>
      <c r="AK434" s="2223" t="str" cm="1">
        <f t="array" ref="AK434">IF($D434&lt;COLUMNS($F$7:AK$7),"",INDEX(TableDiv[[GASB]:[GASB]],_xlfn.AGGREGATE(15,3,(TableDiv[[Agency]:[Agency]]=$E434)/(TableDiv[[Agency]:[Agency]]=$E434)*(ROW(TableDiv[Agency])-ROW(TableDiv[[#Headers],[Agency]])),COLUMNS($F$7:AK$7))))</f>
        <v/>
      </c>
      <c r="AL434" s="2223" t="str" cm="1">
        <f t="array" ref="AL434">IF($D434&lt;COLUMNS($F$7:AL$7),"",INDEX(TableDiv[[GASB]:[GASB]],_xlfn.AGGREGATE(15,3,(TableDiv[[Agency]:[Agency]]=$E434)/(TableDiv[[Agency]:[Agency]]=$E434)*(ROW(TableDiv[Agency])-ROW(TableDiv[[#Headers],[Agency]])),COLUMNS($F$7:AL$7))))</f>
        <v/>
      </c>
      <c r="AM434" s="2223" t="str" cm="1">
        <f t="array" ref="AM434">IF($D434&lt;COLUMNS($F$7:AM$7),"",INDEX(TableDiv[[GASB]:[GASB]],_xlfn.AGGREGATE(15,3,(TableDiv[[Agency]:[Agency]]=$E434)/(TableDiv[[Agency]:[Agency]]=$E434)*(ROW(TableDiv[Agency])-ROW(TableDiv[[#Headers],[Agency]])),COLUMNS($F$7:AM$7))))</f>
        <v/>
      </c>
      <c r="AN434" s="2223"/>
      <c r="AO434" s="2223"/>
      <c r="AP434" s="2223"/>
      <c r="AQ434" s="2223"/>
      <c r="AR434" s="2223"/>
      <c r="AS434" s="2223"/>
    </row>
    <row r="435" spans="1:45" ht="15" x14ac:dyDescent="0.25">
      <c r="A435" s="2219" t="s">
        <v>5193</v>
      </c>
      <c r="B435" s="2219" t="s">
        <v>6543</v>
      </c>
      <c r="C435" s="2223"/>
      <c r="D435" s="2223">
        <f>COUNTIF(TableDiv[Agency],E435)</f>
        <v>31</v>
      </c>
      <c r="E435" s="2230" t="str" cm="1">
        <f t="array" ref="E435">IFERROR(INDEX(TableDiv[Agency],MATCH(0,INDEX(COUNTIF($E$7:E434,TableDiv[Agency]),),0)),"")</f>
        <v/>
      </c>
      <c r="F435" s="2223" cm="1">
        <f t="array" ref="F435">IF($D435&lt;COLUMNS($F$7:F$7),"",INDEX(TableDiv[[GASB]:[GASB]],_xlfn.AGGREGATE(15,3,(TableDiv[[Agency]:[Agency]]=$E435)/(TableDiv[[Agency]:[Agency]]=$E435)*(ROW(TableDiv[Agency])-ROW(TableDiv[[#Headers],[Agency]])),COLUMNS($F$7:F$7))))</f>
        <v>0</v>
      </c>
      <c r="G435" s="2223" cm="1">
        <f t="array" ref="G435">IF($D435&lt;COLUMNS($F$7:G$7),"",INDEX(TableDiv[[GASB]:[GASB]],_xlfn.AGGREGATE(15,3,(TableDiv[[Agency]:[Agency]]=$E435)/(TableDiv[[Agency]:[Agency]]=$E435)*(ROW(TableDiv[Agency])-ROW(TableDiv[[#Headers],[Agency]])),COLUMNS($F$7:G$7))))</f>
        <v>0</v>
      </c>
      <c r="H435" s="2223" cm="1">
        <f t="array" ref="H435">IF($D435&lt;COLUMNS($F$7:H$7),"",INDEX(TableDiv[[GASB]:[GASB]],_xlfn.AGGREGATE(15,3,(TableDiv[[Agency]:[Agency]]=$E435)/(TableDiv[[Agency]:[Agency]]=$E435)*(ROW(TableDiv[Agency])-ROW(TableDiv[[#Headers],[Agency]])),COLUMNS($F$7:H$7))))</f>
        <v>0</v>
      </c>
      <c r="I435" s="2223" cm="1">
        <f t="array" ref="I435">IF($D435&lt;COLUMNS($F$7:I$7),"",INDEX(TableDiv[[GASB]:[GASB]],_xlfn.AGGREGATE(15,3,(TableDiv[[Agency]:[Agency]]=$E435)/(TableDiv[[Agency]:[Agency]]=$E435)*(ROW(TableDiv[Agency])-ROW(TableDiv[[#Headers],[Agency]])),COLUMNS($F$7:I$7))))</f>
        <v>0</v>
      </c>
      <c r="J435" s="2223" cm="1">
        <f t="array" ref="J435">IF($D435&lt;COLUMNS($F$7:J$7),"",INDEX(TableDiv[[GASB]:[GASB]],_xlfn.AGGREGATE(15,3,(TableDiv[[Agency]:[Agency]]=$E435)/(TableDiv[[Agency]:[Agency]]=$E435)*(ROW(TableDiv[Agency])-ROW(TableDiv[[#Headers],[Agency]])),COLUMNS($F$7:J$7))))</f>
        <v>0</v>
      </c>
      <c r="K435" s="2223" cm="1">
        <f t="array" ref="K435">IF($D435&lt;COLUMNS($F$7:K$7),"",INDEX(TableDiv[[GASB]:[GASB]],_xlfn.AGGREGATE(15,3,(TableDiv[[Agency]:[Agency]]=$E435)/(TableDiv[[Agency]:[Agency]]=$E435)*(ROW(TableDiv[Agency])-ROW(TableDiv[[#Headers],[Agency]])),COLUMNS($F$7:K$7))))</f>
        <v>0</v>
      </c>
      <c r="L435" s="2223" cm="1">
        <f t="array" ref="L435">IF($D435&lt;COLUMNS($F$7:L$7),"",INDEX(TableDiv[[GASB]:[GASB]],_xlfn.AGGREGATE(15,3,(TableDiv[[Agency]:[Agency]]=$E435)/(TableDiv[[Agency]:[Agency]]=$E435)*(ROW(TableDiv[Agency])-ROW(TableDiv[[#Headers],[Agency]])),COLUMNS($F$7:L$7))))</f>
        <v>0</v>
      </c>
      <c r="M435" s="2223" cm="1">
        <f t="array" ref="M435">IF($D435&lt;COLUMNS($F$7:M$7),"",INDEX(TableDiv[[GASB]:[GASB]],_xlfn.AGGREGATE(15,3,(TableDiv[[Agency]:[Agency]]=$E435)/(TableDiv[[Agency]:[Agency]]=$E435)*(ROW(TableDiv[Agency])-ROW(TableDiv[[#Headers],[Agency]])),COLUMNS($F$7:M$7))))</f>
        <v>0</v>
      </c>
      <c r="N435" s="2223" cm="1">
        <f t="array" ref="N435">IF($D435&lt;COLUMNS($F$7:N$7),"",INDEX(TableDiv[[GASB]:[GASB]],_xlfn.AGGREGATE(15,3,(TableDiv[[Agency]:[Agency]]=$E435)/(TableDiv[[Agency]:[Agency]]=$E435)*(ROW(TableDiv[Agency])-ROW(TableDiv[[#Headers],[Agency]])),COLUMNS($F$7:N$7))))</f>
        <v>0</v>
      </c>
      <c r="O435" s="2223" cm="1">
        <f t="array" ref="O435">IF($D435&lt;COLUMNS($F$7:O$7),"",INDEX(TableDiv[[GASB]:[GASB]],_xlfn.AGGREGATE(15,3,(TableDiv[[Agency]:[Agency]]=$E435)/(TableDiv[[Agency]:[Agency]]=$E435)*(ROW(TableDiv[Agency])-ROW(TableDiv[[#Headers],[Agency]])),COLUMNS($F$7:O$7))))</f>
        <v>0</v>
      </c>
      <c r="P435" s="2223" cm="1">
        <f t="array" ref="P435">IF($D435&lt;COLUMNS($F$7:P$7),"",INDEX(TableDiv[[GASB]:[GASB]],_xlfn.AGGREGATE(15,3,(TableDiv[[Agency]:[Agency]]=$E435)/(TableDiv[[Agency]:[Agency]]=$E435)*(ROW(TableDiv[Agency])-ROW(TableDiv[[#Headers],[Agency]])),COLUMNS($F$7:P$7))))</f>
        <v>0</v>
      </c>
      <c r="Q435" s="2223" cm="1">
        <f t="array" ref="Q435">IF($D435&lt;COLUMNS($F$7:Q$7),"",INDEX(TableDiv[[GASB]:[GASB]],_xlfn.AGGREGATE(15,3,(TableDiv[[Agency]:[Agency]]=$E435)/(TableDiv[[Agency]:[Agency]]=$E435)*(ROW(TableDiv[Agency])-ROW(TableDiv[[#Headers],[Agency]])),COLUMNS($F$7:Q$7))))</f>
        <v>0</v>
      </c>
      <c r="R435" s="2223" cm="1">
        <f t="array" ref="R435">IF($D435&lt;COLUMNS($F$7:R$7),"",INDEX(TableDiv[[GASB]:[GASB]],_xlfn.AGGREGATE(15,3,(TableDiv[[Agency]:[Agency]]=$E435)/(TableDiv[[Agency]:[Agency]]=$E435)*(ROW(TableDiv[Agency])-ROW(TableDiv[[#Headers],[Agency]])),COLUMNS($F$7:R$7))))</f>
        <v>0</v>
      </c>
      <c r="S435" s="2223" cm="1">
        <f t="array" ref="S435">IF($D435&lt;COLUMNS($F$7:S$7),"",INDEX(TableDiv[[GASB]:[GASB]],_xlfn.AGGREGATE(15,3,(TableDiv[[Agency]:[Agency]]=$E435)/(TableDiv[[Agency]:[Agency]]=$E435)*(ROW(TableDiv[Agency])-ROW(TableDiv[[#Headers],[Agency]])),COLUMNS($F$7:S$7))))</f>
        <v>0</v>
      </c>
      <c r="T435" s="2223" cm="1">
        <f t="array" ref="T435">IF($D435&lt;COLUMNS($F$7:T$7),"",INDEX(TableDiv[[GASB]:[GASB]],_xlfn.AGGREGATE(15,3,(TableDiv[[Agency]:[Agency]]=$E435)/(TableDiv[[Agency]:[Agency]]=$E435)*(ROW(TableDiv[Agency])-ROW(TableDiv[[#Headers],[Agency]])),COLUMNS($F$7:T$7))))</f>
        <v>0</v>
      </c>
      <c r="U435" s="2223" cm="1">
        <f t="array" ref="U435">IF($D435&lt;COLUMNS($F$7:U$7),"",INDEX(TableDiv[[GASB]:[GASB]],_xlfn.AGGREGATE(15,3,(TableDiv[[Agency]:[Agency]]=$E435)/(TableDiv[[Agency]:[Agency]]=$E435)*(ROW(TableDiv[Agency])-ROW(TableDiv[[#Headers],[Agency]])),COLUMNS($F$7:U$7))))</f>
        <v>0</v>
      </c>
      <c r="V435" s="2223" cm="1">
        <f t="array" ref="V435">IF($D435&lt;COLUMNS($F$7:V$7),"",INDEX(TableDiv[[GASB]:[GASB]],_xlfn.AGGREGATE(15,3,(TableDiv[[Agency]:[Agency]]=$E435)/(TableDiv[[Agency]:[Agency]]=$E435)*(ROW(TableDiv[Agency])-ROW(TableDiv[[#Headers],[Agency]])),COLUMNS($F$7:V$7))))</f>
        <v>0</v>
      </c>
      <c r="W435" s="2223" cm="1">
        <f t="array" ref="W435">IF($D435&lt;COLUMNS($F$7:W$7),"",INDEX(TableDiv[[GASB]:[GASB]],_xlfn.AGGREGATE(15,3,(TableDiv[[Agency]:[Agency]]=$E435)/(TableDiv[[Agency]:[Agency]]=$E435)*(ROW(TableDiv[Agency])-ROW(TableDiv[[#Headers],[Agency]])),COLUMNS($F$7:W$7))))</f>
        <v>0</v>
      </c>
      <c r="X435" s="2223" cm="1">
        <f t="array" ref="X435">IF($D435&lt;COLUMNS($F$7:X$7),"",INDEX(TableDiv[[GASB]:[GASB]],_xlfn.AGGREGATE(15,3,(TableDiv[[Agency]:[Agency]]=$E435)/(TableDiv[[Agency]:[Agency]]=$E435)*(ROW(TableDiv[Agency])-ROW(TableDiv[[#Headers],[Agency]])),COLUMNS($F$7:X$7))))</f>
        <v>0</v>
      </c>
      <c r="Y435" s="2223" cm="1">
        <f t="array" ref="Y435">IF($D435&lt;COLUMNS($F$7:Y$7),"",INDEX(TableDiv[[GASB]:[GASB]],_xlfn.AGGREGATE(15,3,(TableDiv[[Agency]:[Agency]]=$E435)/(TableDiv[[Agency]:[Agency]]=$E435)*(ROW(TableDiv[Agency])-ROW(TableDiv[[#Headers],[Agency]])),COLUMNS($F$7:Y$7))))</f>
        <v>0</v>
      </c>
      <c r="Z435" s="2223" cm="1">
        <f t="array" ref="Z435">IF($D435&lt;COLUMNS($F$7:Z$7),"",INDEX(TableDiv[[GASB]:[GASB]],_xlfn.AGGREGATE(15,3,(TableDiv[[Agency]:[Agency]]=$E435)/(TableDiv[[Agency]:[Agency]]=$E435)*(ROW(TableDiv[Agency])-ROW(TableDiv[[#Headers],[Agency]])),COLUMNS($F$7:Z$7))))</f>
        <v>0</v>
      </c>
      <c r="AA435" s="2223" cm="1">
        <f t="array" ref="AA435">IF($D435&lt;COLUMNS($F$7:AA$7),"",INDEX(TableDiv[[GASB]:[GASB]],_xlfn.AGGREGATE(15,3,(TableDiv[[Agency]:[Agency]]=$E435)/(TableDiv[[Agency]:[Agency]]=$E435)*(ROW(TableDiv[Agency])-ROW(TableDiv[[#Headers],[Agency]])),COLUMNS($F$7:AA$7))))</f>
        <v>0</v>
      </c>
      <c r="AB435" s="2223" cm="1">
        <f t="array" ref="AB435">IF($D435&lt;COLUMNS($F$7:AB$7),"",INDEX(TableDiv[[GASB]:[GASB]],_xlfn.AGGREGATE(15,3,(TableDiv[[Agency]:[Agency]]=$E435)/(TableDiv[[Agency]:[Agency]]=$E435)*(ROW(TableDiv[Agency])-ROW(TableDiv[[#Headers],[Agency]])),COLUMNS($F$7:AB$7))))</f>
        <v>0</v>
      </c>
      <c r="AC435" s="2223" cm="1">
        <f t="array" ref="AC435">IF($D435&lt;COLUMNS($F$7:AC$7),"",INDEX(TableDiv[[GASB]:[GASB]],_xlfn.AGGREGATE(15,3,(TableDiv[[Agency]:[Agency]]=$E435)/(TableDiv[[Agency]:[Agency]]=$E435)*(ROW(TableDiv[Agency])-ROW(TableDiv[[#Headers],[Agency]])),COLUMNS($F$7:AC$7))))</f>
        <v>0</v>
      </c>
      <c r="AD435" s="2223" cm="1">
        <f t="array" ref="AD435">IF($D435&lt;COLUMNS($F$7:AD$7),"",INDEX(TableDiv[[GASB]:[GASB]],_xlfn.AGGREGATE(15,3,(TableDiv[[Agency]:[Agency]]=$E435)/(TableDiv[[Agency]:[Agency]]=$E435)*(ROW(TableDiv[Agency])-ROW(TableDiv[[#Headers],[Agency]])),COLUMNS($F$7:AD$7))))</f>
        <v>0</v>
      </c>
      <c r="AE435" s="2223" cm="1">
        <f t="array" ref="AE435">IF($D435&lt;COLUMNS($F$7:AE$7),"",INDEX(TableDiv[[GASB]:[GASB]],_xlfn.AGGREGATE(15,3,(TableDiv[[Agency]:[Agency]]=$E435)/(TableDiv[[Agency]:[Agency]]=$E435)*(ROW(TableDiv[Agency])-ROW(TableDiv[[#Headers],[Agency]])),COLUMNS($F$7:AE$7))))</f>
        <v>0</v>
      </c>
      <c r="AF435" s="2223" cm="1">
        <f t="array" ref="AF435">IF($D435&lt;COLUMNS($F$7:AF$7),"",INDEX(TableDiv[[GASB]:[GASB]],_xlfn.AGGREGATE(15,3,(TableDiv[[Agency]:[Agency]]=$E435)/(TableDiv[[Agency]:[Agency]]=$E435)*(ROW(TableDiv[Agency])-ROW(TableDiv[[#Headers],[Agency]])),COLUMNS($F$7:AF$7))))</f>
        <v>0</v>
      </c>
      <c r="AG435" s="2223" cm="1">
        <f t="array" ref="AG435">IF($D435&lt;COLUMNS($F$7:AG$7),"",INDEX(TableDiv[[GASB]:[GASB]],_xlfn.AGGREGATE(15,3,(TableDiv[[Agency]:[Agency]]=$E435)/(TableDiv[[Agency]:[Agency]]=$E435)*(ROW(TableDiv[Agency])-ROW(TableDiv[[#Headers],[Agency]])),COLUMNS($F$7:AG$7))))</f>
        <v>0</v>
      </c>
      <c r="AH435" s="2223" cm="1">
        <f t="array" ref="AH435">IF($D435&lt;COLUMNS($F$7:AH$7),"",INDEX(TableDiv[[GASB]:[GASB]],_xlfn.AGGREGATE(15,3,(TableDiv[[Agency]:[Agency]]=$E435)/(TableDiv[[Agency]:[Agency]]=$E435)*(ROW(TableDiv[Agency])-ROW(TableDiv[[#Headers],[Agency]])),COLUMNS($F$7:AH$7))))</f>
        <v>0</v>
      </c>
      <c r="AI435" s="2223" cm="1">
        <f t="array" ref="AI435">IF($D435&lt;COLUMNS($F$7:AI$7),"",INDEX(TableDiv[[GASB]:[GASB]],_xlfn.AGGREGATE(15,3,(TableDiv[[Agency]:[Agency]]=$E435)/(TableDiv[[Agency]:[Agency]]=$E435)*(ROW(TableDiv[Agency])-ROW(TableDiv[[#Headers],[Agency]])),COLUMNS($F$7:AI$7))))</f>
        <v>0</v>
      </c>
      <c r="AJ435" s="2223" cm="1">
        <f t="array" ref="AJ435">IF($D435&lt;COLUMNS($F$7:AJ$7),"",INDEX(TableDiv[[GASB]:[GASB]],_xlfn.AGGREGATE(15,3,(TableDiv[[Agency]:[Agency]]=$E435)/(TableDiv[[Agency]:[Agency]]=$E435)*(ROW(TableDiv[Agency])-ROW(TableDiv[[#Headers],[Agency]])),COLUMNS($F$7:AJ$7))))</f>
        <v>0</v>
      </c>
      <c r="AK435" s="2223" t="str" cm="1">
        <f t="array" ref="AK435">IF($D435&lt;COLUMNS($F$7:AK$7),"",INDEX(TableDiv[[GASB]:[GASB]],_xlfn.AGGREGATE(15,3,(TableDiv[[Agency]:[Agency]]=$E435)/(TableDiv[[Agency]:[Agency]]=$E435)*(ROW(TableDiv[Agency])-ROW(TableDiv[[#Headers],[Agency]])),COLUMNS($F$7:AK$7))))</f>
        <v/>
      </c>
      <c r="AL435" s="2223" t="str" cm="1">
        <f t="array" ref="AL435">IF($D435&lt;COLUMNS($F$7:AL$7),"",INDEX(TableDiv[[GASB]:[GASB]],_xlfn.AGGREGATE(15,3,(TableDiv[[Agency]:[Agency]]=$E435)/(TableDiv[[Agency]:[Agency]]=$E435)*(ROW(TableDiv[Agency])-ROW(TableDiv[[#Headers],[Agency]])),COLUMNS($F$7:AL$7))))</f>
        <v/>
      </c>
      <c r="AM435" s="2223" t="str" cm="1">
        <f t="array" ref="AM435">IF($D435&lt;COLUMNS($F$7:AM$7),"",INDEX(TableDiv[[GASB]:[GASB]],_xlfn.AGGREGATE(15,3,(TableDiv[[Agency]:[Agency]]=$E435)/(TableDiv[[Agency]:[Agency]]=$E435)*(ROW(TableDiv[Agency])-ROW(TableDiv[[#Headers],[Agency]])),COLUMNS($F$7:AM$7))))</f>
        <v/>
      </c>
      <c r="AN435" s="2223"/>
      <c r="AO435" s="2223"/>
      <c r="AP435" s="2223"/>
      <c r="AQ435" s="2223"/>
      <c r="AR435" s="2223"/>
      <c r="AS435" s="2223"/>
    </row>
    <row r="436" spans="1:45" ht="15" x14ac:dyDescent="0.25">
      <c r="A436" s="2219" t="s">
        <v>5195</v>
      </c>
      <c r="B436" s="2219" t="s">
        <v>6543</v>
      </c>
      <c r="C436" s="2223"/>
      <c r="D436" s="2223">
        <f>COUNTIF(TableDiv[Agency],E436)</f>
        <v>31</v>
      </c>
      <c r="E436" s="2230" t="str" cm="1">
        <f t="array" ref="E436">IFERROR(INDEX(TableDiv[Agency],MATCH(0,INDEX(COUNTIF($E$7:E435,TableDiv[Agency]),),0)),"")</f>
        <v/>
      </c>
      <c r="F436" s="2223" cm="1">
        <f t="array" ref="F436">IF($D436&lt;COLUMNS($F$7:F$7),"",INDEX(TableDiv[[GASB]:[GASB]],_xlfn.AGGREGATE(15,3,(TableDiv[[Agency]:[Agency]]=$E436)/(TableDiv[[Agency]:[Agency]]=$E436)*(ROW(TableDiv[Agency])-ROW(TableDiv[[#Headers],[Agency]])),COLUMNS($F$7:F$7))))</f>
        <v>0</v>
      </c>
      <c r="G436" s="2223" cm="1">
        <f t="array" ref="G436">IF($D436&lt;COLUMNS($F$7:G$7),"",INDEX(TableDiv[[GASB]:[GASB]],_xlfn.AGGREGATE(15,3,(TableDiv[[Agency]:[Agency]]=$E436)/(TableDiv[[Agency]:[Agency]]=$E436)*(ROW(TableDiv[Agency])-ROW(TableDiv[[#Headers],[Agency]])),COLUMNS($F$7:G$7))))</f>
        <v>0</v>
      </c>
      <c r="H436" s="2223" cm="1">
        <f t="array" ref="H436">IF($D436&lt;COLUMNS($F$7:H$7),"",INDEX(TableDiv[[GASB]:[GASB]],_xlfn.AGGREGATE(15,3,(TableDiv[[Agency]:[Agency]]=$E436)/(TableDiv[[Agency]:[Agency]]=$E436)*(ROW(TableDiv[Agency])-ROW(TableDiv[[#Headers],[Agency]])),COLUMNS($F$7:H$7))))</f>
        <v>0</v>
      </c>
      <c r="I436" s="2223" cm="1">
        <f t="array" ref="I436">IF($D436&lt;COLUMNS($F$7:I$7),"",INDEX(TableDiv[[GASB]:[GASB]],_xlfn.AGGREGATE(15,3,(TableDiv[[Agency]:[Agency]]=$E436)/(TableDiv[[Agency]:[Agency]]=$E436)*(ROW(TableDiv[Agency])-ROW(TableDiv[[#Headers],[Agency]])),COLUMNS($F$7:I$7))))</f>
        <v>0</v>
      </c>
      <c r="J436" s="2223" cm="1">
        <f t="array" ref="J436">IF($D436&lt;COLUMNS($F$7:J$7),"",INDEX(TableDiv[[GASB]:[GASB]],_xlfn.AGGREGATE(15,3,(TableDiv[[Agency]:[Agency]]=$E436)/(TableDiv[[Agency]:[Agency]]=$E436)*(ROW(TableDiv[Agency])-ROW(TableDiv[[#Headers],[Agency]])),COLUMNS($F$7:J$7))))</f>
        <v>0</v>
      </c>
      <c r="K436" s="2223" cm="1">
        <f t="array" ref="K436">IF($D436&lt;COLUMNS($F$7:K$7),"",INDEX(TableDiv[[GASB]:[GASB]],_xlfn.AGGREGATE(15,3,(TableDiv[[Agency]:[Agency]]=$E436)/(TableDiv[[Agency]:[Agency]]=$E436)*(ROW(TableDiv[Agency])-ROW(TableDiv[[#Headers],[Agency]])),COLUMNS($F$7:K$7))))</f>
        <v>0</v>
      </c>
      <c r="L436" s="2223" cm="1">
        <f t="array" ref="L436">IF($D436&lt;COLUMNS($F$7:L$7),"",INDEX(TableDiv[[GASB]:[GASB]],_xlfn.AGGREGATE(15,3,(TableDiv[[Agency]:[Agency]]=$E436)/(TableDiv[[Agency]:[Agency]]=$E436)*(ROW(TableDiv[Agency])-ROW(TableDiv[[#Headers],[Agency]])),COLUMNS($F$7:L$7))))</f>
        <v>0</v>
      </c>
      <c r="M436" s="2223" cm="1">
        <f t="array" ref="M436">IF($D436&lt;COLUMNS($F$7:M$7),"",INDEX(TableDiv[[GASB]:[GASB]],_xlfn.AGGREGATE(15,3,(TableDiv[[Agency]:[Agency]]=$E436)/(TableDiv[[Agency]:[Agency]]=$E436)*(ROW(TableDiv[Agency])-ROW(TableDiv[[#Headers],[Agency]])),COLUMNS($F$7:M$7))))</f>
        <v>0</v>
      </c>
      <c r="N436" s="2223" cm="1">
        <f t="array" ref="N436">IF($D436&lt;COLUMNS($F$7:N$7),"",INDEX(TableDiv[[GASB]:[GASB]],_xlfn.AGGREGATE(15,3,(TableDiv[[Agency]:[Agency]]=$E436)/(TableDiv[[Agency]:[Agency]]=$E436)*(ROW(TableDiv[Agency])-ROW(TableDiv[[#Headers],[Agency]])),COLUMNS($F$7:N$7))))</f>
        <v>0</v>
      </c>
      <c r="O436" s="2223" cm="1">
        <f t="array" ref="O436">IF($D436&lt;COLUMNS($F$7:O$7),"",INDEX(TableDiv[[GASB]:[GASB]],_xlfn.AGGREGATE(15,3,(TableDiv[[Agency]:[Agency]]=$E436)/(TableDiv[[Agency]:[Agency]]=$E436)*(ROW(TableDiv[Agency])-ROW(TableDiv[[#Headers],[Agency]])),COLUMNS($F$7:O$7))))</f>
        <v>0</v>
      </c>
      <c r="P436" s="2223" cm="1">
        <f t="array" ref="P436">IF($D436&lt;COLUMNS($F$7:P$7),"",INDEX(TableDiv[[GASB]:[GASB]],_xlfn.AGGREGATE(15,3,(TableDiv[[Agency]:[Agency]]=$E436)/(TableDiv[[Agency]:[Agency]]=$E436)*(ROW(TableDiv[Agency])-ROW(TableDiv[[#Headers],[Agency]])),COLUMNS($F$7:P$7))))</f>
        <v>0</v>
      </c>
      <c r="Q436" s="2223" cm="1">
        <f t="array" ref="Q436">IF($D436&lt;COLUMNS($F$7:Q$7),"",INDEX(TableDiv[[GASB]:[GASB]],_xlfn.AGGREGATE(15,3,(TableDiv[[Agency]:[Agency]]=$E436)/(TableDiv[[Agency]:[Agency]]=$E436)*(ROW(TableDiv[Agency])-ROW(TableDiv[[#Headers],[Agency]])),COLUMNS($F$7:Q$7))))</f>
        <v>0</v>
      </c>
      <c r="R436" s="2223" cm="1">
        <f t="array" ref="R436">IF($D436&lt;COLUMNS($F$7:R$7),"",INDEX(TableDiv[[GASB]:[GASB]],_xlfn.AGGREGATE(15,3,(TableDiv[[Agency]:[Agency]]=$E436)/(TableDiv[[Agency]:[Agency]]=$E436)*(ROW(TableDiv[Agency])-ROW(TableDiv[[#Headers],[Agency]])),COLUMNS($F$7:R$7))))</f>
        <v>0</v>
      </c>
      <c r="S436" s="2223" cm="1">
        <f t="array" ref="S436">IF($D436&lt;COLUMNS($F$7:S$7),"",INDEX(TableDiv[[GASB]:[GASB]],_xlfn.AGGREGATE(15,3,(TableDiv[[Agency]:[Agency]]=$E436)/(TableDiv[[Agency]:[Agency]]=$E436)*(ROW(TableDiv[Agency])-ROW(TableDiv[[#Headers],[Agency]])),COLUMNS($F$7:S$7))))</f>
        <v>0</v>
      </c>
      <c r="T436" s="2223" cm="1">
        <f t="array" ref="T436">IF($D436&lt;COLUMNS($F$7:T$7),"",INDEX(TableDiv[[GASB]:[GASB]],_xlfn.AGGREGATE(15,3,(TableDiv[[Agency]:[Agency]]=$E436)/(TableDiv[[Agency]:[Agency]]=$E436)*(ROW(TableDiv[Agency])-ROW(TableDiv[[#Headers],[Agency]])),COLUMNS($F$7:T$7))))</f>
        <v>0</v>
      </c>
      <c r="U436" s="2223" cm="1">
        <f t="array" ref="U436">IF($D436&lt;COLUMNS($F$7:U$7),"",INDEX(TableDiv[[GASB]:[GASB]],_xlfn.AGGREGATE(15,3,(TableDiv[[Agency]:[Agency]]=$E436)/(TableDiv[[Agency]:[Agency]]=$E436)*(ROW(TableDiv[Agency])-ROW(TableDiv[[#Headers],[Agency]])),COLUMNS($F$7:U$7))))</f>
        <v>0</v>
      </c>
      <c r="V436" s="2223" cm="1">
        <f t="array" ref="V436">IF($D436&lt;COLUMNS($F$7:V$7),"",INDEX(TableDiv[[GASB]:[GASB]],_xlfn.AGGREGATE(15,3,(TableDiv[[Agency]:[Agency]]=$E436)/(TableDiv[[Agency]:[Agency]]=$E436)*(ROW(TableDiv[Agency])-ROW(TableDiv[[#Headers],[Agency]])),COLUMNS($F$7:V$7))))</f>
        <v>0</v>
      </c>
      <c r="W436" s="2223" cm="1">
        <f t="array" ref="W436">IF($D436&lt;COLUMNS($F$7:W$7),"",INDEX(TableDiv[[GASB]:[GASB]],_xlfn.AGGREGATE(15,3,(TableDiv[[Agency]:[Agency]]=$E436)/(TableDiv[[Agency]:[Agency]]=$E436)*(ROW(TableDiv[Agency])-ROW(TableDiv[[#Headers],[Agency]])),COLUMNS($F$7:W$7))))</f>
        <v>0</v>
      </c>
      <c r="X436" s="2223" cm="1">
        <f t="array" ref="X436">IF($D436&lt;COLUMNS($F$7:X$7),"",INDEX(TableDiv[[GASB]:[GASB]],_xlfn.AGGREGATE(15,3,(TableDiv[[Agency]:[Agency]]=$E436)/(TableDiv[[Agency]:[Agency]]=$E436)*(ROW(TableDiv[Agency])-ROW(TableDiv[[#Headers],[Agency]])),COLUMNS($F$7:X$7))))</f>
        <v>0</v>
      </c>
      <c r="Y436" s="2223" cm="1">
        <f t="array" ref="Y436">IF($D436&lt;COLUMNS($F$7:Y$7),"",INDEX(TableDiv[[GASB]:[GASB]],_xlfn.AGGREGATE(15,3,(TableDiv[[Agency]:[Agency]]=$E436)/(TableDiv[[Agency]:[Agency]]=$E436)*(ROW(TableDiv[Agency])-ROW(TableDiv[[#Headers],[Agency]])),COLUMNS($F$7:Y$7))))</f>
        <v>0</v>
      </c>
      <c r="Z436" s="2223" cm="1">
        <f t="array" ref="Z436">IF($D436&lt;COLUMNS($F$7:Z$7),"",INDEX(TableDiv[[GASB]:[GASB]],_xlfn.AGGREGATE(15,3,(TableDiv[[Agency]:[Agency]]=$E436)/(TableDiv[[Agency]:[Agency]]=$E436)*(ROW(TableDiv[Agency])-ROW(TableDiv[[#Headers],[Agency]])),COLUMNS($F$7:Z$7))))</f>
        <v>0</v>
      </c>
      <c r="AA436" s="2223" cm="1">
        <f t="array" ref="AA436">IF($D436&lt;COLUMNS($F$7:AA$7),"",INDEX(TableDiv[[GASB]:[GASB]],_xlfn.AGGREGATE(15,3,(TableDiv[[Agency]:[Agency]]=$E436)/(TableDiv[[Agency]:[Agency]]=$E436)*(ROW(TableDiv[Agency])-ROW(TableDiv[[#Headers],[Agency]])),COLUMNS($F$7:AA$7))))</f>
        <v>0</v>
      </c>
      <c r="AB436" s="2223" cm="1">
        <f t="array" ref="AB436">IF($D436&lt;COLUMNS($F$7:AB$7),"",INDEX(TableDiv[[GASB]:[GASB]],_xlfn.AGGREGATE(15,3,(TableDiv[[Agency]:[Agency]]=$E436)/(TableDiv[[Agency]:[Agency]]=$E436)*(ROW(TableDiv[Agency])-ROW(TableDiv[[#Headers],[Agency]])),COLUMNS($F$7:AB$7))))</f>
        <v>0</v>
      </c>
      <c r="AC436" s="2223" cm="1">
        <f t="array" ref="AC436">IF($D436&lt;COLUMNS($F$7:AC$7),"",INDEX(TableDiv[[GASB]:[GASB]],_xlfn.AGGREGATE(15,3,(TableDiv[[Agency]:[Agency]]=$E436)/(TableDiv[[Agency]:[Agency]]=$E436)*(ROW(TableDiv[Agency])-ROW(TableDiv[[#Headers],[Agency]])),COLUMNS($F$7:AC$7))))</f>
        <v>0</v>
      </c>
      <c r="AD436" s="2223" cm="1">
        <f t="array" ref="AD436">IF($D436&lt;COLUMNS($F$7:AD$7),"",INDEX(TableDiv[[GASB]:[GASB]],_xlfn.AGGREGATE(15,3,(TableDiv[[Agency]:[Agency]]=$E436)/(TableDiv[[Agency]:[Agency]]=$E436)*(ROW(TableDiv[Agency])-ROW(TableDiv[[#Headers],[Agency]])),COLUMNS($F$7:AD$7))))</f>
        <v>0</v>
      </c>
      <c r="AE436" s="2223" cm="1">
        <f t="array" ref="AE436">IF($D436&lt;COLUMNS($F$7:AE$7),"",INDEX(TableDiv[[GASB]:[GASB]],_xlfn.AGGREGATE(15,3,(TableDiv[[Agency]:[Agency]]=$E436)/(TableDiv[[Agency]:[Agency]]=$E436)*(ROW(TableDiv[Agency])-ROW(TableDiv[[#Headers],[Agency]])),COLUMNS($F$7:AE$7))))</f>
        <v>0</v>
      </c>
      <c r="AF436" s="2223" cm="1">
        <f t="array" ref="AF436">IF($D436&lt;COLUMNS($F$7:AF$7),"",INDEX(TableDiv[[GASB]:[GASB]],_xlfn.AGGREGATE(15,3,(TableDiv[[Agency]:[Agency]]=$E436)/(TableDiv[[Agency]:[Agency]]=$E436)*(ROW(TableDiv[Agency])-ROW(TableDiv[[#Headers],[Agency]])),COLUMNS($F$7:AF$7))))</f>
        <v>0</v>
      </c>
      <c r="AG436" s="2223" cm="1">
        <f t="array" ref="AG436">IF($D436&lt;COLUMNS($F$7:AG$7),"",INDEX(TableDiv[[GASB]:[GASB]],_xlfn.AGGREGATE(15,3,(TableDiv[[Agency]:[Agency]]=$E436)/(TableDiv[[Agency]:[Agency]]=$E436)*(ROW(TableDiv[Agency])-ROW(TableDiv[[#Headers],[Agency]])),COLUMNS($F$7:AG$7))))</f>
        <v>0</v>
      </c>
      <c r="AH436" s="2223" cm="1">
        <f t="array" ref="AH436">IF($D436&lt;COLUMNS($F$7:AH$7),"",INDEX(TableDiv[[GASB]:[GASB]],_xlfn.AGGREGATE(15,3,(TableDiv[[Agency]:[Agency]]=$E436)/(TableDiv[[Agency]:[Agency]]=$E436)*(ROW(TableDiv[Agency])-ROW(TableDiv[[#Headers],[Agency]])),COLUMNS($F$7:AH$7))))</f>
        <v>0</v>
      </c>
      <c r="AI436" s="2223" cm="1">
        <f t="array" ref="AI436">IF($D436&lt;COLUMNS($F$7:AI$7),"",INDEX(TableDiv[[GASB]:[GASB]],_xlfn.AGGREGATE(15,3,(TableDiv[[Agency]:[Agency]]=$E436)/(TableDiv[[Agency]:[Agency]]=$E436)*(ROW(TableDiv[Agency])-ROW(TableDiv[[#Headers],[Agency]])),COLUMNS($F$7:AI$7))))</f>
        <v>0</v>
      </c>
      <c r="AJ436" s="2223" cm="1">
        <f t="array" ref="AJ436">IF($D436&lt;COLUMNS($F$7:AJ$7),"",INDEX(TableDiv[[GASB]:[GASB]],_xlfn.AGGREGATE(15,3,(TableDiv[[Agency]:[Agency]]=$E436)/(TableDiv[[Agency]:[Agency]]=$E436)*(ROW(TableDiv[Agency])-ROW(TableDiv[[#Headers],[Agency]])),COLUMNS($F$7:AJ$7))))</f>
        <v>0</v>
      </c>
      <c r="AK436" s="2223" t="str" cm="1">
        <f t="array" ref="AK436">IF($D436&lt;COLUMNS($F$7:AK$7),"",INDEX(TableDiv[[GASB]:[GASB]],_xlfn.AGGREGATE(15,3,(TableDiv[[Agency]:[Agency]]=$E436)/(TableDiv[[Agency]:[Agency]]=$E436)*(ROW(TableDiv[Agency])-ROW(TableDiv[[#Headers],[Agency]])),COLUMNS($F$7:AK$7))))</f>
        <v/>
      </c>
      <c r="AL436" s="2223" t="str" cm="1">
        <f t="array" ref="AL436">IF($D436&lt;COLUMNS($F$7:AL$7),"",INDEX(TableDiv[[GASB]:[GASB]],_xlfn.AGGREGATE(15,3,(TableDiv[[Agency]:[Agency]]=$E436)/(TableDiv[[Agency]:[Agency]]=$E436)*(ROW(TableDiv[Agency])-ROW(TableDiv[[#Headers],[Agency]])),COLUMNS($F$7:AL$7))))</f>
        <v/>
      </c>
      <c r="AM436" s="2223" t="str" cm="1">
        <f t="array" ref="AM436">IF($D436&lt;COLUMNS($F$7:AM$7),"",INDEX(TableDiv[[GASB]:[GASB]],_xlfn.AGGREGATE(15,3,(TableDiv[[Agency]:[Agency]]=$E436)/(TableDiv[[Agency]:[Agency]]=$E436)*(ROW(TableDiv[Agency])-ROW(TableDiv[[#Headers],[Agency]])),COLUMNS($F$7:AM$7))))</f>
        <v/>
      </c>
      <c r="AN436" s="2223"/>
      <c r="AO436" s="2223"/>
      <c r="AP436" s="2223"/>
      <c r="AQ436" s="2223"/>
      <c r="AR436" s="2223"/>
      <c r="AS436" s="2223"/>
    </row>
    <row r="437" spans="1:45" ht="15" x14ac:dyDescent="0.25">
      <c r="A437" s="2219" t="s">
        <v>5197</v>
      </c>
      <c r="B437" s="2219" t="s">
        <v>6543</v>
      </c>
      <c r="C437" s="2223"/>
      <c r="D437" s="2223">
        <f>COUNTIF(TableDiv[Agency],E437)</f>
        <v>31</v>
      </c>
      <c r="E437" s="2230" t="str" cm="1">
        <f t="array" ref="E437">IFERROR(INDEX(TableDiv[Agency],MATCH(0,INDEX(COUNTIF($E$7:E436,TableDiv[Agency]),),0)),"")</f>
        <v/>
      </c>
      <c r="F437" s="2223" cm="1">
        <f t="array" ref="F437">IF($D437&lt;COLUMNS($F$7:F$7),"",INDEX(TableDiv[[GASB]:[GASB]],_xlfn.AGGREGATE(15,3,(TableDiv[[Agency]:[Agency]]=$E437)/(TableDiv[[Agency]:[Agency]]=$E437)*(ROW(TableDiv[Agency])-ROW(TableDiv[[#Headers],[Agency]])),COLUMNS($F$7:F$7))))</f>
        <v>0</v>
      </c>
      <c r="G437" s="2223" cm="1">
        <f t="array" ref="G437">IF($D437&lt;COLUMNS($F$7:G$7),"",INDEX(TableDiv[[GASB]:[GASB]],_xlfn.AGGREGATE(15,3,(TableDiv[[Agency]:[Agency]]=$E437)/(TableDiv[[Agency]:[Agency]]=$E437)*(ROW(TableDiv[Agency])-ROW(TableDiv[[#Headers],[Agency]])),COLUMNS($F$7:G$7))))</f>
        <v>0</v>
      </c>
      <c r="H437" s="2223" cm="1">
        <f t="array" ref="H437">IF($D437&lt;COLUMNS($F$7:H$7),"",INDEX(TableDiv[[GASB]:[GASB]],_xlfn.AGGREGATE(15,3,(TableDiv[[Agency]:[Agency]]=$E437)/(TableDiv[[Agency]:[Agency]]=$E437)*(ROW(TableDiv[Agency])-ROW(TableDiv[[#Headers],[Agency]])),COLUMNS($F$7:H$7))))</f>
        <v>0</v>
      </c>
      <c r="I437" s="2223" cm="1">
        <f t="array" ref="I437">IF($D437&lt;COLUMNS($F$7:I$7),"",INDEX(TableDiv[[GASB]:[GASB]],_xlfn.AGGREGATE(15,3,(TableDiv[[Agency]:[Agency]]=$E437)/(TableDiv[[Agency]:[Agency]]=$E437)*(ROW(TableDiv[Agency])-ROW(TableDiv[[#Headers],[Agency]])),COLUMNS($F$7:I$7))))</f>
        <v>0</v>
      </c>
      <c r="J437" s="2223" cm="1">
        <f t="array" ref="J437">IF($D437&lt;COLUMNS($F$7:J$7),"",INDEX(TableDiv[[GASB]:[GASB]],_xlfn.AGGREGATE(15,3,(TableDiv[[Agency]:[Agency]]=$E437)/(TableDiv[[Agency]:[Agency]]=$E437)*(ROW(TableDiv[Agency])-ROW(TableDiv[[#Headers],[Agency]])),COLUMNS($F$7:J$7))))</f>
        <v>0</v>
      </c>
      <c r="K437" s="2223" cm="1">
        <f t="array" ref="K437">IF($D437&lt;COLUMNS($F$7:K$7),"",INDEX(TableDiv[[GASB]:[GASB]],_xlfn.AGGREGATE(15,3,(TableDiv[[Agency]:[Agency]]=$E437)/(TableDiv[[Agency]:[Agency]]=$E437)*(ROW(TableDiv[Agency])-ROW(TableDiv[[#Headers],[Agency]])),COLUMNS($F$7:K$7))))</f>
        <v>0</v>
      </c>
      <c r="L437" s="2223" cm="1">
        <f t="array" ref="L437">IF($D437&lt;COLUMNS($F$7:L$7),"",INDEX(TableDiv[[GASB]:[GASB]],_xlfn.AGGREGATE(15,3,(TableDiv[[Agency]:[Agency]]=$E437)/(TableDiv[[Agency]:[Agency]]=$E437)*(ROW(TableDiv[Agency])-ROW(TableDiv[[#Headers],[Agency]])),COLUMNS($F$7:L$7))))</f>
        <v>0</v>
      </c>
      <c r="M437" s="2223" cm="1">
        <f t="array" ref="M437">IF($D437&lt;COLUMNS($F$7:M$7),"",INDEX(TableDiv[[GASB]:[GASB]],_xlfn.AGGREGATE(15,3,(TableDiv[[Agency]:[Agency]]=$E437)/(TableDiv[[Agency]:[Agency]]=$E437)*(ROW(TableDiv[Agency])-ROW(TableDiv[[#Headers],[Agency]])),COLUMNS($F$7:M$7))))</f>
        <v>0</v>
      </c>
      <c r="N437" s="2223" cm="1">
        <f t="array" ref="N437">IF($D437&lt;COLUMNS($F$7:N$7),"",INDEX(TableDiv[[GASB]:[GASB]],_xlfn.AGGREGATE(15,3,(TableDiv[[Agency]:[Agency]]=$E437)/(TableDiv[[Agency]:[Agency]]=$E437)*(ROW(TableDiv[Agency])-ROW(TableDiv[[#Headers],[Agency]])),COLUMNS($F$7:N$7))))</f>
        <v>0</v>
      </c>
      <c r="O437" s="2223" cm="1">
        <f t="array" ref="O437">IF($D437&lt;COLUMNS($F$7:O$7),"",INDEX(TableDiv[[GASB]:[GASB]],_xlfn.AGGREGATE(15,3,(TableDiv[[Agency]:[Agency]]=$E437)/(TableDiv[[Agency]:[Agency]]=$E437)*(ROW(TableDiv[Agency])-ROW(TableDiv[[#Headers],[Agency]])),COLUMNS($F$7:O$7))))</f>
        <v>0</v>
      </c>
      <c r="P437" s="2223" cm="1">
        <f t="array" ref="P437">IF($D437&lt;COLUMNS($F$7:P$7),"",INDEX(TableDiv[[GASB]:[GASB]],_xlfn.AGGREGATE(15,3,(TableDiv[[Agency]:[Agency]]=$E437)/(TableDiv[[Agency]:[Agency]]=$E437)*(ROW(TableDiv[Agency])-ROW(TableDiv[[#Headers],[Agency]])),COLUMNS($F$7:P$7))))</f>
        <v>0</v>
      </c>
      <c r="Q437" s="2223" cm="1">
        <f t="array" ref="Q437">IF($D437&lt;COLUMNS($F$7:Q$7),"",INDEX(TableDiv[[GASB]:[GASB]],_xlfn.AGGREGATE(15,3,(TableDiv[[Agency]:[Agency]]=$E437)/(TableDiv[[Agency]:[Agency]]=$E437)*(ROW(TableDiv[Agency])-ROW(TableDiv[[#Headers],[Agency]])),COLUMNS($F$7:Q$7))))</f>
        <v>0</v>
      </c>
      <c r="R437" s="2223" cm="1">
        <f t="array" ref="R437">IF($D437&lt;COLUMNS($F$7:R$7),"",INDEX(TableDiv[[GASB]:[GASB]],_xlfn.AGGREGATE(15,3,(TableDiv[[Agency]:[Agency]]=$E437)/(TableDiv[[Agency]:[Agency]]=$E437)*(ROW(TableDiv[Agency])-ROW(TableDiv[[#Headers],[Agency]])),COLUMNS($F$7:R$7))))</f>
        <v>0</v>
      </c>
      <c r="S437" s="2223" cm="1">
        <f t="array" ref="S437">IF($D437&lt;COLUMNS($F$7:S$7),"",INDEX(TableDiv[[GASB]:[GASB]],_xlfn.AGGREGATE(15,3,(TableDiv[[Agency]:[Agency]]=$E437)/(TableDiv[[Agency]:[Agency]]=$E437)*(ROW(TableDiv[Agency])-ROW(TableDiv[[#Headers],[Agency]])),COLUMNS($F$7:S$7))))</f>
        <v>0</v>
      </c>
      <c r="T437" s="2223" cm="1">
        <f t="array" ref="T437">IF($D437&lt;COLUMNS($F$7:T$7),"",INDEX(TableDiv[[GASB]:[GASB]],_xlfn.AGGREGATE(15,3,(TableDiv[[Agency]:[Agency]]=$E437)/(TableDiv[[Agency]:[Agency]]=$E437)*(ROW(TableDiv[Agency])-ROW(TableDiv[[#Headers],[Agency]])),COLUMNS($F$7:T$7))))</f>
        <v>0</v>
      </c>
      <c r="U437" s="2223" cm="1">
        <f t="array" ref="U437">IF($D437&lt;COLUMNS($F$7:U$7),"",INDEX(TableDiv[[GASB]:[GASB]],_xlfn.AGGREGATE(15,3,(TableDiv[[Agency]:[Agency]]=$E437)/(TableDiv[[Agency]:[Agency]]=$E437)*(ROW(TableDiv[Agency])-ROW(TableDiv[[#Headers],[Agency]])),COLUMNS($F$7:U$7))))</f>
        <v>0</v>
      </c>
      <c r="V437" s="2223" cm="1">
        <f t="array" ref="V437">IF($D437&lt;COLUMNS($F$7:V$7),"",INDEX(TableDiv[[GASB]:[GASB]],_xlfn.AGGREGATE(15,3,(TableDiv[[Agency]:[Agency]]=$E437)/(TableDiv[[Agency]:[Agency]]=$E437)*(ROW(TableDiv[Agency])-ROW(TableDiv[[#Headers],[Agency]])),COLUMNS($F$7:V$7))))</f>
        <v>0</v>
      </c>
      <c r="W437" s="2223" cm="1">
        <f t="array" ref="W437">IF($D437&lt;COLUMNS($F$7:W$7),"",INDEX(TableDiv[[GASB]:[GASB]],_xlfn.AGGREGATE(15,3,(TableDiv[[Agency]:[Agency]]=$E437)/(TableDiv[[Agency]:[Agency]]=$E437)*(ROW(TableDiv[Agency])-ROW(TableDiv[[#Headers],[Agency]])),COLUMNS($F$7:W$7))))</f>
        <v>0</v>
      </c>
      <c r="X437" s="2223" cm="1">
        <f t="array" ref="X437">IF($D437&lt;COLUMNS($F$7:X$7),"",INDEX(TableDiv[[GASB]:[GASB]],_xlfn.AGGREGATE(15,3,(TableDiv[[Agency]:[Agency]]=$E437)/(TableDiv[[Agency]:[Agency]]=$E437)*(ROW(TableDiv[Agency])-ROW(TableDiv[[#Headers],[Agency]])),COLUMNS($F$7:X$7))))</f>
        <v>0</v>
      </c>
      <c r="Y437" s="2223" cm="1">
        <f t="array" ref="Y437">IF($D437&lt;COLUMNS($F$7:Y$7),"",INDEX(TableDiv[[GASB]:[GASB]],_xlfn.AGGREGATE(15,3,(TableDiv[[Agency]:[Agency]]=$E437)/(TableDiv[[Agency]:[Agency]]=$E437)*(ROW(TableDiv[Agency])-ROW(TableDiv[[#Headers],[Agency]])),COLUMNS($F$7:Y$7))))</f>
        <v>0</v>
      </c>
      <c r="Z437" s="2223" cm="1">
        <f t="array" ref="Z437">IF($D437&lt;COLUMNS($F$7:Z$7),"",INDEX(TableDiv[[GASB]:[GASB]],_xlfn.AGGREGATE(15,3,(TableDiv[[Agency]:[Agency]]=$E437)/(TableDiv[[Agency]:[Agency]]=$E437)*(ROW(TableDiv[Agency])-ROW(TableDiv[[#Headers],[Agency]])),COLUMNS($F$7:Z$7))))</f>
        <v>0</v>
      </c>
      <c r="AA437" s="2223" cm="1">
        <f t="array" ref="AA437">IF($D437&lt;COLUMNS($F$7:AA$7),"",INDEX(TableDiv[[GASB]:[GASB]],_xlfn.AGGREGATE(15,3,(TableDiv[[Agency]:[Agency]]=$E437)/(TableDiv[[Agency]:[Agency]]=$E437)*(ROW(TableDiv[Agency])-ROW(TableDiv[[#Headers],[Agency]])),COLUMNS($F$7:AA$7))))</f>
        <v>0</v>
      </c>
      <c r="AB437" s="2223" cm="1">
        <f t="array" ref="AB437">IF($D437&lt;COLUMNS($F$7:AB$7),"",INDEX(TableDiv[[GASB]:[GASB]],_xlfn.AGGREGATE(15,3,(TableDiv[[Agency]:[Agency]]=$E437)/(TableDiv[[Agency]:[Agency]]=$E437)*(ROW(TableDiv[Agency])-ROW(TableDiv[[#Headers],[Agency]])),COLUMNS($F$7:AB$7))))</f>
        <v>0</v>
      </c>
      <c r="AC437" s="2223" cm="1">
        <f t="array" ref="AC437">IF($D437&lt;COLUMNS($F$7:AC$7),"",INDEX(TableDiv[[GASB]:[GASB]],_xlfn.AGGREGATE(15,3,(TableDiv[[Agency]:[Agency]]=$E437)/(TableDiv[[Agency]:[Agency]]=$E437)*(ROW(TableDiv[Agency])-ROW(TableDiv[[#Headers],[Agency]])),COLUMNS($F$7:AC$7))))</f>
        <v>0</v>
      </c>
      <c r="AD437" s="2223" cm="1">
        <f t="array" ref="AD437">IF($D437&lt;COLUMNS($F$7:AD$7),"",INDEX(TableDiv[[GASB]:[GASB]],_xlfn.AGGREGATE(15,3,(TableDiv[[Agency]:[Agency]]=$E437)/(TableDiv[[Agency]:[Agency]]=$E437)*(ROW(TableDiv[Agency])-ROW(TableDiv[[#Headers],[Agency]])),COLUMNS($F$7:AD$7))))</f>
        <v>0</v>
      </c>
      <c r="AE437" s="2223" cm="1">
        <f t="array" ref="AE437">IF($D437&lt;COLUMNS($F$7:AE$7),"",INDEX(TableDiv[[GASB]:[GASB]],_xlfn.AGGREGATE(15,3,(TableDiv[[Agency]:[Agency]]=$E437)/(TableDiv[[Agency]:[Agency]]=$E437)*(ROW(TableDiv[Agency])-ROW(TableDiv[[#Headers],[Agency]])),COLUMNS($F$7:AE$7))))</f>
        <v>0</v>
      </c>
      <c r="AF437" s="2223" cm="1">
        <f t="array" ref="AF437">IF($D437&lt;COLUMNS($F$7:AF$7),"",INDEX(TableDiv[[GASB]:[GASB]],_xlfn.AGGREGATE(15,3,(TableDiv[[Agency]:[Agency]]=$E437)/(TableDiv[[Agency]:[Agency]]=$E437)*(ROW(TableDiv[Agency])-ROW(TableDiv[[#Headers],[Agency]])),COLUMNS($F$7:AF$7))))</f>
        <v>0</v>
      </c>
      <c r="AG437" s="2223" cm="1">
        <f t="array" ref="AG437">IF($D437&lt;COLUMNS($F$7:AG$7),"",INDEX(TableDiv[[GASB]:[GASB]],_xlfn.AGGREGATE(15,3,(TableDiv[[Agency]:[Agency]]=$E437)/(TableDiv[[Agency]:[Agency]]=$E437)*(ROW(TableDiv[Agency])-ROW(TableDiv[[#Headers],[Agency]])),COLUMNS($F$7:AG$7))))</f>
        <v>0</v>
      </c>
      <c r="AH437" s="2223" cm="1">
        <f t="array" ref="AH437">IF($D437&lt;COLUMNS($F$7:AH$7),"",INDEX(TableDiv[[GASB]:[GASB]],_xlfn.AGGREGATE(15,3,(TableDiv[[Agency]:[Agency]]=$E437)/(TableDiv[[Agency]:[Agency]]=$E437)*(ROW(TableDiv[Agency])-ROW(TableDiv[[#Headers],[Agency]])),COLUMNS($F$7:AH$7))))</f>
        <v>0</v>
      </c>
      <c r="AI437" s="2223" cm="1">
        <f t="array" ref="AI437">IF($D437&lt;COLUMNS($F$7:AI$7),"",INDEX(TableDiv[[GASB]:[GASB]],_xlfn.AGGREGATE(15,3,(TableDiv[[Agency]:[Agency]]=$E437)/(TableDiv[[Agency]:[Agency]]=$E437)*(ROW(TableDiv[Agency])-ROW(TableDiv[[#Headers],[Agency]])),COLUMNS($F$7:AI$7))))</f>
        <v>0</v>
      </c>
      <c r="AJ437" s="2223" cm="1">
        <f t="array" ref="AJ437">IF($D437&lt;COLUMNS($F$7:AJ$7),"",INDEX(TableDiv[[GASB]:[GASB]],_xlfn.AGGREGATE(15,3,(TableDiv[[Agency]:[Agency]]=$E437)/(TableDiv[[Agency]:[Agency]]=$E437)*(ROW(TableDiv[Agency])-ROW(TableDiv[[#Headers],[Agency]])),COLUMNS($F$7:AJ$7))))</f>
        <v>0</v>
      </c>
      <c r="AK437" s="2223" t="str" cm="1">
        <f t="array" ref="AK437">IF($D437&lt;COLUMNS($F$7:AK$7),"",INDEX(TableDiv[[GASB]:[GASB]],_xlfn.AGGREGATE(15,3,(TableDiv[[Agency]:[Agency]]=$E437)/(TableDiv[[Agency]:[Agency]]=$E437)*(ROW(TableDiv[Agency])-ROW(TableDiv[[#Headers],[Agency]])),COLUMNS($F$7:AK$7))))</f>
        <v/>
      </c>
      <c r="AL437" s="2223" t="str" cm="1">
        <f t="array" ref="AL437">IF($D437&lt;COLUMNS($F$7:AL$7),"",INDEX(TableDiv[[GASB]:[GASB]],_xlfn.AGGREGATE(15,3,(TableDiv[[Agency]:[Agency]]=$E437)/(TableDiv[[Agency]:[Agency]]=$E437)*(ROW(TableDiv[Agency])-ROW(TableDiv[[#Headers],[Agency]])),COLUMNS($F$7:AL$7))))</f>
        <v/>
      </c>
      <c r="AM437" s="2223" t="str" cm="1">
        <f t="array" ref="AM437">IF($D437&lt;COLUMNS($F$7:AM$7),"",INDEX(TableDiv[[GASB]:[GASB]],_xlfn.AGGREGATE(15,3,(TableDiv[[Agency]:[Agency]]=$E437)/(TableDiv[[Agency]:[Agency]]=$E437)*(ROW(TableDiv[Agency])-ROW(TableDiv[[#Headers],[Agency]])),COLUMNS($F$7:AM$7))))</f>
        <v/>
      </c>
      <c r="AN437" s="2223"/>
      <c r="AO437" s="2223"/>
      <c r="AP437" s="2223"/>
      <c r="AQ437" s="2223"/>
      <c r="AR437" s="2223"/>
      <c r="AS437" s="2223"/>
    </row>
    <row r="438" spans="1:45" ht="15" x14ac:dyDescent="0.25">
      <c r="A438" s="2219" t="s">
        <v>5199</v>
      </c>
      <c r="B438" s="2219" t="s">
        <v>6543</v>
      </c>
      <c r="C438" s="2223"/>
      <c r="D438" s="2223">
        <f>COUNTIF(TableDiv[Agency],E438)</f>
        <v>31</v>
      </c>
      <c r="E438" s="2230" t="str" cm="1">
        <f t="array" ref="E438">IFERROR(INDEX(TableDiv[Agency],MATCH(0,INDEX(COUNTIF($E$7:E437,TableDiv[Agency]),),0)),"")</f>
        <v/>
      </c>
      <c r="F438" s="2223" cm="1">
        <f t="array" ref="F438">IF($D438&lt;COLUMNS($F$7:F$7),"",INDEX(TableDiv[[GASB]:[GASB]],_xlfn.AGGREGATE(15,3,(TableDiv[[Agency]:[Agency]]=$E438)/(TableDiv[[Agency]:[Agency]]=$E438)*(ROW(TableDiv[Agency])-ROW(TableDiv[[#Headers],[Agency]])),COLUMNS($F$7:F$7))))</f>
        <v>0</v>
      </c>
      <c r="G438" s="2223" cm="1">
        <f t="array" ref="G438">IF($D438&lt;COLUMNS($F$7:G$7),"",INDEX(TableDiv[[GASB]:[GASB]],_xlfn.AGGREGATE(15,3,(TableDiv[[Agency]:[Agency]]=$E438)/(TableDiv[[Agency]:[Agency]]=$E438)*(ROW(TableDiv[Agency])-ROW(TableDiv[[#Headers],[Agency]])),COLUMNS($F$7:G$7))))</f>
        <v>0</v>
      </c>
      <c r="H438" s="2223" cm="1">
        <f t="array" ref="H438">IF($D438&lt;COLUMNS($F$7:H$7),"",INDEX(TableDiv[[GASB]:[GASB]],_xlfn.AGGREGATE(15,3,(TableDiv[[Agency]:[Agency]]=$E438)/(TableDiv[[Agency]:[Agency]]=$E438)*(ROW(TableDiv[Agency])-ROW(TableDiv[[#Headers],[Agency]])),COLUMNS($F$7:H$7))))</f>
        <v>0</v>
      </c>
      <c r="I438" s="2223" cm="1">
        <f t="array" ref="I438">IF($D438&lt;COLUMNS($F$7:I$7),"",INDEX(TableDiv[[GASB]:[GASB]],_xlfn.AGGREGATE(15,3,(TableDiv[[Agency]:[Agency]]=$E438)/(TableDiv[[Agency]:[Agency]]=$E438)*(ROW(TableDiv[Agency])-ROW(TableDiv[[#Headers],[Agency]])),COLUMNS($F$7:I$7))))</f>
        <v>0</v>
      </c>
      <c r="J438" s="2223" cm="1">
        <f t="array" ref="J438">IF($D438&lt;COLUMNS($F$7:J$7),"",INDEX(TableDiv[[GASB]:[GASB]],_xlfn.AGGREGATE(15,3,(TableDiv[[Agency]:[Agency]]=$E438)/(TableDiv[[Agency]:[Agency]]=$E438)*(ROW(TableDiv[Agency])-ROW(TableDiv[[#Headers],[Agency]])),COLUMNS($F$7:J$7))))</f>
        <v>0</v>
      </c>
      <c r="K438" s="2223" cm="1">
        <f t="array" ref="K438">IF($D438&lt;COLUMNS($F$7:K$7),"",INDEX(TableDiv[[GASB]:[GASB]],_xlfn.AGGREGATE(15,3,(TableDiv[[Agency]:[Agency]]=$E438)/(TableDiv[[Agency]:[Agency]]=$E438)*(ROW(TableDiv[Agency])-ROW(TableDiv[[#Headers],[Agency]])),COLUMNS($F$7:K$7))))</f>
        <v>0</v>
      </c>
      <c r="L438" s="2223" cm="1">
        <f t="array" ref="L438">IF($D438&lt;COLUMNS($F$7:L$7),"",INDEX(TableDiv[[GASB]:[GASB]],_xlfn.AGGREGATE(15,3,(TableDiv[[Agency]:[Agency]]=$E438)/(TableDiv[[Agency]:[Agency]]=$E438)*(ROW(TableDiv[Agency])-ROW(TableDiv[[#Headers],[Agency]])),COLUMNS($F$7:L$7))))</f>
        <v>0</v>
      </c>
      <c r="M438" s="2223" cm="1">
        <f t="array" ref="M438">IF($D438&lt;COLUMNS($F$7:M$7),"",INDEX(TableDiv[[GASB]:[GASB]],_xlfn.AGGREGATE(15,3,(TableDiv[[Agency]:[Agency]]=$E438)/(TableDiv[[Agency]:[Agency]]=$E438)*(ROW(TableDiv[Agency])-ROW(TableDiv[[#Headers],[Agency]])),COLUMNS($F$7:M$7))))</f>
        <v>0</v>
      </c>
      <c r="N438" s="2223" cm="1">
        <f t="array" ref="N438">IF($D438&lt;COLUMNS($F$7:N$7),"",INDEX(TableDiv[[GASB]:[GASB]],_xlfn.AGGREGATE(15,3,(TableDiv[[Agency]:[Agency]]=$E438)/(TableDiv[[Agency]:[Agency]]=$E438)*(ROW(TableDiv[Agency])-ROW(TableDiv[[#Headers],[Agency]])),COLUMNS($F$7:N$7))))</f>
        <v>0</v>
      </c>
      <c r="O438" s="2223" cm="1">
        <f t="array" ref="O438">IF($D438&lt;COLUMNS($F$7:O$7),"",INDEX(TableDiv[[GASB]:[GASB]],_xlfn.AGGREGATE(15,3,(TableDiv[[Agency]:[Agency]]=$E438)/(TableDiv[[Agency]:[Agency]]=$E438)*(ROW(TableDiv[Agency])-ROW(TableDiv[[#Headers],[Agency]])),COLUMNS($F$7:O$7))))</f>
        <v>0</v>
      </c>
      <c r="P438" s="2223" cm="1">
        <f t="array" ref="P438">IF($D438&lt;COLUMNS($F$7:P$7),"",INDEX(TableDiv[[GASB]:[GASB]],_xlfn.AGGREGATE(15,3,(TableDiv[[Agency]:[Agency]]=$E438)/(TableDiv[[Agency]:[Agency]]=$E438)*(ROW(TableDiv[Agency])-ROW(TableDiv[[#Headers],[Agency]])),COLUMNS($F$7:P$7))))</f>
        <v>0</v>
      </c>
      <c r="Q438" s="2223" cm="1">
        <f t="array" ref="Q438">IF($D438&lt;COLUMNS($F$7:Q$7),"",INDEX(TableDiv[[GASB]:[GASB]],_xlfn.AGGREGATE(15,3,(TableDiv[[Agency]:[Agency]]=$E438)/(TableDiv[[Agency]:[Agency]]=$E438)*(ROW(TableDiv[Agency])-ROW(TableDiv[[#Headers],[Agency]])),COLUMNS($F$7:Q$7))))</f>
        <v>0</v>
      </c>
      <c r="R438" s="2223" cm="1">
        <f t="array" ref="R438">IF($D438&lt;COLUMNS($F$7:R$7),"",INDEX(TableDiv[[GASB]:[GASB]],_xlfn.AGGREGATE(15,3,(TableDiv[[Agency]:[Agency]]=$E438)/(TableDiv[[Agency]:[Agency]]=$E438)*(ROW(TableDiv[Agency])-ROW(TableDiv[[#Headers],[Agency]])),COLUMNS($F$7:R$7))))</f>
        <v>0</v>
      </c>
      <c r="S438" s="2223" cm="1">
        <f t="array" ref="S438">IF($D438&lt;COLUMNS($F$7:S$7),"",INDEX(TableDiv[[GASB]:[GASB]],_xlfn.AGGREGATE(15,3,(TableDiv[[Agency]:[Agency]]=$E438)/(TableDiv[[Agency]:[Agency]]=$E438)*(ROW(TableDiv[Agency])-ROW(TableDiv[[#Headers],[Agency]])),COLUMNS($F$7:S$7))))</f>
        <v>0</v>
      </c>
      <c r="T438" s="2223" cm="1">
        <f t="array" ref="T438">IF($D438&lt;COLUMNS($F$7:T$7),"",INDEX(TableDiv[[GASB]:[GASB]],_xlfn.AGGREGATE(15,3,(TableDiv[[Agency]:[Agency]]=$E438)/(TableDiv[[Agency]:[Agency]]=$E438)*(ROW(TableDiv[Agency])-ROW(TableDiv[[#Headers],[Agency]])),COLUMNS($F$7:T$7))))</f>
        <v>0</v>
      </c>
      <c r="U438" s="2223" cm="1">
        <f t="array" ref="U438">IF($D438&lt;COLUMNS($F$7:U$7),"",INDEX(TableDiv[[GASB]:[GASB]],_xlfn.AGGREGATE(15,3,(TableDiv[[Agency]:[Agency]]=$E438)/(TableDiv[[Agency]:[Agency]]=$E438)*(ROW(TableDiv[Agency])-ROW(TableDiv[[#Headers],[Agency]])),COLUMNS($F$7:U$7))))</f>
        <v>0</v>
      </c>
      <c r="V438" s="2223" cm="1">
        <f t="array" ref="V438">IF($D438&lt;COLUMNS($F$7:V$7),"",INDEX(TableDiv[[GASB]:[GASB]],_xlfn.AGGREGATE(15,3,(TableDiv[[Agency]:[Agency]]=$E438)/(TableDiv[[Agency]:[Agency]]=$E438)*(ROW(TableDiv[Agency])-ROW(TableDiv[[#Headers],[Agency]])),COLUMNS($F$7:V$7))))</f>
        <v>0</v>
      </c>
      <c r="W438" s="2223" cm="1">
        <f t="array" ref="W438">IF($D438&lt;COLUMNS($F$7:W$7),"",INDEX(TableDiv[[GASB]:[GASB]],_xlfn.AGGREGATE(15,3,(TableDiv[[Agency]:[Agency]]=$E438)/(TableDiv[[Agency]:[Agency]]=$E438)*(ROW(TableDiv[Agency])-ROW(TableDiv[[#Headers],[Agency]])),COLUMNS($F$7:W$7))))</f>
        <v>0</v>
      </c>
      <c r="X438" s="2223" cm="1">
        <f t="array" ref="X438">IF($D438&lt;COLUMNS($F$7:X$7),"",INDEX(TableDiv[[GASB]:[GASB]],_xlfn.AGGREGATE(15,3,(TableDiv[[Agency]:[Agency]]=$E438)/(TableDiv[[Agency]:[Agency]]=$E438)*(ROW(TableDiv[Agency])-ROW(TableDiv[[#Headers],[Agency]])),COLUMNS($F$7:X$7))))</f>
        <v>0</v>
      </c>
      <c r="Y438" s="2223" cm="1">
        <f t="array" ref="Y438">IF($D438&lt;COLUMNS($F$7:Y$7),"",INDEX(TableDiv[[GASB]:[GASB]],_xlfn.AGGREGATE(15,3,(TableDiv[[Agency]:[Agency]]=$E438)/(TableDiv[[Agency]:[Agency]]=$E438)*(ROW(TableDiv[Agency])-ROW(TableDiv[[#Headers],[Agency]])),COLUMNS($F$7:Y$7))))</f>
        <v>0</v>
      </c>
      <c r="Z438" s="2223" cm="1">
        <f t="array" ref="Z438">IF($D438&lt;COLUMNS($F$7:Z$7),"",INDEX(TableDiv[[GASB]:[GASB]],_xlfn.AGGREGATE(15,3,(TableDiv[[Agency]:[Agency]]=$E438)/(TableDiv[[Agency]:[Agency]]=$E438)*(ROW(TableDiv[Agency])-ROW(TableDiv[[#Headers],[Agency]])),COLUMNS($F$7:Z$7))))</f>
        <v>0</v>
      </c>
      <c r="AA438" s="2223" cm="1">
        <f t="array" ref="AA438">IF($D438&lt;COLUMNS($F$7:AA$7),"",INDEX(TableDiv[[GASB]:[GASB]],_xlfn.AGGREGATE(15,3,(TableDiv[[Agency]:[Agency]]=$E438)/(TableDiv[[Agency]:[Agency]]=$E438)*(ROW(TableDiv[Agency])-ROW(TableDiv[[#Headers],[Agency]])),COLUMNS($F$7:AA$7))))</f>
        <v>0</v>
      </c>
      <c r="AB438" s="2223" cm="1">
        <f t="array" ref="AB438">IF($D438&lt;COLUMNS($F$7:AB$7),"",INDEX(TableDiv[[GASB]:[GASB]],_xlfn.AGGREGATE(15,3,(TableDiv[[Agency]:[Agency]]=$E438)/(TableDiv[[Agency]:[Agency]]=$E438)*(ROW(TableDiv[Agency])-ROW(TableDiv[[#Headers],[Agency]])),COLUMNS($F$7:AB$7))))</f>
        <v>0</v>
      </c>
      <c r="AC438" s="2223" cm="1">
        <f t="array" ref="AC438">IF($D438&lt;COLUMNS($F$7:AC$7),"",INDEX(TableDiv[[GASB]:[GASB]],_xlfn.AGGREGATE(15,3,(TableDiv[[Agency]:[Agency]]=$E438)/(TableDiv[[Agency]:[Agency]]=$E438)*(ROW(TableDiv[Agency])-ROW(TableDiv[[#Headers],[Agency]])),COLUMNS($F$7:AC$7))))</f>
        <v>0</v>
      </c>
      <c r="AD438" s="2223" cm="1">
        <f t="array" ref="AD438">IF($D438&lt;COLUMNS($F$7:AD$7),"",INDEX(TableDiv[[GASB]:[GASB]],_xlfn.AGGREGATE(15,3,(TableDiv[[Agency]:[Agency]]=$E438)/(TableDiv[[Agency]:[Agency]]=$E438)*(ROW(TableDiv[Agency])-ROW(TableDiv[[#Headers],[Agency]])),COLUMNS($F$7:AD$7))))</f>
        <v>0</v>
      </c>
      <c r="AE438" s="2223" cm="1">
        <f t="array" ref="AE438">IF($D438&lt;COLUMNS($F$7:AE$7),"",INDEX(TableDiv[[GASB]:[GASB]],_xlfn.AGGREGATE(15,3,(TableDiv[[Agency]:[Agency]]=$E438)/(TableDiv[[Agency]:[Agency]]=$E438)*(ROW(TableDiv[Agency])-ROW(TableDiv[[#Headers],[Agency]])),COLUMNS($F$7:AE$7))))</f>
        <v>0</v>
      </c>
      <c r="AF438" s="2223" cm="1">
        <f t="array" ref="AF438">IF($D438&lt;COLUMNS($F$7:AF$7),"",INDEX(TableDiv[[GASB]:[GASB]],_xlfn.AGGREGATE(15,3,(TableDiv[[Agency]:[Agency]]=$E438)/(TableDiv[[Agency]:[Agency]]=$E438)*(ROW(TableDiv[Agency])-ROW(TableDiv[[#Headers],[Agency]])),COLUMNS($F$7:AF$7))))</f>
        <v>0</v>
      </c>
      <c r="AG438" s="2223" cm="1">
        <f t="array" ref="AG438">IF($D438&lt;COLUMNS($F$7:AG$7),"",INDEX(TableDiv[[GASB]:[GASB]],_xlfn.AGGREGATE(15,3,(TableDiv[[Agency]:[Agency]]=$E438)/(TableDiv[[Agency]:[Agency]]=$E438)*(ROW(TableDiv[Agency])-ROW(TableDiv[[#Headers],[Agency]])),COLUMNS($F$7:AG$7))))</f>
        <v>0</v>
      </c>
      <c r="AH438" s="2223" cm="1">
        <f t="array" ref="AH438">IF($D438&lt;COLUMNS($F$7:AH$7),"",INDEX(TableDiv[[GASB]:[GASB]],_xlfn.AGGREGATE(15,3,(TableDiv[[Agency]:[Agency]]=$E438)/(TableDiv[[Agency]:[Agency]]=$E438)*(ROW(TableDiv[Agency])-ROW(TableDiv[[#Headers],[Agency]])),COLUMNS($F$7:AH$7))))</f>
        <v>0</v>
      </c>
      <c r="AI438" s="2223" cm="1">
        <f t="array" ref="AI438">IF($D438&lt;COLUMNS($F$7:AI$7),"",INDEX(TableDiv[[GASB]:[GASB]],_xlfn.AGGREGATE(15,3,(TableDiv[[Agency]:[Agency]]=$E438)/(TableDiv[[Agency]:[Agency]]=$E438)*(ROW(TableDiv[Agency])-ROW(TableDiv[[#Headers],[Agency]])),COLUMNS($F$7:AI$7))))</f>
        <v>0</v>
      </c>
      <c r="AJ438" s="2223" cm="1">
        <f t="array" ref="AJ438">IF($D438&lt;COLUMNS($F$7:AJ$7),"",INDEX(TableDiv[[GASB]:[GASB]],_xlfn.AGGREGATE(15,3,(TableDiv[[Agency]:[Agency]]=$E438)/(TableDiv[[Agency]:[Agency]]=$E438)*(ROW(TableDiv[Agency])-ROW(TableDiv[[#Headers],[Agency]])),COLUMNS($F$7:AJ$7))))</f>
        <v>0</v>
      </c>
      <c r="AK438" s="2223" t="str" cm="1">
        <f t="array" ref="AK438">IF($D438&lt;COLUMNS($F$7:AK$7),"",INDEX(TableDiv[[GASB]:[GASB]],_xlfn.AGGREGATE(15,3,(TableDiv[[Agency]:[Agency]]=$E438)/(TableDiv[[Agency]:[Agency]]=$E438)*(ROW(TableDiv[Agency])-ROW(TableDiv[[#Headers],[Agency]])),COLUMNS($F$7:AK$7))))</f>
        <v/>
      </c>
      <c r="AL438" s="2223" t="str" cm="1">
        <f t="array" ref="AL438">IF($D438&lt;COLUMNS($F$7:AL$7),"",INDEX(TableDiv[[GASB]:[GASB]],_xlfn.AGGREGATE(15,3,(TableDiv[[Agency]:[Agency]]=$E438)/(TableDiv[[Agency]:[Agency]]=$E438)*(ROW(TableDiv[Agency])-ROW(TableDiv[[#Headers],[Agency]])),COLUMNS($F$7:AL$7))))</f>
        <v/>
      </c>
      <c r="AM438" s="2223" t="str" cm="1">
        <f t="array" ref="AM438">IF($D438&lt;COLUMNS($F$7:AM$7),"",INDEX(TableDiv[[GASB]:[GASB]],_xlfn.AGGREGATE(15,3,(TableDiv[[Agency]:[Agency]]=$E438)/(TableDiv[[Agency]:[Agency]]=$E438)*(ROW(TableDiv[Agency])-ROW(TableDiv[[#Headers],[Agency]])),COLUMNS($F$7:AM$7))))</f>
        <v/>
      </c>
      <c r="AN438" s="2223"/>
      <c r="AO438" s="2223"/>
      <c r="AP438" s="2223"/>
      <c r="AQ438" s="2223"/>
      <c r="AR438" s="2223"/>
      <c r="AS438" s="2223"/>
    </row>
    <row r="439" spans="1:45" ht="15" x14ac:dyDescent="0.25">
      <c r="A439" s="2219" t="s">
        <v>5201</v>
      </c>
      <c r="B439" s="2219" t="s">
        <v>6543</v>
      </c>
      <c r="C439" s="2223"/>
      <c r="D439" s="2223">
        <f>COUNTIF(TableDiv[Agency],E439)</f>
        <v>31</v>
      </c>
      <c r="E439" s="2230" t="str" cm="1">
        <f t="array" ref="E439">IFERROR(INDEX(TableDiv[Agency],MATCH(0,INDEX(COUNTIF($E$7:E438,TableDiv[Agency]),),0)),"")</f>
        <v/>
      </c>
      <c r="F439" s="2223" cm="1">
        <f t="array" ref="F439">IF($D439&lt;COLUMNS($F$7:F$7),"",INDEX(TableDiv[[GASB]:[GASB]],_xlfn.AGGREGATE(15,3,(TableDiv[[Agency]:[Agency]]=$E439)/(TableDiv[[Agency]:[Agency]]=$E439)*(ROW(TableDiv[Agency])-ROW(TableDiv[[#Headers],[Agency]])),COLUMNS($F$7:F$7))))</f>
        <v>0</v>
      </c>
      <c r="G439" s="2223" cm="1">
        <f t="array" ref="G439">IF($D439&lt;COLUMNS($F$7:G$7),"",INDEX(TableDiv[[GASB]:[GASB]],_xlfn.AGGREGATE(15,3,(TableDiv[[Agency]:[Agency]]=$E439)/(TableDiv[[Agency]:[Agency]]=$E439)*(ROW(TableDiv[Agency])-ROW(TableDiv[[#Headers],[Agency]])),COLUMNS($F$7:G$7))))</f>
        <v>0</v>
      </c>
      <c r="H439" s="2223" cm="1">
        <f t="array" ref="H439">IF($D439&lt;COLUMNS($F$7:H$7),"",INDEX(TableDiv[[GASB]:[GASB]],_xlfn.AGGREGATE(15,3,(TableDiv[[Agency]:[Agency]]=$E439)/(TableDiv[[Agency]:[Agency]]=$E439)*(ROW(TableDiv[Agency])-ROW(TableDiv[[#Headers],[Agency]])),COLUMNS($F$7:H$7))))</f>
        <v>0</v>
      </c>
      <c r="I439" s="2223" cm="1">
        <f t="array" ref="I439">IF($D439&lt;COLUMNS($F$7:I$7),"",INDEX(TableDiv[[GASB]:[GASB]],_xlfn.AGGREGATE(15,3,(TableDiv[[Agency]:[Agency]]=$E439)/(TableDiv[[Agency]:[Agency]]=$E439)*(ROW(TableDiv[Agency])-ROW(TableDiv[[#Headers],[Agency]])),COLUMNS($F$7:I$7))))</f>
        <v>0</v>
      </c>
      <c r="J439" s="2223" cm="1">
        <f t="array" ref="J439">IF($D439&lt;COLUMNS($F$7:J$7),"",INDEX(TableDiv[[GASB]:[GASB]],_xlfn.AGGREGATE(15,3,(TableDiv[[Agency]:[Agency]]=$E439)/(TableDiv[[Agency]:[Agency]]=$E439)*(ROW(TableDiv[Agency])-ROW(TableDiv[[#Headers],[Agency]])),COLUMNS($F$7:J$7))))</f>
        <v>0</v>
      </c>
      <c r="K439" s="2223" cm="1">
        <f t="array" ref="K439">IF($D439&lt;COLUMNS($F$7:K$7),"",INDEX(TableDiv[[GASB]:[GASB]],_xlfn.AGGREGATE(15,3,(TableDiv[[Agency]:[Agency]]=$E439)/(TableDiv[[Agency]:[Agency]]=$E439)*(ROW(TableDiv[Agency])-ROW(TableDiv[[#Headers],[Agency]])),COLUMNS($F$7:K$7))))</f>
        <v>0</v>
      </c>
      <c r="L439" s="2223" cm="1">
        <f t="array" ref="L439">IF($D439&lt;COLUMNS($F$7:L$7),"",INDEX(TableDiv[[GASB]:[GASB]],_xlfn.AGGREGATE(15,3,(TableDiv[[Agency]:[Agency]]=$E439)/(TableDiv[[Agency]:[Agency]]=$E439)*(ROW(TableDiv[Agency])-ROW(TableDiv[[#Headers],[Agency]])),COLUMNS($F$7:L$7))))</f>
        <v>0</v>
      </c>
      <c r="M439" s="2223" cm="1">
        <f t="array" ref="M439">IF($D439&lt;COLUMNS($F$7:M$7),"",INDEX(TableDiv[[GASB]:[GASB]],_xlfn.AGGREGATE(15,3,(TableDiv[[Agency]:[Agency]]=$E439)/(TableDiv[[Agency]:[Agency]]=$E439)*(ROW(TableDiv[Agency])-ROW(TableDiv[[#Headers],[Agency]])),COLUMNS($F$7:M$7))))</f>
        <v>0</v>
      </c>
      <c r="N439" s="2223" cm="1">
        <f t="array" ref="N439">IF($D439&lt;COLUMNS($F$7:N$7),"",INDEX(TableDiv[[GASB]:[GASB]],_xlfn.AGGREGATE(15,3,(TableDiv[[Agency]:[Agency]]=$E439)/(TableDiv[[Agency]:[Agency]]=$E439)*(ROW(TableDiv[Agency])-ROW(TableDiv[[#Headers],[Agency]])),COLUMNS($F$7:N$7))))</f>
        <v>0</v>
      </c>
      <c r="O439" s="2223" cm="1">
        <f t="array" ref="O439">IF($D439&lt;COLUMNS($F$7:O$7),"",INDEX(TableDiv[[GASB]:[GASB]],_xlfn.AGGREGATE(15,3,(TableDiv[[Agency]:[Agency]]=$E439)/(TableDiv[[Agency]:[Agency]]=$E439)*(ROW(TableDiv[Agency])-ROW(TableDiv[[#Headers],[Agency]])),COLUMNS($F$7:O$7))))</f>
        <v>0</v>
      </c>
      <c r="P439" s="2223" cm="1">
        <f t="array" ref="P439">IF($D439&lt;COLUMNS($F$7:P$7),"",INDEX(TableDiv[[GASB]:[GASB]],_xlfn.AGGREGATE(15,3,(TableDiv[[Agency]:[Agency]]=$E439)/(TableDiv[[Agency]:[Agency]]=$E439)*(ROW(TableDiv[Agency])-ROW(TableDiv[[#Headers],[Agency]])),COLUMNS($F$7:P$7))))</f>
        <v>0</v>
      </c>
      <c r="Q439" s="2223" cm="1">
        <f t="array" ref="Q439">IF($D439&lt;COLUMNS($F$7:Q$7),"",INDEX(TableDiv[[GASB]:[GASB]],_xlfn.AGGREGATE(15,3,(TableDiv[[Agency]:[Agency]]=$E439)/(TableDiv[[Agency]:[Agency]]=$E439)*(ROW(TableDiv[Agency])-ROW(TableDiv[[#Headers],[Agency]])),COLUMNS($F$7:Q$7))))</f>
        <v>0</v>
      </c>
      <c r="R439" s="2223" cm="1">
        <f t="array" ref="R439">IF($D439&lt;COLUMNS($F$7:R$7),"",INDEX(TableDiv[[GASB]:[GASB]],_xlfn.AGGREGATE(15,3,(TableDiv[[Agency]:[Agency]]=$E439)/(TableDiv[[Agency]:[Agency]]=$E439)*(ROW(TableDiv[Agency])-ROW(TableDiv[[#Headers],[Agency]])),COLUMNS($F$7:R$7))))</f>
        <v>0</v>
      </c>
      <c r="S439" s="2223" cm="1">
        <f t="array" ref="S439">IF($D439&lt;COLUMNS($F$7:S$7),"",INDEX(TableDiv[[GASB]:[GASB]],_xlfn.AGGREGATE(15,3,(TableDiv[[Agency]:[Agency]]=$E439)/(TableDiv[[Agency]:[Agency]]=$E439)*(ROW(TableDiv[Agency])-ROW(TableDiv[[#Headers],[Agency]])),COLUMNS($F$7:S$7))))</f>
        <v>0</v>
      </c>
      <c r="T439" s="2223" cm="1">
        <f t="array" ref="T439">IF($D439&lt;COLUMNS($F$7:T$7),"",INDEX(TableDiv[[GASB]:[GASB]],_xlfn.AGGREGATE(15,3,(TableDiv[[Agency]:[Agency]]=$E439)/(TableDiv[[Agency]:[Agency]]=$E439)*(ROW(TableDiv[Agency])-ROW(TableDiv[[#Headers],[Agency]])),COLUMNS($F$7:T$7))))</f>
        <v>0</v>
      </c>
      <c r="U439" s="2223" cm="1">
        <f t="array" ref="U439">IF($D439&lt;COLUMNS($F$7:U$7),"",INDEX(TableDiv[[GASB]:[GASB]],_xlfn.AGGREGATE(15,3,(TableDiv[[Agency]:[Agency]]=$E439)/(TableDiv[[Agency]:[Agency]]=$E439)*(ROW(TableDiv[Agency])-ROW(TableDiv[[#Headers],[Agency]])),COLUMNS($F$7:U$7))))</f>
        <v>0</v>
      </c>
      <c r="V439" s="2223" cm="1">
        <f t="array" ref="V439">IF($D439&lt;COLUMNS($F$7:V$7),"",INDEX(TableDiv[[GASB]:[GASB]],_xlfn.AGGREGATE(15,3,(TableDiv[[Agency]:[Agency]]=$E439)/(TableDiv[[Agency]:[Agency]]=$E439)*(ROW(TableDiv[Agency])-ROW(TableDiv[[#Headers],[Agency]])),COLUMNS($F$7:V$7))))</f>
        <v>0</v>
      </c>
      <c r="W439" s="2223" cm="1">
        <f t="array" ref="W439">IF($D439&lt;COLUMNS($F$7:W$7),"",INDEX(TableDiv[[GASB]:[GASB]],_xlfn.AGGREGATE(15,3,(TableDiv[[Agency]:[Agency]]=$E439)/(TableDiv[[Agency]:[Agency]]=$E439)*(ROW(TableDiv[Agency])-ROW(TableDiv[[#Headers],[Agency]])),COLUMNS($F$7:W$7))))</f>
        <v>0</v>
      </c>
      <c r="X439" s="2223" cm="1">
        <f t="array" ref="X439">IF($D439&lt;COLUMNS($F$7:X$7),"",INDEX(TableDiv[[GASB]:[GASB]],_xlfn.AGGREGATE(15,3,(TableDiv[[Agency]:[Agency]]=$E439)/(TableDiv[[Agency]:[Agency]]=$E439)*(ROW(TableDiv[Agency])-ROW(TableDiv[[#Headers],[Agency]])),COLUMNS($F$7:X$7))))</f>
        <v>0</v>
      </c>
      <c r="Y439" s="2223" cm="1">
        <f t="array" ref="Y439">IF($D439&lt;COLUMNS($F$7:Y$7),"",INDEX(TableDiv[[GASB]:[GASB]],_xlfn.AGGREGATE(15,3,(TableDiv[[Agency]:[Agency]]=$E439)/(TableDiv[[Agency]:[Agency]]=$E439)*(ROW(TableDiv[Agency])-ROW(TableDiv[[#Headers],[Agency]])),COLUMNS($F$7:Y$7))))</f>
        <v>0</v>
      </c>
      <c r="Z439" s="2223" cm="1">
        <f t="array" ref="Z439">IF($D439&lt;COLUMNS($F$7:Z$7),"",INDEX(TableDiv[[GASB]:[GASB]],_xlfn.AGGREGATE(15,3,(TableDiv[[Agency]:[Agency]]=$E439)/(TableDiv[[Agency]:[Agency]]=$E439)*(ROW(TableDiv[Agency])-ROW(TableDiv[[#Headers],[Agency]])),COLUMNS($F$7:Z$7))))</f>
        <v>0</v>
      </c>
      <c r="AA439" s="2223" cm="1">
        <f t="array" ref="AA439">IF($D439&lt;COLUMNS($F$7:AA$7),"",INDEX(TableDiv[[GASB]:[GASB]],_xlfn.AGGREGATE(15,3,(TableDiv[[Agency]:[Agency]]=$E439)/(TableDiv[[Agency]:[Agency]]=$E439)*(ROW(TableDiv[Agency])-ROW(TableDiv[[#Headers],[Agency]])),COLUMNS($F$7:AA$7))))</f>
        <v>0</v>
      </c>
      <c r="AB439" s="2223" cm="1">
        <f t="array" ref="AB439">IF($D439&lt;COLUMNS($F$7:AB$7),"",INDEX(TableDiv[[GASB]:[GASB]],_xlfn.AGGREGATE(15,3,(TableDiv[[Agency]:[Agency]]=$E439)/(TableDiv[[Agency]:[Agency]]=$E439)*(ROW(TableDiv[Agency])-ROW(TableDiv[[#Headers],[Agency]])),COLUMNS($F$7:AB$7))))</f>
        <v>0</v>
      </c>
      <c r="AC439" s="2223" cm="1">
        <f t="array" ref="AC439">IF($D439&lt;COLUMNS($F$7:AC$7),"",INDEX(TableDiv[[GASB]:[GASB]],_xlfn.AGGREGATE(15,3,(TableDiv[[Agency]:[Agency]]=$E439)/(TableDiv[[Agency]:[Agency]]=$E439)*(ROW(TableDiv[Agency])-ROW(TableDiv[[#Headers],[Agency]])),COLUMNS($F$7:AC$7))))</f>
        <v>0</v>
      </c>
      <c r="AD439" s="2223" cm="1">
        <f t="array" ref="AD439">IF($D439&lt;COLUMNS($F$7:AD$7),"",INDEX(TableDiv[[GASB]:[GASB]],_xlfn.AGGREGATE(15,3,(TableDiv[[Agency]:[Agency]]=$E439)/(TableDiv[[Agency]:[Agency]]=$E439)*(ROW(TableDiv[Agency])-ROW(TableDiv[[#Headers],[Agency]])),COLUMNS($F$7:AD$7))))</f>
        <v>0</v>
      </c>
      <c r="AE439" s="2223" cm="1">
        <f t="array" ref="AE439">IF($D439&lt;COLUMNS($F$7:AE$7),"",INDEX(TableDiv[[GASB]:[GASB]],_xlfn.AGGREGATE(15,3,(TableDiv[[Agency]:[Agency]]=$E439)/(TableDiv[[Agency]:[Agency]]=$E439)*(ROW(TableDiv[Agency])-ROW(TableDiv[[#Headers],[Agency]])),COLUMNS($F$7:AE$7))))</f>
        <v>0</v>
      </c>
      <c r="AF439" s="2223" cm="1">
        <f t="array" ref="AF439">IF($D439&lt;COLUMNS($F$7:AF$7),"",INDEX(TableDiv[[GASB]:[GASB]],_xlfn.AGGREGATE(15,3,(TableDiv[[Agency]:[Agency]]=$E439)/(TableDiv[[Agency]:[Agency]]=$E439)*(ROW(TableDiv[Agency])-ROW(TableDiv[[#Headers],[Agency]])),COLUMNS($F$7:AF$7))))</f>
        <v>0</v>
      </c>
      <c r="AG439" s="2223" cm="1">
        <f t="array" ref="AG439">IF($D439&lt;COLUMNS($F$7:AG$7),"",INDEX(TableDiv[[GASB]:[GASB]],_xlfn.AGGREGATE(15,3,(TableDiv[[Agency]:[Agency]]=$E439)/(TableDiv[[Agency]:[Agency]]=$E439)*(ROW(TableDiv[Agency])-ROW(TableDiv[[#Headers],[Agency]])),COLUMNS($F$7:AG$7))))</f>
        <v>0</v>
      </c>
      <c r="AH439" s="2223" cm="1">
        <f t="array" ref="AH439">IF($D439&lt;COLUMNS($F$7:AH$7),"",INDEX(TableDiv[[GASB]:[GASB]],_xlfn.AGGREGATE(15,3,(TableDiv[[Agency]:[Agency]]=$E439)/(TableDiv[[Agency]:[Agency]]=$E439)*(ROW(TableDiv[Agency])-ROW(TableDiv[[#Headers],[Agency]])),COLUMNS($F$7:AH$7))))</f>
        <v>0</v>
      </c>
      <c r="AI439" s="2223" cm="1">
        <f t="array" ref="AI439">IF($D439&lt;COLUMNS($F$7:AI$7),"",INDEX(TableDiv[[GASB]:[GASB]],_xlfn.AGGREGATE(15,3,(TableDiv[[Agency]:[Agency]]=$E439)/(TableDiv[[Agency]:[Agency]]=$E439)*(ROW(TableDiv[Agency])-ROW(TableDiv[[#Headers],[Agency]])),COLUMNS($F$7:AI$7))))</f>
        <v>0</v>
      </c>
      <c r="AJ439" s="2223" cm="1">
        <f t="array" ref="AJ439">IF($D439&lt;COLUMNS($F$7:AJ$7),"",INDEX(TableDiv[[GASB]:[GASB]],_xlfn.AGGREGATE(15,3,(TableDiv[[Agency]:[Agency]]=$E439)/(TableDiv[[Agency]:[Agency]]=$E439)*(ROW(TableDiv[Agency])-ROW(TableDiv[[#Headers],[Agency]])),COLUMNS($F$7:AJ$7))))</f>
        <v>0</v>
      </c>
      <c r="AK439" s="2223" t="str" cm="1">
        <f t="array" ref="AK439">IF($D439&lt;COLUMNS($F$7:AK$7),"",INDEX(TableDiv[[GASB]:[GASB]],_xlfn.AGGREGATE(15,3,(TableDiv[[Agency]:[Agency]]=$E439)/(TableDiv[[Agency]:[Agency]]=$E439)*(ROW(TableDiv[Agency])-ROW(TableDiv[[#Headers],[Agency]])),COLUMNS($F$7:AK$7))))</f>
        <v/>
      </c>
      <c r="AL439" s="2223" t="str" cm="1">
        <f t="array" ref="AL439">IF($D439&lt;COLUMNS($F$7:AL$7),"",INDEX(TableDiv[[GASB]:[GASB]],_xlfn.AGGREGATE(15,3,(TableDiv[[Agency]:[Agency]]=$E439)/(TableDiv[[Agency]:[Agency]]=$E439)*(ROW(TableDiv[Agency])-ROW(TableDiv[[#Headers],[Agency]])),COLUMNS($F$7:AL$7))))</f>
        <v/>
      </c>
      <c r="AM439" s="2223" t="str" cm="1">
        <f t="array" ref="AM439">IF($D439&lt;COLUMNS($F$7:AM$7),"",INDEX(TableDiv[[GASB]:[GASB]],_xlfn.AGGREGATE(15,3,(TableDiv[[Agency]:[Agency]]=$E439)/(TableDiv[[Agency]:[Agency]]=$E439)*(ROW(TableDiv[Agency])-ROW(TableDiv[[#Headers],[Agency]])),COLUMNS($F$7:AM$7))))</f>
        <v/>
      </c>
      <c r="AN439" s="2223"/>
      <c r="AO439" s="2223"/>
      <c r="AP439" s="2223"/>
      <c r="AQ439" s="2223"/>
      <c r="AR439" s="2223"/>
      <c r="AS439" s="2223"/>
    </row>
    <row r="440" spans="1:45" ht="15" x14ac:dyDescent="0.25">
      <c r="A440" s="2219" t="s">
        <v>5203</v>
      </c>
      <c r="B440" s="2219" t="s">
        <v>6543</v>
      </c>
      <c r="C440" s="2223"/>
      <c r="D440" s="2223">
        <f>COUNTIF(TableDiv[Agency],E440)</f>
        <v>31</v>
      </c>
      <c r="E440" s="2230" t="str" cm="1">
        <f t="array" ref="E440">IFERROR(INDEX(TableDiv[Agency],MATCH(0,INDEX(COUNTIF($E$7:E439,TableDiv[Agency]),),0)),"")</f>
        <v/>
      </c>
      <c r="F440" s="2223" cm="1">
        <f t="array" ref="F440">IF($D440&lt;COLUMNS($F$7:F$7),"",INDEX(TableDiv[[GASB]:[GASB]],_xlfn.AGGREGATE(15,3,(TableDiv[[Agency]:[Agency]]=$E440)/(TableDiv[[Agency]:[Agency]]=$E440)*(ROW(TableDiv[Agency])-ROW(TableDiv[[#Headers],[Agency]])),COLUMNS($F$7:F$7))))</f>
        <v>0</v>
      </c>
      <c r="G440" s="2223" cm="1">
        <f t="array" ref="G440">IF($D440&lt;COLUMNS($F$7:G$7),"",INDEX(TableDiv[[GASB]:[GASB]],_xlfn.AGGREGATE(15,3,(TableDiv[[Agency]:[Agency]]=$E440)/(TableDiv[[Agency]:[Agency]]=$E440)*(ROW(TableDiv[Agency])-ROW(TableDiv[[#Headers],[Agency]])),COLUMNS($F$7:G$7))))</f>
        <v>0</v>
      </c>
      <c r="H440" s="2223" cm="1">
        <f t="array" ref="H440">IF($D440&lt;COLUMNS($F$7:H$7),"",INDEX(TableDiv[[GASB]:[GASB]],_xlfn.AGGREGATE(15,3,(TableDiv[[Agency]:[Agency]]=$E440)/(TableDiv[[Agency]:[Agency]]=$E440)*(ROW(TableDiv[Agency])-ROW(TableDiv[[#Headers],[Agency]])),COLUMNS($F$7:H$7))))</f>
        <v>0</v>
      </c>
      <c r="I440" s="2223" cm="1">
        <f t="array" ref="I440">IF($D440&lt;COLUMNS($F$7:I$7),"",INDEX(TableDiv[[GASB]:[GASB]],_xlfn.AGGREGATE(15,3,(TableDiv[[Agency]:[Agency]]=$E440)/(TableDiv[[Agency]:[Agency]]=$E440)*(ROW(TableDiv[Agency])-ROW(TableDiv[[#Headers],[Agency]])),COLUMNS($F$7:I$7))))</f>
        <v>0</v>
      </c>
      <c r="J440" s="2223" cm="1">
        <f t="array" ref="J440">IF($D440&lt;COLUMNS($F$7:J$7),"",INDEX(TableDiv[[GASB]:[GASB]],_xlfn.AGGREGATE(15,3,(TableDiv[[Agency]:[Agency]]=$E440)/(TableDiv[[Agency]:[Agency]]=$E440)*(ROW(TableDiv[Agency])-ROW(TableDiv[[#Headers],[Agency]])),COLUMNS($F$7:J$7))))</f>
        <v>0</v>
      </c>
      <c r="K440" s="2223" cm="1">
        <f t="array" ref="K440">IF($D440&lt;COLUMNS($F$7:K$7),"",INDEX(TableDiv[[GASB]:[GASB]],_xlfn.AGGREGATE(15,3,(TableDiv[[Agency]:[Agency]]=$E440)/(TableDiv[[Agency]:[Agency]]=$E440)*(ROW(TableDiv[Agency])-ROW(TableDiv[[#Headers],[Agency]])),COLUMNS($F$7:K$7))))</f>
        <v>0</v>
      </c>
      <c r="L440" s="2223" cm="1">
        <f t="array" ref="L440">IF($D440&lt;COLUMNS($F$7:L$7),"",INDEX(TableDiv[[GASB]:[GASB]],_xlfn.AGGREGATE(15,3,(TableDiv[[Agency]:[Agency]]=$E440)/(TableDiv[[Agency]:[Agency]]=$E440)*(ROW(TableDiv[Agency])-ROW(TableDiv[[#Headers],[Agency]])),COLUMNS($F$7:L$7))))</f>
        <v>0</v>
      </c>
      <c r="M440" s="2223" cm="1">
        <f t="array" ref="M440">IF($D440&lt;COLUMNS($F$7:M$7),"",INDEX(TableDiv[[GASB]:[GASB]],_xlfn.AGGREGATE(15,3,(TableDiv[[Agency]:[Agency]]=$E440)/(TableDiv[[Agency]:[Agency]]=$E440)*(ROW(TableDiv[Agency])-ROW(TableDiv[[#Headers],[Agency]])),COLUMNS($F$7:M$7))))</f>
        <v>0</v>
      </c>
      <c r="N440" s="2223" cm="1">
        <f t="array" ref="N440">IF($D440&lt;COLUMNS($F$7:N$7),"",INDEX(TableDiv[[GASB]:[GASB]],_xlfn.AGGREGATE(15,3,(TableDiv[[Agency]:[Agency]]=$E440)/(TableDiv[[Agency]:[Agency]]=$E440)*(ROW(TableDiv[Agency])-ROW(TableDiv[[#Headers],[Agency]])),COLUMNS($F$7:N$7))))</f>
        <v>0</v>
      </c>
      <c r="O440" s="2223" cm="1">
        <f t="array" ref="O440">IF($D440&lt;COLUMNS($F$7:O$7),"",INDEX(TableDiv[[GASB]:[GASB]],_xlfn.AGGREGATE(15,3,(TableDiv[[Agency]:[Agency]]=$E440)/(TableDiv[[Agency]:[Agency]]=$E440)*(ROW(TableDiv[Agency])-ROW(TableDiv[[#Headers],[Agency]])),COLUMNS($F$7:O$7))))</f>
        <v>0</v>
      </c>
      <c r="P440" s="2223" cm="1">
        <f t="array" ref="P440">IF($D440&lt;COLUMNS($F$7:P$7),"",INDEX(TableDiv[[GASB]:[GASB]],_xlfn.AGGREGATE(15,3,(TableDiv[[Agency]:[Agency]]=$E440)/(TableDiv[[Agency]:[Agency]]=$E440)*(ROW(TableDiv[Agency])-ROW(TableDiv[[#Headers],[Agency]])),COLUMNS($F$7:P$7))))</f>
        <v>0</v>
      </c>
      <c r="Q440" s="2223" cm="1">
        <f t="array" ref="Q440">IF($D440&lt;COLUMNS($F$7:Q$7),"",INDEX(TableDiv[[GASB]:[GASB]],_xlfn.AGGREGATE(15,3,(TableDiv[[Agency]:[Agency]]=$E440)/(TableDiv[[Agency]:[Agency]]=$E440)*(ROW(TableDiv[Agency])-ROW(TableDiv[[#Headers],[Agency]])),COLUMNS($F$7:Q$7))))</f>
        <v>0</v>
      </c>
      <c r="R440" s="2223" cm="1">
        <f t="array" ref="R440">IF($D440&lt;COLUMNS($F$7:R$7),"",INDEX(TableDiv[[GASB]:[GASB]],_xlfn.AGGREGATE(15,3,(TableDiv[[Agency]:[Agency]]=$E440)/(TableDiv[[Agency]:[Agency]]=$E440)*(ROW(TableDiv[Agency])-ROW(TableDiv[[#Headers],[Agency]])),COLUMNS($F$7:R$7))))</f>
        <v>0</v>
      </c>
      <c r="S440" s="2223" cm="1">
        <f t="array" ref="S440">IF($D440&lt;COLUMNS($F$7:S$7),"",INDEX(TableDiv[[GASB]:[GASB]],_xlfn.AGGREGATE(15,3,(TableDiv[[Agency]:[Agency]]=$E440)/(TableDiv[[Agency]:[Agency]]=$E440)*(ROW(TableDiv[Agency])-ROW(TableDiv[[#Headers],[Agency]])),COLUMNS($F$7:S$7))))</f>
        <v>0</v>
      </c>
      <c r="T440" s="2223" cm="1">
        <f t="array" ref="T440">IF($D440&lt;COLUMNS($F$7:T$7),"",INDEX(TableDiv[[GASB]:[GASB]],_xlfn.AGGREGATE(15,3,(TableDiv[[Agency]:[Agency]]=$E440)/(TableDiv[[Agency]:[Agency]]=$E440)*(ROW(TableDiv[Agency])-ROW(TableDiv[[#Headers],[Agency]])),COLUMNS($F$7:T$7))))</f>
        <v>0</v>
      </c>
      <c r="U440" s="2223" cm="1">
        <f t="array" ref="U440">IF($D440&lt;COLUMNS($F$7:U$7),"",INDEX(TableDiv[[GASB]:[GASB]],_xlfn.AGGREGATE(15,3,(TableDiv[[Agency]:[Agency]]=$E440)/(TableDiv[[Agency]:[Agency]]=$E440)*(ROW(TableDiv[Agency])-ROW(TableDiv[[#Headers],[Agency]])),COLUMNS($F$7:U$7))))</f>
        <v>0</v>
      </c>
      <c r="V440" s="2223" cm="1">
        <f t="array" ref="V440">IF($D440&lt;COLUMNS($F$7:V$7),"",INDEX(TableDiv[[GASB]:[GASB]],_xlfn.AGGREGATE(15,3,(TableDiv[[Agency]:[Agency]]=$E440)/(TableDiv[[Agency]:[Agency]]=$E440)*(ROW(TableDiv[Agency])-ROW(TableDiv[[#Headers],[Agency]])),COLUMNS($F$7:V$7))))</f>
        <v>0</v>
      </c>
      <c r="W440" s="2223" cm="1">
        <f t="array" ref="W440">IF($D440&lt;COLUMNS($F$7:W$7),"",INDEX(TableDiv[[GASB]:[GASB]],_xlfn.AGGREGATE(15,3,(TableDiv[[Agency]:[Agency]]=$E440)/(TableDiv[[Agency]:[Agency]]=$E440)*(ROW(TableDiv[Agency])-ROW(TableDiv[[#Headers],[Agency]])),COLUMNS($F$7:W$7))))</f>
        <v>0</v>
      </c>
      <c r="X440" s="2223" cm="1">
        <f t="array" ref="X440">IF($D440&lt;COLUMNS($F$7:X$7),"",INDEX(TableDiv[[GASB]:[GASB]],_xlfn.AGGREGATE(15,3,(TableDiv[[Agency]:[Agency]]=$E440)/(TableDiv[[Agency]:[Agency]]=$E440)*(ROW(TableDiv[Agency])-ROW(TableDiv[[#Headers],[Agency]])),COLUMNS($F$7:X$7))))</f>
        <v>0</v>
      </c>
      <c r="Y440" s="2223" cm="1">
        <f t="array" ref="Y440">IF($D440&lt;COLUMNS($F$7:Y$7),"",INDEX(TableDiv[[GASB]:[GASB]],_xlfn.AGGREGATE(15,3,(TableDiv[[Agency]:[Agency]]=$E440)/(TableDiv[[Agency]:[Agency]]=$E440)*(ROW(TableDiv[Agency])-ROW(TableDiv[[#Headers],[Agency]])),COLUMNS($F$7:Y$7))))</f>
        <v>0</v>
      </c>
      <c r="Z440" s="2223" cm="1">
        <f t="array" ref="Z440">IF($D440&lt;COLUMNS($F$7:Z$7),"",INDEX(TableDiv[[GASB]:[GASB]],_xlfn.AGGREGATE(15,3,(TableDiv[[Agency]:[Agency]]=$E440)/(TableDiv[[Agency]:[Agency]]=$E440)*(ROW(TableDiv[Agency])-ROW(TableDiv[[#Headers],[Agency]])),COLUMNS($F$7:Z$7))))</f>
        <v>0</v>
      </c>
      <c r="AA440" s="2223" cm="1">
        <f t="array" ref="AA440">IF($D440&lt;COLUMNS($F$7:AA$7),"",INDEX(TableDiv[[GASB]:[GASB]],_xlfn.AGGREGATE(15,3,(TableDiv[[Agency]:[Agency]]=$E440)/(TableDiv[[Agency]:[Agency]]=$E440)*(ROW(TableDiv[Agency])-ROW(TableDiv[[#Headers],[Agency]])),COLUMNS($F$7:AA$7))))</f>
        <v>0</v>
      </c>
      <c r="AB440" s="2223" cm="1">
        <f t="array" ref="AB440">IF($D440&lt;COLUMNS($F$7:AB$7),"",INDEX(TableDiv[[GASB]:[GASB]],_xlfn.AGGREGATE(15,3,(TableDiv[[Agency]:[Agency]]=$E440)/(TableDiv[[Agency]:[Agency]]=$E440)*(ROW(TableDiv[Agency])-ROW(TableDiv[[#Headers],[Agency]])),COLUMNS($F$7:AB$7))))</f>
        <v>0</v>
      </c>
      <c r="AC440" s="2223" cm="1">
        <f t="array" ref="AC440">IF($D440&lt;COLUMNS($F$7:AC$7),"",INDEX(TableDiv[[GASB]:[GASB]],_xlfn.AGGREGATE(15,3,(TableDiv[[Agency]:[Agency]]=$E440)/(TableDiv[[Agency]:[Agency]]=$E440)*(ROW(TableDiv[Agency])-ROW(TableDiv[[#Headers],[Agency]])),COLUMNS($F$7:AC$7))))</f>
        <v>0</v>
      </c>
      <c r="AD440" s="2223" cm="1">
        <f t="array" ref="AD440">IF($D440&lt;COLUMNS($F$7:AD$7),"",INDEX(TableDiv[[GASB]:[GASB]],_xlfn.AGGREGATE(15,3,(TableDiv[[Agency]:[Agency]]=$E440)/(TableDiv[[Agency]:[Agency]]=$E440)*(ROW(TableDiv[Agency])-ROW(TableDiv[[#Headers],[Agency]])),COLUMNS($F$7:AD$7))))</f>
        <v>0</v>
      </c>
      <c r="AE440" s="2223" cm="1">
        <f t="array" ref="AE440">IF($D440&lt;COLUMNS($F$7:AE$7),"",INDEX(TableDiv[[GASB]:[GASB]],_xlfn.AGGREGATE(15,3,(TableDiv[[Agency]:[Agency]]=$E440)/(TableDiv[[Agency]:[Agency]]=$E440)*(ROW(TableDiv[Agency])-ROW(TableDiv[[#Headers],[Agency]])),COLUMNS($F$7:AE$7))))</f>
        <v>0</v>
      </c>
      <c r="AF440" s="2223" cm="1">
        <f t="array" ref="AF440">IF($D440&lt;COLUMNS($F$7:AF$7),"",INDEX(TableDiv[[GASB]:[GASB]],_xlfn.AGGREGATE(15,3,(TableDiv[[Agency]:[Agency]]=$E440)/(TableDiv[[Agency]:[Agency]]=$E440)*(ROW(TableDiv[Agency])-ROW(TableDiv[[#Headers],[Agency]])),COLUMNS($F$7:AF$7))))</f>
        <v>0</v>
      </c>
      <c r="AG440" s="2223" cm="1">
        <f t="array" ref="AG440">IF($D440&lt;COLUMNS($F$7:AG$7),"",INDEX(TableDiv[[GASB]:[GASB]],_xlfn.AGGREGATE(15,3,(TableDiv[[Agency]:[Agency]]=$E440)/(TableDiv[[Agency]:[Agency]]=$E440)*(ROW(TableDiv[Agency])-ROW(TableDiv[[#Headers],[Agency]])),COLUMNS($F$7:AG$7))))</f>
        <v>0</v>
      </c>
      <c r="AH440" s="2223" cm="1">
        <f t="array" ref="AH440">IF($D440&lt;COLUMNS($F$7:AH$7),"",INDEX(TableDiv[[GASB]:[GASB]],_xlfn.AGGREGATE(15,3,(TableDiv[[Agency]:[Agency]]=$E440)/(TableDiv[[Agency]:[Agency]]=$E440)*(ROW(TableDiv[Agency])-ROW(TableDiv[[#Headers],[Agency]])),COLUMNS($F$7:AH$7))))</f>
        <v>0</v>
      </c>
      <c r="AI440" s="2223" cm="1">
        <f t="array" ref="AI440">IF($D440&lt;COLUMNS($F$7:AI$7),"",INDEX(TableDiv[[GASB]:[GASB]],_xlfn.AGGREGATE(15,3,(TableDiv[[Agency]:[Agency]]=$E440)/(TableDiv[[Agency]:[Agency]]=$E440)*(ROW(TableDiv[Agency])-ROW(TableDiv[[#Headers],[Agency]])),COLUMNS($F$7:AI$7))))</f>
        <v>0</v>
      </c>
      <c r="AJ440" s="2223" cm="1">
        <f t="array" ref="AJ440">IF($D440&lt;COLUMNS($F$7:AJ$7),"",INDEX(TableDiv[[GASB]:[GASB]],_xlfn.AGGREGATE(15,3,(TableDiv[[Agency]:[Agency]]=$E440)/(TableDiv[[Agency]:[Agency]]=$E440)*(ROW(TableDiv[Agency])-ROW(TableDiv[[#Headers],[Agency]])),COLUMNS($F$7:AJ$7))))</f>
        <v>0</v>
      </c>
      <c r="AK440" s="2223" t="str" cm="1">
        <f t="array" ref="AK440">IF($D440&lt;COLUMNS($F$7:AK$7),"",INDEX(TableDiv[[GASB]:[GASB]],_xlfn.AGGREGATE(15,3,(TableDiv[[Agency]:[Agency]]=$E440)/(TableDiv[[Agency]:[Agency]]=$E440)*(ROW(TableDiv[Agency])-ROW(TableDiv[[#Headers],[Agency]])),COLUMNS($F$7:AK$7))))</f>
        <v/>
      </c>
      <c r="AL440" s="2223" t="str" cm="1">
        <f t="array" ref="AL440">IF($D440&lt;COLUMNS($F$7:AL$7),"",INDEX(TableDiv[[GASB]:[GASB]],_xlfn.AGGREGATE(15,3,(TableDiv[[Agency]:[Agency]]=$E440)/(TableDiv[[Agency]:[Agency]]=$E440)*(ROW(TableDiv[Agency])-ROW(TableDiv[[#Headers],[Agency]])),COLUMNS($F$7:AL$7))))</f>
        <v/>
      </c>
      <c r="AM440" s="2223" t="str" cm="1">
        <f t="array" ref="AM440">IF($D440&lt;COLUMNS($F$7:AM$7),"",INDEX(TableDiv[[GASB]:[GASB]],_xlfn.AGGREGATE(15,3,(TableDiv[[Agency]:[Agency]]=$E440)/(TableDiv[[Agency]:[Agency]]=$E440)*(ROW(TableDiv[Agency])-ROW(TableDiv[[#Headers],[Agency]])),COLUMNS($F$7:AM$7))))</f>
        <v/>
      </c>
      <c r="AN440" s="2223"/>
      <c r="AO440" s="2223"/>
      <c r="AP440" s="2223"/>
      <c r="AQ440" s="2223"/>
      <c r="AR440" s="2223"/>
      <c r="AS440" s="2223"/>
    </row>
    <row r="441" spans="1:45" ht="15" x14ac:dyDescent="0.25">
      <c r="A441" s="2219" t="s">
        <v>5205</v>
      </c>
      <c r="B441" s="2219" t="s">
        <v>6543</v>
      </c>
      <c r="C441" s="2223"/>
      <c r="D441" s="2223">
        <f>COUNTIF(TableDiv[Agency],E441)</f>
        <v>31</v>
      </c>
      <c r="E441" s="2230" t="str" cm="1">
        <f t="array" ref="E441">IFERROR(INDEX(TableDiv[Agency],MATCH(0,INDEX(COUNTIF($E$7:E440,TableDiv[Agency]),),0)),"")</f>
        <v/>
      </c>
      <c r="F441" s="2223" cm="1">
        <f t="array" ref="F441">IF($D441&lt;COLUMNS($F$7:F$7),"",INDEX(TableDiv[[GASB]:[GASB]],_xlfn.AGGREGATE(15,3,(TableDiv[[Agency]:[Agency]]=$E441)/(TableDiv[[Agency]:[Agency]]=$E441)*(ROW(TableDiv[Agency])-ROW(TableDiv[[#Headers],[Agency]])),COLUMNS($F$7:F$7))))</f>
        <v>0</v>
      </c>
      <c r="G441" s="2223" cm="1">
        <f t="array" ref="G441">IF($D441&lt;COLUMNS($F$7:G$7),"",INDEX(TableDiv[[GASB]:[GASB]],_xlfn.AGGREGATE(15,3,(TableDiv[[Agency]:[Agency]]=$E441)/(TableDiv[[Agency]:[Agency]]=$E441)*(ROW(TableDiv[Agency])-ROW(TableDiv[[#Headers],[Agency]])),COLUMNS($F$7:G$7))))</f>
        <v>0</v>
      </c>
      <c r="H441" s="2223" cm="1">
        <f t="array" ref="H441">IF($D441&lt;COLUMNS($F$7:H$7),"",INDEX(TableDiv[[GASB]:[GASB]],_xlfn.AGGREGATE(15,3,(TableDiv[[Agency]:[Agency]]=$E441)/(TableDiv[[Agency]:[Agency]]=$E441)*(ROW(TableDiv[Agency])-ROW(TableDiv[[#Headers],[Agency]])),COLUMNS($F$7:H$7))))</f>
        <v>0</v>
      </c>
      <c r="I441" s="2223" cm="1">
        <f t="array" ref="I441">IF($D441&lt;COLUMNS($F$7:I$7),"",INDEX(TableDiv[[GASB]:[GASB]],_xlfn.AGGREGATE(15,3,(TableDiv[[Agency]:[Agency]]=$E441)/(TableDiv[[Agency]:[Agency]]=$E441)*(ROW(TableDiv[Agency])-ROW(TableDiv[[#Headers],[Agency]])),COLUMNS($F$7:I$7))))</f>
        <v>0</v>
      </c>
      <c r="J441" s="2223" cm="1">
        <f t="array" ref="J441">IF($D441&lt;COLUMNS($F$7:J$7),"",INDEX(TableDiv[[GASB]:[GASB]],_xlfn.AGGREGATE(15,3,(TableDiv[[Agency]:[Agency]]=$E441)/(TableDiv[[Agency]:[Agency]]=$E441)*(ROW(TableDiv[Agency])-ROW(TableDiv[[#Headers],[Agency]])),COLUMNS($F$7:J$7))))</f>
        <v>0</v>
      </c>
      <c r="K441" s="2223" cm="1">
        <f t="array" ref="K441">IF($D441&lt;COLUMNS($F$7:K$7),"",INDEX(TableDiv[[GASB]:[GASB]],_xlfn.AGGREGATE(15,3,(TableDiv[[Agency]:[Agency]]=$E441)/(TableDiv[[Agency]:[Agency]]=$E441)*(ROW(TableDiv[Agency])-ROW(TableDiv[[#Headers],[Agency]])),COLUMNS($F$7:K$7))))</f>
        <v>0</v>
      </c>
      <c r="L441" s="2223" cm="1">
        <f t="array" ref="L441">IF($D441&lt;COLUMNS($F$7:L$7),"",INDEX(TableDiv[[GASB]:[GASB]],_xlfn.AGGREGATE(15,3,(TableDiv[[Agency]:[Agency]]=$E441)/(TableDiv[[Agency]:[Agency]]=$E441)*(ROW(TableDiv[Agency])-ROW(TableDiv[[#Headers],[Agency]])),COLUMNS($F$7:L$7))))</f>
        <v>0</v>
      </c>
      <c r="M441" s="2223" cm="1">
        <f t="array" ref="M441">IF($D441&lt;COLUMNS($F$7:M$7),"",INDEX(TableDiv[[GASB]:[GASB]],_xlfn.AGGREGATE(15,3,(TableDiv[[Agency]:[Agency]]=$E441)/(TableDiv[[Agency]:[Agency]]=$E441)*(ROW(TableDiv[Agency])-ROW(TableDiv[[#Headers],[Agency]])),COLUMNS($F$7:M$7))))</f>
        <v>0</v>
      </c>
      <c r="N441" s="2223" cm="1">
        <f t="array" ref="N441">IF($D441&lt;COLUMNS($F$7:N$7),"",INDEX(TableDiv[[GASB]:[GASB]],_xlfn.AGGREGATE(15,3,(TableDiv[[Agency]:[Agency]]=$E441)/(TableDiv[[Agency]:[Agency]]=$E441)*(ROW(TableDiv[Agency])-ROW(TableDiv[[#Headers],[Agency]])),COLUMNS($F$7:N$7))))</f>
        <v>0</v>
      </c>
      <c r="O441" s="2223" cm="1">
        <f t="array" ref="O441">IF($D441&lt;COLUMNS($F$7:O$7),"",INDEX(TableDiv[[GASB]:[GASB]],_xlfn.AGGREGATE(15,3,(TableDiv[[Agency]:[Agency]]=$E441)/(TableDiv[[Agency]:[Agency]]=$E441)*(ROW(TableDiv[Agency])-ROW(TableDiv[[#Headers],[Agency]])),COLUMNS($F$7:O$7))))</f>
        <v>0</v>
      </c>
      <c r="P441" s="2223" cm="1">
        <f t="array" ref="P441">IF($D441&lt;COLUMNS($F$7:P$7),"",INDEX(TableDiv[[GASB]:[GASB]],_xlfn.AGGREGATE(15,3,(TableDiv[[Agency]:[Agency]]=$E441)/(TableDiv[[Agency]:[Agency]]=$E441)*(ROW(TableDiv[Agency])-ROW(TableDiv[[#Headers],[Agency]])),COLUMNS($F$7:P$7))))</f>
        <v>0</v>
      </c>
      <c r="Q441" s="2223" cm="1">
        <f t="array" ref="Q441">IF($D441&lt;COLUMNS($F$7:Q$7),"",INDEX(TableDiv[[GASB]:[GASB]],_xlfn.AGGREGATE(15,3,(TableDiv[[Agency]:[Agency]]=$E441)/(TableDiv[[Agency]:[Agency]]=$E441)*(ROW(TableDiv[Agency])-ROW(TableDiv[[#Headers],[Agency]])),COLUMNS($F$7:Q$7))))</f>
        <v>0</v>
      </c>
      <c r="R441" s="2223" cm="1">
        <f t="array" ref="R441">IF($D441&lt;COLUMNS($F$7:R$7),"",INDEX(TableDiv[[GASB]:[GASB]],_xlfn.AGGREGATE(15,3,(TableDiv[[Agency]:[Agency]]=$E441)/(TableDiv[[Agency]:[Agency]]=$E441)*(ROW(TableDiv[Agency])-ROW(TableDiv[[#Headers],[Agency]])),COLUMNS($F$7:R$7))))</f>
        <v>0</v>
      </c>
      <c r="S441" s="2223" cm="1">
        <f t="array" ref="S441">IF($D441&lt;COLUMNS($F$7:S$7),"",INDEX(TableDiv[[GASB]:[GASB]],_xlfn.AGGREGATE(15,3,(TableDiv[[Agency]:[Agency]]=$E441)/(TableDiv[[Agency]:[Agency]]=$E441)*(ROW(TableDiv[Agency])-ROW(TableDiv[[#Headers],[Agency]])),COLUMNS($F$7:S$7))))</f>
        <v>0</v>
      </c>
      <c r="T441" s="2223" cm="1">
        <f t="array" ref="T441">IF($D441&lt;COLUMNS($F$7:T$7),"",INDEX(TableDiv[[GASB]:[GASB]],_xlfn.AGGREGATE(15,3,(TableDiv[[Agency]:[Agency]]=$E441)/(TableDiv[[Agency]:[Agency]]=$E441)*(ROW(TableDiv[Agency])-ROW(TableDiv[[#Headers],[Agency]])),COLUMNS($F$7:T$7))))</f>
        <v>0</v>
      </c>
      <c r="U441" s="2223" cm="1">
        <f t="array" ref="U441">IF($D441&lt;COLUMNS($F$7:U$7),"",INDEX(TableDiv[[GASB]:[GASB]],_xlfn.AGGREGATE(15,3,(TableDiv[[Agency]:[Agency]]=$E441)/(TableDiv[[Agency]:[Agency]]=$E441)*(ROW(TableDiv[Agency])-ROW(TableDiv[[#Headers],[Agency]])),COLUMNS($F$7:U$7))))</f>
        <v>0</v>
      </c>
      <c r="V441" s="2223" cm="1">
        <f t="array" ref="V441">IF($D441&lt;COLUMNS($F$7:V$7),"",INDEX(TableDiv[[GASB]:[GASB]],_xlfn.AGGREGATE(15,3,(TableDiv[[Agency]:[Agency]]=$E441)/(TableDiv[[Agency]:[Agency]]=$E441)*(ROW(TableDiv[Agency])-ROW(TableDiv[[#Headers],[Agency]])),COLUMNS($F$7:V$7))))</f>
        <v>0</v>
      </c>
      <c r="W441" s="2223" cm="1">
        <f t="array" ref="W441">IF($D441&lt;COLUMNS($F$7:W$7),"",INDEX(TableDiv[[GASB]:[GASB]],_xlfn.AGGREGATE(15,3,(TableDiv[[Agency]:[Agency]]=$E441)/(TableDiv[[Agency]:[Agency]]=$E441)*(ROW(TableDiv[Agency])-ROW(TableDiv[[#Headers],[Agency]])),COLUMNS($F$7:W$7))))</f>
        <v>0</v>
      </c>
      <c r="X441" s="2223" cm="1">
        <f t="array" ref="X441">IF($D441&lt;COLUMNS($F$7:X$7),"",INDEX(TableDiv[[GASB]:[GASB]],_xlfn.AGGREGATE(15,3,(TableDiv[[Agency]:[Agency]]=$E441)/(TableDiv[[Agency]:[Agency]]=$E441)*(ROW(TableDiv[Agency])-ROW(TableDiv[[#Headers],[Agency]])),COLUMNS($F$7:X$7))))</f>
        <v>0</v>
      </c>
      <c r="Y441" s="2223" cm="1">
        <f t="array" ref="Y441">IF($D441&lt;COLUMNS($F$7:Y$7),"",INDEX(TableDiv[[GASB]:[GASB]],_xlfn.AGGREGATE(15,3,(TableDiv[[Agency]:[Agency]]=$E441)/(TableDiv[[Agency]:[Agency]]=$E441)*(ROW(TableDiv[Agency])-ROW(TableDiv[[#Headers],[Agency]])),COLUMNS($F$7:Y$7))))</f>
        <v>0</v>
      </c>
      <c r="Z441" s="2223" cm="1">
        <f t="array" ref="Z441">IF($D441&lt;COLUMNS($F$7:Z$7),"",INDEX(TableDiv[[GASB]:[GASB]],_xlfn.AGGREGATE(15,3,(TableDiv[[Agency]:[Agency]]=$E441)/(TableDiv[[Agency]:[Agency]]=$E441)*(ROW(TableDiv[Agency])-ROW(TableDiv[[#Headers],[Agency]])),COLUMNS($F$7:Z$7))))</f>
        <v>0</v>
      </c>
      <c r="AA441" s="2223" cm="1">
        <f t="array" ref="AA441">IF($D441&lt;COLUMNS($F$7:AA$7),"",INDEX(TableDiv[[GASB]:[GASB]],_xlfn.AGGREGATE(15,3,(TableDiv[[Agency]:[Agency]]=$E441)/(TableDiv[[Agency]:[Agency]]=$E441)*(ROW(TableDiv[Agency])-ROW(TableDiv[[#Headers],[Agency]])),COLUMNS($F$7:AA$7))))</f>
        <v>0</v>
      </c>
      <c r="AB441" s="2223" cm="1">
        <f t="array" ref="AB441">IF($D441&lt;COLUMNS($F$7:AB$7),"",INDEX(TableDiv[[GASB]:[GASB]],_xlfn.AGGREGATE(15,3,(TableDiv[[Agency]:[Agency]]=$E441)/(TableDiv[[Agency]:[Agency]]=$E441)*(ROW(TableDiv[Agency])-ROW(TableDiv[[#Headers],[Agency]])),COLUMNS($F$7:AB$7))))</f>
        <v>0</v>
      </c>
      <c r="AC441" s="2223" cm="1">
        <f t="array" ref="AC441">IF($D441&lt;COLUMNS($F$7:AC$7),"",INDEX(TableDiv[[GASB]:[GASB]],_xlfn.AGGREGATE(15,3,(TableDiv[[Agency]:[Agency]]=$E441)/(TableDiv[[Agency]:[Agency]]=$E441)*(ROW(TableDiv[Agency])-ROW(TableDiv[[#Headers],[Agency]])),COLUMNS($F$7:AC$7))))</f>
        <v>0</v>
      </c>
      <c r="AD441" s="2223" cm="1">
        <f t="array" ref="AD441">IF($D441&lt;COLUMNS($F$7:AD$7),"",INDEX(TableDiv[[GASB]:[GASB]],_xlfn.AGGREGATE(15,3,(TableDiv[[Agency]:[Agency]]=$E441)/(TableDiv[[Agency]:[Agency]]=$E441)*(ROW(TableDiv[Agency])-ROW(TableDiv[[#Headers],[Agency]])),COLUMNS($F$7:AD$7))))</f>
        <v>0</v>
      </c>
      <c r="AE441" s="2223" cm="1">
        <f t="array" ref="AE441">IF($D441&lt;COLUMNS($F$7:AE$7),"",INDEX(TableDiv[[GASB]:[GASB]],_xlfn.AGGREGATE(15,3,(TableDiv[[Agency]:[Agency]]=$E441)/(TableDiv[[Agency]:[Agency]]=$E441)*(ROW(TableDiv[Agency])-ROW(TableDiv[[#Headers],[Agency]])),COLUMNS($F$7:AE$7))))</f>
        <v>0</v>
      </c>
      <c r="AF441" s="2223" cm="1">
        <f t="array" ref="AF441">IF($D441&lt;COLUMNS($F$7:AF$7),"",INDEX(TableDiv[[GASB]:[GASB]],_xlfn.AGGREGATE(15,3,(TableDiv[[Agency]:[Agency]]=$E441)/(TableDiv[[Agency]:[Agency]]=$E441)*(ROW(TableDiv[Agency])-ROW(TableDiv[[#Headers],[Agency]])),COLUMNS($F$7:AF$7))))</f>
        <v>0</v>
      </c>
      <c r="AG441" s="2223" cm="1">
        <f t="array" ref="AG441">IF($D441&lt;COLUMNS($F$7:AG$7),"",INDEX(TableDiv[[GASB]:[GASB]],_xlfn.AGGREGATE(15,3,(TableDiv[[Agency]:[Agency]]=$E441)/(TableDiv[[Agency]:[Agency]]=$E441)*(ROW(TableDiv[Agency])-ROW(TableDiv[[#Headers],[Agency]])),COLUMNS($F$7:AG$7))))</f>
        <v>0</v>
      </c>
      <c r="AH441" s="2223" cm="1">
        <f t="array" ref="AH441">IF($D441&lt;COLUMNS($F$7:AH$7),"",INDEX(TableDiv[[GASB]:[GASB]],_xlfn.AGGREGATE(15,3,(TableDiv[[Agency]:[Agency]]=$E441)/(TableDiv[[Agency]:[Agency]]=$E441)*(ROW(TableDiv[Agency])-ROW(TableDiv[[#Headers],[Agency]])),COLUMNS($F$7:AH$7))))</f>
        <v>0</v>
      </c>
      <c r="AI441" s="2223" cm="1">
        <f t="array" ref="AI441">IF($D441&lt;COLUMNS($F$7:AI$7),"",INDEX(TableDiv[[GASB]:[GASB]],_xlfn.AGGREGATE(15,3,(TableDiv[[Agency]:[Agency]]=$E441)/(TableDiv[[Agency]:[Agency]]=$E441)*(ROW(TableDiv[Agency])-ROW(TableDiv[[#Headers],[Agency]])),COLUMNS($F$7:AI$7))))</f>
        <v>0</v>
      </c>
      <c r="AJ441" s="2223" cm="1">
        <f t="array" ref="AJ441">IF($D441&lt;COLUMNS($F$7:AJ$7),"",INDEX(TableDiv[[GASB]:[GASB]],_xlfn.AGGREGATE(15,3,(TableDiv[[Agency]:[Agency]]=$E441)/(TableDiv[[Agency]:[Agency]]=$E441)*(ROW(TableDiv[Agency])-ROW(TableDiv[[#Headers],[Agency]])),COLUMNS($F$7:AJ$7))))</f>
        <v>0</v>
      </c>
      <c r="AK441" s="2223" t="str" cm="1">
        <f t="array" ref="AK441">IF($D441&lt;COLUMNS($F$7:AK$7),"",INDEX(TableDiv[[GASB]:[GASB]],_xlfn.AGGREGATE(15,3,(TableDiv[[Agency]:[Agency]]=$E441)/(TableDiv[[Agency]:[Agency]]=$E441)*(ROW(TableDiv[Agency])-ROW(TableDiv[[#Headers],[Agency]])),COLUMNS($F$7:AK$7))))</f>
        <v/>
      </c>
      <c r="AL441" s="2223" t="str" cm="1">
        <f t="array" ref="AL441">IF($D441&lt;COLUMNS($F$7:AL$7),"",INDEX(TableDiv[[GASB]:[GASB]],_xlfn.AGGREGATE(15,3,(TableDiv[[Agency]:[Agency]]=$E441)/(TableDiv[[Agency]:[Agency]]=$E441)*(ROW(TableDiv[Agency])-ROW(TableDiv[[#Headers],[Agency]])),COLUMNS($F$7:AL$7))))</f>
        <v/>
      </c>
      <c r="AM441" s="2223" t="str" cm="1">
        <f t="array" ref="AM441">IF($D441&lt;COLUMNS($F$7:AM$7),"",INDEX(TableDiv[[GASB]:[GASB]],_xlfn.AGGREGATE(15,3,(TableDiv[[Agency]:[Agency]]=$E441)/(TableDiv[[Agency]:[Agency]]=$E441)*(ROW(TableDiv[Agency])-ROW(TableDiv[[#Headers],[Agency]])),COLUMNS($F$7:AM$7))))</f>
        <v/>
      </c>
      <c r="AN441" s="2223"/>
      <c r="AO441" s="2223"/>
      <c r="AP441" s="2223"/>
      <c r="AQ441" s="2223"/>
      <c r="AR441" s="2223"/>
      <c r="AS441" s="2223"/>
    </row>
    <row r="442" spans="1:45" ht="15" x14ac:dyDescent="0.25">
      <c r="A442" s="2219" t="s">
        <v>5207</v>
      </c>
      <c r="B442" s="2219" t="s">
        <v>6543</v>
      </c>
      <c r="C442" s="2223"/>
      <c r="D442" s="2223">
        <f>COUNTIF(TableDiv[Agency],E442)</f>
        <v>31</v>
      </c>
      <c r="E442" s="2230" t="str" cm="1">
        <f t="array" ref="E442">IFERROR(INDEX(TableDiv[Agency],MATCH(0,INDEX(COUNTIF($E$7:E441,TableDiv[Agency]),),0)),"")</f>
        <v/>
      </c>
      <c r="F442" s="2223" cm="1">
        <f t="array" ref="F442">IF($D442&lt;COLUMNS($F$7:F$7),"",INDEX(TableDiv[[GASB]:[GASB]],_xlfn.AGGREGATE(15,3,(TableDiv[[Agency]:[Agency]]=$E442)/(TableDiv[[Agency]:[Agency]]=$E442)*(ROW(TableDiv[Agency])-ROW(TableDiv[[#Headers],[Agency]])),COLUMNS($F$7:F$7))))</f>
        <v>0</v>
      </c>
      <c r="G442" s="2223" cm="1">
        <f t="array" ref="G442">IF($D442&lt;COLUMNS($F$7:G$7),"",INDEX(TableDiv[[GASB]:[GASB]],_xlfn.AGGREGATE(15,3,(TableDiv[[Agency]:[Agency]]=$E442)/(TableDiv[[Agency]:[Agency]]=$E442)*(ROW(TableDiv[Agency])-ROW(TableDiv[[#Headers],[Agency]])),COLUMNS($F$7:G$7))))</f>
        <v>0</v>
      </c>
      <c r="H442" s="2223" cm="1">
        <f t="array" ref="H442">IF($D442&lt;COLUMNS($F$7:H$7),"",INDEX(TableDiv[[GASB]:[GASB]],_xlfn.AGGREGATE(15,3,(TableDiv[[Agency]:[Agency]]=$E442)/(TableDiv[[Agency]:[Agency]]=$E442)*(ROW(TableDiv[Agency])-ROW(TableDiv[[#Headers],[Agency]])),COLUMNS($F$7:H$7))))</f>
        <v>0</v>
      </c>
      <c r="I442" s="2223" cm="1">
        <f t="array" ref="I442">IF($D442&lt;COLUMNS($F$7:I$7),"",INDEX(TableDiv[[GASB]:[GASB]],_xlfn.AGGREGATE(15,3,(TableDiv[[Agency]:[Agency]]=$E442)/(TableDiv[[Agency]:[Agency]]=$E442)*(ROW(TableDiv[Agency])-ROW(TableDiv[[#Headers],[Agency]])),COLUMNS($F$7:I$7))))</f>
        <v>0</v>
      </c>
      <c r="J442" s="2223" cm="1">
        <f t="array" ref="J442">IF($D442&lt;COLUMNS($F$7:J$7),"",INDEX(TableDiv[[GASB]:[GASB]],_xlfn.AGGREGATE(15,3,(TableDiv[[Agency]:[Agency]]=$E442)/(TableDiv[[Agency]:[Agency]]=$E442)*(ROW(TableDiv[Agency])-ROW(TableDiv[[#Headers],[Agency]])),COLUMNS($F$7:J$7))))</f>
        <v>0</v>
      </c>
      <c r="K442" s="2223" cm="1">
        <f t="array" ref="K442">IF($D442&lt;COLUMNS($F$7:K$7),"",INDEX(TableDiv[[GASB]:[GASB]],_xlfn.AGGREGATE(15,3,(TableDiv[[Agency]:[Agency]]=$E442)/(TableDiv[[Agency]:[Agency]]=$E442)*(ROW(TableDiv[Agency])-ROW(TableDiv[[#Headers],[Agency]])),COLUMNS($F$7:K$7))))</f>
        <v>0</v>
      </c>
      <c r="L442" s="2223" cm="1">
        <f t="array" ref="L442">IF($D442&lt;COLUMNS($F$7:L$7),"",INDEX(TableDiv[[GASB]:[GASB]],_xlfn.AGGREGATE(15,3,(TableDiv[[Agency]:[Agency]]=$E442)/(TableDiv[[Agency]:[Agency]]=$E442)*(ROW(TableDiv[Agency])-ROW(TableDiv[[#Headers],[Agency]])),COLUMNS($F$7:L$7))))</f>
        <v>0</v>
      </c>
      <c r="M442" s="2223" cm="1">
        <f t="array" ref="M442">IF($D442&lt;COLUMNS($F$7:M$7),"",INDEX(TableDiv[[GASB]:[GASB]],_xlfn.AGGREGATE(15,3,(TableDiv[[Agency]:[Agency]]=$E442)/(TableDiv[[Agency]:[Agency]]=$E442)*(ROW(TableDiv[Agency])-ROW(TableDiv[[#Headers],[Agency]])),COLUMNS($F$7:M$7))))</f>
        <v>0</v>
      </c>
      <c r="N442" s="2223" cm="1">
        <f t="array" ref="N442">IF($D442&lt;COLUMNS($F$7:N$7),"",INDEX(TableDiv[[GASB]:[GASB]],_xlfn.AGGREGATE(15,3,(TableDiv[[Agency]:[Agency]]=$E442)/(TableDiv[[Agency]:[Agency]]=$E442)*(ROW(TableDiv[Agency])-ROW(TableDiv[[#Headers],[Agency]])),COLUMNS($F$7:N$7))))</f>
        <v>0</v>
      </c>
      <c r="O442" s="2223" cm="1">
        <f t="array" ref="O442">IF($D442&lt;COLUMNS($F$7:O$7),"",INDEX(TableDiv[[GASB]:[GASB]],_xlfn.AGGREGATE(15,3,(TableDiv[[Agency]:[Agency]]=$E442)/(TableDiv[[Agency]:[Agency]]=$E442)*(ROW(TableDiv[Agency])-ROW(TableDiv[[#Headers],[Agency]])),COLUMNS($F$7:O$7))))</f>
        <v>0</v>
      </c>
      <c r="P442" s="2223" cm="1">
        <f t="array" ref="P442">IF($D442&lt;COLUMNS($F$7:P$7),"",INDEX(TableDiv[[GASB]:[GASB]],_xlfn.AGGREGATE(15,3,(TableDiv[[Agency]:[Agency]]=$E442)/(TableDiv[[Agency]:[Agency]]=$E442)*(ROW(TableDiv[Agency])-ROW(TableDiv[[#Headers],[Agency]])),COLUMNS($F$7:P$7))))</f>
        <v>0</v>
      </c>
      <c r="Q442" s="2223" cm="1">
        <f t="array" ref="Q442">IF($D442&lt;COLUMNS($F$7:Q$7),"",INDEX(TableDiv[[GASB]:[GASB]],_xlfn.AGGREGATE(15,3,(TableDiv[[Agency]:[Agency]]=$E442)/(TableDiv[[Agency]:[Agency]]=$E442)*(ROW(TableDiv[Agency])-ROW(TableDiv[[#Headers],[Agency]])),COLUMNS($F$7:Q$7))))</f>
        <v>0</v>
      </c>
      <c r="R442" s="2223" cm="1">
        <f t="array" ref="R442">IF($D442&lt;COLUMNS($F$7:R$7),"",INDEX(TableDiv[[GASB]:[GASB]],_xlfn.AGGREGATE(15,3,(TableDiv[[Agency]:[Agency]]=$E442)/(TableDiv[[Agency]:[Agency]]=$E442)*(ROW(TableDiv[Agency])-ROW(TableDiv[[#Headers],[Agency]])),COLUMNS($F$7:R$7))))</f>
        <v>0</v>
      </c>
      <c r="S442" s="2223" cm="1">
        <f t="array" ref="S442">IF($D442&lt;COLUMNS($F$7:S$7),"",INDEX(TableDiv[[GASB]:[GASB]],_xlfn.AGGREGATE(15,3,(TableDiv[[Agency]:[Agency]]=$E442)/(TableDiv[[Agency]:[Agency]]=$E442)*(ROW(TableDiv[Agency])-ROW(TableDiv[[#Headers],[Agency]])),COLUMNS($F$7:S$7))))</f>
        <v>0</v>
      </c>
      <c r="T442" s="2223" cm="1">
        <f t="array" ref="T442">IF($D442&lt;COLUMNS($F$7:T$7),"",INDEX(TableDiv[[GASB]:[GASB]],_xlfn.AGGREGATE(15,3,(TableDiv[[Agency]:[Agency]]=$E442)/(TableDiv[[Agency]:[Agency]]=$E442)*(ROW(TableDiv[Agency])-ROW(TableDiv[[#Headers],[Agency]])),COLUMNS($F$7:T$7))))</f>
        <v>0</v>
      </c>
      <c r="U442" s="2223" cm="1">
        <f t="array" ref="U442">IF($D442&lt;COLUMNS($F$7:U$7),"",INDEX(TableDiv[[GASB]:[GASB]],_xlfn.AGGREGATE(15,3,(TableDiv[[Agency]:[Agency]]=$E442)/(TableDiv[[Agency]:[Agency]]=$E442)*(ROW(TableDiv[Agency])-ROW(TableDiv[[#Headers],[Agency]])),COLUMNS($F$7:U$7))))</f>
        <v>0</v>
      </c>
      <c r="V442" s="2223" cm="1">
        <f t="array" ref="V442">IF($D442&lt;COLUMNS($F$7:V$7),"",INDEX(TableDiv[[GASB]:[GASB]],_xlfn.AGGREGATE(15,3,(TableDiv[[Agency]:[Agency]]=$E442)/(TableDiv[[Agency]:[Agency]]=$E442)*(ROW(TableDiv[Agency])-ROW(TableDiv[[#Headers],[Agency]])),COLUMNS($F$7:V$7))))</f>
        <v>0</v>
      </c>
      <c r="W442" s="2223" cm="1">
        <f t="array" ref="W442">IF($D442&lt;COLUMNS($F$7:W$7),"",INDEX(TableDiv[[GASB]:[GASB]],_xlfn.AGGREGATE(15,3,(TableDiv[[Agency]:[Agency]]=$E442)/(TableDiv[[Agency]:[Agency]]=$E442)*(ROW(TableDiv[Agency])-ROW(TableDiv[[#Headers],[Agency]])),COLUMNS($F$7:W$7))))</f>
        <v>0</v>
      </c>
      <c r="X442" s="2223" cm="1">
        <f t="array" ref="X442">IF($D442&lt;COLUMNS($F$7:X$7),"",INDEX(TableDiv[[GASB]:[GASB]],_xlfn.AGGREGATE(15,3,(TableDiv[[Agency]:[Agency]]=$E442)/(TableDiv[[Agency]:[Agency]]=$E442)*(ROW(TableDiv[Agency])-ROW(TableDiv[[#Headers],[Agency]])),COLUMNS($F$7:X$7))))</f>
        <v>0</v>
      </c>
      <c r="Y442" s="2223" cm="1">
        <f t="array" ref="Y442">IF($D442&lt;COLUMNS($F$7:Y$7),"",INDEX(TableDiv[[GASB]:[GASB]],_xlfn.AGGREGATE(15,3,(TableDiv[[Agency]:[Agency]]=$E442)/(TableDiv[[Agency]:[Agency]]=$E442)*(ROW(TableDiv[Agency])-ROW(TableDiv[[#Headers],[Agency]])),COLUMNS($F$7:Y$7))))</f>
        <v>0</v>
      </c>
      <c r="Z442" s="2223" cm="1">
        <f t="array" ref="Z442">IF($D442&lt;COLUMNS($F$7:Z$7),"",INDEX(TableDiv[[GASB]:[GASB]],_xlfn.AGGREGATE(15,3,(TableDiv[[Agency]:[Agency]]=$E442)/(TableDiv[[Agency]:[Agency]]=$E442)*(ROW(TableDiv[Agency])-ROW(TableDiv[[#Headers],[Agency]])),COLUMNS($F$7:Z$7))))</f>
        <v>0</v>
      </c>
      <c r="AA442" s="2223" cm="1">
        <f t="array" ref="AA442">IF($D442&lt;COLUMNS($F$7:AA$7),"",INDEX(TableDiv[[GASB]:[GASB]],_xlfn.AGGREGATE(15,3,(TableDiv[[Agency]:[Agency]]=$E442)/(TableDiv[[Agency]:[Agency]]=$E442)*(ROW(TableDiv[Agency])-ROW(TableDiv[[#Headers],[Agency]])),COLUMNS($F$7:AA$7))))</f>
        <v>0</v>
      </c>
      <c r="AB442" s="2223" cm="1">
        <f t="array" ref="AB442">IF($D442&lt;COLUMNS($F$7:AB$7),"",INDEX(TableDiv[[GASB]:[GASB]],_xlfn.AGGREGATE(15,3,(TableDiv[[Agency]:[Agency]]=$E442)/(TableDiv[[Agency]:[Agency]]=$E442)*(ROW(TableDiv[Agency])-ROW(TableDiv[[#Headers],[Agency]])),COLUMNS($F$7:AB$7))))</f>
        <v>0</v>
      </c>
      <c r="AC442" s="2223" cm="1">
        <f t="array" ref="AC442">IF($D442&lt;COLUMNS($F$7:AC$7),"",INDEX(TableDiv[[GASB]:[GASB]],_xlfn.AGGREGATE(15,3,(TableDiv[[Agency]:[Agency]]=$E442)/(TableDiv[[Agency]:[Agency]]=$E442)*(ROW(TableDiv[Agency])-ROW(TableDiv[[#Headers],[Agency]])),COLUMNS($F$7:AC$7))))</f>
        <v>0</v>
      </c>
      <c r="AD442" s="2223" cm="1">
        <f t="array" ref="AD442">IF($D442&lt;COLUMNS($F$7:AD$7),"",INDEX(TableDiv[[GASB]:[GASB]],_xlfn.AGGREGATE(15,3,(TableDiv[[Agency]:[Agency]]=$E442)/(TableDiv[[Agency]:[Agency]]=$E442)*(ROW(TableDiv[Agency])-ROW(TableDiv[[#Headers],[Agency]])),COLUMNS($F$7:AD$7))))</f>
        <v>0</v>
      </c>
      <c r="AE442" s="2223" cm="1">
        <f t="array" ref="AE442">IF($D442&lt;COLUMNS($F$7:AE$7),"",INDEX(TableDiv[[GASB]:[GASB]],_xlfn.AGGREGATE(15,3,(TableDiv[[Agency]:[Agency]]=$E442)/(TableDiv[[Agency]:[Agency]]=$E442)*(ROW(TableDiv[Agency])-ROW(TableDiv[[#Headers],[Agency]])),COLUMNS($F$7:AE$7))))</f>
        <v>0</v>
      </c>
      <c r="AF442" s="2223" cm="1">
        <f t="array" ref="AF442">IF($D442&lt;COLUMNS($F$7:AF$7),"",INDEX(TableDiv[[GASB]:[GASB]],_xlfn.AGGREGATE(15,3,(TableDiv[[Agency]:[Agency]]=$E442)/(TableDiv[[Agency]:[Agency]]=$E442)*(ROW(TableDiv[Agency])-ROW(TableDiv[[#Headers],[Agency]])),COLUMNS($F$7:AF$7))))</f>
        <v>0</v>
      </c>
      <c r="AG442" s="2223" cm="1">
        <f t="array" ref="AG442">IF($D442&lt;COLUMNS($F$7:AG$7),"",INDEX(TableDiv[[GASB]:[GASB]],_xlfn.AGGREGATE(15,3,(TableDiv[[Agency]:[Agency]]=$E442)/(TableDiv[[Agency]:[Agency]]=$E442)*(ROW(TableDiv[Agency])-ROW(TableDiv[[#Headers],[Agency]])),COLUMNS($F$7:AG$7))))</f>
        <v>0</v>
      </c>
      <c r="AH442" s="2223" cm="1">
        <f t="array" ref="AH442">IF($D442&lt;COLUMNS($F$7:AH$7),"",INDEX(TableDiv[[GASB]:[GASB]],_xlfn.AGGREGATE(15,3,(TableDiv[[Agency]:[Agency]]=$E442)/(TableDiv[[Agency]:[Agency]]=$E442)*(ROW(TableDiv[Agency])-ROW(TableDiv[[#Headers],[Agency]])),COLUMNS($F$7:AH$7))))</f>
        <v>0</v>
      </c>
      <c r="AI442" s="2223" cm="1">
        <f t="array" ref="AI442">IF($D442&lt;COLUMNS($F$7:AI$7),"",INDEX(TableDiv[[GASB]:[GASB]],_xlfn.AGGREGATE(15,3,(TableDiv[[Agency]:[Agency]]=$E442)/(TableDiv[[Agency]:[Agency]]=$E442)*(ROW(TableDiv[Agency])-ROW(TableDiv[[#Headers],[Agency]])),COLUMNS($F$7:AI$7))))</f>
        <v>0</v>
      </c>
      <c r="AJ442" s="2223" cm="1">
        <f t="array" ref="AJ442">IF($D442&lt;COLUMNS($F$7:AJ$7),"",INDEX(TableDiv[[GASB]:[GASB]],_xlfn.AGGREGATE(15,3,(TableDiv[[Agency]:[Agency]]=$E442)/(TableDiv[[Agency]:[Agency]]=$E442)*(ROW(TableDiv[Agency])-ROW(TableDiv[[#Headers],[Agency]])),COLUMNS($F$7:AJ$7))))</f>
        <v>0</v>
      </c>
      <c r="AK442" s="2223" t="str" cm="1">
        <f t="array" ref="AK442">IF($D442&lt;COLUMNS($F$7:AK$7),"",INDEX(TableDiv[[GASB]:[GASB]],_xlfn.AGGREGATE(15,3,(TableDiv[[Agency]:[Agency]]=$E442)/(TableDiv[[Agency]:[Agency]]=$E442)*(ROW(TableDiv[Agency])-ROW(TableDiv[[#Headers],[Agency]])),COLUMNS($F$7:AK$7))))</f>
        <v/>
      </c>
      <c r="AL442" s="2223" t="str" cm="1">
        <f t="array" ref="AL442">IF($D442&lt;COLUMNS($F$7:AL$7),"",INDEX(TableDiv[[GASB]:[GASB]],_xlfn.AGGREGATE(15,3,(TableDiv[[Agency]:[Agency]]=$E442)/(TableDiv[[Agency]:[Agency]]=$E442)*(ROW(TableDiv[Agency])-ROW(TableDiv[[#Headers],[Agency]])),COLUMNS($F$7:AL$7))))</f>
        <v/>
      </c>
      <c r="AM442" s="2223" t="str" cm="1">
        <f t="array" ref="AM442">IF($D442&lt;COLUMNS($F$7:AM$7),"",INDEX(TableDiv[[GASB]:[GASB]],_xlfn.AGGREGATE(15,3,(TableDiv[[Agency]:[Agency]]=$E442)/(TableDiv[[Agency]:[Agency]]=$E442)*(ROW(TableDiv[Agency])-ROW(TableDiv[[#Headers],[Agency]])),COLUMNS($F$7:AM$7))))</f>
        <v/>
      </c>
      <c r="AN442" s="2223"/>
      <c r="AO442" s="2223"/>
      <c r="AP442" s="2223"/>
      <c r="AQ442" s="2223"/>
      <c r="AR442" s="2223"/>
      <c r="AS442" s="2223"/>
    </row>
    <row r="443" spans="1:45" ht="15" x14ac:dyDescent="0.25">
      <c r="A443" s="2219" t="s">
        <v>5209</v>
      </c>
      <c r="B443" s="2219" t="s">
        <v>6543</v>
      </c>
      <c r="C443" s="2223"/>
      <c r="D443" s="2223">
        <f>COUNTIF(TableDiv[Agency],E443)</f>
        <v>31</v>
      </c>
      <c r="E443" s="2230" t="str" cm="1">
        <f t="array" ref="E443">IFERROR(INDEX(TableDiv[Agency],MATCH(0,INDEX(COUNTIF($E$7:E442,TableDiv[Agency]),),0)),"")</f>
        <v/>
      </c>
      <c r="F443" s="2223" cm="1">
        <f t="array" ref="F443">IF($D443&lt;COLUMNS($F$7:F$7),"",INDEX(TableDiv[[GASB]:[GASB]],_xlfn.AGGREGATE(15,3,(TableDiv[[Agency]:[Agency]]=$E443)/(TableDiv[[Agency]:[Agency]]=$E443)*(ROW(TableDiv[Agency])-ROW(TableDiv[[#Headers],[Agency]])),COLUMNS($F$7:F$7))))</f>
        <v>0</v>
      </c>
      <c r="G443" s="2223" cm="1">
        <f t="array" ref="G443">IF($D443&lt;COLUMNS($F$7:G$7),"",INDEX(TableDiv[[GASB]:[GASB]],_xlfn.AGGREGATE(15,3,(TableDiv[[Agency]:[Agency]]=$E443)/(TableDiv[[Agency]:[Agency]]=$E443)*(ROW(TableDiv[Agency])-ROW(TableDiv[[#Headers],[Agency]])),COLUMNS($F$7:G$7))))</f>
        <v>0</v>
      </c>
      <c r="H443" s="2223" cm="1">
        <f t="array" ref="H443">IF($D443&lt;COLUMNS($F$7:H$7),"",INDEX(TableDiv[[GASB]:[GASB]],_xlfn.AGGREGATE(15,3,(TableDiv[[Agency]:[Agency]]=$E443)/(TableDiv[[Agency]:[Agency]]=$E443)*(ROW(TableDiv[Agency])-ROW(TableDiv[[#Headers],[Agency]])),COLUMNS($F$7:H$7))))</f>
        <v>0</v>
      </c>
      <c r="I443" s="2223" cm="1">
        <f t="array" ref="I443">IF($D443&lt;COLUMNS($F$7:I$7),"",INDEX(TableDiv[[GASB]:[GASB]],_xlfn.AGGREGATE(15,3,(TableDiv[[Agency]:[Agency]]=$E443)/(TableDiv[[Agency]:[Agency]]=$E443)*(ROW(TableDiv[Agency])-ROW(TableDiv[[#Headers],[Agency]])),COLUMNS($F$7:I$7))))</f>
        <v>0</v>
      </c>
      <c r="J443" s="2223" cm="1">
        <f t="array" ref="J443">IF($D443&lt;COLUMNS($F$7:J$7),"",INDEX(TableDiv[[GASB]:[GASB]],_xlfn.AGGREGATE(15,3,(TableDiv[[Agency]:[Agency]]=$E443)/(TableDiv[[Agency]:[Agency]]=$E443)*(ROW(TableDiv[Agency])-ROW(TableDiv[[#Headers],[Agency]])),COLUMNS($F$7:J$7))))</f>
        <v>0</v>
      </c>
      <c r="K443" s="2223" cm="1">
        <f t="array" ref="K443">IF($D443&lt;COLUMNS($F$7:K$7),"",INDEX(TableDiv[[GASB]:[GASB]],_xlfn.AGGREGATE(15,3,(TableDiv[[Agency]:[Agency]]=$E443)/(TableDiv[[Agency]:[Agency]]=$E443)*(ROW(TableDiv[Agency])-ROW(TableDiv[[#Headers],[Agency]])),COLUMNS($F$7:K$7))))</f>
        <v>0</v>
      </c>
      <c r="L443" s="2223" cm="1">
        <f t="array" ref="L443">IF($D443&lt;COLUMNS($F$7:L$7),"",INDEX(TableDiv[[GASB]:[GASB]],_xlfn.AGGREGATE(15,3,(TableDiv[[Agency]:[Agency]]=$E443)/(TableDiv[[Agency]:[Agency]]=$E443)*(ROW(TableDiv[Agency])-ROW(TableDiv[[#Headers],[Agency]])),COLUMNS($F$7:L$7))))</f>
        <v>0</v>
      </c>
      <c r="M443" s="2223" cm="1">
        <f t="array" ref="M443">IF($D443&lt;COLUMNS($F$7:M$7),"",INDEX(TableDiv[[GASB]:[GASB]],_xlfn.AGGREGATE(15,3,(TableDiv[[Agency]:[Agency]]=$E443)/(TableDiv[[Agency]:[Agency]]=$E443)*(ROW(TableDiv[Agency])-ROW(TableDiv[[#Headers],[Agency]])),COLUMNS($F$7:M$7))))</f>
        <v>0</v>
      </c>
      <c r="N443" s="2223" cm="1">
        <f t="array" ref="N443">IF($D443&lt;COLUMNS($F$7:N$7),"",INDEX(TableDiv[[GASB]:[GASB]],_xlfn.AGGREGATE(15,3,(TableDiv[[Agency]:[Agency]]=$E443)/(TableDiv[[Agency]:[Agency]]=$E443)*(ROW(TableDiv[Agency])-ROW(TableDiv[[#Headers],[Agency]])),COLUMNS($F$7:N$7))))</f>
        <v>0</v>
      </c>
      <c r="O443" s="2223" cm="1">
        <f t="array" ref="O443">IF($D443&lt;COLUMNS($F$7:O$7),"",INDEX(TableDiv[[GASB]:[GASB]],_xlfn.AGGREGATE(15,3,(TableDiv[[Agency]:[Agency]]=$E443)/(TableDiv[[Agency]:[Agency]]=$E443)*(ROW(TableDiv[Agency])-ROW(TableDiv[[#Headers],[Agency]])),COLUMNS($F$7:O$7))))</f>
        <v>0</v>
      </c>
      <c r="P443" s="2223" cm="1">
        <f t="array" ref="P443">IF($D443&lt;COLUMNS($F$7:P$7),"",INDEX(TableDiv[[GASB]:[GASB]],_xlfn.AGGREGATE(15,3,(TableDiv[[Agency]:[Agency]]=$E443)/(TableDiv[[Agency]:[Agency]]=$E443)*(ROW(TableDiv[Agency])-ROW(TableDiv[[#Headers],[Agency]])),COLUMNS($F$7:P$7))))</f>
        <v>0</v>
      </c>
      <c r="Q443" s="2223" cm="1">
        <f t="array" ref="Q443">IF($D443&lt;COLUMNS($F$7:Q$7),"",INDEX(TableDiv[[GASB]:[GASB]],_xlfn.AGGREGATE(15,3,(TableDiv[[Agency]:[Agency]]=$E443)/(TableDiv[[Agency]:[Agency]]=$E443)*(ROW(TableDiv[Agency])-ROW(TableDiv[[#Headers],[Agency]])),COLUMNS($F$7:Q$7))))</f>
        <v>0</v>
      </c>
      <c r="R443" s="2223" cm="1">
        <f t="array" ref="R443">IF($D443&lt;COLUMNS($F$7:R$7),"",INDEX(TableDiv[[GASB]:[GASB]],_xlfn.AGGREGATE(15,3,(TableDiv[[Agency]:[Agency]]=$E443)/(TableDiv[[Agency]:[Agency]]=$E443)*(ROW(TableDiv[Agency])-ROW(TableDiv[[#Headers],[Agency]])),COLUMNS($F$7:R$7))))</f>
        <v>0</v>
      </c>
      <c r="S443" s="2223" cm="1">
        <f t="array" ref="S443">IF($D443&lt;COLUMNS($F$7:S$7),"",INDEX(TableDiv[[GASB]:[GASB]],_xlfn.AGGREGATE(15,3,(TableDiv[[Agency]:[Agency]]=$E443)/(TableDiv[[Agency]:[Agency]]=$E443)*(ROW(TableDiv[Agency])-ROW(TableDiv[[#Headers],[Agency]])),COLUMNS($F$7:S$7))))</f>
        <v>0</v>
      </c>
      <c r="T443" s="2223" cm="1">
        <f t="array" ref="T443">IF($D443&lt;COLUMNS($F$7:T$7),"",INDEX(TableDiv[[GASB]:[GASB]],_xlfn.AGGREGATE(15,3,(TableDiv[[Agency]:[Agency]]=$E443)/(TableDiv[[Agency]:[Agency]]=$E443)*(ROW(TableDiv[Agency])-ROW(TableDiv[[#Headers],[Agency]])),COLUMNS($F$7:T$7))))</f>
        <v>0</v>
      </c>
      <c r="U443" s="2223" cm="1">
        <f t="array" ref="U443">IF($D443&lt;COLUMNS($F$7:U$7),"",INDEX(TableDiv[[GASB]:[GASB]],_xlfn.AGGREGATE(15,3,(TableDiv[[Agency]:[Agency]]=$E443)/(TableDiv[[Agency]:[Agency]]=$E443)*(ROW(TableDiv[Agency])-ROW(TableDiv[[#Headers],[Agency]])),COLUMNS($F$7:U$7))))</f>
        <v>0</v>
      </c>
      <c r="V443" s="2223" cm="1">
        <f t="array" ref="V443">IF($D443&lt;COLUMNS($F$7:V$7),"",INDEX(TableDiv[[GASB]:[GASB]],_xlfn.AGGREGATE(15,3,(TableDiv[[Agency]:[Agency]]=$E443)/(TableDiv[[Agency]:[Agency]]=$E443)*(ROW(TableDiv[Agency])-ROW(TableDiv[[#Headers],[Agency]])),COLUMNS($F$7:V$7))))</f>
        <v>0</v>
      </c>
      <c r="W443" s="2223" cm="1">
        <f t="array" ref="W443">IF($D443&lt;COLUMNS($F$7:W$7),"",INDEX(TableDiv[[GASB]:[GASB]],_xlfn.AGGREGATE(15,3,(TableDiv[[Agency]:[Agency]]=$E443)/(TableDiv[[Agency]:[Agency]]=$E443)*(ROW(TableDiv[Agency])-ROW(TableDiv[[#Headers],[Agency]])),COLUMNS($F$7:W$7))))</f>
        <v>0</v>
      </c>
      <c r="X443" s="2223" cm="1">
        <f t="array" ref="X443">IF($D443&lt;COLUMNS($F$7:X$7),"",INDEX(TableDiv[[GASB]:[GASB]],_xlfn.AGGREGATE(15,3,(TableDiv[[Agency]:[Agency]]=$E443)/(TableDiv[[Agency]:[Agency]]=$E443)*(ROW(TableDiv[Agency])-ROW(TableDiv[[#Headers],[Agency]])),COLUMNS($F$7:X$7))))</f>
        <v>0</v>
      </c>
      <c r="Y443" s="2223" cm="1">
        <f t="array" ref="Y443">IF($D443&lt;COLUMNS($F$7:Y$7),"",INDEX(TableDiv[[GASB]:[GASB]],_xlfn.AGGREGATE(15,3,(TableDiv[[Agency]:[Agency]]=$E443)/(TableDiv[[Agency]:[Agency]]=$E443)*(ROW(TableDiv[Agency])-ROW(TableDiv[[#Headers],[Agency]])),COLUMNS($F$7:Y$7))))</f>
        <v>0</v>
      </c>
      <c r="Z443" s="2223" cm="1">
        <f t="array" ref="Z443">IF($D443&lt;COLUMNS($F$7:Z$7),"",INDEX(TableDiv[[GASB]:[GASB]],_xlfn.AGGREGATE(15,3,(TableDiv[[Agency]:[Agency]]=$E443)/(TableDiv[[Agency]:[Agency]]=$E443)*(ROW(TableDiv[Agency])-ROW(TableDiv[[#Headers],[Agency]])),COLUMNS($F$7:Z$7))))</f>
        <v>0</v>
      </c>
      <c r="AA443" s="2223" cm="1">
        <f t="array" ref="AA443">IF($D443&lt;COLUMNS($F$7:AA$7),"",INDEX(TableDiv[[GASB]:[GASB]],_xlfn.AGGREGATE(15,3,(TableDiv[[Agency]:[Agency]]=$E443)/(TableDiv[[Agency]:[Agency]]=$E443)*(ROW(TableDiv[Agency])-ROW(TableDiv[[#Headers],[Agency]])),COLUMNS($F$7:AA$7))))</f>
        <v>0</v>
      </c>
      <c r="AB443" s="2223" cm="1">
        <f t="array" ref="AB443">IF($D443&lt;COLUMNS($F$7:AB$7),"",INDEX(TableDiv[[GASB]:[GASB]],_xlfn.AGGREGATE(15,3,(TableDiv[[Agency]:[Agency]]=$E443)/(TableDiv[[Agency]:[Agency]]=$E443)*(ROW(TableDiv[Agency])-ROW(TableDiv[[#Headers],[Agency]])),COLUMNS($F$7:AB$7))))</f>
        <v>0</v>
      </c>
      <c r="AC443" s="2223" cm="1">
        <f t="array" ref="AC443">IF($D443&lt;COLUMNS($F$7:AC$7),"",INDEX(TableDiv[[GASB]:[GASB]],_xlfn.AGGREGATE(15,3,(TableDiv[[Agency]:[Agency]]=$E443)/(TableDiv[[Agency]:[Agency]]=$E443)*(ROW(TableDiv[Agency])-ROW(TableDiv[[#Headers],[Agency]])),COLUMNS($F$7:AC$7))))</f>
        <v>0</v>
      </c>
      <c r="AD443" s="2223" cm="1">
        <f t="array" ref="AD443">IF($D443&lt;COLUMNS($F$7:AD$7),"",INDEX(TableDiv[[GASB]:[GASB]],_xlfn.AGGREGATE(15,3,(TableDiv[[Agency]:[Agency]]=$E443)/(TableDiv[[Agency]:[Agency]]=$E443)*(ROW(TableDiv[Agency])-ROW(TableDiv[[#Headers],[Agency]])),COLUMNS($F$7:AD$7))))</f>
        <v>0</v>
      </c>
      <c r="AE443" s="2223" cm="1">
        <f t="array" ref="AE443">IF($D443&lt;COLUMNS($F$7:AE$7),"",INDEX(TableDiv[[GASB]:[GASB]],_xlfn.AGGREGATE(15,3,(TableDiv[[Agency]:[Agency]]=$E443)/(TableDiv[[Agency]:[Agency]]=$E443)*(ROW(TableDiv[Agency])-ROW(TableDiv[[#Headers],[Agency]])),COLUMNS($F$7:AE$7))))</f>
        <v>0</v>
      </c>
      <c r="AF443" s="2223" cm="1">
        <f t="array" ref="AF443">IF($D443&lt;COLUMNS($F$7:AF$7),"",INDEX(TableDiv[[GASB]:[GASB]],_xlfn.AGGREGATE(15,3,(TableDiv[[Agency]:[Agency]]=$E443)/(TableDiv[[Agency]:[Agency]]=$E443)*(ROW(TableDiv[Agency])-ROW(TableDiv[[#Headers],[Agency]])),COLUMNS($F$7:AF$7))))</f>
        <v>0</v>
      </c>
      <c r="AG443" s="2223" cm="1">
        <f t="array" ref="AG443">IF($D443&lt;COLUMNS($F$7:AG$7),"",INDEX(TableDiv[[GASB]:[GASB]],_xlfn.AGGREGATE(15,3,(TableDiv[[Agency]:[Agency]]=$E443)/(TableDiv[[Agency]:[Agency]]=$E443)*(ROW(TableDiv[Agency])-ROW(TableDiv[[#Headers],[Agency]])),COLUMNS($F$7:AG$7))))</f>
        <v>0</v>
      </c>
      <c r="AH443" s="2223" cm="1">
        <f t="array" ref="AH443">IF($D443&lt;COLUMNS($F$7:AH$7),"",INDEX(TableDiv[[GASB]:[GASB]],_xlfn.AGGREGATE(15,3,(TableDiv[[Agency]:[Agency]]=$E443)/(TableDiv[[Agency]:[Agency]]=$E443)*(ROW(TableDiv[Agency])-ROW(TableDiv[[#Headers],[Agency]])),COLUMNS($F$7:AH$7))))</f>
        <v>0</v>
      </c>
      <c r="AI443" s="2223" cm="1">
        <f t="array" ref="AI443">IF($D443&lt;COLUMNS($F$7:AI$7),"",INDEX(TableDiv[[GASB]:[GASB]],_xlfn.AGGREGATE(15,3,(TableDiv[[Agency]:[Agency]]=$E443)/(TableDiv[[Agency]:[Agency]]=$E443)*(ROW(TableDiv[Agency])-ROW(TableDiv[[#Headers],[Agency]])),COLUMNS($F$7:AI$7))))</f>
        <v>0</v>
      </c>
      <c r="AJ443" s="2223" cm="1">
        <f t="array" ref="AJ443">IF($D443&lt;COLUMNS($F$7:AJ$7),"",INDEX(TableDiv[[GASB]:[GASB]],_xlfn.AGGREGATE(15,3,(TableDiv[[Agency]:[Agency]]=$E443)/(TableDiv[[Agency]:[Agency]]=$E443)*(ROW(TableDiv[Agency])-ROW(TableDiv[[#Headers],[Agency]])),COLUMNS($F$7:AJ$7))))</f>
        <v>0</v>
      </c>
      <c r="AK443" s="2223" t="str" cm="1">
        <f t="array" ref="AK443">IF($D443&lt;COLUMNS($F$7:AK$7),"",INDEX(TableDiv[[GASB]:[GASB]],_xlfn.AGGREGATE(15,3,(TableDiv[[Agency]:[Agency]]=$E443)/(TableDiv[[Agency]:[Agency]]=$E443)*(ROW(TableDiv[Agency])-ROW(TableDiv[[#Headers],[Agency]])),COLUMNS($F$7:AK$7))))</f>
        <v/>
      </c>
      <c r="AL443" s="2223" t="str" cm="1">
        <f t="array" ref="AL443">IF($D443&lt;COLUMNS($F$7:AL$7),"",INDEX(TableDiv[[GASB]:[GASB]],_xlfn.AGGREGATE(15,3,(TableDiv[[Agency]:[Agency]]=$E443)/(TableDiv[[Agency]:[Agency]]=$E443)*(ROW(TableDiv[Agency])-ROW(TableDiv[[#Headers],[Agency]])),COLUMNS($F$7:AL$7))))</f>
        <v/>
      </c>
      <c r="AM443" s="2223" t="str" cm="1">
        <f t="array" ref="AM443">IF($D443&lt;COLUMNS($F$7:AM$7),"",INDEX(TableDiv[[GASB]:[GASB]],_xlfn.AGGREGATE(15,3,(TableDiv[[Agency]:[Agency]]=$E443)/(TableDiv[[Agency]:[Agency]]=$E443)*(ROW(TableDiv[Agency])-ROW(TableDiv[[#Headers],[Agency]])),COLUMNS($F$7:AM$7))))</f>
        <v/>
      </c>
      <c r="AN443" s="2223"/>
      <c r="AO443" s="2223"/>
      <c r="AP443" s="2223"/>
      <c r="AQ443" s="2223"/>
      <c r="AR443" s="2223"/>
      <c r="AS443" s="2223"/>
    </row>
    <row r="444" spans="1:45" ht="15" x14ac:dyDescent="0.25">
      <c r="A444" s="2219" t="s">
        <v>5211</v>
      </c>
      <c r="B444" s="2219" t="s">
        <v>6543</v>
      </c>
      <c r="C444" s="2223"/>
      <c r="D444" s="2223">
        <f>COUNTIF(TableDiv[Agency],E444)</f>
        <v>31</v>
      </c>
      <c r="E444" s="2230" t="str" cm="1">
        <f t="array" ref="E444">IFERROR(INDEX(TableDiv[Agency],MATCH(0,INDEX(COUNTIF($E$7:E443,TableDiv[Agency]),),0)),"")</f>
        <v/>
      </c>
      <c r="F444" s="2223" cm="1">
        <f t="array" ref="F444">IF($D444&lt;COLUMNS($F$7:F$7),"",INDEX(TableDiv[[GASB]:[GASB]],_xlfn.AGGREGATE(15,3,(TableDiv[[Agency]:[Agency]]=$E444)/(TableDiv[[Agency]:[Agency]]=$E444)*(ROW(TableDiv[Agency])-ROW(TableDiv[[#Headers],[Agency]])),COLUMNS($F$7:F$7))))</f>
        <v>0</v>
      </c>
      <c r="G444" s="2223" cm="1">
        <f t="array" ref="G444">IF($D444&lt;COLUMNS($F$7:G$7),"",INDEX(TableDiv[[GASB]:[GASB]],_xlfn.AGGREGATE(15,3,(TableDiv[[Agency]:[Agency]]=$E444)/(TableDiv[[Agency]:[Agency]]=$E444)*(ROW(TableDiv[Agency])-ROW(TableDiv[[#Headers],[Agency]])),COLUMNS($F$7:G$7))))</f>
        <v>0</v>
      </c>
      <c r="H444" s="2223" cm="1">
        <f t="array" ref="H444">IF($D444&lt;COLUMNS($F$7:H$7),"",INDEX(TableDiv[[GASB]:[GASB]],_xlfn.AGGREGATE(15,3,(TableDiv[[Agency]:[Agency]]=$E444)/(TableDiv[[Agency]:[Agency]]=$E444)*(ROW(TableDiv[Agency])-ROW(TableDiv[[#Headers],[Agency]])),COLUMNS($F$7:H$7))))</f>
        <v>0</v>
      </c>
      <c r="I444" s="2223" cm="1">
        <f t="array" ref="I444">IF($D444&lt;COLUMNS($F$7:I$7),"",INDEX(TableDiv[[GASB]:[GASB]],_xlfn.AGGREGATE(15,3,(TableDiv[[Agency]:[Agency]]=$E444)/(TableDiv[[Agency]:[Agency]]=$E444)*(ROW(TableDiv[Agency])-ROW(TableDiv[[#Headers],[Agency]])),COLUMNS($F$7:I$7))))</f>
        <v>0</v>
      </c>
      <c r="J444" s="2223" cm="1">
        <f t="array" ref="J444">IF($D444&lt;COLUMNS($F$7:J$7),"",INDEX(TableDiv[[GASB]:[GASB]],_xlfn.AGGREGATE(15,3,(TableDiv[[Agency]:[Agency]]=$E444)/(TableDiv[[Agency]:[Agency]]=$E444)*(ROW(TableDiv[Agency])-ROW(TableDiv[[#Headers],[Agency]])),COLUMNS($F$7:J$7))))</f>
        <v>0</v>
      </c>
      <c r="K444" s="2223" cm="1">
        <f t="array" ref="K444">IF($D444&lt;COLUMNS($F$7:K$7),"",INDEX(TableDiv[[GASB]:[GASB]],_xlfn.AGGREGATE(15,3,(TableDiv[[Agency]:[Agency]]=$E444)/(TableDiv[[Agency]:[Agency]]=$E444)*(ROW(TableDiv[Agency])-ROW(TableDiv[[#Headers],[Agency]])),COLUMNS($F$7:K$7))))</f>
        <v>0</v>
      </c>
      <c r="L444" s="2223" cm="1">
        <f t="array" ref="L444">IF($D444&lt;COLUMNS($F$7:L$7),"",INDEX(TableDiv[[GASB]:[GASB]],_xlfn.AGGREGATE(15,3,(TableDiv[[Agency]:[Agency]]=$E444)/(TableDiv[[Agency]:[Agency]]=$E444)*(ROW(TableDiv[Agency])-ROW(TableDiv[[#Headers],[Agency]])),COLUMNS($F$7:L$7))))</f>
        <v>0</v>
      </c>
      <c r="M444" s="2223" cm="1">
        <f t="array" ref="M444">IF($D444&lt;COLUMNS($F$7:M$7),"",INDEX(TableDiv[[GASB]:[GASB]],_xlfn.AGGREGATE(15,3,(TableDiv[[Agency]:[Agency]]=$E444)/(TableDiv[[Agency]:[Agency]]=$E444)*(ROW(TableDiv[Agency])-ROW(TableDiv[[#Headers],[Agency]])),COLUMNS($F$7:M$7))))</f>
        <v>0</v>
      </c>
      <c r="N444" s="2223" cm="1">
        <f t="array" ref="N444">IF($D444&lt;COLUMNS($F$7:N$7),"",INDEX(TableDiv[[GASB]:[GASB]],_xlfn.AGGREGATE(15,3,(TableDiv[[Agency]:[Agency]]=$E444)/(TableDiv[[Agency]:[Agency]]=$E444)*(ROW(TableDiv[Agency])-ROW(TableDiv[[#Headers],[Agency]])),COLUMNS($F$7:N$7))))</f>
        <v>0</v>
      </c>
      <c r="O444" s="2223" cm="1">
        <f t="array" ref="O444">IF($D444&lt;COLUMNS($F$7:O$7),"",INDEX(TableDiv[[GASB]:[GASB]],_xlfn.AGGREGATE(15,3,(TableDiv[[Agency]:[Agency]]=$E444)/(TableDiv[[Agency]:[Agency]]=$E444)*(ROW(TableDiv[Agency])-ROW(TableDiv[[#Headers],[Agency]])),COLUMNS($F$7:O$7))))</f>
        <v>0</v>
      </c>
      <c r="P444" s="2223" cm="1">
        <f t="array" ref="P444">IF($D444&lt;COLUMNS($F$7:P$7),"",INDEX(TableDiv[[GASB]:[GASB]],_xlfn.AGGREGATE(15,3,(TableDiv[[Agency]:[Agency]]=$E444)/(TableDiv[[Agency]:[Agency]]=$E444)*(ROW(TableDiv[Agency])-ROW(TableDiv[[#Headers],[Agency]])),COLUMNS($F$7:P$7))))</f>
        <v>0</v>
      </c>
      <c r="Q444" s="2223" cm="1">
        <f t="array" ref="Q444">IF($D444&lt;COLUMNS($F$7:Q$7),"",INDEX(TableDiv[[GASB]:[GASB]],_xlfn.AGGREGATE(15,3,(TableDiv[[Agency]:[Agency]]=$E444)/(TableDiv[[Agency]:[Agency]]=$E444)*(ROW(TableDiv[Agency])-ROW(TableDiv[[#Headers],[Agency]])),COLUMNS($F$7:Q$7))))</f>
        <v>0</v>
      </c>
      <c r="R444" s="2223" cm="1">
        <f t="array" ref="R444">IF($D444&lt;COLUMNS($F$7:R$7),"",INDEX(TableDiv[[GASB]:[GASB]],_xlfn.AGGREGATE(15,3,(TableDiv[[Agency]:[Agency]]=$E444)/(TableDiv[[Agency]:[Agency]]=$E444)*(ROW(TableDiv[Agency])-ROW(TableDiv[[#Headers],[Agency]])),COLUMNS($F$7:R$7))))</f>
        <v>0</v>
      </c>
      <c r="S444" s="2223" cm="1">
        <f t="array" ref="S444">IF($D444&lt;COLUMNS($F$7:S$7),"",INDEX(TableDiv[[GASB]:[GASB]],_xlfn.AGGREGATE(15,3,(TableDiv[[Agency]:[Agency]]=$E444)/(TableDiv[[Agency]:[Agency]]=$E444)*(ROW(TableDiv[Agency])-ROW(TableDiv[[#Headers],[Agency]])),COLUMNS($F$7:S$7))))</f>
        <v>0</v>
      </c>
      <c r="T444" s="2223" cm="1">
        <f t="array" ref="T444">IF($D444&lt;COLUMNS($F$7:T$7),"",INDEX(TableDiv[[GASB]:[GASB]],_xlfn.AGGREGATE(15,3,(TableDiv[[Agency]:[Agency]]=$E444)/(TableDiv[[Agency]:[Agency]]=$E444)*(ROW(TableDiv[Agency])-ROW(TableDiv[[#Headers],[Agency]])),COLUMNS($F$7:T$7))))</f>
        <v>0</v>
      </c>
      <c r="U444" s="2223" cm="1">
        <f t="array" ref="U444">IF($D444&lt;COLUMNS($F$7:U$7),"",INDEX(TableDiv[[GASB]:[GASB]],_xlfn.AGGREGATE(15,3,(TableDiv[[Agency]:[Agency]]=$E444)/(TableDiv[[Agency]:[Agency]]=$E444)*(ROW(TableDiv[Agency])-ROW(TableDiv[[#Headers],[Agency]])),COLUMNS($F$7:U$7))))</f>
        <v>0</v>
      </c>
      <c r="V444" s="2223" cm="1">
        <f t="array" ref="V444">IF($D444&lt;COLUMNS($F$7:V$7),"",INDEX(TableDiv[[GASB]:[GASB]],_xlfn.AGGREGATE(15,3,(TableDiv[[Agency]:[Agency]]=$E444)/(TableDiv[[Agency]:[Agency]]=$E444)*(ROW(TableDiv[Agency])-ROW(TableDiv[[#Headers],[Agency]])),COLUMNS($F$7:V$7))))</f>
        <v>0</v>
      </c>
      <c r="W444" s="2223" cm="1">
        <f t="array" ref="W444">IF($D444&lt;COLUMNS($F$7:W$7),"",INDEX(TableDiv[[GASB]:[GASB]],_xlfn.AGGREGATE(15,3,(TableDiv[[Agency]:[Agency]]=$E444)/(TableDiv[[Agency]:[Agency]]=$E444)*(ROW(TableDiv[Agency])-ROW(TableDiv[[#Headers],[Agency]])),COLUMNS($F$7:W$7))))</f>
        <v>0</v>
      </c>
      <c r="X444" s="2223" cm="1">
        <f t="array" ref="X444">IF($D444&lt;COLUMNS($F$7:X$7),"",INDEX(TableDiv[[GASB]:[GASB]],_xlfn.AGGREGATE(15,3,(TableDiv[[Agency]:[Agency]]=$E444)/(TableDiv[[Agency]:[Agency]]=$E444)*(ROW(TableDiv[Agency])-ROW(TableDiv[[#Headers],[Agency]])),COLUMNS($F$7:X$7))))</f>
        <v>0</v>
      </c>
      <c r="Y444" s="2223" cm="1">
        <f t="array" ref="Y444">IF($D444&lt;COLUMNS($F$7:Y$7),"",INDEX(TableDiv[[GASB]:[GASB]],_xlfn.AGGREGATE(15,3,(TableDiv[[Agency]:[Agency]]=$E444)/(TableDiv[[Agency]:[Agency]]=$E444)*(ROW(TableDiv[Agency])-ROW(TableDiv[[#Headers],[Agency]])),COLUMNS($F$7:Y$7))))</f>
        <v>0</v>
      </c>
      <c r="Z444" s="2223" cm="1">
        <f t="array" ref="Z444">IF($D444&lt;COLUMNS($F$7:Z$7),"",INDEX(TableDiv[[GASB]:[GASB]],_xlfn.AGGREGATE(15,3,(TableDiv[[Agency]:[Agency]]=$E444)/(TableDiv[[Agency]:[Agency]]=$E444)*(ROW(TableDiv[Agency])-ROW(TableDiv[[#Headers],[Agency]])),COLUMNS($F$7:Z$7))))</f>
        <v>0</v>
      </c>
      <c r="AA444" s="2223" cm="1">
        <f t="array" ref="AA444">IF($D444&lt;COLUMNS($F$7:AA$7),"",INDEX(TableDiv[[GASB]:[GASB]],_xlfn.AGGREGATE(15,3,(TableDiv[[Agency]:[Agency]]=$E444)/(TableDiv[[Agency]:[Agency]]=$E444)*(ROW(TableDiv[Agency])-ROW(TableDiv[[#Headers],[Agency]])),COLUMNS($F$7:AA$7))))</f>
        <v>0</v>
      </c>
      <c r="AB444" s="2223" cm="1">
        <f t="array" ref="AB444">IF($D444&lt;COLUMNS($F$7:AB$7),"",INDEX(TableDiv[[GASB]:[GASB]],_xlfn.AGGREGATE(15,3,(TableDiv[[Agency]:[Agency]]=$E444)/(TableDiv[[Agency]:[Agency]]=$E444)*(ROW(TableDiv[Agency])-ROW(TableDiv[[#Headers],[Agency]])),COLUMNS($F$7:AB$7))))</f>
        <v>0</v>
      </c>
      <c r="AC444" s="2223" cm="1">
        <f t="array" ref="AC444">IF($D444&lt;COLUMNS($F$7:AC$7),"",INDEX(TableDiv[[GASB]:[GASB]],_xlfn.AGGREGATE(15,3,(TableDiv[[Agency]:[Agency]]=$E444)/(TableDiv[[Agency]:[Agency]]=$E444)*(ROW(TableDiv[Agency])-ROW(TableDiv[[#Headers],[Agency]])),COLUMNS($F$7:AC$7))))</f>
        <v>0</v>
      </c>
      <c r="AD444" s="2223" cm="1">
        <f t="array" ref="AD444">IF($D444&lt;COLUMNS($F$7:AD$7),"",INDEX(TableDiv[[GASB]:[GASB]],_xlfn.AGGREGATE(15,3,(TableDiv[[Agency]:[Agency]]=$E444)/(TableDiv[[Agency]:[Agency]]=$E444)*(ROW(TableDiv[Agency])-ROW(TableDiv[[#Headers],[Agency]])),COLUMNS($F$7:AD$7))))</f>
        <v>0</v>
      </c>
      <c r="AE444" s="2223" cm="1">
        <f t="array" ref="AE444">IF($D444&lt;COLUMNS($F$7:AE$7),"",INDEX(TableDiv[[GASB]:[GASB]],_xlfn.AGGREGATE(15,3,(TableDiv[[Agency]:[Agency]]=$E444)/(TableDiv[[Agency]:[Agency]]=$E444)*(ROW(TableDiv[Agency])-ROW(TableDiv[[#Headers],[Agency]])),COLUMNS($F$7:AE$7))))</f>
        <v>0</v>
      </c>
      <c r="AF444" s="2223" cm="1">
        <f t="array" ref="AF444">IF($D444&lt;COLUMNS($F$7:AF$7),"",INDEX(TableDiv[[GASB]:[GASB]],_xlfn.AGGREGATE(15,3,(TableDiv[[Agency]:[Agency]]=$E444)/(TableDiv[[Agency]:[Agency]]=$E444)*(ROW(TableDiv[Agency])-ROW(TableDiv[[#Headers],[Agency]])),COLUMNS($F$7:AF$7))))</f>
        <v>0</v>
      </c>
      <c r="AG444" s="2223" cm="1">
        <f t="array" ref="AG444">IF($D444&lt;COLUMNS($F$7:AG$7),"",INDEX(TableDiv[[GASB]:[GASB]],_xlfn.AGGREGATE(15,3,(TableDiv[[Agency]:[Agency]]=$E444)/(TableDiv[[Agency]:[Agency]]=$E444)*(ROW(TableDiv[Agency])-ROW(TableDiv[[#Headers],[Agency]])),COLUMNS($F$7:AG$7))))</f>
        <v>0</v>
      </c>
      <c r="AH444" s="2223" cm="1">
        <f t="array" ref="AH444">IF($D444&lt;COLUMNS($F$7:AH$7),"",INDEX(TableDiv[[GASB]:[GASB]],_xlfn.AGGREGATE(15,3,(TableDiv[[Agency]:[Agency]]=$E444)/(TableDiv[[Agency]:[Agency]]=$E444)*(ROW(TableDiv[Agency])-ROW(TableDiv[[#Headers],[Agency]])),COLUMNS($F$7:AH$7))))</f>
        <v>0</v>
      </c>
      <c r="AI444" s="2223" cm="1">
        <f t="array" ref="AI444">IF($D444&lt;COLUMNS($F$7:AI$7),"",INDEX(TableDiv[[GASB]:[GASB]],_xlfn.AGGREGATE(15,3,(TableDiv[[Agency]:[Agency]]=$E444)/(TableDiv[[Agency]:[Agency]]=$E444)*(ROW(TableDiv[Agency])-ROW(TableDiv[[#Headers],[Agency]])),COLUMNS($F$7:AI$7))))</f>
        <v>0</v>
      </c>
      <c r="AJ444" s="2223" cm="1">
        <f t="array" ref="AJ444">IF($D444&lt;COLUMNS($F$7:AJ$7),"",INDEX(TableDiv[[GASB]:[GASB]],_xlfn.AGGREGATE(15,3,(TableDiv[[Agency]:[Agency]]=$E444)/(TableDiv[[Agency]:[Agency]]=$E444)*(ROW(TableDiv[Agency])-ROW(TableDiv[[#Headers],[Agency]])),COLUMNS($F$7:AJ$7))))</f>
        <v>0</v>
      </c>
      <c r="AK444" s="2223" t="str" cm="1">
        <f t="array" ref="AK444">IF($D444&lt;COLUMNS($F$7:AK$7),"",INDEX(TableDiv[[GASB]:[GASB]],_xlfn.AGGREGATE(15,3,(TableDiv[[Agency]:[Agency]]=$E444)/(TableDiv[[Agency]:[Agency]]=$E444)*(ROW(TableDiv[Agency])-ROW(TableDiv[[#Headers],[Agency]])),COLUMNS($F$7:AK$7))))</f>
        <v/>
      </c>
      <c r="AL444" s="2223" t="str" cm="1">
        <f t="array" ref="AL444">IF($D444&lt;COLUMNS($F$7:AL$7),"",INDEX(TableDiv[[GASB]:[GASB]],_xlfn.AGGREGATE(15,3,(TableDiv[[Agency]:[Agency]]=$E444)/(TableDiv[[Agency]:[Agency]]=$E444)*(ROW(TableDiv[Agency])-ROW(TableDiv[[#Headers],[Agency]])),COLUMNS($F$7:AL$7))))</f>
        <v/>
      </c>
      <c r="AM444" s="2223" t="str" cm="1">
        <f t="array" ref="AM444">IF($D444&lt;COLUMNS($F$7:AM$7),"",INDEX(TableDiv[[GASB]:[GASB]],_xlfn.AGGREGATE(15,3,(TableDiv[[Agency]:[Agency]]=$E444)/(TableDiv[[Agency]:[Agency]]=$E444)*(ROW(TableDiv[Agency])-ROW(TableDiv[[#Headers],[Agency]])),COLUMNS($F$7:AM$7))))</f>
        <v/>
      </c>
      <c r="AN444" s="2223"/>
      <c r="AO444" s="2223"/>
      <c r="AP444" s="2223"/>
      <c r="AQ444" s="2223"/>
      <c r="AR444" s="2223"/>
      <c r="AS444" s="2223"/>
    </row>
    <row r="445" spans="1:45" ht="15" x14ac:dyDescent="0.25">
      <c r="A445" s="2219" t="s">
        <v>5213</v>
      </c>
      <c r="B445" s="2219" t="s">
        <v>6543</v>
      </c>
      <c r="C445" s="2223"/>
      <c r="D445" s="2223">
        <f>COUNTIF(TableDiv[Agency],E445)</f>
        <v>31</v>
      </c>
      <c r="E445" s="2230" t="str" cm="1">
        <f t="array" ref="E445">IFERROR(INDEX(TableDiv[Agency],MATCH(0,INDEX(COUNTIF($E$7:E444,TableDiv[Agency]),),0)),"")</f>
        <v/>
      </c>
      <c r="F445" s="2223" cm="1">
        <f t="array" ref="F445">IF($D445&lt;COLUMNS($F$7:F$7),"",INDEX(TableDiv[[GASB]:[GASB]],_xlfn.AGGREGATE(15,3,(TableDiv[[Agency]:[Agency]]=$E445)/(TableDiv[[Agency]:[Agency]]=$E445)*(ROW(TableDiv[Agency])-ROW(TableDiv[[#Headers],[Agency]])),COLUMNS($F$7:F$7))))</f>
        <v>0</v>
      </c>
      <c r="G445" s="2223" cm="1">
        <f t="array" ref="G445">IF($D445&lt;COLUMNS($F$7:G$7),"",INDEX(TableDiv[[GASB]:[GASB]],_xlfn.AGGREGATE(15,3,(TableDiv[[Agency]:[Agency]]=$E445)/(TableDiv[[Agency]:[Agency]]=$E445)*(ROW(TableDiv[Agency])-ROW(TableDiv[[#Headers],[Agency]])),COLUMNS($F$7:G$7))))</f>
        <v>0</v>
      </c>
      <c r="H445" s="2223" cm="1">
        <f t="array" ref="H445">IF($D445&lt;COLUMNS($F$7:H$7),"",INDEX(TableDiv[[GASB]:[GASB]],_xlfn.AGGREGATE(15,3,(TableDiv[[Agency]:[Agency]]=$E445)/(TableDiv[[Agency]:[Agency]]=$E445)*(ROW(TableDiv[Agency])-ROW(TableDiv[[#Headers],[Agency]])),COLUMNS($F$7:H$7))))</f>
        <v>0</v>
      </c>
      <c r="I445" s="2223" cm="1">
        <f t="array" ref="I445">IF($D445&lt;COLUMNS($F$7:I$7),"",INDEX(TableDiv[[GASB]:[GASB]],_xlfn.AGGREGATE(15,3,(TableDiv[[Agency]:[Agency]]=$E445)/(TableDiv[[Agency]:[Agency]]=$E445)*(ROW(TableDiv[Agency])-ROW(TableDiv[[#Headers],[Agency]])),COLUMNS($F$7:I$7))))</f>
        <v>0</v>
      </c>
      <c r="J445" s="2223" cm="1">
        <f t="array" ref="J445">IF($D445&lt;COLUMNS($F$7:J$7),"",INDEX(TableDiv[[GASB]:[GASB]],_xlfn.AGGREGATE(15,3,(TableDiv[[Agency]:[Agency]]=$E445)/(TableDiv[[Agency]:[Agency]]=$E445)*(ROW(TableDiv[Agency])-ROW(TableDiv[[#Headers],[Agency]])),COLUMNS($F$7:J$7))))</f>
        <v>0</v>
      </c>
      <c r="K445" s="2223" cm="1">
        <f t="array" ref="K445">IF($D445&lt;COLUMNS($F$7:K$7),"",INDEX(TableDiv[[GASB]:[GASB]],_xlfn.AGGREGATE(15,3,(TableDiv[[Agency]:[Agency]]=$E445)/(TableDiv[[Agency]:[Agency]]=$E445)*(ROW(TableDiv[Agency])-ROW(TableDiv[[#Headers],[Agency]])),COLUMNS($F$7:K$7))))</f>
        <v>0</v>
      </c>
      <c r="L445" s="2223" cm="1">
        <f t="array" ref="L445">IF($D445&lt;COLUMNS($F$7:L$7),"",INDEX(TableDiv[[GASB]:[GASB]],_xlfn.AGGREGATE(15,3,(TableDiv[[Agency]:[Agency]]=$E445)/(TableDiv[[Agency]:[Agency]]=$E445)*(ROW(TableDiv[Agency])-ROW(TableDiv[[#Headers],[Agency]])),COLUMNS($F$7:L$7))))</f>
        <v>0</v>
      </c>
      <c r="M445" s="2223" cm="1">
        <f t="array" ref="M445">IF($D445&lt;COLUMNS($F$7:M$7),"",INDEX(TableDiv[[GASB]:[GASB]],_xlfn.AGGREGATE(15,3,(TableDiv[[Agency]:[Agency]]=$E445)/(TableDiv[[Agency]:[Agency]]=$E445)*(ROW(TableDiv[Agency])-ROW(TableDiv[[#Headers],[Agency]])),COLUMNS($F$7:M$7))))</f>
        <v>0</v>
      </c>
      <c r="N445" s="2223" cm="1">
        <f t="array" ref="N445">IF($D445&lt;COLUMNS($F$7:N$7),"",INDEX(TableDiv[[GASB]:[GASB]],_xlfn.AGGREGATE(15,3,(TableDiv[[Agency]:[Agency]]=$E445)/(TableDiv[[Agency]:[Agency]]=$E445)*(ROW(TableDiv[Agency])-ROW(TableDiv[[#Headers],[Agency]])),COLUMNS($F$7:N$7))))</f>
        <v>0</v>
      </c>
      <c r="O445" s="2223" cm="1">
        <f t="array" ref="O445">IF($D445&lt;COLUMNS($F$7:O$7),"",INDEX(TableDiv[[GASB]:[GASB]],_xlfn.AGGREGATE(15,3,(TableDiv[[Agency]:[Agency]]=$E445)/(TableDiv[[Agency]:[Agency]]=$E445)*(ROW(TableDiv[Agency])-ROW(TableDiv[[#Headers],[Agency]])),COLUMNS($F$7:O$7))))</f>
        <v>0</v>
      </c>
      <c r="P445" s="2223" cm="1">
        <f t="array" ref="P445">IF($D445&lt;COLUMNS($F$7:P$7),"",INDEX(TableDiv[[GASB]:[GASB]],_xlfn.AGGREGATE(15,3,(TableDiv[[Agency]:[Agency]]=$E445)/(TableDiv[[Agency]:[Agency]]=$E445)*(ROW(TableDiv[Agency])-ROW(TableDiv[[#Headers],[Agency]])),COLUMNS($F$7:P$7))))</f>
        <v>0</v>
      </c>
      <c r="Q445" s="2223" cm="1">
        <f t="array" ref="Q445">IF($D445&lt;COLUMNS($F$7:Q$7),"",INDEX(TableDiv[[GASB]:[GASB]],_xlfn.AGGREGATE(15,3,(TableDiv[[Agency]:[Agency]]=$E445)/(TableDiv[[Agency]:[Agency]]=$E445)*(ROW(TableDiv[Agency])-ROW(TableDiv[[#Headers],[Agency]])),COLUMNS($F$7:Q$7))))</f>
        <v>0</v>
      </c>
      <c r="R445" s="2223" cm="1">
        <f t="array" ref="R445">IF($D445&lt;COLUMNS($F$7:R$7),"",INDEX(TableDiv[[GASB]:[GASB]],_xlfn.AGGREGATE(15,3,(TableDiv[[Agency]:[Agency]]=$E445)/(TableDiv[[Agency]:[Agency]]=$E445)*(ROW(TableDiv[Agency])-ROW(TableDiv[[#Headers],[Agency]])),COLUMNS($F$7:R$7))))</f>
        <v>0</v>
      </c>
      <c r="S445" s="2223" cm="1">
        <f t="array" ref="S445">IF($D445&lt;COLUMNS($F$7:S$7),"",INDEX(TableDiv[[GASB]:[GASB]],_xlfn.AGGREGATE(15,3,(TableDiv[[Agency]:[Agency]]=$E445)/(TableDiv[[Agency]:[Agency]]=$E445)*(ROW(TableDiv[Agency])-ROW(TableDiv[[#Headers],[Agency]])),COLUMNS($F$7:S$7))))</f>
        <v>0</v>
      </c>
      <c r="T445" s="2223" cm="1">
        <f t="array" ref="T445">IF($D445&lt;COLUMNS($F$7:T$7),"",INDEX(TableDiv[[GASB]:[GASB]],_xlfn.AGGREGATE(15,3,(TableDiv[[Agency]:[Agency]]=$E445)/(TableDiv[[Agency]:[Agency]]=$E445)*(ROW(TableDiv[Agency])-ROW(TableDiv[[#Headers],[Agency]])),COLUMNS($F$7:T$7))))</f>
        <v>0</v>
      </c>
      <c r="U445" s="2223" cm="1">
        <f t="array" ref="U445">IF($D445&lt;COLUMNS($F$7:U$7),"",INDEX(TableDiv[[GASB]:[GASB]],_xlfn.AGGREGATE(15,3,(TableDiv[[Agency]:[Agency]]=$E445)/(TableDiv[[Agency]:[Agency]]=$E445)*(ROW(TableDiv[Agency])-ROW(TableDiv[[#Headers],[Agency]])),COLUMNS($F$7:U$7))))</f>
        <v>0</v>
      </c>
      <c r="V445" s="2223" cm="1">
        <f t="array" ref="V445">IF($D445&lt;COLUMNS($F$7:V$7),"",INDEX(TableDiv[[GASB]:[GASB]],_xlfn.AGGREGATE(15,3,(TableDiv[[Agency]:[Agency]]=$E445)/(TableDiv[[Agency]:[Agency]]=$E445)*(ROW(TableDiv[Agency])-ROW(TableDiv[[#Headers],[Agency]])),COLUMNS($F$7:V$7))))</f>
        <v>0</v>
      </c>
      <c r="W445" s="2223" cm="1">
        <f t="array" ref="W445">IF($D445&lt;COLUMNS($F$7:W$7),"",INDEX(TableDiv[[GASB]:[GASB]],_xlfn.AGGREGATE(15,3,(TableDiv[[Agency]:[Agency]]=$E445)/(TableDiv[[Agency]:[Agency]]=$E445)*(ROW(TableDiv[Agency])-ROW(TableDiv[[#Headers],[Agency]])),COLUMNS($F$7:W$7))))</f>
        <v>0</v>
      </c>
      <c r="X445" s="2223" cm="1">
        <f t="array" ref="X445">IF($D445&lt;COLUMNS($F$7:X$7),"",INDEX(TableDiv[[GASB]:[GASB]],_xlfn.AGGREGATE(15,3,(TableDiv[[Agency]:[Agency]]=$E445)/(TableDiv[[Agency]:[Agency]]=$E445)*(ROW(TableDiv[Agency])-ROW(TableDiv[[#Headers],[Agency]])),COLUMNS($F$7:X$7))))</f>
        <v>0</v>
      </c>
      <c r="Y445" s="2223" cm="1">
        <f t="array" ref="Y445">IF($D445&lt;COLUMNS($F$7:Y$7),"",INDEX(TableDiv[[GASB]:[GASB]],_xlfn.AGGREGATE(15,3,(TableDiv[[Agency]:[Agency]]=$E445)/(TableDiv[[Agency]:[Agency]]=$E445)*(ROW(TableDiv[Agency])-ROW(TableDiv[[#Headers],[Agency]])),COLUMNS($F$7:Y$7))))</f>
        <v>0</v>
      </c>
      <c r="Z445" s="2223" cm="1">
        <f t="array" ref="Z445">IF($D445&lt;COLUMNS($F$7:Z$7),"",INDEX(TableDiv[[GASB]:[GASB]],_xlfn.AGGREGATE(15,3,(TableDiv[[Agency]:[Agency]]=$E445)/(TableDiv[[Agency]:[Agency]]=$E445)*(ROW(TableDiv[Agency])-ROW(TableDiv[[#Headers],[Agency]])),COLUMNS($F$7:Z$7))))</f>
        <v>0</v>
      </c>
      <c r="AA445" s="2223" cm="1">
        <f t="array" ref="AA445">IF($D445&lt;COLUMNS($F$7:AA$7),"",INDEX(TableDiv[[GASB]:[GASB]],_xlfn.AGGREGATE(15,3,(TableDiv[[Agency]:[Agency]]=$E445)/(TableDiv[[Agency]:[Agency]]=$E445)*(ROW(TableDiv[Agency])-ROW(TableDiv[[#Headers],[Agency]])),COLUMNS($F$7:AA$7))))</f>
        <v>0</v>
      </c>
      <c r="AB445" s="2223" cm="1">
        <f t="array" ref="AB445">IF($D445&lt;COLUMNS($F$7:AB$7),"",INDEX(TableDiv[[GASB]:[GASB]],_xlfn.AGGREGATE(15,3,(TableDiv[[Agency]:[Agency]]=$E445)/(TableDiv[[Agency]:[Agency]]=$E445)*(ROW(TableDiv[Agency])-ROW(TableDiv[[#Headers],[Agency]])),COLUMNS($F$7:AB$7))))</f>
        <v>0</v>
      </c>
      <c r="AC445" s="2223" cm="1">
        <f t="array" ref="AC445">IF($D445&lt;COLUMNS($F$7:AC$7),"",INDEX(TableDiv[[GASB]:[GASB]],_xlfn.AGGREGATE(15,3,(TableDiv[[Agency]:[Agency]]=$E445)/(TableDiv[[Agency]:[Agency]]=$E445)*(ROW(TableDiv[Agency])-ROW(TableDiv[[#Headers],[Agency]])),COLUMNS($F$7:AC$7))))</f>
        <v>0</v>
      </c>
      <c r="AD445" s="2223" cm="1">
        <f t="array" ref="AD445">IF($D445&lt;COLUMNS($F$7:AD$7),"",INDEX(TableDiv[[GASB]:[GASB]],_xlfn.AGGREGATE(15,3,(TableDiv[[Agency]:[Agency]]=$E445)/(TableDiv[[Agency]:[Agency]]=$E445)*(ROW(TableDiv[Agency])-ROW(TableDiv[[#Headers],[Agency]])),COLUMNS($F$7:AD$7))))</f>
        <v>0</v>
      </c>
      <c r="AE445" s="2223" cm="1">
        <f t="array" ref="AE445">IF($D445&lt;COLUMNS($F$7:AE$7),"",INDEX(TableDiv[[GASB]:[GASB]],_xlfn.AGGREGATE(15,3,(TableDiv[[Agency]:[Agency]]=$E445)/(TableDiv[[Agency]:[Agency]]=$E445)*(ROW(TableDiv[Agency])-ROW(TableDiv[[#Headers],[Agency]])),COLUMNS($F$7:AE$7))))</f>
        <v>0</v>
      </c>
      <c r="AF445" s="2223" cm="1">
        <f t="array" ref="AF445">IF($D445&lt;COLUMNS($F$7:AF$7),"",INDEX(TableDiv[[GASB]:[GASB]],_xlfn.AGGREGATE(15,3,(TableDiv[[Agency]:[Agency]]=$E445)/(TableDiv[[Agency]:[Agency]]=$E445)*(ROW(TableDiv[Agency])-ROW(TableDiv[[#Headers],[Agency]])),COLUMNS($F$7:AF$7))))</f>
        <v>0</v>
      </c>
      <c r="AG445" s="2223" cm="1">
        <f t="array" ref="AG445">IF($D445&lt;COLUMNS($F$7:AG$7),"",INDEX(TableDiv[[GASB]:[GASB]],_xlfn.AGGREGATE(15,3,(TableDiv[[Agency]:[Agency]]=$E445)/(TableDiv[[Agency]:[Agency]]=$E445)*(ROW(TableDiv[Agency])-ROW(TableDiv[[#Headers],[Agency]])),COLUMNS($F$7:AG$7))))</f>
        <v>0</v>
      </c>
      <c r="AH445" s="2223" cm="1">
        <f t="array" ref="AH445">IF($D445&lt;COLUMNS($F$7:AH$7),"",INDEX(TableDiv[[GASB]:[GASB]],_xlfn.AGGREGATE(15,3,(TableDiv[[Agency]:[Agency]]=$E445)/(TableDiv[[Agency]:[Agency]]=$E445)*(ROW(TableDiv[Agency])-ROW(TableDiv[[#Headers],[Agency]])),COLUMNS($F$7:AH$7))))</f>
        <v>0</v>
      </c>
      <c r="AI445" s="2223" cm="1">
        <f t="array" ref="AI445">IF($D445&lt;COLUMNS($F$7:AI$7),"",INDEX(TableDiv[[GASB]:[GASB]],_xlfn.AGGREGATE(15,3,(TableDiv[[Agency]:[Agency]]=$E445)/(TableDiv[[Agency]:[Agency]]=$E445)*(ROW(TableDiv[Agency])-ROW(TableDiv[[#Headers],[Agency]])),COLUMNS($F$7:AI$7))))</f>
        <v>0</v>
      </c>
      <c r="AJ445" s="2223" cm="1">
        <f t="array" ref="AJ445">IF($D445&lt;COLUMNS($F$7:AJ$7),"",INDEX(TableDiv[[GASB]:[GASB]],_xlfn.AGGREGATE(15,3,(TableDiv[[Agency]:[Agency]]=$E445)/(TableDiv[[Agency]:[Agency]]=$E445)*(ROW(TableDiv[Agency])-ROW(TableDiv[[#Headers],[Agency]])),COLUMNS($F$7:AJ$7))))</f>
        <v>0</v>
      </c>
      <c r="AK445" s="2223" t="str" cm="1">
        <f t="array" ref="AK445">IF($D445&lt;COLUMNS($F$7:AK$7),"",INDEX(TableDiv[[GASB]:[GASB]],_xlfn.AGGREGATE(15,3,(TableDiv[[Agency]:[Agency]]=$E445)/(TableDiv[[Agency]:[Agency]]=$E445)*(ROW(TableDiv[Agency])-ROW(TableDiv[[#Headers],[Agency]])),COLUMNS($F$7:AK$7))))</f>
        <v/>
      </c>
      <c r="AL445" s="2223" t="str" cm="1">
        <f t="array" ref="AL445">IF($D445&lt;COLUMNS($F$7:AL$7),"",INDEX(TableDiv[[GASB]:[GASB]],_xlfn.AGGREGATE(15,3,(TableDiv[[Agency]:[Agency]]=$E445)/(TableDiv[[Agency]:[Agency]]=$E445)*(ROW(TableDiv[Agency])-ROW(TableDiv[[#Headers],[Agency]])),COLUMNS($F$7:AL$7))))</f>
        <v/>
      </c>
      <c r="AM445" s="2223" t="str" cm="1">
        <f t="array" ref="AM445">IF($D445&lt;COLUMNS($F$7:AM$7),"",INDEX(TableDiv[[GASB]:[GASB]],_xlfn.AGGREGATE(15,3,(TableDiv[[Agency]:[Agency]]=$E445)/(TableDiv[[Agency]:[Agency]]=$E445)*(ROW(TableDiv[Agency])-ROW(TableDiv[[#Headers],[Agency]])),COLUMNS($F$7:AM$7))))</f>
        <v/>
      </c>
      <c r="AN445" s="2223"/>
      <c r="AO445" s="2223"/>
      <c r="AP445" s="2223"/>
      <c r="AQ445" s="2223"/>
      <c r="AR445" s="2223"/>
      <c r="AS445" s="2223"/>
    </row>
    <row r="446" spans="1:45" ht="15" x14ac:dyDescent="0.25">
      <c r="A446" s="2219" t="s">
        <v>5215</v>
      </c>
      <c r="B446" s="2219" t="s">
        <v>6543</v>
      </c>
      <c r="C446" s="2223"/>
      <c r="D446" s="2223">
        <f>COUNTIF(TableDiv[Agency],E446)</f>
        <v>31</v>
      </c>
      <c r="E446" s="2230" t="str" cm="1">
        <f t="array" ref="E446">IFERROR(INDEX(TableDiv[Agency],MATCH(0,INDEX(COUNTIF($E$7:E445,TableDiv[Agency]),),0)),"")</f>
        <v/>
      </c>
      <c r="F446" s="2223" cm="1">
        <f t="array" ref="F446">IF($D446&lt;COLUMNS($F$7:F$7),"",INDEX(TableDiv[[GASB]:[GASB]],_xlfn.AGGREGATE(15,3,(TableDiv[[Agency]:[Agency]]=$E446)/(TableDiv[[Agency]:[Agency]]=$E446)*(ROW(TableDiv[Agency])-ROW(TableDiv[[#Headers],[Agency]])),COLUMNS($F$7:F$7))))</f>
        <v>0</v>
      </c>
      <c r="G446" s="2223" cm="1">
        <f t="array" ref="G446">IF($D446&lt;COLUMNS($F$7:G$7),"",INDEX(TableDiv[[GASB]:[GASB]],_xlfn.AGGREGATE(15,3,(TableDiv[[Agency]:[Agency]]=$E446)/(TableDiv[[Agency]:[Agency]]=$E446)*(ROW(TableDiv[Agency])-ROW(TableDiv[[#Headers],[Agency]])),COLUMNS($F$7:G$7))))</f>
        <v>0</v>
      </c>
      <c r="H446" s="2223" cm="1">
        <f t="array" ref="H446">IF($D446&lt;COLUMNS($F$7:H$7),"",INDEX(TableDiv[[GASB]:[GASB]],_xlfn.AGGREGATE(15,3,(TableDiv[[Agency]:[Agency]]=$E446)/(TableDiv[[Agency]:[Agency]]=$E446)*(ROW(TableDiv[Agency])-ROW(TableDiv[[#Headers],[Agency]])),COLUMNS($F$7:H$7))))</f>
        <v>0</v>
      </c>
      <c r="I446" s="2223" cm="1">
        <f t="array" ref="I446">IF($D446&lt;COLUMNS($F$7:I$7),"",INDEX(TableDiv[[GASB]:[GASB]],_xlfn.AGGREGATE(15,3,(TableDiv[[Agency]:[Agency]]=$E446)/(TableDiv[[Agency]:[Agency]]=$E446)*(ROW(TableDiv[Agency])-ROW(TableDiv[[#Headers],[Agency]])),COLUMNS($F$7:I$7))))</f>
        <v>0</v>
      </c>
      <c r="J446" s="2223" cm="1">
        <f t="array" ref="J446">IF($D446&lt;COLUMNS($F$7:J$7),"",INDEX(TableDiv[[GASB]:[GASB]],_xlfn.AGGREGATE(15,3,(TableDiv[[Agency]:[Agency]]=$E446)/(TableDiv[[Agency]:[Agency]]=$E446)*(ROW(TableDiv[Agency])-ROW(TableDiv[[#Headers],[Agency]])),COLUMNS($F$7:J$7))))</f>
        <v>0</v>
      </c>
      <c r="K446" s="2223" cm="1">
        <f t="array" ref="K446">IF($D446&lt;COLUMNS($F$7:K$7),"",INDEX(TableDiv[[GASB]:[GASB]],_xlfn.AGGREGATE(15,3,(TableDiv[[Agency]:[Agency]]=$E446)/(TableDiv[[Agency]:[Agency]]=$E446)*(ROW(TableDiv[Agency])-ROW(TableDiv[[#Headers],[Agency]])),COLUMNS($F$7:K$7))))</f>
        <v>0</v>
      </c>
      <c r="L446" s="2223" cm="1">
        <f t="array" ref="L446">IF($D446&lt;COLUMNS($F$7:L$7),"",INDEX(TableDiv[[GASB]:[GASB]],_xlfn.AGGREGATE(15,3,(TableDiv[[Agency]:[Agency]]=$E446)/(TableDiv[[Agency]:[Agency]]=$E446)*(ROW(TableDiv[Agency])-ROW(TableDiv[[#Headers],[Agency]])),COLUMNS($F$7:L$7))))</f>
        <v>0</v>
      </c>
      <c r="M446" s="2223" cm="1">
        <f t="array" ref="M446">IF($D446&lt;COLUMNS($F$7:M$7),"",INDEX(TableDiv[[GASB]:[GASB]],_xlfn.AGGREGATE(15,3,(TableDiv[[Agency]:[Agency]]=$E446)/(TableDiv[[Agency]:[Agency]]=$E446)*(ROW(TableDiv[Agency])-ROW(TableDiv[[#Headers],[Agency]])),COLUMNS($F$7:M$7))))</f>
        <v>0</v>
      </c>
      <c r="N446" s="2223" cm="1">
        <f t="array" ref="N446">IF($D446&lt;COLUMNS($F$7:N$7),"",INDEX(TableDiv[[GASB]:[GASB]],_xlfn.AGGREGATE(15,3,(TableDiv[[Agency]:[Agency]]=$E446)/(TableDiv[[Agency]:[Agency]]=$E446)*(ROW(TableDiv[Agency])-ROW(TableDiv[[#Headers],[Agency]])),COLUMNS($F$7:N$7))))</f>
        <v>0</v>
      </c>
      <c r="O446" s="2223" cm="1">
        <f t="array" ref="O446">IF($D446&lt;COLUMNS($F$7:O$7),"",INDEX(TableDiv[[GASB]:[GASB]],_xlfn.AGGREGATE(15,3,(TableDiv[[Agency]:[Agency]]=$E446)/(TableDiv[[Agency]:[Agency]]=$E446)*(ROW(TableDiv[Agency])-ROW(TableDiv[[#Headers],[Agency]])),COLUMNS($F$7:O$7))))</f>
        <v>0</v>
      </c>
      <c r="P446" s="2223" cm="1">
        <f t="array" ref="P446">IF($D446&lt;COLUMNS($F$7:P$7),"",INDEX(TableDiv[[GASB]:[GASB]],_xlfn.AGGREGATE(15,3,(TableDiv[[Agency]:[Agency]]=$E446)/(TableDiv[[Agency]:[Agency]]=$E446)*(ROW(TableDiv[Agency])-ROW(TableDiv[[#Headers],[Agency]])),COLUMNS($F$7:P$7))))</f>
        <v>0</v>
      </c>
      <c r="Q446" s="2223" cm="1">
        <f t="array" ref="Q446">IF($D446&lt;COLUMNS($F$7:Q$7),"",INDEX(TableDiv[[GASB]:[GASB]],_xlfn.AGGREGATE(15,3,(TableDiv[[Agency]:[Agency]]=$E446)/(TableDiv[[Agency]:[Agency]]=$E446)*(ROW(TableDiv[Agency])-ROW(TableDiv[[#Headers],[Agency]])),COLUMNS($F$7:Q$7))))</f>
        <v>0</v>
      </c>
      <c r="R446" s="2223" cm="1">
        <f t="array" ref="R446">IF($D446&lt;COLUMNS($F$7:R$7),"",INDEX(TableDiv[[GASB]:[GASB]],_xlfn.AGGREGATE(15,3,(TableDiv[[Agency]:[Agency]]=$E446)/(TableDiv[[Agency]:[Agency]]=$E446)*(ROW(TableDiv[Agency])-ROW(TableDiv[[#Headers],[Agency]])),COLUMNS($F$7:R$7))))</f>
        <v>0</v>
      </c>
      <c r="S446" s="2223" cm="1">
        <f t="array" ref="S446">IF($D446&lt;COLUMNS($F$7:S$7),"",INDEX(TableDiv[[GASB]:[GASB]],_xlfn.AGGREGATE(15,3,(TableDiv[[Agency]:[Agency]]=$E446)/(TableDiv[[Agency]:[Agency]]=$E446)*(ROW(TableDiv[Agency])-ROW(TableDiv[[#Headers],[Agency]])),COLUMNS($F$7:S$7))))</f>
        <v>0</v>
      </c>
      <c r="T446" s="2223" cm="1">
        <f t="array" ref="T446">IF($D446&lt;COLUMNS($F$7:T$7),"",INDEX(TableDiv[[GASB]:[GASB]],_xlfn.AGGREGATE(15,3,(TableDiv[[Agency]:[Agency]]=$E446)/(TableDiv[[Agency]:[Agency]]=$E446)*(ROW(TableDiv[Agency])-ROW(TableDiv[[#Headers],[Agency]])),COLUMNS($F$7:T$7))))</f>
        <v>0</v>
      </c>
      <c r="U446" s="2223" cm="1">
        <f t="array" ref="U446">IF($D446&lt;COLUMNS($F$7:U$7),"",INDEX(TableDiv[[GASB]:[GASB]],_xlfn.AGGREGATE(15,3,(TableDiv[[Agency]:[Agency]]=$E446)/(TableDiv[[Agency]:[Agency]]=$E446)*(ROW(TableDiv[Agency])-ROW(TableDiv[[#Headers],[Agency]])),COLUMNS($F$7:U$7))))</f>
        <v>0</v>
      </c>
      <c r="V446" s="2223" cm="1">
        <f t="array" ref="V446">IF($D446&lt;COLUMNS($F$7:V$7),"",INDEX(TableDiv[[GASB]:[GASB]],_xlfn.AGGREGATE(15,3,(TableDiv[[Agency]:[Agency]]=$E446)/(TableDiv[[Agency]:[Agency]]=$E446)*(ROW(TableDiv[Agency])-ROW(TableDiv[[#Headers],[Agency]])),COLUMNS($F$7:V$7))))</f>
        <v>0</v>
      </c>
      <c r="W446" s="2223" cm="1">
        <f t="array" ref="W446">IF($D446&lt;COLUMNS($F$7:W$7),"",INDEX(TableDiv[[GASB]:[GASB]],_xlfn.AGGREGATE(15,3,(TableDiv[[Agency]:[Agency]]=$E446)/(TableDiv[[Agency]:[Agency]]=$E446)*(ROW(TableDiv[Agency])-ROW(TableDiv[[#Headers],[Agency]])),COLUMNS($F$7:W$7))))</f>
        <v>0</v>
      </c>
      <c r="X446" s="2223" cm="1">
        <f t="array" ref="X446">IF($D446&lt;COLUMNS($F$7:X$7),"",INDEX(TableDiv[[GASB]:[GASB]],_xlfn.AGGREGATE(15,3,(TableDiv[[Agency]:[Agency]]=$E446)/(TableDiv[[Agency]:[Agency]]=$E446)*(ROW(TableDiv[Agency])-ROW(TableDiv[[#Headers],[Agency]])),COLUMNS($F$7:X$7))))</f>
        <v>0</v>
      </c>
      <c r="Y446" s="2223" cm="1">
        <f t="array" ref="Y446">IF($D446&lt;COLUMNS($F$7:Y$7),"",INDEX(TableDiv[[GASB]:[GASB]],_xlfn.AGGREGATE(15,3,(TableDiv[[Agency]:[Agency]]=$E446)/(TableDiv[[Agency]:[Agency]]=$E446)*(ROW(TableDiv[Agency])-ROW(TableDiv[[#Headers],[Agency]])),COLUMNS($F$7:Y$7))))</f>
        <v>0</v>
      </c>
      <c r="Z446" s="2223" cm="1">
        <f t="array" ref="Z446">IF($D446&lt;COLUMNS($F$7:Z$7),"",INDEX(TableDiv[[GASB]:[GASB]],_xlfn.AGGREGATE(15,3,(TableDiv[[Agency]:[Agency]]=$E446)/(TableDiv[[Agency]:[Agency]]=$E446)*(ROW(TableDiv[Agency])-ROW(TableDiv[[#Headers],[Agency]])),COLUMNS($F$7:Z$7))))</f>
        <v>0</v>
      </c>
      <c r="AA446" s="2223" cm="1">
        <f t="array" ref="AA446">IF($D446&lt;COLUMNS($F$7:AA$7),"",INDEX(TableDiv[[GASB]:[GASB]],_xlfn.AGGREGATE(15,3,(TableDiv[[Agency]:[Agency]]=$E446)/(TableDiv[[Agency]:[Agency]]=$E446)*(ROW(TableDiv[Agency])-ROW(TableDiv[[#Headers],[Agency]])),COLUMNS($F$7:AA$7))))</f>
        <v>0</v>
      </c>
      <c r="AB446" s="2223" cm="1">
        <f t="array" ref="AB446">IF($D446&lt;COLUMNS($F$7:AB$7),"",INDEX(TableDiv[[GASB]:[GASB]],_xlfn.AGGREGATE(15,3,(TableDiv[[Agency]:[Agency]]=$E446)/(TableDiv[[Agency]:[Agency]]=$E446)*(ROW(TableDiv[Agency])-ROW(TableDiv[[#Headers],[Agency]])),COLUMNS($F$7:AB$7))))</f>
        <v>0</v>
      </c>
      <c r="AC446" s="2223" cm="1">
        <f t="array" ref="AC446">IF($D446&lt;COLUMNS($F$7:AC$7),"",INDEX(TableDiv[[GASB]:[GASB]],_xlfn.AGGREGATE(15,3,(TableDiv[[Agency]:[Agency]]=$E446)/(TableDiv[[Agency]:[Agency]]=$E446)*(ROW(TableDiv[Agency])-ROW(TableDiv[[#Headers],[Agency]])),COLUMNS($F$7:AC$7))))</f>
        <v>0</v>
      </c>
      <c r="AD446" s="2223" cm="1">
        <f t="array" ref="AD446">IF($D446&lt;COLUMNS($F$7:AD$7),"",INDEX(TableDiv[[GASB]:[GASB]],_xlfn.AGGREGATE(15,3,(TableDiv[[Agency]:[Agency]]=$E446)/(TableDiv[[Agency]:[Agency]]=$E446)*(ROW(TableDiv[Agency])-ROW(TableDiv[[#Headers],[Agency]])),COLUMNS($F$7:AD$7))))</f>
        <v>0</v>
      </c>
      <c r="AE446" s="2223" cm="1">
        <f t="array" ref="AE446">IF($D446&lt;COLUMNS($F$7:AE$7),"",INDEX(TableDiv[[GASB]:[GASB]],_xlfn.AGGREGATE(15,3,(TableDiv[[Agency]:[Agency]]=$E446)/(TableDiv[[Agency]:[Agency]]=$E446)*(ROW(TableDiv[Agency])-ROW(TableDiv[[#Headers],[Agency]])),COLUMNS($F$7:AE$7))))</f>
        <v>0</v>
      </c>
      <c r="AF446" s="2223" cm="1">
        <f t="array" ref="AF446">IF($D446&lt;COLUMNS($F$7:AF$7),"",INDEX(TableDiv[[GASB]:[GASB]],_xlfn.AGGREGATE(15,3,(TableDiv[[Agency]:[Agency]]=$E446)/(TableDiv[[Agency]:[Agency]]=$E446)*(ROW(TableDiv[Agency])-ROW(TableDiv[[#Headers],[Agency]])),COLUMNS($F$7:AF$7))))</f>
        <v>0</v>
      </c>
      <c r="AG446" s="2223" cm="1">
        <f t="array" ref="AG446">IF($D446&lt;COLUMNS($F$7:AG$7),"",INDEX(TableDiv[[GASB]:[GASB]],_xlfn.AGGREGATE(15,3,(TableDiv[[Agency]:[Agency]]=$E446)/(TableDiv[[Agency]:[Agency]]=$E446)*(ROW(TableDiv[Agency])-ROW(TableDiv[[#Headers],[Agency]])),COLUMNS($F$7:AG$7))))</f>
        <v>0</v>
      </c>
      <c r="AH446" s="2223" cm="1">
        <f t="array" ref="AH446">IF($D446&lt;COLUMNS($F$7:AH$7),"",INDEX(TableDiv[[GASB]:[GASB]],_xlfn.AGGREGATE(15,3,(TableDiv[[Agency]:[Agency]]=$E446)/(TableDiv[[Agency]:[Agency]]=$E446)*(ROW(TableDiv[Agency])-ROW(TableDiv[[#Headers],[Agency]])),COLUMNS($F$7:AH$7))))</f>
        <v>0</v>
      </c>
      <c r="AI446" s="2223" cm="1">
        <f t="array" ref="AI446">IF($D446&lt;COLUMNS($F$7:AI$7),"",INDEX(TableDiv[[GASB]:[GASB]],_xlfn.AGGREGATE(15,3,(TableDiv[[Agency]:[Agency]]=$E446)/(TableDiv[[Agency]:[Agency]]=$E446)*(ROW(TableDiv[Agency])-ROW(TableDiv[[#Headers],[Agency]])),COLUMNS($F$7:AI$7))))</f>
        <v>0</v>
      </c>
      <c r="AJ446" s="2223" cm="1">
        <f t="array" ref="AJ446">IF($D446&lt;COLUMNS($F$7:AJ$7),"",INDEX(TableDiv[[GASB]:[GASB]],_xlfn.AGGREGATE(15,3,(TableDiv[[Agency]:[Agency]]=$E446)/(TableDiv[[Agency]:[Agency]]=$E446)*(ROW(TableDiv[Agency])-ROW(TableDiv[[#Headers],[Agency]])),COLUMNS($F$7:AJ$7))))</f>
        <v>0</v>
      </c>
      <c r="AK446" s="2223" t="str" cm="1">
        <f t="array" ref="AK446">IF($D446&lt;COLUMNS($F$7:AK$7),"",INDEX(TableDiv[[GASB]:[GASB]],_xlfn.AGGREGATE(15,3,(TableDiv[[Agency]:[Agency]]=$E446)/(TableDiv[[Agency]:[Agency]]=$E446)*(ROW(TableDiv[Agency])-ROW(TableDiv[[#Headers],[Agency]])),COLUMNS($F$7:AK$7))))</f>
        <v/>
      </c>
      <c r="AL446" s="2223" t="str" cm="1">
        <f t="array" ref="AL446">IF($D446&lt;COLUMNS($F$7:AL$7),"",INDEX(TableDiv[[GASB]:[GASB]],_xlfn.AGGREGATE(15,3,(TableDiv[[Agency]:[Agency]]=$E446)/(TableDiv[[Agency]:[Agency]]=$E446)*(ROW(TableDiv[Agency])-ROW(TableDiv[[#Headers],[Agency]])),COLUMNS($F$7:AL$7))))</f>
        <v/>
      </c>
      <c r="AM446" s="2223" t="str" cm="1">
        <f t="array" ref="AM446">IF($D446&lt;COLUMNS($F$7:AM$7),"",INDEX(TableDiv[[GASB]:[GASB]],_xlfn.AGGREGATE(15,3,(TableDiv[[Agency]:[Agency]]=$E446)/(TableDiv[[Agency]:[Agency]]=$E446)*(ROW(TableDiv[Agency])-ROW(TableDiv[[#Headers],[Agency]])),COLUMNS($F$7:AM$7))))</f>
        <v/>
      </c>
      <c r="AN446" s="2223"/>
      <c r="AO446" s="2223"/>
      <c r="AP446" s="2223"/>
      <c r="AQ446" s="2223"/>
      <c r="AR446" s="2223"/>
      <c r="AS446" s="2223"/>
    </row>
    <row r="447" spans="1:45" ht="15" x14ac:dyDescent="0.25">
      <c r="A447" s="2219" t="s">
        <v>5217</v>
      </c>
      <c r="B447" s="2219" t="s">
        <v>6543</v>
      </c>
      <c r="C447" s="2223"/>
      <c r="D447" s="2223">
        <f>COUNTIF(TableDiv[Agency],E447)</f>
        <v>31</v>
      </c>
      <c r="E447" s="2230" t="str" cm="1">
        <f t="array" ref="E447">IFERROR(INDEX(TableDiv[Agency],MATCH(0,INDEX(COUNTIF($E$7:E446,TableDiv[Agency]),),0)),"")</f>
        <v/>
      </c>
      <c r="F447" s="2223" cm="1">
        <f t="array" ref="F447">IF($D447&lt;COLUMNS($F$7:F$7),"",INDEX(TableDiv[[GASB]:[GASB]],_xlfn.AGGREGATE(15,3,(TableDiv[[Agency]:[Agency]]=$E447)/(TableDiv[[Agency]:[Agency]]=$E447)*(ROW(TableDiv[Agency])-ROW(TableDiv[[#Headers],[Agency]])),COLUMNS($F$7:F$7))))</f>
        <v>0</v>
      </c>
      <c r="G447" s="2223" cm="1">
        <f t="array" ref="G447">IF($D447&lt;COLUMNS($F$7:G$7),"",INDEX(TableDiv[[GASB]:[GASB]],_xlfn.AGGREGATE(15,3,(TableDiv[[Agency]:[Agency]]=$E447)/(TableDiv[[Agency]:[Agency]]=$E447)*(ROW(TableDiv[Agency])-ROW(TableDiv[[#Headers],[Agency]])),COLUMNS($F$7:G$7))))</f>
        <v>0</v>
      </c>
      <c r="H447" s="2223" cm="1">
        <f t="array" ref="H447">IF($D447&lt;COLUMNS($F$7:H$7),"",INDEX(TableDiv[[GASB]:[GASB]],_xlfn.AGGREGATE(15,3,(TableDiv[[Agency]:[Agency]]=$E447)/(TableDiv[[Agency]:[Agency]]=$E447)*(ROW(TableDiv[Agency])-ROW(TableDiv[[#Headers],[Agency]])),COLUMNS($F$7:H$7))))</f>
        <v>0</v>
      </c>
      <c r="I447" s="2223" cm="1">
        <f t="array" ref="I447">IF($D447&lt;COLUMNS($F$7:I$7),"",INDEX(TableDiv[[GASB]:[GASB]],_xlfn.AGGREGATE(15,3,(TableDiv[[Agency]:[Agency]]=$E447)/(TableDiv[[Agency]:[Agency]]=$E447)*(ROW(TableDiv[Agency])-ROW(TableDiv[[#Headers],[Agency]])),COLUMNS($F$7:I$7))))</f>
        <v>0</v>
      </c>
      <c r="J447" s="2223" cm="1">
        <f t="array" ref="J447">IF($D447&lt;COLUMNS($F$7:J$7),"",INDEX(TableDiv[[GASB]:[GASB]],_xlfn.AGGREGATE(15,3,(TableDiv[[Agency]:[Agency]]=$E447)/(TableDiv[[Agency]:[Agency]]=$E447)*(ROW(TableDiv[Agency])-ROW(TableDiv[[#Headers],[Agency]])),COLUMNS($F$7:J$7))))</f>
        <v>0</v>
      </c>
      <c r="K447" s="2223" cm="1">
        <f t="array" ref="K447">IF($D447&lt;COLUMNS($F$7:K$7),"",INDEX(TableDiv[[GASB]:[GASB]],_xlfn.AGGREGATE(15,3,(TableDiv[[Agency]:[Agency]]=$E447)/(TableDiv[[Agency]:[Agency]]=$E447)*(ROW(TableDiv[Agency])-ROW(TableDiv[[#Headers],[Agency]])),COLUMNS($F$7:K$7))))</f>
        <v>0</v>
      </c>
      <c r="L447" s="2223" cm="1">
        <f t="array" ref="L447">IF($D447&lt;COLUMNS($F$7:L$7),"",INDEX(TableDiv[[GASB]:[GASB]],_xlfn.AGGREGATE(15,3,(TableDiv[[Agency]:[Agency]]=$E447)/(TableDiv[[Agency]:[Agency]]=$E447)*(ROW(TableDiv[Agency])-ROW(TableDiv[[#Headers],[Agency]])),COLUMNS($F$7:L$7))))</f>
        <v>0</v>
      </c>
      <c r="M447" s="2223" cm="1">
        <f t="array" ref="M447">IF($D447&lt;COLUMNS($F$7:M$7),"",INDEX(TableDiv[[GASB]:[GASB]],_xlfn.AGGREGATE(15,3,(TableDiv[[Agency]:[Agency]]=$E447)/(TableDiv[[Agency]:[Agency]]=$E447)*(ROW(TableDiv[Agency])-ROW(TableDiv[[#Headers],[Agency]])),COLUMNS($F$7:M$7))))</f>
        <v>0</v>
      </c>
      <c r="N447" s="2223" cm="1">
        <f t="array" ref="N447">IF($D447&lt;COLUMNS($F$7:N$7),"",INDEX(TableDiv[[GASB]:[GASB]],_xlfn.AGGREGATE(15,3,(TableDiv[[Agency]:[Agency]]=$E447)/(TableDiv[[Agency]:[Agency]]=$E447)*(ROW(TableDiv[Agency])-ROW(TableDiv[[#Headers],[Agency]])),COLUMNS($F$7:N$7))))</f>
        <v>0</v>
      </c>
      <c r="O447" s="2223" cm="1">
        <f t="array" ref="O447">IF($D447&lt;COLUMNS($F$7:O$7),"",INDEX(TableDiv[[GASB]:[GASB]],_xlfn.AGGREGATE(15,3,(TableDiv[[Agency]:[Agency]]=$E447)/(TableDiv[[Agency]:[Agency]]=$E447)*(ROW(TableDiv[Agency])-ROW(TableDiv[[#Headers],[Agency]])),COLUMNS($F$7:O$7))))</f>
        <v>0</v>
      </c>
      <c r="P447" s="2223" cm="1">
        <f t="array" ref="P447">IF($D447&lt;COLUMNS($F$7:P$7),"",INDEX(TableDiv[[GASB]:[GASB]],_xlfn.AGGREGATE(15,3,(TableDiv[[Agency]:[Agency]]=$E447)/(TableDiv[[Agency]:[Agency]]=$E447)*(ROW(TableDiv[Agency])-ROW(TableDiv[[#Headers],[Agency]])),COLUMNS($F$7:P$7))))</f>
        <v>0</v>
      </c>
      <c r="Q447" s="2223" cm="1">
        <f t="array" ref="Q447">IF($D447&lt;COLUMNS($F$7:Q$7),"",INDEX(TableDiv[[GASB]:[GASB]],_xlfn.AGGREGATE(15,3,(TableDiv[[Agency]:[Agency]]=$E447)/(TableDiv[[Agency]:[Agency]]=$E447)*(ROW(TableDiv[Agency])-ROW(TableDiv[[#Headers],[Agency]])),COLUMNS($F$7:Q$7))))</f>
        <v>0</v>
      </c>
      <c r="R447" s="2223" cm="1">
        <f t="array" ref="R447">IF($D447&lt;COLUMNS($F$7:R$7),"",INDEX(TableDiv[[GASB]:[GASB]],_xlfn.AGGREGATE(15,3,(TableDiv[[Agency]:[Agency]]=$E447)/(TableDiv[[Agency]:[Agency]]=$E447)*(ROW(TableDiv[Agency])-ROW(TableDiv[[#Headers],[Agency]])),COLUMNS($F$7:R$7))))</f>
        <v>0</v>
      </c>
      <c r="S447" s="2223" cm="1">
        <f t="array" ref="S447">IF($D447&lt;COLUMNS($F$7:S$7),"",INDEX(TableDiv[[GASB]:[GASB]],_xlfn.AGGREGATE(15,3,(TableDiv[[Agency]:[Agency]]=$E447)/(TableDiv[[Agency]:[Agency]]=$E447)*(ROW(TableDiv[Agency])-ROW(TableDiv[[#Headers],[Agency]])),COLUMNS($F$7:S$7))))</f>
        <v>0</v>
      </c>
      <c r="T447" s="2223" cm="1">
        <f t="array" ref="T447">IF($D447&lt;COLUMNS($F$7:T$7),"",INDEX(TableDiv[[GASB]:[GASB]],_xlfn.AGGREGATE(15,3,(TableDiv[[Agency]:[Agency]]=$E447)/(TableDiv[[Agency]:[Agency]]=$E447)*(ROW(TableDiv[Agency])-ROW(TableDiv[[#Headers],[Agency]])),COLUMNS($F$7:T$7))))</f>
        <v>0</v>
      </c>
      <c r="U447" s="2223" cm="1">
        <f t="array" ref="U447">IF($D447&lt;COLUMNS($F$7:U$7),"",INDEX(TableDiv[[GASB]:[GASB]],_xlfn.AGGREGATE(15,3,(TableDiv[[Agency]:[Agency]]=$E447)/(TableDiv[[Agency]:[Agency]]=$E447)*(ROW(TableDiv[Agency])-ROW(TableDiv[[#Headers],[Agency]])),COLUMNS($F$7:U$7))))</f>
        <v>0</v>
      </c>
      <c r="V447" s="2223" cm="1">
        <f t="array" ref="V447">IF($D447&lt;COLUMNS($F$7:V$7),"",INDEX(TableDiv[[GASB]:[GASB]],_xlfn.AGGREGATE(15,3,(TableDiv[[Agency]:[Agency]]=$E447)/(TableDiv[[Agency]:[Agency]]=$E447)*(ROW(TableDiv[Agency])-ROW(TableDiv[[#Headers],[Agency]])),COLUMNS($F$7:V$7))))</f>
        <v>0</v>
      </c>
      <c r="W447" s="2223" cm="1">
        <f t="array" ref="W447">IF($D447&lt;COLUMNS($F$7:W$7),"",INDEX(TableDiv[[GASB]:[GASB]],_xlfn.AGGREGATE(15,3,(TableDiv[[Agency]:[Agency]]=$E447)/(TableDiv[[Agency]:[Agency]]=$E447)*(ROW(TableDiv[Agency])-ROW(TableDiv[[#Headers],[Agency]])),COLUMNS($F$7:W$7))))</f>
        <v>0</v>
      </c>
      <c r="X447" s="2223" cm="1">
        <f t="array" ref="X447">IF($D447&lt;COLUMNS($F$7:X$7),"",INDEX(TableDiv[[GASB]:[GASB]],_xlfn.AGGREGATE(15,3,(TableDiv[[Agency]:[Agency]]=$E447)/(TableDiv[[Agency]:[Agency]]=$E447)*(ROW(TableDiv[Agency])-ROW(TableDiv[[#Headers],[Agency]])),COLUMNS($F$7:X$7))))</f>
        <v>0</v>
      </c>
      <c r="Y447" s="2223" cm="1">
        <f t="array" ref="Y447">IF($D447&lt;COLUMNS($F$7:Y$7),"",INDEX(TableDiv[[GASB]:[GASB]],_xlfn.AGGREGATE(15,3,(TableDiv[[Agency]:[Agency]]=$E447)/(TableDiv[[Agency]:[Agency]]=$E447)*(ROW(TableDiv[Agency])-ROW(TableDiv[[#Headers],[Agency]])),COLUMNS($F$7:Y$7))))</f>
        <v>0</v>
      </c>
      <c r="Z447" s="2223" cm="1">
        <f t="array" ref="Z447">IF($D447&lt;COLUMNS($F$7:Z$7),"",INDEX(TableDiv[[GASB]:[GASB]],_xlfn.AGGREGATE(15,3,(TableDiv[[Agency]:[Agency]]=$E447)/(TableDiv[[Agency]:[Agency]]=$E447)*(ROW(TableDiv[Agency])-ROW(TableDiv[[#Headers],[Agency]])),COLUMNS($F$7:Z$7))))</f>
        <v>0</v>
      </c>
      <c r="AA447" s="2223" cm="1">
        <f t="array" ref="AA447">IF($D447&lt;COLUMNS($F$7:AA$7),"",INDEX(TableDiv[[GASB]:[GASB]],_xlfn.AGGREGATE(15,3,(TableDiv[[Agency]:[Agency]]=$E447)/(TableDiv[[Agency]:[Agency]]=$E447)*(ROW(TableDiv[Agency])-ROW(TableDiv[[#Headers],[Agency]])),COLUMNS($F$7:AA$7))))</f>
        <v>0</v>
      </c>
      <c r="AB447" s="2223" cm="1">
        <f t="array" ref="AB447">IF($D447&lt;COLUMNS($F$7:AB$7),"",INDEX(TableDiv[[GASB]:[GASB]],_xlfn.AGGREGATE(15,3,(TableDiv[[Agency]:[Agency]]=$E447)/(TableDiv[[Agency]:[Agency]]=$E447)*(ROW(TableDiv[Agency])-ROW(TableDiv[[#Headers],[Agency]])),COLUMNS($F$7:AB$7))))</f>
        <v>0</v>
      </c>
      <c r="AC447" s="2223" cm="1">
        <f t="array" ref="AC447">IF($D447&lt;COLUMNS($F$7:AC$7),"",INDEX(TableDiv[[GASB]:[GASB]],_xlfn.AGGREGATE(15,3,(TableDiv[[Agency]:[Agency]]=$E447)/(TableDiv[[Agency]:[Agency]]=$E447)*(ROW(TableDiv[Agency])-ROW(TableDiv[[#Headers],[Agency]])),COLUMNS($F$7:AC$7))))</f>
        <v>0</v>
      </c>
      <c r="AD447" s="2223" cm="1">
        <f t="array" ref="AD447">IF($D447&lt;COLUMNS($F$7:AD$7),"",INDEX(TableDiv[[GASB]:[GASB]],_xlfn.AGGREGATE(15,3,(TableDiv[[Agency]:[Agency]]=$E447)/(TableDiv[[Agency]:[Agency]]=$E447)*(ROW(TableDiv[Agency])-ROW(TableDiv[[#Headers],[Agency]])),COLUMNS($F$7:AD$7))))</f>
        <v>0</v>
      </c>
      <c r="AE447" s="2223" cm="1">
        <f t="array" ref="AE447">IF($D447&lt;COLUMNS($F$7:AE$7),"",INDEX(TableDiv[[GASB]:[GASB]],_xlfn.AGGREGATE(15,3,(TableDiv[[Agency]:[Agency]]=$E447)/(TableDiv[[Agency]:[Agency]]=$E447)*(ROW(TableDiv[Agency])-ROW(TableDiv[[#Headers],[Agency]])),COLUMNS($F$7:AE$7))))</f>
        <v>0</v>
      </c>
      <c r="AF447" s="2223" cm="1">
        <f t="array" ref="AF447">IF($D447&lt;COLUMNS($F$7:AF$7),"",INDEX(TableDiv[[GASB]:[GASB]],_xlfn.AGGREGATE(15,3,(TableDiv[[Agency]:[Agency]]=$E447)/(TableDiv[[Agency]:[Agency]]=$E447)*(ROW(TableDiv[Agency])-ROW(TableDiv[[#Headers],[Agency]])),COLUMNS($F$7:AF$7))))</f>
        <v>0</v>
      </c>
      <c r="AG447" s="2223" cm="1">
        <f t="array" ref="AG447">IF($D447&lt;COLUMNS($F$7:AG$7),"",INDEX(TableDiv[[GASB]:[GASB]],_xlfn.AGGREGATE(15,3,(TableDiv[[Agency]:[Agency]]=$E447)/(TableDiv[[Agency]:[Agency]]=$E447)*(ROW(TableDiv[Agency])-ROW(TableDiv[[#Headers],[Agency]])),COLUMNS($F$7:AG$7))))</f>
        <v>0</v>
      </c>
      <c r="AH447" s="2223" cm="1">
        <f t="array" ref="AH447">IF($D447&lt;COLUMNS($F$7:AH$7),"",INDEX(TableDiv[[GASB]:[GASB]],_xlfn.AGGREGATE(15,3,(TableDiv[[Agency]:[Agency]]=$E447)/(TableDiv[[Agency]:[Agency]]=$E447)*(ROW(TableDiv[Agency])-ROW(TableDiv[[#Headers],[Agency]])),COLUMNS($F$7:AH$7))))</f>
        <v>0</v>
      </c>
      <c r="AI447" s="2223" cm="1">
        <f t="array" ref="AI447">IF($D447&lt;COLUMNS($F$7:AI$7),"",INDEX(TableDiv[[GASB]:[GASB]],_xlfn.AGGREGATE(15,3,(TableDiv[[Agency]:[Agency]]=$E447)/(TableDiv[[Agency]:[Agency]]=$E447)*(ROW(TableDiv[Agency])-ROW(TableDiv[[#Headers],[Agency]])),COLUMNS($F$7:AI$7))))</f>
        <v>0</v>
      </c>
      <c r="AJ447" s="2223" cm="1">
        <f t="array" ref="AJ447">IF($D447&lt;COLUMNS($F$7:AJ$7),"",INDEX(TableDiv[[GASB]:[GASB]],_xlfn.AGGREGATE(15,3,(TableDiv[[Agency]:[Agency]]=$E447)/(TableDiv[[Agency]:[Agency]]=$E447)*(ROW(TableDiv[Agency])-ROW(TableDiv[[#Headers],[Agency]])),COLUMNS($F$7:AJ$7))))</f>
        <v>0</v>
      </c>
      <c r="AK447" s="2223" t="str" cm="1">
        <f t="array" ref="AK447">IF($D447&lt;COLUMNS($F$7:AK$7),"",INDEX(TableDiv[[GASB]:[GASB]],_xlfn.AGGREGATE(15,3,(TableDiv[[Agency]:[Agency]]=$E447)/(TableDiv[[Agency]:[Agency]]=$E447)*(ROW(TableDiv[Agency])-ROW(TableDiv[[#Headers],[Agency]])),COLUMNS($F$7:AK$7))))</f>
        <v/>
      </c>
      <c r="AL447" s="2223" t="str" cm="1">
        <f t="array" ref="AL447">IF($D447&lt;COLUMNS($F$7:AL$7),"",INDEX(TableDiv[[GASB]:[GASB]],_xlfn.AGGREGATE(15,3,(TableDiv[[Agency]:[Agency]]=$E447)/(TableDiv[[Agency]:[Agency]]=$E447)*(ROW(TableDiv[Agency])-ROW(TableDiv[[#Headers],[Agency]])),COLUMNS($F$7:AL$7))))</f>
        <v/>
      </c>
      <c r="AM447" s="2223" t="str" cm="1">
        <f t="array" ref="AM447">IF($D447&lt;COLUMNS($F$7:AM$7),"",INDEX(TableDiv[[GASB]:[GASB]],_xlfn.AGGREGATE(15,3,(TableDiv[[Agency]:[Agency]]=$E447)/(TableDiv[[Agency]:[Agency]]=$E447)*(ROW(TableDiv[Agency])-ROW(TableDiv[[#Headers],[Agency]])),COLUMNS($F$7:AM$7))))</f>
        <v/>
      </c>
      <c r="AN447" s="2223"/>
      <c r="AO447" s="2223"/>
      <c r="AP447" s="2223"/>
      <c r="AQ447" s="2223"/>
      <c r="AR447" s="2223"/>
      <c r="AS447" s="2223"/>
    </row>
    <row r="448" spans="1:45" ht="15" x14ac:dyDescent="0.25">
      <c r="A448" s="2219" t="s">
        <v>5219</v>
      </c>
      <c r="B448" s="2219" t="s">
        <v>6543</v>
      </c>
      <c r="C448" s="2223"/>
      <c r="D448" s="2223">
        <f>COUNTIF(TableDiv[Agency],E448)</f>
        <v>31</v>
      </c>
      <c r="E448" s="2230" t="str" cm="1">
        <f t="array" ref="E448">IFERROR(INDEX(TableDiv[Agency],MATCH(0,INDEX(COUNTIF($E$7:E447,TableDiv[Agency]),),0)),"")</f>
        <v/>
      </c>
      <c r="F448" s="2223" cm="1">
        <f t="array" ref="F448">IF($D448&lt;COLUMNS($F$7:F$7),"",INDEX(TableDiv[[GASB]:[GASB]],_xlfn.AGGREGATE(15,3,(TableDiv[[Agency]:[Agency]]=$E448)/(TableDiv[[Agency]:[Agency]]=$E448)*(ROW(TableDiv[Agency])-ROW(TableDiv[[#Headers],[Agency]])),COLUMNS($F$7:F$7))))</f>
        <v>0</v>
      </c>
      <c r="G448" s="2223" cm="1">
        <f t="array" ref="G448">IF($D448&lt;COLUMNS($F$7:G$7),"",INDEX(TableDiv[[GASB]:[GASB]],_xlfn.AGGREGATE(15,3,(TableDiv[[Agency]:[Agency]]=$E448)/(TableDiv[[Agency]:[Agency]]=$E448)*(ROW(TableDiv[Agency])-ROW(TableDiv[[#Headers],[Agency]])),COLUMNS($F$7:G$7))))</f>
        <v>0</v>
      </c>
      <c r="H448" s="2223" cm="1">
        <f t="array" ref="H448">IF($D448&lt;COLUMNS($F$7:H$7),"",INDEX(TableDiv[[GASB]:[GASB]],_xlfn.AGGREGATE(15,3,(TableDiv[[Agency]:[Agency]]=$E448)/(TableDiv[[Agency]:[Agency]]=$E448)*(ROW(TableDiv[Agency])-ROW(TableDiv[[#Headers],[Agency]])),COLUMNS($F$7:H$7))))</f>
        <v>0</v>
      </c>
      <c r="I448" s="2223" cm="1">
        <f t="array" ref="I448">IF($D448&lt;COLUMNS($F$7:I$7),"",INDEX(TableDiv[[GASB]:[GASB]],_xlfn.AGGREGATE(15,3,(TableDiv[[Agency]:[Agency]]=$E448)/(TableDiv[[Agency]:[Agency]]=$E448)*(ROW(TableDiv[Agency])-ROW(TableDiv[[#Headers],[Agency]])),COLUMNS($F$7:I$7))))</f>
        <v>0</v>
      </c>
      <c r="J448" s="2223" cm="1">
        <f t="array" ref="J448">IF($D448&lt;COLUMNS($F$7:J$7),"",INDEX(TableDiv[[GASB]:[GASB]],_xlfn.AGGREGATE(15,3,(TableDiv[[Agency]:[Agency]]=$E448)/(TableDiv[[Agency]:[Agency]]=$E448)*(ROW(TableDiv[Agency])-ROW(TableDiv[[#Headers],[Agency]])),COLUMNS($F$7:J$7))))</f>
        <v>0</v>
      </c>
      <c r="K448" s="2223" cm="1">
        <f t="array" ref="K448">IF($D448&lt;COLUMNS($F$7:K$7),"",INDEX(TableDiv[[GASB]:[GASB]],_xlfn.AGGREGATE(15,3,(TableDiv[[Agency]:[Agency]]=$E448)/(TableDiv[[Agency]:[Agency]]=$E448)*(ROW(TableDiv[Agency])-ROW(TableDiv[[#Headers],[Agency]])),COLUMNS($F$7:K$7))))</f>
        <v>0</v>
      </c>
      <c r="L448" s="2223" cm="1">
        <f t="array" ref="L448">IF($D448&lt;COLUMNS($F$7:L$7),"",INDEX(TableDiv[[GASB]:[GASB]],_xlfn.AGGREGATE(15,3,(TableDiv[[Agency]:[Agency]]=$E448)/(TableDiv[[Agency]:[Agency]]=$E448)*(ROW(TableDiv[Agency])-ROW(TableDiv[[#Headers],[Agency]])),COLUMNS($F$7:L$7))))</f>
        <v>0</v>
      </c>
      <c r="M448" s="2223" cm="1">
        <f t="array" ref="M448">IF($D448&lt;COLUMNS($F$7:M$7),"",INDEX(TableDiv[[GASB]:[GASB]],_xlfn.AGGREGATE(15,3,(TableDiv[[Agency]:[Agency]]=$E448)/(TableDiv[[Agency]:[Agency]]=$E448)*(ROW(TableDiv[Agency])-ROW(TableDiv[[#Headers],[Agency]])),COLUMNS($F$7:M$7))))</f>
        <v>0</v>
      </c>
      <c r="N448" s="2223" cm="1">
        <f t="array" ref="N448">IF($D448&lt;COLUMNS($F$7:N$7),"",INDEX(TableDiv[[GASB]:[GASB]],_xlfn.AGGREGATE(15,3,(TableDiv[[Agency]:[Agency]]=$E448)/(TableDiv[[Agency]:[Agency]]=$E448)*(ROW(TableDiv[Agency])-ROW(TableDiv[[#Headers],[Agency]])),COLUMNS($F$7:N$7))))</f>
        <v>0</v>
      </c>
      <c r="O448" s="2223" cm="1">
        <f t="array" ref="O448">IF($D448&lt;COLUMNS($F$7:O$7),"",INDEX(TableDiv[[GASB]:[GASB]],_xlfn.AGGREGATE(15,3,(TableDiv[[Agency]:[Agency]]=$E448)/(TableDiv[[Agency]:[Agency]]=$E448)*(ROW(TableDiv[Agency])-ROW(TableDiv[[#Headers],[Agency]])),COLUMNS($F$7:O$7))))</f>
        <v>0</v>
      </c>
      <c r="P448" s="2223" cm="1">
        <f t="array" ref="P448">IF($D448&lt;COLUMNS($F$7:P$7),"",INDEX(TableDiv[[GASB]:[GASB]],_xlfn.AGGREGATE(15,3,(TableDiv[[Agency]:[Agency]]=$E448)/(TableDiv[[Agency]:[Agency]]=$E448)*(ROW(TableDiv[Agency])-ROW(TableDiv[[#Headers],[Agency]])),COLUMNS($F$7:P$7))))</f>
        <v>0</v>
      </c>
      <c r="Q448" s="2223" cm="1">
        <f t="array" ref="Q448">IF($D448&lt;COLUMNS($F$7:Q$7),"",INDEX(TableDiv[[GASB]:[GASB]],_xlfn.AGGREGATE(15,3,(TableDiv[[Agency]:[Agency]]=$E448)/(TableDiv[[Agency]:[Agency]]=$E448)*(ROW(TableDiv[Agency])-ROW(TableDiv[[#Headers],[Agency]])),COLUMNS($F$7:Q$7))))</f>
        <v>0</v>
      </c>
      <c r="R448" s="2223" cm="1">
        <f t="array" ref="R448">IF($D448&lt;COLUMNS($F$7:R$7),"",INDEX(TableDiv[[GASB]:[GASB]],_xlfn.AGGREGATE(15,3,(TableDiv[[Agency]:[Agency]]=$E448)/(TableDiv[[Agency]:[Agency]]=$E448)*(ROW(TableDiv[Agency])-ROW(TableDiv[[#Headers],[Agency]])),COLUMNS($F$7:R$7))))</f>
        <v>0</v>
      </c>
      <c r="S448" s="2223" cm="1">
        <f t="array" ref="S448">IF($D448&lt;COLUMNS($F$7:S$7),"",INDEX(TableDiv[[GASB]:[GASB]],_xlfn.AGGREGATE(15,3,(TableDiv[[Agency]:[Agency]]=$E448)/(TableDiv[[Agency]:[Agency]]=$E448)*(ROW(TableDiv[Agency])-ROW(TableDiv[[#Headers],[Agency]])),COLUMNS($F$7:S$7))))</f>
        <v>0</v>
      </c>
      <c r="T448" s="2223" cm="1">
        <f t="array" ref="T448">IF($D448&lt;COLUMNS($F$7:T$7),"",INDEX(TableDiv[[GASB]:[GASB]],_xlfn.AGGREGATE(15,3,(TableDiv[[Agency]:[Agency]]=$E448)/(TableDiv[[Agency]:[Agency]]=$E448)*(ROW(TableDiv[Agency])-ROW(TableDiv[[#Headers],[Agency]])),COLUMNS($F$7:T$7))))</f>
        <v>0</v>
      </c>
      <c r="U448" s="2223" cm="1">
        <f t="array" ref="U448">IF($D448&lt;COLUMNS($F$7:U$7),"",INDEX(TableDiv[[GASB]:[GASB]],_xlfn.AGGREGATE(15,3,(TableDiv[[Agency]:[Agency]]=$E448)/(TableDiv[[Agency]:[Agency]]=$E448)*(ROW(TableDiv[Agency])-ROW(TableDiv[[#Headers],[Agency]])),COLUMNS($F$7:U$7))))</f>
        <v>0</v>
      </c>
      <c r="V448" s="2223" cm="1">
        <f t="array" ref="V448">IF($D448&lt;COLUMNS($F$7:V$7),"",INDEX(TableDiv[[GASB]:[GASB]],_xlfn.AGGREGATE(15,3,(TableDiv[[Agency]:[Agency]]=$E448)/(TableDiv[[Agency]:[Agency]]=$E448)*(ROW(TableDiv[Agency])-ROW(TableDiv[[#Headers],[Agency]])),COLUMNS($F$7:V$7))))</f>
        <v>0</v>
      </c>
      <c r="W448" s="2223" cm="1">
        <f t="array" ref="W448">IF($D448&lt;COLUMNS($F$7:W$7),"",INDEX(TableDiv[[GASB]:[GASB]],_xlfn.AGGREGATE(15,3,(TableDiv[[Agency]:[Agency]]=$E448)/(TableDiv[[Agency]:[Agency]]=$E448)*(ROW(TableDiv[Agency])-ROW(TableDiv[[#Headers],[Agency]])),COLUMNS($F$7:W$7))))</f>
        <v>0</v>
      </c>
      <c r="X448" s="2223" cm="1">
        <f t="array" ref="X448">IF($D448&lt;COLUMNS($F$7:X$7),"",INDEX(TableDiv[[GASB]:[GASB]],_xlfn.AGGREGATE(15,3,(TableDiv[[Agency]:[Agency]]=$E448)/(TableDiv[[Agency]:[Agency]]=$E448)*(ROW(TableDiv[Agency])-ROW(TableDiv[[#Headers],[Agency]])),COLUMNS($F$7:X$7))))</f>
        <v>0</v>
      </c>
      <c r="Y448" s="2223" cm="1">
        <f t="array" ref="Y448">IF($D448&lt;COLUMNS($F$7:Y$7),"",INDEX(TableDiv[[GASB]:[GASB]],_xlfn.AGGREGATE(15,3,(TableDiv[[Agency]:[Agency]]=$E448)/(TableDiv[[Agency]:[Agency]]=$E448)*(ROW(TableDiv[Agency])-ROW(TableDiv[[#Headers],[Agency]])),COLUMNS($F$7:Y$7))))</f>
        <v>0</v>
      </c>
      <c r="Z448" s="2223" cm="1">
        <f t="array" ref="Z448">IF($D448&lt;COLUMNS($F$7:Z$7),"",INDEX(TableDiv[[GASB]:[GASB]],_xlfn.AGGREGATE(15,3,(TableDiv[[Agency]:[Agency]]=$E448)/(TableDiv[[Agency]:[Agency]]=$E448)*(ROW(TableDiv[Agency])-ROW(TableDiv[[#Headers],[Agency]])),COLUMNS($F$7:Z$7))))</f>
        <v>0</v>
      </c>
      <c r="AA448" s="2223" cm="1">
        <f t="array" ref="AA448">IF($D448&lt;COLUMNS($F$7:AA$7),"",INDEX(TableDiv[[GASB]:[GASB]],_xlfn.AGGREGATE(15,3,(TableDiv[[Agency]:[Agency]]=$E448)/(TableDiv[[Agency]:[Agency]]=$E448)*(ROW(TableDiv[Agency])-ROW(TableDiv[[#Headers],[Agency]])),COLUMNS($F$7:AA$7))))</f>
        <v>0</v>
      </c>
      <c r="AB448" s="2223" cm="1">
        <f t="array" ref="AB448">IF($D448&lt;COLUMNS($F$7:AB$7),"",INDEX(TableDiv[[GASB]:[GASB]],_xlfn.AGGREGATE(15,3,(TableDiv[[Agency]:[Agency]]=$E448)/(TableDiv[[Agency]:[Agency]]=$E448)*(ROW(TableDiv[Agency])-ROW(TableDiv[[#Headers],[Agency]])),COLUMNS($F$7:AB$7))))</f>
        <v>0</v>
      </c>
      <c r="AC448" s="2223" cm="1">
        <f t="array" ref="AC448">IF($D448&lt;COLUMNS($F$7:AC$7),"",INDEX(TableDiv[[GASB]:[GASB]],_xlfn.AGGREGATE(15,3,(TableDiv[[Agency]:[Agency]]=$E448)/(TableDiv[[Agency]:[Agency]]=$E448)*(ROW(TableDiv[Agency])-ROW(TableDiv[[#Headers],[Agency]])),COLUMNS($F$7:AC$7))))</f>
        <v>0</v>
      </c>
      <c r="AD448" s="2223" cm="1">
        <f t="array" ref="AD448">IF($D448&lt;COLUMNS($F$7:AD$7),"",INDEX(TableDiv[[GASB]:[GASB]],_xlfn.AGGREGATE(15,3,(TableDiv[[Agency]:[Agency]]=$E448)/(TableDiv[[Agency]:[Agency]]=$E448)*(ROW(TableDiv[Agency])-ROW(TableDiv[[#Headers],[Agency]])),COLUMNS($F$7:AD$7))))</f>
        <v>0</v>
      </c>
      <c r="AE448" s="2223" cm="1">
        <f t="array" ref="AE448">IF($D448&lt;COLUMNS($F$7:AE$7),"",INDEX(TableDiv[[GASB]:[GASB]],_xlfn.AGGREGATE(15,3,(TableDiv[[Agency]:[Agency]]=$E448)/(TableDiv[[Agency]:[Agency]]=$E448)*(ROW(TableDiv[Agency])-ROW(TableDiv[[#Headers],[Agency]])),COLUMNS($F$7:AE$7))))</f>
        <v>0</v>
      </c>
      <c r="AF448" s="2223" cm="1">
        <f t="array" ref="AF448">IF($D448&lt;COLUMNS($F$7:AF$7),"",INDEX(TableDiv[[GASB]:[GASB]],_xlfn.AGGREGATE(15,3,(TableDiv[[Agency]:[Agency]]=$E448)/(TableDiv[[Agency]:[Agency]]=$E448)*(ROW(TableDiv[Agency])-ROW(TableDiv[[#Headers],[Agency]])),COLUMNS($F$7:AF$7))))</f>
        <v>0</v>
      </c>
      <c r="AG448" s="2223" cm="1">
        <f t="array" ref="AG448">IF($D448&lt;COLUMNS($F$7:AG$7),"",INDEX(TableDiv[[GASB]:[GASB]],_xlfn.AGGREGATE(15,3,(TableDiv[[Agency]:[Agency]]=$E448)/(TableDiv[[Agency]:[Agency]]=$E448)*(ROW(TableDiv[Agency])-ROW(TableDiv[[#Headers],[Agency]])),COLUMNS($F$7:AG$7))))</f>
        <v>0</v>
      </c>
      <c r="AH448" s="2223" cm="1">
        <f t="array" ref="AH448">IF($D448&lt;COLUMNS($F$7:AH$7),"",INDEX(TableDiv[[GASB]:[GASB]],_xlfn.AGGREGATE(15,3,(TableDiv[[Agency]:[Agency]]=$E448)/(TableDiv[[Agency]:[Agency]]=$E448)*(ROW(TableDiv[Agency])-ROW(TableDiv[[#Headers],[Agency]])),COLUMNS($F$7:AH$7))))</f>
        <v>0</v>
      </c>
      <c r="AI448" s="2223" cm="1">
        <f t="array" ref="AI448">IF($D448&lt;COLUMNS($F$7:AI$7),"",INDEX(TableDiv[[GASB]:[GASB]],_xlfn.AGGREGATE(15,3,(TableDiv[[Agency]:[Agency]]=$E448)/(TableDiv[[Agency]:[Agency]]=$E448)*(ROW(TableDiv[Agency])-ROW(TableDiv[[#Headers],[Agency]])),COLUMNS($F$7:AI$7))))</f>
        <v>0</v>
      </c>
      <c r="AJ448" s="2223" cm="1">
        <f t="array" ref="AJ448">IF($D448&lt;COLUMNS($F$7:AJ$7),"",INDEX(TableDiv[[GASB]:[GASB]],_xlfn.AGGREGATE(15,3,(TableDiv[[Agency]:[Agency]]=$E448)/(TableDiv[[Agency]:[Agency]]=$E448)*(ROW(TableDiv[Agency])-ROW(TableDiv[[#Headers],[Agency]])),COLUMNS($F$7:AJ$7))))</f>
        <v>0</v>
      </c>
      <c r="AK448" s="2223" t="str" cm="1">
        <f t="array" ref="AK448">IF($D448&lt;COLUMNS($F$7:AK$7),"",INDEX(TableDiv[[GASB]:[GASB]],_xlfn.AGGREGATE(15,3,(TableDiv[[Agency]:[Agency]]=$E448)/(TableDiv[[Agency]:[Agency]]=$E448)*(ROW(TableDiv[Agency])-ROW(TableDiv[[#Headers],[Agency]])),COLUMNS($F$7:AK$7))))</f>
        <v/>
      </c>
      <c r="AL448" s="2223" t="str" cm="1">
        <f t="array" ref="AL448">IF($D448&lt;COLUMNS($F$7:AL$7),"",INDEX(TableDiv[[GASB]:[GASB]],_xlfn.AGGREGATE(15,3,(TableDiv[[Agency]:[Agency]]=$E448)/(TableDiv[[Agency]:[Agency]]=$E448)*(ROW(TableDiv[Agency])-ROW(TableDiv[[#Headers],[Agency]])),COLUMNS($F$7:AL$7))))</f>
        <v/>
      </c>
      <c r="AM448" s="2223" t="str" cm="1">
        <f t="array" ref="AM448">IF($D448&lt;COLUMNS($F$7:AM$7),"",INDEX(TableDiv[[GASB]:[GASB]],_xlfn.AGGREGATE(15,3,(TableDiv[[Agency]:[Agency]]=$E448)/(TableDiv[[Agency]:[Agency]]=$E448)*(ROW(TableDiv[Agency])-ROW(TableDiv[[#Headers],[Agency]])),COLUMNS($F$7:AM$7))))</f>
        <v/>
      </c>
      <c r="AN448" s="2223"/>
      <c r="AO448" s="2223"/>
      <c r="AP448" s="2223"/>
      <c r="AQ448" s="2223"/>
      <c r="AR448" s="2223"/>
      <c r="AS448" s="2223"/>
    </row>
    <row r="449" spans="1:45" ht="15" x14ac:dyDescent="0.25">
      <c r="A449" s="2219" t="s">
        <v>5221</v>
      </c>
      <c r="B449" s="2219" t="s">
        <v>6543</v>
      </c>
      <c r="C449" s="2223"/>
      <c r="D449" s="2223">
        <f>COUNTIF(TableDiv[Agency],E449)</f>
        <v>31</v>
      </c>
      <c r="E449" s="2230" t="str" cm="1">
        <f t="array" ref="E449">IFERROR(INDEX(TableDiv[Agency],MATCH(0,INDEX(COUNTIF($E$7:E448,TableDiv[Agency]),),0)),"")</f>
        <v/>
      </c>
      <c r="F449" s="2223" cm="1">
        <f t="array" ref="F449">IF($D449&lt;COLUMNS($F$7:F$7),"",INDEX(TableDiv[[GASB]:[GASB]],_xlfn.AGGREGATE(15,3,(TableDiv[[Agency]:[Agency]]=$E449)/(TableDiv[[Agency]:[Agency]]=$E449)*(ROW(TableDiv[Agency])-ROW(TableDiv[[#Headers],[Agency]])),COLUMNS($F$7:F$7))))</f>
        <v>0</v>
      </c>
      <c r="G449" s="2223" cm="1">
        <f t="array" ref="G449">IF($D449&lt;COLUMNS($F$7:G$7),"",INDEX(TableDiv[[GASB]:[GASB]],_xlfn.AGGREGATE(15,3,(TableDiv[[Agency]:[Agency]]=$E449)/(TableDiv[[Agency]:[Agency]]=$E449)*(ROW(TableDiv[Agency])-ROW(TableDiv[[#Headers],[Agency]])),COLUMNS($F$7:G$7))))</f>
        <v>0</v>
      </c>
      <c r="H449" s="2223" cm="1">
        <f t="array" ref="H449">IF($D449&lt;COLUMNS($F$7:H$7),"",INDEX(TableDiv[[GASB]:[GASB]],_xlfn.AGGREGATE(15,3,(TableDiv[[Agency]:[Agency]]=$E449)/(TableDiv[[Agency]:[Agency]]=$E449)*(ROW(TableDiv[Agency])-ROW(TableDiv[[#Headers],[Agency]])),COLUMNS($F$7:H$7))))</f>
        <v>0</v>
      </c>
      <c r="I449" s="2223" cm="1">
        <f t="array" ref="I449">IF($D449&lt;COLUMNS($F$7:I$7),"",INDEX(TableDiv[[GASB]:[GASB]],_xlfn.AGGREGATE(15,3,(TableDiv[[Agency]:[Agency]]=$E449)/(TableDiv[[Agency]:[Agency]]=$E449)*(ROW(TableDiv[Agency])-ROW(TableDiv[[#Headers],[Agency]])),COLUMNS($F$7:I$7))))</f>
        <v>0</v>
      </c>
      <c r="J449" s="2223" cm="1">
        <f t="array" ref="J449">IF($D449&lt;COLUMNS($F$7:J$7),"",INDEX(TableDiv[[GASB]:[GASB]],_xlfn.AGGREGATE(15,3,(TableDiv[[Agency]:[Agency]]=$E449)/(TableDiv[[Agency]:[Agency]]=$E449)*(ROW(TableDiv[Agency])-ROW(TableDiv[[#Headers],[Agency]])),COLUMNS($F$7:J$7))))</f>
        <v>0</v>
      </c>
      <c r="K449" s="2223" cm="1">
        <f t="array" ref="K449">IF($D449&lt;COLUMNS($F$7:K$7),"",INDEX(TableDiv[[GASB]:[GASB]],_xlfn.AGGREGATE(15,3,(TableDiv[[Agency]:[Agency]]=$E449)/(TableDiv[[Agency]:[Agency]]=$E449)*(ROW(TableDiv[Agency])-ROW(TableDiv[[#Headers],[Agency]])),COLUMNS($F$7:K$7))))</f>
        <v>0</v>
      </c>
      <c r="L449" s="2223" cm="1">
        <f t="array" ref="L449">IF($D449&lt;COLUMNS($F$7:L$7),"",INDEX(TableDiv[[GASB]:[GASB]],_xlfn.AGGREGATE(15,3,(TableDiv[[Agency]:[Agency]]=$E449)/(TableDiv[[Agency]:[Agency]]=$E449)*(ROW(TableDiv[Agency])-ROW(TableDiv[[#Headers],[Agency]])),COLUMNS($F$7:L$7))))</f>
        <v>0</v>
      </c>
      <c r="M449" s="2223" cm="1">
        <f t="array" ref="M449">IF($D449&lt;COLUMNS($F$7:M$7),"",INDEX(TableDiv[[GASB]:[GASB]],_xlfn.AGGREGATE(15,3,(TableDiv[[Agency]:[Agency]]=$E449)/(TableDiv[[Agency]:[Agency]]=$E449)*(ROW(TableDiv[Agency])-ROW(TableDiv[[#Headers],[Agency]])),COLUMNS($F$7:M$7))))</f>
        <v>0</v>
      </c>
      <c r="N449" s="2223" cm="1">
        <f t="array" ref="N449">IF($D449&lt;COLUMNS($F$7:N$7),"",INDEX(TableDiv[[GASB]:[GASB]],_xlfn.AGGREGATE(15,3,(TableDiv[[Agency]:[Agency]]=$E449)/(TableDiv[[Agency]:[Agency]]=$E449)*(ROW(TableDiv[Agency])-ROW(TableDiv[[#Headers],[Agency]])),COLUMNS($F$7:N$7))))</f>
        <v>0</v>
      </c>
      <c r="O449" s="2223" cm="1">
        <f t="array" ref="O449">IF($D449&lt;COLUMNS($F$7:O$7),"",INDEX(TableDiv[[GASB]:[GASB]],_xlfn.AGGREGATE(15,3,(TableDiv[[Agency]:[Agency]]=$E449)/(TableDiv[[Agency]:[Agency]]=$E449)*(ROW(TableDiv[Agency])-ROW(TableDiv[[#Headers],[Agency]])),COLUMNS($F$7:O$7))))</f>
        <v>0</v>
      </c>
      <c r="P449" s="2223" cm="1">
        <f t="array" ref="P449">IF($D449&lt;COLUMNS($F$7:P$7),"",INDEX(TableDiv[[GASB]:[GASB]],_xlfn.AGGREGATE(15,3,(TableDiv[[Agency]:[Agency]]=$E449)/(TableDiv[[Agency]:[Agency]]=$E449)*(ROW(TableDiv[Agency])-ROW(TableDiv[[#Headers],[Agency]])),COLUMNS($F$7:P$7))))</f>
        <v>0</v>
      </c>
      <c r="Q449" s="2223" cm="1">
        <f t="array" ref="Q449">IF($D449&lt;COLUMNS($F$7:Q$7),"",INDEX(TableDiv[[GASB]:[GASB]],_xlfn.AGGREGATE(15,3,(TableDiv[[Agency]:[Agency]]=$E449)/(TableDiv[[Agency]:[Agency]]=$E449)*(ROW(TableDiv[Agency])-ROW(TableDiv[[#Headers],[Agency]])),COLUMNS($F$7:Q$7))))</f>
        <v>0</v>
      </c>
      <c r="R449" s="2223" cm="1">
        <f t="array" ref="R449">IF($D449&lt;COLUMNS($F$7:R$7),"",INDEX(TableDiv[[GASB]:[GASB]],_xlfn.AGGREGATE(15,3,(TableDiv[[Agency]:[Agency]]=$E449)/(TableDiv[[Agency]:[Agency]]=$E449)*(ROW(TableDiv[Agency])-ROW(TableDiv[[#Headers],[Agency]])),COLUMNS($F$7:R$7))))</f>
        <v>0</v>
      </c>
      <c r="S449" s="2223" cm="1">
        <f t="array" ref="S449">IF($D449&lt;COLUMNS($F$7:S$7),"",INDEX(TableDiv[[GASB]:[GASB]],_xlfn.AGGREGATE(15,3,(TableDiv[[Agency]:[Agency]]=$E449)/(TableDiv[[Agency]:[Agency]]=$E449)*(ROW(TableDiv[Agency])-ROW(TableDiv[[#Headers],[Agency]])),COLUMNS($F$7:S$7))))</f>
        <v>0</v>
      </c>
      <c r="T449" s="2223" cm="1">
        <f t="array" ref="T449">IF($D449&lt;COLUMNS($F$7:T$7),"",INDEX(TableDiv[[GASB]:[GASB]],_xlfn.AGGREGATE(15,3,(TableDiv[[Agency]:[Agency]]=$E449)/(TableDiv[[Agency]:[Agency]]=$E449)*(ROW(TableDiv[Agency])-ROW(TableDiv[[#Headers],[Agency]])),COLUMNS($F$7:T$7))))</f>
        <v>0</v>
      </c>
      <c r="U449" s="2223" cm="1">
        <f t="array" ref="U449">IF($D449&lt;COLUMNS($F$7:U$7),"",INDEX(TableDiv[[GASB]:[GASB]],_xlfn.AGGREGATE(15,3,(TableDiv[[Agency]:[Agency]]=$E449)/(TableDiv[[Agency]:[Agency]]=$E449)*(ROW(TableDiv[Agency])-ROW(TableDiv[[#Headers],[Agency]])),COLUMNS($F$7:U$7))))</f>
        <v>0</v>
      </c>
      <c r="V449" s="2223" cm="1">
        <f t="array" ref="V449">IF($D449&lt;COLUMNS($F$7:V$7),"",INDEX(TableDiv[[GASB]:[GASB]],_xlfn.AGGREGATE(15,3,(TableDiv[[Agency]:[Agency]]=$E449)/(TableDiv[[Agency]:[Agency]]=$E449)*(ROW(TableDiv[Agency])-ROW(TableDiv[[#Headers],[Agency]])),COLUMNS($F$7:V$7))))</f>
        <v>0</v>
      </c>
      <c r="W449" s="2223" cm="1">
        <f t="array" ref="W449">IF($D449&lt;COLUMNS($F$7:W$7),"",INDEX(TableDiv[[GASB]:[GASB]],_xlfn.AGGREGATE(15,3,(TableDiv[[Agency]:[Agency]]=$E449)/(TableDiv[[Agency]:[Agency]]=$E449)*(ROW(TableDiv[Agency])-ROW(TableDiv[[#Headers],[Agency]])),COLUMNS($F$7:W$7))))</f>
        <v>0</v>
      </c>
      <c r="X449" s="2223" cm="1">
        <f t="array" ref="X449">IF($D449&lt;COLUMNS($F$7:X$7),"",INDEX(TableDiv[[GASB]:[GASB]],_xlfn.AGGREGATE(15,3,(TableDiv[[Agency]:[Agency]]=$E449)/(TableDiv[[Agency]:[Agency]]=$E449)*(ROW(TableDiv[Agency])-ROW(TableDiv[[#Headers],[Agency]])),COLUMNS($F$7:X$7))))</f>
        <v>0</v>
      </c>
      <c r="Y449" s="2223" cm="1">
        <f t="array" ref="Y449">IF($D449&lt;COLUMNS($F$7:Y$7),"",INDEX(TableDiv[[GASB]:[GASB]],_xlfn.AGGREGATE(15,3,(TableDiv[[Agency]:[Agency]]=$E449)/(TableDiv[[Agency]:[Agency]]=$E449)*(ROW(TableDiv[Agency])-ROW(TableDiv[[#Headers],[Agency]])),COLUMNS($F$7:Y$7))))</f>
        <v>0</v>
      </c>
      <c r="Z449" s="2223" cm="1">
        <f t="array" ref="Z449">IF($D449&lt;COLUMNS($F$7:Z$7),"",INDEX(TableDiv[[GASB]:[GASB]],_xlfn.AGGREGATE(15,3,(TableDiv[[Agency]:[Agency]]=$E449)/(TableDiv[[Agency]:[Agency]]=$E449)*(ROW(TableDiv[Agency])-ROW(TableDiv[[#Headers],[Agency]])),COLUMNS($F$7:Z$7))))</f>
        <v>0</v>
      </c>
      <c r="AA449" s="2223" cm="1">
        <f t="array" ref="AA449">IF($D449&lt;COLUMNS($F$7:AA$7),"",INDEX(TableDiv[[GASB]:[GASB]],_xlfn.AGGREGATE(15,3,(TableDiv[[Agency]:[Agency]]=$E449)/(TableDiv[[Agency]:[Agency]]=$E449)*(ROW(TableDiv[Agency])-ROW(TableDiv[[#Headers],[Agency]])),COLUMNS($F$7:AA$7))))</f>
        <v>0</v>
      </c>
      <c r="AB449" s="2223" cm="1">
        <f t="array" ref="AB449">IF($D449&lt;COLUMNS($F$7:AB$7),"",INDEX(TableDiv[[GASB]:[GASB]],_xlfn.AGGREGATE(15,3,(TableDiv[[Agency]:[Agency]]=$E449)/(TableDiv[[Agency]:[Agency]]=$E449)*(ROW(TableDiv[Agency])-ROW(TableDiv[[#Headers],[Agency]])),COLUMNS($F$7:AB$7))))</f>
        <v>0</v>
      </c>
      <c r="AC449" s="2223" cm="1">
        <f t="array" ref="AC449">IF($D449&lt;COLUMNS($F$7:AC$7),"",INDEX(TableDiv[[GASB]:[GASB]],_xlfn.AGGREGATE(15,3,(TableDiv[[Agency]:[Agency]]=$E449)/(TableDiv[[Agency]:[Agency]]=$E449)*(ROW(TableDiv[Agency])-ROW(TableDiv[[#Headers],[Agency]])),COLUMNS($F$7:AC$7))))</f>
        <v>0</v>
      </c>
      <c r="AD449" s="2223" cm="1">
        <f t="array" ref="AD449">IF($D449&lt;COLUMNS($F$7:AD$7),"",INDEX(TableDiv[[GASB]:[GASB]],_xlfn.AGGREGATE(15,3,(TableDiv[[Agency]:[Agency]]=$E449)/(TableDiv[[Agency]:[Agency]]=$E449)*(ROW(TableDiv[Agency])-ROW(TableDiv[[#Headers],[Agency]])),COLUMNS($F$7:AD$7))))</f>
        <v>0</v>
      </c>
      <c r="AE449" s="2223" cm="1">
        <f t="array" ref="AE449">IF($D449&lt;COLUMNS($F$7:AE$7),"",INDEX(TableDiv[[GASB]:[GASB]],_xlfn.AGGREGATE(15,3,(TableDiv[[Agency]:[Agency]]=$E449)/(TableDiv[[Agency]:[Agency]]=$E449)*(ROW(TableDiv[Agency])-ROW(TableDiv[[#Headers],[Agency]])),COLUMNS($F$7:AE$7))))</f>
        <v>0</v>
      </c>
      <c r="AF449" s="2223" cm="1">
        <f t="array" ref="AF449">IF($D449&lt;COLUMNS($F$7:AF$7),"",INDEX(TableDiv[[GASB]:[GASB]],_xlfn.AGGREGATE(15,3,(TableDiv[[Agency]:[Agency]]=$E449)/(TableDiv[[Agency]:[Agency]]=$E449)*(ROW(TableDiv[Agency])-ROW(TableDiv[[#Headers],[Agency]])),COLUMNS($F$7:AF$7))))</f>
        <v>0</v>
      </c>
      <c r="AG449" s="2223" cm="1">
        <f t="array" ref="AG449">IF($D449&lt;COLUMNS($F$7:AG$7),"",INDEX(TableDiv[[GASB]:[GASB]],_xlfn.AGGREGATE(15,3,(TableDiv[[Agency]:[Agency]]=$E449)/(TableDiv[[Agency]:[Agency]]=$E449)*(ROW(TableDiv[Agency])-ROW(TableDiv[[#Headers],[Agency]])),COLUMNS($F$7:AG$7))))</f>
        <v>0</v>
      </c>
      <c r="AH449" s="2223" cm="1">
        <f t="array" ref="AH449">IF($D449&lt;COLUMNS($F$7:AH$7),"",INDEX(TableDiv[[GASB]:[GASB]],_xlfn.AGGREGATE(15,3,(TableDiv[[Agency]:[Agency]]=$E449)/(TableDiv[[Agency]:[Agency]]=$E449)*(ROW(TableDiv[Agency])-ROW(TableDiv[[#Headers],[Agency]])),COLUMNS($F$7:AH$7))))</f>
        <v>0</v>
      </c>
      <c r="AI449" s="2223" cm="1">
        <f t="array" ref="AI449">IF($D449&lt;COLUMNS($F$7:AI$7),"",INDEX(TableDiv[[GASB]:[GASB]],_xlfn.AGGREGATE(15,3,(TableDiv[[Agency]:[Agency]]=$E449)/(TableDiv[[Agency]:[Agency]]=$E449)*(ROW(TableDiv[Agency])-ROW(TableDiv[[#Headers],[Agency]])),COLUMNS($F$7:AI$7))))</f>
        <v>0</v>
      </c>
      <c r="AJ449" s="2223" cm="1">
        <f t="array" ref="AJ449">IF($D449&lt;COLUMNS($F$7:AJ$7),"",INDEX(TableDiv[[GASB]:[GASB]],_xlfn.AGGREGATE(15,3,(TableDiv[[Agency]:[Agency]]=$E449)/(TableDiv[[Agency]:[Agency]]=$E449)*(ROW(TableDiv[Agency])-ROW(TableDiv[[#Headers],[Agency]])),COLUMNS($F$7:AJ$7))))</f>
        <v>0</v>
      </c>
      <c r="AK449" s="2223" t="str" cm="1">
        <f t="array" ref="AK449">IF($D449&lt;COLUMNS($F$7:AK$7),"",INDEX(TableDiv[[GASB]:[GASB]],_xlfn.AGGREGATE(15,3,(TableDiv[[Agency]:[Agency]]=$E449)/(TableDiv[[Agency]:[Agency]]=$E449)*(ROW(TableDiv[Agency])-ROW(TableDiv[[#Headers],[Agency]])),COLUMNS($F$7:AK$7))))</f>
        <v/>
      </c>
      <c r="AL449" s="2223" t="str" cm="1">
        <f t="array" ref="AL449">IF($D449&lt;COLUMNS($F$7:AL$7),"",INDEX(TableDiv[[GASB]:[GASB]],_xlfn.AGGREGATE(15,3,(TableDiv[[Agency]:[Agency]]=$E449)/(TableDiv[[Agency]:[Agency]]=$E449)*(ROW(TableDiv[Agency])-ROW(TableDiv[[#Headers],[Agency]])),COLUMNS($F$7:AL$7))))</f>
        <v/>
      </c>
      <c r="AM449" s="2223" t="str" cm="1">
        <f t="array" ref="AM449">IF($D449&lt;COLUMNS($F$7:AM$7),"",INDEX(TableDiv[[GASB]:[GASB]],_xlfn.AGGREGATE(15,3,(TableDiv[[Agency]:[Agency]]=$E449)/(TableDiv[[Agency]:[Agency]]=$E449)*(ROW(TableDiv[Agency])-ROW(TableDiv[[#Headers],[Agency]])),COLUMNS($F$7:AM$7))))</f>
        <v/>
      </c>
      <c r="AN449" s="2223"/>
      <c r="AO449" s="2223"/>
      <c r="AP449" s="2223"/>
      <c r="AQ449" s="2223"/>
      <c r="AR449" s="2223"/>
      <c r="AS449" s="2223"/>
    </row>
    <row r="450" spans="1:45" ht="15" x14ac:dyDescent="0.25">
      <c r="A450" s="2219" t="s">
        <v>5223</v>
      </c>
      <c r="B450" s="2219" t="s">
        <v>6543</v>
      </c>
      <c r="C450" s="2223"/>
      <c r="D450" s="2223">
        <f>COUNTIF(TableDiv[Agency],E450)</f>
        <v>31</v>
      </c>
      <c r="E450" s="2230" t="str" cm="1">
        <f t="array" ref="E450">IFERROR(INDEX(TableDiv[Agency],MATCH(0,INDEX(COUNTIF($E$7:E449,TableDiv[Agency]),),0)),"")</f>
        <v/>
      </c>
      <c r="F450" s="2223" cm="1">
        <f t="array" ref="F450">IF($D450&lt;COLUMNS($F$7:F$7),"",INDEX(TableDiv[[GASB]:[GASB]],_xlfn.AGGREGATE(15,3,(TableDiv[[Agency]:[Agency]]=$E450)/(TableDiv[[Agency]:[Agency]]=$E450)*(ROW(TableDiv[Agency])-ROW(TableDiv[[#Headers],[Agency]])),COLUMNS($F$7:F$7))))</f>
        <v>0</v>
      </c>
      <c r="G450" s="2223" cm="1">
        <f t="array" ref="G450">IF($D450&lt;COLUMNS($F$7:G$7),"",INDEX(TableDiv[[GASB]:[GASB]],_xlfn.AGGREGATE(15,3,(TableDiv[[Agency]:[Agency]]=$E450)/(TableDiv[[Agency]:[Agency]]=$E450)*(ROW(TableDiv[Agency])-ROW(TableDiv[[#Headers],[Agency]])),COLUMNS($F$7:G$7))))</f>
        <v>0</v>
      </c>
      <c r="H450" s="2223" cm="1">
        <f t="array" ref="H450">IF($D450&lt;COLUMNS($F$7:H$7),"",INDEX(TableDiv[[GASB]:[GASB]],_xlfn.AGGREGATE(15,3,(TableDiv[[Agency]:[Agency]]=$E450)/(TableDiv[[Agency]:[Agency]]=$E450)*(ROW(TableDiv[Agency])-ROW(TableDiv[[#Headers],[Agency]])),COLUMNS($F$7:H$7))))</f>
        <v>0</v>
      </c>
      <c r="I450" s="2223" cm="1">
        <f t="array" ref="I450">IF($D450&lt;COLUMNS($F$7:I$7),"",INDEX(TableDiv[[GASB]:[GASB]],_xlfn.AGGREGATE(15,3,(TableDiv[[Agency]:[Agency]]=$E450)/(TableDiv[[Agency]:[Agency]]=$E450)*(ROW(TableDiv[Agency])-ROW(TableDiv[[#Headers],[Agency]])),COLUMNS($F$7:I$7))))</f>
        <v>0</v>
      </c>
      <c r="J450" s="2223" cm="1">
        <f t="array" ref="J450">IF($D450&lt;COLUMNS($F$7:J$7),"",INDEX(TableDiv[[GASB]:[GASB]],_xlfn.AGGREGATE(15,3,(TableDiv[[Agency]:[Agency]]=$E450)/(TableDiv[[Agency]:[Agency]]=$E450)*(ROW(TableDiv[Agency])-ROW(TableDiv[[#Headers],[Agency]])),COLUMNS($F$7:J$7))))</f>
        <v>0</v>
      </c>
      <c r="K450" s="2223" cm="1">
        <f t="array" ref="K450">IF($D450&lt;COLUMNS($F$7:K$7),"",INDEX(TableDiv[[GASB]:[GASB]],_xlfn.AGGREGATE(15,3,(TableDiv[[Agency]:[Agency]]=$E450)/(TableDiv[[Agency]:[Agency]]=$E450)*(ROW(TableDiv[Agency])-ROW(TableDiv[[#Headers],[Agency]])),COLUMNS($F$7:K$7))))</f>
        <v>0</v>
      </c>
      <c r="L450" s="2223" cm="1">
        <f t="array" ref="L450">IF($D450&lt;COLUMNS($F$7:L$7),"",INDEX(TableDiv[[GASB]:[GASB]],_xlfn.AGGREGATE(15,3,(TableDiv[[Agency]:[Agency]]=$E450)/(TableDiv[[Agency]:[Agency]]=$E450)*(ROW(TableDiv[Agency])-ROW(TableDiv[[#Headers],[Agency]])),COLUMNS($F$7:L$7))))</f>
        <v>0</v>
      </c>
      <c r="M450" s="2223" cm="1">
        <f t="array" ref="M450">IF($D450&lt;COLUMNS($F$7:M$7),"",INDEX(TableDiv[[GASB]:[GASB]],_xlfn.AGGREGATE(15,3,(TableDiv[[Agency]:[Agency]]=$E450)/(TableDiv[[Agency]:[Agency]]=$E450)*(ROW(TableDiv[Agency])-ROW(TableDiv[[#Headers],[Agency]])),COLUMNS($F$7:M$7))))</f>
        <v>0</v>
      </c>
      <c r="N450" s="2223" cm="1">
        <f t="array" ref="N450">IF($D450&lt;COLUMNS($F$7:N$7),"",INDEX(TableDiv[[GASB]:[GASB]],_xlfn.AGGREGATE(15,3,(TableDiv[[Agency]:[Agency]]=$E450)/(TableDiv[[Agency]:[Agency]]=$E450)*(ROW(TableDiv[Agency])-ROW(TableDiv[[#Headers],[Agency]])),COLUMNS($F$7:N$7))))</f>
        <v>0</v>
      </c>
      <c r="O450" s="2223" cm="1">
        <f t="array" ref="O450">IF($D450&lt;COLUMNS($F$7:O$7),"",INDEX(TableDiv[[GASB]:[GASB]],_xlfn.AGGREGATE(15,3,(TableDiv[[Agency]:[Agency]]=$E450)/(TableDiv[[Agency]:[Agency]]=$E450)*(ROW(TableDiv[Agency])-ROW(TableDiv[[#Headers],[Agency]])),COLUMNS($F$7:O$7))))</f>
        <v>0</v>
      </c>
      <c r="P450" s="2223" cm="1">
        <f t="array" ref="P450">IF($D450&lt;COLUMNS($F$7:P$7),"",INDEX(TableDiv[[GASB]:[GASB]],_xlfn.AGGREGATE(15,3,(TableDiv[[Agency]:[Agency]]=$E450)/(TableDiv[[Agency]:[Agency]]=$E450)*(ROW(TableDiv[Agency])-ROW(TableDiv[[#Headers],[Agency]])),COLUMNS($F$7:P$7))))</f>
        <v>0</v>
      </c>
      <c r="Q450" s="2223" cm="1">
        <f t="array" ref="Q450">IF($D450&lt;COLUMNS($F$7:Q$7),"",INDEX(TableDiv[[GASB]:[GASB]],_xlfn.AGGREGATE(15,3,(TableDiv[[Agency]:[Agency]]=$E450)/(TableDiv[[Agency]:[Agency]]=$E450)*(ROW(TableDiv[Agency])-ROW(TableDiv[[#Headers],[Agency]])),COLUMNS($F$7:Q$7))))</f>
        <v>0</v>
      </c>
      <c r="R450" s="2223" cm="1">
        <f t="array" ref="R450">IF($D450&lt;COLUMNS($F$7:R$7),"",INDEX(TableDiv[[GASB]:[GASB]],_xlfn.AGGREGATE(15,3,(TableDiv[[Agency]:[Agency]]=$E450)/(TableDiv[[Agency]:[Agency]]=$E450)*(ROW(TableDiv[Agency])-ROW(TableDiv[[#Headers],[Agency]])),COLUMNS($F$7:R$7))))</f>
        <v>0</v>
      </c>
      <c r="S450" s="2223" cm="1">
        <f t="array" ref="S450">IF($D450&lt;COLUMNS($F$7:S$7),"",INDEX(TableDiv[[GASB]:[GASB]],_xlfn.AGGREGATE(15,3,(TableDiv[[Agency]:[Agency]]=$E450)/(TableDiv[[Agency]:[Agency]]=$E450)*(ROW(TableDiv[Agency])-ROW(TableDiv[[#Headers],[Agency]])),COLUMNS($F$7:S$7))))</f>
        <v>0</v>
      </c>
      <c r="T450" s="2223" cm="1">
        <f t="array" ref="T450">IF($D450&lt;COLUMNS($F$7:T$7),"",INDEX(TableDiv[[GASB]:[GASB]],_xlfn.AGGREGATE(15,3,(TableDiv[[Agency]:[Agency]]=$E450)/(TableDiv[[Agency]:[Agency]]=$E450)*(ROW(TableDiv[Agency])-ROW(TableDiv[[#Headers],[Agency]])),COLUMNS($F$7:T$7))))</f>
        <v>0</v>
      </c>
      <c r="U450" s="2223" cm="1">
        <f t="array" ref="U450">IF($D450&lt;COLUMNS($F$7:U$7),"",INDEX(TableDiv[[GASB]:[GASB]],_xlfn.AGGREGATE(15,3,(TableDiv[[Agency]:[Agency]]=$E450)/(TableDiv[[Agency]:[Agency]]=$E450)*(ROW(TableDiv[Agency])-ROW(TableDiv[[#Headers],[Agency]])),COLUMNS($F$7:U$7))))</f>
        <v>0</v>
      </c>
      <c r="V450" s="2223" cm="1">
        <f t="array" ref="V450">IF($D450&lt;COLUMNS($F$7:V$7),"",INDEX(TableDiv[[GASB]:[GASB]],_xlfn.AGGREGATE(15,3,(TableDiv[[Agency]:[Agency]]=$E450)/(TableDiv[[Agency]:[Agency]]=$E450)*(ROW(TableDiv[Agency])-ROW(TableDiv[[#Headers],[Agency]])),COLUMNS($F$7:V$7))))</f>
        <v>0</v>
      </c>
      <c r="W450" s="2223" cm="1">
        <f t="array" ref="W450">IF($D450&lt;COLUMNS($F$7:W$7),"",INDEX(TableDiv[[GASB]:[GASB]],_xlfn.AGGREGATE(15,3,(TableDiv[[Agency]:[Agency]]=$E450)/(TableDiv[[Agency]:[Agency]]=$E450)*(ROW(TableDiv[Agency])-ROW(TableDiv[[#Headers],[Agency]])),COLUMNS($F$7:W$7))))</f>
        <v>0</v>
      </c>
      <c r="X450" s="2223" cm="1">
        <f t="array" ref="X450">IF($D450&lt;COLUMNS($F$7:X$7),"",INDEX(TableDiv[[GASB]:[GASB]],_xlfn.AGGREGATE(15,3,(TableDiv[[Agency]:[Agency]]=$E450)/(TableDiv[[Agency]:[Agency]]=$E450)*(ROW(TableDiv[Agency])-ROW(TableDiv[[#Headers],[Agency]])),COLUMNS($F$7:X$7))))</f>
        <v>0</v>
      </c>
      <c r="Y450" s="2223" cm="1">
        <f t="array" ref="Y450">IF($D450&lt;COLUMNS($F$7:Y$7),"",INDEX(TableDiv[[GASB]:[GASB]],_xlfn.AGGREGATE(15,3,(TableDiv[[Agency]:[Agency]]=$E450)/(TableDiv[[Agency]:[Agency]]=$E450)*(ROW(TableDiv[Agency])-ROW(TableDiv[[#Headers],[Agency]])),COLUMNS($F$7:Y$7))))</f>
        <v>0</v>
      </c>
      <c r="Z450" s="2223" cm="1">
        <f t="array" ref="Z450">IF($D450&lt;COLUMNS($F$7:Z$7),"",INDEX(TableDiv[[GASB]:[GASB]],_xlfn.AGGREGATE(15,3,(TableDiv[[Agency]:[Agency]]=$E450)/(TableDiv[[Agency]:[Agency]]=$E450)*(ROW(TableDiv[Agency])-ROW(TableDiv[[#Headers],[Agency]])),COLUMNS($F$7:Z$7))))</f>
        <v>0</v>
      </c>
      <c r="AA450" s="2223" cm="1">
        <f t="array" ref="AA450">IF($D450&lt;COLUMNS($F$7:AA$7),"",INDEX(TableDiv[[GASB]:[GASB]],_xlfn.AGGREGATE(15,3,(TableDiv[[Agency]:[Agency]]=$E450)/(TableDiv[[Agency]:[Agency]]=$E450)*(ROW(TableDiv[Agency])-ROW(TableDiv[[#Headers],[Agency]])),COLUMNS($F$7:AA$7))))</f>
        <v>0</v>
      </c>
      <c r="AB450" s="2223" cm="1">
        <f t="array" ref="AB450">IF($D450&lt;COLUMNS($F$7:AB$7),"",INDEX(TableDiv[[GASB]:[GASB]],_xlfn.AGGREGATE(15,3,(TableDiv[[Agency]:[Agency]]=$E450)/(TableDiv[[Agency]:[Agency]]=$E450)*(ROW(TableDiv[Agency])-ROW(TableDiv[[#Headers],[Agency]])),COLUMNS($F$7:AB$7))))</f>
        <v>0</v>
      </c>
      <c r="AC450" s="2223" cm="1">
        <f t="array" ref="AC450">IF($D450&lt;COLUMNS($F$7:AC$7),"",INDEX(TableDiv[[GASB]:[GASB]],_xlfn.AGGREGATE(15,3,(TableDiv[[Agency]:[Agency]]=$E450)/(TableDiv[[Agency]:[Agency]]=$E450)*(ROW(TableDiv[Agency])-ROW(TableDiv[[#Headers],[Agency]])),COLUMNS($F$7:AC$7))))</f>
        <v>0</v>
      </c>
      <c r="AD450" s="2223" cm="1">
        <f t="array" ref="AD450">IF($D450&lt;COLUMNS($F$7:AD$7),"",INDEX(TableDiv[[GASB]:[GASB]],_xlfn.AGGREGATE(15,3,(TableDiv[[Agency]:[Agency]]=$E450)/(TableDiv[[Agency]:[Agency]]=$E450)*(ROW(TableDiv[Agency])-ROW(TableDiv[[#Headers],[Agency]])),COLUMNS($F$7:AD$7))))</f>
        <v>0</v>
      </c>
      <c r="AE450" s="2223" cm="1">
        <f t="array" ref="AE450">IF($D450&lt;COLUMNS($F$7:AE$7),"",INDEX(TableDiv[[GASB]:[GASB]],_xlfn.AGGREGATE(15,3,(TableDiv[[Agency]:[Agency]]=$E450)/(TableDiv[[Agency]:[Agency]]=$E450)*(ROW(TableDiv[Agency])-ROW(TableDiv[[#Headers],[Agency]])),COLUMNS($F$7:AE$7))))</f>
        <v>0</v>
      </c>
      <c r="AF450" s="2223" cm="1">
        <f t="array" ref="AF450">IF($D450&lt;COLUMNS($F$7:AF$7),"",INDEX(TableDiv[[GASB]:[GASB]],_xlfn.AGGREGATE(15,3,(TableDiv[[Agency]:[Agency]]=$E450)/(TableDiv[[Agency]:[Agency]]=$E450)*(ROW(TableDiv[Agency])-ROW(TableDiv[[#Headers],[Agency]])),COLUMNS($F$7:AF$7))))</f>
        <v>0</v>
      </c>
      <c r="AG450" s="2223" cm="1">
        <f t="array" ref="AG450">IF($D450&lt;COLUMNS($F$7:AG$7),"",INDEX(TableDiv[[GASB]:[GASB]],_xlfn.AGGREGATE(15,3,(TableDiv[[Agency]:[Agency]]=$E450)/(TableDiv[[Agency]:[Agency]]=$E450)*(ROW(TableDiv[Agency])-ROW(TableDiv[[#Headers],[Agency]])),COLUMNS($F$7:AG$7))))</f>
        <v>0</v>
      </c>
      <c r="AH450" s="2223" cm="1">
        <f t="array" ref="AH450">IF($D450&lt;COLUMNS($F$7:AH$7),"",INDEX(TableDiv[[GASB]:[GASB]],_xlfn.AGGREGATE(15,3,(TableDiv[[Agency]:[Agency]]=$E450)/(TableDiv[[Agency]:[Agency]]=$E450)*(ROW(TableDiv[Agency])-ROW(TableDiv[[#Headers],[Agency]])),COLUMNS($F$7:AH$7))))</f>
        <v>0</v>
      </c>
      <c r="AI450" s="2223" cm="1">
        <f t="array" ref="AI450">IF($D450&lt;COLUMNS($F$7:AI$7),"",INDEX(TableDiv[[GASB]:[GASB]],_xlfn.AGGREGATE(15,3,(TableDiv[[Agency]:[Agency]]=$E450)/(TableDiv[[Agency]:[Agency]]=$E450)*(ROW(TableDiv[Agency])-ROW(TableDiv[[#Headers],[Agency]])),COLUMNS($F$7:AI$7))))</f>
        <v>0</v>
      </c>
      <c r="AJ450" s="2223" cm="1">
        <f t="array" ref="AJ450">IF($D450&lt;COLUMNS($F$7:AJ$7),"",INDEX(TableDiv[[GASB]:[GASB]],_xlfn.AGGREGATE(15,3,(TableDiv[[Agency]:[Agency]]=$E450)/(TableDiv[[Agency]:[Agency]]=$E450)*(ROW(TableDiv[Agency])-ROW(TableDiv[[#Headers],[Agency]])),COLUMNS($F$7:AJ$7))))</f>
        <v>0</v>
      </c>
      <c r="AK450" s="2223" t="str" cm="1">
        <f t="array" ref="AK450">IF($D450&lt;COLUMNS($F$7:AK$7),"",INDEX(TableDiv[[GASB]:[GASB]],_xlfn.AGGREGATE(15,3,(TableDiv[[Agency]:[Agency]]=$E450)/(TableDiv[[Agency]:[Agency]]=$E450)*(ROW(TableDiv[Agency])-ROW(TableDiv[[#Headers],[Agency]])),COLUMNS($F$7:AK$7))))</f>
        <v/>
      </c>
      <c r="AL450" s="2223" t="str" cm="1">
        <f t="array" ref="AL450">IF($D450&lt;COLUMNS($F$7:AL$7),"",INDEX(TableDiv[[GASB]:[GASB]],_xlfn.AGGREGATE(15,3,(TableDiv[[Agency]:[Agency]]=$E450)/(TableDiv[[Agency]:[Agency]]=$E450)*(ROW(TableDiv[Agency])-ROW(TableDiv[[#Headers],[Agency]])),COLUMNS($F$7:AL$7))))</f>
        <v/>
      </c>
      <c r="AM450" s="2223" t="str" cm="1">
        <f t="array" ref="AM450">IF($D450&lt;COLUMNS($F$7:AM$7),"",INDEX(TableDiv[[GASB]:[GASB]],_xlfn.AGGREGATE(15,3,(TableDiv[[Agency]:[Agency]]=$E450)/(TableDiv[[Agency]:[Agency]]=$E450)*(ROW(TableDiv[Agency])-ROW(TableDiv[[#Headers],[Agency]])),COLUMNS($F$7:AM$7))))</f>
        <v/>
      </c>
      <c r="AN450" s="2223"/>
      <c r="AO450" s="2223"/>
      <c r="AP450" s="2223"/>
      <c r="AQ450" s="2223"/>
      <c r="AR450" s="2223"/>
      <c r="AS450" s="2223"/>
    </row>
    <row r="451" spans="1:45" ht="15" x14ac:dyDescent="0.25">
      <c r="A451" s="2219" t="s">
        <v>5225</v>
      </c>
      <c r="B451" s="2219" t="s">
        <v>6543</v>
      </c>
      <c r="C451" s="2223"/>
      <c r="W451" s="2223" t="str" cm="1">
        <f t="array" ref="W451">IF($D451&lt;COLUMNS($F$7:W$7),"",INDEX(TableDiv[[GASB]:[GASB]],_xlfn.AGGREGATE(15,3,(TableDiv[[Agency]:[Agency]]=$E451)/(TableDiv[[Agency]:[Agency]]=$E451)*(ROW(TableDiv[Agency])-ROW(TableDiv[[#Headers],[Agency]])),COLUMNS($F$7:W$7))))</f>
        <v/>
      </c>
      <c r="X451" s="2223" t="str" cm="1">
        <f t="array" ref="X451">IF($D451&lt;COLUMNS($F$7:X$7),"",INDEX(TableDiv[[GASB]:[GASB]],_xlfn.AGGREGATE(15,3,(TableDiv[[Agency]:[Agency]]=$E451)/(TableDiv[[Agency]:[Agency]]=$E451)*(ROW(TableDiv[Agency])-ROW(TableDiv[[#Headers],[Agency]])),COLUMNS($F$7:X$7))))</f>
        <v/>
      </c>
      <c r="Y451" s="2223" t="str" cm="1">
        <f t="array" ref="Y451">IF($D451&lt;COLUMNS($F$7:Y$7),"",INDEX(TableDiv[[GASB]:[GASB]],_xlfn.AGGREGATE(15,3,(TableDiv[[Agency]:[Agency]]=$E451)/(TableDiv[[Agency]:[Agency]]=$E451)*(ROW(TableDiv[Agency])-ROW(TableDiv[[#Headers],[Agency]])),COLUMNS($F$7:Y$7))))</f>
        <v/>
      </c>
      <c r="Z451" s="2223" t="str" cm="1">
        <f t="array" ref="Z451">IF($D451&lt;COLUMNS($F$7:Z$7),"",INDEX(TableDiv[[GASB]:[GASB]],_xlfn.AGGREGATE(15,3,(TableDiv[[Agency]:[Agency]]=$E451)/(TableDiv[[Agency]:[Agency]]=$E451)*(ROW(TableDiv[Agency])-ROW(TableDiv[[#Headers],[Agency]])),COLUMNS($F$7:Z$7))))</f>
        <v/>
      </c>
      <c r="AA451" s="2223" t="str" cm="1">
        <f t="array" ref="AA451">IF($D451&lt;COLUMNS($F$7:AA$7),"",INDEX(TableDiv[[GASB]:[GASB]],_xlfn.AGGREGATE(15,3,(TableDiv[[Agency]:[Agency]]=$E451)/(TableDiv[[Agency]:[Agency]]=$E451)*(ROW(TableDiv[Agency])-ROW(TableDiv[[#Headers],[Agency]])),COLUMNS($F$7:AA$7))))</f>
        <v/>
      </c>
      <c r="AB451" s="2223" t="str" cm="1">
        <f t="array" ref="AB451">IF($D451&lt;COLUMNS($F$7:AB$7),"",INDEX(TableDiv[[GASB]:[GASB]],_xlfn.AGGREGATE(15,3,(TableDiv[[Agency]:[Agency]]=$E451)/(TableDiv[[Agency]:[Agency]]=$E451)*(ROW(TableDiv[Agency])-ROW(TableDiv[[#Headers],[Agency]])),COLUMNS($F$7:AB$7))))</f>
        <v/>
      </c>
      <c r="AC451" s="2223" t="str" cm="1">
        <f t="array" ref="AC451">IF($D451&lt;COLUMNS($F$7:AC$7),"",INDEX(TableDiv[[GASB]:[GASB]],_xlfn.AGGREGATE(15,3,(TableDiv[[Agency]:[Agency]]=$E451)/(TableDiv[[Agency]:[Agency]]=$E451)*(ROW(TableDiv[Agency])-ROW(TableDiv[[#Headers],[Agency]])),COLUMNS($F$7:AC$7))))</f>
        <v/>
      </c>
      <c r="AD451" s="2223" t="str" cm="1">
        <f t="array" ref="AD451">IF($D451&lt;COLUMNS($F$7:AD$7),"",INDEX(TableDiv[[GASB]:[GASB]],_xlfn.AGGREGATE(15,3,(TableDiv[[Agency]:[Agency]]=$E451)/(TableDiv[[Agency]:[Agency]]=$E451)*(ROW(TableDiv[Agency])-ROW(TableDiv[[#Headers],[Agency]])),COLUMNS($F$7:AD$7))))</f>
        <v/>
      </c>
      <c r="AE451" s="2223" t="str" cm="1">
        <f t="array" ref="AE451">IF($D451&lt;COLUMNS($F$7:AE$7),"",INDEX(TableDiv[[GASB]:[GASB]],_xlfn.AGGREGATE(15,3,(TableDiv[[Agency]:[Agency]]=$E451)/(TableDiv[[Agency]:[Agency]]=$E451)*(ROW(TableDiv[Agency])-ROW(TableDiv[[#Headers],[Agency]])),COLUMNS($F$7:AE$7))))</f>
        <v/>
      </c>
      <c r="AF451" s="2223" t="str" cm="1">
        <f t="array" ref="AF451">IF($D451&lt;COLUMNS($F$7:AF$7),"",INDEX(TableDiv[[GASB]:[GASB]],_xlfn.AGGREGATE(15,3,(TableDiv[[Agency]:[Agency]]=$E451)/(TableDiv[[Agency]:[Agency]]=$E451)*(ROW(TableDiv[Agency])-ROW(TableDiv[[#Headers],[Agency]])),COLUMNS($F$7:AF$7))))</f>
        <v/>
      </c>
      <c r="AG451" s="2223" t="str" cm="1">
        <f t="array" ref="AG451">IF($D451&lt;COLUMNS($F$7:AG$7),"",INDEX(TableDiv[[GASB]:[GASB]],_xlfn.AGGREGATE(15,3,(TableDiv[[Agency]:[Agency]]=$E451)/(TableDiv[[Agency]:[Agency]]=$E451)*(ROW(TableDiv[Agency])-ROW(TableDiv[[#Headers],[Agency]])),COLUMNS($F$7:AG$7))))</f>
        <v/>
      </c>
      <c r="AH451" s="2223" t="str" cm="1">
        <f t="array" ref="AH451">IF($D451&lt;COLUMNS($F$7:AH$7),"",INDEX(TableDiv[[GASB]:[GASB]],_xlfn.AGGREGATE(15,3,(TableDiv[[Agency]:[Agency]]=$E451)/(TableDiv[[Agency]:[Agency]]=$E451)*(ROW(TableDiv[Agency])-ROW(TableDiv[[#Headers],[Agency]])),COLUMNS($F$7:AH$7))))</f>
        <v/>
      </c>
      <c r="AI451" s="2223" t="str" cm="1">
        <f t="array" ref="AI451">IF($D451&lt;COLUMNS($F$7:AI$7),"",INDEX(TableDiv[[GASB]:[GASB]],_xlfn.AGGREGATE(15,3,(TableDiv[[Agency]:[Agency]]=$E451)/(TableDiv[[Agency]:[Agency]]=$E451)*(ROW(TableDiv[Agency])-ROW(TableDiv[[#Headers],[Agency]])),COLUMNS($F$7:AI$7))))</f>
        <v/>
      </c>
      <c r="AJ451" s="2223" t="str" cm="1">
        <f t="array" ref="AJ451">IF($D451&lt;COLUMNS($F$7:AJ$7),"",INDEX(TableDiv[[GASB]:[GASB]],_xlfn.AGGREGATE(15,3,(TableDiv[[Agency]:[Agency]]=$E451)/(TableDiv[[Agency]:[Agency]]=$E451)*(ROW(TableDiv[Agency])-ROW(TableDiv[[#Headers],[Agency]])),COLUMNS($F$7:AJ$7))))</f>
        <v/>
      </c>
      <c r="AK451" s="2223" t="str" cm="1">
        <f t="array" ref="AK451">IF($D451&lt;COLUMNS($F$7:AK$7),"",INDEX(TableDiv[[GASB]:[GASB]],_xlfn.AGGREGATE(15,3,(TableDiv[[Agency]:[Agency]]=$E451)/(TableDiv[[Agency]:[Agency]]=$E451)*(ROW(TableDiv[Agency])-ROW(TableDiv[[#Headers],[Agency]])),COLUMNS($F$7:AK$7))))</f>
        <v/>
      </c>
      <c r="AL451" s="2223" t="str" cm="1">
        <f t="array" ref="AL451">IF($D451&lt;COLUMNS($F$7:AL$7),"",INDEX(TableDiv[[GASB]:[GASB]],_xlfn.AGGREGATE(15,3,(TableDiv[[Agency]:[Agency]]=$E451)/(TableDiv[[Agency]:[Agency]]=$E451)*(ROW(TableDiv[Agency])-ROW(TableDiv[[#Headers],[Agency]])),COLUMNS($F$7:AL$7))))</f>
        <v/>
      </c>
      <c r="AM451" s="2223" t="str" cm="1">
        <f t="array" ref="AM451">IF($D451&lt;COLUMNS($F$7:AM$7),"",INDEX(TableDiv[[GASB]:[GASB]],_xlfn.AGGREGATE(15,3,(TableDiv[[Agency]:[Agency]]=$E451)/(TableDiv[[Agency]:[Agency]]=$E451)*(ROW(TableDiv[Agency])-ROW(TableDiv[[#Headers],[Agency]])),COLUMNS($F$7:AM$7))))</f>
        <v/>
      </c>
      <c r="AN451" s="2223"/>
      <c r="AO451" s="2223"/>
      <c r="AP451" s="2223"/>
      <c r="AQ451" s="2223"/>
      <c r="AR451" s="2223"/>
      <c r="AS451" s="2223"/>
    </row>
    <row r="452" spans="1:45" ht="15" x14ac:dyDescent="0.25">
      <c r="A452" s="2219" t="s">
        <v>5227</v>
      </c>
      <c r="B452" s="2219" t="s">
        <v>6543</v>
      </c>
      <c r="C452" s="2223"/>
      <c r="W452" s="2223" t="str" cm="1">
        <f t="array" ref="W452">IF($D452&lt;COLUMNS($F$7:W$7),"",INDEX(TableDiv[[GASB]:[GASB]],_xlfn.AGGREGATE(15,3,(TableDiv[[Agency]:[Agency]]=$E452)/(TableDiv[[Agency]:[Agency]]=$E452)*(ROW(TableDiv[Agency])-ROW(TableDiv[[#Headers],[Agency]])),COLUMNS($F$7:W$7))))</f>
        <v/>
      </c>
      <c r="X452" s="2223" t="str" cm="1">
        <f t="array" ref="X452">IF($D452&lt;COLUMNS($F$7:X$7),"",INDEX(TableDiv[[GASB]:[GASB]],_xlfn.AGGREGATE(15,3,(TableDiv[[Agency]:[Agency]]=$E452)/(TableDiv[[Agency]:[Agency]]=$E452)*(ROW(TableDiv[Agency])-ROW(TableDiv[[#Headers],[Agency]])),COLUMNS($F$7:X$7))))</f>
        <v/>
      </c>
      <c r="Y452" s="2223" t="str" cm="1">
        <f t="array" ref="Y452">IF($D452&lt;COLUMNS($F$7:Y$7),"",INDEX(TableDiv[[GASB]:[GASB]],_xlfn.AGGREGATE(15,3,(TableDiv[[Agency]:[Agency]]=$E452)/(TableDiv[[Agency]:[Agency]]=$E452)*(ROW(TableDiv[Agency])-ROW(TableDiv[[#Headers],[Agency]])),COLUMNS($F$7:Y$7))))</f>
        <v/>
      </c>
      <c r="Z452" s="2223" t="str" cm="1">
        <f t="array" ref="Z452">IF($D452&lt;COLUMNS($F$7:Z$7),"",INDEX(TableDiv[[GASB]:[GASB]],_xlfn.AGGREGATE(15,3,(TableDiv[[Agency]:[Agency]]=$E452)/(TableDiv[[Agency]:[Agency]]=$E452)*(ROW(TableDiv[Agency])-ROW(TableDiv[[#Headers],[Agency]])),COLUMNS($F$7:Z$7))))</f>
        <v/>
      </c>
      <c r="AA452" s="2223" t="str" cm="1">
        <f t="array" ref="AA452">IF($D452&lt;COLUMNS($F$7:AA$7),"",INDEX(TableDiv[[GASB]:[GASB]],_xlfn.AGGREGATE(15,3,(TableDiv[[Agency]:[Agency]]=$E452)/(TableDiv[[Agency]:[Agency]]=$E452)*(ROW(TableDiv[Agency])-ROW(TableDiv[[#Headers],[Agency]])),COLUMNS($F$7:AA$7))))</f>
        <v/>
      </c>
      <c r="AB452" s="2223" t="str" cm="1">
        <f t="array" ref="AB452">IF($D452&lt;COLUMNS($F$7:AB$7),"",INDEX(TableDiv[[GASB]:[GASB]],_xlfn.AGGREGATE(15,3,(TableDiv[[Agency]:[Agency]]=$E452)/(TableDiv[[Agency]:[Agency]]=$E452)*(ROW(TableDiv[Agency])-ROW(TableDiv[[#Headers],[Agency]])),COLUMNS($F$7:AB$7))))</f>
        <v/>
      </c>
      <c r="AC452" s="2223" t="str" cm="1">
        <f t="array" ref="AC452">IF($D452&lt;COLUMNS($F$7:AC$7),"",INDEX(TableDiv[[GASB]:[GASB]],_xlfn.AGGREGATE(15,3,(TableDiv[[Agency]:[Agency]]=$E452)/(TableDiv[[Agency]:[Agency]]=$E452)*(ROW(TableDiv[Agency])-ROW(TableDiv[[#Headers],[Agency]])),COLUMNS($F$7:AC$7))))</f>
        <v/>
      </c>
      <c r="AD452" s="2223" t="str" cm="1">
        <f t="array" ref="AD452">IF($D452&lt;COLUMNS($F$7:AD$7),"",INDEX(TableDiv[[GASB]:[GASB]],_xlfn.AGGREGATE(15,3,(TableDiv[[Agency]:[Agency]]=$E452)/(TableDiv[[Agency]:[Agency]]=$E452)*(ROW(TableDiv[Agency])-ROW(TableDiv[[#Headers],[Agency]])),COLUMNS($F$7:AD$7))))</f>
        <v/>
      </c>
      <c r="AE452" s="2223" t="str" cm="1">
        <f t="array" ref="AE452">IF($D452&lt;COLUMNS($F$7:AE$7),"",INDEX(TableDiv[[GASB]:[GASB]],_xlfn.AGGREGATE(15,3,(TableDiv[[Agency]:[Agency]]=$E452)/(TableDiv[[Agency]:[Agency]]=$E452)*(ROW(TableDiv[Agency])-ROW(TableDiv[[#Headers],[Agency]])),COLUMNS($F$7:AE$7))))</f>
        <v/>
      </c>
      <c r="AF452" s="2223" t="str" cm="1">
        <f t="array" ref="AF452">IF($D452&lt;COLUMNS($F$7:AF$7),"",INDEX(TableDiv[[GASB]:[GASB]],_xlfn.AGGREGATE(15,3,(TableDiv[[Agency]:[Agency]]=$E452)/(TableDiv[[Agency]:[Agency]]=$E452)*(ROW(TableDiv[Agency])-ROW(TableDiv[[#Headers],[Agency]])),COLUMNS($F$7:AF$7))))</f>
        <v/>
      </c>
      <c r="AG452" s="2223" t="str" cm="1">
        <f t="array" ref="AG452">IF($D452&lt;COLUMNS($F$7:AG$7),"",INDEX(TableDiv[[GASB]:[GASB]],_xlfn.AGGREGATE(15,3,(TableDiv[[Agency]:[Agency]]=$E452)/(TableDiv[[Agency]:[Agency]]=$E452)*(ROW(TableDiv[Agency])-ROW(TableDiv[[#Headers],[Agency]])),COLUMNS($F$7:AG$7))))</f>
        <v/>
      </c>
      <c r="AH452" s="2223" t="str" cm="1">
        <f t="array" ref="AH452">IF($D452&lt;COLUMNS($F$7:AH$7),"",INDEX(TableDiv[[GASB]:[GASB]],_xlfn.AGGREGATE(15,3,(TableDiv[[Agency]:[Agency]]=$E452)/(TableDiv[[Agency]:[Agency]]=$E452)*(ROW(TableDiv[Agency])-ROW(TableDiv[[#Headers],[Agency]])),COLUMNS($F$7:AH$7))))</f>
        <v/>
      </c>
      <c r="AI452" s="2223" t="str" cm="1">
        <f t="array" ref="AI452">IF($D452&lt;COLUMNS($F$7:AI$7),"",INDEX(TableDiv[[GASB]:[GASB]],_xlfn.AGGREGATE(15,3,(TableDiv[[Agency]:[Agency]]=$E452)/(TableDiv[[Agency]:[Agency]]=$E452)*(ROW(TableDiv[Agency])-ROW(TableDiv[[#Headers],[Agency]])),COLUMNS($F$7:AI$7))))</f>
        <v/>
      </c>
      <c r="AJ452" s="2223" t="str" cm="1">
        <f t="array" ref="AJ452">IF($D452&lt;COLUMNS($F$7:AJ$7),"",INDEX(TableDiv[[GASB]:[GASB]],_xlfn.AGGREGATE(15,3,(TableDiv[[Agency]:[Agency]]=$E452)/(TableDiv[[Agency]:[Agency]]=$E452)*(ROW(TableDiv[Agency])-ROW(TableDiv[[#Headers],[Agency]])),COLUMNS($F$7:AJ$7))))</f>
        <v/>
      </c>
      <c r="AK452" s="2223" t="str" cm="1">
        <f t="array" ref="AK452">IF($D452&lt;COLUMNS($F$7:AK$7),"",INDEX(TableDiv[[GASB]:[GASB]],_xlfn.AGGREGATE(15,3,(TableDiv[[Agency]:[Agency]]=$E452)/(TableDiv[[Agency]:[Agency]]=$E452)*(ROW(TableDiv[Agency])-ROW(TableDiv[[#Headers],[Agency]])),COLUMNS($F$7:AK$7))))</f>
        <v/>
      </c>
      <c r="AL452" s="2223" t="str" cm="1">
        <f t="array" ref="AL452">IF($D452&lt;COLUMNS($F$7:AL$7),"",INDEX(TableDiv[[GASB]:[GASB]],_xlfn.AGGREGATE(15,3,(TableDiv[[Agency]:[Agency]]=$E452)/(TableDiv[[Agency]:[Agency]]=$E452)*(ROW(TableDiv[Agency])-ROW(TableDiv[[#Headers],[Agency]])),COLUMNS($F$7:AL$7))))</f>
        <v/>
      </c>
      <c r="AM452" s="2223" t="str" cm="1">
        <f t="array" ref="AM452">IF($D452&lt;COLUMNS($F$7:AM$7),"",INDEX(TableDiv[[GASB]:[GASB]],_xlfn.AGGREGATE(15,3,(TableDiv[[Agency]:[Agency]]=$E452)/(TableDiv[[Agency]:[Agency]]=$E452)*(ROW(TableDiv[Agency])-ROW(TableDiv[[#Headers],[Agency]])),COLUMNS($F$7:AM$7))))</f>
        <v/>
      </c>
      <c r="AN452" s="2223"/>
      <c r="AO452" s="2223"/>
      <c r="AP452" s="2223"/>
      <c r="AQ452" s="2223"/>
      <c r="AR452" s="2223"/>
      <c r="AS452" s="2223"/>
    </row>
    <row r="453" spans="1:45" ht="15" x14ac:dyDescent="0.25">
      <c r="A453" s="2219" t="s">
        <v>5229</v>
      </c>
      <c r="B453" s="2219" t="s">
        <v>6543</v>
      </c>
      <c r="C453" s="2223"/>
      <c r="W453" s="2223" t="str" cm="1">
        <f t="array" ref="W453">IF($D453&lt;COLUMNS($F$7:W$7),"",INDEX(TableDiv[[GASB]:[GASB]],_xlfn.AGGREGATE(15,3,(TableDiv[[Agency]:[Agency]]=$E453)/(TableDiv[[Agency]:[Agency]]=$E453)*(ROW(TableDiv[Agency])-ROW(TableDiv[[#Headers],[Agency]])),COLUMNS($F$7:W$7))))</f>
        <v/>
      </c>
      <c r="X453" s="2223" t="str" cm="1">
        <f t="array" ref="X453">IF($D453&lt;COLUMNS($F$7:X$7),"",INDEX(TableDiv[[GASB]:[GASB]],_xlfn.AGGREGATE(15,3,(TableDiv[[Agency]:[Agency]]=$E453)/(TableDiv[[Agency]:[Agency]]=$E453)*(ROW(TableDiv[Agency])-ROW(TableDiv[[#Headers],[Agency]])),COLUMNS($F$7:X$7))))</f>
        <v/>
      </c>
      <c r="Y453" s="2223" t="str" cm="1">
        <f t="array" ref="Y453">IF($D453&lt;COLUMNS($F$7:Y$7),"",INDEX(TableDiv[[GASB]:[GASB]],_xlfn.AGGREGATE(15,3,(TableDiv[[Agency]:[Agency]]=$E453)/(TableDiv[[Agency]:[Agency]]=$E453)*(ROW(TableDiv[Agency])-ROW(TableDiv[[#Headers],[Agency]])),COLUMNS($F$7:Y$7))))</f>
        <v/>
      </c>
      <c r="Z453" s="2223" t="str" cm="1">
        <f t="array" ref="Z453">IF($D453&lt;COLUMNS($F$7:Z$7),"",INDEX(TableDiv[[GASB]:[GASB]],_xlfn.AGGREGATE(15,3,(TableDiv[[Agency]:[Agency]]=$E453)/(TableDiv[[Agency]:[Agency]]=$E453)*(ROW(TableDiv[Agency])-ROW(TableDiv[[#Headers],[Agency]])),COLUMNS($F$7:Z$7))))</f>
        <v/>
      </c>
      <c r="AA453" s="2223" t="str" cm="1">
        <f t="array" ref="AA453">IF($D453&lt;COLUMNS($F$7:AA$7),"",INDEX(TableDiv[[GASB]:[GASB]],_xlfn.AGGREGATE(15,3,(TableDiv[[Agency]:[Agency]]=$E453)/(TableDiv[[Agency]:[Agency]]=$E453)*(ROW(TableDiv[Agency])-ROW(TableDiv[[#Headers],[Agency]])),COLUMNS($F$7:AA$7))))</f>
        <v/>
      </c>
      <c r="AB453" s="2223" t="str" cm="1">
        <f t="array" ref="AB453">IF($D453&lt;COLUMNS($F$7:AB$7),"",INDEX(TableDiv[[GASB]:[GASB]],_xlfn.AGGREGATE(15,3,(TableDiv[[Agency]:[Agency]]=$E453)/(TableDiv[[Agency]:[Agency]]=$E453)*(ROW(TableDiv[Agency])-ROW(TableDiv[[#Headers],[Agency]])),COLUMNS($F$7:AB$7))))</f>
        <v/>
      </c>
      <c r="AC453" s="2223" t="str" cm="1">
        <f t="array" ref="AC453">IF($D453&lt;COLUMNS($F$7:AC$7),"",INDEX(TableDiv[[GASB]:[GASB]],_xlfn.AGGREGATE(15,3,(TableDiv[[Agency]:[Agency]]=$E453)/(TableDiv[[Agency]:[Agency]]=$E453)*(ROW(TableDiv[Agency])-ROW(TableDiv[[#Headers],[Agency]])),COLUMNS($F$7:AC$7))))</f>
        <v/>
      </c>
      <c r="AD453" s="2223" t="str" cm="1">
        <f t="array" ref="AD453">IF($D453&lt;COLUMNS($F$7:AD$7),"",INDEX(TableDiv[[GASB]:[GASB]],_xlfn.AGGREGATE(15,3,(TableDiv[[Agency]:[Agency]]=$E453)/(TableDiv[[Agency]:[Agency]]=$E453)*(ROW(TableDiv[Agency])-ROW(TableDiv[[#Headers],[Agency]])),COLUMNS($F$7:AD$7))))</f>
        <v/>
      </c>
      <c r="AE453" s="2223" t="str" cm="1">
        <f t="array" ref="AE453">IF($D453&lt;COLUMNS($F$7:AE$7),"",INDEX(TableDiv[[GASB]:[GASB]],_xlfn.AGGREGATE(15,3,(TableDiv[[Agency]:[Agency]]=$E453)/(TableDiv[[Agency]:[Agency]]=$E453)*(ROW(TableDiv[Agency])-ROW(TableDiv[[#Headers],[Agency]])),COLUMNS($F$7:AE$7))))</f>
        <v/>
      </c>
      <c r="AF453" s="2223" t="str" cm="1">
        <f t="array" ref="AF453">IF($D453&lt;COLUMNS($F$7:AF$7),"",INDEX(TableDiv[[GASB]:[GASB]],_xlfn.AGGREGATE(15,3,(TableDiv[[Agency]:[Agency]]=$E453)/(TableDiv[[Agency]:[Agency]]=$E453)*(ROW(TableDiv[Agency])-ROW(TableDiv[[#Headers],[Agency]])),COLUMNS($F$7:AF$7))))</f>
        <v/>
      </c>
      <c r="AG453" s="2223" t="str" cm="1">
        <f t="array" ref="AG453">IF($D453&lt;COLUMNS($F$7:AG$7),"",INDEX(TableDiv[[GASB]:[GASB]],_xlfn.AGGREGATE(15,3,(TableDiv[[Agency]:[Agency]]=$E453)/(TableDiv[[Agency]:[Agency]]=$E453)*(ROW(TableDiv[Agency])-ROW(TableDiv[[#Headers],[Agency]])),COLUMNS($F$7:AG$7))))</f>
        <v/>
      </c>
      <c r="AH453" s="2223" t="str" cm="1">
        <f t="array" ref="AH453">IF($D453&lt;COLUMNS($F$7:AH$7),"",INDEX(TableDiv[[GASB]:[GASB]],_xlfn.AGGREGATE(15,3,(TableDiv[[Agency]:[Agency]]=$E453)/(TableDiv[[Agency]:[Agency]]=$E453)*(ROW(TableDiv[Agency])-ROW(TableDiv[[#Headers],[Agency]])),COLUMNS($F$7:AH$7))))</f>
        <v/>
      </c>
      <c r="AI453" s="2223" t="str" cm="1">
        <f t="array" ref="AI453">IF($D453&lt;COLUMNS($F$7:AI$7),"",INDEX(TableDiv[[GASB]:[GASB]],_xlfn.AGGREGATE(15,3,(TableDiv[[Agency]:[Agency]]=$E453)/(TableDiv[[Agency]:[Agency]]=$E453)*(ROW(TableDiv[Agency])-ROW(TableDiv[[#Headers],[Agency]])),COLUMNS($F$7:AI$7))))</f>
        <v/>
      </c>
      <c r="AJ453" s="2223" t="str" cm="1">
        <f t="array" ref="AJ453">IF($D453&lt;COLUMNS($F$7:AJ$7),"",INDEX(TableDiv[[GASB]:[GASB]],_xlfn.AGGREGATE(15,3,(TableDiv[[Agency]:[Agency]]=$E453)/(TableDiv[[Agency]:[Agency]]=$E453)*(ROW(TableDiv[Agency])-ROW(TableDiv[[#Headers],[Agency]])),COLUMNS($F$7:AJ$7))))</f>
        <v/>
      </c>
      <c r="AK453" s="2223" t="str" cm="1">
        <f t="array" ref="AK453">IF($D453&lt;COLUMNS($F$7:AK$7),"",INDEX(TableDiv[[GASB]:[GASB]],_xlfn.AGGREGATE(15,3,(TableDiv[[Agency]:[Agency]]=$E453)/(TableDiv[[Agency]:[Agency]]=$E453)*(ROW(TableDiv[Agency])-ROW(TableDiv[[#Headers],[Agency]])),COLUMNS($F$7:AK$7))))</f>
        <v/>
      </c>
      <c r="AL453" s="2223" t="str" cm="1">
        <f t="array" ref="AL453">IF($D453&lt;COLUMNS($F$7:AL$7),"",INDEX(TableDiv[[GASB]:[GASB]],_xlfn.AGGREGATE(15,3,(TableDiv[[Agency]:[Agency]]=$E453)/(TableDiv[[Agency]:[Agency]]=$E453)*(ROW(TableDiv[Agency])-ROW(TableDiv[[#Headers],[Agency]])),COLUMNS($F$7:AL$7))))</f>
        <v/>
      </c>
      <c r="AM453" s="2223" t="str" cm="1">
        <f t="array" ref="AM453">IF($D453&lt;COLUMNS($F$7:AM$7),"",INDEX(TableDiv[[GASB]:[GASB]],_xlfn.AGGREGATE(15,3,(TableDiv[[Agency]:[Agency]]=$E453)/(TableDiv[[Agency]:[Agency]]=$E453)*(ROW(TableDiv[Agency])-ROW(TableDiv[[#Headers],[Agency]])),COLUMNS($F$7:AM$7))))</f>
        <v/>
      </c>
      <c r="AN453" s="2223"/>
      <c r="AO453" s="2223"/>
      <c r="AP453" s="2223"/>
      <c r="AQ453" s="2223"/>
      <c r="AR453" s="2223"/>
      <c r="AS453" s="2223"/>
    </row>
    <row r="454" spans="1:45" ht="15" x14ac:dyDescent="0.25">
      <c r="A454" s="2219" t="s">
        <v>5231</v>
      </c>
      <c r="B454" s="2219" t="s">
        <v>6543</v>
      </c>
      <c r="C454" s="2223"/>
      <c r="W454" s="2223" t="str" cm="1">
        <f t="array" ref="W454">IF($D454&lt;COLUMNS($F$7:W$7),"",INDEX(TableDiv[[GASB]:[GASB]],_xlfn.AGGREGATE(15,3,(TableDiv[[Agency]:[Agency]]=$E454)/(TableDiv[[Agency]:[Agency]]=$E454)*(ROW(TableDiv[Agency])-ROW(TableDiv[[#Headers],[Agency]])),COLUMNS($F$7:W$7))))</f>
        <v/>
      </c>
      <c r="X454" s="2223" t="str" cm="1">
        <f t="array" ref="X454">IF($D454&lt;COLUMNS($F$7:X$7),"",INDEX(TableDiv[[GASB]:[GASB]],_xlfn.AGGREGATE(15,3,(TableDiv[[Agency]:[Agency]]=$E454)/(TableDiv[[Agency]:[Agency]]=$E454)*(ROW(TableDiv[Agency])-ROW(TableDiv[[#Headers],[Agency]])),COLUMNS($F$7:X$7))))</f>
        <v/>
      </c>
      <c r="Y454" s="2223" t="str" cm="1">
        <f t="array" ref="Y454">IF($D454&lt;COLUMNS($F$7:Y$7),"",INDEX(TableDiv[[GASB]:[GASB]],_xlfn.AGGREGATE(15,3,(TableDiv[[Agency]:[Agency]]=$E454)/(TableDiv[[Agency]:[Agency]]=$E454)*(ROW(TableDiv[Agency])-ROW(TableDiv[[#Headers],[Agency]])),COLUMNS($F$7:Y$7))))</f>
        <v/>
      </c>
      <c r="Z454" s="2223" t="str" cm="1">
        <f t="array" ref="Z454">IF($D454&lt;COLUMNS($F$7:Z$7),"",INDEX(TableDiv[[GASB]:[GASB]],_xlfn.AGGREGATE(15,3,(TableDiv[[Agency]:[Agency]]=$E454)/(TableDiv[[Agency]:[Agency]]=$E454)*(ROW(TableDiv[Agency])-ROW(TableDiv[[#Headers],[Agency]])),COLUMNS($F$7:Z$7))))</f>
        <v/>
      </c>
      <c r="AA454" s="2223" t="str" cm="1">
        <f t="array" ref="AA454">IF($D454&lt;COLUMNS($F$7:AA$7),"",INDEX(TableDiv[[GASB]:[GASB]],_xlfn.AGGREGATE(15,3,(TableDiv[[Agency]:[Agency]]=$E454)/(TableDiv[[Agency]:[Agency]]=$E454)*(ROW(TableDiv[Agency])-ROW(TableDiv[[#Headers],[Agency]])),COLUMNS($F$7:AA$7))))</f>
        <v/>
      </c>
      <c r="AB454" s="2223" t="str" cm="1">
        <f t="array" ref="AB454">IF($D454&lt;COLUMNS($F$7:AB$7),"",INDEX(TableDiv[[GASB]:[GASB]],_xlfn.AGGREGATE(15,3,(TableDiv[[Agency]:[Agency]]=$E454)/(TableDiv[[Agency]:[Agency]]=$E454)*(ROW(TableDiv[Agency])-ROW(TableDiv[[#Headers],[Agency]])),COLUMNS($F$7:AB$7))))</f>
        <v/>
      </c>
      <c r="AC454" s="2223" t="str" cm="1">
        <f t="array" ref="AC454">IF($D454&lt;COLUMNS($F$7:AC$7),"",INDEX(TableDiv[[GASB]:[GASB]],_xlfn.AGGREGATE(15,3,(TableDiv[[Agency]:[Agency]]=$E454)/(TableDiv[[Agency]:[Agency]]=$E454)*(ROW(TableDiv[Agency])-ROW(TableDiv[[#Headers],[Agency]])),COLUMNS($F$7:AC$7))))</f>
        <v/>
      </c>
      <c r="AD454" s="2223" t="str" cm="1">
        <f t="array" ref="AD454">IF($D454&lt;COLUMNS($F$7:AD$7),"",INDEX(TableDiv[[GASB]:[GASB]],_xlfn.AGGREGATE(15,3,(TableDiv[[Agency]:[Agency]]=$E454)/(TableDiv[[Agency]:[Agency]]=$E454)*(ROW(TableDiv[Agency])-ROW(TableDiv[[#Headers],[Agency]])),COLUMNS($F$7:AD$7))))</f>
        <v/>
      </c>
      <c r="AE454" s="2223" t="str" cm="1">
        <f t="array" ref="AE454">IF($D454&lt;COLUMNS($F$7:AE$7),"",INDEX(TableDiv[[GASB]:[GASB]],_xlfn.AGGREGATE(15,3,(TableDiv[[Agency]:[Agency]]=$E454)/(TableDiv[[Agency]:[Agency]]=$E454)*(ROW(TableDiv[Agency])-ROW(TableDiv[[#Headers],[Agency]])),COLUMNS($F$7:AE$7))))</f>
        <v/>
      </c>
      <c r="AF454" s="2223" t="str" cm="1">
        <f t="array" ref="AF454">IF($D454&lt;COLUMNS($F$7:AF$7),"",INDEX(TableDiv[[GASB]:[GASB]],_xlfn.AGGREGATE(15,3,(TableDiv[[Agency]:[Agency]]=$E454)/(TableDiv[[Agency]:[Agency]]=$E454)*(ROW(TableDiv[Agency])-ROW(TableDiv[[#Headers],[Agency]])),COLUMNS($F$7:AF$7))))</f>
        <v/>
      </c>
      <c r="AG454" s="2223" t="str" cm="1">
        <f t="array" ref="AG454">IF($D454&lt;COLUMNS($F$7:AG$7),"",INDEX(TableDiv[[GASB]:[GASB]],_xlfn.AGGREGATE(15,3,(TableDiv[[Agency]:[Agency]]=$E454)/(TableDiv[[Agency]:[Agency]]=$E454)*(ROW(TableDiv[Agency])-ROW(TableDiv[[#Headers],[Agency]])),COLUMNS($F$7:AG$7))))</f>
        <v/>
      </c>
      <c r="AH454" s="2223" t="str" cm="1">
        <f t="array" ref="AH454">IF($D454&lt;COLUMNS($F$7:AH$7),"",INDEX(TableDiv[[GASB]:[GASB]],_xlfn.AGGREGATE(15,3,(TableDiv[[Agency]:[Agency]]=$E454)/(TableDiv[[Agency]:[Agency]]=$E454)*(ROW(TableDiv[Agency])-ROW(TableDiv[[#Headers],[Agency]])),COLUMNS($F$7:AH$7))))</f>
        <v/>
      </c>
      <c r="AI454" s="2223" t="str" cm="1">
        <f t="array" ref="AI454">IF($D454&lt;COLUMNS($F$7:AI$7),"",INDEX(TableDiv[[GASB]:[GASB]],_xlfn.AGGREGATE(15,3,(TableDiv[[Agency]:[Agency]]=$E454)/(TableDiv[[Agency]:[Agency]]=$E454)*(ROW(TableDiv[Agency])-ROW(TableDiv[[#Headers],[Agency]])),COLUMNS($F$7:AI$7))))</f>
        <v/>
      </c>
      <c r="AJ454" s="2223" t="str" cm="1">
        <f t="array" ref="AJ454">IF($D454&lt;COLUMNS($F$7:AJ$7),"",INDEX(TableDiv[[GASB]:[GASB]],_xlfn.AGGREGATE(15,3,(TableDiv[[Agency]:[Agency]]=$E454)/(TableDiv[[Agency]:[Agency]]=$E454)*(ROW(TableDiv[Agency])-ROW(TableDiv[[#Headers],[Agency]])),COLUMNS($F$7:AJ$7))))</f>
        <v/>
      </c>
      <c r="AK454" s="2223" t="str" cm="1">
        <f t="array" ref="AK454">IF($D454&lt;COLUMNS($F$7:AK$7),"",INDEX(TableDiv[[GASB]:[GASB]],_xlfn.AGGREGATE(15,3,(TableDiv[[Agency]:[Agency]]=$E454)/(TableDiv[[Agency]:[Agency]]=$E454)*(ROW(TableDiv[Agency])-ROW(TableDiv[[#Headers],[Agency]])),COLUMNS($F$7:AK$7))))</f>
        <v/>
      </c>
      <c r="AL454" s="2223" t="str" cm="1">
        <f t="array" ref="AL454">IF($D454&lt;COLUMNS($F$7:AL$7),"",INDEX(TableDiv[[GASB]:[GASB]],_xlfn.AGGREGATE(15,3,(TableDiv[[Agency]:[Agency]]=$E454)/(TableDiv[[Agency]:[Agency]]=$E454)*(ROW(TableDiv[Agency])-ROW(TableDiv[[#Headers],[Agency]])),COLUMNS($F$7:AL$7))))</f>
        <v/>
      </c>
      <c r="AM454" s="2223" t="str" cm="1">
        <f t="array" ref="AM454">IF($D454&lt;COLUMNS($F$7:AM$7),"",INDEX(TableDiv[[GASB]:[GASB]],_xlfn.AGGREGATE(15,3,(TableDiv[[Agency]:[Agency]]=$E454)/(TableDiv[[Agency]:[Agency]]=$E454)*(ROW(TableDiv[Agency])-ROW(TableDiv[[#Headers],[Agency]])),COLUMNS($F$7:AM$7))))</f>
        <v/>
      </c>
      <c r="AN454" s="2223"/>
      <c r="AO454" s="2223"/>
      <c r="AP454" s="2223"/>
      <c r="AQ454" s="2223"/>
      <c r="AR454" s="2223"/>
      <c r="AS454" s="2223"/>
    </row>
    <row r="455" spans="1:45" ht="15" x14ac:dyDescent="0.25">
      <c r="A455" s="2219" t="s">
        <v>5233</v>
      </c>
      <c r="B455" s="2219" t="s">
        <v>6543</v>
      </c>
      <c r="C455" s="2223"/>
      <c r="W455" s="2223" t="str" cm="1">
        <f t="array" ref="W455">IF($D455&lt;COLUMNS($F$7:W$7),"",INDEX(TableDiv[[GASB]:[GASB]],_xlfn.AGGREGATE(15,3,(TableDiv[[Agency]:[Agency]]=$E455)/(TableDiv[[Agency]:[Agency]]=$E455)*(ROW(TableDiv[Agency])-ROW(TableDiv[[#Headers],[Agency]])),COLUMNS($F$7:W$7))))</f>
        <v/>
      </c>
      <c r="X455" s="2223" t="str" cm="1">
        <f t="array" ref="X455">IF($D455&lt;COLUMNS($F$7:X$7),"",INDEX(TableDiv[[GASB]:[GASB]],_xlfn.AGGREGATE(15,3,(TableDiv[[Agency]:[Agency]]=$E455)/(TableDiv[[Agency]:[Agency]]=$E455)*(ROW(TableDiv[Agency])-ROW(TableDiv[[#Headers],[Agency]])),COLUMNS($F$7:X$7))))</f>
        <v/>
      </c>
      <c r="Y455" s="2223" t="str" cm="1">
        <f t="array" ref="Y455">IF($D455&lt;COLUMNS($F$7:Y$7),"",INDEX(TableDiv[[GASB]:[GASB]],_xlfn.AGGREGATE(15,3,(TableDiv[[Agency]:[Agency]]=$E455)/(TableDiv[[Agency]:[Agency]]=$E455)*(ROW(TableDiv[Agency])-ROW(TableDiv[[#Headers],[Agency]])),COLUMNS($F$7:Y$7))))</f>
        <v/>
      </c>
      <c r="Z455" s="2223" t="str" cm="1">
        <f t="array" ref="Z455">IF($D455&lt;COLUMNS($F$7:Z$7),"",INDEX(TableDiv[[GASB]:[GASB]],_xlfn.AGGREGATE(15,3,(TableDiv[[Agency]:[Agency]]=$E455)/(TableDiv[[Agency]:[Agency]]=$E455)*(ROW(TableDiv[Agency])-ROW(TableDiv[[#Headers],[Agency]])),COLUMNS($F$7:Z$7))))</f>
        <v/>
      </c>
      <c r="AA455" s="2223" t="str" cm="1">
        <f t="array" ref="AA455">IF($D455&lt;COLUMNS($F$7:AA$7),"",INDEX(TableDiv[[GASB]:[GASB]],_xlfn.AGGREGATE(15,3,(TableDiv[[Agency]:[Agency]]=$E455)/(TableDiv[[Agency]:[Agency]]=$E455)*(ROW(TableDiv[Agency])-ROW(TableDiv[[#Headers],[Agency]])),COLUMNS($F$7:AA$7))))</f>
        <v/>
      </c>
      <c r="AB455" s="2223" t="str" cm="1">
        <f t="array" ref="AB455">IF($D455&lt;COLUMNS($F$7:AB$7),"",INDEX(TableDiv[[GASB]:[GASB]],_xlfn.AGGREGATE(15,3,(TableDiv[[Agency]:[Agency]]=$E455)/(TableDiv[[Agency]:[Agency]]=$E455)*(ROW(TableDiv[Agency])-ROW(TableDiv[[#Headers],[Agency]])),COLUMNS($F$7:AB$7))))</f>
        <v/>
      </c>
      <c r="AC455" s="2223" t="str" cm="1">
        <f t="array" ref="AC455">IF($D455&lt;COLUMNS($F$7:AC$7),"",INDEX(TableDiv[[GASB]:[GASB]],_xlfn.AGGREGATE(15,3,(TableDiv[[Agency]:[Agency]]=$E455)/(TableDiv[[Agency]:[Agency]]=$E455)*(ROW(TableDiv[Agency])-ROW(TableDiv[[#Headers],[Agency]])),COLUMNS($F$7:AC$7))))</f>
        <v/>
      </c>
      <c r="AD455" s="2223" t="str" cm="1">
        <f t="array" ref="AD455">IF($D455&lt;COLUMNS($F$7:AD$7),"",INDEX(TableDiv[[GASB]:[GASB]],_xlfn.AGGREGATE(15,3,(TableDiv[[Agency]:[Agency]]=$E455)/(TableDiv[[Agency]:[Agency]]=$E455)*(ROW(TableDiv[Agency])-ROW(TableDiv[[#Headers],[Agency]])),COLUMNS($F$7:AD$7))))</f>
        <v/>
      </c>
      <c r="AE455" s="2223" t="str" cm="1">
        <f t="array" ref="AE455">IF($D455&lt;COLUMNS($F$7:AE$7),"",INDEX(TableDiv[[GASB]:[GASB]],_xlfn.AGGREGATE(15,3,(TableDiv[[Agency]:[Agency]]=$E455)/(TableDiv[[Agency]:[Agency]]=$E455)*(ROW(TableDiv[Agency])-ROW(TableDiv[[#Headers],[Agency]])),COLUMNS($F$7:AE$7))))</f>
        <v/>
      </c>
      <c r="AF455" s="2223" t="str" cm="1">
        <f t="array" ref="AF455">IF($D455&lt;COLUMNS($F$7:AF$7),"",INDEX(TableDiv[[GASB]:[GASB]],_xlfn.AGGREGATE(15,3,(TableDiv[[Agency]:[Agency]]=$E455)/(TableDiv[[Agency]:[Agency]]=$E455)*(ROW(TableDiv[Agency])-ROW(TableDiv[[#Headers],[Agency]])),COLUMNS($F$7:AF$7))))</f>
        <v/>
      </c>
      <c r="AG455" s="2223" t="str" cm="1">
        <f t="array" ref="AG455">IF($D455&lt;COLUMNS($F$7:AG$7),"",INDEX(TableDiv[[GASB]:[GASB]],_xlfn.AGGREGATE(15,3,(TableDiv[[Agency]:[Agency]]=$E455)/(TableDiv[[Agency]:[Agency]]=$E455)*(ROW(TableDiv[Agency])-ROW(TableDiv[[#Headers],[Agency]])),COLUMNS($F$7:AG$7))))</f>
        <v/>
      </c>
      <c r="AH455" s="2223" t="str" cm="1">
        <f t="array" ref="AH455">IF($D455&lt;COLUMNS($F$7:AH$7),"",INDEX(TableDiv[[GASB]:[GASB]],_xlfn.AGGREGATE(15,3,(TableDiv[[Agency]:[Agency]]=$E455)/(TableDiv[[Agency]:[Agency]]=$E455)*(ROW(TableDiv[Agency])-ROW(TableDiv[[#Headers],[Agency]])),COLUMNS($F$7:AH$7))))</f>
        <v/>
      </c>
      <c r="AI455" s="2223" t="str" cm="1">
        <f t="array" ref="AI455">IF($D455&lt;COLUMNS($F$7:AI$7),"",INDEX(TableDiv[[GASB]:[GASB]],_xlfn.AGGREGATE(15,3,(TableDiv[[Agency]:[Agency]]=$E455)/(TableDiv[[Agency]:[Agency]]=$E455)*(ROW(TableDiv[Agency])-ROW(TableDiv[[#Headers],[Agency]])),COLUMNS($F$7:AI$7))))</f>
        <v/>
      </c>
      <c r="AJ455" s="2223" t="str" cm="1">
        <f t="array" ref="AJ455">IF($D455&lt;COLUMNS($F$7:AJ$7),"",INDEX(TableDiv[[GASB]:[GASB]],_xlfn.AGGREGATE(15,3,(TableDiv[[Agency]:[Agency]]=$E455)/(TableDiv[[Agency]:[Agency]]=$E455)*(ROW(TableDiv[Agency])-ROW(TableDiv[[#Headers],[Agency]])),COLUMNS($F$7:AJ$7))))</f>
        <v/>
      </c>
      <c r="AK455" s="2223" t="str" cm="1">
        <f t="array" ref="AK455">IF($D455&lt;COLUMNS($F$7:AK$7),"",INDEX(TableDiv[[GASB]:[GASB]],_xlfn.AGGREGATE(15,3,(TableDiv[[Agency]:[Agency]]=$E455)/(TableDiv[[Agency]:[Agency]]=$E455)*(ROW(TableDiv[Agency])-ROW(TableDiv[[#Headers],[Agency]])),COLUMNS($F$7:AK$7))))</f>
        <v/>
      </c>
      <c r="AL455" s="2223" t="str" cm="1">
        <f t="array" ref="AL455">IF($D455&lt;COLUMNS($F$7:AL$7),"",INDEX(TableDiv[[GASB]:[GASB]],_xlfn.AGGREGATE(15,3,(TableDiv[[Agency]:[Agency]]=$E455)/(TableDiv[[Agency]:[Agency]]=$E455)*(ROW(TableDiv[Agency])-ROW(TableDiv[[#Headers],[Agency]])),COLUMNS($F$7:AL$7))))</f>
        <v/>
      </c>
      <c r="AM455" s="2223" t="str" cm="1">
        <f t="array" ref="AM455">IF($D455&lt;COLUMNS($F$7:AM$7),"",INDEX(TableDiv[[GASB]:[GASB]],_xlfn.AGGREGATE(15,3,(TableDiv[[Agency]:[Agency]]=$E455)/(TableDiv[[Agency]:[Agency]]=$E455)*(ROW(TableDiv[Agency])-ROW(TableDiv[[#Headers],[Agency]])),COLUMNS($F$7:AM$7))))</f>
        <v/>
      </c>
      <c r="AN455" s="2223"/>
      <c r="AO455" s="2223"/>
      <c r="AP455" s="2223"/>
      <c r="AQ455" s="2223"/>
      <c r="AR455" s="2223"/>
      <c r="AS455" s="2223"/>
    </row>
    <row r="456" spans="1:45" ht="15" x14ac:dyDescent="0.25">
      <c r="A456" s="2219" t="s">
        <v>5235</v>
      </c>
      <c r="B456" s="2219" t="s">
        <v>6543</v>
      </c>
      <c r="C456" s="2223"/>
      <c r="W456" s="2223" t="str" cm="1">
        <f t="array" ref="W456">IF($D456&lt;COLUMNS($F$7:W$7),"",INDEX(TableDiv[[GASB]:[GASB]],_xlfn.AGGREGATE(15,3,(TableDiv[[Agency]:[Agency]]=$E456)/(TableDiv[[Agency]:[Agency]]=$E456)*(ROW(TableDiv[Agency])-ROW(TableDiv[[#Headers],[Agency]])),COLUMNS($F$7:W$7))))</f>
        <v/>
      </c>
      <c r="X456" s="2223" t="str" cm="1">
        <f t="array" ref="X456">IF($D456&lt;COLUMNS($F$7:X$7),"",INDEX(TableDiv[[GASB]:[GASB]],_xlfn.AGGREGATE(15,3,(TableDiv[[Agency]:[Agency]]=$E456)/(TableDiv[[Agency]:[Agency]]=$E456)*(ROW(TableDiv[Agency])-ROW(TableDiv[[#Headers],[Agency]])),COLUMNS($F$7:X$7))))</f>
        <v/>
      </c>
      <c r="Y456" s="2223" t="str" cm="1">
        <f t="array" ref="Y456">IF($D456&lt;COLUMNS($F$7:Y$7),"",INDEX(TableDiv[[GASB]:[GASB]],_xlfn.AGGREGATE(15,3,(TableDiv[[Agency]:[Agency]]=$E456)/(TableDiv[[Agency]:[Agency]]=$E456)*(ROW(TableDiv[Agency])-ROW(TableDiv[[#Headers],[Agency]])),COLUMNS($F$7:Y$7))))</f>
        <v/>
      </c>
      <c r="Z456" s="2223" t="str" cm="1">
        <f t="array" ref="Z456">IF($D456&lt;COLUMNS($F$7:Z$7),"",INDEX(TableDiv[[GASB]:[GASB]],_xlfn.AGGREGATE(15,3,(TableDiv[[Agency]:[Agency]]=$E456)/(TableDiv[[Agency]:[Agency]]=$E456)*(ROW(TableDiv[Agency])-ROW(TableDiv[[#Headers],[Agency]])),COLUMNS($F$7:Z$7))))</f>
        <v/>
      </c>
      <c r="AA456" s="2223" t="str" cm="1">
        <f t="array" ref="AA456">IF($D456&lt;COLUMNS($F$7:AA$7),"",INDEX(TableDiv[[GASB]:[GASB]],_xlfn.AGGREGATE(15,3,(TableDiv[[Agency]:[Agency]]=$E456)/(TableDiv[[Agency]:[Agency]]=$E456)*(ROW(TableDiv[Agency])-ROW(TableDiv[[#Headers],[Agency]])),COLUMNS($F$7:AA$7))))</f>
        <v/>
      </c>
      <c r="AB456" s="2223" t="str" cm="1">
        <f t="array" ref="AB456">IF($D456&lt;COLUMNS($F$7:AB$7),"",INDEX(TableDiv[[GASB]:[GASB]],_xlfn.AGGREGATE(15,3,(TableDiv[[Agency]:[Agency]]=$E456)/(TableDiv[[Agency]:[Agency]]=$E456)*(ROW(TableDiv[Agency])-ROW(TableDiv[[#Headers],[Agency]])),COLUMNS($F$7:AB$7))))</f>
        <v/>
      </c>
      <c r="AC456" s="2223" t="str" cm="1">
        <f t="array" ref="AC456">IF($D456&lt;COLUMNS($F$7:AC$7),"",INDEX(TableDiv[[GASB]:[GASB]],_xlfn.AGGREGATE(15,3,(TableDiv[[Agency]:[Agency]]=$E456)/(TableDiv[[Agency]:[Agency]]=$E456)*(ROW(TableDiv[Agency])-ROW(TableDiv[[#Headers],[Agency]])),COLUMNS($F$7:AC$7))))</f>
        <v/>
      </c>
      <c r="AD456" s="2223" t="str" cm="1">
        <f t="array" ref="AD456">IF($D456&lt;COLUMNS($F$7:AD$7),"",INDEX(TableDiv[[GASB]:[GASB]],_xlfn.AGGREGATE(15,3,(TableDiv[[Agency]:[Agency]]=$E456)/(TableDiv[[Agency]:[Agency]]=$E456)*(ROW(TableDiv[Agency])-ROW(TableDiv[[#Headers],[Agency]])),COLUMNS($F$7:AD$7))))</f>
        <v/>
      </c>
      <c r="AE456" s="2223" t="str" cm="1">
        <f t="array" ref="AE456">IF($D456&lt;COLUMNS($F$7:AE$7),"",INDEX(TableDiv[[GASB]:[GASB]],_xlfn.AGGREGATE(15,3,(TableDiv[[Agency]:[Agency]]=$E456)/(TableDiv[[Agency]:[Agency]]=$E456)*(ROW(TableDiv[Agency])-ROW(TableDiv[[#Headers],[Agency]])),COLUMNS($F$7:AE$7))))</f>
        <v/>
      </c>
      <c r="AF456" s="2223" t="str" cm="1">
        <f t="array" ref="AF456">IF($D456&lt;COLUMNS($F$7:AF$7),"",INDEX(TableDiv[[GASB]:[GASB]],_xlfn.AGGREGATE(15,3,(TableDiv[[Agency]:[Agency]]=$E456)/(TableDiv[[Agency]:[Agency]]=$E456)*(ROW(TableDiv[Agency])-ROW(TableDiv[[#Headers],[Agency]])),COLUMNS($F$7:AF$7))))</f>
        <v/>
      </c>
      <c r="AG456" s="2223" t="str" cm="1">
        <f t="array" ref="AG456">IF($D456&lt;COLUMNS($F$7:AG$7),"",INDEX(TableDiv[[GASB]:[GASB]],_xlfn.AGGREGATE(15,3,(TableDiv[[Agency]:[Agency]]=$E456)/(TableDiv[[Agency]:[Agency]]=$E456)*(ROW(TableDiv[Agency])-ROW(TableDiv[[#Headers],[Agency]])),COLUMNS($F$7:AG$7))))</f>
        <v/>
      </c>
      <c r="AH456" s="2223" t="str" cm="1">
        <f t="array" ref="AH456">IF($D456&lt;COLUMNS($F$7:AH$7),"",INDEX(TableDiv[[GASB]:[GASB]],_xlfn.AGGREGATE(15,3,(TableDiv[[Agency]:[Agency]]=$E456)/(TableDiv[[Agency]:[Agency]]=$E456)*(ROW(TableDiv[Agency])-ROW(TableDiv[[#Headers],[Agency]])),COLUMNS($F$7:AH$7))))</f>
        <v/>
      </c>
      <c r="AI456" s="2223" t="str" cm="1">
        <f t="array" ref="AI456">IF($D456&lt;COLUMNS($F$7:AI$7),"",INDEX(TableDiv[[GASB]:[GASB]],_xlfn.AGGREGATE(15,3,(TableDiv[[Agency]:[Agency]]=$E456)/(TableDiv[[Agency]:[Agency]]=$E456)*(ROW(TableDiv[Agency])-ROW(TableDiv[[#Headers],[Agency]])),COLUMNS($F$7:AI$7))))</f>
        <v/>
      </c>
      <c r="AJ456" s="2223" t="str" cm="1">
        <f t="array" ref="AJ456">IF($D456&lt;COLUMNS($F$7:AJ$7),"",INDEX(TableDiv[[GASB]:[GASB]],_xlfn.AGGREGATE(15,3,(TableDiv[[Agency]:[Agency]]=$E456)/(TableDiv[[Agency]:[Agency]]=$E456)*(ROW(TableDiv[Agency])-ROW(TableDiv[[#Headers],[Agency]])),COLUMNS($F$7:AJ$7))))</f>
        <v/>
      </c>
      <c r="AK456" s="2223" t="str" cm="1">
        <f t="array" ref="AK456">IF($D456&lt;COLUMNS($F$7:AK$7),"",INDEX(TableDiv[[GASB]:[GASB]],_xlfn.AGGREGATE(15,3,(TableDiv[[Agency]:[Agency]]=$E456)/(TableDiv[[Agency]:[Agency]]=$E456)*(ROW(TableDiv[Agency])-ROW(TableDiv[[#Headers],[Agency]])),COLUMNS($F$7:AK$7))))</f>
        <v/>
      </c>
      <c r="AL456" s="2223" t="str" cm="1">
        <f t="array" ref="AL456">IF($D456&lt;COLUMNS($F$7:AL$7),"",INDEX(TableDiv[[GASB]:[GASB]],_xlfn.AGGREGATE(15,3,(TableDiv[[Agency]:[Agency]]=$E456)/(TableDiv[[Agency]:[Agency]]=$E456)*(ROW(TableDiv[Agency])-ROW(TableDiv[[#Headers],[Agency]])),COLUMNS($F$7:AL$7))))</f>
        <v/>
      </c>
      <c r="AM456" s="2223" t="str" cm="1">
        <f t="array" ref="AM456">IF($D456&lt;COLUMNS($F$7:AM$7),"",INDEX(TableDiv[[GASB]:[GASB]],_xlfn.AGGREGATE(15,3,(TableDiv[[Agency]:[Agency]]=$E456)/(TableDiv[[Agency]:[Agency]]=$E456)*(ROW(TableDiv[Agency])-ROW(TableDiv[[#Headers],[Agency]])),COLUMNS($F$7:AM$7))))</f>
        <v/>
      </c>
      <c r="AN456" s="2223"/>
      <c r="AO456" s="2223"/>
      <c r="AP456" s="2223"/>
      <c r="AQ456" s="2223"/>
      <c r="AR456" s="2223"/>
      <c r="AS456" s="2223"/>
    </row>
    <row r="457" spans="1:45" ht="15" x14ac:dyDescent="0.25">
      <c r="A457" s="2219" t="s">
        <v>5237</v>
      </c>
      <c r="B457" s="2219" t="s">
        <v>6543</v>
      </c>
      <c r="C457" s="2223"/>
      <c r="W457" s="2223" t="str" cm="1">
        <f t="array" ref="W457">IF($D457&lt;COLUMNS($F$7:W$7),"",INDEX(TableDiv[[GASB]:[GASB]],_xlfn.AGGREGATE(15,3,(TableDiv[[Agency]:[Agency]]=$E457)/(TableDiv[[Agency]:[Agency]]=$E457)*(ROW(TableDiv[Agency])-ROW(TableDiv[[#Headers],[Agency]])),COLUMNS($F$7:W$7))))</f>
        <v/>
      </c>
      <c r="X457" s="2223" t="str" cm="1">
        <f t="array" ref="X457">IF($D457&lt;COLUMNS($F$7:X$7),"",INDEX(TableDiv[[GASB]:[GASB]],_xlfn.AGGREGATE(15,3,(TableDiv[[Agency]:[Agency]]=$E457)/(TableDiv[[Agency]:[Agency]]=$E457)*(ROW(TableDiv[Agency])-ROW(TableDiv[[#Headers],[Agency]])),COLUMNS($F$7:X$7))))</f>
        <v/>
      </c>
      <c r="Y457" s="2223" t="str" cm="1">
        <f t="array" ref="Y457">IF($D457&lt;COLUMNS($F$7:Y$7),"",INDEX(TableDiv[[GASB]:[GASB]],_xlfn.AGGREGATE(15,3,(TableDiv[[Agency]:[Agency]]=$E457)/(TableDiv[[Agency]:[Agency]]=$E457)*(ROW(TableDiv[Agency])-ROW(TableDiv[[#Headers],[Agency]])),COLUMNS($F$7:Y$7))))</f>
        <v/>
      </c>
      <c r="Z457" s="2223" t="str" cm="1">
        <f t="array" ref="Z457">IF($D457&lt;COLUMNS($F$7:Z$7),"",INDEX(TableDiv[[GASB]:[GASB]],_xlfn.AGGREGATE(15,3,(TableDiv[[Agency]:[Agency]]=$E457)/(TableDiv[[Agency]:[Agency]]=$E457)*(ROW(TableDiv[Agency])-ROW(TableDiv[[#Headers],[Agency]])),COLUMNS($F$7:Z$7))))</f>
        <v/>
      </c>
      <c r="AA457" s="2223" t="str" cm="1">
        <f t="array" ref="AA457">IF($D457&lt;COLUMNS($F$7:AA$7),"",INDEX(TableDiv[[GASB]:[GASB]],_xlfn.AGGREGATE(15,3,(TableDiv[[Agency]:[Agency]]=$E457)/(TableDiv[[Agency]:[Agency]]=$E457)*(ROW(TableDiv[Agency])-ROW(TableDiv[[#Headers],[Agency]])),COLUMNS($F$7:AA$7))))</f>
        <v/>
      </c>
      <c r="AB457" s="2223" t="str" cm="1">
        <f t="array" ref="AB457">IF($D457&lt;COLUMNS($F$7:AB$7),"",INDEX(TableDiv[[GASB]:[GASB]],_xlfn.AGGREGATE(15,3,(TableDiv[[Agency]:[Agency]]=$E457)/(TableDiv[[Agency]:[Agency]]=$E457)*(ROW(TableDiv[Agency])-ROW(TableDiv[[#Headers],[Agency]])),COLUMNS($F$7:AB$7))))</f>
        <v/>
      </c>
      <c r="AC457" s="2223" t="str" cm="1">
        <f t="array" ref="AC457">IF($D457&lt;COLUMNS($F$7:AC$7),"",INDEX(TableDiv[[GASB]:[GASB]],_xlfn.AGGREGATE(15,3,(TableDiv[[Agency]:[Agency]]=$E457)/(TableDiv[[Agency]:[Agency]]=$E457)*(ROW(TableDiv[Agency])-ROW(TableDiv[[#Headers],[Agency]])),COLUMNS($F$7:AC$7))))</f>
        <v/>
      </c>
      <c r="AD457" s="2223" t="str" cm="1">
        <f t="array" ref="AD457">IF($D457&lt;COLUMNS($F$7:AD$7),"",INDEX(TableDiv[[GASB]:[GASB]],_xlfn.AGGREGATE(15,3,(TableDiv[[Agency]:[Agency]]=$E457)/(TableDiv[[Agency]:[Agency]]=$E457)*(ROW(TableDiv[Agency])-ROW(TableDiv[[#Headers],[Agency]])),COLUMNS($F$7:AD$7))))</f>
        <v/>
      </c>
      <c r="AE457" s="2223" t="str" cm="1">
        <f t="array" ref="AE457">IF($D457&lt;COLUMNS($F$7:AE$7),"",INDEX(TableDiv[[GASB]:[GASB]],_xlfn.AGGREGATE(15,3,(TableDiv[[Agency]:[Agency]]=$E457)/(TableDiv[[Agency]:[Agency]]=$E457)*(ROW(TableDiv[Agency])-ROW(TableDiv[[#Headers],[Agency]])),COLUMNS($F$7:AE$7))))</f>
        <v/>
      </c>
      <c r="AF457" s="2223" t="str" cm="1">
        <f t="array" ref="AF457">IF($D457&lt;COLUMNS($F$7:AF$7),"",INDEX(TableDiv[[GASB]:[GASB]],_xlfn.AGGREGATE(15,3,(TableDiv[[Agency]:[Agency]]=$E457)/(TableDiv[[Agency]:[Agency]]=$E457)*(ROW(TableDiv[Agency])-ROW(TableDiv[[#Headers],[Agency]])),COLUMNS($F$7:AF$7))))</f>
        <v/>
      </c>
      <c r="AG457" s="2223" t="str" cm="1">
        <f t="array" ref="AG457">IF($D457&lt;COLUMNS($F$7:AG$7),"",INDEX(TableDiv[[GASB]:[GASB]],_xlfn.AGGREGATE(15,3,(TableDiv[[Agency]:[Agency]]=$E457)/(TableDiv[[Agency]:[Agency]]=$E457)*(ROW(TableDiv[Agency])-ROW(TableDiv[[#Headers],[Agency]])),COLUMNS($F$7:AG$7))))</f>
        <v/>
      </c>
      <c r="AH457" s="2223" t="str" cm="1">
        <f t="array" ref="AH457">IF($D457&lt;COLUMNS($F$7:AH$7),"",INDEX(TableDiv[[GASB]:[GASB]],_xlfn.AGGREGATE(15,3,(TableDiv[[Agency]:[Agency]]=$E457)/(TableDiv[[Agency]:[Agency]]=$E457)*(ROW(TableDiv[Agency])-ROW(TableDiv[[#Headers],[Agency]])),COLUMNS($F$7:AH$7))))</f>
        <v/>
      </c>
      <c r="AI457" s="2223" t="str" cm="1">
        <f t="array" ref="AI457">IF($D457&lt;COLUMNS($F$7:AI$7),"",INDEX(TableDiv[[GASB]:[GASB]],_xlfn.AGGREGATE(15,3,(TableDiv[[Agency]:[Agency]]=$E457)/(TableDiv[[Agency]:[Agency]]=$E457)*(ROW(TableDiv[Agency])-ROW(TableDiv[[#Headers],[Agency]])),COLUMNS($F$7:AI$7))))</f>
        <v/>
      </c>
      <c r="AJ457" s="2223" t="str" cm="1">
        <f t="array" ref="AJ457">IF($D457&lt;COLUMNS($F$7:AJ$7),"",INDEX(TableDiv[[GASB]:[GASB]],_xlfn.AGGREGATE(15,3,(TableDiv[[Agency]:[Agency]]=$E457)/(TableDiv[[Agency]:[Agency]]=$E457)*(ROW(TableDiv[Agency])-ROW(TableDiv[[#Headers],[Agency]])),COLUMNS($F$7:AJ$7))))</f>
        <v/>
      </c>
      <c r="AK457" s="2223" t="str" cm="1">
        <f t="array" ref="AK457">IF($D457&lt;COLUMNS($F$7:AK$7),"",INDEX(TableDiv[[GASB]:[GASB]],_xlfn.AGGREGATE(15,3,(TableDiv[[Agency]:[Agency]]=$E457)/(TableDiv[[Agency]:[Agency]]=$E457)*(ROW(TableDiv[Agency])-ROW(TableDiv[[#Headers],[Agency]])),COLUMNS($F$7:AK$7))))</f>
        <v/>
      </c>
      <c r="AL457" s="2223" t="str" cm="1">
        <f t="array" ref="AL457">IF($D457&lt;COLUMNS($F$7:AL$7),"",INDEX(TableDiv[[GASB]:[GASB]],_xlfn.AGGREGATE(15,3,(TableDiv[[Agency]:[Agency]]=$E457)/(TableDiv[[Agency]:[Agency]]=$E457)*(ROW(TableDiv[Agency])-ROW(TableDiv[[#Headers],[Agency]])),COLUMNS($F$7:AL$7))))</f>
        <v/>
      </c>
      <c r="AM457" s="2223" t="str" cm="1">
        <f t="array" ref="AM457">IF($D457&lt;COLUMNS($F$7:AM$7),"",INDEX(TableDiv[[GASB]:[GASB]],_xlfn.AGGREGATE(15,3,(TableDiv[[Agency]:[Agency]]=$E457)/(TableDiv[[Agency]:[Agency]]=$E457)*(ROW(TableDiv[Agency])-ROW(TableDiv[[#Headers],[Agency]])),COLUMNS($F$7:AM$7))))</f>
        <v/>
      </c>
      <c r="AN457" s="2223"/>
      <c r="AO457" s="2223"/>
      <c r="AP457" s="2223"/>
      <c r="AQ457" s="2223"/>
      <c r="AR457" s="2223"/>
      <c r="AS457" s="2223"/>
    </row>
    <row r="458" spans="1:45" ht="15" x14ac:dyDescent="0.25">
      <c r="A458" s="2219" t="s">
        <v>5239</v>
      </c>
      <c r="B458" s="2219" t="s">
        <v>6543</v>
      </c>
      <c r="C458" s="2223"/>
      <c r="W458" s="2223" t="str" cm="1">
        <f t="array" ref="W458">IF($D458&lt;COLUMNS($F$7:W$7),"",INDEX(TableDiv[[GASB]:[GASB]],_xlfn.AGGREGATE(15,3,(TableDiv[[Agency]:[Agency]]=$E458)/(TableDiv[[Agency]:[Agency]]=$E458)*(ROW(TableDiv[Agency])-ROW(TableDiv[[#Headers],[Agency]])),COLUMNS($F$7:W$7))))</f>
        <v/>
      </c>
      <c r="X458" s="2223" t="str" cm="1">
        <f t="array" ref="X458">IF($D458&lt;COLUMNS($F$7:X$7),"",INDEX(TableDiv[[GASB]:[GASB]],_xlfn.AGGREGATE(15,3,(TableDiv[[Agency]:[Agency]]=$E458)/(TableDiv[[Agency]:[Agency]]=$E458)*(ROW(TableDiv[Agency])-ROW(TableDiv[[#Headers],[Agency]])),COLUMNS($F$7:X$7))))</f>
        <v/>
      </c>
      <c r="Y458" s="2223" t="str" cm="1">
        <f t="array" ref="Y458">IF($D458&lt;COLUMNS($F$7:Y$7),"",INDEX(TableDiv[[GASB]:[GASB]],_xlfn.AGGREGATE(15,3,(TableDiv[[Agency]:[Agency]]=$E458)/(TableDiv[[Agency]:[Agency]]=$E458)*(ROW(TableDiv[Agency])-ROW(TableDiv[[#Headers],[Agency]])),COLUMNS($F$7:Y$7))))</f>
        <v/>
      </c>
      <c r="Z458" s="2223" t="str" cm="1">
        <f t="array" ref="Z458">IF($D458&lt;COLUMNS($F$7:Z$7),"",INDEX(TableDiv[[GASB]:[GASB]],_xlfn.AGGREGATE(15,3,(TableDiv[[Agency]:[Agency]]=$E458)/(TableDiv[[Agency]:[Agency]]=$E458)*(ROW(TableDiv[Agency])-ROW(TableDiv[[#Headers],[Agency]])),COLUMNS($F$7:Z$7))))</f>
        <v/>
      </c>
      <c r="AA458" s="2223" t="str" cm="1">
        <f t="array" ref="AA458">IF($D458&lt;COLUMNS($F$7:AA$7),"",INDEX(TableDiv[[GASB]:[GASB]],_xlfn.AGGREGATE(15,3,(TableDiv[[Agency]:[Agency]]=$E458)/(TableDiv[[Agency]:[Agency]]=$E458)*(ROW(TableDiv[Agency])-ROW(TableDiv[[#Headers],[Agency]])),COLUMNS($F$7:AA$7))))</f>
        <v/>
      </c>
      <c r="AB458" s="2223" t="str" cm="1">
        <f t="array" ref="AB458">IF($D458&lt;COLUMNS($F$7:AB$7),"",INDEX(TableDiv[[GASB]:[GASB]],_xlfn.AGGREGATE(15,3,(TableDiv[[Agency]:[Agency]]=$E458)/(TableDiv[[Agency]:[Agency]]=$E458)*(ROW(TableDiv[Agency])-ROW(TableDiv[[#Headers],[Agency]])),COLUMNS($F$7:AB$7))))</f>
        <v/>
      </c>
      <c r="AC458" s="2223" t="str" cm="1">
        <f t="array" ref="AC458">IF($D458&lt;COLUMNS($F$7:AC$7),"",INDEX(TableDiv[[GASB]:[GASB]],_xlfn.AGGREGATE(15,3,(TableDiv[[Agency]:[Agency]]=$E458)/(TableDiv[[Agency]:[Agency]]=$E458)*(ROW(TableDiv[Agency])-ROW(TableDiv[[#Headers],[Agency]])),COLUMNS($F$7:AC$7))))</f>
        <v/>
      </c>
      <c r="AD458" s="2223" t="str" cm="1">
        <f t="array" ref="AD458">IF($D458&lt;COLUMNS($F$7:AD$7),"",INDEX(TableDiv[[GASB]:[GASB]],_xlfn.AGGREGATE(15,3,(TableDiv[[Agency]:[Agency]]=$E458)/(TableDiv[[Agency]:[Agency]]=$E458)*(ROW(TableDiv[Agency])-ROW(TableDiv[[#Headers],[Agency]])),COLUMNS($F$7:AD$7))))</f>
        <v/>
      </c>
      <c r="AE458" s="2223" t="str" cm="1">
        <f t="array" ref="AE458">IF($D458&lt;COLUMNS($F$7:AE$7),"",INDEX(TableDiv[[GASB]:[GASB]],_xlfn.AGGREGATE(15,3,(TableDiv[[Agency]:[Agency]]=$E458)/(TableDiv[[Agency]:[Agency]]=$E458)*(ROW(TableDiv[Agency])-ROW(TableDiv[[#Headers],[Agency]])),COLUMNS($F$7:AE$7))))</f>
        <v/>
      </c>
      <c r="AF458" s="2223" t="str" cm="1">
        <f t="array" ref="AF458">IF($D458&lt;COLUMNS($F$7:AF$7),"",INDEX(TableDiv[[GASB]:[GASB]],_xlfn.AGGREGATE(15,3,(TableDiv[[Agency]:[Agency]]=$E458)/(TableDiv[[Agency]:[Agency]]=$E458)*(ROW(TableDiv[Agency])-ROW(TableDiv[[#Headers],[Agency]])),COLUMNS($F$7:AF$7))))</f>
        <v/>
      </c>
      <c r="AG458" s="2223" t="str" cm="1">
        <f t="array" ref="AG458">IF($D458&lt;COLUMNS($F$7:AG$7),"",INDEX(TableDiv[[GASB]:[GASB]],_xlfn.AGGREGATE(15,3,(TableDiv[[Agency]:[Agency]]=$E458)/(TableDiv[[Agency]:[Agency]]=$E458)*(ROW(TableDiv[Agency])-ROW(TableDiv[[#Headers],[Agency]])),COLUMNS($F$7:AG$7))))</f>
        <v/>
      </c>
      <c r="AH458" s="2223" t="str" cm="1">
        <f t="array" ref="AH458">IF($D458&lt;COLUMNS($F$7:AH$7),"",INDEX(TableDiv[[GASB]:[GASB]],_xlfn.AGGREGATE(15,3,(TableDiv[[Agency]:[Agency]]=$E458)/(TableDiv[[Agency]:[Agency]]=$E458)*(ROW(TableDiv[Agency])-ROW(TableDiv[[#Headers],[Agency]])),COLUMNS($F$7:AH$7))))</f>
        <v/>
      </c>
      <c r="AI458" s="2223" t="str" cm="1">
        <f t="array" ref="AI458">IF($D458&lt;COLUMNS($F$7:AI$7),"",INDEX(TableDiv[[GASB]:[GASB]],_xlfn.AGGREGATE(15,3,(TableDiv[[Agency]:[Agency]]=$E458)/(TableDiv[[Agency]:[Agency]]=$E458)*(ROW(TableDiv[Agency])-ROW(TableDiv[[#Headers],[Agency]])),COLUMNS($F$7:AI$7))))</f>
        <v/>
      </c>
      <c r="AJ458" s="2223" t="str" cm="1">
        <f t="array" ref="AJ458">IF($D458&lt;COLUMNS($F$7:AJ$7),"",INDEX(TableDiv[[GASB]:[GASB]],_xlfn.AGGREGATE(15,3,(TableDiv[[Agency]:[Agency]]=$E458)/(TableDiv[[Agency]:[Agency]]=$E458)*(ROW(TableDiv[Agency])-ROW(TableDiv[[#Headers],[Agency]])),COLUMNS($F$7:AJ$7))))</f>
        <v/>
      </c>
      <c r="AK458" s="2223" t="str" cm="1">
        <f t="array" ref="AK458">IF($D458&lt;COLUMNS($F$7:AK$7),"",INDEX(TableDiv[[GASB]:[GASB]],_xlfn.AGGREGATE(15,3,(TableDiv[[Agency]:[Agency]]=$E458)/(TableDiv[[Agency]:[Agency]]=$E458)*(ROW(TableDiv[Agency])-ROW(TableDiv[[#Headers],[Agency]])),COLUMNS($F$7:AK$7))))</f>
        <v/>
      </c>
      <c r="AL458" s="2223" t="str" cm="1">
        <f t="array" ref="AL458">IF($D458&lt;COLUMNS($F$7:AL$7),"",INDEX(TableDiv[[GASB]:[GASB]],_xlfn.AGGREGATE(15,3,(TableDiv[[Agency]:[Agency]]=$E458)/(TableDiv[[Agency]:[Agency]]=$E458)*(ROW(TableDiv[Agency])-ROW(TableDiv[[#Headers],[Agency]])),COLUMNS($F$7:AL$7))))</f>
        <v/>
      </c>
      <c r="AM458" s="2223" t="str" cm="1">
        <f t="array" ref="AM458">IF($D458&lt;COLUMNS($F$7:AM$7),"",INDEX(TableDiv[[GASB]:[GASB]],_xlfn.AGGREGATE(15,3,(TableDiv[[Agency]:[Agency]]=$E458)/(TableDiv[[Agency]:[Agency]]=$E458)*(ROW(TableDiv[Agency])-ROW(TableDiv[[#Headers],[Agency]])),COLUMNS($F$7:AM$7))))</f>
        <v/>
      </c>
      <c r="AN458" s="2223"/>
      <c r="AO458" s="2223"/>
      <c r="AP458" s="2223"/>
      <c r="AQ458" s="2223"/>
      <c r="AR458" s="2223"/>
      <c r="AS458" s="2223"/>
    </row>
    <row r="459" spans="1:45" ht="15" x14ac:dyDescent="0.25">
      <c r="A459" s="2219" t="s">
        <v>5241</v>
      </c>
      <c r="B459" s="2219" t="s">
        <v>6543</v>
      </c>
      <c r="C459" s="2223"/>
      <c r="W459" s="2223" t="str" cm="1">
        <f t="array" ref="W459">IF($D459&lt;COLUMNS($F$7:W$7),"",INDEX(TableDiv[[GASB]:[GASB]],_xlfn.AGGREGATE(15,3,(TableDiv[[Agency]:[Agency]]=$E459)/(TableDiv[[Agency]:[Agency]]=$E459)*(ROW(TableDiv[Agency])-ROW(TableDiv[[#Headers],[Agency]])),COLUMNS($F$7:W$7))))</f>
        <v/>
      </c>
      <c r="X459" s="2223" t="str" cm="1">
        <f t="array" ref="X459">IF($D459&lt;COLUMNS($F$7:X$7),"",INDEX(TableDiv[[GASB]:[GASB]],_xlfn.AGGREGATE(15,3,(TableDiv[[Agency]:[Agency]]=$E459)/(TableDiv[[Agency]:[Agency]]=$E459)*(ROW(TableDiv[Agency])-ROW(TableDiv[[#Headers],[Agency]])),COLUMNS($F$7:X$7))))</f>
        <v/>
      </c>
      <c r="Y459" s="2223" t="str" cm="1">
        <f t="array" ref="Y459">IF($D459&lt;COLUMNS($F$7:Y$7),"",INDEX(TableDiv[[GASB]:[GASB]],_xlfn.AGGREGATE(15,3,(TableDiv[[Agency]:[Agency]]=$E459)/(TableDiv[[Agency]:[Agency]]=$E459)*(ROW(TableDiv[Agency])-ROW(TableDiv[[#Headers],[Agency]])),COLUMNS($F$7:Y$7))))</f>
        <v/>
      </c>
      <c r="Z459" s="2223" t="str" cm="1">
        <f t="array" ref="Z459">IF($D459&lt;COLUMNS($F$7:Z$7),"",INDEX(TableDiv[[GASB]:[GASB]],_xlfn.AGGREGATE(15,3,(TableDiv[[Agency]:[Agency]]=$E459)/(TableDiv[[Agency]:[Agency]]=$E459)*(ROW(TableDiv[Agency])-ROW(TableDiv[[#Headers],[Agency]])),COLUMNS($F$7:Z$7))))</f>
        <v/>
      </c>
      <c r="AA459" s="2223" t="str" cm="1">
        <f t="array" ref="AA459">IF($D459&lt;COLUMNS($F$7:AA$7),"",INDEX(TableDiv[[GASB]:[GASB]],_xlfn.AGGREGATE(15,3,(TableDiv[[Agency]:[Agency]]=$E459)/(TableDiv[[Agency]:[Agency]]=$E459)*(ROW(TableDiv[Agency])-ROW(TableDiv[[#Headers],[Agency]])),COLUMNS($F$7:AA$7))))</f>
        <v/>
      </c>
      <c r="AB459" s="2223" t="str" cm="1">
        <f t="array" ref="AB459">IF($D459&lt;COLUMNS($F$7:AB$7),"",INDEX(TableDiv[[GASB]:[GASB]],_xlfn.AGGREGATE(15,3,(TableDiv[[Agency]:[Agency]]=$E459)/(TableDiv[[Agency]:[Agency]]=$E459)*(ROW(TableDiv[Agency])-ROW(TableDiv[[#Headers],[Agency]])),COLUMNS($F$7:AB$7))))</f>
        <v/>
      </c>
      <c r="AC459" s="2223" t="str" cm="1">
        <f t="array" ref="AC459">IF($D459&lt;COLUMNS($F$7:AC$7),"",INDEX(TableDiv[[GASB]:[GASB]],_xlfn.AGGREGATE(15,3,(TableDiv[[Agency]:[Agency]]=$E459)/(TableDiv[[Agency]:[Agency]]=$E459)*(ROW(TableDiv[Agency])-ROW(TableDiv[[#Headers],[Agency]])),COLUMNS($F$7:AC$7))))</f>
        <v/>
      </c>
      <c r="AD459" s="2223" t="str" cm="1">
        <f t="array" ref="AD459">IF($D459&lt;COLUMNS($F$7:AD$7),"",INDEX(TableDiv[[GASB]:[GASB]],_xlfn.AGGREGATE(15,3,(TableDiv[[Agency]:[Agency]]=$E459)/(TableDiv[[Agency]:[Agency]]=$E459)*(ROW(TableDiv[Agency])-ROW(TableDiv[[#Headers],[Agency]])),COLUMNS($F$7:AD$7))))</f>
        <v/>
      </c>
      <c r="AE459" s="2223" t="str" cm="1">
        <f t="array" ref="AE459">IF($D459&lt;COLUMNS($F$7:AE$7),"",INDEX(TableDiv[[GASB]:[GASB]],_xlfn.AGGREGATE(15,3,(TableDiv[[Agency]:[Agency]]=$E459)/(TableDiv[[Agency]:[Agency]]=$E459)*(ROW(TableDiv[Agency])-ROW(TableDiv[[#Headers],[Agency]])),COLUMNS($F$7:AE$7))))</f>
        <v/>
      </c>
      <c r="AF459" s="2223" t="str" cm="1">
        <f t="array" ref="AF459">IF($D459&lt;COLUMNS($F$7:AF$7),"",INDEX(TableDiv[[GASB]:[GASB]],_xlfn.AGGREGATE(15,3,(TableDiv[[Agency]:[Agency]]=$E459)/(TableDiv[[Agency]:[Agency]]=$E459)*(ROW(TableDiv[Agency])-ROW(TableDiv[[#Headers],[Agency]])),COLUMNS($F$7:AF$7))))</f>
        <v/>
      </c>
      <c r="AG459" s="2223" t="str" cm="1">
        <f t="array" ref="AG459">IF($D459&lt;COLUMNS($F$7:AG$7),"",INDEX(TableDiv[[GASB]:[GASB]],_xlfn.AGGREGATE(15,3,(TableDiv[[Agency]:[Agency]]=$E459)/(TableDiv[[Agency]:[Agency]]=$E459)*(ROW(TableDiv[Agency])-ROW(TableDiv[[#Headers],[Agency]])),COLUMNS($F$7:AG$7))))</f>
        <v/>
      </c>
      <c r="AH459" s="2223" t="str" cm="1">
        <f t="array" ref="AH459">IF($D459&lt;COLUMNS($F$7:AH$7),"",INDEX(TableDiv[[GASB]:[GASB]],_xlfn.AGGREGATE(15,3,(TableDiv[[Agency]:[Agency]]=$E459)/(TableDiv[[Agency]:[Agency]]=$E459)*(ROW(TableDiv[Agency])-ROW(TableDiv[[#Headers],[Agency]])),COLUMNS($F$7:AH$7))))</f>
        <v/>
      </c>
      <c r="AI459" s="2223" t="str" cm="1">
        <f t="array" ref="AI459">IF($D459&lt;COLUMNS($F$7:AI$7),"",INDEX(TableDiv[[GASB]:[GASB]],_xlfn.AGGREGATE(15,3,(TableDiv[[Agency]:[Agency]]=$E459)/(TableDiv[[Agency]:[Agency]]=$E459)*(ROW(TableDiv[Agency])-ROW(TableDiv[[#Headers],[Agency]])),COLUMNS($F$7:AI$7))))</f>
        <v/>
      </c>
      <c r="AJ459" s="2223" t="str" cm="1">
        <f t="array" ref="AJ459">IF($D459&lt;COLUMNS($F$7:AJ$7),"",INDEX(TableDiv[[GASB]:[GASB]],_xlfn.AGGREGATE(15,3,(TableDiv[[Agency]:[Agency]]=$E459)/(TableDiv[[Agency]:[Agency]]=$E459)*(ROW(TableDiv[Agency])-ROW(TableDiv[[#Headers],[Agency]])),COLUMNS($F$7:AJ$7))))</f>
        <v/>
      </c>
      <c r="AK459" s="2223" t="str" cm="1">
        <f t="array" ref="AK459">IF($D459&lt;COLUMNS($F$7:AK$7),"",INDEX(TableDiv[[GASB]:[GASB]],_xlfn.AGGREGATE(15,3,(TableDiv[[Agency]:[Agency]]=$E459)/(TableDiv[[Agency]:[Agency]]=$E459)*(ROW(TableDiv[Agency])-ROW(TableDiv[[#Headers],[Agency]])),COLUMNS($F$7:AK$7))))</f>
        <v/>
      </c>
      <c r="AL459" s="2223" t="str" cm="1">
        <f t="array" ref="AL459">IF($D459&lt;COLUMNS($F$7:AL$7),"",INDEX(TableDiv[[GASB]:[GASB]],_xlfn.AGGREGATE(15,3,(TableDiv[[Agency]:[Agency]]=$E459)/(TableDiv[[Agency]:[Agency]]=$E459)*(ROW(TableDiv[Agency])-ROW(TableDiv[[#Headers],[Agency]])),COLUMNS($F$7:AL$7))))</f>
        <v/>
      </c>
      <c r="AM459" s="2223" t="str" cm="1">
        <f t="array" ref="AM459">IF($D459&lt;COLUMNS($F$7:AM$7),"",INDEX(TableDiv[[GASB]:[GASB]],_xlfn.AGGREGATE(15,3,(TableDiv[[Agency]:[Agency]]=$E459)/(TableDiv[[Agency]:[Agency]]=$E459)*(ROW(TableDiv[Agency])-ROW(TableDiv[[#Headers],[Agency]])),COLUMNS($F$7:AM$7))))</f>
        <v/>
      </c>
      <c r="AN459" s="2223"/>
      <c r="AO459" s="2223"/>
      <c r="AP459" s="2223"/>
      <c r="AQ459" s="2223"/>
      <c r="AR459" s="2223"/>
      <c r="AS459" s="2223"/>
    </row>
    <row r="460" spans="1:45" ht="15" x14ac:dyDescent="0.25">
      <c r="A460" s="2219" t="s">
        <v>5243</v>
      </c>
      <c r="B460" s="2219" t="s">
        <v>6543</v>
      </c>
      <c r="C460" s="2223"/>
      <c r="W460" s="2223" t="str" cm="1">
        <f t="array" ref="W460">IF($D460&lt;COLUMNS($F$7:W$7),"",INDEX(TableDiv[[GASB]:[GASB]],_xlfn.AGGREGATE(15,3,(TableDiv[[Agency]:[Agency]]=$E460)/(TableDiv[[Agency]:[Agency]]=$E460)*(ROW(TableDiv[Agency])-ROW(TableDiv[[#Headers],[Agency]])),COLUMNS($F$7:W$7))))</f>
        <v/>
      </c>
      <c r="X460" s="2223" t="str" cm="1">
        <f t="array" ref="X460">IF($D460&lt;COLUMNS($F$7:X$7),"",INDEX(TableDiv[[GASB]:[GASB]],_xlfn.AGGREGATE(15,3,(TableDiv[[Agency]:[Agency]]=$E460)/(TableDiv[[Agency]:[Agency]]=$E460)*(ROW(TableDiv[Agency])-ROW(TableDiv[[#Headers],[Agency]])),COLUMNS($F$7:X$7))))</f>
        <v/>
      </c>
      <c r="Y460" s="2223" t="str" cm="1">
        <f t="array" ref="Y460">IF($D460&lt;COLUMNS($F$7:Y$7),"",INDEX(TableDiv[[GASB]:[GASB]],_xlfn.AGGREGATE(15,3,(TableDiv[[Agency]:[Agency]]=$E460)/(TableDiv[[Agency]:[Agency]]=$E460)*(ROW(TableDiv[Agency])-ROW(TableDiv[[#Headers],[Agency]])),COLUMNS($F$7:Y$7))))</f>
        <v/>
      </c>
      <c r="Z460" s="2223" t="str" cm="1">
        <f t="array" ref="Z460">IF($D460&lt;COLUMNS($F$7:Z$7),"",INDEX(TableDiv[[GASB]:[GASB]],_xlfn.AGGREGATE(15,3,(TableDiv[[Agency]:[Agency]]=$E460)/(TableDiv[[Agency]:[Agency]]=$E460)*(ROW(TableDiv[Agency])-ROW(TableDiv[[#Headers],[Agency]])),COLUMNS($F$7:Z$7))))</f>
        <v/>
      </c>
      <c r="AA460" s="2223" t="str" cm="1">
        <f t="array" ref="AA460">IF($D460&lt;COLUMNS($F$7:AA$7),"",INDEX(TableDiv[[GASB]:[GASB]],_xlfn.AGGREGATE(15,3,(TableDiv[[Agency]:[Agency]]=$E460)/(TableDiv[[Agency]:[Agency]]=$E460)*(ROW(TableDiv[Agency])-ROW(TableDiv[[#Headers],[Agency]])),COLUMNS($F$7:AA$7))))</f>
        <v/>
      </c>
      <c r="AB460" s="2223" t="str" cm="1">
        <f t="array" ref="AB460">IF($D460&lt;COLUMNS($F$7:AB$7),"",INDEX(TableDiv[[GASB]:[GASB]],_xlfn.AGGREGATE(15,3,(TableDiv[[Agency]:[Agency]]=$E460)/(TableDiv[[Agency]:[Agency]]=$E460)*(ROW(TableDiv[Agency])-ROW(TableDiv[[#Headers],[Agency]])),COLUMNS($F$7:AB$7))))</f>
        <v/>
      </c>
      <c r="AC460" s="2223" t="str" cm="1">
        <f t="array" ref="AC460">IF($D460&lt;COLUMNS($F$7:AC$7),"",INDEX(TableDiv[[GASB]:[GASB]],_xlfn.AGGREGATE(15,3,(TableDiv[[Agency]:[Agency]]=$E460)/(TableDiv[[Agency]:[Agency]]=$E460)*(ROW(TableDiv[Agency])-ROW(TableDiv[[#Headers],[Agency]])),COLUMNS($F$7:AC$7))))</f>
        <v/>
      </c>
      <c r="AD460" s="2223" t="str" cm="1">
        <f t="array" ref="AD460">IF($D460&lt;COLUMNS($F$7:AD$7),"",INDEX(TableDiv[[GASB]:[GASB]],_xlfn.AGGREGATE(15,3,(TableDiv[[Agency]:[Agency]]=$E460)/(TableDiv[[Agency]:[Agency]]=$E460)*(ROW(TableDiv[Agency])-ROW(TableDiv[[#Headers],[Agency]])),COLUMNS($F$7:AD$7))))</f>
        <v/>
      </c>
      <c r="AE460" s="2223" t="str" cm="1">
        <f t="array" ref="AE460">IF($D460&lt;COLUMNS($F$7:AE$7),"",INDEX(TableDiv[[GASB]:[GASB]],_xlfn.AGGREGATE(15,3,(TableDiv[[Agency]:[Agency]]=$E460)/(TableDiv[[Agency]:[Agency]]=$E460)*(ROW(TableDiv[Agency])-ROW(TableDiv[[#Headers],[Agency]])),COLUMNS($F$7:AE$7))))</f>
        <v/>
      </c>
      <c r="AF460" s="2223" t="str" cm="1">
        <f t="array" ref="AF460">IF($D460&lt;COLUMNS($F$7:AF$7),"",INDEX(TableDiv[[GASB]:[GASB]],_xlfn.AGGREGATE(15,3,(TableDiv[[Agency]:[Agency]]=$E460)/(TableDiv[[Agency]:[Agency]]=$E460)*(ROW(TableDiv[Agency])-ROW(TableDiv[[#Headers],[Agency]])),COLUMNS($F$7:AF$7))))</f>
        <v/>
      </c>
      <c r="AG460" s="2223" t="str" cm="1">
        <f t="array" ref="AG460">IF($D460&lt;COLUMNS($F$7:AG$7),"",INDEX(TableDiv[[GASB]:[GASB]],_xlfn.AGGREGATE(15,3,(TableDiv[[Agency]:[Agency]]=$E460)/(TableDiv[[Agency]:[Agency]]=$E460)*(ROW(TableDiv[Agency])-ROW(TableDiv[[#Headers],[Agency]])),COLUMNS($F$7:AG$7))))</f>
        <v/>
      </c>
      <c r="AH460" s="2223" t="str" cm="1">
        <f t="array" ref="AH460">IF($D460&lt;COLUMNS($F$7:AH$7),"",INDEX(TableDiv[[GASB]:[GASB]],_xlfn.AGGREGATE(15,3,(TableDiv[[Agency]:[Agency]]=$E460)/(TableDiv[[Agency]:[Agency]]=$E460)*(ROW(TableDiv[Agency])-ROW(TableDiv[[#Headers],[Agency]])),COLUMNS($F$7:AH$7))))</f>
        <v/>
      </c>
      <c r="AI460" s="2223" t="str" cm="1">
        <f t="array" ref="AI460">IF($D460&lt;COLUMNS($F$7:AI$7),"",INDEX(TableDiv[[GASB]:[GASB]],_xlfn.AGGREGATE(15,3,(TableDiv[[Agency]:[Agency]]=$E460)/(TableDiv[[Agency]:[Agency]]=$E460)*(ROW(TableDiv[Agency])-ROW(TableDiv[[#Headers],[Agency]])),COLUMNS($F$7:AI$7))))</f>
        <v/>
      </c>
      <c r="AJ460" s="2223" t="str" cm="1">
        <f t="array" ref="AJ460">IF($D460&lt;COLUMNS($F$7:AJ$7),"",INDEX(TableDiv[[GASB]:[GASB]],_xlfn.AGGREGATE(15,3,(TableDiv[[Agency]:[Agency]]=$E460)/(TableDiv[[Agency]:[Agency]]=$E460)*(ROW(TableDiv[Agency])-ROW(TableDiv[[#Headers],[Agency]])),COLUMNS($F$7:AJ$7))))</f>
        <v/>
      </c>
      <c r="AK460" s="2223" t="str" cm="1">
        <f t="array" ref="AK460">IF($D460&lt;COLUMNS($F$7:AK$7),"",INDEX(TableDiv[[GASB]:[GASB]],_xlfn.AGGREGATE(15,3,(TableDiv[[Agency]:[Agency]]=$E460)/(TableDiv[[Agency]:[Agency]]=$E460)*(ROW(TableDiv[Agency])-ROW(TableDiv[[#Headers],[Agency]])),COLUMNS($F$7:AK$7))))</f>
        <v/>
      </c>
      <c r="AL460" s="2223" t="str" cm="1">
        <f t="array" ref="AL460">IF($D460&lt;COLUMNS($F$7:AL$7),"",INDEX(TableDiv[[GASB]:[GASB]],_xlfn.AGGREGATE(15,3,(TableDiv[[Agency]:[Agency]]=$E460)/(TableDiv[[Agency]:[Agency]]=$E460)*(ROW(TableDiv[Agency])-ROW(TableDiv[[#Headers],[Agency]])),COLUMNS($F$7:AL$7))))</f>
        <v/>
      </c>
      <c r="AM460" s="2223" t="str" cm="1">
        <f t="array" ref="AM460">IF($D460&lt;COLUMNS($F$7:AM$7),"",INDEX(TableDiv[[GASB]:[GASB]],_xlfn.AGGREGATE(15,3,(TableDiv[[Agency]:[Agency]]=$E460)/(TableDiv[[Agency]:[Agency]]=$E460)*(ROW(TableDiv[Agency])-ROW(TableDiv[[#Headers],[Agency]])),COLUMNS($F$7:AM$7))))</f>
        <v/>
      </c>
      <c r="AN460" s="2223"/>
      <c r="AO460" s="2223"/>
      <c r="AP460" s="2223"/>
      <c r="AQ460" s="2223"/>
      <c r="AR460" s="2223"/>
      <c r="AS460" s="2223"/>
    </row>
    <row r="461" spans="1:45" ht="15" x14ac:dyDescent="0.25">
      <c r="A461" s="2219" t="s">
        <v>5245</v>
      </c>
      <c r="B461" s="2219" t="s">
        <v>6543</v>
      </c>
      <c r="C461" s="2223"/>
      <c r="W461" s="2223" t="str" cm="1">
        <f t="array" ref="W461">IF($D461&lt;COLUMNS($F$7:W$7),"",INDEX(TableDiv[[GASB]:[GASB]],_xlfn.AGGREGATE(15,3,(TableDiv[[Agency]:[Agency]]=$E461)/(TableDiv[[Agency]:[Agency]]=$E461)*(ROW(TableDiv[Agency])-ROW(TableDiv[[#Headers],[Agency]])),COLUMNS($F$7:W$7))))</f>
        <v/>
      </c>
      <c r="X461" s="2223" t="str" cm="1">
        <f t="array" ref="X461">IF($D461&lt;COLUMNS($F$7:X$7),"",INDEX(TableDiv[[GASB]:[GASB]],_xlfn.AGGREGATE(15,3,(TableDiv[[Agency]:[Agency]]=$E461)/(TableDiv[[Agency]:[Agency]]=$E461)*(ROW(TableDiv[Agency])-ROW(TableDiv[[#Headers],[Agency]])),COLUMNS($F$7:X$7))))</f>
        <v/>
      </c>
      <c r="Y461" s="2223" t="str" cm="1">
        <f t="array" ref="Y461">IF($D461&lt;COLUMNS($F$7:Y$7),"",INDEX(TableDiv[[GASB]:[GASB]],_xlfn.AGGREGATE(15,3,(TableDiv[[Agency]:[Agency]]=$E461)/(TableDiv[[Agency]:[Agency]]=$E461)*(ROW(TableDiv[Agency])-ROW(TableDiv[[#Headers],[Agency]])),COLUMNS($F$7:Y$7))))</f>
        <v/>
      </c>
      <c r="Z461" s="2223" t="str" cm="1">
        <f t="array" ref="Z461">IF($D461&lt;COLUMNS($F$7:Z$7),"",INDEX(TableDiv[[GASB]:[GASB]],_xlfn.AGGREGATE(15,3,(TableDiv[[Agency]:[Agency]]=$E461)/(TableDiv[[Agency]:[Agency]]=$E461)*(ROW(TableDiv[Agency])-ROW(TableDiv[[#Headers],[Agency]])),COLUMNS($F$7:Z$7))))</f>
        <v/>
      </c>
      <c r="AA461" s="2223" t="str" cm="1">
        <f t="array" ref="AA461">IF($D461&lt;COLUMNS($F$7:AA$7),"",INDEX(TableDiv[[GASB]:[GASB]],_xlfn.AGGREGATE(15,3,(TableDiv[[Agency]:[Agency]]=$E461)/(TableDiv[[Agency]:[Agency]]=$E461)*(ROW(TableDiv[Agency])-ROW(TableDiv[[#Headers],[Agency]])),COLUMNS($F$7:AA$7))))</f>
        <v/>
      </c>
      <c r="AB461" s="2223" t="str" cm="1">
        <f t="array" ref="AB461">IF($D461&lt;COLUMNS($F$7:AB$7),"",INDEX(TableDiv[[GASB]:[GASB]],_xlfn.AGGREGATE(15,3,(TableDiv[[Agency]:[Agency]]=$E461)/(TableDiv[[Agency]:[Agency]]=$E461)*(ROW(TableDiv[Agency])-ROW(TableDiv[[#Headers],[Agency]])),COLUMNS($F$7:AB$7))))</f>
        <v/>
      </c>
      <c r="AC461" s="2223" t="str" cm="1">
        <f t="array" ref="AC461">IF($D461&lt;COLUMNS($F$7:AC$7),"",INDEX(TableDiv[[GASB]:[GASB]],_xlfn.AGGREGATE(15,3,(TableDiv[[Agency]:[Agency]]=$E461)/(TableDiv[[Agency]:[Agency]]=$E461)*(ROW(TableDiv[Agency])-ROW(TableDiv[[#Headers],[Agency]])),COLUMNS($F$7:AC$7))))</f>
        <v/>
      </c>
      <c r="AD461" s="2223" t="str" cm="1">
        <f t="array" ref="AD461">IF($D461&lt;COLUMNS($F$7:AD$7),"",INDEX(TableDiv[[GASB]:[GASB]],_xlfn.AGGREGATE(15,3,(TableDiv[[Agency]:[Agency]]=$E461)/(TableDiv[[Agency]:[Agency]]=$E461)*(ROW(TableDiv[Agency])-ROW(TableDiv[[#Headers],[Agency]])),COLUMNS($F$7:AD$7))))</f>
        <v/>
      </c>
      <c r="AE461" s="2223" t="str" cm="1">
        <f t="array" ref="AE461">IF($D461&lt;COLUMNS($F$7:AE$7),"",INDEX(TableDiv[[GASB]:[GASB]],_xlfn.AGGREGATE(15,3,(TableDiv[[Agency]:[Agency]]=$E461)/(TableDiv[[Agency]:[Agency]]=$E461)*(ROW(TableDiv[Agency])-ROW(TableDiv[[#Headers],[Agency]])),COLUMNS($F$7:AE$7))))</f>
        <v/>
      </c>
      <c r="AF461" s="2223" t="str" cm="1">
        <f t="array" ref="AF461">IF($D461&lt;COLUMNS($F$7:AF$7),"",INDEX(TableDiv[[GASB]:[GASB]],_xlfn.AGGREGATE(15,3,(TableDiv[[Agency]:[Agency]]=$E461)/(TableDiv[[Agency]:[Agency]]=$E461)*(ROW(TableDiv[Agency])-ROW(TableDiv[[#Headers],[Agency]])),COLUMNS($F$7:AF$7))))</f>
        <v/>
      </c>
      <c r="AG461" s="2223" t="str" cm="1">
        <f t="array" ref="AG461">IF($D461&lt;COLUMNS($F$7:AG$7),"",INDEX(TableDiv[[GASB]:[GASB]],_xlfn.AGGREGATE(15,3,(TableDiv[[Agency]:[Agency]]=$E461)/(TableDiv[[Agency]:[Agency]]=$E461)*(ROW(TableDiv[Agency])-ROW(TableDiv[[#Headers],[Agency]])),COLUMNS($F$7:AG$7))))</f>
        <v/>
      </c>
      <c r="AH461" s="2223" t="str" cm="1">
        <f t="array" ref="AH461">IF($D461&lt;COLUMNS($F$7:AH$7),"",INDEX(TableDiv[[GASB]:[GASB]],_xlfn.AGGREGATE(15,3,(TableDiv[[Agency]:[Agency]]=$E461)/(TableDiv[[Agency]:[Agency]]=$E461)*(ROW(TableDiv[Agency])-ROW(TableDiv[[#Headers],[Agency]])),COLUMNS($F$7:AH$7))))</f>
        <v/>
      </c>
      <c r="AI461" s="2223" t="str" cm="1">
        <f t="array" ref="AI461">IF($D461&lt;COLUMNS($F$7:AI$7),"",INDEX(TableDiv[[GASB]:[GASB]],_xlfn.AGGREGATE(15,3,(TableDiv[[Agency]:[Agency]]=$E461)/(TableDiv[[Agency]:[Agency]]=$E461)*(ROW(TableDiv[Agency])-ROW(TableDiv[[#Headers],[Agency]])),COLUMNS($F$7:AI$7))))</f>
        <v/>
      </c>
      <c r="AJ461" s="2223" t="str" cm="1">
        <f t="array" ref="AJ461">IF($D461&lt;COLUMNS($F$7:AJ$7),"",INDEX(TableDiv[[GASB]:[GASB]],_xlfn.AGGREGATE(15,3,(TableDiv[[Agency]:[Agency]]=$E461)/(TableDiv[[Agency]:[Agency]]=$E461)*(ROW(TableDiv[Agency])-ROW(TableDiv[[#Headers],[Agency]])),COLUMNS($F$7:AJ$7))))</f>
        <v/>
      </c>
      <c r="AK461" s="2223" t="str" cm="1">
        <f t="array" ref="AK461">IF($D461&lt;COLUMNS($F$7:AK$7),"",INDEX(TableDiv[[GASB]:[GASB]],_xlfn.AGGREGATE(15,3,(TableDiv[[Agency]:[Agency]]=$E461)/(TableDiv[[Agency]:[Agency]]=$E461)*(ROW(TableDiv[Agency])-ROW(TableDiv[[#Headers],[Agency]])),COLUMNS($F$7:AK$7))))</f>
        <v/>
      </c>
      <c r="AL461" s="2223" t="str" cm="1">
        <f t="array" ref="AL461">IF($D461&lt;COLUMNS($F$7:AL$7),"",INDEX(TableDiv[[GASB]:[GASB]],_xlfn.AGGREGATE(15,3,(TableDiv[[Agency]:[Agency]]=$E461)/(TableDiv[[Agency]:[Agency]]=$E461)*(ROW(TableDiv[Agency])-ROW(TableDiv[[#Headers],[Agency]])),COLUMNS($F$7:AL$7))))</f>
        <v/>
      </c>
      <c r="AM461" s="2223" t="str" cm="1">
        <f t="array" ref="AM461">IF($D461&lt;COLUMNS($F$7:AM$7),"",INDEX(TableDiv[[GASB]:[GASB]],_xlfn.AGGREGATE(15,3,(TableDiv[[Agency]:[Agency]]=$E461)/(TableDiv[[Agency]:[Agency]]=$E461)*(ROW(TableDiv[Agency])-ROW(TableDiv[[#Headers],[Agency]])),COLUMNS($F$7:AM$7))))</f>
        <v/>
      </c>
      <c r="AN461" s="2223"/>
      <c r="AO461" s="2223"/>
      <c r="AP461" s="2223"/>
      <c r="AQ461" s="2223"/>
      <c r="AR461" s="2223"/>
      <c r="AS461" s="2223"/>
    </row>
    <row r="462" spans="1:45" ht="15" x14ac:dyDescent="0.25">
      <c r="A462" s="2219" t="s">
        <v>5247</v>
      </c>
      <c r="B462" s="2219" t="s">
        <v>6543</v>
      </c>
      <c r="C462" s="2223"/>
      <c r="W462" s="2223" t="str" cm="1">
        <f t="array" ref="W462">IF($D462&lt;COLUMNS($F$7:W$7),"",INDEX(TableDiv[[GASB]:[GASB]],_xlfn.AGGREGATE(15,3,(TableDiv[[Agency]:[Agency]]=$E462)/(TableDiv[[Agency]:[Agency]]=$E462)*(ROW(TableDiv[Agency])-ROW(TableDiv[[#Headers],[Agency]])),COLUMNS($F$7:W$7))))</f>
        <v/>
      </c>
      <c r="X462" s="2223" t="str" cm="1">
        <f t="array" ref="X462">IF($D462&lt;COLUMNS($F$7:X$7),"",INDEX(TableDiv[[GASB]:[GASB]],_xlfn.AGGREGATE(15,3,(TableDiv[[Agency]:[Agency]]=$E462)/(TableDiv[[Agency]:[Agency]]=$E462)*(ROW(TableDiv[Agency])-ROW(TableDiv[[#Headers],[Agency]])),COLUMNS($F$7:X$7))))</f>
        <v/>
      </c>
      <c r="Y462" s="2223" t="str" cm="1">
        <f t="array" ref="Y462">IF($D462&lt;COLUMNS($F$7:Y$7),"",INDEX(TableDiv[[GASB]:[GASB]],_xlfn.AGGREGATE(15,3,(TableDiv[[Agency]:[Agency]]=$E462)/(TableDiv[[Agency]:[Agency]]=$E462)*(ROW(TableDiv[Agency])-ROW(TableDiv[[#Headers],[Agency]])),COLUMNS($F$7:Y$7))))</f>
        <v/>
      </c>
      <c r="Z462" s="2223" t="str" cm="1">
        <f t="array" ref="Z462">IF($D462&lt;COLUMNS($F$7:Z$7),"",INDEX(TableDiv[[GASB]:[GASB]],_xlfn.AGGREGATE(15,3,(TableDiv[[Agency]:[Agency]]=$E462)/(TableDiv[[Agency]:[Agency]]=$E462)*(ROW(TableDiv[Agency])-ROW(TableDiv[[#Headers],[Agency]])),COLUMNS($F$7:Z$7))))</f>
        <v/>
      </c>
      <c r="AA462" s="2223" t="str" cm="1">
        <f t="array" ref="AA462">IF($D462&lt;COLUMNS($F$7:AA$7),"",INDEX(TableDiv[[GASB]:[GASB]],_xlfn.AGGREGATE(15,3,(TableDiv[[Agency]:[Agency]]=$E462)/(TableDiv[[Agency]:[Agency]]=$E462)*(ROW(TableDiv[Agency])-ROW(TableDiv[[#Headers],[Agency]])),COLUMNS($F$7:AA$7))))</f>
        <v/>
      </c>
      <c r="AB462" s="2223" t="str" cm="1">
        <f t="array" ref="AB462">IF($D462&lt;COLUMNS($F$7:AB$7),"",INDEX(TableDiv[[GASB]:[GASB]],_xlfn.AGGREGATE(15,3,(TableDiv[[Agency]:[Agency]]=$E462)/(TableDiv[[Agency]:[Agency]]=$E462)*(ROW(TableDiv[Agency])-ROW(TableDiv[[#Headers],[Agency]])),COLUMNS($F$7:AB$7))))</f>
        <v/>
      </c>
      <c r="AC462" s="2223" t="str" cm="1">
        <f t="array" ref="AC462">IF($D462&lt;COLUMNS($F$7:AC$7),"",INDEX(TableDiv[[GASB]:[GASB]],_xlfn.AGGREGATE(15,3,(TableDiv[[Agency]:[Agency]]=$E462)/(TableDiv[[Agency]:[Agency]]=$E462)*(ROW(TableDiv[Agency])-ROW(TableDiv[[#Headers],[Agency]])),COLUMNS($F$7:AC$7))))</f>
        <v/>
      </c>
      <c r="AD462" s="2223" t="str" cm="1">
        <f t="array" ref="AD462">IF($D462&lt;COLUMNS($F$7:AD$7),"",INDEX(TableDiv[[GASB]:[GASB]],_xlfn.AGGREGATE(15,3,(TableDiv[[Agency]:[Agency]]=$E462)/(TableDiv[[Agency]:[Agency]]=$E462)*(ROW(TableDiv[Agency])-ROW(TableDiv[[#Headers],[Agency]])),COLUMNS($F$7:AD$7))))</f>
        <v/>
      </c>
      <c r="AE462" s="2223" t="str" cm="1">
        <f t="array" ref="AE462">IF($D462&lt;COLUMNS($F$7:AE$7),"",INDEX(TableDiv[[GASB]:[GASB]],_xlfn.AGGREGATE(15,3,(TableDiv[[Agency]:[Agency]]=$E462)/(TableDiv[[Agency]:[Agency]]=$E462)*(ROW(TableDiv[Agency])-ROW(TableDiv[[#Headers],[Agency]])),COLUMNS($F$7:AE$7))))</f>
        <v/>
      </c>
      <c r="AF462" s="2223" t="str" cm="1">
        <f t="array" ref="AF462">IF($D462&lt;COLUMNS($F$7:AF$7),"",INDEX(TableDiv[[GASB]:[GASB]],_xlfn.AGGREGATE(15,3,(TableDiv[[Agency]:[Agency]]=$E462)/(TableDiv[[Agency]:[Agency]]=$E462)*(ROW(TableDiv[Agency])-ROW(TableDiv[[#Headers],[Agency]])),COLUMNS($F$7:AF$7))))</f>
        <v/>
      </c>
      <c r="AG462" s="2223" t="str" cm="1">
        <f t="array" ref="AG462">IF($D462&lt;COLUMNS($F$7:AG$7),"",INDEX(TableDiv[[GASB]:[GASB]],_xlfn.AGGREGATE(15,3,(TableDiv[[Agency]:[Agency]]=$E462)/(TableDiv[[Agency]:[Agency]]=$E462)*(ROW(TableDiv[Agency])-ROW(TableDiv[[#Headers],[Agency]])),COLUMNS($F$7:AG$7))))</f>
        <v/>
      </c>
      <c r="AH462" s="2223" t="str" cm="1">
        <f t="array" ref="AH462">IF($D462&lt;COLUMNS($F$7:AH$7),"",INDEX(TableDiv[[GASB]:[GASB]],_xlfn.AGGREGATE(15,3,(TableDiv[[Agency]:[Agency]]=$E462)/(TableDiv[[Agency]:[Agency]]=$E462)*(ROW(TableDiv[Agency])-ROW(TableDiv[[#Headers],[Agency]])),COLUMNS($F$7:AH$7))))</f>
        <v/>
      </c>
      <c r="AI462" s="2223" t="str" cm="1">
        <f t="array" ref="AI462">IF($D462&lt;COLUMNS($F$7:AI$7),"",INDEX(TableDiv[[GASB]:[GASB]],_xlfn.AGGREGATE(15,3,(TableDiv[[Agency]:[Agency]]=$E462)/(TableDiv[[Agency]:[Agency]]=$E462)*(ROW(TableDiv[Agency])-ROW(TableDiv[[#Headers],[Agency]])),COLUMNS($F$7:AI$7))))</f>
        <v/>
      </c>
      <c r="AJ462" s="2223" t="str" cm="1">
        <f t="array" ref="AJ462">IF($D462&lt;COLUMNS($F$7:AJ$7),"",INDEX(TableDiv[[GASB]:[GASB]],_xlfn.AGGREGATE(15,3,(TableDiv[[Agency]:[Agency]]=$E462)/(TableDiv[[Agency]:[Agency]]=$E462)*(ROW(TableDiv[Agency])-ROW(TableDiv[[#Headers],[Agency]])),COLUMNS($F$7:AJ$7))))</f>
        <v/>
      </c>
      <c r="AK462" s="2223" t="str" cm="1">
        <f t="array" ref="AK462">IF($D462&lt;COLUMNS($F$7:AK$7),"",INDEX(TableDiv[[GASB]:[GASB]],_xlfn.AGGREGATE(15,3,(TableDiv[[Agency]:[Agency]]=$E462)/(TableDiv[[Agency]:[Agency]]=$E462)*(ROW(TableDiv[Agency])-ROW(TableDiv[[#Headers],[Agency]])),COLUMNS($F$7:AK$7))))</f>
        <v/>
      </c>
      <c r="AL462" s="2223" t="str" cm="1">
        <f t="array" ref="AL462">IF($D462&lt;COLUMNS($F$7:AL$7),"",INDEX(TableDiv[[GASB]:[GASB]],_xlfn.AGGREGATE(15,3,(TableDiv[[Agency]:[Agency]]=$E462)/(TableDiv[[Agency]:[Agency]]=$E462)*(ROW(TableDiv[Agency])-ROW(TableDiv[[#Headers],[Agency]])),COLUMNS($F$7:AL$7))))</f>
        <v/>
      </c>
      <c r="AM462" s="2223" t="str" cm="1">
        <f t="array" ref="AM462">IF($D462&lt;COLUMNS($F$7:AM$7),"",INDEX(TableDiv[[GASB]:[GASB]],_xlfn.AGGREGATE(15,3,(TableDiv[[Agency]:[Agency]]=$E462)/(TableDiv[[Agency]:[Agency]]=$E462)*(ROW(TableDiv[Agency])-ROW(TableDiv[[#Headers],[Agency]])),COLUMNS($F$7:AM$7))))</f>
        <v/>
      </c>
      <c r="AN462" s="2223"/>
      <c r="AO462" s="2223"/>
      <c r="AP462" s="2223"/>
      <c r="AQ462" s="2223"/>
      <c r="AR462" s="2223"/>
      <c r="AS462" s="2223"/>
    </row>
    <row r="463" spans="1:45" ht="15" x14ac:dyDescent="0.25">
      <c r="A463" s="2219" t="s">
        <v>5249</v>
      </c>
      <c r="B463" s="2219" t="s">
        <v>6543</v>
      </c>
      <c r="C463" s="2223"/>
      <c r="W463" s="2223" t="str" cm="1">
        <f t="array" ref="W463">IF($D463&lt;COLUMNS($F$7:W$7),"",INDEX(TableDiv[[GASB]:[GASB]],_xlfn.AGGREGATE(15,3,(TableDiv[[Agency]:[Agency]]=$E463)/(TableDiv[[Agency]:[Agency]]=$E463)*(ROW(TableDiv[Agency])-ROW(TableDiv[[#Headers],[Agency]])),COLUMNS($F$7:W$7))))</f>
        <v/>
      </c>
      <c r="X463" s="2223" t="str" cm="1">
        <f t="array" ref="X463">IF($D463&lt;COLUMNS($F$7:X$7),"",INDEX(TableDiv[[GASB]:[GASB]],_xlfn.AGGREGATE(15,3,(TableDiv[[Agency]:[Agency]]=$E463)/(TableDiv[[Agency]:[Agency]]=$E463)*(ROW(TableDiv[Agency])-ROW(TableDiv[[#Headers],[Agency]])),COLUMNS($F$7:X$7))))</f>
        <v/>
      </c>
      <c r="Y463" s="2223" t="str" cm="1">
        <f t="array" ref="Y463">IF($D463&lt;COLUMNS($F$7:Y$7),"",INDEX(TableDiv[[GASB]:[GASB]],_xlfn.AGGREGATE(15,3,(TableDiv[[Agency]:[Agency]]=$E463)/(TableDiv[[Agency]:[Agency]]=$E463)*(ROW(TableDiv[Agency])-ROW(TableDiv[[#Headers],[Agency]])),COLUMNS($F$7:Y$7))))</f>
        <v/>
      </c>
      <c r="Z463" s="2223" t="str" cm="1">
        <f t="array" ref="Z463">IF($D463&lt;COLUMNS($F$7:Z$7),"",INDEX(TableDiv[[GASB]:[GASB]],_xlfn.AGGREGATE(15,3,(TableDiv[[Agency]:[Agency]]=$E463)/(TableDiv[[Agency]:[Agency]]=$E463)*(ROW(TableDiv[Agency])-ROW(TableDiv[[#Headers],[Agency]])),COLUMNS($F$7:Z$7))))</f>
        <v/>
      </c>
      <c r="AA463" s="2223" t="str" cm="1">
        <f t="array" ref="AA463">IF($D463&lt;COLUMNS($F$7:AA$7),"",INDEX(TableDiv[[GASB]:[GASB]],_xlfn.AGGREGATE(15,3,(TableDiv[[Agency]:[Agency]]=$E463)/(TableDiv[[Agency]:[Agency]]=$E463)*(ROW(TableDiv[Agency])-ROW(TableDiv[[#Headers],[Agency]])),COLUMNS($F$7:AA$7))))</f>
        <v/>
      </c>
      <c r="AB463" s="2223" t="str" cm="1">
        <f t="array" ref="AB463">IF($D463&lt;COLUMNS($F$7:AB$7),"",INDEX(TableDiv[[GASB]:[GASB]],_xlfn.AGGREGATE(15,3,(TableDiv[[Agency]:[Agency]]=$E463)/(TableDiv[[Agency]:[Agency]]=$E463)*(ROW(TableDiv[Agency])-ROW(TableDiv[[#Headers],[Agency]])),COLUMNS($F$7:AB$7))))</f>
        <v/>
      </c>
      <c r="AC463" s="2223" t="str" cm="1">
        <f t="array" ref="AC463">IF($D463&lt;COLUMNS($F$7:AC$7),"",INDEX(TableDiv[[GASB]:[GASB]],_xlfn.AGGREGATE(15,3,(TableDiv[[Agency]:[Agency]]=$E463)/(TableDiv[[Agency]:[Agency]]=$E463)*(ROW(TableDiv[Agency])-ROW(TableDiv[[#Headers],[Agency]])),COLUMNS($F$7:AC$7))))</f>
        <v/>
      </c>
      <c r="AD463" s="2223" t="str" cm="1">
        <f t="array" ref="AD463">IF($D463&lt;COLUMNS($F$7:AD$7),"",INDEX(TableDiv[[GASB]:[GASB]],_xlfn.AGGREGATE(15,3,(TableDiv[[Agency]:[Agency]]=$E463)/(TableDiv[[Agency]:[Agency]]=$E463)*(ROW(TableDiv[Agency])-ROW(TableDiv[[#Headers],[Agency]])),COLUMNS($F$7:AD$7))))</f>
        <v/>
      </c>
      <c r="AE463" s="2223" t="str" cm="1">
        <f t="array" ref="AE463">IF($D463&lt;COLUMNS($F$7:AE$7),"",INDEX(TableDiv[[GASB]:[GASB]],_xlfn.AGGREGATE(15,3,(TableDiv[[Agency]:[Agency]]=$E463)/(TableDiv[[Agency]:[Agency]]=$E463)*(ROW(TableDiv[Agency])-ROW(TableDiv[[#Headers],[Agency]])),COLUMNS($F$7:AE$7))))</f>
        <v/>
      </c>
      <c r="AF463" s="2223" t="str" cm="1">
        <f t="array" ref="AF463">IF($D463&lt;COLUMNS($F$7:AF$7),"",INDEX(TableDiv[[GASB]:[GASB]],_xlfn.AGGREGATE(15,3,(TableDiv[[Agency]:[Agency]]=$E463)/(TableDiv[[Agency]:[Agency]]=$E463)*(ROW(TableDiv[Agency])-ROW(TableDiv[[#Headers],[Agency]])),COLUMNS($F$7:AF$7))))</f>
        <v/>
      </c>
      <c r="AG463" s="2223" t="str" cm="1">
        <f t="array" ref="AG463">IF($D463&lt;COLUMNS($F$7:AG$7),"",INDEX(TableDiv[[GASB]:[GASB]],_xlfn.AGGREGATE(15,3,(TableDiv[[Agency]:[Agency]]=$E463)/(TableDiv[[Agency]:[Agency]]=$E463)*(ROW(TableDiv[Agency])-ROW(TableDiv[[#Headers],[Agency]])),COLUMNS($F$7:AG$7))))</f>
        <v/>
      </c>
      <c r="AH463" s="2223" t="str" cm="1">
        <f t="array" ref="AH463">IF($D463&lt;COLUMNS($F$7:AH$7),"",INDEX(TableDiv[[GASB]:[GASB]],_xlfn.AGGREGATE(15,3,(TableDiv[[Agency]:[Agency]]=$E463)/(TableDiv[[Agency]:[Agency]]=$E463)*(ROW(TableDiv[Agency])-ROW(TableDiv[[#Headers],[Agency]])),COLUMNS($F$7:AH$7))))</f>
        <v/>
      </c>
      <c r="AI463" s="2223" t="str" cm="1">
        <f t="array" ref="AI463">IF($D463&lt;COLUMNS($F$7:AI$7),"",INDEX(TableDiv[[GASB]:[GASB]],_xlfn.AGGREGATE(15,3,(TableDiv[[Agency]:[Agency]]=$E463)/(TableDiv[[Agency]:[Agency]]=$E463)*(ROW(TableDiv[Agency])-ROW(TableDiv[[#Headers],[Agency]])),COLUMNS($F$7:AI$7))))</f>
        <v/>
      </c>
      <c r="AJ463" s="2223" t="str" cm="1">
        <f t="array" ref="AJ463">IF($D463&lt;COLUMNS($F$7:AJ$7),"",INDEX(TableDiv[[GASB]:[GASB]],_xlfn.AGGREGATE(15,3,(TableDiv[[Agency]:[Agency]]=$E463)/(TableDiv[[Agency]:[Agency]]=$E463)*(ROW(TableDiv[Agency])-ROW(TableDiv[[#Headers],[Agency]])),COLUMNS($F$7:AJ$7))))</f>
        <v/>
      </c>
      <c r="AK463" s="2223" t="str" cm="1">
        <f t="array" ref="AK463">IF($D463&lt;COLUMNS($F$7:AK$7),"",INDEX(TableDiv[[GASB]:[GASB]],_xlfn.AGGREGATE(15,3,(TableDiv[[Agency]:[Agency]]=$E463)/(TableDiv[[Agency]:[Agency]]=$E463)*(ROW(TableDiv[Agency])-ROW(TableDiv[[#Headers],[Agency]])),COLUMNS($F$7:AK$7))))</f>
        <v/>
      </c>
      <c r="AL463" s="2223" t="str" cm="1">
        <f t="array" ref="AL463">IF($D463&lt;COLUMNS($F$7:AL$7),"",INDEX(TableDiv[[GASB]:[GASB]],_xlfn.AGGREGATE(15,3,(TableDiv[[Agency]:[Agency]]=$E463)/(TableDiv[[Agency]:[Agency]]=$E463)*(ROW(TableDiv[Agency])-ROW(TableDiv[[#Headers],[Agency]])),COLUMNS($F$7:AL$7))))</f>
        <v/>
      </c>
      <c r="AM463" s="2223" t="str" cm="1">
        <f t="array" ref="AM463">IF($D463&lt;COLUMNS($F$7:AM$7),"",INDEX(TableDiv[[GASB]:[GASB]],_xlfn.AGGREGATE(15,3,(TableDiv[[Agency]:[Agency]]=$E463)/(TableDiv[[Agency]:[Agency]]=$E463)*(ROW(TableDiv[Agency])-ROW(TableDiv[[#Headers],[Agency]])),COLUMNS($F$7:AM$7))))</f>
        <v/>
      </c>
      <c r="AN463" s="2223"/>
      <c r="AO463" s="2223"/>
      <c r="AP463" s="2223"/>
      <c r="AQ463" s="2223"/>
      <c r="AR463" s="2223"/>
      <c r="AS463" s="2223"/>
    </row>
    <row r="464" spans="1:45" ht="15" x14ac:dyDescent="0.25">
      <c r="A464" s="2219" t="s">
        <v>5251</v>
      </c>
      <c r="B464" s="2219" t="s">
        <v>6543</v>
      </c>
      <c r="C464" s="2223"/>
      <c r="W464" s="2223" t="str" cm="1">
        <f t="array" ref="W464">IF($D464&lt;COLUMNS($F$7:W$7),"",INDEX(TableDiv[[GASB]:[GASB]],_xlfn.AGGREGATE(15,3,(TableDiv[[Agency]:[Agency]]=$E464)/(TableDiv[[Agency]:[Agency]]=$E464)*(ROW(TableDiv[Agency])-ROW(TableDiv[[#Headers],[Agency]])),COLUMNS($F$7:W$7))))</f>
        <v/>
      </c>
      <c r="X464" s="2223" t="str" cm="1">
        <f t="array" ref="X464">IF($D464&lt;COLUMNS($F$7:X$7),"",INDEX(TableDiv[[GASB]:[GASB]],_xlfn.AGGREGATE(15,3,(TableDiv[[Agency]:[Agency]]=$E464)/(TableDiv[[Agency]:[Agency]]=$E464)*(ROW(TableDiv[Agency])-ROW(TableDiv[[#Headers],[Agency]])),COLUMNS($F$7:X$7))))</f>
        <v/>
      </c>
      <c r="Y464" s="2223" t="str" cm="1">
        <f t="array" ref="Y464">IF($D464&lt;COLUMNS($F$7:Y$7),"",INDEX(TableDiv[[GASB]:[GASB]],_xlfn.AGGREGATE(15,3,(TableDiv[[Agency]:[Agency]]=$E464)/(TableDiv[[Agency]:[Agency]]=$E464)*(ROW(TableDiv[Agency])-ROW(TableDiv[[#Headers],[Agency]])),COLUMNS($F$7:Y$7))))</f>
        <v/>
      </c>
      <c r="Z464" s="2223" t="str" cm="1">
        <f t="array" ref="Z464">IF($D464&lt;COLUMNS($F$7:Z$7),"",INDEX(TableDiv[[GASB]:[GASB]],_xlfn.AGGREGATE(15,3,(TableDiv[[Agency]:[Agency]]=$E464)/(TableDiv[[Agency]:[Agency]]=$E464)*(ROW(TableDiv[Agency])-ROW(TableDiv[[#Headers],[Agency]])),COLUMNS($F$7:Z$7))))</f>
        <v/>
      </c>
      <c r="AA464" s="2223" t="str" cm="1">
        <f t="array" ref="AA464">IF($D464&lt;COLUMNS($F$7:AA$7),"",INDEX(TableDiv[[GASB]:[GASB]],_xlfn.AGGREGATE(15,3,(TableDiv[[Agency]:[Agency]]=$E464)/(TableDiv[[Agency]:[Agency]]=$E464)*(ROW(TableDiv[Agency])-ROW(TableDiv[[#Headers],[Agency]])),COLUMNS($F$7:AA$7))))</f>
        <v/>
      </c>
      <c r="AB464" s="2223" t="str" cm="1">
        <f t="array" ref="AB464">IF($D464&lt;COLUMNS($F$7:AB$7),"",INDEX(TableDiv[[GASB]:[GASB]],_xlfn.AGGREGATE(15,3,(TableDiv[[Agency]:[Agency]]=$E464)/(TableDiv[[Agency]:[Agency]]=$E464)*(ROW(TableDiv[Agency])-ROW(TableDiv[[#Headers],[Agency]])),COLUMNS($F$7:AB$7))))</f>
        <v/>
      </c>
      <c r="AC464" s="2223" t="str" cm="1">
        <f t="array" ref="AC464">IF($D464&lt;COLUMNS($F$7:AC$7),"",INDEX(TableDiv[[GASB]:[GASB]],_xlfn.AGGREGATE(15,3,(TableDiv[[Agency]:[Agency]]=$E464)/(TableDiv[[Agency]:[Agency]]=$E464)*(ROW(TableDiv[Agency])-ROW(TableDiv[[#Headers],[Agency]])),COLUMNS($F$7:AC$7))))</f>
        <v/>
      </c>
      <c r="AD464" s="2223" t="str" cm="1">
        <f t="array" ref="AD464">IF($D464&lt;COLUMNS($F$7:AD$7),"",INDEX(TableDiv[[GASB]:[GASB]],_xlfn.AGGREGATE(15,3,(TableDiv[[Agency]:[Agency]]=$E464)/(TableDiv[[Agency]:[Agency]]=$E464)*(ROW(TableDiv[Agency])-ROW(TableDiv[[#Headers],[Agency]])),COLUMNS($F$7:AD$7))))</f>
        <v/>
      </c>
      <c r="AE464" s="2223" t="str" cm="1">
        <f t="array" ref="AE464">IF($D464&lt;COLUMNS($F$7:AE$7),"",INDEX(TableDiv[[GASB]:[GASB]],_xlfn.AGGREGATE(15,3,(TableDiv[[Agency]:[Agency]]=$E464)/(TableDiv[[Agency]:[Agency]]=$E464)*(ROW(TableDiv[Agency])-ROW(TableDiv[[#Headers],[Agency]])),COLUMNS($F$7:AE$7))))</f>
        <v/>
      </c>
      <c r="AF464" s="2223" t="str" cm="1">
        <f t="array" ref="AF464">IF($D464&lt;COLUMNS($F$7:AF$7),"",INDEX(TableDiv[[GASB]:[GASB]],_xlfn.AGGREGATE(15,3,(TableDiv[[Agency]:[Agency]]=$E464)/(TableDiv[[Agency]:[Agency]]=$E464)*(ROW(TableDiv[Agency])-ROW(TableDiv[[#Headers],[Agency]])),COLUMNS($F$7:AF$7))))</f>
        <v/>
      </c>
      <c r="AG464" s="2223" t="str" cm="1">
        <f t="array" ref="AG464">IF($D464&lt;COLUMNS($F$7:AG$7),"",INDEX(TableDiv[[GASB]:[GASB]],_xlfn.AGGREGATE(15,3,(TableDiv[[Agency]:[Agency]]=$E464)/(TableDiv[[Agency]:[Agency]]=$E464)*(ROW(TableDiv[Agency])-ROW(TableDiv[[#Headers],[Agency]])),COLUMNS($F$7:AG$7))))</f>
        <v/>
      </c>
      <c r="AH464" s="2223" t="str" cm="1">
        <f t="array" ref="AH464">IF($D464&lt;COLUMNS($F$7:AH$7),"",INDEX(TableDiv[[GASB]:[GASB]],_xlfn.AGGREGATE(15,3,(TableDiv[[Agency]:[Agency]]=$E464)/(TableDiv[[Agency]:[Agency]]=$E464)*(ROW(TableDiv[Agency])-ROW(TableDiv[[#Headers],[Agency]])),COLUMNS($F$7:AH$7))))</f>
        <v/>
      </c>
      <c r="AI464" s="2223" t="str" cm="1">
        <f t="array" ref="AI464">IF($D464&lt;COLUMNS($F$7:AI$7),"",INDEX(TableDiv[[GASB]:[GASB]],_xlfn.AGGREGATE(15,3,(TableDiv[[Agency]:[Agency]]=$E464)/(TableDiv[[Agency]:[Agency]]=$E464)*(ROW(TableDiv[Agency])-ROW(TableDiv[[#Headers],[Agency]])),COLUMNS($F$7:AI$7))))</f>
        <v/>
      </c>
      <c r="AJ464" s="2223" t="str" cm="1">
        <f t="array" ref="AJ464">IF($D464&lt;COLUMNS($F$7:AJ$7),"",INDEX(TableDiv[[GASB]:[GASB]],_xlfn.AGGREGATE(15,3,(TableDiv[[Agency]:[Agency]]=$E464)/(TableDiv[[Agency]:[Agency]]=$E464)*(ROW(TableDiv[Agency])-ROW(TableDiv[[#Headers],[Agency]])),COLUMNS($F$7:AJ$7))))</f>
        <v/>
      </c>
      <c r="AK464" s="2223" t="str" cm="1">
        <f t="array" ref="AK464">IF($D464&lt;COLUMNS($F$7:AK$7),"",INDEX(TableDiv[[GASB]:[GASB]],_xlfn.AGGREGATE(15,3,(TableDiv[[Agency]:[Agency]]=$E464)/(TableDiv[[Agency]:[Agency]]=$E464)*(ROW(TableDiv[Agency])-ROW(TableDiv[[#Headers],[Agency]])),COLUMNS($F$7:AK$7))))</f>
        <v/>
      </c>
      <c r="AL464" s="2223" t="str" cm="1">
        <f t="array" ref="AL464">IF($D464&lt;COLUMNS($F$7:AL$7),"",INDEX(TableDiv[[GASB]:[GASB]],_xlfn.AGGREGATE(15,3,(TableDiv[[Agency]:[Agency]]=$E464)/(TableDiv[[Agency]:[Agency]]=$E464)*(ROW(TableDiv[Agency])-ROW(TableDiv[[#Headers],[Agency]])),COLUMNS($F$7:AL$7))))</f>
        <v/>
      </c>
      <c r="AM464" s="2223" t="str" cm="1">
        <f t="array" ref="AM464">IF($D464&lt;COLUMNS($F$7:AM$7),"",INDEX(TableDiv[[GASB]:[GASB]],_xlfn.AGGREGATE(15,3,(TableDiv[[Agency]:[Agency]]=$E464)/(TableDiv[[Agency]:[Agency]]=$E464)*(ROW(TableDiv[Agency])-ROW(TableDiv[[#Headers],[Agency]])),COLUMNS($F$7:AM$7))))</f>
        <v/>
      </c>
      <c r="AN464" s="2223"/>
      <c r="AO464" s="2223"/>
      <c r="AP464" s="2223"/>
      <c r="AQ464" s="2223"/>
      <c r="AR464" s="2223"/>
      <c r="AS464" s="2223"/>
    </row>
    <row r="465" spans="1:45" ht="15" x14ac:dyDescent="0.25">
      <c r="A465" s="2219" t="s">
        <v>5253</v>
      </c>
      <c r="B465" s="2219" t="s">
        <v>6543</v>
      </c>
      <c r="C465" s="2223"/>
      <c r="W465" s="2223" t="str" cm="1">
        <f t="array" ref="W465">IF($D465&lt;COLUMNS($F$7:W$7),"",INDEX(TableDiv[[GASB]:[GASB]],_xlfn.AGGREGATE(15,3,(TableDiv[[Agency]:[Agency]]=$E465)/(TableDiv[[Agency]:[Agency]]=$E465)*(ROW(TableDiv[Agency])-ROW(TableDiv[[#Headers],[Agency]])),COLUMNS($F$7:W$7))))</f>
        <v/>
      </c>
      <c r="X465" s="2223" t="str" cm="1">
        <f t="array" ref="X465">IF($D465&lt;COLUMNS($F$7:X$7),"",INDEX(TableDiv[[GASB]:[GASB]],_xlfn.AGGREGATE(15,3,(TableDiv[[Agency]:[Agency]]=$E465)/(TableDiv[[Agency]:[Agency]]=$E465)*(ROW(TableDiv[Agency])-ROW(TableDiv[[#Headers],[Agency]])),COLUMNS($F$7:X$7))))</f>
        <v/>
      </c>
      <c r="Y465" s="2223" t="str" cm="1">
        <f t="array" ref="Y465">IF($D465&lt;COLUMNS($F$7:Y$7),"",INDEX(TableDiv[[GASB]:[GASB]],_xlfn.AGGREGATE(15,3,(TableDiv[[Agency]:[Agency]]=$E465)/(TableDiv[[Agency]:[Agency]]=$E465)*(ROW(TableDiv[Agency])-ROW(TableDiv[[#Headers],[Agency]])),COLUMNS($F$7:Y$7))))</f>
        <v/>
      </c>
      <c r="Z465" s="2223" t="str" cm="1">
        <f t="array" ref="Z465">IF($D465&lt;COLUMNS($F$7:Z$7),"",INDEX(TableDiv[[GASB]:[GASB]],_xlfn.AGGREGATE(15,3,(TableDiv[[Agency]:[Agency]]=$E465)/(TableDiv[[Agency]:[Agency]]=$E465)*(ROW(TableDiv[Agency])-ROW(TableDiv[[#Headers],[Agency]])),COLUMNS($F$7:Z$7))))</f>
        <v/>
      </c>
      <c r="AA465" s="2223" t="str" cm="1">
        <f t="array" ref="AA465">IF($D465&lt;COLUMNS($F$7:AA$7),"",INDEX(TableDiv[[GASB]:[GASB]],_xlfn.AGGREGATE(15,3,(TableDiv[[Agency]:[Agency]]=$E465)/(TableDiv[[Agency]:[Agency]]=$E465)*(ROW(TableDiv[Agency])-ROW(TableDiv[[#Headers],[Agency]])),COLUMNS($F$7:AA$7))))</f>
        <v/>
      </c>
      <c r="AB465" s="2223" t="str" cm="1">
        <f t="array" ref="AB465">IF($D465&lt;COLUMNS($F$7:AB$7),"",INDEX(TableDiv[[GASB]:[GASB]],_xlfn.AGGREGATE(15,3,(TableDiv[[Agency]:[Agency]]=$E465)/(TableDiv[[Agency]:[Agency]]=$E465)*(ROW(TableDiv[Agency])-ROW(TableDiv[[#Headers],[Agency]])),COLUMNS($F$7:AB$7))))</f>
        <v/>
      </c>
      <c r="AC465" s="2223" t="str" cm="1">
        <f t="array" ref="AC465">IF($D465&lt;COLUMNS($F$7:AC$7),"",INDEX(TableDiv[[GASB]:[GASB]],_xlfn.AGGREGATE(15,3,(TableDiv[[Agency]:[Agency]]=$E465)/(TableDiv[[Agency]:[Agency]]=$E465)*(ROW(TableDiv[Agency])-ROW(TableDiv[[#Headers],[Agency]])),COLUMNS($F$7:AC$7))))</f>
        <v/>
      </c>
      <c r="AD465" s="2223" t="str" cm="1">
        <f t="array" ref="AD465">IF($D465&lt;COLUMNS($F$7:AD$7),"",INDEX(TableDiv[[GASB]:[GASB]],_xlfn.AGGREGATE(15,3,(TableDiv[[Agency]:[Agency]]=$E465)/(TableDiv[[Agency]:[Agency]]=$E465)*(ROW(TableDiv[Agency])-ROW(TableDiv[[#Headers],[Agency]])),COLUMNS($F$7:AD$7))))</f>
        <v/>
      </c>
      <c r="AE465" s="2223" t="str" cm="1">
        <f t="array" ref="AE465">IF($D465&lt;COLUMNS($F$7:AE$7),"",INDEX(TableDiv[[GASB]:[GASB]],_xlfn.AGGREGATE(15,3,(TableDiv[[Agency]:[Agency]]=$E465)/(TableDiv[[Agency]:[Agency]]=$E465)*(ROW(TableDiv[Agency])-ROW(TableDiv[[#Headers],[Agency]])),COLUMNS($F$7:AE$7))))</f>
        <v/>
      </c>
      <c r="AF465" s="2223" t="str" cm="1">
        <f t="array" ref="AF465">IF($D465&lt;COLUMNS($F$7:AF$7),"",INDEX(TableDiv[[GASB]:[GASB]],_xlfn.AGGREGATE(15,3,(TableDiv[[Agency]:[Agency]]=$E465)/(TableDiv[[Agency]:[Agency]]=$E465)*(ROW(TableDiv[Agency])-ROW(TableDiv[[#Headers],[Agency]])),COLUMNS($F$7:AF$7))))</f>
        <v/>
      </c>
      <c r="AG465" s="2223" t="str" cm="1">
        <f t="array" ref="AG465">IF($D465&lt;COLUMNS($F$7:AG$7),"",INDEX(TableDiv[[GASB]:[GASB]],_xlfn.AGGREGATE(15,3,(TableDiv[[Agency]:[Agency]]=$E465)/(TableDiv[[Agency]:[Agency]]=$E465)*(ROW(TableDiv[Agency])-ROW(TableDiv[[#Headers],[Agency]])),COLUMNS($F$7:AG$7))))</f>
        <v/>
      </c>
      <c r="AH465" s="2223" t="str" cm="1">
        <f t="array" ref="AH465">IF($D465&lt;COLUMNS($F$7:AH$7),"",INDEX(TableDiv[[GASB]:[GASB]],_xlfn.AGGREGATE(15,3,(TableDiv[[Agency]:[Agency]]=$E465)/(TableDiv[[Agency]:[Agency]]=$E465)*(ROW(TableDiv[Agency])-ROW(TableDiv[[#Headers],[Agency]])),COLUMNS($F$7:AH$7))))</f>
        <v/>
      </c>
      <c r="AI465" s="2223" t="str" cm="1">
        <f t="array" ref="AI465">IF($D465&lt;COLUMNS($F$7:AI$7),"",INDEX(TableDiv[[GASB]:[GASB]],_xlfn.AGGREGATE(15,3,(TableDiv[[Agency]:[Agency]]=$E465)/(TableDiv[[Agency]:[Agency]]=$E465)*(ROW(TableDiv[Agency])-ROW(TableDiv[[#Headers],[Agency]])),COLUMNS($F$7:AI$7))))</f>
        <v/>
      </c>
      <c r="AJ465" s="2223" t="str" cm="1">
        <f t="array" ref="AJ465">IF($D465&lt;COLUMNS($F$7:AJ$7),"",INDEX(TableDiv[[GASB]:[GASB]],_xlfn.AGGREGATE(15,3,(TableDiv[[Agency]:[Agency]]=$E465)/(TableDiv[[Agency]:[Agency]]=$E465)*(ROW(TableDiv[Agency])-ROW(TableDiv[[#Headers],[Agency]])),COLUMNS($F$7:AJ$7))))</f>
        <v/>
      </c>
      <c r="AK465" s="2223" t="str" cm="1">
        <f t="array" ref="AK465">IF($D465&lt;COLUMNS($F$7:AK$7),"",INDEX(TableDiv[[GASB]:[GASB]],_xlfn.AGGREGATE(15,3,(TableDiv[[Agency]:[Agency]]=$E465)/(TableDiv[[Agency]:[Agency]]=$E465)*(ROW(TableDiv[Agency])-ROW(TableDiv[[#Headers],[Agency]])),COLUMNS($F$7:AK$7))))</f>
        <v/>
      </c>
      <c r="AL465" s="2223" t="str" cm="1">
        <f t="array" ref="AL465">IF($D465&lt;COLUMNS($F$7:AL$7),"",INDEX(TableDiv[[GASB]:[GASB]],_xlfn.AGGREGATE(15,3,(TableDiv[[Agency]:[Agency]]=$E465)/(TableDiv[[Agency]:[Agency]]=$E465)*(ROW(TableDiv[Agency])-ROW(TableDiv[[#Headers],[Agency]])),COLUMNS($F$7:AL$7))))</f>
        <v/>
      </c>
      <c r="AM465" s="2223" t="str" cm="1">
        <f t="array" ref="AM465">IF($D465&lt;COLUMNS($F$7:AM$7),"",INDEX(TableDiv[[GASB]:[GASB]],_xlfn.AGGREGATE(15,3,(TableDiv[[Agency]:[Agency]]=$E465)/(TableDiv[[Agency]:[Agency]]=$E465)*(ROW(TableDiv[Agency])-ROW(TableDiv[[#Headers],[Agency]])),COLUMNS($F$7:AM$7))))</f>
        <v/>
      </c>
      <c r="AN465" s="2223"/>
      <c r="AO465" s="2223"/>
      <c r="AP465" s="2223"/>
      <c r="AQ465" s="2223"/>
      <c r="AR465" s="2223"/>
      <c r="AS465" s="2223"/>
    </row>
    <row r="466" spans="1:45" ht="15" x14ac:dyDescent="0.25">
      <c r="A466" s="2219" t="s">
        <v>5255</v>
      </c>
      <c r="B466" s="2219" t="s">
        <v>6543</v>
      </c>
      <c r="C466" s="2223"/>
      <c r="W466" s="2223" t="str" cm="1">
        <f t="array" ref="W466">IF($D466&lt;COLUMNS($F$7:W$7),"",INDEX(TableDiv[[GASB]:[GASB]],_xlfn.AGGREGATE(15,3,(TableDiv[[Agency]:[Agency]]=$E466)/(TableDiv[[Agency]:[Agency]]=$E466)*(ROW(TableDiv[Agency])-ROW(TableDiv[[#Headers],[Agency]])),COLUMNS($F$7:W$7))))</f>
        <v/>
      </c>
      <c r="X466" s="2223" t="str" cm="1">
        <f t="array" ref="X466">IF($D466&lt;COLUMNS($F$7:X$7),"",INDEX(TableDiv[[GASB]:[GASB]],_xlfn.AGGREGATE(15,3,(TableDiv[[Agency]:[Agency]]=$E466)/(TableDiv[[Agency]:[Agency]]=$E466)*(ROW(TableDiv[Agency])-ROW(TableDiv[[#Headers],[Agency]])),COLUMNS($F$7:X$7))))</f>
        <v/>
      </c>
      <c r="Y466" s="2223" t="str" cm="1">
        <f t="array" ref="Y466">IF($D466&lt;COLUMNS($F$7:Y$7),"",INDEX(TableDiv[[GASB]:[GASB]],_xlfn.AGGREGATE(15,3,(TableDiv[[Agency]:[Agency]]=$E466)/(TableDiv[[Agency]:[Agency]]=$E466)*(ROW(TableDiv[Agency])-ROW(TableDiv[[#Headers],[Agency]])),COLUMNS($F$7:Y$7))))</f>
        <v/>
      </c>
      <c r="Z466" s="2223" t="str" cm="1">
        <f t="array" ref="Z466">IF($D466&lt;COLUMNS($F$7:Z$7),"",INDEX(TableDiv[[GASB]:[GASB]],_xlfn.AGGREGATE(15,3,(TableDiv[[Agency]:[Agency]]=$E466)/(TableDiv[[Agency]:[Agency]]=$E466)*(ROW(TableDiv[Agency])-ROW(TableDiv[[#Headers],[Agency]])),COLUMNS($F$7:Z$7))))</f>
        <v/>
      </c>
      <c r="AA466" s="2223" t="str" cm="1">
        <f t="array" ref="AA466">IF($D466&lt;COLUMNS($F$7:AA$7),"",INDEX(TableDiv[[GASB]:[GASB]],_xlfn.AGGREGATE(15,3,(TableDiv[[Agency]:[Agency]]=$E466)/(TableDiv[[Agency]:[Agency]]=$E466)*(ROW(TableDiv[Agency])-ROW(TableDiv[[#Headers],[Agency]])),COLUMNS($F$7:AA$7))))</f>
        <v/>
      </c>
      <c r="AB466" s="2223" t="str" cm="1">
        <f t="array" ref="AB466">IF($D466&lt;COLUMNS($F$7:AB$7),"",INDEX(TableDiv[[GASB]:[GASB]],_xlfn.AGGREGATE(15,3,(TableDiv[[Agency]:[Agency]]=$E466)/(TableDiv[[Agency]:[Agency]]=$E466)*(ROW(TableDiv[Agency])-ROW(TableDiv[[#Headers],[Agency]])),COLUMNS($F$7:AB$7))))</f>
        <v/>
      </c>
      <c r="AC466" s="2223" t="str" cm="1">
        <f t="array" ref="AC466">IF($D466&lt;COLUMNS($F$7:AC$7),"",INDEX(TableDiv[[GASB]:[GASB]],_xlfn.AGGREGATE(15,3,(TableDiv[[Agency]:[Agency]]=$E466)/(TableDiv[[Agency]:[Agency]]=$E466)*(ROW(TableDiv[Agency])-ROW(TableDiv[[#Headers],[Agency]])),COLUMNS($F$7:AC$7))))</f>
        <v/>
      </c>
      <c r="AD466" s="2223" t="str" cm="1">
        <f t="array" ref="AD466">IF($D466&lt;COLUMNS($F$7:AD$7),"",INDEX(TableDiv[[GASB]:[GASB]],_xlfn.AGGREGATE(15,3,(TableDiv[[Agency]:[Agency]]=$E466)/(TableDiv[[Agency]:[Agency]]=$E466)*(ROW(TableDiv[Agency])-ROW(TableDiv[[#Headers],[Agency]])),COLUMNS($F$7:AD$7))))</f>
        <v/>
      </c>
      <c r="AE466" s="2223" t="str" cm="1">
        <f t="array" ref="AE466">IF($D466&lt;COLUMNS($F$7:AE$7),"",INDEX(TableDiv[[GASB]:[GASB]],_xlfn.AGGREGATE(15,3,(TableDiv[[Agency]:[Agency]]=$E466)/(TableDiv[[Agency]:[Agency]]=$E466)*(ROW(TableDiv[Agency])-ROW(TableDiv[[#Headers],[Agency]])),COLUMNS($F$7:AE$7))))</f>
        <v/>
      </c>
      <c r="AF466" s="2223" t="str" cm="1">
        <f t="array" ref="AF466">IF($D466&lt;COLUMNS($F$7:AF$7),"",INDEX(TableDiv[[GASB]:[GASB]],_xlfn.AGGREGATE(15,3,(TableDiv[[Agency]:[Agency]]=$E466)/(TableDiv[[Agency]:[Agency]]=$E466)*(ROW(TableDiv[Agency])-ROW(TableDiv[[#Headers],[Agency]])),COLUMNS($F$7:AF$7))))</f>
        <v/>
      </c>
      <c r="AG466" s="2223" t="str" cm="1">
        <f t="array" ref="AG466">IF($D466&lt;COLUMNS($F$7:AG$7),"",INDEX(TableDiv[[GASB]:[GASB]],_xlfn.AGGREGATE(15,3,(TableDiv[[Agency]:[Agency]]=$E466)/(TableDiv[[Agency]:[Agency]]=$E466)*(ROW(TableDiv[Agency])-ROW(TableDiv[[#Headers],[Agency]])),COLUMNS($F$7:AG$7))))</f>
        <v/>
      </c>
      <c r="AH466" s="2223" t="str" cm="1">
        <f t="array" ref="AH466">IF($D466&lt;COLUMNS($F$7:AH$7),"",INDEX(TableDiv[[GASB]:[GASB]],_xlfn.AGGREGATE(15,3,(TableDiv[[Agency]:[Agency]]=$E466)/(TableDiv[[Agency]:[Agency]]=$E466)*(ROW(TableDiv[Agency])-ROW(TableDiv[[#Headers],[Agency]])),COLUMNS($F$7:AH$7))))</f>
        <v/>
      </c>
      <c r="AI466" s="2223" t="str" cm="1">
        <f t="array" ref="AI466">IF($D466&lt;COLUMNS($F$7:AI$7),"",INDEX(TableDiv[[GASB]:[GASB]],_xlfn.AGGREGATE(15,3,(TableDiv[[Agency]:[Agency]]=$E466)/(TableDiv[[Agency]:[Agency]]=$E466)*(ROW(TableDiv[Agency])-ROW(TableDiv[[#Headers],[Agency]])),COLUMNS($F$7:AI$7))))</f>
        <v/>
      </c>
      <c r="AJ466" s="2223" t="str" cm="1">
        <f t="array" ref="AJ466">IF($D466&lt;COLUMNS($F$7:AJ$7),"",INDEX(TableDiv[[GASB]:[GASB]],_xlfn.AGGREGATE(15,3,(TableDiv[[Agency]:[Agency]]=$E466)/(TableDiv[[Agency]:[Agency]]=$E466)*(ROW(TableDiv[Agency])-ROW(TableDiv[[#Headers],[Agency]])),COLUMNS($F$7:AJ$7))))</f>
        <v/>
      </c>
      <c r="AK466" s="2223" t="str" cm="1">
        <f t="array" ref="AK466">IF($D466&lt;COLUMNS($F$7:AK$7),"",INDEX(TableDiv[[GASB]:[GASB]],_xlfn.AGGREGATE(15,3,(TableDiv[[Agency]:[Agency]]=$E466)/(TableDiv[[Agency]:[Agency]]=$E466)*(ROW(TableDiv[Agency])-ROW(TableDiv[[#Headers],[Agency]])),COLUMNS($F$7:AK$7))))</f>
        <v/>
      </c>
      <c r="AL466" s="2223" t="str" cm="1">
        <f t="array" ref="AL466">IF($D466&lt;COLUMNS($F$7:AL$7),"",INDEX(TableDiv[[GASB]:[GASB]],_xlfn.AGGREGATE(15,3,(TableDiv[[Agency]:[Agency]]=$E466)/(TableDiv[[Agency]:[Agency]]=$E466)*(ROW(TableDiv[Agency])-ROW(TableDiv[[#Headers],[Agency]])),COLUMNS($F$7:AL$7))))</f>
        <v/>
      </c>
      <c r="AM466" s="2223" t="str" cm="1">
        <f t="array" ref="AM466">IF($D466&lt;COLUMNS($F$7:AM$7),"",INDEX(TableDiv[[GASB]:[GASB]],_xlfn.AGGREGATE(15,3,(TableDiv[[Agency]:[Agency]]=$E466)/(TableDiv[[Agency]:[Agency]]=$E466)*(ROW(TableDiv[Agency])-ROW(TableDiv[[#Headers],[Agency]])),COLUMNS($F$7:AM$7))))</f>
        <v/>
      </c>
      <c r="AN466" s="2223"/>
      <c r="AO466" s="2223"/>
      <c r="AP466" s="2223"/>
      <c r="AQ466" s="2223"/>
      <c r="AR466" s="2223"/>
      <c r="AS466" s="2223"/>
    </row>
    <row r="467" spans="1:45" ht="15" x14ac:dyDescent="0.25">
      <c r="A467" s="2219" t="s">
        <v>5257</v>
      </c>
      <c r="B467" s="2219" t="s">
        <v>6543</v>
      </c>
      <c r="C467" s="2223"/>
      <c r="W467" s="2223" t="str" cm="1">
        <f t="array" ref="W467">IF($D467&lt;COLUMNS($F$7:W$7),"",INDEX(TableDiv[[GASB]:[GASB]],_xlfn.AGGREGATE(15,3,(TableDiv[[Agency]:[Agency]]=$E467)/(TableDiv[[Agency]:[Agency]]=$E467)*(ROW(TableDiv[Agency])-ROW(TableDiv[[#Headers],[Agency]])),COLUMNS($F$7:W$7))))</f>
        <v/>
      </c>
      <c r="X467" s="2223" t="str" cm="1">
        <f t="array" ref="X467">IF($D467&lt;COLUMNS($F$7:X$7),"",INDEX(TableDiv[[GASB]:[GASB]],_xlfn.AGGREGATE(15,3,(TableDiv[[Agency]:[Agency]]=$E467)/(TableDiv[[Agency]:[Agency]]=$E467)*(ROW(TableDiv[Agency])-ROW(TableDiv[[#Headers],[Agency]])),COLUMNS($F$7:X$7))))</f>
        <v/>
      </c>
      <c r="Y467" s="2223" t="str" cm="1">
        <f t="array" ref="Y467">IF($D467&lt;COLUMNS($F$7:Y$7),"",INDEX(TableDiv[[GASB]:[GASB]],_xlfn.AGGREGATE(15,3,(TableDiv[[Agency]:[Agency]]=$E467)/(TableDiv[[Agency]:[Agency]]=$E467)*(ROW(TableDiv[Agency])-ROW(TableDiv[[#Headers],[Agency]])),COLUMNS($F$7:Y$7))))</f>
        <v/>
      </c>
      <c r="Z467" s="2223" t="str" cm="1">
        <f t="array" ref="Z467">IF($D467&lt;COLUMNS($F$7:Z$7),"",INDEX(TableDiv[[GASB]:[GASB]],_xlfn.AGGREGATE(15,3,(TableDiv[[Agency]:[Agency]]=$E467)/(TableDiv[[Agency]:[Agency]]=$E467)*(ROW(TableDiv[Agency])-ROW(TableDiv[[#Headers],[Agency]])),COLUMNS($F$7:Z$7))))</f>
        <v/>
      </c>
      <c r="AA467" s="2223" t="str" cm="1">
        <f t="array" ref="AA467">IF($D467&lt;COLUMNS($F$7:AA$7),"",INDEX(TableDiv[[GASB]:[GASB]],_xlfn.AGGREGATE(15,3,(TableDiv[[Agency]:[Agency]]=$E467)/(TableDiv[[Agency]:[Agency]]=$E467)*(ROW(TableDiv[Agency])-ROW(TableDiv[[#Headers],[Agency]])),COLUMNS($F$7:AA$7))))</f>
        <v/>
      </c>
      <c r="AB467" s="2223" t="str" cm="1">
        <f t="array" ref="AB467">IF($D467&lt;COLUMNS($F$7:AB$7),"",INDEX(TableDiv[[GASB]:[GASB]],_xlfn.AGGREGATE(15,3,(TableDiv[[Agency]:[Agency]]=$E467)/(TableDiv[[Agency]:[Agency]]=$E467)*(ROW(TableDiv[Agency])-ROW(TableDiv[[#Headers],[Agency]])),COLUMNS($F$7:AB$7))))</f>
        <v/>
      </c>
      <c r="AC467" s="2223" t="str" cm="1">
        <f t="array" ref="AC467">IF($D467&lt;COLUMNS($F$7:AC$7),"",INDEX(TableDiv[[GASB]:[GASB]],_xlfn.AGGREGATE(15,3,(TableDiv[[Agency]:[Agency]]=$E467)/(TableDiv[[Agency]:[Agency]]=$E467)*(ROW(TableDiv[Agency])-ROW(TableDiv[[#Headers],[Agency]])),COLUMNS($F$7:AC$7))))</f>
        <v/>
      </c>
      <c r="AD467" s="2223" t="str" cm="1">
        <f t="array" ref="AD467">IF($D467&lt;COLUMNS($F$7:AD$7),"",INDEX(TableDiv[[GASB]:[GASB]],_xlfn.AGGREGATE(15,3,(TableDiv[[Agency]:[Agency]]=$E467)/(TableDiv[[Agency]:[Agency]]=$E467)*(ROW(TableDiv[Agency])-ROW(TableDiv[[#Headers],[Agency]])),COLUMNS($F$7:AD$7))))</f>
        <v/>
      </c>
      <c r="AE467" s="2223" t="str" cm="1">
        <f t="array" ref="AE467">IF($D467&lt;COLUMNS($F$7:AE$7),"",INDEX(TableDiv[[GASB]:[GASB]],_xlfn.AGGREGATE(15,3,(TableDiv[[Agency]:[Agency]]=$E467)/(TableDiv[[Agency]:[Agency]]=$E467)*(ROW(TableDiv[Agency])-ROW(TableDiv[[#Headers],[Agency]])),COLUMNS($F$7:AE$7))))</f>
        <v/>
      </c>
      <c r="AF467" s="2223" t="str" cm="1">
        <f t="array" ref="AF467">IF($D467&lt;COLUMNS($F$7:AF$7),"",INDEX(TableDiv[[GASB]:[GASB]],_xlfn.AGGREGATE(15,3,(TableDiv[[Agency]:[Agency]]=$E467)/(TableDiv[[Agency]:[Agency]]=$E467)*(ROW(TableDiv[Agency])-ROW(TableDiv[[#Headers],[Agency]])),COLUMNS($F$7:AF$7))))</f>
        <v/>
      </c>
      <c r="AG467" s="2223" t="str" cm="1">
        <f t="array" ref="AG467">IF($D467&lt;COLUMNS($F$7:AG$7),"",INDEX(TableDiv[[GASB]:[GASB]],_xlfn.AGGREGATE(15,3,(TableDiv[[Agency]:[Agency]]=$E467)/(TableDiv[[Agency]:[Agency]]=$E467)*(ROW(TableDiv[Agency])-ROW(TableDiv[[#Headers],[Agency]])),COLUMNS($F$7:AG$7))))</f>
        <v/>
      </c>
      <c r="AH467" s="2223" t="str" cm="1">
        <f t="array" ref="AH467">IF($D467&lt;COLUMNS($F$7:AH$7),"",INDEX(TableDiv[[GASB]:[GASB]],_xlfn.AGGREGATE(15,3,(TableDiv[[Agency]:[Agency]]=$E467)/(TableDiv[[Agency]:[Agency]]=$E467)*(ROW(TableDiv[Agency])-ROW(TableDiv[[#Headers],[Agency]])),COLUMNS($F$7:AH$7))))</f>
        <v/>
      </c>
      <c r="AI467" s="2223" t="str" cm="1">
        <f t="array" ref="AI467">IF($D467&lt;COLUMNS($F$7:AI$7),"",INDEX(TableDiv[[GASB]:[GASB]],_xlfn.AGGREGATE(15,3,(TableDiv[[Agency]:[Agency]]=$E467)/(TableDiv[[Agency]:[Agency]]=$E467)*(ROW(TableDiv[Agency])-ROW(TableDiv[[#Headers],[Agency]])),COLUMNS($F$7:AI$7))))</f>
        <v/>
      </c>
      <c r="AJ467" s="2223" t="str" cm="1">
        <f t="array" ref="AJ467">IF($D467&lt;COLUMNS($F$7:AJ$7),"",INDEX(TableDiv[[GASB]:[GASB]],_xlfn.AGGREGATE(15,3,(TableDiv[[Agency]:[Agency]]=$E467)/(TableDiv[[Agency]:[Agency]]=$E467)*(ROW(TableDiv[Agency])-ROW(TableDiv[[#Headers],[Agency]])),COLUMNS($F$7:AJ$7))))</f>
        <v/>
      </c>
      <c r="AK467" s="2223" t="str" cm="1">
        <f t="array" ref="AK467">IF($D467&lt;COLUMNS($F$7:AK$7),"",INDEX(TableDiv[[GASB]:[GASB]],_xlfn.AGGREGATE(15,3,(TableDiv[[Agency]:[Agency]]=$E467)/(TableDiv[[Agency]:[Agency]]=$E467)*(ROW(TableDiv[Agency])-ROW(TableDiv[[#Headers],[Agency]])),COLUMNS($F$7:AK$7))))</f>
        <v/>
      </c>
      <c r="AL467" s="2223" t="str" cm="1">
        <f t="array" ref="AL467">IF($D467&lt;COLUMNS($F$7:AL$7),"",INDEX(TableDiv[[GASB]:[GASB]],_xlfn.AGGREGATE(15,3,(TableDiv[[Agency]:[Agency]]=$E467)/(TableDiv[[Agency]:[Agency]]=$E467)*(ROW(TableDiv[Agency])-ROW(TableDiv[[#Headers],[Agency]])),COLUMNS($F$7:AL$7))))</f>
        <v/>
      </c>
      <c r="AM467" s="2223" t="str" cm="1">
        <f t="array" ref="AM467">IF($D467&lt;COLUMNS($F$7:AM$7),"",INDEX(TableDiv[[GASB]:[GASB]],_xlfn.AGGREGATE(15,3,(TableDiv[[Agency]:[Agency]]=$E467)/(TableDiv[[Agency]:[Agency]]=$E467)*(ROW(TableDiv[Agency])-ROW(TableDiv[[#Headers],[Agency]])),COLUMNS($F$7:AM$7))))</f>
        <v/>
      </c>
      <c r="AN467" s="2223"/>
      <c r="AO467" s="2223"/>
      <c r="AP467" s="2223"/>
      <c r="AQ467" s="2223"/>
      <c r="AR467" s="2223"/>
      <c r="AS467" s="2223"/>
    </row>
    <row r="468" spans="1:45" ht="15" x14ac:dyDescent="0.25">
      <c r="A468" s="2219" t="s">
        <v>5259</v>
      </c>
      <c r="B468" s="2219" t="s">
        <v>6543</v>
      </c>
      <c r="C468" s="2223"/>
      <c r="W468" s="2223" t="str" cm="1">
        <f t="array" ref="W468">IF($D468&lt;COLUMNS($F$7:W$7),"",INDEX(TableDiv[[GASB]:[GASB]],_xlfn.AGGREGATE(15,3,(TableDiv[[Agency]:[Agency]]=$E468)/(TableDiv[[Agency]:[Agency]]=$E468)*(ROW(TableDiv[Agency])-ROW(TableDiv[[#Headers],[Agency]])),COLUMNS($F$7:W$7))))</f>
        <v/>
      </c>
      <c r="X468" s="2223" t="str" cm="1">
        <f t="array" ref="X468">IF($D468&lt;COLUMNS($F$7:X$7),"",INDEX(TableDiv[[GASB]:[GASB]],_xlfn.AGGREGATE(15,3,(TableDiv[[Agency]:[Agency]]=$E468)/(TableDiv[[Agency]:[Agency]]=$E468)*(ROW(TableDiv[Agency])-ROW(TableDiv[[#Headers],[Agency]])),COLUMNS($F$7:X$7))))</f>
        <v/>
      </c>
      <c r="Y468" s="2223" t="str" cm="1">
        <f t="array" ref="Y468">IF($D468&lt;COLUMNS($F$7:Y$7),"",INDEX(TableDiv[[GASB]:[GASB]],_xlfn.AGGREGATE(15,3,(TableDiv[[Agency]:[Agency]]=$E468)/(TableDiv[[Agency]:[Agency]]=$E468)*(ROW(TableDiv[Agency])-ROW(TableDiv[[#Headers],[Agency]])),COLUMNS($F$7:Y$7))))</f>
        <v/>
      </c>
      <c r="Z468" s="2223" t="str" cm="1">
        <f t="array" ref="Z468">IF($D468&lt;COLUMNS($F$7:Z$7),"",INDEX(TableDiv[[GASB]:[GASB]],_xlfn.AGGREGATE(15,3,(TableDiv[[Agency]:[Agency]]=$E468)/(TableDiv[[Agency]:[Agency]]=$E468)*(ROW(TableDiv[Agency])-ROW(TableDiv[[#Headers],[Agency]])),COLUMNS($F$7:Z$7))))</f>
        <v/>
      </c>
      <c r="AA468" s="2223" t="str" cm="1">
        <f t="array" ref="AA468">IF($D468&lt;COLUMNS($F$7:AA$7),"",INDEX(TableDiv[[GASB]:[GASB]],_xlfn.AGGREGATE(15,3,(TableDiv[[Agency]:[Agency]]=$E468)/(TableDiv[[Agency]:[Agency]]=$E468)*(ROW(TableDiv[Agency])-ROW(TableDiv[[#Headers],[Agency]])),COLUMNS($F$7:AA$7))))</f>
        <v/>
      </c>
      <c r="AB468" s="2223" t="str" cm="1">
        <f t="array" ref="AB468">IF($D468&lt;COLUMNS($F$7:AB$7),"",INDEX(TableDiv[[GASB]:[GASB]],_xlfn.AGGREGATE(15,3,(TableDiv[[Agency]:[Agency]]=$E468)/(TableDiv[[Agency]:[Agency]]=$E468)*(ROW(TableDiv[Agency])-ROW(TableDiv[[#Headers],[Agency]])),COLUMNS($F$7:AB$7))))</f>
        <v/>
      </c>
      <c r="AC468" s="2223" t="str" cm="1">
        <f t="array" ref="AC468">IF($D468&lt;COLUMNS($F$7:AC$7),"",INDEX(TableDiv[[GASB]:[GASB]],_xlfn.AGGREGATE(15,3,(TableDiv[[Agency]:[Agency]]=$E468)/(TableDiv[[Agency]:[Agency]]=$E468)*(ROW(TableDiv[Agency])-ROW(TableDiv[[#Headers],[Agency]])),COLUMNS($F$7:AC$7))))</f>
        <v/>
      </c>
      <c r="AD468" s="2223" t="str" cm="1">
        <f t="array" ref="AD468">IF($D468&lt;COLUMNS($F$7:AD$7),"",INDEX(TableDiv[[GASB]:[GASB]],_xlfn.AGGREGATE(15,3,(TableDiv[[Agency]:[Agency]]=$E468)/(TableDiv[[Agency]:[Agency]]=$E468)*(ROW(TableDiv[Agency])-ROW(TableDiv[[#Headers],[Agency]])),COLUMNS($F$7:AD$7))))</f>
        <v/>
      </c>
      <c r="AE468" s="2223" t="str" cm="1">
        <f t="array" ref="AE468">IF($D468&lt;COLUMNS($F$7:AE$7),"",INDEX(TableDiv[[GASB]:[GASB]],_xlfn.AGGREGATE(15,3,(TableDiv[[Agency]:[Agency]]=$E468)/(TableDiv[[Agency]:[Agency]]=$E468)*(ROW(TableDiv[Agency])-ROW(TableDiv[[#Headers],[Agency]])),COLUMNS($F$7:AE$7))))</f>
        <v/>
      </c>
      <c r="AF468" s="2223" t="str" cm="1">
        <f t="array" ref="AF468">IF($D468&lt;COLUMNS($F$7:AF$7),"",INDEX(TableDiv[[GASB]:[GASB]],_xlfn.AGGREGATE(15,3,(TableDiv[[Agency]:[Agency]]=$E468)/(TableDiv[[Agency]:[Agency]]=$E468)*(ROW(TableDiv[Agency])-ROW(TableDiv[[#Headers],[Agency]])),COLUMNS($F$7:AF$7))))</f>
        <v/>
      </c>
      <c r="AG468" s="2223" t="str" cm="1">
        <f t="array" ref="AG468">IF($D468&lt;COLUMNS($F$7:AG$7),"",INDEX(TableDiv[[GASB]:[GASB]],_xlfn.AGGREGATE(15,3,(TableDiv[[Agency]:[Agency]]=$E468)/(TableDiv[[Agency]:[Agency]]=$E468)*(ROW(TableDiv[Agency])-ROW(TableDiv[[#Headers],[Agency]])),COLUMNS($F$7:AG$7))))</f>
        <v/>
      </c>
      <c r="AH468" s="2223" t="str" cm="1">
        <f t="array" ref="AH468">IF($D468&lt;COLUMNS($F$7:AH$7),"",INDEX(TableDiv[[GASB]:[GASB]],_xlfn.AGGREGATE(15,3,(TableDiv[[Agency]:[Agency]]=$E468)/(TableDiv[[Agency]:[Agency]]=$E468)*(ROW(TableDiv[Agency])-ROW(TableDiv[[#Headers],[Agency]])),COLUMNS($F$7:AH$7))))</f>
        <v/>
      </c>
      <c r="AI468" s="2223" t="str" cm="1">
        <f t="array" ref="AI468">IF($D468&lt;COLUMNS($F$7:AI$7),"",INDEX(TableDiv[[GASB]:[GASB]],_xlfn.AGGREGATE(15,3,(TableDiv[[Agency]:[Agency]]=$E468)/(TableDiv[[Agency]:[Agency]]=$E468)*(ROW(TableDiv[Agency])-ROW(TableDiv[[#Headers],[Agency]])),COLUMNS($F$7:AI$7))))</f>
        <v/>
      </c>
      <c r="AJ468" s="2223" t="str" cm="1">
        <f t="array" ref="AJ468">IF($D468&lt;COLUMNS($F$7:AJ$7),"",INDEX(TableDiv[[GASB]:[GASB]],_xlfn.AGGREGATE(15,3,(TableDiv[[Agency]:[Agency]]=$E468)/(TableDiv[[Agency]:[Agency]]=$E468)*(ROW(TableDiv[Agency])-ROW(TableDiv[[#Headers],[Agency]])),COLUMNS($F$7:AJ$7))))</f>
        <v/>
      </c>
      <c r="AK468" s="2223" t="str" cm="1">
        <f t="array" ref="AK468">IF($D468&lt;COLUMNS($F$7:AK$7),"",INDEX(TableDiv[[GASB]:[GASB]],_xlfn.AGGREGATE(15,3,(TableDiv[[Agency]:[Agency]]=$E468)/(TableDiv[[Agency]:[Agency]]=$E468)*(ROW(TableDiv[Agency])-ROW(TableDiv[[#Headers],[Agency]])),COLUMNS($F$7:AK$7))))</f>
        <v/>
      </c>
      <c r="AL468" s="2223" t="str" cm="1">
        <f t="array" ref="AL468">IF($D468&lt;COLUMNS($F$7:AL$7),"",INDEX(TableDiv[[GASB]:[GASB]],_xlfn.AGGREGATE(15,3,(TableDiv[[Agency]:[Agency]]=$E468)/(TableDiv[[Agency]:[Agency]]=$E468)*(ROW(TableDiv[Agency])-ROW(TableDiv[[#Headers],[Agency]])),COLUMNS($F$7:AL$7))))</f>
        <v/>
      </c>
      <c r="AM468" s="2223" t="str" cm="1">
        <f t="array" ref="AM468">IF($D468&lt;COLUMNS($F$7:AM$7),"",INDEX(TableDiv[[GASB]:[GASB]],_xlfn.AGGREGATE(15,3,(TableDiv[[Agency]:[Agency]]=$E468)/(TableDiv[[Agency]:[Agency]]=$E468)*(ROW(TableDiv[Agency])-ROW(TableDiv[[#Headers],[Agency]])),COLUMNS($F$7:AM$7))))</f>
        <v/>
      </c>
      <c r="AN468" s="2223"/>
      <c r="AO468" s="2223"/>
      <c r="AP468" s="2223"/>
      <c r="AQ468" s="2223"/>
      <c r="AR468" s="2223"/>
      <c r="AS468" s="2223"/>
    </row>
    <row r="469" spans="1:45" ht="15" x14ac:dyDescent="0.25">
      <c r="A469" s="2219" t="s">
        <v>5261</v>
      </c>
      <c r="B469" s="2219" t="s">
        <v>6543</v>
      </c>
      <c r="C469" s="2223"/>
      <c r="W469" s="2223" t="str" cm="1">
        <f t="array" ref="W469">IF($D469&lt;COLUMNS($F$7:W$7),"",INDEX(TableDiv[[GASB]:[GASB]],_xlfn.AGGREGATE(15,3,(TableDiv[[Agency]:[Agency]]=$E469)/(TableDiv[[Agency]:[Agency]]=$E469)*(ROW(TableDiv[Agency])-ROW(TableDiv[[#Headers],[Agency]])),COLUMNS($F$7:W$7))))</f>
        <v/>
      </c>
      <c r="X469" s="2223" t="str" cm="1">
        <f t="array" ref="X469">IF($D469&lt;COLUMNS($F$7:X$7),"",INDEX(TableDiv[[GASB]:[GASB]],_xlfn.AGGREGATE(15,3,(TableDiv[[Agency]:[Agency]]=$E469)/(TableDiv[[Agency]:[Agency]]=$E469)*(ROW(TableDiv[Agency])-ROW(TableDiv[[#Headers],[Agency]])),COLUMNS($F$7:X$7))))</f>
        <v/>
      </c>
      <c r="Y469" s="2223" t="str" cm="1">
        <f t="array" ref="Y469">IF($D469&lt;COLUMNS($F$7:Y$7),"",INDEX(TableDiv[[GASB]:[GASB]],_xlfn.AGGREGATE(15,3,(TableDiv[[Agency]:[Agency]]=$E469)/(TableDiv[[Agency]:[Agency]]=$E469)*(ROW(TableDiv[Agency])-ROW(TableDiv[[#Headers],[Agency]])),COLUMNS($F$7:Y$7))))</f>
        <v/>
      </c>
      <c r="Z469" s="2223" t="str" cm="1">
        <f t="array" ref="Z469">IF($D469&lt;COLUMNS($F$7:Z$7),"",INDEX(TableDiv[[GASB]:[GASB]],_xlfn.AGGREGATE(15,3,(TableDiv[[Agency]:[Agency]]=$E469)/(TableDiv[[Agency]:[Agency]]=$E469)*(ROW(TableDiv[Agency])-ROW(TableDiv[[#Headers],[Agency]])),COLUMNS($F$7:Z$7))))</f>
        <v/>
      </c>
      <c r="AA469" s="2223" t="str" cm="1">
        <f t="array" ref="AA469">IF($D469&lt;COLUMNS($F$7:AA$7),"",INDEX(TableDiv[[GASB]:[GASB]],_xlfn.AGGREGATE(15,3,(TableDiv[[Agency]:[Agency]]=$E469)/(TableDiv[[Agency]:[Agency]]=$E469)*(ROW(TableDiv[Agency])-ROW(TableDiv[[#Headers],[Agency]])),COLUMNS($F$7:AA$7))))</f>
        <v/>
      </c>
      <c r="AB469" s="2223" t="str" cm="1">
        <f t="array" ref="AB469">IF($D469&lt;COLUMNS($F$7:AB$7),"",INDEX(TableDiv[[GASB]:[GASB]],_xlfn.AGGREGATE(15,3,(TableDiv[[Agency]:[Agency]]=$E469)/(TableDiv[[Agency]:[Agency]]=$E469)*(ROW(TableDiv[Agency])-ROW(TableDiv[[#Headers],[Agency]])),COLUMNS($F$7:AB$7))))</f>
        <v/>
      </c>
      <c r="AC469" s="2223" t="str" cm="1">
        <f t="array" ref="AC469">IF($D469&lt;COLUMNS($F$7:AC$7),"",INDEX(TableDiv[[GASB]:[GASB]],_xlfn.AGGREGATE(15,3,(TableDiv[[Agency]:[Agency]]=$E469)/(TableDiv[[Agency]:[Agency]]=$E469)*(ROW(TableDiv[Agency])-ROW(TableDiv[[#Headers],[Agency]])),COLUMNS($F$7:AC$7))))</f>
        <v/>
      </c>
      <c r="AD469" s="2223" t="str" cm="1">
        <f t="array" ref="AD469">IF($D469&lt;COLUMNS($F$7:AD$7),"",INDEX(TableDiv[[GASB]:[GASB]],_xlfn.AGGREGATE(15,3,(TableDiv[[Agency]:[Agency]]=$E469)/(TableDiv[[Agency]:[Agency]]=$E469)*(ROW(TableDiv[Agency])-ROW(TableDiv[[#Headers],[Agency]])),COLUMNS($F$7:AD$7))))</f>
        <v/>
      </c>
      <c r="AE469" s="2223" t="str" cm="1">
        <f t="array" ref="AE469">IF($D469&lt;COLUMNS($F$7:AE$7),"",INDEX(TableDiv[[GASB]:[GASB]],_xlfn.AGGREGATE(15,3,(TableDiv[[Agency]:[Agency]]=$E469)/(TableDiv[[Agency]:[Agency]]=$E469)*(ROW(TableDiv[Agency])-ROW(TableDiv[[#Headers],[Agency]])),COLUMNS($F$7:AE$7))))</f>
        <v/>
      </c>
      <c r="AF469" s="2223" t="str" cm="1">
        <f t="array" ref="AF469">IF($D469&lt;COLUMNS($F$7:AF$7),"",INDEX(TableDiv[[GASB]:[GASB]],_xlfn.AGGREGATE(15,3,(TableDiv[[Agency]:[Agency]]=$E469)/(TableDiv[[Agency]:[Agency]]=$E469)*(ROW(TableDiv[Agency])-ROW(TableDiv[[#Headers],[Agency]])),COLUMNS($F$7:AF$7))))</f>
        <v/>
      </c>
      <c r="AG469" s="2223" t="str" cm="1">
        <f t="array" ref="AG469">IF($D469&lt;COLUMNS($F$7:AG$7),"",INDEX(TableDiv[[GASB]:[GASB]],_xlfn.AGGREGATE(15,3,(TableDiv[[Agency]:[Agency]]=$E469)/(TableDiv[[Agency]:[Agency]]=$E469)*(ROW(TableDiv[Agency])-ROW(TableDiv[[#Headers],[Agency]])),COLUMNS($F$7:AG$7))))</f>
        <v/>
      </c>
      <c r="AH469" s="2223" t="str" cm="1">
        <f t="array" ref="AH469">IF($D469&lt;COLUMNS($F$7:AH$7),"",INDEX(TableDiv[[GASB]:[GASB]],_xlfn.AGGREGATE(15,3,(TableDiv[[Agency]:[Agency]]=$E469)/(TableDiv[[Agency]:[Agency]]=$E469)*(ROW(TableDiv[Agency])-ROW(TableDiv[[#Headers],[Agency]])),COLUMNS($F$7:AH$7))))</f>
        <v/>
      </c>
      <c r="AI469" s="2223" t="str" cm="1">
        <f t="array" ref="AI469">IF($D469&lt;COLUMNS($F$7:AI$7),"",INDEX(TableDiv[[GASB]:[GASB]],_xlfn.AGGREGATE(15,3,(TableDiv[[Agency]:[Agency]]=$E469)/(TableDiv[[Agency]:[Agency]]=$E469)*(ROW(TableDiv[Agency])-ROW(TableDiv[[#Headers],[Agency]])),COLUMNS($F$7:AI$7))))</f>
        <v/>
      </c>
      <c r="AJ469" s="2223" t="str" cm="1">
        <f t="array" ref="AJ469">IF($D469&lt;COLUMNS($F$7:AJ$7),"",INDEX(TableDiv[[GASB]:[GASB]],_xlfn.AGGREGATE(15,3,(TableDiv[[Agency]:[Agency]]=$E469)/(TableDiv[[Agency]:[Agency]]=$E469)*(ROW(TableDiv[Agency])-ROW(TableDiv[[#Headers],[Agency]])),COLUMNS($F$7:AJ$7))))</f>
        <v/>
      </c>
      <c r="AK469" s="2223" t="str" cm="1">
        <f t="array" ref="AK469">IF($D469&lt;COLUMNS($F$7:AK$7),"",INDEX(TableDiv[[GASB]:[GASB]],_xlfn.AGGREGATE(15,3,(TableDiv[[Agency]:[Agency]]=$E469)/(TableDiv[[Agency]:[Agency]]=$E469)*(ROW(TableDiv[Agency])-ROW(TableDiv[[#Headers],[Agency]])),COLUMNS($F$7:AK$7))))</f>
        <v/>
      </c>
      <c r="AL469" s="2223" t="str" cm="1">
        <f t="array" ref="AL469">IF($D469&lt;COLUMNS($F$7:AL$7),"",INDEX(TableDiv[[GASB]:[GASB]],_xlfn.AGGREGATE(15,3,(TableDiv[[Agency]:[Agency]]=$E469)/(TableDiv[[Agency]:[Agency]]=$E469)*(ROW(TableDiv[Agency])-ROW(TableDiv[[#Headers],[Agency]])),COLUMNS($F$7:AL$7))))</f>
        <v/>
      </c>
      <c r="AM469" s="2223" t="str" cm="1">
        <f t="array" ref="AM469">IF($D469&lt;COLUMNS($F$7:AM$7),"",INDEX(TableDiv[[GASB]:[GASB]],_xlfn.AGGREGATE(15,3,(TableDiv[[Agency]:[Agency]]=$E469)/(TableDiv[[Agency]:[Agency]]=$E469)*(ROW(TableDiv[Agency])-ROW(TableDiv[[#Headers],[Agency]])),COLUMNS($F$7:AM$7))))</f>
        <v/>
      </c>
      <c r="AN469" s="2223"/>
      <c r="AO469" s="2223"/>
      <c r="AP469" s="2223"/>
      <c r="AQ469" s="2223"/>
      <c r="AR469" s="2223"/>
      <c r="AS469" s="2223"/>
    </row>
    <row r="470" spans="1:45" ht="15" x14ac:dyDescent="0.25">
      <c r="A470" s="2219" t="s">
        <v>5263</v>
      </c>
      <c r="B470" s="2219" t="s">
        <v>6543</v>
      </c>
      <c r="C470" s="2223"/>
      <c r="W470" s="2223" t="str" cm="1">
        <f t="array" ref="W470">IF($D470&lt;COLUMNS($F$7:W$7),"",INDEX(TableDiv[[GASB]:[GASB]],_xlfn.AGGREGATE(15,3,(TableDiv[[Agency]:[Agency]]=$E470)/(TableDiv[[Agency]:[Agency]]=$E470)*(ROW(TableDiv[Agency])-ROW(TableDiv[[#Headers],[Agency]])),COLUMNS($F$7:W$7))))</f>
        <v/>
      </c>
      <c r="X470" s="2223" t="str" cm="1">
        <f t="array" ref="X470">IF($D470&lt;COLUMNS($F$7:X$7),"",INDEX(TableDiv[[GASB]:[GASB]],_xlfn.AGGREGATE(15,3,(TableDiv[[Agency]:[Agency]]=$E470)/(TableDiv[[Agency]:[Agency]]=$E470)*(ROW(TableDiv[Agency])-ROW(TableDiv[[#Headers],[Agency]])),COLUMNS($F$7:X$7))))</f>
        <v/>
      </c>
      <c r="Y470" s="2223" t="str" cm="1">
        <f t="array" ref="Y470">IF($D470&lt;COLUMNS($F$7:Y$7),"",INDEX(TableDiv[[GASB]:[GASB]],_xlfn.AGGREGATE(15,3,(TableDiv[[Agency]:[Agency]]=$E470)/(TableDiv[[Agency]:[Agency]]=$E470)*(ROW(TableDiv[Agency])-ROW(TableDiv[[#Headers],[Agency]])),COLUMNS($F$7:Y$7))))</f>
        <v/>
      </c>
      <c r="Z470" s="2223" t="str" cm="1">
        <f t="array" ref="Z470">IF($D470&lt;COLUMNS($F$7:Z$7),"",INDEX(TableDiv[[GASB]:[GASB]],_xlfn.AGGREGATE(15,3,(TableDiv[[Agency]:[Agency]]=$E470)/(TableDiv[[Agency]:[Agency]]=$E470)*(ROW(TableDiv[Agency])-ROW(TableDiv[[#Headers],[Agency]])),COLUMNS($F$7:Z$7))))</f>
        <v/>
      </c>
      <c r="AA470" s="2223" t="str" cm="1">
        <f t="array" ref="AA470">IF($D470&lt;COLUMNS($F$7:AA$7),"",INDEX(TableDiv[[GASB]:[GASB]],_xlfn.AGGREGATE(15,3,(TableDiv[[Agency]:[Agency]]=$E470)/(TableDiv[[Agency]:[Agency]]=$E470)*(ROW(TableDiv[Agency])-ROW(TableDiv[[#Headers],[Agency]])),COLUMNS($F$7:AA$7))))</f>
        <v/>
      </c>
      <c r="AB470" s="2223" t="str" cm="1">
        <f t="array" ref="AB470">IF($D470&lt;COLUMNS($F$7:AB$7),"",INDEX(TableDiv[[GASB]:[GASB]],_xlfn.AGGREGATE(15,3,(TableDiv[[Agency]:[Agency]]=$E470)/(TableDiv[[Agency]:[Agency]]=$E470)*(ROW(TableDiv[Agency])-ROW(TableDiv[[#Headers],[Agency]])),COLUMNS($F$7:AB$7))))</f>
        <v/>
      </c>
      <c r="AC470" s="2223" t="str" cm="1">
        <f t="array" ref="AC470">IF($D470&lt;COLUMNS($F$7:AC$7),"",INDEX(TableDiv[[GASB]:[GASB]],_xlfn.AGGREGATE(15,3,(TableDiv[[Agency]:[Agency]]=$E470)/(TableDiv[[Agency]:[Agency]]=$E470)*(ROW(TableDiv[Agency])-ROW(TableDiv[[#Headers],[Agency]])),COLUMNS($F$7:AC$7))))</f>
        <v/>
      </c>
      <c r="AD470" s="2223" t="str" cm="1">
        <f t="array" ref="AD470">IF($D470&lt;COLUMNS($F$7:AD$7),"",INDEX(TableDiv[[GASB]:[GASB]],_xlfn.AGGREGATE(15,3,(TableDiv[[Agency]:[Agency]]=$E470)/(TableDiv[[Agency]:[Agency]]=$E470)*(ROW(TableDiv[Agency])-ROW(TableDiv[[#Headers],[Agency]])),COLUMNS($F$7:AD$7))))</f>
        <v/>
      </c>
      <c r="AE470" s="2223" t="str" cm="1">
        <f t="array" ref="AE470">IF($D470&lt;COLUMNS($F$7:AE$7),"",INDEX(TableDiv[[GASB]:[GASB]],_xlfn.AGGREGATE(15,3,(TableDiv[[Agency]:[Agency]]=$E470)/(TableDiv[[Agency]:[Agency]]=$E470)*(ROW(TableDiv[Agency])-ROW(TableDiv[[#Headers],[Agency]])),COLUMNS($F$7:AE$7))))</f>
        <v/>
      </c>
      <c r="AF470" s="2223" t="str" cm="1">
        <f t="array" ref="AF470">IF($D470&lt;COLUMNS($F$7:AF$7),"",INDEX(TableDiv[[GASB]:[GASB]],_xlfn.AGGREGATE(15,3,(TableDiv[[Agency]:[Agency]]=$E470)/(TableDiv[[Agency]:[Agency]]=$E470)*(ROW(TableDiv[Agency])-ROW(TableDiv[[#Headers],[Agency]])),COLUMNS($F$7:AF$7))))</f>
        <v/>
      </c>
      <c r="AG470" s="2223" t="str" cm="1">
        <f t="array" ref="AG470">IF($D470&lt;COLUMNS($F$7:AG$7),"",INDEX(TableDiv[[GASB]:[GASB]],_xlfn.AGGREGATE(15,3,(TableDiv[[Agency]:[Agency]]=$E470)/(TableDiv[[Agency]:[Agency]]=$E470)*(ROW(TableDiv[Agency])-ROW(TableDiv[[#Headers],[Agency]])),COLUMNS($F$7:AG$7))))</f>
        <v/>
      </c>
      <c r="AH470" s="2223" t="str" cm="1">
        <f t="array" ref="AH470">IF($D470&lt;COLUMNS($F$7:AH$7),"",INDEX(TableDiv[[GASB]:[GASB]],_xlfn.AGGREGATE(15,3,(TableDiv[[Agency]:[Agency]]=$E470)/(TableDiv[[Agency]:[Agency]]=$E470)*(ROW(TableDiv[Agency])-ROW(TableDiv[[#Headers],[Agency]])),COLUMNS($F$7:AH$7))))</f>
        <v/>
      </c>
      <c r="AI470" s="2223" t="str" cm="1">
        <f t="array" ref="AI470">IF($D470&lt;COLUMNS($F$7:AI$7),"",INDEX(TableDiv[[GASB]:[GASB]],_xlfn.AGGREGATE(15,3,(TableDiv[[Agency]:[Agency]]=$E470)/(TableDiv[[Agency]:[Agency]]=$E470)*(ROW(TableDiv[Agency])-ROW(TableDiv[[#Headers],[Agency]])),COLUMNS($F$7:AI$7))))</f>
        <v/>
      </c>
      <c r="AJ470" s="2223" t="str" cm="1">
        <f t="array" ref="AJ470">IF($D470&lt;COLUMNS($F$7:AJ$7),"",INDEX(TableDiv[[GASB]:[GASB]],_xlfn.AGGREGATE(15,3,(TableDiv[[Agency]:[Agency]]=$E470)/(TableDiv[[Agency]:[Agency]]=$E470)*(ROW(TableDiv[Agency])-ROW(TableDiv[[#Headers],[Agency]])),COLUMNS($F$7:AJ$7))))</f>
        <v/>
      </c>
      <c r="AK470" s="2223" t="str" cm="1">
        <f t="array" ref="AK470">IF($D470&lt;COLUMNS($F$7:AK$7),"",INDEX(TableDiv[[GASB]:[GASB]],_xlfn.AGGREGATE(15,3,(TableDiv[[Agency]:[Agency]]=$E470)/(TableDiv[[Agency]:[Agency]]=$E470)*(ROW(TableDiv[Agency])-ROW(TableDiv[[#Headers],[Agency]])),COLUMNS($F$7:AK$7))))</f>
        <v/>
      </c>
      <c r="AL470" s="2223" t="str" cm="1">
        <f t="array" ref="AL470">IF($D470&lt;COLUMNS($F$7:AL$7),"",INDEX(TableDiv[[GASB]:[GASB]],_xlfn.AGGREGATE(15,3,(TableDiv[[Agency]:[Agency]]=$E470)/(TableDiv[[Agency]:[Agency]]=$E470)*(ROW(TableDiv[Agency])-ROW(TableDiv[[#Headers],[Agency]])),COLUMNS($F$7:AL$7))))</f>
        <v/>
      </c>
      <c r="AM470" s="2223" t="str" cm="1">
        <f t="array" ref="AM470">IF($D470&lt;COLUMNS($F$7:AM$7),"",INDEX(TableDiv[[GASB]:[GASB]],_xlfn.AGGREGATE(15,3,(TableDiv[[Agency]:[Agency]]=$E470)/(TableDiv[[Agency]:[Agency]]=$E470)*(ROW(TableDiv[Agency])-ROW(TableDiv[[#Headers],[Agency]])),COLUMNS($F$7:AM$7))))</f>
        <v/>
      </c>
      <c r="AN470" s="2223"/>
      <c r="AO470" s="2223"/>
      <c r="AP470" s="2223"/>
      <c r="AQ470" s="2223"/>
      <c r="AR470" s="2223"/>
      <c r="AS470" s="2223"/>
    </row>
    <row r="471" spans="1:45" ht="15" x14ac:dyDescent="0.25">
      <c r="A471" s="2219" t="s">
        <v>5265</v>
      </c>
      <c r="B471" s="2219" t="s">
        <v>6543</v>
      </c>
      <c r="C471" s="2223"/>
      <c r="W471" s="2223" t="str" cm="1">
        <f t="array" ref="W471">IF($D471&lt;COLUMNS($F$7:W$7),"",INDEX(TableDiv[[GASB]:[GASB]],_xlfn.AGGREGATE(15,3,(TableDiv[[Agency]:[Agency]]=$E471)/(TableDiv[[Agency]:[Agency]]=$E471)*(ROW(TableDiv[Agency])-ROW(TableDiv[[#Headers],[Agency]])),COLUMNS($F$7:W$7))))</f>
        <v/>
      </c>
      <c r="X471" s="2223" t="str" cm="1">
        <f t="array" ref="X471">IF($D471&lt;COLUMNS($F$7:X$7),"",INDEX(TableDiv[[GASB]:[GASB]],_xlfn.AGGREGATE(15,3,(TableDiv[[Agency]:[Agency]]=$E471)/(TableDiv[[Agency]:[Agency]]=$E471)*(ROW(TableDiv[Agency])-ROW(TableDiv[[#Headers],[Agency]])),COLUMNS($F$7:X$7))))</f>
        <v/>
      </c>
      <c r="Y471" s="2223" t="str" cm="1">
        <f t="array" ref="Y471">IF($D471&lt;COLUMNS($F$7:Y$7),"",INDEX(TableDiv[[GASB]:[GASB]],_xlfn.AGGREGATE(15,3,(TableDiv[[Agency]:[Agency]]=$E471)/(TableDiv[[Agency]:[Agency]]=$E471)*(ROW(TableDiv[Agency])-ROW(TableDiv[[#Headers],[Agency]])),COLUMNS($F$7:Y$7))))</f>
        <v/>
      </c>
      <c r="Z471" s="2223" t="str" cm="1">
        <f t="array" ref="Z471">IF($D471&lt;COLUMNS($F$7:Z$7),"",INDEX(TableDiv[[GASB]:[GASB]],_xlfn.AGGREGATE(15,3,(TableDiv[[Agency]:[Agency]]=$E471)/(TableDiv[[Agency]:[Agency]]=$E471)*(ROW(TableDiv[Agency])-ROW(TableDiv[[#Headers],[Agency]])),COLUMNS($F$7:Z$7))))</f>
        <v/>
      </c>
      <c r="AA471" s="2223" t="str" cm="1">
        <f t="array" ref="AA471">IF($D471&lt;COLUMNS($F$7:AA$7),"",INDEX(TableDiv[[GASB]:[GASB]],_xlfn.AGGREGATE(15,3,(TableDiv[[Agency]:[Agency]]=$E471)/(TableDiv[[Agency]:[Agency]]=$E471)*(ROW(TableDiv[Agency])-ROW(TableDiv[[#Headers],[Agency]])),COLUMNS($F$7:AA$7))))</f>
        <v/>
      </c>
      <c r="AB471" s="2223" t="str" cm="1">
        <f t="array" ref="AB471">IF($D471&lt;COLUMNS($F$7:AB$7),"",INDEX(TableDiv[[GASB]:[GASB]],_xlfn.AGGREGATE(15,3,(TableDiv[[Agency]:[Agency]]=$E471)/(TableDiv[[Agency]:[Agency]]=$E471)*(ROW(TableDiv[Agency])-ROW(TableDiv[[#Headers],[Agency]])),COLUMNS($F$7:AB$7))))</f>
        <v/>
      </c>
      <c r="AC471" s="2223" t="str" cm="1">
        <f t="array" ref="AC471">IF($D471&lt;COLUMNS($F$7:AC$7),"",INDEX(TableDiv[[GASB]:[GASB]],_xlfn.AGGREGATE(15,3,(TableDiv[[Agency]:[Agency]]=$E471)/(TableDiv[[Agency]:[Agency]]=$E471)*(ROW(TableDiv[Agency])-ROW(TableDiv[[#Headers],[Agency]])),COLUMNS($F$7:AC$7))))</f>
        <v/>
      </c>
      <c r="AD471" s="2223" t="str" cm="1">
        <f t="array" ref="AD471">IF($D471&lt;COLUMNS($F$7:AD$7),"",INDEX(TableDiv[[GASB]:[GASB]],_xlfn.AGGREGATE(15,3,(TableDiv[[Agency]:[Agency]]=$E471)/(TableDiv[[Agency]:[Agency]]=$E471)*(ROW(TableDiv[Agency])-ROW(TableDiv[[#Headers],[Agency]])),COLUMNS($F$7:AD$7))))</f>
        <v/>
      </c>
      <c r="AE471" s="2223" t="str" cm="1">
        <f t="array" ref="AE471">IF($D471&lt;COLUMNS($F$7:AE$7),"",INDEX(TableDiv[[GASB]:[GASB]],_xlfn.AGGREGATE(15,3,(TableDiv[[Agency]:[Agency]]=$E471)/(TableDiv[[Agency]:[Agency]]=$E471)*(ROW(TableDiv[Agency])-ROW(TableDiv[[#Headers],[Agency]])),COLUMNS($F$7:AE$7))))</f>
        <v/>
      </c>
      <c r="AF471" s="2223" t="str" cm="1">
        <f t="array" ref="AF471">IF($D471&lt;COLUMNS($F$7:AF$7),"",INDEX(TableDiv[[GASB]:[GASB]],_xlfn.AGGREGATE(15,3,(TableDiv[[Agency]:[Agency]]=$E471)/(TableDiv[[Agency]:[Agency]]=$E471)*(ROW(TableDiv[Agency])-ROW(TableDiv[[#Headers],[Agency]])),COLUMNS($F$7:AF$7))))</f>
        <v/>
      </c>
      <c r="AG471" s="2223" t="str" cm="1">
        <f t="array" ref="AG471">IF($D471&lt;COLUMNS($F$7:AG$7),"",INDEX(TableDiv[[GASB]:[GASB]],_xlfn.AGGREGATE(15,3,(TableDiv[[Agency]:[Agency]]=$E471)/(TableDiv[[Agency]:[Agency]]=$E471)*(ROW(TableDiv[Agency])-ROW(TableDiv[[#Headers],[Agency]])),COLUMNS($F$7:AG$7))))</f>
        <v/>
      </c>
      <c r="AH471" s="2223" t="str" cm="1">
        <f t="array" ref="AH471">IF($D471&lt;COLUMNS($F$7:AH$7),"",INDEX(TableDiv[[GASB]:[GASB]],_xlfn.AGGREGATE(15,3,(TableDiv[[Agency]:[Agency]]=$E471)/(TableDiv[[Agency]:[Agency]]=$E471)*(ROW(TableDiv[Agency])-ROW(TableDiv[[#Headers],[Agency]])),COLUMNS($F$7:AH$7))))</f>
        <v/>
      </c>
      <c r="AI471" s="2223" t="str" cm="1">
        <f t="array" ref="AI471">IF($D471&lt;COLUMNS($F$7:AI$7),"",INDEX(TableDiv[[GASB]:[GASB]],_xlfn.AGGREGATE(15,3,(TableDiv[[Agency]:[Agency]]=$E471)/(TableDiv[[Agency]:[Agency]]=$E471)*(ROW(TableDiv[Agency])-ROW(TableDiv[[#Headers],[Agency]])),COLUMNS($F$7:AI$7))))</f>
        <v/>
      </c>
      <c r="AJ471" s="2223" t="str" cm="1">
        <f t="array" ref="AJ471">IF($D471&lt;COLUMNS($F$7:AJ$7),"",INDEX(TableDiv[[GASB]:[GASB]],_xlfn.AGGREGATE(15,3,(TableDiv[[Agency]:[Agency]]=$E471)/(TableDiv[[Agency]:[Agency]]=$E471)*(ROW(TableDiv[Agency])-ROW(TableDiv[[#Headers],[Agency]])),COLUMNS($F$7:AJ$7))))</f>
        <v/>
      </c>
      <c r="AK471" s="2223" t="str" cm="1">
        <f t="array" ref="AK471">IF($D471&lt;COLUMNS($F$7:AK$7),"",INDEX(TableDiv[[GASB]:[GASB]],_xlfn.AGGREGATE(15,3,(TableDiv[[Agency]:[Agency]]=$E471)/(TableDiv[[Agency]:[Agency]]=$E471)*(ROW(TableDiv[Agency])-ROW(TableDiv[[#Headers],[Agency]])),COLUMNS($F$7:AK$7))))</f>
        <v/>
      </c>
      <c r="AL471" s="2223" t="str" cm="1">
        <f t="array" ref="AL471">IF($D471&lt;COLUMNS($F$7:AL$7),"",INDEX(TableDiv[[GASB]:[GASB]],_xlfn.AGGREGATE(15,3,(TableDiv[[Agency]:[Agency]]=$E471)/(TableDiv[[Agency]:[Agency]]=$E471)*(ROW(TableDiv[Agency])-ROW(TableDiv[[#Headers],[Agency]])),COLUMNS($F$7:AL$7))))</f>
        <v/>
      </c>
      <c r="AM471" s="2223" t="str" cm="1">
        <f t="array" ref="AM471">IF($D471&lt;COLUMNS($F$7:AM$7),"",INDEX(TableDiv[[GASB]:[GASB]],_xlfn.AGGREGATE(15,3,(TableDiv[[Agency]:[Agency]]=$E471)/(TableDiv[[Agency]:[Agency]]=$E471)*(ROW(TableDiv[Agency])-ROW(TableDiv[[#Headers],[Agency]])),COLUMNS($F$7:AM$7))))</f>
        <v/>
      </c>
      <c r="AN471" s="2223"/>
      <c r="AO471" s="2223"/>
      <c r="AP471" s="2223"/>
      <c r="AQ471" s="2223"/>
      <c r="AR471" s="2223"/>
      <c r="AS471" s="2223"/>
    </row>
    <row r="472" spans="1:45" ht="15" x14ac:dyDescent="0.25">
      <c r="A472" s="2219" t="s">
        <v>5267</v>
      </c>
      <c r="B472" s="2219" t="s">
        <v>6543</v>
      </c>
      <c r="C472" s="2223"/>
      <c r="W472" s="2223" t="str" cm="1">
        <f t="array" ref="W472">IF($D472&lt;COLUMNS($F$7:W$7),"",INDEX(TableDiv[[GASB]:[GASB]],_xlfn.AGGREGATE(15,3,(TableDiv[[Agency]:[Agency]]=$E472)/(TableDiv[[Agency]:[Agency]]=$E472)*(ROW(TableDiv[Agency])-ROW(TableDiv[[#Headers],[Agency]])),COLUMNS($F$7:W$7))))</f>
        <v/>
      </c>
      <c r="X472" s="2223" t="str" cm="1">
        <f t="array" ref="X472">IF($D472&lt;COLUMNS($F$7:X$7),"",INDEX(TableDiv[[GASB]:[GASB]],_xlfn.AGGREGATE(15,3,(TableDiv[[Agency]:[Agency]]=$E472)/(TableDiv[[Agency]:[Agency]]=$E472)*(ROW(TableDiv[Agency])-ROW(TableDiv[[#Headers],[Agency]])),COLUMNS($F$7:X$7))))</f>
        <v/>
      </c>
      <c r="Y472" s="2223" t="str" cm="1">
        <f t="array" ref="Y472">IF($D472&lt;COLUMNS($F$7:Y$7),"",INDEX(TableDiv[[GASB]:[GASB]],_xlfn.AGGREGATE(15,3,(TableDiv[[Agency]:[Agency]]=$E472)/(TableDiv[[Agency]:[Agency]]=$E472)*(ROW(TableDiv[Agency])-ROW(TableDiv[[#Headers],[Agency]])),COLUMNS($F$7:Y$7))))</f>
        <v/>
      </c>
      <c r="Z472" s="2223" t="str" cm="1">
        <f t="array" ref="Z472">IF($D472&lt;COLUMNS($F$7:Z$7),"",INDEX(TableDiv[[GASB]:[GASB]],_xlfn.AGGREGATE(15,3,(TableDiv[[Agency]:[Agency]]=$E472)/(TableDiv[[Agency]:[Agency]]=$E472)*(ROW(TableDiv[Agency])-ROW(TableDiv[[#Headers],[Agency]])),COLUMNS($F$7:Z$7))))</f>
        <v/>
      </c>
      <c r="AA472" s="2223" t="str" cm="1">
        <f t="array" ref="AA472">IF($D472&lt;COLUMNS($F$7:AA$7),"",INDEX(TableDiv[[GASB]:[GASB]],_xlfn.AGGREGATE(15,3,(TableDiv[[Agency]:[Agency]]=$E472)/(TableDiv[[Agency]:[Agency]]=$E472)*(ROW(TableDiv[Agency])-ROW(TableDiv[[#Headers],[Agency]])),COLUMNS($F$7:AA$7))))</f>
        <v/>
      </c>
      <c r="AB472" s="2223" t="str" cm="1">
        <f t="array" ref="AB472">IF($D472&lt;COLUMNS($F$7:AB$7),"",INDEX(TableDiv[[GASB]:[GASB]],_xlfn.AGGREGATE(15,3,(TableDiv[[Agency]:[Agency]]=$E472)/(TableDiv[[Agency]:[Agency]]=$E472)*(ROW(TableDiv[Agency])-ROW(TableDiv[[#Headers],[Agency]])),COLUMNS($F$7:AB$7))))</f>
        <v/>
      </c>
      <c r="AC472" s="2223" t="str" cm="1">
        <f t="array" ref="AC472">IF($D472&lt;COLUMNS($F$7:AC$7),"",INDEX(TableDiv[[GASB]:[GASB]],_xlfn.AGGREGATE(15,3,(TableDiv[[Agency]:[Agency]]=$E472)/(TableDiv[[Agency]:[Agency]]=$E472)*(ROW(TableDiv[Agency])-ROW(TableDiv[[#Headers],[Agency]])),COLUMNS($F$7:AC$7))))</f>
        <v/>
      </c>
      <c r="AD472" s="2223" t="str" cm="1">
        <f t="array" ref="AD472">IF($D472&lt;COLUMNS($F$7:AD$7),"",INDEX(TableDiv[[GASB]:[GASB]],_xlfn.AGGREGATE(15,3,(TableDiv[[Agency]:[Agency]]=$E472)/(TableDiv[[Agency]:[Agency]]=$E472)*(ROW(TableDiv[Agency])-ROW(TableDiv[[#Headers],[Agency]])),COLUMNS($F$7:AD$7))))</f>
        <v/>
      </c>
      <c r="AE472" s="2223" t="str" cm="1">
        <f t="array" ref="AE472">IF($D472&lt;COLUMNS($F$7:AE$7),"",INDEX(TableDiv[[GASB]:[GASB]],_xlfn.AGGREGATE(15,3,(TableDiv[[Agency]:[Agency]]=$E472)/(TableDiv[[Agency]:[Agency]]=$E472)*(ROW(TableDiv[Agency])-ROW(TableDiv[[#Headers],[Agency]])),COLUMNS($F$7:AE$7))))</f>
        <v/>
      </c>
      <c r="AF472" s="2223" t="str" cm="1">
        <f t="array" ref="AF472">IF($D472&lt;COLUMNS($F$7:AF$7),"",INDEX(TableDiv[[GASB]:[GASB]],_xlfn.AGGREGATE(15,3,(TableDiv[[Agency]:[Agency]]=$E472)/(TableDiv[[Agency]:[Agency]]=$E472)*(ROW(TableDiv[Agency])-ROW(TableDiv[[#Headers],[Agency]])),COLUMNS($F$7:AF$7))))</f>
        <v/>
      </c>
      <c r="AG472" s="2223" t="str" cm="1">
        <f t="array" ref="AG472">IF($D472&lt;COLUMNS($F$7:AG$7),"",INDEX(TableDiv[[GASB]:[GASB]],_xlfn.AGGREGATE(15,3,(TableDiv[[Agency]:[Agency]]=$E472)/(TableDiv[[Agency]:[Agency]]=$E472)*(ROW(TableDiv[Agency])-ROW(TableDiv[[#Headers],[Agency]])),COLUMNS($F$7:AG$7))))</f>
        <v/>
      </c>
      <c r="AH472" s="2223" t="str" cm="1">
        <f t="array" ref="AH472">IF($D472&lt;COLUMNS($F$7:AH$7),"",INDEX(TableDiv[[GASB]:[GASB]],_xlfn.AGGREGATE(15,3,(TableDiv[[Agency]:[Agency]]=$E472)/(TableDiv[[Agency]:[Agency]]=$E472)*(ROW(TableDiv[Agency])-ROW(TableDiv[[#Headers],[Agency]])),COLUMNS($F$7:AH$7))))</f>
        <v/>
      </c>
      <c r="AI472" s="2223" t="str" cm="1">
        <f t="array" ref="AI472">IF($D472&lt;COLUMNS($F$7:AI$7),"",INDEX(TableDiv[[GASB]:[GASB]],_xlfn.AGGREGATE(15,3,(TableDiv[[Agency]:[Agency]]=$E472)/(TableDiv[[Agency]:[Agency]]=$E472)*(ROW(TableDiv[Agency])-ROW(TableDiv[[#Headers],[Agency]])),COLUMNS($F$7:AI$7))))</f>
        <v/>
      </c>
      <c r="AJ472" s="2223" t="str" cm="1">
        <f t="array" ref="AJ472">IF($D472&lt;COLUMNS($F$7:AJ$7),"",INDEX(TableDiv[[GASB]:[GASB]],_xlfn.AGGREGATE(15,3,(TableDiv[[Agency]:[Agency]]=$E472)/(TableDiv[[Agency]:[Agency]]=$E472)*(ROW(TableDiv[Agency])-ROW(TableDiv[[#Headers],[Agency]])),COLUMNS($F$7:AJ$7))))</f>
        <v/>
      </c>
      <c r="AK472" s="2223" t="str" cm="1">
        <f t="array" ref="AK472">IF($D472&lt;COLUMNS($F$7:AK$7),"",INDEX(TableDiv[[GASB]:[GASB]],_xlfn.AGGREGATE(15,3,(TableDiv[[Agency]:[Agency]]=$E472)/(TableDiv[[Agency]:[Agency]]=$E472)*(ROW(TableDiv[Agency])-ROW(TableDiv[[#Headers],[Agency]])),COLUMNS($F$7:AK$7))))</f>
        <v/>
      </c>
      <c r="AL472" s="2223" t="str" cm="1">
        <f t="array" ref="AL472">IF($D472&lt;COLUMNS($F$7:AL$7),"",INDEX(TableDiv[[GASB]:[GASB]],_xlfn.AGGREGATE(15,3,(TableDiv[[Agency]:[Agency]]=$E472)/(TableDiv[[Agency]:[Agency]]=$E472)*(ROW(TableDiv[Agency])-ROW(TableDiv[[#Headers],[Agency]])),COLUMNS($F$7:AL$7))))</f>
        <v/>
      </c>
      <c r="AM472" s="2223" t="str" cm="1">
        <f t="array" ref="AM472">IF($D472&lt;COLUMNS($F$7:AM$7),"",INDEX(TableDiv[[GASB]:[GASB]],_xlfn.AGGREGATE(15,3,(TableDiv[[Agency]:[Agency]]=$E472)/(TableDiv[[Agency]:[Agency]]=$E472)*(ROW(TableDiv[Agency])-ROW(TableDiv[[#Headers],[Agency]])),COLUMNS($F$7:AM$7))))</f>
        <v/>
      </c>
      <c r="AN472" s="2223"/>
      <c r="AO472" s="2223"/>
      <c r="AP472" s="2223"/>
      <c r="AQ472" s="2223"/>
      <c r="AR472" s="2223"/>
      <c r="AS472" s="2223"/>
    </row>
    <row r="473" spans="1:45" ht="15" x14ac:dyDescent="0.25">
      <c r="A473" s="2219" t="s">
        <v>5271</v>
      </c>
      <c r="B473" s="2219" t="s">
        <v>6543</v>
      </c>
      <c r="C473" s="2223"/>
      <c r="W473" s="2223" t="str" cm="1">
        <f t="array" ref="W473">IF($D473&lt;COLUMNS($F$7:W$7),"",INDEX(TableDiv[[GASB]:[GASB]],_xlfn.AGGREGATE(15,3,(TableDiv[[Agency]:[Agency]]=$E473)/(TableDiv[[Agency]:[Agency]]=$E473)*(ROW(TableDiv[Agency])-ROW(TableDiv[[#Headers],[Agency]])),COLUMNS($F$7:W$7))))</f>
        <v/>
      </c>
      <c r="X473" s="2223" t="str" cm="1">
        <f t="array" ref="X473">IF($D473&lt;COLUMNS($F$7:X$7),"",INDEX(TableDiv[[GASB]:[GASB]],_xlfn.AGGREGATE(15,3,(TableDiv[[Agency]:[Agency]]=$E473)/(TableDiv[[Agency]:[Agency]]=$E473)*(ROW(TableDiv[Agency])-ROW(TableDiv[[#Headers],[Agency]])),COLUMNS($F$7:X$7))))</f>
        <v/>
      </c>
      <c r="Y473" s="2223" t="str" cm="1">
        <f t="array" ref="Y473">IF($D473&lt;COLUMNS($F$7:Y$7),"",INDEX(TableDiv[[GASB]:[GASB]],_xlfn.AGGREGATE(15,3,(TableDiv[[Agency]:[Agency]]=$E473)/(TableDiv[[Agency]:[Agency]]=$E473)*(ROW(TableDiv[Agency])-ROW(TableDiv[[#Headers],[Agency]])),COLUMNS($F$7:Y$7))))</f>
        <v/>
      </c>
      <c r="Z473" s="2223" t="str" cm="1">
        <f t="array" ref="Z473">IF($D473&lt;COLUMNS($F$7:Z$7),"",INDEX(TableDiv[[GASB]:[GASB]],_xlfn.AGGREGATE(15,3,(TableDiv[[Agency]:[Agency]]=$E473)/(TableDiv[[Agency]:[Agency]]=$E473)*(ROW(TableDiv[Agency])-ROW(TableDiv[[#Headers],[Agency]])),COLUMNS($F$7:Z$7))))</f>
        <v/>
      </c>
      <c r="AA473" s="2223" t="str" cm="1">
        <f t="array" ref="AA473">IF($D473&lt;COLUMNS($F$7:AA$7),"",INDEX(TableDiv[[GASB]:[GASB]],_xlfn.AGGREGATE(15,3,(TableDiv[[Agency]:[Agency]]=$E473)/(TableDiv[[Agency]:[Agency]]=$E473)*(ROW(TableDiv[Agency])-ROW(TableDiv[[#Headers],[Agency]])),COLUMNS($F$7:AA$7))))</f>
        <v/>
      </c>
      <c r="AB473" s="2223" t="str" cm="1">
        <f t="array" ref="AB473">IF($D473&lt;COLUMNS($F$7:AB$7),"",INDEX(TableDiv[[GASB]:[GASB]],_xlfn.AGGREGATE(15,3,(TableDiv[[Agency]:[Agency]]=$E473)/(TableDiv[[Agency]:[Agency]]=$E473)*(ROW(TableDiv[Agency])-ROW(TableDiv[[#Headers],[Agency]])),COLUMNS($F$7:AB$7))))</f>
        <v/>
      </c>
      <c r="AC473" s="2223" t="str" cm="1">
        <f t="array" ref="AC473">IF($D473&lt;COLUMNS($F$7:AC$7),"",INDEX(TableDiv[[GASB]:[GASB]],_xlfn.AGGREGATE(15,3,(TableDiv[[Agency]:[Agency]]=$E473)/(TableDiv[[Agency]:[Agency]]=$E473)*(ROW(TableDiv[Agency])-ROW(TableDiv[[#Headers],[Agency]])),COLUMNS($F$7:AC$7))))</f>
        <v/>
      </c>
      <c r="AD473" s="2223" t="str" cm="1">
        <f t="array" ref="AD473">IF($D473&lt;COLUMNS($F$7:AD$7),"",INDEX(TableDiv[[GASB]:[GASB]],_xlfn.AGGREGATE(15,3,(TableDiv[[Agency]:[Agency]]=$E473)/(TableDiv[[Agency]:[Agency]]=$E473)*(ROW(TableDiv[Agency])-ROW(TableDiv[[#Headers],[Agency]])),COLUMNS($F$7:AD$7))))</f>
        <v/>
      </c>
      <c r="AE473" s="2223" t="str" cm="1">
        <f t="array" ref="AE473">IF($D473&lt;COLUMNS($F$7:AE$7),"",INDEX(TableDiv[[GASB]:[GASB]],_xlfn.AGGREGATE(15,3,(TableDiv[[Agency]:[Agency]]=$E473)/(TableDiv[[Agency]:[Agency]]=$E473)*(ROW(TableDiv[Agency])-ROW(TableDiv[[#Headers],[Agency]])),COLUMNS($F$7:AE$7))))</f>
        <v/>
      </c>
      <c r="AF473" s="2223" t="str" cm="1">
        <f t="array" ref="AF473">IF($D473&lt;COLUMNS($F$7:AF$7),"",INDEX(TableDiv[[GASB]:[GASB]],_xlfn.AGGREGATE(15,3,(TableDiv[[Agency]:[Agency]]=$E473)/(TableDiv[[Agency]:[Agency]]=$E473)*(ROW(TableDiv[Agency])-ROW(TableDiv[[#Headers],[Agency]])),COLUMNS($F$7:AF$7))))</f>
        <v/>
      </c>
      <c r="AG473" s="2223" t="str" cm="1">
        <f t="array" ref="AG473">IF($D473&lt;COLUMNS($F$7:AG$7),"",INDEX(TableDiv[[GASB]:[GASB]],_xlfn.AGGREGATE(15,3,(TableDiv[[Agency]:[Agency]]=$E473)/(TableDiv[[Agency]:[Agency]]=$E473)*(ROW(TableDiv[Agency])-ROW(TableDiv[[#Headers],[Agency]])),COLUMNS($F$7:AG$7))))</f>
        <v/>
      </c>
      <c r="AH473" s="2223" t="str" cm="1">
        <f t="array" ref="AH473">IF($D473&lt;COLUMNS($F$7:AH$7),"",INDEX(TableDiv[[GASB]:[GASB]],_xlfn.AGGREGATE(15,3,(TableDiv[[Agency]:[Agency]]=$E473)/(TableDiv[[Agency]:[Agency]]=$E473)*(ROW(TableDiv[Agency])-ROW(TableDiv[[#Headers],[Agency]])),COLUMNS($F$7:AH$7))))</f>
        <v/>
      </c>
      <c r="AI473" s="2223" t="str" cm="1">
        <f t="array" ref="AI473">IF($D473&lt;COLUMNS($F$7:AI$7),"",INDEX(TableDiv[[GASB]:[GASB]],_xlfn.AGGREGATE(15,3,(TableDiv[[Agency]:[Agency]]=$E473)/(TableDiv[[Agency]:[Agency]]=$E473)*(ROW(TableDiv[Agency])-ROW(TableDiv[[#Headers],[Agency]])),COLUMNS($F$7:AI$7))))</f>
        <v/>
      </c>
      <c r="AJ473" s="2223" t="str" cm="1">
        <f t="array" ref="AJ473">IF($D473&lt;COLUMNS($F$7:AJ$7),"",INDEX(TableDiv[[GASB]:[GASB]],_xlfn.AGGREGATE(15,3,(TableDiv[[Agency]:[Agency]]=$E473)/(TableDiv[[Agency]:[Agency]]=$E473)*(ROW(TableDiv[Agency])-ROW(TableDiv[[#Headers],[Agency]])),COLUMNS($F$7:AJ$7))))</f>
        <v/>
      </c>
      <c r="AK473" s="2223" t="str" cm="1">
        <f t="array" ref="AK473">IF($D473&lt;COLUMNS($F$7:AK$7),"",INDEX(TableDiv[[GASB]:[GASB]],_xlfn.AGGREGATE(15,3,(TableDiv[[Agency]:[Agency]]=$E473)/(TableDiv[[Agency]:[Agency]]=$E473)*(ROW(TableDiv[Agency])-ROW(TableDiv[[#Headers],[Agency]])),COLUMNS($F$7:AK$7))))</f>
        <v/>
      </c>
      <c r="AL473" s="2223" t="str" cm="1">
        <f t="array" ref="AL473">IF($D473&lt;COLUMNS($F$7:AL$7),"",INDEX(TableDiv[[GASB]:[GASB]],_xlfn.AGGREGATE(15,3,(TableDiv[[Agency]:[Agency]]=$E473)/(TableDiv[[Agency]:[Agency]]=$E473)*(ROW(TableDiv[Agency])-ROW(TableDiv[[#Headers],[Agency]])),COLUMNS($F$7:AL$7))))</f>
        <v/>
      </c>
      <c r="AM473" s="2223" t="str" cm="1">
        <f t="array" ref="AM473">IF($D473&lt;COLUMNS($F$7:AM$7),"",INDEX(TableDiv[[GASB]:[GASB]],_xlfn.AGGREGATE(15,3,(TableDiv[[Agency]:[Agency]]=$E473)/(TableDiv[[Agency]:[Agency]]=$E473)*(ROW(TableDiv[Agency])-ROW(TableDiv[[#Headers],[Agency]])),COLUMNS($F$7:AM$7))))</f>
        <v/>
      </c>
      <c r="AN473" s="2223"/>
      <c r="AO473" s="2223"/>
      <c r="AP473" s="2223"/>
      <c r="AQ473" s="2223"/>
      <c r="AR473" s="2223"/>
      <c r="AS473" s="2223"/>
    </row>
    <row r="474" spans="1:45" ht="15" x14ac:dyDescent="0.25">
      <c r="A474" s="2219" t="s">
        <v>5273</v>
      </c>
      <c r="B474" s="2219" t="s">
        <v>6543</v>
      </c>
      <c r="C474" s="2223"/>
      <c r="W474" s="2223" t="str" cm="1">
        <f t="array" ref="W474">IF($D474&lt;COLUMNS($F$7:W$7),"",INDEX(TableDiv[[GASB]:[GASB]],_xlfn.AGGREGATE(15,3,(TableDiv[[Agency]:[Agency]]=$E474)/(TableDiv[[Agency]:[Agency]]=$E474)*(ROW(TableDiv[Agency])-ROW(TableDiv[[#Headers],[Agency]])),COLUMNS($F$7:W$7))))</f>
        <v/>
      </c>
      <c r="X474" s="2223" t="str" cm="1">
        <f t="array" ref="X474">IF($D474&lt;COLUMNS($F$7:X$7),"",INDEX(TableDiv[[GASB]:[GASB]],_xlfn.AGGREGATE(15,3,(TableDiv[[Agency]:[Agency]]=$E474)/(TableDiv[[Agency]:[Agency]]=$E474)*(ROW(TableDiv[Agency])-ROW(TableDiv[[#Headers],[Agency]])),COLUMNS($F$7:X$7))))</f>
        <v/>
      </c>
      <c r="Y474" s="2223" t="str" cm="1">
        <f t="array" ref="Y474">IF($D474&lt;COLUMNS($F$7:Y$7),"",INDEX(TableDiv[[GASB]:[GASB]],_xlfn.AGGREGATE(15,3,(TableDiv[[Agency]:[Agency]]=$E474)/(TableDiv[[Agency]:[Agency]]=$E474)*(ROW(TableDiv[Agency])-ROW(TableDiv[[#Headers],[Agency]])),COLUMNS($F$7:Y$7))))</f>
        <v/>
      </c>
      <c r="Z474" s="2223" t="str" cm="1">
        <f t="array" ref="Z474">IF($D474&lt;COLUMNS($F$7:Z$7),"",INDEX(TableDiv[[GASB]:[GASB]],_xlfn.AGGREGATE(15,3,(TableDiv[[Agency]:[Agency]]=$E474)/(TableDiv[[Agency]:[Agency]]=$E474)*(ROW(TableDiv[Agency])-ROW(TableDiv[[#Headers],[Agency]])),COLUMNS($F$7:Z$7))))</f>
        <v/>
      </c>
      <c r="AA474" s="2223" t="str" cm="1">
        <f t="array" ref="AA474">IF($D474&lt;COLUMNS($F$7:AA$7),"",INDEX(TableDiv[[GASB]:[GASB]],_xlfn.AGGREGATE(15,3,(TableDiv[[Agency]:[Agency]]=$E474)/(TableDiv[[Agency]:[Agency]]=$E474)*(ROW(TableDiv[Agency])-ROW(TableDiv[[#Headers],[Agency]])),COLUMNS($F$7:AA$7))))</f>
        <v/>
      </c>
      <c r="AB474" s="2223" t="str" cm="1">
        <f t="array" ref="AB474">IF($D474&lt;COLUMNS($F$7:AB$7),"",INDEX(TableDiv[[GASB]:[GASB]],_xlfn.AGGREGATE(15,3,(TableDiv[[Agency]:[Agency]]=$E474)/(TableDiv[[Agency]:[Agency]]=$E474)*(ROW(TableDiv[Agency])-ROW(TableDiv[[#Headers],[Agency]])),COLUMNS($F$7:AB$7))))</f>
        <v/>
      </c>
      <c r="AC474" s="2223" t="str" cm="1">
        <f t="array" ref="AC474">IF($D474&lt;COLUMNS($F$7:AC$7),"",INDEX(TableDiv[[GASB]:[GASB]],_xlfn.AGGREGATE(15,3,(TableDiv[[Agency]:[Agency]]=$E474)/(TableDiv[[Agency]:[Agency]]=$E474)*(ROW(TableDiv[Agency])-ROW(TableDiv[[#Headers],[Agency]])),COLUMNS($F$7:AC$7))))</f>
        <v/>
      </c>
      <c r="AD474" s="2223" t="str" cm="1">
        <f t="array" ref="AD474">IF($D474&lt;COLUMNS($F$7:AD$7),"",INDEX(TableDiv[[GASB]:[GASB]],_xlfn.AGGREGATE(15,3,(TableDiv[[Agency]:[Agency]]=$E474)/(TableDiv[[Agency]:[Agency]]=$E474)*(ROW(TableDiv[Agency])-ROW(TableDiv[[#Headers],[Agency]])),COLUMNS($F$7:AD$7))))</f>
        <v/>
      </c>
      <c r="AE474" s="2223" t="str" cm="1">
        <f t="array" ref="AE474">IF($D474&lt;COLUMNS($F$7:AE$7),"",INDEX(TableDiv[[GASB]:[GASB]],_xlfn.AGGREGATE(15,3,(TableDiv[[Agency]:[Agency]]=$E474)/(TableDiv[[Agency]:[Agency]]=$E474)*(ROW(TableDiv[Agency])-ROW(TableDiv[[#Headers],[Agency]])),COLUMNS($F$7:AE$7))))</f>
        <v/>
      </c>
      <c r="AF474" s="2223" t="str" cm="1">
        <f t="array" ref="AF474">IF($D474&lt;COLUMNS($F$7:AF$7),"",INDEX(TableDiv[[GASB]:[GASB]],_xlfn.AGGREGATE(15,3,(TableDiv[[Agency]:[Agency]]=$E474)/(TableDiv[[Agency]:[Agency]]=$E474)*(ROW(TableDiv[Agency])-ROW(TableDiv[[#Headers],[Agency]])),COLUMNS($F$7:AF$7))))</f>
        <v/>
      </c>
      <c r="AG474" s="2223" t="str" cm="1">
        <f t="array" ref="AG474">IF($D474&lt;COLUMNS($F$7:AG$7),"",INDEX(TableDiv[[GASB]:[GASB]],_xlfn.AGGREGATE(15,3,(TableDiv[[Agency]:[Agency]]=$E474)/(TableDiv[[Agency]:[Agency]]=$E474)*(ROW(TableDiv[Agency])-ROW(TableDiv[[#Headers],[Agency]])),COLUMNS($F$7:AG$7))))</f>
        <v/>
      </c>
      <c r="AH474" s="2223" t="str" cm="1">
        <f t="array" ref="AH474">IF($D474&lt;COLUMNS($F$7:AH$7),"",INDEX(TableDiv[[GASB]:[GASB]],_xlfn.AGGREGATE(15,3,(TableDiv[[Agency]:[Agency]]=$E474)/(TableDiv[[Agency]:[Agency]]=$E474)*(ROW(TableDiv[Agency])-ROW(TableDiv[[#Headers],[Agency]])),COLUMNS($F$7:AH$7))))</f>
        <v/>
      </c>
      <c r="AI474" s="2223" t="str" cm="1">
        <f t="array" ref="AI474">IF($D474&lt;COLUMNS($F$7:AI$7),"",INDEX(TableDiv[[GASB]:[GASB]],_xlfn.AGGREGATE(15,3,(TableDiv[[Agency]:[Agency]]=$E474)/(TableDiv[[Agency]:[Agency]]=$E474)*(ROW(TableDiv[Agency])-ROW(TableDiv[[#Headers],[Agency]])),COLUMNS($F$7:AI$7))))</f>
        <v/>
      </c>
      <c r="AJ474" s="2223" t="str" cm="1">
        <f t="array" ref="AJ474">IF($D474&lt;COLUMNS($F$7:AJ$7),"",INDEX(TableDiv[[GASB]:[GASB]],_xlfn.AGGREGATE(15,3,(TableDiv[[Agency]:[Agency]]=$E474)/(TableDiv[[Agency]:[Agency]]=$E474)*(ROW(TableDiv[Agency])-ROW(TableDiv[[#Headers],[Agency]])),COLUMNS($F$7:AJ$7))))</f>
        <v/>
      </c>
      <c r="AK474" s="2223" t="str" cm="1">
        <f t="array" ref="AK474">IF($D474&lt;COLUMNS($F$7:AK$7),"",INDEX(TableDiv[[GASB]:[GASB]],_xlfn.AGGREGATE(15,3,(TableDiv[[Agency]:[Agency]]=$E474)/(TableDiv[[Agency]:[Agency]]=$E474)*(ROW(TableDiv[Agency])-ROW(TableDiv[[#Headers],[Agency]])),COLUMNS($F$7:AK$7))))</f>
        <v/>
      </c>
      <c r="AL474" s="2223" t="str" cm="1">
        <f t="array" ref="AL474">IF($D474&lt;COLUMNS($F$7:AL$7),"",INDEX(TableDiv[[GASB]:[GASB]],_xlfn.AGGREGATE(15,3,(TableDiv[[Agency]:[Agency]]=$E474)/(TableDiv[[Agency]:[Agency]]=$E474)*(ROW(TableDiv[Agency])-ROW(TableDiv[[#Headers],[Agency]])),COLUMNS($F$7:AL$7))))</f>
        <v/>
      </c>
      <c r="AM474" s="2223" t="str" cm="1">
        <f t="array" ref="AM474">IF($D474&lt;COLUMNS($F$7:AM$7),"",INDEX(TableDiv[[GASB]:[GASB]],_xlfn.AGGREGATE(15,3,(TableDiv[[Agency]:[Agency]]=$E474)/(TableDiv[[Agency]:[Agency]]=$E474)*(ROW(TableDiv[Agency])-ROW(TableDiv[[#Headers],[Agency]])),COLUMNS($F$7:AM$7))))</f>
        <v/>
      </c>
      <c r="AN474" s="2223"/>
      <c r="AO474" s="2223"/>
      <c r="AP474" s="2223"/>
      <c r="AQ474" s="2223"/>
      <c r="AR474" s="2223"/>
      <c r="AS474" s="2223"/>
    </row>
    <row r="475" spans="1:45" ht="15" x14ac:dyDescent="0.25">
      <c r="A475" s="2219" t="s">
        <v>5275</v>
      </c>
      <c r="B475" s="2219" t="s">
        <v>6543</v>
      </c>
      <c r="C475" s="2223"/>
      <c r="W475" s="2223" t="str" cm="1">
        <f t="array" ref="W475">IF($D475&lt;COLUMNS($F$7:W$7),"",INDEX(TableDiv[[GASB]:[GASB]],_xlfn.AGGREGATE(15,3,(TableDiv[[Agency]:[Agency]]=$E475)/(TableDiv[[Agency]:[Agency]]=$E475)*(ROW(TableDiv[Agency])-ROW(TableDiv[[#Headers],[Agency]])),COLUMNS($F$7:W$7))))</f>
        <v/>
      </c>
      <c r="X475" s="2223" t="str" cm="1">
        <f t="array" ref="X475">IF($D475&lt;COLUMNS($F$7:X$7),"",INDEX(TableDiv[[GASB]:[GASB]],_xlfn.AGGREGATE(15,3,(TableDiv[[Agency]:[Agency]]=$E475)/(TableDiv[[Agency]:[Agency]]=$E475)*(ROW(TableDiv[Agency])-ROW(TableDiv[[#Headers],[Agency]])),COLUMNS($F$7:X$7))))</f>
        <v/>
      </c>
      <c r="Y475" s="2223" t="str" cm="1">
        <f t="array" ref="Y475">IF($D475&lt;COLUMNS($F$7:Y$7),"",INDEX(TableDiv[[GASB]:[GASB]],_xlfn.AGGREGATE(15,3,(TableDiv[[Agency]:[Agency]]=$E475)/(TableDiv[[Agency]:[Agency]]=$E475)*(ROW(TableDiv[Agency])-ROW(TableDiv[[#Headers],[Agency]])),COLUMNS($F$7:Y$7))))</f>
        <v/>
      </c>
      <c r="Z475" s="2223" t="str" cm="1">
        <f t="array" ref="Z475">IF($D475&lt;COLUMNS($F$7:Z$7),"",INDEX(TableDiv[[GASB]:[GASB]],_xlfn.AGGREGATE(15,3,(TableDiv[[Agency]:[Agency]]=$E475)/(TableDiv[[Agency]:[Agency]]=$E475)*(ROW(TableDiv[Agency])-ROW(TableDiv[[#Headers],[Agency]])),COLUMNS($F$7:Z$7))))</f>
        <v/>
      </c>
      <c r="AA475" s="2223" t="str" cm="1">
        <f t="array" ref="AA475">IF($D475&lt;COLUMNS($F$7:AA$7),"",INDEX(TableDiv[[GASB]:[GASB]],_xlfn.AGGREGATE(15,3,(TableDiv[[Agency]:[Agency]]=$E475)/(TableDiv[[Agency]:[Agency]]=$E475)*(ROW(TableDiv[Agency])-ROW(TableDiv[[#Headers],[Agency]])),COLUMNS($F$7:AA$7))))</f>
        <v/>
      </c>
      <c r="AB475" s="2223" t="str" cm="1">
        <f t="array" ref="AB475">IF($D475&lt;COLUMNS($F$7:AB$7),"",INDEX(TableDiv[[GASB]:[GASB]],_xlfn.AGGREGATE(15,3,(TableDiv[[Agency]:[Agency]]=$E475)/(TableDiv[[Agency]:[Agency]]=$E475)*(ROW(TableDiv[Agency])-ROW(TableDiv[[#Headers],[Agency]])),COLUMNS($F$7:AB$7))))</f>
        <v/>
      </c>
      <c r="AC475" s="2223" t="str" cm="1">
        <f t="array" ref="AC475">IF($D475&lt;COLUMNS($F$7:AC$7),"",INDEX(TableDiv[[GASB]:[GASB]],_xlfn.AGGREGATE(15,3,(TableDiv[[Agency]:[Agency]]=$E475)/(TableDiv[[Agency]:[Agency]]=$E475)*(ROW(TableDiv[Agency])-ROW(TableDiv[[#Headers],[Agency]])),COLUMNS($F$7:AC$7))))</f>
        <v/>
      </c>
      <c r="AD475" s="2223" t="str" cm="1">
        <f t="array" ref="AD475">IF($D475&lt;COLUMNS($F$7:AD$7),"",INDEX(TableDiv[[GASB]:[GASB]],_xlfn.AGGREGATE(15,3,(TableDiv[[Agency]:[Agency]]=$E475)/(TableDiv[[Agency]:[Agency]]=$E475)*(ROW(TableDiv[Agency])-ROW(TableDiv[[#Headers],[Agency]])),COLUMNS($F$7:AD$7))))</f>
        <v/>
      </c>
      <c r="AE475" s="2223" t="str" cm="1">
        <f t="array" ref="AE475">IF($D475&lt;COLUMNS($F$7:AE$7),"",INDEX(TableDiv[[GASB]:[GASB]],_xlfn.AGGREGATE(15,3,(TableDiv[[Agency]:[Agency]]=$E475)/(TableDiv[[Agency]:[Agency]]=$E475)*(ROW(TableDiv[Agency])-ROW(TableDiv[[#Headers],[Agency]])),COLUMNS($F$7:AE$7))))</f>
        <v/>
      </c>
      <c r="AF475" s="2223" t="str" cm="1">
        <f t="array" ref="AF475">IF($D475&lt;COLUMNS($F$7:AF$7),"",INDEX(TableDiv[[GASB]:[GASB]],_xlfn.AGGREGATE(15,3,(TableDiv[[Agency]:[Agency]]=$E475)/(TableDiv[[Agency]:[Agency]]=$E475)*(ROW(TableDiv[Agency])-ROW(TableDiv[[#Headers],[Agency]])),COLUMNS($F$7:AF$7))))</f>
        <v/>
      </c>
      <c r="AG475" s="2223" t="str" cm="1">
        <f t="array" ref="AG475">IF($D475&lt;COLUMNS($F$7:AG$7),"",INDEX(TableDiv[[GASB]:[GASB]],_xlfn.AGGREGATE(15,3,(TableDiv[[Agency]:[Agency]]=$E475)/(TableDiv[[Agency]:[Agency]]=$E475)*(ROW(TableDiv[Agency])-ROW(TableDiv[[#Headers],[Agency]])),COLUMNS($F$7:AG$7))))</f>
        <v/>
      </c>
      <c r="AH475" s="2223" t="str" cm="1">
        <f t="array" ref="AH475">IF($D475&lt;COLUMNS($F$7:AH$7),"",INDEX(TableDiv[[GASB]:[GASB]],_xlfn.AGGREGATE(15,3,(TableDiv[[Agency]:[Agency]]=$E475)/(TableDiv[[Agency]:[Agency]]=$E475)*(ROW(TableDiv[Agency])-ROW(TableDiv[[#Headers],[Agency]])),COLUMNS($F$7:AH$7))))</f>
        <v/>
      </c>
      <c r="AI475" s="2223" t="str" cm="1">
        <f t="array" ref="AI475">IF($D475&lt;COLUMNS($F$7:AI$7),"",INDEX(TableDiv[[GASB]:[GASB]],_xlfn.AGGREGATE(15,3,(TableDiv[[Agency]:[Agency]]=$E475)/(TableDiv[[Agency]:[Agency]]=$E475)*(ROW(TableDiv[Agency])-ROW(TableDiv[[#Headers],[Agency]])),COLUMNS($F$7:AI$7))))</f>
        <v/>
      </c>
      <c r="AJ475" s="2223" t="str" cm="1">
        <f t="array" ref="AJ475">IF($D475&lt;COLUMNS($F$7:AJ$7),"",INDEX(TableDiv[[GASB]:[GASB]],_xlfn.AGGREGATE(15,3,(TableDiv[[Agency]:[Agency]]=$E475)/(TableDiv[[Agency]:[Agency]]=$E475)*(ROW(TableDiv[Agency])-ROW(TableDiv[[#Headers],[Agency]])),COLUMNS($F$7:AJ$7))))</f>
        <v/>
      </c>
      <c r="AK475" s="2223" t="str" cm="1">
        <f t="array" ref="AK475">IF($D475&lt;COLUMNS($F$7:AK$7),"",INDEX(TableDiv[[GASB]:[GASB]],_xlfn.AGGREGATE(15,3,(TableDiv[[Agency]:[Agency]]=$E475)/(TableDiv[[Agency]:[Agency]]=$E475)*(ROW(TableDiv[Agency])-ROW(TableDiv[[#Headers],[Agency]])),COLUMNS($F$7:AK$7))))</f>
        <v/>
      </c>
      <c r="AL475" s="2223" t="str" cm="1">
        <f t="array" ref="AL475">IF($D475&lt;COLUMNS($F$7:AL$7),"",INDEX(TableDiv[[GASB]:[GASB]],_xlfn.AGGREGATE(15,3,(TableDiv[[Agency]:[Agency]]=$E475)/(TableDiv[[Agency]:[Agency]]=$E475)*(ROW(TableDiv[Agency])-ROW(TableDiv[[#Headers],[Agency]])),COLUMNS($F$7:AL$7))))</f>
        <v/>
      </c>
      <c r="AM475" s="2223" t="str" cm="1">
        <f t="array" ref="AM475">IF($D475&lt;COLUMNS($F$7:AM$7),"",INDEX(TableDiv[[GASB]:[GASB]],_xlfn.AGGREGATE(15,3,(TableDiv[[Agency]:[Agency]]=$E475)/(TableDiv[[Agency]:[Agency]]=$E475)*(ROW(TableDiv[Agency])-ROW(TableDiv[[#Headers],[Agency]])),COLUMNS($F$7:AM$7))))</f>
        <v/>
      </c>
      <c r="AN475" s="2223"/>
      <c r="AO475" s="2223"/>
      <c r="AP475" s="2223"/>
      <c r="AQ475" s="2223"/>
      <c r="AR475" s="2223"/>
      <c r="AS475" s="2223"/>
    </row>
    <row r="476" spans="1:45" ht="15" x14ac:dyDescent="0.25">
      <c r="A476" s="2219" t="s">
        <v>5277</v>
      </c>
      <c r="B476" s="2219" t="s">
        <v>6543</v>
      </c>
      <c r="C476" s="2223"/>
      <c r="W476" s="2223" t="str" cm="1">
        <f t="array" ref="W476">IF($D476&lt;COLUMNS($F$7:W$7),"",INDEX(TableDiv[[GASB]:[GASB]],_xlfn.AGGREGATE(15,3,(TableDiv[[Agency]:[Agency]]=$E476)/(TableDiv[[Agency]:[Agency]]=$E476)*(ROW(TableDiv[Agency])-ROW(TableDiv[[#Headers],[Agency]])),COLUMNS($F$7:W$7))))</f>
        <v/>
      </c>
      <c r="X476" s="2223" t="str" cm="1">
        <f t="array" ref="X476">IF($D476&lt;COLUMNS($F$7:X$7),"",INDEX(TableDiv[[GASB]:[GASB]],_xlfn.AGGREGATE(15,3,(TableDiv[[Agency]:[Agency]]=$E476)/(TableDiv[[Agency]:[Agency]]=$E476)*(ROW(TableDiv[Agency])-ROW(TableDiv[[#Headers],[Agency]])),COLUMNS($F$7:X$7))))</f>
        <v/>
      </c>
      <c r="Y476" s="2223" t="str" cm="1">
        <f t="array" ref="Y476">IF($D476&lt;COLUMNS($F$7:Y$7),"",INDEX(TableDiv[[GASB]:[GASB]],_xlfn.AGGREGATE(15,3,(TableDiv[[Agency]:[Agency]]=$E476)/(TableDiv[[Agency]:[Agency]]=$E476)*(ROW(TableDiv[Agency])-ROW(TableDiv[[#Headers],[Agency]])),COLUMNS($F$7:Y$7))))</f>
        <v/>
      </c>
      <c r="Z476" s="2223" t="str" cm="1">
        <f t="array" ref="Z476">IF($D476&lt;COLUMNS($F$7:Z$7),"",INDEX(TableDiv[[GASB]:[GASB]],_xlfn.AGGREGATE(15,3,(TableDiv[[Agency]:[Agency]]=$E476)/(TableDiv[[Agency]:[Agency]]=$E476)*(ROW(TableDiv[Agency])-ROW(TableDiv[[#Headers],[Agency]])),COLUMNS($F$7:Z$7))))</f>
        <v/>
      </c>
      <c r="AA476" s="2223" t="str" cm="1">
        <f t="array" ref="AA476">IF($D476&lt;COLUMNS($F$7:AA$7),"",INDEX(TableDiv[[GASB]:[GASB]],_xlfn.AGGREGATE(15,3,(TableDiv[[Agency]:[Agency]]=$E476)/(TableDiv[[Agency]:[Agency]]=$E476)*(ROW(TableDiv[Agency])-ROW(TableDiv[[#Headers],[Agency]])),COLUMNS($F$7:AA$7))))</f>
        <v/>
      </c>
      <c r="AB476" s="2223" t="str" cm="1">
        <f t="array" ref="AB476">IF($D476&lt;COLUMNS($F$7:AB$7),"",INDEX(TableDiv[[GASB]:[GASB]],_xlfn.AGGREGATE(15,3,(TableDiv[[Agency]:[Agency]]=$E476)/(TableDiv[[Agency]:[Agency]]=$E476)*(ROW(TableDiv[Agency])-ROW(TableDiv[[#Headers],[Agency]])),COLUMNS($F$7:AB$7))))</f>
        <v/>
      </c>
      <c r="AC476" s="2223" t="str" cm="1">
        <f t="array" ref="AC476">IF($D476&lt;COLUMNS($F$7:AC$7),"",INDEX(TableDiv[[GASB]:[GASB]],_xlfn.AGGREGATE(15,3,(TableDiv[[Agency]:[Agency]]=$E476)/(TableDiv[[Agency]:[Agency]]=$E476)*(ROW(TableDiv[Agency])-ROW(TableDiv[[#Headers],[Agency]])),COLUMNS($F$7:AC$7))))</f>
        <v/>
      </c>
      <c r="AD476" s="2223" t="str" cm="1">
        <f t="array" ref="AD476">IF($D476&lt;COLUMNS($F$7:AD$7),"",INDEX(TableDiv[[GASB]:[GASB]],_xlfn.AGGREGATE(15,3,(TableDiv[[Agency]:[Agency]]=$E476)/(TableDiv[[Agency]:[Agency]]=$E476)*(ROW(TableDiv[Agency])-ROW(TableDiv[[#Headers],[Agency]])),COLUMNS($F$7:AD$7))))</f>
        <v/>
      </c>
      <c r="AE476" s="2223" t="str" cm="1">
        <f t="array" ref="AE476">IF($D476&lt;COLUMNS($F$7:AE$7),"",INDEX(TableDiv[[GASB]:[GASB]],_xlfn.AGGREGATE(15,3,(TableDiv[[Agency]:[Agency]]=$E476)/(TableDiv[[Agency]:[Agency]]=$E476)*(ROW(TableDiv[Agency])-ROW(TableDiv[[#Headers],[Agency]])),COLUMNS($F$7:AE$7))))</f>
        <v/>
      </c>
      <c r="AF476" s="2223" t="str" cm="1">
        <f t="array" ref="AF476">IF($D476&lt;COLUMNS($F$7:AF$7),"",INDEX(TableDiv[[GASB]:[GASB]],_xlfn.AGGREGATE(15,3,(TableDiv[[Agency]:[Agency]]=$E476)/(TableDiv[[Agency]:[Agency]]=$E476)*(ROW(TableDiv[Agency])-ROW(TableDiv[[#Headers],[Agency]])),COLUMNS($F$7:AF$7))))</f>
        <v/>
      </c>
      <c r="AG476" s="2223" t="str" cm="1">
        <f t="array" ref="AG476">IF($D476&lt;COLUMNS($F$7:AG$7),"",INDEX(TableDiv[[GASB]:[GASB]],_xlfn.AGGREGATE(15,3,(TableDiv[[Agency]:[Agency]]=$E476)/(TableDiv[[Agency]:[Agency]]=$E476)*(ROW(TableDiv[Agency])-ROW(TableDiv[[#Headers],[Agency]])),COLUMNS($F$7:AG$7))))</f>
        <v/>
      </c>
      <c r="AH476" s="2223" t="str" cm="1">
        <f t="array" ref="AH476">IF($D476&lt;COLUMNS($F$7:AH$7),"",INDEX(TableDiv[[GASB]:[GASB]],_xlfn.AGGREGATE(15,3,(TableDiv[[Agency]:[Agency]]=$E476)/(TableDiv[[Agency]:[Agency]]=$E476)*(ROW(TableDiv[Agency])-ROW(TableDiv[[#Headers],[Agency]])),COLUMNS($F$7:AH$7))))</f>
        <v/>
      </c>
      <c r="AI476" s="2223" t="str" cm="1">
        <f t="array" ref="AI476">IF($D476&lt;COLUMNS($F$7:AI$7),"",INDEX(TableDiv[[GASB]:[GASB]],_xlfn.AGGREGATE(15,3,(TableDiv[[Agency]:[Agency]]=$E476)/(TableDiv[[Agency]:[Agency]]=$E476)*(ROW(TableDiv[Agency])-ROW(TableDiv[[#Headers],[Agency]])),COLUMNS($F$7:AI$7))))</f>
        <v/>
      </c>
      <c r="AJ476" s="2223" t="str" cm="1">
        <f t="array" ref="AJ476">IF($D476&lt;COLUMNS($F$7:AJ$7),"",INDEX(TableDiv[[GASB]:[GASB]],_xlfn.AGGREGATE(15,3,(TableDiv[[Agency]:[Agency]]=$E476)/(TableDiv[[Agency]:[Agency]]=$E476)*(ROW(TableDiv[Agency])-ROW(TableDiv[[#Headers],[Agency]])),COLUMNS($F$7:AJ$7))))</f>
        <v/>
      </c>
      <c r="AK476" s="2223" t="str" cm="1">
        <f t="array" ref="AK476">IF($D476&lt;COLUMNS($F$7:AK$7),"",INDEX(TableDiv[[GASB]:[GASB]],_xlfn.AGGREGATE(15,3,(TableDiv[[Agency]:[Agency]]=$E476)/(TableDiv[[Agency]:[Agency]]=$E476)*(ROW(TableDiv[Agency])-ROW(TableDiv[[#Headers],[Agency]])),COLUMNS($F$7:AK$7))))</f>
        <v/>
      </c>
      <c r="AL476" s="2223" t="str" cm="1">
        <f t="array" ref="AL476">IF($D476&lt;COLUMNS($F$7:AL$7),"",INDEX(TableDiv[[GASB]:[GASB]],_xlfn.AGGREGATE(15,3,(TableDiv[[Agency]:[Agency]]=$E476)/(TableDiv[[Agency]:[Agency]]=$E476)*(ROW(TableDiv[Agency])-ROW(TableDiv[[#Headers],[Agency]])),COLUMNS($F$7:AL$7))))</f>
        <v/>
      </c>
      <c r="AM476" s="2223" t="str" cm="1">
        <f t="array" ref="AM476">IF($D476&lt;COLUMNS($F$7:AM$7),"",INDEX(TableDiv[[GASB]:[GASB]],_xlfn.AGGREGATE(15,3,(TableDiv[[Agency]:[Agency]]=$E476)/(TableDiv[[Agency]:[Agency]]=$E476)*(ROW(TableDiv[Agency])-ROW(TableDiv[[#Headers],[Agency]])),COLUMNS($F$7:AM$7))))</f>
        <v/>
      </c>
      <c r="AN476" s="2223"/>
      <c r="AO476" s="2223"/>
      <c r="AP476" s="2223"/>
      <c r="AQ476" s="2223"/>
      <c r="AR476" s="2223"/>
      <c r="AS476" s="2223"/>
    </row>
    <row r="477" spans="1:45" ht="15" x14ac:dyDescent="0.25">
      <c r="A477" s="2219" t="s">
        <v>5279</v>
      </c>
      <c r="B477" s="2219" t="s">
        <v>6543</v>
      </c>
      <c r="C477" s="2223"/>
      <c r="W477" s="2223" t="str" cm="1">
        <f t="array" ref="W477">IF($D477&lt;COLUMNS($F$7:W$7),"",INDEX(TableDiv[[GASB]:[GASB]],_xlfn.AGGREGATE(15,3,(TableDiv[[Agency]:[Agency]]=$E477)/(TableDiv[[Agency]:[Agency]]=$E477)*(ROW(TableDiv[Agency])-ROW(TableDiv[[#Headers],[Agency]])),COLUMNS($F$7:W$7))))</f>
        <v/>
      </c>
      <c r="X477" s="2223" t="str" cm="1">
        <f t="array" ref="X477">IF($D477&lt;COLUMNS($F$7:X$7),"",INDEX(TableDiv[[GASB]:[GASB]],_xlfn.AGGREGATE(15,3,(TableDiv[[Agency]:[Agency]]=$E477)/(TableDiv[[Agency]:[Agency]]=$E477)*(ROW(TableDiv[Agency])-ROW(TableDiv[[#Headers],[Agency]])),COLUMNS($F$7:X$7))))</f>
        <v/>
      </c>
      <c r="Y477" s="2223" t="str" cm="1">
        <f t="array" ref="Y477">IF($D477&lt;COLUMNS($F$7:Y$7),"",INDEX(TableDiv[[GASB]:[GASB]],_xlfn.AGGREGATE(15,3,(TableDiv[[Agency]:[Agency]]=$E477)/(TableDiv[[Agency]:[Agency]]=$E477)*(ROW(TableDiv[Agency])-ROW(TableDiv[[#Headers],[Agency]])),COLUMNS($F$7:Y$7))))</f>
        <v/>
      </c>
      <c r="Z477" s="2223" t="str" cm="1">
        <f t="array" ref="Z477">IF($D477&lt;COLUMNS($F$7:Z$7),"",INDEX(TableDiv[[GASB]:[GASB]],_xlfn.AGGREGATE(15,3,(TableDiv[[Agency]:[Agency]]=$E477)/(TableDiv[[Agency]:[Agency]]=$E477)*(ROW(TableDiv[Agency])-ROW(TableDiv[[#Headers],[Agency]])),COLUMNS($F$7:Z$7))))</f>
        <v/>
      </c>
      <c r="AA477" s="2223" t="str" cm="1">
        <f t="array" ref="AA477">IF($D477&lt;COLUMNS($F$7:AA$7),"",INDEX(TableDiv[[GASB]:[GASB]],_xlfn.AGGREGATE(15,3,(TableDiv[[Agency]:[Agency]]=$E477)/(TableDiv[[Agency]:[Agency]]=$E477)*(ROW(TableDiv[Agency])-ROW(TableDiv[[#Headers],[Agency]])),COLUMNS($F$7:AA$7))))</f>
        <v/>
      </c>
      <c r="AB477" s="2223" t="str" cm="1">
        <f t="array" ref="AB477">IF($D477&lt;COLUMNS($F$7:AB$7),"",INDEX(TableDiv[[GASB]:[GASB]],_xlfn.AGGREGATE(15,3,(TableDiv[[Agency]:[Agency]]=$E477)/(TableDiv[[Agency]:[Agency]]=$E477)*(ROW(TableDiv[Agency])-ROW(TableDiv[[#Headers],[Agency]])),COLUMNS($F$7:AB$7))))</f>
        <v/>
      </c>
      <c r="AC477" s="2223" t="str" cm="1">
        <f t="array" ref="AC477">IF($D477&lt;COLUMNS($F$7:AC$7),"",INDEX(TableDiv[[GASB]:[GASB]],_xlfn.AGGREGATE(15,3,(TableDiv[[Agency]:[Agency]]=$E477)/(TableDiv[[Agency]:[Agency]]=$E477)*(ROW(TableDiv[Agency])-ROW(TableDiv[[#Headers],[Agency]])),COLUMNS($F$7:AC$7))))</f>
        <v/>
      </c>
      <c r="AD477" s="2223" t="str" cm="1">
        <f t="array" ref="AD477">IF($D477&lt;COLUMNS($F$7:AD$7),"",INDEX(TableDiv[[GASB]:[GASB]],_xlfn.AGGREGATE(15,3,(TableDiv[[Agency]:[Agency]]=$E477)/(TableDiv[[Agency]:[Agency]]=$E477)*(ROW(TableDiv[Agency])-ROW(TableDiv[[#Headers],[Agency]])),COLUMNS($F$7:AD$7))))</f>
        <v/>
      </c>
      <c r="AE477" s="2223" t="str" cm="1">
        <f t="array" ref="AE477">IF($D477&lt;COLUMNS($F$7:AE$7),"",INDEX(TableDiv[[GASB]:[GASB]],_xlfn.AGGREGATE(15,3,(TableDiv[[Agency]:[Agency]]=$E477)/(TableDiv[[Agency]:[Agency]]=$E477)*(ROW(TableDiv[Agency])-ROW(TableDiv[[#Headers],[Agency]])),COLUMNS($F$7:AE$7))))</f>
        <v/>
      </c>
      <c r="AF477" s="2223" t="str" cm="1">
        <f t="array" ref="AF477">IF($D477&lt;COLUMNS($F$7:AF$7),"",INDEX(TableDiv[[GASB]:[GASB]],_xlfn.AGGREGATE(15,3,(TableDiv[[Agency]:[Agency]]=$E477)/(TableDiv[[Agency]:[Agency]]=$E477)*(ROW(TableDiv[Agency])-ROW(TableDiv[[#Headers],[Agency]])),COLUMNS($F$7:AF$7))))</f>
        <v/>
      </c>
      <c r="AG477" s="2223" t="str" cm="1">
        <f t="array" ref="AG477">IF($D477&lt;COLUMNS($F$7:AG$7),"",INDEX(TableDiv[[GASB]:[GASB]],_xlfn.AGGREGATE(15,3,(TableDiv[[Agency]:[Agency]]=$E477)/(TableDiv[[Agency]:[Agency]]=$E477)*(ROW(TableDiv[Agency])-ROW(TableDiv[[#Headers],[Agency]])),COLUMNS($F$7:AG$7))))</f>
        <v/>
      </c>
      <c r="AH477" s="2223" t="str" cm="1">
        <f t="array" ref="AH477">IF($D477&lt;COLUMNS($F$7:AH$7),"",INDEX(TableDiv[[GASB]:[GASB]],_xlfn.AGGREGATE(15,3,(TableDiv[[Agency]:[Agency]]=$E477)/(TableDiv[[Agency]:[Agency]]=$E477)*(ROW(TableDiv[Agency])-ROW(TableDiv[[#Headers],[Agency]])),COLUMNS($F$7:AH$7))))</f>
        <v/>
      </c>
      <c r="AI477" s="2223" t="str" cm="1">
        <f t="array" ref="AI477">IF($D477&lt;COLUMNS($F$7:AI$7),"",INDEX(TableDiv[[GASB]:[GASB]],_xlfn.AGGREGATE(15,3,(TableDiv[[Agency]:[Agency]]=$E477)/(TableDiv[[Agency]:[Agency]]=$E477)*(ROW(TableDiv[Agency])-ROW(TableDiv[[#Headers],[Agency]])),COLUMNS($F$7:AI$7))))</f>
        <v/>
      </c>
      <c r="AJ477" s="2223" t="str" cm="1">
        <f t="array" ref="AJ477">IF($D477&lt;COLUMNS($F$7:AJ$7),"",INDEX(TableDiv[[GASB]:[GASB]],_xlfn.AGGREGATE(15,3,(TableDiv[[Agency]:[Agency]]=$E477)/(TableDiv[[Agency]:[Agency]]=$E477)*(ROW(TableDiv[Agency])-ROW(TableDiv[[#Headers],[Agency]])),COLUMNS($F$7:AJ$7))))</f>
        <v/>
      </c>
      <c r="AK477" s="2223" t="str" cm="1">
        <f t="array" ref="AK477">IF($D477&lt;COLUMNS($F$7:AK$7),"",INDEX(TableDiv[[GASB]:[GASB]],_xlfn.AGGREGATE(15,3,(TableDiv[[Agency]:[Agency]]=$E477)/(TableDiv[[Agency]:[Agency]]=$E477)*(ROW(TableDiv[Agency])-ROW(TableDiv[[#Headers],[Agency]])),COLUMNS($F$7:AK$7))))</f>
        <v/>
      </c>
      <c r="AL477" s="2223" t="str" cm="1">
        <f t="array" ref="AL477">IF($D477&lt;COLUMNS($F$7:AL$7),"",INDEX(TableDiv[[GASB]:[GASB]],_xlfn.AGGREGATE(15,3,(TableDiv[[Agency]:[Agency]]=$E477)/(TableDiv[[Agency]:[Agency]]=$E477)*(ROW(TableDiv[Agency])-ROW(TableDiv[[#Headers],[Agency]])),COLUMNS($F$7:AL$7))))</f>
        <v/>
      </c>
      <c r="AM477" s="2223" t="str" cm="1">
        <f t="array" ref="AM477">IF($D477&lt;COLUMNS($F$7:AM$7),"",INDEX(TableDiv[[GASB]:[GASB]],_xlfn.AGGREGATE(15,3,(TableDiv[[Agency]:[Agency]]=$E477)/(TableDiv[[Agency]:[Agency]]=$E477)*(ROW(TableDiv[Agency])-ROW(TableDiv[[#Headers],[Agency]])),COLUMNS($F$7:AM$7))))</f>
        <v/>
      </c>
      <c r="AN477" s="2223"/>
      <c r="AO477" s="2223"/>
      <c r="AP477" s="2223"/>
      <c r="AQ477" s="2223"/>
      <c r="AR477" s="2223"/>
      <c r="AS477" s="2223"/>
    </row>
    <row r="478" spans="1:45" ht="15" x14ac:dyDescent="0.25">
      <c r="A478" s="2219" t="s">
        <v>5281</v>
      </c>
      <c r="B478" s="2219" t="s">
        <v>6543</v>
      </c>
      <c r="C478" s="2223"/>
      <c r="W478" s="2223" t="str" cm="1">
        <f t="array" ref="W478">IF($D478&lt;COLUMNS($F$7:W$7),"",INDEX(TableDiv[[GASB]:[GASB]],_xlfn.AGGREGATE(15,3,(TableDiv[[Agency]:[Agency]]=$E478)/(TableDiv[[Agency]:[Agency]]=$E478)*(ROW(TableDiv[Agency])-ROW(TableDiv[[#Headers],[Agency]])),COLUMNS($F$7:W$7))))</f>
        <v/>
      </c>
      <c r="X478" s="2223" t="str" cm="1">
        <f t="array" ref="X478">IF($D478&lt;COLUMNS($F$7:X$7),"",INDEX(TableDiv[[GASB]:[GASB]],_xlfn.AGGREGATE(15,3,(TableDiv[[Agency]:[Agency]]=$E478)/(TableDiv[[Agency]:[Agency]]=$E478)*(ROW(TableDiv[Agency])-ROW(TableDiv[[#Headers],[Agency]])),COLUMNS($F$7:X$7))))</f>
        <v/>
      </c>
      <c r="Y478" s="2223" t="str" cm="1">
        <f t="array" ref="Y478">IF($D478&lt;COLUMNS($F$7:Y$7),"",INDEX(TableDiv[[GASB]:[GASB]],_xlfn.AGGREGATE(15,3,(TableDiv[[Agency]:[Agency]]=$E478)/(TableDiv[[Agency]:[Agency]]=$E478)*(ROW(TableDiv[Agency])-ROW(TableDiv[[#Headers],[Agency]])),COLUMNS($F$7:Y$7))))</f>
        <v/>
      </c>
      <c r="Z478" s="2223" t="str" cm="1">
        <f t="array" ref="Z478">IF($D478&lt;COLUMNS($F$7:Z$7),"",INDEX(TableDiv[[GASB]:[GASB]],_xlfn.AGGREGATE(15,3,(TableDiv[[Agency]:[Agency]]=$E478)/(TableDiv[[Agency]:[Agency]]=$E478)*(ROW(TableDiv[Agency])-ROW(TableDiv[[#Headers],[Agency]])),COLUMNS($F$7:Z$7))))</f>
        <v/>
      </c>
      <c r="AA478" s="2223" t="str" cm="1">
        <f t="array" ref="AA478">IF($D478&lt;COLUMNS($F$7:AA$7),"",INDEX(TableDiv[[GASB]:[GASB]],_xlfn.AGGREGATE(15,3,(TableDiv[[Agency]:[Agency]]=$E478)/(TableDiv[[Agency]:[Agency]]=$E478)*(ROW(TableDiv[Agency])-ROW(TableDiv[[#Headers],[Agency]])),COLUMNS($F$7:AA$7))))</f>
        <v/>
      </c>
      <c r="AB478" s="2223" t="str" cm="1">
        <f t="array" ref="AB478">IF($D478&lt;COLUMNS($F$7:AB$7),"",INDEX(TableDiv[[GASB]:[GASB]],_xlfn.AGGREGATE(15,3,(TableDiv[[Agency]:[Agency]]=$E478)/(TableDiv[[Agency]:[Agency]]=$E478)*(ROW(TableDiv[Agency])-ROW(TableDiv[[#Headers],[Agency]])),COLUMNS($F$7:AB$7))))</f>
        <v/>
      </c>
      <c r="AC478" s="2223" t="str" cm="1">
        <f t="array" ref="AC478">IF($D478&lt;COLUMNS($F$7:AC$7),"",INDEX(TableDiv[[GASB]:[GASB]],_xlfn.AGGREGATE(15,3,(TableDiv[[Agency]:[Agency]]=$E478)/(TableDiv[[Agency]:[Agency]]=$E478)*(ROW(TableDiv[Agency])-ROW(TableDiv[[#Headers],[Agency]])),COLUMNS($F$7:AC$7))))</f>
        <v/>
      </c>
      <c r="AD478" s="2223" t="str" cm="1">
        <f t="array" ref="AD478">IF($D478&lt;COLUMNS($F$7:AD$7),"",INDEX(TableDiv[[GASB]:[GASB]],_xlfn.AGGREGATE(15,3,(TableDiv[[Agency]:[Agency]]=$E478)/(TableDiv[[Agency]:[Agency]]=$E478)*(ROW(TableDiv[Agency])-ROW(TableDiv[[#Headers],[Agency]])),COLUMNS($F$7:AD$7))))</f>
        <v/>
      </c>
      <c r="AE478" s="2223" t="str" cm="1">
        <f t="array" ref="AE478">IF($D478&lt;COLUMNS($F$7:AE$7),"",INDEX(TableDiv[[GASB]:[GASB]],_xlfn.AGGREGATE(15,3,(TableDiv[[Agency]:[Agency]]=$E478)/(TableDiv[[Agency]:[Agency]]=$E478)*(ROW(TableDiv[Agency])-ROW(TableDiv[[#Headers],[Agency]])),COLUMNS($F$7:AE$7))))</f>
        <v/>
      </c>
      <c r="AF478" s="2223" t="str" cm="1">
        <f t="array" ref="AF478">IF($D478&lt;COLUMNS($F$7:AF$7),"",INDEX(TableDiv[[GASB]:[GASB]],_xlfn.AGGREGATE(15,3,(TableDiv[[Agency]:[Agency]]=$E478)/(TableDiv[[Agency]:[Agency]]=$E478)*(ROW(TableDiv[Agency])-ROW(TableDiv[[#Headers],[Agency]])),COLUMNS($F$7:AF$7))))</f>
        <v/>
      </c>
      <c r="AG478" s="2223" t="str" cm="1">
        <f t="array" ref="AG478">IF($D478&lt;COLUMNS($F$7:AG$7),"",INDEX(TableDiv[[GASB]:[GASB]],_xlfn.AGGREGATE(15,3,(TableDiv[[Agency]:[Agency]]=$E478)/(TableDiv[[Agency]:[Agency]]=$E478)*(ROW(TableDiv[Agency])-ROW(TableDiv[[#Headers],[Agency]])),COLUMNS($F$7:AG$7))))</f>
        <v/>
      </c>
      <c r="AH478" s="2223" t="str" cm="1">
        <f t="array" ref="AH478">IF($D478&lt;COLUMNS($F$7:AH$7),"",INDEX(TableDiv[[GASB]:[GASB]],_xlfn.AGGREGATE(15,3,(TableDiv[[Agency]:[Agency]]=$E478)/(TableDiv[[Agency]:[Agency]]=$E478)*(ROW(TableDiv[Agency])-ROW(TableDiv[[#Headers],[Agency]])),COLUMNS($F$7:AH$7))))</f>
        <v/>
      </c>
      <c r="AI478" s="2223" t="str" cm="1">
        <f t="array" ref="AI478">IF($D478&lt;COLUMNS($F$7:AI$7),"",INDEX(TableDiv[[GASB]:[GASB]],_xlfn.AGGREGATE(15,3,(TableDiv[[Agency]:[Agency]]=$E478)/(TableDiv[[Agency]:[Agency]]=$E478)*(ROW(TableDiv[Agency])-ROW(TableDiv[[#Headers],[Agency]])),COLUMNS($F$7:AI$7))))</f>
        <v/>
      </c>
      <c r="AJ478" s="2223" t="str" cm="1">
        <f t="array" ref="AJ478">IF($D478&lt;COLUMNS($F$7:AJ$7),"",INDEX(TableDiv[[GASB]:[GASB]],_xlfn.AGGREGATE(15,3,(TableDiv[[Agency]:[Agency]]=$E478)/(TableDiv[[Agency]:[Agency]]=$E478)*(ROW(TableDiv[Agency])-ROW(TableDiv[[#Headers],[Agency]])),COLUMNS($F$7:AJ$7))))</f>
        <v/>
      </c>
      <c r="AK478" s="2223" t="str" cm="1">
        <f t="array" ref="AK478">IF($D478&lt;COLUMNS($F$7:AK$7),"",INDEX(TableDiv[[GASB]:[GASB]],_xlfn.AGGREGATE(15,3,(TableDiv[[Agency]:[Agency]]=$E478)/(TableDiv[[Agency]:[Agency]]=$E478)*(ROW(TableDiv[Agency])-ROW(TableDiv[[#Headers],[Agency]])),COLUMNS($F$7:AK$7))))</f>
        <v/>
      </c>
      <c r="AL478" s="2223" t="str" cm="1">
        <f t="array" ref="AL478">IF($D478&lt;COLUMNS($F$7:AL$7),"",INDEX(TableDiv[[GASB]:[GASB]],_xlfn.AGGREGATE(15,3,(TableDiv[[Agency]:[Agency]]=$E478)/(TableDiv[[Agency]:[Agency]]=$E478)*(ROW(TableDiv[Agency])-ROW(TableDiv[[#Headers],[Agency]])),COLUMNS($F$7:AL$7))))</f>
        <v/>
      </c>
      <c r="AM478" s="2223" t="str" cm="1">
        <f t="array" ref="AM478">IF($D478&lt;COLUMNS($F$7:AM$7),"",INDEX(TableDiv[[GASB]:[GASB]],_xlfn.AGGREGATE(15,3,(TableDiv[[Agency]:[Agency]]=$E478)/(TableDiv[[Agency]:[Agency]]=$E478)*(ROW(TableDiv[Agency])-ROW(TableDiv[[#Headers],[Agency]])),COLUMNS($F$7:AM$7))))</f>
        <v/>
      </c>
      <c r="AN478" s="2223"/>
      <c r="AO478" s="2223"/>
      <c r="AP478" s="2223"/>
      <c r="AQ478" s="2223"/>
      <c r="AR478" s="2223"/>
      <c r="AS478" s="2223"/>
    </row>
    <row r="479" spans="1:45" ht="15" x14ac:dyDescent="0.25">
      <c r="A479" s="2219" t="s">
        <v>5283</v>
      </c>
      <c r="B479" s="2219" t="s">
        <v>6543</v>
      </c>
      <c r="C479" s="2223"/>
      <c r="W479" s="2223" t="str" cm="1">
        <f t="array" ref="W479">IF($D479&lt;COLUMNS($F$7:W$7),"",INDEX(TableDiv[[GASB]:[GASB]],_xlfn.AGGREGATE(15,3,(TableDiv[[Agency]:[Agency]]=$E479)/(TableDiv[[Agency]:[Agency]]=$E479)*(ROW(TableDiv[Agency])-ROW(TableDiv[[#Headers],[Agency]])),COLUMNS($F$7:W$7))))</f>
        <v/>
      </c>
      <c r="X479" s="2223" t="str" cm="1">
        <f t="array" ref="X479">IF($D479&lt;COLUMNS($F$7:X$7),"",INDEX(TableDiv[[GASB]:[GASB]],_xlfn.AGGREGATE(15,3,(TableDiv[[Agency]:[Agency]]=$E479)/(TableDiv[[Agency]:[Agency]]=$E479)*(ROW(TableDiv[Agency])-ROW(TableDiv[[#Headers],[Agency]])),COLUMNS($F$7:X$7))))</f>
        <v/>
      </c>
      <c r="Y479" s="2223" t="str" cm="1">
        <f t="array" ref="Y479">IF($D479&lt;COLUMNS($F$7:Y$7),"",INDEX(TableDiv[[GASB]:[GASB]],_xlfn.AGGREGATE(15,3,(TableDiv[[Agency]:[Agency]]=$E479)/(TableDiv[[Agency]:[Agency]]=$E479)*(ROW(TableDiv[Agency])-ROW(TableDiv[[#Headers],[Agency]])),COLUMNS($F$7:Y$7))))</f>
        <v/>
      </c>
      <c r="Z479" s="2223" t="str" cm="1">
        <f t="array" ref="Z479">IF($D479&lt;COLUMNS($F$7:Z$7),"",INDEX(TableDiv[[GASB]:[GASB]],_xlfn.AGGREGATE(15,3,(TableDiv[[Agency]:[Agency]]=$E479)/(TableDiv[[Agency]:[Agency]]=$E479)*(ROW(TableDiv[Agency])-ROW(TableDiv[[#Headers],[Agency]])),COLUMNS($F$7:Z$7))))</f>
        <v/>
      </c>
      <c r="AA479" s="2223" t="str" cm="1">
        <f t="array" ref="AA479">IF($D479&lt;COLUMNS($F$7:AA$7),"",INDEX(TableDiv[[GASB]:[GASB]],_xlfn.AGGREGATE(15,3,(TableDiv[[Agency]:[Agency]]=$E479)/(TableDiv[[Agency]:[Agency]]=$E479)*(ROW(TableDiv[Agency])-ROW(TableDiv[[#Headers],[Agency]])),COLUMNS($F$7:AA$7))))</f>
        <v/>
      </c>
      <c r="AB479" s="2223" t="str" cm="1">
        <f t="array" ref="AB479">IF($D479&lt;COLUMNS($F$7:AB$7),"",INDEX(TableDiv[[GASB]:[GASB]],_xlfn.AGGREGATE(15,3,(TableDiv[[Agency]:[Agency]]=$E479)/(TableDiv[[Agency]:[Agency]]=$E479)*(ROW(TableDiv[Agency])-ROW(TableDiv[[#Headers],[Agency]])),COLUMNS($F$7:AB$7))))</f>
        <v/>
      </c>
      <c r="AC479" s="2223" t="str" cm="1">
        <f t="array" ref="AC479">IF($D479&lt;COLUMNS($F$7:AC$7),"",INDEX(TableDiv[[GASB]:[GASB]],_xlfn.AGGREGATE(15,3,(TableDiv[[Agency]:[Agency]]=$E479)/(TableDiv[[Agency]:[Agency]]=$E479)*(ROW(TableDiv[Agency])-ROW(TableDiv[[#Headers],[Agency]])),COLUMNS($F$7:AC$7))))</f>
        <v/>
      </c>
      <c r="AD479" s="2223" t="str" cm="1">
        <f t="array" ref="AD479">IF($D479&lt;COLUMNS($F$7:AD$7),"",INDEX(TableDiv[[GASB]:[GASB]],_xlfn.AGGREGATE(15,3,(TableDiv[[Agency]:[Agency]]=$E479)/(TableDiv[[Agency]:[Agency]]=$E479)*(ROW(TableDiv[Agency])-ROW(TableDiv[[#Headers],[Agency]])),COLUMNS($F$7:AD$7))))</f>
        <v/>
      </c>
      <c r="AE479" s="2223" t="str" cm="1">
        <f t="array" ref="AE479">IF($D479&lt;COLUMNS($F$7:AE$7),"",INDEX(TableDiv[[GASB]:[GASB]],_xlfn.AGGREGATE(15,3,(TableDiv[[Agency]:[Agency]]=$E479)/(TableDiv[[Agency]:[Agency]]=$E479)*(ROW(TableDiv[Agency])-ROW(TableDiv[[#Headers],[Agency]])),COLUMNS($F$7:AE$7))))</f>
        <v/>
      </c>
      <c r="AF479" s="2223" t="str" cm="1">
        <f t="array" ref="AF479">IF($D479&lt;COLUMNS($F$7:AF$7),"",INDEX(TableDiv[[GASB]:[GASB]],_xlfn.AGGREGATE(15,3,(TableDiv[[Agency]:[Agency]]=$E479)/(TableDiv[[Agency]:[Agency]]=$E479)*(ROW(TableDiv[Agency])-ROW(TableDiv[[#Headers],[Agency]])),COLUMNS($F$7:AF$7))))</f>
        <v/>
      </c>
      <c r="AG479" s="2223" t="str" cm="1">
        <f t="array" ref="AG479">IF($D479&lt;COLUMNS($F$7:AG$7),"",INDEX(TableDiv[[GASB]:[GASB]],_xlfn.AGGREGATE(15,3,(TableDiv[[Agency]:[Agency]]=$E479)/(TableDiv[[Agency]:[Agency]]=$E479)*(ROW(TableDiv[Agency])-ROW(TableDiv[[#Headers],[Agency]])),COLUMNS($F$7:AG$7))))</f>
        <v/>
      </c>
      <c r="AH479" s="2223" t="str" cm="1">
        <f t="array" ref="AH479">IF($D479&lt;COLUMNS($F$7:AH$7),"",INDEX(TableDiv[[GASB]:[GASB]],_xlfn.AGGREGATE(15,3,(TableDiv[[Agency]:[Agency]]=$E479)/(TableDiv[[Agency]:[Agency]]=$E479)*(ROW(TableDiv[Agency])-ROW(TableDiv[[#Headers],[Agency]])),COLUMNS($F$7:AH$7))))</f>
        <v/>
      </c>
      <c r="AI479" s="2223" t="str" cm="1">
        <f t="array" ref="AI479">IF($D479&lt;COLUMNS($F$7:AI$7),"",INDEX(TableDiv[[GASB]:[GASB]],_xlfn.AGGREGATE(15,3,(TableDiv[[Agency]:[Agency]]=$E479)/(TableDiv[[Agency]:[Agency]]=$E479)*(ROW(TableDiv[Agency])-ROW(TableDiv[[#Headers],[Agency]])),COLUMNS($F$7:AI$7))))</f>
        <v/>
      </c>
      <c r="AJ479" s="2223" t="str" cm="1">
        <f t="array" ref="AJ479">IF($D479&lt;COLUMNS($F$7:AJ$7),"",INDEX(TableDiv[[GASB]:[GASB]],_xlfn.AGGREGATE(15,3,(TableDiv[[Agency]:[Agency]]=$E479)/(TableDiv[[Agency]:[Agency]]=$E479)*(ROW(TableDiv[Agency])-ROW(TableDiv[[#Headers],[Agency]])),COLUMNS($F$7:AJ$7))))</f>
        <v/>
      </c>
      <c r="AK479" s="2223" t="str" cm="1">
        <f t="array" ref="AK479">IF($D479&lt;COLUMNS($F$7:AK$7),"",INDEX(TableDiv[[GASB]:[GASB]],_xlfn.AGGREGATE(15,3,(TableDiv[[Agency]:[Agency]]=$E479)/(TableDiv[[Agency]:[Agency]]=$E479)*(ROW(TableDiv[Agency])-ROW(TableDiv[[#Headers],[Agency]])),COLUMNS($F$7:AK$7))))</f>
        <v/>
      </c>
      <c r="AL479" s="2223" t="str" cm="1">
        <f t="array" ref="AL479">IF($D479&lt;COLUMNS($F$7:AL$7),"",INDEX(TableDiv[[GASB]:[GASB]],_xlfn.AGGREGATE(15,3,(TableDiv[[Agency]:[Agency]]=$E479)/(TableDiv[[Agency]:[Agency]]=$E479)*(ROW(TableDiv[Agency])-ROW(TableDiv[[#Headers],[Agency]])),COLUMNS($F$7:AL$7))))</f>
        <v/>
      </c>
      <c r="AM479" s="2223" t="str" cm="1">
        <f t="array" ref="AM479">IF($D479&lt;COLUMNS($F$7:AM$7),"",INDEX(TableDiv[[GASB]:[GASB]],_xlfn.AGGREGATE(15,3,(TableDiv[[Agency]:[Agency]]=$E479)/(TableDiv[[Agency]:[Agency]]=$E479)*(ROW(TableDiv[Agency])-ROW(TableDiv[[#Headers],[Agency]])),COLUMNS($F$7:AM$7))))</f>
        <v/>
      </c>
      <c r="AN479" s="2223"/>
      <c r="AO479" s="2223"/>
      <c r="AP479" s="2223"/>
      <c r="AQ479" s="2223"/>
      <c r="AR479" s="2223"/>
      <c r="AS479" s="2223"/>
    </row>
    <row r="480" spans="1:45" ht="15" x14ac:dyDescent="0.25">
      <c r="A480" s="2219" t="s">
        <v>5285</v>
      </c>
      <c r="B480" s="2219" t="s">
        <v>6543</v>
      </c>
      <c r="C480" s="2223"/>
      <c r="W480" s="2223" t="str" cm="1">
        <f t="array" ref="W480">IF($D480&lt;COLUMNS($F$7:W$7),"",INDEX(TableDiv[[GASB]:[GASB]],_xlfn.AGGREGATE(15,3,(TableDiv[[Agency]:[Agency]]=$E480)/(TableDiv[[Agency]:[Agency]]=$E480)*(ROW(TableDiv[Agency])-ROW(TableDiv[[#Headers],[Agency]])),COLUMNS($F$7:W$7))))</f>
        <v/>
      </c>
      <c r="X480" s="2223" t="str" cm="1">
        <f t="array" ref="X480">IF($D480&lt;COLUMNS($F$7:X$7),"",INDEX(TableDiv[[GASB]:[GASB]],_xlfn.AGGREGATE(15,3,(TableDiv[[Agency]:[Agency]]=$E480)/(TableDiv[[Agency]:[Agency]]=$E480)*(ROW(TableDiv[Agency])-ROW(TableDiv[[#Headers],[Agency]])),COLUMNS($F$7:X$7))))</f>
        <v/>
      </c>
      <c r="Y480" s="2223" t="str" cm="1">
        <f t="array" ref="Y480">IF($D480&lt;COLUMNS($F$7:Y$7),"",INDEX(TableDiv[[GASB]:[GASB]],_xlfn.AGGREGATE(15,3,(TableDiv[[Agency]:[Agency]]=$E480)/(TableDiv[[Agency]:[Agency]]=$E480)*(ROW(TableDiv[Agency])-ROW(TableDiv[[#Headers],[Agency]])),COLUMNS($F$7:Y$7))))</f>
        <v/>
      </c>
      <c r="Z480" s="2223" t="str" cm="1">
        <f t="array" ref="Z480">IF($D480&lt;COLUMNS($F$7:Z$7),"",INDEX(TableDiv[[GASB]:[GASB]],_xlfn.AGGREGATE(15,3,(TableDiv[[Agency]:[Agency]]=$E480)/(TableDiv[[Agency]:[Agency]]=$E480)*(ROW(TableDiv[Agency])-ROW(TableDiv[[#Headers],[Agency]])),COLUMNS($F$7:Z$7))))</f>
        <v/>
      </c>
      <c r="AA480" s="2223" t="str" cm="1">
        <f t="array" ref="AA480">IF($D480&lt;COLUMNS($F$7:AA$7),"",INDEX(TableDiv[[GASB]:[GASB]],_xlfn.AGGREGATE(15,3,(TableDiv[[Agency]:[Agency]]=$E480)/(TableDiv[[Agency]:[Agency]]=$E480)*(ROW(TableDiv[Agency])-ROW(TableDiv[[#Headers],[Agency]])),COLUMNS($F$7:AA$7))))</f>
        <v/>
      </c>
      <c r="AB480" s="2223" t="str" cm="1">
        <f t="array" ref="AB480">IF($D480&lt;COLUMNS($F$7:AB$7),"",INDEX(TableDiv[[GASB]:[GASB]],_xlfn.AGGREGATE(15,3,(TableDiv[[Agency]:[Agency]]=$E480)/(TableDiv[[Agency]:[Agency]]=$E480)*(ROW(TableDiv[Agency])-ROW(TableDiv[[#Headers],[Agency]])),COLUMNS($F$7:AB$7))))</f>
        <v/>
      </c>
      <c r="AC480" s="2223" t="str" cm="1">
        <f t="array" ref="AC480">IF($D480&lt;COLUMNS($F$7:AC$7),"",INDEX(TableDiv[[GASB]:[GASB]],_xlfn.AGGREGATE(15,3,(TableDiv[[Agency]:[Agency]]=$E480)/(TableDiv[[Agency]:[Agency]]=$E480)*(ROW(TableDiv[Agency])-ROW(TableDiv[[#Headers],[Agency]])),COLUMNS($F$7:AC$7))))</f>
        <v/>
      </c>
      <c r="AD480" s="2223" t="str" cm="1">
        <f t="array" ref="AD480">IF($D480&lt;COLUMNS($F$7:AD$7),"",INDEX(TableDiv[[GASB]:[GASB]],_xlfn.AGGREGATE(15,3,(TableDiv[[Agency]:[Agency]]=$E480)/(TableDiv[[Agency]:[Agency]]=$E480)*(ROW(TableDiv[Agency])-ROW(TableDiv[[#Headers],[Agency]])),COLUMNS($F$7:AD$7))))</f>
        <v/>
      </c>
      <c r="AE480" s="2223" t="str" cm="1">
        <f t="array" ref="AE480">IF($D480&lt;COLUMNS($F$7:AE$7),"",INDEX(TableDiv[[GASB]:[GASB]],_xlfn.AGGREGATE(15,3,(TableDiv[[Agency]:[Agency]]=$E480)/(TableDiv[[Agency]:[Agency]]=$E480)*(ROW(TableDiv[Agency])-ROW(TableDiv[[#Headers],[Agency]])),COLUMNS($F$7:AE$7))))</f>
        <v/>
      </c>
      <c r="AF480" s="2223" t="str" cm="1">
        <f t="array" ref="AF480">IF($D480&lt;COLUMNS($F$7:AF$7),"",INDEX(TableDiv[[GASB]:[GASB]],_xlfn.AGGREGATE(15,3,(TableDiv[[Agency]:[Agency]]=$E480)/(TableDiv[[Agency]:[Agency]]=$E480)*(ROW(TableDiv[Agency])-ROW(TableDiv[[#Headers],[Agency]])),COLUMNS($F$7:AF$7))))</f>
        <v/>
      </c>
      <c r="AG480" s="2223" t="str" cm="1">
        <f t="array" ref="AG480">IF($D480&lt;COLUMNS($F$7:AG$7),"",INDEX(TableDiv[[GASB]:[GASB]],_xlfn.AGGREGATE(15,3,(TableDiv[[Agency]:[Agency]]=$E480)/(TableDiv[[Agency]:[Agency]]=$E480)*(ROW(TableDiv[Agency])-ROW(TableDiv[[#Headers],[Agency]])),COLUMNS($F$7:AG$7))))</f>
        <v/>
      </c>
      <c r="AH480" s="2223" t="str" cm="1">
        <f t="array" ref="AH480">IF($D480&lt;COLUMNS($F$7:AH$7),"",INDEX(TableDiv[[GASB]:[GASB]],_xlfn.AGGREGATE(15,3,(TableDiv[[Agency]:[Agency]]=$E480)/(TableDiv[[Agency]:[Agency]]=$E480)*(ROW(TableDiv[Agency])-ROW(TableDiv[[#Headers],[Agency]])),COLUMNS($F$7:AH$7))))</f>
        <v/>
      </c>
      <c r="AI480" s="2223" t="str" cm="1">
        <f t="array" ref="AI480">IF($D480&lt;COLUMNS($F$7:AI$7),"",INDEX(TableDiv[[GASB]:[GASB]],_xlfn.AGGREGATE(15,3,(TableDiv[[Agency]:[Agency]]=$E480)/(TableDiv[[Agency]:[Agency]]=$E480)*(ROW(TableDiv[Agency])-ROW(TableDiv[[#Headers],[Agency]])),COLUMNS($F$7:AI$7))))</f>
        <v/>
      </c>
      <c r="AJ480" s="2223" t="str" cm="1">
        <f t="array" ref="AJ480">IF($D480&lt;COLUMNS($F$7:AJ$7),"",INDEX(TableDiv[[GASB]:[GASB]],_xlfn.AGGREGATE(15,3,(TableDiv[[Agency]:[Agency]]=$E480)/(TableDiv[[Agency]:[Agency]]=$E480)*(ROW(TableDiv[Agency])-ROW(TableDiv[[#Headers],[Agency]])),COLUMNS($F$7:AJ$7))))</f>
        <v/>
      </c>
      <c r="AK480" s="2223" t="str" cm="1">
        <f t="array" ref="AK480">IF($D480&lt;COLUMNS($F$7:AK$7),"",INDEX(TableDiv[[GASB]:[GASB]],_xlfn.AGGREGATE(15,3,(TableDiv[[Agency]:[Agency]]=$E480)/(TableDiv[[Agency]:[Agency]]=$E480)*(ROW(TableDiv[Agency])-ROW(TableDiv[[#Headers],[Agency]])),COLUMNS($F$7:AK$7))))</f>
        <v/>
      </c>
      <c r="AL480" s="2223" t="str" cm="1">
        <f t="array" ref="AL480">IF($D480&lt;COLUMNS($F$7:AL$7),"",INDEX(TableDiv[[GASB]:[GASB]],_xlfn.AGGREGATE(15,3,(TableDiv[[Agency]:[Agency]]=$E480)/(TableDiv[[Agency]:[Agency]]=$E480)*(ROW(TableDiv[Agency])-ROW(TableDiv[[#Headers],[Agency]])),COLUMNS($F$7:AL$7))))</f>
        <v/>
      </c>
      <c r="AM480" s="2223" t="str" cm="1">
        <f t="array" ref="AM480">IF($D480&lt;COLUMNS($F$7:AM$7),"",INDEX(TableDiv[[GASB]:[GASB]],_xlfn.AGGREGATE(15,3,(TableDiv[[Agency]:[Agency]]=$E480)/(TableDiv[[Agency]:[Agency]]=$E480)*(ROW(TableDiv[Agency])-ROW(TableDiv[[#Headers],[Agency]])),COLUMNS($F$7:AM$7))))</f>
        <v/>
      </c>
      <c r="AN480" s="2223"/>
      <c r="AO480" s="2223"/>
      <c r="AP480" s="2223"/>
      <c r="AQ480" s="2223"/>
      <c r="AR480" s="2223"/>
      <c r="AS480" s="2223"/>
    </row>
    <row r="481" spans="1:45" ht="15" x14ac:dyDescent="0.25">
      <c r="A481" s="2219" t="s">
        <v>5287</v>
      </c>
      <c r="B481" s="2219" t="s">
        <v>6543</v>
      </c>
      <c r="C481" s="2223"/>
      <c r="W481" s="2223" t="str" cm="1">
        <f t="array" ref="W481">IF($D481&lt;COLUMNS($F$7:W$7),"",INDEX(TableDiv[[GASB]:[GASB]],_xlfn.AGGREGATE(15,3,(TableDiv[[Agency]:[Agency]]=$E481)/(TableDiv[[Agency]:[Agency]]=$E481)*(ROW(TableDiv[Agency])-ROW(TableDiv[[#Headers],[Agency]])),COLUMNS($F$7:W$7))))</f>
        <v/>
      </c>
      <c r="X481" s="2223" t="str" cm="1">
        <f t="array" ref="X481">IF($D481&lt;COLUMNS($F$7:X$7),"",INDEX(TableDiv[[GASB]:[GASB]],_xlfn.AGGREGATE(15,3,(TableDiv[[Agency]:[Agency]]=$E481)/(TableDiv[[Agency]:[Agency]]=$E481)*(ROW(TableDiv[Agency])-ROW(TableDiv[[#Headers],[Agency]])),COLUMNS($F$7:X$7))))</f>
        <v/>
      </c>
      <c r="Y481" s="2223" t="str" cm="1">
        <f t="array" ref="Y481">IF($D481&lt;COLUMNS($F$7:Y$7),"",INDEX(TableDiv[[GASB]:[GASB]],_xlfn.AGGREGATE(15,3,(TableDiv[[Agency]:[Agency]]=$E481)/(TableDiv[[Agency]:[Agency]]=$E481)*(ROW(TableDiv[Agency])-ROW(TableDiv[[#Headers],[Agency]])),COLUMNS($F$7:Y$7))))</f>
        <v/>
      </c>
      <c r="Z481" s="2223" t="str" cm="1">
        <f t="array" ref="Z481">IF($D481&lt;COLUMNS($F$7:Z$7),"",INDEX(TableDiv[[GASB]:[GASB]],_xlfn.AGGREGATE(15,3,(TableDiv[[Agency]:[Agency]]=$E481)/(TableDiv[[Agency]:[Agency]]=$E481)*(ROW(TableDiv[Agency])-ROW(TableDiv[[#Headers],[Agency]])),COLUMNS($F$7:Z$7))))</f>
        <v/>
      </c>
      <c r="AA481" s="2223" t="str" cm="1">
        <f t="array" ref="AA481">IF($D481&lt;COLUMNS($F$7:AA$7),"",INDEX(TableDiv[[GASB]:[GASB]],_xlfn.AGGREGATE(15,3,(TableDiv[[Agency]:[Agency]]=$E481)/(TableDiv[[Agency]:[Agency]]=$E481)*(ROW(TableDiv[Agency])-ROW(TableDiv[[#Headers],[Agency]])),COLUMNS($F$7:AA$7))))</f>
        <v/>
      </c>
      <c r="AB481" s="2223" t="str" cm="1">
        <f t="array" ref="AB481">IF($D481&lt;COLUMNS($F$7:AB$7),"",INDEX(TableDiv[[GASB]:[GASB]],_xlfn.AGGREGATE(15,3,(TableDiv[[Agency]:[Agency]]=$E481)/(TableDiv[[Agency]:[Agency]]=$E481)*(ROW(TableDiv[Agency])-ROW(TableDiv[[#Headers],[Agency]])),COLUMNS($F$7:AB$7))))</f>
        <v/>
      </c>
      <c r="AC481" s="2223" t="str" cm="1">
        <f t="array" ref="AC481">IF($D481&lt;COLUMNS($F$7:AC$7),"",INDEX(TableDiv[[GASB]:[GASB]],_xlfn.AGGREGATE(15,3,(TableDiv[[Agency]:[Agency]]=$E481)/(TableDiv[[Agency]:[Agency]]=$E481)*(ROW(TableDiv[Agency])-ROW(TableDiv[[#Headers],[Agency]])),COLUMNS($F$7:AC$7))))</f>
        <v/>
      </c>
      <c r="AD481" s="2223" t="str" cm="1">
        <f t="array" ref="AD481">IF($D481&lt;COLUMNS($F$7:AD$7),"",INDEX(TableDiv[[GASB]:[GASB]],_xlfn.AGGREGATE(15,3,(TableDiv[[Agency]:[Agency]]=$E481)/(TableDiv[[Agency]:[Agency]]=$E481)*(ROW(TableDiv[Agency])-ROW(TableDiv[[#Headers],[Agency]])),COLUMNS($F$7:AD$7))))</f>
        <v/>
      </c>
      <c r="AE481" s="2223" t="str" cm="1">
        <f t="array" ref="AE481">IF($D481&lt;COLUMNS($F$7:AE$7),"",INDEX(TableDiv[[GASB]:[GASB]],_xlfn.AGGREGATE(15,3,(TableDiv[[Agency]:[Agency]]=$E481)/(TableDiv[[Agency]:[Agency]]=$E481)*(ROW(TableDiv[Agency])-ROW(TableDiv[[#Headers],[Agency]])),COLUMNS($F$7:AE$7))))</f>
        <v/>
      </c>
      <c r="AF481" s="2223" t="str" cm="1">
        <f t="array" ref="AF481">IF($D481&lt;COLUMNS($F$7:AF$7),"",INDEX(TableDiv[[GASB]:[GASB]],_xlfn.AGGREGATE(15,3,(TableDiv[[Agency]:[Agency]]=$E481)/(TableDiv[[Agency]:[Agency]]=$E481)*(ROW(TableDiv[Agency])-ROW(TableDiv[[#Headers],[Agency]])),COLUMNS($F$7:AF$7))))</f>
        <v/>
      </c>
      <c r="AG481" s="2223" t="str" cm="1">
        <f t="array" ref="AG481">IF($D481&lt;COLUMNS($F$7:AG$7),"",INDEX(TableDiv[[GASB]:[GASB]],_xlfn.AGGREGATE(15,3,(TableDiv[[Agency]:[Agency]]=$E481)/(TableDiv[[Agency]:[Agency]]=$E481)*(ROW(TableDiv[Agency])-ROW(TableDiv[[#Headers],[Agency]])),COLUMNS($F$7:AG$7))))</f>
        <v/>
      </c>
      <c r="AH481" s="2223" t="str" cm="1">
        <f t="array" ref="AH481">IF($D481&lt;COLUMNS($F$7:AH$7),"",INDEX(TableDiv[[GASB]:[GASB]],_xlfn.AGGREGATE(15,3,(TableDiv[[Agency]:[Agency]]=$E481)/(TableDiv[[Agency]:[Agency]]=$E481)*(ROW(TableDiv[Agency])-ROW(TableDiv[[#Headers],[Agency]])),COLUMNS($F$7:AH$7))))</f>
        <v/>
      </c>
      <c r="AI481" s="2223" t="str" cm="1">
        <f t="array" ref="AI481">IF($D481&lt;COLUMNS($F$7:AI$7),"",INDEX(TableDiv[[GASB]:[GASB]],_xlfn.AGGREGATE(15,3,(TableDiv[[Agency]:[Agency]]=$E481)/(TableDiv[[Agency]:[Agency]]=$E481)*(ROW(TableDiv[Agency])-ROW(TableDiv[[#Headers],[Agency]])),COLUMNS($F$7:AI$7))))</f>
        <v/>
      </c>
      <c r="AJ481" s="2223" t="str" cm="1">
        <f t="array" ref="AJ481">IF($D481&lt;COLUMNS($F$7:AJ$7),"",INDEX(TableDiv[[GASB]:[GASB]],_xlfn.AGGREGATE(15,3,(TableDiv[[Agency]:[Agency]]=$E481)/(TableDiv[[Agency]:[Agency]]=$E481)*(ROW(TableDiv[Agency])-ROW(TableDiv[[#Headers],[Agency]])),COLUMNS($F$7:AJ$7))))</f>
        <v/>
      </c>
      <c r="AK481" s="2223" t="str" cm="1">
        <f t="array" ref="AK481">IF($D481&lt;COLUMNS($F$7:AK$7),"",INDEX(TableDiv[[GASB]:[GASB]],_xlfn.AGGREGATE(15,3,(TableDiv[[Agency]:[Agency]]=$E481)/(TableDiv[[Agency]:[Agency]]=$E481)*(ROW(TableDiv[Agency])-ROW(TableDiv[[#Headers],[Agency]])),COLUMNS($F$7:AK$7))))</f>
        <v/>
      </c>
      <c r="AL481" s="2223" t="str" cm="1">
        <f t="array" ref="AL481">IF($D481&lt;COLUMNS($F$7:AL$7),"",INDEX(TableDiv[[GASB]:[GASB]],_xlfn.AGGREGATE(15,3,(TableDiv[[Agency]:[Agency]]=$E481)/(TableDiv[[Agency]:[Agency]]=$E481)*(ROW(TableDiv[Agency])-ROW(TableDiv[[#Headers],[Agency]])),COLUMNS($F$7:AL$7))))</f>
        <v/>
      </c>
      <c r="AM481" s="2223" t="str" cm="1">
        <f t="array" ref="AM481">IF($D481&lt;COLUMNS($F$7:AM$7),"",INDEX(TableDiv[[GASB]:[GASB]],_xlfn.AGGREGATE(15,3,(TableDiv[[Agency]:[Agency]]=$E481)/(TableDiv[[Agency]:[Agency]]=$E481)*(ROW(TableDiv[Agency])-ROW(TableDiv[[#Headers],[Agency]])),COLUMNS($F$7:AM$7))))</f>
        <v/>
      </c>
      <c r="AN481" s="2223"/>
      <c r="AO481" s="2223"/>
      <c r="AP481" s="2223"/>
      <c r="AQ481" s="2223"/>
      <c r="AR481" s="2223"/>
      <c r="AS481" s="2223"/>
    </row>
    <row r="482" spans="1:45" ht="15" x14ac:dyDescent="0.25">
      <c r="A482" s="2219" t="s">
        <v>5289</v>
      </c>
      <c r="B482" s="2219" t="s">
        <v>6543</v>
      </c>
      <c r="C482" s="2223"/>
      <c r="W482" s="2223" t="str" cm="1">
        <f t="array" ref="W482">IF($D482&lt;COLUMNS($F$7:W$7),"",INDEX(TableDiv[[GASB]:[GASB]],_xlfn.AGGREGATE(15,3,(TableDiv[[Agency]:[Agency]]=$E482)/(TableDiv[[Agency]:[Agency]]=$E482)*(ROW(TableDiv[Agency])-ROW(TableDiv[[#Headers],[Agency]])),COLUMNS($F$7:W$7))))</f>
        <v/>
      </c>
      <c r="X482" s="2223" t="str" cm="1">
        <f t="array" ref="X482">IF($D482&lt;COLUMNS($F$7:X$7),"",INDEX(TableDiv[[GASB]:[GASB]],_xlfn.AGGREGATE(15,3,(TableDiv[[Agency]:[Agency]]=$E482)/(TableDiv[[Agency]:[Agency]]=$E482)*(ROW(TableDiv[Agency])-ROW(TableDiv[[#Headers],[Agency]])),COLUMNS($F$7:X$7))))</f>
        <v/>
      </c>
      <c r="Y482" s="2223" t="str" cm="1">
        <f t="array" ref="Y482">IF($D482&lt;COLUMNS($F$7:Y$7),"",INDEX(TableDiv[[GASB]:[GASB]],_xlfn.AGGREGATE(15,3,(TableDiv[[Agency]:[Agency]]=$E482)/(TableDiv[[Agency]:[Agency]]=$E482)*(ROW(TableDiv[Agency])-ROW(TableDiv[[#Headers],[Agency]])),COLUMNS($F$7:Y$7))))</f>
        <v/>
      </c>
      <c r="Z482" s="2223" t="str" cm="1">
        <f t="array" ref="Z482">IF($D482&lt;COLUMNS($F$7:Z$7),"",INDEX(TableDiv[[GASB]:[GASB]],_xlfn.AGGREGATE(15,3,(TableDiv[[Agency]:[Agency]]=$E482)/(TableDiv[[Agency]:[Agency]]=$E482)*(ROW(TableDiv[Agency])-ROW(TableDiv[[#Headers],[Agency]])),COLUMNS($F$7:Z$7))))</f>
        <v/>
      </c>
      <c r="AA482" s="2223" t="str" cm="1">
        <f t="array" ref="AA482">IF($D482&lt;COLUMNS($F$7:AA$7),"",INDEX(TableDiv[[GASB]:[GASB]],_xlfn.AGGREGATE(15,3,(TableDiv[[Agency]:[Agency]]=$E482)/(TableDiv[[Agency]:[Agency]]=$E482)*(ROW(TableDiv[Agency])-ROW(TableDiv[[#Headers],[Agency]])),COLUMNS($F$7:AA$7))))</f>
        <v/>
      </c>
      <c r="AB482" s="2223" t="str" cm="1">
        <f t="array" ref="AB482">IF($D482&lt;COLUMNS($F$7:AB$7),"",INDEX(TableDiv[[GASB]:[GASB]],_xlfn.AGGREGATE(15,3,(TableDiv[[Agency]:[Agency]]=$E482)/(TableDiv[[Agency]:[Agency]]=$E482)*(ROW(TableDiv[Agency])-ROW(TableDiv[[#Headers],[Agency]])),COLUMNS($F$7:AB$7))))</f>
        <v/>
      </c>
      <c r="AC482" s="2223" t="str" cm="1">
        <f t="array" ref="AC482">IF($D482&lt;COLUMNS($F$7:AC$7),"",INDEX(TableDiv[[GASB]:[GASB]],_xlfn.AGGREGATE(15,3,(TableDiv[[Agency]:[Agency]]=$E482)/(TableDiv[[Agency]:[Agency]]=$E482)*(ROW(TableDiv[Agency])-ROW(TableDiv[[#Headers],[Agency]])),COLUMNS($F$7:AC$7))))</f>
        <v/>
      </c>
      <c r="AD482" s="2223" t="str" cm="1">
        <f t="array" ref="AD482">IF($D482&lt;COLUMNS($F$7:AD$7),"",INDEX(TableDiv[[GASB]:[GASB]],_xlfn.AGGREGATE(15,3,(TableDiv[[Agency]:[Agency]]=$E482)/(TableDiv[[Agency]:[Agency]]=$E482)*(ROW(TableDiv[Agency])-ROW(TableDiv[[#Headers],[Agency]])),COLUMNS($F$7:AD$7))))</f>
        <v/>
      </c>
      <c r="AE482" s="2223" t="str" cm="1">
        <f t="array" ref="AE482">IF($D482&lt;COLUMNS($F$7:AE$7),"",INDEX(TableDiv[[GASB]:[GASB]],_xlfn.AGGREGATE(15,3,(TableDiv[[Agency]:[Agency]]=$E482)/(TableDiv[[Agency]:[Agency]]=$E482)*(ROW(TableDiv[Agency])-ROW(TableDiv[[#Headers],[Agency]])),COLUMNS($F$7:AE$7))))</f>
        <v/>
      </c>
      <c r="AF482" s="2223" t="str" cm="1">
        <f t="array" ref="AF482">IF($D482&lt;COLUMNS($F$7:AF$7),"",INDEX(TableDiv[[GASB]:[GASB]],_xlfn.AGGREGATE(15,3,(TableDiv[[Agency]:[Agency]]=$E482)/(TableDiv[[Agency]:[Agency]]=$E482)*(ROW(TableDiv[Agency])-ROW(TableDiv[[#Headers],[Agency]])),COLUMNS($F$7:AF$7))))</f>
        <v/>
      </c>
      <c r="AG482" s="2223" t="str" cm="1">
        <f t="array" ref="AG482">IF($D482&lt;COLUMNS($F$7:AG$7),"",INDEX(TableDiv[[GASB]:[GASB]],_xlfn.AGGREGATE(15,3,(TableDiv[[Agency]:[Agency]]=$E482)/(TableDiv[[Agency]:[Agency]]=$E482)*(ROW(TableDiv[Agency])-ROW(TableDiv[[#Headers],[Agency]])),COLUMNS($F$7:AG$7))))</f>
        <v/>
      </c>
      <c r="AH482" s="2223" t="str" cm="1">
        <f t="array" ref="AH482">IF($D482&lt;COLUMNS($F$7:AH$7),"",INDEX(TableDiv[[GASB]:[GASB]],_xlfn.AGGREGATE(15,3,(TableDiv[[Agency]:[Agency]]=$E482)/(TableDiv[[Agency]:[Agency]]=$E482)*(ROW(TableDiv[Agency])-ROW(TableDiv[[#Headers],[Agency]])),COLUMNS($F$7:AH$7))))</f>
        <v/>
      </c>
      <c r="AI482" s="2223" t="str" cm="1">
        <f t="array" ref="AI482">IF($D482&lt;COLUMNS($F$7:AI$7),"",INDEX(TableDiv[[GASB]:[GASB]],_xlfn.AGGREGATE(15,3,(TableDiv[[Agency]:[Agency]]=$E482)/(TableDiv[[Agency]:[Agency]]=$E482)*(ROW(TableDiv[Agency])-ROW(TableDiv[[#Headers],[Agency]])),COLUMNS($F$7:AI$7))))</f>
        <v/>
      </c>
      <c r="AJ482" s="2223" t="str" cm="1">
        <f t="array" ref="AJ482">IF($D482&lt;COLUMNS($F$7:AJ$7),"",INDEX(TableDiv[[GASB]:[GASB]],_xlfn.AGGREGATE(15,3,(TableDiv[[Agency]:[Agency]]=$E482)/(TableDiv[[Agency]:[Agency]]=$E482)*(ROW(TableDiv[Agency])-ROW(TableDiv[[#Headers],[Agency]])),COLUMNS($F$7:AJ$7))))</f>
        <v/>
      </c>
      <c r="AK482" s="2223" t="str" cm="1">
        <f t="array" ref="AK482">IF($D482&lt;COLUMNS($F$7:AK$7),"",INDEX(TableDiv[[GASB]:[GASB]],_xlfn.AGGREGATE(15,3,(TableDiv[[Agency]:[Agency]]=$E482)/(TableDiv[[Agency]:[Agency]]=$E482)*(ROW(TableDiv[Agency])-ROW(TableDiv[[#Headers],[Agency]])),COLUMNS($F$7:AK$7))))</f>
        <v/>
      </c>
      <c r="AL482" s="2223" t="str" cm="1">
        <f t="array" ref="AL482">IF($D482&lt;COLUMNS($F$7:AL$7),"",INDEX(TableDiv[[GASB]:[GASB]],_xlfn.AGGREGATE(15,3,(TableDiv[[Agency]:[Agency]]=$E482)/(TableDiv[[Agency]:[Agency]]=$E482)*(ROW(TableDiv[Agency])-ROW(TableDiv[[#Headers],[Agency]])),COLUMNS($F$7:AL$7))))</f>
        <v/>
      </c>
      <c r="AM482" s="2223" t="str" cm="1">
        <f t="array" ref="AM482">IF($D482&lt;COLUMNS($F$7:AM$7),"",INDEX(TableDiv[[GASB]:[GASB]],_xlfn.AGGREGATE(15,3,(TableDiv[[Agency]:[Agency]]=$E482)/(TableDiv[[Agency]:[Agency]]=$E482)*(ROW(TableDiv[Agency])-ROW(TableDiv[[#Headers],[Agency]])),COLUMNS($F$7:AM$7))))</f>
        <v/>
      </c>
      <c r="AN482" s="2223"/>
      <c r="AO482" s="2223"/>
      <c r="AP482" s="2223"/>
      <c r="AQ482" s="2223"/>
      <c r="AR482" s="2223"/>
      <c r="AS482" s="2223"/>
    </row>
    <row r="483" spans="1:45" ht="15" x14ac:dyDescent="0.25">
      <c r="A483" s="2219" t="s">
        <v>5291</v>
      </c>
      <c r="B483" s="2219" t="s">
        <v>6543</v>
      </c>
      <c r="C483" s="2223"/>
      <c r="W483" s="2223" t="str" cm="1">
        <f t="array" ref="W483">IF($D483&lt;COLUMNS($F$7:W$7),"",INDEX(TableDiv[[GASB]:[GASB]],_xlfn.AGGREGATE(15,3,(TableDiv[[Agency]:[Agency]]=$E483)/(TableDiv[[Agency]:[Agency]]=$E483)*(ROW(TableDiv[Agency])-ROW(TableDiv[[#Headers],[Agency]])),COLUMNS($F$7:W$7))))</f>
        <v/>
      </c>
      <c r="X483" s="2223" t="str" cm="1">
        <f t="array" ref="X483">IF($D483&lt;COLUMNS($F$7:X$7),"",INDEX(TableDiv[[GASB]:[GASB]],_xlfn.AGGREGATE(15,3,(TableDiv[[Agency]:[Agency]]=$E483)/(TableDiv[[Agency]:[Agency]]=$E483)*(ROW(TableDiv[Agency])-ROW(TableDiv[[#Headers],[Agency]])),COLUMNS($F$7:X$7))))</f>
        <v/>
      </c>
      <c r="Y483" s="2223" t="str" cm="1">
        <f t="array" ref="Y483">IF($D483&lt;COLUMNS($F$7:Y$7),"",INDEX(TableDiv[[GASB]:[GASB]],_xlfn.AGGREGATE(15,3,(TableDiv[[Agency]:[Agency]]=$E483)/(TableDiv[[Agency]:[Agency]]=$E483)*(ROW(TableDiv[Agency])-ROW(TableDiv[[#Headers],[Agency]])),COLUMNS($F$7:Y$7))))</f>
        <v/>
      </c>
      <c r="Z483" s="2223" t="str" cm="1">
        <f t="array" ref="Z483">IF($D483&lt;COLUMNS($F$7:Z$7),"",INDEX(TableDiv[[GASB]:[GASB]],_xlfn.AGGREGATE(15,3,(TableDiv[[Agency]:[Agency]]=$E483)/(TableDiv[[Agency]:[Agency]]=$E483)*(ROW(TableDiv[Agency])-ROW(TableDiv[[#Headers],[Agency]])),COLUMNS($F$7:Z$7))))</f>
        <v/>
      </c>
      <c r="AA483" s="2223" t="str" cm="1">
        <f t="array" ref="AA483">IF($D483&lt;COLUMNS($F$7:AA$7),"",INDEX(TableDiv[[GASB]:[GASB]],_xlfn.AGGREGATE(15,3,(TableDiv[[Agency]:[Agency]]=$E483)/(TableDiv[[Agency]:[Agency]]=$E483)*(ROW(TableDiv[Agency])-ROW(TableDiv[[#Headers],[Agency]])),COLUMNS($F$7:AA$7))))</f>
        <v/>
      </c>
      <c r="AB483" s="2223" t="str" cm="1">
        <f t="array" ref="AB483">IF($D483&lt;COLUMNS($F$7:AB$7),"",INDEX(TableDiv[[GASB]:[GASB]],_xlfn.AGGREGATE(15,3,(TableDiv[[Agency]:[Agency]]=$E483)/(TableDiv[[Agency]:[Agency]]=$E483)*(ROW(TableDiv[Agency])-ROW(TableDiv[[#Headers],[Agency]])),COLUMNS($F$7:AB$7))))</f>
        <v/>
      </c>
      <c r="AC483" s="2223" t="str" cm="1">
        <f t="array" ref="AC483">IF($D483&lt;COLUMNS($F$7:AC$7),"",INDEX(TableDiv[[GASB]:[GASB]],_xlfn.AGGREGATE(15,3,(TableDiv[[Agency]:[Agency]]=$E483)/(TableDiv[[Agency]:[Agency]]=$E483)*(ROW(TableDiv[Agency])-ROW(TableDiv[[#Headers],[Agency]])),COLUMNS($F$7:AC$7))))</f>
        <v/>
      </c>
      <c r="AD483" s="2223" t="str" cm="1">
        <f t="array" ref="AD483">IF($D483&lt;COLUMNS($F$7:AD$7),"",INDEX(TableDiv[[GASB]:[GASB]],_xlfn.AGGREGATE(15,3,(TableDiv[[Agency]:[Agency]]=$E483)/(TableDiv[[Agency]:[Agency]]=$E483)*(ROW(TableDiv[Agency])-ROW(TableDiv[[#Headers],[Agency]])),COLUMNS($F$7:AD$7))))</f>
        <v/>
      </c>
      <c r="AE483" s="2223" t="str" cm="1">
        <f t="array" ref="AE483">IF($D483&lt;COLUMNS($F$7:AE$7),"",INDEX(TableDiv[[GASB]:[GASB]],_xlfn.AGGREGATE(15,3,(TableDiv[[Agency]:[Agency]]=$E483)/(TableDiv[[Agency]:[Agency]]=$E483)*(ROW(TableDiv[Agency])-ROW(TableDiv[[#Headers],[Agency]])),COLUMNS($F$7:AE$7))))</f>
        <v/>
      </c>
      <c r="AF483" s="2223" t="str" cm="1">
        <f t="array" ref="AF483">IF($D483&lt;COLUMNS($F$7:AF$7),"",INDEX(TableDiv[[GASB]:[GASB]],_xlfn.AGGREGATE(15,3,(TableDiv[[Agency]:[Agency]]=$E483)/(TableDiv[[Agency]:[Agency]]=$E483)*(ROW(TableDiv[Agency])-ROW(TableDiv[[#Headers],[Agency]])),COLUMNS($F$7:AF$7))))</f>
        <v/>
      </c>
      <c r="AG483" s="2223" t="str" cm="1">
        <f t="array" ref="AG483">IF($D483&lt;COLUMNS($F$7:AG$7),"",INDEX(TableDiv[[GASB]:[GASB]],_xlfn.AGGREGATE(15,3,(TableDiv[[Agency]:[Agency]]=$E483)/(TableDiv[[Agency]:[Agency]]=$E483)*(ROW(TableDiv[Agency])-ROW(TableDiv[[#Headers],[Agency]])),COLUMNS($F$7:AG$7))))</f>
        <v/>
      </c>
      <c r="AH483" s="2223" t="str" cm="1">
        <f t="array" ref="AH483">IF($D483&lt;COLUMNS($F$7:AH$7),"",INDEX(TableDiv[[GASB]:[GASB]],_xlfn.AGGREGATE(15,3,(TableDiv[[Agency]:[Agency]]=$E483)/(TableDiv[[Agency]:[Agency]]=$E483)*(ROW(TableDiv[Agency])-ROW(TableDiv[[#Headers],[Agency]])),COLUMNS($F$7:AH$7))))</f>
        <v/>
      </c>
      <c r="AI483" s="2223" t="str" cm="1">
        <f t="array" ref="AI483">IF($D483&lt;COLUMNS($F$7:AI$7),"",INDEX(TableDiv[[GASB]:[GASB]],_xlfn.AGGREGATE(15,3,(TableDiv[[Agency]:[Agency]]=$E483)/(TableDiv[[Agency]:[Agency]]=$E483)*(ROW(TableDiv[Agency])-ROW(TableDiv[[#Headers],[Agency]])),COLUMNS($F$7:AI$7))))</f>
        <v/>
      </c>
      <c r="AJ483" s="2223" t="str" cm="1">
        <f t="array" ref="AJ483">IF($D483&lt;COLUMNS($F$7:AJ$7),"",INDEX(TableDiv[[GASB]:[GASB]],_xlfn.AGGREGATE(15,3,(TableDiv[[Agency]:[Agency]]=$E483)/(TableDiv[[Agency]:[Agency]]=$E483)*(ROW(TableDiv[Agency])-ROW(TableDiv[[#Headers],[Agency]])),COLUMNS($F$7:AJ$7))))</f>
        <v/>
      </c>
      <c r="AK483" s="2223" t="str" cm="1">
        <f t="array" ref="AK483">IF($D483&lt;COLUMNS($F$7:AK$7),"",INDEX(TableDiv[[GASB]:[GASB]],_xlfn.AGGREGATE(15,3,(TableDiv[[Agency]:[Agency]]=$E483)/(TableDiv[[Agency]:[Agency]]=$E483)*(ROW(TableDiv[Agency])-ROW(TableDiv[[#Headers],[Agency]])),COLUMNS($F$7:AK$7))))</f>
        <v/>
      </c>
      <c r="AL483" s="2223" t="str" cm="1">
        <f t="array" ref="AL483">IF($D483&lt;COLUMNS($F$7:AL$7),"",INDEX(TableDiv[[GASB]:[GASB]],_xlfn.AGGREGATE(15,3,(TableDiv[[Agency]:[Agency]]=$E483)/(TableDiv[[Agency]:[Agency]]=$E483)*(ROW(TableDiv[Agency])-ROW(TableDiv[[#Headers],[Agency]])),COLUMNS($F$7:AL$7))))</f>
        <v/>
      </c>
      <c r="AM483" s="2223" t="str" cm="1">
        <f t="array" ref="AM483">IF($D483&lt;COLUMNS($F$7:AM$7),"",INDEX(TableDiv[[GASB]:[GASB]],_xlfn.AGGREGATE(15,3,(TableDiv[[Agency]:[Agency]]=$E483)/(TableDiv[[Agency]:[Agency]]=$E483)*(ROW(TableDiv[Agency])-ROW(TableDiv[[#Headers],[Agency]])),COLUMNS($F$7:AM$7))))</f>
        <v/>
      </c>
      <c r="AN483" s="2223"/>
      <c r="AO483" s="2223"/>
      <c r="AP483" s="2223"/>
      <c r="AQ483" s="2223"/>
      <c r="AR483" s="2223"/>
      <c r="AS483" s="2223"/>
    </row>
    <row r="484" spans="1:45" ht="15" x14ac:dyDescent="0.25">
      <c r="A484" s="2219" t="s">
        <v>5163</v>
      </c>
      <c r="B484" s="2219" t="s">
        <v>6544</v>
      </c>
      <c r="C484" s="2223"/>
      <c r="W484" s="2223" t="str" cm="1">
        <f t="array" ref="W484">IF($D484&lt;COLUMNS($F$7:W$7),"",INDEX(TableDiv[[GASB]:[GASB]],_xlfn.AGGREGATE(15,3,(TableDiv[[Agency]:[Agency]]=$E484)/(TableDiv[[Agency]:[Agency]]=$E484)*(ROW(TableDiv[Agency])-ROW(TableDiv[[#Headers],[Agency]])),COLUMNS($F$7:W$7))))</f>
        <v/>
      </c>
      <c r="X484" s="2223" t="str" cm="1">
        <f t="array" ref="X484">IF($D484&lt;COLUMNS($F$7:X$7),"",INDEX(TableDiv[[GASB]:[GASB]],_xlfn.AGGREGATE(15,3,(TableDiv[[Agency]:[Agency]]=$E484)/(TableDiv[[Agency]:[Agency]]=$E484)*(ROW(TableDiv[Agency])-ROW(TableDiv[[#Headers],[Agency]])),COLUMNS($F$7:X$7))))</f>
        <v/>
      </c>
      <c r="Y484" s="2223" t="str" cm="1">
        <f t="array" ref="Y484">IF($D484&lt;COLUMNS($F$7:Y$7),"",INDEX(TableDiv[[GASB]:[GASB]],_xlfn.AGGREGATE(15,3,(TableDiv[[Agency]:[Agency]]=$E484)/(TableDiv[[Agency]:[Agency]]=$E484)*(ROW(TableDiv[Agency])-ROW(TableDiv[[#Headers],[Agency]])),COLUMNS($F$7:Y$7))))</f>
        <v/>
      </c>
      <c r="Z484" s="2223" t="str" cm="1">
        <f t="array" ref="Z484">IF($D484&lt;COLUMNS($F$7:Z$7),"",INDEX(TableDiv[[GASB]:[GASB]],_xlfn.AGGREGATE(15,3,(TableDiv[[Agency]:[Agency]]=$E484)/(TableDiv[[Agency]:[Agency]]=$E484)*(ROW(TableDiv[Agency])-ROW(TableDiv[[#Headers],[Agency]])),COLUMNS($F$7:Z$7))))</f>
        <v/>
      </c>
      <c r="AA484" s="2223" t="str" cm="1">
        <f t="array" ref="AA484">IF($D484&lt;COLUMNS($F$7:AA$7),"",INDEX(TableDiv[[GASB]:[GASB]],_xlfn.AGGREGATE(15,3,(TableDiv[[Agency]:[Agency]]=$E484)/(TableDiv[[Agency]:[Agency]]=$E484)*(ROW(TableDiv[Agency])-ROW(TableDiv[[#Headers],[Agency]])),COLUMNS($F$7:AA$7))))</f>
        <v/>
      </c>
      <c r="AB484" s="2223" t="str" cm="1">
        <f t="array" ref="AB484">IF($D484&lt;COLUMNS($F$7:AB$7),"",INDEX(TableDiv[[GASB]:[GASB]],_xlfn.AGGREGATE(15,3,(TableDiv[[Agency]:[Agency]]=$E484)/(TableDiv[[Agency]:[Agency]]=$E484)*(ROW(TableDiv[Agency])-ROW(TableDiv[[#Headers],[Agency]])),COLUMNS($F$7:AB$7))))</f>
        <v/>
      </c>
      <c r="AC484" s="2223" t="str" cm="1">
        <f t="array" ref="AC484">IF($D484&lt;COLUMNS($F$7:AC$7),"",INDEX(TableDiv[[GASB]:[GASB]],_xlfn.AGGREGATE(15,3,(TableDiv[[Agency]:[Agency]]=$E484)/(TableDiv[[Agency]:[Agency]]=$E484)*(ROW(TableDiv[Agency])-ROW(TableDiv[[#Headers],[Agency]])),COLUMNS($F$7:AC$7))))</f>
        <v/>
      </c>
      <c r="AD484" s="2223" t="str" cm="1">
        <f t="array" ref="AD484">IF($D484&lt;COLUMNS($F$7:AD$7),"",INDEX(TableDiv[[GASB]:[GASB]],_xlfn.AGGREGATE(15,3,(TableDiv[[Agency]:[Agency]]=$E484)/(TableDiv[[Agency]:[Agency]]=$E484)*(ROW(TableDiv[Agency])-ROW(TableDiv[[#Headers],[Agency]])),COLUMNS($F$7:AD$7))))</f>
        <v/>
      </c>
      <c r="AE484" s="2223" t="str" cm="1">
        <f t="array" ref="AE484">IF($D484&lt;COLUMNS($F$7:AE$7),"",INDEX(TableDiv[[GASB]:[GASB]],_xlfn.AGGREGATE(15,3,(TableDiv[[Agency]:[Agency]]=$E484)/(TableDiv[[Agency]:[Agency]]=$E484)*(ROW(TableDiv[Agency])-ROW(TableDiv[[#Headers],[Agency]])),COLUMNS($F$7:AE$7))))</f>
        <v/>
      </c>
      <c r="AF484" s="2223" t="str" cm="1">
        <f t="array" ref="AF484">IF($D484&lt;COLUMNS($F$7:AF$7),"",INDEX(TableDiv[[GASB]:[GASB]],_xlfn.AGGREGATE(15,3,(TableDiv[[Agency]:[Agency]]=$E484)/(TableDiv[[Agency]:[Agency]]=$E484)*(ROW(TableDiv[Agency])-ROW(TableDiv[[#Headers],[Agency]])),COLUMNS($F$7:AF$7))))</f>
        <v/>
      </c>
      <c r="AG484" s="2223" t="str" cm="1">
        <f t="array" ref="AG484">IF($D484&lt;COLUMNS($F$7:AG$7),"",INDEX(TableDiv[[GASB]:[GASB]],_xlfn.AGGREGATE(15,3,(TableDiv[[Agency]:[Agency]]=$E484)/(TableDiv[[Agency]:[Agency]]=$E484)*(ROW(TableDiv[Agency])-ROW(TableDiv[[#Headers],[Agency]])),COLUMNS($F$7:AG$7))))</f>
        <v/>
      </c>
      <c r="AH484" s="2223" t="str" cm="1">
        <f t="array" ref="AH484">IF($D484&lt;COLUMNS($F$7:AH$7),"",INDEX(TableDiv[[GASB]:[GASB]],_xlfn.AGGREGATE(15,3,(TableDiv[[Agency]:[Agency]]=$E484)/(TableDiv[[Agency]:[Agency]]=$E484)*(ROW(TableDiv[Agency])-ROW(TableDiv[[#Headers],[Agency]])),COLUMNS($F$7:AH$7))))</f>
        <v/>
      </c>
      <c r="AI484" s="2223" t="str" cm="1">
        <f t="array" ref="AI484">IF($D484&lt;COLUMNS($F$7:AI$7),"",INDEX(TableDiv[[GASB]:[GASB]],_xlfn.AGGREGATE(15,3,(TableDiv[[Agency]:[Agency]]=$E484)/(TableDiv[[Agency]:[Agency]]=$E484)*(ROW(TableDiv[Agency])-ROW(TableDiv[[#Headers],[Agency]])),COLUMNS($F$7:AI$7))))</f>
        <v/>
      </c>
      <c r="AJ484" s="2223" t="str" cm="1">
        <f t="array" ref="AJ484">IF($D484&lt;COLUMNS($F$7:AJ$7),"",INDEX(TableDiv[[GASB]:[GASB]],_xlfn.AGGREGATE(15,3,(TableDiv[[Agency]:[Agency]]=$E484)/(TableDiv[[Agency]:[Agency]]=$E484)*(ROW(TableDiv[Agency])-ROW(TableDiv[[#Headers],[Agency]])),COLUMNS($F$7:AJ$7))))</f>
        <v/>
      </c>
      <c r="AK484" s="2223" t="str" cm="1">
        <f t="array" ref="AK484">IF($D484&lt;COLUMNS($F$7:AK$7),"",INDEX(TableDiv[[GASB]:[GASB]],_xlfn.AGGREGATE(15,3,(TableDiv[[Agency]:[Agency]]=$E484)/(TableDiv[[Agency]:[Agency]]=$E484)*(ROW(TableDiv[Agency])-ROW(TableDiv[[#Headers],[Agency]])),COLUMNS($F$7:AK$7))))</f>
        <v/>
      </c>
      <c r="AL484" s="2223" t="str" cm="1">
        <f t="array" ref="AL484">IF($D484&lt;COLUMNS($F$7:AL$7),"",INDEX(TableDiv[[GASB]:[GASB]],_xlfn.AGGREGATE(15,3,(TableDiv[[Agency]:[Agency]]=$E484)/(TableDiv[[Agency]:[Agency]]=$E484)*(ROW(TableDiv[Agency])-ROW(TableDiv[[#Headers],[Agency]])),COLUMNS($F$7:AL$7))))</f>
        <v/>
      </c>
      <c r="AM484" s="2223" t="str" cm="1">
        <f t="array" ref="AM484">IF($D484&lt;COLUMNS($F$7:AM$7),"",INDEX(TableDiv[[GASB]:[GASB]],_xlfn.AGGREGATE(15,3,(TableDiv[[Agency]:[Agency]]=$E484)/(TableDiv[[Agency]:[Agency]]=$E484)*(ROW(TableDiv[Agency])-ROW(TableDiv[[#Headers],[Agency]])),COLUMNS($F$7:AM$7))))</f>
        <v/>
      </c>
      <c r="AN484" s="2223"/>
      <c r="AO484" s="2223"/>
      <c r="AP484" s="2223"/>
      <c r="AQ484" s="2223"/>
      <c r="AR484" s="2223"/>
      <c r="AS484" s="2223"/>
    </row>
    <row r="485" spans="1:45" ht="15" x14ac:dyDescent="0.25">
      <c r="A485" s="2219" t="s">
        <v>5150</v>
      </c>
      <c r="B485" s="2219" t="s">
        <v>6545</v>
      </c>
      <c r="C485" s="2223"/>
      <c r="W485" s="2223" t="str" cm="1">
        <f t="array" ref="W485">IF($D485&lt;COLUMNS($F$7:W$7),"",INDEX(TableDiv[[GASB]:[GASB]],_xlfn.AGGREGATE(15,3,(TableDiv[[Agency]:[Agency]]=$E485)/(TableDiv[[Agency]:[Agency]]=$E485)*(ROW(TableDiv[Agency])-ROW(TableDiv[[#Headers],[Agency]])),COLUMNS($F$7:W$7))))</f>
        <v/>
      </c>
      <c r="X485" s="2223" t="str" cm="1">
        <f t="array" ref="X485">IF($D485&lt;COLUMNS($F$7:X$7),"",INDEX(TableDiv[[GASB]:[GASB]],_xlfn.AGGREGATE(15,3,(TableDiv[[Agency]:[Agency]]=$E485)/(TableDiv[[Agency]:[Agency]]=$E485)*(ROW(TableDiv[Agency])-ROW(TableDiv[[#Headers],[Agency]])),COLUMNS($F$7:X$7))))</f>
        <v/>
      </c>
      <c r="Y485" s="2223" t="str" cm="1">
        <f t="array" ref="Y485">IF($D485&lt;COLUMNS($F$7:Y$7),"",INDEX(TableDiv[[GASB]:[GASB]],_xlfn.AGGREGATE(15,3,(TableDiv[[Agency]:[Agency]]=$E485)/(TableDiv[[Agency]:[Agency]]=$E485)*(ROW(TableDiv[Agency])-ROW(TableDiv[[#Headers],[Agency]])),COLUMNS($F$7:Y$7))))</f>
        <v/>
      </c>
      <c r="Z485" s="2223" t="str" cm="1">
        <f t="array" ref="Z485">IF($D485&lt;COLUMNS($F$7:Z$7),"",INDEX(TableDiv[[GASB]:[GASB]],_xlfn.AGGREGATE(15,3,(TableDiv[[Agency]:[Agency]]=$E485)/(TableDiv[[Agency]:[Agency]]=$E485)*(ROW(TableDiv[Agency])-ROW(TableDiv[[#Headers],[Agency]])),COLUMNS($F$7:Z$7))))</f>
        <v/>
      </c>
      <c r="AA485" s="2223" t="str" cm="1">
        <f t="array" ref="AA485">IF($D485&lt;COLUMNS($F$7:AA$7),"",INDEX(TableDiv[[GASB]:[GASB]],_xlfn.AGGREGATE(15,3,(TableDiv[[Agency]:[Agency]]=$E485)/(TableDiv[[Agency]:[Agency]]=$E485)*(ROW(TableDiv[Agency])-ROW(TableDiv[[#Headers],[Agency]])),COLUMNS($F$7:AA$7))))</f>
        <v/>
      </c>
      <c r="AB485" s="2223" t="str" cm="1">
        <f t="array" ref="AB485">IF($D485&lt;COLUMNS($F$7:AB$7),"",INDEX(TableDiv[[GASB]:[GASB]],_xlfn.AGGREGATE(15,3,(TableDiv[[Agency]:[Agency]]=$E485)/(TableDiv[[Agency]:[Agency]]=$E485)*(ROW(TableDiv[Agency])-ROW(TableDiv[[#Headers],[Agency]])),COLUMNS($F$7:AB$7))))</f>
        <v/>
      </c>
      <c r="AC485" s="2223" t="str" cm="1">
        <f t="array" ref="AC485">IF($D485&lt;COLUMNS($F$7:AC$7),"",INDEX(TableDiv[[GASB]:[GASB]],_xlfn.AGGREGATE(15,3,(TableDiv[[Agency]:[Agency]]=$E485)/(TableDiv[[Agency]:[Agency]]=$E485)*(ROW(TableDiv[Agency])-ROW(TableDiv[[#Headers],[Agency]])),COLUMNS($F$7:AC$7))))</f>
        <v/>
      </c>
      <c r="AD485" s="2223" t="str" cm="1">
        <f t="array" ref="AD485">IF($D485&lt;COLUMNS($F$7:AD$7),"",INDEX(TableDiv[[GASB]:[GASB]],_xlfn.AGGREGATE(15,3,(TableDiv[[Agency]:[Agency]]=$E485)/(TableDiv[[Agency]:[Agency]]=$E485)*(ROW(TableDiv[Agency])-ROW(TableDiv[[#Headers],[Agency]])),COLUMNS($F$7:AD$7))))</f>
        <v/>
      </c>
      <c r="AE485" s="2223" t="str" cm="1">
        <f t="array" ref="AE485">IF($D485&lt;COLUMNS($F$7:AE$7),"",INDEX(TableDiv[[GASB]:[GASB]],_xlfn.AGGREGATE(15,3,(TableDiv[[Agency]:[Agency]]=$E485)/(TableDiv[[Agency]:[Agency]]=$E485)*(ROW(TableDiv[Agency])-ROW(TableDiv[[#Headers],[Agency]])),COLUMNS($F$7:AE$7))))</f>
        <v/>
      </c>
      <c r="AF485" s="2223" t="str" cm="1">
        <f t="array" ref="AF485">IF($D485&lt;COLUMNS($F$7:AF$7),"",INDEX(TableDiv[[GASB]:[GASB]],_xlfn.AGGREGATE(15,3,(TableDiv[[Agency]:[Agency]]=$E485)/(TableDiv[[Agency]:[Agency]]=$E485)*(ROW(TableDiv[Agency])-ROW(TableDiv[[#Headers],[Agency]])),COLUMNS($F$7:AF$7))))</f>
        <v/>
      </c>
      <c r="AG485" s="2223" t="str" cm="1">
        <f t="array" ref="AG485">IF($D485&lt;COLUMNS($F$7:AG$7),"",INDEX(TableDiv[[GASB]:[GASB]],_xlfn.AGGREGATE(15,3,(TableDiv[[Agency]:[Agency]]=$E485)/(TableDiv[[Agency]:[Agency]]=$E485)*(ROW(TableDiv[Agency])-ROW(TableDiv[[#Headers],[Agency]])),COLUMNS($F$7:AG$7))))</f>
        <v/>
      </c>
      <c r="AH485" s="2223" t="str" cm="1">
        <f t="array" ref="AH485">IF($D485&lt;COLUMNS($F$7:AH$7),"",INDEX(TableDiv[[GASB]:[GASB]],_xlfn.AGGREGATE(15,3,(TableDiv[[Agency]:[Agency]]=$E485)/(TableDiv[[Agency]:[Agency]]=$E485)*(ROW(TableDiv[Agency])-ROW(TableDiv[[#Headers],[Agency]])),COLUMNS($F$7:AH$7))))</f>
        <v/>
      </c>
      <c r="AI485" s="2223" t="str" cm="1">
        <f t="array" ref="AI485">IF($D485&lt;COLUMNS($F$7:AI$7),"",INDEX(TableDiv[[GASB]:[GASB]],_xlfn.AGGREGATE(15,3,(TableDiv[[Agency]:[Agency]]=$E485)/(TableDiv[[Agency]:[Agency]]=$E485)*(ROW(TableDiv[Agency])-ROW(TableDiv[[#Headers],[Agency]])),COLUMNS($F$7:AI$7))))</f>
        <v/>
      </c>
      <c r="AJ485" s="2223" t="str" cm="1">
        <f t="array" ref="AJ485">IF($D485&lt;COLUMNS($F$7:AJ$7),"",INDEX(TableDiv[[GASB]:[GASB]],_xlfn.AGGREGATE(15,3,(TableDiv[[Agency]:[Agency]]=$E485)/(TableDiv[[Agency]:[Agency]]=$E485)*(ROW(TableDiv[Agency])-ROW(TableDiv[[#Headers],[Agency]])),COLUMNS($F$7:AJ$7))))</f>
        <v/>
      </c>
      <c r="AK485" s="2223" t="str" cm="1">
        <f t="array" ref="AK485">IF($D485&lt;COLUMNS($F$7:AK$7),"",INDEX(TableDiv[[GASB]:[GASB]],_xlfn.AGGREGATE(15,3,(TableDiv[[Agency]:[Agency]]=$E485)/(TableDiv[[Agency]:[Agency]]=$E485)*(ROW(TableDiv[Agency])-ROW(TableDiv[[#Headers],[Agency]])),COLUMNS($F$7:AK$7))))</f>
        <v/>
      </c>
      <c r="AL485" s="2223" t="str" cm="1">
        <f t="array" ref="AL485">IF($D485&lt;COLUMNS($F$7:AL$7),"",INDEX(TableDiv[[GASB]:[GASB]],_xlfn.AGGREGATE(15,3,(TableDiv[[Agency]:[Agency]]=$E485)/(TableDiv[[Agency]:[Agency]]=$E485)*(ROW(TableDiv[Agency])-ROW(TableDiv[[#Headers],[Agency]])),COLUMNS($F$7:AL$7))))</f>
        <v/>
      </c>
      <c r="AM485" s="2223" t="str" cm="1">
        <f t="array" ref="AM485">IF($D485&lt;COLUMNS($F$7:AM$7),"",INDEX(TableDiv[[GASB]:[GASB]],_xlfn.AGGREGATE(15,3,(TableDiv[[Agency]:[Agency]]=$E485)/(TableDiv[[Agency]:[Agency]]=$E485)*(ROW(TableDiv[Agency])-ROW(TableDiv[[#Headers],[Agency]])),COLUMNS($F$7:AM$7))))</f>
        <v/>
      </c>
      <c r="AN485" s="2223"/>
      <c r="AO485" s="2223"/>
      <c r="AP485" s="2223"/>
      <c r="AQ485" s="2223"/>
      <c r="AR485" s="2223"/>
      <c r="AS485" s="2223"/>
    </row>
    <row r="486" spans="1:45" ht="15" x14ac:dyDescent="0.25">
      <c r="A486" s="2219" t="s">
        <v>5169</v>
      </c>
      <c r="B486" s="2219" t="s">
        <v>6546</v>
      </c>
      <c r="C486" s="2223"/>
      <c r="W486" s="2223" t="str" cm="1">
        <f t="array" ref="W486">IF($D486&lt;COLUMNS($F$7:W$7),"",INDEX(TableDiv[[GASB]:[GASB]],_xlfn.AGGREGATE(15,3,(TableDiv[[Agency]:[Agency]]=$E486)/(TableDiv[[Agency]:[Agency]]=$E486)*(ROW(TableDiv[Agency])-ROW(TableDiv[[#Headers],[Agency]])),COLUMNS($F$7:W$7))))</f>
        <v/>
      </c>
      <c r="X486" s="2223" t="str" cm="1">
        <f t="array" ref="X486">IF($D486&lt;COLUMNS($F$7:X$7),"",INDEX(TableDiv[[GASB]:[GASB]],_xlfn.AGGREGATE(15,3,(TableDiv[[Agency]:[Agency]]=$E486)/(TableDiv[[Agency]:[Agency]]=$E486)*(ROW(TableDiv[Agency])-ROW(TableDiv[[#Headers],[Agency]])),COLUMNS($F$7:X$7))))</f>
        <v/>
      </c>
      <c r="Y486" s="2223" t="str" cm="1">
        <f t="array" ref="Y486">IF($D486&lt;COLUMNS($F$7:Y$7),"",INDEX(TableDiv[[GASB]:[GASB]],_xlfn.AGGREGATE(15,3,(TableDiv[[Agency]:[Agency]]=$E486)/(TableDiv[[Agency]:[Agency]]=$E486)*(ROW(TableDiv[Agency])-ROW(TableDiv[[#Headers],[Agency]])),COLUMNS($F$7:Y$7))))</f>
        <v/>
      </c>
      <c r="Z486" s="2223" t="str" cm="1">
        <f t="array" ref="Z486">IF($D486&lt;COLUMNS($F$7:Z$7),"",INDEX(TableDiv[[GASB]:[GASB]],_xlfn.AGGREGATE(15,3,(TableDiv[[Agency]:[Agency]]=$E486)/(TableDiv[[Agency]:[Agency]]=$E486)*(ROW(TableDiv[Agency])-ROW(TableDiv[[#Headers],[Agency]])),COLUMNS($F$7:Z$7))))</f>
        <v/>
      </c>
      <c r="AA486" s="2223" t="str" cm="1">
        <f t="array" ref="AA486">IF($D486&lt;COLUMNS($F$7:AA$7),"",INDEX(TableDiv[[GASB]:[GASB]],_xlfn.AGGREGATE(15,3,(TableDiv[[Agency]:[Agency]]=$E486)/(TableDiv[[Agency]:[Agency]]=$E486)*(ROW(TableDiv[Agency])-ROW(TableDiv[[#Headers],[Agency]])),COLUMNS($F$7:AA$7))))</f>
        <v/>
      </c>
      <c r="AB486" s="2223" t="str" cm="1">
        <f t="array" ref="AB486">IF($D486&lt;COLUMNS($F$7:AB$7),"",INDEX(TableDiv[[GASB]:[GASB]],_xlfn.AGGREGATE(15,3,(TableDiv[[Agency]:[Agency]]=$E486)/(TableDiv[[Agency]:[Agency]]=$E486)*(ROW(TableDiv[Agency])-ROW(TableDiv[[#Headers],[Agency]])),COLUMNS($F$7:AB$7))))</f>
        <v/>
      </c>
      <c r="AC486" s="2223" t="str" cm="1">
        <f t="array" ref="AC486">IF($D486&lt;COLUMNS($F$7:AC$7),"",INDEX(TableDiv[[GASB]:[GASB]],_xlfn.AGGREGATE(15,3,(TableDiv[[Agency]:[Agency]]=$E486)/(TableDiv[[Agency]:[Agency]]=$E486)*(ROW(TableDiv[Agency])-ROW(TableDiv[[#Headers],[Agency]])),COLUMNS($F$7:AC$7))))</f>
        <v/>
      </c>
      <c r="AD486" s="2223" t="str" cm="1">
        <f t="array" ref="AD486">IF($D486&lt;COLUMNS($F$7:AD$7),"",INDEX(TableDiv[[GASB]:[GASB]],_xlfn.AGGREGATE(15,3,(TableDiv[[Agency]:[Agency]]=$E486)/(TableDiv[[Agency]:[Agency]]=$E486)*(ROW(TableDiv[Agency])-ROW(TableDiv[[#Headers],[Agency]])),COLUMNS($F$7:AD$7))))</f>
        <v/>
      </c>
      <c r="AE486" s="2223" t="str" cm="1">
        <f t="array" ref="AE486">IF($D486&lt;COLUMNS($F$7:AE$7),"",INDEX(TableDiv[[GASB]:[GASB]],_xlfn.AGGREGATE(15,3,(TableDiv[[Agency]:[Agency]]=$E486)/(TableDiv[[Agency]:[Agency]]=$E486)*(ROW(TableDiv[Agency])-ROW(TableDiv[[#Headers],[Agency]])),COLUMNS($F$7:AE$7))))</f>
        <v/>
      </c>
      <c r="AF486" s="2223" t="str" cm="1">
        <f t="array" ref="AF486">IF($D486&lt;COLUMNS($F$7:AF$7),"",INDEX(TableDiv[[GASB]:[GASB]],_xlfn.AGGREGATE(15,3,(TableDiv[[Agency]:[Agency]]=$E486)/(TableDiv[[Agency]:[Agency]]=$E486)*(ROW(TableDiv[Agency])-ROW(TableDiv[[#Headers],[Agency]])),COLUMNS($F$7:AF$7))))</f>
        <v/>
      </c>
      <c r="AG486" s="2223" t="str" cm="1">
        <f t="array" ref="AG486">IF($D486&lt;COLUMNS($F$7:AG$7),"",INDEX(TableDiv[[GASB]:[GASB]],_xlfn.AGGREGATE(15,3,(TableDiv[[Agency]:[Agency]]=$E486)/(TableDiv[[Agency]:[Agency]]=$E486)*(ROW(TableDiv[Agency])-ROW(TableDiv[[#Headers],[Agency]])),COLUMNS($F$7:AG$7))))</f>
        <v/>
      </c>
      <c r="AH486" s="2223" t="str" cm="1">
        <f t="array" ref="AH486">IF($D486&lt;COLUMNS($F$7:AH$7),"",INDEX(TableDiv[[GASB]:[GASB]],_xlfn.AGGREGATE(15,3,(TableDiv[[Agency]:[Agency]]=$E486)/(TableDiv[[Agency]:[Agency]]=$E486)*(ROW(TableDiv[Agency])-ROW(TableDiv[[#Headers],[Agency]])),COLUMNS($F$7:AH$7))))</f>
        <v/>
      </c>
      <c r="AI486" s="2223" t="str" cm="1">
        <f t="array" ref="AI486">IF($D486&lt;COLUMNS($F$7:AI$7),"",INDEX(TableDiv[[GASB]:[GASB]],_xlfn.AGGREGATE(15,3,(TableDiv[[Agency]:[Agency]]=$E486)/(TableDiv[[Agency]:[Agency]]=$E486)*(ROW(TableDiv[Agency])-ROW(TableDiv[[#Headers],[Agency]])),COLUMNS($F$7:AI$7))))</f>
        <v/>
      </c>
      <c r="AJ486" s="2223" t="str" cm="1">
        <f t="array" ref="AJ486">IF($D486&lt;COLUMNS($F$7:AJ$7),"",INDEX(TableDiv[[GASB]:[GASB]],_xlfn.AGGREGATE(15,3,(TableDiv[[Agency]:[Agency]]=$E486)/(TableDiv[[Agency]:[Agency]]=$E486)*(ROW(TableDiv[Agency])-ROW(TableDiv[[#Headers],[Agency]])),COLUMNS($F$7:AJ$7))))</f>
        <v/>
      </c>
      <c r="AK486" s="2223" t="str" cm="1">
        <f t="array" ref="AK486">IF($D486&lt;COLUMNS($F$7:AK$7),"",INDEX(TableDiv[[GASB]:[GASB]],_xlfn.AGGREGATE(15,3,(TableDiv[[Agency]:[Agency]]=$E486)/(TableDiv[[Agency]:[Agency]]=$E486)*(ROW(TableDiv[Agency])-ROW(TableDiv[[#Headers],[Agency]])),COLUMNS($F$7:AK$7))))</f>
        <v/>
      </c>
      <c r="AL486" s="2223" t="str" cm="1">
        <f t="array" ref="AL486">IF($D486&lt;COLUMNS($F$7:AL$7),"",INDEX(TableDiv[[GASB]:[GASB]],_xlfn.AGGREGATE(15,3,(TableDiv[[Agency]:[Agency]]=$E486)/(TableDiv[[Agency]:[Agency]]=$E486)*(ROW(TableDiv[Agency])-ROW(TableDiv[[#Headers],[Agency]])),COLUMNS($F$7:AL$7))))</f>
        <v/>
      </c>
      <c r="AM486" s="2223" t="str" cm="1">
        <f t="array" ref="AM486">IF($D486&lt;COLUMNS($F$7:AM$7),"",INDEX(TableDiv[[GASB]:[GASB]],_xlfn.AGGREGATE(15,3,(TableDiv[[Agency]:[Agency]]=$E486)/(TableDiv[[Agency]:[Agency]]=$E486)*(ROW(TableDiv[Agency])-ROW(TableDiv[[#Headers],[Agency]])),COLUMNS($F$7:AM$7))))</f>
        <v/>
      </c>
      <c r="AN486" s="2223"/>
      <c r="AO486" s="2223"/>
      <c r="AP486" s="2223"/>
      <c r="AQ486" s="2223"/>
      <c r="AR486" s="2223"/>
      <c r="AS486" s="2223"/>
    </row>
    <row r="487" spans="1:45" ht="15" x14ac:dyDescent="0.25">
      <c r="A487" s="2219" t="s">
        <v>5155</v>
      </c>
      <c r="B487" s="2219" t="s">
        <v>6547</v>
      </c>
      <c r="C487" s="2223"/>
      <c r="W487" s="2223" t="str" cm="1">
        <f t="array" ref="W487">IF($D487&lt;COLUMNS($F$7:W$7),"",INDEX(TableDiv[[GASB]:[GASB]],_xlfn.AGGREGATE(15,3,(TableDiv[[Agency]:[Agency]]=$E487)/(TableDiv[[Agency]:[Agency]]=$E487)*(ROW(TableDiv[Agency])-ROW(TableDiv[[#Headers],[Agency]])),COLUMNS($F$7:W$7))))</f>
        <v/>
      </c>
      <c r="X487" s="2223" t="str" cm="1">
        <f t="array" ref="X487">IF($D487&lt;COLUMNS($F$7:X$7),"",INDEX(TableDiv[[GASB]:[GASB]],_xlfn.AGGREGATE(15,3,(TableDiv[[Agency]:[Agency]]=$E487)/(TableDiv[[Agency]:[Agency]]=$E487)*(ROW(TableDiv[Agency])-ROW(TableDiv[[#Headers],[Agency]])),COLUMNS($F$7:X$7))))</f>
        <v/>
      </c>
      <c r="Y487" s="2223" t="str" cm="1">
        <f t="array" ref="Y487">IF($D487&lt;COLUMNS($F$7:Y$7),"",INDEX(TableDiv[[GASB]:[GASB]],_xlfn.AGGREGATE(15,3,(TableDiv[[Agency]:[Agency]]=$E487)/(TableDiv[[Agency]:[Agency]]=$E487)*(ROW(TableDiv[Agency])-ROW(TableDiv[[#Headers],[Agency]])),COLUMNS($F$7:Y$7))))</f>
        <v/>
      </c>
      <c r="Z487" s="2223" t="str" cm="1">
        <f t="array" ref="Z487">IF($D487&lt;COLUMNS($F$7:Z$7),"",INDEX(TableDiv[[GASB]:[GASB]],_xlfn.AGGREGATE(15,3,(TableDiv[[Agency]:[Agency]]=$E487)/(TableDiv[[Agency]:[Agency]]=$E487)*(ROW(TableDiv[Agency])-ROW(TableDiv[[#Headers],[Agency]])),COLUMNS($F$7:Z$7))))</f>
        <v/>
      </c>
      <c r="AA487" s="2223" t="str" cm="1">
        <f t="array" ref="AA487">IF($D487&lt;COLUMNS($F$7:AA$7),"",INDEX(TableDiv[[GASB]:[GASB]],_xlfn.AGGREGATE(15,3,(TableDiv[[Agency]:[Agency]]=$E487)/(TableDiv[[Agency]:[Agency]]=$E487)*(ROW(TableDiv[Agency])-ROW(TableDiv[[#Headers],[Agency]])),COLUMNS($F$7:AA$7))))</f>
        <v/>
      </c>
      <c r="AB487" s="2223" t="str" cm="1">
        <f t="array" ref="AB487">IF($D487&lt;COLUMNS($F$7:AB$7),"",INDEX(TableDiv[[GASB]:[GASB]],_xlfn.AGGREGATE(15,3,(TableDiv[[Agency]:[Agency]]=$E487)/(TableDiv[[Agency]:[Agency]]=$E487)*(ROW(TableDiv[Agency])-ROW(TableDiv[[#Headers],[Agency]])),COLUMNS($F$7:AB$7))))</f>
        <v/>
      </c>
      <c r="AC487" s="2223" t="str" cm="1">
        <f t="array" ref="AC487">IF($D487&lt;COLUMNS($F$7:AC$7),"",INDEX(TableDiv[[GASB]:[GASB]],_xlfn.AGGREGATE(15,3,(TableDiv[[Agency]:[Agency]]=$E487)/(TableDiv[[Agency]:[Agency]]=$E487)*(ROW(TableDiv[Agency])-ROW(TableDiv[[#Headers],[Agency]])),COLUMNS($F$7:AC$7))))</f>
        <v/>
      </c>
      <c r="AD487" s="2223" t="str" cm="1">
        <f t="array" ref="AD487">IF($D487&lt;COLUMNS($F$7:AD$7),"",INDEX(TableDiv[[GASB]:[GASB]],_xlfn.AGGREGATE(15,3,(TableDiv[[Agency]:[Agency]]=$E487)/(TableDiv[[Agency]:[Agency]]=$E487)*(ROW(TableDiv[Agency])-ROW(TableDiv[[#Headers],[Agency]])),COLUMNS($F$7:AD$7))))</f>
        <v/>
      </c>
      <c r="AE487" s="2223" t="str" cm="1">
        <f t="array" ref="AE487">IF($D487&lt;COLUMNS($F$7:AE$7),"",INDEX(TableDiv[[GASB]:[GASB]],_xlfn.AGGREGATE(15,3,(TableDiv[[Agency]:[Agency]]=$E487)/(TableDiv[[Agency]:[Agency]]=$E487)*(ROW(TableDiv[Agency])-ROW(TableDiv[[#Headers],[Agency]])),COLUMNS($F$7:AE$7))))</f>
        <v/>
      </c>
      <c r="AF487" s="2223" t="str" cm="1">
        <f t="array" ref="AF487">IF($D487&lt;COLUMNS($F$7:AF$7),"",INDEX(TableDiv[[GASB]:[GASB]],_xlfn.AGGREGATE(15,3,(TableDiv[[Agency]:[Agency]]=$E487)/(TableDiv[[Agency]:[Agency]]=$E487)*(ROW(TableDiv[Agency])-ROW(TableDiv[[#Headers],[Agency]])),COLUMNS($F$7:AF$7))))</f>
        <v/>
      </c>
      <c r="AG487" s="2223" t="str" cm="1">
        <f t="array" ref="AG487">IF($D487&lt;COLUMNS($F$7:AG$7),"",INDEX(TableDiv[[GASB]:[GASB]],_xlfn.AGGREGATE(15,3,(TableDiv[[Agency]:[Agency]]=$E487)/(TableDiv[[Agency]:[Agency]]=$E487)*(ROW(TableDiv[Agency])-ROW(TableDiv[[#Headers],[Agency]])),COLUMNS($F$7:AG$7))))</f>
        <v/>
      </c>
      <c r="AH487" s="2223" t="str" cm="1">
        <f t="array" ref="AH487">IF($D487&lt;COLUMNS($F$7:AH$7),"",INDEX(TableDiv[[GASB]:[GASB]],_xlfn.AGGREGATE(15,3,(TableDiv[[Agency]:[Agency]]=$E487)/(TableDiv[[Agency]:[Agency]]=$E487)*(ROW(TableDiv[Agency])-ROW(TableDiv[[#Headers],[Agency]])),COLUMNS($F$7:AH$7))))</f>
        <v/>
      </c>
      <c r="AI487" s="2223" t="str" cm="1">
        <f t="array" ref="AI487">IF($D487&lt;COLUMNS($F$7:AI$7),"",INDEX(TableDiv[[GASB]:[GASB]],_xlfn.AGGREGATE(15,3,(TableDiv[[Agency]:[Agency]]=$E487)/(TableDiv[[Agency]:[Agency]]=$E487)*(ROW(TableDiv[Agency])-ROW(TableDiv[[#Headers],[Agency]])),COLUMNS($F$7:AI$7))))</f>
        <v/>
      </c>
      <c r="AJ487" s="2223" t="str" cm="1">
        <f t="array" ref="AJ487">IF($D487&lt;COLUMNS($F$7:AJ$7),"",INDEX(TableDiv[[GASB]:[GASB]],_xlfn.AGGREGATE(15,3,(TableDiv[[Agency]:[Agency]]=$E487)/(TableDiv[[Agency]:[Agency]]=$E487)*(ROW(TableDiv[Agency])-ROW(TableDiv[[#Headers],[Agency]])),COLUMNS($F$7:AJ$7))))</f>
        <v/>
      </c>
      <c r="AK487" s="2223" t="str" cm="1">
        <f t="array" ref="AK487">IF($D487&lt;COLUMNS($F$7:AK$7),"",INDEX(TableDiv[[GASB]:[GASB]],_xlfn.AGGREGATE(15,3,(TableDiv[[Agency]:[Agency]]=$E487)/(TableDiv[[Agency]:[Agency]]=$E487)*(ROW(TableDiv[Agency])-ROW(TableDiv[[#Headers],[Agency]])),COLUMNS($F$7:AK$7))))</f>
        <v/>
      </c>
      <c r="AL487" s="2223" t="str" cm="1">
        <f t="array" ref="AL487">IF($D487&lt;COLUMNS($F$7:AL$7),"",INDEX(TableDiv[[GASB]:[GASB]],_xlfn.AGGREGATE(15,3,(TableDiv[[Agency]:[Agency]]=$E487)/(TableDiv[[Agency]:[Agency]]=$E487)*(ROW(TableDiv[Agency])-ROW(TableDiv[[#Headers],[Agency]])),COLUMNS($F$7:AL$7))))</f>
        <v/>
      </c>
      <c r="AM487" s="2223" t="str" cm="1">
        <f t="array" ref="AM487">IF($D487&lt;COLUMNS($F$7:AM$7),"",INDEX(TableDiv[[GASB]:[GASB]],_xlfn.AGGREGATE(15,3,(TableDiv[[Agency]:[Agency]]=$E487)/(TableDiv[[Agency]:[Agency]]=$E487)*(ROW(TableDiv[Agency])-ROW(TableDiv[[#Headers],[Agency]])),COLUMNS($F$7:AM$7))))</f>
        <v/>
      </c>
      <c r="AN487" s="2223"/>
      <c r="AO487" s="2223"/>
      <c r="AP487" s="2223"/>
      <c r="AQ487" s="2223"/>
      <c r="AR487" s="2223"/>
      <c r="AS487" s="2223"/>
    </row>
    <row r="488" spans="1:45" ht="15" x14ac:dyDescent="0.25">
      <c r="A488" s="2219" t="s">
        <v>5167</v>
      </c>
      <c r="B488" s="2219" t="s">
        <v>6548</v>
      </c>
      <c r="C488" s="2223"/>
      <c r="W488" s="2223" t="str" cm="1">
        <f t="array" ref="W488">IF($D488&lt;COLUMNS($F$7:W$7),"",INDEX(TableDiv[[GASB]:[GASB]],_xlfn.AGGREGATE(15,3,(TableDiv[[Agency]:[Agency]]=$E488)/(TableDiv[[Agency]:[Agency]]=$E488)*(ROW(TableDiv[Agency])-ROW(TableDiv[[#Headers],[Agency]])),COLUMNS($F$7:W$7))))</f>
        <v/>
      </c>
      <c r="X488" s="2223" t="str" cm="1">
        <f t="array" ref="X488">IF($D488&lt;COLUMNS($F$7:X$7),"",INDEX(TableDiv[[GASB]:[GASB]],_xlfn.AGGREGATE(15,3,(TableDiv[[Agency]:[Agency]]=$E488)/(TableDiv[[Agency]:[Agency]]=$E488)*(ROW(TableDiv[Agency])-ROW(TableDiv[[#Headers],[Agency]])),COLUMNS($F$7:X$7))))</f>
        <v/>
      </c>
      <c r="Y488" s="2223" t="str" cm="1">
        <f t="array" ref="Y488">IF($D488&lt;COLUMNS($F$7:Y$7),"",INDEX(TableDiv[[GASB]:[GASB]],_xlfn.AGGREGATE(15,3,(TableDiv[[Agency]:[Agency]]=$E488)/(TableDiv[[Agency]:[Agency]]=$E488)*(ROW(TableDiv[Agency])-ROW(TableDiv[[#Headers],[Agency]])),COLUMNS($F$7:Y$7))))</f>
        <v/>
      </c>
      <c r="Z488" s="2223" t="str" cm="1">
        <f t="array" ref="Z488">IF($D488&lt;COLUMNS($F$7:Z$7),"",INDEX(TableDiv[[GASB]:[GASB]],_xlfn.AGGREGATE(15,3,(TableDiv[[Agency]:[Agency]]=$E488)/(TableDiv[[Agency]:[Agency]]=$E488)*(ROW(TableDiv[Agency])-ROW(TableDiv[[#Headers],[Agency]])),COLUMNS($F$7:Z$7))))</f>
        <v/>
      </c>
      <c r="AA488" s="2223" t="str" cm="1">
        <f t="array" ref="AA488">IF($D488&lt;COLUMNS($F$7:AA$7),"",INDEX(TableDiv[[GASB]:[GASB]],_xlfn.AGGREGATE(15,3,(TableDiv[[Agency]:[Agency]]=$E488)/(TableDiv[[Agency]:[Agency]]=$E488)*(ROW(TableDiv[Agency])-ROW(TableDiv[[#Headers],[Agency]])),COLUMNS($F$7:AA$7))))</f>
        <v/>
      </c>
      <c r="AB488" s="2223" t="str" cm="1">
        <f t="array" ref="AB488">IF($D488&lt;COLUMNS($F$7:AB$7),"",INDEX(TableDiv[[GASB]:[GASB]],_xlfn.AGGREGATE(15,3,(TableDiv[[Agency]:[Agency]]=$E488)/(TableDiv[[Agency]:[Agency]]=$E488)*(ROW(TableDiv[Agency])-ROW(TableDiv[[#Headers],[Agency]])),COLUMNS($F$7:AB$7))))</f>
        <v/>
      </c>
      <c r="AC488" s="2223" t="str" cm="1">
        <f t="array" ref="AC488">IF($D488&lt;COLUMNS($F$7:AC$7),"",INDEX(TableDiv[[GASB]:[GASB]],_xlfn.AGGREGATE(15,3,(TableDiv[[Agency]:[Agency]]=$E488)/(TableDiv[[Agency]:[Agency]]=$E488)*(ROW(TableDiv[Agency])-ROW(TableDiv[[#Headers],[Agency]])),COLUMNS($F$7:AC$7))))</f>
        <v/>
      </c>
      <c r="AD488" s="2223" t="str" cm="1">
        <f t="array" ref="AD488">IF($D488&lt;COLUMNS($F$7:AD$7),"",INDEX(TableDiv[[GASB]:[GASB]],_xlfn.AGGREGATE(15,3,(TableDiv[[Agency]:[Agency]]=$E488)/(TableDiv[[Agency]:[Agency]]=$E488)*(ROW(TableDiv[Agency])-ROW(TableDiv[[#Headers],[Agency]])),COLUMNS($F$7:AD$7))))</f>
        <v/>
      </c>
      <c r="AE488" s="2223" t="str" cm="1">
        <f t="array" ref="AE488">IF($D488&lt;COLUMNS($F$7:AE$7),"",INDEX(TableDiv[[GASB]:[GASB]],_xlfn.AGGREGATE(15,3,(TableDiv[[Agency]:[Agency]]=$E488)/(TableDiv[[Agency]:[Agency]]=$E488)*(ROW(TableDiv[Agency])-ROW(TableDiv[[#Headers],[Agency]])),COLUMNS($F$7:AE$7))))</f>
        <v/>
      </c>
      <c r="AF488" s="2223" t="str" cm="1">
        <f t="array" ref="AF488">IF($D488&lt;COLUMNS($F$7:AF$7),"",INDEX(TableDiv[[GASB]:[GASB]],_xlfn.AGGREGATE(15,3,(TableDiv[[Agency]:[Agency]]=$E488)/(TableDiv[[Agency]:[Agency]]=$E488)*(ROW(TableDiv[Agency])-ROW(TableDiv[[#Headers],[Agency]])),COLUMNS($F$7:AF$7))))</f>
        <v/>
      </c>
      <c r="AG488" s="2223" t="str" cm="1">
        <f t="array" ref="AG488">IF($D488&lt;COLUMNS($F$7:AG$7),"",INDEX(TableDiv[[GASB]:[GASB]],_xlfn.AGGREGATE(15,3,(TableDiv[[Agency]:[Agency]]=$E488)/(TableDiv[[Agency]:[Agency]]=$E488)*(ROW(TableDiv[Agency])-ROW(TableDiv[[#Headers],[Agency]])),COLUMNS($F$7:AG$7))))</f>
        <v/>
      </c>
      <c r="AH488" s="2223" t="str" cm="1">
        <f t="array" ref="AH488">IF($D488&lt;COLUMNS($F$7:AH$7),"",INDEX(TableDiv[[GASB]:[GASB]],_xlfn.AGGREGATE(15,3,(TableDiv[[Agency]:[Agency]]=$E488)/(TableDiv[[Agency]:[Agency]]=$E488)*(ROW(TableDiv[Agency])-ROW(TableDiv[[#Headers],[Agency]])),COLUMNS($F$7:AH$7))))</f>
        <v/>
      </c>
      <c r="AI488" s="2223" t="str" cm="1">
        <f t="array" ref="AI488">IF($D488&lt;COLUMNS($F$7:AI$7),"",INDEX(TableDiv[[GASB]:[GASB]],_xlfn.AGGREGATE(15,3,(TableDiv[[Agency]:[Agency]]=$E488)/(TableDiv[[Agency]:[Agency]]=$E488)*(ROW(TableDiv[Agency])-ROW(TableDiv[[#Headers],[Agency]])),COLUMNS($F$7:AI$7))))</f>
        <v/>
      </c>
      <c r="AJ488" s="2223" t="str" cm="1">
        <f t="array" ref="AJ488">IF($D488&lt;COLUMNS($F$7:AJ$7),"",INDEX(TableDiv[[GASB]:[GASB]],_xlfn.AGGREGATE(15,3,(TableDiv[[Agency]:[Agency]]=$E488)/(TableDiv[[Agency]:[Agency]]=$E488)*(ROW(TableDiv[Agency])-ROW(TableDiv[[#Headers],[Agency]])),COLUMNS($F$7:AJ$7))))</f>
        <v/>
      </c>
      <c r="AK488" s="2223" t="str" cm="1">
        <f t="array" ref="AK488">IF($D488&lt;COLUMNS($F$7:AK$7),"",INDEX(TableDiv[[GASB]:[GASB]],_xlfn.AGGREGATE(15,3,(TableDiv[[Agency]:[Agency]]=$E488)/(TableDiv[[Agency]:[Agency]]=$E488)*(ROW(TableDiv[Agency])-ROW(TableDiv[[#Headers],[Agency]])),COLUMNS($F$7:AK$7))))</f>
        <v/>
      </c>
      <c r="AL488" s="2223" t="str" cm="1">
        <f t="array" ref="AL488">IF($D488&lt;COLUMNS($F$7:AL$7),"",INDEX(TableDiv[[GASB]:[GASB]],_xlfn.AGGREGATE(15,3,(TableDiv[[Agency]:[Agency]]=$E488)/(TableDiv[[Agency]:[Agency]]=$E488)*(ROW(TableDiv[Agency])-ROW(TableDiv[[#Headers],[Agency]])),COLUMNS($F$7:AL$7))))</f>
        <v/>
      </c>
      <c r="AM488" s="2223" t="str" cm="1">
        <f t="array" ref="AM488">IF($D488&lt;COLUMNS($F$7:AM$7),"",INDEX(TableDiv[[GASB]:[GASB]],_xlfn.AGGREGATE(15,3,(TableDiv[[Agency]:[Agency]]=$E488)/(TableDiv[[Agency]:[Agency]]=$E488)*(ROW(TableDiv[Agency])-ROW(TableDiv[[#Headers],[Agency]])),COLUMNS($F$7:AM$7))))</f>
        <v/>
      </c>
      <c r="AN488" s="2223"/>
      <c r="AO488" s="2223"/>
      <c r="AP488" s="2223"/>
      <c r="AQ488" s="2223"/>
      <c r="AR488" s="2223"/>
      <c r="AS488" s="2223"/>
    </row>
    <row r="489" spans="1:45" ht="15" x14ac:dyDescent="0.25">
      <c r="A489" s="2219" t="s">
        <v>5153</v>
      </c>
      <c r="B489" s="2219" t="s">
        <v>6549</v>
      </c>
      <c r="C489" s="2223"/>
      <c r="W489" s="2223" t="str" cm="1">
        <f t="array" ref="W489">IF($D489&lt;COLUMNS($F$7:W$7),"",INDEX(TableDiv[[GASB]:[GASB]],_xlfn.AGGREGATE(15,3,(TableDiv[[Agency]:[Agency]]=$E489)/(TableDiv[[Agency]:[Agency]]=$E489)*(ROW(TableDiv[Agency])-ROW(TableDiv[[#Headers],[Agency]])),COLUMNS($F$7:W$7))))</f>
        <v/>
      </c>
      <c r="X489" s="2223" t="str" cm="1">
        <f t="array" ref="X489">IF($D489&lt;COLUMNS($F$7:X$7),"",INDEX(TableDiv[[GASB]:[GASB]],_xlfn.AGGREGATE(15,3,(TableDiv[[Agency]:[Agency]]=$E489)/(TableDiv[[Agency]:[Agency]]=$E489)*(ROW(TableDiv[Agency])-ROW(TableDiv[[#Headers],[Agency]])),COLUMNS($F$7:X$7))))</f>
        <v/>
      </c>
      <c r="Y489" s="2223" t="str" cm="1">
        <f t="array" ref="Y489">IF($D489&lt;COLUMNS($F$7:Y$7),"",INDEX(TableDiv[[GASB]:[GASB]],_xlfn.AGGREGATE(15,3,(TableDiv[[Agency]:[Agency]]=$E489)/(TableDiv[[Agency]:[Agency]]=$E489)*(ROW(TableDiv[Agency])-ROW(TableDiv[[#Headers],[Agency]])),COLUMNS($F$7:Y$7))))</f>
        <v/>
      </c>
      <c r="Z489" s="2223" t="str" cm="1">
        <f t="array" ref="Z489">IF($D489&lt;COLUMNS($F$7:Z$7),"",INDEX(TableDiv[[GASB]:[GASB]],_xlfn.AGGREGATE(15,3,(TableDiv[[Agency]:[Agency]]=$E489)/(TableDiv[[Agency]:[Agency]]=$E489)*(ROW(TableDiv[Agency])-ROW(TableDiv[[#Headers],[Agency]])),COLUMNS($F$7:Z$7))))</f>
        <v/>
      </c>
      <c r="AA489" s="2223" t="str" cm="1">
        <f t="array" ref="AA489">IF($D489&lt;COLUMNS($F$7:AA$7),"",INDEX(TableDiv[[GASB]:[GASB]],_xlfn.AGGREGATE(15,3,(TableDiv[[Agency]:[Agency]]=$E489)/(TableDiv[[Agency]:[Agency]]=$E489)*(ROW(TableDiv[Agency])-ROW(TableDiv[[#Headers],[Agency]])),COLUMNS($F$7:AA$7))))</f>
        <v/>
      </c>
      <c r="AB489" s="2223" t="str" cm="1">
        <f t="array" ref="AB489">IF($D489&lt;COLUMNS($F$7:AB$7),"",INDEX(TableDiv[[GASB]:[GASB]],_xlfn.AGGREGATE(15,3,(TableDiv[[Agency]:[Agency]]=$E489)/(TableDiv[[Agency]:[Agency]]=$E489)*(ROW(TableDiv[Agency])-ROW(TableDiv[[#Headers],[Agency]])),COLUMNS($F$7:AB$7))))</f>
        <v/>
      </c>
      <c r="AC489" s="2223" t="str" cm="1">
        <f t="array" ref="AC489">IF($D489&lt;COLUMNS($F$7:AC$7),"",INDEX(TableDiv[[GASB]:[GASB]],_xlfn.AGGREGATE(15,3,(TableDiv[[Agency]:[Agency]]=$E489)/(TableDiv[[Agency]:[Agency]]=$E489)*(ROW(TableDiv[Agency])-ROW(TableDiv[[#Headers],[Agency]])),COLUMNS($F$7:AC$7))))</f>
        <v/>
      </c>
      <c r="AD489" s="2223" t="str" cm="1">
        <f t="array" ref="AD489">IF($D489&lt;COLUMNS($F$7:AD$7),"",INDEX(TableDiv[[GASB]:[GASB]],_xlfn.AGGREGATE(15,3,(TableDiv[[Agency]:[Agency]]=$E489)/(TableDiv[[Agency]:[Agency]]=$E489)*(ROW(TableDiv[Agency])-ROW(TableDiv[[#Headers],[Agency]])),COLUMNS($F$7:AD$7))))</f>
        <v/>
      </c>
      <c r="AE489" s="2223" t="str" cm="1">
        <f t="array" ref="AE489">IF($D489&lt;COLUMNS($F$7:AE$7),"",INDEX(TableDiv[[GASB]:[GASB]],_xlfn.AGGREGATE(15,3,(TableDiv[[Agency]:[Agency]]=$E489)/(TableDiv[[Agency]:[Agency]]=$E489)*(ROW(TableDiv[Agency])-ROW(TableDiv[[#Headers],[Agency]])),COLUMNS($F$7:AE$7))))</f>
        <v/>
      </c>
      <c r="AF489" s="2223" t="str" cm="1">
        <f t="array" ref="AF489">IF($D489&lt;COLUMNS($F$7:AF$7),"",INDEX(TableDiv[[GASB]:[GASB]],_xlfn.AGGREGATE(15,3,(TableDiv[[Agency]:[Agency]]=$E489)/(TableDiv[[Agency]:[Agency]]=$E489)*(ROW(TableDiv[Agency])-ROW(TableDiv[[#Headers],[Agency]])),COLUMNS($F$7:AF$7))))</f>
        <v/>
      </c>
      <c r="AG489" s="2223" t="str" cm="1">
        <f t="array" ref="AG489">IF($D489&lt;COLUMNS($F$7:AG$7),"",INDEX(TableDiv[[GASB]:[GASB]],_xlfn.AGGREGATE(15,3,(TableDiv[[Agency]:[Agency]]=$E489)/(TableDiv[[Agency]:[Agency]]=$E489)*(ROW(TableDiv[Agency])-ROW(TableDiv[[#Headers],[Agency]])),COLUMNS($F$7:AG$7))))</f>
        <v/>
      </c>
      <c r="AH489" s="2223" t="str" cm="1">
        <f t="array" ref="AH489">IF($D489&lt;COLUMNS($F$7:AH$7),"",INDEX(TableDiv[[GASB]:[GASB]],_xlfn.AGGREGATE(15,3,(TableDiv[[Agency]:[Agency]]=$E489)/(TableDiv[[Agency]:[Agency]]=$E489)*(ROW(TableDiv[Agency])-ROW(TableDiv[[#Headers],[Agency]])),COLUMNS($F$7:AH$7))))</f>
        <v/>
      </c>
      <c r="AI489" s="2223" t="str" cm="1">
        <f t="array" ref="AI489">IF($D489&lt;COLUMNS($F$7:AI$7),"",INDEX(TableDiv[[GASB]:[GASB]],_xlfn.AGGREGATE(15,3,(TableDiv[[Agency]:[Agency]]=$E489)/(TableDiv[[Agency]:[Agency]]=$E489)*(ROW(TableDiv[Agency])-ROW(TableDiv[[#Headers],[Agency]])),COLUMNS($F$7:AI$7))))</f>
        <v/>
      </c>
      <c r="AJ489" s="2223" t="str" cm="1">
        <f t="array" ref="AJ489">IF($D489&lt;COLUMNS($F$7:AJ$7),"",INDEX(TableDiv[[GASB]:[GASB]],_xlfn.AGGREGATE(15,3,(TableDiv[[Agency]:[Agency]]=$E489)/(TableDiv[[Agency]:[Agency]]=$E489)*(ROW(TableDiv[Agency])-ROW(TableDiv[[#Headers],[Agency]])),COLUMNS($F$7:AJ$7))))</f>
        <v/>
      </c>
      <c r="AK489" s="2223" t="str" cm="1">
        <f t="array" ref="AK489">IF($D489&lt;COLUMNS($F$7:AK$7),"",INDEX(TableDiv[[GASB]:[GASB]],_xlfn.AGGREGATE(15,3,(TableDiv[[Agency]:[Agency]]=$E489)/(TableDiv[[Agency]:[Agency]]=$E489)*(ROW(TableDiv[Agency])-ROW(TableDiv[[#Headers],[Agency]])),COLUMNS($F$7:AK$7))))</f>
        <v/>
      </c>
      <c r="AL489" s="2223" t="str" cm="1">
        <f t="array" ref="AL489">IF($D489&lt;COLUMNS($F$7:AL$7),"",INDEX(TableDiv[[GASB]:[GASB]],_xlfn.AGGREGATE(15,3,(TableDiv[[Agency]:[Agency]]=$E489)/(TableDiv[[Agency]:[Agency]]=$E489)*(ROW(TableDiv[Agency])-ROW(TableDiv[[#Headers],[Agency]])),COLUMNS($F$7:AL$7))))</f>
        <v/>
      </c>
      <c r="AM489" s="2223" t="str" cm="1">
        <f t="array" ref="AM489">IF($D489&lt;COLUMNS($F$7:AM$7),"",INDEX(TableDiv[[GASB]:[GASB]],_xlfn.AGGREGATE(15,3,(TableDiv[[Agency]:[Agency]]=$E489)/(TableDiv[[Agency]:[Agency]]=$E489)*(ROW(TableDiv[Agency])-ROW(TableDiv[[#Headers],[Agency]])),COLUMNS($F$7:AM$7))))</f>
        <v/>
      </c>
      <c r="AN489" s="2223"/>
      <c r="AO489" s="2223"/>
      <c r="AP489" s="2223"/>
      <c r="AQ489" s="2223"/>
      <c r="AR489" s="2223"/>
      <c r="AS489" s="2223"/>
    </row>
    <row r="490" spans="1:45" ht="15" x14ac:dyDescent="0.25">
      <c r="A490" s="2219" t="s">
        <v>5159</v>
      </c>
      <c r="B490" s="2219" t="s">
        <v>6550</v>
      </c>
      <c r="C490" s="2223"/>
      <c r="W490" s="2223" t="str" cm="1">
        <f t="array" ref="W490">IF($D490&lt;COLUMNS($F$7:W$7),"",INDEX(TableDiv[[GASB]:[GASB]],_xlfn.AGGREGATE(15,3,(TableDiv[[Agency]:[Agency]]=$E490)/(TableDiv[[Agency]:[Agency]]=$E490)*(ROW(TableDiv[Agency])-ROW(TableDiv[[#Headers],[Agency]])),COLUMNS($F$7:W$7))))</f>
        <v/>
      </c>
      <c r="X490" s="2223" t="str" cm="1">
        <f t="array" ref="X490">IF($D490&lt;COLUMNS($F$7:X$7),"",INDEX(TableDiv[[GASB]:[GASB]],_xlfn.AGGREGATE(15,3,(TableDiv[[Agency]:[Agency]]=$E490)/(TableDiv[[Agency]:[Agency]]=$E490)*(ROW(TableDiv[Agency])-ROW(TableDiv[[#Headers],[Agency]])),COLUMNS($F$7:X$7))))</f>
        <v/>
      </c>
      <c r="Y490" s="2223" t="str" cm="1">
        <f t="array" ref="Y490">IF($D490&lt;COLUMNS($F$7:Y$7),"",INDEX(TableDiv[[GASB]:[GASB]],_xlfn.AGGREGATE(15,3,(TableDiv[[Agency]:[Agency]]=$E490)/(TableDiv[[Agency]:[Agency]]=$E490)*(ROW(TableDiv[Agency])-ROW(TableDiv[[#Headers],[Agency]])),COLUMNS($F$7:Y$7))))</f>
        <v/>
      </c>
      <c r="Z490" s="2223" t="str" cm="1">
        <f t="array" ref="Z490">IF($D490&lt;COLUMNS($F$7:Z$7),"",INDEX(TableDiv[[GASB]:[GASB]],_xlfn.AGGREGATE(15,3,(TableDiv[[Agency]:[Agency]]=$E490)/(TableDiv[[Agency]:[Agency]]=$E490)*(ROW(TableDiv[Agency])-ROW(TableDiv[[#Headers],[Agency]])),COLUMNS($F$7:Z$7))))</f>
        <v/>
      </c>
      <c r="AA490" s="2223" t="str" cm="1">
        <f t="array" ref="AA490">IF($D490&lt;COLUMNS($F$7:AA$7),"",INDEX(TableDiv[[GASB]:[GASB]],_xlfn.AGGREGATE(15,3,(TableDiv[[Agency]:[Agency]]=$E490)/(TableDiv[[Agency]:[Agency]]=$E490)*(ROW(TableDiv[Agency])-ROW(TableDiv[[#Headers],[Agency]])),COLUMNS($F$7:AA$7))))</f>
        <v/>
      </c>
      <c r="AB490" s="2223" t="str" cm="1">
        <f t="array" ref="AB490">IF($D490&lt;COLUMNS($F$7:AB$7),"",INDEX(TableDiv[[GASB]:[GASB]],_xlfn.AGGREGATE(15,3,(TableDiv[[Agency]:[Agency]]=$E490)/(TableDiv[[Agency]:[Agency]]=$E490)*(ROW(TableDiv[Agency])-ROW(TableDiv[[#Headers],[Agency]])),COLUMNS($F$7:AB$7))))</f>
        <v/>
      </c>
      <c r="AC490" s="2223" t="str" cm="1">
        <f t="array" ref="AC490">IF($D490&lt;COLUMNS($F$7:AC$7),"",INDEX(TableDiv[[GASB]:[GASB]],_xlfn.AGGREGATE(15,3,(TableDiv[[Agency]:[Agency]]=$E490)/(TableDiv[[Agency]:[Agency]]=$E490)*(ROW(TableDiv[Agency])-ROW(TableDiv[[#Headers],[Agency]])),COLUMNS($F$7:AC$7))))</f>
        <v/>
      </c>
      <c r="AD490" s="2223" t="str" cm="1">
        <f t="array" ref="AD490">IF($D490&lt;COLUMNS($F$7:AD$7),"",INDEX(TableDiv[[GASB]:[GASB]],_xlfn.AGGREGATE(15,3,(TableDiv[[Agency]:[Agency]]=$E490)/(TableDiv[[Agency]:[Agency]]=$E490)*(ROW(TableDiv[Agency])-ROW(TableDiv[[#Headers],[Agency]])),COLUMNS($F$7:AD$7))))</f>
        <v/>
      </c>
      <c r="AE490" s="2223" t="str" cm="1">
        <f t="array" ref="AE490">IF($D490&lt;COLUMNS($F$7:AE$7),"",INDEX(TableDiv[[GASB]:[GASB]],_xlfn.AGGREGATE(15,3,(TableDiv[[Agency]:[Agency]]=$E490)/(TableDiv[[Agency]:[Agency]]=$E490)*(ROW(TableDiv[Agency])-ROW(TableDiv[[#Headers],[Agency]])),COLUMNS($F$7:AE$7))))</f>
        <v/>
      </c>
      <c r="AF490" s="2223" t="str" cm="1">
        <f t="array" ref="AF490">IF($D490&lt;COLUMNS($F$7:AF$7),"",INDEX(TableDiv[[GASB]:[GASB]],_xlfn.AGGREGATE(15,3,(TableDiv[[Agency]:[Agency]]=$E490)/(TableDiv[[Agency]:[Agency]]=$E490)*(ROW(TableDiv[Agency])-ROW(TableDiv[[#Headers],[Agency]])),COLUMNS($F$7:AF$7))))</f>
        <v/>
      </c>
      <c r="AG490" s="2223" t="str" cm="1">
        <f t="array" ref="AG490">IF($D490&lt;COLUMNS($F$7:AG$7),"",INDEX(TableDiv[[GASB]:[GASB]],_xlfn.AGGREGATE(15,3,(TableDiv[[Agency]:[Agency]]=$E490)/(TableDiv[[Agency]:[Agency]]=$E490)*(ROW(TableDiv[Agency])-ROW(TableDiv[[#Headers],[Agency]])),COLUMNS($F$7:AG$7))))</f>
        <v/>
      </c>
      <c r="AH490" s="2223" t="str" cm="1">
        <f t="array" ref="AH490">IF($D490&lt;COLUMNS($F$7:AH$7),"",INDEX(TableDiv[[GASB]:[GASB]],_xlfn.AGGREGATE(15,3,(TableDiv[[Agency]:[Agency]]=$E490)/(TableDiv[[Agency]:[Agency]]=$E490)*(ROW(TableDiv[Agency])-ROW(TableDiv[[#Headers],[Agency]])),COLUMNS($F$7:AH$7))))</f>
        <v/>
      </c>
      <c r="AI490" s="2223" t="str" cm="1">
        <f t="array" ref="AI490">IF($D490&lt;COLUMNS($F$7:AI$7),"",INDEX(TableDiv[[GASB]:[GASB]],_xlfn.AGGREGATE(15,3,(TableDiv[[Agency]:[Agency]]=$E490)/(TableDiv[[Agency]:[Agency]]=$E490)*(ROW(TableDiv[Agency])-ROW(TableDiv[[#Headers],[Agency]])),COLUMNS($F$7:AI$7))))</f>
        <v/>
      </c>
      <c r="AJ490" s="2223" t="str" cm="1">
        <f t="array" ref="AJ490">IF($D490&lt;COLUMNS($F$7:AJ$7),"",INDEX(TableDiv[[GASB]:[GASB]],_xlfn.AGGREGATE(15,3,(TableDiv[[Agency]:[Agency]]=$E490)/(TableDiv[[Agency]:[Agency]]=$E490)*(ROW(TableDiv[Agency])-ROW(TableDiv[[#Headers],[Agency]])),COLUMNS($F$7:AJ$7))))</f>
        <v/>
      </c>
      <c r="AK490" s="2223" t="str" cm="1">
        <f t="array" ref="AK490">IF($D490&lt;COLUMNS($F$7:AK$7),"",INDEX(TableDiv[[GASB]:[GASB]],_xlfn.AGGREGATE(15,3,(TableDiv[[Agency]:[Agency]]=$E490)/(TableDiv[[Agency]:[Agency]]=$E490)*(ROW(TableDiv[Agency])-ROW(TableDiv[[#Headers],[Agency]])),COLUMNS($F$7:AK$7))))</f>
        <v/>
      </c>
      <c r="AL490" s="2223" t="str" cm="1">
        <f t="array" ref="AL490">IF($D490&lt;COLUMNS($F$7:AL$7),"",INDEX(TableDiv[[GASB]:[GASB]],_xlfn.AGGREGATE(15,3,(TableDiv[[Agency]:[Agency]]=$E490)/(TableDiv[[Agency]:[Agency]]=$E490)*(ROW(TableDiv[Agency])-ROW(TableDiv[[#Headers],[Agency]])),COLUMNS($F$7:AL$7))))</f>
        <v/>
      </c>
      <c r="AM490" s="2223" t="str" cm="1">
        <f t="array" ref="AM490">IF($D490&lt;COLUMNS($F$7:AM$7),"",INDEX(TableDiv[[GASB]:[GASB]],_xlfn.AGGREGATE(15,3,(TableDiv[[Agency]:[Agency]]=$E490)/(TableDiv[[Agency]:[Agency]]=$E490)*(ROW(TableDiv[Agency])-ROW(TableDiv[[#Headers],[Agency]])),COLUMNS($F$7:AM$7))))</f>
        <v/>
      </c>
      <c r="AN490" s="2223"/>
      <c r="AO490" s="2223"/>
      <c r="AP490" s="2223"/>
      <c r="AQ490" s="2223"/>
      <c r="AR490" s="2223"/>
      <c r="AS490" s="2223"/>
    </row>
    <row r="491" spans="1:45" ht="15" x14ac:dyDescent="0.25">
      <c r="A491" s="2219" t="s">
        <v>5165</v>
      </c>
      <c r="B491" s="2219" t="s">
        <v>6551</v>
      </c>
      <c r="C491" s="2223"/>
      <c r="W491" s="2223" t="str" cm="1">
        <f t="array" ref="W491">IF($D491&lt;COLUMNS($F$7:W$7),"",INDEX(TableDiv[[GASB]:[GASB]],_xlfn.AGGREGATE(15,3,(TableDiv[[Agency]:[Agency]]=$E491)/(TableDiv[[Agency]:[Agency]]=$E491)*(ROW(TableDiv[Agency])-ROW(TableDiv[[#Headers],[Agency]])),COLUMNS($F$7:W$7))))</f>
        <v/>
      </c>
      <c r="X491" s="2223" t="str" cm="1">
        <f t="array" ref="X491">IF($D491&lt;COLUMNS($F$7:X$7),"",INDEX(TableDiv[[GASB]:[GASB]],_xlfn.AGGREGATE(15,3,(TableDiv[[Agency]:[Agency]]=$E491)/(TableDiv[[Agency]:[Agency]]=$E491)*(ROW(TableDiv[Agency])-ROW(TableDiv[[#Headers],[Agency]])),COLUMNS($F$7:X$7))))</f>
        <v/>
      </c>
      <c r="Y491" s="2223" t="str" cm="1">
        <f t="array" ref="Y491">IF($D491&lt;COLUMNS($F$7:Y$7),"",INDEX(TableDiv[[GASB]:[GASB]],_xlfn.AGGREGATE(15,3,(TableDiv[[Agency]:[Agency]]=$E491)/(TableDiv[[Agency]:[Agency]]=$E491)*(ROW(TableDiv[Agency])-ROW(TableDiv[[#Headers],[Agency]])),COLUMNS($F$7:Y$7))))</f>
        <v/>
      </c>
      <c r="Z491" s="2223" t="str" cm="1">
        <f t="array" ref="Z491">IF($D491&lt;COLUMNS($F$7:Z$7),"",INDEX(TableDiv[[GASB]:[GASB]],_xlfn.AGGREGATE(15,3,(TableDiv[[Agency]:[Agency]]=$E491)/(TableDiv[[Agency]:[Agency]]=$E491)*(ROW(TableDiv[Agency])-ROW(TableDiv[[#Headers],[Agency]])),COLUMNS($F$7:Z$7))))</f>
        <v/>
      </c>
      <c r="AA491" s="2223" t="str" cm="1">
        <f t="array" ref="AA491">IF($D491&lt;COLUMNS($F$7:AA$7),"",INDEX(TableDiv[[GASB]:[GASB]],_xlfn.AGGREGATE(15,3,(TableDiv[[Agency]:[Agency]]=$E491)/(TableDiv[[Agency]:[Agency]]=$E491)*(ROW(TableDiv[Agency])-ROW(TableDiv[[#Headers],[Agency]])),COLUMNS($F$7:AA$7))))</f>
        <v/>
      </c>
      <c r="AB491" s="2223" t="str" cm="1">
        <f t="array" ref="AB491">IF($D491&lt;COLUMNS($F$7:AB$7),"",INDEX(TableDiv[[GASB]:[GASB]],_xlfn.AGGREGATE(15,3,(TableDiv[[Agency]:[Agency]]=$E491)/(TableDiv[[Agency]:[Agency]]=$E491)*(ROW(TableDiv[Agency])-ROW(TableDiv[[#Headers],[Agency]])),COLUMNS($F$7:AB$7))))</f>
        <v/>
      </c>
      <c r="AC491" s="2223" t="str" cm="1">
        <f t="array" ref="AC491">IF($D491&lt;COLUMNS($F$7:AC$7),"",INDEX(TableDiv[[GASB]:[GASB]],_xlfn.AGGREGATE(15,3,(TableDiv[[Agency]:[Agency]]=$E491)/(TableDiv[[Agency]:[Agency]]=$E491)*(ROW(TableDiv[Agency])-ROW(TableDiv[[#Headers],[Agency]])),COLUMNS($F$7:AC$7))))</f>
        <v/>
      </c>
      <c r="AD491" s="2223" t="str" cm="1">
        <f t="array" ref="AD491">IF($D491&lt;COLUMNS($F$7:AD$7),"",INDEX(TableDiv[[GASB]:[GASB]],_xlfn.AGGREGATE(15,3,(TableDiv[[Agency]:[Agency]]=$E491)/(TableDiv[[Agency]:[Agency]]=$E491)*(ROW(TableDiv[Agency])-ROW(TableDiv[[#Headers],[Agency]])),COLUMNS($F$7:AD$7))))</f>
        <v/>
      </c>
      <c r="AE491" s="2223" t="str" cm="1">
        <f t="array" ref="AE491">IF($D491&lt;COLUMNS($F$7:AE$7),"",INDEX(TableDiv[[GASB]:[GASB]],_xlfn.AGGREGATE(15,3,(TableDiv[[Agency]:[Agency]]=$E491)/(TableDiv[[Agency]:[Agency]]=$E491)*(ROW(TableDiv[Agency])-ROW(TableDiv[[#Headers],[Agency]])),COLUMNS($F$7:AE$7))))</f>
        <v/>
      </c>
      <c r="AF491" s="2223" t="str" cm="1">
        <f t="array" ref="AF491">IF($D491&lt;COLUMNS($F$7:AF$7),"",INDEX(TableDiv[[GASB]:[GASB]],_xlfn.AGGREGATE(15,3,(TableDiv[[Agency]:[Agency]]=$E491)/(TableDiv[[Agency]:[Agency]]=$E491)*(ROW(TableDiv[Agency])-ROW(TableDiv[[#Headers],[Agency]])),COLUMNS($F$7:AF$7))))</f>
        <v/>
      </c>
      <c r="AG491" s="2223" t="str" cm="1">
        <f t="array" ref="AG491">IF($D491&lt;COLUMNS($F$7:AG$7),"",INDEX(TableDiv[[GASB]:[GASB]],_xlfn.AGGREGATE(15,3,(TableDiv[[Agency]:[Agency]]=$E491)/(TableDiv[[Agency]:[Agency]]=$E491)*(ROW(TableDiv[Agency])-ROW(TableDiv[[#Headers],[Agency]])),COLUMNS($F$7:AG$7))))</f>
        <v/>
      </c>
      <c r="AH491" s="2223" t="str" cm="1">
        <f t="array" ref="AH491">IF($D491&lt;COLUMNS($F$7:AH$7),"",INDEX(TableDiv[[GASB]:[GASB]],_xlfn.AGGREGATE(15,3,(TableDiv[[Agency]:[Agency]]=$E491)/(TableDiv[[Agency]:[Agency]]=$E491)*(ROW(TableDiv[Agency])-ROW(TableDiv[[#Headers],[Agency]])),COLUMNS($F$7:AH$7))))</f>
        <v/>
      </c>
      <c r="AI491" s="2223" t="str" cm="1">
        <f t="array" ref="AI491">IF($D491&lt;COLUMNS($F$7:AI$7),"",INDEX(TableDiv[[GASB]:[GASB]],_xlfn.AGGREGATE(15,3,(TableDiv[[Agency]:[Agency]]=$E491)/(TableDiv[[Agency]:[Agency]]=$E491)*(ROW(TableDiv[Agency])-ROW(TableDiv[[#Headers],[Agency]])),COLUMNS($F$7:AI$7))))</f>
        <v/>
      </c>
      <c r="AJ491" s="2223" t="str" cm="1">
        <f t="array" ref="AJ491">IF($D491&lt;COLUMNS($F$7:AJ$7),"",INDEX(TableDiv[[GASB]:[GASB]],_xlfn.AGGREGATE(15,3,(TableDiv[[Agency]:[Agency]]=$E491)/(TableDiv[[Agency]:[Agency]]=$E491)*(ROW(TableDiv[Agency])-ROW(TableDiv[[#Headers],[Agency]])),COLUMNS($F$7:AJ$7))))</f>
        <v/>
      </c>
      <c r="AK491" s="2223" t="str" cm="1">
        <f t="array" ref="AK491">IF($D491&lt;COLUMNS($F$7:AK$7),"",INDEX(TableDiv[[GASB]:[GASB]],_xlfn.AGGREGATE(15,3,(TableDiv[[Agency]:[Agency]]=$E491)/(TableDiv[[Agency]:[Agency]]=$E491)*(ROW(TableDiv[Agency])-ROW(TableDiv[[#Headers],[Agency]])),COLUMNS($F$7:AK$7))))</f>
        <v/>
      </c>
      <c r="AL491" s="2223" t="str" cm="1">
        <f t="array" ref="AL491">IF($D491&lt;COLUMNS($F$7:AL$7),"",INDEX(TableDiv[[GASB]:[GASB]],_xlfn.AGGREGATE(15,3,(TableDiv[[Agency]:[Agency]]=$E491)/(TableDiv[[Agency]:[Agency]]=$E491)*(ROW(TableDiv[Agency])-ROW(TableDiv[[#Headers],[Agency]])),COLUMNS($F$7:AL$7))))</f>
        <v/>
      </c>
      <c r="AM491" s="2223" t="str" cm="1">
        <f t="array" ref="AM491">IF($D491&lt;COLUMNS($F$7:AM$7),"",INDEX(TableDiv[[GASB]:[GASB]],_xlfn.AGGREGATE(15,3,(TableDiv[[Agency]:[Agency]]=$E491)/(TableDiv[[Agency]:[Agency]]=$E491)*(ROW(TableDiv[Agency])-ROW(TableDiv[[#Headers],[Agency]])),COLUMNS($F$7:AM$7))))</f>
        <v/>
      </c>
      <c r="AN491" s="2223"/>
      <c r="AO491" s="2223"/>
      <c r="AP491" s="2223"/>
      <c r="AQ491" s="2223"/>
      <c r="AR491" s="2223"/>
      <c r="AS491" s="2223"/>
    </row>
    <row r="492" spans="1:45" ht="15" x14ac:dyDescent="0.25">
      <c r="A492" s="2219" t="s">
        <v>5173</v>
      </c>
      <c r="B492" s="2219" t="s">
        <v>6552</v>
      </c>
      <c r="C492" s="2223"/>
      <c r="W492" s="2223" t="str" cm="1">
        <f t="array" ref="W492">IF($D492&lt;COLUMNS($F$7:W$7),"",INDEX(TableDiv[[GASB]:[GASB]],_xlfn.AGGREGATE(15,3,(TableDiv[[Agency]:[Agency]]=$E492)/(TableDiv[[Agency]:[Agency]]=$E492)*(ROW(TableDiv[Agency])-ROW(TableDiv[[#Headers],[Agency]])),COLUMNS($F$7:W$7))))</f>
        <v/>
      </c>
      <c r="X492" s="2223" t="str" cm="1">
        <f t="array" ref="X492">IF($D492&lt;COLUMNS($F$7:X$7),"",INDEX(TableDiv[[GASB]:[GASB]],_xlfn.AGGREGATE(15,3,(TableDiv[[Agency]:[Agency]]=$E492)/(TableDiv[[Agency]:[Agency]]=$E492)*(ROW(TableDiv[Agency])-ROW(TableDiv[[#Headers],[Agency]])),COLUMNS($F$7:X$7))))</f>
        <v/>
      </c>
      <c r="Y492" s="2223" t="str" cm="1">
        <f t="array" ref="Y492">IF($D492&lt;COLUMNS($F$7:Y$7),"",INDEX(TableDiv[[GASB]:[GASB]],_xlfn.AGGREGATE(15,3,(TableDiv[[Agency]:[Agency]]=$E492)/(TableDiv[[Agency]:[Agency]]=$E492)*(ROW(TableDiv[Agency])-ROW(TableDiv[[#Headers],[Agency]])),COLUMNS($F$7:Y$7))))</f>
        <v/>
      </c>
      <c r="Z492" s="2223" t="str" cm="1">
        <f t="array" ref="Z492">IF($D492&lt;COLUMNS($F$7:Z$7),"",INDEX(TableDiv[[GASB]:[GASB]],_xlfn.AGGREGATE(15,3,(TableDiv[[Agency]:[Agency]]=$E492)/(TableDiv[[Agency]:[Agency]]=$E492)*(ROW(TableDiv[Agency])-ROW(TableDiv[[#Headers],[Agency]])),COLUMNS($F$7:Z$7))))</f>
        <v/>
      </c>
      <c r="AA492" s="2223" t="str" cm="1">
        <f t="array" ref="AA492">IF($D492&lt;COLUMNS($F$7:AA$7),"",INDEX(TableDiv[[GASB]:[GASB]],_xlfn.AGGREGATE(15,3,(TableDiv[[Agency]:[Agency]]=$E492)/(TableDiv[[Agency]:[Agency]]=$E492)*(ROW(TableDiv[Agency])-ROW(TableDiv[[#Headers],[Agency]])),COLUMNS($F$7:AA$7))))</f>
        <v/>
      </c>
      <c r="AB492" s="2223" t="str" cm="1">
        <f t="array" ref="AB492">IF($D492&lt;COLUMNS($F$7:AB$7),"",INDEX(TableDiv[[GASB]:[GASB]],_xlfn.AGGREGATE(15,3,(TableDiv[[Agency]:[Agency]]=$E492)/(TableDiv[[Agency]:[Agency]]=$E492)*(ROW(TableDiv[Agency])-ROW(TableDiv[[#Headers],[Agency]])),COLUMNS($F$7:AB$7))))</f>
        <v/>
      </c>
      <c r="AC492" s="2223" t="str" cm="1">
        <f t="array" ref="AC492">IF($D492&lt;COLUMNS($F$7:AC$7),"",INDEX(TableDiv[[GASB]:[GASB]],_xlfn.AGGREGATE(15,3,(TableDiv[[Agency]:[Agency]]=$E492)/(TableDiv[[Agency]:[Agency]]=$E492)*(ROW(TableDiv[Agency])-ROW(TableDiv[[#Headers],[Agency]])),COLUMNS($F$7:AC$7))))</f>
        <v/>
      </c>
      <c r="AD492" s="2223" t="str" cm="1">
        <f t="array" ref="AD492">IF($D492&lt;COLUMNS($F$7:AD$7),"",INDEX(TableDiv[[GASB]:[GASB]],_xlfn.AGGREGATE(15,3,(TableDiv[[Agency]:[Agency]]=$E492)/(TableDiv[[Agency]:[Agency]]=$E492)*(ROW(TableDiv[Agency])-ROW(TableDiv[[#Headers],[Agency]])),COLUMNS($F$7:AD$7))))</f>
        <v/>
      </c>
      <c r="AE492" s="2223" t="str" cm="1">
        <f t="array" ref="AE492">IF($D492&lt;COLUMNS($F$7:AE$7),"",INDEX(TableDiv[[GASB]:[GASB]],_xlfn.AGGREGATE(15,3,(TableDiv[[Agency]:[Agency]]=$E492)/(TableDiv[[Agency]:[Agency]]=$E492)*(ROW(TableDiv[Agency])-ROW(TableDiv[[#Headers],[Agency]])),COLUMNS($F$7:AE$7))))</f>
        <v/>
      </c>
      <c r="AF492" s="2223" t="str" cm="1">
        <f t="array" ref="AF492">IF($D492&lt;COLUMNS($F$7:AF$7),"",INDEX(TableDiv[[GASB]:[GASB]],_xlfn.AGGREGATE(15,3,(TableDiv[[Agency]:[Agency]]=$E492)/(TableDiv[[Agency]:[Agency]]=$E492)*(ROW(TableDiv[Agency])-ROW(TableDiv[[#Headers],[Agency]])),COLUMNS($F$7:AF$7))))</f>
        <v/>
      </c>
      <c r="AG492" s="2223" t="str" cm="1">
        <f t="array" ref="AG492">IF($D492&lt;COLUMNS($F$7:AG$7),"",INDEX(TableDiv[[GASB]:[GASB]],_xlfn.AGGREGATE(15,3,(TableDiv[[Agency]:[Agency]]=$E492)/(TableDiv[[Agency]:[Agency]]=$E492)*(ROW(TableDiv[Agency])-ROW(TableDiv[[#Headers],[Agency]])),COLUMNS($F$7:AG$7))))</f>
        <v/>
      </c>
      <c r="AH492" s="2223" t="str" cm="1">
        <f t="array" ref="AH492">IF($D492&lt;COLUMNS($F$7:AH$7),"",INDEX(TableDiv[[GASB]:[GASB]],_xlfn.AGGREGATE(15,3,(TableDiv[[Agency]:[Agency]]=$E492)/(TableDiv[[Agency]:[Agency]]=$E492)*(ROW(TableDiv[Agency])-ROW(TableDiv[[#Headers],[Agency]])),COLUMNS($F$7:AH$7))))</f>
        <v/>
      </c>
      <c r="AI492" s="2223" t="str" cm="1">
        <f t="array" ref="AI492">IF($D492&lt;COLUMNS($F$7:AI$7),"",INDEX(TableDiv[[GASB]:[GASB]],_xlfn.AGGREGATE(15,3,(TableDiv[[Agency]:[Agency]]=$E492)/(TableDiv[[Agency]:[Agency]]=$E492)*(ROW(TableDiv[Agency])-ROW(TableDiv[[#Headers],[Agency]])),COLUMNS($F$7:AI$7))))</f>
        <v/>
      </c>
      <c r="AJ492" s="2223" t="str" cm="1">
        <f t="array" ref="AJ492">IF($D492&lt;COLUMNS($F$7:AJ$7),"",INDEX(TableDiv[[GASB]:[GASB]],_xlfn.AGGREGATE(15,3,(TableDiv[[Agency]:[Agency]]=$E492)/(TableDiv[[Agency]:[Agency]]=$E492)*(ROW(TableDiv[Agency])-ROW(TableDiv[[#Headers],[Agency]])),COLUMNS($F$7:AJ$7))))</f>
        <v/>
      </c>
      <c r="AK492" s="2223" t="str" cm="1">
        <f t="array" ref="AK492">IF($D492&lt;COLUMNS($F$7:AK$7),"",INDEX(TableDiv[[GASB]:[GASB]],_xlfn.AGGREGATE(15,3,(TableDiv[[Agency]:[Agency]]=$E492)/(TableDiv[[Agency]:[Agency]]=$E492)*(ROW(TableDiv[Agency])-ROW(TableDiv[[#Headers],[Agency]])),COLUMNS($F$7:AK$7))))</f>
        <v/>
      </c>
      <c r="AL492" s="2223" t="str" cm="1">
        <f t="array" ref="AL492">IF($D492&lt;COLUMNS($F$7:AL$7),"",INDEX(TableDiv[[GASB]:[GASB]],_xlfn.AGGREGATE(15,3,(TableDiv[[Agency]:[Agency]]=$E492)/(TableDiv[[Agency]:[Agency]]=$E492)*(ROW(TableDiv[Agency])-ROW(TableDiv[[#Headers],[Agency]])),COLUMNS($F$7:AL$7))))</f>
        <v/>
      </c>
      <c r="AM492" s="2223" t="str" cm="1">
        <f t="array" ref="AM492">IF($D492&lt;COLUMNS($F$7:AM$7),"",INDEX(TableDiv[[GASB]:[GASB]],_xlfn.AGGREGATE(15,3,(TableDiv[[Agency]:[Agency]]=$E492)/(TableDiv[[Agency]:[Agency]]=$E492)*(ROW(TableDiv[Agency])-ROW(TableDiv[[#Headers],[Agency]])),COLUMNS($F$7:AM$7))))</f>
        <v/>
      </c>
      <c r="AN492" s="2223"/>
      <c r="AO492" s="2223"/>
      <c r="AP492" s="2223"/>
      <c r="AQ492" s="2223"/>
      <c r="AR492" s="2223"/>
      <c r="AS492" s="2223"/>
    </row>
    <row r="493" spans="1:45" ht="15" x14ac:dyDescent="0.25">
      <c r="A493" s="2219" t="s">
        <v>5126</v>
      </c>
      <c r="B493" s="2219" t="s">
        <v>5552</v>
      </c>
      <c r="C493" s="2223"/>
      <c r="W493" s="2223" t="str" cm="1">
        <f t="array" ref="W493">IF($D493&lt;COLUMNS($F$7:W$7),"",INDEX(TableDiv[[GASB]:[GASB]],_xlfn.AGGREGATE(15,3,(TableDiv[[Agency]:[Agency]]=$E493)/(TableDiv[[Agency]:[Agency]]=$E493)*(ROW(TableDiv[Agency])-ROW(TableDiv[[#Headers],[Agency]])),COLUMNS($F$7:W$7))))</f>
        <v/>
      </c>
      <c r="X493" s="2223" t="str" cm="1">
        <f t="array" ref="X493">IF($D493&lt;COLUMNS($F$7:X$7),"",INDEX(TableDiv[[GASB]:[GASB]],_xlfn.AGGREGATE(15,3,(TableDiv[[Agency]:[Agency]]=$E493)/(TableDiv[[Agency]:[Agency]]=$E493)*(ROW(TableDiv[Agency])-ROW(TableDiv[[#Headers],[Agency]])),COLUMNS($F$7:X$7))))</f>
        <v/>
      </c>
      <c r="Y493" s="2223" t="str" cm="1">
        <f t="array" ref="Y493">IF($D493&lt;COLUMNS($F$7:Y$7),"",INDEX(TableDiv[[GASB]:[GASB]],_xlfn.AGGREGATE(15,3,(TableDiv[[Agency]:[Agency]]=$E493)/(TableDiv[[Agency]:[Agency]]=$E493)*(ROW(TableDiv[Agency])-ROW(TableDiv[[#Headers],[Agency]])),COLUMNS($F$7:Y$7))))</f>
        <v/>
      </c>
      <c r="Z493" s="2223" t="str" cm="1">
        <f t="array" ref="Z493">IF($D493&lt;COLUMNS($F$7:Z$7),"",INDEX(TableDiv[[GASB]:[GASB]],_xlfn.AGGREGATE(15,3,(TableDiv[[Agency]:[Agency]]=$E493)/(TableDiv[[Agency]:[Agency]]=$E493)*(ROW(TableDiv[Agency])-ROW(TableDiv[[#Headers],[Agency]])),COLUMNS($F$7:Z$7))))</f>
        <v/>
      </c>
      <c r="AA493" s="2223" t="str" cm="1">
        <f t="array" ref="AA493">IF($D493&lt;COLUMNS($F$7:AA$7),"",INDEX(TableDiv[[GASB]:[GASB]],_xlfn.AGGREGATE(15,3,(TableDiv[[Agency]:[Agency]]=$E493)/(TableDiv[[Agency]:[Agency]]=$E493)*(ROW(TableDiv[Agency])-ROW(TableDiv[[#Headers],[Agency]])),COLUMNS($F$7:AA$7))))</f>
        <v/>
      </c>
      <c r="AB493" s="2223" t="str" cm="1">
        <f t="array" ref="AB493">IF($D493&lt;COLUMNS($F$7:AB$7),"",INDEX(TableDiv[[GASB]:[GASB]],_xlfn.AGGREGATE(15,3,(TableDiv[[Agency]:[Agency]]=$E493)/(TableDiv[[Agency]:[Agency]]=$E493)*(ROW(TableDiv[Agency])-ROW(TableDiv[[#Headers],[Agency]])),COLUMNS($F$7:AB$7))))</f>
        <v/>
      </c>
      <c r="AC493" s="2223" t="str" cm="1">
        <f t="array" ref="AC493">IF($D493&lt;COLUMNS($F$7:AC$7),"",INDEX(TableDiv[[GASB]:[GASB]],_xlfn.AGGREGATE(15,3,(TableDiv[[Agency]:[Agency]]=$E493)/(TableDiv[[Agency]:[Agency]]=$E493)*(ROW(TableDiv[Agency])-ROW(TableDiv[[#Headers],[Agency]])),COLUMNS($F$7:AC$7))))</f>
        <v/>
      </c>
      <c r="AD493" s="2223" t="str" cm="1">
        <f t="array" ref="AD493">IF($D493&lt;COLUMNS($F$7:AD$7),"",INDEX(TableDiv[[GASB]:[GASB]],_xlfn.AGGREGATE(15,3,(TableDiv[[Agency]:[Agency]]=$E493)/(TableDiv[[Agency]:[Agency]]=$E493)*(ROW(TableDiv[Agency])-ROW(TableDiv[[#Headers],[Agency]])),COLUMNS($F$7:AD$7))))</f>
        <v/>
      </c>
      <c r="AE493" s="2223" t="str" cm="1">
        <f t="array" ref="AE493">IF($D493&lt;COLUMNS($F$7:AE$7),"",INDEX(TableDiv[[GASB]:[GASB]],_xlfn.AGGREGATE(15,3,(TableDiv[[Agency]:[Agency]]=$E493)/(TableDiv[[Agency]:[Agency]]=$E493)*(ROW(TableDiv[Agency])-ROW(TableDiv[[#Headers],[Agency]])),COLUMNS($F$7:AE$7))))</f>
        <v/>
      </c>
      <c r="AF493" s="2223" t="str" cm="1">
        <f t="array" ref="AF493">IF($D493&lt;COLUMNS($F$7:AF$7),"",INDEX(TableDiv[[GASB]:[GASB]],_xlfn.AGGREGATE(15,3,(TableDiv[[Agency]:[Agency]]=$E493)/(TableDiv[[Agency]:[Agency]]=$E493)*(ROW(TableDiv[Agency])-ROW(TableDiv[[#Headers],[Agency]])),COLUMNS($F$7:AF$7))))</f>
        <v/>
      </c>
      <c r="AG493" s="2223" t="str" cm="1">
        <f t="array" ref="AG493">IF($D493&lt;COLUMNS($F$7:AG$7),"",INDEX(TableDiv[[GASB]:[GASB]],_xlfn.AGGREGATE(15,3,(TableDiv[[Agency]:[Agency]]=$E493)/(TableDiv[[Agency]:[Agency]]=$E493)*(ROW(TableDiv[Agency])-ROW(TableDiv[[#Headers],[Agency]])),COLUMNS($F$7:AG$7))))</f>
        <v/>
      </c>
      <c r="AH493" s="2223" t="str" cm="1">
        <f t="array" ref="AH493">IF($D493&lt;COLUMNS($F$7:AH$7),"",INDEX(TableDiv[[GASB]:[GASB]],_xlfn.AGGREGATE(15,3,(TableDiv[[Agency]:[Agency]]=$E493)/(TableDiv[[Agency]:[Agency]]=$E493)*(ROW(TableDiv[Agency])-ROW(TableDiv[[#Headers],[Agency]])),COLUMNS($F$7:AH$7))))</f>
        <v/>
      </c>
      <c r="AI493" s="2223" t="str" cm="1">
        <f t="array" ref="AI493">IF($D493&lt;COLUMNS($F$7:AI$7),"",INDEX(TableDiv[[GASB]:[GASB]],_xlfn.AGGREGATE(15,3,(TableDiv[[Agency]:[Agency]]=$E493)/(TableDiv[[Agency]:[Agency]]=$E493)*(ROW(TableDiv[Agency])-ROW(TableDiv[[#Headers],[Agency]])),COLUMNS($F$7:AI$7))))</f>
        <v/>
      </c>
      <c r="AJ493" s="2223" t="str" cm="1">
        <f t="array" ref="AJ493">IF($D493&lt;COLUMNS($F$7:AJ$7),"",INDEX(TableDiv[[GASB]:[GASB]],_xlfn.AGGREGATE(15,3,(TableDiv[[Agency]:[Agency]]=$E493)/(TableDiv[[Agency]:[Agency]]=$E493)*(ROW(TableDiv[Agency])-ROW(TableDiv[[#Headers],[Agency]])),COLUMNS($F$7:AJ$7))))</f>
        <v/>
      </c>
      <c r="AK493" s="2223" t="str" cm="1">
        <f t="array" ref="AK493">IF($D493&lt;COLUMNS($F$7:AK$7),"",INDEX(TableDiv[[GASB]:[GASB]],_xlfn.AGGREGATE(15,3,(TableDiv[[Agency]:[Agency]]=$E493)/(TableDiv[[Agency]:[Agency]]=$E493)*(ROW(TableDiv[Agency])-ROW(TableDiv[[#Headers],[Agency]])),COLUMNS($F$7:AK$7))))</f>
        <v/>
      </c>
      <c r="AL493" s="2223" t="str" cm="1">
        <f t="array" ref="AL493">IF($D493&lt;COLUMNS($F$7:AL$7),"",INDEX(TableDiv[[GASB]:[GASB]],_xlfn.AGGREGATE(15,3,(TableDiv[[Agency]:[Agency]]=$E493)/(TableDiv[[Agency]:[Agency]]=$E493)*(ROW(TableDiv[Agency])-ROW(TableDiv[[#Headers],[Agency]])),COLUMNS($F$7:AL$7))))</f>
        <v/>
      </c>
      <c r="AM493" s="2223" t="str" cm="1">
        <f t="array" ref="AM493">IF($D493&lt;COLUMNS($F$7:AM$7),"",INDEX(TableDiv[[GASB]:[GASB]],_xlfn.AGGREGATE(15,3,(TableDiv[[Agency]:[Agency]]=$E493)/(TableDiv[[Agency]:[Agency]]=$E493)*(ROW(TableDiv[Agency])-ROW(TableDiv[[#Headers],[Agency]])),COLUMNS($F$7:AM$7))))</f>
        <v/>
      </c>
      <c r="AN493" s="2223"/>
      <c r="AO493" s="2223"/>
      <c r="AP493" s="2223"/>
      <c r="AQ493" s="2223"/>
      <c r="AR493" s="2223"/>
      <c r="AS493" s="2223"/>
    </row>
    <row r="494" spans="1:45" ht="15" x14ac:dyDescent="0.25">
      <c r="A494" s="2219" t="s">
        <v>5175</v>
      </c>
      <c r="B494" s="2219" t="s">
        <v>5091</v>
      </c>
      <c r="C494" s="2223"/>
      <c r="W494" s="2223" t="str" cm="1">
        <f t="array" ref="W494">IF($D494&lt;COLUMNS($F$7:W$7),"",INDEX(TableDiv[[GASB]:[GASB]],_xlfn.AGGREGATE(15,3,(TableDiv[[Agency]:[Agency]]=$E494)/(TableDiv[[Agency]:[Agency]]=$E494)*(ROW(TableDiv[Agency])-ROW(TableDiv[[#Headers],[Agency]])),COLUMNS($F$7:W$7))))</f>
        <v/>
      </c>
      <c r="X494" s="2223" t="str" cm="1">
        <f t="array" ref="X494">IF($D494&lt;COLUMNS($F$7:X$7),"",INDEX(TableDiv[[GASB]:[GASB]],_xlfn.AGGREGATE(15,3,(TableDiv[[Agency]:[Agency]]=$E494)/(TableDiv[[Agency]:[Agency]]=$E494)*(ROW(TableDiv[Agency])-ROW(TableDiv[[#Headers],[Agency]])),COLUMNS($F$7:X$7))))</f>
        <v/>
      </c>
      <c r="Y494" s="2223" t="str" cm="1">
        <f t="array" ref="Y494">IF($D494&lt;COLUMNS($F$7:Y$7),"",INDEX(TableDiv[[GASB]:[GASB]],_xlfn.AGGREGATE(15,3,(TableDiv[[Agency]:[Agency]]=$E494)/(TableDiv[[Agency]:[Agency]]=$E494)*(ROW(TableDiv[Agency])-ROW(TableDiv[[#Headers],[Agency]])),COLUMNS($F$7:Y$7))))</f>
        <v/>
      </c>
      <c r="Z494" s="2223" t="str" cm="1">
        <f t="array" ref="Z494">IF($D494&lt;COLUMNS($F$7:Z$7),"",INDEX(TableDiv[[GASB]:[GASB]],_xlfn.AGGREGATE(15,3,(TableDiv[[Agency]:[Agency]]=$E494)/(TableDiv[[Agency]:[Agency]]=$E494)*(ROW(TableDiv[Agency])-ROW(TableDiv[[#Headers],[Agency]])),COLUMNS($F$7:Z$7))))</f>
        <v/>
      </c>
      <c r="AA494" s="2223" t="str" cm="1">
        <f t="array" ref="AA494">IF($D494&lt;COLUMNS($F$7:AA$7),"",INDEX(TableDiv[[GASB]:[GASB]],_xlfn.AGGREGATE(15,3,(TableDiv[[Agency]:[Agency]]=$E494)/(TableDiv[[Agency]:[Agency]]=$E494)*(ROW(TableDiv[Agency])-ROW(TableDiv[[#Headers],[Agency]])),COLUMNS($F$7:AA$7))))</f>
        <v/>
      </c>
      <c r="AB494" s="2223" t="str" cm="1">
        <f t="array" ref="AB494">IF($D494&lt;COLUMNS($F$7:AB$7),"",INDEX(TableDiv[[GASB]:[GASB]],_xlfn.AGGREGATE(15,3,(TableDiv[[Agency]:[Agency]]=$E494)/(TableDiv[[Agency]:[Agency]]=$E494)*(ROW(TableDiv[Agency])-ROW(TableDiv[[#Headers],[Agency]])),COLUMNS($F$7:AB$7))))</f>
        <v/>
      </c>
      <c r="AC494" s="2223" t="str" cm="1">
        <f t="array" ref="AC494">IF($D494&lt;COLUMNS($F$7:AC$7),"",INDEX(TableDiv[[GASB]:[GASB]],_xlfn.AGGREGATE(15,3,(TableDiv[[Agency]:[Agency]]=$E494)/(TableDiv[[Agency]:[Agency]]=$E494)*(ROW(TableDiv[Agency])-ROW(TableDiv[[#Headers],[Agency]])),COLUMNS($F$7:AC$7))))</f>
        <v/>
      </c>
      <c r="AD494" s="2223" t="str" cm="1">
        <f t="array" ref="AD494">IF($D494&lt;COLUMNS($F$7:AD$7),"",INDEX(TableDiv[[GASB]:[GASB]],_xlfn.AGGREGATE(15,3,(TableDiv[[Agency]:[Agency]]=$E494)/(TableDiv[[Agency]:[Agency]]=$E494)*(ROW(TableDiv[Agency])-ROW(TableDiv[[#Headers],[Agency]])),COLUMNS($F$7:AD$7))))</f>
        <v/>
      </c>
      <c r="AE494" s="2223" t="str" cm="1">
        <f t="array" ref="AE494">IF($D494&lt;COLUMNS($F$7:AE$7),"",INDEX(TableDiv[[GASB]:[GASB]],_xlfn.AGGREGATE(15,3,(TableDiv[[Agency]:[Agency]]=$E494)/(TableDiv[[Agency]:[Agency]]=$E494)*(ROW(TableDiv[Agency])-ROW(TableDiv[[#Headers],[Agency]])),COLUMNS($F$7:AE$7))))</f>
        <v/>
      </c>
      <c r="AF494" s="2223" t="str" cm="1">
        <f t="array" ref="AF494">IF($D494&lt;COLUMNS($F$7:AF$7),"",INDEX(TableDiv[[GASB]:[GASB]],_xlfn.AGGREGATE(15,3,(TableDiv[[Agency]:[Agency]]=$E494)/(TableDiv[[Agency]:[Agency]]=$E494)*(ROW(TableDiv[Agency])-ROW(TableDiv[[#Headers],[Agency]])),COLUMNS($F$7:AF$7))))</f>
        <v/>
      </c>
      <c r="AG494" s="2223" t="str" cm="1">
        <f t="array" ref="AG494">IF($D494&lt;COLUMNS($F$7:AG$7),"",INDEX(TableDiv[[GASB]:[GASB]],_xlfn.AGGREGATE(15,3,(TableDiv[[Agency]:[Agency]]=$E494)/(TableDiv[[Agency]:[Agency]]=$E494)*(ROW(TableDiv[Agency])-ROW(TableDiv[[#Headers],[Agency]])),COLUMNS($F$7:AG$7))))</f>
        <v/>
      </c>
      <c r="AH494" s="2223" t="str" cm="1">
        <f t="array" ref="AH494">IF($D494&lt;COLUMNS($F$7:AH$7),"",INDEX(TableDiv[[GASB]:[GASB]],_xlfn.AGGREGATE(15,3,(TableDiv[[Agency]:[Agency]]=$E494)/(TableDiv[[Agency]:[Agency]]=$E494)*(ROW(TableDiv[Agency])-ROW(TableDiv[[#Headers],[Agency]])),COLUMNS($F$7:AH$7))))</f>
        <v/>
      </c>
      <c r="AI494" s="2223" t="str" cm="1">
        <f t="array" ref="AI494">IF($D494&lt;COLUMNS($F$7:AI$7),"",INDEX(TableDiv[[GASB]:[GASB]],_xlfn.AGGREGATE(15,3,(TableDiv[[Agency]:[Agency]]=$E494)/(TableDiv[[Agency]:[Agency]]=$E494)*(ROW(TableDiv[Agency])-ROW(TableDiv[[#Headers],[Agency]])),COLUMNS($F$7:AI$7))))</f>
        <v/>
      </c>
      <c r="AJ494" s="2223" t="str" cm="1">
        <f t="array" ref="AJ494">IF($D494&lt;COLUMNS($F$7:AJ$7),"",INDEX(TableDiv[[GASB]:[GASB]],_xlfn.AGGREGATE(15,3,(TableDiv[[Agency]:[Agency]]=$E494)/(TableDiv[[Agency]:[Agency]]=$E494)*(ROW(TableDiv[Agency])-ROW(TableDiv[[#Headers],[Agency]])),COLUMNS($F$7:AJ$7))))</f>
        <v/>
      </c>
      <c r="AK494" s="2223" t="str" cm="1">
        <f t="array" ref="AK494">IF($D494&lt;COLUMNS($F$7:AK$7),"",INDEX(TableDiv[[GASB]:[GASB]],_xlfn.AGGREGATE(15,3,(TableDiv[[Agency]:[Agency]]=$E494)/(TableDiv[[Agency]:[Agency]]=$E494)*(ROW(TableDiv[Agency])-ROW(TableDiv[[#Headers],[Agency]])),COLUMNS($F$7:AK$7))))</f>
        <v/>
      </c>
      <c r="AL494" s="2223" t="str" cm="1">
        <f t="array" ref="AL494">IF($D494&lt;COLUMNS($F$7:AL$7),"",INDEX(TableDiv[[GASB]:[GASB]],_xlfn.AGGREGATE(15,3,(TableDiv[[Agency]:[Agency]]=$E494)/(TableDiv[[Agency]:[Agency]]=$E494)*(ROW(TableDiv[Agency])-ROW(TableDiv[[#Headers],[Agency]])),COLUMNS($F$7:AL$7))))</f>
        <v/>
      </c>
      <c r="AM494" s="2223" t="str" cm="1">
        <f t="array" ref="AM494">IF($D494&lt;COLUMNS($F$7:AM$7),"",INDEX(TableDiv[[GASB]:[GASB]],_xlfn.AGGREGATE(15,3,(TableDiv[[Agency]:[Agency]]=$E494)/(TableDiv[[Agency]:[Agency]]=$E494)*(ROW(TableDiv[Agency])-ROW(TableDiv[[#Headers],[Agency]])),COLUMNS($F$7:AM$7))))</f>
        <v/>
      </c>
      <c r="AN494" s="2223"/>
      <c r="AO494" s="2223"/>
      <c r="AP494" s="2223"/>
      <c r="AQ494" s="2223"/>
      <c r="AR494" s="2223"/>
      <c r="AS494" s="2223"/>
    </row>
    <row r="495" spans="1:45" ht="15" x14ac:dyDescent="0.25">
      <c r="A495" s="2219" t="s">
        <v>6553</v>
      </c>
      <c r="B495" s="2243" t="s">
        <v>6554</v>
      </c>
      <c r="C495" s="2223"/>
      <c r="W495" s="2223" t="str" cm="1">
        <f t="array" ref="W495">IF($D495&lt;COLUMNS($F$7:W$7),"",INDEX(TableDiv[[GASB]:[GASB]],_xlfn.AGGREGATE(15,3,(TableDiv[[Agency]:[Agency]]=$E495)/(TableDiv[[Agency]:[Agency]]=$E495)*(ROW(TableDiv[Agency])-ROW(TableDiv[[#Headers],[Agency]])),COLUMNS($F$7:W$7))))</f>
        <v/>
      </c>
      <c r="X495" s="2223" t="str" cm="1">
        <f t="array" ref="X495">IF($D495&lt;COLUMNS($F$7:X$7),"",INDEX(TableDiv[[GASB]:[GASB]],_xlfn.AGGREGATE(15,3,(TableDiv[[Agency]:[Agency]]=$E495)/(TableDiv[[Agency]:[Agency]]=$E495)*(ROW(TableDiv[Agency])-ROW(TableDiv[[#Headers],[Agency]])),COLUMNS($F$7:X$7))))</f>
        <v/>
      </c>
      <c r="Y495" s="2223" t="str" cm="1">
        <f t="array" ref="Y495">IF($D495&lt;COLUMNS($F$7:Y$7),"",INDEX(TableDiv[[GASB]:[GASB]],_xlfn.AGGREGATE(15,3,(TableDiv[[Agency]:[Agency]]=$E495)/(TableDiv[[Agency]:[Agency]]=$E495)*(ROW(TableDiv[Agency])-ROW(TableDiv[[#Headers],[Agency]])),COLUMNS($F$7:Y$7))))</f>
        <v/>
      </c>
      <c r="Z495" s="2223" t="str" cm="1">
        <f t="array" ref="Z495">IF($D495&lt;COLUMNS($F$7:Z$7),"",INDEX(TableDiv[[GASB]:[GASB]],_xlfn.AGGREGATE(15,3,(TableDiv[[Agency]:[Agency]]=$E495)/(TableDiv[[Agency]:[Agency]]=$E495)*(ROW(TableDiv[Agency])-ROW(TableDiv[[#Headers],[Agency]])),COLUMNS($F$7:Z$7))))</f>
        <v/>
      </c>
      <c r="AA495" s="2223" t="str" cm="1">
        <f t="array" ref="AA495">IF($D495&lt;COLUMNS($F$7:AA$7),"",INDEX(TableDiv[[GASB]:[GASB]],_xlfn.AGGREGATE(15,3,(TableDiv[[Agency]:[Agency]]=$E495)/(TableDiv[[Agency]:[Agency]]=$E495)*(ROW(TableDiv[Agency])-ROW(TableDiv[[#Headers],[Agency]])),COLUMNS($F$7:AA$7))))</f>
        <v/>
      </c>
      <c r="AB495" s="2223" t="str" cm="1">
        <f t="array" ref="AB495">IF($D495&lt;COLUMNS($F$7:AB$7),"",INDEX(TableDiv[[GASB]:[GASB]],_xlfn.AGGREGATE(15,3,(TableDiv[[Agency]:[Agency]]=$E495)/(TableDiv[[Agency]:[Agency]]=$E495)*(ROW(TableDiv[Agency])-ROW(TableDiv[[#Headers],[Agency]])),COLUMNS($F$7:AB$7))))</f>
        <v/>
      </c>
      <c r="AC495" s="2223" t="str" cm="1">
        <f t="array" ref="AC495">IF($D495&lt;COLUMNS($F$7:AC$7),"",INDEX(TableDiv[[GASB]:[GASB]],_xlfn.AGGREGATE(15,3,(TableDiv[[Agency]:[Agency]]=$E495)/(TableDiv[[Agency]:[Agency]]=$E495)*(ROW(TableDiv[Agency])-ROW(TableDiv[[#Headers],[Agency]])),COLUMNS($F$7:AC$7))))</f>
        <v/>
      </c>
      <c r="AD495" s="2223" t="str" cm="1">
        <f t="array" ref="AD495">IF($D495&lt;COLUMNS($F$7:AD$7),"",INDEX(TableDiv[[GASB]:[GASB]],_xlfn.AGGREGATE(15,3,(TableDiv[[Agency]:[Agency]]=$E495)/(TableDiv[[Agency]:[Agency]]=$E495)*(ROW(TableDiv[Agency])-ROW(TableDiv[[#Headers],[Agency]])),COLUMNS($F$7:AD$7))))</f>
        <v/>
      </c>
      <c r="AE495" s="2223" t="str" cm="1">
        <f t="array" ref="AE495">IF($D495&lt;COLUMNS($F$7:AE$7),"",INDEX(TableDiv[[GASB]:[GASB]],_xlfn.AGGREGATE(15,3,(TableDiv[[Agency]:[Agency]]=$E495)/(TableDiv[[Agency]:[Agency]]=$E495)*(ROW(TableDiv[Agency])-ROW(TableDiv[[#Headers],[Agency]])),COLUMNS($F$7:AE$7))))</f>
        <v/>
      </c>
      <c r="AF495" s="2223" t="str" cm="1">
        <f t="array" ref="AF495">IF($D495&lt;COLUMNS($F$7:AF$7),"",INDEX(TableDiv[[GASB]:[GASB]],_xlfn.AGGREGATE(15,3,(TableDiv[[Agency]:[Agency]]=$E495)/(TableDiv[[Agency]:[Agency]]=$E495)*(ROW(TableDiv[Agency])-ROW(TableDiv[[#Headers],[Agency]])),COLUMNS($F$7:AF$7))))</f>
        <v/>
      </c>
      <c r="AG495" s="2223" t="str" cm="1">
        <f t="array" ref="AG495">IF($D495&lt;COLUMNS($F$7:AG$7),"",INDEX(TableDiv[[GASB]:[GASB]],_xlfn.AGGREGATE(15,3,(TableDiv[[Agency]:[Agency]]=$E495)/(TableDiv[[Agency]:[Agency]]=$E495)*(ROW(TableDiv[Agency])-ROW(TableDiv[[#Headers],[Agency]])),COLUMNS($F$7:AG$7))))</f>
        <v/>
      </c>
      <c r="AH495" s="2223" t="str" cm="1">
        <f t="array" ref="AH495">IF($D495&lt;COLUMNS($F$7:AH$7),"",INDEX(TableDiv[[GASB]:[GASB]],_xlfn.AGGREGATE(15,3,(TableDiv[[Agency]:[Agency]]=$E495)/(TableDiv[[Agency]:[Agency]]=$E495)*(ROW(TableDiv[Agency])-ROW(TableDiv[[#Headers],[Agency]])),COLUMNS($F$7:AH$7))))</f>
        <v/>
      </c>
      <c r="AI495" s="2223" t="str" cm="1">
        <f t="array" ref="AI495">IF($D495&lt;COLUMNS($F$7:AI$7),"",INDEX(TableDiv[[GASB]:[GASB]],_xlfn.AGGREGATE(15,3,(TableDiv[[Agency]:[Agency]]=$E495)/(TableDiv[[Agency]:[Agency]]=$E495)*(ROW(TableDiv[Agency])-ROW(TableDiv[[#Headers],[Agency]])),COLUMNS($F$7:AI$7))))</f>
        <v/>
      </c>
      <c r="AJ495" s="2223" t="str" cm="1">
        <f t="array" ref="AJ495">IF($D495&lt;COLUMNS($F$7:AJ$7),"",INDEX(TableDiv[[GASB]:[GASB]],_xlfn.AGGREGATE(15,3,(TableDiv[[Agency]:[Agency]]=$E495)/(TableDiv[[Agency]:[Agency]]=$E495)*(ROW(TableDiv[Agency])-ROW(TableDiv[[#Headers],[Agency]])),COLUMNS($F$7:AJ$7))))</f>
        <v/>
      </c>
      <c r="AK495" s="2223" t="str" cm="1">
        <f t="array" ref="AK495">IF($D495&lt;COLUMNS($F$7:AK$7),"",INDEX(TableDiv[[GASB]:[GASB]],_xlfn.AGGREGATE(15,3,(TableDiv[[Agency]:[Agency]]=$E495)/(TableDiv[[Agency]:[Agency]]=$E495)*(ROW(TableDiv[Agency])-ROW(TableDiv[[#Headers],[Agency]])),COLUMNS($F$7:AK$7))))</f>
        <v/>
      </c>
      <c r="AL495" s="2223" t="str" cm="1">
        <f t="array" ref="AL495">IF($D495&lt;COLUMNS($F$7:AL$7),"",INDEX(TableDiv[[GASB]:[GASB]],_xlfn.AGGREGATE(15,3,(TableDiv[[Agency]:[Agency]]=$E495)/(TableDiv[[Agency]:[Agency]]=$E495)*(ROW(TableDiv[Agency])-ROW(TableDiv[[#Headers],[Agency]])),COLUMNS($F$7:AL$7))))</f>
        <v/>
      </c>
      <c r="AM495" s="2223" t="str" cm="1">
        <f t="array" ref="AM495">IF($D495&lt;COLUMNS($F$7:AM$7),"",INDEX(TableDiv[[GASB]:[GASB]],_xlfn.AGGREGATE(15,3,(TableDiv[[Agency]:[Agency]]=$E495)/(TableDiv[[Agency]:[Agency]]=$E495)*(ROW(TableDiv[Agency])-ROW(TableDiv[[#Headers],[Agency]])),COLUMNS($F$7:AM$7))))</f>
        <v/>
      </c>
      <c r="AN495" s="2223"/>
      <c r="AO495" s="2223"/>
      <c r="AP495" s="2223"/>
      <c r="AQ495" s="2223"/>
      <c r="AR495" s="2223"/>
      <c r="AS495" s="2223"/>
    </row>
    <row r="496" spans="1:45" ht="15" x14ac:dyDescent="0.25">
      <c r="A496" s="2219"/>
      <c r="B496" s="2243"/>
      <c r="C496" s="2223"/>
      <c r="W496" s="2223" t="str" cm="1">
        <f t="array" ref="W496">IF($D496&lt;COLUMNS($F$7:W$7),"",INDEX(TableDiv[[GASB]:[GASB]],_xlfn.AGGREGATE(15,3,(TableDiv[[Agency]:[Agency]]=$E496)/(TableDiv[[Agency]:[Agency]]=$E496)*(ROW(TableDiv[Agency])-ROW(TableDiv[[#Headers],[Agency]])),COLUMNS($F$7:W$7))))</f>
        <v/>
      </c>
      <c r="X496" s="2223" t="str" cm="1">
        <f t="array" ref="X496">IF($D496&lt;COLUMNS($F$7:X$7),"",INDEX(TableDiv[[GASB]:[GASB]],_xlfn.AGGREGATE(15,3,(TableDiv[[Agency]:[Agency]]=$E496)/(TableDiv[[Agency]:[Agency]]=$E496)*(ROW(TableDiv[Agency])-ROW(TableDiv[[#Headers],[Agency]])),COLUMNS($F$7:X$7))))</f>
        <v/>
      </c>
      <c r="Y496" s="2223" t="str" cm="1">
        <f t="array" ref="Y496">IF($D496&lt;COLUMNS($F$7:Y$7),"",INDEX(TableDiv[[GASB]:[GASB]],_xlfn.AGGREGATE(15,3,(TableDiv[[Agency]:[Agency]]=$E496)/(TableDiv[[Agency]:[Agency]]=$E496)*(ROW(TableDiv[Agency])-ROW(TableDiv[[#Headers],[Agency]])),COLUMNS($F$7:Y$7))))</f>
        <v/>
      </c>
      <c r="Z496" s="2223" t="str" cm="1">
        <f t="array" ref="Z496">IF($D496&lt;COLUMNS($F$7:Z$7),"",INDEX(TableDiv[[GASB]:[GASB]],_xlfn.AGGREGATE(15,3,(TableDiv[[Agency]:[Agency]]=$E496)/(TableDiv[[Agency]:[Agency]]=$E496)*(ROW(TableDiv[Agency])-ROW(TableDiv[[#Headers],[Agency]])),COLUMNS($F$7:Z$7))))</f>
        <v/>
      </c>
      <c r="AA496" s="2223" t="str" cm="1">
        <f t="array" ref="AA496">IF($D496&lt;COLUMNS($F$7:AA$7),"",INDEX(TableDiv[[GASB]:[GASB]],_xlfn.AGGREGATE(15,3,(TableDiv[[Agency]:[Agency]]=$E496)/(TableDiv[[Agency]:[Agency]]=$E496)*(ROW(TableDiv[Agency])-ROW(TableDiv[[#Headers],[Agency]])),COLUMNS($F$7:AA$7))))</f>
        <v/>
      </c>
      <c r="AB496" s="2223" t="str" cm="1">
        <f t="array" ref="AB496">IF($D496&lt;COLUMNS($F$7:AB$7),"",INDEX(TableDiv[[GASB]:[GASB]],_xlfn.AGGREGATE(15,3,(TableDiv[[Agency]:[Agency]]=$E496)/(TableDiv[[Agency]:[Agency]]=$E496)*(ROW(TableDiv[Agency])-ROW(TableDiv[[#Headers],[Agency]])),COLUMNS($F$7:AB$7))))</f>
        <v/>
      </c>
      <c r="AC496" s="2223" t="str" cm="1">
        <f t="array" ref="AC496">IF($D496&lt;COLUMNS($F$7:AC$7),"",INDEX(TableDiv[[GASB]:[GASB]],_xlfn.AGGREGATE(15,3,(TableDiv[[Agency]:[Agency]]=$E496)/(TableDiv[[Agency]:[Agency]]=$E496)*(ROW(TableDiv[Agency])-ROW(TableDiv[[#Headers],[Agency]])),COLUMNS($F$7:AC$7))))</f>
        <v/>
      </c>
      <c r="AD496" s="2223" t="str" cm="1">
        <f t="array" ref="AD496">IF($D496&lt;COLUMNS($F$7:AD$7),"",INDEX(TableDiv[[GASB]:[GASB]],_xlfn.AGGREGATE(15,3,(TableDiv[[Agency]:[Agency]]=$E496)/(TableDiv[[Agency]:[Agency]]=$E496)*(ROW(TableDiv[Agency])-ROW(TableDiv[[#Headers],[Agency]])),COLUMNS($F$7:AD$7))))</f>
        <v/>
      </c>
      <c r="AE496" s="2223" t="str" cm="1">
        <f t="array" ref="AE496">IF($D496&lt;COLUMNS($F$7:AE$7),"",INDEX(TableDiv[[GASB]:[GASB]],_xlfn.AGGREGATE(15,3,(TableDiv[[Agency]:[Agency]]=$E496)/(TableDiv[[Agency]:[Agency]]=$E496)*(ROW(TableDiv[Agency])-ROW(TableDiv[[#Headers],[Agency]])),COLUMNS($F$7:AE$7))))</f>
        <v/>
      </c>
      <c r="AF496" s="2223" t="str" cm="1">
        <f t="array" ref="AF496">IF($D496&lt;COLUMNS($F$7:AF$7),"",INDEX(TableDiv[[GASB]:[GASB]],_xlfn.AGGREGATE(15,3,(TableDiv[[Agency]:[Agency]]=$E496)/(TableDiv[[Agency]:[Agency]]=$E496)*(ROW(TableDiv[Agency])-ROW(TableDiv[[#Headers],[Agency]])),COLUMNS($F$7:AF$7))))</f>
        <v/>
      </c>
      <c r="AG496" s="2223" t="str" cm="1">
        <f t="array" ref="AG496">IF($D496&lt;COLUMNS($F$7:AG$7),"",INDEX(TableDiv[[GASB]:[GASB]],_xlfn.AGGREGATE(15,3,(TableDiv[[Agency]:[Agency]]=$E496)/(TableDiv[[Agency]:[Agency]]=$E496)*(ROW(TableDiv[Agency])-ROW(TableDiv[[#Headers],[Agency]])),COLUMNS($F$7:AG$7))))</f>
        <v/>
      </c>
      <c r="AH496" s="2223" t="str" cm="1">
        <f t="array" ref="AH496">IF($D496&lt;COLUMNS($F$7:AH$7),"",INDEX(TableDiv[[GASB]:[GASB]],_xlfn.AGGREGATE(15,3,(TableDiv[[Agency]:[Agency]]=$E496)/(TableDiv[[Agency]:[Agency]]=$E496)*(ROW(TableDiv[Agency])-ROW(TableDiv[[#Headers],[Agency]])),COLUMNS($F$7:AH$7))))</f>
        <v/>
      </c>
      <c r="AI496" s="2223" t="str" cm="1">
        <f t="array" ref="AI496">IF($D496&lt;COLUMNS($F$7:AI$7),"",INDEX(TableDiv[[GASB]:[GASB]],_xlfn.AGGREGATE(15,3,(TableDiv[[Agency]:[Agency]]=$E496)/(TableDiv[[Agency]:[Agency]]=$E496)*(ROW(TableDiv[Agency])-ROW(TableDiv[[#Headers],[Agency]])),COLUMNS($F$7:AI$7))))</f>
        <v/>
      </c>
      <c r="AJ496" s="2223" t="str" cm="1">
        <f t="array" ref="AJ496">IF($D496&lt;COLUMNS($F$7:AJ$7),"",INDEX(TableDiv[[GASB]:[GASB]],_xlfn.AGGREGATE(15,3,(TableDiv[[Agency]:[Agency]]=$E496)/(TableDiv[[Agency]:[Agency]]=$E496)*(ROW(TableDiv[Agency])-ROW(TableDiv[[#Headers],[Agency]])),COLUMNS($F$7:AJ$7))))</f>
        <v/>
      </c>
      <c r="AK496" s="2223" t="str" cm="1">
        <f t="array" ref="AK496">IF($D496&lt;COLUMNS($F$7:AK$7),"",INDEX(TableDiv[[GASB]:[GASB]],_xlfn.AGGREGATE(15,3,(TableDiv[[Agency]:[Agency]]=$E496)/(TableDiv[[Agency]:[Agency]]=$E496)*(ROW(TableDiv[Agency])-ROW(TableDiv[[#Headers],[Agency]])),COLUMNS($F$7:AK$7))))</f>
        <v/>
      </c>
      <c r="AL496" s="2223" t="str" cm="1">
        <f t="array" ref="AL496">IF($D496&lt;COLUMNS($F$7:AL$7),"",INDEX(TableDiv[[GASB]:[GASB]],_xlfn.AGGREGATE(15,3,(TableDiv[[Agency]:[Agency]]=$E496)/(TableDiv[[Agency]:[Agency]]=$E496)*(ROW(TableDiv[Agency])-ROW(TableDiv[[#Headers],[Agency]])),COLUMNS($F$7:AL$7))))</f>
        <v/>
      </c>
      <c r="AM496" s="2223" t="str" cm="1">
        <f t="array" ref="AM496">IF($D496&lt;COLUMNS($F$7:AM$7),"",INDEX(TableDiv[[GASB]:[GASB]],_xlfn.AGGREGATE(15,3,(TableDiv[[Agency]:[Agency]]=$E496)/(TableDiv[[Agency]:[Agency]]=$E496)*(ROW(TableDiv[Agency])-ROW(TableDiv[[#Headers],[Agency]])),COLUMNS($F$7:AM$7))))</f>
        <v/>
      </c>
      <c r="AN496" s="2223"/>
      <c r="AO496" s="2223"/>
      <c r="AP496" s="2223"/>
      <c r="AQ496" s="2223"/>
      <c r="AR496" s="2223"/>
      <c r="AS496" s="2223"/>
    </row>
    <row r="497" spans="1:45" ht="15" x14ac:dyDescent="0.25">
      <c r="A497" s="2219"/>
      <c r="B497" s="2219"/>
      <c r="C497" s="2223"/>
      <c r="W497" s="2223" t="str" cm="1">
        <f t="array" ref="W497">IF($D497&lt;COLUMNS($F$7:W$7),"",INDEX(TableDiv[[GASB]:[GASB]],_xlfn.AGGREGATE(15,3,(TableDiv[[Agency]:[Agency]]=$E497)/(TableDiv[[Agency]:[Agency]]=$E497)*(ROW(TableDiv[Agency])-ROW(TableDiv[[#Headers],[Agency]])),COLUMNS($F$7:W$7))))</f>
        <v/>
      </c>
      <c r="X497" s="2223" t="str" cm="1">
        <f t="array" ref="X497">IF($D497&lt;COLUMNS($F$7:X$7),"",INDEX(TableDiv[[GASB]:[GASB]],_xlfn.AGGREGATE(15,3,(TableDiv[[Agency]:[Agency]]=$E497)/(TableDiv[[Agency]:[Agency]]=$E497)*(ROW(TableDiv[Agency])-ROW(TableDiv[[#Headers],[Agency]])),COLUMNS($F$7:X$7))))</f>
        <v/>
      </c>
      <c r="Y497" s="2223" t="str" cm="1">
        <f t="array" ref="Y497">IF($D497&lt;COLUMNS($F$7:Y$7),"",INDEX(TableDiv[[GASB]:[GASB]],_xlfn.AGGREGATE(15,3,(TableDiv[[Agency]:[Agency]]=$E497)/(TableDiv[[Agency]:[Agency]]=$E497)*(ROW(TableDiv[Agency])-ROW(TableDiv[[#Headers],[Agency]])),COLUMNS($F$7:Y$7))))</f>
        <v/>
      </c>
      <c r="Z497" s="2223" t="str" cm="1">
        <f t="array" ref="Z497">IF($D497&lt;COLUMNS($F$7:Z$7),"",INDEX(TableDiv[[GASB]:[GASB]],_xlfn.AGGREGATE(15,3,(TableDiv[[Agency]:[Agency]]=$E497)/(TableDiv[[Agency]:[Agency]]=$E497)*(ROW(TableDiv[Agency])-ROW(TableDiv[[#Headers],[Agency]])),COLUMNS($F$7:Z$7))))</f>
        <v/>
      </c>
      <c r="AA497" s="2223" t="str" cm="1">
        <f t="array" ref="AA497">IF($D497&lt;COLUMNS($F$7:AA$7),"",INDEX(TableDiv[[GASB]:[GASB]],_xlfn.AGGREGATE(15,3,(TableDiv[[Agency]:[Agency]]=$E497)/(TableDiv[[Agency]:[Agency]]=$E497)*(ROW(TableDiv[Agency])-ROW(TableDiv[[#Headers],[Agency]])),COLUMNS($F$7:AA$7))))</f>
        <v/>
      </c>
      <c r="AB497" s="2223" t="str" cm="1">
        <f t="array" ref="AB497">IF($D497&lt;COLUMNS($F$7:AB$7),"",INDEX(TableDiv[[GASB]:[GASB]],_xlfn.AGGREGATE(15,3,(TableDiv[[Agency]:[Agency]]=$E497)/(TableDiv[[Agency]:[Agency]]=$E497)*(ROW(TableDiv[Agency])-ROW(TableDiv[[#Headers],[Agency]])),COLUMNS($F$7:AB$7))))</f>
        <v/>
      </c>
      <c r="AC497" s="2223" t="str" cm="1">
        <f t="array" ref="AC497">IF($D497&lt;COLUMNS($F$7:AC$7),"",INDEX(TableDiv[[GASB]:[GASB]],_xlfn.AGGREGATE(15,3,(TableDiv[[Agency]:[Agency]]=$E497)/(TableDiv[[Agency]:[Agency]]=$E497)*(ROW(TableDiv[Agency])-ROW(TableDiv[[#Headers],[Agency]])),COLUMNS($F$7:AC$7))))</f>
        <v/>
      </c>
      <c r="AD497" s="2223" t="str" cm="1">
        <f t="array" ref="AD497">IF($D497&lt;COLUMNS($F$7:AD$7),"",INDEX(TableDiv[[GASB]:[GASB]],_xlfn.AGGREGATE(15,3,(TableDiv[[Agency]:[Agency]]=$E497)/(TableDiv[[Agency]:[Agency]]=$E497)*(ROW(TableDiv[Agency])-ROW(TableDiv[[#Headers],[Agency]])),COLUMNS($F$7:AD$7))))</f>
        <v/>
      </c>
      <c r="AE497" s="2223" t="str" cm="1">
        <f t="array" ref="AE497">IF($D497&lt;COLUMNS($F$7:AE$7),"",INDEX(TableDiv[[GASB]:[GASB]],_xlfn.AGGREGATE(15,3,(TableDiv[[Agency]:[Agency]]=$E497)/(TableDiv[[Agency]:[Agency]]=$E497)*(ROW(TableDiv[Agency])-ROW(TableDiv[[#Headers],[Agency]])),COLUMNS($F$7:AE$7))))</f>
        <v/>
      </c>
      <c r="AF497" s="2223" t="str" cm="1">
        <f t="array" ref="AF497">IF($D497&lt;COLUMNS($F$7:AF$7),"",INDEX(TableDiv[[GASB]:[GASB]],_xlfn.AGGREGATE(15,3,(TableDiv[[Agency]:[Agency]]=$E497)/(TableDiv[[Agency]:[Agency]]=$E497)*(ROW(TableDiv[Agency])-ROW(TableDiv[[#Headers],[Agency]])),COLUMNS($F$7:AF$7))))</f>
        <v/>
      </c>
      <c r="AG497" s="2223" t="str" cm="1">
        <f t="array" ref="AG497">IF($D497&lt;COLUMNS($F$7:AG$7),"",INDEX(TableDiv[[GASB]:[GASB]],_xlfn.AGGREGATE(15,3,(TableDiv[[Agency]:[Agency]]=$E497)/(TableDiv[[Agency]:[Agency]]=$E497)*(ROW(TableDiv[Agency])-ROW(TableDiv[[#Headers],[Agency]])),COLUMNS($F$7:AG$7))))</f>
        <v/>
      </c>
      <c r="AH497" s="2223" t="str" cm="1">
        <f t="array" ref="AH497">IF($D497&lt;COLUMNS($F$7:AH$7),"",INDEX(TableDiv[[GASB]:[GASB]],_xlfn.AGGREGATE(15,3,(TableDiv[[Agency]:[Agency]]=$E497)/(TableDiv[[Agency]:[Agency]]=$E497)*(ROW(TableDiv[Agency])-ROW(TableDiv[[#Headers],[Agency]])),COLUMNS($F$7:AH$7))))</f>
        <v/>
      </c>
      <c r="AI497" s="2223" t="str" cm="1">
        <f t="array" ref="AI497">IF($D497&lt;COLUMNS($F$7:AI$7),"",INDEX(TableDiv[[GASB]:[GASB]],_xlfn.AGGREGATE(15,3,(TableDiv[[Agency]:[Agency]]=$E497)/(TableDiv[[Agency]:[Agency]]=$E497)*(ROW(TableDiv[Agency])-ROW(TableDiv[[#Headers],[Agency]])),COLUMNS($F$7:AI$7))))</f>
        <v/>
      </c>
      <c r="AJ497" s="2223" t="str" cm="1">
        <f t="array" ref="AJ497">IF($D497&lt;COLUMNS($F$7:AJ$7),"",INDEX(TableDiv[[GASB]:[GASB]],_xlfn.AGGREGATE(15,3,(TableDiv[[Agency]:[Agency]]=$E497)/(TableDiv[[Agency]:[Agency]]=$E497)*(ROW(TableDiv[Agency])-ROW(TableDiv[[#Headers],[Agency]])),COLUMNS($F$7:AJ$7))))</f>
        <v/>
      </c>
      <c r="AK497" s="2223" t="str" cm="1">
        <f t="array" ref="AK497">IF($D497&lt;COLUMNS($F$7:AK$7),"",INDEX(TableDiv[[GASB]:[GASB]],_xlfn.AGGREGATE(15,3,(TableDiv[[Agency]:[Agency]]=$E497)/(TableDiv[[Agency]:[Agency]]=$E497)*(ROW(TableDiv[Agency])-ROW(TableDiv[[#Headers],[Agency]])),COLUMNS($F$7:AK$7))))</f>
        <v/>
      </c>
      <c r="AL497" s="2223" t="str" cm="1">
        <f t="array" ref="AL497">IF($D497&lt;COLUMNS($F$7:AL$7),"",INDEX(TableDiv[[GASB]:[GASB]],_xlfn.AGGREGATE(15,3,(TableDiv[[Agency]:[Agency]]=$E497)/(TableDiv[[Agency]:[Agency]]=$E497)*(ROW(TableDiv[Agency])-ROW(TableDiv[[#Headers],[Agency]])),COLUMNS($F$7:AL$7))))</f>
        <v/>
      </c>
      <c r="AM497" s="2223" t="str" cm="1">
        <f t="array" ref="AM497">IF($D497&lt;COLUMNS($F$7:AM$7),"",INDEX(TableDiv[[GASB]:[GASB]],_xlfn.AGGREGATE(15,3,(TableDiv[[Agency]:[Agency]]=$E497)/(TableDiv[[Agency]:[Agency]]=$E497)*(ROW(TableDiv[Agency])-ROW(TableDiv[[#Headers],[Agency]])),COLUMNS($F$7:AM$7))))</f>
        <v/>
      </c>
      <c r="AN497" s="2223"/>
      <c r="AO497" s="2223"/>
      <c r="AP497" s="2223"/>
      <c r="AQ497" s="2223"/>
      <c r="AR497" s="2223"/>
      <c r="AS497" s="2223"/>
    </row>
    <row r="498" spans="1:45" ht="15" x14ac:dyDescent="0.25">
      <c r="A498" s="2219"/>
      <c r="B498" s="2219"/>
      <c r="C498" s="2223"/>
      <c r="W498" s="2223" t="str" cm="1">
        <f t="array" ref="W498">IF($D498&lt;COLUMNS($F$7:W$7),"",INDEX(TableDiv[[GASB]:[GASB]],_xlfn.AGGREGATE(15,3,(TableDiv[[Agency]:[Agency]]=$E498)/(TableDiv[[Agency]:[Agency]]=$E498)*(ROW(TableDiv[Agency])-ROW(TableDiv[[#Headers],[Agency]])),COLUMNS($F$7:W$7))))</f>
        <v/>
      </c>
      <c r="X498" s="2223" t="str" cm="1">
        <f t="array" ref="X498">IF($D498&lt;COLUMNS($F$7:X$7),"",INDEX(TableDiv[[GASB]:[GASB]],_xlfn.AGGREGATE(15,3,(TableDiv[[Agency]:[Agency]]=$E498)/(TableDiv[[Agency]:[Agency]]=$E498)*(ROW(TableDiv[Agency])-ROW(TableDiv[[#Headers],[Agency]])),COLUMNS($F$7:X$7))))</f>
        <v/>
      </c>
      <c r="Y498" s="2223" t="str" cm="1">
        <f t="array" ref="Y498">IF($D498&lt;COLUMNS($F$7:Y$7),"",INDEX(TableDiv[[GASB]:[GASB]],_xlfn.AGGREGATE(15,3,(TableDiv[[Agency]:[Agency]]=$E498)/(TableDiv[[Agency]:[Agency]]=$E498)*(ROW(TableDiv[Agency])-ROW(TableDiv[[#Headers],[Agency]])),COLUMNS($F$7:Y$7))))</f>
        <v/>
      </c>
      <c r="Z498" s="2223" t="str" cm="1">
        <f t="array" ref="Z498">IF($D498&lt;COLUMNS($F$7:Z$7),"",INDEX(TableDiv[[GASB]:[GASB]],_xlfn.AGGREGATE(15,3,(TableDiv[[Agency]:[Agency]]=$E498)/(TableDiv[[Agency]:[Agency]]=$E498)*(ROW(TableDiv[Agency])-ROW(TableDiv[[#Headers],[Agency]])),COLUMNS($F$7:Z$7))))</f>
        <v/>
      </c>
      <c r="AA498" s="2223" t="str" cm="1">
        <f t="array" ref="AA498">IF($D498&lt;COLUMNS($F$7:AA$7),"",INDEX(TableDiv[[GASB]:[GASB]],_xlfn.AGGREGATE(15,3,(TableDiv[[Agency]:[Agency]]=$E498)/(TableDiv[[Agency]:[Agency]]=$E498)*(ROW(TableDiv[Agency])-ROW(TableDiv[[#Headers],[Agency]])),COLUMNS($F$7:AA$7))))</f>
        <v/>
      </c>
      <c r="AB498" s="2223" t="str" cm="1">
        <f t="array" ref="AB498">IF($D498&lt;COLUMNS($F$7:AB$7),"",INDEX(TableDiv[[GASB]:[GASB]],_xlfn.AGGREGATE(15,3,(TableDiv[[Agency]:[Agency]]=$E498)/(TableDiv[[Agency]:[Agency]]=$E498)*(ROW(TableDiv[Agency])-ROW(TableDiv[[#Headers],[Agency]])),COLUMNS($F$7:AB$7))))</f>
        <v/>
      </c>
      <c r="AC498" s="2223" t="str" cm="1">
        <f t="array" ref="AC498">IF($D498&lt;COLUMNS($F$7:AC$7),"",INDEX(TableDiv[[GASB]:[GASB]],_xlfn.AGGREGATE(15,3,(TableDiv[[Agency]:[Agency]]=$E498)/(TableDiv[[Agency]:[Agency]]=$E498)*(ROW(TableDiv[Agency])-ROW(TableDiv[[#Headers],[Agency]])),COLUMNS($F$7:AC$7))))</f>
        <v/>
      </c>
      <c r="AD498" s="2223" t="str" cm="1">
        <f t="array" ref="AD498">IF($D498&lt;COLUMNS($F$7:AD$7),"",INDEX(TableDiv[[GASB]:[GASB]],_xlfn.AGGREGATE(15,3,(TableDiv[[Agency]:[Agency]]=$E498)/(TableDiv[[Agency]:[Agency]]=$E498)*(ROW(TableDiv[Agency])-ROW(TableDiv[[#Headers],[Agency]])),COLUMNS($F$7:AD$7))))</f>
        <v/>
      </c>
      <c r="AE498" s="2223" t="str" cm="1">
        <f t="array" ref="AE498">IF($D498&lt;COLUMNS($F$7:AE$7),"",INDEX(TableDiv[[GASB]:[GASB]],_xlfn.AGGREGATE(15,3,(TableDiv[[Agency]:[Agency]]=$E498)/(TableDiv[[Agency]:[Agency]]=$E498)*(ROW(TableDiv[Agency])-ROW(TableDiv[[#Headers],[Agency]])),COLUMNS($F$7:AE$7))))</f>
        <v/>
      </c>
      <c r="AF498" s="2223" t="str" cm="1">
        <f t="array" ref="AF498">IF($D498&lt;COLUMNS($F$7:AF$7),"",INDEX(TableDiv[[GASB]:[GASB]],_xlfn.AGGREGATE(15,3,(TableDiv[[Agency]:[Agency]]=$E498)/(TableDiv[[Agency]:[Agency]]=$E498)*(ROW(TableDiv[Agency])-ROW(TableDiv[[#Headers],[Agency]])),COLUMNS($F$7:AF$7))))</f>
        <v/>
      </c>
      <c r="AG498" s="2223" t="str" cm="1">
        <f t="array" ref="AG498">IF($D498&lt;COLUMNS($F$7:AG$7),"",INDEX(TableDiv[[GASB]:[GASB]],_xlfn.AGGREGATE(15,3,(TableDiv[[Agency]:[Agency]]=$E498)/(TableDiv[[Agency]:[Agency]]=$E498)*(ROW(TableDiv[Agency])-ROW(TableDiv[[#Headers],[Agency]])),COLUMNS($F$7:AG$7))))</f>
        <v/>
      </c>
      <c r="AH498" s="2223" t="str" cm="1">
        <f t="array" ref="AH498">IF($D498&lt;COLUMNS($F$7:AH$7),"",INDEX(TableDiv[[GASB]:[GASB]],_xlfn.AGGREGATE(15,3,(TableDiv[[Agency]:[Agency]]=$E498)/(TableDiv[[Agency]:[Agency]]=$E498)*(ROW(TableDiv[Agency])-ROW(TableDiv[[#Headers],[Agency]])),COLUMNS($F$7:AH$7))))</f>
        <v/>
      </c>
      <c r="AI498" s="2223" t="str" cm="1">
        <f t="array" ref="AI498">IF($D498&lt;COLUMNS($F$7:AI$7),"",INDEX(TableDiv[[GASB]:[GASB]],_xlfn.AGGREGATE(15,3,(TableDiv[[Agency]:[Agency]]=$E498)/(TableDiv[[Agency]:[Agency]]=$E498)*(ROW(TableDiv[Agency])-ROW(TableDiv[[#Headers],[Agency]])),COLUMNS($F$7:AI$7))))</f>
        <v/>
      </c>
      <c r="AJ498" s="2223" t="str" cm="1">
        <f t="array" ref="AJ498">IF($D498&lt;COLUMNS($F$7:AJ$7),"",INDEX(TableDiv[[GASB]:[GASB]],_xlfn.AGGREGATE(15,3,(TableDiv[[Agency]:[Agency]]=$E498)/(TableDiv[[Agency]:[Agency]]=$E498)*(ROW(TableDiv[Agency])-ROW(TableDiv[[#Headers],[Agency]])),COLUMNS($F$7:AJ$7))))</f>
        <v/>
      </c>
      <c r="AK498" s="2223" t="str" cm="1">
        <f t="array" ref="AK498">IF($D498&lt;COLUMNS($F$7:AK$7),"",INDEX(TableDiv[[GASB]:[GASB]],_xlfn.AGGREGATE(15,3,(TableDiv[[Agency]:[Agency]]=$E498)/(TableDiv[[Agency]:[Agency]]=$E498)*(ROW(TableDiv[Agency])-ROW(TableDiv[[#Headers],[Agency]])),COLUMNS($F$7:AK$7))))</f>
        <v/>
      </c>
      <c r="AL498" s="2223" t="str" cm="1">
        <f t="array" ref="AL498">IF($D498&lt;COLUMNS($F$7:AL$7),"",INDEX(TableDiv[[GASB]:[GASB]],_xlfn.AGGREGATE(15,3,(TableDiv[[Agency]:[Agency]]=$E498)/(TableDiv[[Agency]:[Agency]]=$E498)*(ROW(TableDiv[Agency])-ROW(TableDiv[[#Headers],[Agency]])),COLUMNS($F$7:AL$7))))</f>
        <v/>
      </c>
      <c r="AM498" s="2223" t="str" cm="1">
        <f t="array" ref="AM498">IF($D498&lt;COLUMNS($F$7:AM$7),"",INDEX(TableDiv[[GASB]:[GASB]],_xlfn.AGGREGATE(15,3,(TableDiv[[Agency]:[Agency]]=$E498)/(TableDiv[[Agency]:[Agency]]=$E498)*(ROW(TableDiv[Agency])-ROW(TableDiv[[#Headers],[Agency]])),COLUMNS($F$7:AM$7))))</f>
        <v/>
      </c>
      <c r="AN498" s="2223"/>
      <c r="AO498" s="2223"/>
      <c r="AP498" s="2223"/>
      <c r="AQ498" s="2223"/>
      <c r="AR498" s="2223"/>
      <c r="AS498" s="2223"/>
    </row>
    <row r="499" spans="1:45" ht="15" x14ac:dyDescent="0.25">
      <c r="A499" s="2219"/>
      <c r="B499" s="2219"/>
      <c r="C499" s="2223"/>
      <c r="W499" s="2223" t="str" cm="1">
        <f t="array" ref="W499">IF($D499&lt;COLUMNS($F$7:W$7),"",INDEX(TableDiv[[GASB]:[GASB]],_xlfn.AGGREGATE(15,3,(TableDiv[[Agency]:[Agency]]=$E499)/(TableDiv[[Agency]:[Agency]]=$E499)*(ROW(TableDiv[Agency])-ROW(TableDiv[[#Headers],[Agency]])),COLUMNS($F$7:W$7))))</f>
        <v/>
      </c>
      <c r="X499" s="2223" t="str" cm="1">
        <f t="array" ref="X499">IF($D499&lt;COLUMNS($F$7:X$7),"",INDEX(TableDiv[[GASB]:[GASB]],_xlfn.AGGREGATE(15,3,(TableDiv[[Agency]:[Agency]]=$E499)/(TableDiv[[Agency]:[Agency]]=$E499)*(ROW(TableDiv[Agency])-ROW(TableDiv[[#Headers],[Agency]])),COLUMNS($F$7:X$7))))</f>
        <v/>
      </c>
      <c r="Y499" s="2223" t="str" cm="1">
        <f t="array" ref="Y499">IF($D499&lt;COLUMNS($F$7:Y$7),"",INDEX(TableDiv[[GASB]:[GASB]],_xlfn.AGGREGATE(15,3,(TableDiv[[Agency]:[Agency]]=$E499)/(TableDiv[[Agency]:[Agency]]=$E499)*(ROW(TableDiv[Agency])-ROW(TableDiv[[#Headers],[Agency]])),COLUMNS($F$7:Y$7))))</f>
        <v/>
      </c>
      <c r="Z499" s="2223" t="str" cm="1">
        <f t="array" ref="Z499">IF($D499&lt;COLUMNS($F$7:Z$7),"",INDEX(TableDiv[[GASB]:[GASB]],_xlfn.AGGREGATE(15,3,(TableDiv[[Agency]:[Agency]]=$E499)/(TableDiv[[Agency]:[Agency]]=$E499)*(ROW(TableDiv[Agency])-ROW(TableDiv[[#Headers],[Agency]])),COLUMNS($F$7:Z$7))))</f>
        <v/>
      </c>
      <c r="AA499" s="2223" t="str" cm="1">
        <f t="array" ref="AA499">IF($D499&lt;COLUMNS($F$7:AA$7),"",INDEX(TableDiv[[GASB]:[GASB]],_xlfn.AGGREGATE(15,3,(TableDiv[[Agency]:[Agency]]=$E499)/(TableDiv[[Agency]:[Agency]]=$E499)*(ROW(TableDiv[Agency])-ROW(TableDiv[[#Headers],[Agency]])),COLUMNS($F$7:AA$7))))</f>
        <v/>
      </c>
      <c r="AB499" s="2223" t="str" cm="1">
        <f t="array" ref="AB499">IF($D499&lt;COLUMNS($F$7:AB$7),"",INDEX(TableDiv[[GASB]:[GASB]],_xlfn.AGGREGATE(15,3,(TableDiv[[Agency]:[Agency]]=$E499)/(TableDiv[[Agency]:[Agency]]=$E499)*(ROW(TableDiv[Agency])-ROW(TableDiv[[#Headers],[Agency]])),COLUMNS($F$7:AB$7))))</f>
        <v/>
      </c>
      <c r="AC499" s="2223" t="str" cm="1">
        <f t="array" ref="AC499">IF($D499&lt;COLUMNS($F$7:AC$7),"",INDEX(TableDiv[[GASB]:[GASB]],_xlfn.AGGREGATE(15,3,(TableDiv[[Agency]:[Agency]]=$E499)/(TableDiv[[Agency]:[Agency]]=$E499)*(ROW(TableDiv[Agency])-ROW(TableDiv[[#Headers],[Agency]])),COLUMNS($F$7:AC$7))))</f>
        <v/>
      </c>
      <c r="AD499" s="2223" t="str" cm="1">
        <f t="array" ref="AD499">IF($D499&lt;COLUMNS($F$7:AD$7),"",INDEX(TableDiv[[GASB]:[GASB]],_xlfn.AGGREGATE(15,3,(TableDiv[[Agency]:[Agency]]=$E499)/(TableDiv[[Agency]:[Agency]]=$E499)*(ROW(TableDiv[Agency])-ROW(TableDiv[[#Headers],[Agency]])),COLUMNS($F$7:AD$7))))</f>
        <v/>
      </c>
      <c r="AE499" s="2223" t="str" cm="1">
        <f t="array" ref="AE499">IF($D499&lt;COLUMNS($F$7:AE$7),"",INDEX(TableDiv[[GASB]:[GASB]],_xlfn.AGGREGATE(15,3,(TableDiv[[Agency]:[Agency]]=$E499)/(TableDiv[[Agency]:[Agency]]=$E499)*(ROW(TableDiv[Agency])-ROW(TableDiv[[#Headers],[Agency]])),COLUMNS($F$7:AE$7))))</f>
        <v/>
      </c>
      <c r="AF499" s="2223" t="str" cm="1">
        <f t="array" ref="AF499">IF($D499&lt;COLUMNS($F$7:AF$7),"",INDEX(TableDiv[[GASB]:[GASB]],_xlfn.AGGREGATE(15,3,(TableDiv[[Agency]:[Agency]]=$E499)/(TableDiv[[Agency]:[Agency]]=$E499)*(ROW(TableDiv[Agency])-ROW(TableDiv[[#Headers],[Agency]])),COLUMNS($F$7:AF$7))))</f>
        <v/>
      </c>
      <c r="AG499" s="2223" t="str" cm="1">
        <f t="array" ref="AG499">IF($D499&lt;COLUMNS($F$7:AG$7),"",INDEX(TableDiv[[GASB]:[GASB]],_xlfn.AGGREGATE(15,3,(TableDiv[[Agency]:[Agency]]=$E499)/(TableDiv[[Agency]:[Agency]]=$E499)*(ROW(TableDiv[Agency])-ROW(TableDiv[[#Headers],[Agency]])),COLUMNS($F$7:AG$7))))</f>
        <v/>
      </c>
      <c r="AH499" s="2223" t="str" cm="1">
        <f t="array" ref="AH499">IF($D499&lt;COLUMNS($F$7:AH$7),"",INDEX(TableDiv[[GASB]:[GASB]],_xlfn.AGGREGATE(15,3,(TableDiv[[Agency]:[Agency]]=$E499)/(TableDiv[[Agency]:[Agency]]=$E499)*(ROW(TableDiv[Agency])-ROW(TableDiv[[#Headers],[Agency]])),COLUMNS($F$7:AH$7))))</f>
        <v/>
      </c>
      <c r="AI499" s="2223" t="str" cm="1">
        <f t="array" ref="AI499">IF($D499&lt;COLUMNS($F$7:AI$7),"",INDEX(TableDiv[[GASB]:[GASB]],_xlfn.AGGREGATE(15,3,(TableDiv[[Agency]:[Agency]]=$E499)/(TableDiv[[Agency]:[Agency]]=$E499)*(ROW(TableDiv[Agency])-ROW(TableDiv[[#Headers],[Agency]])),COLUMNS($F$7:AI$7))))</f>
        <v/>
      </c>
      <c r="AJ499" s="2223" t="str" cm="1">
        <f t="array" ref="AJ499">IF($D499&lt;COLUMNS($F$7:AJ$7),"",INDEX(TableDiv[[GASB]:[GASB]],_xlfn.AGGREGATE(15,3,(TableDiv[[Agency]:[Agency]]=$E499)/(TableDiv[[Agency]:[Agency]]=$E499)*(ROW(TableDiv[Agency])-ROW(TableDiv[[#Headers],[Agency]])),COLUMNS($F$7:AJ$7))))</f>
        <v/>
      </c>
      <c r="AK499" s="2223" t="str" cm="1">
        <f t="array" ref="AK499">IF($D499&lt;COLUMNS($F$7:AK$7),"",INDEX(TableDiv[[GASB]:[GASB]],_xlfn.AGGREGATE(15,3,(TableDiv[[Agency]:[Agency]]=$E499)/(TableDiv[[Agency]:[Agency]]=$E499)*(ROW(TableDiv[Agency])-ROW(TableDiv[[#Headers],[Agency]])),COLUMNS($F$7:AK$7))))</f>
        <v/>
      </c>
      <c r="AL499" s="2223" t="str" cm="1">
        <f t="array" ref="AL499">IF($D499&lt;COLUMNS($F$7:AL$7),"",INDEX(TableDiv[[GASB]:[GASB]],_xlfn.AGGREGATE(15,3,(TableDiv[[Agency]:[Agency]]=$E499)/(TableDiv[[Agency]:[Agency]]=$E499)*(ROW(TableDiv[Agency])-ROW(TableDiv[[#Headers],[Agency]])),COLUMNS($F$7:AL$7))))</f>
        <v/>
      </c>
      <c r="AM499" s="2223" t="str" cm="1">
        <f t="array" ref="AM499">IF($D499&lt;COLUMNS($F$7:AM$7),"",INDEX(TableDiv[[GASB]:[GASB]],_xlfn.AGGREGATE(15,3,(TableDiv[[Agency]:[Agency]]=$E499)/(TableDiv[[Agency]:[Agency]]=$E499)*(ROW(TableDiv[Agency])-ROW(TableDiv[[#Headers],[Agency]])),COLUMNS($F$7:AM$7))))</f>
        <v/>
      </c>
      <c r="AN499" s="2223"/>
      <c r="AO499" s="2223"/>
      <c r="AP499" s="2223"/>
      <c r="AQ499" s="2223"/>
      <c r="AR499" s="2223"/>
      <c r="AS499" s="2223"/>
    </row>
    <row r="500" spans="1:45" ht="15" x14ac:dyDescent="0.25">
      <c r="A500" s="2219"/>
      <c r="B500" s="2219"/>
      <c r="C500" s="2223"/>
      <c r="W500" s="2223" t="str" cm="1">
        <f t="array" ref="W500">IF($D500&lt;COLUMNS($F$7:W$7),"",INDEX(TableDiv[[GASB]:[GASB]],_xlfn.AGGREGATE(15,3,(TableDiv[[Agency]:[Agency]]=$E500)/(TableDiv[[Agency]:[Agency]]=$E500)*(ROW(TableDiv[Agency])-ROW(TableDiv[[#Headers],[Agency]])),COLUMNS($F$7:W$7))))</f>
        <v/>
      </c>
      <c r="X500" s="2223" t="str" cm="1">
        <f t="array" ref="X500">IF($D500&lt;COLUMNS($F$7:X$7),"",INDEX(TableDiv[[GASB]:[GASB]],_xlfn.AGGREGATE(15,3,(TableDiv[[Agency]:[Agency]]=$E500)/(TableDiv[[Agency]:[Agency]]=$E500)*(ROW(TableDiv[Agency])-ROW(TableDiv[[#Headers],[Agency]])),COLUMNS($F$7:X$7))))</f>
        <v/>
      </c>
      <c r="Y500" s="2223" t="str" cm="1">
        <f t="array" ref="Y500">IF($D500&lt;COLUMNS($F$7:Y$7),"",INDEX(TableDiv[[GASB]:[GASB]],_xlfn.AGGREGATE(15,3,(TableDiv[[Agency]:[Agency]]=$E500)/(TableDiv[[Agency]:[Agency]]=$E500)*(ROW(TableDiv[Agency])-ROW(TableDiv[[#Headers],[Agency]])),COLUMNS($F$7:Y$7))))</f>
        <v/>
      </c>
      <c r="Z500" s="2223" t="str" cm="1">
        <f t="array" ref="Z500">IF($D500&lt;COLUMNS($F$7:Z$7),"",INDEX(TableDiv[[GASB]:[GASB]],_xlfn.AGGREGATE(15,3,(TableDiv[[Agency]:[Agency]]=$E500)/(TableDiv[[Agency]:[Agency]]=$E500)*(ROW(TableDiv[Agency])-ROW(TableDiv[[#Headers],[Agency]])),COLUMNS($F$7:Z$7))))</f>
        <v/>
      </c>
      <c r="AA500" s="2223" t="str" cm="1">
        <f t="array" ref="AA500">IF($D500&lt;COLUMNS($F$7:AA$7),"",INDEX(TableDiv[[GASB]:[GASB]],_xlfn.AGGREGATE(15,3,(TableDiv[[Agency]:[Agency]]=$E500)/(TableDiv[[Agency]:[Agency]]=$E500)*(ROW(TableDiv[Agency])-ROW(TableDiv[[#Headers],[Agency]])),COLUMNS($F$7:AA$7))))</f>
        <v/>
      </c>
      <c r="AB500" s="2223" t="str" cm="1">
        <f t="array" ref="AB500">IF($D500&lt;COLUMNS($F$7:AB$7),"",INDEX(TableDiv[[GASB]:[GASB]],_xlfn.AGGREGATE(15,3,(TableDiv[[Agency]:[Agency]]=$E500)/(TableDiv[[Agency]:[Agency]]=$E500)*(ROW(TableDiv[Agency])-ROW(TableDiv[[#Headers],[Agency]])),COLUMNS($F$7:AB$7))))</f>
        <v/>
      </c>
      <c r="AC500" s="2223" t="str" cm="1">
        <f t="array" ref="AC500">IF($D500&lt;COLUMNS($F$7:AC$7),"",INDEX(TableDiv[[GASB]:[GASB]],_xlfn.AGGREGATE(15,3,(TableDiv[[Agency]:[Agency]]=$E500)/(TableDiv[[Agency]:[Agency]]=$E500)*(ROW(TableDiv[Agency])-ROW(TableDiv[[#Headers],[Agency]])),COLUMNS($F$7:AC$7))))</f>
        <v/>
      </c>
      <c r="AD500" s="2223" t="str" cm="1">
        <f t="array" ref="AD500">IF($D500&lt;COLUMNS($F$7:AD$7),"",INDEX(TableDiv[[GASB]:[GASB]],_xlfn.AGGREGATE(15,3,(TableDiv[[Agency]:[Agency]]=$E500)/(TableDiv[[Agency]:[Agency]]=$E500)*(ROW(TableDiv[Agency])-ROW(TableDiv[[#Headers],[Agency]])),COLUMNS($F$7:AD$7))))</f>
        <v/>
      </c>
      <c r="AE500" s="2223" t="str" cm="1">
        <f t="array" ref="AE500">IF($D500&lt;COLUMNS($F$7:AE$7),"",INDEX(TableDiv[[GASB]:[GASB]],_xlfn.AGGREGATE(15,3,(TableDiv[[Agency]:[Agency]]=$E500)/(TableDiv[[Agency]:[Agency]]=$E500)*(ROW(TableDiv[Agency])-ROW(TableDiv[[#Headers],[Agency]])),COLUMNS($F$7:AE$7))))</f>
        <v/>
      </c>
      <c r="AF500" s="2223" t="str" cm="1">
        <f t="array" ref="AF500">IF($D500&lt;COLUMNS($F$7:AF$7),"",INDEX(TableDiv[[GASB]:[GASB]],_xlfn.AGGREGATE(15,3,(TableDiv[[Agency]:[Agency]]=$E500)/(TableDiv[[Agency]:[Agency]]=$E500)*(ROW(TableDiv[Agency])-ROW(TableDiv[[#Headers],[Agency]])),COLUMNS($F$7:AF$7))))</f>
        <v/>
      </c>
      <c r="AG500" s="2223" t="str" cm="1">
        <f t="array" ref="AG500">IF($D500&lt;COLUMNS($F$7:AG$7),"",INDEX(TableDiv[[GASB]:[GASB]],_xlfn.AGGREGATE(15,3,(TableDiv[[Agency]:[Agency]]=$E500)/(TableDiv[[Agency]:[Agency]]=$E500)*(ROW(TableDiv[Agency])-ROW(TableDiv[[#Headers],[Agency]])),COLUMNS($F$7:AG$7))))</f>
        <v/>
      </c>
      <c r="AH500" s="2223" t="str" cm="1">
        <f t="array" ref="AH500">IF($D500&lt;COLUMNS($F$7:AH$7),"",INDEX(TableDiv[[GASB]:[GASB]],_xlfn.AGGREGATE(15,3,(TableDiv[[Agency]:[Agency]]=$E500)/(TableDiv[[Agency]:[Agency]]=$E500)*(ROW(TableDiv[Agency])-ROW(TableDiv[[#Headers],[Agency]])),COLUMNS($F$7:AH$7))))</f>
        <v/>
      </c>
      <c r="AI500" s="2223" t="str" cm="1">
        <f t="array" ref="AI500">IF($D500&lt;COLUMNS($F$7:AI$7),"",INDEX(TableDiv[[GASB]:[GASB]],_xlfn.AGGREGATE(15,3,(TableDiv[[Agency]:[Agency]]=$E500)/(TableDiv[[Agency]:[Agency]]=$E500)*(ROW(TableDiv[Agency])-ROW(TableDiv[[#Headers],[Agency]])),COLUMNS($F$7:AI$7))))</f>
        <v/>
      </c>
      <c r="AJ500" s="2223" t="str" cm="1">
        <f t="array" ref="AJ500">IF($D500&lt;COLUMNS($F$7:AJ$7),"",INDEX(TableDiv[[GASB]:[GASB]],_xlfn.AGGREGATE(15,3,(TableDiv[[Agency]:[Agency]]=$E500)/(TableDiv[[Agency]:[Agency]]=$E500)*(ROW(TableDiv[Agency])-ROW(TableDiv[[#Headers],[Agency]])),COLUMNS($F$7:AJ$7))))</f>
        <v/>
      </c>
      <c r="AK500" s="2223" t="str" cm="1">
        <f t="array" ref="AK500">IF($D500&lt;COLUMNS($F$7:AK$7),"",INDEX(TableDiv[[GASB]:[GASB]],_xlfn.AGGREGATE(15,3,(TableDiv[[Agency]:[Agency]]=$E500)/(TableDiv[[Agency]:[Agency]]=$E500)*(ROW(TableDiv[Agency])-ROW(TableDiv[[#Headers],[Agency]])),COLUMNS($F$7:AK$7))))</f>
        <v/>
      </c>
      <c r="AL500" s="2223" t="str" cm="1">
        <f t="array" ref="AL500">IF($D500&lt;COLUMNS($F$7:AL$7),"",INDEX(TableDiv[[GASB]:[GASB]],_xlfn.AGGREGATE(15,3,(TableDiv[[Agency]:[Agency]]=$E500)/(TableDiv[[Agency]:[Agency]]=$E500)*(ROW(TableDiv[Agency])-ROW(TableDiv[[#Headers],[Agency]])),COLUMNS($F$7:AL$7))))</f>
        <v/>
      </c>
      <c r="AM500" s="2223" t="str" cm="1">
        <f t="array" ref="AM500">IF($D500&lt;COLUMNS($F$7:AM$7),"",INDEX(TableDiv[[GASB]:[GASB]],_xlfn.AGGREGATE(15,3,(TableDiv[[Agency]:[Agency]]=$E500)/(TableDiv[[Agency]:[Agency]]=$E500)*(ROW(TableDiv[Agency])-ROW(TableDiv[[#Headers],[Agency]])),COLUMNS($F$7:AM$7))))</f>
        <v/>
      </c>
      <c r="AN500" s="2223"/>
      <c r="AO500" s="2223"/>
      <c r="AP500" s="2223"/>
      <c r="AQ500" s="2223"/>
      <c r="AR500" s="2223"/>
      <c r="AS500" s="2223"/>
    </row>
    <row r="501" spans="1:45" ht="15" x14ac:dyDescent="0.25">
      <c r="A501" s="2219"/>
      <c r="B501" s="2219"/>
      <c r="C501" s="2223"/>
      <c r="W501" s="2223" t="str" cm="1">
        <f t="array" ref="W501">IF($D501&lt;COLUMNS($F$7:W$7),"",INDEX(TableDiv[[GASB]:[GASB]],_xlfn.AGGREGATE(15,3,(TableDiv[[Agency]:[Agency]]=$E501)/(TableDiv[[Agency]:[Agency]]=$E501)*(ROW(TableDiv[Agency])-ROW(TableDiv[[#Headers],[Agency]])),COLUMNS($F$7:W$7))))</f>
        <v/>
      </c>
      <c r="X501" s="2223" t="str" cm="1">
        <f t="array" ref="X501">IF($D501&lt;COLUMNS($F$7:X$7),"",INDEX(TableDiv[[GASB]:[GASB]],_xlfn.AGGREGATE(15,3,(TableDiv[[Agency]:[Agency]]=$E501)/(TableDiv[[Agency]:[Agency]]=$E501)*(ROW(TableDiv[Agency])-ROW(TableDiv[[#Headers],[Agency]])),COLUMNS($F$7:X$7))))</f>
        <v/>
      </c>
      <c r="Y501" s="2223" t="str" cm="1">
        <f t="array" ref="Y501">IF($D501&lt;COLUMNS($F$7:Y$7),"",INDEX(TableDiv[[GASB]:[GASB]],_xlfn.AGGREGATE(15,3,(TableDiv[[Agency]:[Agency]]=$E501)/(TableDiv[[Agency]:[Agency]]=$E501)*(ROW(TableDiv[Agency])-ROW(TableDiv[[#Headers],[Agency]])),COLUMNS($F$7:Y$7))))</f>
        <v/>
      </c>
      <c r="Z501" s="2223" t="str" cm="1">
        <f t="array" ref="Z501">IF($D501&lt;COLUMNS($F$7:Z$7),"",INDEX(TableDiv[[GASB]:[GASB]],_xlfn.AGGREGATE(15,3,(TableDiv[[Agency]:[Agency]]=$E501)/(TableDiv[[Agency]:[Agency]]=$E501)*(ROW(TableDiv[Agency])-ROW(TableDiv[[#Headers],[Agency]])),COLUMNS($F$7:Z$7))))</f>
        <v/>
      </c>
      <c r="AA501" s="2223" t="str" cm="1">
        <f t="array" ref="AA501">IF($D501&lt;COLUMNS($F$7:AA$7),"",INDEX(TableDiv[[GASB]:[GASB]],_xlfn.AGGREGATE(15,3,(TableDiv[[Agency]:[Agency]]=$E501)/(TableDiv[[Agency]:[Agency]]=$E501)*(ROW(TableDiv[Agency])-ROW(TableDiv[[#Headers],[Agency]])),COLUMNS($F$7:AA$7))))</f>
        <v/>
      </c>
      <c r="AB501" s="2223" t="str" cm="1">
        <f t="array" ref="AB501">IF($D501&lt;COLUMNS($F$7:AB$7),"",INDEX(TableDiv[[GASB]:[GASB]],_xlfn.AGGREGATE(15,3,(TableDiv[[Agency]:[Agency]]=$E501)/(TableDiv[[Agency]:[Agency]]=$E501)*(ROW(TableDiv[Agency])-ROW(TableDiv[[#Headers],[Agency]])),COLUMNS($F$7:AB$7))))</f>
        <v/>
      </c>
      <c r="AC501" s="2223" t="str" cm="1">
        <f t="array" ref="AC501">IF($D501&lt;COLUMNS($F$7:AC$7),"",INDEX(TableDiv[[GASB]:[GASB]],_xlfn.AGGREGATE(15,3,(TableDiv[[Agency]:[Agency]]=$E501)/(TableDiv[[Agency]:[Agency]]=$E501)*(ROW(TableDiv[Agency])-ROW(TableDiv[[#Headers],[Agency]])),COLUMNS($F$7:AC$7))))</f>
        <v/>
      </c>
      <c r="AD501" s="2223" t="str" cm="1">
        <f t="array" ref="AD501">IF($D501&lt;COLUMNS($F$7:AD$7),"",INDEX(TableDiv[[GASB]:[GASB]],_xlfn.AGGREGATE(15,3,(TableDiv[[Agency]:[Agency]]=$E501)/(TableDiv[[Agency]:[Agency]]=$E501)*(ROW(TableDiv[Agency])-ROW(TableDiv[[#Headers],[Agency]])),COLUMNS($F$7:AD$7))))</f>
        <v/>
      </c>
      <c r="AE501" s="2223" t="str" cm="1">
        <f t="array" ref="AE501">IF($D501&lt;COLUMNS($F$7:AE$7),"",INDEX(TableDiv[[GASB]:[GASB]],_xlfn.AGGREGATE(15,3,(TableDiv[[Agency]:[Agency]]=$E501)/(TableDiv[[Agency]:[Agency]]=$E501)*(ROW(TableDiv[Agency])-ROW(TableDiv[[#Headers],[Agency]])),COLUMNS($F$7:AE$7))))</f>
        <v/>
      </c>
      <c r="AF501" s="2223" t="str" cm="1">
        <f t="array" ref="AF501">IF($D501&lt;COLUMNS($F$7:AF$7),"",INDEX(TableDiv[[GASB]:[GASB]],_xlfn.AGGREGATE(15,3,(TableDiv[[Agency]:[Agency]]=$E501)/(TableDiv[[Agency]:[Agency]]=$E501)*(ROW(TableDiv[Agency])-ROW(TableDiv[[#Headers],[Agency]])),COLUMNS($F$7:AF$7))))</f>
        <v/>
      </c>
      <c r="AG501" s="2223" t="str" cm="1">
        <f t="array" ref="AG501">IF($D501&lt;COLUMNS($F$7:AG$7),"",INDEX(TableDiv[[GASB]:[GASB]],_xlfn.AGGREGATE(15,3,(TableDiv[[Agency]:[Agency]]=$E501)/(TableDiv[[Agency]:[Agency]]=$E501)*(ROW(TableDiv[Agency])-ROW(TableDiv[[#Headers],[Agency]])),COLUMNS($F$7:AG$7))))</f>
        <v/>
      </c>
      <c r="AH501" s="2223" t="str" cm="1">
        <f t="array" ref="AH501">IF($D501&lt;COLUMNS($F$7:AH$7),"",INDEX(TableDiv[[GASB]:[GASB]],_xlfn.AGGREGATE(15,3,(TableDiv[[Agency]:[Agency]]=$E501)/(TableDiv[[Agency]:[Agency]]=$E501)*(ROW(TableDiv[Agency])-ROW(TableDiv[[#Headers],[Agency]])),COLUMNS($F$7:AH$7))))</f>
        <v/>
      </c>
      <c r="AI501" s="2223" t="str" cm="1">
        <f t="array" ref="AI501">IF($D501&lt;COLUMNS($F$7:AI$7),"",INDEX(TableDiv[[GASB]:[GASB]],_xlfn.AGGREGATE(15,3,(TableDiv[[Agency]:[Agency]]=$E501)/(TableDiv[[Agency]:[Agency]]=$E501)*(ROW(TableDiv[Agency])-ROW(TableDiv[[#Headers],[Agency]])),COLUMNS($F$7:AI$7))))</f>
        <v/>
      </c>
      <c r="AJ501" s="2223" t="str" cm="1">
        <f t="array" ref="AJ501">IF($D501&lt;COLUMNS($F$7:AJ$7),"",INDEX(TableDiv[[GASB]:[GASB]],_xlfn.AGGREGATE(15,3,(TableDiv[[Agency]:[Agency]]=$E501)/(TableDiv[[Agency]:[Agency]]=$E501)*(ROW(TableDiv[Agency])-ROW(TableDiv[[#Headers],[Agency]])),COLUMNS($F$7:AJ$7))))</f>
        <v/>
      </c>
      <c r="AK501" s="2223" t="str" cm="1">
        <f t="array" ref="AK501">IF($D501&lt;COLUMNS($F$7:AK$7),"",INDEX(TableDiv[[GASB]:[GASB]],_xlfn.AGGREGATE(15,3,(TableDiv[[Agency]:[Agency]]=$E501)/(TableDiv[[Agency]:[Agency]]=$E501)*(ROW(TableDiv[Agency])-ROW(TableDiv[[#Headers],[Agency]])),COLUMNS($F$7:AK$7))))</f>
        <v/>
      </c>
      <c r="AL501" s="2223" t="str" cm="1">
        <f t="array" ref="AL501">IF($D501&lt;COLUMNS($F$7:AL$7),"",INDEX(TableDiv[[GASB]:[GASB]],_xlfn.AGGREGATE(15,3,(TableDiv[[Agency]:[Agency]]=$E501)/(TableDiv[[Agency]:[Agency]]=$E501)*(ROW(TableDiv[Agency])-ROW(TableDiv[[#Headers],[Agency]])),COLUMNS($F$7:AL$7))))</f>
        <v/>
      </c>
      <c r="AM501" s="2223" t="str" cm="1">
        <f t="array" ref="AM501">IF($D501&lt;COLUMNS($F$7:AM$7),"",INDEX(TableDiv[[GASB]:[GASB]],_xlfn.AGGREGATE(15,3,(TableDiv[[Agency]:[Agency]]=$E501)/(TableDiv[[Agency]:[Agency]]=$E501)*(ROW(TableDiv[Agency])-ROW(TableDiv[[#Headers],[Agency]])),COLUMNS($F$7:AM$7))))</f>
        <v/>
      </c>
      <c r="AN501" s="2223"/>
      <c r="AO501" s="2223"/>
      <c r="AP501" s="2223"/>
      <c r="AQ501" s="2223"/>
      <c r="AR501" s="2223"/>
      <c r="AS501" s="2223"/>
    </row>
    <row r="502" spans="1:45" ht="15" x14ac:dyDescent="0.25">
      <c r="A502" s="2219"/>
      <c r="B502" s="2219"/>
      <c r="C502" s="2223"/>
      <c r="W502" s="2223" t="str" cm="1">
        <f t="array" ref="W502">IF($D502&lt;COLUMNS($F$7:W$7),"",INDEX(TableDiv[[GASB]:[GASB]],_xlfn.AGGREGATE(15,3,(TableDiv[[Agency]:[Agency]]=$E502)/(TableDiv[[Agency]:[Agency]]=$E502)*(ROW(TableDiv[Agency])-ROW(TableDiv[[#Headers],[Agency]])),COLUMNS($F$7:W$7))))</f>
        <v/>
      </c>
      <c r="X502" s="2223" t="str" cm="1">
        <f t="array" ref="X502">IF($D502&lt;COLUMNS($F$7:X$7),"",INDEX(TableDiv[[GASB]:[GASB]],_xlfn.AGGREGATE(15,3,(TableDiv[[Agency]:[Agency]]=$E502)/(TableDiv[[Agency]:[Agency]]=$E502)*(ROW(TableDiv[Agency])-ROW(TableDiv[[#Headers],[Agency]])),COLUMNS($F$7:X$7))))</f>
        <v/>
      </c>
      <c r="Y502" s="2223" t="str" cm="1">
        <f t="array" ref="Y502">IF($D502&lt;COLUMNS($F$7:Y$7),"",INDEX(TableDiv[[GASB]:[GASB]],_xlfn.AGGREGATE(15,3,(TableDiv[[Agency]:[Agency]]=$E502)/(TableDiv[[Agency]:[Agency]]=$E502)*(ROW(TableDiv[Agency])-ROW(TableDiv[[#Headers],[Agency]])),COLUMNS($F$7:Y$7))))</f>
        <v/>
      </c>
      <c r="Z502" s="2223" t="str" cm="1">
        <f t="array" ref="Z502">IF($D502&lt;COLUMNS($F$7:Z$7),"",INDEX(TableDiv[[GASB]:[GASB]],_xlfn.AGGREGATE(15,3,(TableDiv[[Agency]:[Agency]]=$E502)/(TableDiv[[Agency]:[Agency]]=$E502)*(ROW(TableDiv[Agency])-ROW(TableDiv[[#Headers],[Agency]])),COLUMNS($F$7:Z$7))))</f>
        <v/>
      </c>
      <c r="AA502" s="2223" t="str" cm="1">
        <f t="array" ref="AA502">IF($D502&lt;COLUMNS($F$7:AA$7),"",INDEX(TableDiv[[GASB]:[GASB]],_xlfn.AGGREGATE(15,3,(TableDiv[[Agency]:[Agency]]=$E502)/(TableDiv[[Agency]:[Agency]]=$E502)*(ROW(TableDiv[Agency])-ROW(TableDiv[[#Headers],[Agency]])),COLUMNS($F$7:AA$7))))</f>
        <v/>
      </c>
      <c r="AB502" s="2223" t="str" cm="1">
        <f t="array" ref="AB502">IF($D502&lt;COLUMNS($F$7:AB$7),"",INDEX(TableDiv[[GASB]:[GASB]],_xlfn.AGGREGATE(15,3,(TableDiv[[Agency]:[Agency]]=$E502)/(TableDiv[[Agency]:[Agency]]=$E502)*(ROW(TableDiv[Agency])-ROW(TableDiv[[#Headers],[Agency]])),COLUMNS($F$7:AB$7))))</f>
        <v/>
      </c>
      <c r="AC502" s="2223" t="str" cm="1">
        <f t="array" ref="AC502">IF($D502&lt;COLUMNS($F$7:AC$7),"",INDEX(TableDiv[[GASB]:[GASB]],_xlfn.AGGREGATE(15,3,(TableDiv[[Agency]:[Agency]]=$E502)/(TableDiv[[Agency]:[Agency]]=$E502)*(ROW(TableDiv[Agency])-ROW(TableDiv[[#Headers],[Agency]])),COLUMNS($F$7:AC$7))))</f>
        <v/>
      </c>
      <c r="AD502" s="2223" t="str" cm="1">
        <f t="array" ref="AD502">IF($D502&lt;COLUMNS($F$7:AD$7),"",INDEX(TableDiv[[GASB]:[GASB]],_xlfn.AGGREGATE(15,3,(TableDiv[[Agency]:[Agency]]=$E502)/(TableDiv[[Agency]:[Agency]]=$E502)*(ROW(TableDiv[Agency])-ROW(TableDiv[[#Headers],[Agency]])),COLUMNS($F$7:AD$7))))</f>
        <v/>
      </c>
      <c r="AE502" s="2223" t="str" cm="1">
        <f t="array" ref="AE502">IF($D502&lt;COLUMNS($F$7:AE$7),"",INDEX(TableDiv[[GASB]:[GASB]],_xlfn.AGGREGATE(15,3,(TableDiv[[Agency]:[Agency]]=$E502)/(TableDiv[[Agency]:[Agency]]=$E502)*(ROW(TableDiv[Agency])-ROW(TableDiv[[#Headers],[Agency]])),COLUMNS($F$7:AE$7))))</f>
        <v/>
      </c>
      <c r="AF502" s="2223" t="str" cm="1">
        <f t="array" ref="AF502">IF($D502&lt;COLUMNS($F$7:AF$7),"",INDEX(TableDiv[[GASB]:[GASB]],_xlfn.AGGREGATE(15,3,(TableDiv[[Agency]:[Agency]]=$E502)/(TableDiv[[Agency]:[Agency]]=$E502)*(ROW(TableDiv[Agency])-ROW(TableDiv[[#Headers],[Agency]])),COLUMNS($F$7:AF$7))))</f>
        <v/>
      </c>
      <c r="AG502" s="2223" t="str" cm="1">
        <f t="array" ref="AG502">IF($D502&lt;COLUMNS($F$7:AG$7),"",INDEX(TableDiv[[GASB]:[GASB]],_xlfn.AGGREGATE(15,3,(TableDiv[[Agency]:[Agency]]=$E502)/(TableDiv[[Agency]:[Agency]]=$E502)*(ROW(TableDiv[Agency])-ROW(TableDiv[[#Headers],[Agency]])),COLUMNS($F$7:AG$7))))</f>
        <v/>
      </c>
      <c r="AH502" s="2223" t="str" cm="1">
        <f t="array" ref="AH502">IF($D502&lt;COLUMNS($F$7:AH$7),"",INDEX(TableDiv[[GASB]:[GASB]],_xlfn.AGGREGATE(15,3,(TableDiv[[Agency]:[Agency]]=$E502)/(TableDiv[[Agency]:[Agency]]=$E502)*(ROW(TableDiv[Agency])-ROW(TableDiv[[#Headers],[Agency]])),COLUMNS($F$7:AH$7))))</f>
        <v/>
      </c>
      <c r="AI502" s="2223" t="str" cm="1">
        <f t="array" ref="AI502">IF($D502&lt;COLUMNS($F$7:AI$7),"",INDEX(TableDiv[[GASB]:[GASB]],_xlfn.AGGREGATE(15,3,(TableDiv[[Agency]:[Agency]]=$E502)/(TableDiv[[Agency]:[Agency]]=$E502)*(ROW(TableDiv[Agency])-ROW(TableDiv[[#Headers],[Agency]])),COLUMNS($F$7:AI$7))))</f>
        <v/>
      </c>
      <c r="AJ502" s="2223" t="str" cm="1">
        <f t="array" ref="AJ502">IF($D502&lt;COLUMNS($F$7:AJ$7),"",INDEX(TableDiv[[GASB]:[GASB]],_xlfn.AGGREGATE(15,3,(TableDiv[[Agency]:[Agency]]=$E502)/(TableDiv[[Agency]:[Agency]]=$E502)*(ROW(TableDiv[Agency])-ROW(TableDiv[[#Headers],[Agency]])),COLUMNS($F$7:AJ$7))))</f>
        <v/>
      </c>
      <c r="AK502" s="2223" t="str" cm="1">
        <f t="array" ref="AK502">IF($D502&lt;COLUMNS($F$7:AK$7),"",INDEX(TableDiv[[GASB]:[GASB]],_xlfn.AGGREGATE(15,3,(TableDiv[[Agency]:[Agency]]=$E502)/(TableDiv[[Agency]:[Agency]]=$E502)*(ROW(TableDiv[Agency])-ROW(TableDiv[[#Headers],[Agency]])),COLUMNS($F$7:AK$7))))</f>
        <v/>
      </c>
      <c r="AL502" s="2223" t="str" cm="1">
        <f t="array" ref="AL502">IF($D502&lt;COLUMNS($F$7:AL$7),"",INDEX(TableDiv[[GASB]:[GASB]],_xlfn.AGGREGATE(15,3,(TableDiv[[Agency]:[Agency]]=$E502)/(TableDiv[[Agency]:[Agency]]=$E502)*(ROW(TableDiv[Agency])-ROW(TableDiv[[#Headers],[Agency]])),COLUMNS($F$7:AL$7))))</f>
        <v/>
      </c>
      <c r="AM502" s="2223" t="str" cm="1">
        <f t="array" ref="AM502">IF($D502&lt;COLUMNS($F$7:AM$7),"",INDEX(TableDiv[[GASB]:[GASB]],_xlfn.AGGREGATE(15,3,(TableDiv[[Agency]:[Agency]]=$E502)/(TableDiv[[Agency]:[Agency]]=$E502)*(ROW(TableDiv[Agency])-ROW(TableDiv[[#Headers],[Agency]])),COLUMNS($F$7:AM$7))))</f>
        <v/>
      </c>
      <c r="AN502" s="2223"/>
      <c r="AO502" s="2223"/>
      <c r="AP502" s="2223"/>
      <c r="AQ502" s="2223"/>
      <c r="AR502" s="2223"/>
      <c r="AS502" s="2223"/>
    </row>
    <row r="503" spans="1:45" ht="15" x14ac:dyDescent="0.25">
      <c r="A503" s="2219"/>
      <c r="B503" s="2219"/>
      <c r="C503" s="2223"/>
      <c r="W503" s="2223" t="str" cm="1">
        <f t="array" ref="W503">IF($D503&lt;COLUMNS($F$7:W$7),"",INDEX(TableDiv[[GASB]:[GASB]],_xlfn.AGGREGATE(15,3,(TableDiv[[Agency]:[Agency]]=$E503)/(TableDiv[[Agency]:[Agency]]=$E503)*(ROW(TableDiv[Agency])-ROW(TableDiv[[#Headers],[Agency]])),COLUMNS($F$7:W$7))))</f>
        <v/>
      </c>
      <c r="X503" s="2223" t="str" cm="1">
        <f t="array" ref="X503">IF($D503&lt;COLUMNS($F$7:X$7),"",INDEX(TableDiv[[GASB]:[GASB]],_xlfn.AGGREGATE(15,3,(TableDiv[[Agency]:[Agency]]=$E503)/(TableDiv[[Agency]:[Agency]]=$E503)*(ROW(TableDiv[Agency])-ROW(TableDiv[[#Headers],[Agency]])),COLUMNS($F$7:X$7))))</f>
        <v/>
      </c>
      <c r="Y503" s="2223" t="str" cm="1">
        <f t="array" ref="Y503">IF($D503&lt;COLUMNS($F$7:Y$7),"",INDEX(TableDiv[[GASB]:[GASB]],_xlfn.AGGREGATE(15,3,(TableDiv[[Agency]:[Agency]]=$E503)/(TableDiv[[Agency]:[Agency]]=$E503)*(ROW(TableDiv[Agency])-ROW(TableDiv[[#Headers],[Agency]])),COLUMNS($F$7:Y$7))))</f>
        <v/>
      </c>
      <c r="Z503" s="2223" t="str" cm="1">
        <f t="array" ref="Z503">IF($D503&lt;COLUMNS($F$7:Z$7),"",INDEX(TableDiv[[GASB]:[GASB]],_xlfn.AGGREGATE(15,3,(TableDiv[[Agency]:[Agency]]=$E503)/(TableDiv[[Agency]:[Agency]]=$E503)*(ROW(TableDiv[Agency])-ROW(TableDiv[[#Headers],[Agency]])),COLUMNS($F$7:Z$7))))</f>
        <v/>
      </c>
      <c r="AA503" s="2223" t="str" cm="1">
        <f t="array" ref="AA503">IF($D503&lt;COLUMNS($F$7:AA$7),"",INDEX(TableDiv[[GASB]:[GASB]],_xlfn.AGGREGATE(15,3,(TableDiv[[Agency]:[Agency]]=$E503)/(TableDiv[[Agency]:[Agency]]=$E503)*(ROW(TableDiv[Agency])-ROW(TableDiv[[#Headers],[Agency]])),COLUMNS($F$7:AA$7))))</f>
        <v/>
      </c>
      <c r="AB503" s="2223" t="str" cm="1">
        <f t="array" ref="AB503">IF($D503&lt;COLUMNS($F$7:AB$7),"",INDEX(TableDiv[[GASB]:[GASB]],_xlfn.AGGREGATE(15,3,(TableDiv[[Agency]:[Agency]]=$E503)/(TableDiv[[Agency]:[Agency]]=$E503)*(ROW(TableDiv[Agency])-ROW(TableDiv[[#Headers],[Agency]])),COLUMNS($F$7:AB$7))))</f>
        <v/>
      </c>
      <c r="AC503" s="2223" t="str" cm="1">
        <f t="array" ref="AC503">IF($D503&lt;COLUMNS($F$7:AC$7),"",INDEX(TableDiv[[GASB]:[GASB]],_xlfn.AGGREGATE(15,3,(TableDiv[[Agency]:[Agency]]=$E503)/(TableDiv[[Agency]:[Agency]]=$E503)*(ROW(TableDiv[Agency])-ROW(TableDiv[[#Headers],[Agency]])),COLUMNS($F$7:AC$7))))</f>
        <v/>
      </c>
      <c r="AD503" s="2223" t="str" cm="1">
        <f t="array" ref="AD503">IF($D503&lt;COLUMNS($F$7:AD$7),"",INDEX(TableDiv[[GASB]:[GASB]],_xlfn.AGGREGATE(15,3,(TableDiv[[Agency]:[Agency]]=$E503)/(TableDiv[[Agency]:[Agency]]=$E503)*(ROW(TableDiv[Agency])-ROW(TableDiv[[#Headers],[Agency]])),COLUMNS($F$7:AD$7))))</f>
        <v/>
      </c>
      <c r="AE503" s="2223" t="str" cm="1">
        <f t="array" ref="AE503">IF($D503&lt;COLUMNS($F$7:AE$7),"",INDEX(TableDiv[[GASB]:[GASB]],_xlfn.AGGREGATE(15,3,(TableDiv[[Agency]:[Agency]]=$E503)/(TableDiv[[Agency]:[Agency]]=$E503)*(ROW(TableDiv[Agency])-ROW(TableDiv[[#Headers],[Agency]])),COLUMNS($F$7:AE$7))))</f>
        <v/>
      </c>
      <c r="AF503" s="2223" t="str" cm="1">
        <f t="array" ref="AF503">IF($D503&lt;COLUMNS($F$7:AF$7),"",INDEX(TableDiv[[GASB]:[GASB]],_xlfn.AGGREGATE(15,3,(TableDiv[[Agency]:[Agency]]=$E503)/(TableDiv[[Agency]:[Agency]]=$E503)*(ROW(TableDiv[Agency])-ROW(TableDiv[[#Headers],[Agency]])),COLUMNS($F$7:AF$7))))</f>
        <v/>
      </c>
      <c r="AG503" s="2223" t="str" cm="1">
        <f t="array" ref="AG503">IF($D503&lt;COLUMNS($F$7:AG$7),"",INDEX(TableDiv[[GASB]:[GASB]],_xlfn.AGGREGATE(15,3,(TableDiv[[Agency]:[Agency]]=$E503)/(TableDiv[[Agency]:[Agency]]=$E503)*(ROW(TableDiv[Agency])-ROW(TableDiv[[#Headers],[Agency]])),COLUMNS($F$7:AG$7))))</f>
        <v/>
      </c>
      <c r="AH503" s="2223" t="str" cm="1">
        <f t="array" ref="AH503">IF($D503&lt;COLUMNS($F$7:AH$7),"",INDEX(TableDiv[[GASB]:[GASB]],_xlfn.AGGREGATE(15,3,(TableDiv[[Agency]:[Agency]]=$E503)/(TableDiv[[Agency]:[Agency]]=$E503)*(ROW(TableDiv[Agency])-ROW(TableDiv[[#Headers],[Agency]])),COLUMNS($F$7:AH$7))))</f>
        <v/>
      </c>
      <c r="AI503" s="2223" t="str" cm="1">
        <f t="array" ref="AI503">IF($D503&lt;COLUMNS($F$7:AI$7),"",INDEX(TableDiv[[GASB]:[GASB]],_xlfn.AGGREGATE(15,3,(TableDiv[[Agency]:[Agency]]=$E503)/(TableDiv[[Agency]:[Agency]]=$E503)*(ROW(TableDiv[Agency])-ROW(TableDiv[[#Headers],[Agency]])),COLUMNS($F$7:AI$7))))</f>
        <v/>
      </c>
      <c r="AJ503" s="2223" t="str" cm="1">
        <f t="array" ref="AJ503">IF($D503&lt;COLUMNS($F$7:AJ$7),"",INDEX(TableDiv[[GASB]:[GASB]],_xlfn.AGGREGATE(15,3,(TableDiv[[Agency]:[Agency]]=$E503)/(TableDiv[[Agency]:[Agency]]=$E503)*(ROW(TableDiv[Agency])-ROW(TableDiv[[#Headers],[Agency]])),COLUMNS($F$7:AJ$7))))</f>
        <v/>
      </c>
      <c r="AK503" s="2223" t="str" cm="1">
        <f t="array" ref="AK503">IF($D503&lt;COLUMNS($F$7:AK$7),"",INDEX(TableDiv[[GASB]:[GASB]],_xlfn.AGGREGATE(15,3,(TableDiv[[Agency]:[Agency]]=$E503)/(TableDiv[[Agency]:[Agency]]=$E503)*(ROW(TableDiv[Agency])-ROW(TableDiv[[#Headers],[Agency]])),COLUMNS($F$7:AK$7))))</f>
        <v/>
      </c>
      <c r="AL503" s="2223" t="str" cm="1">
        <f t="array" ref="AL503">IF($D503&lt;COLUMNS($F$7:AL$7),"",INDEX(TableDiv[[GASB]:[GASB]],_xlfn.AGGREGATE(15,3,(TableDiv[[Agency]:[Agency]]=$E503)/(TableDiv[[Agency]:[Agency]]=$E503)*(ROW(TableDiv[Agency])-ROW(TableDiv[[#Headers],[Agency]])),COLUMNS($F$7:AL$7))))</f>
        <v/>
      </c>
      <c r="AM503" s="2223" t="str" cm="1">
        <f t="array" ref="AM503">IF($D503&lt;COLUMNS($F$7:AM$7),"",INDEX(TableDiv[[GASB]:[GASB]],_xlfn.AGGREGATE(15,3,(TableDiv[[Agency]:[Agency]]=$E503)/(TableDiv[[Agency]:[Agency]]=$E503)*(ROW(TableDiv[Agency])-ROW(TableDiv[[#Headers],[Agency]])),COLUMNS($F$7:AM$7))))</f>
        <v/>
      </c>
      <c r="AN503" s="2223"/>
      <c r="AO503" s="2223"/>
      <c r="AP503" s="2223"/>
      <c r="AQ503" s="2223"/>
      <c r="AR503" s="2223"/>
      <c r="AS503" s="2223"/>
    </row>
    <row r="504" spans="1:45" ht="15" x14ac:dyDescent="0.25">
      <c r="A504" s="2219"/>
      <c r="B504" s="2219"/>
      <c r="C504" s="2223"/>
      <c r="W504" s="2223" t="str" cm="1">
        <f t="array" ref="W504">IF($D504&lt;COLUMNS($F$7:W$7),"",INDEX(TableDiv[[GASB]:[GASB]],_xlfn.AGGREGATE(15,3,(TableDiv[[Agency]:[Agency]]=$E504)/(TableDiv[[Agency]:[Agency]]=$E504)*(ROW(TableDiv[Agency])-ROW(TableDiv[[#Headers],[Agency]])),COLUMNS($F$7:W$7))))</f>
        <v/>
      </c>
      <c r="X504" s="2223" t="str" cm="1">
        <f t="array" ref="X504">IF($D504&lt;COLUMNS($F$7:X$7),"",INDEX(TableDiv[[GASB]:[GASB]],_xlfn.AGGREGATE(15,3,(TableDiv[[Agency]:[Agency]]=$E504)/(TableDiv[[Agency]:[Agency]]=$E504)*(ROW(TableDiv[Agency])-ROW(TableDiv[[#Headers],[Agency]])),COLUMNS($F$7:X$7))))</f>
        <v/>
      </c>
      <c r="Y504" s="2223" t="str" cm="1">
        <f t="array" ref="Y504">IF($D504&lt;COLUMNS($F$7:Y$7),"",INDEX(TableDiv[[GASB]:[GASB]],_xlfn.AGGREGATE(15,3,(TableDiv[[Agency]:[Agency]]=$E504)/(TableDiv[[Agency]:[Agency]]=$E504)*(ROW(TableDiv[Agency])-ROW(TableDiv[[#Headers],[Agency]])),COLUMNS($F$7:Y$7))))</f>
        <v/>
      </c>
      <c r="Z504" s="2223" t="str" cm="1">
        <f t="array" ref="Z504">IF($D504&lt;COLUMNS($F$7:Z$7),"",INDEX(TableDiv[[GASB]:[GASB]],_xlfn.AGGREGATE(15,3,(TableDiv[[Agency]:[Agency]]=$E504)/(TableDiv[[Agency]:[Agency]]=$E504)*(ROW(TableDiv[Agency])-ROW(TableDiv[[#Headers],[Agency]])),COLUMNS($F$7:Z$7))))</f>
        <v/>
      </c>
      <c r="AA504" s="2223" t="str" cm="1">
        <f t="array" ref="AA504">IF($D504&lt;COLUMNS($F$7:AA$7),"",INDEX(TableDiv[[GASB]:[GASB]],_xlfn.AGGREGATE(15,3,(TableDiv[[Agency]:[Agency]]=$E504)/(TableDiv[[Agency]:[Agency]]=$E504)*(ROW(TableDiv[Agency])-ROW(TableDiv[[#Headers],[Agency]])),COLUMNS($F$7:AA$7))))</f>
        <v/>
      </c>
      <c r="AB504" s="2223" t="str" cm="1">
        <f t="array" ref="AB504">IF($D504&lt;COLUMNS($F$7:AB$7),"",INDEX(TableDiv[[GASB]:[GASB]],_xlfn.AGGREGATE(15,3,(TableDiv[[Agency]:[Agency]]=$E504)/(TableDiv[[Agency]:[Agency]]=$E504)*(ROW(TableDiv[Agency])-ROW(TableDiv[[#Headers],[Agency]])),COLUMNS($F$7:AB$7))))</f>
        <v/>
      </c>
      <c r="AC504" s="2223" t="str" cm="1">
        <f t="array" ref="AC504">IF($D504&lt;COLUMNS($F$7:AC$7),"",INDEX(TableDiv[[GASB]:[GASB]],_xlfn.AGGREGATE(15,3,(TableDiv[[Agency]:[Agency]]=$E504)/(TableDiv[[Agency]:[Agency]]=$E504)*(ROW(TableDiv[Agency])-ROW(TableDiv[[#Headers],[Agency]])),COLUMNS($F$7:AC$7))))</f>
        <v/>
      </c>
      <c r="AD504" s="2223" t="str" cm="1">
        <f t="array" ref="AD504">IF($D504&lt;COLUMNS($F$7:AD$7),"",INDEX(TableDiv[[GASB]:[GASB]],_xlfn.AGGREGATE(15,3,(TableDiv[[Agency]:[Agency]]=$E504)/(TableDiv[[Agency]:[Agency]]=$E504)*(ROW(TableDiv[Agency])-ROW(TableDiv[[#Headers],[Agency]])),COLUMNS($F$7:AD$7))))</f>
        <v/>
      </c>
      <c r="AE504" s="2223" t="str" cm="1">
        <f t="array" ref="AE504">IF($D504&lt;COLUMNS($F$7:AE$7),"",INDEX(TableDiv[[GASB]:[GASB]],_xlfn.AGGREGATE(15,3,(TableDiv[[Agency]:[Agency]]=$E504)/(TableDiv[[Agency]:[Agency]]=$E504)*(ROW(TableDiv[Agency])-ROW(TableDiv[[#Headers],[Agency]])),COLUMNS($F$7:AE$7))))</f>
        <v/>
      </c>
      <c r="AF504" s="2223" t="str" cm="1">
        <f t="array" ref="AF504">IF($D504&lt;COLUMNS($F$7:AF$7),"",INDEX(TableDiv[[GASB]:[GASB]],_xlfn.AGGREGATE(15,3,(TableDiv[[Agency]:[Agency]]=$E504)/(TableDiv[[Agency]:[Agency]]=$E504)*(ROW(TableDiv[Agency])-ROW(TableDiv[[#Headers],[Agency]])),COLUMNS($F$7:AF$7))))</f>
        <v/>
      </c>
      <c r="AG504" s="2223" t="str" cm="1">
        <f t="array" ref="AG504">IF($D504&lt;COLUMNS($F$7:AG$7),"",INDEX(TableDiv[[GASB]:[GASB]],_xlfn.AGGREGATE(15,3,(TableDiv[[Agency]:[Agency]]=$E504)/(TableDiv[[Agency]:[Agency]]=$E504)*(ROW(TableDiv[Agency])-ROW(TableDiv[[#Headers],[Agency]])),COLUMNS($F$7:AG$7))))</f>
        <v/>
      </c>
      <c r="AH504" s="2223" t="str" cm="1">
        <f t="array" ref="AH504">IF($D504&lt;COLUMNS($F$7:AH$7),"",INDEX(TableDiv[[GASB]:[GASB]],_xlfn.AGGREGATE(15,3,(TableDiv[[Agency]:[Agency]]=$E504)/(TableDiv[[Agency]:[Agency]]=$E504)*(ROW(TableDiv[Agency])-ROW(TableDiv[[#Headers],[Agency]])),COLUMNS($F$7:AH$7))))</f>
        <v/>
      </c>
      <c r="AI504" s="2223" t="str" cm="1">
        <f t="array" ref="AI504">IF($D504&lt;COLUMNS($F$7:AI$7),"",INDEX(TableDiv[[GASB]:[GASB]],_xlfn.AGGREGATE(15,3,(TableDiv[[Agency]:[Agency]]=$E504)/(TableDiv[[Agency]:[Agency]]=$E504)*(ROW(TableDiv[Agency])-ROW(TableDiv[[#Headers],[Agency]])),COLUMNS($F$7:AI$7))))</f>
        <v/>
      </c>
      <c r="AJ504" s="2223" t="str" cm="1">
        <f t="array" ref="AJ504">IF($D504&lt;COLUMNS($F$7:AJ$7),"",INDEX(TableDiv[[GASB]:[GASB]],_xlfn.AGGREGATE(15,3,(TableDiv[[Agency]:[Agency]]=$E504)/(TableDiv[[Agency]:[Agency]]=$E504)*(ROW(TableDiv[Agency])-ROW(TableDiv[[#Headers],[Agency]])),COLUMNS($F$7:AJ$7))))</f>
        <v/>
      </c>
      <c r="AK504" s="2223" t="str" cm="1">
        <f t="array" ref="AK504">IF($D504&lt;COLUMNS($F$7:AK$7),"",INDEX(TableDiv[[GASB]:[GASB]],_xlfn.AGGREGATE(15,3,(TableDiv[[Agency]:[Agency]]=$E504)/(TableDiv[[Agency]:[Agency]]=$E504)*(ROW(TableDiv[Agency])-ROW(TableDiv[[#Headers],[Agency]])),COLUMNS($F$7:AK$7))))</f>
        <v/>
      </c>
      <c r="AL504" s="2223" t="str" cm="1">
        <f t="array" ref="AL504">IF($D504&lt;COLUMNS($F$7:AL$7),"",INDEX(TableDiv[[GASB]:[GASB]],_xlfn.AGGREGATE(15,3,(TableDiv[[Agency]:[Agency]]=$E504)/(TableDiv[[Agency]:[Agency]]=$E504)*(ROW(TableDiv[Agency])-ROW(TableDiv[[#Headers],[Agency]])),COLUMNS($F$7:AL$7))))</f>
        <v/>
      </c>
      <c r="AM504" s="2223" t="str" cm="1">
        <f t="array" ref="AM504">IF($D504&lt;COLUMNS($F$7:AM$7),"",INDEX(TableDiv[[GASB]:[GASB]],_xlfn.AGGREGATE(15,3,(TableDiv[[Agency]:[Agency]]=$E504)/(TableDiv[[Agency]:[Agency]]=$E504)*(ROW(TableDiv[Agency])-ROW(TableDiv[[#Headers],[Agency]])),COLUMNS($F$7:AM$7))))</f>
        <v/>
      </c>
      <c r="AN504" s="2223"/>
      <c r="AO504" s="2223"/>
      <c r="AP504" s="2223"/>
      <c r="AQ504" s="2223"/>
      <c r="AR504" s="2223"/>
      <c r="AS504" s="2223"/>
    </row>
    <row r="505" spans="1:45" ht="15" x14ac:dyDescent="0.25">
      <c r="A505" s="2219"/>
      <c r="B505" s="2219"/>
      <c r="C505" s="2223"/>
      <c r="W505" s="2223" t="str" cm="1">
        <f t="array" ref="W505">IF($D505&lt;COLUMNS($F$7:W$7),"",INDEX(TableDiv[[GASB]:[GASB]],_xlfn.AGGREGATE(15,3,(TableDiv[[Agency]:[Agency]]=$E505)/(TableDiv[[Agency]:[Agency]]=$E505)*(ROW(TableDiv[Agency])-ROW(TableDiv[[#Headers],[Agency]])),COLUMNS($F$7:W$7))))</f>
        <v/>
      </c>
      <c r="X505" s="2223" t="str" cm="1">
        <f t="array" ref="X505">IF($D505&lt;COLUMNS($F$7:X$7),"",INDEX(TableDiv[[GASB]:[GASB]],_xlfn.AGGREGATE(15,3,(TableDiv[[Agency]:[Agency]]=$E505)/(TableDiv[[Agency]:[Agency]]=$E505)*(ROW(TableDiv[Agency])-ROW(TableDiv[[#Headers],[Agency]])),COLUMNS($F$7:X$7))))</f>
        <v/>
      </c>
      <c r="Y505" s="2223" t="str" cm="1">
        <f t="array" ref="Y505">IF($D505&lt;COLUMNS($F$7:Y$7),"",INDEX(TableDiv[[GASB]:[GASB]],_xlfn.AGGREGATE(15,3,(TableDiv[[Agency]:[Agency]]=$E505)/(TableDiv[[Agency]:[Agency]]=$E505)*(ROW(TableDiv[Agency])-ROW(TableDiv[[#Headers],[Agency]])),COLUMNS($F$7:Y$7))))</f>
        <v/>
      </c>
      <c r="Z505" s="2223" t="str" cm="1">
        <f t="array" ref="Z505">IF($D505&lt;COLUMNS($F$7:Z$7),"",INDEX(TableDiv[[GASB]:[GASB]],_xlfn.AGGREGATE(15,3,(TableDiv[[Agency]:[Agency]]=$E505)/(TableDiv[[Agency]:[Agency]]=$E505)*(ROW(TableDiv[Agency])-ROW(TableDiv[[#Headers],[Agency]])),COLUMNS($F$7:Z$7))))</f>
        <v/>
      </c>
      <c r="AA505" s="2223" t="str" cm="1">
        <f t="array" ref="AA505">IF($D505&lt;COLUMNS($F$7:AA$7),"",INDEX(TableDiv[[GASB]:[GASB]],_xlfn.AGGREGATE(15,3,(TableDiv[[Agency]:[Agency]]=$E505)/(TableDiv[[Agency]:[Agency]]=$E505)*(ROW(TableDiv[Agency])-ROW(TableDiv[[#Headers],[Agency]])),COLUMNS($F$7:AA$7))))</f>
        <v/>
      </c>
      <c r="AB505" s="2223" t="str" cm="1">
        <f t="array" ref="AB505">IF($D505&lt;COLUMNS($F$7:AB$7),"",INDEX(TableDiv[[GASB]:[GASB]],_xlfn.AGGREGATE(15,3,(TableDiv[[Agency]:[Agency]]=$E505)/(TableDiv[[Agency]:[Agency]]=$E505)*(ROW(TableDiv[Agency])-ROW(TableDiv[[#Headers],[Agency]])),COLUMNS($F$7:AB$7))))</f>
        <v/>
      </c>
      <c r="AC505" s="2223" t="str" cm="1">
        <f t="array" ref="AC505">IF($D505&lt;COLUMNS($F$7:AC$7),"",INDEX(TableDiv[[GASB]:[GASB]],_xlfn.AGGREGATE(15,3,(TableDiv[[Agency]:[Agency]]=$E505)/(TableDiv[[Agency]:[Agency]]=$E505)*(ROW(TableDiv[Agency])-ROW(TableDiv[[#Headers],[Agency]])),COLUMNS($F$7:AC$7))))</f>
        <v/>
      </c>
      <c r="AD505" s="2223" t="str" cm="1">
        <f t="array" ref="AD505">IF($D505&lt;COLUMNS($F$7:AD$7),"",INDEX(TableDiv[[GASB]:[GASB]],_xlfn.AGGREGATE(15,3,(TableDiv[[Agency]:[Agency]]=$E505)/(TableDiv[[Agency]:[Agency]]=$E505)*(ROW(TableDiv[Agency])-ROW(TableDiv[[#Headers],[Agency]])),COLUMNS($F$7:AD$7))))</f>
        <v/>
      </c>
      <c r="AE505" s="2223" t="str" cm="1">
        <f t="array" ref="AE505">IF($D505&lt;COLUMNS($F$7:AE$7),"",INDEX(TableDiv[[GASB]:[GASB]],_xlfn.AGGREGATE(15,3,(TableDiv[[Agency]:[Agency]]=$E505)/(TableDiv[[Agency]:[Agency]]=$E505)*(ROW(TableDiv[Agency])-ROW(TableDiv[[#Headers],[Agency]])),COLUMNS($F$7:AE$7))))</f>
        <v/>
      </c>
      <c r="AF505" s="2223" t="str" cm="1">
        <f t="array" ref="AF505">IF($D505&lt;COLUMNS($F$7:AF$7),"",INDEX(TableDiv[[GASB]:[GASB]],_xlfn.AGGREGATE(15,3,(TableDiv[[Agency]:[Agency]]=$E505)/(TableDiv[[Agency]:[Agency]]=$E505)*(ROW(TableDiv[Agency])-ROW(TableDiv[[#Headers],[Agency]])),COLUMNS($F$7:AF$7))))</f>
        <v/>
      </c>
      <c r="AG505" s="2223" t="str" cm="1">
        <f t="array" ref="AG505">IF($D505&lt;COLUMNS($F$7:AG$7),"",INDEX(TableDiv[[GASB]:[GASB]],_xlfn.AGGREGATE(15,3,(TableDiv[[Agency]:[Agency]]=$E505)/(TableDiv[[Agency]:[Agency]]=$E505)*(ROW(TableDiv[Agency])-ROW(TableDiv[[#Headers],[Agency]])),COLUMNS($F$7:AG$7))))</f>
        <v/>
      </c>
      <c r="AH505" s="2223" t="str" cm="1">
        <f t="array" ref="AH505">IF($D505&lt;COLUMNS($F$7:AH$7),"",INDEX(TableDiv[[GASB]:[GASB]],_xlfn.AGGREGATE(15,3,(TableDiv[[Agency]:[Agency]]=$E505)/(TableDiv[[Agency]:[Agency]]=$E505)*(ROW(TableDiv[Agency])-ROW(TableDiv[[#Headers],[Agency]])),COLUMNS($F$7:AH$7))))</f>
        <v/>
      </c>
      <c r="AI505" s="2223" t="str" cm="1">
        <f t="array" ref="AI505">IF($D505&lt;COLUMNS($F$7:AI$7),"",INDEX(TableDiv[[GASB]:[GASB]],_xlfn.AGGREGATE(15,3,(TableDiv[[Agency]:[Agency]]=$E505)/(TableDiv[[Agency]:[Agency]]=$E505)*(ROW(TableDiv[Agency])-ROW(TableDiv[[#Headers],[Agency]])),COLUMNS($F$7:AI$7))))</f>
        <v/>
      </c>
      <c r="AJ505" s="2223" t="str" cm="1">
        <f t="array" ref="AJ505">IF($D505&lt;COLUMNS($F$7:AJ$7),"",INDEX(TableDiv[[GASB]:[GASB]],_xlfn.AGGREGATE(15,3,(TableDiv[[Agency]:[Agency]]=$E505)/(TableDiv[[Agency]:[Agency]]=$E505)*(ROW(TableDiv[Agency])-ROW(TableDiv[[#Headers],[Agency]])),COLUMNS($F$7:AJ$7))))</f>
        <v/>
      </c>
      <c r="AK505" s="2223" t="str" cm="1">
        <f t="array" ref="AK505">IF($D505&lt;COLUMNS($F$7:AK$7),"",INDEX(TableDiv[[GASB]:[GASB]],_xlfn.AGGREGATE(15,3,(TableDiv[[Agency]:[Agency]]=$E505)/(TableDiv[[Agency]:[Agency]]=$E505)*(ROW(TableDiv[Agency])-ROW(TableDiv[[#Headers],[Agency]])),COLUMNS($F$7:AK$7))))</f>
        <v/>
      </c>
      <c r="AL505" s="2223" t="str" cm="1">
        <f t="array" ref="AL505">IF($D505&lt;COLUMNS($F$7:AL$7),"",INDEX(TableDiv[[GASB]:[GASB]],_xlfn.AGGREGATE(15,3,(TableDiv[[Agency]:[Agency]]=$E505)/(TableDiv[[Agency]:[Agency]]=$E505)*(ROW(TableDiv[Agency])-ROW(TableDiv[[#Headers],[Agency]])),COLUMNS($F$7:AL$7))))</f>
        <v/>
      </c>
      <c r="AM505" s="2223" t="str" cm="1">
        <f t="array" ref="AM505">IF($D505&lt;COLUMNS($F$7:AM$7),"",INDEX(TableDiv[[GASB]:[GASB]],_xlfn.AGGREGATE(15,3,(TableDiv[[Agency]:[Agency]]=$E505)/(TableDiv[[Agency]:[Agency]]=$E505)*(ROW(TableDiv[Agency])-ROW(TableDiv[[#Headers],[Agency]])),COLUMNS($F$7:AM$7))))</f>
        <v/>
      </c>
      <c r="AN505" s="2223"/>
      <c r="AO505" s="2223"/>
      <c r="AP505" s="2223"/>
      <c r="AQ505" s="2223"/>
      <c r="AR505" s="2223"/>
      <c r="AS505" s="2223"/>
    </row>
    <row r="506" spans="1:45" ht="15" x14ac:dyDescent="0.25">
      <c r="A506" s="2219"/>
      <c r="B506" s="2219"/>
      <c r="C506" s="2223"/>
      <c r="W506" s="2223" t="str" cm="1">
        <f t="array" ref="W506">IF($D506&lt;COLUMNS($F$7:W$7),"",INDEX(TableDiv[[GASB]:[GASB]],_xlfn.AGGREGATE(15,3,(TableDiv[[Agency]:[Agency]]=$E506)/(TableDiv[[Agency]:[Agency]]=$E506)*(ROW(TableDiv[Agency])-ROW(TableDiv[[#Headers],[Agency]])),COLUMNS($F$7:W$7))))</f>
        <v/>
      </c>
      <c r="X506" s="2223" t="str" cm="1">
        <f t="array" ref="X506">IF($D506&lt;COLUMNS($F$7:X$7),"",INDEX(TableDiv[[GASB]:[GASB]],_xlfn.AGGREGATE(15,3,(TableDiv[[Agency]:[Agency]]=$E506)/(TableDiv[[Agency]:[Agency]]=$E506)*(ROW(TableDiv[Agency])-ROW(TableDiv[[#Headers],[Agency]])),COLUMNS($F$7:X$7))))</f>
        <v/>
      </c>
      <c r="Y506" s="2223" t="str" cm="1">
        <f t="array" ref="Y506">IF($D506&lt;COLUMNS($F$7:Y$7),"",INDEX(TableDiv[[GASB]:[GASB]],_xlfn.AGGREGATE(15,3,(TableDiv[[Agency]:[Agency]]=$E506)/(TableDiv[[Agency]:[Agency]]=$E506)*(ROW(TableDiv[Agency])-ROW(TableDiv[[#Headers],[Agency]])),COLUMNS($F$7:Y$7))))</f>
        <v/>
      </c>
      <c r="Z506" s="2223" t="str" cm="1">
        <f t="array" ref="Z506">IF($D506&lt;COLUMNS($F$7:Z$7),"",INDEX(TableDiv[[GASB]:[GASB]],_xlfn.AGGREGATE(15,3,(TableDiv[[Agency]:[Agency]]=$E506)/(TableDiv[[Agency]:[Agency]]=$E506)*(ROW(TableDiv[Agency])-ROW(TableDiv[[#Headers],[Agency]])),COLUMNS($F$7:Z$7))))</f>
        <v/>
      </c>
      <c r="AA506" s="2223" t="str" cm="1">
        <f t="array" ref="AA506">IF($D506&lt;COLUMNS($F$7:AA$7),"",INDEX(TableDiv[[GASB]:[GASB]],_xlfn.AGGREGATE(15,3,(TableDiv[[Agency]:[Agency]]=$E506)/(TableDiv[[Agency]:[Agency]]=$E506)*(ROW(TableDiv[Agency])-ROW(TableDiv[[#Headers],[Agency]])),COLUMNS($F$7:AA$7))))</f>
        <v/>
      </c>
      <c r="AB506" s="2223" t="str" cm="1">
        <f t="array" ref="AB506">IF($D506&lt;COLUMNS($F$7:AB$7),"",INDEX(TableDiv[[GASB]:[GASB]],_xlfn.AGGREGATE(15,3,(TableDiv[[Agency]:[Agency]]=$E506)/(TableDiv[[Agency]:[Agency]]=$E506)*(ROW(TableDiv[Agency])-ROW(TableDiv[[#Headers],[Agency]])),COLUMNS($F$7:AB$7))))</f>
        <v/>
      </c>
      <c r="AC506" s="2223" t="str" cm="1">
        <f t="array" ref="AC506">IF($D506&lt;COLUMNS($F$7:AC$7),"",INDEX(TableDiv[[GASB]:[GASB]],_xlfn.AGGREGATE(15,3,(TableDiv[[Agency]:[Agency]]=$E506)/(TableDiv[[Agency]:[Agency]]=$E506)*(ROW(TableDiv[Agency])-ROW(TableDiv[[#Headers],[Agency]])),COLUMNS($F$7:AC$7))))</f>
        <v/>
      </c>
      <c r="AD506" s="2223" t="str" cm="1">
        <f t="array" ref="AD506">IF($D506&lt;COLUMNS($F$7:AD$7),"",INDEX(TableDiv[[GASB]:[GASB]],_xlfn.AGGREGATE(15,3,(TableDiv[[Agency]:[Agency]]=$E506)/(TableDiv[[Agency]:[Agency]]=$E506)*(ROW(TableDiv[Agency])-ROW(TableDiv[[#Headers],[Agency]])),COLUMNS($F$7:AD$7))))</f>
        <v/>
      </c>
      <c r="AE506" s="2223" t="str" cm="1">
        <f t="array" ref="AE506">IF($D506&lt;COLUMNS($F$7:AE$7),"",INDEX(TableDiv[[GASB]:[GASB]],_xlfn.AGGREGATE(15,3,(TableDiv[[Agency]:[Agency]]=$E506)/(TableDiv[[Agency]:[Agency]]=$E506)*(ROW(TableDiv[Agency])-ROW(TableDiv[[#Headers],[Agency]])),COLUMNS($F$7:AE$7))))</f>
        <v/>
      </c>
      <c r="AF506" s="2223" t="str" cm="1">
        <f t="array" ref="AF506">IF($D506&lt;COLUMNS($F$7:AF$7),"",INDEX(TableDiv[[GASB]:[GASB]],_xlfn.AGGREGATE(15,3,(TableDiv[[Agency]:[Agency]]=$E506)/(TableDiv[[Agency]:[Agency]]=$E506)*(ROW(TableDiv[Agency])-ROW(TableDiv[[#Headers],[Agency]])),COLUMNS($F$7:AF$7))))</f>
        <v/>
      </c>
      <c r="AG506" s="2223" t="str" cm="1">
        <f t="array" ref="AG506">IF($D506&lt;COLUMNS($F$7:AG$7),"",INDEX(TableDiv[[GASB]:[GASB]],_xlfn.AGGREGATE(15,3,(TableDiv[[Agency]:[Agency]]=$E506)/(TableDiv[[Agency]:[Agency]]=$E506)*(ROW(TableDiv[Agency])-ROW(TableDiv[[#Headers],[Agency]])),COLUMNS($F$7:AG$7))))</f>
        <v/>
      </c>
      <c r="AH506" s="2223" t="str" cm="1">
        <f t="array" ref="AH506">IF($D506&lt;COLUMNS($F$7:AH$7),"",INDEX(TableDiv[[GASB]:[GASB]],_xlfn.AGGREGATE(15,3,(TableDiv[[Agency]:[Agency]]=$E506)/(TableDiv[[Agency]:[Agency]]=$E506)*(ROW(TableDiv[Agency])-ROW(TableDiv[[#Headers],[Agency]])),COLUMNS($F$7:AH$7))))</f>
        <v/>
      </c>
      <c r="AI506" s="2223" t="str" cm="1">
        <f t="array" ref="AI506">IF($D506&lt;COLUMNS($F$7:AI$7),"",INDEX(TableDiv[[GASB]:[GASB]],_xlfn.AGGREGATE(15,3,(TableDiv[[Agency]:[Agency]]=$E506)/(TableDiv[[Agency]:[Agency]]=$E506)*(ROW(TableDiv[Agency])-ROW(TableDiv[[#Headers],[Agency]])),COLUMNS($F$7:AI$7))))</f>
        <v/>
      </c>
      <c r="AJ506" s="2223" t="str" cm="1">
        <f t="array" ref="AJ506">IF($D506&lt;COLUMNS($F$7:AJ$7),"",INDEX(TableDiv[[GASB]:[GASB]],_xlfn.AGGREGATE(15,3,(TableDiv[[Agency]:[Agency]]=$E506)/(TableDiv[[Agency]:[Agency]]=$E506)*(ROW(TableDiv[Agency])-ROW(TableDiv[[#Headers],[Agency]])),COLUMNS($F$7:AJ$7))))</f>
        <v/>
      </c>
      <c r="AK506" s="2223" t="str" cm="1">
        <f t="array" ref="AK506">IF($D506&lt;COLUMNS($F$7:AK$7),"",INDEX(TableDiv[[GASB]:[GASB]],_xlfn.AGGREGATE(15,3,(TableDiv[[Agency]:[Agency]]=$E506)/(TableDiv[[Agency]:[Agency]]=$E506)*(ROW(TableDiv[Agency])-ROW(TableDiv[[#Headers],[Agency]])),COLUMNS($F$7:AK$7))))</f>
        <v/>
      </c>
      <c r="AL506" s="2223" t="str" cm="1">
        <f t="array" ref="AL506">IF($D506&lt;COLUMNS($F$7:AL$7),"",INDEX(TableDiv[[GASB]:[GASB]],_xlfn.AGGREGATE(15,3,(TableDiv[[Agency]:[Agency]]=$E506)/(TableDiv[[Agency]:[Agency]]=$E506)*(ROW(TableDiv[Agency])-ROW(TableDiv[[#Headers],[Agency]])),COLUMNS($F$7:AL$7))))</f>
        <v/>
      </c>
      <c r="AM506" s="2223" t="str" cm="1">
        <f t="array" ref="AM506">IF($D506&lt;COLUMNS($F$7:AM$7),"",INDEX(TableDiv[[GASB]:[GASB]],_xlfn.AGGREGATE(15,3,(TableDiv[[Agency]:[Agency]]=$E506)/(TableDiv[[Agency]:[Agency]]=$E506)*(ROW(TableDiv[Agency])-ROW(TableDiv[[#Headers],[Agency]])),COLUMNS($F$7:AM$7))))</f>
        <v/>
      </c>
      <c r="AN506" s="2223"/>
      <c r="AO506" s="2223"/>
      <c r="AP506" s="2223"/>
      <c r="AQ506" s="2223"/>
      <c r="AR506" s="2223"/>
      <c r="AS506" s="2223"/>
    </row>
    <row r="507" spans="1:45" ht="15" x14ac:dyDescent="0.25">
      <c r="A507" s="2219"/>
      <c r="B507" s="2219"/>
      <c r="C507" s="2223"/>
      <c r="W507" s="2223" t="str" cm="1">
        <f t="array" ref="W507">IF($D507&lt;COLUMNS($F$7:W$7),"",INDEX(TableDiv[[GASB]:[GASB]],_xlfn.AGGREGATE(15,3,(TableDiv[[Agency]:[Agency]]=$E507)/(TableDiv[[Agency]:[Agency]]=$E507)*(ROW(TableDiv[Agency])-ROW(TableDiv[[#Headers],[Agency]])),COLUMNS($F$7:W$7))))</f>
        <v/>
      </c>
      <c r="X507" s="2223" t="str" cm="1">
        <f t="array" ref="X507">IF($D507&lt;COLUMNS($F$7:X$7),"",INDEX(TableDiv[[GASB]:[GASB]],_xlfn.AGGREGATE(15,3,(TableDiv[[Agency]:[Agency]]=$E507)/(TableDiv[[Agency]:[Agency]]=$E507)*(ROW(TableDiv[Agency])-ROW(TableDiv[[#Headers],[Agency]])),COLUMNS($F$7:X$7))))</f>
        <v/>
      </c>
      <c r="Y507" s="2223" t="str" cm="1">
        <f t="array" ref="Y507">IF($D507&lt;COLUMNS($F$7:Y$7),"",INDEX(TableDiv[[GASB]:[GASB]],_xlfn.AGGREGATE(15,3,(TableDiv[[Agency]:[Agency]]=$E507)/(TableDiv[[Agency]:[Agency]]=$E507)*(ROW(TableDiv[Agency])-ROW(TableDiv[[#Headers],[Agency]])),COLUMNS($F$7:Y$7))))</f>
        <v/>
      </c>
      <c r="Z507" s="2223" t="str" cm="1">
        <f t="array" ref="Z507">IF($D507&lt;COLUMNS($F$7:Z$7),"",INDEX(TableDiv[[GASB]:[GASB]],_xlfn.AGGREGATE(15,3,(TableDiv[[Agency]:[Agency]]=$E507)/(TableDiv[[Agency]:[Agency]]=$E507)*(ROW(TableDiv[Agency])-ROW(TableDiv[[#Headers],[Agency]])),COLUMNS($F$7:Z$7))))</f>
        <v/>
      </c>
      <c r="AA507" s="2223" t="str" cm="1">
        <f t="array" ref="AA507">IF($D507&lt;COLUMNS($F$7:AA$7),"",INDEX(TableDiv[[GASB]:[GASB]],_xlfn.AGGREGATE(15,3,(TableDiv[[Agency]:[Agency]]=$E507)/(TableDiv[[Agency]:[Agency]]=$E507)*(ROW(TableDiv[Agency])-ROW(TableDiv[[#Headers],[Agency]])),COLUMNS($F$7:AA$7))))</f>
        <v/>
      </c>
      <c r="AB507" s="2223" t="str" cm="1">
        <f t="array" ref="AB507">IF($D507&lt;COLUMNS($F$7:AB$7),"",INDEX(TableDiv[[GASB]:[GASB]],_xlfn.AGGREGATE(15,3,(TableDiv[[Agency]:[Agency]]=$E507)/(TableDiv[[Agency]:[Agency]]=$E507)*(ROW(TableDiv[Agency])-ROW(TableDiv[[#Headers],[Agency]])),COLUMNS($F$7:AB$7))))</f>
        <v/>
      </c>
      <c r="AC507" s="2223" t="str" cm="1">
        <f t="array" ref="AC507">IF($D507&lt;COLUMNS($F$7:AC$7),"",INDEX(TableDiv[[GASB]:[GASB]],_xlfn.AGGREGATE(15,3,(TableDiv[[Agency]:[Agency]]=$E507)/(TableDiv[[Agency]:[Agency]]=$E507)*(ROW(TableDiv[Agency])-ROW(TableDiv[[#Headers],[Agency]])),COLUMNS($F$7:AC$7))))</f>
        <v/>
      </c>
      <c r="AD507" s="2223" t="str" cm="1">
        <f t="array" ref="AD507">IF($D507&lt;COLUMNS($F$7:AD$7),"",INDEX(TableDiv[[GASB]:[GASB]],_xlfn.AGGREGATE(15,3,(TableDiv[[Agency]:[Agency]]=$E507)/(TableDiv[[Agency]:[Agency]]=$E507)*(ROW(TableDiv[Agency])-ROW(TableDiv[[#Headers],[Agency]])),COLUMNS($F$7:AD$7))))</f>
        <v/>
      </c>
      <c r="AE507" s="2223" t="str" cm="1">
        <f t="array" ref="AE507">IF($D507&lt;COLUMNS($F$7:AE$7),"",INDEX(TableDiv[[GASB]:[GASB]],_xlfn.AGGREGATE(15,3,(TableDiv[[Agency]:[Agency]]=$E507)/(TableDiv[[Agency]:[Agency]]=$E507)*(ROW(TableDiv[Agency])-ROW(TableDiv[[#Headers],[Agency]])),COLUMNS($F$7:AE$7))))</f>
        <v/>
      </c>
      <c r="AF507" s="2223" t="str" cm="1">
        <f t="array" ref="AF507">IF($D507&lt;COLUMNS($F$7:AF$7),"",INDEX(TableDiv[[GASB]:[GASB]],_xlfn.AGGREGATE(15,3,(TableDiv[[Agency]:[Agency]]=$E507)/(TableDiv[[Agency]:[Agency]]=$E507)*(ROW(TableDiv[Agency])-ROW(TableDiv[[#Headers],[Agency]])),COLUMNS($F$7:AF$7))))</f>
        <v/>
      </c>
      <c r="AG507" s="2223" t="str" cm="1">
        <f t="array" ref="AG507">IF($D507&lt;COLUMNS($F$7:AG$7),"",INDEX(TableDiv[[GASB]:[GASB]],_xlfn.AGGREGATE(15,3,(TableDiv[[Agency]:[Agency]]=$E507)/(TableDiv[[Agency]:[Agency]]=$E507)*(ROW(TableDiv[Agency])-ROW(TableDiv[[#Headers],[Agency]])),COLUMNS($F$7:AG$7))))</f>
        <v/>
      </c>
      <c r="AH507" s="2223" t="str" cm="1">
        <f t="array" ref="AH507">IF($D507&lt;COLUMNS($F$7:AH$7),"",INDEX(TableDiv[[GASB]:[GASB]],_xlfn.AGGREGATE(15,3,(TableDiv[[Agency]:[Agency]]=$E507)/(TableDiv[[Agency]:[Agency]]=$E507)*(ROW(TableDiv[Agency])-ROW(TableDiv[[#Headers],[Agency]])),COLUMNS($F$7:AH$7))))</f>
        <v/>
      </c>
      <c r="AI507" s="2223" t="str" cm="1">
        <f t="array" ref="AI507">IF($D507&lt;COLUMNS($F$7:AI$7),"",INDEX(TableDiv[[GASB]:[GASB]],_xlfn.AGGREGATE(15,3,(TableDiv[[Agency]:[Agency]]=$E507)/(TableDiv[[Agency]:[Agency]]=$E507)*(ROW(TableDiv[Agency])-ROW(TableDiv[[#Headers],[Agency]])),COLUMNS($F$7:AI$7))))</f>
        <v/>
      </c>
      <c r="AJ507" s="2223" t="str" cm="1">
        <f t="array" ref="AJ507">IF($D507&lt;COLUMNS($F$7:AJ$7),"",INDEX(TableDiv[[GASB]:[GASB]],_xlfn.AGGREGATE(15,3,(TableDiv[[Agency]:[Agency]]=$E507)/(TableDiv[[Agency]:[Agency]]=$E507)*(ROW(TableDiv[Agency])-ROW(TableDiv[[#Headers],[Agency]])),COLUMNS($F$7:AJ$7))))</f>
        <v/>
      </c>
      <c r="AK507" s="2223" t="str" cm="1">
        <f t="array" ref="AK507">IF($D507&lt;COLUMNS($F$7:AK$7),"",INDEX(TableDiv[[GASB]:[GASB]],_xlfn.AGGREGATE(15,3,(TableDiv[[Agency]:[Agency]]=$E507)/(TableDiv[[Agency]:[Agency]]=$E507)*(ROW(TableDiv[Agency])-ROW(TableDiv[[#Headers],[Agency]])),COLUMNS($F$7:AK$7))))</f>
        <v/>
      </c>
      <c r="AL507" s="2223" t="str" cm="1">
        <f t="array" ref="AL507">IF($D507&lt;COLUMNS($F$7:AL$7),"",INDEX(TableDiv[[GASB]:[GASB]],_xlfn.AGGREGATE(15,3,(TableDiv[[Agency]:[Agency]]=$E507)/(TableDiv[[Agency]:[Agency]]=$E507)*(ROW(TableDiv[Agency])-ROW(TableDiv[[#Headers],[Agency]])),COLUMNS($F$7:AL$7))))</f>
        <v/>
      </c>
      <c r="AM507" s="2223" t="str" cm="1">
        <f t="array" ref="AM507">IF($D507&lt;COLUMNS($F$7:AM$7),"",INDEX(TableDiv[[GASB]:[GASB]],_xlfn.AGGREGATE(15,3,(TableDiv[[Agency]:[Agency]]=$E507)/(TableDiv[[Agency]:[Agency]]=$E507)*(ROW(TableDiv[Agency])-ROW(TableDiv[[#Headers],[Agency]])),COLUMNS($F$7:AM$7))))</f>
        <v/>
      </c>
      <c r="AN507" s="2223"/>
      <c r="AO507" s="2223"/>
      <c r="AP507" s="2223"/>
      <c r="AQ507" s="2223"/>
      <c r="AR507" s="2223"/>
      <c r="AS507" s="2223"/>
    </row>
    <row r="508" spans="1:45" ht="15" x14ac:dyDescent="0.25">
      <c r="A508" s="2219"/>
      <c r="B508" s="2219"/>
      <c r="C508" s="2223"/>
      <c r="W508" s="2223" t="str" cm="1">
        <f t="array" ref="W508">IF($D508&lt;COLUMNS($F$7:W$7),"",INDEX(TableDiv[[GASB]:[GASB]],_xlfn.AGGREGATE(15,3,(TableDiv[[Agency]:[Agency]]=$E508)/(TableDiv[[Agency]:[Agency]]=$E508)*(ROW(TableDiv[Agency])-ROW(TableDiv[[#Headers],[Agency]])),COLUMNS($F$7:W$7))))</f>
        <v/>
      </c>
      <c r="X508" s="2223" t="str" cm="1">
        <f t="array" ref="X508">IF($D508&lt;COLUMNS($F$7:X$7),"",INDEX(TableDiv[[GASB]:[GASB]],_xlfn.AGGREGATE(15,3,(TableDiv[[Agency]:[Agency]]=$E508)/(TableDiv[[Agency]:[Agency]]=$E508)*(ROW(TableDiv[Agency])-ROW(TableDiv[[#Headers],[Agency]])),COLUMNS($F$7:X$7))))</f>
        <v/>
      </c>
      <c r="Y508" s="2223" t="str" cm="1">
        <f t="array" ref="Y508">IF($D508&lt;COLUMNS($F$7:Y$7),"",INDEX(TableDiv[[GASB]:[GASB]],_xlfn.AGGREGATE(15,3,(TableDiv[[Agency]:[Agency]]=$E508)/(TableDiv[[Agency]:[Agency]]=$E508)*(ROW(TableDiv[Agency])-ROW(TableDiv[[#Headers],[Agency]])),COLUMNS($F$7:Y$7))))</f>
        <v/>
      </c>
      <c r="Z508" s="2223" t="str" cm="1">
        <f t="array" ref="Z508">IF($D508&lt;COLUMNS($F$7:Z$7),"",INDEX(TableDiv[[GASB]:[GASB]],_xlfn.AGGREGATE(15,3,(TableDiv[[Agency]:[Agency]]=$E508)/(TableDiv[[Agency]:[Agency]]=$E508)*(ROW(TableDiv[Agency])-ROW(TableDiv[[#Headers],[Agency]])),COLUMNS($F$7:Z$7))))</f>
        <v/>
      </c>
      <c r="AA508" s="2223" t="str" cm="1">
        <f t="array" ref="AA508">IF($D508&lt;COLUMNS($F$7:AA$7),"",INDEX(TableDiv[[GASB]:[GASB]],_xlfn.AGGREGATE(15,3,(TableDiv[[Agency]:[Agency]]=$E508)/(TableDiv[[Agency]:[Agency]]=$E508)*(ROW(TableDiv[Agency])-ROW(TableDiv[[#Headers],[Agency]])),COLUMNS($F$7:AA$7))))</f>
        <v/>
      </c>
      <c r="AB508" s="2223" t="str" cm="1">
        <f t="array" ref="AB508">IF($D508&lt;COLUMNS($F$7:AB$7),"",INDEX(TableDiv[[GASB]:[GASB]],_xlfn.AGGREGATE(15,3,(TableDiv[[Agency]:[Agency]]=$E508)/(TableDiv[[Agency]:[Agency]]=$E508)*(ROW(TableDiv[Agency])-ROW(TableDiv[[#Headers],[Agency]])),COLUMNS($F$7:AB$7))))</f>
        <v/>
      </c>
      <c r="AC508" s="2223" t="str" cm="1">
        <f t="array" ref="AC508">IF($D508&lt;COLUMNS($F$7:AC$7),"",INDEX(TableDiv[[GASB]:[GASB]],_xlfn.AGGREGATE(15,3,(TableDiv[[Agency]:[Agency]]=$E508)/(TableDiv[[Agency]:[Agency]]=$E508)*(ROW(TableDiv[Agency])-ROW(TableDiv[[#Headers],[Agency]])),COLUMNS($F$7:AC$7))))</f>
        <v/>
      </c>
      <c r="AD508" s="2223" t="str" cm="1">
        <f t="array" ref="AD508">IF($D508&lt;COLUMNS($F$7:AD$7),"",INDEX(TableDiv[[GASB]:[GASB]],_xlfn.AGGREGATE(15,3,(TableDiv[[Agency]:[Agency]]=$E508)/(TableDiv[[Agency]:[Agency]]=$E508)*(ROW(TableDiv[Agency])-ROW(TableDiv[[#Headers],[Agency]])),COLUMNS($F$7:AD$7))))</f>
        <v/>
      </c>
      <c r="AE508" s="2223" t="str" cm="1">
        <f t="array" ref="AE508">IF($D508&lt;COLUMNS($F$7:AE$7),"",INDEX(TableDiv[[GASB]:[GASB]],_xlfn.AGGREGATE(15,3,(TableDiv[[Agency]:[Agency]]=$E508)/(TableDiv[[Agency]:[Agency]]=$E508)*(ROW(TableDiv[Agency])-ROW(TableDiv[[#Headers],[Agency]])),COLUMNS($F$7:AE$7))))</f>
        <v/>
      </c>
      <c r="AF508" s="2223" t="str" cm="1">
        <f t="array" ref="AF508">IF($D508&lt;COLUMNS($F$7:AF$7),"",INDEX(TableDiv[[GASB]:[GASB]],_xlfn.AGGREGATE(15,3,(TableDiv[[Agency]:[Agency]]=$E508)/(TableDiv[[Agency]:[Agency]]=$E508)*(ROW(TableDiv[Agency])-ROW(TableDiv[[#Headers],[Agency]])),COLUMNS($F$7:AF$7))))</f>
        <v/>
      </c>
      <c r="AG508" s="2223" t="str" cm="1">
        <f t="array" ref="AG508">IF($D508&lt;COLUMNS($F$7:AG$7),"",INDEX(TableDiv[[GASB]:[GASB]],_xlfn.AGGREGATE(15,3,(TableDiv[[Agency]:[Agency]]=$E508)/(TableDiv[[Agency]:[Agency]]=$E508)*(ROW(TableDiv[Agency])-ROW(TableDiv[[#Headers],[Agency]])),COLUMNS($F$7:AG$7))))</f>
        <v/>
      </c>
      <c r="AH508" s="2223" t="str" cm="1">
        <f t="array" ref="AH508">IF($D508&lt;COLUMNS($F$7:AH$7),"",INDEX(TableDiv[[GASB]:[GASB]],_xlfn.AGGREGATE(15,3,(TableDiv[[Agency]:[Agency]]=$E508)/(TableDiv[[Agency]:[Agency]]=$E508)*(ROW(TableDiv[Agency])-ROW(TableDiv[[#Headers],[Agency]])),COLUMNS($F$7:AH$7))))</f>
        <v/>
      </c>
      <c r="AI508" s="2223" t="str" cm="1">
        <f t="array" ref="AI508">IF($D508&lt;COLUMNS($F$7:AI$7),"",INDEX(TableDiv[[GASB]:[GASB]],_xlfn.AGGREGATE(15,3,(TableDiv[[Agency]:[Agency]]=$E508)/(TableDiv[[Agency]:[Agency]]=$E508)*(ROW(TableDiv[Agency])-ROW(TableDiv[[#Headers],[Agency]])),COLUMNS($F$7:AI$7))))</f>
        <v/>
      </c>
      <c r="AJ508" s="2223" t="str" cm="1">
        <f t="array" ref="AJ508">IF($D508&lt;COLUMNS($F$7:AJ$7),"",INDEX(TableDiv[[GASB]:[GASB]],_xlfn.AGGREGATE(15,3,(TableDiv[[Agency]:[Agency]]=$E508)/(TableDiv[[Agency]:[Agency]]=$E508)*(ROW(TableDiv[Agency])-ROW(TableDiv[[#Headers],[Agency]])),COLUMNS($F$7:AJ$7))))</f>
        <v/>
      </c>
      <c r="AK508" s="2223" t="str" cm="1">
        <f t="array" ref="AK508">IF($D508&lt;COLUMNS($F$7:AK$7),"",INDEX(TableDiv[[GASB]:[GASB]],_xlfn.AGGREGATE(15,3,(TableDiv[[Agency]:[Agency]]=$E508)/(TableDiv[[Agency]:[Agency]]=$E508)*(ROW(TableDiv[Agency])-ROW(TableDiv[[#Headers],[Agency]])),COLUMNS($F$7:AK$7))))</f>
        <v/>
      </c>
      <c r="AL508" s="2223" t="str" cm="1">
        <f t="array" ref="AL508">IF($D508&lt;COLUMNS($F$7:AL$7),"",INDEX(TableDiv[[GASB]:[GASB]],_xlfn.AGGREGATE(15,3,(TableDiv[[Agency]:[Agency]]=$E508)/(TableDiv[[Agency]:[Agency]]=$E508)*(ROW(TableDiv[Agency])-ROW(TableDiv[[#Headers],[Agency]])),COLUMNS($F$7:AL$7))))</f>
        <v/>
      </c>
      <c r="AM508" s="2223" t="str" cm="1">
        <f t="array" ref="AM508">IF($D508&lt;COLUMNS($F$7:AM$7),"",INDEX(TableDiv[[GASB]:[GASB]],_xlfn.AGGREGATE(15,3,(TableDiv[[Agency]:[Agency]]=$E508)/(TableDiv[[Agency]:[Agency]]=$E508)*(ROW(TableDiv[Agency])-ROW(TableDiv[[#Headers],[Agency]])),COLUMNS($F$7:AM$7))))</f>
        <v/>
      </c>
      <c r="AN508" s="2223"/>
      <c r="AO508" s="2223"/>
      <c r="AP508" s="2223"/>
      <c r="AQ508" s="2223"/>
      <c r="AR508" s="2223"/>
      <c r="AS508" s="2223"/>
    </row>
    <row r="509" spans="1:45" ht="15" x14ac:dyDescent="0.25">
      <c r="A509" s="2219"/>
      <c r="B509" s="2220"/>
      <c r="C509" s="2223"/>
      <c r="W509" s="2223" t="str" cm="1">
        <f t="array" ref="W509">IF($D509&lt;COLUMNS($F$7:W$7),"",INDEX(TableDiv[[GASB]:[GASB]],_xlfn.AGGREGATE(15,3,(TableDiv[[Agency]:[Agency]]=$E509)/(TableDiv[[Agency]:[Agency]]=$E509)*(ROW(TableDiv[Agency])-ROW(TableDiv[[#Headers],[Agency]])),COLUMNS($F$7:W$7))))</f>
        <v/>
      </c>
      <c r="X509" s="2223" t="str" cm="1">
        <f t="array" ref="X509">IF($D509&lt;COLUMNS($F$7:X$7),"",INDEX(TableDiv[[GASB]:[GASB]],_xlfn.AGGREGATE(15,3,(TableDiv[[Agency]:[Agency]]=$E509)/(TableDiv[[Agency]:[Agency]]=$E509)*(ROW(TableDiv[Agency])-ROW(TableDiv[[#Headers],[Agency]])),COLUMNS($F$7:X$7))))</f>
        <v/>
      </c>
      <c r="Y509" s="2223" t="str" cm="1">
        <f t="array" ref="Y509">IF($D509&lt;COLUMNS($F$7:Y$7),"",INDEX(TableDiv[[GASB]:[GASB]],_xlfn.AGGREGATE(15,3,(TableDiv[[Agency]:[Agency]]=$E509)/(TableDiv[[Agency]:[Agency]]=$E509)*(ROW(TableDiv[Agency])-ROW(TableDiv[[#Headers],[Agency]])),COLUMNS($F$7:Y$7))))</f>
        <v/>
      </c>
      <c r="Z509" s="2223" t="str" cm="1">
        <f t="array" ref="Z509">IF($D509&lt;COLUMNS($F$7:Z$7),"",INDEX(TableDiv[[GASB]:[GASB]],_xlfn.AGGREGATE(15,3,(TableDiv[[Agency]:[Agency]]=$E509)/(TableDiv[[Agency]:[Agency]]=$E509)*(ROW(TableDiv[Agency])-ROW(TableDiv[[#Headers],[Agency]])),COLUMNS($F$7:Z$7))))</f>
        <v/>
      </c>
      <c r="AA509" s="2223" t="str" cm="1">
        <f t="array" ref="AA509">IF($D509&lt;COLUMNS($F$7:AA$7),"",INDEX(TableDiv[[GASB]:[GASB]],_xlfn.AGGREGATE(15,3,(TableDiv[[Agency]:[Agency]]=$E509)/(TableDiv[[Agency]:[Agency]]=$E509)*(ROW(TableDiv[Agency])-ROW(TableDiv[[#Headers],[Agency]])),COLUMNS($F$7:AA$7))))</f>
        <v/>
      </c>
      <c r="AB509" s="2223" t="str" cm="1">
        <f t="array" ref="AB509">IF($D509&lt;COLUMNS($F$7:AB$7),"",INDEX(TableDiv[[GASB]:[GASB]],_xlfn.AGGREGATE(15,3,(TableDiv[[Agency]:[Agency]]=$E509)/(TableDiv[[Agency]:[Agency]]=$E509)*(ROW(TableDiv[Agency])-ROW(TableDiv[[#Headers],[Agency]])),COLUMNS($F$7:AB$7))))</f>
        <v/>
      </c>
      <c r="AC509" s="2223" t="str" cm="1">
        <f t="array" ref="AC509">IF($D509&lt;COLUMNS($F$7:AC$7),"",INDEX(TableDiv[[GASB]:[GASB]],_xlfn.AGGREGATE(15,3,(TableDiv[[Agency]:[Agency]]=$E509)/(TableDiv[[Agency]:[Agency]]=$E509)*(ROW(TableDiv[Agency])-ROW(TableDiv[[#Headers],[Agency]])),COLUMNS($F$7:AC$7))))</f>
        <v/>
      </c>
      <c r="AD509" s="2223" t="str" cm="1">
        <f t="array" ref="AD509">IF($D509&lt;COLUMNS($F$7:AD$7),"",INDEX(TableDiv[[GASB]:[GASB]],_xlfn.AGGREGATE(15,3,(TableDiv[[Agency]:[Agency]]=$E509)/(TableDiv[[Agency]:[Agency]]=$E509)*(ROW(TableDiv[Agency])-ROW(TableDiv[[#Headers],[Agency]])),COLUMNS($F$7:AD$7))))</f>
        <v/>
      </c>
      <c r="AE509" s="2223" t="str" cm="1">
        <f t="array" ref="AE509">IF($D509&lt;COLUMNS($F$7:AE$7),"",INDEX(TableDiv[[GASB]:[GASB]],_xlfn.AGGREGATE(15,3,(TableDiv[[Agency]:[Agency]]=$E509)/(TableDiv[[Agency]:[Agency]]=$E509)*(ROW(TableDiv[Agency])-ROW(TableDiv[[#Headers],[Agency]])),COLUMNS($F$7:AE$7))))</f>
        <v/>
      </c>
      <c r="AF509" s="2223" t="str" cm="1">
        <f t="array" ref="AF509">IF($D509&lt;COLUMNS($F$7:AF$7),"",INDEX(TableDiv[[GASB]:[GASB]],_xlfn.AGGREGATE(15,3,(TableDiv[[Agency]:[Agency]]=$E509)/(TableDiv[[Agency]:[Agency]]=$E509)*(ROW(TableDiv[Agency])-ROW(TableDiv[[#Headers],[Agency]])),COLUMNS($F$7:AF$7))))</f>
        <v/>
      </c>
      <c r="AG509" s="2223" t="str" cm="1">
        <f t="array" ref="AG509">IF($D509&lt;COLUMNS($F$7:AG$7),"",INDEX(TableDiv[[GASB]:[GASB]],_xlfn.AGGREGATE(15,3,(TableDiv[[Agency]:[Agency]]=$E509)/(TableDiv[[Agency]:[Agency]]=$E509)*(ROW(TableDiv[Agency])-ROW(TableDiv[[#Headers],[Agency]])),COLUMNS($F$7:AG$7))))</f>
        <v/>
      </c>
      <c r="AH509" s="2223" t="str" cm="1">
        <f t="array" ref="AH509">IF($D509&lt;COLUMNS($F$7:AH$7),"",INDEX(TableDiv[[GASB]:[GASB]],_xlfn.AGGREGATE(15,3,(TableDiv[[Agency]:[Agency]]=$E509)/(TableDiv[[Agency]:[Agency]]=$E509)*(ROW(TableDiv[Agency])-ROW(TableDiv[[#Headers],[Agency]])),COLUMNS($F$7:AH$7))))</f>
        <v/>
      </c>
      <c r="AI509" s="2223" t="str" cm="1">
        <f t="array" ref="AI509">IF($D509&lt;COLUMNS($F$7:AI$7),"",INDEX(TableDiv[[GASB]:[GASB]],_xlfn.AGGREGATE(15,3,(TableDiv[[Agency]:[Agency]]=$E509)/(TableDiv[[Agency]:[Agency]]=$E509)*(ROW(TableDiv[Agency])-ROW(TableDiv[[#Headers],[Agency]])),COLUMNS($F$7:AI$7))))</f>
        <v/>
      </c>
      <c r="AJ509" s="2223" t="str" cm="1">
        <f t="array" ref="AJ509">IF($D509&lt;COLUMNS($F$7:AJ$7),"",INDEX(TableDiv[[GASB]:[GASB]],_xlfn.AGGREGATE(15,3,(TableDiv[[Agency]:[Agency]]=$E509)/(TableDiv[[Agency]:[Agency]]=$E509)*(ROW(TableDiv[Agency])-ROW(TableDiv[[#Headers],[Agency]])),COLUMNS($F$7:AJ$7))))</f>
        <v/>
      </c>
      <c r="AK509" s="2223" t="str" cm="1">
        <f t="array" ref="AK509">IF($D509&lt;COLUMNS($F$7:AK$7),"",INDEX(TableDiv[[GASB]:[GASB]],_xlfn.AGGREGATE(15,3,(TableDiv[[Agency]:[Agency]]=$E509)/(TableDiv[[Agency]:[Agency]]=$E509)*(ROW(TableDiv[Agency])-ROW(TableDiv[[#Headers],[Agency]])),COLUMNS($F$7:AK$7))))</f>
        <v/>
      </c>
      <c r="AL509" s="2223" t="str" cm="1">
        <f t="array" ref="AL509">IF($D509&lt;COLUMNS($F$7:AL$7),"",INDEX(TableDiv[[GASB]:[GASB]],_xlfn.AGGREGATE(15,3,(TableDiv[[Agency]:[Agency]]=$E509)/(TableDiv[[Agency]:[Agency]]=$E509)*(ROW(TableDiv[Agency])-ROW(TableDiv[[#Headers],[Agency]])),COLUMNS($F$7:AL$7))))</f>
        <v/>
      </c>
      <c r="AM509" s="2223" t="str" cm="1">
        <f t="array" ref="AM509">IF($D509&lt;COLUMNS($F$7:AM$7),"",INDEX(TableDiv[[GASB]:[GASB]],_xlfn.AGGREGATE(15,3,(TableDiv[[Agency]:[Agency]]=$E509)/(TableDiv[[Agency]:[Agency]]=$E509)*(ROW(TableDiv[Agency])-ROW(TableDiv[[#Headers],[Agency]])),COLUMNS($F$7:AM$7))))</f>
        <v/>
      </c>
      <c r="AN509" s="2223"/>
      <c r="AO509" s="2223"/>
      <c r="AP509" s="2223"/>
      <c r="AQ509" s="2223"/>
      <c r="AR509" s="2223"/>
      <c r="AS509" s="2223"/>
    </row>
    <row r="510" spans="1:45" ht="15" x14ac:dyDescent="0.25">
      <c r="A510" s="2219"/>
      <c r="B510" s="2219"/>
      <c r="C510" s="2223"/>
      <c r="W510" s="2223" t="str" cm="1">
        <f t="array" ref="W510">IF($D510&lt;COLUMNS($F$7:W$7),"",INDEX(TableDiv[[GASB]:[GASB]],_xlfn.AGGREGATE(15,3,(TableDiv[[Agency]:[Agency]]=$E510)/(TableDiv[[Agency]:[Agency]]=$E510)*(ROW(TableDiv[Agency])-ROW(TableDiv[[#Headers],[Agency]])),COLUMNS($F$7:W$7))))</f>
        <v/>
      </c>
      <c r="X510" s="2223" t="str" cm="1">
        <f t="array" ref="X510">IF($D510&lt;COLUMNS($F$7:X$7),"",INDEX(TableDiv[[GASB]:[GASB]],_xlfn.AGGREGATE(15,3,(TableDiv[[Agency]:[Agency]]=$E510)/(TableDiv[[Agency]:[Agency]]=$E510)*(ROW(TableDiv[Agency])-ROW(TableDiv[[#Headers],[Agency]])),COLUMNS($F$7:X$7))))</f>
        <v/>
      </c>
      <c r="Y510" s="2223" t="str" cm="1">
        <f t="array" ref="Y510">IF($D510&lt;COLUMNS($F$7:Y$7),"",INDEX(TableDiv[[GASB]:[GASB]],_xlfn.AGGREGATE(15,3,(TableDiv[[Agency]:[Agency]]=$E510)/(TableDiv[[Agency]:[Agency]]=$E510)*(ROW(TableDiv[Agency])-ROW(TableDiv[[#Headers],[Agency]])),COLUMNS($F$7:Y$7))))</f>
        <v/>
      </c>
      <c r="Z510" s="2223" t="str" cm="1">
        <f t="array" ref="Z510">IF($D510&lt;COLUMNS($F$7:Z$7),"",INDEX(TableDiv[[GASB]:[GASB]],_xlfn.AGGREGATE(15,3,(TableDiv[[Agency]:[Agency]]=$E510)/(TableDiv[[Agency]:[Agency]]=$E510)*(ROW(TableDiv[Agency])-ROW(TableDiv[[#Headers],[Agency]])),COLUMNS($F$7:Z$7))))</f>
        <v/>
      </c>
      <c r="AA510" s="2223" t="str" cm="1">
        <f t="array" ref="AA510">IF($D510&lt;COLUMNS($F$7:AA$7),"",INDEX(TableDiv[[GASB]:[GASB]],_xlfn.AGGREGATE(15,3,(TableDiv[[Agency]:[Agency]]=$E510)/(TableDiv[[Agency]:[Agency]]=$E510)*(ROW(TableDiv[Agency])-ROW(TableDiv[[#Headers],[Agency]])),COLUMNS($F$7:AA$7))))</f>
        <v/>
      </c>
      <c r="AB510" s="2223" t="str" cm="1">
        <f t="array" ref="AB510">IF($D510&lt;COLUMNS($F$7:AB$7),"",INDEX(TableDiv[[GASB]:[GASB]],_xlfn.AGGREGATE(15,3,(TableDiv[[Agency]:[Agency]]=$E510)/(TableDiv[[Agency]:[Agency]]=$E510)*(ROW(TableDiv[Agency])-ROW(TableDiv[[#Headers],[Agency]])),COLUMNS($F$7:AB$7))))</f>
        <v/>
      </c>
      <c r="AC510" s="2223" t="str" cm="1">
        <f t="array" ref="AC510">IF($D510&lt;COLUMNS($F$7:AC$7),"",INDEX(TableDiv[[GASB]:[GASB]],_xlfn.AGGREGATE(15,3,(TableDiv[[Agency]:[Agency]]=$E510)/(TableDiv[[Agency]:[Agency]]=$E510)*(ROW(TableDiv[Agency])-ROW(TableDiv[[#Headers],[Agency]])),COLUMNS($F$7:AC$7))))</f>
        <v/>
      </c>
      <c r="AD510" s="2223" t="str" cm="1">
        <f t="array" ref="AD510">IF($D510&lt;COLUMNS($F$7:AD$7),"",INDEX(TableDiv[[GASB]:[GASB]],_xlfn.AGGREGATE(15,3,(TableDiv[[Agency]:[Agency]]=$E510)/(TableDiv[[Agency]:[Agency]]=$E510)*(ROW(TableDiv[Agency])-ROW(TableDiv[[#Headers],[Agency]])),COLUMNS($F$7:AD$7))))</f>
        <v/>
      </c>
      <c r="AE510" s="2223" t="str" cm="1">
        <f t="array" ref="AE510">IF($D510&lt;COLUMNS($F$7:AE$7),"",INDEX(TableDiv[[GASB]:[GASB]],_xlfn.AGGREGATE(15,3,(TableDiv[[Agency]:[Agency]]=$E510)/(TableDiv[[Agency]:[Agency]]=$E510)*(ROW(TableDiv[Agency])-ROW(TableDiv[[#Headers],[Agency]])),COLUMNS($F$7:AE$7))))</f>
        <v/>
      </c>
      <c r="AF510" s="2223" t="str" cm="1">
        <f t="array" ref="AF510">IF($D510&lt;COLUMNS($F$7:AF$7),"",INDEX(TableDiv[[GASB]:[GASB]],_xlfn.AGGREGATE(15,3,(TableDiv[[Agency]:[Agency]]=$E510)/(TableDiv[[Agency]:[Agency]]=$E510)*(ROW(TableDiv[Agency])-ROW(TableDiv[[#Headers],[Agency]])),COLUMNS($F$7:AF$7))))</f>
        <v/>
      </c>
      <c r="AG510" s="2223" t="str" cm="1">
        <f t="array" ref="AG510">IF($D510&lt;COLUMNS($F$7:AG$7),"",INDEX(TableDiv[[GASB]:[GASB]],_xlfn.AGGREGATE(15,3,(TableDiv[[Agency]:[Agency]]=$E510)/(TableDiv[[Agency]:[Agency]]=$E510)*(ROW(TableDiv[Agency])-ROW(TableDiv[[#Headers],[Agency]])),COLUMNS($F$7:AG$7))))</f>
        <v/>
      </c>
      <c r="AH510" s="2223" t="str" cm="1">
        <f t="array" ref="AH510">IF($D510&lt;COLUMNS($F$7:AH$7),"",INDEX(TableDiv[[GASB]:[GASB]],_xlfn.AGGREGATE(15,3,(TableDiv[[Agency]:[Agency]]=$E510)/(TableDiv[[Agency]:[Agency]]=$E510)*(ROW(TableDiv[Agency])-ROW(TableDiv[[#Headers],[Agency]])),COLUMNS($F$7:AH$7))))</f>
        <v/>
      </c>
      <c r="AI510" s="2223" t="str" cm="1">
        <f t="array" ref="AI510">IF($D510&lt;COLUMNS($F$7:AI$7),"",INDEX(TableDiv[[GASB]:[GASB]],_xlfn.AGGREGATE(15,3,(TableDiv[[Agency]:[Agency]]=$E510)/(TableDiv[[Agency]:[Agency]]=$E510)*(ROW(TableDiv[Agency])-ROW(TableDiv[[#Headers],[Agency]])),COLUMNS($F$7:AI$7))))</f>
        <v/>
      </c>
      <c r="AJ510" s="2223" t="str" cm="1">
        <f t="array" ref="AJ510">IF($D510&lt;COLUMNS($F$7:AJ$7),"",INDEX(TableDiv[[GASB]:[GASB]],_xlfn.AGGREGATE(15,3,(TableDiv[[Agency]:[Agency]]=$E510)/(TableDiv[[Agency]:[Agency]]=$E510)*(ROW(TableDiv[Agency])-ROW(TableDiv[[#Headers],[Agency]])),COLUMNS($F$7:AJ$7))))</f>
        <v/>
      </c>
      <c r="AK510" s="2223" t="str" cm="1">
        <f t="array" ref="AK510">IF($D510&lt;COLUMNS($F$7:AK$7),"",INDEX(TableDiv[[GASB]:[GASB]],_xlfn.AGGREGATE(15,3,(TableDiv[[Agency]:[Agency]]=$E510)/(TableDiv[[Agency]:[Agency]]=$E510)*(ROW(TableDiv[Agency])-ROW(TableDiv[[#Headers],[Agency]])),COLUMNS($F$7:AK$7))))</f>
        <v/>
      </c>
      <c r="AL510" s="2223" t="str" cm="1">
        <f t="array" ref="AL510">IF($D510&lt;COLUMNS($F$7:AL$7),"",INDEX(TableDiv[[GASB]:[GASB]],_xlfn.AGGREGATE(15,3,(TableDiv[[Agency]:[Agency]]=$E510)/(TableDiv[[Agency]:[Agency]]=$E510)*(ROW(TableDiv[Agency])-ROW(TableDiv[[#Headers],[Agency]])),COLUMNS($F$7:AL$7))))</f>
        <v/>
      </c>
      <c r="AM510" s="2223" t="str" cm="1">
        <f t="array" ref="AM510">IF($D510&lt;COLUMNS($F$7:AM$7),"",INDEX(TableDiv[[GASB]:[GASB]],_xlfn.AGGREGATE(15,3,(TableDiv[[Agency]:[Agency]]=$E510)/(TableDiv[[Agency]:[Agency]]=$E510)*(ROW(TableDiv[Agency])-ROW(TableDiv[[#Headers],[Agency]])),COLUMNS($F$7:AM$7))))</f>
        <v/>
      </c>
      <c r="AN510" s="2223"/>
      <c r="AO510" s="2223"/>
      <c r="AP510" s="2223"/>
      <c r="AQ510" s="2223"/>
      <c r="AR510" s="2223"/>
      <c r="AS510" s="2223"/>
    </row>
    <row r="511" spans="1:45" ht="15" x14ac:dyDescent="0.25">
      <c r="A511" s="2219"/>
      <c r="B511" s="2219"/>
      <c r="C511" s="2223"/>
      <c r="W511" s="2223" t="str" cm="1">
        <f t="array" ref="W511">IF($D511&lt;COLUMNS($F$7:W$7),"",INDEX(TableDiv[[GASB]:[GASB]],_xlfn.AGGREGATE(15,3,(TableDiv[[Agency]:[Agency]]=$E511)/(TableDiv[[Agency]:[Agency]]=$E511)*(ROW(TableDiv[Agency])-ROW(TableDiv[[#Headers],[Agency]])),COLUMNS($F$7:W$7))))</f>
        <v/>
      </c>
      <c r="X511" s="2223" t="str" cm="1">
        <f t="array" ref="X511">IF($D511&lt;COLUMNS($F$7:X$7),"",INDEX(TableDiv[[GASB]:[GASB]],_xlfn.AGGREGATE(15,3,(TableDiv[[Agency]:[Agency]]=$E511)/(TableDiv[[Agency]:[Agency]]=$E511)*(ROW(TableDiv[Agency])-ROW(TableDiv[[#Headers],[Agency]])),COLUMNS($F$7:X$7))))</f>
        <v/>
      </c>
      <c r="Y511" s="2223" t="str" cm="1">
        <f t="array" ref="Y511">IF($D511&lt;COLUMNS($F$7:Y$7),"",INDEX(TableDiv[[GASB]:[GASB]],_xlfn.AGGREGATE(15,3,(TableDiv[[Agency]:[Agency]]=$E511)/(TableDiv[[Agency]:[Agency]]=$E511)*(ROW(TableDiv[Agency])-ROW(TableDiv[[#Headers],[Agency]])),COLUMNS($F$7:Y$7))))</f>
        <v/>
      </c>
      <c r="Z511" s="2223" t="str" cm="1">
        <f t="array" ref="Z511">IF($D511&lt;COLUMNS($F$7:Z$7),"",INDEX(TableDiv[[GASB]:[GASB]],_xlfn.AGGREGATE(15,3,(TableDiv[[Agency]:[Agency]]=$E511)/(TableDiv[[Agency]:[Agency]]=$E511)*(ROW(TableDiv[Agency])-ROW(TableDiv[[#Headers],[Agency]])),COLUMNS($F$7:Z$7))))</f>
        <v/>
      </c>
      <c r="AA511" s="2223" t="str" cm="1">
        <f t="array" ref="AA511">IF($D511&lt;COLUMNS($F$7:AA$7),"",INDEX(TableDiv[[GASB]:[GASB]],_xlfn.AGGREGATE(15,3,(TableDiv[[Agency]:[Agency]]=$E511)/(TableDiv[[Agency]:[Agency]]=$E511)*(ROW(TableDiv[Agency])-ROW(TableDiv[[#Headers],[Agency]])),COLUMNS($F$7:AA$7))))</f>
        <v/>
      </c>
      <c r="AB511" s="2223" t="str" cm="1">
        <f t="array" ref="AB511">IF($D511&lt;COLUMNS($F$7:AB$7),"",INDEX(TableDiv[[GASB]:[GASB]],_xlfn.AGGREGATE(15,3,(TableDiv[[Agency]:[Agency]]=$E511)/(TableDiv[[Agency]:[Agency]]=$E511)*(ROW(TableDiv[Agency])-ROW(TableDiv[[#Headers],[Agency]])),COLUMNS($F$7:AB$7))))</f>
        <v/>
      </c>
      <c r="AC511" s="2223" t="str" cm="1">
        <f t="array" ref="AC511">IF($D511&lt;COLUMNS($F$7:AC$7),"",INDEX(TableDiv[[GASB]:[GASB]],_xlfn.AGGREGATE(15,3,(TableDiv[[Agency]:[Agency]]=$E511)/(TableDiv[[Agency]:[Agency]]=$E511)*(ROW(TableDiv[Agency])-ROW(TableDiv[[#Headers],[Agency]])),COLUMNS($F$7:AC$7))))</f>
        <v/>
      </c>
      <c r="AD511" s="2223" t="str" cm="1">
        <f t="array" ref="AD511">IF($D511&lt;COLUMNS($F$7:AD$7),"",INDEX(TableDiv[[GASB]:[GASB]],_xlfn.AGGREGATE(15,3,(TableDiv[[Agency]:[Agency]]=$E511)/(TableDiv[[Agency]:[Agency]]=$E511)*(ROW(TableDiv[Agency])-ROW(TableDiv[[#Headers],[Agency]])),COLUMNS($F$7:AD$7))))</f>
        <v/>
      </c>
      <c r="AE511" s="2223" t="str" cm="1">
        <f t="array" ref="AE511">IF($D511&lt;COLUMNS($F$7:AE$7),"",INDEX(TableDiv[[GASB]:[GASB]],_xlfn.AGGREGATE(15,3,(TableDiv[[Agency]:[Agency]]=$E511)/(TableDiv[[Agency]:[Agency]]=$E511)*(ROW(TableDiv[Agency])-ROW(TableDiv[[#Headers],[Agency]])),COLUMNS($F$7:AE$7))))</f>
        <v/>
      </c>
      <c r="AF511" s="2223" t="str" cm="1">
        <f t="array" ref="AF511">IF($D511&lt;COLUMNS($F$7:AF$7),"",INDEX(TableDiv[[GASB]:[GASB]],_xlfn.AGGREGATE(15,3,(TableDiv[[Agency]:[Agency]]=$E511)/(TableDiv[[Agency]:[Agency]]=$E511)*(ROW(TableDiv[Agency])-ROW(TableDiv[[#Headers],[Agency]])),COLUMNS($F$7:AF$7))))</f>
        <v/>
      </c>
      <c r="AG511" s="2223" t="str" cm="1">
        <f t="array" ref="AG511">IF($D511&lt;COLUMNS($F$7:AG$7),"",INDEX(TableDiv[[GASB]:[GASB]],_xlfn.AGGREGATE(15,3,(TableDiv[[Agency]:[Agency]]=$E511)/(TableDiv[[Agency]:[Agency]]=$E511)*(ROW(TableDiv[Agency])-ROW(TableDiv[[#Headers],[Agency]])),COLUMNS($F$7:AG$7))))</f>
        <v/>
      </c>
      <c r="AH511" s="2223" t="str" cm="1">
        <f t="array" ref="AH511">IF($D511&lt;COLUMNS($F$7:AH$7),"",INDEX(TableDiv[[GASB]:[GASB]],_xlfn.AGGREGATE(15,3,(TableDiv[[Agency]:[Agency]]=$E511)/(TableDiv[[Agency]:[Agency]]=$E511)*(ROW(TableDiv[Agency])-ROW(TableDiv[[#Headers],[Agency]])),COLUMNS($F$7:AH$7))))</f>
        <v/>
      </c>
      <c r="AI511" s="2223" t="str" cm="1">
        <f t="array" ref="AI511">IF($D511&lt;COLUMNS($F$7:AI$7),"",INDEX(TableDiv[[GASB]:[GASB]],_xlfn.AGGREGATE(15,3,(TableDiv[[Agency]:[Agency]]=$E511)/(TableDiv[[Agency]:[Agency]]=$E511)*(ROW(TableDiv[Agency])-ROW(TableDiv[[#Headers],[Agency]])),COLUMNS($F$7:AI$7))))</f>
        <v/>
      </c>
      <c r="AJ511" s="2223" t="str" cm="1">
        <f t="array" ref="AJ511">IF($D511&lt;COLUMNS($F$7:AJ$7),"",INDEX(TableDiv[[GASB]:[GASB]],_xlfn.AGGREGATE(15,3,(TableDiv[[Agency]:[Agency]]=$E511)/(TableDiv[[Agency]:[Agency]]=$E511)*(ROW(TableDiv[Agency])-ROW(TableDiv[[#Headers],[Agency]])),COLUMNS($F$7:AJ$7))))</f>
        <v/>
      </c>
      <c r="AK511" s="2223" t="str" cm="1">
        <f t="array" ref="AK511">IF($D511&lt;COLUMNS($F$7:AK$7),"",INDEX(TableDiv[[GASB]:[GASB]],_xlfn.AGGREGATE(15,3,(TableDiv[[Agency]:[Agency]]=$E511)/(TableDiv[[Agency]:[Agency]]=$E511)*(ROW(TableDiv[Agency])-ROW(TableDiv[[#Headers],[Agency]])),COLUMNS($F$7:AK$7))))</f>
        <v/>
      </c>
      <c r="AL511" s="2223" t="str" cm="1">
        <f t="array" ref="AL511">IF($D511&lt;COLUMNS($F$7:AL$7),"",INDEX(TableDiv[[GASB]:[GASB]],_xlfn.AGGREGATE(15,3,(TableDiv[[Agency]:[Agency]]=$E511)/(TableDiv[[Agency]:[Agency]]=$E511)*(ROW(TableDiv[Agency])-ROW(TableDiv[[#Headers],[Agency]])),COLUMNS($F$7:AL$7))))</f>
        <v/>
      </c>
      <c r="AM511" s="2223" t="str" cm="1">
        <f t="array" ref="AM511">IF($D511&lt;COLUMNS($F$7:AM$7),"",INDEX(TableDiv[[GASB]:[GASB]],_xlfn.AGGREGATE(15,3,(TableDiv[[Agency]:[Agency]]=$E511)/(TableDiv[[Agency]:[Agency]]=$E511)*(ROW(TableDiv[Agency])-ROW(TableDiv[[#Headers],[Agency]])),COLUMNS($F$7:AM$7))))</f>
        <v/>
      </c>
      <c r="AN511" s="2223"/>
      <c r="AO511" s="2223"/>
      <c r="AP511" s="2223"/>
      <c r="AQ511" s="2223"/>
      <c r="AR511" s="2223"/>
      <c r="AS511" s="2223"/>
    </row>
    <row r="512" spans="1:45" ht="15" x14ac:dyDescent="0.25">
      <c r="A512" s="2219"/>
      <c r="B512" s="2219"/>
      <c r="C512" s="2223"/>
      <c r="W512" s="2223" t="str" cm="1">
        <f t="array" ref="W512">IF($D512&lt;COLUMNS($F$7:W$7),"",INDEX(TableDiv[[GASB]:[GASB]],_xlfn.AGGREGATE(15,3,(TableDiv[[Agency]:[Agency]]=$E512)/(TableDiv[[Agency]:[Agency]]=$E512)*(ROW(TableDiv[Agency])-ROW(TableDiv[[#Headers],[Agency]])),COLUMNS($F$7:W$7))))</f>
        <v/>
      </c>
      <c r="X512" s="2223" t="str" cm="1">
        <f t="array" ref="X512">IF($D512&lt;COLUMNS($F$7:X$7),"",INDEX(TableDiv[[GASB]:[GASB]],_xlfn.AGGREGATE(15,3,(TableDiv[[Agency]:[Agency]]=$E512)/(TableDiv[[Agency]:[Agency]]=$E512)*(ROW(TableDiv[Agency])-ROW(TableDiv[[#Headers],[Agency]])),COLUMNS($F$7:X$7))))</f>
        <v/>
      </c>
      <c r="Y512" s="2223" t="str" cm="1">
        <f t="array" ref="Y512">IF($D512&lt;COLUMNS($F$7:Y$7),"",INDEX(TableDiv[[GASB]:[GASB]],_xlfn.AGGREGATE(15,3,(TableDiv[[Agency]:[Agency]]=$E512)/(TableDiv[[Agency]:[Agency]]=$E512)*(ROW(TableDiv[Agency])-ROW(TableDiv[[#Headers],[Agency]])),COLUMNS($F$7:Y$7))))</f>
        <v/>
      </c>
      <c r="Z512" s="2223" t="str" cm="1">
        <f t="array" ref="Z512">IF($D512&lt;COLUMNS($F$7:Z$7),"",INDEX(TableDiv[[GASB]:[GASB]],_xlfn.AGGREGATE(15,3,(TableDiv[[Agency]:[Agency]]=$E512)/(TableDiv[[Agency]:[Agency]]=$E512)*(ROW(TableDiv[Agency])-ROW(TableDiv[[#Headers],[Agency]])),COLUMNS($F$7:Z$7))))</f>
        <v/>
      </c>
      <c r="AA512" s="2223" t="str" cm="1">
        <f t="array" ref="AA512">IF($D512&lt;COLUMNS($F$7:AA$7),"",INDEX(TableDiv[[GASB]:[GASB]],_xlfn.AGGREGATE(15,3,(TableDiv[[Agency]:[Agency]]=$E512)/(TableDiv[[Agency]:[Agency]]=$E512)*(ROW(TableDiv[Agency])-ROW(TableDiv[[#Headers],[Agency]])),COLUMNS($F$7:AA$7))))</f>
        <v/>
      </c>
      <c r="AB512" s="2223" t="str" cm="1">
        <f t="array" ref="AB512">IF($D512&lt;COLUMNS($F$7:AB$7),"",INDEX(TableDiv[[GASB]:[GASB]],_xlfn.AGGREGATE(15,3,(TableDiv[[Agency]:[Agency]]=$E512)/(TableDiv[[Agency]:[Agency]]=$E512)*(ROW(TableDiv[Agency])-ROW(TableDiv[[#Headers],[Agency]])),COLUMNS($F$7:AB$7))))</f>
        <v/>
      </c>
      <c r="AC512" s="2223" t="str" cm="1">
        <f t="array" ref="AC512">IF($D512&lt;COLUMNS($F$7:AC$7),"",INDEX(TableDiv[[GASB]:[GASB]],_xlfn.AGGREGATE(15,3,(TableDiv[[Agency]:[Agency]]=$E512)/(TableDiv[[Agency]:[Agency]]=$E512)*(ROW(TableDiv[Agency])-ROW(TableDiv[[#Headers],[Agency]])),COLUMNS($F$7:AC$7))))</f>
        <v/>
      </c>
      <c r="AD512" s="2223" t="str" cm="1">
        <f t="array" ref="AD512">IF($D512&lt;COLUMNS($F$7:AD$7),"",INDEX(TableDiv[[GASB]:[GASB]],_xlfn.AGGREGATE(15,3,(TableDiv[[Agency]:[Agency]]=$E512)/(TableDiv[[Agency]:[Agency]]=$E512)*(ROW(TableDiv[Agency])-ROW(TableDiv[[#Headers],[Agency]])),COLUMNS($F$7:AD$7))))</f>
        <v/>
      </c>
      <c r="AE512" s="2223" t="str" cm="1">
        <f t="array" ref="AE512">IF($D512&lt;COLUMNS($F$7:AE$7),"",INDEX(TableDiv[[GASB]:[GASB]],_xlfn.AGGREGATE(15,3,(TableDiv[[Agency]:[Agency]]=$E512)/(TableDiv[[Agency]:[Agency]]=$E512)*(ROW(TableDiv[Agency])-ROW(TableDiv[[#Headers],[Agency]])),COLUMNS($F$7:AE$7))))</f>
        <v/>
      </c>
      <c r="AF512" s="2223" t="str" cm="1">
        <f t="array" ref="AF512">IF($D512&lt;COLUMNS($F$7:AF$7),"",INDEX(TableDiv[[GASB]:[GASB]],_xlfn.AGGREGATE(15,3,(TableDiv[[Agency]:[Agency]]=$E512)/(TableDiv[[Agency]:[Agency]]=$E512)*(ROW(TableDiv[Agency])-ROW(TableDiv[[#Headers],[Agency]])),COLUMNS($F$7:AF$7))))</f>
        <v/>
      </c>
      <c r="AG512" s="2223" t="str" cm="1">
        <f t="array" ref="AG512">IF($D512&lt;COLUMNS($F$7:AG$7),"",INDEX(TableDiv[[GASB]:[GASB]],_xlfn.AGGREGATE(15,3,(TableDiv[[Agency]:[Agency]]=$E512)/(TableDiv[[Agency]:[Agency]]=$E512)*(ROW(TableDiv[Agency])-ROW(TableDiv[[#Headers],[Agency]])),COLUMNS($F$7:AG$7))))</f>
        <v/>
      </c>
      <c r="AH512" s="2223" t="str" cm="1">
        <f t="array" ref="AH512">IF($D512&lt;COLUMNS($F$7:AH$7),"",INDEX(TableDiv[[GASB]:[GASB]],_xlfn.AGGREGATE(15,3,(TableDiv[[Agency]:[Agency]]=$E512)/(TableDiv[[Agency]:[Agency]]=$E512)*(ROW(TableDiv[Agency])-ROW(TableDiv[[#Headers],[Agency]])),COLUMNS($F$7:AH$7))))</f>
        <v/>
      </c>
      <c r="AI512" s="2223" t="str" cm="1">
        <f t="array" ref="AI512">IF($D512&lt;COLUMNS($F$7:AI$7),"",INDEX(TableDiv[[GASB]:[GASB]],_xlfn.AGGREGATE(15,3,(TableDiv[[Agency]:[Agency]]=$E512)/(TableDiv[[Agency]:[Agency]]=$E512)*(ROW(TableDiv[Agency])-ROW(TableDiv[[#Headers],[Agency]])),COLUMNS($F$7:AI$7))))</f>
        <v/>
      </c>
      <c r="AJ512" s="2223" t="str" cm="1">
        <f t="array" ref="AJ512">IF($D512&lt;COLUMNS($F$7:AJ$7),"",INDEX(TableDiv[[GASB]:[GASB]],_xlfn.AGGREGATE(15,3,(TableDiv[[Agency]:[Agency]]=$E512)/(TableDiv[[Agency]:[Agency]]=$E512)*(ROW(TableDiv[Agency])-ROW(TableDiv[[#Headers],[Agency]])),COLUMNS($F$7:AJ$7))))</f>
        <v/>
      </c>
      <c r="AK512" s="2223" t="str" cm="1">
        <f t="array" ref="AK512">IF($D512&lt;COLUMNS($F$7:AK$7),"",INDEX(TableDiv[[GASB]:[GASB]],_xlfn.AGGREGATE(15,3,(TableDiv[[Agency]:[Agency]]=$E512)/(TableDiv[[Agency]:[Agency]]=$E512)*(ROW(TableDiv[Agency])-ROW(TableDiv[[#Headers],[Agency]])),COLUMNS($F$7:AK$7))))</f>
        <v/>
      </c>
      <c r="AL512" s="2223" t="str" cm="1">
        <f t="array" ref="AL512">IF($D512&lt;COLUMNS($F$7:AL$7),"",INDEX(TableDiv[[GASB]:[GASB]],_xlfn.AGGREGATE(15,3,(TableDiv[[Agency]:[Agency]]=$E512)/(TableDiv[[Agency]:[Agency]]=$E512)*(ROW(TableDiv[Agency])-ROW(TableDiv[[#Headers],[Agency]])),COLUMNS($F$7:AL$7))))</f>
        <v/>
      </c>
      <c r="AM512" s="2223" t="str" cm="1">
        <f t="array" ref="AM512">IF($D512&lt;COLUMNS($F$7:AM$7),"",INDEX(TableDiv[[GASB]:[GASB]],_xlfn.AGGREGATE(15,3,(TableDiv[[Agency]:[Agency]]=$E512)/(TableDiv[[Agency]:[Agency]]=$E512)*(ROW(TableDiv[Agency])-ROW(TableDiv[[#Headers],[Agency]])),COLUMNS($F$7:AM$7))))</f>
        <v/>
      </c>
      <c r="AN512" s="2223"/>
      <c r="AO512" s="2223"/>
      <c r="AP512" s="2223"/>
      <c r="AQ512" s="2223"/>
      <c r="AR512" s="2223"/>
      <c r="AS512" s="2223"/>
    </row>
    <row r="513" spans="1:45" ht="15" x14ac:dyDescent="0.25">
      <c r="A513" s="2219"/>
      <c r="B513" s="2219"/>
      <c r="C513" s="2223"/>
      <c r="W513" s="2223" t="str" cm="1">
        <f t="array" ref="W513">IF($D513&lt;COLUMNS($F$7:W$7),"",INDEX(TableDiv[[GASB]:[GASB]],_xlfn.AGGREGATE(15,3,(TableDiv[[Agency]:[Agency]]=$E513)/(TableDiv[[Agency]:[Agency]]=$E513)*(ROW(TableDiv[Agency])-ROW(TableDiv[[#Headers],[Agency]])),COLUMNS($F$7:W$7))))</f>
        <v/>
      </c>
      <c r="X513" s="2223" t="str" cm="1">
        <f t="array" ref="X513">IF($D513&lt;COLUMNS($F$7:X$7),"",INDEX(TableDiv[[GASB]:[GASB]],_xlfn.AGGREGATE(15,3,(TableDiv[[Agency]:[Agency]]=$E513)/(TableDiv[[Agency]:[Agency]]=$E513)*(ROW(TableDiv[Agency])-ROW(TableDiv[[#Headers],[Agency]])),COLUMNS($F$7:X$7))))</f>
        <v/>
      </c>
      <c r="Y513" s="2223" t="str" cm="1">
        <f t="array" ref="Y513">IF($D513&lt;COLUMNS($F$7:Y$7),"",INDEX(TableDiv[[GASB]:[GASB]],_xlfn.AGGREGATE(15,3,(TableDiv[[Agency]:[Agency]]=$E513)/(TableDiv[[Agency]:[Agency]]=$E513)*(ROW(TableDiv[Agency])-ROW(TableDiv[[#Headers],[Agency]])),COLUMNS($F$7:Y$7))))</f>
        <v/>
      </c>
      <c r="Z513" s="2223" t="str" cm="1">
        <f t="array" ref="Z513">IF($D513&lt;COLUMNS($F$7:Z$7),"",INDEX(TableDiv[[GASB]:[GASB]],_xlfn.AGGREGATE(15,3,(TableDiv[[Agency]:[Agency]]=$E513)/(TableDiv[[Agency]:[Agency]]=$E513)*(ROW(TableDiv[Agency])-ROW(TableDiv[[#Headers],[Agency]])),COLUMNS($F$7:Z$7))))</f>
        <v/>
      </c>
      <c r="AA513" s="2223" t="str" cm="1">
        <f t="array" ref="AA513">IF($D513&lt;COLUMNS($F$7:AA$7),"",INDEX(TableDiv[[GASB]:[GASB]],_xlfn.AGGREGATE(15,3,(TableDiv[[Agency]:[Agency]]=$E513)/(TableDiv[[Agency]:[Agency]]=$E513)*(ROW(TableDiv[Agency])-ROW(TableDiv[[#Headers],[Agency]])),COLUMNS($F$7:AA$7))))</f>
        <v/>
      </c>
      <c r="AB513" s="2223" t="str" cm="1">
        <f t="array" ref="AB513">IF($D513&lt;COLUMNS($F$7:AB$7),"",INDEX(TableDiv[[GASB]:[GASB]],_xlfn.AGGREGATE(15,3,(TableDiv[[Agency]:[Agency]]=$E513)/(TableDiv[[Agency]:[Agency]]=$E513)*(ROW(TableDiv[Agency])-ROW(TableDiv[[#Headers],[Agency]])),COLUMNS($F$7:AB$7))))</f>
        <v/>
      </c>
      <c r="AC513" s="2223" t="str" cm="1">
        <f t="array" ref="AC513">IF($D513&lt;COLUMNS($F$7:AC$7),"",INDEX(TableDiv[[GASB]:[GASB]],_xlfn.AGGREGATE(15,3,(TableDiv[[Agency]:[Agency]]=$E513)/(TableDiv[[Agency]:[Agency]]=$E513)*(ROW(TableDiv[Agency])-ROW(TableDiv[[#Headers],[Agency]])),COLUMNS($F$7:AC$7))))</f>
        <v/>
      </c>
      <c r="AD513" s="2223" t="str" cm="1">
        <f t="array" ref="AD513">IF($D513&lt;COLUMNS($F$7:AD$7),"",INDEX(TableDiv[[GASB]:[GASB]],_xlfn.AGGREGATE(15,3,(TableDiv[[Agency]:[Agency]]=$E513)/(TableDiv[[Agency]:[Agency]]=$E513)*(ROW(TableDiv[Agency])-ROW(TableDiv[[#Headers],[Agency]])),COLUMNS($F$7:AD$7))))</f>
        <v/>
      </c>
      <c r="AE513" s="2223" t="str" cm="1">
        <f t="array" ref="AE513">IF($D513&lt;COLUMNS($F$7:AE$7),"",INDEX(TableDiv[[GASB]:[GASB]],_xlfn.AGGREGATE(15,3,(TableDiv[[Agency]:[Agency]]=$E513)/(TableDiv[[Agency]:[Agency]]=$E513)*(ROW(TableDiv[Agency])-ROW(TableDiv[[#Headers],[Agency]])),COLUMNS($F$7:AE$7))))</f>
        <v/>
      </c>
      <c r="AF513" s="2223" t="str" cm="1">
        <f t="array" ref="AF513">IF($D513&lt;COLUMNS($F$7:AF$7),"",INDEX(TableDiv[[GASB]:[GASB]],_xlfn.AGGREGATE(15,3,(TableDiv[[Agency]:[Agency]]=$E513)/(TableDiv[[Agency]:[Agency]]=$E513)*(ROW(TableDiv[Agency])-ROW(TableDiv[[#Headers],[Agency]])),COLUMNS($F$7:AF$7))))</f>
        <v/>
      </c>
      <c r="AG513" s="2223" t="str" cm="1">
        <f t="array" ref="AG513">IF($D513&lt;COLUMNS($F$7:AG$7),"",INDEX(TableDiv[[GASB]:[GASB]],_xlfn.AGGREGATE(15,3,(TableDiv[[Agency]:[Agency]]=$E513)/(TableDiv[[Agency]:[Agency]]=$E513)*(ROW(TableDiv[Agency])-ROW(TableDiv[[#Headers],[Agency]])),COLUMNS($F$7:AG$7))))</f>
        <v/>
      </c>
      <c r="AH513" s="2223" t="str" cm="1">
        <f t="array" ref="AH513">IF($D513&lt;COLUMNS($F$7:AH$7),"",INDEX(TableDiv[[GASB]:[GASB]],_xlfn.AGGREGATE(15,3,(TableDiv[[Agency]:[Agency]]=$E513)/(TableDiv[[Agency]:[Agency]]=$E513)*(ROW(TableDiv[Agency])-ROW(TableDiv[[#Headers],[Agency]])),COLUMNS($F$7:AH$7))))</f>
        <v/>
      </c>
      <c r="AI513" s="2223" t="str" cm="1">
        <f t="array" ref="AI513">IF($D513&lt;COLUMNS($F$7:AI$7),"",INDEX(TableDiv[[GASB]:[GASB]],_xlfn.AGGREGATE(15,3,(TableDiv[[Agency]:[Agency]]=$E513)/(TableDiv[[Agency]:[Agency]]=$E513)*(ROW(TableDiv[Agency])-ROW(TableDiv[[#Headers],[Agency]])),COLUMNS($F$7:AI$7))))</f>
        <v/>
      </c>
      <c r="AJ513" s="2223" t="str" cm="1">
        <f t="array" ref="AJ513">IF($D513&lt;COLUMNS($F$7:AJ$7),"",INDEX(TableDiv[[GASB]:[GASB]],_xlfn.AGGREGATE(15,3,(TableDiv[[Agency]:[Agency]]=$E513)/(TableDiv[[Agency]:[Agency]]=$E513)*(ROW(TableDiv[Agency])-ROW(TableDiv[[#Headers],[Agency]])),COLUMNS($F$7:AJ$7))))</f>
        <v/>
      </c>
      <c r="AK513" s="2223" t="str" cm="1">
        <f t="array" ref="AK513">IF($D513&lt;COLUMNS($F$7:AK$7),"",INDEX(TableDiv[[GASB]:[GASB]],_xlfn.AGGREGATE(15,3,(TableDiv[[Agency]:[Agency]]=$E513)/(TableDiv[[Agency]:[Agency]]=$E513)*(ROW(TableDiv[Agency])-ROW(TableDiv[[#Headers],[Agency]])),COLUMNS($F$7:AK$7))))</f>
        <v/>
      </c>
      <c r="AL513" s="2223" t="str" cm="1">
        <f t="array" ref="AL513">IF($D513&lt;COLUMNS($F$7:AL$7),"",INDEX(TableDiv[[GASB]:[GASB]],_xlfn.AGGREGATE(15,3,(TableDiv[[Agency]:[Agency]]=$E513)/(TableDiv[[Agency]:[Agency]]=$E513)*(ROW(TableDiv[Agency])-ROW(TableDiv[[#Headers],[Agency]])),COLUMNS($F$7:AL$7))))</f>
        <v/>
      </c>
      <c r="AM513" s="2223" t="str" cm="1">
        <f t="array" ref="AM513">IF($D513&lt;COLUMNS($F$7:AM$7),"",INDEX(TableDiv[[GASB]:[GASB]],_xlfn.AGGREGATE(15,3,(TableDiv[[Agency]:[Agency]]=$E513)/(TableDiv[[Agency]:[Agency]]=$E513)*(ROW(TableDiv[Agency])-ROW(TableDiv[[#Headers],[Agency]])),COLUMNS($F$7:AM$7))))</f>
        <v/>
      </c>
      <c r="AN513" s="2223"/>
      <c r="AO513" s="2223"/>
      <c r="AP513" s="2223"/>
      <c r="AQ513" s="2223"/>
      <c r="AR513" s="2223"/>
      <c r="AS513" s="2223"/>
    </row>
    <row r="514" spans="1:45" ht="15" x14ac:dyDescent="0.25">
      <c r="A514" s="2219"/>
      <c r="B514" s="2219"/>
      <c r="C514" s="2223"/>
      <c r="W514" s="2223" t="str" cm="1">
        <f t="array" ref="W514">IF($D514&lt;COLUMNS($F$7:W$7),"",INDEX(TableDiv[[GASB]:[GASB]],_xlfn.AGGREGATE(15,3,(TableDiv[[Agency]:[Agency]]=$E514)/(TableDiv[[Agency]:[Agency]]=$E514)*(ROW(TableDiv[Agency])-ROW(TableDiv[[#Headers],[Agency]])),COLUMNS($F$7:W$7))))</f>
        <v/>
      </c>
      <c r="X514" s="2223" t="str" cm="1">
        <f t="array" ref="X514">IF($D514&lt;COLUMNS($F$7:X$7),"",INDEX(TableDiv[[GASB]:[GASB]],_xlfn.AGGREGATE(15,3,(TableDiv[[Agency]:[Agency]]=$E514)/(TableDiv[[Agency]:[Agency]]=$E514)*(ROW(TableDiv[Agency])-ROW(TableDiv[[#Headers],[Agency]])),COLUMNS($F$7:X$7))))</f>
        <v/>
      </c>
      <c r="Y514" s="2223" t="str" cm="1">
        <f t="array" ref="Y514">IF($D514&lt;COLUMNS($F$7:Y$7),"",INDEX(TableDiv[[GASB]:[GASB]],_xlfn.AGGREGATE(15,3,(TableDiv[[Agency]:[Agency]]=$E514)/(TableDiv[[Agency]:[Agency]]=$E514)*(ROW(TableDiv[Agency])-ROW(TableDiv[[#Headers],[Agency]])),COLUMNS($F$7:Y$7))))</f>
        <v/>
      </c>
      <c r="Z514" s="2223" t="str" cm="1">
        <f t="array" ref="Z514">IF($D514&lt;COLUMNS($F$7:Z$7),"",INDEX(TableDiv[[GASB]:[GASB]],_xlfn.AGGREGATE(15,3,(TableDiv[[Agency]:[Agency]]=$E514)/(TableDiv[[Agency]:[Agency]]=$E514)*(ROW(TableDiv[Agency])-ROW(TableDiv[[#Headers],[Agency]])),COLUMNS($F$7:Z$7))))</f>
        <v/>
      </c>
      <c r="AA514" s="2223" t="str" cm="1">
        <f t="array" ref="AA514">IF($D514&lt;COLUMNS($F$7:AA$7),"",INDEX(TableDiv[[GASB]:[GASB]],_xlfn.AGGREGATE(15,3,(TableDiv[[Agency]:[Agency]]=$E514)/(TableDiv[[Agency]:[Agency]]=$E514)*(ROW(TableDiv[Agency])-ROW(TableDiv[[#Headers],[Agency]])),COLUMNS($F$7:AA$7))))</f>
        <v/>
      </c>
      <c r="AB514" s="2223" t="str" cm="1">
        <f t="array" ref="AB514">IF($D514&lt;COLUMNS($F$7:AB$7),"",INDEX(TableDiv[[GASB]:[GASB]],_xlfn.AGGREGATE(15,3,(TableDiv[[Agency]:[Agency]]=$E514)/(TableDiv[[Agency]:[Agency]]=$E514)*(ROW(TableDiv[Agency])-ROW(TableDiv[[#Headers],[Agency]])),COLUMNS($F$7:AB$7))))</f>
        <v/>
      </c>
      <c r="AC514" s="2223" t="str" cm="1">
        <f t="array" ref="AC514">IF($D514&lt;COLUMNS($F$7:AC$7),"",INDEX(TableDiv[[GASB]:[GASB]],_xlfn.AGGREGATE(15,3,(TableDiv[[Agency]:[Agency]]=$E514)/(TableDiv[[Agency]:[Agency]]=$E514)*(ROW(TableDiv[Agency])-ROW(TableDiv[[#Headers],[Agency]])),COLUMNS($F$7:AC$7))))</f>
        <v/>
      </c>
      <c r="AD514" s="2223" t="str" cm="1">
        <f t="array" ref="AD514">IF($D514&lt;COLUMNS($F$7:AD$7),"",INDEX(TableDiv[[GASB]:[GASB]],_xlfn.AGGREGATE(15,3,(TableDiv[[Agency]:[Agency]]=$E514)/(TableDiv[[Agency]:[Agency]]=$E514)*(ROW(TableDiv[Agency])-ROW(TableDiv[[#Headers],[Agency]])),COLUMNS($F$7:AD$7))))</f>
        <v/>
      </c>
      <c r="AE514" s="2223" t="str" cm="1">
        <f t="array" ref="AE514">IF($D514&lt;COLUMNS($F$7:AE$7),"",INDEX(TableDiv[[GASB]:[GASB]],_xlfn.AGGREGATE(15,3,(TableDiv[[Agency]:[Agency]]=$E514)/(TableDiv[[Agency]:[Agency]]=$E514)*(ROW(TableDiv[Agency])-ROW(TableDiv[[#Headers],[Agency]])),COLUMNS($F$7:AE$7))))</f>
        <v/>
      </c>
      <c r="AF514" s="2223" t="str" cm="1">
        <f t="array" ref="AF514">IF($D514&lt;COLUMNS($F$7:AF$7),"",INDEX(TableDiv[[GASB]:[GASB]],_xlfn.AGGREGATE(15,3,(TableDiv[[Agency]:[Agency]]=$E514)/(TableDiv[[Agency]:[Agency]]=$E514)*(ROW(TableDiv[Agency])-ROW(TableDiv[[#Headers],[Agency]])),COLUMNS($F$7:AF$7))))</f>
        <v/>
      </c>
      <c r="AG514" s="2223" t="str" cm="1">
        <f t="array" ref="AG514">IF($D514&lt;COLUMNS($F$7:AG$7),"",INDEX(TableDiv[[GASB]:[GASB]],_xlfn.AGGREGATE(15,3,(TableDiv[[Agency]:[Agency]]=$E514)/(TableDiv[[Agency]:[Agency]]=$E514)*(ROW(TableDiv[Agency])-ROW(TableDiv[[#Headers],[Agency]])),COLUMNS($F$7:AG$7))))</f>
        <v/>
      </c>
      <c r="AH514" s="2223" t="str" cm="1">
        <f t="array" ref="AH514">IF($D514&lt;COLUMNS($F$7:AH$7),"",INDEX(TableDiv[[GASB]:[GASB]],_xlfn.AGGREGATE(15,3,(TableDiv[[Agency]:[Agency]]=$E514)/(TableDiv[[Agency]:[Agency]]=$E514)*(ROW(TableDiv[Agency])-ROW(TableDiv[[#Headers],[Agency]])),COLUMNS($F$7:AH$7))))</f>
        <v/>
      </c>
      <c r="AI514" s="2223" t="str" cm="1">
        <f t="array" ref="AI514">IF($D514&lt;COLUMNS($F$7:AI$7),"",INDEX(TableDiv[[GASB]:[GASB]],_xlfn.AGGREGATE(15,3,(TableDiv[[Agency]:[Agency]]=$E514)/(TableDiv[[Agency]:[Agency]]=$E514)*(ROW(TableDiv[Agency])-ROW(TableDiv[[#Headers],[Agency]])),COLUMNS($F$7:AI$7))))</f>
        <v/>
      </c>
      <c r="AJ514" s="2223" t="str" cm="1">
        <f t="array" ref="AJ514">IF($D514&lt;COLUMNS($F$7:AJ$7),"",INDEX(TableDiv[[GASB]:[GASB]],_xlfn.AGGREGATE(15,3,(TableDiv[[Agency]:[Agency]]=$E514)/(TableDiv[[Agency]:[Agency]]=$E514)*(ROW(TableDiv[Agency])-ROW(TableDiv[[#Headers],[Agency]])),COLUMNS($F$7:AJ$7))))</f>
        <v/>
      </c>
      <c r="AK514" s="2223" t="str" cm="1">
        <f t="array" ref="AK514">IF($D514&lt;COLUMNS($F$7:AK$7),"",INDEX(TableDiv[[GASB]:[GASB]],_xlfn.AGGREGATE(15,3,(TableDiv[[Agency]:[Agency]]=$E514)/(TableDiv[[Agency]:[Agency]]=$E514)*(ROW(TableDiv[Agency])-ROW(TableDiv[[#Headers],[Agency]])),COLUMNS($F$7:AK$7))))</f>
        <v/>
      </c>
      <c r="AL514" s="2223" t="str" cm="1">
        <f t="array" ref="AL514">IF($D514&lt;COLUMNS($F$7:AL$7),"",INDEX(TableDiv[[GASB]:[GASB]],_xlfn.AGGREGATE(15,3,(TableDiv[[Agency]:[Agency]]=$E514)/(TableDiv[[Agency]:[Agency]]=$E514)*(ROW(TableDiv[Agency])-ROW(TableDiv[[#Headers],[Agency]])),COLUMNS($F$7:AL$7))))</f>
        <v/>
      </c>
      <c r="AM514" s="2223" t="str" cm="1">
        <f t="array" ref="AM514">IF($D514&lt;COLUMNS($F$7:AM$7),"",INDEX(TableDiv[[GASB]:[GASB]],_xlfn.AGGREGATE(15,3,(TableDiv[[Agency]:[Agency]]=$E514)/(TableDiv[[Agency]:[Agency]]=$E514)*(ROW(TableDiv[Agency])-ROW(TableDiv[[#Headers],[Agency]])),COLUMNS($F$7:AM$7))))</f>
        <v/>
      </c>
      <c r="AN514" s="2223"/>
      <c r="AO514" s="2223"/>
      <c r="AP514" s="2223"/>
      <c r="AQ514" s="2223"/>
      <c r="AR514" s="2223"/>
      <c r="AS514" s="2223"/>
    </row>
    <row r="515" spans="1:45" ht="15" x14ac:dyDescent="0.25">
      <c r="A515" s="2219"/>
      <c r="B515" s="2219"/>
      <c r="C515" s="2223"/>
      <c r="W515" s="2223" t="str" cm="1">
        <f t="array" ref="W515">IF($D515&lt;COLUMNS($F$7:W$7),"",INDEX(TableDiv[[GASB]:[GASB]],_xlfn.AGGREGATE(15,3,(TableDiv[[Agency]:[Agency]]=$E515)/(TableDiv[[Agency]:[Agency]]=$E515)*(ROW(TableDiv[Agency])-ROW(TableDiv[[#Headers],[Agency]])),COLUMNS($F$7:W$7))))</f>
        <v/>
      </c>
      <c r="X515" s="2223" t="str" cm="1">
        <f t="array" ref="X515">IF($D515&lt;COLUMNS($F$7:X$7),"",INDEX(TableDiv[[GASB]:[GASB]],_xlfn.AGGREGATE(15,3,(TableDiv[[Agency]:[Agency]]=$E515)/(TableDiv[[Agency]:[Agency]]=$E515)*(ROW(TableDiv[Agency])-ROW(TableDiv[[#Headers],[Agency]])),COLUMNS($F$7:X$7))))</f>
        <v/>
      </c>
      <c r="Y515" s="2223" t="str" cm="1">
        <f t="array" ref="Y515">IF($D515&lt;COLUMNS($F$7:Y$7),"",INDEX(TableDiv[[GASB]:[GASB]],_xlfn.AGGREGATE(15,3,(TableDiv[[Agency]:[Agency]]=$E515)/(TableDiv[[Agency]:[Agency]]=$E515)*(ROW(TableDiv[Agency])-ROW(TableDiv[[#Headers],[Agency]])),COLUMNS($F$7:Y$7))))</f>
        <v/>
      </c>
      <c r="Z515" s="2223" t="str" cm="1">
        <f t="array" ref="Z515">IF($D515&lt;COLUMNS($F$7:Z$7),"",INDEX(TableDiv[[GASB]:[GASB]],_xlfn.AGGREGATE(15,3,(TableDiv[[Agency]:[Agency]]=$E515)/(TableDiv[[Agency]:[Agency]]=$E515)*(ROW(TableDiv[Agency])-ROW(TableDiv[[#Headers],[Agency]])),COLUMNS($F$7:Z$7))))</f>
        <v/>
      </c>
      <c r="AA515" s="2223" t="str" cm="1">
        <f t="array" ref="AA515">IF($D515&lt;COLUMNS($F$7:AA$7),"",INDEX(TableDiv[[GASB]:[GASB]],_xlfn.AGGREGATE(15,3,(TableDiv[[Agency]:[Agency]]=$E515)/(TableDiv[[Agency]:[Agency]]=$E515)*(ROW(TableDiv[Agency])-ROW(TableDiv[[#Headers],[Agency]])),COLUMNS($F$7:AA$7))))</f>
        <v/>
      </c>
      <c r="AB515" s="2223" t="str" cm="1">
        <f t="array" ref="AB515">IF($D515&lt;COLUMNS($F$7:AB$7),"",INDEX(TableDiv[[GASB]:[GASB]],_xlfn.AGGREGATE(15,3,(TableDiv[[Agency]:[Agency]]=$E515)/(TableDiv[[Agency]:[Agency]]=$E515)*(ROW(TableDiv[Agency])-ROW(TableDiv[[#Headers],[Agency]])),COLUMNS($F$7:AB$7))))</f>
        <v/>
      </c>
      <c r="AC515" s="2223" t="str" cm="1">
        <f t="array" ref="AC515">IF($D515&lt;COLUMNS($F$7:AC$7),"",INDEX(TableDiv[[GASB]:[GASB]],_xlfn.AGGREGATE(15,3,(TableDiv[[Agency]:[Agency]]=$E515)/(TableDiv[[Agency]:[Agency]]=$E515)*(ROW(TableDiv[Agency])-ROW(TableDiv[[#Headers],[Agency]])),COLUMNS($F$7:AC$7))))</f>
        <v/>
      </c>
      <c r="AD515" s="2223" t="str" cm="1">
        <f t="array" ref="AD515">IF($D515&lt;COLUMNS($F$7:AD$7),"",INDEX(TableDiv[[GASB]:[GASB]],_xlfn.AGGREGATE(15,3,(TableDiv[[Agency]:[Agency]]=$E515)/(TableDiv[[Agency]:[Agency]]=$E515)*(ROW(TableDiv[Agency])-ROW(TableDiv[[#Headers],[Agency]])),COLUMNS($F$7:AD$7))))</f>
        <v/>
      </c>
      <c r="AE515" s="2223" t="str" cm="1">
        <f t="array" ref="AE515">IF($D515&lt;COLUMNS($F$7:AE$7),"",INDEX(TableDiv[[GASB]:[GASB]],_xlfn.AGGREGATE(15,3,(TableDiv[[Agency]:[Agency]]=$E515)/(TableDiv[[Agency]:[Agency]]=$E515)*(ROW(TableDiv[Agency])-ROW(TableDiv[[#Headers],[Agency]])),COLUMNS($F$7:AE$7))))</f>
        <v/>
      </c>
      <c r="AF515" s="2223" t="str" cm="1">
        <f t="array" ref="AF515">IF($D515&lt;COLUMNS($F$7:AF$7),"",INDEX(TableDiv[[GASB]:[GASB]],_xlfn.AGGREGATE(15,3,(TableDiv[[Agency]:[Agency]]=$E515)/(TableDiv[[Agency]:[Agency]]=$E515)*(ROW(TableDiv[Agency])-ROW(TableDiv[[#Headers],[Agency]])),COLUMNS($F$7:AF$7))))</f>
        <v/>
      </c>
      <c r="AG515" s="2223" t="str" cm="1">
        <f t="array" ref="AG515">IF($D515&lt;COLUMNS($F$7:AG$7),"",INDEX(TableDiv[[GASB]:[GASB]],_xlfn.AGGREGATE(15,3,(TableDiv[[Agency]:[Agency]]=$E515)/(TableDiv[[Agency]:[Agency]]=$E515)*(ROW(TableDiv[Agency])-ROW(TableDiv[[#Headers],[Agency]])),COLUMNS($F$7:AG$7))))</f>
        <v/>
      </c>
      <c r="AH515" s="2223" t="str" cm="1">
        <f t="array" ref="AH515">IF($D515&lt;COLUMNS($F$7:AH$7),"",INDEX(TableDiv[[GASB]:[GASB]],_xlfn.AGGREGATE(15,3,(TableDiv[[Agency]:[Agency]]=$E515)/(TableDiv[[Agency]:[Agency]]=$E515)*(ROW(TableDiv[Agency])-ROW(TableDiv[[#Headers],[Agency]])),COLUMNS($F$7:AH$7))))</f>
        <v/>
      </c>
      <c r="AI515" s="2223" t="str" cm="1">
        <f t="array" ref="AI515">IF($D515&lt;COLUMNS($F$7:AI$7),"",INDEX(TableDiv[[GASB]:[GASB]],_xlfn.AGGREGATE(15,3,(TableDiv[[Agency]:[Agency]]=$E515)/(TableDiv[[Agency]:[Agency]]=$E515)*(ROW(TableDiv[Agency])-ROW(TableDiv[[#Headers],[Agency]])),COLUMNS($F$7:AI$7))))</f>
        <v/>
      </c>
      <c r="AJ515" s="2223" t="str" cm="1">
        <f t="array" ref="AJ515">IF($D515&lt;COLUMNS($F$7:AJ$7),"",INDEX(TableDiv[[GASB]:[GASB]],_xlfn.AGGREGATE(15,3,(TableDiv[[Agency]:[Agency]]=$E515)/(TableDiv[[Agency]:[Agency]]=$E515)*(ROW(TableDiv[Agency])-ROW(TableDiv[[#Headers],[Agency]])),COLUMNS($F$7:AJ$7))))</f>
        <v/>
      </c>
      <c r="AK515" s="2223" t="str" cm="1">
        <f t="array" ref="AK515">IF($D515&lt;COLUMNS($F$7:AK$7),"",INDEX(TableDiv[[GASB]:[GASB]],_xlfn.AGGREGATE(15,3,(TableDiv[[Agency]:[Agency]]=$E515)/(TableDiv[[Agency]:[Agency]]=$E515)*(ROW(TableDiv[Agency])-ROW(TableDiv[[#Headers],[Agency]])),COLUMNS($F$7:AK$7))))</f>
        <v/>
      </c>
      <c r="AL515" s="2223" t="str" cm="1">
        <f t="array" ref="AL515">IF($D515&lt;COLUMNS($F$7:AL$7),"",INDEX(TableDiv[[GASB]:[GASB]],_xlfn.AGGREGATE(15,3,(TableDiv[[Agency]:[Agency]]=$E515)/(TableDiv[[Agency]:[Agency]]=$E515)*(ROW(TableDiv[Agency])-ROW(TableDiv[[#Headers],[Agency]])),COLUMNS($F$7:AL$7))))</f>
        <v/>
      </c>
      <c r="AM515" s="2223" t="str" cm="1">
        <f t="array" ref="AM515">IF($D515&lt;COLUMNS($F$7:AM$7),"",INDEX(TableDiv[[GASB]:[GASB]],_xlfn.AGGREGATE(15,3,(TableDiv[[Agency]:[Agency]]=$E515)/(TableDiv[[Agency]:[Agency]]=$E515)*(ROW(TableDiv[Agency])-ROW(TableDiv[[#Headers],[Agency]])),COLUMNS($F$7:AM$7))))</f>
        <v/>
      </c>
      <c r="AN515" s="2223"/>
      <c r="AO515" s="2223"/>
      <c r="AP515" s="2223"/>
      <c r="AQ515" s="2223"/>
      <c r="AR515" s="2223"/>
      <c r="AS515" s="2223"/>
    </row>
    <row r="516" spans="1:45" ht="15" x14ac:dyDescent="0.25">
      <c r="A516" s="2219"/>
      <c r="B516" s="2219"/>
      <c r="C516" s="2223"/>
      <c r="W516" s="2223" t="str" cm="1">
        <f t="array" ref="W516">IF($D516&lt;COLUMNS($F$7:W$7),"",INDEX(TableDiv[[GASB]:[GASB]],_xlfn.AGGREGATE(15,3,(TableDiv[[Agency]:[Agency]]=$E516)/(TableDiv[[Agency]:[Agency]]=$E516)*(ROW(TableDiv[Agency])-ROW(TableDiv[[#Headers],[Agency]])),COLUMNS($F$7:W$7))))</f>
        <v/>
      </c>
      <c r="X516" s="2223" t="str" cm="1">
        <f t="array" ref="X516">IF($D516&lt;COLUMNS($F$7:X$7),"",INDEX(TableDiv[[GASB]:[GASB]],_xlfn.AGGREGATE(15,3,(TableDiv[[Agency]:[Agency]]=$E516)/(TableDiv[[Agency]:[Agency]]=$E516)*(ROW(TableDiv[Agency])-ROW(TableDiv[[#Headers],[Agency]])),COLUMNS($F$7:X$7))))</f>
        <v/>
      </c>
      <c r="Y516" s="2223" t="str" cm="1">
        <f t="array" ref="Y516">IF($D516&lt;COLUMNS($F$7:Y$7),"",INDEX(TableDiv[[GASB]:[GASB]],_xlfn.AGGREGATE(15,3,(TableDiv[[Agency]:[Agency]]=$E516)/(TableDiv[[Agency]:[Agency]]=$E516)*(ROW(TableDiv[Agency])-ROW(TableDiv[[#Headers],[Agency]])),COLUMNS($F$7:Y$7))))</f>
        <v/>
      </c>
      <c r="Z516" s="2223" t="str" cm="1">
        <f t="array" ref="Z516">IF($D516&lt;COLUMNS($F$7:Z$7),"",INDEX(TableDiv[[GASB]:[GASB]],_xlfn.AGGREGATE(15,3,(TableDiv[[Agency]:[Agency]]=$E516)/(TableDiv[[Agency]:[Agency]]=$E516)*(ROW(TableDiv[Agency])-ROW(TableDiv[[#Headers],[Agency]])),COLUMNS($F$7:Z$7))))</f>
        <v/>
      </c>
      <c r="AA516" s="2223" t="str" cm="1">
        <f t="array" ref="AA516">IF($D516&lt;COLUMNS($F$7:AA$7),"",INDEX(TableDiv[[GASB]:[GASB]],_xlfn.AGGREGATE(15,3,(TableDiv[[Agency]:[Agency]]=$E516)/(TableDiv[[Agency]:[Agency]]=$E516)*(ROW(TableDiv[Agency])-ROW(TableDiv[[#Headers],[Agency]])),COLUMNS($F$7:AA$7))))</f>
        <v/>
      </c>
      <c r="AB516" s="2223" t="str" cm="1">
        <f t="array" ref="AB516">IF($D516&lt;COLUMNS($F$7:AB$7),"",INDEX(TableDiv[[GASB]:[GASB]],_xlfn.AGGREGATE(15,3,(TableDiv[[Agency]:[Agency]]=$E516)/(TableDiv[[Agency]:[Agency]]=$E516)*(ROW(TableDiv[Agency])-ROW(TableDiv[[#Headers],[Agency]])),COLUMNS($F$7:AB$7))))</f>
        <v/>
      </c>
      <c r="AC516" s="2223" t="str" cm="1">
        <f t="array" ref="AC516">IF($D516&lt;COLUMNS($F$7:AC$7),"",INDEX(TableDiv[[GASB]:[GASB]],_xlfn.AGGREGATE(15,3,(TableDiv[[Agency]:[Agency]]=$E516)/(TableDiv[[Agency]:[Agency]]=$E516)*(ROW(TableDiv[Agency])-ROW(TableDiv[[#Headers],[Agency]])),COLUMNS($F$7:AC$7))))</f>
        <v/>
      </c>
      <c r="AD516" s="2223" t="str" cm="1">
        <f t="array" ref="AD516">IF($D516&lt;COLUMNS($F$7:AD$7),"",INDEX(TableDiv[[GASB]:[GASB]],_xlfn.AGGREGATE(15,3,(TableDiv[[Agency]:[Agency]]=$E516)/(TableDiv[[Agency]:[Agency]]=$E516)*(ROW(TableDiv[Agency])-ROW(TableDiv[[#Headers],[Agency]])),COLUMNS($F$7:AD$7))))</f>
        <v/>
      </c>
      <c r="AE516" s="2223" t="str" cm="1">
        <f t="array" ref="AE516">IF($D516&lt;COLUMNS($F$7:AE$7),"",INDEX(TableDiv[[GASB]:[GASB]],_xlfn.AGGREGATE(15,3,(TableDiv[[Agency]:[Agency]]=$E516)/(TableDiv[[Agency]:[Agency]]=$E516)*(ROW(TableDiv[Agency])-ROW(TableDiv[[#Headers],[Agency]])),COLUMNS($F$7:AE$7))))</f>
        <v/>
      </c>
      <c r="AF516" s="2223" t="str" cm="1">
        <f t="array" ref="AF516">IF($D516&lt;COLUMNS($F$7:AF$7),"",INDEX(TableDiv[[GASB]:[GASB]],_xlfn.AGGREGATE(15,3,(TableDiv[[Agency]:[Agency]]=$E516)/(TableDiv[[Agency]:[Agency]]=$E516)*(ROW(TableDiv[Agency])-ROW(TableDiv[[#Headers],[Agency]])),COLUMNS($F$7:AF$7))))</f>
        <v/>
      </c>
      <c r="AG516" s="2223" t="str" cm="1">
        <f t="array" ref="AG516">IF($D516&lt;COLUMNS($F$7:AG$7),"",INDEX(TableDiv[[GASB]:[GASB]],_xlfn.AGGREGATE(15,3,(TableDiv[[Agency]:[Agency]]=$E516)/(TableDiv[[Agency]:[Agency]]=$E516)*(ROW(TableDiv[Agency])-ROW(TableDiv[[#Headers],[Agency]])),COLUMNS($F$7:AG$7))))</f>
        <v/>
      </c>
      <c r="AH516" s="2223" t="str" cm="1">
        <f t="array" ref="AH516">IF($D516&lt;COLUMNS($F$7:AH$7),"",INDEX(TableDiv[[GASB]:[GASB]],_xlfn.AGGREGATE(15,3,(TableDiv[[Agency]:[Agency]]=$E516)/(TableDiv[[Agency]:[Agency]]=$E516)*(ROW(TableDiv[Agency])-ROW(TableDiv[[#Headers],[Agency]])),COLUMNS($F$7:AH$7))))</f>
        <v/>
      </c>
      <c r="AI516" s="2223" t="str" cm="1">
        <f t="array" ref="AI516">IF($D516&lt;COLUMNS($F$7:AI$7),"",INDEX(TableDiv[[GASB]:[GASB]],_xlfn.AGGREGATE(15,3,(TableDiv[[Agency]:[Agency]]=$E516)/(TableDiv[[Agency]:[Agency]]=$E516)*(ROW(TableDiv[Agency])-ROW(TableDiv[[#Headers],[Agency]])),COLUMNS($F$7:AI$7))))</f>
        <v/>
      </c>
      <c r="AJ516" s="2223" t="str" cm="1">
        <f t="array" ref="AJ516">IF($D516&lt;COLUMNS($F$7:AJ$7),"",INDEX(TableDiv[[GASB]:[GASB]],_xlfn.AGGREGATE(15,3,(TableDiv[[Agency]:[Agency]]=$E516)/(TableDiv[[Agency]:[Agency]]=$E516)*(ROW(TableDiv[Agency])-ROW(TableDiv[[#Headers],[Agency]])),COLUMNS($F$7:AJ$7))))</f>
        <v/>
      </c>
      <c r="AK516" s="2223" t="str" cm="1">
        <f t="array" ref="AK516">IF($D516&lt;COLUMNS($F$7:AK$7),"",INDEX(TableDiv[[GASB]:[GASB]],_xlfn.AGGREGATE(15,3,(TableDiv[[Agency]:[Agency]]=$E516)/(TableDiv[[Agency]:[Agency]]=$E516)*(ROW(TableDiv[Agency])-ROW(TableDiv[[#Headers],[Agency]])),COLUMNS($F$7:AK$7))))</f>
        <v/>
      </c>
      <c r="AL516" s="2223" t="str" cm="1">
        <f t="array" ref="AL516">IF($D516&lt;COLUMNS($F$7:AL$7),"",INDEX(TableDiv[[GASB]:[GASB]],_xlfn.AGGREGATE(15,3,(TableDiv[[Agency]:[Agency]]=$E516)/(TableDiv[[Agency]:[Agency]]=$E516)*(ROW(TableDiv[Agency])-ROW(TableDiv[[#Headers],[Agency]])),COLUMNS($F$7:AL$7))))</f>
        <v/>
      </c>
      <c r="AM516" s="2223" t="str" cm="1">
        <f t="array" ref="AM516">IF($D516&lt;COLUMNS($F$7:AM$7),"",INDEX(TableDiv[[GASB]:[GASB]],_xlfn.AGGREGATE(15,3,(TableDiv[[Agency]:[Agency]]=$E516)/(TableDiv[[Agency]:[Agency]]=$E516)*(ROW(TableDiv[Agency])-ROW(TableDiv[[#Headers],[Agency]])),COLUMNS($F$7:AM$7))))</f>
        <v/>
      </c>
      <c r="AN516" s="2223"/>
      <c r="AO516" s="2223"/>
      <c r="AP516" s="2223"/>
      <c r="AQ516" s="2223"/>
      <c r="AR516" s="2223"/>
      <c r="AS516" s="2223"/>
    </row>
    <row r="517" spans="1:45" ht="15" x14ac:dyDescent="0.25">
      <c r="A517" s="2219"/>
      <c r="B517" s="2219"/>
      <c r="C517" s="2223"/>
      <c r="W517" s="2223" t="str" cm="1">
        <f t="array" ref="W517">IF($D517&lt;COLUMNS($F$7:W$7),"",INDEX(TableDiv[[GASB]:[GASB]],_xlfn.AGGREGATE(15,3,(TableDiv[[Agency]:[Agency]]=$E517)/(TableDiv[[Agency]:[Agency]]=$E517)*(ROW(TableDiv[Agency])-ROW(TableDiv[[#Headers],[Agency]])),COLUMNS($F$7:W$7))))</f>
        <v/>
      </c>
      <c r="X517" s="2223" t="str" cm="1">
        <f t="array" ref="X517">IF($D517&lt;COLUMNS($F$7:X$7),"",INDEX(TableDiv[[GASB]:[GASB]],_xlfn.AGGREGATE(15,3,(TableDiv[[Agency]:[Agency]]=$E517)/(TableDiv[[Agency]:[Agency]]=$E517)*(ROW(TableDiv[Agency])-ROW(TableDiv[[#Headers],[Agency]])),COLUMNS($F$7:X$7))))</f>
        <v/>
      </c>
      <c r="Y517" s="2223" t="str" cm="1">
        <f t="array" ref="Y517">IF($D517&lt;COLUMNS($F$7:Y$7),"",INDEX(TableDiv[[GASB]:[GASB]],_xlfn.AGGREGATE(15,3,(TableDiv[[Agency]:[Agency]]=$E517)/(TableDiv[[Agency]:[Agency]]=$E517)*(ROW(TableDiv[Agency])-ROW(TableDiv[[#Headers],[Agency]])),COLUMNS($F$7:Y$7))))</f>
        <v/>
      </c>
      <c r="Z517" s="2223" t="str" cm="1">
        <f t="array" ref="Z517">IF($D517&lt;COLUMNS($F$7:Z$7),"",INDEX(TableDiv[[GASB]:[GASB]],_xlfn.AGGREGATE(15,3,(TableDiv[[Agency]:[Agency]]=$E517)/(TableDiv[[Agency]:[Agency]]=$E517)*(ROW(TableDiv[Agency])-ROW(TableDiv[[#Headers],[Agency]])),COLUMNS($F$7:Z$7))))</f>
        <v/>
      </c>
      <c r="AA517" s="2223" t="str" cm="1">
        <f t="array" ref="AA517">IF($D517&lt;COLUMNS($F$7:AA$7),"",INDEX(TableDiv[[GASB]:[GASB]],_xlfn.AGGREGATE(15,3,(TableDiv[[Agency]:[Agency]]=$E517)/(TableDiv[[Agency]:[Agency]]=$E517)*(ROW(TableDiv[Agency])-ROW(TableDiv[[#Headers],[Agency]])),COLUMNS($F$7:AA$7))))</f>
        <v/>
      </c>
      <c r="AB517" s="2223" t="str" cm="1">
        <f t="array" ref="AB517">IF($D517&lt;COLUMNS($F$7:AB$7),"",INDEX(TableDiv[[GASB]:[GASB]],_xlfn.AGGREGATE(15,3,(TableDiv[[Agency]:[Agency]]=$E517)/(TableDiv[[Agency]:[Agency]]=$E517)*(ROW(TableDiv[Agency])-ROW(TableDiv[[#Headers],[Agency]])),COLUMNS($F$7:AB$7))))</f>
        <v/>
      </c>
      <c r="AC517" s="2223" t="str" cm="1">
        <f t="array" ref="AC517">IF($D517&lt;COLUMNS($F$7:AC$7),"",INDEX(TableDiv[[GASB]:[GASB]],_xlfn.AGGREGATE(15,3,(TableDiv[[Agency]:[Agency]]=$E517)/(TableDiv[[Agency]:[Agency]]=$E517)*(ROW(TableDiv[Agency])-ROW(TableDiv[[#Headers],[Agency]])),COLUMNS($F$7:AC$7))))</f>
        <v/>
      </c>
      <c r="AD517" s="2223" t="str" cm="1">
        <f t="array" ref="AD517">IF($D517&lt;COLUMNS($F$7:AD$7),"",INDEX(TableDiv[[GASB]:[GASB]],_xlfn.AGGREGATE(15,3,(TableDiv[[Agency]:[Agency]]=$E517)/(TableDiv[[Agency]:[Agency]]=$E517)*(ROW(TableDiv[Agency])-ROW(TableDiv[[#Headers],[Agency]])),COLUMNS($F$7:AD$7))))</f>
        <v/>
      </c>
      <c r="AE517" s="2223" t="str" cm="1">
        <f t="array" ref="AE517">IF($D517&lt;COLUMNS($F$7:AE$7),"",INDEX(TableDiv[[GASB]:[GASB]],_xlfn.AGGREGATE(15,3,(TableDiv[[Agency]:[Agency]]=$E517)/(TableDiv[[Agency]:[Agency]]=$E517)*(ROW(TableDiv[Agency])-ROW(TableDiv[[#Headers],[Agency]])),COLUMNS($F$7:AE$7))))</f>
        <v/>
      </c>
      <c r="AF517" s="2223" t="str" cm="1">
        <f t="array" ref="AF517">IF($D517&lt;COLUMNS($F$7:AF$7),"",INDEX(TableDiv[[GASB]:[GASB]],_xlfn.AGGREGATE(15,3,(TableDiv[[Agency]:[Agency]]=$E517)/(TableDiv[[Agency]:[Agency]]=$E517)*(ROW(TableDiv[Agency])-ROW(TableDiv[[#Headers],[Agency]])),COLUMNS($F$7:AF$7))))</f>
        <v/>
      </c>
      <c r="AG517" s="2223" t="str" cm="1">
        <f t="array" ref="AG517">IF($D517&lt;COLUMNS($F$7:AG$7),"",INDEX(TableDiv[[GASB]:[GASB]],_xlfn.AGGREGATE(15,3,(TableDiv[[Agency]:[Agency]]=$E517)/(TableDiv[[Agency]:[Agency]]=$E517)*(ROW(TableDiv[Agency])-ROW(TableDiv[[#Headers],[Agency]])),COLUMNS($F$7:AG$7))))</f>
        <v/>
      </c>
      <c r="AH517" s="2223" t="str" cm="1">
        <f t="array" ref="AH517">IF($D517&lt;COLUMNS($F$7:AH$7),"",INDEX(TableDiv[[GASB]:[GASB]],_xlfn.AGGREGATE(15,3,(TableDiv[[Agency]:[Agency]]=$E517)/(TableDiv[[Agency]:[Agency]]=$E517)*(ROW(TableDiv[Agency])-ROW(TableDiv[[#Headers],[Agency]])),COLUMNS($F$7:AH$7))))</f>
        <v/>
      </c>
      <c r="AI517" s="2223" t="str" cm="1">
        <f t="array" ref="AI517">IF($D517&lt;COLUMNS($F$7:AI$7),"",INDEX(TableDiv[[GASB]:[GASB]],_xlfn.AGGREGATE(15,3,(TableDiv[[Agency]:[Agency]]=$E517)/(TableDiv[[Agency]:[Agency]]=$E517)*(ROW(TableDiv[Agency])-ROW(TableDiv[[#Headers],[Agency]])),COLUMNS($F$7:AI$7))))</f>
        <v/>
      </c>
      <c r="AJ517" s="2223" t="str" cm="1">
        <f t="array" ref="AJ517">IF($D517&lt;COLUMNS($F$7:AJ$7),"",INDEX(TableDiv[[GASB]:[GASB]],_xlfn.AGGREGATE(15,3,(TableDiv[[Agency]:[Agency]]=$E517)/(TableDiv[[Agency]:[Agency]]=$E517)*(ROW(TableDiv[Agency])-ROW(TableDiv[[#Headers],[Agency]])),COLUMNS($F$7:AJ$7))))</f>
        <v/>
      </c>
      <c r="AK517" s="2223" t="str" cm="1">
        <f t="array" ref="AK517">IF($D517&lt;COLUMNS($F$7:AK$7),"",INDEX(TableDiv[[GASB]:[GASB]],_xlfn.AGGREGATE(15,3,(TableDiv[[Agency]:[Agency]]=$E517)/(TableDiv[[Agency]:[Agency]]=$E517)*(ROW(TableDiv[Agency])-ROW(TableDiv[[#Headers],[Agency]])),COLUMNS($F$7:AK$7))))</f>
        <v/>
      </c>
      <c r="AL517" s="2223" t="str" cm="1">
        <f t="array" ref="AL517">IF($D517&lt;COLUMNS($F$7:AL$7),"",INDEX(TableDiv[[GASB]:[GASB]],_xlfn.AGGREGATE(15,3,(TableDiv[[Agency]:[Agency]]=$E517)/(TableDiv[[Agency]:[Agency]]=$E517)*(ROW(TableDiv[Agency])-ROW(TableDiv[[#Headers],[Agency]])),COLUMNS($F$7:AL$7))))</f>
        <v/>
      </c>
      <c r="AM517" s="2223" t="str" cm="1">
        <f t="array" ref="AM517">IF($D517&lt;COLUMNS($F$7:AM$7),"",INDEX(TableDiv[[GASB]:[GASB]],_xlfn.AGGREGATE(15,3,(TableDiv[[Agency]:[Agency]]=$E517)/(TableDiv[[Agency]:[Agency]]=$E517)*(ROW(TableDiv[Agency])-ROW(TableDiv[[#Headers],[Agency]])),COLUMNS($F$7:AM$7))))</f>
        <v/>
      </c>
      <c r="AN517" s="2223"/>
      <c r="AO517" s="2223"/>
      <c r="AP517" s="2223"/>
      <c r="AQ517" s="2223"/>
      <c r="AR517" s="2223"/>
      <c r="AS517" s="2223"/>
    </row>
    <row r="518" spans="1:45" ht="15" x14ac:dyDescent="0.25">
      <c r="A518" s="2219"/>
      <c r="B518" s="2219"/>
      <c r="C518" s="2223"/>
      <c r="W518" s="2223" t="str" cm="1">
        <f t="array" ref="W518">IF($D518&lt;COLUMNS($F$7:W$7),"",INDEX(TableDiv[[GASB]:[GASB]],_xlfn.AGGREGATE(15,3,(TableDiv[[Agency]:[Agency]]=$E518)/(TableDiv[[Agency]:[Agency]]=$E518)*(ROW(TableDiv[Agency])-ROW(TableDiv[[#Headers],[Agency]])),COLUMNS($F$7:W$7))))</f>
        <v/>
      </c>
      <c r="X518" s="2223" t="str" cm="1">
        <f t="array" ref="X518">IF($D518&lt;COLUMNS($F$7:X$7),"",INDEX(TableDiv[[GASB]:[GASB]],_xlfn.AGGREGATE(15,3,(TableDiv[[Agency]:[Agency]]=$E518)/(TableDiv[[Agency]:[Agency]]=$E518)*(ROW(TableDiv[Agency])-ROW(TableDiv[[#Headers],[Agency]])),COLUMNS($F$7:X$7))))</f>
        <v/>
      </c>
      <c r="Y518" s="2223" t="str" cm="1">
        <f t="array" ref="Y518">IF($D518&lt;COLUMNS($F$7:Y$7),"",INDEX(TableDiv[[GASB]:[GASB]],_xlfn.AGGREGATE(15,3,(TableDiv[[Agency]:[Agency]]=$E518)/(TableDiv[[Agency]:[Agency]]=$E518)*(ROW(TableDiv[Agency])-ROW(TableDiv[[#Headers],[Agency]])),COLUMNS($F$7:Y$7))))</f>
        <v/>
      </c>
      <c r="Z518" s="2223" t="str" cm="1">
        <f t="array" ref="Z518">IF($D518&lt;COLUMNS($F$7:Z$7),"",INDEX(TableDiv[[GASB]:[GASB]],_xlfn.AGGREGATE(15,3,(TableDiv[[Agency]:[Agency]]=$E518)/(TableDiv[[Agency]:[Agency]]=$E518)*(ROW(TableDiv[Agency])-ROW(TableDiv[[#Headers],[Agency]])),COLUMNS($F$7:Z$7))))</f>
        <v/>
      </c>
      <c r="AA518" s="2223" t="str" cm="1">
        <f t="array" ref="AA518">IF($D518&lt;COLUMNS($F$7:AA$7),"",INDEX(TableDiv[[GASB]:[GASB]],_xlfn.AGGREGATE(15,3,(TableDiv[[Agency]:[Agency]]=$E518)/(TableDiv[[Agency]:[Agency]]=$E518)*(ROW(TableDiv[Agency])-ROW(TableDiv[[#Headers],[Agency]])),COLUMNS($F$7:AA$7))))</f>
        <v/>
      </c>
      <c r="AB518" s="2223" t="str" cm="1">
        <f t="array" ref="AB518">IF($D518&lt;COLUMNS($F$7:AB$7),"",INDEX(TableDiv[[GASB]:[GASB]],_xlfn.AGGREGATE(15,3,(TableDiv[[Agency]:[Agency]]=$E518)/(TableDiv[[Agency]:[Agency]]=$E518)*(ROW(TableDiv[Agency])-ROW(TableDiv[[#Headers],[Agency]])),COLUMNS($F$7:AB$7))))</f>
        <v/>
      </c>
      <c r="AC518" s="2223" t="str" cm="1">
        <f t="array" ref="AC518">IF($D518&lt;COLUMNS($F$7:AC$7),"",INDEX(TableDiv[[GASB]:[GASB]],_xlfn.AGGREGATE(15,3,(TableDiv[[Agency]:[Agency]]=$E518)/(TableDiv[[Agency]:[Agency]]=$E518)*(ROW(TableDiv[Agency])-ROW(TableDiv[[#Headers],[Agency]])),COLUMNS($F$7:AC$7))))</f>
        <v/>
      </c>
      <c r="AD518" s="2223" t="str" cm="1">
        <f t="array" ref="AD518">IF($D518&lt;COLUMNS($F$7:AD$7),"",INDEX(TableDiv[[GASB]:[GASB]],_xlfn.AGGREGATE(15,3,(TableDiv[[Agency]:[Agency]]=$E518)/(TableDiv[[Agency]:[Agency]]=$E518)*(ROW(TableDiv[Agency])-ROW(TableDiv[[#Headers],[Agency]])),COLUMNS($F$7:AD$7))))</f>
        <v/>
      </c>
      <c r="AE518" s="2223" t="str" cm="1">
        <f t="array" ref="AE518">IF($D518&lt;COLUMNS($F$7:AE$7),"",INDEX(TableDiv[[GASB]:[GASB]],_xlfn.AGGREGATE(15,3,(TableDiv[[Agency]:[Agency]]=$E518)/(TableDiv[[Agency]:[Agency]]=$E518)*(ROW(TableDiv[Agency])-ROW(TableDiv[[#Headers],[Agency]])),COLUMNS($F$7:AE$7))))</f>
        <v/>
      </c>
      <c r="AF518" s="2223" t="str" cm="1">
        <f t="array" ref="AF518">IF($D518&lt;COLUMNS($F$7:AF$7),"",INDEX(TableDiv[[GASB]:[GASB]],_xlfn.AGGREGATE(15,3,(TableDiv[[Agency]:[Agency]]=$E518)/(TableDiv[[Agency]:[Agency]]=$E518)*(ROW(TableDiv[Agency])-ROW(TableDiv[[#Headers],[Agency]])),COLUMNS($F$7:AF$7))))</f>
        <v/>
      </c>
      <c r="AG518" s="2223" t="str" cm="1">
        <f t="array" ref="AG518">IF($D518&lt;COLUMNS($F$7:AG$7),"",INDEX(TableDiv[[GASB]:[GASB]],_xlfn.AGGREGATE(15,3,(TableDiv[[Agency]:[Agency]]=$E518)/(TableDiv[[Agency]:[Agency]]=$E518)*(ROW(TableDiv[Agency])-ROW(TableDiv[[#Headers],[Agency]])),COLUMNS($F$7:AG$7))))</f>
        <v/>
      </c>
      <c r="AH518" s="2223" t="str" cm="1">
        <f t="array" ref="AH518">IF($D518&lt;COLUMNS($F$7:AH$7),"",INDEX(TableDiv[[GASB]:[GASB]],_xlfn.AGGREGATE(15,3,(TableDiv[[Agency]:[Agency]]=$E518)/(TableDiv[[Agency]:[Agency]]=$E518)*(ROW(TableDiv[Agency])-ROW(TableDiv[[#Headers],[Agency]])),COLUMNS($F$7:AH$7))))</f>
        <v/>
      </c>
      <c r="AI518" s="2223" t="str" cm="1">
        <f t="array" ref="AI518">IF($D518&lt;COLUMNS($F$7:AI$7),"",INDEX(TableDiv[[GASB]:[GASB]],_xlfn.AGGREGATE(15,3,(TableDiv[[Agency]:[Agency]]=$E518)/(TableDiv[[Agency]:[Agency]]=$E518)*(ROW(TableDiv[Agency])-ROW(TableDiv[[#Headers],[Agency]])),COLUMNS($F$7:AI$7))))</f>
        <v/>
      </c>
      <c r="AJ518" s="2223" t="str" cm="1">
        <f t="array" ref="AJ518">IF($D518&lt;COLUMNS($F$7:AJ$7),"",INDEX(TableDiv[[GASB]:[GASB]],_xlfn.AGGREGATE(15,3,(TableDiv[[Agency]:[Agency]]=$E518)/(TableDiv[[Agency]:[Agency]]=$E518)*(ROW(TableDiv[Agency])-ROW(TableDiv[[#Headers],[Agency]])),COLUMNS($F$7:AJ$7))))</f>
        <v/>
      </c>
      <c r="AK518" s="2223" t="str" cm="1">
        <f t="array" ref="AK518">IF($D518&lt;COLUMNS($F$7:AK$7),"",INDEX(TableDiv[[GASB]:[GASB]],_xlfn.AGGREGATE(15,3,(TableDiv[[Agency]:[Agency]]=$E518)/(TableDiv[[Agency]:[Agency]]=$E518)*(ROW(TableDiv[Agency])-ROW(TableDiv[[#Headers],[Agency]])),COLUMNS($F$7:AK$7))))</f>
        <v/>
      </c>
      <c r="AL518" s="2223" t="str" cm="1">
        <f t="array" ref="AL518">IF($D518&lt;COLUMNS($F$7:AL$7),"",INDEX(TableDiv[[GASB]:[GASB]],_xlfn.AGGREGATE(15,3,(TableDiv[[Agency]:[Agency]]=$E518)/(TableDiv[[Agency]:[Agency]]=$E518)*(ROW(TableDiv[Agency])-ROW(TableDiv[[#Headers],[Agency]])),COLUMNS($F$7:AL$7))))</f>
        <v/>
      </c>
      <c r="AM518" s="2223" t="str" cm="1">
        <f t="array" ref="AM518">IF($D518&lt;COLUMNS($F$7:AM$7),"",INDEX(TableDiv[[GASB]:[GASB]],_xlfn.AGGREGATE(15,3,(TableDiv[[Agency]:[Agency]]=$E518)/(TableDiv[[Agency]:[Agency]]=$E518)*(ROW(TableDiv[Agency])-ROW(TableDiv[[#Headers],[Agency]])),COLUMNS($F$7:AM$7))))</f>
        <v/>
      </c>
      <c r="AN518" s="2223"/>
      <c r="AO518" s="2223"/>
      <c r="AP518" s="2223"/>
      <c r="AQ518" s="2223"/>
      <c r="AR518" s="2223"/>
      <c r="AS518" s="2223"/>
    </row>
    <row r="519" spans="1:45" ht="15" x14ac:dyDescent="0.25">
      <c r="A519" s="2219"/>
      <c r="B519" s="2219"/>
      <c r="C519" s="2223"/>
      <c r="W519" s="2223" t="str" cm="1">
        <f t="array" ref="W519">IF($D519&lt;COLUMNS($F$7:W$7),"",INDEX(TableDiv[[GASB]:[GASB]],_xlfn.AGGREGATE(15,3,(TableDiv[[Agency]:[Agency]]=$E519)/(TableDiv[[Agency]:[Agency]]=$E519)*(ROW(TableDiv[Agency])-ROW(TableDiv[[#Headers],[Agency]])),COLUMNS($F$7:W$7))))</f>
        <v/>
      </c>
      <c r="X519" s="2223" t="str" cm="1">
        <f t="array" ref="X519">IF($D519&lt;COLUMNS($F$7:X$7),"",INDEX(TableDiv[[GASB]:[GASB]],_xlfn.AGGREGATE(15,3,(TableDiv[[Agency]:[Agency]]=$E519)/(TableDiv[[Agency]:[Agency]]=$E519)*(ROW(TableDiv[Agency])-ROW(TableDiv[[#Headers],[Agency]])),COLUMNS($F$7:X$7))))</f>
        <v/>
      </c>
      <c r="Y519" s="2223" t="str" cm="1">
        <f t="array" ref="Y519">IF($D519&lt;COLUMNS($F$7:Y$7),"",INDEX(TableDiv[[GASB]:[GASB]],_xlfn.AGGREGATE(15,3,(TableDiv[[Agency]:[Agency]]=$E519)/(TableDiv[[Agency]:[Agency]]=$E519)*(ROW(TableDiv[Agency])-ROW(TableDiv[[#Headers],[Agency]])),COLUMNS($F$7:Y$7))))</f>
        <v/>
      </c>
      <c r="Z519" s="2223" t="str" cm="1">
        <f t="array" ref="Z519">IF($D519&lt;COLUMNS($F$7:Z$7),"",INDEX(TableDiv[[GASB]:[GASB]],_xlfn.AGGREGATE(15,3,(TableDiv[[Agency]:[Agency]]=$E519)/(TableDiv[[Agency]:[Agency]]=$E519)*(ROW(TableDiv[Agency])-ROW(TableDiv[[#Headers],[Agency]])),COLUMNS($F$7:Z$7))))</f>
        <v/>
      </c>
      <c r="AA519" s="2223" t="str" cm="1">
        <f t="array" ref="AA519">IF($D519&lt;COLUMNS($F$7:AA$7),"",INDEX(TableDiv[[GASB]:[GASB]],_xlfn.AGGREGATE(15,3,(TableDiv[[Agency]:[Agency]]=$E519)/(TableDiv[[Agency]:[Agency]]=$E519)*(ROW(TableDiv[Agency])-ROW(TableDiv[[#Headers],[Agency]])),COLUMNS($F$7:AA$7))))</f>
        <v/>
      </c>
      <c r="AB519" s="2223" t="str" cm="1">
        <f t="array" ref="AB519">IF($D519&lt;COLUMNS($F$7:AB$7),"",INDEX(TableDiv[[GASB]:[GASB]],_xlfn.AGGREGATE(15,3,(TableDiv[[Agency]:[Agency]]=$E519)/(TableDiv[[Agency]:[Agency]]=$E519)*(ROW(TableDiv[Agency])-ROW(TableDiv[[#Headers],[Agency]])),COLUMNS($F$7:AB$7))))</f>
        <v/>
      </c>
      <c r="AC519" s="2223" t="str" cm="1">
        <f t="array" ref="AC519">IF($D519&lt;COLUMNS($F$7:AC$7),"",INDEX(TableDiv[[GASB]:[GASB]],_xlfn.AGGREGATE(15,3,(TableDiv[[Agency]:[Agency]]=$E519)/(TableDiv[[Agency]:[Agency]]=$E519)*(ROW(TableDiv[Agency])-ROW(TableDiv[[#Headers],[Agency]])),COLUMNS($F$7:AC$7))))</f>
        <v/>
      </c>
      <c r="AD519" s="2223" t="str" cm="1">
        <f t="array" ref="AD519">IF($D519&lt;COLUMNS($F$7:AD$7),"",INDEX(TableDiv[[GASB]:[GASB]],_xlfn.AGGREGATE(15,3,(TableDiv[[Agency]:[Agency]]=$E519)/(TableDiv[[Agency]:[Agency]]=$E519)*(ROW(TableDiv[Agency])-ROW(TableDiv[[#Headers],[Agency]])),COLUMNS($F$7:AD$7))))</f>
        <v/>
      </c>
      <c r="AE519" s="2223" t="str" cm="1">
        <f t="array" ref="AE519">IF($D519&lt;COLUMNS($F$7:AE$7),"",INDEX(TableDiv[[GASB]:[GASB]],_xlfn.AGGREGATE(15,3,(TableDiv[[Agency]:[Agency]]=$E519)/(TableDiv[[Agency]:[Agency]]=$E519)*(ROW(TableDiv[Agency])-ROW(TableDiv[[#Headers],[Agency]])),COLUMNS($F$7:AE$7))))</f>
        <v/>
      </c>
      <c r="AF519" s="2223" t="str" cm="1">
        <f t="array" ref="AF519">IF($D519&lt;COLUMNS($F$7:AF$7),"",INDEX(TableDiv[[GASB]:[GASB]],_xlfn.AGGREGATE(15,3,(TableDiv[[Agency]:[Agency]]=$E519)/(TableDiv[[Agency]:[Agency]]=$E519)*(ROW(TableDiv[Agency])-ROW(TableDiv[[#Headers],[Agency]])),COLUMNS($F$7:AF$7))))</f>
        <v/>
      </c>
      <c r="AG519" s="2223" t="str" cm="1">
        <f t="array" ref="AG519">IF($D519&lt;COLUMNS($F$7:AG$7),"",INDEX(TableDiv[[GASB]:[GASB]],_xlfn.AGGREGATE(15,3,(TableDiv[[Agency]:[Agency]]=$E519)/(TableDiv[[Agency]:[Agency]]=$E519)*(ROW(TableDiv[Agency])-ROW(TableDiv[[#Headers],[Agency]])),COLUMNS($F$7:AG$7))))</f>
        <v/>
      </c>
      <c r="AH519" s="2223" t="str" cm="1">
        <f t="array" ref="AH519">IF($D519&lt;COLUMNS($F$7:AH$7),"",INDEX(TableDiv[[GASB]:[GASB]],_xlfn.AGGREGATE(15,3,(TableDiv[[Agency]:[Agency]]=$E519)/(TableDiv[[Agency]:[Agency]]=$E519)*(ROW(TableDiv[Agency])-ROW(TableDiv[[#Headers],[Agency]])),COLUMNS($F$7:AH$7))))</f>
        <v/>
      </c>
      <c r="AI519" s="2223" t="str" cm="1">
        <f t="array" ref="AI519">IF($D519&lt;COLUMNS($F$7:AI$7),"",INDEX(TableDiv[[GASB]:[GASB]],_xlfn.AGGREGATE(15,3,(TableDiv[[Agency]:[Agency]]=$E519)/(TableDiv[[Agency]:[Agency]]=$E519)*(ROW(TableDiv[Agency])-ROW(TableDiv[[#Headers],[Agency]])),COLUMNS($F$7:AI$7))))</f>
        <v/>
      </c>
      <c r="AJ519" s="2223" t="str" cm="1">
        <f t="array" ref="AJ519">IF($D519&lt;COLUMNS($F$7:AJ$7),"",INDEX(TableDiv[[GASB]:[GASB]],_xlfn.AGGREGATE(15,3,(TableDiv[[Agency]:[Agency]]=$E519)/(TableDiv[[Agency]:[Agency]]=$E519)*(ROW(TableDiv[Agency])-ROW(TableDiv[[#Headers],[Agency]])),COLUMNS($F$7:AJ$7))))</f>
        <v/>
      </c>
      <c r="AK519" s="2223" t="str" cm="1">
        <f t="array" ref="AK519">IF($D519&lt;COLUMNS($F$7:AK$7),"",INDEX(TableDiv[[GASB]:[GASB]],_xlfn.AGGREGATE(15,3,(TableDiv[[Agency]:[Agency]]=$E519)/(TableDiv[[Agency]:[Agency]]=$E519)*(ROW(TableDiv[Agency])-ROW(TableDiv[[#Headers],[Agency]])),COLUMNS($F$7:AK$7))))</f>
        <v/>
      </c>
      <c r="AL519" s="2223" t="str" cm="1">
        <f t="array" ref="AL519">IF($D519&lt;COLUMNS($F$7:AL$7),"",INDEX(TableDiv[[GASB]:[GASB]],_xlfn.AGGREGATE(15,3,(TableDiv[[Agency]:[Agency]]=$E519)/(TableDiv[[Agency]:[Agency]]=$E519)*(ROW(TableDiv[Agency])-ROW(TableDiv[[#Headers],[Agency]])),COLUMNS($F$7:AL$7))))</f>
        <v/>
      </c>
      <c r="AM519" s="2223" t="str" cm="1">
        <f t="array" ref="AM519">IF($D519&lt;COLUMNS($F$7:AM$7),"",INDEX(TableDiv[[GASB]:[GASB]],_xlfn.AGGREGATE(15,3,(TableDiv[[Agency]:[Agency]]=$E519)/(TableDiv[[Agency]:[Agency]]=$E519)*(ROW(TableDiv[Agency])-ROW(TableDiv[[#Headers],[Agency]])),COLUMNS($F$7:AM$7))))</f>
        <v/>
      </c>
      <c r="AN519" s="2223"/>
      <c r="AO519" s="2223"/>
      <c r="AP519" s="2223"/>
      <c r="AQ519" s="2223"/>
      <c r="AR519" s="2223"/>
      <c r="AS519" s="2223"/>
    </row>
    <row r="520" spans="1:45" ht="15" x14ac:dyDescent="0.25">
      <c r="A520" s="2219"/>
      <c r="B520" s="2219"/>
      <c r="C520" s="2223"/>
      <c r="W520" s="2223" t="str" cm="1">
        <f t="array" ref="W520">IF($D520&lt;COLUMNS($F$7:W$7),"",INDEX(TableDiv[[GASB]:[GASB]],_xlfn.AGGREGATE(15,3,(TableDiv[[Agency]:[Agency]]=$E520)/(TableDiv[[Agency]:[Agency]]=$E520)*(ROW(TableDiv[Agency])-ROW(TableDiv[[#Headers],[Agency]])),COLUMNS($F$7:W$7))))</f>
        <v/>
      </c>
      <c r="X520" s="2223" t="str" cm="1">
        <f t="array" ref="X520">IF($D520&lt;COLUMNS($F$7:X$7),"",INDEX(TableDiv[[GASB]:[GASB]],_xlfn.AGGREGATE(15,3,(TableDiv[[Agency]:[Agency]]=$E520)/(TableDiv[[Agency]:[Agency]]=$E520)*(ROW(TableDiv[Agency])-ROW(TableDiv[[#Headers],[Agency]])),COLUMNS($F$7:X$7))))</f>
        <v/>
      </c>
      <c r="Y520" s="2223" t="str" cm="1">
        <f t="array" ref="Y520">IF($D520&lt;COLUMNS($F$7:Y$7),"",INDEX(TableDiv[[GASB]:[GASB]],_xlfn.AGGREGATE(15,3,(TableDiv[[Agency]:[Agency]]=$E520)/(TableDiv[[Agency]:[Agency]]=$E520)*(ROW(TableDiv[Agency])-ROW(TableDiv[[#Headers],[Agency]])),COLUMNS($F$7:Y$7))))</f>
        <v/>
      </c>
      <c r="Z520" s="2223" t="str" cm="1">
        <f t="array" ref="Z520">IF($D520&lt;COLUMNS($F$7:Z$7),"",INDEX(TableDiv[[GASB]:[GASB]],_xlfn.AGGREGATE(15,3,(TableDiv[[Agency]:[Agency]]=$E520)/(TableDiv[[Agency]:[Agency]]=$E520)*(ROW(TableDiv[Agency])-ROW(TableDiv[[#Headers],[Agency]])),COLUMNS($F$7:Z$7))))</f>
        <v/>
      </c>
      <c r="AA520" s="2223" t="str" cm="1">
        <f t="array" ref="AA520">IF($D520&lt;COLUMNS($F$7:AA$7),"",INDEX(TableDiv[[GASB]:[GASB]],_xlfn.AGGREGATE(15,3,(TableDiv[[Agency]:[Agency]]=$E520)/(TableDiv[[Agency]:[Agency]]=$E520)*(ROW(TableDiv[Agency])-ROW(TableDiv[[#Headers],[Agency]])),COLUMNS($F$7:AA$7))))</f>
        <v/>
      </c>
      <c r="AB520" s="2223" t="str" cm="1">
        <f t="array" ref="AB520">IF($D520&lt;COLUMNS($F$7:AB$7),"",INDEX(TableDiv[[GASB]:[GASB]],_xlfn.AGGREGATE(15,3,(TableDiv[[Agency]:[Agency]]=$E520)/(TableDiv[[Agency]:[Agency]]=$E520)*(ROW(TableDiv[Agency])-ROW(TableDiv[[#Headers],[Agency]])),COLUMNS($F$7:AB$7))))</f>
        <v/>
      </c>
      <c r="AC520" s="2223" t="str" cm="1">
        <f t="array" ref="AC520">IF($D520&lt;COLUMNS($F$7:AC$7),"",INDEX(TableDiv[[GASB]:[GASB]],_xlfn.AGGREGATE(15,3,(TableDiv[[Agency]:[Agency]]=$E520)/(TableDiv[[Agency]:[Agency]]=$E520)*(ROW(TableDiv[Agency])-ROW(TableDiv[[#Headers],[Agency]])),COLUMNS($F$7:AC$7))))</f>
        <v/>
      </c>
      <c r="AD520" s="2223" t="str" cm="1">
        <f t="array" ref="AD520">IF($D520&lt;COLUMNS($F$7:AD$7),"",INDEX(TableDiv[[GASB]:[GASB]],_xlfn.AGGREGATE(15,3,(TableDiv[[Agency]:[Agency]]=$E520)/(TableDiv[[Agency]:[Agency]]=$E520)*(ROW(TableDiv[Agency])-ROW(TableDiv[[#Headers],[Agency]])),COLUMNS($F$7:AD$7))))</f>
        <v/>
      </c>
      <c r="AE520" s="2223" t="str" cm="1">
        <f t="array" ref="AE520">IF($D520&lt;COLUMNS($F$7:AE$7),"",INDEX(TableDiv[[GASB]:[GASB]],_xlfn.AGGREGATE(15,3,(TableDiv[[Agency]:[Agency]]=$E520)/(TableDiv[[Agency]:[Agency]]=$E520)*(ROW(TableDiv[Agency])-ROW(TableDiv[[#Headers],[Agency]])),COLUMNS($F$7:AE$7))))</f>
        <v/>
      </c>
      <c r="AF520" s="2223" t="str" cm="1">
        <f t="array" ref="AF520">IF($D520&lt;COLUMNS($F$7:AF$7),"",INDEX(TableDiv[[GASB]:[GASB]],_xlfn.AGGREGATE(15,3,(TableDiv[[Agency]:[Agency]]=$E520)/(TableDiv[[Agency]:[Agency]]=$E520)*(ROW(TableDiv[Agency])-ROW(TableDiv[[#Headers],[Agency]])),COLUMNS($F$7:AF$7))))</f>
        <v/>
      </c>
      <c r="AG520" s="2223" t="str" cm="1">
        <f t="array" ref="AG520">IF($D520&lt;COLUMNS($F$7:AG$7),"",INDEX(TableDiv[[GASB]:[GASB]],_xlfn.AGGREGATE(15,3,(TableDiv[[Agency]:[Agency]]=$E520)/(TableDiv[[Agency]:[Agency]]=$E520)*(ROW(TableDiv[Agency])-ROW(TableDiv[[#Headers],[Agency]])),COLUMNS($F$7:AG$7))))</f>
        <v/>
      </c>
      <c r="AH520" s="2223" t="str" cm="1">
        <f t="array" ref="AH520">IF($D520&lt;COLUMNS($F$7:AH$7),"",INDEX(TableDiv[[GASB]:[GASB]],_xlfn.AGGREGATE(15,3,(TableDiv[[Agency]:[Agency]]=$E520)/(TableDiv[[Agency]:[Agency]]=$E520)*(ROW(TableDiv[Agency])-ROW(TableDiv[[#Headers],[Agency]])),COLUMNS($F$7:AH$7))))</f>
        <v/>
      </c>
      <c r="AI520" s="2223" t="str" cm="1">
        <f t="array" ref="AI520">IF($D520&lt;COLUMNS($F$7:AI$7),"",INDEX(TableDiv[[GASB]:[GASB]],_xlfn.AGGREGATE(15,3,(TableDiv[[Agency]:[Agency]]=$E520)/(TableDiv[[Agency]:[Agency]]=$E520)*(ROW(TableDiv[Agency])-ROW(TableDiv[[#Headers],[Agency]])),COLUMNS($F$7:AI$7))))</f>
        <v/>
      </c>
      <c r="AJ520" s="2223" t="str" cm="1">
        <f t="array" ref="AJ520">IF($D520&lt;COLUMNS($F$7:AJ$7),"",INDEX(TableDiv[[GASB]:[GASB]],_xlfn.AGGREGATE(15,3,(TableDiv[[Agency]:[Agency]]=$E520)/(TableDiv[[Agency]:[Agency]]=$E520)*(ROW(TableDiv[Agency])-ROW(TableDiv[[#Headers],[Agency]])),COLUMNS($F$7:AJ$7))))</f>
        <v/>
      </c>
      <c r="AK520" s="2223" t="str" cm="1">
        <f t="array" ref="AK520">IF($D520&lt;COLUMNS($F$7:AK$7),"",INDEX(TableDiv[[GASB]:[GASB]],_xlfn.AGGREGATE(15,3,(TableDiv[[Agency]:[Agency]]=$E520)/(TableDiv[[Agency]:[Agency]]=$E520)*(ROW(TableDiv[Agency])-ROW(TableDiv[[#Headers],[Agency]])),COLUMNS($F$7:AK$7))))</f>
        <v/>
      </c>
      <c r="AL520" s="2223" t="str" cm="1">
        <f t="array" ref="AL520">IF($D520&lt;COLUMNS($F$7:AL$7),"",INDEX(TableDiv[[GASB]:[GASB]],_xlfn.AGGREGATE(15,3,(TableDiv[[Agency]:[Agency]]=$E520)/(TableDiv[[Agency]:[Agency]]=$E520)*(ROW(TableDiv[Agency])-ROW(TableDiv[[#Headers],[Agency]])),COLUMNS($F$7:AL$7))))</f>
        <v/>
      </c>
      <c r="AM520" s="2223" t="str" cm="1">
        <f t="array" ref="AM520">IF($D520&lt;COLUMNS($F$7:AM$7),"",INDEX(TableDiv[[GASB]:[GASB]],_xlfn.AGGREGATE(15,3,(TableDiv[[Agency]:[Agency]]=$E520)/(TableDiv[[Agency]:[Agency]]=$E520)*(ROW(TableDiv[Agency])-ROW(TableDiv[[#Headers],[Agency]])),COLUMNS($F$7:AM$7))))</f>
        <v/>
      </c>
      <c r="AN520" s="2223"/>
      <c r="AO520" s="2223"/>
      <c r="AP520" s="2223"/>
      <c r="AQ520" s="2223"/>
      <c r="AR520" s="2223"/>
      <c r="AS520" s="2223"/>
    </row>
    <row r="521" spans="1:45" ht="15" x14ac:dyDescent="0.25">
      <c r="A521" s="2219"/>
      <c r="B521" s="2219"/>
      <c r="C521" s="2223"/>
      <c r="W521" s="2223" t="str" cm="1">
        <f t="array" ref="W521">IF($D521&lt;COLUMNS($F$7:W$7),"",INDEX(TableDiv[[GASB]:[GASB]],_xlfn.AGGREGATE(15,3,(TableDiv[[Agency]:[Agency]]=$E521)/(TableDiv[[Agency]:[Agency]]=$E521)*(ROW(TableDiv[Agency])-ROW(TableDiv[[#Headers],[Agency]])),COLUMNS($F$7:W$7))))</f>
        <v/>
      </c>
      <c r="X521" s="2223" t="str" cm="1">
        <f t="array" ref="X521">IF($D521&lt;COLUMNS($F$7:X$7),"",INDEX(TableDiv[[GASB]:[GASB]],_xlfn.AGGREGATE(15,3,(TableDiv[[Agency]:[Agency]]=$E521)/(TableDiv[[Agency]:[Agency]]=$E521)*(ROW(TableDiv[Agency])-ROW(TableDiv[[#Headers],[Agency]])),COLUMNS($F$7:X$7))))</f>
        <v/>
      </c>
      <c r="Y521" s="2223" t="str" cm="1">
        <f t="array" ref="Y521">IF($D521&lt;COLUMNS($F$7:Y$7),"",INDEX(TableDiv[[GASB]:[GASB]],_xlfn.AGGREGATE(15,3,(TableDiv[[Agency]:[Agency]]=$E521)/(TableDiv[[Agency]:[Agency]]=$E521)*(ROW(TableDiv[Agency])-ROW(TableDiv[[#Headers],[Agency]])),COLUMNS($F$7:Y$7))))</f>
        <v/>
      </c>
      <c r="Z521" s="2223" t="str" cm="1">
        <f t="array" ref="Z521">IF($D521&lt;COLUMNS($F$7:Z$7),"",INDEX(TableDiv[[GASB]:[GASB]],_xlfn.AGGREGATE(15,3,(TableDiv[[Agency]:[Agency]]=$E521)/(TableDiv[[Agency]:[Agency]]=$E521)*(ROW(TableDiv[Agency])-ROW(TableDiv[[#Headers],[Agency]])),COLUMNS($F$7:Z$7))))</f>
        <v/>
      </c>
      <c r="AA521" s="2223" t="str" cm="1">
        <f t="array" ref="AA521">IF($D521&lt;COLUMNS($F$7:AA$7),"",INDEX(TableDiv[[GASB]:[GASB]],_xlfn.AGGREGATE(15,3,(TableDiv[[Agency]:[Agency]]=$E521)/(TableDiv[[Agency]:[Agency]]=$E521)*(ROW(TableDiv[Agency])-ROW(TableDiv[[#Headers],[Agency]])),COLUMNS($F$7:AA$7))))</f>
        <v/>
      </c>
      <c r="AB521" s="2223" t="str" cm="1">
        <f t="array" ref="AB521">IF($D521&lt;COLUMNS($F$7:AB$7),"",INDEX(TableDiv[[GASB]:[GASB]],_xlfn.AGGREGATE(15,3,(TableDiv[[Agency]:[Agency]]=$E521)/(TableDiv[[Agency]:[Agency]]=$E521)*(ROW(TableDiv[Agency])-ROW(TableDiv[[#Headers],[Agency]])),COLUMNS($F$7:AB$7))))</f>
        <v/>
      </c>
      <c r="AC521" s="2223" t="str" cm="1">
        <f t="array" ref="AC521">IF($D521&lt;COLUMNS($F$7:AC$7),"",INDEX(TableDiv[[GASB]:[GASB]],_xlfn.AGGREGATE(15,3,(TableDiv[[Agency]:[Agency]]=$E521)/(TableDiv[[Agency]:[Agency]]=$E521)*(ROW(TableDiv[Agency])-ROW(TableDiv[[#Headers],[Agency]])),COLUMNS($F$7:AC$7))))</f>
        <v/>
      </c>
      <c r="AD521" s="2223" t="str" cm="1">
        <f t="array" ref="AD521">IF($D521&lt;COLUMNS($F$7:AD$7),"",INDEX(TableDiv[[GASB]:[GASB]],_xlfn.AGGREGATE(15,3,(TableDiv[[Agency]:[Agency]]=$E521)/(TableDiv[[Agency]:[Agency]]=$E521)*(ROW(TableDiv[Agency])-ROW(TableDiv[[#Headers],[Agency]])),COLUMNS($F$7:AD$7))))</f>
        <v/>
      </c>
      <c r="AE521" s="2223" t="str" cm="1">
        <f t="array" ref="AE521">IF($D521&lt;COLUMNS($F$7:AE$7),"",INDEX(TableDiv[[GASB]:[GASB]],_xlfn.AGGREGATE(15,3,(TableDiv[[Agency]:[Agency]]=$E521)/(TableDiv[[Agency]:[Agency]]=$E521)*(ROW(TableDiv[Agency])-ROW(TableDiv[[#Headers],[Agency]])),COLUMNS($F$7:AE$7))))</f>
        <v/>
      </c>
      <c r="AF521" s="2223" t="str" cm="1">
        <f t="array" ref="AF521">IF($D521&lt;COLUMNS($F$7:AF$7),"",INDEX(TableDiv[[GASB]:[GASB]],_xlfn.AGGREGATE(15,3,(TableDiv[[Agency]:[Agency]]=$E521)/(TableDiv[[Agency]:[Agency]]=$E521)*(ROW(TableDiv[Agency])-ROW(TableDiv[[#Headers],[Agency]])),COLUMNS($F$7:AF$7))))</f>
        <v/>
      </c>
      <c r="AG521" s="2223" t="str" cm="1">
        <f t="array" ref="AG521">IF($D521&lt;COLUMNS($F$7:AG$7),"",INDEX(TableDiv[[GASB]:[GASB]],_xlfn.AGGREGATE(15,3,(TableDiv[[Agency]:[Agency]]=$E521)/(TableDiv[[Agency]:[Agency]]=$E521)*(ROW(TableDiv[Agency])-ROW(TableDiv[[#Headers],[Agency]])),COLUMNS($F$7:AG$7))))</f>
        <v/>
      </c>
      <c r="AH521" s="2223" t="str" cm="1">
        <f t="array" ref="AH521">IF($D521&lt;COLUMNS($F$7:AH$7),"",INDEX(TableDiv[[GASB]:[GASB]],_xlfn.AGGREGATE(15,3,(TableDiv[[Agency]:[Agency]]=$E521)/(TableDiv[[Agency]:[Agency]]=$E521)*(ROW(TableDiv[Agency])-ROW(TableDiv[[#Headers],[Agency]])),COLUMNS($F$7:AH$7))))</f>
        <v/>
      </c>
      <c r="AI521" s="2223" t="str" cm="1">
        <f t="array" ref="AI521">IF($D521&lt;COLUMNS($F$7:AI$7),"",INDEX(TableDiv[[GASB]:[GASB]],_xlfn.AGGREGATE(15,3,(TableDiv[[Agency]:[Agency]]=$E521)/(TableDiv[[Agency]:[Agency]]=$E521)*(ROW(TableDiv[Agency])-ROW(TableDiv[[#Headers],[Agency]])),COLUMNS($F$7:AI$7))))</f>
        <v/>
      </c>
      <c r="AJ521" s="2223" t="str" cm="1">
        <f t="array" ref="AJ521">IF($D521&lt;COLUMNS($F$7:AJ$7),"",INDEX(TableDiv[[GASB]:[GASB]],_xlfn.AGGREGATE(15,3,(TableDiv[[Agency]:[Agency]]=$E521)/(TableDiv[[Agency]:[Agency]]=$E521)*(ROW(TableDiv[Agency])-ROW(TableDiv[[#Headers],[Agency]])),COLUMNS($F$7:AJ$7))))</f>
        <v/>
      </c>
      <c r="AK521" s="2223" t="str" cm="1">
        <f t="array" ref="AK521">IF($D521&lt;COLUMNS($F$7:AK$7),"",INDEX(TableDiv[[GASB]:[GASB]],_xlfn.AGGREGATE(15,3,(TableDiv[[Agency]:[Agency]]=$E521)/(TableDiv[[Agency]:[Agency]]=$E521)*(ROW(TableDiv[Agency])-ROW(TableDiv[[#Headers],[Agency]])),COLUMNS($F$7:AK$7))))</f>
        <v/>
      </c>
      <c r="AL521" s="2223" t="str" cm="1">
        <f t="array" ref="AL521">IF($D521&lt;COLUMNS($F$7:AL$7),"",INDEX(TableDiv[[GASB]:[GASB]],_xlfn.AGGREGATE(15,3,(TableDiv[[Agency]:[Agency]]=$E521)/(TableDiv[[Agency]:[Agency]]=$E521)*(ROW(TableDiv[Agency])-ROW(TableDiv[[#Headers],[Agency]])),COLUMNS($F$7:AL$7))))</f>
        <v/>
      </c>
      <c r="AM521" s="2223" t="str" cm="1">
        <f t="array" ref="AM521">IF($D521&lt;COLUMNS($F$7:AM$7),"",INDEX(TableDiv[[GASB]:[GASB]],_xlfn.AGGREGATE(15,3,(TableDiv[[Agency]:[Agency]]=$E521)/(TableDiv[[Agency]:[Agency]]=$E521)*(ROW(TableDiv[Agency])-ROW(TableDiv[[#Headers],[Agency]])),COLUMNS($F$7:AM$7))))</f>
        <v/>
      </c>
      <c r="AN521" s="2223"/>
      <c r="AO521" s="2223"/>
      <c r="AP521" s="2223"/>
      <c r="AQ521" s="2223"/>
      <c r="AR521" s="2223"/>
      <c r="AS521" s="2223"/>
    </row>
    <row r="522" spans="1:45" ht="15" x14ac:dyDescent="0.25">
      <c r="A522" s="2219"/>
      <c r="B522" s="2219"/>
      <c r="C522" s="2223"/>
      <c r="W522" s="2223" t="str" cm="1">
        <f t="array" ref="W522">IF($D522&lt;COLUMNS($F$7:W$7),"",INDEX(TableDiv[[GASB]:[GASB]],_xlfn.AGGREGATE(15,3,(TableDiv[[Agency]:[Agency]]=$E522)/(TableDiv[[Agency]:[Agency]]=$E522)*(ROW(TableDiv[Agency])-ROW(TableDiv[[#Headers],[Agency]])),COLUMNS($F$7:W$7))))</f>
        <v/>
      </c>
      <c r="X522" s="2223" t="str" cm="1">
        <f t="array" ref="X522">IF($D522&lt;COLUMNS($F$7:X$7),"",INDEX(TableDiv[[GASB]:[GASB]],_xlfn.AGGREGATE(15,3,(TableDiv[[Agency]:[Agency]]=$E522)/(TableDiv[[Agency]:[Agency]]=$E522)*(ROW(TableDiv[Agency])-ROW(TableDiv[[#Headers],[Agency]])),COLUMNS($F$7:X$7))))</f>
        <v/>
      </c>
      <c r="Y522" s="2223" t="str" cm="1">
        <f t="array" ref="Y522">IF($D522&lt;COLUMNS($F$7:Y$7),"",INDEX(TableDiv[[GASB]:[GASB]],_xlfn.AGGREGATE(15,3,(TableDiv[[Agency]:[Agency]]=$E522)/(TableDiv[[Agency]:[Agency]]=$E522)*(ROW(TableDiv[Agency])-ROW(TableDiv[[#Headers],[Agency]])),COLUMNS($F$7:Y$7))))</f>
        <v/>
      </c>
      <c r="Z522" s="2223" t="str" cm="1">
        <f t="array" ref="Z522">IF($D522&lt;COLUMNS($F$7:Z$7),"",INDEX(TableDiv[[GASB]:[GASB]],_xlfn.AGGREGATE(15,3,(TableDiv[[Agency]:[Agency]]=$E522)/(TableDiv[[Agency]:[Agency]]=$E522)*(ROW(TableDiv[Agency])-ROW(TableDiv[[#Headers],[Agency]])),COLUMNS($F$7:Z$7))))</f>
        <v/>
      </c>
      <c r="AA522" s="2223" t="str" cm="1">
        <f t="array" ref="AA522">IF($D522&lt;COLUMNS($F$7:AA$7),"",INDEX(TableDiv[[GASB]:[GASB]],_xlfn.AGGREGATE(15,3,(TableDiv[[Agency]:[Agency]]=$E522)/(TableDiv[[Agency]:[Agency]]=$E522)*(ROW(TableDiv[Agency])-ROW(TableDiv[[#Headers],[Agency]])),COLUMNS($F$7:AA$7))))</f>
        <v/>
      </c>
      <c r="AB522" s="2223" t="str" cm="1">
        <f t="array" ref="AB522">IF($D522&lt;COLUMNS($F$7:AB$7),"",INDEX(TableDiv[[GASB]:[GASB]],_xlfn.AGGREGATE(15,3,(TableDiv[[Agency]:[Agency]]=$E522)/(TableDiv[[Agency]:[Agency]]=$E522)*(ROW(TableDiv[Agency])-ROW(TableDiv[[#Headers],[Agency]])),COLUMNS($F$7:AB$7))))</f>
        <v/>
      </c>
      <c r="AC522" s="2223" t="str" cm="1">
        <f t="array" ref="AC522">IF($D522&lt;COLUMNS($F$7:AC$7),"",INDEX(TableDiv[[GASB]:[GASB]],_xlfn.AGGREGATE(15,3,(TableDiv[[Agency]:[Agency]]=$E522)/(TableDiv[[Agency]:[Agency]]=$E522)*(ROW(TableDiv[Agency])-ROW(TableDiv[[#Headers],[Agency]])),COLUMNS($F$7:AC$7))))</f>
        <v/>
      </c>
      <c r="AD522" s="2223" t="str" cm="1">
        <f t="array" ref="AD522">IF($D522&lt;COLUMNS($F$7:AD$7),"",INDEX(TableDiv[[GASB]:[GASB]],_xlfn.AGGREGATE(15,3,(TableDiv[[Agency]:[Agency]]=$E522)/(TableDiv[[Agency]:[Agency]]=$E522)*(ROW(TableDiv[Agency])-ROW(TableDiv[[#Headers],[Agency]])),COLUMNS($F$7:AD$7))))</f>
        <v/>
      </c>
      <c r="AE522" s="2223" t="str" cm="1">
        <f t="array" ref="AE522">IF($D522&lt;COLUMNS($F$7:AE$7),"",INDEX(TableDiv[[GASB]:[GASB]],_xlfn.AGGREGATE(15,3,(TableDiv[[Agency]:[Agency]]=$E522)/(TableDiv[[Agency]:[Agency]]=$E522)*(ROW(TableDiv[Agency])-ROW(TableDiv[[#Headers],[Agency]])),COLUMNS($F$7:AE$7))))</f>
        <v/>
      </c>
      <c r="AF522" s="2223" t="str" cm="1">
        <f t="array" ref="AF522">IF($D522&lt;COLUMNS($F$7:AF$7),"",INDEX(TableDiv[[GASB]:[GASB]],_xlfn.AGGREGATE(15,3,(TableDiv[[Agency]:[Agency]]=$E522)/(TableDiv[[Agency]:[Agency]]=$E522)*(ROW(TableDiv[Agency])-ROW(TableDiv[[#Headers],[Agency]])),COLUMNS($F$7:AF$7))))</f>
        <v/>
      </c>
      <c r="AG522" s="2223" t="str" cm="1">
        <f t="array" ref="AG522">IF($D522&lt;COLUMNS($F$7:AG$7),"",INDEX(TableDiv[[GASB]:[GASB]],_xlfn.AGGREGATE(15,3,(TableDiv[[Agency]:[Agency]]=$E522)/(TableDiv[[Agency]:[Agency]]=$E522)*(ROW(TableDiv[Agency])-ROW(TableDiv[[#Headers],[Agency]])),COLUMNS($F$7:AG$7))))</f>
        <v/>
      </c>
      <c r="AH522" s="2223" t="str" cm="1">
        <f t="array" ref="AH522">IF($D522&lt;COLUMNS($F$7:AH$7),"",INDEX(TableDiv[[GASB]:[GASB]],_xlfn.AGGREGATE(15,3,(TableDiv[[Agency]:[Agency]]=$E522)/(TableDiv[[Agency]:[Agency]]=$E522)*(ROW(TableDiv[Agency])-ROW(TableDiv[[#Headers],[Agency]])),COLUMNS($F$7:AH$7))))</f>
        <v/>
      </c>
      <c r="AI522" s="2223" t="str" cm="1">
        <f t="array" ref="AI522">IF($D522&lt;COLUMNS($F$7:AI$7),"",INDEX(TableDiv[[GASB]:[GASB]],_xlfn.AGGREGATE(15,3,(TableDiv[[Agency]:[Agency]]=$E522)/(TableDiv[[Agency]:[Agency]]=$E522)*(ROW(TableDiv[Agency])-ROW(TableDiv[[#Headers],[Agency]])),COLUMNS($F$7:AI$7))))</f>
        <v/>
      </c>
      <c r="AJ522" s="2223" t="str" cm="1">
        <f t="array" ref="AJ522">IF($D522&lt;COLUMNS($F$7:AJ$7),"",INDEX(TableDiv[[GASB]:[GASB]],_xlfn.AGGREGATE(15,3,(TableDiv[[Agency]:[Agency]]=$E522)/(TableDiv[[Agency]:[Agency]]=$E522)*(ROW(TableDiv[Agency])-ROW(TableDiv[[#Headers],[Agency]])),COLUMNS($F$7:AJ$7))))</f>
        <v/>
      </c>
      <c r="AK522" s="2223" t="str" cm="1">
        <f t="array" ref="AK522">IF($D522&lt;COLUMNS($F$7:AK$7),"",INDEX(TableDiv[[GASB]:[GASB]],_xlfn.AGGREGATE(15,3,(TableDiv[[Agency]:[Agency]]=$E522)/(TableDiv[[Agency]:[Agency]]=$E522)*(ROW(TableDiv[Agency])-ROW(TableDiv[[#Headers],[Agency]])),COLUMNS($F$7:AK$7))))</f>
        <v/>
      </c>
      <c r="AL522" s="2223" t="str" cm="1">
        <f t="array" ref="AL522">IF($D522&lt;COLUMNS($F$7:AL$7),"",INDEX(TableDiv[[GASB]:[GASB]],_xlfn.AGGREGATE(15,3,(TableDiv[[Agency]:[Agency]]=$E522)/(TableDiv[[Agency]:[Agency]]=$E522)*(ROW(TableDiv[Agency])-ROW(TableDiv[[#Headers],[Agency]])),COLUMNS($F$7:AL$7))))</f>
        <v/>
      </c>
      <c r="AM522" s="2223" t="str" cm="1">
        <f t="array" ref="AM522">IF($D522&lt;COLUMNS($F$7:AM$7),"",INDEX(TableDiv[[GASB]:[GASB]],_xlfn.AGGREGATE(15,3,(TableDiv[[Agency]:[Agency]]=$E522)/(TableDiv[[Agency]:[Agency]]=$E522)*(ROW(TableDiv[Agency])-ROW(TableDiv[[#Headers],[Agency]])),COLUMNS($F$7:AM$7))))</f>
        <v/>
      </c>
      <c r="AN522" s="2223"/>
      <c r="AO522" s="2223"/>
      <c r="AP522" s="2223"/>
      <c r="AQ522" s="2223"/>
      <c r="AR522" s="2223"/>
      <c r="AS522" s="2223"/>
    </row>
    <row r="523" spans="1:45" ht="15" x14ac:dyDescent="0.25">
      <c r="A523" s="2219"/>
      <c r="B523" s="2219"/>
      <c r="C523" s="2223"/>
      <c r="W523" s="2223" t="str" cm="1">
        <f t="array" ref="W523">IF($D523&lt;COLUMNS($F$7:W$7),"",INDEX(TableDiv[[GASB]:[GASB]],_xlfn.AGGREGATE(15,3,(TableDiv[[Agency]:[Agency]]=$E523)/(TableDiv[[Agency]:[Agency]]=$E523)*(ROW(TableDiv[Agency])-ROW(TableDiv[[#Headers],[Agency]])),COLUMNS($F$7:W$7))))</f>
        <v/>
      </c>
      <c r="X523" s="2223" t="str" cm="1">
        <f t="array" ref="X523">IF($D523&lt;COLUMNS($F$7:X$7),"",INDEX(TableDiv[[GASB]:[GASB]],_xlfn.AGGREGATE(15,3,(TableDiv[[Agency]:[Agency]]=$E523)/(TableDiv[[Agency]:[Agency]]=$E523)*(ROW(TableDiv[Agency])-ROW(TableDiv[[#Headers],[Agency]])),COLUMNS($F$7:X$7))))</f>
        <v/>
      </c>
      <c r="Y523" s="2223" t="str" cm="1">
        <f t="array" ref="Y523">IF($D523&lt;COLUMNS($F$7:Y$7),"",INDEX(TableDiv[[GASB]:[GASB]],_xlfn.AGGREGATE(15,3,(TableDiv[[Agency]:[Agency]]=$E523)/(TableDiv[[Agency]:[Agency]]=$E523)*(ROW(TableDiv[Agency])-ROW(TableDiv[[#Headers],[Agency]])),COLUMNS($F$7:Y$7))))</f>
        <v/>
      </c>
      <c r="Z523" s="2223" t="str" cm="1">
        <f t="array" ref="Z523">IF($D523&lt;COLUMNS($F$7:Z$7),"",INDEX(TableDiv[[GASB]:[GASB]],_xlfn.AGGREGATE(15,3,(TableDiv[[Agency]:[Agency]]=$E523)/(TableDiv[[Agency]:[Agency]]=$E523)*(ROW(TableDiv[Agency])-ROW(TableDiv[[#Headers],[Agency]])),COLUMNS($F$7:Z$7))))</f>
        <v/>
      </c>
      <c r="AA523" s="2223" t="str" cm="1">
        <f t="array" ref="AA523">IF($D523&lt;COLUMNS($F$7:AA$7),"",INDEX(TableDiv[[GASB]:[GASB]],_xlfn.AGGREGATE(15,3,(TableDiv[[Agency]:[Agency]]=$E523)/(TableDiv[[Agency]:[Agency]]=$E523)*(ROW(TableDiv[Agency])-ROW(TableDiv[[#Headers],[Agency]])),COLUMNS($F$7:AA$7))))</f>
        <v/>
      </c>
      <c r="AB523" s="2223" t="str" cm="1">
        <f t="array" ref="AB523">IF($D523&lt;COLUMNS($F$7:AB$7),"",INDEX(TableDiv[[GASB]:[GASB]],_xlfn.AGGREGATE(15,3,(TableDiv[[Agency]:[Agency]]=$E523)/(TableDiv[[Agency]:[Agency]]=$E523)*(ROW(TableDiv[Agency])-ROW(TableDiv[[#Headers],[Agency]])),COLUMNS($F$7:AB$7))))</f>
        <v/>
      </c>
      <c r="AC523" s="2223" t="str" cm="1">
        <f t="array" ref="AC523">IF($D523&lt;COLUMNS($F$7:AC$7),"",INDEX(TableDiv[[GASB]:[GASB]],_xlfn.AGGREGATE(15,3,(TableDiv[[Agency]:[Agency]]=$E523)/(TableDiv[[Agency]:[Agency]]=$E523)*(ROW(TableDiv[Agency])-ROW(TableDiv[[#Headers],[Agency]])),COLUMNS($F$7:AC$7))))</f>
        <v/>
      </c>
      <c r="AD523" s="2223" t="str" cm="1">
        <f t="array" ref="AD523">IF($D523&lt;COLUMNS($F$7:AD$7),"",INDEX(TableDiv[[GASB]:[GASB]],_xlfn.AGGREGATE(15,3,(TableDiv[[Agency]:[Agency]]=$E523)/(TableDiv[[Agency]:[Agency]]=$E523)*(ROW(TableDiv[Agency])-ROW(TableDiv[[#Headers],[Agency]])),COLUMNS($F$7:AD$7))))</f>
        <v/>
      </c>
      <c r="AE523" s="2223" t="str" cm="1">
        <f t="array" ref="AE523">IF($D523&lt;COLUMNS($F$7:AE$7),"",INDEX(TableDiv[[GASB]:[GASB]],_xlfn.AGGREGATE(15,3,(TableDiv[[Agency]:[Agency]]=$E523)/(TableDiv[[Agency]:[Agency]]=$E523)*(ROW(TableDiv[Agency])-ROW(TableDiv[[#Headers],[Agency]])),COLUMNS($F$7:AE$7))))</f>
        <v/>
      </c>
      <c r="AF523" s="2223" t="str" cm="1">
        <f t="array" ref="AF523">IF($D523&lt;COLUMNS($F$7:AF$7),"",INDEX(TableDiv[[GASB]:[GASB]],_xlfn.AGGREGATE(15,3,(TableDiv[[Agency]:[Agency]]=$E523)/(TableDiv[[Agency]:[Agency]]=$E523)*(ROW(TableDiv[Agency])-ROW(TableDiv[[#Headers],[Agency]])),COLUMNS($F$7:AF$7))))</f>
        <v/>
      </c>
      <c r="AG523" s="2223" t="str" cm="1">
        <f t="array" ref="AG523">IF($D523&lt;COLUMNS($F$7:AG$7),"",INDEX(TableDiv[[GASB]:[GASB]],_xlfn.AGGREGATE(15,3,(TableDiv[[Agency]:[Agency]]=$E523)/(TableDiv[[Agency]:[Agency]]=$E523)*(ROW(TableDiv[Agency])-ROW(TableDiv[[#Headers],[Agency]])),COLUMNS($F$7:AG$7))))</f>
        <v/>
      </c>
      <c r="AH523" s="2223" t="str" cm="1">
        <f t="array" ref="AH523">IF($D523&lt;COLUMNS($F$7:AH$7),"",INDEX(TableDiv[[GASB]:[GASB]],_xlfn.AGGREGATE(15,3,(TableDiv[[Agency]:[Agency]]=$E523)/(TableDiv[[Agency]:[Agency]]=$E523)*(ROW(TableDiv[Agency])-ROW(TableDiv[[#Headers],[Agency]])),COLUMNS($F$7:AH$7))))</f>
        <v/>
      </c>
      <c r="AI523" s="2223" t="str" cm="1">
        <f t="array" ref="AI523">IF($D523&lt;COLUMNS($F$7:AI$7),"",INDEX(TableDiv[[GASB]:[GASB]],_xlfn.AGGREGATE(15,3,(TableDiv[[Agency]:[Agency]]=$E523)/(TableDiv[[Agency]:[Agency]]=$E523)*(ROW(TableDiv[Agency])-ROW(TableDiv[[#Headers],[Agency]])),COLUMNS($F$7:AI$7))))</f>
        <v/>
      </c>
      <c r="AJ523" s="2223" t="str" cm="1">
        <f t="array" ref="AJ523">IF($D523&lt;COLUMNS($F$7:AJ$7),"",INDEX(TableDiv[[GASB]:[GASB]],_xlfn.AGGREGATE(15,3,(TableDiv[[Agency]:[Agency]]=$E523)/(TableDiv[[Agency]:[Agency]]=$E523)*(ROW(TableDiv[Agency])-ROW(TableDiv[[#Headers],[Agency]])),COLUMNS($F$7:AJ$7))))</f>
        <v/>
      </c>
      <c r="AK523" s="2223" t="str" cm="1">
        <f t="array" ref="AK523">IF($D523&lt;COLUMNS($F$7:AK$7),"",INDEX(TableDiv[[GASB]:[GASB]],_xlfn.AGGREGATE(15,3,(TableDiv[[Agency]:[Agency]]=$E523)/(TableDiv[[Agency]:[Agency]]=$E523)*(ROW(TableDiv[Agency])-ROW(TableDiv[[#Headers],[Agency]])),COLUMNS($F$7:AK$7))))</f>
        <v/>
      </c>
      <c r="AL523" s="2223" t="str" cm="1">
        <f t="array" ref="AL523">IF($D523&lt;COLUMNS($F$7:AL$7),"",INDEX(TableDiv[[GASB]:[GASB]],_xlfn.AGGREGATE(15,3,(TableDiv[[Agency]:[Agency]]=$E523)/(TableDiv[[Agency]:[Agency]]=$E523)*(ROW(TableDiv[Agency])-ROW(TableDiv[[#Headers],[Agency]])),COLUMNS($F$7:AL$7))))</f>
        <v/>
      </c>
      <c r="AM523" s="2223" t="str" cm="1">
        <f t="array" ref="AM523">IF($D523&lt;COLUMNS($F$7:AM$7),"",INDEX(TableDiv[[GASB]:[GASB]],_xlfn.AGGREGATE(15,3,(TableDiv[[Agency]:[Agency]]=$E523)/(TableDiv[[Agency]:[Agency]]=$E523)*(ROW(TableDiv[Agency])-ROW(TableDiv[[#Headers],[Agency]])),COLUMNS($F$7:AM$7))))</f>
        <v/>
      </c>
      <c r="AN523" s="2223"/>
      <c r="AO523" s="2223"/>
      <c r="AP523" s="2223"/>
      <c r="AQ523" s="2223"/>
      <c r="AR523" s="2223"/>
      <c r="AS523" s="2223"/>
    </row>
    <row r="524" spans="1:45" ht="15" x14ac:dyDescent="0.25">
      <c r="A524" s="2219"/>
      <c r="B524" s="2219"/>
      <c r="C524" s="2223"/>
      <c r="W524" s="2223" t="str" cm="1">
        <f t="array" ref="W524">IF($D524&lt;COLUMNS($F$7:W$7),"",INDEX(TableDiv[[GASB]:[GASB]],_xlfn.AGGREGATE(15,3,(TableDiv[[Agency]:[Agency]]=$E524)/(TableDiv[[Agency]:[Agency]]=$E524)*(ROW(TableDiv[Agency])-ROW(TableDiv[[#Headers],[Agency]])),COLUMNS($F$7:W$7))))</f>
        <v/>
      </c>
      <c r="X524" s="2223" t="str" cm="1">
        <f t="array" ref="X524">IF($D524&lt;COLUMNS($F$7:X$7),"",INDEX(TableDiv[[GASB]:[GASB]],_xlfn.AGGREGATE(15,3,(TableDiv[[Agency]:[Agency]]=$E524)/(TableDiv[[Agency]:[Agency]]=$E524)*(ROW(TableDiv[Agency])-ROW(TableDiv[[#Headers],[Agency]])),COLUMNS($F$7:X$7))))</f>
        <v/>
      </c>
      <c r="Y524" s="2223" t="str" cm="1">
        <f t="array" ref="Y524">IF($D524&lt;COLUMNS($F$7:Y$7),"",INDEX(TableDiv[[GASB]:[GASB]],_xlfn.AGGREGATE(15,3,(TableDiv[[Agency]:[Agency]]=$E524)/(TableDiv[[Agency]:[Agency]]=$E524)*(ROW(TableDiv[Agency])-ROW(TableDiv[[#Headers],[Agency]])),COLUMNS($F$7:Y$7))))</f>
        <v/>
      </c>
      <c r="Z524" s="2223" t="str" cm="1">
        <f t="array" ref="Z524">IF($D524&lt;COLUMNS($F$7:Z$7),"",INDEX(TableDiv[[GASB]:[GASB]],_xlfn.AGGREGATE(15,3,(TableDiv[[Agency]:[Agency]]=$E524)/(TableDiv[[Agency]:[Agency]]=$E524)*(ROW(TableDiv[Agency])-ROW(TableDiv[[#Headers],[Agency]])),COLUMNS($F$7:Z$7))))</f>
        <v/>
      </c>
      <c r="AA524" s="2223" t="str" cm="1">
        <f t="array" ref="AA524">IF($D524&lt;COLUMNS($F$7:AA$7),"",INDEX(TableDiv[[GASB]:[GASB]],_xlfn.AGGREGATE(15,3,(TableDiv[[Agency]:[Agency]]=$E524)/(TableDiv[[Agency]:[Agency]]=$E524)*(ROW(TableDiv[Agency])-ROW(TableDiv[[#Headers],[Agency]])),COLUMNS($F$7:AA$7))))</f>
        <v/>
      </c>
      <c r="AB524" s="2223" t="str" cm="1">
        <f t="array" ref="AB524">IF($D524&lt;COLUMNS($F$7:AB$7),"",INDEX(TableDiv[[GASB]:[GASB]],_xlfn.AGGREGATE(15,3,(TableDiv[[Agency]:[Agency]]=$E524)/(TableDiv[[Agency]:[Agency]]=$E524)*(ROW(TableDiv[Agency])-ROW(TableDiv[[#Headers],[Agency]])),COLUMNS($F$7:AB$7))))</f>
        <v/>
      </c>
      <c r="AC524" s="2223" t="str" cm="1">
        <f t="array" ref="AC524">IF($D524&lt;COLUMNS($F$7:AC$7),"",INDEX(TableDiv[[GASB]:[GASB]],_xlfn.AGGREGATE(15,3,(TableDiv[[Agency]:[Agency]]=$E524)/(TableDiv[[Agency]:[Agency]]=$E524)*(ROW(TableDiv[Agency])-ROW(TableDiv[[#Headers],[Agency]])),COLUMNS($F$7:AC$7))))</f>
        <v/>
      </c>
      <c r="AD524" s="2223" t="str" cm="1">
        <f t="array" ref="AD524">IF($D524&lt;COLUMNS($F$7:AD$7),"",INDEX(TableDiv[[GASB]:[GASB]],_xlfn.AGGREGATE(15,3,(TableDiv[[Agency]:[Agency]]=$E524)/(TableDiv[[Agency]:[Agency]]=$E524)*(ROW(TableDiv[Agency])-ROW(TableDiv[[#Headers],[Agency]])),COLUMNS($F$7:AD$7))))</f>
        <v/>
      </c>
      <c r="AE524" s="2223" t="str" cm="1">
        <f t="array" ref="AE524">IF($D524&lt;COLUMNS($F$7:AE$7),"",INDEX(TableDiv[[GASB]:[GASB]],_xlfn.AGGREGATE(15,3,(TableDiv[[Agency]:[Agency]]=$E524)/(TableDiv[[Agency]:[Agency]]=$E524)*(ROW(TableDiv[Agency])-ROW(TableDiv[[#Headers],[Agency]])),COLUMNS($F$7:AE$7))))</f>
        <v/>
      </c>
      <c r="AF524" s="2223" t="str" cm="1">
        <f t="array" ref="AF524">IF($D524&lt;COLUMNS($F$7:AF$7),"",INDEX(TableDiv[[GASB]:[GASB]],_xlfn.AGGREGATE(15,3,(TableDiv[[Agency]:[Agency]]=$E524)/(TableDiv[[Agency]:[Agency]]=$E524)*(ROW(TableDiv[Agency])-ROW(TableDiv[[#Headers],[Agency]])),COLUMNS($F$7:AF$7))))</f>
        <v/>
      </c>
      <c r="AG524" s="2223" t="str" cm="1">
        <f t="array" ref="AG524">IF($D524&lt;COLUMNS($F$7:AG$7),"",INDEX(TableDiv[[GASB]:[GASB]],_xlfn.AGGREGATE(15,3,(TableDiv[[Agency]:[Agency]]=$E524)/(TableDiv[[Agency]:[Agency]]=$E524)*(ROW(TableDiv[Agency])-ROW(TableDiv[[#Headers],[Agency]])),COLUMNS($F$7:AG$7))))</f>
        <v/>
      </c>
      <c r="AH524" s="2223" t="str" cm="1">
        <f t="array" ref="AH524">IF($D524&lt;COLUMNS($F$7:AH$7),"",INDEX(TableDiv[[GASB]:[GASB]],_xlfn.AGGREGATE(15,3,(TableDiv[[Agency]:[Agency]]=$E524)/(TableDiv[[Agency]:[Agency]]=$E524)*(ROW(TableDiv[Agency])-ROW(TableDiv[[#Headers],[Agency]])),COLUMNS($F$7:AH$7))))</f>
        <v/>
      </c>
      <c r="AI524" s="2223" t="str" cm="1">
        <f t="array" ref="AI524">IF($D524&lt;COLUMNS($F$7:AI$7),"",INDEX(TableDiv[[GASB]:[GASB]],_xlfn.AGGREGATE(15,3,(TableDiv[[Agency]:[Agency]]=$E524)/(TableDiv[[Agency]:[Agency]]=$E524)*(ROW(TableDiv[Agency])-ROW(TableDiv[[#Headers],[Agency]])),COLUMNS($F$7:AI$7))))</f>
        <v/>
      </c>
      <c r="AJ524" s="2223" t="str" cm="1">
        <f t="array" ref="AJ524">IF($D524&lt;COLUMNS($F$7:AJ$7),"",INDEX(TableDiv[[GASB]:[GASB]],_xlfn.AGGREGATE(15,3,(TableDiv[[Agency]:[Agency]]=$E524)/(TableDiv[[Agency]:[Agency]]=$E524)*(ROW(TableDiv[Agency])-ROW(TableDiv[[#Headers],[Agency]])),COLUMNS($F$7:AJ$7))))</f>
        <v/>
      </c>
      <c r="AK524" s="2223" t="str" cm="1">
        <f t="array" ref="AK524">IF($D524&lt;COLUMNS($F$7:AK$7),"",INDEX(TableDiv[[GASB]:[GASB]],_xlfn.AGGREGATE(15,3,(TableDiv[[Agency]:[Agency]]=$E524)/(TableDiv[[Agency]:[Agency]]=$E524)*(ROW(TableDiv[Agency])-ROW(TableDiv[[#Headers],[Agency]])),COLUMNS($F$7:AK$7))))</f>
        <v/>
      </c>
      <c r="AL524" s="2223" t="str" cm="1">
        <f t="array" ref="AL524">IF($D524&lt;COLUMNS($F$7:AL$7),"",INDEX(TableDiv[[GASB]:[GASB]],_xlfn.AGGREGATE(15,3,(TableDiv[[Agency]:[Agency]]=$E524)/(TableDiv[[Agency]:[Agency]]=$E524)*(ROW(TableDiv[Agency])-ROW(TableDiv[[#Headers],[Agency]])),COLUMNS($F$7:AL$7))))</f>
        <v/>
      </c>
      <c r="AM524" s="2223" t="str" cm="1">
        <f t="array" ref="AM524">IF($D524&lt;COLUMNS($F$7:AM$7),"",INDEX(TableDiv[[GASB]:[GASB]],_xlfn.AGGREGATE(15,3,(TableDiv[[Agency]:[Agency]]=$E524)/(TableDiv[[Agency]:[Agency]]=$E524)*(ROW(TableDiv[Agency])-ROW(TableDiv[[#Headers],[Agency]])),COLUMNS($F$7:AM$7))))</f>
        <v/>
      </c>
      <c r="AN524" s="2223"/>
      <c r="AO524" s="2223"/>
      <c r="AP524" s="2223"/>
      <c r="AQ524" s="2223"/>
      <c r="AR524" s="2223"/>
      <c r="AS524" s="2223"/>
    </row>
    <row r="525" spans="1:45" ht="15" x14ac:dyDescent="0.25">
      <c r="A525" s="2219"/>
      <c r="B525" s="2219"/>
      <c r="C525" s="2223"/>
      <c r="W525" s="2223" t="str" cm="1">
        <f t="array" ref="W525">IF($D525&lt;COLUMNS($F$7:W$7),"",INDEX(TableDiv[[GASB]:[GASB]],_xlfn.AGGREGATE(15,3,(TableDiv[[Agency]:[Agency]]=$E525)/(TableDiv[[Agency]:[Agency]]=$E525)*(ROW(TableDiv[Agency])-ROW(TableDiv[[#Headers],[Agency]])),COLUMNS($F$7:W$7))))</f>
        <v/>
      </c>
      <c r="X525" s="2223" t="str" cm="1">
        <f t="array" ref="X525">IF($D525&lt;COLUMNS($F$7:X$7),"",INDEX(TableDiv[[GASB]:[GASB]],_xlfn.AGGREGATE(15,3,(TableDiv[[Agency]:[Agency]]=$E525)/(TableDiv[[Agency]:[Agency]]=$E525)*(ROW(TableDiv[Agency])-ROW(TableDiv[[#Headers],[Agency]])),COLUMNS($F$7:X$7))))</f>
        <v/>
      </c>
      <c r="Y525" s="2223" t="str" cm="1">
        <f t="array" ref="Y525">IF($D525&lt;COLUMNS($F$7:Y$7),"",INDEX(TableDiv[[GASB]:[GASB]],_xlfn.AGGREGATE(15,3,(TableDiv[[Agency]:[Agency]]=$E525)/(TableDiv[[Agency]:[Agency]]=$E525)*(ROW(TableDiv[Agency])-ROW(TableDiv[[#Headers],[Agency]])),COLUMNS($F$7:Y$7))))</f>
        <v/>
      </c>
      <c r="Z525" s="2223" t="str" cm="1">
        <f t="array" ref="Z525">IF($D525&lt;COLUMNS($F$7:Z$7),"",INDEX(TableDiv[[GASB]:[GASB]],_xlfn.AGGREGATE(15,3,(TableDiv[[Agency]:[Agency]]=$E525)/(TableDiv[[Agency]:[Agency]]=$E525)*(ROW(TableDiv[Agency])-ROW(TableDiv[[#Headers],[Agency]])),COLUMNS($F$7:Z$7))))</f>
        <v/>
      </c>
      <c r="AA525" s="2223" t="str" cm="1">
        <f t="array" ref="AA525">IF($D525&lt;COLUMNS($F$7:AA$7),"",INDEX(TableDiv[[GASB]:[GASB]],_xlfn.AGGREGATE(15,3,(TableDiv[[Agency]:[Agency]]=$E525)/(TableDiv[[Agency]:[Agency]]=$E525)*(ROW(TableDiv[Agency])-ROW(TableDiv[[#Headers],[Agency]])),COLUMNS($F$7:AA$7))))</f>
        <v/>
      </c>
      <c r="AB525" s="2223" t="str" cm="1">
        <f t="array" ref="AB525">IF($D525&lt;COLUMNS($F$7:AB$7),"",INDEX(TableDiv[[GASB]:[GASB]],_xlfn.AGGREGATE(15,3,(TableDiv[[Agency]:[Agency]]=$E525)/(TableDiv[[Agency]:[Agency]]=$E525)*(ROW(TableDiv[Agency])-ROW(TableDiv[[#Headers],[Agency]])),COLUMNS($F$7:AB$7))))</f>
        <v/>
      </c>
      <c r="AC525" s="2223" t="str" cm="1">
        <f t="array" ref="AC525">IF($D525&lt;COLUMNS($F$7:AC$7),"",INDEX(TableDiv[[GASB]:[GASB]],_xlfn.AGGREGATE(15,3,(TableDiv[[Agency]:[Agency]]=$E525)/(TableDiv[[Agency]:[Agency]]=$E525)*(ROW(TableDiv[Agency])-ROW(TableDiv[[#Headers],[Agency]])),COLUMNS($F$7:AC$7))))</f>
        <v/>
      </c>
      <c r="AD525" s="2223" t="str" cm="1">
        <f t="array" ref="AD525">IF($D525&lt;COLUMNS($F$7:AD$7),"",INDEX(TableDiv[[GASB]:[GASB]],_xlfn.AGGREGATE(15,3,(TableDiv[[Agency]:[Agency]]=$E525)/(TableDiv[[Agency]:[Agency]]=$E525)*(ROW(TableDiv[Agency])-ROW(TableDiv[[#Headers],[Agency]])),COLUMNS($F$7:AD$7))))</f>
        <v/>
      </c>
      <c r="AE525" s="2223" t="str" cm="1">
        <f t="array" ref="AE525">IF($D525&lt;COLUMNS($F$7:AE$7),"",INDEX(TableDiv[[GASB]:[GASB]],_xlfn.AGGREGATE(15,3,(TableDiv[[Agency]:[Agency]]=$E525)/(TableDiv[[Agency]:[Agency]]=$E525)*(ROW(TableDiv[Agency])-ROW(TableDiv[[#Headers],[Agency]])),COLUMNS($F$7:AE$7))))</f>
        <v/>
      </c>
      <c r="AF525" s="2223" t="str" cm="1">
        <f t="array" ref="AF525">IF($D525&lt;COLUMNS($F$7:AF$7),"",INDEX(TableDiv[[GASB]:[GASB]],_xlfn.AGGREGATE(15,3,(TableDiv[[Agency]:[Agency]]=$E525)/(TableDiv[[Agency]:[Agency]]=$E525)*(ROW(TableDiv[Agency])-ROW(TableDiv[[#Headers],[Agency]])),COLUMNS($F$7:AF$7))))</f>
        <v/>
      </c>
      <c r="AG525" s="2223" t="str" cm="1">
        <f t="array" ref="AG525">IF($D525&lt;COLUMNS($F$7:AG$7),"",INDEX(TableDiv[[GASB]:[GASB]],_xlfn.AGGREGATE(15,3,(TableDiv[[Agency]:[Agency]]=$E525)/(TableDiv[[Agency]:[Agency]]=$E525)*(ROW(TableDiv[Agency])-ROW(TableDiv[[#Headers],[Agency]])),COLUMNS($F$7:AG$7))))</f>
        <v/>
      </c>
      <c r="AH525" s="2223" t="str" cm="1">
        <f t="array" ref="AH525">IF($D525&lt;COLUMNS($F$7:AH$7),"",INDEX(TableDiv[[GASB]:[GASB]],_xlfn.AGGREGATE(15,3,(TableDiv[[Agency]:[Agency]]=$E525)/(TableDiv[[Agency]:[Agency]]=$E525)*(ROW(TableDiv[Agency])-ROW(TableDiv[[#Headers],[Agency]])),COLUMNS($F$7:AH$7))))</f>
        <v/>
      </c>
      <c r="AI525" s="2223" t="str" cm="1">
        <f t="array" ref="AI525">IF($D525&lt;COLUMNS($F$7:AI$7),"",INDEX(TableDiv[[GASB]:[GASB]],_xlfn.AGGREGATE(15,3,(TableDiv[[Agency]:[Agency]]=$E525)/(TableDiv[[Agency]:[Agency]]=$E525)*(ROW(TableDiv[Agency])-ROW(TableDiv[[#Headers],[Agency]])),COLUMNS($F$7:AI$7))))</f>
        <v/>
      </c>
      <c r="AJ525" s="2223" t="str" cm="1">
        <f t="array" ref="AJ525">IF($D525&lt;COLUMNS($F$7:AJ$7),"",INDEX(TableDiv[[GASB]:[GASB]],_xlfn.AGGREGATE(15,3,(TableDiv[[Agency]:[Agency]]=$E525)/(TableDiv[[Agency]:[Agency]]=$E525)*(ROW(TableDiv[Agency])-ROW(TableDiv[[#Headers],[Agency]])),COLUMNS($F$7:AJ$7))))</f>
        <v/>
      </c>
      <c r="AK525" s="2223" t="str" cm="1">
        <f t="array" ref="AK525">IF($D525&lt;COLUMNS($F$7:AK$7),"",INDEX(TableDiv[[GASB]:[GASB]],_xlfn.AGGREGATE(15,3,(TableDiv[[Agency]:[Agency]]=$E525)/(TableDiv[[Agency]:[Agency]]=$E525)*(ROW(TableDiv[Agency])-ROW(TableDiv[[#Headers],[Agency]])),COLUMNS($F$7:AK$7))))</f>
        <v/>
      </c>
      <c r="AL525" s="2223" t="str" cm="1">
        <f t="array" ref="AL525">IF($D525&lt;COLUMNS($F$7:AL$7),"",INDEX(TableDiv[[GASB]:[GASB]],_xlfn.AGGREGATE(15,3,(TableDiv[[Agency]:[Agency]]=$E525)/(TableDiv[[Agency]:[Agency]]=$E525)*(ROW(TableDiv[Agency])-ROW(TableDiv[[#Headers],[Agency]])),COLUMNS($F$7:AL$7))))</f>
        <v/>
      </c>
      <c r="AM525" s="2223" t="str" cm="1">
        <f t="array" ref="AM525">IF($D525&lt;COLUMNS($F$7:AM$7),"",INDEX(TableDiv[[GASB]:[GASB]],_xlfn.AGGREGATE(15,3,(TableDiv[[Agency]:[Agency]]=$E525)/(TableDiv[[Agency]:[Agency]]=$E525)*(ROW(TableDiv[Agency])-ROW(TableDiv[[#Headers],[Agency]])),COLUMNS($F$7:AM$7))))</f>
        <v/>
      </c>
      <c r="AN525" s="2223"/>
      <c r="AO525" s="2223"/>
      <c r="AP525" s="2223"/>
      <c r="AQ525" s="2223"/>
      <c r="AR525" s="2223"/>
      <c r="AS525" s="2223"/>
    </row>
    <row r="526" spans="1:45" ht="15" x14ac:dyDescent="0.25">
      <c r="A526" s="2219"/>
      <c r="B526" s="2219"/>
      <c r="C526" s="2223"/>
      <c r="W526" s="2223" t="str" cm="1">
        <f t="array" ref="W526">IF($D526&lt;COLUMNS($F$7:W$7),"",INDEX(TableDiv[[GASB]:[GASB]],_xlfn.AGGREGATE(15,3,(TableDiv[[Agency]:[Agency]]=$E526)/(TableDiv[[Agency]:[Agency]]=$E526)*(ROW(TableDiv[Agency])-ROW(TableDiv[[#Headers],[Agency]])),COLUMNS($F$7:W$7))))</f>
        <v/>
      </c>
      <c r="X526" s="2223" t="str" cm="1">
        <f t="array" ref="X526">IF($D526&lt;COLUMNS($F$7:X$7),"",INDEX(TableDiv[[GASB]:[GASB]],_xlfn.AGGREGATE(15,3,(TableDiv[[Agency]:[Agency]]=$E526)/(TableDiv[[Agency]:[Agency]]=$E526)*(ROW(TableDiv[Agency])-ROW(TableDiv[[#Headers],[Agency]])),COLUMNS($F$7:X$7))))</f>
        <v/>
      </c>
      <c r="Y526" s="2223" t="str" cm="1">
        <f t="array" ref="Y526">IF($D526&lt;COLUMNS($F$7:Y$7),"",INDEX(TableDiv[[GASB]:[GASB]],_xlfn.AGGREGATE(15,3,(TableDiv[[Agency]:[Agency]]=$E526)/(TableDiv[[Agency]:[Agency]]=$E526)*(ROW(TableDiv[Agency])-ROW(TableDiv[[#Headers],[Agency]])),COLUMNS($F$7:Y$7))))</f>
        <v/>
      </c>
      <c r="Z526" s="2223" t="str" cm="1">
        <f t="array" ref="Z526">IF($D526&lt;COLUMNS($F$7:Z$7),"",INDEX(TableDiv[[GASB]:[GASB]],_xlfn.AGGREGATE(15,3,(TableDiv[[Agency]:[Agency]]=$E526)/(TableDiv[[Agency]:[Agency]]=$E526)*(ROW(TableDiv[Agency])-ROW(TableDiv[[#Headers],[Agency]])),COLUMNS($F$7:Z$7))))</f>
        <v/>
      </c>
      <c r="AA526" s="2223" t="str" cm="1">
        <f t="array" ref="AA526">IF($D526&lt;COLUMNS($F$7:AA$7),"",INDEX(TableDiv[[GASB]:[GASB]],_xlfn.AGGREGATE(15,3,(TableDiv[[Agency]:[Agency]]=$E526)/(TableDiv[[Agency]:[Agency]]=$E526)*(ROW(TableDiv[Agency])-ROW(TableDiv[[#Headers],[Agency]])),COLUMNS($F$7:AA$7))))</f>
        <v/>
      </c>
      <c r="AB526" s="2223" t="str" cm="1">
        <f t="array" ref="AB526">IF($D526&lt;COLUMNS($F$7:AB$7),"",INDEX(TableDiv[[GASB]:[GASB]],_xlfn.AGGREGATE(15,3,(TableDiv[[Agency]:[Agency]]=$E526)/(TableDiv[[Agency]:[Agency]]=$E526)*(ROW(TableDiv[Agency])-ROW(TableDiv[[#Headers],[Agency]])),COLUMNS($F$7:AB$7))))</f>
        <v/>
      </c>
      <c r="AC526" s="2223" t="str" cm="1">
        <f t="array" ref="AC526">IF($D526&lt;COLUMNS($F$7:AC$7),"",INDEX(TableDiv[[GASB]:[GASB]],_xlfn.AGGREGATE(15,3,(TableDiv[[Agency]:[Agency]]=$E526)/(TableDiv[[Agency]:[Agency]]=$E526)*(ROW(TableDiv[Agency])-ROW(TableDiv[[#Headers],[Agency]])),COLUMNS($F$7:AC$7))))</f>
        <v/>
      </c>
      <c r="AD526" s="2223" t="str" cm="1">
        <f t="array" ref="AD526">IF($D526&lt;COLUMNS($F$7:AD$7),"",INDEX(TableDiv[[GASB]:[GASB]],_xlfn.AGGREGATE(15,3,(TableDiv[[Agency]:[Agency]]=$E526)/(TableDiv[[Agency]:[Agency]]=$E526)*(ROW(TableDiv[Agency])-ROW(TableDiv[[#Headers],[Agency]])),COLUMNS($F$7:AD$7))))</f>
        <v/>
      </c>
      <c r="AE526" s="2223" t="str" cm="1">
        <f t="array" ref="AE526">IF($D526&lt;COLUMNS($F$7:AE$7),"",INDEX(TableDiv[[GASB]:[GASB]],_xlfn.AGGREGATE(15,3,(TableDiv[[Agency]:[Agency]]=$E526)/(TableDiv[[Agency]:[Agency]]=$E526)*(ROW(TableDiv[Agency])-ROW(TableDiv[[#Headers],[Agency]])),COLUMNS($F$7:AE$7))))</f>
        <v/>
      </c>
      <c r="AF526" s="2223" t="str" cm="1">
        <f t="array" ref="AF526">IF($D526&lt;COLUMNS($F$7:AF$7),"",INDEX(TableDiv[[GASB]:[GASB]],_xlfn.AGGREGATE(15,3,(TableDiv[[Agency]:[Agency]]=$E526)/(TableDiv[[Agency]:[Agency]]=$E526)*(ROW(TableDiv[Agency])-ROW(TableDiv[[#Headers],[Agency]])),COLUMNS($F$7:AF$7))))</f>
        <v/>
      </c>
      <c r="AG526" s="2223" t="str" cm="1">
        <f t="array" ref="AG526">IF($D526&lt;COLUMNS($F$7:AG$7),"",INDEX(TableDiv[[GASB]:[GASB]],_xlfn.AGGREGATE(15,3,(TableDiv[[Agency]:[Agency]]=$E526)/(TableDiv[[Agency]:[Agency]]=$E526)*(ROW(TableDiv[Agency])-ROW(TableDiv[[#Headers],[Agency]])),COLUMNS($F$7:AG$7))))</f>
        <v/>
      </c>
      <c r="AH526" s="2223" t="str" cm="1">
        <f t="array" ref="AH526">IF($D526&lt;COLUMNS($F$7:AH$7),"",INDEX(TableDiv[[GASB]:[GASB]],_xlfn.AGGREGATE(15,3,(TableDiv[[Agency]:[Agency]]=$E526)/(TableDiv[[Agency]:[Agency]]=$E526)*(ROW(TableDiv[Agency])-ROW(TableDiv[[#Headers],[Agency]])),COLUMNS($F$7:AH$7))))</f>
        <v/>
      </c>
      <c r="AI526" s="2223" t="str" cm="1">
        <f t="array" ref="AI526">IF($D526&lt;COLUMNS($F$7:AI$7),"",INDEX(TableDiv[[GASB]:[GASB]],_xlfn.AGGREGATE(15,3,(TableDiv[[Agency]:[Agency]]=$E526)/(TableDiv[[Agency]:[Agency]]=$E526)*(ROW(TableDiv[Agency])-ROW(TableDiv[[#Headers],[Agency]])),COLUMNS($F$7:AI$7))))</f>
        <v/>
      </c>
      <c r="AJ526" s="2223" t="str" cm="1">
        <f t="array" ref="AJ526">IF($D526&lt;COLUMNS($F$7:AJ$7),"",INDEX(TableDiv[[GASB]:[GASB]],_xlfn.AGGREGATE(15,3,(TableDiv[[Agency]:[Agency]]=$E526)/(TableDiv[[Agency]:[Agency]]=$E526)*(ROW(TableDiv[Agency])-ROW(TableDiv[[#Headers],[Agency]])),COLUMNS($F$7:AJ$7))))</f>
        <v/>
      </c>
      <c r="AK526" s="2223" t="str" cm="1">
        <f t="array" ref="AK526">IF($D526&lt;COLUMNS($F$7:AK$7),"",INDEX(TableDiv[[GASB]:[GASB]],_xlfn.AGGREGATE(15,3,(TableDiv[[Agency]:[Agency]]=$E526)/(TableDiv[[Agency]:[Agency]]=$E526)*(ROW(TableDiv[Agency])-ROW(TableDiv[[#Headers],[Agency]])),COLUMNS($F$7:AK$7))))</f>
        <v/>
      </c>
      <c r="AL526" s="2223" t="str" cm="1">
        <f t="array" ref="AL526">IF($D526&lt;COLUMNS($F$7:AL$7),"",INDEX(TableDiv[[GASB]:[GASB]],_xlfn.AGGREGATE(15,3,(TableDiv[[Agency]:[Agency]]=$E526)/(TableDiv[[Agency]:[Agency]]=$E526)*(ROW(TableDiv[Agency])-ROW(TableDiv[[#Headers],[Agency]])),COLUMNS($F$7:AL$7))))</f>
        <v/>
      </c>
      <c r="AM526" s="2223" t="str" cm="1">
        <f t="array" ref="AM526">IF($D526&lt;COLUMNS($F$7:AM$7),"",INDEX(TableDiv[[GASB]:[GASB]],_xlfn.AGGREGATE(15,3,(TableDiv[[Agency]:[Agency]]=$E526)/(TableDiv[[Agency]:[Agency]]=$E526)*(ROW(TableDiv[Agency])-ROW(TableDiv[[#Headers],[Agency]])),COLUMNS($F$7:AM$7))))</f>
        <v/>
      </c>
      <c r="AN526" s="2223"/>
      <c r="AO526" s="2223"/>
      <c r="AP526" s="2223"/>
      <c r="AQ526" s="2223"/>
      <c r="AR526" s="2223"/>
      <c r="AS526" s="2223"/>
    </row>
    <row r="527" spans="1:45" x14ac:dyDescent="0.2">
      <c r="A527" s="2223"/>
      <c r="B527" s="2223"/>
      <c r="C527" s="2223"/>
      <c r="W527" s="2223" t="str" cm="1">
        <f t="array" ref="W527">IF($D527&lt;COLUMNS($F$7:W$7),"",INDEX(TableDiv[[GASB]:[GASB]],_xlfn.AGGREGATE(15,3,(TableDiv[[Agency]:[Agency]]=$E527)/(TableDiv[[Agency]:[Agency]]=$E527)*(ROW(TableDiv[Agency])-ROW(TableDiv[[#Headers],[Agency]])),COLUMNS($F$7:W$7))))</f>
        <v/>
      </c>
      <c r="X527" s="2223" t="str" cm="1">
        <f t="array" ref="X527">IF($D527&lt;COLUMNS($F$7:X$7),"",INDEX(TableDiv[[GASB]:[GASB]],_xlfn.AGGREGATE(15,3,(TableDiv[[Agency]:[Agency]]=$E527)/(TableDiv[[Agency]:[Agency]]=$E527)*(ROW(TableDiv[Agency])-ROW(TableDiv[[#Headers],[Agency]])),COLUMNS($F$7:X$7))))</f>
        <v/>
      </c>
      <c r="Y527" s="2223" t="str" cm="1">
        <f t="array" ref="Y527">IF($D527&lt;COLUMNS($F$7:Y$7),"",INDEX(TableDiv[[GASB]:[GASB]],_xlfn.AGGREGATE(15,3,(TableDiv[[Agency]:[Agency]]=$E527)/(TableDiv[[Agency]:[Agency]]=$E527)*(ROW(TableDiv[Agency])-ROW(TableDiv[[#Headers],[Agency]])),COLUMNS($F$7:Y$7))))</f>
        <v/>
      </c>
      <c r="Z527" s="2223" t="str" cm="1">
        <f t="array" ref="Z527">IF($D527&lt;COLUMNS($F$7:Z$7),"",INDEX(TableDiv[[GASB]:[GASB]],_xlfn.AGGREGATE(15,3,(TableDiv[[Agency]:[Agency]]=$E527)/(TableDiv[[Agency]:[Agency]]=$E527)*(ROW(TableDiv[Agency])-ROW(TableDiv[[#Headers],[Agency]])),COLUMNS($F$7:Z$7))))</f>
        <v/>
      </c>
      <c r="AA527" s="2223" t="str" cm="1">
        <f t="array" ref="AA527">IF($D527&lt;COLUMNS($F$7:AA$7),"",INDEX(TableDiv[[GASB]:[GASB]],_xlfn.AGGREGATE(15,3,(TableDiv[[Agency]:[Agency]]=$E527)/(TableDiv[[Agency]:[Agency]]=$E527)*(ROW(TableDiv[Agency])-ROW(TableDiv[[#Headers],[Agency]])),COLUMNS($F$7:AA$7))))</f>
        <v/>
      </c>
      <c r="AB527" s="2223" t="str" cm="1">
        <f t="array" ref="AB527">IF($D527&lt;COLUMNS($F$7:AB$7),"",INDEX(TableDiv[[GASB]:[GASB]],_xlfn.AGGREGATE(15,3,(TableDiv[[Agency]:[Agency]]=$E527)/(TableDiv[[Agency]:[Agency]]=$E527)*(ROW(TableDiv[Agency])-ROW(TableDiv[[#Headers],[Agency]])),COLUMNS($F$7:AB$7))))</f>
        <v/>
      </c>
      <c r="AC527" s="2223" t="str" cm="1">
        <f t="array" ref="AC527">IF($D527&lt;COLUMNS($F$7:AC$7),"",INDEX(TableDiv[[GASB]:[GASB]],_xlfn.AGGREGATE(15,3,(TableDiv[[Agency]:[Agency]]=$E527)/(TableDiv[[Agency]:[Agency]]=$E527)*(ROW(TableDiv[Agency])-ROW(TableDiv[[#Headers],[Agency]])),COLUMNS($F$7:AC$7))))</f>
        <v/>
      </c>
      <c r="AD527" s="2223" t="str" cm="1">
        <f t="array" ref="AD527">IF($D527&lt;COLUMNS($F$7:AD$7),"",INDEX(TableDiv[[GASB]:[GASB]],_xlfn.AGGREGATE(15,3,(TableDiv[[Agency]:[Agency]]=$E527)/(TableDiv[[Agency]:[Agency]]=$E527)*(ROW(TableDiv[Agency])-ROW(TableDiv[[#Headers],[Agency]])),COLUMNS($F$7:AD$7))))</f>
        <v/>
      </c>
      <c r="AE527" s="2223" t="str" cm="1">
        <f t="array" ref="AE527">IF($D527&lt;COLUMNS($F$7:AE$7),"",INDEX(TableDiv[[GASB]:[GASB]],_xlfn.AGGREGATE(15,3,(TableDiv[[Agency]:[Agency]]=$E527)/(TableDiv[[Agency]:[Agency]]=$E527)*(ROW(TableDiv[Agency])-ROW(TableDiv[[#Headers],[Agency]])),COLUMNS($F$7:AE$7))))</f>
        <v/>
      </c>
      <c r="AF527" s="2223" t="str" cm="1">
        <f t="array" ref="AF527">IF($D527&lt;COLUMNS($F$7:AF$7),"",INDEX(TableDiv[[GASB]:[GASB]],_xlfn.AGGREGATE(15,3,(TableDiv[[Agency]:[Agency]]=$E527)/(TableDiv[[Agency]:[Agency]]=$E527)*(ROW(TableDiv[Agency])-ROW(TableDiv[[#Headers],[Agency]])),COLUMNS($F$7:AF$7))))</f>
        <v/>
      </c>
      <c r="AG527" s="2223" t="str" cm="1">
        <f t="array" ref="AG527">IF($D527&lt;COLUMNS($F$7:AG$7),"",INDEX(TableDiv[[GASB]:[GASB]],_xlfn.AGGREGATE(15,3,(TableDiv[[Agency]:[Agency]]=$E527)/(TableDiv[[Agency]:[Agency]]=$E527)*(ROW(TableDiv[Agency])-ROW(TableDiv[[#Headers],[Agency]])),COLUMNS($F$7:AG$7))))</f>
        <v/>
      </c>
      <c r="AH527" s="2223" t="str" cm="1">
        <f t="array" ref="AH527">IF($D527&lt;COLUMNS($F$7:AH$7),"",INDEX(TableDiv[[GASB]:[GASB]],_xlfn.AGGREGATE(15,3,(TableDiv[[Agency]:[Agency]]=$E527)/(TableDiv[[Agency]:[Agency]]=$E527)*(ROW(TableDiv[Agency])-ROW(TableDiv[[#Headers],[Agency]])),COLUMNS($F$7:AH$7))))</f>
        <v/>
      </c>
      <c r="AI527" s="2223" t="str" cm="1">
        <f t="array" ref="AI527">IF($D527&lt;COLUMNS($F$7:AI$7),"",INDEX(TableDiv[[GASB]:[GASB]],_xlfn.AGGREGATE(15,3,(TableDiv[[Agency]:[Agency]]=$E527)/(TableDiv[[Agency]:[Agency]]=$E527)*(ROW(TableDiv[Agency])-ROW(TableDiv[[#Headers],[Agency]])),COLUMNS($F$7:AI$7))))</f>
        <v/>
      </c>
      <c r="AJ527" s="2223" t="str" cm="1">
        <f t="array" ref="AJ527">IF($D527&lt;COLUMNS($F$7:AJ$7),"",INDEX(TableDiv[[GASB]:[GASB]],_xlfn.AGGREGATE(15,3,(TableDiv[[Agency]:[Agency]]=$E527)/(TableDiv[[Agency]:[Agency]]=$E527)*(ROW(TableDiv[Agency])-ROW(TableDiv[[#Headers],[Agency]])),COLUMNS($F$7:AJ$7))))</f>
        <v/>
      </c>
      <c r="AK527" s="2223" t="str" cm="1">
        <f t="array" ref="AK527">IF($D527&lt;COLUMNS($F$7:AK$7),"",INDEX(TableDiv[[GASB]:[GASB]],_xlfn.AGGREGATE(15,3,(TableDiv[[Agency]:[Agency]]=$E527)/(TableDiv[[Agency]:[Agency]]=$E527)*(ROW(TableDiv[Agency])-ROW(TableDiv[[#Headers],[Agency]])),COLUMNS($F$7:AK$7))))</f>
        <v/>
      </c>
      <c r="AL527" s="2223" t="str" cm="1">
        <f t="array" ref="AL527">IF($D527&lt;COLUMNS($F$7:AL$7),"",INDEX(TableDiv[[GASB]:[GASB]],_xlfn.AGGREGATE(15,3,(TableDiv[[Agency]:[Agency]]=$E527)/(TableDiv[[Agency]:[Agency]]=$E527)*(ROW(TableDiv[Agency])-ROW(TableDiv[[#Headers],[Agency]])),COLUMNS($F$7:AL$7))))</f>
        <v/>
      </c>
      <c r="AM527" s="2223" t="str" cm="1">
        <f t="array" ref="AM527">IF($D527&lt;COLUMNS($F$7:AM$7),"",INDEX(TableDiv[[GASB]:[GASB]],_xlfn.AGGREGATE(15,3,(TableDiv[[Agency]:[Agency]]=$E527)/(TableDiv[[Agency]:[Agency]]=$E527)*(ROW(TableDiv[Agency])-ROW(TableDiv[[#Headers],[Agency]])),COLUMNS($F$7:AM$7))))</f>
        <v/>
      </c>
      <c r="AN527" s="2223"/>
      <c r="AO527" s="2223"/>
      <c r="AP527" s="2223"/>
      <c r="AQ527" s="2223"/>
      <c r="AR527" s="2223"/>
      <c r="AS527" s="2223"/>
    </row>
    <row r="528" spans="1:45" x14ac:dyDescent="0.2">
      <c r="A528" s="2223"/>
      <c r="B528" s="2223"/>
      <c r="C528" s="2223"/>
      <c r="W528" s="2223" t="str" cm="1">
        <f t="array" ref="W528">IF($D528&lt;COLUMNS($F$7:W$7),"",INDEX(TableDiv[[GASB]:[GASB]],_xlfn.AGGREGATE(15,3,(TableDiv[[Agency]:[Agency]]=$E528)/(TableDiv[[Agency]:[Agency]]=$E528)*(ROW(TableDiv[Agency])-ROW(TableDiv[[#Headers],[Agency]])),COLUMNS($F$7:W$7))))</f>
        <v/>
      </c>
      <c r="X528" s="2223" t="str" cm="1">
        <f t="array" ref="X528">IF($D528&lt;COLUMNS($F$7:X$7),"",INDEX(TableDiv[[GASB]:[GASB]],_xlfn.AGGREGATE(15,3,(TableDiv[[Agency]:[Agency]]=$E528)/(TableDiv[[Agency]:[Agency]]=$E528)*(ROW(TableDiv[Agency])-ROW(TableDiv[[#Headers],[Agency]])),COLUMNS($F$7:X$7))))</f>
        <v/>
      </c>
      <c r="Y528" s="2223" t="str" cm="1">
        <f t="array" ref="Y528">IF($D528&lt;COLUMNS($F$7:Y$7),"",INDEX(TableDiv[[GASB]:[GASB]],_xlfn.AGGREGATE(15,3,(TableDiv[[Agency]:[Agency]]=$E528)/(TableDiv[[Agency]:[Agency]]=$E528)*(ROW(TableDiv[Agency])-ROW(TableDiv[[#Headers],[Agency]])),COLUMNS($F$7:Y$7))))</f>
        <v/>
      </c>
      <c r="Z528" s="2223" t="str" cm="1">
        <f t="array" ref="Z528">IF($D528&lt;COLUMNS($F$7:Z$7),"",INDEX(TableDiv[[GASB]:[GASB]],_xlfn.AGGREGATE(15,3,(TableDiv[[Agency]:[Agency]]=$E528)/(TableDiv[[Agency]:[Agency]]=$E528)*(ROW(TableDiv[Agency])-ROW(TableDiv[[#Headers],[Agency]])),COLUMNS($F$7:Z$7))))</f>
        <v/>
      </c>
      <c r="AA528" s="2223" t="str" cm="1">
        <f t="array" ref="AA528">IF($D528&lt;COLUMNS($F$7:AA$7),"",INDEX(TableDiv[[GASB]:[GASB]],_xlfn.AGGREGATE(15,3,(TableDiv[[Agency]:[Agency]]=$E528)/(TableDiv[[Agency]:[Agency]]=$E528)*(ROW(TableDiv[Agency])-ROW(TableDiv[[#Headers],[Agency]])),COLUMNS($F$7:AA$7))))</f>
        <v/>
      </c>
      <c r="AB528" s="2223" t="str" cm="1">
        <f t="array" ref="AB528">IF($D528&lt;COLUMNS($F$7:AB$7),"",INDEX(TableDiv[[GASB]:[GASB]],_xlfn.AGGREGATE(15,3,(TableDiv[[Agency]:[Agency]]=$E528)/(TableDiv[[Agency]:[Agency]]=$E528)*(ROW(TableDiv[Agency])-ROW(TableDiv[[#Headers],[Agency]])),COLUMNS($F$7:AB$7))))</f>
        <v/>
      </c>
      <c r="AC528" s="2223" t="str" cm="1">
        <f t="array" ref="AC528">IF($D528&lt;COLUMNS($F$7:AC$7),"",INDEX(TableDiv[[GASB]:[GASB]],_xlfn.AGGREGATE(15,3,(TableDiv[[Agency]:[Agency]]=$E528)/(TableDiv[[Agency]:[Agency]]=$E528)*(ROW(TableDiv[Agency])-ROW(TableDiv[[#Headers],[Agency]])),COLUMNS($F$7:AC$7))))</f>
        <v/>
      </c>
      <c r="AD528" s="2223" t="str" cm="1">
        <f t="array" ref="AD528">IF($D528&lt;COLUMNS($F$7:AD$7),"",INDEX(TableDiv[[GASB]:[GASB]],_xlfn.AGGREGATE(15,3,(TableDiv[[Agency]:[Agency]]=$E528)/(TableDiv[[Agency]:[Agency]]=$E528)*(ROW(TableDiv[Agency])-ROW(TableDiv[[#Headers],[Agency]])),COLUMNS($F$7:AD$7))))</f>
        <v/>
      </c>
      <c r="AE528" s="2223" t="str" cm="1">
        <f t="array" ref="AE528">IF($D528&lt;COLUMNS($F$7:AE$7),"",INDEX(TableDiv[[GASB]:[GASB]],_xlfn.AGGREGATE(15,3,(TableDiv[[Agency]:[Agency]]=$E528)/(TableDiv[[Agency]:[Agency]]=$E528)*(ROW(TableDiv[Agency])-ROW(TableDiv[[#Headers],[Agency]])),COLUMNS($F$7:AE$7))))</f>
        <v/>
      </c>
      <c r="AF528" s="2223" t="str" cm="1">
        <f t="array" ref="AF528">IF($D528&lt;COLUMNS($F$7:AF$7),"",INDEX(TableDiv[[GASB]:[GASB]],_xlfn.AGGREGATE(15,3,(TableDiv[[Agency]:[Agency]]=$E528)/(TableDiv[[Agency]:[Agency]]=$E528)*(ROW(TableDiv[Agency])-ROW(TableDiv[[#Headers],[Agency]])),COLUMNS($F$7:AF$7))))</f>
        <v/>
      </c>
      <c r="AG528" s="2223" t="str" cm="1">
        <f t="array" ref="AG528">IF($D528&lt;COLUMNS($F$7:AG$7),"",INDEX(TableDiv[[GASB]:[GASB]],_xlfn.AGGREGATE(15,3,(TableDiv[[Agency]:[Agency]]=$E528)/(TableDiv[[Agency]:[Agency]]=$E528)*(ROW(TableDiv[Agency])-ROW(TableDiv[[#Headers],[Agency]])),COLUMNS($F$7:AG$7))))</f>
        <v/>
      </c>
      <c r="AH528" s="2223" t="str" cm="1">
        <f t="array" ref="AH528">IF($D528&lt;COLUMNS($F$7:AH$7),"",INDEX(TableDiv[[GASB]:[GASB]],_xlfn.AGGREGATE(15,3,(TableDiv[[Agency]:[Agency]]=$E528)/(TableDiv[[Agency]:[Agency]]=$E528)*(ROW(TableDiv[Agency])-ROW(TableDiv[[#Headers],[Agency]])),COLUMNS($F$7:AH$7))))</f>
        <v/>
      </c>
      <c r="AI528" s="2223" t="str" cm="1">
        <f t="array" ref="AI528">IF($D528&lt;COLUMNS($F$7:AI$7),"",INDEX(TableDiv[[GASB]:[GASB]],_xlfn.AGGREGATE(15,3,(TableDiv[[Agency]:[Agency]]=$E528)/(TableDiv[[Agency]:[Agency]]=$E528)*(ROW(TableDiv[Agency])-ROW(TableDiv[[#Headers],[Agency]])),COLUMNS($F$7:AI$7))))</f>
        <v/>
      </c>
      <c r="AJ528" s="2223" t="str" cm="1">
        <f t="array" ref="AJ528">IF($D528&lt;COLUMNS($F$7:AJ$7),"",INDEX(TableDiv[[GASB]:[GASB]],_xlfn.AGGREGATE(15,3,(TableDiv[[Agency]:[Agency]]=$E528)/(TableDiv[[Agency]:[Agency]]=$E528)*(ROW(TableDiv[Agency])-ROW(TableDiv[[#Headers],[Agency]])),COLUMNS($F$7:AJ$7))))</f>
        <v/>
      </c>
      <c r="AK528" s="2223" t="str" cm="1">
        <f t="array" ref="AK528">IF($D528&lt;COLUMNS($F$7:AK$7),"",INDEX(TableDiv[[GASB]:[GASB]],_xlfn.AGGREGATE(15,3,(TableDiv[[Agency]:[Agency]]=$E528)/(TableDiv[[Agency]:[Agency]]=$E528)*(ROW(TableDiv[Agency])-ROW(TableDiv[[#Headers],[Agency]])),COLUMNS($F$7:AK$7))))</f>
        <v/>
      </c>
      <c r="AL528" s="2223" t="str" cm="1">
        <f t="array" ref="AL528">IF($D528&lt;COLUMNS($F$7:AL$7),"",INDEX(TableDiv[[GASB]:[GASB]],_xlfn.AGGREGATE(15,3,(TableDiv[[Agency]:[Agency]]=$E528)/(TableDiv[[Agency]:[Agency]]=$E528)*(ROW(TableDiv[Agency])-ROW(TableDiv[[#Headers],[Agency]])),COLUMNS($F$7:AL$7))))</f>
        <v/>
      </c>
      <c r="AM528" s="2223" t="str" cm="1">
        <f t="array" ref="AM528">IF($D528&lt;COLUMNS($F$7:AM$7),"",INDEX(TableDiv[[GASB]:[GASB]],_xlfn.AGGREGATE(15,3,(TableDiv[[Agency]:[Agency]]=$E528)/(TableDiv[[Agency]:[Agency]]=$E528)*(ROW(TableDiv[Agency])-ROW(TableDiv[[#Headers],[Agency]])),COLUMNS($F$7:AM$7))))</f>
        <v/>
      </c>
      <c r="AN528" s="2223"/>
      <c r="AO528" s="2223"/>
      <c r="AP528" s="2223"/>
      <c r="AQ528" s="2223"/>
      <c r="AR528" s="2223"/>
      <c r="AS528" s="2223"/>
    </row>
    <row r="529" spans="1:45" x14ac:dyDescent="0.2">
      <c r="A529" s="2223"/>
      <c r="B529" s="2223"/>
      <c r="C529" s="2223"/>
      <c r="W529" s="2223" t="str" cm="1">
        <f t="array" ref="W529">IF($D529&lt;COLUMNS($F$7:W$7),"",INDEX(TableDiv[[GASB]:[GASB]],_xlfn.AGGREGATE(15,3,(TableDiv[[Agency]:[Agency]]=$E529)/(TableDiv[[Agency]:[Agency]]=$E529)*(ROW(TableDiv[Agency])-ROW(TableDiv[[#Headers],[Agency]])),COLUMNS($F$7:W$7))))</f>
        <v/>
      </c>
      <c r="X529" s="2223" t="str" cm="1">
        <f t="array" ref="X529">IF($D529&lt;COLUMNS($F$7:X$7),"",INDEX(TableDiv[[GASB]:[GASB]],_xlfn.AGGREGATE(15,3,(TableDiv[[Agency]:[Agency]]=$E529)/(TableDiv[[Agency]:[Agency]]=$E529)*(ROW(TableDiv[Agency])-ROW(TableDiv[[#Headers],[Agency]])),COLUMNS($F$7:X$7))))</f>
        <v/>
      </c>
      <c r="Y529" s="2223" t="str" cm="1">
        <f t="array" ref="Y529">IF($D529&lt;COLUMNS($F$7:Y$7),"",INDEX(TableDiv[[GASB]:[GASB]],_xlfn.AGGREGATE(15,3,(TableDiv[[Agency]:[Agency]]=$E529)/(TableDiv[[Agency]:[Agency]]=$E529)*(ROW(TableDiv[Agency])-ROW(TableDiv[[#Headers],[Agency]])),COLUMNS($F$7:Y$7))))</f>
        <v/>
      </c>
      <c r="Z529" s="2223" t="str" cm="1">
        <f t="array" ref="Z529">IF($D529&lt;COLUMNS($F$7:Z$7),"",INDEX(TableDiv[[GASB]:[GASB]],_xlfn.AGGREGATE(15,3,(TableDiv[[Agency]:[Agency]]=$E529)/(TableDiv[[Agency]:[Agency]]=$E529)*(ROW(TableDiv[Agency])-ROW(TableDiv[[#Headers],[Agency]])),COLUMNS($F$7:Z$7))))</f>
        <v/>
      </c>
      <c r="AA529" s="2223" t="str" cm="1">
        <f t="array" ref="AA529">IF($D529&lt;COLUMNS($F$7:AA$7),"",INDEX(TableDiv[[GASB]:[GASB]],_xlfn.AGGREGATE(15,3,(TableDiv[[Agency]:[Agency]]=$E529)/(TableDiv[[Agency]:[Agency]]=$E529)*(ROW(TableDiv[Agency])-ROW(TableDiv[[#Headers],[Agency]])),COLUMNS($F$7:AA$7))))</f>
        <v/>
      </c>
      <c r="AB529" s="2223" t="str" cm="1">
        <f t="array" ref="AB529">IF($D529&lt;COLUMNS($F$7:AB$7),"",INDEX(TableDiv[[GASB]:[GASB]],_xlfn.AGGREGATE(15,3,(TableDiv[[Agency]:[Agency]]=$E529)/(TableDiv[[Agency]:[Agency]]=$E529)*(ROW(TableDiv[Agency])-ROW(TableDiv[[#Headers],[Agency]])),COLUMNS($F$7:AB$7))))</f>
        <v/>
      </c>
      <c r="AC529" s="2223" t="str" cm="1">
        <f t="array" ref="AC529">IF($D529&lt;COLUMNS($F$7:AC$7),"",INDEX(TableDiv[[GASB]:[GASB]],_xlfn.AGGREGATE(15,3,(TableDiv[[Agency]:[Agency]]=$E529)/(TableDiv[[Agency]:[Agency]]=$E529)*(ROW(TableDiv[Agency])-ROW(TableDiv[[#Headers],[Agency]])),COLUMNS($F$7:AC$7))))</f>
        <v/>
      </c>
      <c r="AD529" s="2223" t="str" cm="1">
        <f t="array" ref="AD529">IF($D529&lt;COLUMNS($F$7:AD$7),"",INDEX(TableDiv[[GASB]:[GASB]],_xlfn.AGGREGATE(15,3,(TableDiv[[Agency]:[Agency]]=$E529)/(TableDiv[[Agency]:[Agency]]=$E529)*(ROW(TableDiv[Agency])-ROW(TableDiv[[#Headers],[Agency]])),COLUMNS($F$7:AD$7))))</f>
        <v/>
      </c>
      <c r="AE529" s="2223" t="str" cm="1">
        <f t="array" ref="AE529">IF($D529&lt;COLUMNS($F$7:AE$7),"",INDEX(TableDiv[[GASB]:[GASB]],_xlfn.AGGREGATE(15,3,(TableDiv[[Agency]:[Agency]]=$E529)/(TableDiv[[Agency]:[Agency]]=$E529)*(ROW(TableDiv[Agency])-ROW(TableDiv[[#Headers],[Agency]])),COLUMNS($F$7:AE$7))))</f>
        <v/>
      </c>
      <c r="AF529" s="2223" t="str" cm="1">
        <f t="array" ref="AF529">IF($D529&lt;COLUMNS($F$7:AF$7),"",INDEX(TableDiv[[GASB]:[GASB]],_xlfn.AGGREGATE(15,3,(TableDiv[[Agency]:[Agency]]=$E529)/(TableDiv[[Agency]:[Agency]]=$E529)*(ROW(TableDiv[Agency])-ROW(TableDiv[[#Headers],[Agency]])),COLUMNS($F$7:AF$7))))</f>
        <v/>
      </c>
      <c r="AG529" s="2223" t="str" cm="1">
        <f t="array" ref="AG529">IF($D529&lt;COLUMNS($F$7:AG$7),"",INDEX(TableDiv[[GASB]:[GASB]],_xlfn.AGGREGATE(15,3,(TableDiv[[Agency]:[Agency]]=$E529)/(TableDiv[[Agency]:[Agency]]=$E529)*(ROW(TableDiv[Agency])-ROW(TableDiv[[#Headers],[Agency]])),COLUMNS($F$7:AG$7))))</f>
        <v/>
      </c>
      <c r="AH529" s="2223" t="str" cm="1">
        <f t="array" ref="AH529">IF($D529&lt;COLUMNS($F$7:AH$7),"",INDEX(TableDiv[[GASB]:[GASB]],_xlfn.AGGREGATE(15,3,(TableDiv[[Agency]:[Agency]]=$E529)/(TableDiv[[Agency]:[Agency]]=$E529)*(ROW(TableDiv[Agency])-ROW(TableDiv[[#Headers],[Agency]])),COLUMNS($F$7:AH$7))))</f>
        <v/>
      </c>
      <c r="AI529" s="2223" t="str" cm="1">
        <f t="array" ref="AI529">IF($D529&lt;COLUMNS($F$7:AI$7),"",INDEX(TableDiv[[GASB]:[GASB]],_xlfn.AGGREGATE(15,3,(TableDiv[[Agency]:[Agency]]=$E529)/(TableDiv[[Agency]:[Agency]]=$E529)*(ROW(TableDiv[Agency])-ROW(TableDiv[[#Headers],[Agency]])),COLUMNS($F$7:AI$7))))</f>
        <v/>
      </c>
      <c r="AJ529" s="2223" t="str" cm="1">
        <f t="array" ref="AJ529">IF($D529&lt;COLUMNS($F$7:AJ$7),"",INDEX(TableDiv[[GASB]:[GASB]],_xlfn.AGGREGATE(15,3,(TableDiv[[Agency]:[Agency]]=$E529)/(TableDiv[[Agency]:[Agency]]=$E529)*(ROW(TableDiv[Agency])-ROW(TableDiv[[#Headers],[Agency]])),COLUMNS($F$7:AJ$7))))</f>
        <v/>
      </c>
      <c r="AK529" s="2223" t="str" cm="1">
        <f t="array" ref="AK529">IF($D529&lt;COLUMNS($F$7:AK$7),"",INDEX(TableDiv[[GASB]:[GASB]],_xlfn.AGGREGATE(15,3,(TableDiv[[Agency]:[Agency]]=$E529)/(TableDiv[[Agency]:[Agency]]=$E529)*(ROW(TableDiv[Agency])-ROW(TableDiv[[#Headers],[Agency]])),COLUMNS($F$7:AK$7))))</f>
        <v/>
      </c>
      <c r="AL529" s="2223" t="str" cm="1">
        <f t="array" ref="AL529">IF($D529&lt;COLUMNS($F$7:AL$7),"",INDEX(TableDiv[[GASB]:[GASB]],_xlfn.AGGREGATE(15,3,(TableDiv[[Agency]:[Agency]]=$E529)/(TableDiv[[Agency]:[Agency]]=$E529)*(ROW(TableDiv[Agency])-ROW(TableDiv[[#Headers],[Agency]])),COLUMNS($F$7:AL$7))))</f>
        <v/>
      </c>
      <c r="AM529" s="2223" t="str" cm="1">
        <f t="array" ref="AM529">IF($D529&lt;COLUMNS($F$7:AM$7),"",INDEX(TableDiv[[GASB]:[GASB]],_xlfn.AGGREGATE(15,3,(TableDiv[[Agency]:[Agency]]=$E529)/(TableDiv[[Agency]:[Agency]]=$E529)*(ROW(TableDiv[Agency])-ROW(TableDiv[[#Headers],[Agency]])),COLUMNS($F$7:AM$7))))</f>
        <v/>
      </c>
      <c r="AN529" s="2223"/>
      <c r="AO529" s="2223"/>
      <c r="AP529" s="2223"/>
      <c r="AQ529" s="2223"/>
      <c r="AR529" s="2223"/>
      <c r="AS529" s="2223"/>
    </row>
    <row r="530" spans="1:45" x14ac:dyDescent="0.2">
      <c r="A530" s="2223"/>
      <c r="B530" s="2223"/>
      <c r="C530" s="2223"/>
      <c r="W530" s="2223" t="str" cm="1">
        <f t="array" ref="W530">IF($D530&lt;COLUMNS($F$7:W$7),"",INDEX(TableDiv[[GASB]:[GASB]],_xlfn.AGGREGATE(15,3,(TableDiv[[Agency]:[Agency]]=$E530)/(TableDiv[[Agency]:[Agency]]=$E530)*(ROW(TableDiv[Agency])-ROW(TableDiv[[#Headers],[Agency]])),COLUMNS($F$7:W$7))))</f>
        <v/>
      </c>
      <c r="X530" s="2223" t="str" cm="1">
        <f t="array" ref="X530">IF($D530&lt;COLUMNS($F$7:X$7),"",INDEX(TableDiv[[GASB]:[GASB]],_xlfn.AGGREGATE(15,3,(TableDiv[[Agency]:[Agency]]=$E530)/(TableDiv[[Agency]:[Agency]]=$E530)*(ROW(TableDiv[Agency])-ROW(TableDiv[[#Headers],[Agency]])),COLUMNS($F$7:X$7))))</f>
        <v/>
      </c>
      <c r="Y530" s="2223" t="str" cm="1">
        <f t="array" ref="Y530">IF($D530&lt;COLUMNS($F$7:Y$7),"",INDEX(TableDiv[[GASB]:[GASB]],_xlfn.AGGREGATE(15,3,(TableDiv[[Agency]:[Agency]]=$E530)/(TableDiv[[Agency]:[Agency]]=$E530)*(ROW(TableDiv[Agency])-ROW(TableDiv[[#Headers],[Agency]])),COLUMNS($F$7:Y$7))))</f>
        <v/>
      </c>
      <c r="Z530" s="2223" t="str" cm="1">
        <f t="array" ref="Z530">IF($D530&lt;COLUMNS($F$7:Z$7),"",INDEX(TableDiv[[GASB]:[GASB]],_xlfn.AGGREGATE(15,3,(TableDiv[[Agency]:[Agency]]=$E530)/(TableDiv[[Agency]:[Agency]]=$E530)*(ROW(TableDiv[Agency])-ROW(TableDiv[[#Headers],[Agency]])),COLUMNS($F$7:Z$7))))</f>
        <v/>
      </c>
      <c r="AA530" s="2223" t="str" cm="1">
        <f t="array" ref="AA530">IF($D530&lt;COLUMNS($F$7:AA$7),"",INDEX(TableDiv[[GASB]:[GASB]],_xlfn.AGGREGATE(15,3,(TableDiv[[Agency]:[Agency]]=$E530)/(TableDiv[[Agency]:[Agency]]=$E530)*(ROW(TableDiv[Agency])-ROW(TableDiv[[#Headers],[Agency]])),COLUMNS($F$7:AA$7))))</f>
        <v/>
      </c>
      <c r="AB530" s="2223" t="str" cm="1">
        <f t="array" ref="AB530">IF($D530&lt;COLUMNS($F$7:AB$7),"",INDEX(TableDiv[[GASB]:[GASB]],_xlfn.AGGREGATE(15,3,(TableDiv[[Agency]:[Agency]]=$E530)/(TableDiv[[Agency]:[Agency]]=$E530)*(ROW(TableDiv[Agency])-ROW(TableDiv[[#Headers],[Agency]])),COLUMNS($F$7:AB$7))))</f>
        <v/>
      </c>
      <c r="AC530" s="2223" t="str" cm="1">
        <f t="array" ref="AC530">IF($D530&lt;COLUMNS($F$7:AC$7),"",INDEX(TableDiv[[GASB]:[GASB]],_xlfn.AGGREGATE(15,3,(TableDiv[[Agency]:[Agency]]=$E530)/(TableDiv[[Agency]:[Agency]]=$E530)*(ROW(TableDiv[Agency])-ROW(TableDiv[[#Headers],[Agency]])),COLUMNS($F$7:AC$7))))</f>
        <v/>
      </c>
      <c r="AD530" s="2223" t="str" cm="1">
        <f t="array" ref="AD530">IF($D530&lt;COLUMNS($F$7:AD$7),"",INDEX(TableDiv[[GASB]:[GASB]],_xlfn.AGGREGATE(15,3,(TableDiv[[Agency]:[Agency]]=$E530)/(TableDiv[[Agency]:[Agency]]=$E530)*(ROW(TableDiv[Agency])-ROW(TableDiv[[#Headers],[Agency]])),COLUMNS($F$7:AD$7))))</f>
        <v/>
      </c>
      <c r="AE530" s="2223" t="str" cm="1">
        <f t="array" ref="AE530">IF($D530&lt;COLUMNS($F$7:AE$7),"",INDEX(TableDiv[[GASB]:[GASB]],_xlfn.AGGREGATE(15,3,(TableDiv[[Agency]:[Agency]]=$E530)/(TableDiv[[Agency]:[Agency]]=$E530)*(ROW(TableDiv[Agency])-ROW(TableDiv[[#Headers],[Agency]])),COLUMNS($F$7:AE$7))))</f>
        <v/>
      </c>
      <c r="AF530" s="2223" t="str" cm="1">
        <f t="array" ref="AF530">IF($D530&lt;COLUMNS($F$7:AF$7),"",INDEX(TableDiv[[GASB]:[GASB]],_xlfn.AGGREGATE(15,3,(TableDiv[[Agency]:[Agency]]=$E530)/(TableDiv[[Agency]:[Agency]]=$E530)*(ROW(TableDiv[Agency])-ROW(TableDiv[[#Headers],[Agency]])),COLUMNS($F$7:AF$7))))</f>
        <v/>
      </c>
      <c r="AG530" s="2223" t="str" cm="1">
        <f t="array" ref="AG530">IF($D530&lt;COLUMNS($F$7:AG$7),"",INDEX(TableDiv[[GASB]:[GASB]],_xlfn.AGGREGATE(15,3,(TableDiv[[Agency]:[Agency]]=$E530)/(TableDiv[[Agency]:[Agency]]=$E530)*(ROW(TableDiv[Agency])-ROW(TableDiv[[#Headers],[Agency]])),COLUMNS($F$7:AG$7))))</f>
        <v/>
      </c>
      <c r="AH530" s="2223" t="str" cm="1">
        <f t="array" ref="AH530">IF($D530&lt;COLUMNS($F$7:AH$7),"",INDEX(TableDiv[[GASB]:[GASB]],_xlfn.AGGREGATE(15,3,(TableDiv[[Agency]:[Agency]]=$E530)/(TableDiv[[Agency]:[Agency]]=$E530)*(ROW(TableDiv[Agency])-ROW(TableDiv[[#Headers],[Agency]])),COLUMNS($F$7:AH$7))))</f>
        <v/>
      </c>
      <c r="AI530" s="2223" t="str" cm="1">
        <f t="array" ref="AI530">IF($D530&lt;COLUMNS($F$7:AI$7),"",INDEX(TableDiv[[GASB]:[GASB]],_xlfn.AGGREGATE(15,3,(TableDiv[[Agency]:[Agency]]=$E530)/(TableDiv[[Agency]:[Agency]]=$E530)*(ROW(TableDiv[Agency])-ROW(TableDiv[[#Headers],[Agency]])),COLUMNS($F$7:AI$7))))</f>
        <v/>
      </c>
      <c r="AJ530" s="2223" t="str" cm="1">
        <f t="array" ref="AJ530">IF($D530&lt;COLUMNS($F$7:AJ$7),"",INDEX(TableDiv[[GASB]:[GASB]],_xlfn.AGGREGATE(15,3,(TableDiv[[Agency]:[Agency]]=$E530)/(TableDiv[[Agency]:[Agency]]=$E530)*(ROW(TableDiv[Agency])-ROW(TableDiv[[#Headers],[Agency]])),COLUMNS($F$7:AJ$7))))</f>
        <v/>
      </c>
      <c r="AK530" s="2223" t="str" cm="1">
        <f t="array" ref="AK530">IF($D530&lt;COLUMNS($F$7:AK$7),"",INDEX(TableDiv[[GASB]:[GASB]],_xlfn.AGGREGATE(15,3,(TableDiv[[Agency]:[Agency]]=$E530)/(TableDiv[[Agency]:[Agency]]=$E530)*(ROW(TableDiv[Agency])-ROW(TableDiv[[#Headers],[Agency]])),COLUMNS($F$7:AK$7))))</f>
        <v/>
      </c>
      <c r="AL530" s="2223" t="str" cm="1">
        <f t="array" ref="AL530">IF($D530&lt;COLUMNS($F$7:AL$7),"",INDEX(TableDiv[[GASB]:[GASB]],_xlfn.AGGREGATE(15,3,(TableDiv[[Agency]:[Agency]]=$E530)/(TableDiv[[Agency]:[Agency]]=$E530)*(ROW(TableDiv[Agency])-ROW(TableDiv[[#Headers],[Agency]])),COLUMNS($F$7:AL$7))))</f>
        <v/>
      </c>
      <c r="AM530" s="2223" t="str" cm="1">
        <f t="array" ref="AM530">IF($D530&lt;COLUMNS($F$7:AM$7),"",INDEX(TableDiv[[GASB]:[GASB]],_xlfn.AGGREGATE(15,3,(TableDiv[[Agency]:[Agency]]=$E530)/(TableDiv[[Agency]:[Agency]]=$E530)*(ROW(TableDiv[Agency])-ROW(TableDiv[[#Headers],[Agency]])),COLUMNS($F$7:AM$7))))</f>
        <v/>
      </c>
      <c r="AN530" s="2223"/>
      <c r="AO530" s="2223"/>
      <c r="AP530" s="2223"/>
      <c r="AQ530" s="2223"/>
      <c r="AR530" s="2223"/>
      <c r="AS530" s="2223"/>
    </row>
    <row r="531" spans="1:45" x14ac:dyDescent="0.2">
      <c r="A531" s="2223"/>
      <c r="B531" s="2223"/>
      <c r="C531" s="2223"/>
      <c r="W531" s="2223" t="str" cm="1">
        <f t="array" ref="W531">IF($D531&lt;COLUMNS($F$7:W$7),"",INDEX(TableDiv[[GASB]:[GASB]],_xlfn.AGGREGATE(15,3,(TableDiv[[Agency]:[Agency]]=$E531)/(TableDiv[[Agency]:[Agency]]=$E531)*(ROW(TableDiv[Agency])-ROW(TableDiv[[#Headers],[Agency]])),COLUMNS($F$7:W$7))))</f>
        <v/>
      </c>
      <c r="X531" s="2223" t="str" cm="1">
        <f t="array" ref="X531">IF($D531&lt;COLUMNS($F$7:X$7),"",INDEX(TableDiv[[GASB]:[GASB]],_xlfn.AGGREGATE(15,3,(TableDiv[[Agency]:[Agency]]=$E531)/(TableDiv[[Agency]:[Agency]]=$E531)*(ROW(TableDiv[Agency])-ROW(TableDiv[[#Headers],[Agency]])),COLUMNS($F$7:X$7))))</f>
        <v/>
      </c>
      <c r="Y531" s="2223" t="str" cm="1">
        <f t="array" ref="Y531">IF($D531&lt;COLUMNS($F$7:Y$7),"",INDEX(TableDiv[[GASB]:[GASB]],_xlfn.AGGREGATE(15,3,(TableDiv[[Agency]:[Agency]]=$E531)/(TableDiv[[Agency]:[Agency]]=$E531)*(ROW(TableDiv[Agency])-ROW(TableDiv[[#Headers],[Agency]])),COLUMNS($F$7:Y$7))))</f>
        <v/>
      </c>
      <c r="Z531" s="2223" t="str" cm="1">
        <f t="array" ref="Z531">IF($D531&lt;COLUMNS($F$7:Z$7),"",INDEX(TableDiv[[GASB]:[GASB]],_xlfn.AGGREGATE(15,3,(TableDiv[[Agency]:[Agency]]=$E531)/(TableDiv[[Agency]:[Agency]]=$E531)*(ROW(TableDiv[Agency])-ROW(TableDiv[[#Headers],[Agency]])),COLUMNS($F$7:Z$7))))</f>
        <v/>
      </c>
      <c r="AA531" s="2223" t="str" cm="1">
        <f t="array" ref="AA531">IF($D531&lt;COLUMNS($F$7:AA$7),"",INDEX(TableDiv[[GASB]:[GASB]],_xlfn.AGGREGATE(15,3,(TableDiv[[Agency]:[Agency]]=$E531)/(TableDiv[[Agency]:[Agency]]=$E531)*(ROW(TableDiv[Agency])-ROW(TableDiv[[#Headers],[Agency]])),COLUMNS($F$7:AA$7))))</f>
        <v/>
      </c>
      <c r="AB531" s="2223" t="str" cm="1">
        <f t="array" ref="AB531">IF($D531&lt;COLUMNS($F$7:AB$7),"",INDEX(TableDiv[[GASB]:[GASB]],_xlfn.AGGREGATE(15,3,(TableDiv[[Agency]:[Agency]]=$E531)/(TableDiv[[Agency]:[Agency]]=$E531)*(ROW(TableDiv[Agency])-ROW(TableDiv[[#Headers],[Agency]])),COLUMNS($F$7:AB$7))))</f>
        <v/>
      </c>
      <c r="AC531" s="2223" t="str" cm="1">
        <f t="array" ref="AC531">IF($D531&lt;COLUMNS($F$7:AC$7),"",INDEX(TableDiv[[GASB]:[GASB]],_xlfn.AGGREGATE(15,3,(TableDiv[[Agency]:[Agency]]=$E531)/(TableDiv[[Agency]:[Agency]]=$E531)*(ROW(TableDiv[Agency])-ROW(TableDiv[[#Headers],[Agency]])),COLUMNS($F$7:AC$7))))</f>
        <v/>
      </c>
      <c r="AD531" s="2223" t="str" cm="1">
        <f t="array" ref="AD531">IF($D531&lt;COLUMNS($F$7:AD$7),"",INDEX(TableDiv[[GASB]:[GASB]],_xlfn.AGGREGATE(15,3,(TableDiv[[Agency]:[Agency]]=$E531)/(TableDiv[[Agency]:[Agency]]=$E531)*(ROW(TableDiv[Agency])-ROW(TableDiv[[#Headers],[Agency]])),COLUMNS($F$7:AD$7))))</f>
        <v/>
      </c>
      <c r="AE531" s="2223" t="str" cm="1">
        <f t="array" ref="AE531">IF($D531&lt;COLUMNS($F$7:AE$7),"",INDEX(TableDiv[[GASB]:[GASB]],_xlfn.AGGREGATE(15,3,(TableDiv[[Agency]:[Agency]]=$E531)/(TableDiv[[Agency]:[Agency]]=$E531)*(ROW(TableDiv[Agency])-ROW(TableDiv[[#Headers],[Agency]])),COLUMNS($F$7:AE$7))))</f>
        <v/>
      </c>
      <c r="AF531" s="2223" t="str" cm="1">
        <f t="array" ref="AF531">IF($D531&lt;COLUMNS($F$7:AF$7),"",INDEX(TableDiv[[GASB]:[GASB]],_xlfn.AGGREGATE(15,3,(TableDiv[[Agency]:[Agency]]=$E531)/(TableDiv[[Agency]:[Agency]]=$E531)*(ROW(TableDiv[Agency])-ROW(TableDiv[[#Headers],[Agency]])),COLUMNS($F$7:AF$7))))</f>
        <v/>
      </c>
      <c r="AG531" s="2223" t="str" cm="1">
        <f t="array" ref="AG531">IF($D531&lt;COLUMNS($F$7:AG$7),"",INDEX(TableDiv[[GASB]:[GASB]],_xlfn.AGGREGATE(15,3,(TableDiv[[Agency]:[Agency]]=$E531)/(TableDiv[[Agency]:[Agency]]=$E531)*(ROW(TableDiv[Agency])-ROW(TableDiv[[#Headers],[Agency]])),COLUMNS($F$7:AG$7))))</f>
        <v/>
      </c>
      <c r="AH531" s="2223" t="str" cm="1">
        <f t="array" ref="AH531">IF($D531&lt;COLUMNS($F$7:AH$7),"",INDEX(TableDiv[[GASB]:[GASB]],_xlfn.AGGREGATE(15,3,(TableDiv[[Agency]:[Agency]]=$E531)/(TableDiv[[Agency]:[Agency]]=$E531)*(ROW(TableDiv[Agency])-ROW(TableDiv[[#Headers],[Agency]])),COLUMNS($F$7:AH$7))))</f>
        <v/>
      </c>
      <c r="AI531" s="2223" t="str" cm="1">
        <f t="array" ref="AI531">IF($D531&lt;COLUMNS($F$7:AI$7),"",INDEX(TableDiv[[GASB]:[GASB]],_xlfn.AGGREGATE(15,3,(TableDiv[[Agency]:[Agency]]=$E531)/(TableDiv[[Agency]:[Agency]]=$E531)*(ROW(TableDiv[Agency])-ROW(TableDiv[[#Headers],[Agency]])),COLUMNS($F$7:AI$7))))</f>
        <v/>
      </c>
      <c r="AJ531" s="2223" t="str" cm="1">
        <f t="array" ref="AJ531">IF($D531&lt;COLUMNS($F$7:AJ$7),"",INDEX(TableDiv[[GASB]:[GASB]],_xlfn.AGGREGATE(15,3,(TableDiv[[Agency]:[Agency]]=$E531)/(TableDiv[[Agency]:[Agency]]=$E531)*(ROW(TableDiv[Agency])-ROW(TableDiv[[#Headers],[Agency]])),COLUMNS($F$7:AJ$7))))</f>
        <v/>
      </c>
      <c r="AK531" s="2223" t="str" cm="1">
        <f t="array" ref="AK531">IF($D531&lt;COLUMNS($F$7:AK$7),"",INDEX(TableDiv[[GASB]:[GASB]],_xlfn.AGGREGATE(15,3,(TableDiv[[Agency]:[Agency]]=$E531)/(TableDiv[[Agency]:[Agency]]=$E531)*(ROW(TableDiv[Agency])-ROW(TableDiv[[#Headers],[Agency]])),COLUMNS($F$7:AK$7))))</f>
        <v/>
      </c>
      <c r="AL531" s="2223" t="str" cm="1">
        <f t="array" ref="AL531">IF($D531&lt;COLUMNS($F$7:AL$7),"",INDEX(TableDiv[[GASB]:[GASB]],_xlfn.AGGREGATE(15,3,(TableDiv[[Agency]:[Agency]]=$E531)/(TableDiv[[Agency]:[Agency]]=$E531)*(ROW(TableDiv[Agency])-ROW(TableDiv[[#Headers],[Agency]])),COLUMNS($F$7:AL$7))))</f>
        <v/>
      </c>
      <c r="AM531" s="2223" t="str" cm="1">
        <f t="array" ref="AM531">IF($D531&lt;COLUMNS($F$7:AM$7),"",INDEX(TableDiv[[GASB]:[GASB]],_xlfn.AGGREGATE(15,3,(TableDiv[[Agency]:[Agency]]=$E531)/(TableDiv[[Agency]:[Agency]]=$E531)*(ROW(TableDiv[Agency])-ROW(TableDiv[[#Headers],[Agency]])),COLUMNS($F$7:AM$7))))</f>
        <v/>
      </c>
      <c r="AN531" s="2223"/>
      <c r="AO531" s="2223"/>
      <c r="AP531" s="2223"/>
      <c r="AQ531" s="2223"/>
      <c r="AR531" s="2223"/>
      <c r="AS531" s="2223"/>
    </row>
    <row r="532" spans="1:45" x14ac:dyDescent="0.2">
      <c r="A532" s="2223"/>
      <c r="B532" s="2223"/>
      <c r="C532" s="2223"/>
      <c r="W532" s="2223" t="str" cm="1">
        <f t="array" ref="W532">IF($D532&lt;COLUMNS($F$7:W$7),"",INDEX(TableDiv[[GASB]:[GASB]],_xlfn.AGGREGATE(15,3,(TableDiv[[Agency]:[Agency]]=$E532)/(TableDiv[[Agency]:[Agency]]=$E532)*(ROW(TableDiv[Agency])-ROW(TableDiv[[#Headers],[Agency]])),COLUMNS($F$7:W$7))))</f>
        <v/>
      </c>
      <c r="X532" s="2223" t="str" cm="1">
        <f t="array" ref="X532">IF($D532&lt;COLUMNS($F$7:X$7),"",INDEX(TableDiv[[GASB]:[GASB]],_xlfn.AGGREGATE(15,3,(TableDiv[[Agency]:[Agency]]=$E532)/(TableDiv[[Agency]:[Agency]]=$E532)*(ROW(TableDiv[Agency])-ROW(TableDiv[[#Headers],[Agency]])),COLUMNS($F$7:X$7))))</f>
        <v/>
      </c>
      <c r="Y532" s="2223" t="str" cm="1">
        <f t="array" ref="Y532">IF($D532&lt;COLUMNS($F$7:Y$7),"",INDEX(TableDiv[[GASB]:[GASB]],_xlfn.AGGREGATE(15,3,(TableDiv[[Agency]:[Agency]]=$E532)/(TableDiv[[Agency]:[Agency]]=$E532)*(ROW(TableDiv[Agency])-ROW(TableDiv[[#Headers],[Agency]])),COLUMNS($F$7:Y$7))))</f>
        <v/>
      </c>
      <c r="Z532" s="2223" t="str" cm="1">
        <f t="array" ref="Z532">IF($D532&lt;COLUMNS($F$7:Z$7),"",INDEX(TableDiv[[GASB]:[GASB]],_xlfn.AGGREGATE(15,3,(TableDiv[[Agency]:[Agency]]=$E532)/(TableDiv[[Agency]:[Agency]]=$E532)*(ROW(TableDiv[Agency])-ROW(TableDiv[[#Headers],[Agency]])),COLUMNS($F$7:Z$7))))</f>
        <v/>
      </c>
      <c r="AA532" s="2223" t="str" cm="1">
        <f t="array" ref="AA532">IF($D532&lt;COLUMNS($F$7:AA$7),"",INDEX(TableDiv[[GASB]:[GASB]],_xlfn.AGGREGATE(15,3,(TableDiv[[Agency]:[Agency]]=$E532)/(TableDiv[[Agency]:[Agency]]=$E532)*(ROW(TableDiv[Agency])-ROW(TableDiv[[#Headers],[Agency]])),COLUMNS($F$7:AA$7))))</f>
        <v/>
      </c>
      <c r="AB532" s="2223" t="str" cm="1">
        <f t="array" ref="AB532">IF($D532&lt;COLUMNS($F$7:AB$7),"",INDEX(TableDiv[[GASB]:[GASB]],_xlfn.AGGREGATE(15,3,(TableDiv[[Agency]:[Agency]]=$E532)/(TableDiv[[Agency]:[Agency]]=$E532)*(ROW(TableDiv[Agency])-ROW(TableDiv[[#Headers],[Agency]])),COLUMNS($F$7:AB$7))))</f>
        <v/>
      </c>
      <c r="AC532" s="2223" t="str" cm="1">
        <f t="array" ref="AC532">IF($D532&lt;COLUMNS($F$7:AC$7),"",INDEX(TableDiv[[GASB]:[GASB]],_xlfn.AGGREGATE(15,3,(TableDiv[[Agency]:[Agency]]=$E532)/(TableDiv[[Agency]:[Agency]]=$E532)*(ROW(TableDiv[Agency])-ROW(TableDiv[[#Headers],[Agency]])),COLUMNS($F$7:AC$7))))</f>
        <v/>
      </c>
      <c r="AD532" s="2223" t="str" cm="1">
        <f t="array" ref="AD532">IF($D532&lt;COLUMNS($F$7:AD$7),"",INDEX(TableDiv[[GASB]:[GASB]],_xlfn.AGGREGATE(15,3,(TableDiv[[Agency]:[Agency]]=$E532)/(TableDiv[[Agency]:[Agency]]=$E532)*(ROW(TableDiv[Agency])-ROW(TableDiv[[#Headers],[Agency]])),COLUMNS($F$7:AD$7))))</f>
        <v/>
      </c>
      <c r="AE532" s="2223" t="str" cm="1">
        <f t="array" ref="AE532">IF($D532&lt;COLUMNS($F$7:AE$7),"",INDEX(TableDiv[[GASB]:[GASB]],_xlfn.AGGREGATE(15,3,(TableDiv[[Agency]:[Agency]]=$E532)/(TableDiv[[Agency]:[Agency]]=$E532)*(ROW(TableDiv[Agency])-ROW(TableDiv[[#Headers],[Agency]])),COLUMNS($F$7:AE$7))))</f>
        <v/>
      </c>
      <c r="AF532" s="2223" t="str" cm="1">
        <f t="array" ref="AF532">IF($D532&lt;COLUMNS($F$7:AF$7),"",INDEX(TableDiv[[GASB]:[GASB]],_xlfn.AGGREGATE(15,3,(TableDiv[[Agency]:[Agency]]=$E532)/(TableDiv[[Agency]:[Agency]]=$E532)*(ROW(TableDiv[Agency])-ROW(TableDiv[[#Headers],[Agency]])),COLUMNS($F$7:AF$7))))</f>
        <v/>
      </c>
      <c r="AG532" s="2223" t="str" cm="1">
        <f t="array" ref="AG532">IF($D532&lt;COLUMNS($F$7:AG$7),"",INDEX(TableDiv[[GASB]:[GASB]],_xlfn.AGGREGATE(15,3,(TableDiv[[Agency]:[Agency]]=$E532)/(TableDiv[[Agency]:[Agency]]=$E532)*(ROW(TableDiv[Agency])-ROW(TableDiv[[#Headers],[Agency]])),COLUMNS($F$7:AG$7))))</f>
        <v/>
      </c>
      <c r="AH532" s="2223" t="str" cm="1">
        <f t="array" ref="AH532">IF($D532&lt;COLUMNS($F$7:AH$7),"",INDEX(TableDiv[[GASB]:[GASB]],_xlfn.AGGREGATE(15,3,(TableDiv[[Agency]:[Agency]]=$E532)/(TableDiv[[Agency]:[Agency]]=$E532)*(ROW(TableDiv[Agency])-ROW(TableDiv[[#Headers],[Agency]])),COLUMNS($F$7:AH$7))))</f>
        <v/>
      </c>
      <c r="AI532" s="2223" t="str" cm="1">
        <f t="array" ref="AI532">IF($D532&lt;COLUMNS($F$7:AI$7),"",INDEX(TableDiv[[GASB]:[GASB]],_xlfn.AGGREGATE(15,3,(TableDiv[[Agency]:[Agency]]=$E532)/(TableDiv[[Agency]:[Agency]]=$E532)*(ROW(TableDiv[Agency])-ROW(TableDiv[[#Headers],[Agency]])),COLUMNS($F$7:AI$7))))</f>
        <v/>
      </c>
      <c r="AJ532" s="2223" t="str" cm="1">
        <f t="array" ref="AJ532">IF($D532&lt;COLUMNS($F$7:AJ$7),"",INDEX(TableDiv[[GASB]:[GASB]],_xlfn.AGGREGATE(15,3,(TableDiv[[Agency]:[Agency]]=$E532)/(TableDiv[[Agency]:[Agency]]=$E532)*(ROW(TableDiv[Agency])-ROW(TableDiv[[#Headers],[Agency]])),COLUMNS($F$7:AJ$7))))</f>
        <v/>
      </c>
      <c r="AK532" s="2223" t="str" cm="1">
        <f t="array" ref="AK532">IF($D532&lt;COLUMNS($F$7:AK$7),"",INDEX(TableDiv[[GASB]:[GASB]],_xlfn.AGGREGATE(15,3,(TableDiv[[Agency]:[Agency]]=$E532)/(TableDiv[[Agency]:[Agency]]=$E532)*(ROW(TableDiv[Agency])-ROW(TableDiv[[#Headers],[Agency]])),COLUMNS($F$7:AK$7))))</f>
        <v/>
      </c>
      <c r="AL532" s="2223" t="str" cm="1">
        <f t="array" ref="AL532">IF($D532&lt;COLUMNS($F$7:AL$7),"",INDEX(TableDiv[[GASB]:[GASB]],_xlfn.AGGREGATE(15,3,(TableDiv[[Agency]:[Agency]]=$E532)/(TableDiv[[Agency]:[Agency]]=$E532)*(ROW(TableDiv[Agency])-ROW(TableDiv[[#Headers],[Agency]])),COLUMNS($F$7:AL$7))))</f>
        <v/>
      </c>
      <c r="AM532" s="2223" t="str" cm="1">
        <f t="array" ref="AM532">IF($D532&lt;COLUMNS($F$7:AM$7),"",INDEX(TableDiv[[GASB]:[GASB]],_xlfn.AGGREGATE(15,3,(TableDiv[[Agency]:[Agency]]=$E532)/(TableDiv[[Agency]:[Agency]]=$E532)*(ROW(TableDiv[Agency])-ROW(TableDiv[[#Headers],[Agency]])),COLUMNS($F$7:AM$7))))</f>
        <v/>
      </c>
      <c r="AN532" s="2223"/>
      <c r="AO532" s="2223"/>
      <c r="AP532" s="2223"/>
      <c r="AQ532" s="2223"/>
      <c r="AR532" s="2223"/>
      <c r="AS532" s="2223"/>
    </row>
    <row r="533" spans="1:45" x14ac:dyDescent="0.2">
      <c r="A533" s="2223"/>
      <c r="B533" s="2223"/>
      <c r="C533" s="2223"/>
      <c r="W533" s="2223" t="str" cm="1">
        <f t="array" ref="W533">IF($D533&lt;COLUMNS($F$7:W$7),"",INDEX(TableDiv[[GASB]:[GASB]],_xlfn.AGGREGATE(15,3,(TableDiv[[Agency]:[Agency]]=$E533)/(TableDiv[[Agency]:[Agency]]=$E533)*(ROW(TableDiv[Agency])-ROW(TableDiv[[#Headers],[Agency]])),COLUMNS($F$7:W$7))))</f>
        <v/>
      </c>
      <c r="X533" s="2223" t="str" cm="1">
        <f t="array" ref="X533">IF($D533&lt;COLUMNS($F$7:X$7),"",INDEX(TableDiv[[GASB]:[GASB]],_xlfn.AGGREGATE(15,3,(TableDiv[[Agency]:[Agency]]=$E533)/(TableDiv[[Agency]:[Agency]]=$E533)*(ROW(TableDiv[Agency])-ROW(TableDiv[[#Headers],[Agency]])),COLUMNS($F$7:X$7))))</f>
        <v/>
      </c>
      <c r="Y533" s="2223" t="str" cm="1">
        <f t="array" ref="Y533">IF($D533&lt;COLUMNS($F$7:Y$7),"",INDEX(TableDiv[[GASB]:[GASB]],_xlfn.AGGREGATE(15,3,(TableDiv[[Agency]:[Agency]]=$E533)/(TableDiv[[Agency]:[Agency]]=$E533)*(ROW(TableDiv[Agency])-ROW(TableDiv[[#Headers],[Agency]])),COLUMNS($F$7:Y$7))))</f>
        <v/>
      </c>
      <c r="Z533" s="2223" t="str" cm="1">
        <f t="array" ref="Z533">IF($D533&lt;COLUMNS($F$7:Z$7),"",INDEX(TableDiv[[GASB]:[GASB]],_xlfn.AGGREGATE(15,3,(TableDiv[[Agency]:[Agency]]=$E533)/(TableDiv[[Agency]:[Agency]]=$E533)*(ROW(TableDiv[Agency])-ROW(TableDiv[[#Headers],[Agency]])),COLUMNS($F$7:Z$7))))</f>
        <v/>
      </c>
      <c r="AA533" s="2223" t="str" cm="1">
        <f t="array" ref="AA533">IF($D533&lt;COLUMNS($F$7:AA$7),"",INDEX(TableDiv[[GASB]:[GASB]],_xlfn.AGGREGATE(15,3,(TableDiv[[Agency]:[Agency]]=$E533)/(TableDiv[[Agency]:[Agency]]=$E533)*(ROW(TableDiv[Agency])-ROW(TableDiv[[#Headers],[Agency]])),COLUMNS($F$7:AA$7))))</f>
        <v/>
      </c>
      <c r="AB533" s="2223" t="str" cm="1">
        <f t="array" ref="AB533">IF($D533&lt;COLUMNS($F$7:AB$7),"",INDEX(TableDiv[[GASB]:[GASB]],_xlfn.AGGREGATE(15,3,(TableDiv[[Agency]:[Agency]]=$E533)/(TableDiv[[Agency]:[Agency]]=$E533)*(ROW(TableDiv[Agency])-ROW(TableDiv[[#Headers],[Agency]])),COLUMNS($F$7:AB$7))))</f>
        <v/>
      </c>
      <c r="AC533" s="2223" t="str" cm="1">
        <f t="array" ref="AC533">IF($D533&lt;COLUMNS($F$7:AC$7),"",INDEX(TableDiv[[GASB]:[GASB]],_xlfn.AGGREGATE(15,3,(TableDiv[[Agency]:[Agency]]=$E533)/(TableDiv[[Agency]:[Agency]]=$E533)*(ROW(TableDiv[Agency])-ROW(TableDiv[[#Headers],[Agency]])),COLUMNS($F$7:AC$7))))</f>
        <v/>
      </c>
      <c r="AD533" s="2223" t="str" cm="1">
        <f t="array" ref="AD533">IF($D533&lt;COLUMNS($F$7:AD$7),"",INDEX(TableDiv[[GASB]:[GASB]],_xlfn.AGGREGATE(15,3,(TableDiv[[Agency]:[Agency]]=$E533)/(TableDiv[[Agency]:[Agency]]=$E533)*(ROW(TableDiv[Agency])-ROW(TableDiv[[#Headers],[Agency]])),COLUMNS($F$7:AD$7))))</f>
        <v/>
      </c>
      <c r="AE533" s="2223" t="str" cm="1">
        <f t="array" ref="AE533">IF($D533&lt;COLUMNS($F$7:AE$7),"",INDEX(TableDiv[[GASB]:[GASB]],_xlfn.AGGREGATE(15,3,(TableDiv[[Agency]:[Agency]]=$E533)/(TableDiv[[Agency]:[Agency]]=$E533)*(ROW(TableDiv[Agency])-ROW(TableDiv[[#Headers],[Agency]])),COLUMNS($F$7:AE$7))))</f>
        <v/>
      </c>
      <c r="AF533" s="2223" t="str" cm="1">
        <f t="array" ref="AF533">IF($D533&lt;COLUMNS($F$7:AF$7),"",INDEX(TableDiv[[GASB]:[GASB]],_xlfn.AGGREGATE(15,3,(TableDiv[[Agency]:[Agency]]=$E533)/(TableDiv[[Agency]:[Agency]]=$E533)*(ROW(TableDiv[Agency])-ROW(TableDiv[[#Headers],[Agency]])),COLUMNS($F$7:AF$7))))</f>
        <v/>
      </c>
      <c r="AG533" s="2223" t="str" cm="1">
        <f t="array" ref="AG533">IF($D533&lt;COLUMNS($F$7:AG$7),"",INDEX(TableDiv[[GASB]:[GASB]],_xlfn.AGGREGATE(15,3,(TableDiv[[Agency]:[Agency]]=$E533)/(TableDiv[[Agency]:[Agency]]=$E533)*(ROW(TableDiv[Agency])-ROW(TableDiv[[#Headers],[Agency]])),COLUMNS($F$7:AG$7))))</f>
        <v/>
      </c>
      <c r="AH533" s="2223" t="str" cm="1">
        <f t="array" ref="AH533">IF($D533&lt;COLUMNS($F$7:AH$7),"",INDEX(TableDiv[[GASB]:[GASB]],_xlfn.AGGREGATE(15,3,(TableDiv[[Agency]:[Agency]]=$E533)/(TableDiv[[Agency]:[Agency]]=$E533)*(ROW(TableDiv[Agency])-ROW(TableDiv[[#Headers],[Agency]])),COLUMNS($F$7:AH$7))))</f>
        <v/>
      </c>
      <c r="AI533" s="2223" t="str" cm="1">
        <f t="array" ref="AI533">IF($D533&lt;COLUMNS($F$7:AI$7),"",INDEX(TableDiv[[GASB]:[GASB]],_xlfn.AGGREGATE(15,3,(TableDiv[[Agency]:[Agency]]=$E533)/(TableDiv[[Agency]:[Agency]]=$E533)*(ROW(TableDiv[Agency])-ROW(TableDiv[[#Headers],[Agency]])),COLUMNS($F$7:AI$7))))</f>
        <v/>
      </c>
      <c r="AJ533" s="2223" t="str" cm="1">
        <f t="array" ref="AJ533">IF($D533&lt;COLUMNS($F$7:AJ$7),"",INDEX(TableDiv[[GASB]:[GASB]],_xlfn.AGGREGATE(15,3,(TableDiv[[Agency]:[Agency]]=$E533)/(TableDiv[[Agency]:[Agency]]=$E533)*(ROW(TableDiv[Agency])-ROW(TableDiv[[#Headers],[Agency]])),COLUMNS($F$7:AJ$7))))</f>
        <v/>
      </c>
      <c r="AK533" s="2223" t="str" cm="1">
        <f t="array" ref="AK533">IF($D533&lt;COLUMNS($F$7:AK$7),"",INDEX(TableDiv[[GASB]:[GASB]],_xlfn.AGGREGATE(15,3,(TableDiv[[Agency]:[Agency]]=$E533)/(TableDiv[[Agency]:[Agency]]=$E533)*(ROW(TableDiv[Agency])-ROW(TableDiv[[#Headers],[Agency]])),COLUMNS($F$7:AK$7))))</f>
        <v/>
      </c>
      <c r="AL533" s="2223" t="str" cm="1">
        <f t="array" ref="AL533">IF($D533&lt;COLUMNS($F$7:AL$7),"",INDEX(TableDiv[[GASB]:[GASB]],_xlfn.AGGREGATE(15,3,(TableDiv[[Agency]:[Agency]]=$E533)/(TableDiv[[Agency]:[Agency]]=$E533)*(ROW(TableDiv[Agency])-ROW(TableDiv[[#Headers],[Agency]])),COLUMNS($F$7:AL$7))))</f>
        <v/>
      </c>
      <c r="AM533" s="2223" t="str" cm="1">
        <f t="array" ref="AM533">IF($D533&lt;COLUMNS($F$7:AM$7),"",INDEX(TableDiv[[GASB]:[GASB]],_xlfn.AGGREGATE(15,3,(TableDiv[[Agency]:[Agency]]=$E533)/(TableDiv[[Agency]:[Agency]]=$E533)*(ROW(TableDiv[Agency])-ROW(TableDiv[[#Headers],[Agency]])),COLUMNS($F$7:AM$7))))</f>
        <v/>
      </c>
      <c r="AN533" s="2223"/>
      <c r="AO533" s="2223"/>
      <c r="AP533" s="2223"/>
      <c r="AQ533" s="2223"/>
      <c r="AR533" s="2223"/>
      <c r="AS533" s="2223"/>
    </row>
    <row r="534" spans="1:45" x14ac:dyDescent="0.2">
      <c r="A534" s="2223"/>
      <c r="B534" s="2223"/>
      <c r="C534" s="2223"/>
      <c r="W534" s="2223" t="str" cm="1">
        <f t="array" ref="W534">IF($D534&lt;COLUMNS($F$7:W$7),"",INDEX(TableDiv[[GASB]:[GASB]],_xlfn.AGGREGATE(15,3,(TableDiv[[Agency]:[Agency]]=$E534)/(TableDiv[[Agency]:[Agency]]=$E534)*(ROW(TableDiv[Agency])-ROW(TableDiv[[#Headers],[Agency]])),COLUMNS($F$7:W$7))))</f>
        <v/>
      </c>
      <c r="X534" s="2223" t="str" cm="1">
        <f t="array" ref="X534">IF($D534&lt;COLUMNS($F$7:X$7),"",INDEX(TableDiv[[GASB]:[GASB]],_xlfn.AGGREGATE(15,3,(TableDiv[[Agency]:[Agency]]=$E534)/(TableDiv[[Agency]:[Agency]]=$E534)*(ROW(TableDiv[Agency])-ROW(TableDiv[[#Headers],[Agency]])),COLUMNS($F$7:X$7))))</f>
        <v/>
      </c>
      <c r="Y534" s="2223" t="str" cm="1">
        <f t="array" ref="Y534">IF($D534&lt;COLUMNS($F$7:Y$7),"",INDEX(TableDiv[[GASB]:[GASB]],_xlfn.AGGREGATE(15,3,(TableDiv[[Agency]:[Agency]]=$E534)/(TableDiv[[Agency]:[Agency]]=$E534)*(ROW(TableDiv[Agency])-ROW(TableDiv[[#Headers],[Agency]])),COLUMNS($F$7:Y$7))))</f>
        <v/>
      </c>
      <c r="Z534" s="2223" t="str" cm="1">
        <f t="array" ref="Z534">IF($D534&lt;COLUMNS($F$7:Z$7),"",INDEX(TableDiv[[GASB]:[GASB]],_xlfn.AGGREGATE(15,3,(TableDiv[[Agency]:[Agency]]=$E534)/(TableDiv[[Agency]:[Agency]]=$E534)*(ROW(TableDiv[Agency])-ROW(TableDiv[[#Headers],[Agency]])),COLUMNS($F$7:Z$7))))</f>
        <v/>
      </c>
      <c r="AA534" s="2223" t="str" cm="1">
        <f t="array" ref="AA534">IF($D534&lt;COLUMNS($F$7:AA$7),"",INDEX(TableDiv[[GASB]:[GASB]],_xlfn.AGGREGATE(15,3,(TableDiv[[Agency]:[Agency]]=$E534)/(TableDiv[[Agency]:[Agency]]=$E534)*(ROW(TableDiv[Agency])-ROW(TableDiv[[#Headers],[Agency]])),COLUMNS($F$7:AA$7))))</f>
        <v/>
      </c>
      <c r="AB534" s="2223" t="str" cm="1">
        <f t="array" ref="AB534">IF($D534&lt;COLUMNS($F$7:AB$7),"",INDEX(TableDiv[[GASB]:[GASB]],_xlfn.AGGREGATE(15,3,(TableDiv[[Agency]:[Agency]]=$E534)/(TableDiv[[Agency]:[Agency]]=$E534)*(ROW(TableDiv[Agency])-ROW(TableDiv[[#Headers],[Agency]])),COLUMNS($F$7:AB$7))))</f>
        <v/>
      </c>
      <c r="AC534" s="2223" t="str" cm="1">
        <f t="array" ref="AC534">IF($D534&lt;COLUMNS($F$7:AC$7),"",INDEX(TableDiv[[GASB]:[GASB]],_xlfn.AGGREGATE(15,3,(TableDiv[[Agency]:[Agency]]=$E534)/(TableDiv[[Agency]:[Agency]]=$E534)*(ROW(TableDiv[Agency])-ROW(TableDiv[[#Headers],[Agency]])),COLUMNS($F$7:AC$7))))</f>
        <v/>
      </c>
      <c r="AD534" s="2223" t="str" cm="1">
        <f t="array" ref="AD534">IF($D534&lt;COLUMNS($F$7:AD$7),"",INDEX(TableDiv[[GASB]:[GASB]],_xlfn.AGGREGATE(15,3,(TableDiv[[Agency]:[Agency]]=$E534)/(TableDiv[[Agency]:[Agency]]=$E534)*(ROW(TableDiv[Agency])-ROW(TableDiv[[#Headers],[Agency]])),COLUMNS($F$7:AD$7))))</f>
        <v/>
      </c>
      <c r="AE534" s="2223" t="str" cm="1">
        <f t="array" ref="AE534">IF($D534&lt;COLUMNS($F$7:AE$7),"",INDEX(TableDiv[[GASB]:[GASB]],_xlfn.AGGREGATE(15,3,(TableDiv[[Agency]:[Agency]]=$E534)/(TableDiv[[Agency]:[Agency]]=$E534)*(ROW(TableDiv[Agency])-ROW(TableDiv[[#Headers],[Agency]])),COLUMNS($F$7:AE$7))))</f>
        <v/>
      </c>
      <c r="AF534" s="2223" t="str" cm="1">
        <f t="array" ref="AF534">IF($D534&lt;COLUMNS($F$7:AF$7),"",INDEX(TableDiv[[GASB]:[GASB]],_xlfn.AGGREGATE(15,3,(TableDiv[[Agency]:[Agency]]=$E534)/(TableDiv[[Agency]:[Agency]]=$E534)*(ROW(TableDiv[Agency])-ROW(TableDiv[[#Headers],[Agency]])),COLUMNS($F$7:AF$7))))</f>
        <v/>
      </c>
      <c r="AG534" s="2223" t="str" cm="1">
        <f t="array" ref="AG534">IF($D534&lt;COLUMNS($F$7:AG$7),"",INDEX(TableDiv[[GASB]:[GASB]],_xlfn.AGGREGATE(15,3,(TableDiv[[Agency]:[Agency]]=$E534)/(TableDiv[[Agency]:[Agency]]=$E534)*(ROW(TableDiv[Agency])-ROW(TableDiv[[#Headers],[Agency]])),COLUMNS($F$7:AG$7))))</f>
        <v/>
      </c>
      <c r="AH534" s="2223" t="str" cm="1">
        <f t="array" ref="AH534">IF($D534&lt;COLUMNS($F$7:AH$7),"",INDEX(TableDiv[[GASB]:[GASB]],_xlfn.AGGREGATE(15,3,(TableDiv[[Agency]:[Agency]]=$E534)/(TableDiv[[Agency]:[Agency]]=$E534)*(ROW(TableDiv[Agency])-ROW(TableDiv[[#Headers],[Agency]])),COLUMNS($F$7:AH$7))))</f>
        <v/>
      </c>
      <c r="AI534" s="2223" t="str" cm="1">
        <f t="array" ref="AI534">IF($D534&lt;COLUMNS($F$7:AI$7),"",INDEX(TableDiv[[GASB]:[GASB]],_xlfn.AGGREGATE(15,3,(TableDiv[[Agency]:[Agency]]=$E534)/(TableDiv[[Agency]:[Agency]]=$E534)*(ROW(TableDiv[Agency])-ROW(TableDiv[[#Headers],[Agency]])),COLUMNS($F$7:AI$7))))</f>
        <v/>
      </c>
      <c r="AJ534" s="2223" t="str" cm="1">
        <f t="array" ref="AJ534">IF($D534&lt;COLUMNS($F$7:AJ$7),"",INDEX(TableDiv[[GASB]:[GASB]],_xlfn.AGGREGATE(15,3,(TableDiv[[Agency]:[Agency]]=$E534)/(TableDiv[[Agency]:[Agency]]=$E534)*(ROW(TableDiv[Agency])-ROW(TableDiv[[#Headers],[Agency]])),COLUMNS($F$7:AJ$7))))</f>
        <v/>
      </c>
      <c r="AK534" s="2223" t="str" cm="1">
        <f t="array" ref="AK534">IF($D534&lt;COLUMNS($F$7:AK$7),"",INDEX(TableDiv[[GASB]:[GASB]],_xlfn.AGGREGATE(15,3,(TableDiv[[Agency]:[Agency]]=$E534)/(TableDiv[[Agency]:[Agency]]=$E534)*(ROW(TableDiv[Agency])-ROW(TableDiv[[#Headers],[Agency]])),COLUMNS($F$7:AK$7))))</f>
        <v/>
      </c>
      <c r="AL534" s="2223" t="str" cm="1">
        <f t="array" ref="AL534">IF($D534&lt;COLUMNS($F$7:AL$7),"",INDEX(TableDiv[[GASB]:[GASB]],_xlfn.AGGREGATE(15,3,(TableDiv[[Agency]:[Agency]]=$E534)/(TableDiv[[Agency]:[Agency]]=$E534)*(ROW(TableDiv[Agency])-ROW(TableDiv[[#Headers],[Agency]])),COLUMNS($F$7:AL$7))))</f>
        <v/>
      </c>
      <c r="AM534" s="2223" t="str" cm="1">
        <f t="array" ref="AM534">IF($D534&lt;COLUMNS($F$7:AM$7),"",INDEX(TableDiv[[GASB]:[GASB]],_xlfn.AGGREGATE(15,3,(TableDiv[[Agency]:[Agency]]=$E534)/(TableDiv[[Agency]:[Agency]]=$E534)*(ROW(TableDiv[Agency])-ROW(TableDiv[[#Headers],[Agency]])),COLUMNS($F$7:AM$7))))</f>
        <v/>
      </c>
      <c r="AN534" s="2223"/>
      <c r="AO534" s="2223"/>
      <c r="AP534" s="2223"/>
      <c r="AQ534" s="2223"/>
      <c r="AR534" s="2223"/>
      <c r="AS534" s="2223"/>
    </row>
    <row r="535" spans="1:45" x14ac:dyDescent="0.2">
      <c r="A535" s="2223"/>
      <c r="B535" s="2223"/>
      <c r="C535" s="2223"/>
      <c r="W535" s="2223" t="str" cm="1">
        <f t="array" ref="W535">IF($D535&lt;COLUMNS($F$7:W$7),"",INDEX(TableDiv[[GASB]:[GASB]],_xlfn.AGGREGATE(15,3,(TableDiv[[Agency]:[Agency]]=$E535)/(TableDiv[[Agency]:[Agency]]=$E535)*(ROW(TableDiv[Agency])-ROW(TableDiv[[#Headers],[Agency]])),COLUMNS($F$7:W$7))))</f>
        <v/>
      </c>
      <c r="X535" s="2223" t="str" cm="1">
        <f t="array" ref="X535">IF($D535&lt;COLUMNS($F$7:X$7),"",INDEX(TableDiv[[GASB]:[GASB]],_xlfn.AGGREGATE(15,3,(TableDiv[[Agency]:[Agency]]=$E535)/(TableDiv[[Agency]:[Agency]]=$E535)*(ROW(TableDiv[Agency])-ROW(TableDiv[[#Headers],[Agency]])),COLUMNS($F$7:X$7))))</f>
        <v/>
      </c>
      <c r="Y535" s="2223" t="str" cm="1">
        <f t="array" ref="Y535">IF($D535&lt;COLUMNS($F$7:Y$7),"",INDEX(TableDiv[[GASB]:[GASB]],_xlfn.AGGREGATE(15,3,(TableDiv[[Agency]:[Agency]]=$E535)/(TableDiv[[Agency]:[Agency]]=$E535)*(ROW(TableDiv[Agency])-ROW(TableDiv[[#Headers],[Agency]])),COLUMNS($F$7:Y$7))))</f>
        <v/>
      </c>
      <c r="Z535" s="2223" t="str" cm="1">
        <f t="array" ref="Z535">IF($D535&lt;COLUMNS($F$7:Z$7),"",INDEX(TableDiv[[GASB]:[GASB]],_xlfn.AGGREGATE(15,3,(TableDiv[[Agency]:[Agency]]=$E535)/(TableDiv[[Agency]:[Agency]]=$E535)*(ROW(TableDiv[Agency])-ROW(TableDiv[[#Headers],[Agency]])),COLUMNS($F$7:Z$7))))</f>
        <v/>
      </c>
      <c r="AA535" s="2223" t="str" cm="1">
        <f t="array" ref="AA535">IF($D535&lt;COLUMNS($F$7:AA$7),"",INDEX(TableDiv[[GASB]:[GASB]],_xlfn.AGGREGATE(15,3,(TableDiv[[Agency]:[Agency]]=$E535)/(TableDiv[[Agency]:[Agency]]=$E535)*(ROW(TableDiv[Agency])-ROW(TableDiv[[#Headers],[Agency]])),COLUMNS($F$7:AA$7))))</f>
        <v/>
      </c>
      <c r="AB535" s="2223" t="str" cm="1">
        <f t="array" ref="AB535">IF($D535&lt;COLUMNS($F$7:AB$7),"",INDEX(TableDiv[[GASB]:[GASB]],_xlfn.AGGREGATE(15,3,(TableDiv[[Agency]:[Agency]]=$E535)/(TableDiv[[Agency]:[Agency]]=$E535)*(ROW(TableDiv[Agency])-ROW(TableDiv[[#Headers],[Agency]])),COLUMNS($F$7:AB$7))))</f>
        <v/>
      </c>
      <c r="AC535" s="2223" t="str" cm="1">
        <f t="array" ref="AC535">IF($D535&lt;COLUMNS($F$7:AC$7),"",INDEX(TableDiv[[GASB]:[GASB]],_xlfn.AGGREGATE(15,3,(TableDiv[[Agency]:[Agency]]=$E535)/(TableDiv[[Agency]:[Agency]]=$E535)*(ROW(TableDiv[Agency])-ROW(TableDiv[[#Headers],[Agency]])),COLUMNS($F$7:AC$7))))</f>
        <v/>
      </c>
      <c r="AD535" s="2223" t="str" cm="1">
        <f t="array" ref="AD535">IF($D535&lt;COLUMNS($F$7:AD$7),"",INDEX(TableDiv[[GASB]:[GASB]],_xlfn.AGGREGATE(15,3,(TableDiv[[Agency]:[Agency]]=$E535)/(TableDiv[[Agency]:[Agency]]=$E535)*(ROW(TableDiv[Agency])-ROW(TableDiv[[#Headers],[Agency]])),COLUMNS($F$7:AD$7))))</f>
        <v/>
      </c>
      <c r="AE535" s="2223" t="str" cm="1">
        <f t="array" ref="AE535">IF($D535&lt;COLUMNS($F$7:AE$7),"",INDEX(TableDiv[[GASB]:[GASB]],_xlfn.AGGREGATE(15,3,(TableDiv[[Agency]:[Agency]]=$E535)/(TableDiv[[Agency]:[Agency]]=$E535)*(ROW(TableDiv[Agency])-ROW(TableDiv[[#Headers],[Agency]])),COLUMNS($F$7:AE$7))))</f>
        <v/>
      </c>
      <c r="AF535" s="2223" t="str" cm="1">
        <f t="array" ref="AF535">IF($D535&lt;COLUMNS($F$7:AF$7),"",INDEX(TableDiv[[GASB]:[GASB]],_xlfn.AGGREGATE(15,3,(TableDiv[[Agency]:[Agency]]=$E535)/(TableDiv[[Agency]:[Agency]]=$E535)*(ROW(TableDiv[Agency])-ROW(TableDiv[[#Headers],[Agency]])),COLUMNS($F$7:AF$7))))</f>
        <v/>
      </c>
      <c r="AG535" s="2223" t="str" cm="1">
        <f t="array" ref="AG535">IF($D535&lt;COLUMNS($F$7:AG$7),"",INDEX(TableDiv[[GASB]:[GASB]],_xlfn.AGGREGATE(15,3,(TableDiv[[Agency]:[Agency]]=$E535)/(TableDiv[[Agency]:[Agency]]=$E535)*(ROW(TableDiv[Agency])-ROW(TableDiv[[#Headers],[Agency]])),COLUMNS($F$7:AG$7))))</f>
        <v/>
      </c>
      <c r="AH535" s="2223" t="str" cm="1">
        <f t="array" ref="AH535">IF($D535&lt;COLUMNS($F$7:AH$7),"",INDEX(TableDiv[[GASB]:[GASB]],_xlfn.AGGREGATE(15,3,(TableDiv[[Agency]:[Agency]]=$E535)/(TableDiv[[Agency]:[Agency]]=$E535)*(ROW(TableDiv[Agency])-ROW(TableDiv[[#Headers],[Agency]])),COLUMNS($F$7:AH$7))))</f>
        <v/>
      </c>
      <c r="AI535" s="2223" t="str" cm="1">
        <f t="array" ref="AI535">IF($D535&lt;COLUMNS($F$7:AI$7),"",INDEX(TableDiv[[GASB]:[GASB]],_xlfn.AGGREGATE(15,3,(TableDiv[[Agency]:[Agency]]=$E535)/(TableDiv[[Agency]:[Agency]]=$E535)*(ROW(TableDiv[Agency])-ROW(TableDiv[[#Headers],[Agency]])),COLUMNS($F$7:AI$7))))</f>
        <v/>
      </c>
      <c r="AJ535" s="2223" t="str" cm="1">
        <f t="array" ref="AJ535">IF($D535&lt;COLUMNS($F$7:AJ$7),"",INDEX(TableDiv[[GASB]:[GASB]],_xlfn.AGGREGATE(15,3,(TableDiv[[Agency]:[Agency]]=$E535)/(TableDiv[[Agency]:[Agency]]=$E535)*(ROW(TableDiv[Agency])-ROW(TableDiv[[#Headers],[Agency]])),COLUMNS($F$7:AJ$7))))</f>
        <v/>
      </c>
      <c r="AK535" s="2223" t="str" cm="1">
        <f t="array" ref="AK535">IF($D535&lt;COLUMNS($F$7:AK$7),"",INDEX(TableDiv[[GASB]:[GASB]],_xlfn.AGGREGATE(15,3,(TableDiv[[Agency]:[Agency]]=$E535)/(TableDiv[[Agency]:[Agency]]=$E535)*(ROW(TableDiv[Agency])-ROW(TableDiv[[#Headers],[Agency]])),COLUMNS($F$7:AK$7))))</f>
        <v/>
      </c>
      <c r="AL535" s="2223" t="str" cm="1">
        <f t="array" ref="AL535">IF($D535&lt;COLUMNS($F$7:AL$7),"",INDEX(TableDiv[[GASB]:[GASB]],_xlfn.AGGREGATE(15,3,(TableDiv[[Agency]:[Agency]]=$E535)/(TableDiv[[Agency]:[Agency]]=$E535)*(ROW(TableDiv[Agency])-ROW(TableDiv[[#Headers],[Agency]])),COLUMNS($F$7:AL$7))))</f>
        <v/>
      </c>
      <c r="AM535" s="2223" t="str" cm="1">
        <f t="array" ref="AM535">IF($D535&lt;COLUMNS($F$7:AM$7),"",INDEX(TableDiv[[GASB]:[GASB]],_xlfn.AGGREGATE(15,3,(TableDiv[[Agency]:[Agency]]=$E535)/(TableDiv[[Agency]:[Agency]]=$E535)*(ROW(TableDiv[Agency])-ROW(TableDiv[[#Headers],[Agency]])),COLUMNS($F$7:AM$7))))</f>
        <v/>
      </c>
      <c r="AN535" s="2223"/>
      <c r="AO535" s="2223"/>
      <c r="AP535" s="2223"/>
      <c r="AQ535" s="2223"/>
      <c r="AR535" s="2223"/>
      <c r="AS535" s="2223"/>
    </row>
    <row r="536" spans="1:45" x14ac:dyDescent="0.2">
      <c r="A536" s="2223"/>
      <c r="B536" s="2223"/>
      <c r="C536" s="2223"/>
      <c r="W536" s="2223" t="str" cm="1">
        <f t="array" ref="W536">IF($D536&lt;COLUMNS($F$7:W$7),"",INDEX(TableDiv[[GASB]:[GASB]],_xlfn.AGGREGATE(15,3,(TableDiv[[Agency]:[Agency]]=$E536)/(TableDiv[[Agency]:[Agency]]=$E536)*(ROW(TableDiv[Agency])-ROW(TableDiv[[#Headers],[Agency]])),COLUMNS($F$7:W$7))))</f>
        <v/>
      </c>
      <c r="X536" s="2223" t="str" cm="1">
        <f t="array" ref="X536">IF($D536&lt;COLUMNS($F$7:X$7),"",INDEX(TableDiv[[GASB]:[GASB]],_xlfn.AGGREGATE(15,3,(TableDiv[[Agency]:[Agency]]=$E536)/(TableDiv[[Agency]:[Agency]]=$E536)*(ROW(TableDiv[Agency])-ROW(TableDiv[[#Headers],[Agency]])),COLUMNS($F$7:X$7))))</f>
        <v/>
      </c>
      <c r="Y536" s="2223" t="str" cm="1">
        <f t="array" ref="Y536">IF($D536&lt;COLUMNS($F$7:Y$7),"",INDEX(TableDiv[[GASB]:[GASB]],_xlfn.AGGREGATE(15,3,(TableDiv[[Agency]:[Agency]]=$E536)/(TableDiv[[Agency]:[Agency]]=$E536)*(ROW(TableDiv[Agency])-ROW(TableDiv[[#Headers],[Agency]])),COLUMNS($F$7:Y$7))))</f>
        <v/>
      </c>
      <c r="Z536" s="2223" t="str" cm="1">
        <f t="array" ref="Z536">IF($D536&lt;COLUMNS($F$7:Z$7),"",INDEX(TableDiv[[GASB]:[GASB]],_xlfn.AGGREGATE(15,3,(TableDiv[[Agency]:[Agency]]=$E536)/(TableDiv[[Agency]:[Agency]]=$E536)*(ROW(TableDiv[Agency])-ROW(TableDiv[[#Headers],[Agency]])),COLUMNS($F$7:Z$7))))</f>
        <v/>
      </c>
      <c r="AA536" s="2223" t="str" cm="1">
        <f t="array" ref="AA536">IF($D536&lt;COLUMNS($F$7:AA$7),"",INDEX(TableDiv[[GASB]:[GASB]],_xlfn.AGGREGATE(15,3,(TableDiv[[Agency]:[Agency]]=$E536)/(TableDiv[[Agency]:[Agency]]=$E536)*(ROW(TableDiv[Agency])-ROW(TableDiv[[#Headers],[Agency]])),COLUMNS($F$7:AA$7))))</f>
        <v/>
      </c>
      <c r="AB536" s="2223" t="str" cm="1">
        <f t="array" ref="AB536">IF($D536&lt;COLUMNS($F$7:AB$7),"",INDEX(TableDiv[[GASB]:[GASB]],_xlfn.AGGREGATE(15,3,(TableDiv[[Agency]:[Agency]]=$E536)/(TableDiv[[Agency]:[Agency]]=$E536)*(ROW(TableDiv[Agency])-ROW(TableDiv[[#Headers],[Agency]])),COLUMNS($F$7:AB$7))))</f>
        <v/>
      </c>
      <c r="AC536" s="2223" t="str" cm="1">
        <f t="array" ref="AC536">IF($D536&lt;COLUMNS($F$7:AC$7),"",INDEX(TableDiv[[GASB]:[GASB]],_xlfn.AGGREGATE(15,3,(TableDiv[[Agency]:[Agency]]=$E536)/(TableDiv[[Agency]:[Agency]]=$E536)*(ROW(TableDiv[Agency])-ROW(TableDiv[[#Headers],[Agency]])),COLUMNS($F$7:AC$7))))</f>
        <v/>
      </c>
      <c r="AD536" s="2223" t="str" cm="1">
        <f t="array" ref="AD536">IF($D536&lt;COLUMNS($F$7:AD$7),"",INDEX(TableDiv[[GASB]:[GASB]],_xlfn.AGGREGATE(15,3,(TableDiv[[Agency]:[Agency]]=$E536)/(TableDiv[[Agency]:[Agency]]=$E536)*(ROW(TableDiv[Agency])-ROW(TableDiv[[#Headers],[Agency]])),COLUMNS($F$7:AD$7))))</f>
        <v/>
      </c>
      <c r="AE536" s="2223" t="str" cm="1">
        <f t="array" ref="AE536">IF($D536&lt;COLUMNS($F$7:AE$7),"",INDEX(TableDiv[[GASB]:[GASB]],_xlfn.AGGREGATE(15,3,(TableDiv[[Agency]:[Agency]]=$E536)/(TableDiv[[Agency]:[Agency]]=$E536)*(ROW(TableDiv[Agency])-ROW(TableDiv[[#Headers],[Agency]])),COLUMNS($F$7:AE$7))))</f>
        <v/>
      </c>
      <c r="AF536" s="2223" t="str" cm="1">
        <f t="array" ref="AF536">IF($D536&lt;COLUMNS($F$7:AF$7),"",INDEX(TableDiv[[GASB]:[GASB]],_xlfn.AGGREGATE(15,3,(TableDiv[[Agency]:[Agency]]=$E536)/(TableDiv[[Agency]:[Agency]]=$E536)*(ROW(TableDiv[Agency])-ROW(TableDiv[[#Headers],[Agency]])),COLUMNS($F$7:AF$7))))</f>
        <v/>
      </c>
      <c r="AG536" s="2223" t="str" cm="1">
        <f t="array" ref="AG536">IF($D536&lt;COLUMNS($F$7:AG$7),"",INDEX(TableDiv[[GASB]:[GASB]],_xlfn.AGGREGATE(15,3,(TableDiv[[Agency]:[Agency]]=$E536)/(TableDiv[[Agency]:[Agency]]=$E536)*(ROW(TableDiv[Agency])-ROW(TableDiv[[#Headers],[Agency]])),COLUMNS($F$7:AG$7))))</f>
        <v/>
      </c>
      <c r="AH536" s="2223" t="str" cm="1">
        <f t="array" ref="AH536">IF($D536&lt;COLUMNS($F$7:AH$7),"",INDEX(TableDiv[[GASB]:[GASB]],_xlfn.AGGREGATE(15,3,(TableDiv[[Agency]:[Agency]]=$E536)/(TableDiv[[Agency]:[Agency]]=$E536)*(ROW(TableDiv[Agency])-ROW(TableDiv[[#Headers],[Agency]])),COLUMNS($F$7:AH$7))))</f>
        <v/>
      </c>
      <c r="AI536" s="2223" t="str" cm="1">
        <f t="array" ref="AI536">IF($D536&lt;COLUMNS($F$7:AI$7),"",INDEX(TableDiv[[GASB]:[GASB]],_xlfn.AGGREGATE(15,3,(TableDiv[[Agency]:[Agency]]=$E536)/(TableDiv[[Agency]:[Agency]]=$E536)*(ROW(TableDiv[Agency])-ROW(TableDiv[[#Headers],[Agency]])),COLUMNS($F$7:AI$7))))</f>
        <v/>
      </c>
      <c r="AJ536" s="2223" t="str" cm="1">
        <f t="array" ref="AJ536">IF($D536&lt;COLUMNS($F$7:AJ$7),"",INDEX(TableDiv[[GASB]:[GASB]],_xlfn.AGGREGATE(15,3,(TableDiv[[Agency]:[Agency]]=$E536)/(TableDiv[[Agency]:[Agency]]=$E536)*(ROW(TableDiv[Agency])-ROW(TableDiv[[#Headers],[Agency]])),COLUMNS($F$7:AJ$7))))</f>
        <v/>
      </c>
      <c r="AK536" s="2223" t="str" cm="1">
        <f t="array" ref="AK536">IF($D536&lt;COLUMNS($F$7:AK$7),"",INDEX(TableDiv[[GASB]:[GASB]],_xlfn.AGGREGATE(15,3,(TableDiv[[Agency]:[Agency]]=$E536)/(TableDiv[[Agency]:[Agency]]=$E536)*(ROW(TableDiv[Agency])-ROW(TableDiv[[#Headers],[Agency]])),COLUMNS($F$7:AK$7))))</f>
        <v/>
      </c>
      <c r="AL536" s="2223" t="str" cm="1">
        <f t="array" ref="AL536">IF($D536&lt;COLUMNS($F$7:AL$7),"",INDEX(TableDiv[[GASB]:[GASB]],_xlfn.AGGREGATE(15,3,(TableDiv[[Agency]:[Agency]]=$E536)/(TableDiv[[Agency]:[Agency]]=$E536)*(ROW(TableDiv[Agency])-ROW(TableDiv[[#Headers],[Agency]])),COLUMNS($F$7:AL$7))))</f>
        <v/>
      </c>
      <c r="AM536" s="2223" t="str" cm="1">
        <f t="array" ref="AM536">IF($D536&lt;COLUMNS($F$7:AM$7),"",INDEX(TableDiv[[GASB]:[GASB]],_xlfn.AGGREGATE(15,3,(TableDiv[[Agency]:[Agency]]=$E536)/(TableDiv[[Agency]:[Agency]]=$E536)*(ROW(TableDiv[Agency])-ROW(TableDiv[[#Headers],[Agency]])),COLUMNS($F$7:AM$7))))</f>
        <v/>
      </c>
      <c r="AN536" s="2223"/>
      <c r="AO536" s="2223"/>
      <c r="AP536" s="2223"/>
      <c r="AQ536" s="2223"/>
      <c r="AR536" s="2223"/>
      <c r="AS536" s="2223"/>
    </row>
    <row r="537" spans="1:45" x14ac:dyDescent="0.2">
      <c r="A537" s="2223"/>
      <c r="B537" s="2223"/>
      <c r="C537" s="2223"/>
      <c r="W537" s="2223" t="str" cm="1">
        <f t="array" ref="W537">IF($D537&lt;COLUMNS($F$7:W$7),"",INDEX(TableDiv[[GASB]:[GASB]],_xlfn.AGGREGATE(15,3,(TableDiv[[Agency]:[Agency]]=$E537)/(TableDiv[[Agency]:[Agency]]=$E537)*(ROW(TableDiv[Agency])-ROW(TableDiv[[#Headers],[Agency]])),COLUMNS($F$7:W$7))))</f>
        <v/>
      </c>
      <c r="X537" s="2223" t="str" cm="1">
        <f t="array" ref="X537">IF($D537&lt;COLUMNS($F$7:X$7),"",INDEX(TableDiv[[GASB]:[GASB]],_xlfn.AGGREGATE(15,3,(TableDiv[[Agency]:[Agency]]=$E537)/(TableDiv[[Agency]:[Agency]]=$E537)*(ROW(TableDiv[Agency])-ROW(TableDiv[[#Headers],[Agency]])),COLUMNS($F$7:X$7))))</f>
        <v/>
      </c>
      <c r="Y537" s="2223" t="str" cm="1">
        <f t="array" ref="Y537">IF($D537&lt;COLUMNS($F$7:Y$7),"",INDEX(TableDiv[[GASB]:[GASB]],_xlfn.AGGREGATE(15,3,(TableDiv[[Agency]:[Agency]]=$E537)/(TableDiv[[Agency]:[Agency]]=$E537)*(ROW(TableDiv[Agency])-ROW(TableDiv[[#Headers],[Agency]])),COLUMNS($F$7:Y$7))))</f>
        <v/>
      </c>
      <c r="Z537" s="2223" t="str" cm="1">
        <f t="array" ref="Z537">IF($D537&lt;COLUMNS($F$7:Z$7),"",INDEX(TableDiv[[GASB]:[GASB]],_xlfn.AGGREGATE(15,3,(TableDiv[[Agency]:[Agency]]=$E537)/(TableDiv[[Agency]:[Agency]]=$E537)*(ROW(TableDiv[Agency])-ROW(TableDiv[[#Headers],[Agency]])),COLUMNS($F$7:Z$7))))</f>
        <v/>
      </c>
      <c r="AA537" s="2223" t="str" cm="1">
        <f t="array" ref="AA537">IF($D537&lt;COLUMNS($F$7:AA$7),"",INDEX(TableDiv[[GASB]:[GASB]],_xlfn.AGGREGATE(15,3,(TableDiv[[Agency]:[Agency]]=$E537)/(TableDiv[[Agency]:[Agency]]=$E537)*(ROW(TableDiv[Agency])-ROW(TableDiv[[#Headers],[Agency]])),COLUMNS($F$7:AA$7))))</f>
        <v/>
      </c>
      <c r="AB537" s="2223" t="str" cm="1">
        <f t="array" ref="AB537">IF($D537&lt;COLUMNS($F$7:AB$7),"",INDEX(TableDiv[[GASB]:[GASB]],_xlfn.AGGREGATE(15,3,(TableDiv[[Agency]:[Agency]]=$E537)/(TableDiv[[Agency]:[Agency]]=$E537)*(ROW(TableDiv[Agency])-ROW(TableDiv[[#Headers],[Agency]])),COLUMNS($F$7:AB$7))))</f>
        <v/>
      </c>
      <c r="AC537" s="2223" t="str" cm="1">
        <f t="array" ref="AC537">IF($D537&lt;COLUMNS($F$7:AC$7),"",INDEX(TableDiv[[GASB]:[GASB]],_xlfn.AGGREGATE(15,3,(TableDiv[[Agency]:[Agency]]=$E537)/(TableDiv[[Agency]:[Agency]]=$E537)*(ROW(TableDiv[Agency])-ROW(TableDiv[[#Headers],[Agency]])),COLUMNS($F$7:AC$7))))</f>
        <v/>
      </c>
      <c r="AD537" s="2223" t="str" cm="1">
        <f t="array" ref="AD537">IF($D537&lt;COLUMNS($F$7:AD$7),"",INDEX(TableDiv[[GASB]:[GASB]],_xlfn.AGGREGATE(15,3,(TableDiv[[Agency]:[Agency]]=$E537)/(TableDiv[[Agency]:[Agency]]=$E537)*(ROW(TableDiv[Agency])-ROW(TableDiv[[#Headers],[Agency]])),COLUMNS($F$7:AD$7))))</f>
        <v/>
      </c>
      <c r="AE537" s="2223" t="str" cm="1">
        <f t="array" ref="AE537">IF($D537&lt;COLUMNS($F$7:AE$7),"",INDEX(TableDiv[[GASB]:[GASB]],_xlfn.AGGREGATE(15,3,(TableDiv[[Agency]:[Agency]]=$E537)/(TableDiv[[Agency]:[Agency]]=$E537)*(ROW(TableDiv[Agency])-ROW(TableDiv[[#Headers],[Agency]])),COLUMNS($F$7:AE$7))))</f>
        <v/>
      </c>
      <c r="AF537" s="2223" t="str" cm="1">
        <f t="array" ref="AF537">IF($D537&lt;COLUMNS($F$7:AF$7),"",INDEX(TableDiv[[GASB]:[GASB]],_xlfn.AGGREGATE(15,3,(TableDiv[[Agency]:[Agency]]=$E537)/(TableDiv[[Agency]:[Agency]]=$E537)*(ROW(TableDiv[Agency])-ROW(TableDiv[[#Headers],[Agency]])),COLUMNS($F$7:AF$7))))</f>
        <v/>
      </c>
      <c r="AG537" s="2223" t="str" cm="1">
        <f t="array" ref="AG537">IF($D537&lt;COLUMNS($F$7:AG$7),"",INDEX(TableDiv[[GASB]:[GASB]],_xlfn.AGGREGATE(15,3,(TableDiv[[Agency]:[Agency]]=$E537)/(TableDiv[[Agency]:[Agency]]=$E537)*(ROW(TableDiv[Agency])-ROW(TableDiv[[#Headers],[Agency]])),COLUMNS($F$7:AG$7))))</f>
        <v/>
      </c>
      <c r="AH537" s="2223" t="str" cm="1">
        <f t="array" ref="AH537">IF($D537&lt;COLUMNS($F$7:AH$7),"",INDEX(TableDiv[[GASB]:[GASB]],_xlfn.AGGREGATE(15,3,(TableDiv[[Agency]:[Agency]]=$E537)/(TableDiv[[Agency]:[Agency]]=$E537)*(ROW(TableDiv[Agency])-ROW(TableDiv[[#Headers],[Agency]])),COLUMNS($F$7:AH$7))))</f>
        <v/>
      </c>
      <c r="AI537" s="2223" t="str" cm="1">
        <f t="array" ref="AI537">IF($D537&lt;COLUMNS($F$7:AI$7),"",INDEX(TableDiv[[GASB]:[GASB]],_xlfn.AGGREGATE(15,3,(TableDiv[[Agency]:[Agency]]=$E537)/(TableDiv[[Agency]:[Agency]]=$E537)*(ROW(TableDiv[Agency])-ROW(TableDiv[[#Headers],[Agency]])),COLUMNS($F$7:AI$7))))</f>
        <v/>
      </c>
      <c r="AJ537" s="2223" t="str" cm="1">
        <f t="array" ref="AJ537">IF($D537&lt;COLUMNS($F$7:AJ$7),"",INDEX(TableDiv[[GASB]:[GASB]],_xlfn.AGGREGATE(15,3,(TableDiv[[Agency]:[Agency]]=$E537)/(TableDiv[[Agency]:[Agency]]=$E537)*(ROW(TableDiv[Agency])-ROW(TableDiv[[#Headers],[Agency]])),COLUMNS($F$7:AJ$7))))</f>
        <v/>
      </c>
      <c r="AK537" s="2223" t="str" cm="1">
        <f t="array" ref="AK537">IF($D537&lt;COLUMNS($F$7:AK$7),"",INDEX(TableDiv[[GASB]:[GASB]],_xlfn.AGGREGATE(15,3,(TableDiv[[Agency]:[Agency]]=$E537)/(TableDiv[[Agency]:[Agency]]=$E537)*(ROW(TableDiv[Agency])-ROW(TableDiv[[#Headers],[Agency]])),COLUMNS($F$7:AK$7))))</f>
        <v/>
      </c>
      <c r="AL537" s="2223" t="str" cm="1">
        <f t="array" ref="AL537">IF($D537&lt;COLUMNS($F$7:AL$7),"",INDEX(TableDiv[[GASB]:[GASB]],_xlfn.AGGREGATE(15,3,(TableDiv[[Agency]:[Agency]]=$E537)/(TableDiv[[Agency]:[Agency]]=$E537)*(ROW(TableDiv[Agency])-ROW(TableDiv[[#Headers],[Agency]])),COLUMNS($F$7:AL$7))))</f>
        <v/>
      </c>
      <c r="AM537" s="2223" t="str" cm="1">
        <f t="array" ref="AM537">IF($D537&lt;COLUMNS($F$7:AM$7),"",INDEX(TableDiv[[GASB]:[GASB]],_xlfn.AGGREGATE(15,3,(TableDiv[[Agency]:[Agency]]=$E537)/(TableDiv[[Agency]:[Agency]]=$E537)*(ROW(TableDiv[Agency])-ROW(TableDiv[[#Headers],[Agency]])),COLUMNS($F$7:AM$7))))</f>
        <v/>
      </c>
      <c r="AN537" s="2223"/>
      <c r="AO537" s="2223"/>
      <c r="AP537" s="2223"/>
      <c r="AQ537" s="2223"/>
      <c r="AR537" s="2223"/>
      <c r="AS537" s="2223"/>
    </row>
    <row r="538" spans="1:45" x14ac:dyDescent="0.2">
      <c r="A538" s="2223"/>
      <c r="B538" s="2223"/>
      <c r="C538" s="2223"/>
      <c r="W538" s="2223" t="str" cm="1">
        <f t="array" ref="W538">IF($D538&lt;COLUMNS($F$7:W$7),"",INDEX(TableDiv[[GASB]:[GASB]],_xlfn.AGGREGATE(15,3,(TableDiv[[Agency]:[Agency]]=$E538)/(TableDiv[[Agency]:[Agency]]=$E538)*(ROW(TableDiv[Agency])-ROW(TableDiv[[#Headers],[Agency]])),COLUMNS($F$7:W$7))))</f>
        <v/>
      </c>
      <c r="X538" s="2223" t="str" cm="1">
        <f t="array" ref="X538">IF($D538&lt;COLUMNS($F$7:X$7),"",INDEX(TableDiv[[GASB]:[GASB]],_xlfn.AGGREGATE(15,3,(TableDiv[[Agency]:[Agency]]=$E538)/(TableDiv[[Agency]:[Agency]]=$E538)*(ROW(TableDiv[Agency])-ROW(TableDiv[[#Headers],[Agency]])),COLUMNS($F$7:X$7))))</f>
        <v/>
      </c>
      <c r="Y538" s="2223" t="str" cm="1">
        <f t="array" ref="Y538">IF($D538&lt;COLUMNS($F$7:Y$7),"",INDEX(TableDiv[[GASB]:[GASB]],_xlfn.AGGREGATE(15,3,(TableDiv[[Agency]:[Agency]]=$E538)/(TableDiv[[Agency]:[Agency]]=$E538)*(ROW(TableDiv[Agency])-ROW(TableDiv[[#Headers],[Agency]])),COLUMNS($F$7:Y$7))))</f>
        <v/>
      </c>
      <c r="Z538" s="2223" t="str" cm="1">
        <f t="array" ref="Z538">IF($D538&lt;COLUMNS($F$7:Z$7),"",INDEX(TableDiv[[GASB]:[GASB]],_xlfn.AGGREGATE(15,3,(TableDiv[[Agency]:[Agency]]=$E538)/(TableDiv[[Agency]:[Agency]]=$E538)*(ROW(TableDiv[Agency])-ROW(TableDiv[[#Headers],[Agency]])),COLUMNS($F$7:Z$7))))</f>
        <v/>
      </c>
      <c r="AA538" s="2223" t="str" cm="1">
        <f t="array" ref="AA538">IF($D538&lt;COLUMNS($F$7:AA$7),"",INDEX(TableDiv[[GASB]:[GASB]],_xlfn.AGGREGATE(15,3,(TableDiv[[Agency]:[Agency]]=$E538)/(TableDiv[[Agency]:[Agency]]=$E538)*(ROW(TableDiv[Agency])-ROW(TableDiv[[#Headers],[Agency]])),COLUMNS($F$7:AA$7))))</f>
        <v/>
      </c>
      <c r="AB538" s="2223" t="str" cm="1">
        <f t="array" ref="AB538">IF($D538&lt;COLUMNS($F$7:AB$7),"",INDEX(TableDiv[[GASB]:[GASB]],_xlfn.AGGREGATE(15,3,(TableDiv[[Agency]:[Agency]]=$E538)/(TableDiv[[Agency]:[Agency]]=$E538)*(ROW(TableDiv[Agency])-ROW(TableDiv[[#Headers],[Agency]])),COLUMNS($F$7:AB$7))))</f>
        <v/>
      </c>
      <c r="AC538" s="2223" t="str" cm="1">
        <f t="array" ref="AC538">IF($D538&lt;COLUMNS($F$7:AC$7),"",INDEX(TableDiv[[GASB]:[GASB]],_xlfn.AGGREGATE(15,3,(TableDiv[[Agency]:[Agency]]=$E538)/(TableDiv[[Agency]:[Agency]]=$E538)*(ROW(TableDiv[Agency])-ROW(TableDiv[[#Headers],[Agency]])),COLUMNS($F$7:AC$7))))</f>
        <v/>
      </c>
      <c r="AD538" s="2223" t="str" cm="1">
        <f t="array" ref="AD538">IF($D538&lt;COLUMNS($F$7:AD$7),"",INDEX(TableDiv[[GASB]:[GASB]],_xlfn.AGGREGATE(15,3,(TableDiv[[Agency]:[Agency]]=$E538)/(TableDiv[[Agency]:[Agency]]=$E538)*(ROW(TableDiv[Agency])-ROW(TableDiv[[#Headers],[Agency]])),COLUMNS($F$7:AD$7))))</f>
        <v/>
      </c>
      <c r="AE538" s="2223" t="str" cm="1">
        <f t="array" ref="AE538">IF($D538&lt;COLUMNS($F$7:AE$7),"",INDEX(TableDiv[[GASB]:[GASB]],_xlfn.AGGREGATE(15,3,(TableDiv[[Agency]:[Agency]]=$E538)/(TableDiv[[Agency]:[Agency]]=$E538)*(ROW(TableDiv[Agency])-ROW(TableDiv[[#Headers],[Agency]])),COLUMNS($F$7:AE$7))))</f>
        <v/>
      </c>
      <c r="AF538" s="2223" t="str" cm="1">
        <f t="array" ref="AF538">IF($D538&lt;COLUMNS($F$7:AF$7),"",INDEX(TableDiv[[GASB]:[GASB]],_xlfn.AGGREGATE(15,3,(TableDiv[[Agency]:[Agency]]=$E538)/(TableDiv[[Agency]:[Agency]]=$E538)*(ROW(TableDiv[Agency])-ROW(TableDiv[[#Headers],[Agency]])),COLUMNS($F$7:AF$7))))</f>
        <v/>
      </c>
      <c r="AG538" s="2223" t="str" cm="1">
        <f t="array" ref="AG538">IF($D538&lt;COLUMNS($F$7:AG$7),"",INDEX(TableDiv[[GASB]:[GASB]],_xlfn.AGGREGATE(15,3,(TableDiv[[Agency]:[Agency]]=$E538)/(TableDiv[[Agency]:[Agency]]=$E538)*(ROW(TableDiv[Agency])-ROW(TableDiv[[#Headers],[Agency]])),COLUMNS($F$7:AG$7))))</f>
        <v/>
      </c>
      <c r="AH538" s="2223" t="str" cm="1">
        <f t="array" ref="AH538">IF($D538&lt;COLUMNS($F$7:AH$7),"",INDEX(TableDiv[[GASB]:[GASB]],_xlfn.AGGREGATE(15,3,(TableDiv[[Agency]:[Agency]]=$E538)/(TableDiv[[Agency]:[Agency]]=$E538)*(ROW(TableDiv[Agency])-ROW(TableDiv[[#Headers],[Agency]])),COLUMNS($F$7:AH$7))))</f>
        <v/>
      </c>
      <c r="AI538" s="2223" t="str" cm="1">
        <f t="array" ref="AI538">IF($D538&lt;COLUMNS($F$7:AI$7),"",INDEX(TableDiv[[GASB]:[GASB]],_xlfn.AGGREGATE(15,3,(TableDiv[[Agency]:[Agency]]=$E538)/(TableDiv[[Agency]:[Agency]]=$E538)*(ROW(TableDiv[Agency])-ROW(TableDiv[[#Headers],[Agency]])),COLUMNS($F$7:AI$7))))</f>
        <v/>
      </c>
      <c r="AJ538" s="2223" t="str" cm="1">
        <f t="array" ref="AJ538">IF($D538&lt;COLUMNS($F$7:AJ$7),"",INDEX(TableDiv[[GASB]:[GASB]],_xlfn.AGGREGATE(15,3,(TableDiv[[Agency]:[Agency]]=$E538)/(TableDiv[[Agency]:[Agency]]=$E538)*(ROW(TableDiv[Agency])-ROW(TableDiv[[#Headers],[Agency]])),COLUMNS($F$7:AJ$7))))</f>
        <v/>
      </c>
      <c r="AK538" s="2223" t="str" cm="1">
        <f t="array" ref="AK538">IF($D538&lt;COLUMNS($F$7:AK$7),"",INDEX(TableDiv[[GASB]:[GASB]],_xlfn.AGGREGATE(15,3,(TableDiv[[Agency]:[Agency]]=$E538)/(TableDiv[[Agency]:[Agency]]=$E538)*(ROW(TableDiv[Agency])-ROW(TableDiv[[#Headers],[Agency]])),COLUMNS($F$7:AK$7))))</f>
        <v/>
      </c>
      <c r="AL538" s="2223" t="str" cm="1">
        <f t="array" ref="AL538">IF($D538&lt;COLUMNS($F$7:AL$7),"",INDEX(TableDiv[[GASB]:[GASB]],_xlfn.AGGREGATE(15,3,(TableDiv[[Agency]:[Agency]]=$E538)/(TableDiv[[Agency]:[Agency]]=$E538)*(ROW(TableDiv[Agency])-ROW(TableDiv[[#Headers],[Agency]])),COLUMNS($F$7:AL$7))))</f>
        <v/>
      </c>
      <c r="AM538" s="2223" t="str" cm="1">
        <f t="array" ref="AM538">IF($D538&lt;COLUMNS($F$7:AM$7),"",INDEX(TableDiv[[GASB]:[GASB]],_xlfn.AGGREGATE(15,3,(TableDiv[[Agency]:[Agency]]=$E538)/(TableDiv[[Agency]:[Agency]]=$E538)*(ROW(TableDiv[Agency])-ROW(TableDiv[[#Headers],[Agency]])),COLUMNS($F$7:AM$7))))</f>
        <v/>
      </c>
      <c r="AN538" s="2223"/>
      <c r="AO538" s="2223"/>
      <c r="AP538" s="2223"/>
      <c r="AQ538" s="2223"/>
      <c r="AR538" s="2223"/>
      <c r="AS538" s="2223"/>
    </row>
    <row r="539" spans="1:45" x14ac:dyDescent="0.2">
      <c r="A539" s="2223"/>
      <c r="B539" s="2223"/>
      <c r="C539" s="2223"/>
      <c r="W539" s="2223" t="str" cm="1">
        <f t="array" ref="W539">IF($D539&lt;COLUMNS($F$7:W$7),"",INDEX(TableDiv[[GASB]:[GASB]],_xlfn.AGGREGATE(15,3,(TableDiv[[Agency]:[Agency]]=$E539)/(TableDiv[[Agency]:[Agency]]=$E539)*(ROW(TableDiv[Agency])-ROW(TableDiv[[#Headers],[Agency]])),COLUMNS($F$7:W$7))))</f>
        <v/>
      </c>
      <c r="X539" s="2223" t="str" cm="1">
        <f t="array" ref="X539">IF($D539&lt;COLUMNS($F$7:X$7),"",INDEX(TableDiv[[GASB]:[GASB]],_xlfn.AGGREGATE(15,3,(TableDiv[[Agency]:[Agency]]=$E539)/(TableDiv[[Agency]:[Agency]]=$E539)*(ROW(TableDiv[Agency])-ROW(TableDiv[[#Headers],[Agency]])),COLUMNS($F$7:X$7))))</f>
        <v/>
      </c>
      <c r="Y539" s="2223" t="str" cm="1">
        <f t="array" ref="Y539">IF($D539&lt;COLUMNS($F$7:Y$7),"",INDEX(TableDiv[[GASB]:[GASB]],_xlfn.AGGREGATE(15,3,(TableDiv[[Agency]:[Agency]]=$E539)/(TableDiv[[Agency]:[Agency]]=$E539)*(ROW(TableDiv[Agency])-ROW(TableDiv[[#Headers],[Agency]])),COLUMNS($F$7:Y$7))))</f>
        <v/>
      </c>
      <c r="Z539" s="2223" t="str" cm="1">
        <f t="array" ref="Z539">IF($D539&lt;COLUMNS($F$7:Z$7),"",INDEX(TableDiv[[GASB]:[GASB]],_xlfn.AGGREGATE(15,3,(TableDiv[[Agency]:[Agency]]=$E539)/(TableDiv[[Agency]:[Agency]]=$E539)*(ROW(TableDiv[Agency])-ROW(TableDiv[[#Headers],[Agency]])),COLUMNS($F$7:Z$7))))</f>
        <v/>
      </c>
      <c r="AA539" s="2223" t="str" cm="1">
        <f t="array" ref="AA539">IF($D539&lt;COLUMNS($F$7:AA$7),"",INDEX(TableDiv[[GASB]:[GASB]],_xlfn.AGGREGATE(15,3,(TableDiv[[Agency]:[Agency]]=$E539)/(TableDiv[[Agency]:[Agency]]=$E539)*(ROW(TableDiv[Agency])-ROW(TableDiv[[#Headers],[Agency]])),COLUMNS($F$7:AA$7))))</f>
        <v/>
      </c>
      <c r="AB539" s="2223" t="str" cm="1">
        <f t="array" ref="AB539">IF($D539&lt;COLUMNS($F$7:AB$7),"",INDEX(TableDiv[[GASB]:[GASB]],_xlfn.AGGREGATE(15,3,(TableDiv[[Agency]:[Agency]]=$E539)/(TableDiv[[Agency]:[Agency]]=$E539)*(ROW(TableDiv[Agency])-ROW(TableDiv[[#Headers],[Agency]])),COLUMNS($F$7:AB$7))))</f>
        <v/>
      </c>
      <c r="AC539" s="2223" t="str" cm="1">
        <f t="array" ref="AC539">IF($D539&lt;COLUMNS($F$7:AC$7),"",INDEX(TableDiv[[GASB]:[GASB]],_xlfn.AGGREGATE(15,3,(TableDiv[[Agency]:[Agency]]=$E539)/(TableDiv[[Agency]:[Agency]]=$E539)*(ROW(TableDiv[Agency])-ROW(TableDiv[[#Headers],[Agency]])),COLUMNS($F$7:AC$7))))</f>
        <v/>
      </c>
      <c r="AD539" s="2223" t="str" cm="1">
        <f t="array" ref="AD539">IF($D539&lt;COLUMNS($F$7:AD$7),"",INDEX(TableDiv[[GASB]:[GASB]],_xlfn.AGGREGATE(15,3,(TableDiv[[Agency]:[Agency]]=$E539)/(TableDiv[[Agency]:[Agency]]=$E539)*(ROW(TableDiv[Agency])-ROW(TableDiv[[#Headers],[Agency]])),COLUMNS($F$7:AD$7))))</f>
        <v/>
      </c>
      <c r="AE539" s="2223" t="str" cm="1">
        <f t="array" ref="AE539">IF($D539&lt;COLUMNS($F$7:AE$7),"",INDEX(TableDiv[[GASB]:[GASB]],_xlfn.AGGREGATE(15,3,(TableDiv[[Agency]:[Agency]]=$E539)/(TableDiv[[Agency]:[Agency]]=$E539)*(ROW(TableDiv[Agency])-ROW(TableDiv[[#Headers],[Agency]])),COLUMNS($F$7:AE$7))))</f>
        <v/>
      </c>
      <c r="AF539" s="2223" t="str" cm="1">
        <f t="array" ref="AF539">IF($D539&lt;COLUMNS($F$7:AF$7),"",INDEX(TableDiv[[GASB]:[GASB]],_xlfn.AGGREGATE(15,3,(TableDiv[[Agency]:[Agency]]=$E539)/(TableDiv[[Agency]:[Agency]]=$E539)*(ROW(TableDiv[Agency])-ROW(TableDiv[[#Headers],[Agency]])),COLUMNS($F$7:AF$7))))</f>
        <v/>
      </c>
      <c r="AG539" s="2223" t="str" cm="1">
        <f t="array" ref="AG539">IF($D539&lt;COLUMNS($F$7:AG$7),"",INDEX(TableDiv[[GASB]:[GASB]],_xlfn.AGGREGATE(15,3,(TableDiv[[Agency]:[Agency]]=$E539)/(TableDiv[[Agency]:[Agency]]=$E539)*(ROW(TableDiv[Agency])-ROW(TableDiv[[#Headers],[Agency]])),COLUMNS($F$7:AG$7))))</f>
        <v/>
      </c>
      <c r="AH539" s="2223" t="str" cm="1">
        <f t="array" ref="AH539">IF($D539&lt;COLUMNS($F$7:AH$7),"",INDEX(TableDiv[[GASB]:[GASB]],_xlfn.AGGREGATE(15,3,(TableDiv[[Agency]:[Agency]]=$E539)/(TableDiv[[Agency]:[Agency]]=$E539)*(ROW(TableDiv[Agency])-ROW(TableDiv[[#Headers],[Agency]])),COLUMNS($F$7:AH$7))))</f>
        <v/>
      </c>
      <c r="AI539" s="2223" t="str" cm="1">
        <f t="array" ref="AI539">IF($D539&lt;COLUMNS($F$7:AI$7),"",INDEX(TableDiv[[GASB]:[GASB]],_xlfn.AGGREGATE(15,3,(TableDiv[[Agency]:[Agency]]=$E539)/(TableDiv[[Agency]:[Agency]]=$E539)*(ROW(TableDiv[Agency])-ROW(TableDiv[[#Headers],[Agency]])),COLUMNS($F$7:AI$7))))</f>
        <v/>
      </c>
      <c r="AJ539" s="2223" t="str" cm="1">
        <f t="array" ref="AJ539">IF($D539&lt;COLUMNS($F$7:AJ$7),"",INDEX(TableDiv[[GASB]:[GASB]],_xlfn.AGGREGATE(15,3,(TableDiv[[Agency]:[Agency]]=$E539)/(TableDiv[[Agency]:[Agency]]=$E539)*(ROW(TableDiv[Agency])-ROW(TableDiv[[#Headers],[Agency]])),COLUMNS($F$7:AJ$7))))</f>
        <v/>
      </c>
      <c r="AK539" s="2223" t="str" cm="1">
        <f t="array" ref="AK539">IF($D539&lt;COLUMNS($F$7:AK$7),"",INDEX(TableDiv[[GASB]:[GASB]],_xlfn.AGGREGATE(15,3,(TableDiv[[Agency]:[Agency]]=$E539)/(TableDiv[[Agency]:[Agency]]=$E539)*(ROW(TableDiv[Agency])-ROW(TableDiv[[#Headers],[Agency]])),COLUMNS($F$7:AK$7))))</f>
        <v/>
      </c>
      <c r="AL539" s="2223" t="str" cm="1">
        <f t="array" ref="AL539">IF($D539&lt;COLUMNS($F$7:AL$7),"",INDEX(TableDiv[[GASB]:[GASB]],_xlfn.AGGREGATE(15,3,(TableDiv[[Agency]:[Agency]]=$E539)/(TableDiv[[Agency]:[Agency]]=$E539)*(ROW(TableDiv[Agency])-ROW(TableDiv[[#Headers],[Agency]])),COLUMNS($F$7:AL$7))))</f>
        <v/>
      </c>
      <c r="AM539" s="2223" t="str" cm="1">
        <f t="array" ref="AM539">IF($D539&lt;COLUMNS($F$7:AM$7),"",INDEX(TableDiv[[GASB]:[GASB]],_xlfn.AGGREGATE(15,3,(TableDiv[[Agency]:[Agency]]=$E539)/(TableDiv[[Agency]:[Agency]]=$E539)*(ROW(TableDiv[Agency])-ROW(TableDiv[[#Headers],[Agency]])),COLUMNS($F$7:AM$7))))</f>
        <v/>
      </c>
      <c r="AN539" s="2223"/>
      <c r="AO539" s="2223"/>
      <c r="AP539" s="2223"/>
      <c r="AQ539" s="2223"/>
      <c r="AR539" s="2223"/>
      <c r="AS539" s="2223"/>
    </row>
    <row r="540" spans="1:45" x14ac:dyDescent="0.2">
      <c r="A540" s="2223"/>
      <c r="B540" s="2223"/>
      <c r="C540" s="2223"/>
      <c r="W540" s="2223" t="str" cm="1">
        <f t="array" ref="W540">IF($D540&lt;COLUMNS($F$7:W$7),"",INDEX(TableDiv[[GASB]:[GASB]],_xlfn.AGGREGATE(15,3,(TableDiv[[Agency]:[Agency]]=$E540)/(TableDiv[[Agency]:[Agency]]=$E540)*(ROW(TableDiv[Agency])-ROW(TableDiv[[#Headers],[Agency]])),COLUMNS($F$7:W$7))))</f>
        <v/>
      </c>
      <c r="X540" s="2223" t="str" cm="1">
        <f t="array" ref="X540">IF($D540&lt;COLUMNS($F$7:X$7),"",INDEX(TableDiv[[GASB]:[GASB]],_xlfn.AGGREGATE(15,3,(TableDiv[[Agency]:[Agency]]=$E540)/(TableDiv[[Agency]:[Agency]]=$E540)*(ROW(TableDiv[Agency])-ROW(TableDiv[[#Headers],[Agency]])),COLUMNS($F$7:X$7))))</f>
        <v/>
      </c>
      <c r="Y540" s="2223" t="str" cm="1">
        <f t="array" ref="Y540">IF($D540&lt;COLUMNS($F$7:Y$7),"",INDEX(TableDiv[[GASB]:[GASB]],_xlfn.AGGREGATE(15,3,(TableDiv[[Agency]:[Agency]]=$E540)/(TableDiv[[Agency]:[Agency]]=$E540)*(ROW(TableDiv[Agency])-ROW(TableDiv[[#Headers],[Agency]])),COLUMNS($F$7:Y$7))))</f>
        <v/>
      </c>
      <c r="Z540" s="2223" t="str" cm="1">
        <f t="array" ref="Z540">IF($D540&lt;COLUMNS($F$7:Z$7),"",INDEX(TableDiv[[GASB]:[GASB]],_xlfn.AGGREGATE(15,3,(TableDiv[[Agency]:[Agency]]=$E540)/(TableDiv[[Agency]:[Agency]]=$E540)*(ROW(TableDiv[Agency])-ROW(TableDiv[[#Headers],[Agency]])),COLUMNS($F$7:Z$7))))</f>
        <v/>
      </c>
      <c r="AA540" s="2223" t="str" cm="1">
        <f t="array" ref="AA540">IF($D540&lt;COLUMNS($F$7:AA$7),"",INDEX(TableDiv[[GASB]:[GASB]],_xlfn.AGGREGATE(15,3,(TableDiv[[Agency]:[Agency]]=$E540)/(TableDiv[[Agency]:[Agency]]=$E540)*(ROW(TableDiv[Agency])-ROW(TableDiv[[#Headers],[Agency]])),COLUMNS($F$7:AA$7))))</f>
        <v/>
      </c>
      <c r="AB540" s="2223" t="str" cm="1">
        <f t="array" ref="AB540">IF($D540&lt;COLUMNS($F$7:AB$7),"",INDEX(TableDiv[[GASB]:[GASB]],_xlfn.AGGREGATE(15,3,(TableDiv[[Agency]:[Agency]]=$E540)/(TableDiv[[Agency]:[Agency]]=$E540)*(ROW(TableDiv[Agency])-ROW(TableDiv[[#Headers],[Agency]])),COLUMNS($F$7:AB$7))))</f>
        <v/>
      </c>
      <c r="AC540" s="2223" t="str" cm="1">
        <f t="array" ref="AC540">IF($D540&lt;COLUMNS($F$7:AC$7),"",INDEX(TableDiv[[GASB]:[GASB]],_xlfn.AGGREGATE(15,3,(TableDiv[[Agency]:[Agency]]=$E540)/(TableDiv[[Agency]:[Agency]]=$E540)*(ROW(TableDiv[Agency])-ROW(TableDiv[[#Headers],[Agency]])),COLUMNS($F$7:AC$7))))</f>
        <v/>
      </c>
      <c r="AD540" s="2223" t="str" cm="1">
        <f t="array" ref="AD540">IF($D540&lt;COLUMNS($F$7:AD$7),"",INDEX(TableDiv[[GASB]:[GASB]],_xlfn.AGGREGATE(15,3,(TableDiv[[Agency]:[Agency]]=$E540)/(TableDiv[[Agency]:[Agency]]=$E540)*(ROW(TableDiv[Agency])-ROW(TableDiv[[#Headers],[Agency]])),COLUMNS($F$7:AD$7))))</f>
        <v/>
      </c>
      <c r="AE540" s="2223" t="str" cm="1">
        <f t="array" ref="AE540">IF($D540&lt;COLUMNS($F$7:AE$7),"",INDEX(TableDiv[[GASB]:[GASB]],_xlfn.AGGREGATE(15,3,(TableDiv[[Agency]:[Agency]]=$E540)/(TableDiv[[Agency]:[Agency]]=$E540)*(ROW(TableDiv[Agency])-ROW(TableDiv[[#Headers],[Agency]])),COLUMNS($F$7:AE$7))))</f>
        <v/>
      </c>
      <c r="AF540" s="2223" t="str" cm="1">
        <f t="array" ref="AF540">IF($D540&lt;COLUMNS($F$7:AF$7),"",INDEX(TableDiv[[GASB]:[GASB]],_xlfn.AGGREGATE(15,3,(TableDiv[[Agency]:[Agency]]=$E540)/(TableDiv[[Agency]:[Agency]]=$E540)*(ROW(TableDiv[Agency])-ROW(TableDiv[[#Headers],[Agency]])),COLUMNS($F$7:AF$7))))</f>
        <v/>
      </c>
      <c r="AG540" s="2223" t="str" cm="1">
        <f t="array" ref="AG540">IF($D540&lt;COLUMNS($F$7:AG$7),"",INDEX(TableDiv[[GASB]:[GASB]],_xlfn.AGGREGATE(15,3,(TableDiv[[Agency]:[Agency]]=$E540)/(TableDiv[[Agency]:[Agency]]=$E540)*(ROW(TableDiv[Agency])-ROW(TableDiv[[#Headers],[Agency]])),COLUMNS($F$7:AG$7))))</f>
        <v/>
      </c>
      <c r="AH540" s="2223" t="str" cm="1">
        <f t="array" ref="AH540">IF($D540&lt;COLUMNS($F$7:AH$7),"",INDEX(TableDiv[[GASB]:[GASB]],_xlfn.AGGREGATE(15,3,(TableDiv[[Agency]:[Agency]]=$E540)/(TableDiv[[Agency]:[Agency]]=$E540)*(ROW(TableDiv[Agency])-ROW(TableDiv[[#Headers],[Agency]])),COLUMNS($F$7:AH$7))))</f>
        <v/>
      </c>
      <c r="AI540" s="2223" t="str" cm="1">
        <f t="array" ref="AI540">IF($D540&lt;COLUMNS($F$7:AI$7),"",INDEX(TableDiv[[GASB]:[GASB]],_xlfn.AGGREGATE(15,3,(TableDiv[[Agency]:[Agency]]=$E540)/(TableDiv[[Agency]:[Agency]]=$E540)*(ROW(TableDiv[Agency])-ROW(TableDiv[[#Headers],[Agency]])),COLUMNS($F$7:AI$7))))</f>
        <v/>
      </c>
      <c r="AJ540" s="2223" t="str" cm="1">
        <f t="array" ref="AJ540">IF($D540&lt;COLUMNS($F$7:AJ$7),"",INDEX(TableDiv[[GASB]:[GASB]],_xlfn.AGGREGATE(15,3,(TableDiv[[Agency]:[Agency]]=$E540)/(TableDiv[[Agency]:[Agency]]=$E540)*(ROW(TableDiv[Agency])-ROW(TableDiv[[#Headers],[Agency]])),COLUMNS($F$7:AJ$7))))</f>
        <v/>
      </c>
      <c r="AK540" s="2223" t="str" cm="1">
        <f t="array" ref="AK540">IF($D540&lt;COLUMNS($F$7:AK$7),"",INDEX(TableDiv[[GASB]:[GASB]],_xlfn.AGGREGATE(15,3,(TableDiv[[Agency]:[Agency]]=$E540)/(TableDiv[[Agency]:[Agency]]=$E540)*(ROW(TableDiv[Agency])-ROW(TableDiv[[#Headers],[Agency]])),COLUMNS($F$7:AK$7))))</f>
        <v/>
      </c>
      <c r="AL540" s="2223" t="str" cm="1">
        <f t="array" ref="AL540">IF($D540&lt;COLUMNS($F$7:AL$7),"",INDEX(TableDiv[[GASB]:[GASB]],_xlfn.AGGREGATE(15,3,(TableDiv[[Agency]:[Agency]]=$E540)/(TableDiv[[Agency]:[Agency]]=$E540)*(ROW(TableDiv[Agency])-ROW(TableDiv[[#Headers],[Agency]])),COLUMNS($F$7:AL$7))))</f>
        <v/>
      </c>
      <c r="AM540" s="2223" t="str" cm="1">
        <f t="array" ref="AM540">IF($D540&lt;COLUMNS($F$7:AM$7),"",INDEX(TableDiv[[GASB]:[GASB]],_xlfn.AGGREGATE(15,3,(TableDiv[[Agency]:[Agency]]=$E540)/(TableDiv[[Agency]:[Agency]]=$E540)*(ROW(TableDiv[Agency])-ROW(TableDiv[[#Headers],[Agency]])),COLUMNS($F$7:AM$7))))</f>
        <v/>
      </c>
      <c r="AN540" s="2223"/>
      <c r="AO540" s="2223"/>
      <c r="AP540" s="2223"/>
      <c r="AQ540" s="2223"/>
      <c r="AR540" s="2223"/>
      <c r="AS540" s="2223"/>
    </row>
    <row r="541" spans="1:45" x14ac:dyDescent="0.2">
      <c r="A541" s="2223"/>
      <c r="B541" s="2223"/>
      <c r="C541" s="2223"/>
      <c r="W541" s="2223" t="str" cm="1">
        <f t="array" ref="W541">IF($D541&lt;COLUMNS($F$7:W$7),"",INDEX(TableDiv[[GASB]:[GASB]],_xlfn.AGGREGATE(15,3,(TableDiv[[Agency]:[Agency]]=$E541)/(TableDiv[[Agency]:[Agency]]=$E541)*(ROW(TableDiv[Agency])-ROW(TableDiv[[#Headers],[Agency]])),COLUMNS($F$7:W$7))))</f>
        <v/>
      </c>
      <c r="X541" s="2223" t="str" cm="1">
        <f t="array" ref="X541">IF($D541&lt;COLUMNS($F$7:X$7),"",INDEX(TableDiv[[GASB]:[GASB]],_xlfn.AGGREGATE(15,3,(TableDiv[[Agency]:[Agency]]=$E541)/(TableDiv[[Agency]:[Agency]]=$E541)*(ROW(TableDiv[Agency])-ROW(TableDiv[[#Headers],[Agency]])),COLUMNS($F$7:X$7))))</f>
        <v/>
      </c>
      <c r="Y541" s="2223" t="str" cm="1">
        <f t="array" ref="Y541">IF($D541&lt;COLUMNS($F$7:Y$7),"",INDEX(TableDiv[[GASB]:[GASB]],_xlfn.AGGREGATE(15,3,(TableDiv[[Agency]:[Agency]]=$E541)/(TableDiv[[Agency]:[Agency]]=$E541)*(ROW(TableDiv[Agency])-ROW(TableDiv[[#Headers],[Agency]])),COLUMNS($F$7:Y$7))))</f>
        <v/>
      </c>
      <c r="Z541" s="2223" t="str" cm="1">
        <f t="array" ref="Z541">IF($D541&lt;COLUMNS($F$7:Z$7),"",INDEX(TableDiv[[GASB]:[GASB]],_xlfn.AGGREGATE(15,3,(TableDiv[[Agency]:[Agency]]=$E541)/(TableDiv[[Agency]:[Agency]]=$E541)*(ROW(TableDiv[Agency])-ROW(TableDiv[[#Headers],[Agency]])),COLUMNS($F$7:Z$7))))</f>
        <v/>
      </c>
      <c r="AA541" s="2223" t="str" cm="1">
        <f t="array" ref="AA541">IF($D541&lt;COLUMNS($F$7:AA$7),"",INDEX(TableDiv[[GASB]:[GASB]],_xlfn.AGGREGATE(15,3,(TableDiv[[Agency]:[Agency]]=$E541)/(TableDiv[[Agency]:[Agency]]=$E541)*(ROW(TableDiv[Agency])-ROW(TableDiv[[#Headers],[Agency]])),COLUMNS($F$7:AA$7))))</f>
        <v/>
      </c>
      <c r="AB541" s="2223" t="str" cm="1">
        <f t="array" ref="AB541">IF($D541&lt;COLUMNS($F$7:AB$7),"",INDEX(TableDiv[[GASB]:[GASB]],_xlfn.AGGREGATE(15,3,(TableDiv[[Agency]:[Agency]]=$E541)/(TableDiv[[Agency]:[Agency]]=$E541)*(ROW(TableDiv[Agency])-ROW(TableDiv[[#Headers],[Agency]])),COLUMNS($F$7:AB$7))))</f>
        <v/>
      </c>
      <c r="AC541" s="2223" t="str" cm="1">
        <f t="array" ref="AC541">IF($D541&lt;COLUMNS($F$7:AC$7),"",INDEX(TableDiv[[GASB]:[GASB]],_xlfn.AGGREGATE(15,3,(TableDiv[[Agency]:[Agency]]=$E541)/(TableDiv[[Agency]:[Agency]]=$E541)*(ROW(TableDiv[Agency])-ROW(TableDiv[[#Headers],[Agency]])),COLUMNS($F$7:AC$7))))</f>
        <v/>
      </c>
      <c r="AD541" s="2223" t="str" cm="1">
        <f t="array" ref="AD541">IF($D541&lt;COLUMNS($F$7:AD$7),"",INDEX(TableDiv[[GASB]:[GASB]],_xlfn.AGGREGATE(15,3,(TableDiv[[Agency]:[Agency]]=$E541)/(TableDiv[[Agency]:[Agency]]=$E541)*(ROW(TableDiv[Agency])-ROW(TableDiv[[#Headers],[Agency]])),COLUMNS($F$7:AD$7))))</f>
        <v/>
      </c>
      <c r="AE541" s="2223" t="str" cm="1">
        <f t="array" ref="AE541">IF($D541&lt;COLUMNS($F$7:AE$7),"",INDEX(TableDiv[[GASB]:[GASB]],_xlfn.AGGREGATE(15,3,(TableDiv[[Agency]:[Agency]]=$E541)/(TableDiv[[Agency]:[Agency]]=$E541)*(ROW(TableDiv[Agency])-ROW(TableDiv[[#Headers],[Agency]])),COLUMNS($F$7:AE$7))))</f>
        <v/>
      </c>
      <c r="AF541" s="2223" t="str" cm="1">
        <f t="array" ref="AF541">IF($D541&lt;COLUMNS($F$7:AF$7),"",INDEX(TableDiv[[GASB]:[GASB]],_xlfn.AGGREGATE(15,3,(TableDiv[[Agency]:[Agency]]=$E541)/(TableDiv[[Agency]:[Agency]]=$E541)*(ROW(TableDiv[Agency])-ROW(TableDiv[[#Headers],[Agency]])),COLUMNS($F$7:AF$7))))</f>
        <v/>
      </c>
      <c r="AG541" s="2223" t="str" cm="1">
        <f t="array" ref="AG541">IF($D541&lt;COLUMNS($F$7:AG$7),"",INDEX(TableDiv[[GASB]:[GASB]],_xlfn.AGGREGATE(15,3,(TableDiv[[Agency]:[Agency]]=$E541)/(TableDiv[[Agency]:[Agency]]=$E541)*(ROW(TableDiv[Agency])-ROW(TableDiv[[#Headers],[Agency]])),COLUMNS($F$7:AG$7))))</f>
        <v/>
      </c>
      <c r="AH541" s="2223" t="str" cm="1">
        <f t="array" ref="AH541">IF($D541&lt;COLUMNS($F$7:AH$7),"",INDEX(TableDiv[[GASB]:[GASB]],_xlfn.AGGREGATE(15,3,(TableDiv[[Agency]:[Agency]]=$E541)/(TableDiv[[Agency]:[Agency]]=$E541)*(ROW(TableDiv[Agency])-ROW(TableDiv[[#Headers],[Agency]])),COLUMNS($F$7:AH$7))))</f>
        <v/>
      </c>
      <c r="AI541" s="2223" t="str" cm="1">
        <f t="array" ref="AI541">IF($D541&lt;COLUMNS($F$7:AI$7),"",INDEX(TableDiv[[GASB]:[GASB]],_xlfn.AGGREGATE(15,3,(TableDiv[[Agency]:[Agency]]=$E541)/(TableDiv[[Agency]:[Agency]]=$E541)*(ROW(TableDiv[Agency])-ROW(TableDiv[[#Headers],[Agency]])),COLUMNS($F$7:AI$7))))</f>
        <v/>
      </c>
      <c r="AJ541" s="2223" t="str" cm="1">
        <f t="array" ref="AJ541">IF($D541&lt;COLUMNS($F$7:AJ$7),"",INDEX(TableDiv[[GASB]:[GASB]],_xlfn.AGGREGATE(15,3,(TableDiv[[Agency]:[Agency]]=$E541)/(TableDiv[[Agency]:[Agency]]=$E541)*(ROW(TableDiv[Agency])-ROW(TableDiv[[#Headers],[Agency]])),COLUMNS($F$7:AJ$7))))</f>
        <v/>
      </c>
      <c r="AK541" s="2223" t="str" cm="1">
        <f t="array" ref="AK541">IF($D541&lt;COLUMNS($F$7:AK$7),"",INDEX(TableDiv[[GASB]:[GASB]],_xlfn.AGGREGATE(15,3,(TableDiv[[Agency]:[Agency]]=$E541)/(TableDiv[[Agency]:[Agency]]=$E541)*(ROW(TableDiv[Agency])-ROW(TableDiv[[#Headers],[Agency]])),COLUMNS($F$7:AK$7))))</f>
        <v/>
      </c>
      <c r="AL541" s="2223" t="str" cm="1">
        <f t="array" ref="AL541">IF($D541&lt;COLUMNS($F$7:AL$7),"",INDEX(TableDiv[[GASB]:[GASB]],_xlfn.AGGREGATE(15,3,(TableDiv[[Agency]:[Agency]]=$E541)/(TableDiv[[Agency]:[Agency]]=$E541)*(ROW(TableDiv[Agency])-ROW(TableDiv[[#Headers],[Agency]])),COLUMNS($F$7:AL$7))))</f>
        <v/>
      </c>
      <c r="AM541" s="2223" t="str" cm="1">
        <f t="array" ref="AM541">IF($D541&lt;COLUMNS($F$7:AM$7),"",INDEX(TableDiv[[GASB]:[GASB]],_xlfn.AGGREGATE(15,3,(TableDiv[[Agency]:[Agency]]=$E541)/(TableDiv[[Agency]:[Agency]]=$E541)*(ROW(TableDiv[Agency])-ROW(TableDiv[[#Headers],[Agency]])),COLUMNS($F$7:AM$7))))</f>
        <v/>
      </c>
      <c r="AN541" s="2223"/>
      <c r="AO541" s="2223"/>
      <c r="AP541" s="2223"/>
      <c r="AQ541" s="2223"/>
      <c r="AR541" s="2223"/>
      <c r="AS541" s="2223"/>
    </row>
    <row r="542" spans="1:45" x14ac:dyDescent="0.2">
      <c r="A542" s="2223"/>
      <c r="B542" s="2223"/>
      <c r="C542" s="2223"/>
      <c r="W542" s="2223" t="str" cm="1">
        <f t="array" ref="W542">IF($D542&lt;COLUMNS($F$7:W$7),"",INDEX(TableDiv[[GASB]:[GASB]],_xlfn.AGGREGATE(15,3,(TableDiv[[Agency]:[Agency]]=$E542)/(TableDiv[[Agency]:[Agency]]=$E542)*(ROW(TableDiv[Agency])-ROW(TableDiv[[#Headers],[Agency]])),COLUMNS($F$7:W$7))))</f>
        <v/>
      </c>
      <c r="X542" s="2223" t="str" cm="1">
        <f t="array" ref="X542">IF($D542&lt;COLUMNS($F$7:X$7),"",INDEX(TableDiv[[GASB]:[GASB]],_xlfn.AGGREGATE(15,3,(TableDiv[[Agency]:[Agency]]=$E542)/(TableDiv[[Agency]:[Agency]]=$E542)*(ROW(TableDiv[Agency])-ROW(TableDiv[[#Headers],[Agency]])),COLUMNS($F$7:X$7))))</f>
        <v/>
      </c>
      <c r="Y542" s="2223" t="str" cm="1">
        <f t="array" ref="Y542">IF($D542&lt;COLUMNS($F$7:Y$7),"",INDEX(TableDiv[[GASB]:[GASB]],_xlfn.AGGREGATE(15,3,(TableDiv[[Agency]:[Agency]]=$E542)/(TableDiv[[Agency]:[Agency]]=$E542)*(ROW(TableDiv[Agency])-ROW(TableDiv[[#Headers],[Agency]])),COLUMNS($F$7:Y$7))))</f>
        <v/>
      </c>
      <c r="Z542" s="2223" t="str" cm="1">
        <f t="array" ref="Z542">IF($D542&lt;COLUMNS($F$7:Z$7),"",INDEX(TableDiv[[GASB]:[GASB]],_xlfn.AGGREGATE(15,3,(TableDiv[[Agency]:[Agency]]=$E542)/(TableDiv[[Agency]:[Agency]]=$E542)*(ROW(TableDiv[Agency])-ROW(TableDiv[[#Headers],[Agency]])),COLUMNS($F$7:Z$7))))</f>
        <v/>
      </c>
      <c r="AA542" s="2223" t="str" cm="1">
        <f t="array" ref="AA542">IF($D542&lt;COLUMNS($F$7:AA$7),"",INDEX(TableDiv[[GASB]:[GASB]],_xlfn.AGGREGATE(15,3,(TableDiv[[Agency]:[Agency]]=$E542)/(TableDiv[[Agency]:[Agency]]=$E542)*(ROW(TableDiv[Agency])-ROW(TableDiv[[#Headers],[Agency]])),COLUMNS($F$7:AA$7))))</f>
        <v/>
      </c>
      <c r="AB542" s="2223" t="str" cm="1">
        <f t="array" ref="AB542">IF($D542&lt;COLUMNS($F$7:AB$7),"",INDEX(TableDiv[[GASB]:[GASB]],_xlfn.AGGREGATE(15,3,(TableDiv[[Agency]:[Agency]]=$E542)/(TableDiv[[Agency]:[Agency]]=$E542)*(ROW(TableDiv[Agency])-ROW(TableDiv[[#Headers],[Agency]])),COLUMNS($F$7:AB$7))))</f>
        <v/>
      </c>
      <c r="AC542" s="2223" t="str" cm="1">
        <f t="array" ref="AC542">IF($D542&lt;COLUMNS($F$7:AC$7),"",INDEX(TableDiv[[GASB]:[GASB]],_xlfn.AGGREGATE(15,3,(TableDiv[[Agency]:[Agency]]=$E542)/(TableDiv[[Agency]:[Agency]]=$E542)*(ROW(TableDiv[Agency])-ROW(TableDiv[[#Headers],[Agency]])),COLUMNS($F$7:AC$7))))</f>
        <v/>
      </c>
      <c r="AD542" s="2223" t="str" cm="1">
        <f t="array" ref="AD542">IF($D542&lt;COLUMNS($F$7:AD$7),"",INDEX(TableDiv[[GASB]:[GASB]],_xlfn.AGGREGATE(15,3,(TableDiv[[Agency]:[Agency]]=$E542)/(TableDiv[[Agency]:[Agency]]=$E542)*(ROW(TableDiv[Agency])-ROW(TableDiv[[#Headers],[Agency]])),COLUMNS($F$7:AD$7))))</f>
        <v/>
      </c>
      <c r="AE542" s="2223" t="str" cm="1">
        <f t="array" ref="AE542">IF($D542&lt;COLUMNS($F$7:AE$7),"",INDEX(TableDiv[[GASB]:[GASB]],_xlfn.AGGREGATE(15,3,(TableDiv[[Agency]:[Agency]]=$E542)/(TableDiv[[Agency]:[Agency]]=$E542)*(ROW(TableDiv[Agency])-ROW(TableDiv[[#Headers],[Agency]])),COLUMNS($F$7:AE$7))))</f>
        <v/>
      </c>
      <c r="AF542" s="2223" t="str" cm="1">
        <f t="array" ref="AF542">IF($D542&lt;COLUMNS($F$7:AF$7),"",INDEX(TableDiv[[GASB]:[GASB]],_xlfn.AGGREGATE(15,3,(TableDiv[[Agency]:[Agency]]=$E542)/(TableDiv[[Agency]:[Agency]]=$E542)*(ROW(TableDiv[Agency])-ROW(TableDiv[[#Headers],[Agency]])),COLUMNS($F$7:AF$7))))</f>
        <v/>
      </c>
      <c r="AG542" s="2223" t="str" cm="1">
        <f t="array" ref="AG542">IF($D542&lt;COLUMNS($F$7:AG$7),"",INDEX(TableDiv[[GASB]:[GASB]],_xlfn.AGGREGATE(15,3,(TableDiv[[Agency]:[Agency]]=$E542)/(TableDiv[[Agency]:[Agency]]=$E542)*(ROW(TableDiv[Agency])-ROW(TableDiv[[#Headers],[Agency]])),COLUMNS($F$7:AG$7))))</f>
        <v/>
      </c>
      <c r="AH542" s="2223" t="str" cm="1">
        <f t="array" ref="AH542">IF($D542&lt;COLUMNS($F$7:AH$7),"",INDEX(TableDiv[[GASB]:[GASB]],_xlfn.AGGREGATE(15,3,(TableDiv[[Agency]:[Agency]]=$E542)/(TableDiv[[Agency]:[Agency]]=$E542)*(ROW(TableDiv[Agency])-ROW(TableDiv[[#Headers],[Agency]])),COLUMNS($F$7:AH$7))))</f>
        <v/>
      </c>
      <c r="AI542" s="2223" t="str" cm="1">
        <f t="array" ref="AI542">IF($D542&lt;COLUMNS($F$7:AI$7),"",INDEX(TableDiv[[GASB]:[GASB]],_xlfn.AGGREGATE(15,3,(TableDiv[[Agency]:[Agency]]=$E542)/(TableDiv[[Agency]:[Agency]]=$E542)*(ROW(TableDiv[Agency])-ROW(TableDiv[[#Headers],[Agency]])),COLUMNS($F$7:AI$7))))</f>
        <v/>
      </c>
      <c r="AJ542" s="2223" t="str" cm="1">
        <f t="array" ref="AJ542">IF($D542&lt;COLUMNS($F$7:AJ$7),"",INDEX(TableDiv[[GASB]:[GASB]],_xlfn.AGGREGATE(15,3,(TableDiv[[Agency]:[Agency]]=$E542)/(TableDiv[[Agency]:[Agency]]=$E542)*(ROW(TableDiv[Agency])-ROW(TableDiv[[#Headers],[Agency]])),COLUMNS($F$7:AJ$7))))</f>
        <v/>
      </c>
      <c r="AK542" s="2223" t="str" cm="1">
        <f t="array" ref="AK542">IF($D542&lt;COLUMNS($F$7:AK$7),"",INDEX(TableDiv[[GASB]:[GASB]],_xlfn.AGGREGATE(15,3,(TableDiv[[Agency]:[Agency]]=$E542)/(TableDiv[[Agency]:[Agency]]=$E542)*(ROW(TableDiv[Agency])-ROW(TableDiv[[#Headers],[Agency]])),COLUMNS($F$7:AK$7))))</f>
        <v/>
      </c>
      <c r="AL542" s="2223" t="str" cm="1">
        <f t="array" ref="AL542">IF($D542&lt;COLUMNS($F$7:AL$7),"",INDEX(TableDiv[[GASB]:[GASB]],_xlfn.AGGREGATE(15,3,(TableDiv[[Agency]:[Agency]]=$E542)/(TableDiv[[Agency]:[Agency]]=$E542)*(ROW(TableDiv[Agency])-ROW(TableDiv[[#Headers],[Agency]])),COLUMNS($F$7:AL$7))))</f>
        <v/>
      </c>
      <c r="AM542" s="2223" t="str" cm="1">
        <f t="array" ref="AM542">IF($D542&lt;COLUMNS($F$7:AM$7),"",INDEX(TableDiv[[GASB]:[GASB]],_xlfn.AGGREGATE(15,3,(TableDiv[[Agency]:[Agency]]=$E542)/(TableDiv[[Agency]:[Agency]]=$E542)*(ROW(TableDiv[Agency])-ROW(TableDiv[[#Headers],[Agency]])),COLUMNS($F$7:AM$7))))</f>
        <v/>
      </c>
      <c r="AN542" s="2223"/>
      <c r="AO542" s="2223"/>
      <c r="AP542" s="2223"/>
      <c r="AQ542" s="2223"/>
      <c r="AR542" s="2223"/>
      <c r="AS542" s="2223"/>
    </row>
    <row r="543" spans="1:45" x14ac:dyDescent="0.2">
      <c r="A543" s="2223"/>
      <c r="B543" s="2223"/>
      <c r="C543" s="2223"/>
      <c r="W543" s="2223" t="str" cm="1">
        <f t="array" ref="W543">IF($D543&lt;COLUMNS($F$7:W$7),"",INDEX(TableDiv[[GASB]:[GASB]],_xlfn.AGGREGATE(15,3,(TableDiv[[Agency]:[Agency]]=$E543)/(TableDiv[[Agency]:[Agency]]=$E543)*(ROW(TableDiv[Agency])-ROW(TableDiv[[#Headers],[Agency]])),COLUMNS($F$7:W$7))))</f>
        <v/>
      </c>
      <c r="X543" s="2223" t="str" cm="1">
        <f t="array" ref="X543">IF($D543&lt;COLUMNS($F$7:X$7),"",INDEX(TableDiv[[GASB]:[GASB]],_xlfn.AGGREGATE(15,3,(TableDiv[[Agency]:[Agency]]=$E543)/(TableDiv[[Agency]:[Agency]]=$E543)*(ROW(TableDiv[Agency])-ROW(TableDiv[[#Headers],[Agency]])),COLUMNS($F$7:X$7))))</f>
        <v/>
      </c>
      <c r="Y543" s="2223" t="str" cm="1">
        <f t="array" ref="Y543">IF($D543&lt;COLUMNS($F$7:Y$7),"",INDEX(TableDiv[[GASB]:[GASB]],_xlfn.AGGREGATE(15,3,(TableDiv[[Agency]:[Agency]]=$E543)/(TableDiv[[Agency]:[Agency]]=$E543)*(ROW(TableDiv[Agency])-ROW(TableDiv[[#Headers],[Agency]])),COLUMNS($F$7:Y$7))))</f>
        <v/>
      </c>
      <c r="Z543" s="2223" t="str" cm="1">
        <f t="array" ref="Z543">IF($D543&lt;COLUMNS($F$7:Z$7),"",INDEX(TableDiv[[GASB]:[GASB]],_xlfn.AGGREGATE(15,3,(TableDiv[[Agency]:[Agency]]=$E543)/(TableDiv[[Agency]:[Agency]]=$E543)*(ROW(TableDiv[Agency])-ROW(TableDiv[[#Headers],[Agency]])),COLUMNS($F$7:Z$7))))</f>
        <v/>
      </c>
      <c r="AA543" s="2223" t="str" cm="1">
        <f t="array" ref="AA543">IF($D543&lt;COLUMNS($F$7:AA$7),"",INDEX(TableDiv[[GASB]:[GASB]],_xlfn.AGGREGATE(15,3,(TableDiv[[Agency]:[Agency]]=$E543)/(TableDiv[[Agency]:[Agency]]=$E543)*(ROW(TableDiv[Agency])-ROW(TableDiv[[#Headers],[Agency]])),COLUMNS($F$7:AA$7))))</f>
        <v/>
      </c>
      <c r="AB543" s="2223" t="str" cm="1">
        <f t="array" ref="AB543">IF($D543&lt;COLUMNS($F$7:AB$7),"",INDEX(TableDiv[[GASB]:[GASB]],_xlfn.AGGREGATE(15,3,(TableDiv[[Agency]:[Agency]]=$E543)/(TableDiv[[Agency]:[Agency]]=$E543)*(ROW(TableDiv[Agency])-ROW(TableDiv[[#Headers],[Agency]])),COLUMNS($F$7:AB$7))))</f>
        <v/>
      </c>
      <c r="AC543" s="2223" t="str" cm="1">
        <f t="array" ref="AC543">IF($D543&lt;COLUMNS($F$7:AC$7),"",INDEX(TableDiv[[GASB]:[GASB]],_xlfn.AGGREGATE(15,3,(TableDiv[[Agency]:[Agency]]=$E543)/(TableDiv[[Agency]:[Agency]]=$E543)*(ROW(TableDiv[Agency])-ROW(TableDiv[[#Headers],[Agency]])),COLUMNS($F$7:AC$7))))</f>
        <v/>
      </c>
      <c r="AD543" s="2223" t="str" cm="1">
        <f t="array" ref="AD543">IF($D543&lt;COLUMNS($F$7:AD$7),"",INDEX(TableDiv[[GASB]:[GASB]],_xlfn.AGGREGATE(15,3,(TableDiv[[Agency]:[Agency]]=$E543)/(TableDiv[[Agency]:[Agency]]=$E543)*(ROW(TableDiv[Agency])-ROW(TableDiv[[#Headers],[Agency]])),COLUMNS($F$7:AD$7))))</f>
        <v/>
      </c>
      <c r="AE543" s="2223" t="str" cm="1">
        <f t="array" ref="AE543">IF($D543&lt;COLUMNS($F$7:AE$7),"",INDEX(TableDiv[[GASB]:[GASB]],_xlfn.AGGREGATE(15,3,(TableDiv[[Agency]:[Agency]]=$E543)/(TableDiv[[Agency]:[Agency]]=$E543)*(ROW(TableDiv[Agency])-ROW(TableDiv[[#Headers],[Agency]])),COLUMNS($F$7:AE$7))))</f>
        <v/>
      </c>
      <c r="AF543" s="2223" t="str" cm="1">
        <f t="array" ref="AF543">IF($D543&lt;COLUMNS($F$7:AF$7),"",INDEX(TableDiv[[GASB]:[GASB]],_xlfn.AGGREGATE(15,3,(TableDiv[[Agency]:[Agency]]=$E543)/(TableDiv[[Agency]:[Agency]]=$E543)*(ROW(TableDiv[Agency])-ROW(TableDiv[[#Headers],[Agency]])),COLUMNS($F$7:AF$7))))</f>
        <v/>
      </c>
      <c r="AG543" s="2223" t="str" cm="1">
        <f t="array" ref="AG543">IF($D543&lt;COLUMNS($F$7:AG$7),"",INDEX(TableDiv[[GASB]:[GASB]],_xlfn.AGGREGATE(15,3,(TableDiv[[Agency]:[Agency]]=$E543)/(TableDiv[[Agency]:[Agency]]=$E543)*(ROW(TableDiv[Agency])-ROW(TableDiv[[#Headers],[Agency]])),COLUMNS($F$7:AG$7))))</f>
        <v/>
      </c>
      <c r="AH543" s="2223" t="str" cm="1">
        <f t="array" ref="AH543">IF($D543&lt;COLUMNS($F$7:AH$7),"",INDEX(TableDiv[[GASB]:[GASB]],_xlfn.AGGREGATE(15,3,(TableDiv[[Agency]:[Agency]]=$E543)/(TableDiv[[Agency]:[Agency]]=$E543)*(ROW(TableDiv[Agency])-ROW(TableDiv[[#Headers],[Agency]])),COLUMNS($F$7:AH$7))))</f>
        <v/>
      </c>
      <c r="AI543" s="2223" t="str" cm="1">
        <f t="array" ref="AI543">IF($D543&lt;COLUMNS($F$7:AI$7),"",INDEX(TableDiv[[GASB]:[GASB]],_xlfn.AGGREGATE(15,3,(TableDiv[[Agency]:[Agency]]=$E543)/(TableDiv[[Agency]:[Agency]]=$E543)*(ROW(TableDiv[Agency])-ROW(TableDiv[[#Headers],[Agency]])),COLUMNS($F$7:AI$7))))</f>
        <v/>
      </c>
      <c r="AJ543" s="2223" t="str" cm="1">
        <f t="array" ref="AJ543">IF($D543&lt;COLUMNS($F$7:AJ$7),"",INDEX(TableDiv[[GASB]:[GASB]],_xlfn.AGGREGATE(15,3,(TableDiv[[Agency]:[Agency]]=$E543)/(TableDiv[[Agency]:[Agency]]=$E543)*(ROW(TableDiv[Agency])-ROW(TableDiv[[#Headers],[Agency]])),COLUMNS($F$7:AJ$7))))</f>
        <v/>
      </c>
      <c r="AK543" s="2223" t="str" cm="1">
        <f t="array" ref="AK543">IF($D543&lt;COLUMNS($F$7:AK$7),"",INDEX(TableDiv[[GASB]:[GASB]],_xlfn.AGGREGATE(15,3,(TableDiv[[Agency]:[Agency]]=$E543)/(TableDiv[[Agency]:[Agency]]=$E543)*(ROW(TableDiv[Agency])-ROW(TableDiv[[#Headers],[Agency]])),COLUMNS($F$7:AK$7))))</f>
        <v/>
      </c>
      <c r="AL543" s="2223" t="str" cm="1">
        <f t="array" ref="AL543">IF($D543&lt;COLUMNS($F$7:AL$7),"",INDEX(TableDiv[[GASB]:[GASB]],_xlfn.AGGREGATE(15,3,(TableDiv[[Agency]:[Agency]]=$E543)/(TableDiv[[Agency]:[Agency]]=$E543)*(ROW(TableDiv[Agency])-ROW(TableDiv[[#Headers],[Agency]])),COLUMNS($F$7:AL$7))))</f>
        <v/>
      </c>
      <c r="AM543" s="2223" t="str" cm="1">
        <f t="array" ref="AM543">IF($D543&lt;COLUMNS($F$7:AM$7),"",INDEX(TableDiv[[GASB]:[GASB]],_xlfn.AGGREGATE(15,3,(TableDiv[[Agency]:[Agency]]=$E543)/(TableDiv[[Agency]:[Agency]]=$E543)*(ROW(TableDiv[Agency])-ROW(TableDiv[[#Headers],[Agency]])),COLUMNS($F$7:AM$7))))</f>
        <v/>
      </c>
      <c r="AN543" s="2223"/>
      <c r="AO543" s="2223"/>
      <c r="AP543" s="2223"/>
      <c r="AQ543" s="2223"/>
      <c r="AR543" s="2223"/>
      <c r="AS543" s="2223"/>
    </row>
    <row r="544" spans="1:45" x14ac:dyDescent="0.2">
      <c r="A544" s="2223"/>
      <c r="B544" s="2223"/>
      <c r="C544" s="2223"/>
      <c r="W544" s="2223" t="str" cm="1">
        <f t="array" ref="W544">IF($D544&lt;COLUMNS($F$7:W$7),"",INDEX(TableDiv[[GASB]:[GASB]],_xlfn.AGGREGATE(15,3,(TableDiv[[Agency]:[Agency]]=$E544)/(TableDiv[[Agency]:[Agency]]=$E544)*(ROW(TableDiv[Agency])-ROW(TableDiv[[#Headers],[Agency]])),COLUMNS($F$7:W$7))))</f>
        <v/>
      </c>
      <c r="X544" s="2223" t="str" cm="1">
        <f t="array" ref="X544">IF($D544&lt;COLUMNS($F$7:X$7),"",INDEX(TableDiv[[GASB]:[GASB]],_xlfn.AGGREGATE(15,3,(TableDiv[[Agency]:[Agency]]=$E544)/(TableDiv[[Agency]:[Agency]]=$E544)*(ROW(TableDiv[Agency])-ROW(TableDiv[[#Headers],[Agency]])),COLUMNS($F$7:X$7))))</f>
        <v/>
      </c>
      <c r="Y544" s="2223" t="str" cm="1">
        <f t="array" ref="Y544">IF($D544&lt;COLUMNS($F$7:Y$7),"",INDEX(TableDiv[[GASB]:[GASB]],_xlfn.AGGREGATE(15,3,(TableDiv[[Agency]:[Agency]]=$E544)/(TableDiv[[Agency]:[Agency]]=$E544)*(ROW(TableDiv[Agency])-ROW(TableDiv[[#Headers],[Agency]])),COLUMNS($F$7:Y$7))))</f>
        <v/>
      </c>
      <c r="Z544" s="2223" t="str" cm="1">
        <f t="array" ref="Z544">IF($D544&lt;COLUMNS($F$7:Z$7),"",INDEX(TableDiv[[GASB]:[GASB]],_xlfn.AGGREGATE(15,3,(TableDiv[[Agency]:[Agency]]=$E544)/(TableDiv[[Agency]:[Agency]]=$E544)*(ROW(TableDiv[Agency])-ROW(TableDiv[[#Headers],[Agency]])),COLUMNS($F$7:Z$7))))</f>
        <v/>
      </c>
      <c r="AA544" s="2223" t="str" cm="1">
        <f t="array" ref="AA544">IF($D544&lt;COLUMNS($F$7:AA$7),"",INDEX(TableDiv[[GASB]:[GASB]],_xlfn.AGGREGATE(15,3,(TableDiv[[Agency]:[Agency]]=$E544)/(TableDiv[[Agency]:[Agency]]=$E544)*(ROW(TableDiv[Agency])-ROW(TableDiv[[#Headers],[Agency]])),COLUMNS($F$7:AA$7))))</f>
        <v/>
      </c>
      <c r="AB544" s="2223" t="str" cm="1">
        <f t="array" ref="AB544">IF($D544&lt;COLUMNS($F$7:AB$7),"",INDEX(TableDiv[[GASB]:[GASB]],_xlfn.AGGREGATE(15,3,(TableDiv[[Agency]:[Agency]]=$E544)/(TableDiv[[Agency]:[Agency]]=$E544)*(ROW(TableDiv[Agency])-ROW(TableDiv[[#Headers],[Agency]])),COLUMNS($F$7:AB$7))))</f>
        <v/>
      </c>
      <c r="AC544" s="2223" t="str" cm="1">
        <f t="array" ref="AC544">IF($D544&lt;COLUMNS($F$7:AC$7),"",INDEX(TableDiv[[GASB]:[GASB]],_xlfn.AGGREGATE(15,3,(TableDiv[[Agency]:[Agency]]=$E544)/(TableDiv[[Agency]:[Agency]]=$E544)*(ROW(TableDiv[Agency])-ROW(TableDiv[[#Headers],[Agency]])),COLUMNS($F$7:AC$7))))</f>
        <v/>
      </c>
      <c r="AD544" s="2223" t="str" cm="1">
        <f t="array" ref="AD544">IF($D544&lt;COLUMNS($F$7:AD$7),"",INDEX(TableDiv[[GASB]:[GASB]],_xlfn.AGGREGATE(15,3,(TableDiv[[Agency]:[Agency]]=$E544)/(TableDiv[[Agency]:[Agency]]=$E544)*(ROW(TableDiv[Agency])-ROW(TableDiv[[#Headers],[Agency]])),COLUMNS($F$7:AD$7))))</f>
        <v/>
      </c>
      <c r="AE544" s="2223" t="str" cm="1">
        <f t="array" ref="AE544">IF($D544&lt;COLUMNS($F$7:AE$7),"",INDEX(TableDiv[[GASB]:[GASB]],_xlfn.AGGREGATE(15,3,(TableDiv[[Agency]:[Agency]]=$E544)/(TableDiv[[Agency]:[Agency]]=$E544)*(ROW(TableDiv[Agency])-ROW(TableDiv[[#Headers],[Agency]])),COLUMNS($F$7:AE$7))))</f>
        <v/>
      </c>
      <c r="AF544" s="2223" t="str" cm="1">
        <f t="array" ref="AF544">IF($D544&lt;COLUMNS($F$7:AF$7),"",INDEX(TableDiv[[GASB]:[GASB]],_xlfn.AGGREGATE(15,3,(TableDiv[[Agency]:[Agency]]=$E544)/(TableDiv[[Agency]:[Agency]]=$E544)*(ROW(TableDiv[Agency])-ROW(TableDiv[[#Headers],[Agency]])),COLUMNS($F$7:AF$7))))</f>
        <v/>
      </c>
      <c r="AG544" s="2223" t="str" cm="1">
        <f t="array" ref="AG544">IF($D544&lt;COLUMNS($F$7:AG$7),"",INDEX(TableDiv[[GASB]:[GASB]],_xlfn.AGGREGATE(15,3,(TableDiv[[Agency]:[Agency]]=$E544)/(TableDiv[[Agency]:[Agency]]=$E544)*(ROW(TableDiv[Agency])-ROW(TableDiv[[#Headers],[Agency]])),COLUMNS($F$7:AG$7))))</f>
        <v/>
      </c>
      <c r="AH544" s="2223" t="str" cm="1">
        <f t="array" ref="AH544">IF($D544&lt;COLUMNS($F$7:AH$7),"",INDEX(TableDiv[[GASB]:[GASB]],_xlfn.AGGREGATE(15,3,(TableDiv[[Agency]:[Agency]]=$E544)/(TableDiv[[Agency]:[Agency]]=$E544)*(ROW(TableDiv[Agency])-ROW(TableDiv[[#Headers],[Agency]])),COLUMNS($F$7:AH$7))))</f>
        <v/>
      </c>
      <c r="AI544" s="2223" t="str" cm="1">
        <f t="array" ref="AI544">IF($D544&lt;COLUMNS($F$7:AI$7),"",INDEX(TableDiv[[GASB]:[GASB]],_xlfn.AGGREGATE(15,3,(TableDiv[[Agency]:[Agency]]=$E544)/(TableDiv[[Agency]:[Agency]]=$E544)*(ROW(TableDiv[Agency])-ROW(TableDiv[[#Headers],[Agency]])),COLUMNS($F$7:AI$7))))</f>
        <v/>
      </c>
      <c r="AJ544" s="2223" t="str" cm="1">
        <f t="array" ref="AJ544">IF($D544&lt;COLUMNS($F$7:AJ$7),"",INDEX(TableDiv[[GASB]:[GASB]],_xlfn.AGGREGATE(15,3,(TableDiv[[Agency]:[Agency]]=$E544)/(TableDiv[[Agency]:[Agency]]=$E544)*(ROW(TableDiv[Agency])-ROW(TableDiv[[#Headers],[Agency]])),COLUMNS($F$7:AJ$7))))</f>
        <v/>
      </c>
      <c r="AK544" s="2223" t="str" cm="1">
        <f t="array" ref="AK544">IF($D544&lt;COLUMNS($F$7:AK$7),"",INDEX(TableDiv[[GASB]:[GASB]],_xlfn.AGGREGATE(15,3,(TableDiv[[Agency]:[Agency]]=$E544)/(TableDiv[[Agency]:[Agency]]=$E544)*(ROW(TableDiv[Agency])-ROW(TableDiv[[#Headers],[Agency]])),COLUMNS($F$7:AK$7))))</f>
        <v/>
      </c>
      <c r="AL544" s="2223" t="str" cm="1">
        <f t="array" ref="AL544">IF($D544&lt;COLUMNS($F$7:AL$7),"",INDEX(TableDiv[[GASB]:[GASB]],_xlfn.AGGREGATE(15,3,(TableDiv[[Agency]:[Agency]]=$E544)/(TableDiv[[Agency]:[Agency]]=$E544)*(ROW(TableDiv[Agency])-ROW(TableDiv[[#Headers],[Agency]])),COLUMNS($F$7:AL$7))))</f>
        <v/>
      </c>
      <c r="AM544" s="2223" t="str" cm="1">
        <f t="array" ref="AM544">IF($D544&lt;COLUMNS($F$7:AM$7),"",INDEX(TableDiv[[GASB]:[GASB]],_xlfn.AGGREGATE(15,3,(TableDiv[[Agency]:[Agency]]=$E544)/(TableDiv[[Agency]:[Agency]]=$E544)*(ROW(TableDiv[Agency])-ROW(TableDiv[[#Headers],[Agency]])),COLUMNS($F$7:AM$7))))</f>
        <v/>
      </c>
      <c r="AN544" s="2223"/>
      <c r="AO544" s="2223"/>
      <c r="AP544" s="2223"/>
      <c r="AQ544" s="2223"/>
      <c r="AR544" s="2223"/>
      <c r="AS544" s="2223"/>
    </row>
    <row r="545" spans="1:45" x14ac:dyDescent="0.2">
      <c r="A545" s="2223"/>
      <c r="B545" s="2223"/>
      <c r="C545" s="2223"/>
      <c r="W545" s="2223" t="str" cm="1">
        <f t="array" ref="W545">IF($D545&lt;COLUMNS($F$7:W$7),"",INDEX(TableDiv[[GASB]:[GASB]],_xlfn.AGGREGATE(15,3,(TableDiv[[Agency]:[Agency]]=$E545)/(TableDiv[[Agency]:[Agency]]=$E545)*(ROW(TableDiv[Agency])-ROW(TableDiv[[#Headers],[Agency]])),COLUMNS($F$7:W$7))))</f>
        <v/>
      </c>
      <c r="X545" s="2223" t="str" cm="1">
        <f t="array" ref="X545">IF($D545&lt;COLUMNS($F$7:X$7),"",INDEX(TableDiv[[GASB]:[GASB]],_xlfn.AGGREGATE(15,3,(TableDiv[[Agency]:[Agency]]=$E545)/(TableDiv[[Agency]:[Agency]]=$E545)*(ROW(TableDiv[Agency])-ROW(TableDiv[[#Headers],[Agency]])),COLUMNS($F$7:X$7))))</f>
        <v/>
      </c>
      <c r="Y545" s="2223" t="str" cm="1">
        <f t="array" ref="Y545">IF($D545&lt;COLUMNS($F$7:Y$7),"",INDEX(TableDiv[[GASB]:[GASB]],_xlfn.AGGREGATE(15,3,(TableDiv[[Agency]:[Agency]]=$E545)/(TableDiv[[Agency]:[Agency]]=$E545)*(ROW(TableDiv[Agency])-ROW(TableDiv[[#Headers],[Agency]])),COLUMNS($F$7:Y$7))))</f>
        <v/>
      </c>
      <c r="Z545" s="2223" t="str" cm="1">
        <f t="array" ref="Z545">IF($D545&lt;COLUMNS($F$7:Z$7),"",INDEX(TableDiv[[GASB]:[GASB]],_xlfn.AGGREGATE(15,3,(TableDiv[[Agency]:[Agency]]=$E545)/(TableDiv[[Agency]:[Agency]]=$E545)*(ROW(TableDiv[Agency])-ROW(TableDiv[[#Headers],[Agency]])),COLUMNS($F$7:Z$7))))</f>
        <v/>
      </c>
      <c r="AA545" s="2223" t="str" cm="1">
        <f t="array" ref="AA545">IF($D545&lt;COLUMNS($F$7:AA$7),"",INDEX(TableDiv[[GASB]:[GASB]],_xlfn.AGGREGATE(15,3,(TableDiv[[Agency]:[Agency]]=$E545)/(TableDiv[[Agency]:[Agency]]=$E545)*(ROW(TableDiv[Agency])-ROW(TableDiv[[#Headers],[Agency]])),COLUMNS($F$7:AA$7))))</f>
        <v/>
      </c>
      <c r="AB545" s="2223" t="str" cm="1">
        <f t="array" ref="AB545">IF($D545&lt;COLUMNS($F$7:AB$7),"",INDEX(TableDiv[[GASB]:[GASB]],_xlfn.AGGREGATE(15,3,(TableDiv[[Agency]:[Agency]]=$E545)/(TableDiv[[Agency]:[Agency]]=$E545)*(ROW(TableDiv[Agency])-ROW(TableDiv[[#Headers],[Agency]])),COLUMNS($F$7:AB$7))))</f>
        <v/>
      </c>
      <c r="AC545" s="2223" t="str" cm="1">
        <f t="array" ref="AC545">IF($D545&lt;COLUMNS($F$7:AC$7),"",INDEX(TableDiv[[GASB]:[GASB]],_xlfn.AGGREGATE(15,3,(TableDiv[[Agency]:[Agency]]=$E545)/(TableDiv[[Agency]:[Agency]]=$E545)*(ROW(TableDiv[Agency])-ROW(TableDiv[[#Headers],[Agency]])),COLUMNS($F$7:AC$7))))</f>
        <v/>
      </c>
      <c r="AD545" s="2223" t="str" cm="1">
        <f t="array" ref="AD545">IF($D545&lt;COLUMNS($F$7:AD$7),"",INDEX(TableDiv[[GASB]:[GASB]],_xlfn.AGGREGATE(15,3,(TableDiv[[Agency]:[Agency]]=$E545)/(TableDiv[[Agency]:[Agency]]=$E545)*(ROW(TableDiv[Agency])-ROW(TableDiv[[#Headers],[Agency]])),COLUMNS($F$7:AD$7))))</f>
        <v/>
      </c>
      <c r="AE545" s="2223" t="str" cm="1">
        <f t="array" ref="AE545">IF($D545&lt;COLUMNS($F$7:AE$7),"",INDEX(TableDiv[[GASB]:[GASB]],_xlfn.AGGREGATE(15,3,(TableDiv[[Agency]:[Agency]]=$E545)/(TableDiv[[Agency]:[Agency]]=$E545)*(ROW(TableDiv[Agency])-ROW(TableDiv[[#Headers],[Agency]])),COLUMNS($F$7:AE$7))))</f>
        <v/>
      </c>
      <c r="AF545" s="2223" t="str" cm="1">
        <f t="array" ref="AF545">IF($D545&lt;COLUMNS($F$7:AF$7),"",INDEX(TableDiv[[GASB]:[GASB]],_xlfn.AGGREGATE(15,3,(TableDiv[[Agency]:[Agency]]=$E545)/(TableDiv[[Agency]:[Agency]]=$E545)*(ROW(TableDiv[Agency])-ROW(TableDiv[[#Headers],[Agency]])),COLUMNS($F$7:AF$7))))</f>
        <v/>
      </c>
      <c r="AG545" s="2223" t="str" cm="1">
        <f t="array" ref="AG545">IF($D545&lt;COLUMNS($F$7:AG$7),"",INDEX(TableDiv[[GASB]:[GASB]],_xlfn.AGGREGATE(15,3,(TableDiv[[Agency]:[Agency]]=$E545)/(TableDiv[[Agency]:[Agency]]=$E545)*(ROW(TableDiv[Agency])-ROW(TableDiv[[#Headers],[Agency]])),COLUMNS($F$7:AG$7))))</f>
        <v/>
      </c>
      <c r="AH545" s="2223" t="str" cm="1">
        <f t="array" ref="AH545">IF($D545&lt;COLUMNS($F$7:AH$7),"",INDEX(TableDiv[[GASB]:[GASB]],_xlfn.AGGREGATE(15,3,(TableDiv[[Agency]:[Agency]]=$E545)/(TableDiv[[Agency]:[Agency]]=$E545)*(ROW(TableDiv[Agency])-ROW(TableDiv[[#Headers],[Agency]])),COLUMNS($F$7:AH$7))))</f>
        <v/>
      </c>
      <c r="AI545" s="2223" t="str" cm="1">
        <f t="array" ref="AI545">IF($D545&lt;COLUMNS($F$7:AI$7),"",INDEX(TableDiv[[GASB]:[GASB]],_xlfn.AGGREGATE(15,3,(TableDiv[[Agency]:[Agency]]=$E545)/(TableDiv[[Agency]:[Agency]]=$E545)*(ROW(TableDiv[Agency])-ROW(TableDiv[[#Headers],[Agency]])),COLUMNS($F$7:AI$7))))</f>
        <v/>
      </c>
      <c r="AJ545" s="2223" t="str" cm="1">
        <f t="array" ref="AJ545">IF($D545&lt;COLUMNS($F$7:AJ$7),"",INDEX(TableDiv[[GASB]:[GASB]],_xlfn.AGGREGATE(15,3,(TableDiv[[Agency]:[Agency]]=$E545)/(TableDiv[[Agency]:[Agency]]=$E545)*(ROW(TableDiv[Agency])-ROW(TableDiv[[#Headers],[Agency]])),COLUMNS($F$7:AJ$7))))</f>
        <v/>
      </c>
      <c r="AK545" s="2223" t="str" cm="1">
        <f t="array" ref="AK545">IF($D545&lt;COLUMNS($F$7:AK$7),"",INDEX(TableDiv[[GASB]:[GASB]],_xlfn.AGGREGATE(15,3,(TableDiv[[Agency]:[Agency]]=$E545)/(TableDiv[[Agency]:[Agency]]=$E545)*(ROW(TableDiv[Agency])-ROW(TableDiv[[#Headers],[Agency]])),COLUMNS($F$7:AK$7))))</f>
        <v/>
      </c>
      <c r="AL545" s="2223" t="str" cm="1">
        <f t="array" ref="AL545">IF($D545&lt;COLUMNS($F$7:AL$7),"",INDEX(TableDiv[[GASB]:[GASB]],_xlfn.AGGREGATE(15,3,(TableDiv[[Agency]:[Agency]]=$E545)/(TableDiv[[Agency]:[Agency]]=$E545)*(ROW(TableDiv[Agency])-ROW(TableDiv[[#Headers],[Agency]])),COLUMNS($F$7:AL$7))))</f>
        <v/>
      </c>
      <c r="AM545" s="2223" t="str" cm="1">
        <f t="array" ref="AM545">IF($D545&lt;COLUMNS($F$7:AM$7),"",INDEX(TableDiv[[GASB]:[GASB]],_xlfn.AGGREGATE(15,3,(TableDiv[[Agency]:[Agency]]=$E545)/(TableDiv[[Agency]:[Agency]]=$E545)*(ROW(TableDiv[Agency])-ROW(TableDiv[[#Headers],[Agency]])),COLUMNS($F$7:AM$7))))</f>
        <v/>
      </c>
      <c r="AN545" s="2223"/>
      <c r="AO545" s="2223"/>
      <c r="AP545" s="2223"/>
      <c r="AQ545" s="2223"/>
      <c r="AR545" s="2223"/>
      <c r="AS545" s="2223"/>
    </row>
    <row r="546" spans="1:45" x14ac:dyDescent="0.2">
      <c r="A546" s="2223"/>
      <c r="B546" s="2223"/>
      <c r="C546" s="2223"/>
      <c r="W546" s="2223" t="str" cm="1">
        <f t="array" ref="W546">IF($D546&lt;COLUMNS($F$7:W$7),"",INDEX(TableDiv[[GASB]:[GASB]],_xlfn.AGGREGATE(15,3,(TableDiv[[Agency]:[Agency]]=$E546)/(TableDiv[[Agency]:[Agency]]=$E546)*(ROW(TableDiv[Agency])-ROW(TableDiv[[#Headers],[Agency]])),COLUMNS($F$7:W$7))))</f>
        <v/>
      </c>
      <c r="X546" s="2223" t="str" cm="1">
        <f t="array" ref="X546">IF($D546&lt;COLUMNS($F$7:X$7),"",INDEX(TableDiv[[GASB]:[GASB]],_xlfn.AGGREGATE(15,3,(TableDiv[[Agency]:[Agency]]=$E546)/(TableDiv[[Agency]:[Agency]]=$E546)*(ROW(TableDiv[Agency])-ROW(TableDiv[[#Headers],[Agency]])),COLUMNS($F$7:X$7))))</f>
        <v/>
      </c>
      <c r="Y546" s="2223" t="str" cm="1">
        <f t="array" ref="Y546">IF($D546&lt;COLUMNS($F$7:Y$7),"",INDEX(TableDiv[[GASB]:[GASB]],_xlfn.AGGREGATE(15,3,(TableDiv[[Agency]:[Agency]]=$E546)/(TableDiv[[Agency]:[Agency]]=$E546)*(ROW(TableDiv[Agency])-ROW(TableDiv[[#Headers],[Agency]])),COLUMNS($F$7:Y$7))))</f>
        <v/>
      </c>
      <c r="Z546" s="2223" t="str" cm="1">
        <f t="array" ref="Z546">IF($D546&lt;COLUMNS($F$7:Z$7),"",INDEX(TableDiv[[GASB]:[GASB]],_xlfn.AGGREGATE(15,3,(TableDiv[[Agency]:[Agency]]=$E546)/(TableDiv[[Agency]:[Agency]]=$E546)*(ROW(TableDiv[Agency])-ROW(TableDiv[[#Headers],[Agency]])),COLUMNS($F$7:Z$7))))</f>
        <v/>
      </c>
      <c r="AA546" s="2223" t="str" cm="1">
        <f t="array" ref="AA546">IF($D546&lt;COLUMNS($F$7:AA$7),"",INDEX(TableDiv[[GASB]:[GASB]],_xlfn.AGGREGATE(15,3,(TableDiv[[Agency]:[Agency]]=$E546)/(TableDiv[[Agency]:[Agency]]=$E546)*(ROW(TableDiv[Agency])-ROW(TableDiv[[#Headers],[Agency]])),COLUMNS($F$7:AA$7))))</f>
        <v/>
      </c>
      <c r="AB546" s="2223" t="str" cm="1">
        <f t="array" ref="AB546">IF($D546&lt;COLUMNS($F$7:AB$7),"",INDEX(TableDiv[[GASB]:[GASB]],_xlfn.AGGREGATE(15,3,(TableDiv[[Agency]:[Agency]]=$E546)/(TableDiv[[Agency]:[Agency]]=$E546)*(ROW(TableDiv[Agency])-ROW(TableDiv[[#Headers],[Agency]])),COLUMNS($F$7:AB$7))))</f>
        <v/>
      </c>
      <c r="AC546" s="2223" t="str" cm="1">
        <f t="array" ref="AC546">IF($D546&lt;COLUMNS($F$7:AC$7),"",INDEX(TableDiv[[GASB]:[GASB]],_xlfn.AGGREGATE(15,3,(TableDiv[[Agency]:[Agency]]=$E546)/(TableDiv[[Agency]:[Agency]]=$E546)*(ROW(TableDiv[Agency])-ROW(TableDiv[[#Headers],[Agency]])),COLUMNS($F$7:AC$7))))</f>
        <v/>
      </c>
      <c r="AD546" s="2223" t="str" cm="1">
        <f t="array" ref="AD546">IF($D546&lt;COLUMNS($F$7:AD$7),"",INDEX(TableDiv[[GASB]:[GASB]],_xlfn.AGGREGATE(15,3,(TableDiv[[Agency]:[Agency]]=$E546)/(TableDiv[[Agency]:[Agency]]=$E546)*(ROW(TableDiv[Agency])-ROW(TableDiv[[#Headers],[Agency]])),COLUMNS($F$7:AD$7))))</f>
        <v/>
      </c>
      <c r="AE546" s="2223" t="str" cm="1">
        <f t="array" ref="AE546">IF($D546&lt;COLUMNS($F$7:AE$7),"",INDEX(TableDiv[[GASB]:[GASB]],_xlfn.AGGREGATE(15,3,(TableDiv[[Agency]:[Agency]]=$E546)/(TableDiv[[Agency]:[Agency]]=$E546)*(ROW(TableDiv[Agency])-ROW(TableDiv[[#Headers],[Agency]])),COLUMNS($F$7:AE$7))))</f>
        <v/>
      </c>
      <c r="AF546" s="2223" t="str" cm="1">
        <f t="array" ref="AF546">IF($D546&lt;COLUMNS($F$7:AF$7),"",INDEX(TableDiv[[GASB]:[GASB]],_xlfn.AGGREGATE(15,3,(TableDiv[[Agency]:[Agency]]=$E546)/(TableDiv[[Agency]:[Agency]]=$E546)*(ROW(TableDiv[Agency])-ROW(TableDiv[[#Headers],[Agency]])),COLUMNS($F$7:AF$7))))</f>
        <v/>
      </c>
      <c r="AG546" s="2223" t="str" cm="1">
        <f t="array" ref="AG546">IF($D546&lt;COLUMNS($F$7:AG$7),"",INDEX(TableDiv[[GASB]:[GASB]],_xlfn.AGGREGATE(15,3,(TableDiv[[Agency]:[Agency]]=$E546)/(TableDiv[[Agency]:[Agency]]=$E546)*(ROW(TableDiv[Agency])-ROW(TableDiv[[#Headers],[Agency]])),COLUMNS($F$7:AG$7))))</f>
        <v/>
      </c>
      <c r="AH546" s="2223" t="str" cm="1">
        <f t="array" ref="AH546">IF($D546&lt;COLUMNS($F$7:AH$7),"",INDEX(TableDiv[[GASB]:[GASB]],_xlfn.AGGREGATE(15,3,(TableDiv[[Agency]:[Agency]]=$E546)/(TableDiv[[Agency]:[Agency]]=$E546)*(ROW(TableDiv[Agency])-ROW(TableDiv[[#Headers],[Agency]])),COLUMNS($F$7:AH$7))))</f>
        <v/>
      </c>
      <c r="AI546" s="2223" t="str" cm="1">
        <f t="array" ref="AI546">IF($D546&lt;COLUMNS($F$7:AI$7),"",INDEX(TableDiv[[GASB]:[GASB]],_xlfn.AGGREGATE(15,3,(TableDiv[[Agency]:[Agency]]=$E546)/(TableDiv[[Agency]:[Agency]]=$E546)*(ROW(TableDiv[Agency])-ROW(TableDiv[[#Headers],[Agency]])),COLUMNS($F$7:AI$7))))</f>
        <v/>
      </c>
      <c r="AJ546" s="2223" t="str" cm="1">
        <f t="array" ref="AJ546">IF($D546&lt;COLUMNS($F$7:AJ$7),"",INDEX(TableDiv[[GASB]:[GASB]],_xlfn.AGGREGATE(15,3,(TableDiv[[Agency]:[Agency]]=$E546)/(TableDiv[[Agency]:[Agency]]=$E546)*(ROW(TableDiv[Agency])-ROW(TableDiv[[#Headers],[Agency]])),COLUMNS($F$7:AJ$7))))</f>
        <v/>
      </c>
      <c r="AK546" s="2223" t="str" cm="1">
        <f t="array" ref="AK546">IF($D546&lt;COLUMNS($F$7:AK$7),"",INDEX(TableDiv[[GASB]:[GASB]],_xlfn.AGGREGATE(15,3,(TableDiv[[Agency]:[Agency]]=$E546)/(TableDiv[[Agency]:[Agency]]=$E546)*(ROW(TableDiv[Agency])-ROW(TableDiv[[#Headers],[Agency]])),COLUMNS($F$7:AK$7))))</f>
        <v/>
      </c>
      <c r="AL546" s="2223" t="str" cm="1">
        <f t="array" ref="AL546">IF($D546&lt;COLUMNS($F$7:AL$7),"",INDEX(TableDiv[[GASB]:[GASB]],_xlfn.AGGREGATE(15,3,(TableDiv[[Agency]:[Agency]]=$E546)/(TableDiv[[Agency]:[Agency]]=$E546)*(ROW(TableDiv[Agency])-ROW(TableDiv[[#Headers],[Agency]])),COLUMNS($F$7:AL$7))))</f>
        <v/>
      </c>
      <c r="AM546" s="2223" t="str" cm="1">
        <f t="array" ref="AM546">IF($D546&lt;COLUMNS($F$7:AM$7),"",INDEX(TableDiv[[GASB]:[GASB]],_xlfn.AGGREGATE(15,3,(TableDiv[[Agency]:[Agency]]=$E546)/(TableDiv[[Agency]:[Agency]]=$E546)*(ROW(TableDiv[Agency])-ROW(TableDiv[[#Headers],[Agency]])),COLUMNS($F$7:AM$7))))</f>
        <v/>
      </c>
      <c r="AN546" s="2223"/>
      <c r="AO546" s="2223"/>
      <c r="AP546" s="2223"/>
      <c r="AQ546" s="2223"/>
      <c r="AR546" s="2223"/>
      <c r="AS546" s="2223"/>
    </row>
    <row r="547" spans="1:45" x14ac:dyDescent="0.2">
      <c r="A547" s="2223"/>
      <c r="B547" s="2223"/>
      <c r="C547" s="2223"/>
      <c r="W547" s="2223" t="str" cm="1">
        <f t="array" ref="W547">IF($D547&lt;COLUMNS($F$7:W$7),"",INDEX(TableDiv[[GASB]:[GASB]],_xlfn.AGGREGATE(15,3,(TableDiv[[Agency]:[Agency]]=$E547)/(TableDiv[[Agency]:[Agency]]=$E547)*(ROW(TableDiv[Agency])-ROW(TableDiv[[#Headers],[Agency]])),COLUMNS($F$7:W$7))))</f>
        <v/>
      </c>
      <c r="X547" s="2223" t="str" cm="1">
        <f t="array" ref="X547">IF($D547&lt;COLUMNS($F$7:X$7),"",INDEX(TableDiv[[GASB]:[GASB]],_xlfn.AGGREGATE(15,3,(TableDiv[[Agency]:[Agency]]=$E547)/(TableDiv[[Agency]:[Agency]]=$E547)*(ROW(TableDiv[Agency])-ROW(TableDiv[[#Headers],[Agency]])),COLUMNS($F$7:X$7))))</f>
        <v/>
      </c>
      <c r="Y547" s="2223" t="str" cm="1">
        <f t="array" ref="Y547">IF($D547&lt;COLUMNS($F$7:Y$7),"",INDEX(TableDiv[[GASB]:[GASB]],_xlfn.AGGREGATE(15,3,(TableDiv[[Agency]:[Agency]]=$E547)/(TableDiv[[Agency]:[Agency]]=$E547)*(ROW(TableDiv[Agency])-ROW(TableDiv[[#Headers],[Agency]])),COLUMNS($F$7:Y$7))))</f>
        <v/>
      </c>
      <c r="Z547" s="2223" t="str" cm="1">
        <f t="array" ref="Z547">IF($D547&lt;COLUMNS($F$7:Z$7),"",INDEX(TableDiv[[GASB]:[GASB]],_xlfn.AGGREGATE(15,3,(TableDiv[[Agency]:[Agency]]=$E547)/(TableDiv[[Agency]:[Agency]]=$E547)*(ROW(TableDiv[Agency])-ROW(TableDiv[[#Headers],[Agency]])),COLUMNS($F$7:Z$7))))</f>
        <v/>
      </c>
      <c r="AA547" s="2223" t="str" cm="1">
        <f t="array" ref="AA547">IF($D547&lt;COLUMNS($F$7:AA$7),"",INDEX(TableDiv[[GASB]:[GASB]],_xlfn.AGGREGATE(15,3,(TableDiv[[Agency]:[Agency]]=$E547)/(TableDiv[[Agency]:[Agency]]=$E547)*(ROW(TableDiv[Agency])-ROW(TableDiv[[#Headers],[Agency]])),COLUMNS($F$7:AA$7))))</f>
        <v/>
      </c>
      <c r="AB547" s="2223" t="str" cm="1">
        <f t="array" ref="AB547">IF($D547&lt;COLUMNS($F$7:AB$7),"",INDEX(TableDiv[[GASB]:[GASB]],_xlfn.AGGREGATE(15,3,(TableDiv[[Agency]:[Agency]]=$E547)/(TableDiv[[Agency]:[Agency]]=$E547)*(ROW(TableDiv[Agency])-ROW(TableDiv[[#Headers],[Agency]])),COLUMNS($F$7:AB$7))))</f>
        <v/>
      </c>
      <c r="AC547" s="2223" t="str" cm="1">
        <f t="array" ref="AC547">IF($D547&lt;COLUMNS($F$7:AC$7),"",INDEX(TableDiv[[GASB]:[GASB]],_xlfn.AGGREGATE(15,3,(TableDiv[[Agency]:[Agency]]=$E547)/(TableDiv[[Agency]:[Agency]]=$E547)*(ROW(TableDiv[Agency])-ROW(TableDiv[[#Headers],[Agency]])),COLUMNS($F$7:AC$7))))</f>
        <v/>
      </c>
      <c r="AD547" s="2223" t="str" cm="1">
        <f t="array" ref="AD547">IF($D547&lt;COLUMNS($F$7:AD$7),"",INDEX(TableDiv[[GASB]:[GASB]],_xlfn.AGGREGATE(15,3,(TableDiv[[Agency]:[Agency]]=$E547)/(TableDiv[[Agency]:[Agency]]=$E547)*(ROW(TableDiv[Agency])-ROW(TableDiv[[#Headers],[Agency]])),COLUMNS($F$7:AD$7))))</f>
        <v/>
      </c>
      <c r="AE547" s="2223" t="str" cm="1">
        <f t="array" ref="AE547">IF($D547&lt;COLUMNS($F$7:AE$7),"",INDEX(TableDiv[[GASB]:[GASB]],_xlfn.AGGREGATE(15,3,(TableDiv[[Agency]:[Agency]]=$E547)/(TableDiv[[Agency]:[Agency]]=$E547)*(ROW(TableDiv[Agency])-ROW(TableDiv[[#Headers],[Agency]])),COLUMNS($F$7:AE$7))))</f>
        <v/>
      </c>
      <c r="AF547" s="2223" t="str" cm="1">
        <f t="array" ref="AF547">IF($D547&lt;COLUMNS($F$7:AF$7),"",INDEX(TableDiv[[GASB]:[GASB]],_xlfn.AGGREGATE(15,3,(TableDiv[[Agency]:[Agency]]=$E547)/(TableDiv[[Agency]:[Agency]]=$E547)*(ROW(TableDiv[Agency])-ROW(TableDiv[[#Headers],[Agency]])),COLUMNS($F$7:AF$7))))</f>
        <v/>
      </c>
      <c r="AG547" s="2223" t="str" cm="1">
        <f t="array" ref="AG547">IF($D547&lt;COLUMNS($F$7:AG$7),"",INDEX(TableDiv[[GASB]:[GASB]],_xlfn.AGGREGATE(15,3,(TableDiv[[Agency]:[Agency]]=$E547)/(TableDiv[[Agency]:[Agency]]=$E547)*(ROW(TableDiv[Agency])-ROW(TableDiv[[#Headers],[Agency]])),COLUMNS($F$7:AG$7))))</f>
        <v/>
      </c>
      <c r="AH547" s="2223" t="str" cm="1">
        <f t="array" ref="AH547">IF($D547&lt;COLUMNS($F$7:AH$7),"",INDEX(TableDiv[[GASB]:[GASB]],_xlfn.AGGREGATE(15,3,(TableDiv[[Agency]:[Agency]]=$E547)/(TableDiv[[Agency]:[Agency]]=$E547)*(ROW(TableDiv[Agency])-ROW(TableDiv[[#Headers],[Agency]])),COLUMNS($F$7:AH$7))))</f>
        <v/>
      </c>
      <c r="AI547" s="2223" t="str" cm="1">
        <f t="array" ref="AI547">IF($D547&lt;COLUMNS($F$7:AI$7),"",INDEX(TableDiv[[GASB]:[GASB]],_xlfn.AGGREGATE(15,3,(TableDiv[[Agency]:[Agency]]=$E547)/(TableDiv[[Agency]:[Agency]]=$E547)*(ROW(TableDiv[Agency])-ROW(TableDiv[[#Headers],[Agency]])),COLUMNS($F$7:AI$7))))</f>
        <v/>
      </c>
      <c r="AJ547" s="2223" t="str" cm="1">
        <f t="array" ref="AJ547">IF($D547&lt;COLUMNS($F$7:AJ$7),"",INDEX(TableDiv[[GASB]:[GASB]],_xlfn.AGGREGATE(15,3,(TableDiv[[Agency]:[Agency]]=$E547)/(TableDiv[[Agency]:[Agency]]=$E547)*(ROW(TableDiv[Agency])-ROW(TableDiv[[#Headers],[Agency]])),COLUMNS($F$7:AJ$7))))</f>
        <v/>
      </c>
      <c r="AK547" s="2223" t="str" cm="1">
        <f t="array" ref="AK547">IF($D547&lt;COLUMNS($F$7:AK$7),"",INDEX(TableDiv[[GASB]:[GASB]],_xlfn.AGGREGATE(15,3,(TableDiv[[Agency]:[Agency]]=$E547)/(TableDiv[[Agency]:[Agency]]=$E547)*(ROW(TableDiv[Agency])-ROW(TableDiv[[#Headers],[Agency]])),COLUMNS($F$7:AK$7))))</f>
        <v/>
      </c>
      <c r="AL547" s="2223" t="str" cm="1">
        <f t="array" ref="AL547">IF($D547&lt;COLUMNS($F$7:AL$7),"",INDEX(TableDiv[[GASB]:[GASB]],_xlfn.AGGREGATE(15,3,(TableDiv[[Agency]:[Agency]]=$E547)/(TableDiv[[Agency]:[Agency]]=$E547)*(ROW(TableDiv[Agency])-ROW(TableDiv[[#Headers],[Agency]])),COLUMNS($F$7:AL$7))))</f>
        <v/>
      </c>
      <c r="AM547" s="2223" t="str" cm="1">
        <f t="array" ref="AM547">IF($D547&lt;COLUMNS($F$7:AM$7),"",INDEX(TableDiv[[GASB]:[GASB]],_xlfn.AGGREGATE(15,3,(TableDiv[[Agency]:[Agency]]=$E547)/(TableDiv[[Agency]:[Agency]]=$E547)*(ROW(TableDiv[Agency])-ROW(TableDiv[[#Headers],[Agency]])),COLUMNS($F$7:AM$7))))</f>
        <v/>
      </c>
      <c r="AN547" s="2223"/>
      <c r="AO547" s="2223"/>
      <c r="AP547" s="2223"/>
      <c r="AQ547" s="2223"/>
      <c r="AR547" s="2223"/>
      <c r="AS547" s="2223"/>
    </row>
    <row r="548" spans="1:45" x14ac:dyDescent="0.2">
      <c r="A548" s="2223"/>
      <c r="B548" s="2223"/>
      <c r="C548" s="2223"/>
      <c r="W548" s="2223" t="str" cm="1">
        <f t="array" ref="W548">IF($D548&lt;COLUMNS($F$7:W$7),"",INDEX(TableDiv[[GASB]:[GASB]],_xlfn.AGGREGATE(15,3,(TableDiv[[Agency]:[Agency]]=$E548)/(TableDiv[[Agency]:[Agency]]=$E548)*(ROW(TableDiv[Agency])-ROW(TableDiv[[#Headers],[Agency]])),COLUMNS($F$7:W$7))))</f>
        <v/>
      </c>
      <c r="X548" s="2223" t="str" cm="1">
        <f t="array" ref="X548">IF($D548&lt;COLUMNS($F$7:X$7),"",INDEX(TableDiv[[GASB]:[GASB]],_xlfn.AGGREGATE(15,3,(TableDiv[[Agency]:[Agency]]=$E548)/(TableDiv[[Agency]:[Agency]]=$E548)*(ROW(TableDiv[Agency])-ROW(TableDiv[[#Headers],[Agency]])),COLUMNS($F$7:X$7))))</f>
        <v/>
      </c>
      <c r="Y548" s="2223" t="str" cm="1">
        <f t="array" ref="Y548">IF($D548&lt;COLUMNS($F$7:Y$7),"",INDEX(TableDiv[[GASB]:[GASB]],_xlfn.AGGREGATE(15,3,(TableDiv[[Agency]:[Agency]]=$E548)/(TableDiv[[Agency]:[Agency]]=$E548)*(ROW(TableDiv[Agency])-ROW(TableDiv[[#Headers],[Agency]])),COLUMNS($F$7:Y$7))))</f>
        <v/>
      </c>
      <c r="Z548" s="2223" t="str" cm="1">
        <f t="array" ref="Z548">IF($D548&lt;COLUMNS($F$7:Z$7),"",INDEX(TableDiv[[GASB]:[GASB]],_xlfn.AGGREGATE(15,3,(TableDiv[[Agency]:[Agency]]=$E548)/(TableDiv[[Agency]:[Agency]]=$E548)*(ROW(TableDiv[Agency])-ROW(TableDiv[[#Headers],[Agency]])),COLUMNS($F$7:Z$7))))</f>
        <v/>
      </c>
      <c r="AA548" s="2223" t="str" cm="1">
        <f t="array" ref="AA548">IF($D548&lt;COLUMNS($F$7:AA$7),"",INDEX(TableDiv[[GASB]:[GASB]],_xlfn.AGGREGATE(15,3,(TableDiv[[Agency]:[Agency]]=$E548)/(TableDiv[[Agency]:[Agency]]=$E548)*(ROW(TableDiv[Agency])-ROW(TableDiv[[#Headers],[Agency]])),COLUMNS($F$7:AA$7))))</f>
        <v/>
      </c>
      <c r="AB548" s="2223" t="str" cm="1">
        <f t="array" ref="AB548">IF($D548&lt;COLUMNS($F$7:AB$7),"",INDEX(TableDiv[[GASB]:[GASB]],_xlfn.AGGREGATE(15,3,(TableDiv[[Agency]:[Agency]]=$E548)/(TableDiv[[Agency]:[Agency]]=$E548)*(ROW(TableDiv[Agency])-ROW(TableDiv[[#Headers],[Agency]])),COLUMNS($F$7:AB$7))))</f>
        <v/>
      </c>
      <c r="AC548" s="2223" t="str" cm="1">
        <f t="array" ref="AC548">IF($D548&lt;COLUMNS($F$7:AC$7),"",INDEX(TableDiv[[GASB]:[GASB]],_xlfn.AGGREGATE(15,3,(TableDiv[[Agency]:[Agency]]=$E548)/(TableDiv[[Agency]:[Agency]]=$E548)*(ROW(TableDiv[Agency])-ROW(TableDiv[[#Headers],[Agency]])),COLUMNS($F$7:AC$7))))</f>
        <v/>
      </c>
      <c r="AD548" s="2223" t="str" cm="1">
        <f t="array" ref="AD548">IF($D548&lt;COLUMNS($F$7:AD$7),"",INDEX(TableDiv[[GASB]:[GASB]],_xlfn.AGGREGATE(15,3,(TableDiv[[Agency]:[Agency]]=$E548)/(TableDiv[[Agency]:[Agency]]=$E548)*(ROW(TableDiv[Agency])-ROW(TableDiv[[#Headers],[Agency]])),COLUMNS($F$7:AD$7))))</f>
        <v/>
      </c>
      <c r="AE548" s="2223" t="str" cm="1">
        <f t="array" ref="AE548">IF($D548&lt;COLUMNS($F$7:AE$7),"",INDEX(TableDiv[[GASB]:[GASB]],_xlfn.AGGREGATE(15,3,(TableDiv[[Agency]:[Agency]]=$E548)/(TableDiv[[Agency]:[Agency]]=$E548)*(ROW(TableDiv[Agency])-ROW(TableDiv[[#Headers],[Agency]])),COLUMNS($F$7:AE$7))))</f>
        <v/>
      </c>
      <c r="AF548" s="2223" t="str" cm="1">
        <f t="array" ref="AF548">IF($D548&lt;COLUMNS($F$7:AF$7),"",INDEX(TableDiv[[GASB]:[GASB]],_xlfn.AGGREGATE(15,3,(TableDiv[[Agency]:[Agency]]=$E548)/(TableDiv[[Agency]:[Agency]]=$E548)*(ROW(TableDiv[Agency])-ROW(TableDiv[[#Headers],[Agency]])),COLUMNS($F$7:AF$7))))</f>
        <v/>
      </c>
      <c r="AG548" s="2223" t="str" cm="1">
        <f t="array" ref="AG548">IF($D548&lt;COLUMNS($F$7:AG$7),"",INDEX(TableDiv[[GASB]:[GASB]],_xlfn.AGGREGATE(15,3,(TableDiv[[Agency]:[Agency]]=$E548)/(TableDiv[[Agency]:[Agency]]=$E548)*(ROW(TableDiv[Agency])-ROW(TableDiv[[#Headers],[Agency]])),COLUMNS($F$7:AG$7))))</f>
        <v/>
      </c>
      <c r="AH548" s="2223" t="str" cm="1">
        <f t="array" ref="AH548">IF($D548&lt;COLUMNS($F$7:AH$7),"",INDEX(TableDiv[[GASB]:[GASB]],_xlfn.AGGREGATE(15,3,(TableDiv[[Agency]:[Agency]]=$E548)/(TableDiv[[Agency]:[Agency]]=$E548)*(ROW(TableDiv[Agency])-ROW(TableDiv[[#Headers],[Agency]])),COLUMNS($F$7:AH$7))))</f>
        <v/>
      </c>
      <c r="AI548" s="2223" t="str" cm="1">
        <f t="array" ref="AI548">IF($D548&lt;COLUMNS($F$7:AI$7),"",INDEX(TableDiv[[GASB]:[GASB]],_xlfn.AGGREGATE(15,3,(TableDiv[[Agency]:[Agency]]=$E548)/(TableDiv[[Agency]:[Agency]]=$E548)*(ROW(TableDiv[Agency])-ROW(TableDiv[[#Headers],[Agency]])),COLUMNS($F$7:AI$7))))</f>
        <v/>
      </c>
      <c r="AJ548" s="2223" t="str" cm="1">
        <f t="array" ref="AJ548">IF($D548&lt;COLUMNS($F$7:AJ$7),"",INDEX(TableDiv[[GASB]:[GASB]],_xlfn.AGGREGATE(15,3,(TableDiv[[Agency]:[Agency]]=$E548)/(TableDiv[[Agency]:[Agency]]=$E548)*(ROW(TableDiv[Agency])-ROW(TableDiv[[#Headers],[Agency]])),COLUMNS($F$7:AJ$7))))</f>
        <v/>
      </c>
      <c r="AK548" s="2223" t="str" cm="1">
        <f t="array" ref="AK548">IF($D548&lt;COLUMNS($F$7:AK$7),"",INDEX(TableDiv[[GASB]:[GASB]],_xlfn.AGGREGATE(15,3,(TableDiv[[Agency]:[Agency]]=$E548)/(TableDiv[[Agency]:[Agency]]=$E548)*(ROW(TableDiv[Agency])-ROW(TableDiv[[#Headers],[Agency]])),COLUMNS($F$7:AK$7))))</f>
        <v/>
      </c>
      <c r="AL548" s="2223" t="str" cm="1">
        <f t="array" ref="AL548">IF($D548&lt;COLUMNS($F$7:AL$7),"",INDEX(TableDiv[[GASB]:[GASB]],_xlfn.AGGREGATE(15,3,(TableDiv[[Agency]:[Agency]]=$E548)/(TableDiv[[Agency]:[Agency]]=$E548)*(ROW(TableDiv[Agency])-ROW(TableDiv[[#Headers],[Agency]])),COLUMNS($F$7:AL$7))))</f>
        <v/>
      </c>
      <c r="AM548" s="2223" t="str" cm="1">
        <f t="array" ref="AM548">IF($D548&lt;COLUMNS($F$7:AM$7),"",INDEX(TableDiv[[GASB]:[GASB]],_xlfn.AGGREGATE(15,3,(TableDiv[[Agency]:[Agency]]=$E548)/(TableDiv[[Agency]:[Agency]]=$E548)*(ROW(TableDiv[Agency])-ROW(TableDiv[[#Headers],[Agency]])),COLUMNS($F$7:AM$7))))</f>
        <v/>
      </c>
      <c r="AN548" s="2223"/>
      <c r="AO548" s="2223"/>
      <c r="AP548" s="2223"/>
      <c r="AQ548" s="2223"/>
      <c r="AR548" s="2223"/>
      <c r="AS548" s="2223"/>
    </row>
    <row r="549" spans="1:45" x14ac:dyDescent="0.2">
      <c r="A549" s="2223"/>
      <c r="B549" s="2223"/>
      <c r="C549" s="2223"/>
      <c r="W549" s="2223" t="str" cm="1">
        <f t="array" ref="W549">IF($D549&lt;COLUMNS($F$7:W$7),"",INDEX(TableDiv[[GASB]:[GASB]],_xlfn.AGGREGATE(15,3,(TableDiv[[Agency]:[Agency]]=$E549)/(TableDiv[[Agency]:[Agency]]=$E549)*(ROW(TableDiv[Agency])-ROW(TableDiv[[#Headers],[Agency]])),COLUMNS($F$7:W$7))))</f>
        <v/>
      </c>
      <c r="X549" s="2223" t="str" cm="1">
        <f t="array" ref="X549">IF($D549&lt;COLUMNS($F$7:X$7),"",INDEX(TableDiv[[GASB]:[GASB]],_xlfn.AGGREGATE(15,3,(TableDiv[[Agency]:[Agency]]=$E549)/(TableDiv[[Agency]:[Agency]]=$E549)*(ROW(TableDiv[Agency])-ROW(TableDiv[[#Headers],[Agency]])),COLUMNS($F$7:X$7))))</f>
        <v/>
      </c>
      <c r="Y549" s="2223" t="str" cm="1">
        <f t="array" ref="Y549">IF($D549&lt;COLUMNS($F$7:Y$7),"",INDEX(TableDiv[[GASB]:[GASB]],_xlfn.AGGREGATE(15,3,(TableDiv[[Agency]:[Agency]]=$E549)/(TableDiv[[Agency]:[Agency]]=$E549)*(ROW(TableDiv[Agency])-ROW(TableDiv[[#Headers],[Agency]])),COLUMNS($F$7:Y$7))))</f>
        <v/>
      </c>
      <c r="Z549" s="2223" t="str" cm="1">
        <f t="array" ref="Z549">IF($D549&lt;COLUMNS($F$7:Z$7),"",INDEX(TableDiv[[GASB]:[GASB]],_xlfn.AGGREGATE(15,3,(TableDiv[[Agency]:[Agency]]=$E549)/(TableDiv[[Agency]:[Agency]]=$E549)*(ROW(TableDiv[Agency])-ROW(TableDiv[[#Headers],[Agency]])),COLUMNS($F$7:Z$7))))</f>
        <v/>
      </c>
      <c r="AA549" s="2223" t="str" cm="1">
        <f t="array" ref="AA549">IF($D549&lt;COLUMNS($F$7:AA$7),"",INDEX(TableDiv[[GASB]:[GASB]],_xlfn.AGGREGATE(15,3,(TableDiv[[Agency]:[Agency]]=$E549)/(TableDiv[[Agency]:[Agency]]=$E549)*(ROW(TableDiv[Agency])-ROW(TableDiv[[#Headers],[Agency]])),COLUMNS($F$7:AA$7))))</f>
        <v/>
      </c>
      <c r="AB549" s="2223" t="str" cm="1">
        <f t="array" ref="AB549">IF($D549&lt;COLUMNS($F$7:AB$7),"",INDEX(TableDiv[[GASB]:[GASB]],_xlfn.AGGREGATE(15,3,(TableDiv[[Agency]:[Agency]]=$E549)/(TableDiv[[Agency]:[Agency]]=$E549)*(ROW(TableDiv[Agency])-ROW(TableDiv[[#Headers],[Agency]])),COLUMNS($F$7:AB$7))))</f>
        <v/>
      </c>
      <c r="AC549" s="2223" t="str" cm="1">
        <f t="array" ref="AC549">IF($D549&lt;COLUMNS($F$7:AC$7),"",INDEX(TableDiv[[GASB]:[GASB]],_xlfn.AGGREGATE(15,3,(TableDiv[[Agency]:[Agency]]=$E549)/(TableDiv[[Agency]:[Agency]]=$E549)*(ROW(TableDiv[Agency])-ROW(TableDiv[[#Headers],[Agency]])),COLUMNS($F$7:AC$7))))</f>
        <v/>
      </c>
      <c r="AD549" s="2223" t="str" cm="1">
        <f t="array" ref="AD549">IF($D549&lt;COLUMNS($F$7:AD$7),"",INDEX(TableDiv[[GASB]:[GASB]],_xlfn.AGGREGATE(15,3,(TableDiv[[Agency]:[Agency]]=$E549)/(TableDiv[[Agency]:[Agency]]=$E549)*(ROW(TableDiv[Agency])-ROW(TableDiv[[#Headers],[Agency]])),COLUMNS($F$7:AD$7))))</f>
        <v/>
      </c>
      <c r="AE549" s="2223" t="str" cm="1">
        <f t="array" ref="AE549">IF($D549&lt;COLUMNS($F$7:AE$7),"",INDEX(TableDiv[[GASB]:[GASB]],_xlfn.AGGREGATE(15,3,(TableDiv[[Agency]:[Agency]]=$E549)/(TableDiv[[Agency]:[Agency]]=$E549)*(ROW(TableDiv[Agency])-ROW(TableDiv[[#Headers],[Agency]])),COLUMNS($F$7:AE$7))))</f>
        <v/>
      </c>
      <c r="AF549" s="2223" t="str" cm="1">
        <f t="array" ref="AF549">IF($D549&lt;COLUMNS($F$7:AF$7),"",INDEX(TableDiv[[GASB]:[GASB]],_xlfn.AGGREGATE(15,3,(TableDiv[[Agency]:[Agency]]=$E549)/(TableDiv[[Agency]:[Agency]]=$E549)*(ROW(TableDiv[Agency])-ROW(TableDiv[[#Headers],[Agency]])),COLUMNS($F$7:AF$7))))</f>
        <v/>
      </c>
      <c r="AG549" s="2223" t="str" cm="1">
        <f t="array" ref="AG549">IF($D549&lt;COLUMNS($F$7:AG$7),"",INDEX(TableDiv[[GASB]:[GASB]],_xlfn.AGGREGATE(15,3,(TableDiv[[Agency]:[Agency]]=$E549)/(TableDiv[[Agency]:[Agency]]=$E549)*(ROW(TableDiv[Agency])-ROW(TableDiv[[#Headers],[Agency]])),COLUMNS($F$7:AG$7))))</f>
        <v/>
      </c>
      <c r="AH549" s="2223" t="str" cm="1">
        <f t="array" ref="AH549">IF($D549&lt;COLUMNS($F$7:AH$7),"",INDEX(TableDiv[[GASB]:[GASB]],_xlfn.AGGREGATE(15,3,(TableDiv[[Agency]:[Agency]]=$E549)/(TableDiv[[Agency]:[Agency]]=$E549)*(ROW(TableDiv[Agency])-ROW(TableDiv[[#Headers],[Agency]])),COLUMNS($F$7:AH$7))))</f>
        <v/>
      </c>
      <c r="AI549" s="2223" t="str" cm="1">
        <f t="array" ref="AI549">IF($D549&lt;COLUMNS($F$7:AI$7),"",INDEX(TableDiv[[GASB]:[GASB]],_xlfn.AGGREGATE(15,3,(TableDiv[[Agency]:[Agency]]=$E549)/(TableDiv[[Agency]:[Agency]]=$E549)*(ROW(TableDiv[Agency])-ROW(TableDiv[[#Headers],[Agency]])),COLUMNS($F$7:AI$7))))</f>
        <v/>
      </c>
      <c r="AJ549" s="2223" t="str" cm="1">
        <f t="array" ref="AJ549">IF($D549&lt;COLUMNS($F$7:AJ$7),"",INDEX(TableDiv[[GASB]:[GASB]],_xlfn.AGGREGATE(15,3,(TableDiv[[Agency]:[Agency]]=$E549)/(TableDiv[[Agency]:[Agency]]=$E549)*(ROW(TableDiv[Agency])-ROW(TableDiv[[#Headers],[Agency]])),COLUMNS($F$7:AJ$7))))</f>
        <v/>
      </c>
      <c r="AK549" s="2223" t="str" cm="1">
        <f t="array" ref="AK549">IF($D549&lt;COLUMNS($F$7:AK$7),"",INDEX(TableDiv[[GASB]:[GASB]],_xlfn.AGGREGATE(15,3,(TableDiv[[Agency]:[Agency]]=$E549)/(TableDiv[[Agency]:[Agency]]=$E549)*(ROW(TableDiv[Agency])-ROW(TableDiv[[#Headers],[Agency]])),COLUMNS($F$7:AK$7))))</f>
        <v/>
      </c>
      <c r="AL549" s="2223" t="str" cm="1">
        <f t="array" ref="AL549">IF($D549&lt;COLUMNS($F$7:AL$7),"",INDEX(TableDiv[[GASB]:[GASB]],_xlfn.AGGREGATE(15,3,(TableDiv[[Agency]:[Agency]]=$E549)/(TableDiv[[Agency]:[Agency]]=$E549)*(ROW(TableDiv[Agency])-ROW(TableDiv[[#Headers],[Agency]])),COLUMNS($F$7:AL$7))))</f>
        <v/>
      </c>
      <c r="AM549" s="2223" t="str" cm="1">
        <f t="array" ref="AM549">IF($D549&lt;COLUMNS($F$7:AM$7),"",INDEX(TableDiv[[GASB]:[GASB]],_xlfn.AGGREGATE(15,3,(TableDiv[[Agency]:[Agency]]=$E549)/(TableDiv[[Agency]:[Agency]]=$E549)*(ROW(TableDiv[Agency])-ROW(TableDiv[[#Headers],[Agency]])),COLUMNS($F$7:AM$7))))</f>
        <v/>
      </c>
      <c r="AN549" s="2223"/>
      <c r="AO549" s="2223"/>
      <c r="AP549" s="2223"/>
      <c r="AQ549" s="2223"/>
      <c r="AR549" s="2223"/>
      <c r="AS549" s="2223"/>
    </row>
    <row r="550" spans="1:45" x14ac:dyDescent="0.2">
      <c r="A550" s="2223"/>
      <c r="B550" s="2223"/>
      <c r="C550" s="2223"/>
      <c r="W550" s="2223" t="str" cm="1">
        <f t="array" ref="W550">IF($D550&lt;COLUMNS($F$7:W$7),"",INDEX(TableDiv[[GASB]:[GASB]],_xlfn.AGGREGATE(15,3,(TableDiv[[Agency]:[Agency]]=$E550)/(TableDiv[[Agency]:[Agency]]=$E550)*(ROW(TableDiv[Agency])-ROW(TableDiv[[#Headers],[Agency]])),COLUMNS($F$7:W$7))))</f>
        <v/>
      </c>
      <c r="X550" s="2223" t="str" cm="1">
        <f t="array" ref="X550">IF($D550&lt;COLUMNS($F$7:X$7),"",INDEX(TableDiv[[GASB]:[GASB]],_xlfn.AGGREGATE(15,3,(TableDiv[[Agency]:[Agency]]=$E550)/(TableDiv[[Agency]:[Agency]]=$E550)*(ROW(TableDiv[Agency])-ROW(TableDiv[[#Headers],[Agency]])),COLUMNS($F$7:X$7))))</f>
        <v/>
      </c>
      <c r="Y550" s="2223" t="str" cm="1">
        <f t="array" ref="Y550">IF($D550&lt;COLUMNS($F$7:Y$7),"",INDEX(TableDiv[[GASB]:[GASB]],_xlfn.AGGREGATE(15,3,(TableDiv[[Agency]:[Agency]]=$E550)/(TableDiv[[Agency]:[Agency]]=$E550)*(ROW(TableDiv[Agency])-ROW(TableDiv[[#Headers],[Agency]])),COLUMNS($F$7:Y$7))))</f>
        <v/>
      </c>
      <c r="Z550" s="2223" t="str" cm="1">
        <f t="array" ref="Z550">IF($D550&lt;COLUMNS($F$7:Z$7),"",INDEX(TableDiv[[GASB]:[GASB]],_xlfn.AGGREGATE(15,3,(TableDiv[[Agency]:[Agency]]=$E550)/(TableDiv[[Agency]:[Agency]]=$E550)*(ROW(TableDiv[Agency])-ROW(TableDiv[[#Headers],[Agency]])),COLUMNS($F$7:Z$7))))</f>
        <v/>
      </c>
      <c r="AA550" s="2223" t="str" cm="1">
        <f t="array" ref="AA550">IF($D550&lt;COLUMNS($F$7:AA$7),"",INDEX(TableDiv[[GASB]:[GASB]],_xlfn.AGGREGATE(15,3,(TableDiv[[Agency]:[Agency]]=$E550)/(TableDiv[[Agency]:[Agency]]=$E550)*(ROW(TableDiv[Agency])-ROW(TableDiv[[#Headers],[Agency]])),COLUMNS($F$7:AA$7))))</f>
        <v/>
      </c>
      <c r="AB550" s="2223" t="str" cm="1">
        <f t="array" ref="AB550">IF($D550&lt;COLUMNS($F$7:AB$7),"",INDEX(TableDiv[[GASB]:[GASB]],_xlfn.AGGREGATE(15,3,(TableDiv[[Agency]:[Agency]]=$E550)/(TableDiv[[Agency]:[Agency]]=$E550)*(ROW(TableDiv[Agency])-ROW(TableDiv[[#Headers],[Agency]])),COLUMNS($F$7:AB$7))))</f>
        <v/>
      </c>
      <c r="AC550" s="2223" t="str" cm="1">
        <f t="array" ref="AC550">IF($D550&lt;COLUMNS($F$7:AC$7),"",INDEX(TableDiv[[GASB]:[GASB]],_xlfn.AGGREGATE(15,3,(TableDiv[[Agency]:[Agency]]=$E550)/(TableDiv[[Agency]:[Agency]]=$E550)*(ROW(TableDiv[Agency])-ROW(TableDiv[[#Headers],[Agency]])),COLUMNS($F$7:AC$7))))</f>
        <v/>
      </c>
      <c r="AD550" s="2223" t="str" cm="1">
        <f t="array" ref="AD550">IF($D550&lt;COLUMNS($F$7:AD$7),"",INDEX(TableDiv[[GASB]:[GASB]],_xlfn.AGGREGATE(15,3,(TableDiv[[Agency]:[Agency]]=$E550)/(TableDiv[[Agency]:[Agency]]=$E550)*(ROW(TableDiv[Agency])-ROW(TableDiv[[#Headers],[Agency]])),COLUMNS($F$7:AD$7))))</f>
        <v/>
      </c>
      <c r="AE550" s="2223" t="str" cm="1">
        <f t="array" ref="AE550">IF($D550&lt;COLUMNS($F$7:AE$7),"",INDEX(TableDiv[[GASB]:[GASB]],_xlfn.AGGREGATE(15,3,(TableDiv[[Agency]:[Agency]]=$E550)/(TableDiv[[Agency]:[Agency]]=$E550)*(ROW(TableDiv[Agency])-ROW(TableDiv[[#Headers],[Agency]])),COLUMNS($F$7:AE$7))))</f>
        <v/>
      </c>
      <c r="AF550" s="2223" t="str" cm="1">
        <f t="array" ref="AF550">IF($D550&lt;COLUMNS($F$7:AF$7),"",INDEX(TableDiv[[GASB]:[GASB]],_xlfn.AGGREGATE(15,3,(TableDiv[[Agency]:[Agency]]=$E550)/(TableDiv[[Agency]:[Agency]]=$E550)*(ROW(TableDiv[Agency])-ROW(TableDiv[[#Headers],[Agency]])),COLUMNS($F$7:AF$7))))</f>
        <v/>
      </c>
      <c r="AG550" s="2223" t="str" cm="1">
        <f t="array" ref="AG550">IF($D550&lt;COLUMNS($F$7:AG$7),"",INDEX(TableDiv[[GASB]:[GASB]],_xlfn.AGGREGATE(15,3,(TableDiv[[Agency]:[Agency]]=$E550)/(TableDiv[[Agency]:[Agency]]=$E550)*(ROW(TableDiv[Agency])-ROW(TableDiv[[#Headers],[Agency]])),COLUMNS($F$7:AG$7))))</f>
        <v/>
      </c>
      <c r="AH550" s="2223" t="str" cm="1">
        <f t="array" ref="AH550">IF($D550&lt;COLUMNS($F$7:AH$7),"",INDEX(TableDiv[[GASB]:[GASB]],_xlfn.AGGREGATE(15,3,(TableDiv[[Agency]:[Agency]]=$E550)/(TableDiv[[Agency]:[Agency]]=$E550)*(ROW(TableDiv[Agency])-ROW(TableDiv[[#Headers],[Agency]])),COLUMNS($F$7:AH$7))))</f>
        <v/>
      </c>
      <c r="AI550" s="2223" t="str" cm="1">
        <f t="array" ref="AI550">IF($D550&lt;COLUMNS($F$7:AI$7),"",INDEX(TableDiv[[GASB]:[GASB]],_xlfn.AGGREGATE(15,3,(TableDiv[[Agency]:[Agency]]=$E550)/(TableDiv[[Agency]:[Agency]]=$E550)*(ROW(TableDiv[Agency])-ROW(TableDiv[[#Headers],[Agency]])),COLUMNS($F$7:AI$7))))</f>
        <v/>
      </c>
      <c r="AJ550" s="2223" t="str" cm="1">
        <f t="array" ref="AJ550">IF($D550&lt;COLUMNS($F$7:AJ$7),"",INDEX(TableDiv[[GASB]:[GASB]],_xlfn.AGGREGATE(15,3,(TableDiv[[Agency]:[Agency]]=$E550)/(TableDiv[[Agency]:[Agency]]=$E550)*(ROW(TableDiv[Agency])-ROW(TableDiv[[#Headers],[Agency]])),COLUMNS($F$7:AJ$7))))</f>
        <v/>
      </c>
      <c r="AK550" s="2223" t="str" cm="1">
        <f t="array" ref="AK550">IF($D550&lt;COLUMNS($F$7:AK$7),"",INDEX(TableDiv[[GASB]:[GASB]],_xlfn.AGGREGATE(15,3,(TableDiv[[Agency]:[Agency]]=$E550)/(TableDiv[[Agency]:[Agency]]=$E550)*(ROW(TableDiv[Agency])-ROW(TableDiv[[#Headers],[Agency]])),COLUMNS($F$7:AK$7))))</f>
        <v/>
      </c>
      <c r="AL550" s="2223" t="str" cm="1">
        <f t="array" ref="AL550">IF($D550&lt;COLUMNS($F$7:AL$7),"",INDEX(TableDiv[[GASB]:[GASB]],_xlfn.AGGREGATE(15,3,(TableDiv[[Agency]:[Agency]]=$E550)/(TableDiv[[Agency]:[Agency]]=$E550)*(ROW(TableDiv[Agency])-ROW(TableDiv[[#Headers],[Agency]])),COLUMNS($F$7:AL$7))))</f>
        <v/>
      </c>
      <c r="AM550" s="2223" t="str" cm="1">
        <f t="array" ref="AM550">IF($D550&lt;COLUMNS($F$7:AM$7),"",INDEX(TableDiv[[GASB]:[GASB]],_xlfn.AGGREGATE(15,3,(TableDiv[[Agency]:[Agency]]=$E550)/(TableDiv[[Agency]:[Agency]]=$E550)*(ROW(TableDiv[Agency])-ROW(TableDiv[[#Headers],[Agency]])),COLUMNS($F$7:AM$7))))</f>
        <v/>
      </c>
      <c r="AN550" s="2223"/>
      <c r="AO550" s="2223"/>
      <c r="AP550" s="2223"/>
      <c r="AQ550" s="2223"/>
      <c r="AR550" s="2223"/>
      <c r="AS550" s="2223"/>
    </row>
    <row r="551" spans="1:45" x14ac:dyDescent="0.2">
      <c r="A551" s="2223"/>
      <c r="B551" s="2223"/>
      <c r="C551" s="2223"/>
      <c r="W551" s="2223" t="str" cm="1">
        <f t="array" ref="W551">IF($D551&lt;COLUMNS($F$7:W$7),"",INDEX(TableDiv[[GASB]:[GASB]],_xlfn.AGGREGATE(15,3,(TableDiv[[Agency]:[Agency]]=$E551)/(TableDiv[[Agency]:[Agency]]=$E551)*(ROW(TableDiv[Agency])-ROW(TableDiv[[#Headers],[Agency]])),COLUMNS($F$7:W$7))))</f>
        <v/>
      </c>
      <c r="X551" s="2223" t="str" cm="1">
        <f t="array" ref="X551">IF($D551&lt;COLUMNS($F$7:X$7),"",INDEX(TableDiv[[GASB]:[GASB]],_xlfn.AGGREGATE(15,3,(TableDiv[[Agency]:[Agency]]=$E551)/(TableDiv[[Agency]:[Agency]]=$E551)*(ROW(TableDiv[Agency])-ROW(TableDiv[[#Headers],[Agency]])),COLUMNS($F$7:X$7))))</f>
        <v/>
      </c>
      <c r="Y551" s="2223" t="str" cm="1">
        <f t="array" ref="Y551">IF($D551&lt;COLUMNS($F$7:Y$7),"",INDEX(TableDiv[[GASB]:[GASB]],_xlfn.AGGREGATE(15,3,(TableDiv[[Agency]:[Agency]]=$E551)/(TableDiv[[Agency]:[Agency]]=$E551)*(ROW(TableDiv[Agency])-ROW(TableDiv[[#Headers],[Agency]])),COLUMNS($F$7:Y$7))))</f>
        <v/>
      </c>
      <c r="Z551" s="2223" t="str" cm="1">
        <f t="array" ref="Z551">IF($D551&lt;COLUMNS($F$7:Z$7),"",INDEX(TableDiv[[GASB]:[GASB]],_xlfn.AGGREGATE(15,3,(TableDiv[[Agency]:[Agency]]=$E551)/(TableDiv[[Agency]:[Agency]]=$E551)*(ROW(TableDiv[Agency])-ROW(TableDiv[[#Headers],[Agency]])),COLUMNS($F$7:Z$7))))</f>
        <v/>
      </c>
      <c r="AA551" s="2223" t="str" cm="1">
        <f t="array" ref="AA551">IF($D551&lt;COLUMNS($F$7:AA$7),"",INDEX(TableDiv[[GASB]:[GASB]],_xlfn.AGGREGATE(15,3,(TableDiv[[Agency]:[Agency]]=$E551)/(TableDiv[[Agency]:[Agency]]=$E551)*(ROW(TableDiv[Agency])-ROW(TableDiv[[#Headers],[Agency]])),COLUMNS($F$7:AA$7))))</f>
        <v/>
      </c>
      <c r="AB551" s="2223" t="str" cm="1">
        <f t="array" ref="AB551">IF($D551&lt;COLUMNS($F$7:AB$7),"",INDEX(TableDiv[[GASB]:[GASB]],_xlfn.AGGREGATE(15,3,(TableDiv[[Agency]:[Agency]]=$E551)/(TableDiv[[Agency]:[Agency]]=$E551)*(ROW(TableDiv[Agency])-ROW(TableDiv[[#Headers],[Agency]])),COLUMNS($F$7:AB$7))))</f>
        <v/>
      </c>
      <c r="AC551" s="2223" t="str" cm="1">
        <f t="array" ref="AC551">IF($D551&lt;COLUMNS($F$7:AC$7),"",INDEX(TableDiv[[GASB]:[GASB]],_xlfn.AGGREGATE(15,3,(TableDiv[[Agency]:[Agency]]=$E551)/(TableDiv[[Agency]:[Agency]]=$E551)*(ROW(TableDiv[Agency])-ROW(TableDiv[[#Headers],[Agency]])),COLUMNS($F$7:AC$7))))</f>
        <v/>
      </c>
      <c r="AD551" s="2223" t="str" cm="1">
        <f t="array" ref="AD551">IF($D551&lt;COLUMNS($F$7:AD$7),"",INDEX(TableDiv[[GASB]:[GASB]],_xlfn.AGGREGATE(15,3,(TableDiv[[Agency]:[Agency]]=$E551)/(TableDiv[[Agency]:[Agency]]=$E551)*(ROW(TableDiv[Agency])-ROW(TableDiv[[#Headers],[Agency]])),COLUMNS($F$7:AD$7))))</f>
        <v/>
      </c>
      <c r="AE551" s="2223" t="str" cm="1">
        <f t="array" ref="AE551">IF($D551&lt;COLUMNS($F$7:AE$7),"",INDEX(TableDiv[[GASB]:[GASB]],_xlfn.AGGREGATE(15,3,(TableDiv[[Agency]:[Agency]]=$E551)/(TableDiv[[Agency]:[Agency]]=$E551)*(ROW(TableDiv[Agency])-ROW(TableDiv[[#Headers],[Agency]])),COLUMNS($F$7:AE$7))))</f>
        <v/>
      </c>
      <c r="AF551" s="2223" t="str" cm="1">
        <f t="array" ref="AF551">IF($D551&lt;COLUMNS($F$7:AF$7),"",INDEX(TableDiv[[GASB]:[GASB]],_xlfn.AGGREGATE(15,3,(TableDiv[[Agency]:[Agency]]=$E551)/(TableDiv[[Agency]:[Agency]]=$E551)*(ROW(TableDiv[Agency])-ROW(TableDiv[[#Headers],[Agency]])),COLUMNS($F$7:AF$7))))</f>
        <v/>
      </c>
      <c r="AG551" s="2223" t="str" cm="1">
        <f t="array" ref="AG551">IF($D551&lt;COLUMNS($F$7:AG$7),"",INDEX(TableDiv[[GASB]:[GASB]],_xlfn.AGGREGATE(15,3,(TableDiv[[Agency]:[Agency]]=$E551)/(TableDiv[[Agency]:[Agency]]=$E551)*(ROW(TableDiv[Agency])-ROW(TableDiv[[#Headers],[Agency]])),COLUMNS($F$7:AG$7))))</f>
        <v/>
      </c>
      <c r="AH551" s="2223" t="str" cm="1">
        <f t="array" ref="AH551">IF($D551&lt;COLUMNS($F$7:AH$7),"",INDEX(TableDiv[[GASB]:[GASB]],_xlfn.AGGREGATE(15,3,(TableDiv[[Agency]:[Agency]]=$E551)/(TableDiv[[Agency]:[Agency]]=$E551)*(ROW(TableDiv[Agency])-ROW(TableDiv[[#Headers],[Agency]])),COLUMNS($F$7:AH$7))))</f>
        <v/>
      </c>
      <c r="AI551" s="2223" t="str" cm="1">
        <f t="array" ref="AI551">IF($D551&lt;COLUMNS($F$7:AI$7),"",INDEX(TableDiv[[GASB]:[GASB]],_xlfn.AGGREGATE(15,3,(TableDiv[[Agency]:[Agency]]=$E551)/(TableDiv[[Agency]:[Agency]]=$E551)*(ROW(TableDiv[Agency])-ROW(TableDiv[[#Headers],[Agency]])),COLUMNS($F$7:AI$7))))</f>
        <v/>
      </c>
      <c r="AJ551" s="2223" t="str" cm="1">
        <f t="array" ref="AJ551">IF($D551&lt;COLUMNS($F$7:AJ$7),"",INDEX(TableDiv[[GASB]:[GASB]],_xlfn.AGGREGATE(15,3,(TableDiv[[Agency]:[Agency]]=$E551)/(TableDiv[[Agency]:[Agency]]=$E551)*(ROW(TableDiv[Agency])-ROW(TableDiv[[#Headers],[Agency]])),COLUMNS($F$7:AJ$7))))</f>
        <v/>
      </c>
      <c r="AK551" s="2223" t="str" cm="1">
        <f t="array" ref="AK551">IF($D551&lt;COLUMNS($F$7:AK$7),"",INDEX(TableDiv[[GASB]:[GASB]],_xlfn.AGGREGATE(15,3,(TableDiv[[Agency]:[Agency]]=$E551)/(TableDiv[[Agency]:[Agency]]=$E551)*(ROW(TableDiv[Agency])-ROW(TableDiv[[#Headers],[Agency]])),COLUMNS($F$7:AK$7))))</f>
        <v/>
      </c>
      <c r="AL551" s="2223" t="str" cm="1">
        <f t="array" ref="AL551">IF($D551&lt;COLUMNS($F$7:AL$7),"",INDEX(TableDiv[[GASB]:[GASB]],_xlfn.AGGREGATE(15,3,(TableDiv[[Agency]:[Agency]]=$E551)/(TableDiv[[Agency]:[Agency]]=$E551)*(ROW(TableDiv[Agency])-ROW(TableDiv[[#Headers],[Agency]])),COLUMNS($F$7:AL$7))))</f>
        <v/>
      </c>
      <c r="AM551" s="2223" t="str" cm="1">
        <f t="array" ref="AM551">IF($D551&lt;COLUMNS($F$7:AM$7),"",INDEX(TableDiv[[GASB]:[GASB]],_xlfn.AGGREGATE(15,3,(TableDiv[[Agency]:[Agency]]=$E551)/(TableDiv[[Agency]:[Agency]]=$E551)*(ROW(TableDiv[Agency])-ROW(TableDiv[[#Headers],[Agency]])),COLUMNS($F$7:AM$7))))</f>
        <v/>
      </c>
      <c r="AN551" s="2223"/>
      <c r="AO551" s="2223"/>
      <c r="AP551" s="2223"/>
      <c r="AQ551" s="2223"/>
      <c r="AR551" s="2223"/>
      <c r="AS551" s="2223"/>
    </row>
    <row r="552" spans="1:45" x14ac:dyDescent="0.2">
      <c r="A552" s="2223"/>
      <c r="B552" s="2223"/>
      <c r="C552" s="2223"/>
      <c r="W552" s="2223" t="str" cm="1">
        <f t="array" ref="W552">IF($D552&lt;COLUMNS($F$7:W$7),"",INDEX(TableDiv[[GASB]:[GASB]],_xlfn.AGGREGATE(15,3,(TableDiv[[Agency]:[Agency]]=$E552)/(TableDiv[[Agency]:[Agency]]=$E552)*(ROW(TableDiv[Agency])-ROW(TableDiv[[#Headers],[Agency]])),COLUMNS($F$7:W$7))))</f>
        <v/>
      </c>
      <c r="X552" s="2223" t="str" cm="1">
        <f t="array" ref="X552">IF($D552&lt;COLUMNS($F$7:X$7),"",INDEX(TableDiv[[GASB]:[GASB]],_xlfn.AGGREGATE(15,3,(TableDiv[[Agency]:[Agency]]=$E552)/(TableDiv[[Agency]:[Agency]]=$E552)*(ROW(TableDiv[Agency])-ROW(TableDiv[[#Headers],[Agency]])),COLUMNS($F$7:X$7))))</f>
        <v/>
      </c>
      <c r="Y552" s="2223" t="str" cm="1">
        <f t="array" ref="Y552">IF($D552&lt;COLUMNS($F$7:Y$7),"",INDEX(TableDiv[[GASB]:[GASB]],_xlfn.AGGREGATE(15,3,(TableDiv[[Agency]:[Agency]]=$E552)/(TableDiv[[Agency]:[Agency]]=$E552)*(ROW(TableDiv[Agency])-ROW(TableDiv[[#Headers],[Agency]])),COLUMNS($F$7:Y$7))))</f>
        <v/>
      </c>
      <c r="Z552" s="2223" t="str" cm="1">
        <f t="array" ref="Z552">IF($D552&lt;COLUMNS($F$7:Z$7),"",INDEX(TableDiv[[GASB]:[GASB]],_xlfn.AGGREGATE(15,3,(TableDiv[[Agency]:[Agency]]=$E552)/(TableDiv[[Agency]:[Agency]]=$E552)*(ROW(TableDiv[Agency])-ROW(TableDiv[[#Headers],[Agency]])),COLUMNS($F$7:Z$7))))</f>
        <v/>
      </c>
      <c r="AA552" s="2223" t="str" cm="1">
        <f t="array" ref="AA552">IF($D552&lt;COLUMNS($F$7:AA$7),"",INDEX(TableDiv[[GASB]:[GASB]],_xlfn.AGGREGATE(15,3,(TableDiv[[Agency]:[Agency]]=$E552)/(TableDiv[[Agency]:[Agency]]=$E552)*(ROW(TableDiv[Agency])-ROW(TableDiv[[#Headers],[Agency]])),COLUMNS($F$7:AA$7))))</f>
        <v/>
      </c>
      <c r="AB552" s="2223" t="str" cm="1">
        <f t="array" ref="AB552">IF($D552&lt;COLUMNS($F$7:AB$7),"",INDEX(TableDiv[[GASB]:[GASB]],_xlfn.AGGREGATE(15,3,(TableDiv[[Agency]:[Agency]]=$E552)/(TableDiv[[Agency]:[Agency]]=$E552)*(ROW(TableDiv[Agency])-ROW(TableDiv[[#Headers],[Agency]])),COLUMNS($F$7:AB$7))))</f>
        <v/>
      </c>
      <c r="AC552" s="2223" t="str" cm="1">
        <f t="array" ref="AC552">IF($D552&lt;COLUMNS($F$7:AC$7),"",INDEX(TableDiv[[GASB]:[GASB]],_xlfn.AGGREGATE(15,3,(TableDiv[[Agency]:[Agency]]=$E552)/(TableDiv[[Agency]:[Agency]]=$E552)*(ROW(TableDiv[Agency])-ROW(TableDiv[[#Headers],[Agency]])),COLUMNS($F$7:AC$7))))</f>
        <v/>
      </c>
      <c r="AD552" s="2223" t="str" cm="1">
        <f t="array" ref="AD552">IF($D552&lt;COLUMNS($F$7:AD$7),"",INDEX(TableDiv[[GASB]:[GASB]],_xlfn.AGGREGATE(15,3,(TableDiv[[Agency]:[Agency]]=$E552)/(TableDiv[[Agency]:[Agency]]=$E552)*(ROW(TableDiv[Agency])-ROW(TableDiv[[#Headers],[Agency]])),COLUMNS($F$7:AD$7))))</f>
        <v/>
      </c>
      <c r="AE552" s="2223" t="str" cm="1">
        <f t="array" ref="AE552">IF($D552&lt;COLUMNS($F$7:AE$7),"",INDEX(TableDiv[[GASB]:[GASB]],_xlfn.AGGREGATE(15,3,(TableDiv[[Agency]:[Agency]]=$E552)/(TableDiv[[Agency]:[Agency]]=$E552)*(ROW(TableDiv[Agency])-ROW(TableDiv[[#Headers],[Agency]])),COLUMNS($F$7:AE$7))))</f>
        <v/>
      </c>
      <c r="AF552" s="2223" t="str" cm="1">
        <f t="array" ref="AF552">IF($D552&lt;COLUMNS($F$7:AF$7),"",INDEX(TableDiv[[GASB]:[GASB]],_xlfn.AGGREGATE(15,3,(TableDiv[[Agency]:[Agency]]=$E552)/(TableDiv[[Agency]:[Agency]]=$E552)*(ROW(TableDiv[Agency])-ROW(TableDiv[[#Headers],[Agency]])),COLUMNS($F$7:AF$7))))</f>
        <v/>
      </c>
      <c r="AG552" s="2223" t="str" cm="1">
        <f t="array" ref="AG552">IF($D552&lt;COLUMNS($F$7:AG$7),"",INDEX(TableDiv[[GASB]:[GASB]],_xlfn.AGGREGATE(15,3,(TableDiv[[Agency]:[Agency]]=$E552)/(TableDiv[[Agency]:[Agency]]=$E552)*(ROW(TableDiv[Agency])-ROW(TableDiv[[#Headers],[Agency]])),COLUMNS($F$7:AG$7))))</f>
        <v/>
      </c>
      <c r="AH552" s="2223" t="str" cm="1">
        <f t="array" ref="AH552">IF($D552&lt;COLUMNS($F$7:AH$7),"",INDEX(TableDiv[[GASB]:[GASB]],_xlfn.AGGREGATE(15,3,(TableDiv[[Agency]:[Agency]]=$E552)/(TableDiv[[Agency]:[Agency]]=$E552)*(ROW(TableDiv[Agency])-ROW(TableDiv[[#Headers],[Agency]])),COLUMNS($F$7:AH$7))))</f>
        <v/>
      </c>
      <c r="AI552" s="2223" t="str" cm="1">
        <f t="array" ref="AI552">IF($D552&lt;COLUMNS($F$7:AI$7),"",INDEX(TableDiv[[GASB]:[GASB]],_xlfn.AGGREGATE(15,3,(TableDiv[[Agency]:[Agency]]=$E552)/(TableDiv[[Agency]:[Agency]]=$E552)*(ROW(TableDiv[Agency])-ROW(TableDiv[[#Headers],[Agency]])),COLUMNS($F$7:AI$7))))</f>
        <v/>
      </c>
      <c r="AJ552" s="2223" t="str" cm="1">
        <f t="array" ref="AJ552">IF($D552&lt;COLUMNS($F$7:AJ$7),"",INDEX(TableDiv[[GASB]:[GASB]],_xlfn.AGGREGATE(15,3,(TableDiv[[Agency]:[Agency]]=$E552)/(TableDiv[[Agency]:[Agency]]=$E552)*(ROW(TableDiv[Agency])-ROW(TableDiv[[#Headers],[Agency]])),COLUMNS($F$7:AJ$7))))</f>
        <v/>
      </c>
      <c r="AK552" s="2223" t="str" cm="1">
        <f t="array" ref="AK552">IF($D552&lt;COLUMNS($F$7:AK$7),"",INDEX(TableDiv[[GASB]:[GASB]],_xlfn.AGGREGATE(15,3,(TableDiv[[Agency]:[Agency]]=$E552)/(TableDiv[[Agency]:[Agency]]=$E552)*(ROW(TableDiv[Agency])-ROW(TableDiv[[#Headers],[Agency]])),COLUMNS($F$7:AK$7))))</f>
        <v/>
      </c>
      <c r="AL552" s="2223" t="str" cm="1">
        <f t="array" ref="AL552">IF($D552&lt;COLUMNS($F$7:AL$7),"",INDEX(TableDiv[[GASB]:[GASB]],_xlfn.AGGREGATE(15,3,(TableDiv[[Agency]:[Agency]]=$E552)/(TableDiv[[Agency]:[Agency]]=$E552)*(ROW(TableDiv[Agency])-ROW(TableDiv[[#Headers],[Agency]])),COLUMNS($F$7:AL$7))))</f>
        <v/>
      </c>
      <c r="AM552" s="2223" t="str" cm="1">
        <f t="array" ref="AM552">IF($D552&lt;COLUMNS($F$7:AM$7),"",INDEX(TableDiv[[GASB]:[GASB]],_xlfn.AGGREGATE(15,3,(TableDiv[[Agency]:[Agency]]=$E552)/(TableDiv[[Agency]:[Agency]]=$E552)*(ROW(TableDiv[Agency])-ROW(TableDiv[[#Headers],[Agency]])),COLUMNS($F$7:AM$7))))</f>
        <v/>
      </c>
      <c r="AN552" s="2223"/>
      <c r="AO552" s="2223"/>
      <c r="AP552" s="2223"/>
      <c r="AQ552" s="2223"/>
      <c r="AR552" s="2223"/>
      <c r="AS552" s="2223"/>
    </row>
    <row r="553" spans="1:45" x14ac:dyDescent="0.2">
      <c r="A553" s="2223"/>
      <c r="B553" s="2223"/>
      <c r="C553" s="2223"/>
      <c r="W553" s="2223" t="str" cm="1">
        <f t="array" ref="W553">IF($D553&lt;COLUMNS($F$7:W$7),"",INDEX(TableDiv[[GASB]:[GASB]],_xlfn.AGGREGATE(15,3,(TableDiv[[Agency]:[Agency]]=$E553)/(TableDiv[[Agency]:[Agency]]=$E553)*(ROW(TableDiv[Agency])-ROW(TableDiv[[#Headers],[Agency]])),COLUMNS($F$7:W$7))))</f>
        <v/>
      </c>
      <c r="X553" s="2223" t="str" cm="1">
        <f t="array" ref="X553">IF($D553&lt;COLUMNS($F$7:X$7),"",INDEX(TableDiv[[GASB]:[GASB]],_xlfn.AGGREGATE(15,3,(TableDiv[[Agency]:[Agency]]=$E553)/(TableDiv[[Agency]:[Agency]]=$E553)*(ROW(TableDiv[Agency])-ROW(TableDiv[[#Headers],[Agency]])),COLUMNS($F$7:X$7))))</f>
        <v/>
      </c>
      <c r="Y553" s="2223" t="str" cm="1">
        <f t="array" ref="Y553">IF($D553&lt;COLUMNS($F$7:Y$7),"",INDEX(TableDiv[[GASB]:[GASB]],_xlfn.AGGREGATE(15,3,(TableDiv[[Agency]:[Agency]]=$E553)/(TableDiv[[Agency]:[Agency]]=$E553)*(ROW(TableDiv[Agency])-ROW(TableDiv[[#Headers],[Agency]])),COLUMNS($F$7:Y$7))))</f>
        <v/>
      </c>
      <c r="Z553" s="2223" t="str" cm="1">
        <f t="array" ref="Z553">IF($D553&lt;COLUMNS($F$7:Z$7),"",INDEX(TableDiv[[GASB]:[GASB]],_xlfn.AGGREGATE(15,3,(TableDiv[[Agency]:[Agency]]=$E553)/(TableDiv[[Agency]:[Agency]]=$E553)*(ROW(TableDiv[Agency])-ROW(TableDiv[[#Headers],[Agency]])),COLUMNS($F$7:Z$7))))</f>
        <v/>
      </c>
      <c r="AA553" s="2223" t="str" cm="1">
        <f t="array" ref="AA553">IF($D553&lt;COLUMNS($F$7:AA$7),"",INDEX(TableDiv[[GASB]:[GASB]],_xlfn.AGGREGATE(15,3,(TableDiv[[Agency]:[Agency]]=$E553)/(TableDiv[[Agency]:[Agency]]=$E553)*(ROW(TableDiv[Agency])-ROW(TableDiv[[#Headers],[Agency]])),COLUMNS($F$7:AA$7))))</f>
        <v/>
      </c>
      <c r="AB553" s="2223" t="str" cm="1">
        <f t="array" ref="AB553">IF($D553&lt;COLUMNS($F$7:AB$7),"",INDEX(TableDiv[[GASB]:[GASB]],_xlfn.AGGREGATE(15,3,(TableDiv[[Agency]:[Agency]]=$E553)/(TableDiv[[Agency]:[Agency]]=$E553)*(ROW(TableDiv[Agency])-ROW(TableDiv[[#Headers],[Agency]])),COLUMNS($F$7:AB$7))))</f>
        <v/>
      </c>
      <c r="AC553" s="2223" t="str" cm="1">
        <f t="array" ref="AC553">IF($D553&lt;COLUMNS($F$7:AC$7),"",INDEX(TableDiv[[GASB]:[GASB]],_xlfn.AGGREGATE(15,3,(TableDiv[[Agency]:[Agency]]=$E553)/(TableDiv[[Agency]:[Agency]]=$E553)*(ROW(TableDiv[Agency])-ROW(TableDiv[[#Headers],[Agency]])),COLUMNS($F$7:AC$7))))</f>
        <v/>
      </c>
      <c r="AD553" s="2223" t="str" cm="1">
        <f t="array" ref="AD553">IF($D553&lt;COLUMNS($F$7:AD$7),"",INDEX(TableDiv[[GASB]:[GASB]],_xlfn.AGGREGATE(15,3,(TableDiv[[Agency]:[Agency]]=$E553)/(TableDiv[[Agency]:[Agency]]=$E553)*(ROW(TableDiv[Agency])-ROW(TableDiv[[#Headers],[Agency]])),COLUMNS($F$7:AD$7))))</f>
        <v/>
      </c>
      <c r="AE553" s="2223" t="str" cm="1">
        <f t="array" ref="AE553">IF($D553&lt;COLUMNS($F$7:AE$7),"",INDEX(TableDiv[[GASB]:[GASB]],_xlfn.AGGREGATE(15,3,(TableDiv[[Agency]:[Agency]]=$E553)/(TableDiv[[Agency]:[Agency]]=$E553)*(ROW(TableDiv[Agency])-ROW(TableDiv[[#Headers],[Agency]])),COLUMNS($F$7:AE$7))))</f>
        <v/>
      </c>
      <c r="AF553" s="2223" t="str" cm="1">
        <f t="array" ref="AF553">IF($D553&lt;COLUMNS($F$7:AF$7),"",INDEX(TableDiv[[GASB]:[GASB]],_xlfn.AGGREGATE(15,3,(TableDiv[[Agency]:[Agency]]=$E553)/(TableDiv[[Agency]:[Agency]]=$E553)*(ROW(TableDiv[Agency])-ROW(TableDiv[[#Headers],[Agency]])),COLUMNS($F$7:AF$7))))</f>
        <v/>
      </c>
      <c r="AG553" s="2223" t="str" cm="1">
        <f t="array" ref="AG553">IF($D553&lt;COLUMNS($F$7:AG$7),"",INDEX(TableDiv[[GASB]:[GASB]],_xlfn.AGGREGATE(15,3,(TableDiv[[Agency]:[Agency]]=$E553)/(TableDiv[[Agency]:[Agency]]=$E553)*(ROW(TableDiv[Agency])-ROW(TableDiv[[#Headers],[Agency]])),COLUMNS($F$7:AG$7))))</f>
        <v/>
      </c>
      <c r="AH553" s="2223" t="str" cm="1">
        <f t="array" ref="AH553">IF($D553&lt;COLUMNS($F$7:AH$7),"",INDEX(TableDiv[[GASB]:[GASB]],_xlfn.AGGREGATE(15,3,(TableDiv[[Agency]:[Agency]]=$E553)/(TableDiv[[Agency]:[Agency]]=$E553)*(ROW(TableDiv[Agency])-ROW(TableDiv[[#Headers],[Agency]])),COLUMNS($F$7:AH$7))))</f>
        <v/>
      </c>
      <c r="AI553" s="2223" t="str" cm="1">
        <f t="array" ref="AI553">IF($D553&lt;COLUMNS($F$7:AI$7),"",INDEX(TableDiv[[GASB]:[GASB]],_xlfn.AGGREGATE(15,3,(TableDiv[[Agency]:[Agency]]=$E553)/(TableDiv[[Agency]:[Agency]]=$E553)*(ROW(TableDiv[Agency])-ROW(TableDiv[[#Headers],[Agency]])),COLUMNS($F$7:AI$7))))</f>
        <v/>
      </c>
      <c r="AJ553" s="2223" t="str" cm="1">
        <f t="array" ref="AJ553">IF($D553&lt;COLUMNS($F$7:AJ$7),"",INDEX(TableDiv[[GASB]:[GASB]],_xlfn.AGGREGATE(15,3,(TableDiv[[Agency]:[Agency]]=$E553)/(TableDiv[[Agency]:[Agency]]=$E553)*(ROW(TableDiv[Agency])-ROW(TableDiv[[#Headers],[Agency]])),COLUMNS($F$7:AJ$7))))</f>
        <v/>
      </c>
      <c r="AK553" s="2223" t="str" cm="1">
        <f t="array" ref="AK553">IF($D553&lt;COLUMNS($F$7:AK$7),"",INDEX(TableDiv[[GASB]:[GASB]],_xlfn.AGGREGATE(15,3,(TableDiv[[Agency]:[Agency]]=$E553)/(TableDiv[[Agency]:[Agency]]=$E553)*(ROW(TableDiv[Agency])-ROW(TableDiv[[#Headers],[Agency]])),COLUMNS($F$7:AK$7))))</f>
        <v/>
      </c>
      <c r="AL553" s="2223" t="str" cm="1">
        <f t="array" ref="AL553">IF($D553&lt;COLUMNS($F$7:AL$7),"",INDEX(TableDiv[[GASB]:[GASB]],_xlfn.AGGREGATE(15,3,(TableDiv[[Agency]:[Agency]]=$E553)/(TableDiv[[Agency]:[Agency]]=$E553)*(ROW(TableDiv[Agency])-ROW(TableDiv[[#Headers],[Agency]])),COLUMNS($F$7:AL$7))))</f>
        <v/>
      </c>
      <c r="AM553" s="2223" t="str" cm="1">
        <f t="array" ref="AM553">IF($D553&lt;COLUMNS($F$7:AM$7),"",INDEX(TableDiv[[GASB]:[GASB]],_xlfn.AGGREGATE(15,3,(TableDiv[[Agency]:[Agency]]=$E553)/(TableDiv[[Agency]:[Agency]]=$E553)*(ROW(TableDiv[Agency])-ROW(TableDiv[[#Headers],[Agency]])),COLUMNS($F$7:AM$7))))</f>
        <v/>
      </c>
      <c r="AN553" s="2223"/>
      <c r="AO553" s="2223"/>
      <c r="AP553" s="2223"/>
      <c r="AQ553" s="2223"/>
      <c r="AR553" s="2223"/>
      <c r="AS553" s="2223"/>
    </row>
    <row r="554" spans="1:45" x14ac:dyDescent="0.2">
      <c r="A554" s="2223"/>
      <c r="B554" s="2223"/>
      <c r="C554" s="2223"/>
      <c r="W554" s="2223" t="str" cm="1">
        <f t="array" ref="W554">IF($D554&lt;COLUMNS($F$7:W$7),"",INDEX(TableDiv[[GASB]:[GASB]],_xlfn.AGGREGATE(15,3,(TableDiv[[Agency]:[Agency]]=$E554)/(TableDiv[[Agency]:[Agency]]=$E554)*(ROW(TableDiv[Agency])-ROW(TableDiv[[#Headers],[Agency]])),COLUMNS($F$7:W$7))))</f>
        <v/>
      </c>
      <c r="X554" s="2223" t="str" cm="1">
        <f t="array" ref="X554">IF($D554&lt;COLUMNS($F$7:X$7),"",INDEX(TableDiv[[GASB]:[GASB]],_xlfn.AGGREGATE(15,3,(TableDiv[[Agency]:[Agency]]=$E554)/(TableDiv[[Agency]:[Agency]]=$E554)*(ROW(TableDiv[Agency])-ROW(TableDiv[[#Headers],[Agency]])),COLUMNS($F$7:X$7))))</f>
        <v/>
      </c>
      <c r="Y554" s="2223" t="str" cm="1">
        <f t="array" ref="Y554">IF($D554&lt;COLUMNS($F$7:Y$7),"",INDEX(TableDiv[[GASB]:[GASB]],_xlfn.AGGREGATE(15,3,(TableDiv[[Agency]:[Agency]]=$E554)/(TableDiv[[Agency]:[Agency]]=$E554)*(ROW(TableDiv[Agency])-ROW(TableDiv[[#Headers],[Agency]])),COLUMNS($F$7:Y$7))))</f>
        <v/>
      </c>
      <c r="Z554" s="2223" t="str" cm="1">
        <f t="array" ref="Z554">IF($D554&lt;COLUMNS($F$7:Z$7),"",INDEX(TableDiv[[GASB]:[GASB]],_xlfn.AGGREGATE(15,3,(TableDiv[[Agency]:[Agency]]=$E554)/(TableDiv[[Agency]:[Agency]]=$E554)*(ROW(TableDiv[Agency])-ROW(TableDiv[[#Headers],[Agency]])),COLUMNS($F$7:Z$7))))</f>
        <v/>
      </c>
      <c r="AA554" s="2223" t="str" cm="1">
        <f t="array" ref="AA554">IF($D554&lt;COLUMNS($F$7:AA$7),"",INDEX(TableDiv[[GASB]:[GASB]],_xlfn.AGGREGATE(15,3,(TableDiv[[Agency]:[Agency]]=$E554)/(TableDiv[[Agency]:[Agency]]=$E554)*(ROW(TableDiv[Agency])-ROW(TableDiv[[#Headers],[Agency]])),COLUMNS($F$7:AA$7))))</f>
        <v/>
      </c>
      <c r="AB554" s="2223" t="str" cm="1">
        <f t="array" ref="AB554">IF($D554&lt;COLUMNS($F$7:AB$7),"",INDEX(TableDiv[[GASB]:[GASB]],_xlfn.AGGREGATE(15,3,(TableDiv[[Agency]:[Agency]]=$E554)/(TableDiv[[Agency]:[Agency]]=$E554)*(ROW(TableDiv[Agency])-ROW(TableDiv[[#Headers],[Agency]])),COLUMNS($F$7:AB$7))))</f>
        <v/>
      </c>
      <c r="AC554" s="2223" t="str" cm="1">
        <f t="array" ref="AC554">IF($D554&lt;COLUMNS($F$7:AC$7),"",INDEX(TableDiv[[GASB]:[GASB]],_xlfn.AGGREGATE(15,3,(TableDiv[[Agency]:[Agency]]=$E554)/(TableDiv[[Agency]:[Agency]]=$E554)*(ROW(TableDiv[Agency])-ROW(TableDiv[[#Headers],[Agency]])),COLUMNS($F$7:AC$7))))</f>
        <v/>
      </c>
      <c r="AD554" s="2223" t="str" cm="1">
        <f t="array" ref="AD554">IF($D554&lt;COLUMNS($F$7:AD$7),"",INDEX(TableDiv[[GASB]:[GASB]],_xlfn.AGGREGATE(15,3,(TableDiv[[Agency]:[Agency]]=$E554)/(TableDiv[[Agency]:[Agency]]=$E554)*(ROW(TableDiv[Agency])-ROW(TableDiv[[#Headers],[Agency]])),COLUMNS($F$7:AD$7))))</f>
        <v/>
      </c>
      <c r="AE554" s="2223" t="str" cm="1">
        <f t="array" ref="AE554">IF($D554&lt;COLUMNS($F$7:AE$7),"",INDEX(TableDiv[[GASB]:[GASB]],_xlfn.AGGREGATE(15,3,(TableDiv[[Agency]:[Agency]]=$E554)/(TableDiv[[Agency]:[Agency]]=$E554)*(ROW(TableDiv[Agency])-ROW(TableDiv[[#Headers],[Agency]])),COLUMNS($F$7:AE$7))))</f>
        <v/>
      </c>
      <c r="AF554" s="2223" t="str" cm="1">
        <f t="array" ref="AF554">IF($D554&lt;COLUMNS($F$7:AF$7),"",INDEX(TableDiv[[GASB]:[GASB]],_xlfn.AGGREGATE(15,3,(TableDiv[[Agency]:[Agency]]=$E554)/(TableDiv[[Agency]:[Agency]]=$E554)*(ROW(TableDiv[Agency])-ROW(TableDiv[[#Headers],[Agency]])),COLUMNS($F$7:AF$7))))</f>
        <v/>
      </c>
      <c r="AG554" s="2223" t="str" cm="1">
        <f t="array" ref="AG554">IF($D554&lt;COLUMNS($F$7:AG$7),"",INDEX(TableDiv[[GASB]:[GASB]],_xlfn.AGGREGATE(15,3,(TableDiv[[Agency]:[Agency]]=$E554)/(TableDiv[[Agency]:[Agency]]=$E554)*(ROW(TableDiv[Agency])-ROW(TableDiv[[#Headers],[Agency]])),COLUMNS($F$7:AG$7))))</f>
        <v/>
      </c>
      <c r="AH554" s="2223" t="str" cm="1">
        <f t="array" ref="AH554">IF($D554&lt;COLUMNS($F$7:AH$7),"",INDEX(TableDiv[[GASB]:[GASB]],_xlfn.AGGREGATE(15,3,(TableDiv[[Agency]:[Agency]]=$E554)/(TableDiv[[Agency]:[Agency]]=$E554)*(ROW(TableDiv[Agency])-ROW(TableDiv[[#Headers],[Agency]])),COLUMNS($F$7:AH$7))))</f>
        <v/>
      </c>
      <c r="AI554" s="2223" t="str" cm="1">
        <f t="array" ref="AI554">IF($D554&lt;COLUMNS($F$7:AI$7),"",INDEX(TableDiv[[GASB]:[GASB]],_xlfn.AGGREGATE(15,3,(TableDiv[[Agency]:[Agency]]=$E554)/(TableDiv[[Agency]:[Agency]]=$E554)*(ROW(TableDiv[Agency])-ROW(TableDiv[[#Headers],[Agency]])),COLUMNS($F$7:AI$7))))</f>
        <v/>
      </c>
      <c r="AJ554" s="2223" t="str" cm="1">
        <f t="array" ref="AJ554">IF($D554&lt;COLUMNS($F$7:AJ$7),"",INDEX(TableDiv[[GASB]:[GASB]],_xlfn.AGGREGATE(15,3,(TableDiv[[Agency]:[Agency]]=$E554)/(TableDiv[[Agency]:[Agency]]=$E554)*(ROW(TableDiv[Agency])-ROW(TableDiv[[#Headers],[Agency]])),COLUMNS($F$7:AJ$7))))</f>
        <v/>
      </c>
      <c r="AK554" s="2223" t="str" cm="1">
        <f t="array" ref="AK554">IF($D554&lt;COLUMNS($F$7:AK$7),"",INDEX(TableDiv[[GASB]:[GASB]],_xlfn.AGGREGATE(15,3,(TableDiv[[Agency]:[Agency]]=$E554)/(TableDiv[[Agency]:[Agency]]=$E554)*(ROW(TableDiv[Agency])-ROW(TableDiv[[#Headers],[Agency]])),COLUMNS($F$7:AK$7))))</f>
        <v/>
      </c>
      <c r="AL554" s="2223" t="str" cm="1">
        <f t="array" ref="AL554">IF($D554&lt;COLUMNS($F$7:AL$7),"",INDEX(TableDiv[[GASB]:[GASB]],_xlfn.AGGREGATE(15,3,(TableDiv[[Agency]:[Agency]]=$E554)/(TableDiv[[Agency]:[Agency]]=$E554)*(ROW(TableDiv[Agency])-ROW(TableDiv[[#Headers],[Agency]])),COLUMNS($F$7:AL$7))))</f>
        <v/>
      </c>
      <c r="AM554" s="2223" t="str" cm="1">
        <f t="array" ref="AM554">IF($D554&lt;COLUMNS($F$7:AM$7),"",INDEX(TableDiv[[GASB]:[GASB]],_xlfn.AGGREGATE(15,3,(TableDiv[[Agency]:[Agency]]=$E554)/(TableDiv[[Agency]:[Agency]]=$E554)*(ROW(TableDiv[Agency])-ROW(TableDiv[[#Headers],[Agency]])),COLUMNS($F$7:AM$7))))</f>
        <v/>
      </c>
      <c r="AN554" s="2223"/>
      <c r="AO554" s="2223"/>
      <c r="AP554" s="2223"/>
      <c r="AQ554" s="2223"/>
      <c r="AR554" s="2223"/>
      <c r="AS554" s="2223"/>
    </row>
    <row r="555" spans="1:45" x14ac:dyDescent="0.2">
      <c r="A555" s="2223"/>
      <c r="B555" s="2223"/>
      <c r="C555" s="2223"/>
      <c r="W555" s="2223" t="str" cm="1">
        <f t="array" ref="W555">IF($D555&lt;COLUMNS($F$7:W$7),"",INDEX(TableDiv[[GASB]:[GASB]],_xlfn.AGGREGATE(15,3,(TableDiv[[Agency]:[Agency]]=$E555)/(TableDiv[[Agency]:[Agency]]=$E555)*(ROW(TableDiv[Agency])-ROW(TableDiv[[#Headers],[Agency]])),COLUMNS($F$7:W$7))))</f>
        <v/>
      </c>
      <c r="X555" s="2223" t="str" cm="1">
        <f t="array" ref="X555">IF($D555&lt;COLUMNS($F$7:X$7),"",INDEX(TableDiv[[GASB]:[GASB]],_xlfn.AGGREGATE(15,3,(TableDiv[[Agency]:[Agency]]=$E555)/(TableDiv[[Agency]:[Agency]]=$E555)*(ROW(TableDiv[Agency])-ROW(TableDiv[[#Headers],[Agency]])),COLUMNS($F$7:X$7))))</f>
        <v/>
      </c>
      <c r="Y555" s="2223" t="str" cm="1">
        <f t="array" ref="Y555">IF($D555&lt;COLUMNS($F$7:Y$7),"",INDEX(TableDiv[[GASB]:[GASB]],_xlfn.AGGREGATE(15,3,(TableDiv[[Agency]:[Agency]]=$E555)/(TableDiv[[Agency]:[Agency]]=$E555)*(ROW(TableDiv[Agency])-ROW(TableDiv[[#Headers],[Agency]])),COLUMNS($F$7:Y$7))))</f>
        <v/>
      </c>
      <c r="Z555" s="2223" t="str" cm="1">
        <f t="array" ref="Z555">IF($D555&lt;COLUMNS($F$7:Z$7),"",INDEX(TableDiv[[GASB]:[GASB]],_xlfn.AGGREGATE(15,3,(TableDiv[[Agency]:[Agency]]=$E555)/(TableDiv[[Agency]:[Agency]]=$E555)*(ROW(TableDiv[Agency])-ROW(TableDiv[[#Headers],[Agency]])),COLUMNS($F$7:Z$7))))</f>
        <v/>
      </c>
      <c r="AA555" s="2223" t="str" cm="1">
        <f t="array" ref="AA555">IF($D555&lt;COLUMNS($F$7:AA$7),"",INDEX(TableDiv[[GASB]:[GASB]],_xlfn.AGGREGATE(15,3,(TableDiv[[Agency]:[Agency]]=$E555)/(TableDiv[[Agency]:[Agency]]=$E555)*(ROW(TableDiv[Agency])-ROW(TableDiv[[#Headers],[Agency]])),COLUMNS($F$7:AA$7))))</f>
        <v/>
      </c>
      <c r="AB555" s="2223" t="str" cm="1">
        <f t="array" ref="AB555">IF($D555&lt;COLUMNS($F$7:AB$7),"",INDEX(TableDiv[[GASB]:[GASB]],_xlfn.AGGREGATE(15,3,(TableDiv[[Agency]:[Agency]]=$E555)/(TableDiv[[Agency]:[Agency]]=$E555)*(ROW(TableDiv[Agency])-ROW(TableDiv[[#Headers],[Agency]])),COLUMNS($F$7:AB$7))))</f>
        <v/>
      </c>
      <c r="AC555" s="2223" t="str" cm="1">
        <f t="array" ref="AC555">IF($D555&lt;COLUMNS($F$7:AC$7),"",INDEX(TableDiv[[GASB]:[GASB]],_xlfn.AGGREGATE(15,3,(TableDiv[[Agency]:[Agency]]=$E555)/(TableDiv[[Agency]:[Agency]]=$E555)*(ROW(TableDiv[Agency])-ROW(TableDiv[[#Headers],[Agency]])),COLUMNS($F$7:AC$7))))</f>
        <v/>
      </c>
      <c r="AD555" s="2223" t="str" cm="1">
        <f t="array" ref="AD555">IF($D555&lt;COLUMNS($F$7:AD$7),"",INDEX(TableDiv[[GASB]:[GASB]],_xlfn.AGGREGATE(15,3,(TableDiv[[Agency]:[Agency]]=$E555)/(TableDiv[[Agency]:[Agency]]=$E555)*(ROW(TableDiv[Agency])-ROW(TableDiv[[#Headers],[Agency]])),COLUMNS($F$7:AD$7))))</f>
        <v/>
      </c>
      <c r="AE555" s="2223" t="str" cm="1">
        <f t="array" ref="AE555">IF($D555&lt;COLUMNS($F$7:AE$7),"",INDEX(TableDiv[[GASB]:[GASB]],_xlfn.AGGREGATE(15,3,(TableDiv[[Agency]:[Agency]]=$E555)/(TableDiv[[Agency]:[Agency]]=$E555)*(ROW(TableDiv[Agency])-ROW(TableDiv[[#Headers],[Agency]])),COLUMNS($F$7:AE$7))))</f>
        <v/>
      </c>
      <c r="AF555" s="2223" t="str" cm="1">
        <f t="array" ref="AF555">IF($D555&lt;COLUMNS($F$7:AF$7),"",INDEX(TableDiv[[GASB]:[GASB]],_xlfn.AGGREGATE(15,3,(TableDiv[[Agency]:[Agency]]=$E555)/(TableDiv[[Agency]:[Agency]]=$E555)*(ROW(TableDiv[Agency])-ROW(TableDiv[[#Headers],[Agency]])),COLUMNS($F$7:AF$7))))</f>
        <v/>
      </c>
      <c r="AG555" s="2223" t="str" cm="1">
        <f t="array" ref="AG555">IF($D555&lt;COLUMNS($F$7:AG$7),"",INDEX(TableDiv[[GASB]:[GASB]],_xlfn.AGGREGATE(15,3,(TableDiv[[Agency]:[Agency]]=$E555)/(TableDiv[[Agency]:[Agency]]=$E555)*(ROW(TableDiv[Agency])-ROW(TableDiv[[#Headers],[Agency]])),COLUMNS($F$7:AG$7))))</f>
        <v/>
      </c>
      <c r="AH555" s="2223" t="str" cm="1">
        <f t="array" ref="AH555">IF($D555&lt;COLUMNS($F$7:AH$7),"",INDEX(TableDiv[[GASB]:[GASB]],_xlfn.AGGREGATE(15,3,(TableDiv[[Agency]:[Agency]]=$E555)/(TableDiv[[Agency]:[Agency]]=$E555)*(ROW(TableDiv[Agency])-ROW(TableDiv[[#Headers],[Agency]])),COLUMNS($F$7:AH$7))))</f>
        <v/>
      </c>
      <c r="AI555" s="2223" t="str" cm="1">
        <f t="array" ref="AI555">IF($D555&lt;COLUMNS($F$7:AI$7),"",INDEX(TableDiv[[GASB]:[GASB]],_xlfn.AGGREGATE(15,3,(TableDiv[[Agency]:[Agency]]=$E555)/(TableDiv[[Agency]:[Agency]]=$E555)*(ROW(TableDiv[Agency])-ROW(TableDiv[[#Headers],[Agency]])),COLUMNS($F$7:AI$7))))</f>
        <v/>
      </c>
      <c r="AJ555" s="2223" t="str" cm="1">
        <f t="array" ref="AJ555">IF($D555&lt;COLUMNS($F$7:AJ$7),"",INDEX(TableDiv[[GASB]:[GASB]],_xlfn.AGGREGATE(15,3,(TableDiv[[Agency]:[Agency]]=$E555)/(TableDiv[[Agency]:[Agency]]=$E555)*(ROW(TableDiv[Agency])-ROW(TableDiv[[#Headers],[Agency]])),COLUMNS($F$7:AJ$7))))</f>
        <v/>
      </c>
      <c r="AK555" s="2223" t="str" cm="1">
        <f t="array" ref="AK555">IF($D555&lt;COLUMNS($F$7:AK$7),"",INDEX(TableDiv[[GASB]:[GASB]],_xlfn.AGGREGATE(15,3,(TableDiv[[Agency]:[Agency]]=$E555)/(TableDiv[[Agency]:[Agency]]=$E555)*(ROW(TableDiv[Agency])-ROW(TableDiv[[#Headers],[Agency]])),COLUMNS($F$7:AK$7))))</f>
        <v/>
      </c>
      <c r="AL555" s="2223" t="str" cm="1">
        <f t="array" ref="AL555">IF($D555&lt;COLUMNS($F$7:AL$7),"",INDEX(TableDiv[[GASB]:[GASB]],_xlfn.AGGREGATE(15,3,(TableDiv[[Agency]:[Agency]]=$E555)/(TableDiv[[Agency]:[Agency]]=$E555)*(ROW(TableDiv[Agency])-ROW(TableDiv[[#Headers],[Agency]])),COLUMNS($F$7:AL$7))))</f>
        <v/>
      </c>
      <c r="AM555" s="2223" t="str" cm="1">
        <f t="array" ref="AM555">IF($D555&lt;COLUMNS($F$7:AM$7),"",INDEX(TableDiv[[GASB]:[GASB]],_xlfn.AGGREGATE(15,3,(TableDiv[[Agency]:[Agency]]=$E555)/(TableDiv[[Agency]:[Agency]]=$E555)*(ROW(TableDiv[Agency])-ROW(TableDiv[[#Headers],[Agency]])),COLUMNS($F$7:AM$7))))</f>
        <v/>
      </c>
      <c r="AN555" s="2223"/>
      <c r="AO555" s="2223"/>
      <c r="AP555" s="2223"/>
      <c r="AQ555" s="2223"/>
      <c r="AR555" s="2223"/>
      <c r="AS555" s="2223"/>
    </row>
    <row r="556" spans="1:45" x14ac:dyDescent="0.2">
      <c r="A556" s="2223"/>
      <c r="B556" s="2223"/>
      <c r="C556" s="2223"/>
      <c r="W556" s="2223" t="str" cm="1">
        <f t="array" ref="W556">IF($D556&lt;COLUMNS($F$7:W$7),"",INDEX(TableDiv[[GASB]:[GASB]],_xlfn.AGGREGATE(15,3,(TableDiv[[Agency]:[Agency]]=$E556)/(TableDiv[[Agency]:[Agency]]=$E556)*(ROW(TableDiv[Agency])-ROW(TableDiv[[#Headers],[Agency]])),COLUMNS($F$7:W$7))))</f>
        <v/>
      </c>
      <c r="X556" s="2223" t="str" cm="1">
        <f t="array" ref="X556">IF($D556&lt;COLUMNS($F$7:X$7),"",INDEX(TableDiv[[GASB]:[GASB]],_xlfn.AGGREGATE(15,3,(TableDiv[[Agency]:[Agency]]=$E556)/(TableDiv[[Agency]:[Agency]]=$E556)*(ROW(TableDiv[Agency])-ROW(TableDiv[[#Headers],[Agency]])),COLUMNS($F$7:X$7))))</f>
        <v/>
      </c>
      <c r="Y556" s="2223" t="str" cm="1">
        <f t="array" ref="Y556">IF($D556&lt;COLUMNS($F$7:Y$7),"",INDEX(TableDiv[[GASB]:[GASB]],_xlfn.AGGREGATE(15,3,(TableDiv[[Agency]:[Agency]]=$E556)/(TableDiv[[Agency]:[Agency]]=$E556)*(ROW(TableDiv[Agency])-ROW(TableDiv[[#Headers],[Agency]])),COLUMNS($F$7:Y$7))))</f>
        <v/>
      </c>
      <c r="Z556" s="2223" t="str" cm="1">
        <f t="array" ref="Z556">IF($D556&lt;COLUMNS($F$7:Z$7),"",INDEX(TableDiv[[GASB]:[GASB]],_xlfn.AGGREGATE(15,3,(TableDiv[[Agency]:[Agency]]=$E556)/(TableDiv[[Agency]:[Agency]]=$E556)*(ROW(TableDiv[Agency])-ROW(TableDiv[[#Headers],[Agency]])),COLUMNS($F$7:Z$7))))</f>
        <v/>
      </c>
      <c r="AA556" s="2223" t="str" cm="1">
        <f t="array" ref="AA556">IF($D556&lt;COLUMNS($F$7:AA$7),"",INDEX(TableDiv[[GASB]:[GASB]],_xlfn.AGGREGATE(15,3,(TableDiv[[Agency]:[Agency]]=$E556)/(TableDiv[[Agency]:[Agency]]=$E556)*(ROW(TableDiv[Agency])-ROW(TableDiv[[#Headers],[Agency]])),COLUMNS($F$7:AA$7))))</f>
        <v/>
      </c>
      <c r="AB556" s="2223" t="str" cm="1">
        <f t="array" ref="AB556">IF($D556&lt;COLUMNS($F$7:AB$7),"",INDEX(TableDiv[[GASB]:[GASB]],_xlfn.AGGREGATE(15,3,(TableDiv[[Agency]:[Agency]]=$E556)/(TableDiv[[Agency]:[Agency]]=$E556)*(ROW(TableDiv[Agency])-ROW(TableDiv[[#Headers],[Agency]])),COLUMNS($F$7:AB$7))))</f>
        <v/>
      </c>
      <c r="AC556" s="2223" t="str" cm="1">
        <f t="array" ref="AC556">IF($D556&lt;COLUMNS($F$7:AC$7),"",INDEX(TableDiv[[GASB]:[GASB]],_xlfn.AGGREGATE(15,3,(TableDiv[[Agency]:[Agency]]=$E556)/(TableDiv[[Agency]:[Agency]]=$E556)*(ROW(TableDiv[Agency])-ROW(TableDiv[[#Headers],[Agency]])),COLUMNS($F$7:AC$7))))</f>
        <v/>
      </c>
      <c r="AD556" s="2223" t="str" cm="1">
        <f t="array" ref="AD556">IF($D556&lt;COLUMNS($F$7:AD$7),"",INDEX(TableDiv[[GASB]:[GASB]],_xlfn.AGGREGATE(15,3,(TableDiv[[Agency]:[Agency]]=$E556)/(TableDiv[[Agency]:[Agency]]=$E556)*(ROW(TableDiv[Agency])-ROW(TableDiv[[#Headers],[Agency]])),COLUMNS($F$7:AD$7))))</f>
        <v/>
      </c>
      <c r="AE556" s="2223" t="str" cm="1">
        <f t="array" ref="AE556">IF($D556&lt;COLUMNS($F$7:AE$7),"",INDEX(TableDiv[[GASB]:[GASB]],_xlfn.AGGREGATE(15,3,(TableDiv[[Agency]:[Agency]]=$E556)/(TableDiv[[Agency]:[Agency]]=$E556)*(ROW(TableDiv[Agency])-ROW(TableDiv[[#Headers],[Agency]])),COLUMNS($F$7:AE$7))))</f>
        <v/>
      </c>
      <c r="AF556" s="2223" t="str" cm="1">
        <f t="array" ref="AF556">IF($D556&lt;COLUMNS($F$7:AF$7),"",INDEX(TableDiv[[GASB]:[GASB]],_xlfn.AGGREGATE(15,3,(TableDiv[[Agency]:[Agency]]=$E556)/(TableDiv[[Agency]:[Agency]]=$E556)*(ROW(TableDiv[Agency])-ROW(TableDiv[[#Headers],[Agency]])),COLUMNS($F$7:AF$7))))</f>
        <v/>
      </c>
      <c r="AG556" s="2223" t="str" cm="1">
        <f t="array" ref="AG556">IF($D556&lt;COLUMNS($F$7:AG$7),"",INDEX(TableDiv[[GASB]:[GASB]],_xlfn.AGGREGATE(15,3,(TableDiv[[Agency]:[Agency]]=$E556)/(TableDiv[[Agency]:[Agency]]=$E556)*(ROW(TableDiv[Agency])-ROW(TableDiv[[#Headers],[Agency]])),COLUMNS($F$7:AG$7))))</f>
        <v/>
      </c>
      <c r="AH556" s="2223" t="str" cm="1">
        <f t="array" ref="AH556">IF($D556&lt;COLUMNS($F$7:AH$7),"",INDEX(TableDiv[[GASB]:[GASB]],_xlfn.AGGREGATE(15,3,(TableDiv[[Agency]:[Agency]]=$E556)/(TableDiv[[Agency]:[Agency]]=$E556)*(ROW(TableDiv[Agency])-ROW(TableDiv[[#Headers],[Agency]])),COLUMNS($F$7:AH$7))))</f>
        <v/>
      </c>
      <c r="AI556" s="2223" t="str" cm="1">
        <f t="array" ref="AI556">IF($D556&lt;COLUMNS($F$7:AI$7),"",INDEX(TableDiv[[GASB]:[GASB]],_xlfn.AGGREGATE(15,3,(TableDiv[[Agency]:[Agency]]=$E556)/(TableDiv[[Agency]:[Agency]]=$E556)*(ROW(TableDiv[Agency])-ROW(TableDiv[[#Headers],[Agency]])),COLUMNS($F$7:AI$7))))</f>
        <v/>
      </c>
      <c r="AJ556" s="2223" t="str" cm="1">
        <f t="array" ref="AJ556">IF($D556&lt;COLUMNS($F$7:AJ$7),"",INDEX(TableDiv[[GASB]:[GASB]],_xlfn.AGGREGATE(15,3,(TableDiv[[Agency]:[Agency]]=$E556)/(TableDiv[[Agency]:[Agency]]=$E556)*(ROW(TableDiv[Agency])-ROW(TableDiv[[#Headers],[Agency]])),COLUMNS($F$7:AJ$7))))</f>
        <v/>
      </c>
      <c r="AK556" s="2223" t="str" cm="1">
        <f t="array" ref="AK556">IF($D556&lt;COLUMNS($F$7:AK$7),"",INDEX(TableDiv[[GASB]:[GASB]],_xlfn.AGGREGATE(15,3,(TableDiv[[Agency]:[Agency]]=$E556)/(TableDiv[[Agency]:[Agency]]=$E556)*(ROW(TableDiv[Agency])-ROW(TableDiv[[#Headers],[Agency]])),COLUMNS($F$7:AK$7))))</f>
        <v/>
      </c>
      <c r="AL556" s="2223" t="str" cm="1">
        <f t="array" ref="AL556">IF($D556&lt;COLUMNS($F$7:AL$7),"",INDEX(TableDiv[[GASB]:[GASB]],_xlfn.AGGREGATE(15,3,(TableDiv[[Agency]:[Agency]]=$E556)/(TableDiv[[Agency]:[Agency]]=$E556)*(ROW(TableDiv[Agency])-ROW(TableDiv[[#Headers],[Agency]])),COLUMNS($F$7:AL$7))))</f>
        <v/>
      </c>
      <c r="AM556" s="2223" t="str" cm="1">
        <f t="array" ref="AM556">IF($D556&lt;COLUMNS($F$7:AM$7),"",INDEX(TableDiv[[GASB]:[GASB]],_xlfn.AGGREGATE(15,3,(TableDiv[[Agency]:[Agency]]=$E556)/(TableDiv[[Agency]:[Agency]]=$E556)*(ROW(TableDiv[Agency])-ROW(TableDiv[[#Headers],[Agency]])),COLUMNS($F$7:AM$7))))</f>
        <v/>
      </c>
      <c r="AN556" s="2223"/>
      <c r="AO556" s="2223"/>
      <c r="AP556" s="2223"/>
      <c r="AQ556" s="2223"/>
      <c r="AR556" s="2223"/>
      <c r="AS556" s="2223"/>
    </row>
    <row r="557" spans="1:45" x14ac:dyDescent="0.2">
      <c r="A557" s="2223"/>
      <c r="B557" s="2223"/>
      <c r="C557" s="2223"/>
      <c r="W557" s="2223" t="str" cm="1">
        <f t="array" ref="W557">IF($D557&lt;COLUMNS($F$7:W$7),"",INDEX(TableDiv[[GASB]:[GASB]],_xlfn.AGGREGATE(15,3,(TableDiv[[Agency]:[Agency]]=$E557)/(TableDiv[[Agency]:[Agency]]=$E557)*(ROW(TableDiv[Agency])-ROW(TableDiv[[#Headers],[Agency]])),COLUMNS($F$7:W$7))))</f>
        <v/>
      </c>
      <c r="X557" s="2223" t="str" cm="1">
        <f t="array" ref="X557">IF($D557&lt;COLUMNS($F$7:X$7),"",INDEX(TableDiv[[GASB]:[GASB]],_xlfn.AGGREGATE(15,3,(TableDiv[[Agency]:[Agency]]=$E557)/(TableDiv[[Agency]:[Agency]]=$E557)*(ROW(TableDiv[Agency])-ROW(TableDiv[[#Headers],[Agency]])),COLUMNS($F$7:X$7))))</f>
        <v/>
      </c>
      <c r="Y557" s="2223" t="str" cm="1">
        <f t="array" ref="Y557">IF($D557&lt;COLUMNS($F$7:Y$7),"",INDEX(TableDiv[[GASB]:[GASB]],_xlfn.AGGREGATE(15,3,(TableDiv[[Agency]:[Agency]]=$E557)/(TableDiv[[Agency]:[Agency]]=$E557)*(ROW(TableDiv[Agency])-ROW(TableDiv[[#Headers],[Agency]])),COLUMNS($F$7:Y$7))))</f>
        <v/>
      </c>
      <c r="Z557" s="2223" t="str" cm="1">
        <f t="array" ref="Z557">IF($D557&lt;COLUMNS($F$7:Z$7),"",INDEX(TableDiv[[GASB]:[GASB]],_xlfn.AGGREGATE(15,3,(TableDiv[[Agency]:[Agency]]=$E557)/(TableDiv[[Agency]:[Agency]]=$E557)*(ROW(TableDiv[Agency])-ROW(TableDiv[[#Headers],[Agency]])),COLUMNS($F$7:Z$7))))</f>
        <v/>
      </c>
      <c r="AA557" s="2223" t="str" cm="1">
        <f t="array" ref="AA557">IF($D557&lt;COLUMNS($F$7:AA$7),"",INDEX(TableDiv[[GASB]:[GASB]],_xlfn.AGGREGATE(15,3,(TableDiv[[Agency]:[Agency]]=$E557)/(TableDiv[[Agency]:[Agency]]=$E557)*(ROW(TableDiv[Agency])-ROW(TableDiv[[#Headers],[Agency]])),COLUMNS($F$7:AA$7))))</f>
        <v/>
      </c>
      <c r="AB557" s="2223" t="str" cm="1">
        <f t="array" ref="AB557">IF($D557&lt;COLUMNS($F$7:AB$7),"",INDEX(TableDiv[[GASB]:[GASB]],_xlfn.AGGREGATE(15,3,(TableDiv[[Agency]:[Agency]]=$E557)/(TableDiv[[Agency]:[Agency]]=$E557)*(ROW(TableDiv[Agency])-ROW(TableDiv[[#Headers],[Agency]])),COLUMNS($F$7:AB$7))))</f>
        <v/>
      </c>
      <c r="AC557" s="2223" t="str" cm="1">
        <f t="array" ref="AC557">IF($D557&lt;COLUMNS($F$7:AC$7),"",INDEX(TableDiv[[GASB]:[GASB]],_xlfn.AGGREGATE(15,3,(TableDiv[[Agency]:[Agency]]=$E557)/(TableDiv[[Agency]:[Agency]]=$E557)*(ROW(TableDiv[Agency])-ROW(TableDiv[[#Headers],[Agency]])),COLUMNS($F$7:AC$7))))</f>
        <v/>
      </c>
      <c r="AD557" s="2223" t="str" cm="1">
        <f t="array" ref="AD557">IF($D557&lt;COLUMNS($F$7:AD$7),"",INDEX(TableDiv[[GASB]:[GASB]],_xlfn.AGGREGATE(15,3,(TableDiv[[Agency]:[Agency]]=$E557)/(TableDiv[[Agency]:[Agency]]=$E557)*(ROW(TableDiv[Agency])-ROW(TableDiv[[#Headers],[Agency]])),COLUMNS($F$7:AD$7))))</f>
        <v/>
      </c>
      <c r="AE557" s="2223" t="str" cm="1">
        <f t="array" ref="AE557">IF($D557&lt;COLUMNS($F$7:AE$7),"",INDEX(TableDiv[[GASB]:[GASB]],_xlfn.AGGREGATE(15,3,(TableDiv[[Agency]:[Agency]]=$E557)/(TableDiv[[Agency]:[Agency]]=$E557)*(ROW(TableDiv[Agency])-ROW(TableDiv[[#Headers],[Agency]])),COLUMNS($F$7:AE$7))))</f>
        <v/>
      </c>
      <c r="AF557" s="2223" t="str" cm="1">
        <f t="array" ref="AF557">IF($D557&lt;COLUMNS($F$7:AF$7),"",INDEX(TableDiv[[GASB]:[GASB]],_xlfn.AGGREGATE(15,3,(TableDiv[[Agency]:[Agency]]=$E557)/(TableDiv[[Agency]:[Agency]]=$E557)*(ROW(TableDiv[Agency])-ROW(TableDiv[[#Headers],[Agency]])),COLUMNS($F$7:AF$7))))</f>
        <v/>
      </c>
      <c r="AG557" s="2223" t="str" cm="1">
        <f t="array" ref="AG557">IF($D557&lt;COLUMNS($F$7:AG$7),"",INDEX(TableDiv[[GASB]:[GASB]],_xlfn.AGGREGATE(15,3,(TableDiv[[Agency]:[Agency]]=$E557)/(TableDiv[[Agency]:[Agency]]=$E557)*(ROW(TableDiv[Agency])-ROW(TableDiv[[#Headers],[Agency]])),COLUMNS($F$7:AG$7))))</f>
        <v/>
      </c>
      <c r="AH557" s="2223" t="str" cm="1">
        <f t="array" ref="AH557">IF($D557&lt;COLUMNS($F$7:AH$7),"",INDEX(TableDiv[[GASB]:[GASB]],_xlfn.AGGREGATE(15,3,(TableDiv[[Agency]:[Agency]]=$E557)/(TableDiv[[Agency]:[Agency]]=$E557)*(ROW(TableDiv[Agency])-ROW(TableDiv[[#Headers],[Agency]])),COLUMNS($F$7:AH$7))))</f>
        <v/>
      </c>
      <c r="AI557" s="2223" t="str" cm="1">
        <f t="array" ref="AI557">IF($D557&lt;COLUMNS($F$7:AI$7),"",INDEX(TableDiv[[GASB]:[GASB]],_xlfn.AGGREGATE(15,3,(TableDiv[[Agency]:[Agency]]=$E557)/(TableDiv[[Agency]:[Agency]]=$E557)*(ROW(TableDiv[Agency])-ROW(TableDiv[[#Headers],[Agency]])),COLUMNS($F$7:AI$7))))</f>
        <v/>
      </c>
      <c r="AJ557" s="2223" t="str" cm="1">
        <f t="array" ref="AJ557">IF($D557&lt;COLUMNS($F$7:AJ$7),"",INDEX(TableDiv[[GASB]:[GASB]],_xlfn.AGGREGATE(15,3,(TableDiv[[Agency]:[Agency]]=$E557)/(TableDiv[[Agency]:[Agency]]=$E557)*(ROW(TableDiv[Agency])-ROW(TableDiv[[#Headers],[Agency]])),COLUMNS($F$7:AJ$7))))</f>
        <v/>
      </c>
      <c r="AK557" s="2223" t="str" cm="1">
        <f t="array" ref="AK557">IF($D557&lt;COLUMNS($F$7:AK$7),"",INDEX(TableDiv[[GASB]:[GASB]],_xlfn.AGGREGATE(15,3,(TableDiv[[Agency]:[Agency]]=$E557)/(TableDiv[[Agency]:[Agency]]=$E557)*(ROW(TableDiv[Agency])-ROW(TableDiv[[#Headers],[Agency]])),COLUMNS($F$7:AK$7))))</f>
        <v/>
      </c>
      <c r="AL557" s="2223" t="str" cm="1">
        <f t="array" ref="AL557">IF($D557&lt;COLUMNS($F$7:AL$7),"",INDEX(TableDiv[[GASB]:[GASB]],_xlfn.AGGREGATE(15,3,(TableDiv[[Agency]:[Agency]]=$E557)/(TableDiv[[Agency]:[Agency]]=$E557)*(ROW(TableDiv[Agency])-ROW(TableDiv[[#Headers],[Agency]])),COLUMNS($F$7:AL$7))))</f>
        <v/>
      </c>
      <c r="AM557" s="2223" t="str" cm="1">
        <f t="array" ref="AM557">IF($D557&lt;COLUMNS($F$7:AM$7),"",INDEX(TableDiv[[GASB]:[GASB]],_xlfn.AGGREGATE(15,3,(TableDiv[[Agency]:[Agency]]=$E557)/(TableDiv[[Agency]:[Agency]]=$E557)*(ROW(TableDiv[Agency])-ROW(TableDiv[[#Headers],[Agency]])),COLUMNS($F$7:AM$7))))</f>
        <v/>
      </c>
      <c r="AN557" s="2223"/>
      <c r="AO557" s="2223"/>
      <c r="AP557" s="2223"/>
      <c r="AQ557" s="2223"/>
      <c r="AR557" s="2223"/>
      <c r="AS557" s="2223"/>
    </row>
    <row r="558" spans="1:45" x14ac:dyDescent="0.2">
      <c r="A558" s="2223"/>
      <c r="B558" s="2223"/>
      <c r="C558" s="2223"/>
      <c r="W558" s="2223" t="str" cm="1">
        <f t="array" ref="W558">IF($D558&lt;COLUMNS($F$7:W$7),"",INDEX(TableDiv[[GASB]:[GASB]],_xlfn.AGGREGATE(15,3,(TableDiv[[Agency]:[Agency]]=$E558)/(TableDiv[[Agency]:[Agency]]=$E558)*(ROW(TableDiv[Agency])-ROW(TableDiv[[#Headers],[Agency]])),COLUMNS($F$7:W$7))))</f>
        <v/>
      </c>
      <c r="X558" s="2223" t="str" cm="1">
        <f t="array" ref="X558">IF($D558&lt;COLUMNS($F$7:X$7),"",INDEX(TableDiv[[GASB]:[GASB]],_xlfn.AGGREGATE(15,3,(TableDiv[[Agency]:[Agency]]=$E558)/(TableDiv[[Agency]:[Agency]]=$E558)*(ROW(TableDiv[Agency])-ROW(TableDiv[[#Headers],[Agency]])),COLUMNS($F$7:X$7))))</f>
        <v/>
      </c>
      <c r="Y558" s="2223" t="str" cm="1">
        <f t="array" ref="Y558">IF($D558&lt;COLUMNS($F$7:Y$7),"",INDEX(TableDiv[[GASB]:[GASB]],_xlfn.AGGREGATE(15,3,(TableDiv[[Agency]:[Agency]]=$E558)/(TableDiv[[Agency]:[Agency]]=$E558)*(ROW(TableDiv[Agency])-ROW(TableDiv[[#Headers],[Agency]])),COLUMNS($F$7:Y$7))))</f>
        <v/>
      </c>
      <c r="Z558" s="2223" t="str" cm="1">
        <f t="array" ref="Z558">IF($D558&lt;COLUMNS($F$7:Z$7),"",INDEX(TableDiv[[GASB]:[GASB]],_xlfn.AGGREGATE(15,3,(TableDiv[[Agency]:[Agency]]=$E558)/(TableDiv[[Agency]:[Agency]]=$E558)*(ROW(TableDiv[Agency])-ROW(TableDiv[[#Headers],[Agency]])),COLUMNS($F$7:Z$7))))</f>
        <v/>
      </c>
      <c r="AA558" s="2223" t="str" cm="1">
        <f t="array" ref="AA558">IF($D558&lt;COLUMNS($F$7:AA$7),"",INDEX(TableDiv[[GASB]:[GASB]],_xlfn.AGGREGATE(15,3,(TableDiv[[Agency]:[Agency]]=$E558)/(TableDiv[[Agency]:[Agency]]=$E558)*(ROW(TableDiv[Agency])-ROW(TableDiv[[#Headers],[Agency]])),COLUMNS($F$7:AA$7))))</f>
        <v/>
      </c>
      <c r="AB558" s="2223" t="str" cm="1">
        <f t="array" ref="AB558">IF($D558&lt;COLUMNS($F$7:AB$7),"",INDEX(TableDiv[[GASB]:[GASB]],_xlfn.AGGREGATE(15,3,(TableDiv[[Agency]:[Agency]]=$E558)/(TableDiv[[Agency]:[Agency]]=$E558)*(ROW(TableDiv[Agency])-ROW(TableDiv[[#Headers],[Agency]])),COLUMNS($F$7:AB$7))))</f>
        <v/>
      </c>
      <c r="AC558" s="2223" t="str" cm="1">
        <f t="array" ref="AC558">IF($D558&lt;COLUMNS($F$7:AC$7),"",INDEX(TableDiv[[GASB]:[GASB]],_xlfn.AGGREGATE(15,3,(TableDiv[[Agency]:[Agency]]=$E558)/(TableDiv[[Agency]:[Agency]]=$E558)*(ROW(TableDiv[Agency])-ROW(TableDiv[[#Headers],[Agency]])),COLUMNS($F$7:AC$7))))</f>
        <v/>
      </c>
      <c r="AD558" s="2223" t="str" cm="1">
        <f t="array" ref="AD558">IF($D558&lt;COLUMNS($F$7:AD$7),"",INDEX(TableDiv[[GASB]:[GASB]],_xlfn.AGGREGATE(15,3,(TableDiv[[Agency]:[Agency]]=$E558)/(TableDiv[[Agency]:[Agency]]=$E558)*(ROW(TableDiv[Agency])-ROW(TableDiv[[#Headers],[Agency]])),COLUMNS($F$7:AD$7))))</f>
        <v/>
      </c>
      <c r="AE558" s="2223" t="str" cm="1">
        <f t="array" ref="AE558">IF($D558&lt;COLUMNS($F$7:AE$7),"",INDEX(TableDiv[[GASB]:[GASB]],_xlfn.AGGREGATE(15,3,(TableDiv[[Agency]:[Agency]]=$E558)/(TableDiv[[Agency]:[Agency]]=$E558)*(ROW(TableDiv[Agency])-ROW(TableDiv[[#Headers],[Agency]])),COLUMNS($F$7:AE$7))))</f>
        <v/>
      </c>
      <c r="AF558" s="2223" t="str" cm="1">
        <f t="array" ref="AF558">IF($D558&lt;COLUMNS($F$7:AF$7),"",INDEX(TableDiv[[GASB]:[GASB]],_xlfn.AGGREGATE(15,3,(TableDiv[[Agency]:[Agency]]=$E558)/(TableDiv[[Agency]:[Agency]]=$E558)*(ROW(TableDiv[Agency])-ROW(TableDiv[[#Headers],[Agency]])),COLUMNS($F$7:AF$7))))</f>
        <v/>
      </c>
      <c r="AG558" s="2223" t="str" cm="1">
        <f t="array" ref="AG558">IF($D558&lt;COLUMNS($F$7:AG$7),"",INDEX(TableDiv[[GASB]:[GASB]],_xlfn.AGGREGATE(15,3,(TableDiv[[Agency]:[Agency]]=$E558)/(TableDiv[[Agency]:[Agency]]=$E558)*(ROW(TableDiv[Agency])-ROW(TableDiv[[#Headers],[Agency]])),COLUMNS($F$7:AG$7))))</f>
        <v/>
      </c>
      <c r="AH558" s="2223" t="str" cm="1">
        <f t="array" ref="AH558">IF($D558&lt;COLUMNS($F$7:AH$7),"",INDEX(TableDiv[[GASB]:[GASB]],_xlfn.AGGREGATE(15,3,(TableDiv[[Agency]:[Agency]]=$E558)/(TableDiv[[Agency]:[Agency]]=$E558)*(ROW(TableDiv[Agency])-ROW(TableDiv[[#Headers],[Agency]])),COLUMNS($F$7:AH$7))))</f>
        <v/>
      </c>
      <c r="AI558" s="2223" t="str" cm="1">
        <f t="array" ref="AI558">IF($D558&lt;COLUMNS($F$7:AI$7),"",INDEX(TableDiv[[GASB]:[GASB]],_xlfn.AGGREGATE(15,3,(TableDiv[[Agency]:[Agency]]=$E558)/(TableDiv[[Agency]:[Agency]]=$E558)*(ROW(TableDiv[Agency])-ROW(TableDiv[[#Headers],[Agency]])),COLUMNS($F$7:AI$7))))</f>
        <v/>
      </c>
      <c r="AJ558" s="2223" t="str" cm="1">
        <f t="array" ref="AJ558">IF($D558&lt;COLUMNS($F$7:AJ$7),"",INDEX(TableDiv[[GASB]:[GASB]],_xlfn.AGGREGATE(15,3,(TableDiv[[Agency]:[Agency]]=$E558)/(TableDiv[[Agency]:[Agency]]=$E558)*(ROW(TableDiv[Agency])-ROW(TableDiv[[#Headers],[Agency]])),COLUMNS($F$7:AJ$7))))</f>
        <v/>
      </c>
      <c r="AK558" s="2223" t="str" cm="1">
        <f t="array" ref="AK558">IF($D558&lt;COLUMNS($F$7:AK$7),"",INDEX(TableDiv[[GASB]:[GASB]],_xlfn.AGGREGATE(15,3,(TableDiv[[Agency]:[Agency]]=$E558)/(TableDiv[[Agency]:[Agency]]=$E558)*(ROW(TableDiv[Agency])-ROW(TableDiv[[#Headers],[Agency]])),COLUMNS($F$7:AK$7))))</f>
        <v/>
      </c>
      <c r="AL558" s="2223" t="str" cm="1">
        <f t="array" ref="AL558">IF($D558&lt;COLUMNS($F$7:AL$7),"",INDEX(TableDiv[[GASB]:[GASB]],_xlfn.AGGREGATE(15,3,(TableDiv[[Agency]:[Agency]]=$E558)/(TableDiv[[Agency]:[Agency]]=$E558)*(ROW(TableDiv[Agency])-ROW(TableDiv[[#Headers],[Agency]])),COLUMNS($F$7:AL$7))))</f>
        <v/>
      </c>
      <c r="AM558" s="2223" t="str" cm="1">
        <f t="array" ref="AM558">IF($D558&lt;COLUMNS($F$7:AM$7),"",INDEX(TableDiv[[GASB]:[GASB]],_xlfn.AGGREGATE(15,3,(TableDiv[[Agency]:[Agency]]=$E558)/(TableDiv[[Agency]:[Agency]]=$E558)*(ROW(TableDiv[Agency])-ROW(TableDiv[[#Headers],[Agency]])),COLUMNS($F$7:AM$7))))</f>
        <v/>
      </c>
      <c r="AN558" s="2223"/>
      <c r="AO558" s="2223"/>
      <c r="AP558" s="2223"/>
      <c r="AQ558" s="2223"/>
      <c r="AR558" s="2223"/>
      <c r="AS558" s="2223"/>
    </row>
    <row r="559" spans="1:45" x14ac:dyDescent="0.2">
      <c r="A559" s="2223"/>
      <c r="B559" s="2223"/>
      <c r="C559" s="2223"/>
      <c r="W559" s="2223" t="str" cm="1">
        <f t="array" ref="W559">IF($D559&lt;COLUMNS($F$7:W$7),"",INDEX(TableDiv[[GASB]:[GASB]],_xlfn.AGGREGATE(15,3,(TableDiv[[Agency]:[Agency]]=$E559)/(TableDiv[[Agency]:[Agency]]=$E559)*(ROW(TableDiv[Agency])-ROW(TableDiv[[#Headers],[Agency]])),COLUMNS($F$7:W$7))))</f>
        <v/>
      </c>
      <c r="X559" s="2223" t="str" cm="1">
        <f t="array" ref="X559">IF($D559&lt;COLUMNS($F$7:X$7),"",INDEX(TableDiv[[GASB]:[GASB]],_xlfn.AGGREGATE(15,3,(TableDiv[[Agency]:[Agency]]=$E559)/(TableDiv[[Agency]:[Agency]]=$E559)*(ROW(TableDiv[Agency])-ROW(TableDiv[[#Headers],[Agency]])),COLUMNS($F$7:X$7))))</f>
        <v/>
      </c>
      <c r="Y559" s="2223" t="str" cm="1">
        <f t="array" ref="Y559">IF($D559&lt;COLUMNS($F$7:Y$7),"",INDEX(TableDiv[[GASB]:[GASB]],_xlfn.AGGREGATE(15,3,(TableDiv[[Agency]:[Agency]]=$E559)/(TableDiv[[Agency]:[Agency]]=$E559)*(ROW(TableDiv[Agency])-ROW(TableDiv[[#Headers],[Agency]])),COLUMNS($F$7:Y$7))))</f>
        <v/>
      </c>
      <c r="Z559" s="2223" t="str" cm="1">
        <f t="array" ref="Z559">IF($D559&lt;COLUMNS($F$7:Z$7),"",INDEX(TableDiv[[GASB]:[GASB]],_xlfn.AGGREGATE(15,3,(TableDiv[[Agency]:[Agency]]=$E559)/(TableDiv[[Agency]:[Agency]]=$E559)*(ROW(TableDiv[Agency])-ROW(TableDiv[[#Headers],[Agency]])),COLUMNS($F$7:Z$7))))</f>
        <v/>
      </c>
      <c r="AA559" s="2223" t="str" cm="1">
        <f t="array" ref="AA559">IF($D559&lt;COLUMNS($F$7:AA$7),"",INDEX(TableDiv[[GASB]:[GASB]],_xlfn.AGGREGATE(15,3,(TableDiv[[Agency]:[Agency]]=$E559)/(TableDiv[[Agency]:[Agency]]=$E559)*(ROW(TableDiv[Agency])-ROW(TableDiv[[#Headers],[Agency]])),COLUMNS($F$7:AA$7))))</f>
        <v/>
      </c>
      <c r="AB559" s="2223" t="str" cm="1">
        <f t="array" ref="AB559">IF($D559&lt;COLUMNS($F$7:AB$7),"",INDEX(TableDiv[[GASB]:[GASB]],_xlfn.AGGREGATE(15,3,(TableDiv[[Agency]:[Agency]]=$E559)/(TableDiv[[Agency]:[Agency]]=$E559)*(ROW(TableDiv[Agency])-ROW(TableDiv[[#Headers],[Agency]])),COLUMNS($F$7:AB$7))))</f>
        <v/>
      </c>
      <c r="AC559" s="2223" t="str" cm="1">
        <f t="array" ref="AC559">IF($D559&lt;COLUMNS($F$7:AC$7),"",INDEX(TableDiv[[GASB]:[GASB]],_xlfn.AGGREGATE(15,3,(TableDiv[[Agency]:[Agency]]=$E559)/(TableDiv[[Agency]:[Agency]]=$E559)*(ROW(TableDiv[Agency])-ROW(TableDiv[[#Headers],[Agency]])),COLUMNS($F$7:AC$7))))</f>
        <v/>
      </c>
      <c r="AD559" s="2223" t="str" cm="1">
        <f t="array" ref="AD559">IF($D559&lt;COLUMNS($F$7:AD$7),"",INDEX(TableDiv[[GASB]:[GASB]],_xlfn.AGGREGATE(15,3,(TableDiv[[Agency]:[Agency]]=$E559)/(TableDiv[[Agency]:[Agency]]=$E559)*(ROW(TableDiv[Agency])-ROW(TableDiv[[#Headers],[Agency]])),COLUMNS($F$7:AD$7))))</f>
        <v/>
      </c>
      <c r="AE559" s="2223" t="str" cm="1">
        <f t="array" ref="AE559">IF($D559&lt;COLUMNS($F$7:AE$7),"",INDEX(TableDiv[[GASB]:[GASB]],_xlfn.AGGREGATE(15,3,(TableDiv[[Agency]:[Agency]]=$E559)/(TableDiv[[Agency]:[Agency]]=$E559)*(ROW(TableDiv[Agency])-ROW(TableDiv[[#Headers],[Agency]])),COLUMNS($F$7:AE$7))))</f>
        <v/>
      </c>
      <c r="AF559" s="2223" t="str" cm="1">
        <f t="array" ref="AF559">IF($D559&lt;COLUMNS($F$7:AF$7),"",INDEX(TableDiv[[GASB]:[GASB]],_xlfn.AGGREGATE(15,3,(TableDiv[[Agency]:[Agency]]=$E559)/(TableDiv[[Agency]:[Agency]]=$E559)*(ROW(TableDiv[Agency])-ROW(TableDiv[[#Headers],[Agency]])),COLUMNS($F$7:AF$7))))</f>
        <v/>
      </c>
      <c r="AG559" s="2223" t="str" cm="1">
        <f t="array" ref="AG559">IF($D559&lt;COLUMNS($F$7:AG$7),"",INDEX(TableDiv[[GASB]:[GASB]],_xlfn.AGGREGATE(15,3,(TableDiv[[Agency]:[Agency]]=$E559)/(TableDiv[[Agency]:[Agency]]=$E559)*(ROW(TableDiv[Agency])-ROW(TableDiv[[#Headers],[Agency]])),COLUMNS($F$7:AG$7))))</f>
        <v/>
      </c>
      <c r="AH559" s="2223" t="str" cm="1">
        <f t="array" ref="AH559">IF($D559&lt;COLUMNS($F$7:AH$7),"",INDEX(TableDiv[[GASB]:[GASB]],_xlfn.AGGREGATE(15,3,(TableDiv[[Agency]:[Agency]]=$E559)/(TableDiv[[Agency]:[Agency]]=$E559)*(ROW(TableDiv[Agency])-ROW(TableDiv[[#Headers],[Agency]])),COLUMNS($F$7:AH$7))))</f>
        <v/>
      </c>
      <c r="AI559" s="2223" t="str" cm="1">
        <f t="array" ref="AI559">IF($D559&lt;COLUMNS($F$7:AI$7),"",INDEX(TableDiv[[GASB]:[GASB]],_xlfn.AGGREGATE(15,3,(TableDiv[[Agency]:[Agency]]=$E559)/(TableDiv[[Agency]:[Agency]]=$E559)*(ROW(TableDiv[Agency])-ROW(TableDiv[[#Headers],[Agency]])),COLUMNS($F$7:AI$7))))</f>
        <v/>
      </c>
      <c r="AJ559" s="2223" t="str" cm="1">
        <f t="array" ref="AJ559">IF($D559&lt;COLUMNS($F$7:AJ$7),"",INDEX(TableDiv[[GASB]:[GASB]],_xlfn.AGGREGATE(15,3,(TableDiv[[Agency]:[Agency]]=$E559)/(TableDiv[[Agency]:[Agency]]=$E559)*(ROW(TableDiv[Agency])-ROW(TableDiv[[#Headers],[Agency]])),COLUMNS($F$7:AJ$7))))</f>
        <v/>
      </c>
      <c r="AK559" s="2223" t="str" cm="1">
        <f t="array" ref="AK559">IF($D559&lt;COLUMNS($F$7:AK$7),"",INDEX(TableDiv[[GASB]:[GASB]],_xlfn.AGGREGATE(15,3,(TableDiv[[Agency]:[Agency]]=$E559)/(TableDiv[[Agency]:[Agency]]=$E559)*(ROW(TableDiv[Agency])-ROW(TableDiv[[#Headers],[Agency]])),COLUMNS($F$7:AK$7))))</f>
        <v/>
      </c>
      <c r="AL559" s="2223" t="str" cm="1">
        <f t="array" ref="AL559">IF($D559&lt;COLUMNS($F$7:AL$7),"",INDEX(TableDiv[[GASB]:[GASB]],_xlfn.AGGREGATE(15,3,(TableDiv[[Agency]:[Agency]]=$E559)/(TableDiv[[Agency]:[Agency]]=$E559)*(ROW(TableDiv[Agency])-ROW(TableDiv[[#Headers],[Agency]])),COLUMNS($F$7:AL$7))))</f>
        <v/>
      </c>
      <c r="AM559" s="2223" t="str" cm="1">
        <f t="array" ref="AM559">IF($D559&lt;COLUMNS($F$7:AM$7),"",INDEX(TableDiv[[GASB]:[GASB]],_xlfn.AGGREGATE(15,3,(TableDiv[[Agency]:[Agency]]=$E559)/(TableDiv[[Agency]:[Agency]]=$E559)*(ROW(TableDiv[Agency])-ROW(TableDiv[[#Headers],[Agency]])),COLUMNS($F$7:AM$7))))</f>
        <v/>
      </c>
      <c r="AN559" s="2223"/>
      <c r="AO559" s="2223"/>
      <c r="AP559" s="2223"/>
      <c r="AQ559" s="2223"/>
      <c r="AR559" s="2223"/>
      <c r="AS559" s="2223"/>
    </row>
    <row r="560" spans="1:45" x14ac:dyDescent="0.2">
      <c r="A560" s="2223"/>
      <c r="B560" s="2223"/>
      <c r="C560" s="2223"/>
      <c r="W560" s="2223" t="str" cm="1">
        <f t="array" ref="W560">IF($D560&lt;COLUMNS($F$7:W$7),"",INDEX(TableDiv[[GASB]:[GASB]],_xlfn.AGGREGATE(15,3,(TableDiv[[Agency]:[Agency]]=$E560)/(TableDiv[[Agency]:[Agency]]=$E560)*(ROW(TableDiv[Agency])-ROW(TableDiv[[#Headers],[Agency]])),COLUMNS($F$7:W$7))))</f>
        <v/>
      </c>
      <c r="X560" s="2223" t="str" cm="1">
        <f t="array" ref="X560">IF($D560&lt;COLUMNS($F$7:X$7),"",INDEX(TableDiv[[GASB]:[GASB]],_xlfn.AGGREGATE(15,3,(TableDiv[[Agency]:[Agency]]=$E560)/(TableDiv[[Agency]:[Agency]]=$E560)*(ROW(TableDiv[Agency])-ROW(TableDiv[[#Headers],[Agency]])),COLUMNS($F$7:X$7))))</f>
        <v/>
      </c>
      <c r="Y560" s="2223" t="str" cm="1">
        <f t="array" ref="Y560">IF($D560&lt;COLUMNS($F$7:Y$7),"",INDEX(TableDiv[[GASB]:[GASB]],_xlfn.AGGREGATE(15,3,(TableDiv[[Agency]:[Agency]]=$E560)/(TableDiv[[Agency]:[Agency]]=$E560)*(ROW(TableDiv[Agency])-ROW(TableDiv[[#Headers],[Agency]])),COLUMNS($F$7:Y$7))))</f>
        <v/>
      </c>
      <c r="Z560" s="2223" t="str" cm="1">
        <f t="array" ref="Z560">IF($D560&lt;COLUMNS($F$7:Z$7),"",INDEX(TableDiv[[GASB]:[GASB]],_xlfn.AGGREGATE(15,3,(TableDiv[[Agency]:[Agency]]=$E560)/(TableDiv[[Agency]:[Agency]]=$E560)*(ROW(TableDiv[Agency])-ROW(TableDiv[[#Headers],[Agency]])),COLUMNS($F$7:Z$7))))</f>
        <v/>
      </c>
      <c r="AA560" s="2223" t="str" cm="1">
        <f t="array" ref="AA560">IF($D560&lt;COLUMNS($F$7:AA$7),"",INDEX(TableDiv[[GASB]:[GASB]],_xlfn.AGGREGATE(15,3,(TableDiv[[Agency]:[Agency]]=$E560)/(TableDiv[[Agency]:[Agency]]=$E560)*(ROW(TableDiv[Agency])-ROW(TableDiv[[#Headers],[Agency]])),COLUMNS($F$7:AA$7))))</f>
        <v/>
      </c>
      <c r="AB560" s="2223" t="str" cm="1">
        <f t="array" ref="AB560">IF($D560&lt;COLUMNS($F$7:AB$7),"",INDEX(TableDiv[[GASB]:[GASB]],_xlfn.AGGREGATE(15,3,(TableDiv[[Agency]:[Agency]]=$E560)/(TableDiv[[Agency]:[Agency]]=$E560)*(ROW(TableDiv[Agency])-ROW(TableDiv[[#Headers],[Agency]])),COLUMNS($F$7:AB$7))))</f>
        <v/>
      </c>
      <c r="AC560" s="2223" t="str" cm="1">
        <f t="array" ref="AC560">IF($D560&lt;COLUMNS($F$7:AC$7),"",INDEX(TableDiv[[GASB]:[GASB]],_xlfn.AGGREGATE(15,3,(TableDiv[[Agency]:[Agency]]=$E560)/(TableDiv[[Agency]:[Agency]]=$E560)*(ROW(TableDiv[Agency])-ROW(TableDiv[[#Headers],[Agency]])),COLUMNS($F$7:AC$7))))</f>
        <v/>
      </c>
      <c r="AD560" s="2223" t="str" cm="1">
        <f t="array" ref="AD560">IF($D560&lt;COLUMNS($F$7:AD$7),"",INDEX(TableDiv[[GASB]:[GASB]],_xlfn.AGGREGATE(15,3,(TableDiv[[Agency]:[Agency]]=$E560)/(TableDiv[[Agency]:[Agency]]=$E560)*(ROW(TableDiv[Agency])-ROW(TableDiv[[#Headers],[Agency]])),COLUMNS($F$7:AD$7))))</f>
        <v/>
      </c>
      <c r="AE560" s="2223" t="str" cm="1">
        <f t="array" ref="AE560">IF($D560&lt;COLUMNS($F$7:AE$7),"",INDEX(TableDiv[[GASB]:[GASB]],_xlfn.AGGREGATE(15,3,(TableDiv[[Agency]:[Agency]]=$E560)/(TableDiv[[Agency]:[Agency]]=$E560)*(ROW(TableDiv[Agency])-ROW(TableDiv[[#Headers],[Agency]])),COLUMNS($F$7:AE$7))))</f>
        <v/>
      </c>
      <c r="AF560" s="2223" t="str" cm="1">
        <f t="array" ref="AF560">IF($D560&lt;COLUMNS($F$7:AF$7),"",INDEX(TableDiv[[GASB]:[GASB]],_xlfn.AGGREGATE(15,3,(TableDiv[[Agency]:[Agency]]=$E560)/(TableDiv[[Agency]:[Agency]]=$E560)*(ROW(TableDiv[Agency])-ROW(TableDiv[[#Headers],[Agency]])),COLUMNS($F$7:AF$7))))</f>
        <v/>
      </c>
      <c r="AG560" s="2223" t="str" cm="1">
        <f t="array" ref="AG560">IF($D560&lt;COLUMNS($F$7:AG$7),"",INDEX(TableDiv[[GASB]:[GASB]],_xlfn.AGGREGATE(15,3,(TableDiv[[Agency]:[Agency]]=$E560)/(TableDiv[[Agency]:[Agency]]=$E560)*(ROW(TableDiv[Agency])-ROW(TableDiv[[#Headers],[Agency]])),COLUMNS($F$7:AG$7))))</f>
        <v/>
      </c>
      <c r="AH560" s="2223" t="str" cm="1">
        <f t="array" ref="AH560">IF($D560&lt;COLUMNS($F$7:AH$7),"",INDEX(TableDiv[[GASB]:[GASB]],_xlfn.AGGREGATE(15,3,(TableDiv[[Agency]:[Agency]]=$E560)/(TableDiv[[Agency]:[Agency]]=$E560)*(ROW(TableDiv[Agency])-ROW(TableDiv[[#Headers],[Agency]])),COLUMNS($F$7:AH$7))))</f>
        <v/>
      </c>
      <c r="AI560" s="2223" t="str" cm="1">
        <f t="array" ref="AI560">IF($D560&lt;COLUMNS($F$7:AI$7),"",INDEX(TableDiv[[GASB]:[GASB]],_xlfn.AGGREGATE(15,3,(TableDiv[[Agency]:[Agency]]=$E560)/(TableDiv[[Agency]:[Agency]]=$E560)*(ROW(TableDiv[Agency])-ROW(TableDiv[[#Headers],[Agency]])),COLUMNS($F$7:AI$7))))</f>
        <v/>
      </c>
      <c r="AJ560" s="2223" t="str" cm="1">
        <f t="array" ref="AJ560">IF($D560&lt;COLUMNS($F$7:AJ$7),"",INDEX(TableDiv[[GASB]:[GASB]],_xlfn.AGGREGATE(15,3,(TableDiv[[Agency]:[Agency]]=$E560)/(TableDiv[[Agency]:[Agency]]=$E560)*(ROW(TableDiv[Agency])-ROW(TableDiv[[#Headers],[Agency]])),COLUMNS($F$7:AJ$7))))</f>
        <v/>
      </c>
      <c r="AK560" s="2223" t="str" cm="1">
        <f t="array" ref="AK560">IF($D560&lt;COLUMNS($F$7:AK$7),"",INDEX(TableDiv[[GASB]:[GASB]],_xlfn.AGGREGATE(15,3,(TableDiv[[Agency]:[Agency]]=$E560)/(TableDiv[[Agency]:[Agency]]=$E560)*(ROW(TableDiv[Agency])-ROW(TableDiv[[#Headers],[Agency]])),COLUMNS($F$7:AK$7))))</f>
        <v/>
      </c>
      <c r="AL560" s="2223" t="str" cm="1">
        <f t="array" ref="AL560">IF($D560&lt;COLUMNS($F$7:AL$7),"",INDEX(TableDiv[[GASB]:[GASB]],_xlfn.AGGREGATE(15,3,(TableDiv[[Agency]:[Agency]]=$E560)/(TableDiv[[Agency]:[Agency]]=$E560)*(ROW(TableDiv[Agency])-ROW(TableDiv[[#Headers],[Agency]])),COLUMNS($F$7:AL$7))))</f>
        <v/>
      </c>
      <c r="AM560" s="2223" t="str" cm="1">
        <f t="array" ref="AM560">IF($D560&lt;COLUMNS($F$7:AM$7),"",INDEX(TableDiv[[GASB]:[GASB]],_xlfn.AGGREGATE(15,3,(TableDiv[[Agency]:[Agency]]=$E560)/(TableDiv[[Agency]:[Agency]]=$E560)*(ROW(TableDiv[Agency])-ROW(TableDiv[[#Headers],[Agency]])),COLUMNS($F$7:AM$7))))</f>
        <v/>
      </c>
      <c r="AN560" s="2223"/>
      <c r="AO560" s="2223"/>
      <c r="AP560" s="2223"/>
      <c r="AQ560" s="2223"/>
      <c r="AR560" s="2223"/>
      <c r="AS560" s="2223"/>
    </row>
    <row r="561" spans="1:45" x14ac:dyDescent="0.2">
      <c r="A561" s="2223"/>
      <c r="B561" s="2223"/>
      <c r="C561" s="2223"/>
      <c r="W561" s="2223" t="str" cm="1">
        <f t="array" ref="W561">IF($D561&lt;COLUMNS($F$7:W$7),"",INDEX(TableDiv[[GASB]:[GASB]],_xlfn.AGGREGATE(15,3,(TableDiv[[Agency]:[Agency]]=$E561)/(TableDiv[[Agency]:[Agency]]=$E561)*(ROW(TableDiv[Agency])-ROW(TableDiv[[#Headers],[Agency]])),COLUMNS($F$7:W$7))))</f>
        <v/>
      </c>
      <c r="X561" s="2223" t="str" cm="1">
        <f t="array" ref="X561">IF($D561&lt;COLUMNS($F$7:X$7),"",INDEX(TableDiv[[GASB]:[GASB]],_xlfn.AGGREGATE(15,3,(TableDiv[[Agency]:[Agency]]=$E561)/(TableDiv[[Agency]:[Agency]]=$E561)*(ROW(TableDiv[Agency])-ROW(TableDiv[[#Headers],[Agency]])),COLUMNS($F$7:X$7))))</f>
        <v/>
      </c>
      <c r="Y561" s="2223" t="str" cm="1">
        <f t="array" ref="Y561">IF($D561&lt;COLUMNS($F$7:Y$7),"",INDEX(TableDiv[[GASB]:[GASB]],_xlfn.AGGREGATE(15,3,(TableDiv[[Agency]:[Agency]]=$E561)/(TableDiv[[Agency]:[Agency]]=$E561)*(ROW(TableDiv[Agency])-ROW(TableDiv[[#Headers],[Agency]])),COLUMNS($F$7:Y$7))))</f>
        <v/>
      </c>
      <c r="Z561" s="2223" t="str" cm="1">
        <f t="array" ref="Z561">IF($D561&lt;COLUMNS($F$7:Z$7),"",INDEX(TableDiv[[GASB]:[GASB]],_xlfn.AGGREGATE(15,3,(TableDiv[[Agency]:[Agency]]=$E561)/(TableDiv[[Agency]:[Agency]]=$E561)*(ROW(TableDiv[Agency])-ROW(TableDiv[[#Headers],[Agency]])),COLUMNS($F$7:Z$7))))</f>
        <v/>
      </c>
      <c r="AA561" s="2223" t="str" cm="1">
        <f t="array" ref="AA561">IF($D561&lt;COLUMNS($F$7:AA$7),"",INDEX(TableDiv[[GASB]:[GASB]],_xlfn.AGGREGATE(15,3,(TableDiv[[Agency]:[Agency]]=$E561)/(TableDiv[[Agency]:[Agency]]=$E561)*(ROW(TableDiv[Agency])-ROW(TableDiv[[#Headers],[Agency]])),COLUMNS($F$7:AA$7))))</f>
        <v/>
      </c>
      <c r="AB561" s="2223" t="str" cm="1">
        <f t="array" ref="AB561">IF($D561&lt;COLUMNS($F$7:AB$7),"",INDEX(TableDiv[[GASB]:[GASB]],_xlfn.AGGREGATE(15,3,(TableDiv[[Agency]:[Agency]]=$E561)/(TableDiv[[Agency]:[Agency]]=$E561)*(ROW(TableDiv[Agency])-ROW(TableDiv[[#Headers],[Agency]])),COLUMNS($F$7:AB$7))))</f>
        <v/>
      </c>
      <c r="AC561" s="2223" t="str" cm="1">
        <f t="array" ref="AC561">IF($D561&lt;COLUMNS($F$7:AC$7),"",INDEX(TableDiv[[GASB]:[GASB]],_xlfn.AGGREGATE(15,3,(TableDiv[[Agency]:[Agency]]=$E561)/(TableDiv[[Agency]:[Agency]]=$E561)*(ROW(TableDiv[Agency])-ROW(TableDiv[[#Headers],[Agency]])),COLUMNS($F$7:AC$7))))</f>
        <v/>
      </c>
      <c r="AD561" s="2223" t="str" cm="1">
        <f t="array" ref="AD561">IF($D561&lt;COLUMNS($F$7:AD$7),"",INDEX(TableDiv[[GASB]:[GASB]],_xlfn.AGGREGATE(15,3,(TableDiv[[Agency]:[Agency]]=$E561)/(TableDiv[[Agency]:[Agency]]=$E561)*(ROW(TableDiv[Agency])-ROW(TableDiv[[#Headers],[Agency]])),COLUMNS($F$7:AD$7))))</f>
        <v/>
      </c>
      <c r="AE561" s="2223" t="str" cm="1">
        <f t="array" ref="AE561">IF($D561&lt;COLUMNS($F$7:AE$7),"",INDEX(TableDiv[[GASB]:[GASB]],_xlfn.AGGREGATE(15,3,(TableDiv[[Agency]:[Agency]]=$E561)/(TableDiv[[Agency]:[Agency]]=$E561)*(ROW(TableDiv[Agency])-ROW(TableDiv[[#Headers],[Agency]])),COLUMNS($F$7:AE$7))))</f>
        <v/>
      </c>
      <c r="AF561" s="2223" t="str" cm="1">
        <f t="array" ref="AF561">IF($D561&lt;COLUMNS($F$7:AF$7),"",INDEX(TableDiv[[GASB]:[GASB]],_xlfn.AGGREGATE(15,3,(TableDiv[[Agency]:[Agency]]=$E561)/(TableDiv[[Agency]:[Agency]]=$E561)*(ROW(TableDiv[Agency])-ROW(TableDiv[[#Headers],[Agency]])),COLUMNS($F$7:AF$7))))</f>
        <v/>
      </c>
      <c r="AG561" s="2223" t="str" cm="1">
        <f t="array" ref="AG561">IF($D561&lt;COLUMNS($F$7:AG$7),"",INDEX(TableDiv[[GASB]:[GASB]],_xlfn.AGGREGATE(15,3,(TableDiv[[Agency]:[Agency]]=$E561)/(TableDiv[[Agency]:[Agency]]=$E561)*(ROW(TableDiv[Agency])-ROW(TableDiv[[#Headers],[Agency]])),COLUMNS($F$7:AG$7))))</f>
        <v/>
      </c>
      <c r="AH561" s="2223" t="str" cm="1">
        <f t="array" ref="AH561">IF($D561&lt;COLUMNS($F$7:AH$7),"",INDEX(TableDiv[[GASB]:[GASB]],_xlfn.AGGREGATE(15,3,(TableDiv[[Agency]:[Agency]]=$E561)/(TableDiv[[Agency]:[Agency]]=$E561)*(ROW(TableDiv[Agency])-ROW(TableDiv[[#Headers],[Agency]])),COLUMNS($F$7:AH$7))))</f>
        <v/>
      </c>
      <c r="AI561" s="2223" t="str" cm="1">
        <f t="array" ref="AI561">IF($D561&lt;COLUMNS($F$7:AI$7),"",INDEX(TableDiv[[GASB]:[GASB]],_xlfn.AGGREGATE(15,3,(TableDiv[[Agency]:[Agency]]=$E561)/(TableDiv[[Agency]:[Agency]]=$E561)*(ROW(TableDiv[Agency])-ROW(TableDiv[[#Headers],[Agency]])),COLUMNS($F$7:AI$7))))</f>
        <v/>
      </c>
      <c r="AJ561" s="2223" t="str" cm="1">
        <f t="array" ref="AJ561">IF($D561&lt;COLUMNS($F$7:AJ$7),"",INDEX(TableDiv[[GASB]:[GASB]],_xlfn.AGGREGATE(15,3,(TableDiv[[Agency]:[Agency]]=$E561)/(TableDiv[[Agency]:[Agency]]=$E561)*(ROW(TableDiv[Agency])-ROW(TableDiv[[#Headers],[Agency]])),COLUMNS($F$7:AJ$7))))</f>
        <v/>
      </c>
      <c r="AK561" s="2223" t="str" cm="1">
        <f t="array" ref="AK561">IF($D561&lt;COLUMNS($F$7:AK$7),"",INDEX(TableDiv[[GASB]:[GASB]],_xlfn.AGGREGATE(15,3,(TableDiv[[Agency]:[Agency]]=$E561)/(TableDiv[[Agency]:[Agency]]=$E561)*(ROW(TableDiv[Agency])-ROW(TableDiv[[#Headers],[Agency]])),COLUMNS($F$7:AK$7))))</f>
        <v/>
      </c>
      <c r="AL561" s="2223" t="str" cm="1">
        <f t="array" ref="AL561">IF($D561&lt;COLUMNS($F$7:AL$7),"",INDEX(TableDiv[[GASB]:[GASB]],_xlfn.AGGREGATE(15,3,(TableDiv[[Agency]:[Agency]]=$E561)/(TableDiv[[Agency]:[Agency]]=$E561)*(ROW(TableDiv[Agency])-ROW(TableDiv[[#Headers],[Agency]])),COLUMNS($F$7:AL$7))))</f>
        <v/>
      </c>
      <c r="AM561" s="2223" t="str" cm="1">
        <f t="array" ref="AM561">IF($D561&lt;COLUMNS($F$7:AM$7),"",INDEX(TableDiv[[GASB]:[GASB]],_xlfn.AGGREGATE(15,3,(TableDiv[[Agency]:[Agency]]=$E561)/(TableDiv[[Agency]:[Agency]]=$E561)*(ROW(TableDiv[Agency])-ROW(TableDiv[[#Headers],[Agency]])),COLUMNS($F$7:AM$7))))</f>
        <v/>
      </c>
      <c r="AN561" s="2223"/>
      <c r="AO561" s="2223"/>
      <c r="AP561" s="2223"/>
      <c r="AQ561" s="2223"/>
      <c r="AR561" s="2223"/>
      <c r="AS561" s="2223"/>
    </row>
    <row r="562" spans="1:45" x14ac:dyDescent="0.2">
      <c r="A562" s="2223"/>
      <c r="B562" s="2223"/>
      <c r="C562" s="2223"/>
      <c r="W562" s="2223" t="str" cm="1">
        <f t="array" ref="W562">IF($D562&lt;COLUMNS($F$7:W$7),"",INDEX(TableDiv[[GASB]:[GASB]],_xlfn.AGGREGATE(15,3,(TableDiv[[Agency]:[Agency]]=$E562)/(TableDiv[[Agency]:[Agency]]=$E562)*(ROW(TableDiv[Agency])-ROW(TableDiv[[#Headers],[Agency]])),COLUMNS($F$7:W$7))))</f>
        <v/>
      </c>
      <c r="X562" s="2223" t="str" cm="1">
        <f t="array" ref="X562">IF($D562&lt;COLUMNS($F$7:X$7),"",INDEX(TableDiv[[GASB]:[GASB]],_xlfn.AGGREGATE(15,3,(TableDiv[[Agency]:[Agency]]=$E562)/(TableDiv[[Agency]:[Agency]]=$E562)*(ROW(TableDiv[Agency])-ROW(TableDiv[[#Headers],[Agency]])),COLUMNS($F$7:X$7))))</f>
        <v/>
      </c>
      <c r="Y562" s="2223" t="str" cm="1">
        <f t="array" ref="Y562">IF($D562&lt;COLUMNS($F$7:Y$7),"",INDEX(TableDiv[[GASB]:[GASB]],_xlfn.AGGREGATE(15,3,(TableDiv[[Agency]:[Agency]]=$E562)/(TableDiv[[Agency]:[Agency]]=$E562)*(ROW(TableDiv[Agency])-ROW(TableDiv[[#Headers],[Agency]])),COLUMNS($F$7:Y$7))))</f>
        <v/>
      </c>
      <c r="Z562" s="2223" t="str" cm="1">
        <f t="array" ref="Z562">IF($D562&lt;COLUMNS($F$7:Z$7),"",INDEX(TableDiv[[GASB]:[GASB]],_xlfn.AGGREGATE(15,3,(TableDiv[[Agency]:[Agency]]=$E562)/(TableDiv[[Agency]:[Agency]]=$E562)*(ROW(TableDiv[Agency])-ROW(TableDiv[[#Headers],[Agency]])),COLUMNS($F$7:Z$7))))</f>
        <v/>
      </c>
      <c r="AA562" s="2223" t="str" cm="1">
        <f t="array" ref="AA562">IF($D562&lt;COLUMNS($F$7:AA$7),"",INDEX(TableDiv[[GASB]:[GASB]],_xlfn.AGGREGATE(15,3,(TableDiv[[Agency]:[Agency]]=$E562)/(TableDiv[[Agency]:[Agency]]=$E562)*(ROW(TableDiv[Agency])-ROW(TableDiv[[#Headers],[Agency]])),COLUMNS($F$7:AA$7))))</f>
        <v/>
      </c>
      <c r="AB562" s="2223" t="str" cm="1">
        <f t="array" ref="AB562">IF($D562&lt;COLUMNS($F$7:AB$7),"",INDEX(TableDiv[[GASB]:[GASB]],_xlfn.AGGREGATE(15,3,(TableDiv[[Agency]:[Agency]]=$E562)/(TableDiv[[Agency]:[Agency]]=$E562)*(ROW(TableDiv[Agency])-ROW(TableDiv[[#Headers],[Agency]])),COLUMNS($F$7:AB$7))))</f>
        <v/>
      </c>
      <c r="AC562" s="2223" t="str" cm="1">
        <f t="array" ref="AC562">IF($D562&lt;COLUMNS($F$7:AC$7),"",INDEX(TableDiv[[GASB]:[GASB]],_xlfn.AGGREGATE(15,3,(TableDiv[[Agency]:[Agency]]=$E562)/(TableDiv[[Agency]:[Agency]]=$E562)*(ROW(TableDiv[Agency])-ROW(TableDiv[[#Headers],[Agency]])),COLUMNS($F$7:AC$7))))</f>
        <v/>
      </c>
      <c r="AD562" s="2223" t="str" cm="1">
        <f t="array" ref="AD562">IF($D562&lt;COLUMNS($F$7:AD$7),"",INDEX(TableDiv[[GASB]:[GASB]],_xlfn.AGGREGATE(15,3,(TableDiv[[Agency]:[Agency]]=$E562)/(TableDiv[[Agency]:[Agency]]=$E562)*(ROW(TableDiv[Agency])-ROW(TableDiv[[#Headers],[Agency]])),COLUMNS($F$7:AD$7))))</f>
        <v/>
      </c>
      <c r="AE562" s="2223" t="str" cm="1">
        <f t="array" ref="AE562">IF($D562&lt;COLUMNS($F$7:AE$7),"",INDEX(TableDiv[[GASB]:[GASB]],_xlfn.AGGREGATE(15,3,(TableDiv[[Agency]:[Agency]]=$E562)/(TableDiv[[Agency]:[Agency]]=$E562)*(ROW(TableDiv[Agency])-ROW(TableDiv[[#Headers],[Agency]])),COLUMNS($F$7:AE$7))))</f>
        <v/>
      </c>
      <c r="AF562" s="2223" t="str" cm="1">
        <f t="array" ref="AF562">IF($D562&lt;COLUMNS($F$7:AF$7),"",INDEX(TableDiv[[GASB]:[GASB]],_xlfn.AGGREGATE(15,3,(TableDiv[[Agency]:[Agency]]=$E562)/(TableDiv[[Agency]:[Agency]]=$E562)*(ROW(TableDiv[Agency])-ROW(TableDiv[[#Headers],[Agency]])),COLUMNS($F$7:AF$7))))</f>
        <v/>
      </c>
      <c r="AG562" s="2223" t="str" cm="1">
        <f t="array" ref="AG562">IF($D562&lt;COLUMNS($F$7:AG$7),"",INDEX(TableDiv[[GASB]:[GASB]],_xlfn.AGGREGATE(15,3,(TableDiv[[Agency]:[Agency]]=$E562)/(TableDiv[[Agency]:[Agency]]=$E562)*(ROW(TableDiv[Agency])-ROW(TableDiv[[#Headers],[Agency]])),COLUMNS($F$7:AG$7))))</f>
        <v/>
      </c>
      <c r="AH562" s="2223" t="str" cm="1">
        <f t="array" ref="AH562">IF($D562&lt;COLUMNS($F$7:AH$7),"",INDEX(TableDiv[[GASB]:[GASB]],_xlfn.AGGREGATE(15,3,(TableDiv[[Agency]:[Agency]]=$E562)/(TableDiv[[Agency]:[Agency]]=$E562)*(ROW(TableDiv[Agency])-ROW(TableDiv[[#Headers],[Agency]])),COLUMNS($F$7:AH$7))))</f>
        <v/>
      </c>
      <c r="AI562" s="2223" t="str" cm="1">
        <f t="array" ref="AI562">IF($D562&lt;COLUMNS($F$7:AI$7),"",INDEX(TableDiv[[GASB]:[GASB]],_xlfn.AGGREGATE(15,3,(TableDiv[[Agency]:[Agency]]=$E562)/(TableDiv[[Agency]:[Agency]]=$E562)*(ROW(TableDiv[Agency])-ROW(TableDiv[[#Headers],[Agency]])),COLUMNS($F$7:AI$7))))</f>
        <v/>
      </c>
      <c r="AJ562" s="2223" t="str" cm="1">
        <f t="array" ref="AJ562">IF($D562&lt;COLUMNS($F$7:AJ$7),"",INDEX(TableDiv[[GASB]:[GASB]],_xlfn.AGGREGATE(15,3,(TableDiv[[Agency]:[Agency]]=$E562)/(TableDiv[[Agency]:[Agency]]=$E562)*(ROW(TableDiv[Agency])-ROW(TableDiv[[#Headers],[Agency]])),COLUMNS($F$7:AJ$7))))</f>
        <v/>
      </c>
      <c r="AK562" s="2223" t="str" cm="1">
        <f t="array" ref="AK562">IF($D562&lt;COLUMNS($F$7:AK$7),"",INDEX(TableDiv[[GASB]:[GASB]],_xlfn.AGGREGATE(15,3,(TableDiv[[Agency]:[Agency]]=$E562)/(TableDiv[[Agency]:[Agency]]=$E562)*(ROW(TableDiv[Agency])-ROW(TableDiv[[#Headers],[Agency]])),COLUMNS($F$7:AK$7))))</f>
        <v/>
      </c>
      <c r="AL562" s="2223" t="str" cm="1">
        <f t="array" ref="AL562">IF($D562&lt;COLUMNS($F$7:AL$7),"",INDEX(TableDiv[[GASB]:[GASB]],_xlfn.AGGREGATE(15,3,(TableDiv[[Agency]:[Agency]]=$E562)/(TableDiv[[Agency]:[Agency]]=$E562)*(ROW(TableDiv[Agency])-ROW(TableDiv[[#Headers],[Agency]])),COLUMNS($F$7:AL$7))))</f>
        <v/>
      </c>
      <c r="AM562" s="2223" t="str" cm="1">
        <f t="array" ref="AM562">IF($D562&lt;COLUMNS($F$7:AM$7),"",INDEX(TableDiv[[GASB]:[GASB]],_xlfn.AGGREGATE(15,3,(TableDiv[[Agency]:[Agency]]=$E562)/(TableDiv[[Agency]:[Agency]]=$E562)*(ROW(TableDiv[Agency])-ROW(TableDiv[[#Headers],[Agency]])),COLUMNS($F$7:AM$7))))</f>
        <v/>
      </c>
      <c r="AN562" s="2223"/>
      <c r="AO562" s="2223"/>
      <c r="AP562" s="2223"/>
      <c r="AQ562" s="2223"/>
      <c r="AR562" s="2223"/>
      <c r="AS562" s="2223"/>
    </row>
    <row r="563" spans="1:45" x14ac:dyDescent="0.2">
      <c r="A563" s="2223"/>
      <c r="B563" s="2223"/>
      <c r="C563" s="2223"/>
      <c r="W563" s="2223" t="str" cm="1">
        <f t="array" ref="W563">IF($D563&lt;COLUMNS($F$7:W$7),"",INDEX(TableDiv[[GASB]:[GASB]],_xlfn.AGGREGATE(15,3,(TableDiv[[Agency]:[Agency]]=$E563)/(TableDiv[[Agency]:[Agency]]=$E563)*(ROW(TableDiv[Agency])-ROW(TableDiv[[#Headers],[Agency]])),COLUMNS($F$7:W$7))))</f>
        <v/>
      </c>
      <c r="X563" s="2223" t="str" cm="1">
        <f t="array" ref="X563">IF($D563&lt;COLUMNS($F$7:X$7),"",INDEX(TableDiv[[GASB]:[GASB]],_xlfn.AGGREGATE(15,3,(TableDiv[[Agency]:[Agency]]=$E563)/(TableDiv[[Agency]:[Agency]]=$E563)*(ROW(TableDiv[Agency])-ROW(TableDiv[[#Headers],[Agency]])),COLUMNS($F$7:X$7))))</f>
        <v/>
      </c>
      <c r="Y563" s="2223" t="str" cm="1">
        <f t="array" ref="Y563">IF($D563&lt;COLUMNS($F$7:Y$7),"",INDEX(TableDiv[[GASB]:[GASB]],_xlfn.AGGREGATE(15,3,(TableDiv[[Agency]:[Agency]]=$E563)/(TableDiv[[Agency]:[Agency]]=$E563)*(ROW(TableDiv[Agency])-ROW(TableDiv[[#Headers],[Agency]])),COLUMNS($F$7:Y$7))))</f>
        <v/>
      </c>
      <c r="Z563" s="2223" t="str" cm="1">
        <f t="array" ref="Z563">IF($D563&lt;COLUMNS($F$7:Z$7),"",INDEX(TableDiv[[GASB]:[GASB]],_xlfn.AGGREGATE(15,3,(TableDiv[[Agency]:[Agency]]=$E563)/(TableDiv[[Agency]:[Agency]]=$E563)*(ROW(TableDiv[Agency])-ROW(TableDiv[[#Headers],[Agency]])),COLUMNS($F$7:Z$7))))</f>
        <v/>
      </c>
      <c r="AA563" s="2223" t="str" cm="1">
        <f t="array" ref="AA563">IF($D563&lt;COLUMNS($F$7:AA$7),"",INDEX(TableDiv[[GASB]:[GASB]],_xlfn.AGGREGATE(15,3,(TableDiv[[Agency]:[Agency]]=$E563)/(TableDiv[[Agency]:[Agency]]=$E563)*(ROW(TableDiv[Agency])-ROW(TableDiv[[#Headers],[Agency]])),COLUMNS($F$7:AA$7))))</f>
        <v/>
      </c>
      <c r="AB563" s="2223" t="str" cm="1">
        <f t="array" ref="AB563">IF($D563&lt;COLUMNS($F$7:AB$7),"",INDEX(TableDiv[[GASB]:[GASB]],_xlfn.AGGREGATE(15,3,(TableDiv[[Agency]:[Agency]]=$E563)/(TableDiv[[Agency]:[Agency]]=$E563)*(ROW(TableDiv[Agency])-ROW(TableDiv[[#Headers],[Agency]])),COLUMNS($F$7:AB$7))))</f>
        <v/>
      </c>
      <c r="AC563" s="2223" t="str" cm="1">
        <f t="array" ref="AC563">IF($D563&lt;COLUMNS($F$7:AC$7),"",INDEX(TableDiv[[GASB]:[GASB]],_xlfn.AGGREGATE(15,3,(TableDiv[[Agency]:[Agency]]=$E563)/(TableDiv[[Agency]:[Agency]]=$E563)*(ROW(TableDiv[Agency])-ROW(TableDiv[[#Headers],[Agency]])),COLUMNS($F$7:AC$7))))</f>
        <v/>
      </c>
      <c r="AD563" s="2223" t="str" cm="1">
        <f t="array" ref="AD563">IF($D563&lt;COLUMNS($F$7:AD$7),"",INDEX(TableDiv[[GASB]:[GASB]],_xlfn.AGGREGATE(15,3,(TableDiv[[Agency]:[Agency]]=$E563)/(TableDiv[[Agency]:[Agency]]=$E563)*(ROW(TableDiv[Agency])-ROW(TableDiv[[#Headers],[Agency]])),COLUMNS($F$7:AD$7))))</f>
        <v/>
      </c>
      <c r="AE563" s="2223" t="str" cm="1">
        <f t="array" ref="AE563">IF($D563&lt;COLUMNS($F$7:AE$7),"",INDEX(TableDiv[[GASB]:[GASB]],_xlfn.AGGREGATE(15,3,(TableDiv[[Agency]:[Agency]]=$E563)/(TableDiv[[Agency]:[Agency]]=$E563)*(ROW(TableDiv[Agency])-ROW(TableDiv[[#Headers],[Agency]])),COLUMNS($F$7:AE$7))))</f>
        <v/>
      </c>
      <c r="AF563" s="2223" t="str" cm="1">
        <f t="array" ref="AF563">IF($D563&lt;COLUMNS($F$7:AF$7),"",INDEX(TableDiv[[GASB]:[GASB]],_xlfn.AGGREGATE(15,3,(TableDiv[[Agency]:[Agency]]=$E563)/(TableDiv[[Agency]:[Agency]]=$E563)*(ROW(TableDiv[Agency])-ROW(TableDiv[[#Headers],[Agency]])),COLUMNS($F$7:AF$7))))</f>
        <v/>
      </c>
      <c r="AG563" s="2223" t="str" cm="1">
        <f t="array" ref="AG563">IF($D563&lt;COLUMNS($F$7:AG$7),"",INDEX(TableDiv[[GASB]:[GASB]],_xlfn.AGGREGATE(15,3,(TableDiv[[Agency]:[Agency]]=$E563)/(TableDiv[[Agency]:[Agency]]=$E563)*(ROW(TableDiv[Agency])-ROW(TableDiv[[#Headers],[Agency]])),COLUMNS($F$7:AG$7))))</f>
        <v/>
      </c>
      <c r="AH563" s="2223" t="str" cm="1">
        <f t="array" ref="AH563">IF($D563&lt;COLUMNS($F$7:AH$7),"",INDEX(TableDiv[[GASB]:[GASB]],_xlfn.AGGREGATE(15,3,(TableDiv[[Agency]:[Agency]]=$E563)/(TableDiv[[Agency]:[Agency]]=$E563)*(ROW(TableDiv[Agency])-ROW(TableDiv[[#Headers],[Agency]])),COLUMNS($F$7:AH$7))))</f>
        <v/>
      </c>
      <c r="AI563" s="2223" t="str" cm="1">
        <f t="array" ref="AI563">IF($D563&lt;COLUMNS($F$7:AI$7),"",INDEX(TableDiv[[GASB]:[GASB]],_xlfn.AGGREGATE(15,3,(TableDiv[[Agency]:[Agency]]=$E563)/(TableDiv[[Agency]:[Agency]]=$E563)*(ROW(TableDiv[Agency])-ROW(TableDiv[[#Headers],[Agency]])),COLUMNS($F$7:AI$7))))</f>
        <v/>
      </c>
      <c r="AJ563" s="2223" t="str" cm="1">
        <f t="array" ref="AJ563">IF($D563&lt;COLUMNS($F$7:AJ$7),"",INDEX(TableDiv[[GASB]:[GASB]],_xlfn.AGGREGATE(15,3,(TableDiv[[Agency]:[Agency]]=$E563)/(TableDiv[[Agency]:[Agency]]=$E563)*(ROW(TableDiv[Agency])-ROW(TableDiv[[#Headers],[Agency]])),COLUMNS($F$7:AJ$7))))</f>
        <v/>
      </c>
      <c r="AK563" s="2223" t="str" cm="1">
        <f t="array" ref="AK563">IF($D563&lt;COLUMNS($F$7:AK$7),"",INDEX(TableDiv[[GASB]:[GASB]],_xlfn.AGGREGATE(15,3,(TableDiv[[Agency]:[Agency]]=$E563)/(TableDiv[[Agency]:[Agency]]=$E563)*(ROW(TableDiv[Agency])-ROW(TableDiv[[#Headers],[Agency]])),COLUMNS($F$7:AK$7))))</f>
        <v/>
      </c>
      <c r="AL563" s="2223" t="str" cm="1">
        <f t="array" ref="AL563">IF($D563&lt;COLUMNS($F$7:AL$7),"",INDEX(TableDiv[[GASB]:[GASB]],_xlfn.AGGREGATE(15,3,(TableDiv[[Agency]:[Agency]]=$E563)/(TableDiv[[Agency]:[Agency]]=$E563)*(ROW(TableDiv[Agency])-ROW(TableDiv[[#Headers],[Agency]])),COLUMNS($F$7:AL$7))))</f>
        <v/>
      </c>
      <c r="AM563" s="2223" t="str" cm="1">
        <f t="array" ref="AM563">IF($D563&lt;COLUMNS($F$7:AM$7),"",INDEX(TableDiv[[GASB]:[GASB]],_xlfn.AGGREGATE(15,3,(TableDiv[[Agency]:[Agency]]=$E563)/(TableDiv[[Agency]:[Agency]]=$E563)*(ROW(TableDiv[Agency])-ROW(TableDiv[[#Headers],[Agency]])),COLUMNS($F$7:AM$7))))</f>
        <v/>
      </c>
      <c r="AN563" s="2223"/>
      <c r="AO563" s="2223"/>
      <c r="AP563" s="2223"/>
      <c r="AQ563" s="2223"/>
      <c r="AR563" s="2223"/>
      <c r="AS563" s="2223"/>
    </row>
    <row r="564" spans="1:45" x14ac:dyDescent="0.2">
      <c r="A564" s="2223"/>
      <c r="B564" s="2223"/>
      <c r="C564" s="2223"/>
      <c r="W564" s="2223" t="str" cm="1">
        <f t="array" ref="W564">IF($D564&lt;COLUMNS($F$7:W$7),"",INDEX(TableDiv[[GASB]:[GASB]],_xlfn.AGGREGATE(15,3,(TableDiv[[Agency]:[Agency]]=$E564)/(TableDiv[[Agency]:[Agency]]=$E564)*(ROW(TableDiv[Agency])-ROW(TableDiv[[#Headers],[Agency]])),COLUMNS($F$7:W$7))))</f>
        <v/>
      </c>
      <c r="X564" s="2223" t="str" cm="1">
        <f t="array" ref="X564">IF($D564&lt;COLUMNS($F$7:X$7),"",INDEX(TableDiv[[GASB]:[GASB]],_xlfn.AGGREGATE(15,3,(TableDiv[[Agency]:[Agency]]=$E564)/(TableDiv[[Agency]:[Agency]]=$E564)*(ROW(TableDiv[Agency])-ROW(TableDiv[[#Headers],[Agency]])),COLUMNS($F$7:X$7))))</f>
        <v/>
      </c>
      <c r="Y564" s="2223" t="str" cm="1">
        <f t="array" ref="Y564">IF($D564&lt;COLUMNS($F$7:Y$7),"",INDEX(TableDiv[[GASB]:[GASB]],_xlfn.AGGREGATE(15,3,(TableDiv[[Agency]:[Agency]]=$E564)/(TableDiv[[Agency]:[Agency]]=$E564)*(ROW(TableDiv[Agency])-ROW(TableDiv[[#Headers],[Agency]])),COLUMNS($F$7:Y$7))))</f>
        <v/>
      </c>
      <c r="Z564" s="2223" t="str" cm="1">
        <f t="array" ref="Z564">IF($D564&lt;COLUMNS($F$7:Z$7),"",INDEX(TableDiv[[GASB]:[GASB]],_xlfn.AGGREGATE(15,3,(TableDiv[[Agency]:[Agency]]=$E564)/(TableDiv[[Agency]:[Agency]]=$E564)*(ROW(TableDiv[Agency])-ROW(TableDiv[[#Headers],[Agency]])),COLUMNS($F$7:Z$7))))</f>
        <v/>
      </c>
      <c r="AA564" s="2223" t="str" cm="1">
        <f t="array" ref="AA564">IF($D564&lt;COLUMNS($F$7:AA$7),"",INDEX(TableDiv[[GASB]:[GASB]],_xlfn.AGGREGATE(15,3,(TableDiv[[Agency]:[Agency]]=$E564)/(TableDiv[[Agency]:[Agency]]=$E564)*(ROW(TableDiv[Agency])-ROW(TableDiv[[#Headers],[Agency]])),COLUMNS($F$7:AA$7))))</f>
        <v/>
      </c>
      <c r="AB564" s="2223" t="str" cm="1">
        <f t="array" ref="AB564">IF($D564&lt;COLUMNS($F$7:AB$7),"",INDEX(TableDiv[[GASB]:[GASB]],_xlfn.AGGREGATE(15,3,(TableDiv[[Agency]:[Agency]]=$E564)/(TableDiv[[Agency]:[Agency]]=$E564)*(ROW(TableDiv[Agency])-ROW(TableDiv[[#Headers],[Agency]])),COLUMNS($F$7:AB$7))))</f>
        <v/>
      </c>
      <c r="AC564" s="2223" t="str" cm="1">
        <f t="array" ref="AC564">IF($D564&lt;COLUMNS($F$7:AC$7),"",INDEX(TableDiv[[GASB]:[GASB]],_xlfn.AGGREGATE(15,3,(TableDiv[[Agency]:[Agency]]=$E564)/(TableDiv[[Agency]:[Agency]]=$E564)*(ROW(TableDiv[Agency])-ROW(TableDiv[[#Headers],[Agency]])),COLUMNS($F$7:AC$7))))</f>
        <v/>
      </c>
      <c r="AD564" s="2223" t="str" cm="1">
        <f t="array" ref="AD564">IF($D564&lt;COLUMNS($F$7:AD$7),"",INDEX(TableDiv[[GASB]:[GASB]],_xlfn.AGGREGATE(15,3,(TableDiv[[Agency]:[Agency]]=$E564)/(TableDiv[[Agency]:[Agency]]=$E564)*(ROW(TableDiv[Agency])-ROW(TableDiv[[#Headers],[Agency]])),COLUMNS($F$7:AD$7))))</f>
        <v/>
      </c>
      <c r="AE564" s="2223" t="str" cm="1">
        <f t="array" ref="AE564">IF($D564&lt;COLUMNS($F$7:AE$7),"",INDEX(TableDiv[[GASB]:[GASB]],_xlfn.AGGREGATE(15,3,(TableDiv[[Agency]:[Agency]]=$E564)/(TableDiv[[Agency]:[Agency]]=$E564)*(ROW(TableDiv[Agency])-ROW(TableDiv[[#Headers],[Agency]])),COLUMNS($F$7:AE$7))))</f>
        <v/>
      </c>
      <c r="AF564" s="2223" t="str" cm="1">
        <f t="array" ref="AF564">IF($D564&lt;COLUMNS($F$7:AF$7),"",INDEX(TableDiv[[GASB]:[GASB]],_xlfn.AGGREGATE(15,3,(TableDiv[[Agency]:[Agency]]=$E564)/(TableDiv[[Agency]:[Agency]]=$E564)*(ROW(TableDiv[Agency])-ROW(TableDiv[[#Headers],[Agency]])),COLUMNS($F$7:AF$7))))</f>
        <v/>
      </c>
      <c r="AG564" s="2223" t="str" cm="1">
        <f t="array" ref="AG564">IF($D564&lt;COLUMNS($F$7:AG$7),"",INDEX(TableDiv[[GASB]:[GASB]],_xlfn.AGGREGATE(15,3,(TableDiv[[Agency]:[Agency]]=$E564)/(TableDiv[[Agency]:[Agency]]=$E564)*(ROW(TableDiv[Agency])-ROW(TableDiv[[#Headers],[Agency]])),COLUMNS($F$7:AG$7))))</f>
        <v/>
      </c>
      <c r="AH564" s="2223" t="str" cm="1">
        <f t="array" ref="AH564">IF($D564&lt;COLUMNS($F$7:AH$7),"",INDEX(TableDiv[[GASB]:[GASB]],_xlfn.AGGREGATE(15,3,(TableDiv[[Agency]:[Agency]]=$E564)/(TableDiv[[Agency]:[Agency]]=$E564)*(ROW(TableDiv[Agency])-ROW(TableDiv[[#Headers],[Agency]])),COLUMNS($F$7:AH$7))))</f>
        <v/>
      </c>
      <c r="AI564" s="2223" t="str" cm="1">
        <f t="array" ref="AI564">IF($D564&lt;COLUMNS($F$7:AI$7),"",INDEX(TableDiv[[GASB]:[GASB]],_xlfn.AGGREGATE(15,3,(TableDiv[[Agency]:[Agency]]=$E564)/(TableDiv[[Agency]:[Agency]]=$E564)*(ROW(TableDiv[Agency])-ROW(TableDiv[[#Headers],[Agency]])),COLUMNS($F$7:AI$7))))</f>
        <v/>
      </c>
      <c r="AJ564" s="2223" t="str" cm="1">
        <f t="array" ref="AJ564">IF($D564&lt;COLUMNS($F$7:AJ$7),"",INDEX(TableDiv[[GASB]:[GASB]],_xlfn.AGGREGATE(15,3,(TableDiv[[Agency]:[Agency]]=$E564)/(TableDiv[[Agency]:[Agency]]=$E564)*(ROW(TableDiv[Agency])-ROW(TableDiv[[#Headers],[Agency]])),COLUMNS($F$7:AJ$7))))</f>
        <v/>
      </c>
      <c r="AK564" s="2223" t="str" cm="1">
        <f t="array" ref="AK564">IF($D564&lt;COLUMNS($F$7:AK$7),"",INDEX(TableDiv[[GASB]:[GASB]],_xlfn.AGGREGATE(15,3,(TableDiv[[Agency]:[Agency]]=$E564)/(TableDiv[[Agency]:[Agency]]=$E564)*(ROW(TableDiv[Agency])-ROW(TableDiv[[#Headers],[Agency]])),COLUMNS($F$7:AK$7))))</f>
        <v/>
      </c>
      <c r="AL564" s="2223" t="str" cm="1">
        <f t="array" ref="AL564">IF($D564&lt;COLUMNS($F$7:AL$7),"",INDEX(TableDiv[[GASB]:[GASB]],_xlfn.AGGREGATE(15,3,(TableDiv[[Agency]:[Agency]]=$E564)/(TableDiv[[Agency]:[Agency]]=$E564)*(ROW(TableDiv[Agency])-ROW(TableDiv[[#Headers],[Agency]])),COLUMNS($F$7:AL$7))))</f>
        <v/>
      </c>
      <c r="AM564" s="2223" t="str" cm="1">
        <f t="array" ref="AM564">IF($D564&lt;COLUMNS($F$7:AM$7),"",INDEX(TableDiv[[GASB]:[GASB]],_xlfn.AGGREGATE(15,3,(TableDiv[[Agency]:[Agency]]=$E564)/(TableDiv[[Agency]:[Agency]]=$E564)*(ROW(TableDiv[Agency])-ROW(TableDiv[[#Headers],[Agency]])),COLUMNS($F$7:AM$7))))</f>
        <v/>
      </c>
      <c r="AN564" s="2223"/>
      <c r="AO564" s="2223"/>
      <c r="AP564" s="2223"/>
      <c r="AQ564" s="2223"/>
      <c r="AR564" s="2223"/>
      <c r="AS564" s="2223"/>
    </row>
    <row r="565" spans="1:45" x14ac:dyDescent="0.2">
      <c r="A565" s="2223"/>
      <c r="B565" s="2223"/>
      <c r="C565" s="2223"/>
      <c r="W565" s="2223" t="str" cm="1">
        <f t="array" ref="W565">IF($D565&lt;COLUMNS($F$7:W$7),"",INDEX(TableDiv[[GASB]:[GASB]],_xlfn.AGGREGATE(15,3,(TableDiv[[Agency]:[Agency]]=$E565)/(TableDiv[[Agency]:[Agency]]=$E565)*(ROW(TableDiv[Agency])-ROW(TableDiv[[#Headers],[Agency]])),COLUMNS($F$7:W$7))))</f>
        <v/>
      </c>
      <c r="X565" s="2223" t="str" cm="1">
        <f t="array" ref="X565">IF($D565&lt;COLUMNS($F$7:X$7),"",INDEX(TableDiv[[GASB]:[GASB]],_xlfn.AGGREGATE(15,3,(TableDiv[[Agency]:[Agency]]=$E565)/(TableDiv[[Agency]:[Agency]]=$E565)*(ROW(TableDiv[Agency])-ROW(TableDiv[[#Headers],[Agency]])),COLUMNS($F$7:X$7))))</f>
        <v/>
      </c>
      <c r="Y565" s="2223" t="str" cm="1">
        <f t="array" ref="Y565">IF($D565&lt;COLUMNS($F$7:Y$7),"",INDEX(TableDiv[[GASB]:[GASB]],_xlfn.AGGREGATE(15,3,(TableDiv[[Agency]:[Agency]]=$E565)/(TableDiv[[Agency]:[Agency]]=$E565)*(ROW(TableDiv[Agency])-ROW(TableDiv[[#Headers],[Agency]])),COLUMNS($F$7:Y$7))))</f>
        <v/>
      </c>
      <c r="Z565" s="2223" t="str" cm="1">
        <f t="array" ref="Z565">IF($D565&lt;COLUMNS($F$7:Z$7),"",INDEX(TableDiv[[GASB]:[GASB]],_xlfn.AGGREGATE(15,3,(TableDiv[[Agency]:[Agency]]=$E565)/(TableDiv[[Agency]:[Agency]]=$E565)*(ROW(TableDiv[Agency])-ROW(TableDiv[[#Headers],[Agency]])),COLUMNS($F$7:Z$7))))</f>
        <v/>
      </c>
      <c r="AA565" s="2223" t="str" cm="1">
        <f t="array" ref="AA565">IF($D565&lt;COLUMNS($F$7:AA$7),"",INDEX(TableDiv[[GASB]:[GASB]],_xlfn.AGGREGATE(15,3,(TableDiv[[Agency]:[Agency]]=$E565)/(TableDiv[[Agency]:[Agency]]=$E565)*(ROW(TableDiv[Agency])-ROW(TableDiv[[#Headers],[Agency]])),COLUMNS($F$7:AA$7))))</f>
        <v/>
      </c>
      <c r="AB565" s="2223" t="str" cm="1">
        <f t="array" ref="AB565">IF($D565&lt;COLUMNS($F$7:AB$7),"",INDEX(TableDiv[[GASB]:[GASB]],_xlfn.AGGREGATE(15,3,(TableDiv[[Agency]:[Agency]]=$E565)/(TableDiv[[Agency]:[Agency]]=$E565)*(ROW(TableDiv[Agency])-ROW(TableDiv[[#Headers],[Agency]])),COLUMNS($F$7:AB$7))))</f>
        <v/>
      </c>
      <c r="AC565" s="2223" t="str" cm="1">
        <f t="array" ref="AC565">IF($D565&lt;COLUMNS($F$7:AC$7),"",INDEX(TableDiv[[GASB]:[GASB]],_xlfn.AGGREGATE(15,3,(TableDiv[[Agency]:[Agency]]=$E565)/(TableDiv[[Agency]:[Agency]]=$E565)*(ROW(TableDiv[Agency])-ROW(TableDiv[[#Headers],[Agency]])),COLUMNS($F$7:AC$7))))</f>
        <v/>
      </c>
      <c r="AD565" s="2223" t="str" cm="1">
        <f t="array" ref="AD565">IF($D565&lt;COLUMNS($F$7:AD$7),"",INDEX(TableDiv[[GASB]:[GASB]],_xlfn.AGGREGATE(15,3,(TableDiv[[Agency]:[Agency]]=$E565)/(TableDiv[[Agency]:[Agency]]=$E565)*(ROW(TableDiv[Agency])-ROW(TableDiv[[#Headers],[Agency]])),COLUMNS($F$7:AD$7))))</f>
        <v/>
      </c>
      <c r="AE565" s="2223" t="str" cm="1">
        <f t="array" ref="AE565">IF($D565&lt;COLUMNS($F$7:AE$7),"",INDEX(TableDiv[[GASB]:[GASB]],_xlfn.AGGREGATE(15,3,(TableDiv[[Agency]:[Agency]]=$E565)/(TableDiv[[Agency]:[Agency]]=$E565)*(ROW(TableDiv[Agency])-ROW(TableDiv[[#Headers],[Agency]])),COLUMNS($F$7:AE$7))))</f>
        <v/>
      </c>
      <c r="AF565" s="2223" t="str" cm="1">
        <f t="array" ref="AF565">IF($D565&lt;COLUMNS($F$7:AF$7),"",INDEX(TableDiv[[GASB]:[GASB]],_xlfn.AGGREGATE(15,3,(TableDiv[[Agency]:[Agency]]=$E565)/(TableDiv[[Agency]:[Agency]]=$E565)*(ROW(TableDiv[Agency])-ROW(TableDiv[[#Headers],[Agency]])),COLUMNS($F$7:AF$7))))</f>
        <v/>
      </c>
      <c r="AG565" s="2223" t="str" cm="1">
        <f t="array" ref="AG565">IF($D565&lt;COLUMNS($F$7:AG$7),"",INDEX(TableDiv[[GASB]:[GASB]],_xlfn.AGGREGATE(15,3,(TableDiv[[Agency]:[Agency]]=$E565)/(TableDiv[[Agency]:[Agency]]=$E565)*(ROW(TableDiv[Agency])-ROW(TableDiv[[#Headers],[Agency]])),COLUMNS($F$7:AG$7))))</f>
        <v/>
      </c>
      <c r="AH565" s="2223" t="str" cm="1">
        <f t="array" ref="AH565">IF($D565&lt;COLUMNS($F$7:AH$7),"",INDEX(TableDiv[[GASB]:[GASB]],_xlfn.AGGREGATE(15,3,(TableDiv[[Agency]:[Agency]]=$E565)/(TableDiv[[Agency]:[Agency]]=$E565)*(ROW(TableDiv[Agency])-ROW(TableDiv[[#Headers],[Agency]])),COLUMNS($F$7:AH$7))))</f>
        <v/>
      </c>
      <c r="AI565" s="2223" t="str" cm="1">
        <f t="array" ref="AI565">IF($D565&lt;COLUMNS($F$7:AI$7),"",INDEX(TableDiv[[GASB]:[GASB]],_xlfn.AGGREGATE(15,3,(TableDiv[[Agency]:[Agency]]=$E565)/(TableDiv[[Agency]:[Agency]]=$E565)*(ROW(TableDiv[Agency])-ROW(TableDiv[[#Headers],[Agency]])),COLUMNS($F$7:AI$7))))</f>
        <v/>
      </c>
      <c r="AJ565" s="2223" t="str" cm="1">
        <f t="array" ref="AJ565">IF($D565&lt;COLUMNS($F$7:AJ$7),"",INDEX(TableDiv[[GASB]:[GASB]],_xlfn.AGGREGATE(15,3,(TableDiv[[Agency]:[Agency]]=$E565)/(TableDiv[[Agency]:[Agency]]=$E565)*(ROW(TableDiv[Agency])-ROW(TableDiv[[#Headers],[Agency]])),COLUMNS($F$7:AJ$7))))</f>
        <v/>
      </c>
      <c r="AK565" s="2223" t="str" cm="1">
        <f t="array" ref="AK565">IF($D565&lt;COLUMNS($F$7:AK$7),"",INDEX(TableDiv[[GASB]:[GASB]],_xlfn.AGGREGATE(15,3,(TableDiv[[Agency]:[Agency]]=$E565)/(TableDiv[[Agency]:[Agency]]=$E565)*(ROW(TableDiv[Agency])-ROW(TableDiv[[#Headers],[Agency]])),COLUMNS($F$7:AK$7))))</f>
        <v/>
      </c>
      <c r="AL565" s="2223" t="str" cm="1">
        <f t="array" ref="AL565">IF($D565&lt;COLUMNS($F$7:AL$7),"",INDEX(TableDiv[[GASB]:[GASB]],_xlfn.AGGREGATE(15,3,(TableDiv[[Agency]:[Agency]]=$E565)/(TableDiv[[Agency]:[Agency]]=$E565)*(ROW(TableDiv[Agency])-ROW(TableDiv[[#Headers],[Agency]])),COLUMNS($F$7:AL$7))))</f>
        <v/>
      </c>
      <c r="AM565" s="2223" t="str" cm="1">
        <f t="array" ref="AM565">IF($D565&lt;COLUMNS($F$7:AM$7),"",INDEX(TableDiv[[GASB]:[GASB]],_xlfn.AGGREGATE(15,3,(TableDiv[[Agency]:[Agency]]=$E565)/(TableDiv[[Agency]:[Agency]]=$E565)*(ROW(TableDiv[Agency])-ROW(TableDiv[[#Headers],[Agency]])),COLUMNS($F$7:AM$7))))</f>
        <v/>
      </c>
      <c r="AN565" s="2223"/>
      <c r="AO565" s="2223"/>
      <c r="AP565" s="2223"/>
      <c r="AQ565" s="2223"/>
      <c r="AR565" s="2223"/>
      <c r="AS565" s="2223"/>
    </row>
    <row r="566" spans="1:45" x14ac:dyDescent="0.2">
      <c r="A566" s="2223"/>
      <c r="B566" s="2223"/>
      <c r="C566" s="2223"/>
      <c r="W566" s="2223" t="str" cm="1">
        <f t="array" ref="W566">IF($D566&lt;COLUMNS($F$7:W$7),"",INDEX(TableDiv[[GASB]:[GASB]],_xlfn.AGGREGATE(15,3,(TableDiv[[Agency]:[Agency]]=$E566)/(TableDiv[[Agency]:[Agency]]=$E566)*(ROW(TableDiv[Agency])-ROW(TableDiv[[#Headers],[Agency]])),COLUMNS($F$7:W$7))))</f>
        <v/>
      </c>
      <c r="X566" s="2223" t="str" cm="1">
        <f t="array" ref="X566">IF($D566&lt;COLUMNS($F$7:X$7),"",INDEX(TableDiv[[GASB]:[GASB]],_xlfn.AGGREGATE(15,3,(TableDiv[[Agency]:[Agency]]=$E566)/(TableDiv[[Agency]:[Agency]]=$E566)*(ROW(TableDiv[Agency])-ROW(TableDiv[[#Headers],[Agency]])),COLUMNS($F$7:X$7))))</f>
        <v/>
      </c>
      <c r="Y566" s="2223" t="str" cm="1">
        <f t="array" ref="Y566">IF($D566&lt;COLUMNS($F$7:Y$7),"",INDEX(TableDiv[[GASB]:[GASB]],_xlfn.AGGREGATE(15,3,(TableDiv[[Agency]:[Agency]]=$E566)/(TableDiv[[Agency]:[Agency]]=$E566)*(ROW(TableDiv[Agency])-ROW(TableDiv[[#Headers],[Agency]])),COLUMNS($F$7:Y$7))))</f>
        <v/>
      </c>
      <c r="Z566" s="2223" t="str" cm="1">
        <f t="array" ref="Z566">IF($D566&lt;COLUMNS($F$7:Z$7),"",INDEX(TableDiv[[GASB]:[GASB]],_xlfn.AGGREGATE(15,3,(TableDiv[[Agency]:[Agency]]=$E566)/(TableDiv[[Agency]:[Agency]]=$E566)*(ROW(TableDiv[Agency])-ROW(TableDiv[[#Headers],[Agency]])),COLUMNS($F$7:Z$7))))</f>
        <v/>
      </c>
      <c r="AA566" s="2223" t="str" cm="1">
        <f t="array" ref="AA566">IF($D566&lt;COLUMNS($F$7:AA$7),"",INDEX(TableDiv[[GASB]:[GASB]],_xlfn.AGGREGATE(15,3,(TableDiv[[Agency]:[Agency]]=$E566)/(TableDiv[[Agency]:[Agency]]=$E566)*(ROW(TableDiv[Agency])-ROW(TableDiv[[#Headers],[Agency]])),COLUMNS($F$7:AA$7))))</f>
        <v/>
      </c>
      <c r="AB566" s="2223" t="str" cm="1">
        <f t="array" ref="AB566">IF($D566&lt;COLUMNS($F$7:AB$7),"",INDEX(TableDiv[[GASB]:[GASB]],_xlfn.AGGREGATE(15,3,(TableDiv[[Agency]:[Agency]]=$E566)/(TableDiv[[Agency]:[Agency]]=$E566)*(ROW(TableDiv[Agency])-ROW(TableDiv[[#Headers],[Agency]])),COLUMNS($F$7:AB$7))))</f>
        <v/>
      </c>
      <c r="AC566" s="2223" t="str" cm="1">
        <f t="array" ref="AC566">IF($D566&lt;COLUMNS($F$7:AC$7),"",INDEX(TableDiv[[GASB]:[GASB]],_xlfn.AGGREGATE(15,3,(TableDiv[[Agency]:[Agency]]=$E566)/(TableDiv[[Agency]:[Agency]]=$E566)*(ROW(TableDiv[Agency])-ROW(TableDiv[[#Headers],[Agency]])),COLUMNS($F$7:AC$7))))</f>
        <v/>
      </c>
      <c r="AD566" s="2223" t="str" cm="1">
        <f t="array" ref="AD566">IF($D566&lt;COLUMNS($F$7:AD$7),"",INDEX(TableDiv[[GASB]:[GASB]],_xlfn.AGGREGATE(15,3,(TableDiv[[Agency]:[Agency]]=$E566)/(TableDiv[[Agency]:[Agency]]=$E566)*(ROW(TableDiv[Agency])-ROW(TableDiv[[#Headers],[Agency]])),COLUMNS($F$7:AD$7))))</f>
        <v/>
      </c>
      <c r="AE566" s="2223" t="str" cm="1">
        <f t="array" ref="AE566">IF($D566&lt;COLUMNS($F$7:AE$7),"",INDEX(TableDiv[[GASB]:[GASB]],_xlfn.AGGREGATE(15,3,(TableDiv[[Agency]:[Agency]]=$E566)/(TableDiv[[Agency]:[Agency]]=$E566)*(ROW(TableDiv[Agency])-ROW(TableDiv[[#Headers],[Agency]])),COLUMNS($F$7:AE$7))))</f>
        <v/>
      </c>
      <c r="AF566" s="2223" t="str" cm="1">
        <f t="array" ref="AF566">IF($D566&lt;COLUMNS($F$7:AF$7),"",INDEX(TableDiv[[GASB]:[GASB]],_xlfn.AGGREGATE(15,3,(TableDiv[[Agency]:[Agency]]=$E566)/(TableDiv[[Agency]:[Agency]]=$E566)*(ROW(TableDiv[Agency])-ROW(TableDiv[[#Headers],[Agency]])),COLUMNS($F$7:AF$7))))</f>
        <v/>
      </c>
      <c r="AG566" s="2223" t="str" cm="1">
        <f t="array" ref="AG566">IF($D566&lt;COLUMNS($F$7:AG$7),"",INDEX(TableDiv[[GASB]:[GASB]],_xlfn.AGGREGATE(15,3,(TableDiv[[Agency]:[Agency]]=$E566)/(TableDiv[[Agency]:[Agency]]=$E566)*(ROW(TableDiv[Agency])-ROW(TableDiv[[#Headers],[Agency]])),COLUMNS($F$7:AG$7))))</f>
        <v/>
      </c>
      <c r="AH566" s="2223" t="str" cm="1">
        <f t="array" ref="AH566">IF($D566&lt;COLUMNS($F$7:AH$7),"",INDEX(TableDiv[[GASB]:[GASB]],_xlfn.AGGREGATE(15,3,(TableDiv[[Agency]:[Agency]]=$E566)/(TableDiv[[Agency]:[Agency]]=$E566)*(ROW(TableDiv[Agency])-ROW(TableDiv[[#Headers],[Agency]])),COLUMNS($F$7:AH$7))))</f>
        <v/>
      </c>
      <c r="AI566" s="2223" t="str" cm="1">
        <f t="array" ref="AI566">IF($D566&lt;COLUMNS($F$7:AI$7),"",INDEX(TableDiv[[GASB]:[GASB]],_xlfn.AGGREGATE(15,3,(TableDiv[[Agency]:[Agency]]=$E566)/(TableDiv[[Agency]:[Agency]]=$E566)*(ROW(TableDiv[Agency])-ROW(TableDiv[[#Headers],[Agency]])),COLUMNS($F$7:AI$7))))</f>
        <v/>
      </c>
      <c r="AJ566" s="2223" t="str" cm="1">
        <f t="array" ref="AJ566">IF($D566&lt;COLUMNS($F$7:AJ$7),"",INDEX(TableDiv[[GASB]:[GASB]],_xlfn.AGGREGATE(15,3,(TableDiv[[Agency]:[Agency]]=$E566)/(TableDiv[[Agency]:[Agency]]=$E566)*(ROW(TableDiv[Agency])-ROW(TableDiv[[#Headers],[Agency]])),COLUMNS($F$7:AJ$7))))</f>
        <v/>
      </c>
      <c r="AK566" s="2223" t="str" cm="1">
        <f t="array" ref="AK566">IF($D566&lt;COLUMNS($F$7:AK$7),"",INDEX(TableDiv[[GASB]:[GASB]],_xlfn.AGGREGATE(15,3,(TableDiv[[Agency]:[Agency]]=$E566)/(TableDiv[[Agency]:[Agency]]=$E566)*(ROW(TableDiv[Agency])-ROW(TableDiv[[#Headers],[Agency]])),COLUMNS($F$7:AK$7))))</f>
        <v/>
      </c>
      <c r="AL566" s="2223" t="str" cm="1">
        <f t="array" ref="AL566">IF($D566&lt;COLUMNS($F$7:AL$7),"",INDEX(TableDiv[[GASB]:[GASB]],_xlfn.AGGREGATE(15,3,(TableDiv[[Agency]:[Agency]]=$E566)/(TableDiv[[Agency]:[Agency]]=$E566)*(ROW(TableDiv[Agency])-ROW(TableDiv[[#Headers],[Agency]])),COLUMNS($F$7:AL$7))))</f>
        <v/>
      </c>
      <c r="AM566" s="2223" t="str" cm="1">
        <f t="array" ref="AM566">IF($D566&lt;COLUMNS($F$7:AM$7),"",INDEX(TableDiv[[GASB]:[GASB]],_xlfn.AGGREGATE(15,3,(TableDiv[[Agency]:[Agency]]=$E566)/(TableDiv[[Agency]:[Agency]]=$E566)*(ROW(TableDiv[Agency])-ROW(TableDiv[[#Headers],[Agency]])),COLUMNS($F$7:AM$7))))</f>
        <v/>
      </c>
      <c r="AN566" s="2223"/>
      <c r="AO566" s="2223"/>
      <c r="AP566" s="2223"/>
      <c r="AQ566" s="2223"/>
      <c r="AR566" s="2223"/>
      <c r="AS566" s="2223"/>
    </row>
    <row r="567" spans="1:45" x14ac:dyDescent="0.2">
      <c r="A567" s="2223"/>
      <c r="B567" s="2223"/>
      <c r="C567" s="2223"/>
      <c r="W567" s="2223" t="str" cm="1">
        <f t="array" ref="W567">IF($D567&lt;COLUMNS($F$7:W$7),"",INDEX(TableDiv[[GASB]:[GASB]],_xlfn.AGGREGATE(15,3,(TableDiv[[Agency]:[Agency]]=$E567)/(TableDiv[[Agency]:[Agency]]=$E567)*(ROW(TableDiv[Agency])-ROW(TableDiv[[#Headers],[Agency]])),COLUMNS($F$7:W$7))))</f>
        <v/>
      </c>
      <c r="X567" s="2223" t="str" cm="1">
        <f t="array" ref="X567">IF($D567&lt;COLUMNS($F$7:X$7),"",INDEX(TableDiv[[GASB]:[GASB]],_xlfn.AGGREGATE(15,3,(TableDiv[[Agency]:[Agency]]=$E567)/(TableDiv[[Agency]:[Agency]]=$E567)*(ROW(TableDiv[Agency])-ROW(TableDiv[[#Headers],[Agency]])),COLUMNS($F$7:X$7))))</f>
        <v/>
      </c>
      <c r="Y567" s="2223" t="str" cm="1">
        <f t="array" ref="Y567">IF($D567&lt;COLUMNS($F$7:Y$7),"",INDEX(TableDiv[[GASB]:[GASB]],_xlfn.AGGREGATE(15,3,(TableDiv[[Agency]:[Agency]]=$E567)/(TableDiv[[Agency]:[Agency]]=$E567)*(ROW(TableDiv[Agency])-ROW(TableDiv[[#Headers],[Agency]])),COLUMNS($F$7:Y$7))))</f>
        <v/>
      </c>
      <c r="Z567" s="2223" t="str" cm="1">
        <f t="array" ref="Z567">IF($D567&lt;COLUMNS($F$7:Z$7),"",INDEX(TableDiv[[GASB]:[GASB]],_xlfn.AGGREGATE(15,3,(TableDiv[[Agency]:[Agency]]=$E567)/(TableDiv[[Agency]:[Agency]]=$E567)*(ROW(TableDiv[Agency])-ROW(TableDiv[[#Headers],[Agency]])),COLUMNS($F$7:Z$7))))</f>
        <v/>
      </c>
      <c r="AA567" s="2223" t="str" cm="1">
        <f t="array" ref="AA567">IF($D567&lt;COLUMNS($F$7:AA$7),"",INDEX(TableDiv[[GASB]:[GASB]],_xlfn.AGGREGATE(15,3,(TableDiv[[Agency]:[Agency]]=$E567)/(TableDiv[[Agency]:[Agency]]=$E567)*(ROW(TableDiv[Agency])-ROW(TableDiv[[#Headers],[Agency]])),COLUMNS($F$7:AA$7))))</f>
        <v/>
      </c>
      <c r="AB567" s="2223" t="str" cm="1">
        <f t="array" ref="AB567">IF($D567&lt;COLUMNS($F$7:AB$7),"",INDEX(TableDiv[[GASB]:[GASB]],_xlfn.AGGREGATE(15,3,(TableDiv[[Agency]:[Agency]]=$E567)/(TableDiv[[Agency]:[Agency]]=$E567)*(ROW(TableDiv[Agency])-ROW(TableDiv[[#Headers],[Agency]])),COLUMNS($F$7:AB$7))))</f>
        <v/>
      </c>
      <c r="AC567" s="2223" t="str" cm="1">
        <f t="array" ref="AC567">IF($D567&lt;COLUMNS($F$7:AC$7),"",INDEX(TableDiv[[GASB]:[GASB]],_xlfn.AGGREGATE(15,3,(TableDiv[[Agency]:[Agency]]=$E567)/(TableDiv[[Agency]:[Agency]]=$E567)*(ROW(TableDiv[Agency])-ROW(TableDiv[[#Headers],[Agency]])),COLUMNS($F$7:AC$7))))</f>
        <v/>
      </c>
      <c r="AD567" s="2223" t="str" cm="1">
        <f t="array" ref="AD567">IF($D567&lt;COLUMNS($F$7:AD$7),"",INDEX(TableDiv[[GASB]:[GASB]],_xlfn.AGGREGATE(15,3,(TableDiv[[Agency]:[Agency]]=$E567)/(TableDiv[[Agency]:[Agency]]=$E567)*(ROW(TableDiv[Agency])-ROW(TableDiv[[#Headers],[Agency]])),COLUMNS($F$7:AD$7))))</f>
        <v/>
      </c>
      <c r="AE567" s="2223" t="str" cm="1">
        <f t="array" ref="AE567">IF($D567&lt;COLUMNS($F$7:AE$7),"",INDEX(TableDiv[[GASB]:[GASB]],_xlfn.AGGREGATE(15,3,(TableDiv[[Agency]:[Agency]]=$E567)/(TableDiv[[Agency]:[Agency]]=$E567)*(ROW(TableDiv[Agency])-ROW(TableDiv[[#Headers],[Agency]])),COLUMNS($F$7:AE$7))))</f>
        <v/>
      </c>
      <c r="AF567" s="2223" t="str" cm="1">
        <f t="array" ref="AF567">IF($D567&lt;COLUMNS($F$7:AF$7),"",INDEX(TableDiv[[GASB]:[GASB]],_xlfn.AGGREGATE(15,3,(TableDiv[[Agency]:[Agency]]=$E567)/(TableDiv[[Agency]:[Agency]]=$E567)*(ROW(TableDiv[Agency])-ROW(TableDiv[[#Headers],[Agency]])),COLUMNS($F$7:AF$7))))</f>
        <v/>
      </c>
      <c r="AG567" s="2223" t="str" cm="1">
        <f t="array" ref="AG567">IF($D567&lt;COLUMNS($F$7:AG$7),"",INDEX(TableDiv[[GASB]:[GASB]],_xlfn.AGGREGATE(15,3,(TableDiv[[Agency]:[Agency]]=$E567)/(TableDiv[[Agency]:[Agency]]=$E567)*(ROW(TableDiv[Agency])-ROW(TableDiv[[#Headers],[Agency]])),COLUMNS($F$7:AG$7))))</f>
        <v/>
      </c>
      <c r="AH567" s="2223" t="str" cm="1">
        <f t="array" ref="AH567">IF($D567&lt;COLUMNS($F$7:AH$7),"",INDEX(TableDiv[[GASB]:[GASB]],_xlfn.AGGREGATE(15,3,(TableDiv[[Agency]:[Agency]]=$E567)/(TableDiv[[Agency]:[Agency]]=$E567)*(ROW(TableDiv[Agency])-ROW(TableDiv[[#Headers],[Agency]])),COLUMNS($F$7:AH$7))))</f>
        <v/>
      </c>
      <c r="AI567" s="2223" t="str" cm="1">
        <f t="array" ref="AI567">IF($D567&lt;COLUMNS($F$7:AI$7),"",INDEX(TableDiv[[GASB]:[GASB]],_xlfn.AGGREGATE(15,3,(TableDiv[[Agency]:[Agency]]=$E567)/(TableDiv[[Agency]:[Agency]]=$E567)*(ROW(TableDiv[Agency])-ROW(TableDiv[[#Headers],[Agency]])),COLUMNS($F$7:AI$7))))</f>
        <v/>
      </c>
      <c r="AJ567" s="2223" t="str" cm="1">
        <f t="array" ref="AJ567">IF($D567&lt;COLUMNS($F$7:AJ$7),"",INDEX(TableDiv[[GASB]:[GASB]],_xlfn.AGGREGATE(15,3,(TableDiv[[Agency]:[Agency]]=$E567)/(TableDiv[[Agency]:[Agency]]=$E567)*(ROW(TableDiv[Agency])-ROW(TableDiv[[#Headers],[Agency]])),COLUMNS($F$7:AJ$7))))</f>
        <v/>
      </c>
      <c r="AK567" s="2223" t="str" cm="1">
        <f t="array" ref="AK567">IF($D567&lt;COLUMNS($F$7:AK$7),"",INDEX(TableDiv[[GASB]:[GASB]],_xlfn.AGGREGATE(15,3,(TableDiv[[Agency]:[Agency]]=$E567)/(TableDiv[[Agency]:[Agency]]=$E567)*(ROW(TableDiv[Agency])-ROW(TableDiv[[#Headers],[Agency]])),COLUMNS($F$7:AK$7))))</f>
        <v/>
      </c>
      <c r="AL567" s="2223" t="str" cm="1">
        <f t="array" ref="AL567">IF($D567&lt;COLUMNS($F$7:AL$7),"",INDEX(TableDiv[[GASB]:[GASB]],_xlfn.AGGREGATE(15,3,(TableDiv[[Agency]:[Agency]]=$E567)/(TableDiv[[Agency]:[Agency]]=$E567)*(ROW(TableDiv[Agency])-ROW(TableDiv[[#Headers],[Agency]])),COLUMNS($F$7:AL$7))))</f>
        <v/>
      </c>
      <c r="AM567" s="2223" t="str" cm="1">
        <f t="array" ref="AM567">IF($D567&lt;COLUMNS($F$7:AM$7),"",INDEX(TableDiv[[GASB]:[GASB]],_xlfn.AGGREGATE(15,3,(TableDiv[[Agency]:[Agency]]=$E567)/(TableDiv[[Agency]:[Agency]]=$E567)*(ROW(TableDiv[Agency])-ROW(TableDiv[[#Headers],[Agency]])),COLUMNS($F$7:AM$7))))</f>
        <v/>
      </c>
      <c r="AN567" s="2223"/>
      <c r="AO567" s="2223"/>
      <c r="AP567" s="2223"/>
      <c r="AQ567" s="2223"/>
      <c r="AR567" s="2223"/>
      <c r="AS567" s="2223"/>
    </row>
    <row r="568" spans="1:45" x14ac:dyDescent="0.2">
      <c r="A568" s="2223"/>
      <c r="B568" s="2223"/>
      <c r="C568" s="2223"/>
      <c r="W568" s="2223" t="str" cm="1">
        <f t="array" ref="W568">IF($D568&lt;COLUMNS($F$7:W$7),"",INDEX(TableDiv[[GASB]:[GASB]],_xlfn.AGGREGATE(15,3,(TableDiv[[Agency]:[Agency]]=$E568)/(TableDiv[[Agency]:[Agency]]=$E568)*(ROW(TableDiv[Agency])-ROW(TableDiv[[#Headers],[Agency]])),COLUMNS($F$7:W$7))))</f>
        <v/>
      </c>
      <c r="X568" s="2223" t="str" cm="1">
        <f t="array" ref="X568">IF($D568&lt;COLUMNS($F$7:X$7),"",INDEX(TableDiv[[GASB]:[GASB]],_xlfn.AGGREGATE(15,3,(TableDiv[[Agency]:[Agency]]=$E568)/(TableDiv[[Agency]:[Agency]]=$E568)*(ROW(TableDiv[Agency])-ROW(TableDiv[[#Headers],[Agency]])),COLUMNS($F$7:X$7))))</f>
        <v/>
      </c>
      <c r="Y568" s="2223" t="str" cm="1">
        <f t="array" ref="Y568">IF($D568&lt;COLUMNS($F$7:Y$7),"",INDEX(TableDiv[[GASB]:[GASB]],_xlfn.AGGREGATE(15,3,(TableDiv[[Agency]:[Agency]]=$E568)/(TableDiv[[Agency]:[Agency]]=$E568)*(ROW(TableDiv[Agency])-ROW(TableDiv[[#Headers],[Agency]])),COLUMNS($F$7:Y$7))))</f>
        <v/>
      </c>
      <c r="Z568" s="2223" t="str" cm="1">
        <f t="array" ref="Z568">IF($D568&lt;COLUMNS($F$7:Z$7),"",INDEX(TableDiv[[GASB]:[GASB]],_xlfn.AGGREGATE(15,3,(TableDiv[[Agency]:[Agency]]=$E568)/(TableDiv[[Agency]:[Agency]]=$E568)*(ROW(TableDiv[Agency])-ROW(TableDiv[[#Headers],[Agency]])),COLUMNS($F$7:Z$7))))</f>
        <v/>
      </c>
      <c r="AA568" s="2223" t="str" cm="1">
        <f t="array" ref="AA568">IF($D568&lt;COLUMNS($F$7:AA$7),"",INDEX(TableDiv[[GASB]:[GASB]],_xlfn.AGGREGATE(15,3,(TableDiv[[Agency]:[Agency]]=$E568)/(TableDiv[[Agency]:[Agency]]=$E568)*(ROW(TableDiv[Agency])-ROW(TableDiv[[#Headers],[Agency]])),COLUMNS($F$7:AA$7))))</f>
        <v/>
      </c>
      <c r="AB568" s="2223" t="str" cm="1">
        <f t="array" ref="AB568">IF($D568&lt;COLUMNS($F$7:AB$7),"",INDEX(TableDiv[[GASB]:[GASB]],_xlfn.AGGREGATE(15,3,(TableDiv[[Agency]:[Agency]]=$E568)/(TableDiv[[Agency]:[Agency]]=$E568)*(ROW(TableDiv[Agency])-ROW(TableDiv[[#Headers],[Agency]])),COLUMNS($F$7:AB$7))))</f>
        <v/>
      </c>
      <c r="AC568" s="2223" t="str" cm="1">
        <f t="array" ref="AC568">IF($D568&lt;COLUMNS($F$7:AC$7),"",INDEX(TableDiv[[GASB]:[GASB]],_xlfn.AGGREGATE(15,3,(TableDiv[[Agency]:[Agency]]=$E568)/(TableDiv[[Agency]:[Agency]]=$E568)*(ROW(TableDiv[Agency])-ROW(TableDiv[[#Headers],[Agency]])),COLUMNS($F$7:AC$7))))</f>
        <v/>
      </c>
      <c r="AD568" s="2223" t="str" cm="1">
        <f t="array" ref="AD568">IF($D568&lt;COLUMNS($F$7:AD$7),"",INDEX(TableDiv[[GASB]:[GASB]],_xlfn.AGGREGATE(15,3,(TableDiv[[Agency]:[Agency]]=$E568)/(TableDiv[[Agency]:[Agency]]=$E568)*(ROW(TableDiv[Agency])-ROW(TableDiv[[#Headers],[Agency]])),COLUMNS($F$7:AD$7))))</f>
        <v/>
      </c>
      <c r="AE568" s="2223" t="str" cm="1">
        <f t="array" ref="AE568">IF($D568&lt;COLUMNS($F$7:AE$7),"",INDEX(TableDiv[[GASB]:[GASB]],_xlfn.AGGREGATE(15,3,(TableDiv[[Agency]:[Agency]]=$E568)/(TableDiv[[Agency]:[Agency]]=$E568)*(ROW(TableDiv[Agency])-ROW(TableDiv[[#Headers],[Agency]])),COLUMNS($F$7:AE$7))))</f>
        <v/>
      </c>
      <c r="AF568" s="2223" t="str" cm="1">
        <f t="array" ref="AF568">IF($D568&lt;COLUMNS($F$7:AF$7),"",INDEX(TableDiv[[GASB]:[GASB]],_xlfn.AGGREGATE(15,3,(TableDiv[[Agency]:[Agency]]=$E568)/(TableDiv[[Agency]:[Agency]]=$E568)*(ROW(TableDiv[Agency])-ROW(TableDiv[[#Headers],[Agency]])),COLUMNS($F$7:AF$7))))</f>
        <v/>
      </c>
      <c r="AG568" s="2223" t="str" cm="1">
        <f t="array" ref="AG568">IF($D568&lt;COLUMNS($F$7:AG$7),"",INDEX(TableDiv[[GASB]:[GASB]],_xlfn.AGGREGATE(15,3,(TableDiv[[Agency]:[Agency]]=$E568)/(TableDiv[[Agency]:[Agency]]=$E568)*(ROW(TableDiv[Agency])-ROW(TableDiv[[#Headers],[Agency]])),COLUMNS($F$7:AG$7))))</f>
        <v/>
      </c>
      <c r="AH568" s="2223" t="str" cm="1">
        <f t="array" ref="AH568">IF($D568&lt;COLUMNS($F$7:AH$7),"",INDEX(TableDiv[[GASB]:[GASB]],_xlfn.AGGREGATE(15,3,(TableDiv[[Agency]:[Agency]]=$E568)/(TableDiv[[Agency]:[Agency]]=$E568)*(ROW(TableDiv[Agency])-ROW(TableDiv[[#Headers],[Agency]])),COLUMNS($F$7:AH$7))))</f>
        <v/>
      </c>
      <c r="AI568" s="2223" t="str" cm="1">
        <f t="array" ref="AI568">IF($D568&lt;COLUMNS($F$7:AI$7),"",INDEX(TableDiv[[GASB]:[GASB]],_xlfn.AGGREGATE(15,3,(TableDiv[[Agency]:[Agency]]=$E568)/(TableDiv[[Agency]:[Agency]]=$E568)*(ROW(TableDiv[Agency])-ROW(TableDiv[[#Headers],[Agency]])),COLUMNS($F$7:AI$7))))</f>
        <v/>
      </c>
      <c r="AJ568" s="2223" t="str" cm="1">
        <f t="array" ref="AJ568">IF($D568&lt;COLUMNS($F$7:AJ$7),"",INDEX(TableDiv[[GASB]:[GASB]],_xlfn.AGGREGATE(15,3,(TableDiv[[Agency]:[Agency]]=$E568)/(TableDiv[[Agency]:[Agency]]=$E568)*(ROW(TableDiv[Agency])-ROW(TableDiv[[#Headers],[Agency]])),COLUMNS($F$7:AJ$7))))</f>
        <v/>
      </c>
      <c r="AK568" s="2223" t="str" cm="1">
        <f t="array" ref="AK568">IF($D568&lt;COLUMNS($F$7:AK$7),"",INDEX(TableDiv[[GASB]:[GASB]],_xlfn.AGGREGATE(15,3,(TableDiv[[Agency]:[Agency]]=$E568)/(TableDiv[[Agency]:[Agency]]=$E568)*(ROW(TableDiv[Agency])-ROW(TableDiv[[#Headers],[Agency]])),COLUMNS($F$7:AK$7))))</f>
        <v/>
      </c>
      <c r="AL568" s="2223" t="str" cm="1">
        <f t="array" ref="AL568">IF($D568&lt;COLUMNS($F$7:AL$7),"",INDEX(TableDiv[[GASB]:[GASB]],_xlfn.AGGREGATE(15,3,(TableDiv[[Agency]:[Agency]]=$E568)/(TableDiv[[Agency]:[Agency]]=$E568)*(ROW(TableDiv[Agency])-ROW(TableDiv[[#Headers],[Agency]])),COLUMNS($F$7:AL$7))))</f>
        <v/>
      </c>
      <c r="AM568" s="2223" t="str" cm="1">
        <f t="array" ref="AM568">IF($D568&lt;COLUMNS($F$7:AM$7),"",INDEX(TableDiv[[GASB]:[GASB]],_xlfn.AGGREGATE(15,3,(TableDiv[[Agency]:[Agency]]=$E568)/(TableDiv[[Agency]:[Agency]]=$E568)*(ROW(TableDiv[Agency])-ROW(TableDiv[[#Headers],[Agency]])),COLUMNS($F$7:AM$7))))</f>
        <v/>
      </c>
      <c r="AN568" s="2223"/>
      <c r="AO568" s="2223"/>
      <c r="AP568" s="2223"/>
      <c r="AQ568" s="2223"/>
      <c r="AR568" s="2223"/>
      <c r="AS568" s="2223"/>
    </row>
    <row r="569" spans="1:45" x14ac:dyDescent="0.2">
      <c r="A569" s="2223"/>
      <c r="B569" s="2223"/>
      <c r="C569" s="2223"/>
      <c r="W569" s="2223" t="str" cm="1">
        <f t="array" ref="W569">IF($D569&lt;COLUMNS($F$7:W$7),"",INDEX(TableDiv[[GASB]:[GASB]],_xlfn.AGGREGATE(15,3,(TableDiv[[Agency]:[Agency]]=$E569)/(TableDiv[[Agency]:[Agency]]=$E569)*(ROW(TableDiv[Agency])-ROW(TableDiv[[#Headers],[Agency]])),COLUMNS($F$7:W$7))))</f>
        <v/>
      </c>
      <c r="X569" s="2223" t="str" cm="1">
        <f t="array" ref="X569">IF($D569&lt;COLUMNS($F$7:X$7),"",INDEX(TableDiv[[GASB]:[GASB]],_xlfn.AGGREGATE(15,3,(TableDiv[[Agency]:[Agency]]=$E569)/(TableDiv[[Agency]:[Agency]]=$E569)*(ROW(TableDiv[Agency])-ROW(TableDiv[[#Headers],[Agency]])),COLUMNS($F$7:X$7))))</f>
        <v/>
      </c>
      <c r="Y569" s="2223" t="str" cm="1">
        <f t="array" ref="Y569">IF($D569&lt;COLUMNS($F$7:Y$7),"",INDEX(TableDiv[[GASB]:[GASB]],_xlfn.AGGREGATE(15,3,(TableDiv[[Agency]:[Agency]]=$E569)/(TableDiv[[Agency]:[Agency]]=$E569)*(ROW(TableDiv[Agency])-ROW(TableDiv[[#Headers],[Agency]])),COLUMNS($F$7:Y$7))))</f>
        <v/>
      </c>
      <c r="Z569" s="2223" t="str" cm="1">
        <f t="array" ref="Z569">IF($D569&lt;COLUMNS($F$7:Z$7),"",INDEX(TableDiv[[GASB]:[GASB]],_xlfn.AGGREGATE(15,3,(TableDiv[[Agency]:[Agency]]=$E569)/(TableDiv[[Agency]:[Agency]]=$E569)*(ROW(TableDiv[Agency])-ROW(TableDiv[[#Headers],[Agency]])),COLUMNS($F$7:Z$7))))</f>
        <v/>
      </c>
      <c r="AA569" s="2223" t="str" cm="1">
        <f t="array" ref="AA569">IF($D569&lt;COLUMNS($F$7:AA$7),"",INDEX(TableDiv[[GASB]:[GASB]],_xlfn.AGGREGATE(15,3,(TableDiv[[Agency]:[Agency]]=$E569)/(TableDiv[[Agency]:[Agency]]=$E569)*(ROW(TableDiv[Agency])-ROW(TableDiv[[#Headers],[Agency]])),COLUMNS($F$7:AA$7))))</f>
        <v/>
      </c>
      <c r="AB569" s="2223" t="str" cm="1">
        <f t="array" ref="AB569">IF($D569&lt;COLUMNS($F$7:AB$7),"",INDEX(TableDiv[[GASB]:[GASB]],_xlfn.AGGREGATE(15,3,(TableDiv[[Agency]:[Agency]]=$E569)/(TableDiv[[Agency]:[Agency]]=$E569)*(ROW(TableDiv[Agency])-ROW(TableDiv[[#Headers],[Agency]])),COLUMNS($F$7:AB$7))))</f>
        <v/>
      </c>
      <c r="AC569" s="2223" t="str" cm="1">
        <f t="array" ref="AC569">IF($D569&lt;COLUMNS($F$7:AC$7),"",INDEX(TableDiv[[GASB]:[GASB]],_xlfn.AGGREGATE(15,3,(TableDiv[[Agency]:[Agency]]=$E569)/(TableDiv[[Agency]:[Agency]]=$E569)*(ROW(TableDiv[Agency])-ROW(TableDiv[[#Headers],[Agency]])),COLUMNS($F$7:AC$7))))</f>
        <v/>
      </c>
      <c r="AD569" s="2223" t="str" cm="1">
        <f t="array" ref="AD569">IF($D569&lt;COLUMNS($F$7:AD$7),"",INDEX(TableDiv[[GASB]:[GASB]],_xlfn.AGGREGATE(15,3,(TableDiv[[Agency]:[Agency]]=$E569)/(TableDiv[[Agency]:[Agency]]=$E569)*(ROW(TableDiv[Agency])-ROW(TableDiv[[#Headers],[Agency]])),COLUMNS($F$7:AD$7))))</f>
        <v/>
      </c>
      <c r="AE569" s="2223" t="str" cm="1">
        <f t="array" ref="AE569">IF($D569&lt;COLUMNS($F$7:AE$7),"",INDEX(TableDiv[[GASB]:[GASB]],_xlfn.AGGREGATE(15,3,(TableDiv[[Agency]:[Agency]]=$E569)/(TableDiv[[Agency]:[Agency]]=$E569)*(ROW(TableDiv[Agency])-ROW(TableDiv[[#Headers],[Agency]])),COLUMNS($F$7:AE$7))))</f>
        <v/>
      </c>
      <c r="AF569" s="2223" t="str" cm="1">
        <f t="array" ref="AF569">IF($D569&lt;COLUMNS($F$7:AF$7),"",INDEX(TableDiv[[GASB]:[GASB]],_xlfn.AGGREGATE(15,3,(TableDiv[[Agency]:[Agency]]=$E569)/(TableDiv[[Agency]:[Agency]]=$E569)*(ROW(TableDiv[Agency])-ROW(TableDiv[[#Headers],[Agency]])),COLUMNS($F$7:AF$7))))</f>
        <v/>
      </c>
      <c r="AG569" s="2223" t="str" cm="1">
        <f t="array" ref="AG569">IF($D569&lt;COLUMNS($F$7:AG$7),"",INDEX(TableDiv[[GASB]:[GASB]],_xlfn.AGGREGATE(15,3,(TableDiv[[Agency]:[Agency]]=$E569)/(TableDiv[[Agency]:[Agency]]=$E569)*(ROW(TableDiv[Agency])-ROW(TableDiv[[#Headers],[Agency]])),COLUMNS($F$7:AG$7))))</f>
        <v/>
      </c>
      <c r="AH569" s="2223" t="str" cm="1">
        <f t="array" ref="AH569">IF($D569&lt;COLUMNS($F$7:AH$7),"",INDEX(TableDiv[[GASB]:[GASB]],_xlfn.AGGREGATE(15,3,(TableDiv[[Agency]:[Agency]]=$E569)/(TableDiv[[Agency]:[Agency]]=$E569)*(ROW(TableDiv[Agency])-ROW(TableDiv[[#Headers],[Agency]])),COLUMNS($F$7:AH$7))))</f>
        <v/>
      </c>
      <c r="AI569" s="2223" t="str" cm="1">
        <f t="array" ref="AI569">IF($D569&lt;COLUMNS($F$7:AI$7),"",INDEX(TableDiv[[GASB]:[GASB]],_xlfn.AGGREGATE(15,3,(TableDiv[[Agency]:[Agency]]=$E569)/(TableDiv[[Agency]:[Agency]]=$E569)*(ROW(TableDiv[Agency])-ROW(TableDiv[[#Headers],[Agency]])),COLUMNS($F$7:AI$7))))</f>
        <v/>
      </c>
      <c r="AJ569" s="2223" t="str" cm="1">
        <f t="array" ref="AJ569">IF($D569&lt;COLUMNS($F$7:AJ$7),"",INDEX(TableDiv[[GASB]:[GASB]],_xlfn.AGGREGATE(15,3,(TableDiv[[Agency]:[Agency]]=$E569)/(TableDiv[[Agency]:[Agency]]=$E569)*(ROW(TableDiv[Agency])-ROW(TableDiv[[#Headers],[Agency]])),COLUMNS($F$7:AJ$7))))</f>
        <v/>
      </c>
      <c r="AK569" s="2223" t="str" cm="1">
        <f t="array" ref="AK569">IF($D569&lt;COLUMNS($F$7:AK$7),"",INDEX(TableDiv[[GASB]:[GASB]],_xlfn.AGGREGATE(15,3,(TableDiv[[Agency]:[Agency]]=$E569)/(TableDiv[[Agency]:[Agency]]=$E569)*(ROW(TableDiv[Agency])-ROW(TableDiv[[#Headers],[Agency]])),COLUMNS($F$7:AK$7))))</f>
        <v/>
      </c>
      <c r="AL569" s="2223" t="str" cm="1">
        <f t="array" ref="AL569">IF($D569&lt;COLUMNS($F$7:AL$7),"",INDEX(TableDiv[[GASB]:[GASB]],_xlfn.AGGREGATE(15,3,(TableDiv[[Agency]:[Agency]]=$E569)/(TableDiv[[Agency]:[Agency]]=$E569)*(ROW(TableDiv[Agency])-ROW(TableDiv[[#Headers],[Agency]])),COLUMNS($F$7:AL$7))))</f>
        <v/>
      </c>
      <c r="AM569" s="2223" t="str" cm="1">
        <f t="array" ref="AM569">IF($D569&lt;COLUMNS($F$7:AM$7),"",INDEX(TableDiv[[GASB]:[GASB]],_xlfn.AGGREGATE(15,3,(TableDiv[[Agency]:[Agency]]=$E569)/(TableDiv[[Agency]:[Agency]]=$E569)*(ROW(TableDiv[Agency])-ROW(TableDiv[[#Headers],[Agency]])),COLUMNS($F$7:AM$7))))</f>
        <v/>
      </c>
      <c r="AN569" s="2223"/>
      <c r="AO569" s="2223"/>
      <c r="AP569" s="2223"/>
      <c r="AQ569" s="2223"/>
      <c r="AR569" s="2223"/>
      <c r="AS569" s="2223"/>
    </row>
    <row r="570" spans="1:45" x14ac:dyDescent="0.2">
      <c r="A570" s="2223"/>
      <c r="B570" s="2223"/>
      <c r="C570" s="2223"/>
      <c r="W570" s="2223" t="str" cm="1">
        <f t="array" ref="W570">IF($D570&lt;COLUMNS($F$7:W$7),"",INDEX(TableDiv[[GASB]:[GASB]],_xlfn.AGGREGATE(15,3,(TableDiv[[Agency]:[Agency]]=$E570)/(TableDiv[[Agency]:[Agency]]=$E570)*(ROW(TableDiv[Agency])-ROW(TableDiv[[#Headers],[Agency]])),COLUMNS($F$7:W$7))))</f>
        <v/>
      </c>
      <c r="X570" s="2223" t="str" cm="1">
        <f t="array" ref="X570">IF($D570&lt;COLUMNS($F$7:X$7),"",INDEX(TableDiv[[GASB]:[GASB]],_xlfn.AGGREGATE(15,3,(TableDiv[[Agency]:[Agency]]=$E570)/(TableDiv[[Agency]:[Agency]]=$E570)*(ROW(TableDiv[Agency])-ROW(TableDiv[[#Headers],[Agency]])),COLUMNS($F$7:X$7))))</f>
        <v/>
      </c>
      <c r="Y570" s="2223" t="str" cm="1">
        <f t="array" ref="Y570">IF($D570&lt;COLUMNS($F$7:Y$7),"",INDEX(TableDiv[[GASB]:[GASB]],_xlfn.AGGREGATE(15,3,(TableDiv[[Agency]:[Agency]]=$E570)/(TableDiv[[Agency]:[Agency]]=$E570)*(ROW(TableDiv[Agency])-ROW(TableDiv[[#Headers],[Agency]])),COLUMNS($F$7:Y$7))))</f>
        <v/>
      </c>
      <c r="Z570" s="2223" t="str" cm="1">
        <f t="array" ref="Z570">IF($D570&lt;COLUMNS($F$7:Z$7),"",INDEX(TableDiv[[GASB]:[GASB]],_xlfn.AGGREGATE(15,3,(TableDiv[[Agency]:[Agency]]=$E570)/(TableDiv[[Agency]:[Agency]]=$E570)*(ROW(TableDiv[Agency])-ROW(TableDiv[[#Headers],[Agency]])),COLUMNS($F$7:Z$7))))</f>
        <v/>
      </c>
      <c r="AA570" s="2223" t="str" cm="1">
        <f t="array" ref="AA570">IF($D570&lt;COLUMNS($F$7:AA$7),"",INDEX(TableDiv[[GASB]:[GASB]],_xlfn.AGGREGATE(15,3,(TableDiv[[Agency]:[Agency]]=$E570)/(TableDiv[[Agency]:[Agency]]=$E570)*(ROW(TableDiv[Agency])-ROW(TableDiv[[#Headers],[Agency]])),COLUMNS($F$7:AA$7))))</f>
        <v/>
      </c>
      <c r="AB570" s="2223" t="str" cm="1">
        <f t="array" ref="AB570">IF($D570&lt;COLUMNS($F$7:AB$7),"",INDEX(TableDiv[[GASB]:[GASB]],_xlfn.AGGREGATE(15,3,(TableDiv[[Agency]:[Agency]]=$E570)/(TableDiv[[Agency]:[Agency]]=$E570)*(ROW(TableDiv[Agency])-ROW(TableDiv[[#Headers],[Agency]])),COLUMNS($F$7:AB$7))))</f>
        <v/>
      </c>
      <c r="AC570" s="2223" t="str" cm="1">
        <f t="array" ref="AC570">IF($D570&lt;COLUMNS($F$7:AC$7),"",INDEX(TableDiv[[GASB]:[GASB]],_xlfn.AGGREGATE(15,3,(TableDiv[[Agency]:[Agency]]=$E570)/(TableDiv[[Agency]:[Agency]]=$E570)*(ROW(TableDiv[Agency])-ROW(TableDiv[[#Headers],[Agency]])),COLUMNS($F$7:AC$7))))</f>
        <v/>
      </c>
      <c r="AD570" s="2223" t="str" cm="1">
        <f t="array" ref="AD570">IF($D570&lt;COLUMNS($F$7:AD$7),"",INDEX(TableDiv[[GASB]:[GASB]],_xlfn.AGGREGATE(15,3,(TableDiv[[Agency]:[Agency]]=$E570)/(TableDiv[[Agency]:[Agency]]=$E570)*(ROW(TableDiv[Agency])-ROW(TableDiv[[#Headers],[Agency]])),COLUMNS($F$7:AD$7))))</f>
        <v/>
      </c>
      <c r="AE570" s="2223" t="str" cm="1">
        <f t="array" ref="AE570">IF($D570&lt;COLUMNS($F$7:AE$7),"",INDEX(TableDiv[[GASB]:[GASB]],_xlfn.AGGREGATE(15,3,(TableDiv[[Agency]:[Agency]]=$E570)/(TableDiv[[Agency]:[Agency]]=$E570)*(ROW(TableDiv[Agency])-ROW(TableDiv[[#Headers],[Agency]])),COLUMNS($F$7:AE$7))))</f>
        <v/>
      </c>
      <c r="AF570" s="2223" t="str" cm="1">
        <f t="array" ref="AF570">IF($D570&lt;COLUMNS($F$7:AF$7),"",INDEX(TableDiv[[GASB]:[GASB]],_xlfn.AGGREGATE(15,3,(TableDiv[[Agency]:[Agency]]=$E570)/(TableDiv[[Agency]:[Agency]]=$E570)*(ROW(TableDiv[Agency])-ROW(TableDiv[[#Headers],[Agency]])),COLUMNS($F$7:AF$7))))</f>
        <v/>
      </c>
      <c r="AG570" s="2223" t="str" cm="1">
        <f t="array" ref="AG570">IF($D570&lt;COLUMNS($F$7:AG$7),"",INDEX(TableDiv[[GASB]:[GASB]],_xlfn.AGGREGATE(15,3,(TableDiv[[Agency]:[Agency]]=$E570)/(TableDiv[[Agency]:[Agency]]=$E570)*(ROW(TableDiv[Agency])-ROW(TableDiv[[#Headers],[Agency]])),COLUMNS($F$7:AG$7))))</f>
        <v/>
      </c>
      <c r="AH570" s="2223" t="str" cm="1">
        <f t="array" ref="AH570">IF($D570&lt;COLUMNS($F$7:AH$7),"",INDEX(TableDiv[[GASB]:[GASB]],_xlfn.AGGREGATE(15,3,(TableDiv[[Agency]:[Agency]]=$E570)/(TableDiv[[Agency]:[Agency]]=$E570)*(ROW(TableDiv[Agency])-ROW(TableDiv[[#Headers],[Agency]])),COLUMNS($F$7:AH$7))))</f>
        <v/>
      </c>
      <c r="AI570" s="2223" t="str" cm="1">
        <f t="array" ref="AI570">IF($D570&lt;COLUMNS($F$7:AI$7),"",INDEX(TableDiv[[GASB]:[GASB]],_xlfn.AGGREGATE(15,3,(TableDiv[[Agency]:[Agency]]=$E570)/(TableDiv[[Agency]:[Agency]]=$E570)*(ROW(TableDiv[Agency])-ROW(TableDiv[[#Headers],[Agency]])),COLUMNS($F$7:AI$7))))</f>
        <v/>
      </c>
      <c r="AJ570" s="2223" t="str" cm="1">
        <f t="array" ref="AJ570">IF($D570&lt;COLUMNS($F$7:AJ$7),"",INDEX(TableDiv[[GASB]:[GASB]],_xlfn.AGGREGATE(15,3,(TableDiv[[Agency]:[Agency]]=$E570)/(TableDiv[[Agency]:[Agency]]=$E570)*(ROW(TableDiv[Agency])-ROW(TableDiv[[#Headers],[Agency]])),COLUMNS($F$7:AJ$7))))</f>
        <v/>
      </c>
      <c r="AK570" s="2223" t="str" cm="1">
        <f t="array" ref="AK570">IF($D570&lt;COLUMNS($F$7:AK$7),"",INDEX(TableDiv[[GASB]:[GASB]],_xlfn.AGGREGATE(15,3,(TableDiv[[Agency]:[Agency]]=$E570)/(TableDiv[[Agency]:[Agency]]=$E570)*(ROW(TableDiv[Agency])-ROW(TableDiv[[#Headers],[Agency]])),COLUMNS($F$7:AK$7))))</f>
        <v/>
      </c>
      <c r="AL570" s="2223" t="str" cm="1">
        <f t="array" ref="AL570">IF($D570&lt;COLUMNS($F$7:AL$7),"",INDEX(TableDiv[[GASB]:[GASB]],_xlfn.AGGREGATE(15,3,(TableDiv[[Agency]:[Agency]]=$E570)/(TableDiv[[Agency]:[Agency]]=$E570)*(ROW(TableDiv[Agency])-ROW(TableDiv[[#Headers],[Agency]])),COLUMNS($F$7:AL$7))))</f>
        <v/>
      </c>
      <c r="AM570" s="2223" t="str" cm="1">
        <f t="array" ref="AM570">IF($D570&lt;COLUMNS($F$7:AM$7),"",INDEX(TableDiv[[GASB]:[GASB]],_xlfn.AGGREGATE(15,3,(TableDiv[[Agency]:[Agency]]=$E570)/(TableDiv[[Agency]:[Agency]]=$E570)*(ROW(TableDiv[Agency])-ROW(TableDiv[[#Headers],[Agency]])),COLUMNS($F$7:AM$7))))</f>
        <v/>
      </c>
      <c r="AN570" s="2223"/>
      <c r="AO570" s="2223"/>
      <c r="AP570" s="2223"/>
      <c r="AQ570" s="2223"/>
      <c r="AR570" s="2223"/>
      <c r="AS570" s="2223"/>
    </row>
    <row r="571" spans="1:45" x14ac:dyDescent="0.2">
      <c r="A571" s="2223"/>
      <c r="B571" s="2223"/>
      <c r="C571" s="2223"/>
      <c r="W571" s="2223" t="str" cm="1">
        <f t="array" ref="W571">IF($D571&lt;COLUMNS($F$7:W$7),"",INDEX(TableDiv[[GASB]:[GASB]],_xlfn.AGGREGATE(15,3,(TableDiv[[Agency]:[Agency]]=$E571)/(TableDiv[[Agency]:[Agency]]=$E571)*(ROW(TableDiv[Agency])-ROW(TableDiv[[#Headers],[Agency]])),COLUMNS($F$7:W$7))))</f>
        <v/>
      </c>
      <c r="X571" s="2223" t="str" cm="1">
        <f t="array" ref="X571">IF($D571&lt;COLUMNS($F$7:X$7),"",INDEX(TableDiv[[GASB]:[GASB]],_xlfn.AGGREGATE(15,3,(TableDiv[[Agency]:[Agency]]=$E571)/(TableDiv[[Agency]:[Agency]]=$E571)*(ROW(TableDiv[Agency])-ROW(TableDiv[[#Headers],[Agency]])),COLUMNS($F$7:X$7))))</f>
        <v/>
      </c>
      <c r="Y571" s="2223" t="str" cm="1">
        <f t="array" ref="Y571">IF($D571&lt;COLUMNS($F$7:Y$7),"",INDEX(TableDiv[[GASB]:[GASB]],_xlfn.AGGREGATE(15,3,(TableDiv[[Agency]:[Agency]]=$E571)/(TableDiv[[Agency]:[Agency]]=$E571)*(ROW(TableDiv[Agency])-ROW(TableDiv[[#Headers],[Agency]])),COLUMNS($F$7:Y$7))))</f>
        <v/>
      </c>
      <c r="Z571" s="2223" t="str" cm="1">
        <f t="array" ref="Z571">IF($D571&lt;COLUMNS($F$7:Z$7),"",INDEX(TableDiv[[GASB]:[GASB]],_xlfn.AGGREGATE(15,3,(TableDiv[[Agency]:[Agency]]=$E571)/(TableDiv[[Agency]:[Agency]]=$E571)*(ROW(TableDiv[Agency])-ROW(TableDiv[[#Headers],[Agency]])),COLUMNS($F$7:Z$7))))</f>
        <v/>
      </c>
      <c r="AA571" s="2223" t="str" cm="1">
        <f t="array" ref="AA571">IF($D571&lt;COLUMNS($F$7:AA$7),"",INDEX(TableDiv[[GASB]:[GASB]],_xlfn.AGGREGATE(15,3,(TableDiv[[Agency]:[Agency]]=$E571)/(TableDiv[[Agency]:[Agency]]=$E571)*(ROW(TableDiv[Agency])-ROW(TableDiv[[#Headers],[Agency]])),COLUMNS($F$7:AA$7))))</f>
        <v/>
      </c>
      <c r="AB571" s="2223" t="str" cm="1">
        <f t="array" ref="AB571">IF($D571&lt;COLUMNS($F$7:AB$7),"",INDEX(TableDiv[[GASB]:[GASB]],_xlfn.AGGREGATE(15,3,(TableDiv[[Agency]:[Agency]]=$E571)/(TableDiv[[Agency]:[Agency]]=$E571)*(ROW(TableDiv[Agency])-ROW(TableDiv[[#Headers],[Agency]])),COLUMNS($F$7:AB$7))))</f>
        <v/>
      </c>
      <c r="AC571" s="2223" t="str" cm="1">
        <f t="array" ref="AC571">IF($D571&lt;COLUMNS($F$7:AC$7),"",INDEX(TableDiv[[GASB]:[GASB]],_xlfn.AGGREGATE(15,3,(TableDiv[[Agency]:[Agency]]=$E571)/(TableDiv[[Agency]:[Agency]]=$E571)*(ROW(TableDiv[Agency])-ROW(TableDiv[[#Headers],[Agency]])),COLUMNS($F$7:AC$7))))</f>
        <v/>
      </c>
      <c r="AD571" s="2223" t="str" cm="1">
        <f t="array" ref="AD571">IF($D571&lt;COLUMNS($F$7:AD$7),"",INDEX(TableDiv[[GASB]:[GASB]],_xlfn.AGGREGATE(15,3,(TableDiv[[Agency]:[Agency]]=$E571)/(TableDiv[[Agency]:[Agency]]=$E571)*(ROW(TableDiv[Agency])-ROW(TableDiv[[#Headers],[Agency]])),COLUMNS($F$7:AD$7))))</f>
        <v/>
      </c>
      <c r="AE571" s="2223" t="str" cm="1">
        <f t="array" ref="AE571">IF($D571&lt;COLUMNS($F$7:AE$7),"",INDEX(TableDiv[[GASB]:[GASB]],_xlfn.AGGREGATE(15,3,(TableDiv[[Agency]:[Agency]]=$E571)/(TableDiv[[Agency]:[Agency]]=$E571)*(ROW(TableDiv[Agency])-ROW(TableDiv[[#Headers],[Agency]])),COLUMNS($F$7:AE$7))))</f>
        <v/>
      </c>
      <c r="AF571" s="2223" t="str" cm="1">
        <f t="array" ref="AF571">IF($D571&lt;COLUMNS($F$7:AF$7),"",INDEX(TableDiv[[GASB]:[GASB]],_xlfn.AGGREGATE(15,3,(TableDiv[[Agency]:[Agency]]=$E571)/(TableDiv[[Agency]:[Agency]]=$E571)*(ROW(TableDiv[Agency])-ROW(TableDiv[[#Headers],[Agency]])),COLUMNS($F$7:AF$7))))</f>
        <v/>
      </c>
      <c r="AG571" s="2223" t="str" cm="1">
        <f t="array" ref="AG571">IF($D571&lt;COLUMNS($F$7:AG$7),"",INDEX(TableDiv[[GASB]:[GASB]],_xlfn.AGGREGATE(15,3,(TableDiv[[Agency]:[Agency]]=$E571)/(TableDiv[[Agency]:[Agency]]=$E571)*(ROW(TableDiv[Agency])-ROW(TableDiv[[#Headers],[Agency]])),COLUMNS($F$7:AG$7))))</f>
        <v/>
      </c>
      <c r="AH571" s="2223" t="str" cm="1">
        <f t="array" ref="AH571">IF($D571&lt;COLUMNS($F$7:AH$7),"",INDEX(TableDiv[[GASB]:[GASB]],_xlfn.AGGREGATE(15,3,(TableDiv[[Agency]:[Agency]]=$E571)/(TableDiv[[Agency]:[Agency]]=$E571)*(ROW(TableDiv[Agency])-ROW(TableDiv[[#Headers],[Agency]])),COLUMNS($F$7:AH$7))))</f>
        <v/>
      </c>
      <c r="AI571" s="2223" t="str" cm="1">
        <f t="array" ref="AI571">IF($D571&lt;COLUMNS($F$7:AI$7),"",INDEX(TableDiv[[GASB]:[GASB]],_xlfn.AGGREGATE(15,3,(TableDiv[[Agency]:[Agency]]=$E571)/(TableDiv[[Agency]:[Agency]]=$E571)*(ROW(TableDiv[Agency])-ROW(TableDiv[[#Headers],[Agency]])),COLUMNS($F$7:AI$7))))</f>
        <v/>
      </c>
      <c r="AJ571" s="2223" t="str" cm="1">
        <f t="array" ref="AJ571">IF($D571&lt;COLUMNS($F$7:AJ$7),"",INDEX(TableDiv[[GASB]:[GASB]],_xlfn.AGGREGATE(15,3,(TableDiv[[Agency]:[Agency]]=$E571)/(TableDiv[[Agency]:[Agency]]=$E571)*(ROW(TableDiv[Agency])-ROW(TableDiv[[#Headers],[Agency]])),COLUMNS($F$7:AJ$7))))</f>
        <v/>
      </c>
      <c r="AK571" s="2223" t="str" cm="1">
        <f t="array" ref="AK571">IF($D571&lt;COLUMNS($F$7:AK$7),"",INDEX(TableDiv[[GASB]:[GASB]],_xlfn.AGGREGATE(15,3,(TableDiv[[Agency]:[Agency]]=$E571)/(TableDiv[[Agency]:[Agency]]=$E571)*(ROW(TableDiv[Agency])-ROW(TableDiv[[#Headers],[Agency]])),COLUMNS($F$7:AK$7))))</f>
        <v/>
      </c>
      <c r="AL571" s="2223" t="str" cm="1">
        <f t="array" ref="AL571">IF($D571&lt;COLUMNS($F$7:AL$7),"",INDEX(TableDiv[[GASB]:[GASB]],_xlfn.AGGREGATE(15,3,(TableDiv[[Agency]:[Agency]]=$E571)/(TableDiv[[Agency]:[Agency]]=$E571)*(ROW(TableDiv[Agency])-ROW(TableDiv[[#Headers],[Agency]])),COLUMNS($F$7:AL$7))))</f>
        <v/>
      </c>
      <c r="AM571" s="2223" t="str" cm="1">
        <f t="array" ref="AM571">IF($D571&lt;COLUMNS($F$7:AM$7),"",INDEX(TableDiv[[GASB]:[GASB]],_xlfn.AGGREGATE(15,3,(TableDiv[[Agency]:[Agency]]=$E571)/(TableDiv[[Agency]:[Agency]]=$E571)*(ROW(TableDiv[Agency])-ROW(TableDiv[[#Headers],[Agency]])),COLUMNS($F$7:AM$7))))</f>
        <v/>
      </c>
      <c r="AN571" s="2223"/>
      <c r="AO571" s="2223"/>
      <c r="AP571" s="2223"/>
      <c r="AQ571" s="2223"/>
      <c r="AR571" s="2223"/>
      <c r="AS571" s="2223"/>
    </row>
    <row r="572" spans="1:45" x14ac:dyDescent="0.2">
      <c r="A572" s="2223"/>
      <c r="B572" s="2223"/>
      <c r="C572" s="2223"/>
      <c r="W572" s="2223" t="str" cm="1">
        <f t="array" ref="W572">IF($D572&lt;COLUMNS($F$7:W$7),"",INDEX(TableDiv[[GASB]:[GASB]],_xlfn.AGGREGATE(15,3,(TableDiv[[Agency]:[Agency]]=$E572)/(TableDiv[[Agency]:[Agency]]=$E572)*(ROW(TableDiv[Agency])-ROW(TableDiv[[#Headers],[Agency]])),COLUMNS($F$7:W$7))))</f>
        <v/>
      </c>
      <c r="X572" s="2223" t="str" cm="1">
        <f t="array" ref="X572">IF($D572&lt;COLUMNS($F$7:X$7),"",INDEX(TableDiv[[GASB]:[GASB]],_xlfn.AGGREGATE(15,3,(TableDiv[[Agency]:[Agency]]=$E572)/(TableDiv[[Agency]:[Agency]]=$E572)*(ROW(TableDiv[Agency])-ROW(TableDiv[[#Headers],[Agency]])),COLUMNS($F$7:X$7))))</f>
        <v/>
      </c>
      <c r="Y572" s="2223" t="str" cm="1">
        <f t="array" ref="Y572">IF($D572&lt;COLUMNS($F$7:Y$7),"",INDEX(TableDiv[[GASB]:[GASB]],_xlfn.AGGREGATE(15,3,(TableDiv[[Agency]:[Agency]]=$E572)/(TableDiv[[Agency]:[Agency]]=$E572)*(ROW(TableDiv[Agency])-ROW(TableDiv[[#Headers],[Agency]])),COLUMNS($F$7:Y$7))))</f>
        <v/>
      </c>
      <c r="Z572" s="2223" t="str" cm="1">
        <f t="array" ref="Z572">IF($D572&lt;COLUMNS($F$7:Z$7),"",INDEX(TableDiv[[GASB]:[GASB]],_xlfn.AGGREGATE(15,3,(TableDiv[[Agency]:[Agency]]=$E572)/(TableDiv[[Agency]:[Agency]]=$E572)*(ROW(TableDiv[Agency])-ROW(TableDiv[[#Headers],[Agency]])),COLUMNS($F$7:Z$7))))</f>
        <v/>
      </c>
      <c r="AA572" s="2223" t="str" cm="1">
        <f t="array" ref="AA572">IF($D572&lt;COLUMNS($F$7:AA$7),"",INDEX(TableDiv[[GASB]:[GASB]],_xlfn.AGGREGATE(15,3,(TableDiv[[Agency]:[Agency]]=$E572)/(TableDiv[[Agency]:[Agency]]=$E572)*(ROW(TableDiv[Agency])-ROW(TableDiv[[#Headers],[Agency]])),COLUMNS($F$7:AA$7))))</f>
        <v/>
      </c>
      <c r="AB572" s="2223" t="str" cm="1">
        <f t="array" ref="AB572">IF($D572&lt;COLUMNS($F$7:AB$7),"",INDEX(TableDiv[[GASB]:[GASB]],_xlfn.AGGREGATE(15,3,(TableDiv[[Agency]:[Agency]]=$E572)/(TableDiv[[Agency]:[Agency]]=$E572)*(ROW(TableDiv[Agency])-ROW(TableDiv[[#Headers],[Agency]])),COLUMNS($F$7:AB$7))))</f>
        <v/>
      </c>
      <c r="AC572" s="2223" t="str" cm="1">
        <f t="array" ref="AC572">IF($D572&lt;COLUMNS($F$7:AC$7),"",INDEX(TableDiv[[GASB]:[GASB]],_xlfn.AGGREGATE(15,3,(TableDiv[[Agency]:[Agency]]=$E572)/(TableDiv[[Agency]:[Agency]]=$E572)*(ROW(TableDiv[Agency])-ROW(TableDiv[[#Headers],[Agency]])),COLUMNS($F$7:AC$7))))</f>
        <v/>
      </c>
      <c r="AD572" s="2223" t="str" cm="1">
        <f t="array" ref="AD572">IF($D572&lt;COLUMNS($F$7:AD$7),"",INDEX(TableDiv[[GASB]:[GASB]],_xlfn.AGGREGATE(15,3,(TableDiv[[Agency]:[Agency]]=$E572)/(TableDiv[[Agency]:[Agency]]=$E572)*(ROW(TableDiv[Agency])-ROW(TableDiv[[#Headers],[Agency]])),COLUMNS($F$7:AD$7))))</f>
        <v/>
      </c>
      <c r="AE572" s="2223" t="str" cm="1">
        <f t="array" ref="AE572">IF($D572&lt;COLUMNS($F$7:AE$7),"",INDEX(TableDiv[[GASB]:[GASB]],_xlfn.AGGREGATE(15,3,(TableDiv[[Agency]:[Agency]]=$E572)/(TableDiv[[Agency]:[Agency]]=$E572)*(ROW(TableDiv[Agency])-ROW(TableDiv[[#Headers],[Agency]])),COLUMNS($F$7:AE$7))))</f>
        <v/>
      </c>
      <c r="AF572" s="2223" t="str" cm="1">
        <f t="array" ref="AF572">IF($D572&lt;COLUMNS($F$7:AF$7),"",INDEX(TableDiv[[GASB]:[GASB]],_xlfn.AGGREGATE(15,3,(TableDiv[[Agency]:[Agency]]=$E572)/(TableDiv[[Agency]:[Agency]]=$E572)*(ROW(TableDiv[Agency])-ROW(TableDiv[[#Headers],[Agency]])),COLUMNS($F$7:AF$7))))</f>
        <v/>
      </c>
      <c r="AG572" s="2223" t="str" cm="1">
        <f t="array" ref="AG572">IF($D572&lt;COLUMNS($F$7:AG$7),"",INDEX(TableDiv[[GASB]:[GASB]],_xlfn.AGGREGATE(15,3,(TableDiv[[Agency]:[Agency]]=$E572)/(TableDiv[[Agency]:[Agency]]=$E572)*(ROW(TableDiv[Agency])-ROW(TableDiv[[#Headers],[Agency]])),COLUMNS($F$7:AG$7))))</f>
        <v/>
      </c>
      <c r="AH572" s="2223" t="str" cm="1">
        <f t="array" ref="AH572">IF($D572&lt;COLUMNS($F$7:AH$7),"",INDEX(TableDiv[[GASB]:[GASB]],_xlfn.AGGREGATE(15,3,(TableDiv[[Agency]:[Agency]]=$E572)/(TableDiv[[Agency]:[Agency]]=$E572)*(ROW(TableDiv[Agency])-ROW(TableDiv[[#Headers],[Agency]])),COLUMNS($F$7:AH$7))))</f>
        <v/>
      </c>
      <c r="AI572" s="2223" t="str" cm="1">
        <f t="array" ref="AI572">IF($D572&lt;COLUMNS($F$7:AI$7),"",INDEX(TableDiv[[GASB]:[GASB]],_xlfn.AGGREGATE(15,3,(TableDiv[[Agency]:[Agency]]=$E572)/(TableDiv[[Agency]:[Agency]]=$E572)*(ROW(TableDiv[Agency])-ROW(TableDiv[[#Headers],[Agency]])),COLUMNS($F$7:AI$7))))</f>
        <v/>
      </c>
      <c r="AJ572" s="2223" t="str" cm="1">
        <f t="array" ref="AJ572">IF($D572&lt;COLUMNS($F$7:AJ$7),"",INDEX(TableDiv[[GASB]:[GASB]],_xlfn.AGGREGATE(15,3,(TableDiv[[Agency]:[Agency]]=$E572)/(TableDiv[[Agency]:[Agency]]=$E572)*(ROW(TableDiv[Agency])-ROW(TableDiv[[#Headers],[Agency]])),COLUMNS($F$7:AJ$7))))</f>
        <v/>
      </c>
      <c r="AK572" s="2223" t="str" cm="1">
        <f t="array" ref="AK572">IF($D572&lt;COLUMNS($F$7:AK$7),"",INDEX(TableDiv[[GASB]:[GASB]],_xlfn.AGGREGATE(15,3,(TableDiv[[Agency]:[Agency]]=$E572)/(TableDiv[[Agency]:[Agency]]=$E572)*(ROW(TableDiv[Agency])-ROW(TableDiv[[#Headers],[Agency]])),COLUMNS($F$7:AK$7))))</f>
        <v/>
      </c>
      <c r="AL572" s="2223" t="str" cm="1">
        <f t="array" ref="AL572">IF($D572&lt;COLUMNS($F$7:AL$7),"",INDEX(TableDiv[[GASB]:[GASB]],_xlfn.AGGREGATE(15,3,(TableDiv[[Agency]:[Agency]]=$E572)/(TableDiv[[Agency]:[Agency]]=$E572)*(ROW(TableDiv[Agency])-ROW(TableDiv[[#Headers],[Agency]])),COLUMNS($F$7:AL$7))))</f>
        <v/>
      </c>
      <c r="AM572" s="2223" t="str" cm="1">
        <f t="array" ref="AM572">IF($D572&lt;COLUMNS($F$7:AM$7),"",INDEX(TableDiv[[GASB]:[GASB]],_xlfn.AGGREGATE(15,3,(TableDiv[[Agency]:[Agency]]=$E572)/(TableDiv[[Agency]:[Agency]]=$E572)*(ROW(TableDiv[Agency])-ROW(TableDiv[[#Headers],[Agency]])),COLUMNS($F$7:AM$7))))</f>
        <v/>
      </c>
      <c r="AN572" s="2223"/>
      <c r="AO572" s="2223"/>
      <c r="AP572" s="2223"/>
      <c r="AQ572" s="2223"/>
      <c r="AR572" s="2223"/>
      <c r="AS572" s="2223"/>
    </row>
    <row r="573" spans="1:45" x14ac:dyDescent="0.2">
      <c r="A573" s="2223"/>
      <c r="B573" s="2223"/>
      <c r="C573" s="2223"/>
      <c r="W573" s="2223" t="str" cm="1">
        <f t="array" ref="W573">IF($D573&lt;COLUMNS($F$7:W$7),"",INDEX(TableDiv[[GASB]:[GASB]],_xlfn.AGGREGATE(15,3,(TableDiv[[Agency]:[Agency]]=$E573)/(TableDiv[[Agency]:[Agency]]=$E573)*(ROW(TableDiv[Agency])-ROW(TableDiv[[#Headers],[Agency]])),COLUMNS($F$7:W$7))))</f>
        <v/>
      </c>
      <c r="X573" s="2223" t="str" cm="1">
        <f t="array" ref="X573">IF($D573&lt;COLUMNS($F$7:X$7),"",INDEX(TableDiv[[GASB]:[GASB]],_xlfn.AGGREGATE(15,3,(TableDiv[[Agency]:[Agency]]=$E573)/(TableDiv[[Agency]:[Agency]]=$E573)*(ROW(TableDiv[Agency])-ROW(TableDiv[[#Headers],[Agency]])),COLUMNS($F$7:X$7))))</f>
        <v/>
      </c>
      <c r="Y573" s="2223" t="str" cm="1">
        <f t="array" ref="Y573">IF($D573&lt;COLUMNS($F$7:Y$7),"",INDEX(TableDiv[[GASB]:[GASB]],_xlfn.AGGREGATE(15,3,(TableDiv[[Agency]:[Agency]]=$E573)/(TableDiv[[Agency]:[Agency]]=$E573)*(ROW(TableDiv[Agency])-ROW(TableDiv[[#Headers],[Agency]])),COLUMNS($F$7:Y$7))))</f>
        <v/>
      </c>
      <c r="Z573" s="2223" t="str" cm="1">
        <f t="array" ref="Z573">IF($D573&lt;COLUMNS($F$7:Z$7),"",INDEX(TableDiv[[GASB]:[GASB]],_xlfn.AGGREGATE(15,3,(TableDiv[[Agency]:[Agency]]=$E573)/(TableDiv[[Agency]:[Agency]]=$E573)*(ROW(TableDiv[Agency])-ROW(TableDiv[[#Headers],[Agency]])),COLUMNS($F$7:Z$7))))</f>
        <v/>
      </c>
      <c r="AA573" s="2223" t="str" cm="1">
        <f t="array" ref="AA573">IF($D573&lt;COLUMNS($F$7:AA$7),"",INDEX(TableDiv[[GASB]:[GASB]],_xlfn.AGGREGATE(15,3,(TableDiv[[Agency]:[Agency]]=$E573)/(TableDiv[[Agency]:[Agency]]=$E573)*(ROW(TableDiv[Agency])-ROW(TableDiv[[#Headers],[Agency]])),COLUMNS($F$7:AA$7))))</f>
        <v/>
      </c>
      <c r="AB573" s="2223" t="str" cm="1">
        <f t="array" ref="AB573">IF($D573&lt;COLUMNS($F$7:AB$7),"",INDEX(TableDiv[[GASB]:[GASB]],_xlfn.AGGREGATE(15,3,(TableDiv[[Agency]:[Agency]]=$E573)/(TableDiv[[Agency]:[Agency]]=$E573)*(ROW(TableDiv[Agency])-ROW(TableDiv[[#Headers],[Agency]])),COLUMNS($F$7:AB$7))))</f>
        <v/>
      </c>
      <c r="AC573" s="2223" t="str" cm="1">
        <f t="array" ref="AC573">IF($D573&lt;COLUMNS($F$7:AC$7),"",INDEX(TableDiv[[GASB]:[GASB]],_xlfn.AGGREGATE(15,3,(TableDiv[[Agency]:[Agency]]=$E573)/(TableDiv[[Agency]:[Agency]]=$E573)*(ROW(TableDiv[Agency])-ROW(TableDiv[[#Headers],[Agency]])),COLUMNS($F$7:AC$7))))</f>
        <v/>
      </c>
      <c r="AD573" s="2223" t="str" cm="1">
        <f t="array" ref="AD573">IF($D573&lt;COLUMNS($F$7:AD$7),"",INDEX(TableDiv[[GASB]:[GASB]],_xlfn.AGGREGATE(15,3,(TableDiv[[Agency]:[Agency]]=$E573)/(TableDiv[[Agency]:[Agency]]=$E573)*(ROW(TableDiv[Agency])-ROW(TableDiv[[#Headers],[Agency]])),COLUMNS($F$7:AD$7))))</f>
        <v/>
      </c>
      <c r="AE573" s="2223" t="str" cm="1">
        <f t="array" ref="AE573">IF($D573&lt;COLUMNS($F$7:AE$7),"",INDEX(TableDiv[[GASB]:[GASB]],_xlfn.AGGREGATE(15,3,(TableDiv[[Agency]:[Agency]]=$E573)/(TableDiv[[Agency]:[Agency]]=$E573)*(ROW(TableDiv[Agency])-ROW(TableDiv[[#Headers],[Agency]])),COLUMNS($F$7:AE$7))))</f>
        <v/>
      </c>
      <c r="AF573" s="2223" t="str" cm="1">
        <f t="array" ref="AF573">IF($D573&lt;COLUMNS($F$7:AF$7),"",INDEX(TableDiv[[GASB]:[GASB]],_xlfn.AGGREGATE(15,3,(TableDiv[[Agency]:[Agency]]=$E573)/(TableDiv[[Agency]:[Agency]]=$E573)*(ROW(TableDiv[Agency])-ROW(TableDiv[[#Headers],[Agency]])),COLUMNS($F$7:AF$7))))</f>
        <v/>
      </c>
      <c r="AG573" s="2223" t="str" cm="1">
        <f t="array" ref="AG573">IF($D573&lt;COLUMNS($F$7:AG$7),"",INDEX(TableDiv[[GASB]:[GASB]],_xlfn.AGGREGATE(15,3,(TableDiv[[Agency]:[Agency]]=$E573)/(TableDiv[[Agency]:[Agency]]=$E573)*(ROW(TableDiv[Agency])-ROW(TableDiv[[#Headers],[Agency]])),COLUMNS($F$7:AG$7))))</f>
        <v/>
      </c>
      <c r="AH573" s="2223" t="str" cm="1">
        <f t="array" ref="AH573">IF($D573&lt;COLUMNS($F$7:AH$7),"",INDEX(TableDiv[[GASB]:[GASB]],_xlfn.AGGREGATE(15,3,(TableDiv[[Agency]:[Agency]]=$E573)/(TableDiv[[Agency]:[Agency]]=$E573)*(ROW(TableDiv[Agency])-ROW(TableDiv[[#Headers],[Agency]])),COLUMNS($F$7:AH$7))))</f>
        <v/>
      </c>
      <c r="AI573" s="2223" t="str" cm="1">
        <f t="array" ref="AI573">IF($D573&lt;COLUMNS($F$7:AI$7),"",INDEX(TableDiv[[GASB]:[GASB]],_xlfn.AGGREGATE(15,3,(TableDiv[[Agency]:[Agency]]=$E573)/(TableDiv[[Agency]:[Agency]]=$E573)*(ROW(TableDiv[Agency])-ROW(TableDiv[[#Headers],[Agency]])),COLUMNS($F$7:AI$7))))</f>
        <v/>
      </c>
      <c r="AJ573" s="2223" t="str" cm="1">
        <f t="array" ref="AJ573">IF($D573&lt;COLUMNS($F$7:AJ$7),"",INDEX(TableDiv[[GASB]:[GASB]],_xlfn.AGGREGATE(15,3,(TableDiv[[Agency]:[Agency]]=$E573)/(TableDiv[[Agency]:[Agency]]=$E573)*(ROW(TableDiv[Agency])-ROW(TableDiv[[#Headers],[Agency]])),COLUMNS($F$7:AJ$7))))</f>
        <v/>
      </c>
      <c r="AK573" s="2223" t="str" cm="1">
        <f t="array" ref="AK573">IF($D573&lt;COLUMNS($F$7:AK$7),"",INDEX(TableDiv[[GASB]:[GASB]],_xlfn.AGGREGATE(15,3,(TableDiv[[Agency]:[Agency]]=$E573)/(TableDiv[[Agency]:[Agency]]=$E573)*(ROW(TableDiv[Agency])-ROW(TableDiv[[#Headers],[Agency]])),COLUMNS($F$7:AK$7))))</f>
        <v/>
      </c>
      <c r="AL573" s="2223" t="str" cm="1">
        <f t="array" ref="AL573">IF($D573&lt;COLUMNS($F$7:AL$7),"",INDEX(TableDiv[[GASB]:[GASB]],_xlfn.AGGREGATE(15,3,(TableDiv[[Agency]:[Agency]]=$E573)/(TableDiv[[Agency]:[Agency]]=$E573)*(ROW(TableDiv[Agency])-ROW(TableDiv[[#Headers],[Agency]])),COLUMNS($F$7:AL$7))))</f>
        <v/>
      </c>
      <c r="AM573" s="2223" t="str" cm="1">
        <f t="array" ref="AM573">IF($D573&lt;COLUMNS($F$7:AM$7),"",INDEX(TableDiv[[GASB]:[GASB]],_xlfn.AGGREGATE(15,3,(TableDiv[[Agency]:[Agency]]=$E573)/(TableDiv[[Agency]:[Agency]]=$E573)*(ROW(TableDiv[Agency])-ROW(TableDiv[[#Headers],[Agency]])),COLUMNS($F$7:AM$7))))</f>
        <v/>
      </c>
      <c r="AN573" s="2223"/>
      <c r="AO573" s="2223"/>
      <c r="AP573" s="2223"/>
      <c r="AQ573" s="2223"/>
      <c r="AR573" s="2223"/>
      <c r="AS573" s="2223"/>
    </row>
    <row r="574" spans="1:45" x14ac:dyDescent="0.2">
      <c r="A574" s="2223"/>
      <c r="B574" s="2223"/>
      <c r="C574" s="2223"/>
      <c r="W574" s="2223" t="str" cm="1">
        <f t="array" ref="W574">IF($D574&lt;COLUMNS($F$7:W$7),"",INDEX(TableDiv[[GASB]:[GASB]],_xlfn.AGGREGATE(15,3,(TableDiv[[Agency]:[Agency]]=$E574)/(TableDiv[[Agency]:[Agency]]=$E574)*(ROW(TableDiv[Agency])-ROW(TableDiv[[#Headers],[Agency]])),COLUMNS($F$7:W$7))))</f>
        <v/>
      </c>
      <c r="X574" s="2223" t="str" cm="1">
        <f t="array" ref="X574">IF($D574&lt;COLUMNS($F$7:X$7),"",INDEX(TableDiv[[GASB]:[GASB]],_xlfn.AGGREGATE(15,3,(TableDiv[[Agency]:[Agency]]=$E574)/(TableDiv[[Agency]:[Agency]]=$E574)*(ROW(TableDiv[Agency])-ROW(TableDiv[[#Headers],[Agency]])),COLUMNS($F$7:X$7))))</f>
        <v/>
      </c>
      <c r="Y574" s="2223" t="str" cm="1">
        <f t="array" ref="Y574">IF($D574&lt;COLUMNS($F$7:Y$7),"",INDEX(TableDiv[[GASB]:[GASB]],_xlfn.AGGREGATE(15,3,(TableDiv[[Agency]:[Agency]]=$E574)/(TableDiv[[Agency]:[Agency]]=$E574)*(ROW(TableDiv[Agency])-ROW(TableDiv[[#Headers],[Agency]])),COLUMNS($F$7:Y$7))))</f>
        <v/>
      </c>
      <c r="Z574" s="2223" t="str" cm="1">
        <f t="array" ref="Z574">IF($D574&lt;COLUMNS($F$7:Z$7),"",INDEX(TableDiv[[GASB]:[GASB]],_xlfn.AGGREGATE(15,3,(TableDiv[[Agency]:[Agency]]=$E574)/(TableDiv[[Agency]:[Agency]]=$E574)*(ROW(TableDiv[Agency])-ROW(TableDiv[[#Headers],[Agency]])),COLUMNS($F$7:Z$7))))</f>
        <v/>
      </c>
      <c r="AA574" s="2223" t="str" cm="1">
        <f t="array" ref="AA574">IF($D574&lt;COLUMNS($F$7:AA$7),"",INDEX(TableDiv[[GASB]:[GASB]],_xlfn.AGGREGATE(15,3,(TableDiv[[Agency]:[Agency]]=$E574)/(TableDiv[[Agency]:[Agency]]=$E574)*(ROW(TableDiv[Agency])-ROW(TableDiv[[#Headers],[Agency]])),COLUMNS($F$7:AA$7))))</f>
        <v/>
      </c>
      <c r="AB574" s="2223" t="str" cm="1">
        <f t="array" ref="AB574">IF($D574&lt;COLUMNS($F$7:AB$7),"",INDEX(TableDiv[[GASB]:[GASB]],_xlfn.AGGREGATE(15,3,(TableDiv[[Agency]:[Agency]]=$E574)/(TableDiv[[Agency]:[Agency]]=$E574)*(ROW(TableDiv[Agency])-ROW(TableDiv[[#Headers],[Agency]])),COLUMNS($F$7:AB$7))))</f>
        <v/>
      </c>
      <c r="AC574" s="2223" t="str" cm="1">
        <f t="array" ref="AC574">IF($D574&lt;COLUMNS($F$7:AC$7),"",INDEX(TableDiv[[GASB]:[GASB]],_xlfn.AGGREGATE(15,3,(TableDiv[[Agency]:[Agency]]=$E574)/(TableDiv[[Agency]:[Agency]]=$E574)*(ROW(TableDiv[Agency])-ROW(TableDiv[[#Headers],[Agency]])),COLUMNS($F$7:AC$7))))</f>
        <v/>
      </c>
      <c r="AD574" s="2223" t="str" cm="1">
        <f t="array" ref="AD574">IF($D574&lt;COLUMNS($F$7:AD$7),"",INDEX(TableDiv[[GASB]:[GASB]],_xlfn.AGGREGATE(15,3,(TableDiv[[Agency]:[Agency]]=$E574)/(TableDiv[[Agency]:[Agency]]=$E574)*(ROW(TableDiv[Agency])-ROW(TableDiv[[#Headers],[Agency]])),COLUMNS($F$7:AD$7))))</f>
        <v/>
      </c>
      <c r="AE574" s="2223" t="str" cm="1">
        <f t="array" ref="AE574">IF($D574&lt;COLUMNS($F$7:AE$7),"",INDEX(TableDiv[[GASB]:[GASB]],_xlfn.AGGREGATE(15,3,(TableDiv[[Agency]:[Agency]]=$E574)/(TableDiv[[Agency]:[Agency]]=$E574)*(ROW(TableDiv[Agency])-ROW(TableDiv[[#Headers],[Agency]])),COLUMNS($F$7:AE$7))))</f>
        <v/>
      </c>
      <c r="AF574" s="2223" t="str" cm="1">
        <f t="array" ref="AF574">IF($D574&lt;COLUMNS($F$7:AF$7),"",INDEX(TableDiv[[GASB]:[GASB]],_xlfn.AGGREGATE(15,3,(TableDiv[[Agency]:[Agency]]=$E574)/(TableDiv[[Agency]:[Agency]]=$E574)*(ROW(TableDiv[Agency])-ROW(TableDiv[[#Headers],[Agency]])),COLUMNS($F$7:AF$7))))</f>
        <v/>
      </c>
      <c r="AG574" s="2223" t="str" cm="1">
        <f t="array" ref="AG574">IF($D574&lt;COLUMNS($F$7:AG$7),"",INDEX(TableDiv[[GASB]:[GASB]],_xlfn.AGGREGATE(15,3,(TableDiv[[Agency]:[Agency]]=$E574)/(TableDiv[[Agency]:[Agency]]=$E574)*(ROW(TableDiv[Agency])-ROW(TableDiv[[#Headers],[Agency]])),COLUMNS($F$7:AG$7))))</f>
        <v/>
      </c>
      <c r="AH574" s="2223" t="str" cm="1">
        <f t="array" ref="AH574">IF($D574&lt;COLUMNS($F$7:AH$7),"",INDEX(TableDiv[[GASB]:[GASB]],_xlfn.AGGREGATE(15,3,(TableDiv[[Agency]:[Agency]]=$E574)/(TableDiv[[Agency]:[Agency]]=$E574)*(ROW(TableDiv[Agency])-ROW(TableDiv[[#Headers],[Agency]])),COLUMNS($F$7:AH$7))))</f>
        <v/>
      </c>
      <c r="AI574" s="2223" t="str" cm="1">
        <f t="array" ref="AI574">IF($D574&lt;COLUMNS($F$7:AI$7),"",INDEX(TableDiv[[GASB]:[GASB]],_xlfn.AGGREGATE(15,3,(TableDiv[[Agency]:[Agency]]=$E574)/(TableDiv[[Agency]:[Agency]]=$E574)*(ROW(TableDiv[Agency])-ROW(TableDiv[[#Headers],[Agency]])),COLUMNS($F$7:AI$7))))</f>
        <v/>
      </c>
      <c r="AJ574" s="2223" t="str" cm="1">
        <f t="array" ref="AJ574">IF($D574&lt;COLUMNS($F$7:AJ$7),"",INDEX(TableDiv[[GASB]:[GASB]],_xlfn.AGGREGATE(15,3,(TableDiv[[Agency]:[Agency]]=$E574)/(TableDiv[[Agency]:[Agency]]=$E574)*(ROW(TableDiv[Agency])-ROW(TableDiv[[#Headers],[Agency]])),COLUMNS($F$7:AJ$7))))</f>
        <v/>
      </c>
      <c r="AK574" s="2223" t="str" cm="1">
        <f t="array" ref="AK574">IF($D574&lt;COLUMNS($F$7:AK$7),"",INDEX(TableDiv[[GASB]:[GASB]],_xlfn.AGGREGATE(15,3,(TableDiv[[Agency]:[Agency]]=$E574)/(TableDiv[[Agency]:[Agency]]=$E574)*(ROW(TableDiv[Agency])-ROW(TableDiv[[#Headers],[Agency]])),COLUMNS($F$7:AK$7))))</f>
        <v/>
      </c>
      <c r="AL574" s="2223" t="str" cm="1">
        <f t="array" ref="AL574">IF($D574&lt;COLUMNS($F$7:AL$7),"",INDEX(TableDiv[[GASB]:[GASB]],_xlfn.AGGREGATE(15,3,(TableDiv[[Agency]:[Agency]]=$E574)/(TableDiv[[Agency]:[Agency]]=$E574)*(ROW(TableDiv[Agency])-ROW(TableDiv[[#Headers],[Agency]])),COLUMNS($F$7:AL$7))))</f>
        <v/>
      </c>
      <c r="AM574" s="2223" t="str" cm="1">
        <f t="array" ref="AM574">IF($D574&lt;COLUMNS($F$7:AM$7),"",INDEX(TableDiv[[GASB]:[GASB]],_xlfn.AGGREGATE(15,3,(TableDiv[[Agency]:[Agency]]=$E574)/(TableDiv[[Agency]:[Agency]]=$E574)*(ROW(TableDiv[Agency])-ROW(TableDiv[[#Headers],[Agency]])),COLUMNS($F$7:AM$7))))</f>
        <v/>
      </c>
      <c r="AN574" s="2223"/>
      <c r="AO574" s="2223"/>
      <c r="AP574" s="2223"/>
      <c r="AQ574" s="2223"/>
      <c r="AR574" s="2223"/>
      <c r="AS574" s="2223"/>
    </row>
    <row r="575" spans="1:45" x14ac:dyDescent="0.2">
      <c r="A575" s="2223"/>
      <c r="B575" s="2223"/>
      <c r="C575" s="2223"/>
      <c r="W575" s="2223" t="str" cm="1">
        <f t="array" ref="W575">IF($D575&lt;COLUMNS($F$7:W$7),"",INDEX(TableDiv[[GASB]:[GASB]],_xlfn.AGGREGATE(15,3,(TableDiv[[Agency]:[Agency]]=$E575)/(TableDiv[[Agency]:[Agency]]=$E575)*(ROW(TableDiv[Agency])-ROW(TableDiv[[#Headers],[Agency]])),COLUMNS($F$7:W$7))))</f>
        <v/>
      </c>
      <c r="X575" s="2223" t="str" cm="1">
        <f t="array" ref="X575">IF($D575&lt;COLUMNS($F$7:X$7),"",INDEX(TableDiv[[GASB]:[GASB]],_xlfn.AGGREGATE(15,3,(TableDiv[[Agency]:[Agency]]=$E575)/(TableDiv[[Agency]:[Agency]]=$E575)*(ROW(TableDiv[Agency])-ROW(TableDiv[[#Headers],[Agency]])),COLUMNS($F$7:X$7))))</f>
        <v/>
      </c>
      <c r="Y575" s="2223" t="str" cm="1">
        <f t="array" ref="Y575">IF($D575&lt;COLUMNS($F$7:Y$7),"",INDEX(TableDiv[[GASB]:[GASB]],_xlfn.AGGREGATE(15,3,(TableDiv[[Agency]:[Agency]]=$E575)/(TableDiv[[Agency]:[Agency]]=$E575)*(ROW(TableDiv[Agency])-ROW(TableDiv[[#Headers],[Agency]])),COLUMNS($F$7:Y$7))))</f>
        <v/>
      </c>
      <c r="Z575" s="2223" t="str" cm="1">
        <f t="array" ref="Z575">IF($D575&lt;COLUMNS($F$7:Z$7),"",INDEX(TableDiv[[GASB]:[GASB]],_xlfn.AGGREGATE(15,3,(TableDiv[[Agency]:[Agency]]=$E575)/(TableDiv[[Agency]:[Agency]]=$E575)*(ROW(TableDiv[Agency])-ROW(TableDiv[[#Headers],[Agency]])),COLUMNS($F$7:Z$7))))</f>
        <v/>
      </c>
      <c r="AA575" s="2223" t="str" cm="1">
        <f t="array" ref="AA575">IF($D575&lt;COLUMNS($F$7:AA$7),"",INDEX(TableDiv[[GASB]:[GASB]],_xlfn.AGGREGATE(15,3,(TableDiv[[Agency]:[Agency]]=$E575)/(TableDiv[[Agency]:[Agency]]=$E575)*(ROW(TableDiv[Agency])-ROW(TableDiv[[#Headers],[Agency]])),COLUMNS($F$7:AA$7))))</f>
        <v/>
      </c>
      <c r="AB575" s="2223" t="str" cm="1">
        <f t="array" ref="AB575">IF($D575&lt;COLUMNS($F$7:AB$7),"",INDEX(TableDiv[[GASB]:[GASB]],_xlfn.AGGREGATE(15,3,(TableDiv[[Agency]:[Agency]]=$E575)/(TableDiv[[Agency]:[Agency]]=$E575)*(ROW(TableDiv[Agency])-ROW(TableDiv[[#Headers],[Agency]])),COLUMNS($F$7:AB$7))))</f>
        <v/>
      </c>
      <c r="AC575" s="2223" t="str" cm="1">
        <f t="array" ref="AC575">IF($D575&lt;COLUMNS($F$7:AC$7),"",INDEX(TableDiv[[GASB]:[GASB]],_xlfn.AGGREGATE(15,3,(TableDiv[[Agency]:[Agency]]=$E575)/(TableDiv[[Agency]:[Agency]]=$E575)*(ROW(TableDiv[Agency])-ROW(TableDiv[[#Headers],[Agency]])),COLUMNS($F$7:AC$7))))</f>
        <v/>
      </c>
      <c r="AD575" s="2223" t="str" cm="1">
        <f t="array" ref="AD575">IF($D575&lt;COLUMNS($F$7:AD$7),"",INDEX(TableDiv[[GASB]:[GASB]],_xlfn.AGGREGATE(15,3,(TableDiv[[Agency]:[Agency]]=$E575)/(TableDiv[[Agency]:[Agency]]=$E575)*(ROW(TableDiv[Agency])-ROW(TableDiv[[#Headers],[Agency]])),COLUMNS($F$7:AD$7))))</f>
        <v/>
      </c>
      <c r="AE575" s="2223" t="str" cm="1">
        <f t="array" ref="AE575">IF($D575&lt;COLUMNS($F$7:AE$7),"",INDEX(TableDiv[[GASB]:[GASB]],_xlfn.AGGREGATE(15,3,(TableDiv[[Agency]:[Agency]]=$E575)/(TableDiv[[Agency]:[Agency]]=$E575)*(ROW(TableDiv[Agency])-ROW(TableDiv[[#Headers],[Agency]])),COLUMNS($F$7:AE$7))))</f>
        <v/>
      </c>
      <c r="AF575" s="2223" t="str" cm="1">
        <f t="array" ref="AF575">IF($D575&lt;COLUMNS($F$7:AF$7),"",INDEX(TableDiv[[GASB]:[GASB]],_xlfn.AGGREGATE(15,3,(TableDiv[[Agency]:[Agency]]=$E575)/(TableDiv[[Agency]:[Agency]]=$E575)*(ROW(TableDiv[Agency])-ROW(TableDiv[[#Headers],[Agency]])),COLUMNS($F$7:AF$7))))</f>
        <v/>
      </c>
      <c r="AG575" s="2223" t="str" cm="1">
        <f t="array" ref="AG575">IF($D575&lt;COLUMNS($F$7:AG$7),"",INDEX(TableDiv[[GASB]:[GASB]],_xlfn.AGGREGATE(15,3,(TableDiv[[Agency]:[Agency]]=$E575)/(TableDiv[[Agency]:[Agency]]=$E575)*(ROW(TableDiv[Agency])-ROW(TableDiv[[#Headers],[Agency]])),COLUMNS($F$7:AG$7))))</f>
        <v/>
      </c>
      <c r="AH575" s="2223" t="str" cm="1">
        <f t="array" ref="AH575">IF($D575&lt;COLUMNS($F$7:AH$7),"",INDEX(TableDiv[[GASB]:[GASB]],_xlfn.AGGREGATE(15,3,(TableDiv[[Agency]:[Agency]]=$E575)/(TableDiv[[Agency]:[Agency]]=$E575)*(ROW(TableDiv[Agency])-ROW(TableDiv[[#Headers],[Agency]])),COLUMNS($F$7:AH$7))))</f>
        <v/>
      </c>
      <c r="AI575" s="2223" t="str" cm="1">
        <f t="array" ref="AI575">IF($D575&lt;COLUMNS($F$7:AI$7),"",INDEX(TableDiv[[GASB]:[GASB]],_xlfn.AGGREGATE(15,3,(TableDiv[[Agency]:[Agency]]=$E575)/(TableDiv[[Agency]:[Agency]]=$E575)*(ROW(TableDiv[Agency])-ROW(TableDiv[[#Headers],[Agency]])),COLUMNS($F$7:AI$7))))</f>
        <v/>
      </c>
      <c r="AJ575" s="2223" t="str" cm="1">
        <f t="array" ref="AJ575">IF($D575&lt;COLUMNS($F$7:AJ$7),"",INDEX(TableDiv[[GASB]:[GASB]],_xlfn.AGGREGATE(15,3,(TableDiv[[Agency]:[Agency]]=$E575)/(TableDiv[[Agency]:[Agency]]=$E575)*(ROW(TableDiv[Agency])-ROW(TableDiv[[#Headers],[Agency]])),COLUMNS($F$7:AJ$7))))</f>
        <v/>
      </c>
      <c r="AK575" s="2223" t="str" cm="1">
        <f t="array" ref="AK575">IF($D575&lt;COLUMNS($F$7:AK$7),"",INDEX(TableDiv[[GASB]:[GASB]],_xlfn.AGGREGATE(15,3,(TableDiv[[Agency]:[Agency]]=$E575)/(TableDiv[[Agency]:[Agency]]=$E575)*(ROW(TableDiv[Agency])-ROW(TableDiv[[#Headers],[Agency]])),COLUMNS($F$7:AK$7))))</f>
        <v/>
      </c>
      <c r="AL575" s="2223" t="str" cm="1">
        <f t="array" ref="AL575">IF($D575&lt;COLUMNS($F$7:AL$7),"",INDEX(TableDiv[[GASB]:[GASB]],_xlfn.AGGREGATE(15,3,(TableDiv[[Agency]:[Agency]]=$E575)/(TableDiv[[Agency]:[Agency]]=$E575)*(ROW(TableDiv[Agency])-ROW(TableDiv[[#Headers],[Agency]])),COLUMNS($F$7:AL$7))))</f>
        <v/>
      </c>
      <c r="AM575" s="2223" t="str" cm="1">
        <f t="array" ref="AM575">IF($D575&lt;COLUMNS($F$7:AM$7),"",INDEX(TableDiv[[GASB]:[GASB]],_xlfn.AGGREGATE(15,3,(TableDiv[[Agency]:[Agency]]=$E575)/(TableDiv[[Agency]:[Agency]]=$E575)*(ROW(TableDiv[Agency])-ROW(TableDiv[[#Headers],[Agency]])),COLUMNS($F$7:AM$7))))</f>
        <v/>
      </c>
      <c r="AN575" s="2223"/>
      <c r="AO575" s="2223"/>
      <c r="AP575" s="2223"/>
      <c r="AQ575" s="2223"/>
      <c r="AR575" s="2223"/>
      <c r="AS575" s="2223"/>
    </row>
    <row r="576" spans="1:45" x14ac:dyDescent="0.2">
      <c r="A576" s="2223"/>
      <c r="B576" s="2223"/>
      <c r="C576" s="2223"/>
      <c r="W576" s="2223" t="str" cm="1">
        <f t="array" ref="W576">IF($D576&lt;COLUMNS($F$7:W$7),"",INDEX(TableDiv[[GASB]:[GASB]],_xlfn.AGGREGATE(15,3,(TableDiv[[Agency]:[Agency]]=$E576)/(TableDiv[[Agency]:[Agency]]=$E576)*(ROW(TableDiv[Agency])-ROW(TableDiv[[#Headers],[Agency]])),COLUMNS($F$7:W$7))))</f>
        <v/>
      </c>
      <c r="X576" s="2223" t="str" cm="1">
        <f t="array" ref="X576">IF($D576&lt;COLUMNS($F$7:X$7),"",INDEX(TableDiv[[GASB]:[GASB]],_xlfn.AGGREGATE(15,3,(TableDiv[[Agency]:[Agency]]=$E576)/(TableDiv[[Agency]:[Agency]]=$E576)*(ROW(TableDiv[Agency])-ROW(TableDiv[[#Headers],[Agency]])),COLUMNS($F$7:X$7))))</f>
        <v/>
      </c>
      <c r="Y576" s="2223" t="str" cm="1">
        <f t="array" ref="Y576">IF($D576&lt;COLUMNS($F$7:Y$7),"",INDEX(TableDiv[[GASB]:[GASB]],_xlfn.AGGREGATE(15,3,(TableDiv[[Agency]:[Agency]]=$E576)/(TableDiv[[Agency]:[Agency]]=$E576)*(ROW(TableDiv[Agency])-ROW(TableDiv[[#Headers],[Agency]])),COLUMNS($F$7:Y$7))))</f>
        <v/>
      </c>
      <c r="Z576" s="2223" t="str" cm="1">
        <f t="array" ref="Z576">IF($D576&lt;COLUMNS($F$7:Z$7),"",INDEX(TableDiv[[GASB]:[GASB]],_xlfn.AGGREGATE(15,3,(TableDiv[[Agency]:[Agency]]=$E576)/(TableDiv[[Agency]:[Agency]]=$E576)*(ROW(TableDiv[Agency])-ROW(TableDiv[[#Headers],[Agency]])),COLUMNS($F$7:Z$7))))</f>
        <v/>
      </c>
      <c r="AA576" s="2223" t="str" cm="1">
        <f t="array" ref="AA576">IF($D576&lt;COLUMNS($F$7:AA$7),"",INDEX(TableDiv[[GASB]:[GASB]],_xlfn.AGGREGATE(15,3,(TableDiv[[Agency]:[Agency]]=$E576)/(TableDiv[[Agency]:[Agency]]=$E576)*(ROW(TableDiv[Agency])-ROW(TableDiv[[#Headers],[Agency]])),COLUMNS($F$7:AA$7))))</f>
        <v/>
      </c>
      <c r="AB576" s="2223" t="str" cm="1">
        <f t="array" ref="AB576">IF($D576&lt;COLUMNS($F$7:AB$7),"",INDEX(TableDiv[[GASB]:[GASB]],_xlfn.AGGREGATE(15,3,(TableDiv[[Agency]:[Agency]]=$E576)/(TableDiv[[Agency]:[Agency]]=$E576)*(ROW(TableDiv[Agency])-ROW(TableDiv[[#Headers],[Agency]])),COLUMNS($F$7:AB$7))))</f>
        <v/>
      </c>
      <c r="AC576" s="2223" t="str" cm="1">
        <f t="array" ref="AC576">IF($D576&lt;COLUMNS($F$7:AC$7),"",INDEX(TableDiv[[GASB]:[GASB]],_xlfn.AGGREGATE(15,3,(TableDiv[[Agency]:[Agency]]=$E576)/(TableDiv[[Agency]:[Agency]]=$E576)*(ROW(TableDiv[Agency])-ROW(TableDiv[[#Headers],[Agency]])),COLUMNS($F$7:AC$7))))</f>
        <v/>
      </c>
      <c r="AD576" s="2223" t="str" cm="1">
        <f t="array" ref="AD576">IF($D576&lt;COLUMNS($F$7:AD$7),"",INDEX(TableDiv[[GASB]:[GASB]],_xlfn.AGGREGATE(15,3,(TableDiv[[Agency]:[Agency]]=$E576)/(TableDiv[[Agency]:[Agency]]=$E576)*(ROW(TableDiv[Agency])-ROW(TableDiv[[#Headers],[Agency]])),COLUMNS($F$7:AD$7))))</f>
        <v/>
      </c>
      <c r="AE576" s="2223" t="str" cm="1">
        <f t="array" ref="AE576">IF($D576&lt;COLUMNS($F$7:AE$7),"",INDEX(TableDiv[[GASB]:[GASB]],_xlfn.AGGREGATE(15,3,(TableDiv[[Agency]:[Agency]]=$E576)/(TableDiv[[Agency]:[Agency]]=$E576)*(ROW(TableDiv[Agency])-ROW(TableDiv[[#Headers],[Agency]])),COLUMNS($F$7:AE$7))))</f>
        <v/>
      </c>
      <c r="AF576" s="2223" t="str" cm="1">
        <f t="array" ref="AF576">IF($D576&lt;COLUMNS($F$7:AF$7),"",INDEX(TableDiv[[GASB]:[GASB]],_xlfn.AGGREGATE(15,3,(TableDiv[[Agency]:[Agency]]=$E576)/(TableDiv[[Agency]:[Agency]]=$E576)*(ROW(TableDiv[Agency])-ROW(TableDiv[[#Headers],[Agency]])),COLUMNS($F$7:AF$7))))</f>
        <v/>
      </c>
      <c r="AG576" s="2223" t="str" cm="1">
        <f t="array" ref="AG576">IF($D576&lt;COLUMNS($F$7:AG$7),"",INDEX(TableDiv[[GASB]:[GASB]],_xlfn.AGGREGATE(15,3,(TableDiv[[Agency]:[Agency]]=$E576)/(TableDiv[[Agency]:[Agency]]=$E576)*(ROW(TableDiv[Agency])-ROW(TableDiv[[#Headers],[Agency]])),COLUMNS($F$7:AG$7))))</f>
        <v/>
      </c>
      <c r="AH576" s="2223" t="str" cm="1">
        <f t="array" ref="AH576">IF($D576&lt;COLUMNS($F$7:AH$7),"",INDEX(TableDiv[[GASB]:[GASB]],_xlfn.AGGREGATE(15,3,(TableDiv[[Agency]:[Agency]]=$E576)/(TableDiv[[Agency]:[Agency]]=$E576)*(ROW(TableDiv[Agency])-ROW(TableDiv[[#Headers],[Agency]])),COLUMNS($F$7:AH$7))))</f>
        <v/>
      </c>
      <c r="AI576" s="2223" t="str" cm="1">
        <f t="array" ref="AI576">IF($D576&lt;COLUMNS($F$7:AI$7),"",INDEX(TableDiv[[GASB]:[GASB]],_xlfn.AGGREGATE(15,3,(TableDiv[[Agency]:[Agency]]=$E576)/(TableDiv[[Agency]:[Agency]]=$E576)*(ROW(TableDiv[Agency])-ROW(TableDiv[[#Headers],[Agency]])),COLUMNS($F$7:AI$7))))</f>
        <v/>
      </c>
      <c r="AJ576" s="2223" t="str" cm="1">
        <f t="array" ref="AJ576">IF($D576&lt;COLUMNS($F$7:AJ$7),"",INDEX(TableDiv[[GASB]:[GASB]],_xlfn.AGGREGATE(15,3,(TableDiv[[Agency]:[Agency]]=$E576)/(TableDiv[[Agency]:[Agency]]=$E576)*(ROW(TableDiv[Agency])-ROW(TableDiv[[#Headers],[Agency]])),COLUMNS($F$7:AJ$7))))</f>
        <v/>
      </c>
      <c r="AK576" s="2223" t="str" cm="1">
        <f t="array" ref="AK576">IF($D576&lt;COLUMNS($F$7:AK$7),"",INDEX(TableDiv[[GASB]:[GASB]],_xlfn.AGGREGATE(15,3,(TableDiv[[Agency]:[Agency]]=$E576)/(TableDiv[[Agency]:[Agency]]=$E576)*(ROW(TableDiv[Agency])-ROW(TableDiv[[#Headers],[Agency]])),COLUMNS($F$7:AK$7))))</f>
        <v/>
      </c>
      <c r="AL576" s="2223" t="str" cm="1">
        <f t="array" ref="AL576">IF($D576&lt;COLUMNS($F$7:AL$7),"",INDEX(TableDiv[[GASB]:[GASB]],_xlfn.AGGREGATE(15,3,(TableDiv[[Agency]:[Agency]]=$E576)/(TableDiv[[Agency]:[Agency]]=$E576)*(ROW(TableDiv[Agency])-ROW(TableDiv[[#Headers],[Agency]])),COLUMNS($F$7:AL$7))))</f>
        <v/>
      </c>
      <c r="AM576" s="2223" t="str" cm="1">
        <f t="array" ref="AM576">IF($D576&lt;COLUMNS($F$7:AM$7),"",INDEX(TableDiv[[GASB]:[GASB]],_xlfn.AGGREGATE(15,3,(TableDiv[[Agency]:[Agency]]=$E576)/(TableDiv[[Agency]:[Agency]]=$E576)*(ROW(TableDiv[Agency])-ROW(TableDiv[[#Headers],[Agency]])),COLUMNS($F$7:AM$7))))</f>
        <v/>
      </c>
      <c r="AN576" s="2223"/>
      <c r="AO576" s="2223"/>
      <c r="AP576" s="2223"/>
      <c r="AQ576" s="2223"/>
      <c r="AR576" s="2223"/>
      <c r="AS576" s="2223"/>
    </row>
    <row r="577" spans="1:45" x14ac:dyDescent="0.2">
      <c r="A577" s="2223"/>
      <c r="B577" s="2223"/>
      <c r="C577" s="2223"/>
      <c r="W577" s="2223" t="str" cm="1">
        <f t="array" ref="W577">IF($D577&lt;COLUMNS($F$7:W$7),"",INDEX(TableDiv[[GASB]:[GASB]],_xlfn.AGGREGATE(15,3,(TableDiv[[Agency]:[Agency]]=$E577)/(TableDiv[[Agency]:[Agency]]=$E577)*(ROW(TableDiv[Agency])-ROW(TableDiv[[#Headers],[Agency]])),COLUMNS($F$7:W$7))))</f>
        <v/>
      </c>
      <c r="X577" s="2223" t="str" cm="1">
        <f t="array" ref="X577">IF($D577&lt;COLUMNS($F$7:X$7),"",INDEX(TableDiv[[GASB]:[GASB]],_xlfn.AGGREGATE(15,3,(TableDiv[[Agency]:[Agency]]=$E577)/(TableDiv[[Agency]:[Agency]]=$E577)*(ROW(TableDiv[Agency])-ROW(TableDiv[[#Headers],[Agency]])),COLUMNS($F$7:X$7))))</f>
        <v/>
      </c>
      <c r="Y577" s="2223" t="str" cm="1">
        <f t="array" ref="Y577">IF($D577&lt;COLUMNS($F$7:Y$7),"",INDEX(TableDiv[[GASB]:[GASB]],_xlfn.AGGREGATE(15,3,(TableDiv[[Agency]:[Agency]]=$E577)/(TableDiv[[Agency]:[Agency]]=$E577)*(ROW(TableDiv[Agency])-ROW(TableDiv[[#Headers],[Agency]])),COLUMNS($F$7:Y$7))))</f>
        <v/>
      </c>
      <c r="Z577" s="2223" t="str" cm="1">
        <f t="array" ref="Z577">IF($D577&lt;COLUMNS($F$7:Z$7),"",INDEX(TableDiv[[GASB]:[GASB]],_xlfn.AGGREGATE(15,3,(TableDiv[[Agency]:[Agency]]=$E577)/(TableDiv[[Agency]:[Agency]]=$E577)*(ROW(TableDiv[Agency])-ROW(TableDiv[[#Headers],[Agency]])),COLUMNS($F$7:Z$7))))</f>
        <v/>
      </c>
      <c r="AA577" s="2223" t="str" cm="1">
        <f t="array" ref="AA577">IF($D577&lt;COLUMNS($F$7:AA$7),"",INDEX(TableDiv[[GASB]:[GASB]],_xlfn.AGGREGATE(15,3,(TableDiv[[Agency]:[Agency]]=$E577)/(TableDiv[[Agency]:[Agency]]=$E577)*(ROW(TableDiv[Agency])-ROW(TableDiv[[#Headers],[Agency]])),COLUMNS($F$7:AA$7))))</f>
        <v/>
      </c>
      <c r="AB577" s="2223" t="str" cm="1">
        <f t="array" ref="AB577">IF($D577&lt;COLUMNS($F$7:AB$7),"",INDEX(TableDiv[[GASB]:[GASB]],_xlfn.AGGREGATE(15,3,(TableDiv[[Agency]:[Agency]]=$E577)/(TableDiv[[Agency]:[Agency]]=$E577)*(ROW(TableDiv[Agency])-ROW(TableDiv[[#Headers],[Agency]])),COLUMNS($F$7:AB$7))))</f>
        <v/>
      </c>
      <c r="AC577" s="2223" t="str" cm="1">
        <f t="array" ref="AC577">IF($D577&lt;COLUMNS($F$7:AC$7),"",INDEX(TableDiv[[GASB]:[GASB]],_xlfn.AGGREGATE(15,3,(TableDiv[[Agency]:[Agency]]=$E577)/(TableDiv[[Agency]:[Agency]]=$E577)*(ROW(TableDiv[Agency])-ROW(TableDiv[[#Headers],[Agency]])),COLUMNS($F$7:AC$7))))</f>
        <v/>
      </c>
      <c r="AD577" s="2223" t="str" cm="1">
        <f t="array" ref="AD577">IF($D577&lt;COLUMNS($F$7:AD$7),"",INDEX(TableDiv[[GASB]:[GASB]],_xlfn.AGGREGATE(15,3,(TableDiv[[Agency]:[Agency]]=$E577)/(TableDiv[[Agency]:[Agency]]=$E577)*(ROW(TableDiv[Agency])-ROW(TableDiv[[#Headers],[Agency]])),COLUMNS($F$7:AD$7))))</f>
        <v/>
      </c>
      <c r="AE577" s="2223" t="str" cm="1">
        <f t="array" ref="AE577">IF($D577&lt;COLUMNS($F$7:AE$7),"",INDEX(TableDiv[[GASB]:[GASB]],_xlfn.AGGREGATE(15,3,(TableDiv[[Agency]:[Agency]]=$E577)/(TableDiv[[Agency]:[Agency]]=$E577)*(ROW(TableDiv[Agency])-ROW(TableDiv[[#Headers],[Agency]])),COLUMNS($F$7:AE$7))))</f>
        <v/>
      </c>
      <c r="AF577" s="2223" t="str" cm="1">
        <f t="array" ref="AF577">IF($D577&lt;COLUMNS($F$7:AF$7),"",INDEX(TableDiv[[GASB]:[GASB]],_xlfn.AGGREGATE(15,3,(TableDiv[[Agency]:[Agency]]=$E577)/(TableDiv[[Agency]:[Agency]]=$E577)*(ROW(TableDiv[Agency])-ROW(TableDiv[[#Headers],[Agency]])),COLUMNS($F$7:AF$7))))</f>
        <v/>
      </c>
      <c r="AG577" s="2223" t="str" cm="1">
        <f t="array" ref="AG577">IF($D577&lt;COLUMNS($F$7:AG$7),"",INDEX(TableDiv[[GASB]:[GASB]],_xlfn.AGGREGATE(15,3,(TableDiv[[Agency]:[Agency]]=$E577)/(TableDiv[[Agency]:[Agency]]=$E577)*(ROW(TableDiv[Agency])-ROW(TableDiv[[#Headers],[Agency]])),COLUMNS($F$7:AG$7))))</f>
        <v/>
      </c>
      <c r="AH577" s="2223" t="str" cm="1">
        <f t="array" ref="AH577">IF($D577&lt;COLUMNS($F$7:AH$7),"",INDEX(TableDiv[[GASB]:[GASB]],_xlfn.AGGREGATE(15,3,(TableDiv[[Agency]:[Agency]]=$E577)/(TableDiv[[Agency]:[Agency]]=$E577)*(ROW(TableDiv[Agency])-ROW(TableDiv[[#Headers],[Agency]])),COLUMNS($F$7:AH$7))))</f>
        <v/>
      </c>
      <c r="AI577" s="2223" t="str" cm="1">
        <f t="array" ref="AI577">IF($D577&lt;COLUMNS($F$7:AI$7),"",INDEX(TableDiv[[GASB]:[GASB]],_xlfn.AGGREGATE(15,3,(TableDiv[[Agency]:[Agency]]=$E577)/(TableDiv[[Agency]:[Agency]]=$E577)*(ROW(TableDiv[Agency])-ROW(TableDiv[[#Headers],[Agency]])),COLUMNS($F$7:AI$7))))</f>
        <v/>
      </c>
      <c r="AJ577" s="2223" t="str" cm="1">
        <f t="array" ref="AJ577">IF($D577&lt;COLUMNS($F$7:AJ$7),"",INDEX(TableDiv[[GASB]:[GASB]],_xlfn.AGGREGATE(15,3,(TableDiv[[Agency]:[Agency]]=$E577)/(TableDiv[[Agency]:[Agency]]=$E577)*(ROW(TableDiv[Agency])-ROW(TableDiv[[#Headers],[Agency]])),COLUMNS($F$7:AJ$7))))</f>
        <v/>
      </c>
      <c r="AK577" s="2223" t="str" cm="1">
        <f t="array" ref="AK577">IF($D577&lt;COLUMNS($F$7:AK$7),"",INDEX(TableDiv[[GASB]:[GASB]],_xlfn.AGGREGATE(15,3,(TableDiv[[Agency]:[Agency]]=$E577)/(TableDiv[[Agency]:[Agency]]=$E577)*(ROW(TableDiv[Agency])-ROW(TableDiv[[#Headers],[Agency]])),COLUMNS($F$7:AK$7))))</f>
        <v/>
      </c>
      <c r="AL577" s="2223" t="str" cm="1">
        <f t="array" ref="AL577">IF($D577&lt;COLUMNS($F$7:AL$7),"",INDEX(TableDiv[[GASB]:[GASB]],_xlfn.AGGREGATE(15,3,(TableDiv[[Agency]:[Agency]]=$E577)/(TableDiv[[Agency]:[Agency]]=$E577)*(ROW(TableDiv[Agency])-ROW(TableDiv[[#Headers],[Agency]])),COLUMNS($F$7:AL$7))))</f>
        <v/>
      </c>
      <c r="AM577" s="2223" t="str" cm="1">
        <f t="array" ref="AM577">IF($D577&lt;COLUMNS($F$7:AM$7),"",INDEX(TableDiv[[GASB]:[GASB]],_xlfn.AGGREGATE(15,3,(TableDiv[[Agency]:[Agency]]=$E577)/(TableDiv[[Agency]:[Agency]]=$E577)*(ROW(TableDiv[Agency])-ROW(TableDiv[[#Headers],[Agency]])),COLUMNS($F$7:AM$7))))</f>
        <v/>
      </c>
      <c r="AN577" s="2223"/>
      <c r="AO577" s="2223"/>
      <c r="AP577" s="2223"/>
      <c r="AQ577" s="2223"/>
      <c r="AR577" s="2223"/>
      <c r="AS577" s="2223"/>
    </row>
    <row r="578" spans="1:45" x14ac:dyDescent="0.2">
      <c r="A578" s="2223"/>
      <c r="B578" s="2223"/>
      <c r="C578" s="2223"/>
      <c r="W578" s="2223" t="str" cm="1">
        <f t="array" ref="W578">IF($D578&lt;COLUMNS($F$7:W$7),"",INDEX(TableDiv[[GASB]:[GASB]],_xlfn.AGGREGATE(15,3,(TableDiv[[Agency]:[Agency]]=$E578)/(TableDiv[[Agency]:[Agency]]=$E578)*(ROW(TableDiv[Agency])-ROW(TableDiv[[#Headers],[Agency]])),COLUMNS($F$7:W$7))))</f>
        <v/>
      </c>
      <c r="X578" s="2223" t="str" cm="1">
        <f t="array" ref="X578">IF($D578&lt;COLUMNS($F$7:X$7),"",INDEX(TableDiv[[GASB]:[GASB]],_xlfn.AGGREGATE(15,3,(TableDiv[[Agency]:[Agency]]=$E578)/(TableDiv[[Agency]:[Agency]]=$E578)*(ROW(TableDiv[Agency])-ROW(TableDiv[[#Headers],[Agency]])),COLUMNS($F$7:X$7))))</f>
        <v/>
      </c>
      <c r="Y578" s="2223" t="str" cm="1">
        <f t="array" ref="Y578">IF($D578&lt;COLUMNS($F$7:Y$7),"",INDEX(TableDiv[[GASB]:[GASB]],_xlfn.AGGREGATE(15,3,(TableDiv[[Agency]:[Agency]]=$E578)/(TableDiv[[Agency]:[Agency]]=$E578)*(ROW(TableDiv[Agency])-ROW(TableDiv[[#Headers],[Agency]])),COLUMNS($F$7:Y$7))))</f>
        <v/>
      </c>
      <c r="Z578" s="2223" t="str" cm="1">
        <f t="array" ref="Z578">IF($D578&lt;COLUMNS($F$7:Z$7),"",INDEX(TableDiv[[GASB]:[GASB]],_xlfn.AGGREGATE(15,3,(TableDiv[[Agency]:[Agency]]=$E578)/(TableDiv[[Agency]:[Agency]]=$E578)*(ROW(TableDiv[Agency])-ROW(TableDiv[[#Headers],[Agency]])),COLUMNS($F$7:Z$7))))</f>
        <v/>
      </c>
      <c r="AA578" s="2223" t="str" cm="1">
        <f t="array" ref="AA578">IF($D578&lt;COLUMNS($F$7:AA$7),"",INDEX(TableDiv[[GASB]:[GASB]],_xlfn.AGGREGATE(15,3,(TableDiv[[Agency]:[Agency]]=$E578)/(TableDiv[[Agency]:[Agency]]=$E578)*(ROW(TableDiv[Agency])-ROW(TableDiv[[#Headers],[Agency]])),COLUMNS($F$7:AA$7))))</f>
        <v/>
      </c>
      <c r="AB578" s="2223" t="str" cm="1">
        <f t="array" ref="AB578">IF($D578&lt;COLUMNS($F$7:AB$7),"",INDEX(TableDiv[[GASB]:[GASB]],_xlfn.AGGREGATE(15,3,(TableDiv[[Agency]:[Agency]]=$E578)/(TableDiv[[Agency]:[Agency]]=$E578)*(ROW(TableDiv[Agency])-ROW(TableDiv[[#Headers],[Agency]])),COLUMNS($F$7:AB$7))))</f>
        <v/>
      </c>
      <c r="AC578" s="2223" t="str" cm="1">
        <f t="array" ref="AC578">IF($D578&lt;COLUMNS($F$7:AC$7),"",INDEX(TableDiv[[GASB]:[GASB]],_xlfn.AGGREGATE(15,3,(TableDiv[[Agency]:[Agency]]=$E578)/(TableDiv[[Agency]:[Agency]]=$E578)*(ROW(TableDiv[Agency])-ROW(TableDiv[[#Headers],[Agency]])),COLUMNS($F$7:AC$7))))</f>
        <v/>
      </c>
      <c r="AD578" s="2223" t="str" cm="1">
        <f t="array" ref="AD578">IF($D578&lt;COLUMNS($F$7:AD$7),"",INDEX(TableDiv[[GASB]:[GASB]],_xlfn.AGGREGATE(15,3,(TableDiv[[Agency]:[Agency]]=$E578)/(TableDiv[[Agency]:[Agency]]=$E578)*(ROW(TableDiv[Agency])-ROW(TableDiv[[#Headers],[Agency]])),COLUMNS($F$7:AD$7))))</f>
        <v/>
      </c>
      <c r="AE578" s="2223" t="str" cm="1">
        <f t="array" ref="AE578">IF($D578&lt;COLUMNS($F$7:AE$7),"",INDEX(TableDiv[[GASB]:[GASB]],_xlfn.AGGREGATE(15,3,(TableDiv[[Agency]:[Agency]]=$E578)/(TableDiv[[Agency]:[Agency]]=$E578)*(ROW(TableDiv[Agency])-ROW(TableDiv[[#Headers],[Agency]])),COLUMNS($F$7:AE$7))))</f>
        <v/>
      </c>
      <c r="AF578" s="2223" t="str" cm="1">
        <f t="array" ref="AF578">IF($D578&lt;COLUMNS($F$7:AF$7),"",INDEX(TableDiv[[GASB]:[GASB]],_xlfn.AGGREGATE(15,3,(TableDiv[[Agency]:[Agency]]=$E578)/(TableDiv[[Agency]:[Agency]]=$E578)*(ROW(TableDiv[Agency])-ROW(TableDiv[[#Headers],[Agency]])),COLUMNS($F$7:AF$7))))</f>
        <v/>
      </c>
      <c r="AG578" s="2223" t="str" cm="1">
        <f t="array" ref="AG578">IF($D578&lt;COLUMNS($F$7:AG$7),"",INDEX(TableDiv[[GASB]:[GASB]],_xlfn.AGGREGATE(15,3,(TableDiv[[Agency]:[Agency]]=$E578)/(TableDiv[[Agency]:[Agency]]=$E578)*(ROW(TableDiv[Agency])-ROW(TableDiv[[#Headers],[Agency]])),COLUMNS($F$7:AG$7))))</f>
        <v/>
      </c>
      <c r="AH578" s="2223" t="str" cm="1">
        <f t="array" ref="AH578">IF($D578&lt;COLUMNS($F$7:AH$7),"",INDEX(TableDiv[[GASB]:[GASB]],_xlfn.AGGREGATE(15,3,(TableDiv[[Agency]:[Agency]]=$E578)/(TableDiv[[Agency]:[Agency]]=$E578)*(ROW(TableDiv[Agency])-ROW(TableDiv[[#Headers],[Agency]])),COLUMNS($F$7:AH$7))))</f>
        <v/>
      </c>
      <c r="AI578" s="2223" t="str" cm="1">
        <f t="array" ref="AI578">IF($D578&lt;COLUMNS($F$7:AI$7),"",INDEX(TableDiv[[GASB]:[GASB]],_xlfn.AGGREGATE(15,3,(TableDiv[[Agency]:[Agency]]=$E578)/(TableDiv[[Agency]:[Agency]]=$E578)*(ROW(TableDiv[Agency])-ROW(TableDiv[[#Headers],[Agency]])),COLUMNS($F$7:AI$7))))</f>
        <v/>
      </c>
      <c r="AJ578" s="2223" t="str" cm="1">
        <f t="array" ref="AJ578">IF($D578&lt;COLUMNS($F$7:AJ$7),"",INDEX(TableDiv[[GASB]:[GASB]],_xlfn.AGGREGATE(15,3,(TableDiv[[Agency]:[Agency]]=$E578)/(TableDiv[[Agency]:[Agency]]=$E578)*(ROW(TableDiv[Agency])-ROW(TableDiv[[#Headers],[Agency]])),COLUMNS($F$7:AJ$7))))</f>
        <v/>
      </c>
      <c r="AK578" s="2223" t="str" cm="1">
        <f t="array" ref="AK578">IF($D578&lt;COLUMNS($F$7:AK$7),"",INDEX(TableDiv[[GASB]:[GASB]],_xlfn.AGGREGATE(15,3,(TableDiv[[Agency]:[Agency]]=$E578)/(TableDiv[[Agency]:[Agency]]=$E578)*(ROW(TableDiv[Agency])-ROW(TableDiv[[#Headers],[Agency]])),COLUMNS($F$7:AK$7))))</f>
        <v/>
      </c>
      <c r="AL578" s="2223" t="str" cm="1">
        <f t="array" ref="AL578">IF($D578&lt;COLUMNS($F$7:AL$7),"",INDEX(TableDiv[[GASB]:[GASB]],_xlfn.AGGREGATE(15,3,(TableDiv[[Agency]:[Agency]]=$E578)/(TableDiv[[Agency]:[Agency]]=$E578)*(ROW(TableDiv[Agency])-ROW(TableDiv[[#Headers],[Agency]])),COLUMNS($F$7:AL$7))))</f>
        <v/>
      </c>
      <c r="AM578" s="2223" t="str" cm="1">
        <f t="array" ref="AM578">IF($D578&lt;COLUMNS($F$7:AM$7),"",INDEX(TableDiv[[GASB]:[GASB]],_xlfn.AGGREGATE(15,3,(TableDiv[[Agency]:[Agency]]=$E578)/(TableDiv[[Agency]:[Agency]]=$E578)*(ROW(TableDiv[Agency])-ROW(TableDiv[[#Headers],[Agency]])),COLUMNS($F$7:AM$7))))</f>
        <v/>
      </c>
      <c r="AN578" s="2223"/>
      <c r="AO578" s="2223"/>
      <c r="AP578" s="2223"/>
      <c r="AQ578" s="2223"/>
      <c r="AR578" s="2223"/>
      <c r="AS578" s="2223"/>
    </row>
    <row r="579" spans="1:45" x14ac:dyDescent="0.2">
      <c r="A579" s="2223"/>
      <c r="B579" s="2223"/>
      <c r="C579" s="2223"/>
      <c r="W579" s="2223" t="str" cm="1">
        <f t="array" ref="W579">IF($D579&lt;COLUMNS($F$7:W$7),"",INDEX(TableDiv[[GASB]:[GASB]],_xlfn.AGGREGATE(15,3,(TableDiv[[Agency]:[Agency]]=$E579)/(TableDiv[[Agency]:[Agency]]=$E579)*(ROW(TableDiv[Agency])-ROW(TableDiv[[#Headers],[Agency]])),COLUMNS($F$7:W$7))))</f>
        <v/>
      </c>
      <c r="X579" s="2223" t="str" cm="1">
        <f t="array" ref="X579">IF($D579&lt;COLUMNS($F$7:X$7),"",INDEX(TableDiv[[GASB]:[GASB]],_xlfn.AGGREGATE(15,3,(TableDiv[[Agency]:[Agency]]=$E579)/(TableDiv[[Agency]:[Agency]]=$E579)*(ROW(TableDiv[Agency])-ROW(TableDiv[[#Headers],[Agency]])),COLUMNS($F$7:X$7))))</f>
        <v/>
      </c>
      <c r="Y579" s="2223" t="str" cm="1">
        <f t="array" ref="Y579">IF($D579&lt;COLUMNS($F$7:Y$7),"",INDEX(TableDiv[[GASB]:[GASB]],_xlfn.AGGREGATE(15,3,(TableDiv[[Agency]:[Agency]]=$E579)/(TableDiv[[Agency]:[Agency]]=$E579)*(ROW(TableDiv[Agency])-ROW(TableDiv[[#Headers],[Agency]])),COLUMNS($F$7:Y$7))))</f>
        <v/>
      </c>
      <c r="Z579" s="2223" t="str" cm="1">
        <f t="array" ref="Z579">IF($D579&lt;COLUMNS($F$7:Z$7),"",INDEX(TableDiv[[GASB]:[GASB]],_xlfn.AGGREGATE(15,3,(TableDiv[[Agency]:[Agency]]=$E579)/(TableDiv[[Agency]:[Agency]]=$E579)*(ROW(TableDiv[Agency])-ROW(TableDiv[[#Headers],[Agency]])),COLUMNS($F$7:Z$7))))</f>
        <v/>
      </c>
      <c r="AA579" s="2223" t="str" cm="1">
        <f t="array" ref="AA579">IF($D579&lt;COLUMNS($F$7:AA$7),"",INDEX(TableDiv[[GASB]:[GASB]],_xlfn.AGGREGATE(15,3,(TableDiv[[Agency]:[Agency]]=$E579)/(TableDiv[[Agency]:[Agency]]=$E579)*(ROW(TableDiv[Agency])-ROW(TableDiv[[#Headers],[Agency]])),COLUMNS($F$7:AA$7))))</f>
        <v/>
      </c>
      <c r="AB579" s="2223" t="str" cm="1">
        <f t="array" ref="AB579">IF($D579&lt;COLUMNS($F$7:AB$7),"",INDEX(TableDiv[[GASB]:[GASB]],_xlfn.AGGREGATE(15,3,(TableDiv[[Agency]:[Agency]]=$E579)/(TableDiv[[Agency]:[Agency]]=$E579)*(ROW(TableDiv[Agency])-ROW(TableDiv[[#Headers],[Agency]])),COLUMNS($F$7:AB$7))))</f>
        <v/>
      </c>
      <c r="AC579" s="2223" t="str" cm="1">
        <f t="array" ref="AC579">IF($D579&lt;COLUMNS($F$7:AC$7),"",INDEX(TableDiv[[GASB]:[GASB]],_xlfn.AGGREGATE(15,3,(TableDiv[[Agency]:[Agency]]=$E579)/(TableDiv[[Agency]:[Agency]]=$E579)*(ROW(TableDiv[Agency])-ROW(TableDiv[[#Headers],[Agency]])),COLUMNS($F$7:AC$7))))</f>
        <v/>
      </c>
      <c r="AD579" s="2223" t="str" cm="1">
        <f t="array" ref="AD579">IF($D579&lt;COLUMNS($F$7:AD$7),"",INDEX(TableDiv[[GASB]:[GASB]],_xlfn.AGGREGATE(15,3,(TableDiv[[Agency]:[Agency]]=$E579)/(TableDiv[[Agency]:[Agency]]=$E579)*(ROW(TableDiv[Agency])-ROW(TableDiv[[#Headers],[Agency]])),COLUMNS($F$7:AD$7))))</f>
        <v/>
      </c>
      <c r="AE579" s="2223" t="str" cm="1">
        <f t="array" ref="AE579">IF($D579&lt;COLUMNS($F$7:AE$7),"",INDEX(TableDiv[[GASB]:[GASB]],_xlfn.AGGREGATE(15,3,(TableDiv[[Agency]:[Agency]]=$E579)/(TableDiv[[Agency]:[Agency]]=$E579)*(ROW(TableDiv[Agency])-ROW(TableDiv[[#Headers],[Agency]])),COLUMNS($F$7:AE$7))))</f>
        <v/>
      </c>
      <c r="AF579" s="2223" t="str" cm="1">
        <f t="array" ref="AF579">IF($D579&lt;COLUMNS($F$7:AF$7),"",INDEX(TableDiv[[GASB]:[GASB]],_xlfn.AGGREGATE(15,3,(TableDiv[[Agency]:[Agency]]=$E579)/(TableDiv[[Agency]:[Agency]]=$E579)*(ROW(TableDiv[Agency])-ROW(TableDiv[[#Headers],[Agency]])),COLUMNS($F$7:AF$7))))</f>
        <v/>
      </c>
      <c r="AG579" s="2223" t="str" cm="1">
        <f t="array" ref="AG579">IF($D579&lt;COLUMNS($F$7:AG$7),"",INDEX(TableDiv[[GASB]:[GASB]],_xlfn.AGGREGATE(15,3,(TableDiv[[Agency]:[Agency]]=$E579)/(TableDiv[[Agency]:[Agency]]=$E579)*(ROW(TableDiv[Agency])-ROW(TableDiv[[#Headers],[Agency]])),COLUMNS($F$7:AG$7))))</f>
        <v/>
      </c>
      <c r="AH579" s="2223" t="str" cm="1">
        <f t="array" ref="AH579">IF($D579&lt;COLUMNS($F$7:AH$7),"",INDEX(TableDiv[[GASB]:[GASB]],_xlfn.AGGREGATE(15,3,(TableDiv[[Agency]:[Agency]]=$E579)/(TableDiv[[Agency]:[Agency]]=$E579)*(ROW(TableDiv[Agency])-ROW(TableDiv[[#Headers],[Agency]])),COLUMNS($F$7:AH$7))))</f>
        <v/>
      </c>
      <c r="AI579" s="2223" t="str" cm="1">
        <f t="array" ref="AI579">IF($D579&lt;COLUMNS($F$7:AI$7),"",INDEX(TableDiv[[GASB]:[GASB]],_xlfn.AGGREGATE(15,3,(TableDiv[[Agency]:[Agency]]=$E579)/(TableDiv[[Agency]:[Agency]]=$E579)*(ROW(TableDiv[Agency])-ROW(TableDiv[[#Headers],[Agency]])),COLUMNS($F$7:AI$7))))</f>
        <v/>
      </c>
      <c r="AJ579" s="2223" t="str" cm="1">
        <f t="array" ref="AJ579">IF($D579&lt;COLUMNS($F$7:AJ$7),"",INDEX(TableDiv[[GASB]:[GASB]],_xlfn.AGGREGATE(15,3,(TableDiv[[Agency]:[Agency]]=$E579)/(TableDiv[[Agency]:[Agency]]=$E579)*(ROW(TableDiv[Agency])-ROW(TableDiv[[#Headers],[Agency]])),COLUMNS($F$7:AJ$7))))</f>
        <v/>
      </c>
      <c r="AK579" s="2223" t="str" cm="1">
        <f t="array" ref="AK579">IF($D579&lt;COLUMNS($F$7:AK$7),"",INDEX(TableDiv[[GASB]:[GASB]],_xlfn.AGGREGATE(15,3,(TableDiv[[Agency]:[Agency]]=$E579)/(TableDiv[[Agency]:[Agency]]=$E579)*(ROW(TableDiv[Agency])-ROW(TableDiv[[#Headers],[Agency]])),COLUMNS($F$7:AK$7))))</f>
        <v/>
      </c>
      <c r="AL579" s="2223" t="str" cm="1">
        <f t="array" ref="AL579">IF($D579&lt;COLUMNS($F$7:AL$7),"",INDEX(TableDiv[[GASB]:[GASB]],_xlfn.AGGREGATE(15,3,(TableDiv[[Agency]:[Agency]]=$E579)/(TableDiv[[Agency]:[Agency]]=$E579)*(ROW(TableDiv[Agency])-ROW(TableDiv[[#Headers],[Agency]])),COLUMNS($F$7:AL$7))))</f>
        <v/>
      </c>
      <c r="AM579" s="2223" t="str" cm="1">
        <f t="array" ref="AM579">IF($D579&lt;COLUMNS($F$7:AM$7),"",INDEX(TableDiv[[GASB]:[GASB]],_xlfn.AGGREGATE(15,3,(TableDiv[[Agency]:[Agency]]=$E579)/(TableDiv[[Agency]:[Agency]]=$E579)*(ROW(TableDiv[Agency])-ROW(TableDiv[[#Headers],[Agency]])),COLUMNS($F$7:AM$7))))</f>
        <v/>
      </c>
      <c r="AN579" s="2223"/>
      <c r="AO579" s="2223"/>
      <c r="AP579" s="2223"/>
      <c r="AQ579" s="2223"/>
      <c r="AR579" s="2223"/>
      <c r="AS579" s="2223"/>
    </row>
    <row r="580" spans="1:45" x14ac:dyDescent="0.2">
      <c r="A580" s="2223"/>
      <c r="B580" s="2223"/>
      <c r="C580" s="2223"/>
      <c r="W580" s="2223" t="str" cm="1">
        <f t="array" ref="W580">IF($D580&lt;COLUMNS($F$7:W$7),"",INDEX(TableDiv[[GASB]:[GASB]],_xlfn.AGGREGATE(15,3,(TableDiv[[Agency]:[Agency]]=$E580)/(TableDiv[[Agency]:[Agency]]=$E580)*(ROW(TableDiv[Agency])-ROW(TableDiv[[#Headers],[Agency]])),COLUMNS($F$7:W$7))))</f>
        <v/>
      </c>
      <c r="X580" s="2223" t="str" cm="1">
        <f t="array" ref="X580">IF($D580&lt;COLUMNS($F$7:X$7),"",INDEX(TableDiv[[GASB]:[GASB]],_xlfn.AGGREGATE(15,3,(TableDiv[[Agency]:[Agency]]=$E580)/(TableDiv[[Agency]:[Agency]]=$E580)*(ROW(TableDiv[Agency])-ROW(TableDiv[[#Headers],[Agency]])),COLUMNS($F$7:X$7))))</f>
        <v/>
      </c>
      <c r="Y580" s="2223" t="str" cm="1">
        <f t="array" ref="Y580">IF($D580&lt;COLUMNS($F$7:Y$7),"",INDEX(TableDiv[[GASB]:[GASB]],_xlfn.AGGREGATE(15,3,(TableDiv[[Agency]:[Agency]]=$E580)/(TableDiv[[Agency]:[Agency]]=$E580)*(ROW(TableDiv[Agency])-ROW(TableDiv[[#Headers],[Agency]])),COLUMNS($F$7:Y$7))))</f>
        <v/>
      </c>
      <c r="Z580" s="2223" t="str" cm="1">
        <f t="array" ref="Z580">IF($D580&lt;COLUMNS($F$7:Z$7),"",INDEX(TableDiv[[GASB]:[GASB]],_xlfn.AGGREGATE(15,3,(TableDiv[[Agency]:[Agency]]=$E580)/(TableDiv[[Agency]:[Agency]]=$E580)*(ROW(TableDiv[Agency])-ROW(TableDiv[[#Headers],[Agency]])),COLUMNS($F$7:Z$7))))</f>
        <v/>
      </c>
      <c r="AA580" s="2223" t="str" cm="1">
        <f t="array" ref="AA580">IF($D580&lt;COLUMNS($F$7:AA$7),"",INDEX(TableDiv[[GASB]:[GASB]],_xlfn.AGGREGATE(15,3,(TableDiv[[Agency]:[Agency]]=$E580)/(TableDiv[[Agency]:[Agency]]=$E580)*(ROW(TableDiv[Agency])-ROW(TableDiv[[#Headers],[Agency]])),COLUMNS($F$7:AA$7))))</f>
        <v/>
      </c>
      <c r="AB580" s="2223" t="str" cm="1">
        <f t="array" ref="AB580">IF($D580&lt;COLUMNS($F$7:AB$7),"",INDEX(TableDiv[[GASB]:[GASB]],_xlfn.AGGREGATE(15,3,(TableDiv[[Agency]:[Agency]]=$E580)/(TableDiv[[Agency]:[Agency]]=$E580)*(ROW(TableDiv[Agency])-ROW(TableDiv[[#Headers],[Agency]])),COLUMNS($F$7:AB$7))))</f>
        <v/>
      </c>
      <c r="AC580" s="2223" t="str" cm="1">
        <f t="array" ref="AC580">IF($D580&lt;COLUMNS($F$7:AC$7),"",INDEX(TableDiv[[GASB]:[GASB]],_xlfn.AGGREGATE(15,3,(TableDiv[[Agency]:[Agency]]=$E580)/(TableDiv[[Agency]:[Agency]]=$E580)*(ROW(TableDiv[Agency])-ROW(TableDiv[[#Headers],[Agency]])),COLUMNS($F$7:AC$7))))</f>
        <v/>
      </c>
      <c r="AD580" s="2223" t="str" cm="1">
        <f t="array" ref="AD580">IF($D580&lt;COLUMNS($F$7:AD$7),"",INDEX(TableDiv[[GASB]:[GASB]],_xlfn.AGGREGATE(15,3,(TableDiv[[Agency]:[Agency]]=$E580)/(TableDiv[[Agency]:[Agency]]=$E580)*(ROW(TableDiv[Agency])-ROW(TableDiv[[#Headers],[Agency]])),COLUMNS($F$7:AD$7))))</f>
        <v/>
      </c>
      <c r="AE580" s="2223" t="str" cm="1">
        <f t="array" ref="AE580">IF($D580&lt;COLUMNS($F$7:AE$7),"",INDEX(TableDiv[[GASB]:[GASB]],_xlfn.AGGREGATE(15,3,(TableDiv[[Agency]:[Agency]]=$E580)/(TableDiv[[Agency]:[Agency]]=$E580)*(ROW(TableDiv[Agency])-ROW(TableDiv[[#Headers],[Agency]])),COLUMNS($F$7:AE$7))))</f>
        <v/>
      </c>
      <c r="AF580" s="2223" t="str" cm="1">
        <f t="array" ref="AF580">IF($D580&lt;COLUMNS($F$7:AF$7),"",INDEX(TableDiv[[GASB]:[GASB]],_xlfn.AGGREGATE(15,3,(TableDiv[[Agency]:[Agency]]=$E580)/(TableDiv[[Agency]:[Agency]]=$E580)*(ROW(TableDiv[Agency])-ROW(TableDiv[[#Headers],[Agency]])),COLUMNS($F$7:AF$7))))</f>
        <v/>
      </c>
      <c r="AG580" s="2223" t="str" cm="1">
        <f t="array" ref="AG580">IF($D580&lt;COLUMNS($F$7:AG$7),"",INDEX(TableDiv[[GASB]:[GASB]],_xlfn.AGGREGATE(15,3,(TableDiv[[Agency]:[Agency]]=$E580)/(TableDiv[[Agency]:[Agency]]=$E580)*(ROW(TableDiv[Agency])-ROW(TableDiv[[#Headers],[Agency]])),COLUMNS($F$7:AG$7))))</f>
        <v/>
      </c>
      <c r="AH580" s="2223" t="str" cm="1">
        <f t="array" ref="AH580">IF($D580&lt;COLUMNS($F$7:AH$7),"",INDEX(TableDiv[[GASB]:[GASB]],_xlfn.AGGREGATE(15,3,(TableDiv[[Agency]:[Agency]]=$E580)/(TableDiv[[Agency]:[Agency]]=$E580)*(ROW(TableDiv[Agency])-ROW(TableDiv[[#Headers],[Agency]])),COLUMNS($F$7:AH$7))))</f>
        <v/>
      </c>
      <c r="AI580" s="2223" t="str" cm="1">
        <f t="array" ref="AI580">IF($D580&lt;COLUMNS($F$7:AI$7),"",INDEX(TableDiv[[GASB]:[GASB]],_xlfn.AGGREGATE(15,3,(TableDiv[[Agency]:[Agency]]=$E580)/(TableDiv[[Agency]:[Agency]]=$E580)*(ROW(TableDiv[Agency])-ROW(TableDiv[[#Headers],[Agency]])),COLUMNS($F$7:AI$7))))</f>
        <v/>
      </c>
      <c r="AJ580" s="2223" t="str" cm="1">
        <f t="array" ref="AJ580">IF($D580&lt;COLUMNS($F$7:AJ$7),"",INDEX(TableDiv[[GASB]:[GASB]],_xlfn.AGGREGATE(15,3,(TableDiv[[Agency]:[Agency]]=$E580)/(TableDiv[[Agency]:[Agency]]=$E580)*(ROW(TableDiv[Agency])-ROW(TableDiv[[#Headers],[Agency]])),COLUMNS($F$7:AJ$7))))</f>
        <v/>
      </c>
      <c r="AK580" s="2223" t="str" cm="1">
        <f t="array" ref="AK580">IF($D580&lt;COLUMNS($F$7:AK$7),"",INDEX(TableDiv[[GASB]:[GASB]],_xlfn.AGGREGATE(15,3,(TableDiv[[Agency]:[Agency]]=$E580)/(TableDiv[[Agency]:[Agency]]=$E580)*(ROW(TableDiv[Agency])-ROW(TableDiv[[#Headers],[Agency]])),COLUMNS($F$7:AK$7))))</f>
        <v/>
      </c>
      <c r="AL580" s="2223" t="str" cm="1">
        <f t="array" ref="AL580">IF($D580&lt;COLUMNS($F$7:AL$7),"",INDEX(TableDiv[[GASB]:[GASB]],_xlfn.AGGREGATE(15,3,(TableDiv[[Agency]:[Agency]]=$E580)/(TableDiv[[Agency]:[Agency]]=$E580)*(ROW(TableDiv[Agency])-ROW(TableDiv[[#Headers],[Agency]])),COLUMNS($F$7:AL$7))))</f>
        <v/>
      </c>
      <c r="AM580" s="2223" t="str" cm="1">
        <f t="array" ref="AM580">IF($D580&lt;COLUMNS($F$7:AM$7),"",INDEX(TableDiv[[GASB]:[GASB]],_xlfn.AGGREGATE(15,3,(TableDiv[[Agency]:[Agency]]=$E580)/(TableDiv[[Agency]:[Agency]]=$E580)*(ROW(TableDiv[Agency])-ROW(TableDiv[[#Headers],[Agency]])),COLUMNS($F$7:AM$7))))</f>
        <v/>
      </c>
      <c r="AN580" s="2223"/>
      <c r="AO580" s="2223"/>
      <c r="AP580" s="2223"/>
      <c r="AQ580" s="2223"/>
      <c r="AR580" s="2223"/>
      <c r="AS580" s="2223"/>
    </row>
    <row r="581" spans="1:45" x14ac:dyDescent="0.2">
      <c r="A581" s="2223"/>
      <c r="B581" s="2223"/>
      <c r="C581" s="2223"/>
      <c r="W581" s="2223" t="str" cm="1">
        <f t="array" ref="W581">IF($D581&lt;COLUMNS($F$7:W$7),"",INDEX(TableDiv[[GASB]:[GASB]],_xlfn.AGGREGATE(15,3,(TableDiv[[Agency]:[Agency]]=$E581)/(TableDiv[[Agency]:[Agency]]=$E581)*(ROW(TableDiv[Agency])-ROW(TableDiv[[#Headers],[Agency]])),COLUMNS($F$7:W$7))))</f>
        <v/>
      </c>
      <c r="X581" s="2223" t="str" cm="1">
        <f t="array" ref="X581">IF($D581&lt;COLUMNS($F$7:X$7),"",INDEX(TableDiv[[GASB]:[GASB]],_xlfn.AGGREGATE(15,3,(TableDiv[[Agency]:[Agency]]=$E581)/(TableDiv[[Agency]:[Agency]]=$E581)*(ROW(TableDiv[Agency])-ROW(TableDiv[[#Headers],[Agency]])),COLUMNS($F$7:X$7))))</f>
        <v/>
      </c>
      <c r="Y581" s="2223" t="str" cm="1">
        <f t="array" ref="Y581">IF($D581&lt;COLUMNS($F$7:Y$7),"",INDEX(TableDiv[[GASB]:[GASB]],_xlfn.AGGREGATE(15,3,(TableDiv[[Agency]:[Agency]]=$E581)/(TableDiv[[Agency]:[Agency]]=$E581)*(ROW(TableDiv[Agency])-ROW(TableDiv[[#Headers],[Agency]])),COLUMNS($F$7:Y$7))))</f>
        <v/>
      </c>
      <c r="Z581" s="2223" t="str" cm="1">
        <f t="array" ref="Z581">IF($D581&lt;COLUMNS($F$7:Z$7),"",INDEX(TableDiv[[GASB]:[GASB]],_xlfn.AGGREGATE(15,3,(TableDiv[[Agency]:[Agency]]=$E581)/(TableDiv[[Agency]:[Agency]]=$E581)*(ROW(TableDiv[Agency])-ROW(TableDiv[[#Headers],[Agency]])),COLUMNS($F$7:Z$7))))</f>
        <v/>
      </c>
      <c r="AA581" s="2223" t="str" cm="1">
        <f t="array" ref="AA581">IF($D581&lt;COLUMNS($F$7:AA$7),"",INDEX(TableDiv[[GASB]:[GASB]],_xlfn.AGGREGATE(15,3,(TableDiv[[Agency]:[Agency]]=$E581)/(TableDiv[[Agency]:[Agency]]=$E581)*(ROW(TableDiv[Agency])-ROW(TableDiv[[#Headers],[Agency]])),COLUMNS($F$7:AA$7))))</f>
        <v/>
      </c>
      <c r="AB581" s="2223" t="str" cm="1">
        <f t="array" ref="AB581">IF($D581&lt;COLUMNS($F$7:AB$7),"",INDEX(TableDiv[[GASB]:[GASB]],_xlfn.AGGREGATE(15,3,(TableDiv[[Agency]:[Agency]]=$E581)/(TableDiv[[Agency]:[Agency]]=$E581)*(ROW(TableDiv[Agency])-ROW(TableDiv[[#Headers],[Agency]])),COLUMNS($F$7:AB$7))))</f>
        <v/>
      </c>
      <c r="AC581" s="2223" t="str" cm="1">
        <f t="array" ref="AC581">IF($D581&lt;COLUMNS($F$7:AC$7),"",INDEX(TableDiv[[GASB]:[GASB]],_xlfn.AGGREGATE(15,3,(TableDiv[[Agency]:[Agency]]=$E581)/(TableDiv[[Agency]:[Agency]]=$E581)*(ROW(TableDiv[Agency])-ROW(TableDiv[[#Headers],[Agency]])),COLUMNS($F$7:AC$7))))</f>
        <v/>
      </c>
      <c r="AD581" s="2223" t="str" cm="1">
        <f t="array" ref="AD581">IF($D581&lt;COLUMNS($F$7:AD$7),"",INDEX(TableDiv[[GASB]:[GASB]],_xlfn.AGGREGATE(15,3,(TableDiv[[Agency]:[Agency]]=$E581)/(TableDiv[[Agency]:[Agency]]=$E581)*(ROW(TableDiv[Agency])-ROW(TableDiv[[#Headers],[Agency]])),COLUMNS($F$7:AD$7))))</f>
        <v/>
      </c>
      <c r="AE581" s="2223" t="str" cm="1">
        <f t="array" ref="AE581">IF($D581&lt;COLUMNS($F$7:AE$7),"",INDEX(TableDiv[[GASB]:[GASB]],_xlfn.AGGREGATE(15,3,(TableDiv[[Agency]:[Agency]]=$E581)/(TableDiv[[Agency]:[Agency]]=$E581)*(ROW(TableDiv[Agency])-ROW(TableDiv[[#Headers],[Agency]])),COLUMNS($F$7:AE$7))))</f>
        <v/>
      </c>
      <c r="AF581" s="2223" t="str" cm="1">
        <f t="array" ref="AF581">IF($D581&lt;COLUMNS($F$7:AF$7),"",INDEX(TableDiv[[GASB]:[GASB]],_xlfn.AGGREGATE(15,3,(TableDiv[[Agency]:[Agency]]=$E581)/(TableDiv[[Agency]:[Agency]]=$E581)*(ROW(TableDiv[Agency])-ROW(TableDiv[[#Headers],[Agency]])),COLUMNS($F$7:AF$7))))</f>
        <v/>
      </c>
      <c r="AG581" s="2223" t="str" cm="1">
        <f t="array" ref="AG581">IF($D581&lt;COLUMNS($F$7:AG$7),"",INDEX(TableDiv[[GASB]:[GASB]],_xlfn.AGGREGATE(15,3,(TableDiv[[Agency]:[Agency]]=$E581)/(TableDiv[[Agency]:[Agency]]=$E581)*(ROW(TableDiv[Agency])-ROW(TableDiv[[#Headers],[Agency]])),COLUMNS($F$7:AG$7))))</f>
        <v/>
      </c>
      <c r="AH581" s="2223" t="str" cm="1">
        <f t="array" ref="AH581">IF($D581&lt;COLUMNS($F$7:AH$7),"",INDEX(TableDiv[[GASB]:[GASB]],_xlfn.AGGREGATE(15,3,(TableDiv[[Agency]:[Agency]]=$E581)/(TableDiv[[Agency]:[Agency]]=$E581)*(ROW(TableDiv[Agency])-ROW(TableDiv[[#Headers],[Agency]])),COLUMNS($F$7:AH$7))))</f>
        <v/>
      </c>
      <c r="AI581" s="2223" t="str" cm="1">
        <f t="array" ref="AI581">IF($D581&lt;COLUMNS($F$7:AI$7),"",INDEX(TableDiv[[GASB]:[GASB]],_xlfn.AGGREGATE(15,3,(TableDiv[[Agency]:[Agency]]=$E581)/(TableDiv[[Agency]:[Agency]]=$E581)*(ROW(TableDiv[Agency])-ROW(TableDiv[[#Headers],[Agency]])),COLUMNS($F$7:AI$7))))</f>
        <v/>
      </c>
      <c r="AJ581" s="2223" t="str" cm="1">
        <f t="array" ref="AJ581">IF($D581&lt;COLUMNS($F$7:AJ$7),"",INDEX(TableDiv[[GASB]:[GASB]],_xlfn.AGGREGATE(15,3,(TableDiv[[Agency]:[Agency]]=$E581)/(TableDiv[[Agency]:[Agency]]=$E581)*(ROW(TableDiv[Agency])-ROW(TableDiv[[#Headers],[Agency]])),COLUMNS($F$7:AJ$7))))</f>
        <v/>
      </c>
      <c r="AK581" s="2223" t="str" cm="1">
        <f t="array" ref="AK581">IF($D581&lt;COLUMNS($F$7:AK$7),"",INDEX(TableDiv[[GASB]:[GASB]],_xlfn.AGGREGATE(15,3,(TableDiv[[Agency]:[Agency]]=$E581)/(TableDiv[[Agency]:[Agency]]=$E581)*(ROW(TableDiv[Agency])-ROW(TableDiv[[#Headers],[Agency]])),COLUMNS($F$7:AK$7))))</f>
        <v/>
      </c>
      <c r="AL581" s="2223" t="str" cm="1">
        <f t="array" ref="AL581">IF($D581&lt;COLUMNS($F$7:AL$7),"",INDEX(TableDiv[[GASB]:[GASB]],_xlfn.AGGREGATE(15,3,(TableDiv[[Agency]:[Agency]]=$E581)/(TableDiv[[Agency]:[Agency]]=$E581)*(ROW(TableDiv[Agency])-ROW(TableDiv[[#Headers],[Agency]])),COLUMNS($F$7:AL$7))))</f>
        <v/>
      </c>
      <c r="AM581" s="2223" t="str" cm="1">
        <f t="array" ref="AM581">IF($D581&lt;COLUMNS($F$7:AM$7),"",INDEX(TableDiv[[GASB]:[GASB]],_xlfn.AGGREGATE(15,3,(TableDiv[[Agency]:[Agency]]=$E581)/(TableDiv[[Agency]:[Agency]]=$E581)*(ROW(TableDiv[Agency])-ROW(TableDiv[[#Headers],[Agency]])),COLUMNS($F$7:AM$7))))</f>
        <v/>
      </c>
      <c r="AN581" s="2223"/>
      <c r="AO581" s="2223"/>
      <c r="AP581" s="2223"/>
      <c r="AQ581" s="2223"/>
      <c r="AR581" s="2223"/>
      <c r="AS581" s="2223"/>
    </row>
    <row r="582" spans="1:45" x14ac:dyDescent="0.2">
      <c r="A582" s="2223"/>
      <c r="B582" s="2223"/>
      <c r="C582" s="2223"/>
      <c r="W582" s="2223" t="str" cm="1">
        <f t="array" ref="W582">IF($D582&lt;COLUMNS($F$7:W$7),"",INDEX(TableDiv[[GASB]:[GASB]],_xlfn.AGGREGATE(15,3,(TableDiv[[Agency]:[Agency]]=$E582)/(TableDiv[[Agency]:[Agency]]=$E582)*(ROW(TableDiv[Agency])-ROW(TableDiv[[#Headers],[Agency]])),COLUMNS($F$7:W$7))))</f>
        <v/>
      </c>
      <c r="X582" s="2223" t="str" cm="1">
        <f t="array" ref="X582">IF($D582&lt;COLUMNS($F$7:X$7),"",INDEX(TableDiv[[GASB]:[GASB]],_xlfn.AGGREGATE(15,3,(TableDiv[[Agency]:[Agency]]=$E582)/(TableDiv[[Agency]:[Agency]]=$E582)*(ROW(TableDiv[Agency])-ROW(TableDiv[[#Headers],[Agency]])),COLUMNS($F$7:X$7))))</f>
        <v/>
      </c>
      <c r="Y582" s="2223" t="str" cm="1">
        <f t="array" ref="Y582">IF($D582&lt;COLUMNS($F$7:Y$7),"",INDEX(TableDiv[[GASB]:[GASB]],_xlfn.AGGREGATE(15,3,(TableDiv[[Agency]:[Agency]]=$E582)/(TableDiv[[Agency]:[Agency]]=$E582)*(ROW(TableDiv[Agency])-ROW(TableDiv[[#Headers],[Agency]])),COLUMNS($F$7:Y$7))))</f>
        <v/>
      </c>
      <c r="Z582" s="2223" t="str" cm="1">
        <f t="array" ref="Z582">IF($D582&lt;COLUMNS($F$7:Z$7),"",INDEX(TableDiv[[GASB]:[GASB]],_xlfn.AGGREGATE(15,3,(TableDiv[[Agency]:[Agency]]=$E582)/(TableDiv[[Agency]:[Agency]]=$E582)*(ROW(TableDiv[Agency])-ROW(TableDiv[[#Headers],[Agency]])),COLUMNS($F$7:Z$7))))</f>
        <v/>
      </c>
      <c r="AA582" s="2223" t="str" cm="1">
        <f t="array" ref="AA582">IF($D582&lt;COLUMNS($F$7:AA$7),"",INDEX(TableDiv[[GASB]:[GASB]],_xlfn.AGGREGATE(15,3,(TableDiv[[Agency]:[Agency]]=$E582)/(TableDiv[[Agency]:[Agency]]=$E582)*(ROW(TableDiv[Agency])-ROW(TableDiv[[#Headers],[Agency]])),COLUMNS($F$7:AA$7))))</f>
        <v/>
      </c>
      <c r="AB582" s="2223" t="str" cm="1">
        <f t="array" ref="AB582">IF($D582&lt;COLUMNS($F$7:AB$7),"",INDEX(TableDiv[[GASB]:[GASB]],_xlfn.AGGREGATE(15,3,(TableDiv[[Agency]:[Agency]]=$E582)/(TableDiv[[Agency]:[Agency]]=$E582)*(ROW(TableDiv[Agency])-ROW(TableDiv[[#Headers],[Agency]])),COLUMNS($F$7:AB$7))))</f>
        <v/>
      </c>
      <c r="AC582" s="2223" t="str" cm="1">
        <f t="array" ref="AC582">IF($D582&lt;COLUMNS($F$7:AC$7),"",INDEX(TableDiv[[GASB]:[GASB]],_xlfn.AGGREGATE(15,3,(TableDiv[[Agency]:[Agency]]=$E582)/(TableDiv[[Agency]:[Agency]]=$E582)*(ROW(TableDiv[Agency])-ROW(TableDiv[[#Headers],[Agency]])),COLUMNS($F$7:AC$7))))</f>
        <v/>
      </c>
      <c r="AD582" s="2223" t="str" cm="1">
        <f t="array" ref="AD582">IF($D582&lt;COLUMNS($F$7:AD$7),"",INDEX(TableDiv[[GASB]:[GASB]],_xlfn.AGGREGATE(15,3,(TableDiv[[Agency]:[Agency]]=$E582)/(TableDiv[[Agency]:[Agency]]=$E582)*(ROW(TableDiv[Agency])-ROW(TableDiv[[#Headers],[Agency]])),COLUMNS($F$7:AD$7))))</f>
        <v/>
      </c>
      <c r="AE582" s="2223" t="str" cm="1">
        <f t="array" ref="AE582">IF($D582&lt;COLUMNS($F$7:AE$7),"",INDEX(TableDiv[[GASB]:[GASB]],_xlfn.AGGREGATE(15,3,(TableDiv[[Agency]:[Agency]]=$E582)/(TableDiv[[Agency]:[Agency]]=$E582)*(ROW(TableDiv[Agency])-ROW(TableDiv[[#Headers],[Agency]])),COLUMNS($F$7:AE$7))))</f>
        <v/>
      </c>
      <c r="AF582" s="2223" t="str" cm="1">
        <f t="array" ref="AF582">IF($D582&lt;COLUMNS($F$7:AF$7),"",INDEX(TableDiv[[GASB]:[GASB]],_xlfn.AGGREGATE(15,3,(TableDiv[[Agency]:[Agency]]=$E582)/(TableDiv[[Agency]:[Agency]]=$E582)*(ROW(TableDiv[Agency])-ROW(TableDiv[[#Headers],[Agency]])),COLUMNS($F$7:AF$7))))</f>
        <v/>
      </c>
      <c r="AG582" s="2223" t="str" cm="1">
        <f t="array" ref="AG582">IF($D582&lt;COLUMNS($F$7:AG$7),"",INDEX(TableDiv[[GASB]:[GASB]],_xlfn.AGGREGATE(15,3,(TableDiv[[Agency]:[Agency]]=$E582)/(TableDiv[[Agency]:[Agency]]=$E582)*(ROW(TableDiv[Agency])-ROW(TableDiv[[#Headers],[Agency]])),COLUMNS($F$7:AG$7))))</f>
        <v/>
      </c>
      <c r="AH582" s="2223" t="str" cm="1">
        <f t="array" ref="AH582">IF($D582&lt;COLUMNS($F$7:AH$7),"",INDEX(TableDiv[[GASB]:[GASB]],_xlfn.AGGREGATE(15,3,(TableDiv[[Agency]:[Agency]]=$E582)/(TableDiv[[Agency]:[Agency]]=$E582)*(ROW(TableDiv[Agency])-ROW(TableDiv[[#Headers],[Agency]])),COLUMNS($F$7:AH$7))))</f>
        <v/>
      </c>
      <c r="AI582" s="2223" t="str" cm="1">
        <f t="array" ref="AI582">IF($D582&lt;COLUMNS($F$7:AI$7),"",INDEX(TableDiv[[GASB]:[GASB]],_xlfn.AGGREGATE(15,3,(TableDiv[[Agency]:[Agency]]=$E582)/(TableDiv[[Agency]:[Agency]]=$E582)*(ROW(TableDiv[Agency])-ROW(TableDiv[[#Headers],[Agency]])),COLUMNS($F$7:AI$7))))</f>
        <v/>
      </c>
      <c r="AJ582" s="2223" t="str" cm="1">
        <f t="array" ref="AJ582">IF($D582&lt;COLUMNS($F$7:AJ$7),"",INDEX(TableDiv[[GASB]:[GASB]],_xlfn.AGGREGATE(15,3,(TableDiv[[Agency]:[Agency]]=$E582)/(TableDiv[[Agency]:[Agency]]=$E582)*(ROW(TableDiv[Agency])-ROW(TableDiv[[#Headers],[Agency]])),COLUMNS($F$7:AJ$7))))</f>
        <v/>
      </c>
      <c r="AK582" s="2223" t="str" cm="1">
        <f t="array" ref="AK582">IF($D582&lt;COLUMNS($F$7:AK$7),"",INDEX(TableDiv[[GASB]:[GASB]],_xlfn.AGGREGATE(15,3,(TableDiv[[Agency]:[Agency]]=$E582)/(TableDiv[[Agency]:[Agency]]=$E582)*(ROW(TableDiv[Agency])-ROW(TableDiv[[#Headers],[Agency]])),COLUMNS($F$7:AK$7))))</f>
        <v/>
      </c>
      <c r="AL582" s="2223" t="str" cm="1">
        <f t="array" ref="AL582">IF($D582&lt;COLUMNS($F$7:AL$7),"",INDEX(TableDiv[[GASB]:[GASB]],_xlfn.AGGREGATE(15,3,(TableDiv[[Agency]:[Agency]]=$E582)/(TableDiv[[Agency]:[Agency]]=$E582)*(ROW(TableDiv[Agency])-ROW(TableDiv[[#Headers],[Agency]])),COLUMNS($F$7:AL$7))))</f>
        <v/>
      </c>
      <c r="AM582" s="2223" t="str" cm="1">
        <f t="array" ref="AM582">IF($D582&lt;COLUMNS($F$7:AM$7),"",INDEX(TableDiv[[GASB]:[GASB]],_xlfn.AGGREGATE(15,3,(TableDiv[[Agency]:[Agency]]=$E582)/(TableDiv[[Agency]:[Agency]]=$E582)*(ROW(TableDiv[Agency])-ROW(TableDiv[[#Headers],[Agency]])),COLUMNS($F$7:AM$7))))</f>
        <v/>
      </c>
      <c r="AN582" s="2223"/>
      <c r="AO582" s="2223"/>
      <c r="AP582" s="2223"/>
      <c r="AQ582" s="2223"/>
      <c r="AR582" s="2223"/>
      <c r="AS582" s="2223"/>
    </row>
    <row r="583" spans="1:45" x14ac:dyDescent="0.2">
      <c r="A583" s="2223"/>
      <c r="B583" s="2223"/>
      <c r="C583" s="2223"/>
      <c r="W583" s="2223" t="str" cm="1">
        <f t="array" ref="W583">IF($D583&lt;COLUMNS($F$7:W$7),"",INDEX(TableDiv[[GASB]:[GASB]],_xlfn.AGGREGATE(15,3,(TableDiv[[Agency]:[Agency]]=$E583)/(TableDiv[[Agency]:[Agency]]=$E583)*(ROW(TableDiv[Agency])-ROW(TableDiv[[#Headers],[Agency]])),COLUMNS($F$7:W$7))))</f>
        <v/>
      </c>
      <c r="X583" s="2223" t="str" cm="1">
        <f t="array" ref="X583">IF($D583&lt;COLUMNS($F$7:X$7),"",INDEX(TableDiv[[GASB]:[GASB]],_xlfn.AGGREGATE(15,3,(TableDiv[[Agency]:[Agency]]=$E583)/(TableDiv[[Agency]:[Agency]]=$E583)*(ROW(TableDiv[Agency])-ROW(TableDiv[[#Headers],[Agency]])),COLUMNS($F$7:X$7))))</f>
        <v/>
      </c>
      <c r="Y583" s="2223" t="str" cm="1">
        <f t="array" ref="Y583">IF($D583&lt;COLUMNS($F$7:Y$7),"",INDEX(TableDiv[[GASB]:[GASB]],_xlfn.AGGREGATE(15,3,(TableDiv[[Agency]:[Agency]]=$E583)/(TableDiv[[Agency]:[Agency]]=$E583)*(ROW(TableDiv[Agency])-ROW(TableDiv[[#Headers],[Agency]])),COLUMNS($F$7:Y$7))))</f>
        <v/>
      </c>
      <c r="Z583" s="2223" t="str" cm="1">
        <f t="array" ref="Z583">IF($D583&lt;COLUMNS($F$7:Z$7),"",INDEX(TableDiv[[GASB]:[GASB]],_xlfn.AGGREGATE(15,3,(TableDiv[[Agency]:[Agency]]=$E583)/(TableDiv[[Agency]:[Agency]]=$E583)*(ROW(TableDiv[Agency])-ROW(TableDiv[[#Headers],[Agency]])),COLUMNS($F$7:Z$7))))</f>
        <v/>
      </c>
      <c r="AA583" s="2223" t="str" cm="1">
        <f t="array" ref="AA583">IF($D583&lt;COLUMNS($F$7:AA$7),"",INDEX(TableDiv[[GASB]:[GASB]],_xlfn.AGGREGATE(15,3,(TableDiv[[Agency]:[Agency]]=$E583)/(TableDiv[[Agency]:[Agency]]=$E583)*(ROW(TableDiv[Agency])-ROW(TableDiv[[#Headers],[Agency]])),COLUMNS($F$7:AA$7))))</f>
        <v/>
      </c>
      <c r="AB583" s="2223" t="str" cm="1">
        <f t="array" ref="AB583">IF($D583&lt;COLUMNS($F$7:AB$7),"",INDEX(TableDiv[[GASB]:[GASB]],_xlfn.AGGREGATE(15,3,(TableDiv[[Agency]:[Agency]]=$E583)/(TableDiv[[Agency]:[Agency]]=$E583)*(ROW(TableDiv[Agency])-ROW(TableDiv[[#Headers],[Agency]])),COLUMNS($F$7:AB$7))))</f>
        <v/>
      </c>
      <c r="AC583" s="2223" t="str" cm="1">
        <f t="array" ref="AC583">IF($D583&lt;COLUMNS($F$7:AC$7),"",INDEX(TableDiv[[GASB]:[GASB]],_xlfn.AGGREGATE(15,3,(TableDiv[[Agency]:[Agency]]=$E583)/(TableDiv[[Agency]:[Agency]]=$E583)*(ROW(TableDiv[Agency])-ROW(TableDiv[[#Headers],[Agency]])),COLUMNS($F$7:AC$7))))</f>
        <v/>
      </c>
      <c r="AD583" s="2223" t="str" cm="1">
        <f t="array" ref="AD583">IF($D583&lt;COLUMNS($F$7:AD$7),"",INDEX(TableDiv[[GASB]:[GASB]],_xlfn.AGGREGATE(15,3,(TableDiv[[Agency]:[Agency]]=$E583)/(TableDiv[[Agency]:[Agency]]=$E583)*(ROW(TableDiv[Agency])-ROW(TableDiv[[#Headers],[Agency]])),COLUMNS($F$7:AD$7))))</f>
        <v/>
      </c>
      <c r="AE583" s="2223" t="str" cm="1">
        <f t="array" ref="AE583">IF($D583&lt;COLUMNS($F$7:AE$7),"",INDEX(TableDiv[[GASB]:[GASB]],_xlfn.AGGREGATE(15,3,(TableDiv[[Agency]:[Agency]]=$E583)/(TableDiv[[Agency]:[Agency]]=$E583)*(ROW(TableDiv[Agency])-ROW(TableDiv[[#Headers],[Agency]])),COLUMNS($F$7:AE$7))))</f>
        <v/>
      </c>
      <c r="AF583" s="2223" t="str" cm="1">
        <f t="array" ref="AF583">IF($D583&lt;COLUMNS($F$7:AF$7),"",INDEX(TableDiv[[GASB]:[GASB]],_xlfn.AGGREGATE(15,3,(TableDiv[[Agency]:[Agency]]=$E583)/(TableDiv[[Agency]:[Agency]]=$E583)*(ROW(TableDiv[Agency])-ROW(TableDiv[[#Headers],[Agency]])),COLUMNS($F$7:AF$7))))</f>
        <v/>
      </c>
      <c r="AG583" s="2223" t="str" cm="1">
        <f t="array" ref="AG583">IF($D583&lt;COLUMNS($F$7:AG$7),"",INDEX(TableDiv[[GASB]:[GASB]],_xlfn.AGGREGATE(15,3,(TableDiv[[Agency]:[Agency]]=$E583)/(TableDiv[[Agency]:[Agency]]=$E583)*(ROW(TableDiv[Agency])-ROW(TableDiv[[#Headers],[Agency]])),COLUMNS($F$7:AG$7))))</f>
        <v/>
      </c>
      <c r="AH583" s="2223" t="str" cm="1">
        <f t="array" ref="AH583">IF($D583&lt;COLUMNS($F$7:AH$7),"",INDEX(TableDiv[[GASB]:[GASB]],_xlfn.AGGREGATE(15,3,(TableDiv[[Agency]:[Agency]]=$E583)/(TableDiv[[Agency]:[Agency]]=$E583)*(ROW(TableDiv[Agency])-ROW(TableDiv[[#Headers],[Agency]])),COLUMNS($F$7:AH$7))))</f>
        <v/>
      </c>
      <c r="AI583" s="2223" t="str" cm="1">
        <f t="array" ref="AI583">IF($D583&lt;COLUMNS($F$7:AI$7),"",INDEX(TableDiv[[GASB]:[GASB]],_xlfn.AGGREGATE(15,3,(TableDiv[[Agency]:[Agency]]=$E583)/(TableDiv[[Agency]:[Agency]]=$E583)*(ROW(TableDiv[Agency])-ROW(TableDiv[[#Headers],[Agency]])),COLUMNS($F$7:AI$7))))</f>
        <v/>
      </c>
      <c r="AJ583" s="2223" t="str" cm="1">
        <f t="array" ref="AJ583">IF($D583&lt;COLUMNS($F$7:AJ$7),"",INDEX(TableDiv[[GASB]:[GASB]],_xlfn.AGGREGATE(15,3,(TableDiv[[Agency]:[Agency]]=$E583)/(TableDiv[[Agency]:[Agency]]=$E583)*(ROW(TableDiv[Agency])-ROW(TableDiv[[#Headers],[Agency]])),COLUMNS($F$7:AJ$7))))</f>
        <v/>
      </c>
      <c r="AK583" s="2223" t="str" cm="1">
        <f t="array" ref="AK583">IF($D583&lt;COLUMNS($F$7:AK$7),"",INDEX(TableDiv[[GASB]:[GASB]],_xlfn.AGGREGATE(15,3,(TableDiv[[Agency]:[Agency]]=$E583)/(TableDiv[[Agency]:[Agency]]=$E583)*(ROW(TableDiv[Agency])-ROW(TableDiv[[#Headers],[Agency]])),COLUMNS($F$7:AK$7))))</f>
        <v/>
      </c>
      <c r="AL583" s="2223" t="str" cm="1">
        <f t="array" ref="AL583">IF($D583&lt;COLUMNS($F$7:AL$7),"",INDEX(TableDiv[[GASB]:[GASB]],_xlfn.AGGREGATE(15,3,(TableDiv[[Agency]:[Agency]]=$E583)/(TableDiv[[Agency]:[Agency]]=$E583)*(ROW(TableDiv[Agency])-ROW(TableDiv[[#Headers],[Agency]])),COLUMNS($F$7:AL$7))))</f>
        <v/>
      </c>
      <c r="AM583" s="2223" t="str" cm="1">
        <f t="array" ref="AM583">IF($D583&lt;COLUMNS($F$7:AM$7),"",INDEX(TableDiv[[GASB]:[GASB]],_xlfn.AGGREGATE(15,3,(TableDiv[[Agency]:[Agency]]=$E583)/(TableDiv[[Agency]:[Agency]]=$E583)*(ROW(TableDiv[Agency])-ROW(TableDiv[[#Headers],[Agency]])),COLUMNS($F$7:AM$7))))</f>
        <v/>
      </c>
      <c r="AN583" s="2223"/>
      <c r="AO583" s="2223"/>
      <c r="AP583" s="2223"/>
      <c r="AQ583" s="2223"/>
      <c r="AR583" s="2223"/>
      <c r="AS583" s="2223"/>
    </row>
    <row r="584" spans="1:45" x14ac:dyDescent="0.2">
      <c r="A584" s="2223"/>
      <c r="B584" s="2223"/>
      <c r="C584" s="2223"/>
      <c r="W584" s="2223" t="str" cm="1">
        <f t="array" ref="W584">IF($D584&lt;COLUMNS($F$7:W$7),"",INDEX(TableDiv[[GASB]:[GASB]],_xlfn.AGGREGATE(15,3,(TableDiv[[Agency]:[Agency]]=$E584)/(TableDiv[[Agency]:[Agency]]=$E584)*(ROW(TableDiv[Agency])-ROW(TableDiv[[#Headers],[Agency]])),COLUMNS($F$7:W$7))))</f>
        <v/>
      </c>
      <c r="X584" s="2223" t="str" cm="1">
        <f t="array" ref="X584">IF($D584&lt;COLUMNS($F$7:X$7),"",INDEX(TableDiv[[GASB]:[GASB]],_xlfn.AGGREGATE(15,3,(TableDiv[[Agency]:[Agency]]=$E584)/(TableDiv[[Agency]:[Agency]]=$E584)*(ROW(TableDiv[Agency])-ROW(TableDiv[[#Headers],[Agency]])),COLUMNS($F$7:X$7))))</f>
        <v/>
      </c>
      <c r="Y584" s="2223" t="str" cm="1">
        <f t="array" ref="Y584">IF($D584&lt;COLUMNS($F$7:Y$7),"",INDEX(TableDiv[[GASB]:[GASB]],_xlfn.AGGREGATE(15,3,(TableDiv[[Agency]:[Agency]]=$E584)/(TableDiv[[Agency]:[Agency]]=$E584)*(ROW(TableDiv[Agency])-ROW(TableDiv[[#Headers],[Agency]])),COLUMNS($F$7:Y$7))))</f>
        <v/>
      </c>
      <c r="Z584" s="2223" t="str" cm="1">
        <f t="array" ref="Z584">IF($D584&lt;COLUMNS($F$7:Z$7),"",INDEX(TableDiv[[GASB]:[GASB]],_xlfn.AGGREGATE(15,3,(TableDiv[[Agency]:[Agency]]=$E584)/(TableDiv[[Agency]:[Agency]]=$E584)*(ROW(TableDiv[Agency])-ROW(TableDiv[[#Headers],[Agency]])),COLUMNS($F$7:Z$7))))</f>
        <v/>
      </c>
      <c r="AA584" s="2223" t="str" cm="1">
        <f t="array" ref="AA584">IF($D584&lt;COLUMNS($F$7:AA$7),"",INDEX(TableDiv[[GASB]:[GASB]],_xlfn.AGGREGATE(15,3,(TableDiv[[Agency]:[Agency]]=$E584)/(TableDiv[[Agency]:[Agency]]=$E584)*(ROW(TableDiv[Agency])-ROW(TableDiv[[#Headers],[Agency]])),COLUMNS($F$7:AA$7))))</f>
        <v/>
      </c>
      <c r="AB584" s="2223" t="str" cm="1">
        <f t="array" ref="AB584">IF($D584&lt;COLUMNS($F$7:AB$7),"",INDEX(TableDiv[[GASB]:[GASB]],_xlfn.AGGREGATE(15,3,(TableDiv[[Agency]:[Agency]]=$E584)/(TableDiv[[Agency]:[Agency]]=$E584)*(ROW(TableDiv[Agency])-ROW(TableDiv[[#Headers],[Agency]])),COLUMNS($F$7:AB$7))))</f>
        <v/>
      </c>
      <c r="AC584" s="2223" t="str" cm="1">
        <f t="array" ref="AC584">IF($D584&lt;COLUMNS($F$7:AC$7),"",INDEX(TableDiv[[GASB]:[GASB]],_xlfn.AGGREGATE(15,3,(TableDiv[[Agency]:[Agency]]=$E584)/(TableDiv[[Agency]:[Agency]]=$E584)*(ROW(TableDiv[Agency])-ROW(TableDiv[[#Headers],[Agency]])),COLUMNS($F$7:AC$7))))</f>
        <v/>
      </c>
      <c r="AD584" s="2223" t="str" cm="1">
        <f t="array" ref="AD584">IF($D584&lt;COLUMNS($F$7:AD$7),"",INDEX(TableDiv[[GASB]:[GASB]],_xlfn.AGGREGATE(15,3,(TableDiv[[Agency]:[Agency]]=$E584)/(TableDiv[[Agency]:[Agency]]=$E584)*(ROW(TableDiv[Agency])-ROW(TableDiv[[#Headers],[Agency]])),COLUMNS($F$7:AD$7))))</f>
        <v/>
      </c>
      <c r="AE584" s="2223" t="str" cm="1">
        <f t="array" ref="AE584">IF($D584&lt;COLUMNS($F$7:AE$7),"",INDEX(TableDiv[[GASB]:[GASB]],_xlfn.AGGREGATE(15,3,(TableDiv[[Agency]:[Agency]]=$E584)/(TableDiv[[Agency]:[Agency]]=$E584)*(ROW(TableDiv[Agency])-ROW(TableDiv[[#Headers],[Agency]])),COLUMNS($F$7:AE$7))))</f>
        <v/>
      </c>
      <c r="AF584" s="2223" t="str" cm="1">
        <f t="array" ref="AF584">IF($D584&lt;COLUMNS($F$7:AF$7),"",INDEX(TableDiv[[GASB]:[GASB]],_xlfn.AGGREGATE(15,3,(TableDiv[[Agency]:[Agency]]=$E584)/(TableDiv[[Agency]:[Agency]]=$E584)*(ROW(TableDiv[Agency])-ROW(TableDiv[[#Headers],[Agency]])),COLUMNS($F$7:AF$7))))</f>
        <v/>
      </c>
      <c r="AG584" s="2223" t="str" cm="1">
        <f t="array" ref="AG584">IF($D584&lt;COLUMNS($F$7:AG$7),"",INDEX(TableDiv[[GASB]:[GASB]],_xlfn.AGGREGATE(15,3,(TableDiv[[Agency]:[Agency]]=$E584)/(TableDiv[[Agency]:[Agency]]=$E584)*(ROW(TableDiv[Agency])-ROW(TableDiv[[#Headers],[Agency]])),COLUMNS($F$7:AG$7))))</f>
        <v/>
      </c>
      <c r="AH584" s="2223" t="str" cm="1">
        <f t="array" ref="AH584">IF($D584&lt;COLUMNS($F$7:AH$7),"",INDEX(TableDiv[[GASB]:[GASB]],_xlfn.AGGREGATE(15,3,(TableDiv[[Agency]:[Agency]]=$E584)/(TableDiv[[Agency]:[Agency]]=$E584)*(ROW(TableDiv[Agency])-ROW(TableDiv[[#Headers],[Agency]])),COLUMNS($F$7:AH$7))))</f>
        <v/>
      </c>
      <c r="AI584" s="2223" t="str" cm="1">
        <f t="array" ref="AI584">IF($D584&lt;COLUMNS($F$7:AI$7),"",INDEX(TableDiv[[GASB]:[GASB]],_xlfn.AGGREGATE(15,3,(TableDiv[[Agency]:[Agency]]=$E584)/(TableDiv[[Agency]:[Agency]]=$E584)*(ROW(TableDiv[Agency])-ROW(TableDiv[[#Headers],[Agency]])),COLUMNS($F$7:AI$7))))</f>
        <v/>
      </c>
      <c r="AJ584" s="2223" t="str" cm="1">
        <f t="array" ref="AJ584">IF($D584&lt;COLUMNS($F$7:AJ$7),"",INDEX(TableDiv[[GASB]:[GASB]],_xlfn.AGGREGATE(15,3,(TableDiv[[Agency]:[Agency]]=$E584)/(TableDiv[[Agency]:[Agency]]=$E584)*(ROW(TableDiv[Agency])-ROW(TableDiv[[#Headers],[Agency]])),COLUMNS($F$7:AJ$7))))</f>
        <v/>
      </c>
      <c r="AK584" s="2223" t="str" cm="1">
        <f t="array" ref="AK584">IF($D584&lt;COLUMNS($F$7:AK$7),"",INDEX(TableDiv[[GASB]:[GASB]],_xlfn.AGGREGATE(15,3,(TableDiv[[Agency]:[Agency]]=$E584)/(TableDiv[[Agency]:[Agency]]=$E584)*(ROW(TableDiv[Agency])-ROW(TableDiv[[#Headers],[Agency]])),COLUMNS($F$7:AK$7))))</f>
        <v/>
      </c>
      <c r="AL584" s="2223" t="str" cm="1">
        <f t="array" ref="AL584">IF($D584&lt;COLUMNS($F$7:AL$7),"",INDEX(TableDiv[[GASB]:[GASB]],_xlfn.AGGREGATE(15,3,(TableDiv[[Agency]:[Agency]]=$E584)/(TableDiv[[Agency]:[Agency]]=$E584)*(ROW(TableDiv[Agency])-ROW(TableDiv[[#Headers],[Agency]])),COLUMNS($F$7:AL$7))))</f>
        <v/>
      </c>
      <c r="AM584" s="2223" t="str" cm="1">
        <f t="array" ref="AM584">IF($D584&lt;COLUMNS($F$7:AM$7),"",INDEX(TableDiv[[GASB]:[GASB]],_xlfn.AGGREGATE(15,3,(TableDiv[[Agency]:[Agency]]=$E584)/(TableDiv[[Agency]:[Agency]]=$E584)*(ROW(TableDiv[Agency])-ROW(TableDiv[[#Headers],[Agency]])),COLUMNS($F$7:AM$7))))</f>
        <v/>
      </c>
      <c r="AN584" s="2223"/>
      <c r="AO584" s="2223"/>
      <c r="AP584" s="2223"/>
      <c r="AQ584" s="2223"/>
      <c r="AR584" s="2223"/>
      <c r="AS584" s="2223"/>
    </row>
    <row r="585" spans="1:45" x14ac:dyDescent="0.2">
      <c r="A585" s="2223"/>
      <c r="B585" s="2223"/>
      <c r="C585" s="2223"/>
      <c r="W585" s="2223" t="str" cm="1">
        <f t="array" ref="W585">IF($D585&lt;COLUMNS($F$7:W$7),"",INDEX(TableDiv[[GASB]:[GASB]],_xlfn.AGGREGATE(15,3,(TableDiv[[Agency]:[Agency]]=$E585)/(TableDiv[[Agency]:[Agency]]=$E585)*(ROW(TableDiv[Agency])-ROW(TableDiv[[#Headers],[Agency]])),COLUMNS($F$7:W$7))))</f>
        <v/>
      </c>
      <c r="X585" s="2223" t="str" cm="1">
        <f t="array" ref="X585">IF($D585&lt;COLUMNS($F$7:X$7),"",INDEX(TableDiv[[GASB]:[GASB]],_xlfn.AGGREGATE(15,3,(TableDiv[[Agency]:[Agency]]=$E585)/(TableDiv[[Agency]:[Agency]]=$E585)*(ROW(TableDiv[Agency])-ROW(TableDiv[[#Headers],[Agency]])),COLUMNS($F$7:X$7))))</f>
        <v/>
      </c>
      <c r="Y585" s="2223" t="str" cm="1">
        <f t="array" ref="Y585">IF($D585&lt;COLUMNS($F$7:Y$7),"",INDEX(TableDiv[[GASB]:[GASB]],_xlfn.AGGREGATE(15,3,(TableDiv[[Agency]:[Agency]]=$E585)/(TableDiv[[Agency]:[Agency]]=$E585)*(ROW(TableDiv[Agency])-ROW(TableDiv[[#Headers],[Agency]])),COLUMNS($F$7:Y$7))))</f>
        <v/>
      </c>
      <c r="Z585" s="2223" t="str" cm="1">
        <f t="array" ref="Z585">IF($D585&lt;COLUMNS($F$7:Z$7),"",INDEX(TableDiv[[GASB]:[GASB]],_xlfn.AGGREGATE(15,3,(TableDiv[[Agency]:[Agency]]=$E585)/(TableDiv[[Agency]:[Agency]]=$E585)*(ROW(TableDiv[Agency])-ROW(TableDiv[[#Headers],[Agency]])),COLUMNS($F$7:Z$7))))</f>
        <v/>
      </c>
      <c r="AA585" s="2223" t="str" cm="1">
        <f t="array" ref="AA585">IF($D585&lt;COLUMNS($F$7:AA$7),"",INDEX(TableDiv[[GASB]:[GASB]],_xlfn.AGGREGATE(15,3,(TableDiv[[Agency]:[Agency]]=$E585)/(TableDiv[[Agency]:[Agency]]=$E585)*(ROW(TableDiv[Agency])-ROW(TableDiv[[#Headers],[Agency]])),COLUMNS($F$7:AA$7))))</f>
        <v/>
      </c>
      <c r="AB585" s="2223" t="str" cm="1">
        <f t="array" ref="AB585">IF($D585&lt;COLUMNS($F$7:AB$7),"",INDEX(TableDiv[[GASB]:[GASB]],_xlfn.AGGREGATE(15,3,(TableDiv[[Agency]:[Agency]]=$E585)/(TableDiv[[Agency]:[Agency]]=$E585)*(ROW(TableDiv[Agency])-ROW(TableDiv[[#Headers],[Agency]])),COLUMNS($F$7:AB$7))))</f>
        <v/>
      </c>
      <c r="AC585" s="2223" t="str" cm="1">
        <f t="array" ref="AC585">IF($D585&lt;COLUMNS($F$7:AC$7),"",INDEX(TableDiv[[GASB]:[GASB]],_xlfn.AGGREGATE(15,3,(TableDiv[[Agency]:[Agency]]=$E585)/(TableDiv[[Agency]:[Agency]]=$E585)*(ROW(TableDiv[Agency])-ROW(TableDiv[[#Headers],[Agency]])),COLUMNS($F$7:AC$7))))</f>
        <v/>
      </c>
      <c r="AD585" s="2223" t="str" cm="1">
        <f t="array" ref="AD585">IF($D585&lt;COLUMNS($F$7:AD$7),"",INDEX(TableDiv[[GASB]:[GASB]],_xlfn.AGGREGATE(15,3,(TableDiv[[Agency]:[Agency]]=$E585)/(TableDiv[[Agency]:[Agency]]=$E585)*(ROW(TableDiv[Agency])-ROW(TableDiv[[#Headers],[Agency]])),COLUMNS($F$7:AD$7))))</f>
        <v/>
      </c>
      <c r="AE585" s="2223" t="str" cm="1">
        <f t="array" ref="AE585">IF($D585&lt;COLUMNS($F$7:AE$7),"",INDEX(TableDiv[[GASB]:[GASB]],_xlfn.AGGREGATE(15,3,(TableDiv[[Agency]:[Agency]]=$E585)/(TableDiv[[Agency]:[Agency]]=$E585)*(ROW(TableDiv[Agency])-ROW(TableDiv[[#Headers],[Agency]])),COLUMNS($F$7:AE$7))))</f>
        <v/>
      </c>
      <c r="AF585" s="2223" t="str" cm="1">
        <f t="array" ref="AF585">IF($D585&lt;COLUMNS($F$7:AF$7),"",INDEX(TableDiv[[GASB]:[GASB]],_xlfn.AGGREGATE(15,3,(TableDiv[[Agency]:[Agency]]=$E585)/(TableDiv[[Agency]:[Agency]]=$E585)*(ROW(TableDiv[Agency])-ROW(TableDiv[[#Headers],[Agency]])),COLUMNS($F$7:AF$7))))</f>
        <v/>
      </c>
      <c r="AG585" s="2223" t="str" cm="1">
        <f t="array" ref="AG585">IF($D585&lt;COLUMNS($F$7:AG$7),"",INDEX(TableDiv[[GASB]:[GASB]],_xlfn.AGGREGATE(15,3,(TableDiv[[Agency]:[Agency]]=$E585)/(TableDiv[[Agency]:[Agency]]=$E585)*(ROW(TableDiv[Agency])-ROW(TableDiv[[#Headers],[Agency]])),COLUMNS($F$7:AG$7))))</f>
        <v/>
      </c>
      <c r="AH585" s="2223" t="str" cm="1">
        <f t="array" ref="AH585">IF($D585&lt;COLUMNS($F$7:AH$7),"",INDEX(TableDiv[[GASB]:[GASB]],_xlfn.AGGREGATE(15,3,(TableDiv[[Agency]:[Agency]]=$E585)/(TableDiv[[Agency]:[Agency]]=$E585)*(ROW(TableDiv[Agency])-ROW(TableDiv[[#Headers],[Agency]])),COLUMNS($F$7:AH$7))))</f>
        <v/>
      </c>
      <c r="AI585" s="2223" t="str" cm="1">
        <f t="array" ref="AI585">IF($D585&lt;COLUMNS($F$7:AI$7),"",INDEX(TableDiv[[GASB]:[GASB]],_xlfn.AGGREGATE(15,3,(TableDiv[[Agency]:[Agency]]=$E585)/(TableDiv[[Agency]:[Agency]]=$E585)*(ROW(TableDiv[Agency])-ROW(TableDiv[[#Headers],[Agency]])),COLUMNS($F$7:AI$7))))</f>
        <v/>
      </c>
      <c r="AJ585" s="2223" t="str" cm="1">
        <f t="array" ref="AJ585">IF($D585&lt;COLUMNS($F$7:AJ$7),"",INDEX(TableDiv[[GASB]:[GASB]],_xlfn.AGGREGATE(15,3,(TableDiv[[Agency]:[Agency]]=$E585)/(TableDiv[[Agency]:[Agency]]=$E585)*(ROW(TableDiv[Agency])-ROW(TableDiv[[#Headers],[Agency]])),COLUMNS($F$7:AJ$7))))</f>
        <v/>
      </c>
      <c r="AK585" s="2223" t="str" cm="1">
        <f t="array" ref="AK585">IF($D585&lt;COLUMNS($F$7:AK$7),"",INDEX(TableDiv[[GASB]:[GASB]],_xlfn.AGGREGATE(15,3,(TableDiv[[Agency]:[Agency]]=$E585)/(TableDiv[[Agency]:[Agency]]=$E585)*(ROW(TableDiv[Agency])-ROW(TableDiv[[#Headers],[Agency]])),COLUMNS($F$7:AK$7))))</f>
        <v/>
      </c>
      <c r="AL585" s="2223" t="str" cm="1">
        <f t="array" ref="AL585">IF($D585&lt;COLUMNS($F$7:AL$7),"",INDEX(TableDiv[[GASB]:[GASB]],_xlfn.AGGREGATE(15,3,(TableDiv[[Agency]:[Agency]]=$E585)/(TableDiv[[Agency]:[Agency]]=$E585)*(ROW(TableDiv[Agency])-ROW(TableDiv[[#Headers],[Agency]])),COLUMNS($F$7:AL$7))))</f>
        <v/>
      </c>
      <c r="AM585" s="2223" t="str" cm="1">
        <f t="array" ref="AM585">IF($D585&lt;COLUMNS($F$7:AM$7),"",INDEX(TableDiv[[GASB]:[GASB]],_xlfn.AGGREGATE(15,3,(TableDiv[[Agency]:[Agency]]=$E585)/(TableDiv[[Agency]:[Agency]]=$E585)*(ROW(TableDiv[Agency])-ROW(TableDiv[[#Headers],[Agency]])),COLUMNS($F$7:AM$7))))</f>
        <v/>
      </c>
      <c r="AN585" s="2223"/>
      <c r="AO585" s="2223"/>
      <c r="AP585" s="2223"/>
      <c r="AQ585" s="2223"/>
      <c r="AR585" s="2223"/>
      <c r="AS585" s="2223"/>
    </row>
    <row r="586" spans="1:45" x14ac:dyDescent="0.2">
      <c r="A586" s="2223"/>
      <c r="B586" s="2223"/>
      <c r="C586" s="2223"/>
      <c r="W586" s="2223" t="str" cm="1">
        <f t="array" ref="W586">IF($D586&lt;COLUMNS($F$7:W$7),"",INDEX(TableDiv[[GASB]:[GASB]],_xlfn.AGGREGATE(15,3,(TableDiv[[Agency]:[Agency]]=$E586)/(TableDiv[[Agency]:[Agency]]=$E586)*(ROW(TableDiv[Agency])-ROW(TableDiv[[#Headers],[Agency]])),COLUMNS($F$7:W$7))))</f>
        <v/>
      </c>
      <c r="X586" s="2223" t="str" cm="1">
        <f t="array" ref="X586">IF($D586&lt;COLUMNS($F$7:X$7),"",INDEX(TableDiv[[GASB]:[GASB]],_xlfn.AGGREGATE(15,3,(TableDiv[[Agency]:[Agency]]=$E586)/(TableDiv[[Agency]:[Agency]]=$E586)*(ROW(TableDiv[Agency])-ROW(TableDiv[[#Headers],[Agency]])),COLUMNS($F$7:X$7))))</f>
        <v/>
      </c>
      <c r="Y586" s="2223" t="str" cm="1">
        <f t="array" ref="Y586">IF($D586&lt;COLUMNS($F$7:Y$7),"",INDEX(TableDiv[[GASB]:[GASB]],_xlfn.AGGREGATE(15,3,(TableDiv[[Agency]:[Agency]]=$E586)/(TableDiv[[Agency]:[Agency]]=$E586)*(ROW(TableDiv[Agency])-ROW(TableDiv[[#Headers],[Agency]])),COLUMNS($F$7:Y$7))))</f>
        <v/>
      </c>
      <c r="Z586" s="2223" t="str" cm="1">
        <f t="array" ref="Z586">IF($D586&lt;COLUMNS($F$7:Z$7),"",INDEX(TableDiv[[GASB]:[GASB]],_xlfn.AGGREGATE(15,3,(TableDiv[[Agency]:[Agency]]=$E586)/(TableDiv[[Agency]:[Agency]]=$E586)*(ROW(TableDiv[Agency])-ROW(TableDiv[[#Headers],[Agency]])),COLUMNS($F$7:Z$7))))</f>
        <v/>
      </c>
      <c r="AA586" s="2223" t="str" cm="1">
        <f t="array" ref="AA586">IF($D586&lt;COLUMNS($F$7:AA$7),"",INDEX(TableDiv[[GASB]:[GASB]],_xlfn.AGGREGATE(15,3,(TableDiv[[Agency]:[Agency]]=$E586)/(TableDiv[[Agency]:[Agency]]=$E586)*(ROW(TableDiv[Agency])-ROW(TableDiv[[#Headers],[Agency]])),COLUMNS($F$7:AA$7))))</f>
        <v/>
      </c>
      <c r="AB586" s="2223" t="str" cm="1">
        <f t="array" ref="AB586">IF($D586&lt;COLUMNS($F$7:AB$7),"",INDEX(TableDiv[[GASB]:[GASB]],_xlfn.AGGREGATE(15,3,(TableDiv[[Agency]:[Agency]]=$E586)/(TableDiv[[Agency]:[Agency]]=$E586)*(ROW(TableDiv[Agency])-ROW(TableDiv[[#Headers],[Agency]])),COLUMNS($F$7:AB$7))))</f>
        <v/>
      </c>
      <c r="AC586" s="2223" t="str" cm="1">
        <f t="array" ref="AC586">IF($D586&lt;COLUMNS($F$7:AC$7),"",INDEX(TableDiv[[GASB]:[GASB]],_xlfn.AGGREGATE(15,3,(TableDiv[[Agency]:[Agency]]=$E586)/(TableDiv[[Agency]:[Agency]]=$E586)*(ROW(TableDiv[Agency])-ROW(TableDiv[[#Headers],[Agency]])),COLUMNS($F$7:AC$7))))</f>
        <v/>
      </c>
      <c r="AD586" s="2223" t="str" cm="1">
        <f t="array" ref="AD586">IF($D586&lt;COLUMNS($F$7:AD$7),"",INDEX(TableDiv[[GASB]:[GASB]],_xlfn.AGGREGATE(15,3,(TableDiv[[Agency]:[Agency]]=$E586)/(TableDiv[[Agency]:[Agency]]=$E586)*(ROW(TableDiv[Agency])-ROW(TableDiv[[#Headers],[Agency]])),COLUMNS($F$7:AD$7))))</f>
        <v/>
      </c>
      <c r="AE586" s="2223" t="str" cm="1">
        <f t="array" ref="AE586">IF($D586&lt;COLUMNS($F$7:AE$7),"",INDEX(TableDiv[[GASB]:[GASB]],_xlfn.AGGREGATE(15,3,(TableDiv[[Agency]:[Agency]]=$E586)/(TableDiv[[Agency]:[Agency]]=$E586)*(ROW(TableDiv[Agency])-ROW(TableDiv[[#Headers],[Agency]])),COLUMNS($F$7:AE$7))))</f>
        <v/>
      </c>
      <c r="AF586" s="2223" t="str" cm="1">
        <f t="array" ref="AF586">IF($D586&lt;COLUMNS($F$7:AF$7),"",INDEX(TableDiv[[GASB]:[GASB]],_xlfn.AGGREGATE(15,3,(TableDiv[[Agency]:[Agency]]=$E586)/(TableDiv[[Agency]:[Agency]]=$E586)*(ROW(TableDiv[Agency])-ROW(TableDiv[[#Headers],[Agency]])),COLUMNS($F$7:AF$7))))</f>
        <v/>
      </c>
      <c r="AG586" s="2223" t="str" cm="1">
        <f t="array" ref="AG586">IF($D586&lt;COLUMNS($F$7:AG$7),"",INDEX(TableDiv[[GASB]:[GASB]],_xlfn.AGGREGATE(15,3,(TableDiv[[Agency]:[Agency]]=$E586)/(TableDiv[[Agency]:[Agency]]=$E586)*(ROW(TableDiv[Agency])-ROW(TableDiv[[#Headers],[Agency]])),COLUMNS($F$7:AG$7))))</f>
        <v/>
      </c>
      <c r="AH586" s="2223" t="str" cm="1">
        <f t="array" ref="AH586">IF($D586&lt;COLUMNS($F$7:AH$7),"",INDEX(TableDiv[[GASB]:[GASB]],_xlfn.AGGREGATE(15,3,(TableDiv[[Agency]:[Agency]]=$E586)/(TableDiv[[Agency]:[Agency]]=$E586)*(ROW(TableDiv[Agency])-ROW(TableDiv[[#Headers],[Agency]])),COLUMNS($F$7:AH$7))))</f>
        <v/>
      </c>
      <c r="AI586" s="2223" t="str" cm="1">
        <f t="array" ref="AI586">IF($D586&lt;COLUMNS($F$7:AI$7),"",INDEX(TableDiv[[GASB]:[GASB]],_xlfn.AGGREGATE(15,3,(TableDiv[[Agency]:[Agency]]=$E586)/(TableDiv[[Agency]:[Agency]]=$E586)*(ROW(TableDiv[Agency])-ROW(TableDiv[[#Headers],[Agency]])),COLUMNS($F$7:AI$7))))</f>
        <v/>
      </c>
      <c r="AJ586" s="2223" t="str" cm="1">
        <f t="array" ref="AJ586">IF($D586&lt;COLUMNS($F$7:AJ$7),"",INDEX(TableDiv[[GASB]:[GASB]],_xlfn.AGGREGATE(15,3,(TableDiv[[Agency]:[Agency]]=$E586)/(TableDiv[[Agency]:[Agency]]=$E586)*(ROW(TableDiv[Agency])-ROW(TableDiv[[#Headers],[Agency]])),COLUMNS($F$7:AJ$7))))</f>
        <v/>
      </c>
      <c r="AK586" s="2223" t="str" cm="1">
        <f t="array" ref="AK586">IF($D586&lt;COLUMNS($F$7:AK$7),"",INDEX(TableDiv[[GASB]:[GASB]],_xlfn.AGGREGATE(15,3,(TableDiv[[Agency]:[Agency]]=$E586)/(TableDiv[[Agency]:[Agency]]=$E586)*(ROW(TableDiv[Agency])-ROW(TableDiv[[#Headers],[Agency]])),COLUMNS($F$7:AK$7))))</f>
        <v/>
      </c>
      <c r="AL586" s="2223" t="str" cm="1">
        <f t="array" ref="AL586">IF($D586&lt;COLUMNS($F$7:AL$7),"",INDEX(TableDiv[[GASB]:[GASB]],_xlfn.AGGREGATE(15,3,(TableDiv[[Agency]:[Agency]]=$E586)/(TableDiv[[Agency]:[Agency]]=$E586)*(ROW(TableDiv[Agency])-ROW(TableDiv[[#Headers],[Agency]])),COLUMNS($F$7:AL$7))))</f>
        <v/>
      </c>
      <c r="AM586" s="2223" t="str" cm="1">
        <f t="array" ref="AM586">IF($D586&lt;COLUMNS($F$7:AM$7),"",INDEX(TableDiv[[GASB]:[GASB]],_xlfn.AGGREGATE(15,3,(TableDiv[[Agency]:[Agency]]=$E586)/(TableDiv[[Agency]:[Agency]]=$E586)*(ROW(TableDiv[Agency])-ROW(TableDiv[[#Headers],[Agency]])),COLUMNS($F$7:AM$7))))</f>
        <v/>
      </c>
      <c r="AN586" s="2223"/>
      <c r="AO586" s="2223"/>
      <c r="AP586" s="2223"/>
      <c r="AQ586" s="2223"/>
      <c r="AR586" s="2223"/>
      <c r="AS586" s="2223"/>
    </row>
    <row r="587" spans="1:45" x14ac:dyDescent="0.2">
      <c r="A587" s="2223"/>
      <c r="B587" s="2223"/>
      <c r="C587" s="2223"/>
      <c r="W587" s="2223" t="str" cm="1">
        <f t="array" ref="W587">IF($D587&lt;COLUMNS($F$7:W$7),"",INDEX(TableDiv[[GASB]:[GASB]],_xlfn.AGGREGATE(15,3,(TableDiv[[Agency]:[Agency]]=$E587)/(TableDiv[[Agency]:[Agency]]=$E587)*(ROW(TableDiv[Agency])-ROW(TableDiv[[#Headers],[Agency]])),COLUMNS($F$7:W$7))))</f>
        <v/>
      </c>
      <c r="X587" s="2223" t="str" cm="1">
        <f t="array" ref="X587">IF($D587&lt;COLUMNS($F$7:X$7),"",INDEX(TableDiv[[GASB]:[GASB]],_xlfn.AGGREGATE(15,3,(TableDiv[[Agency]:[Agency]]=$E587)/(TableDiv[[Agency]:[Agency]]=$E587)*(ROW(TableDiv[Agency])-ROW(TableDiv[[#Headers],[Agency]])),COLUMNS($F$7:X$7))))</f>
        <v/>
      </c>
      <c r="Y587" s="2223" t="str" cm="1">
        <f t="array" ref="Y587">IF($D587&lt;COLUMNS($F$7:Y$7),"",INDEX(TableDiv[[GASB]:[GASB]],_xlfn.AGGREGATE(15,3,(TableDiv[[Agency]:[Agency]]=$E587)/(TableDiv[[Agency]:[Agency]]=$E587)*(ROW(TableDiv[Agency])-ROW(TableDiv[[#Headers],[Agency]])),COLUMNS($F$7:Y$7))))</f>
        <v/>
      </c>
      <c r="Z587" s="2223" t="str" cm="1">
        <f t="array" ref="Z587">IF($D587&lt;COLUMNS($F$7:Z$7),"",INDEX(TableDiv[[GASB]:[GASB]],_xlfn.AGGREGATE(15,3,(TableDiv[[Agency]:[Agency]]=$E587)/(TableDiv[[Agency]:[Agency]]=$E587)*(ROW(TableDiv[Agency])-ROW(TableDiv[[#Headers],[Agency]])),COLUMNS($F$7:Z$7))))</f>
        <v/>
      </c>
      <c r="AA587" s="2223" t="str" cm="1">
        <f t="array" ref="AA587">IF($D587&lt;COLUMNS($F$7:AA$7),"",INDEX(TableDiv[[GASB]:[GASB]],_xlfn.AGGREGATE(15,3,(TableDiv[[Agency]:[Agency]]=$E587)/(TableDiv[[Agency]:[Agency]]=$E587)*(ROW(TableDiv[Agency])-ROW(TableDiv[[#Headers],[Agency]])),COLUMNS($F$7:AA$7))))</f>
        <v/>
      </c>
      <c r="AB587" s="2223" t="str" cm="1">
        <f t="array" ref="AB587">IF($D587&lt;COLUMNS($F$7:AB$7),"",INDEX(TableDiv[[GASB]:[GASB]],_xlfn.AGGREGATE(15,3,(TableDiv[[Agency]:[Agency]]=$E587)/(TableDiv[[Agency]:[Agency]]=$E587)*(ROW(TableDiv[Agency])-ROW(TableDiv[[#Headers],[Agency]])),COLUMNS($F$7:AB$7))))</f>
        <v/>
      </c>
      <c r="AC587" s="2223" t="str" cm="1">
        <f t="array" ref="AC587">IF($D587&lt;COLUMNS($F$7:AC$7),"",INDEX(TableDiv[[GASB]:[GASB]],_xlfn.AGGREGATE(15,3,(TableDiv[[Agency]:[Agency]]=$E587)/(TableDiv[[Agency]:[Agency]]=$E587)*(ROW(TableDiv[Agency])-ROW(TableDiv[[#Headers],[Agency]])),COLUMNS($F$7:AC$7))))</f>
        <v/>
      </c>
      <c r="AD587" s="2223" t="str" cm="1">
        <f t="array" ref="AD587">IF($D587&lt;COLUMNS($F$7:AD$7),"",INDEX(TableDiv[[GASB]:[GASB]],_xlfn.AGGREGATE(15,3,(TableDiv[[Agency]:[Agency]]=$E587)/(TableDiv[[Agency]:[Agency]]=$E587)*(ROW(TableDiv[Agency])-ROW(TableDiv[[#Headers],[Agency]])),COLUMNS($F$7:AD$7))))</f>
        <v/>
      </c>
      <c r="AE587" s="2223" t="str" cm="1">
        <f t="array" ref="AE587">IF($D587&lt;COLUMNS($F$7:AE$7),"",INDEX(TableDiv[[GASB]:[GASB]],_xlfn.AGGREGATE(15,3,(TableDiv[[Agency]:[Agency]]=$E587)/(TableDiv[[Agency]:[Agency]]=$E587)*(ROW(TableDiv[Agency])-ROW(TableDiv[[#Headers],[Agency]])),COLUMNS($F$7:AE$7))))</f>
        <v/>
      </c>
      <c r="AF587" s="2223" t="str" cm="1">
        <f t="array" ref="AF587">IF($D587&lt;COLUMNS($F$7:AF$7),"",INDEX(TableDiv[[GASB]:[GASB]],_xlfn.AGGREGATE(15,3,(TableDiv[[Agency]:[Agency]]=$E587)/(TableDiv[[Agency]:[Agency]]=$E587)*(ROW(TableDiv[Agency])-ROW(TableDiv[[#Headers],[Agency]])),COLUMNS($F$7:AF$7))))</f>
        <v/>
      </c>
      <c r="AG587" s="2223" t="str" cm="1">
        <f t="array" ref="AG587">IF($D587&lt;COLUMNS($F$7:AG$7),"",INDEX(TableDiv[[GASB]:[GASB]],_xlfn.AGGREGATE(15,3,(TableDiv[[Agency]:[Agency]]=$E587)/(TableDiv[[Agency]:[Agency]]=$E587)*(ROW(TableDiv[Agency])-ROW(TableDiv[[#Headers],[Agency]])),COLUMNS($F$7:AG$7))))</f>
        <v/>
      </c>
      <c r="AH587" s="2223" t="str" cm="1">
        <f t="array" ref="AH587">IF($D587&lt;COLUMNS($F$7:AH$7),"",INDEX(TableDiv[[GASB]:[GASB]],_xlfn.AGGREGATE(15,3,(TableDiv[[Agency]:[Agency]]=$E587)/(TableDiv[[Agency]:[Agency]]=$E587)*(ROW(TableDiv[Agency])-ROW(TableDiv[[#Headers],[Agency]])),COLUMNS($F$7:AH$7))))</f>
        <v/>
      </c>
      <c r="AI587" s="2223" t="str" cm="1">
        <f t="array" ref="AI587">IF($D587&lt;COLUMNS($F$7:AI$7),"",INDEX(TableDiv[[GASB]:[GASB]],_xlfn.AGGREGATE(15,3,(TableDiv[[Agency]:[Agency]]=$E587)/(TableDiv[[Agency]:[Agency]]=$E587)*(ROW(TableDiv[Agency])-ROW(TableDiv[[#Headers],[Agency]])),COLUMNS($F$7:AI$7))))</f>
        <v/>
      </c>
      <c r="AJ587" s="2223" t="str" cm="1">
        <f t="array" ref="AJ587">IF($D587&lt;COLUMNS($F$7:AJ$7),"",INDEX(TableDiv[[GASB]:[GASB]],_xlfn.AGGREGATE(15,3,(TableDiv[[Agency]:[Agency]]=$E587)/(TableDiv[[Agency]:[Agency]]=$E587)*(ROW(TableDiv[Agency])-ROW(TableDiv[[#Headers],[Agency]])),COLUMNS($F$7:AJ$7))))</f>
        <v/>
      </c>
      <c r="AK587" s="2223" t="str" cm="1">
        <f t="array" ref="AK587">IF($D587&lt;COLUMNS($F$7:AK$7),"",INDEX(TableDiv[[GASB]:[GASB]],_xlfn.AGGREGATE(15,3,(TableDiv[[Agency]:[Agency]]=$E587)/(TableDiv[[Agency]:[Agency]]=$E587)*(ROW(TableDiv[Agency])-ROW(TableDiv[[#Headers],[Agency]])),COLUMNS($F$7:AK$7))))</f>
        <v/>
      </c>
      <c r="AL587" s="2223" t="str" cm="1">
        <f t="array" ref="AL587">IF($D587&lt;COLUMNS($F$7:AL$7),"",INDEX(TableDiv[[GASB]:[GASB]],_xlfn.AGGREGATE(15,3,(TableDiv[[Agency]:[Agency]]=$E587)/(TableDiv[[Agency]:[Agency]]=$E587)*(ROW(TableDiv[Agency])-ROW(TableDiv[[#Headers],[Agency]])),COLUMNS($F$7:AL$7))))</f>
        <v/>
      </c>
      <c r="AM587" s="2223" t="str" cm="1">
        <f t="array" ref="AM587">IF($D587&lt;COLUMNS($F$7:AM$7),"",INDEX(TableDiv[[GASB]:[GASB]],_xlfn.AGGREGATE(15,3,(TableDiv[[Agency]:[Agency]]=$E587)/(TableDiv[[Agency]:[Agency]]=$E587)*(ROW(TableDiv[Agency])-ROW(TableDiv[[#Headers],[Agency]])),COLUMNS($F$7:AM$7))))</f>
        <v/>
      </c>
      <c r="AN587" s="2223"/>
      <c r="AO587" s="2223"/>
      <c r="AP587" s="2223"/>
      <c r="AQ587" s="2223"/>
      <c r="AR587" s="2223"/>
      <c r="AS587" s="2223"/>
    </row>
    <row r="588" spans="1:45" x14ac:dyDescent="0.2">
      <c r="A588" s="2223"/>
      <c r="B588" s="2223"/>
      <c r="C588" s="2223"/>
      <c r="W588" s="2223" t="str" cm="1">
        <f t="array" ref="W588">IF($D588&lt;COLUMNS($F$7:W$7),"",INDEX(TableDiv[[GASB]:[GASB]],_xlfn.AGGREGATE(15,3,(TableDiv[[Agency]:[Agency]]=$E588)/(TableDiv[[Agency]:[Agency]]=$E588)*(ROW(TableDiv[Agency])-ROW(TableDiv[[#Headers],[Agency]])),COLUMNS($F$7:W$7))))</f>
        <v/>
      </c>
      <c r="X588" s="2223" t="str" cm="1">
        <f t="array" ref="X588">IF($D588&lt;COLUMNS($F$7:X$7),"",INDEX(TableDiv[[GASB]:[GASB]],_xlfn.AGGREGATE(15,3,(TableDiv[[Agency]:[Agency]]=$E588)/(TableDiv[[Agency]:[Agency]]=$E588)*(ROW(TableDiv[Agency])-ROW(TableDiv[[#Headers],[Agency]])),COLUMNS($F$7:X$7))))</f>
        <v/>
      </c>
      <c r="Y588" s="2223" t="str" cm="1">
        <f t="array" ref="Y588">IF($D588&lt;COLUMNS($F$7:Y$7),"",INDEX(TableDiv[[GASB]:[GASB]],_xlfn.AGGREGATE(15,3,(TableDiv[[Agency]:[Agency]]=$E588)/(TableDiv[[Agency]:[Agency]]=$E588)*(ROW(TableDiv[Agency])-ROW(TableDiv[[#Headers],[Agency]])),COLUMNS($F$7:Y$7))))</f>
        <v/>
      </c>
      <c r="Z588" s="2223" t="str" cm="1">
        <f t="array" ref="Z588">IF($D588&lt;COLUMNS($F$7:Z$7),"",INDEX(TableDiv[[GASB]:[GASB]],_xlfn.AGGREGATE(15,3,(TableDiv[[Agency]:[Agency]]=$E588)/(TableDiv[[Agency]:[Agency]]=$E588)*(ROW(TableDiv[Agency])-ROW(TableDiv[[#Headers],[Agency]])),COLUMNS($F$7:Z$7))))</f>
        <v/>
      </c>
      <c r="AA588" s="2223" t="str" cm="1">
        <f t="array" ref="AA588">IF($D588&lt;COLUMNS($F$7:AA$7),"",INDEX(TableDiv[[GASB]:[GASB]],_xlfn.AGGREGATE(15,3,(TableDiv[[Agency]:[Agency]]=$E588)/(TableDiv[[Agency]:[Agency]]=$E588)*(ROW(TableDiv[Agency])-ROW(TableDiv[[#Headers],[Agency]])),COLUMNS($F$7:AA$7))))</f>
        <v/>
      </c>
      <c r="AB588" s="2223" t="str" cm="1">
        <f t="array" ref="AB588">IF($D588&lt;COLUMNS($F$7:AB$7),"",INDEX(TableDiv[[GASB]:[GASB]],_xlfn.AGGREGATE(15,3,(TableDiv[[Agency]:[Agency]]=$E588)/(TableDiv[[Agency]:[Agency]]=$E588)*(ROW(TableDiv[Agency])-ROW(TableDiv[[#Headers],[Agency]])),COLUMNS($F$7:AB$7))))</f>
        <v/>
      </c>
      <c r="AC588" s="2223" t="str" cm="1">
        <f t="array" ref="AC588">IF($D588&lt;COLUMNS($F$7:AC$7),"",INDEX(TableDiv[[GASB]:[GASB]],_xlfn.AGGREGATE(15,3,(TableDiv[[Agency]:[Agency]]=$E588)/(TableDiv[[Agency]:[Agency]]=$E588)*(ROW(TableDiv[Agency])-ROW(TableDiv[[#Headers],[Agency]])),COLUMNS($F$7:AC$7))))</f>
        <v/>
      </c>
      <c r="AD588" s="2223" t="str" cm="1">
        <f t="array" ref="AD588">IF($D588&lt;COLUMNS($F$7:AD$7),"",INDEX(TableDiv[[GASB]:[GASB]],_xlfn.AGGREGATE(15,3,(TableDiv[[Agency]:[Agency]]=$E588)/(TableDiv[[Agency]:[Agency]]=$E588)*(ROW(TableDiv[Agency])-ROW(TableDiv[[#Headers],[Agency]])),COLUMNS($F$7:AD$7))))</f>
        <v/>
      </c>
      <c r="AE588" s="2223" t="str" cm="1">
        <f t="array" ref="AE588">IF($D588&lt;COLUMNS($F$7:AE$7),"",INDEX(TableDiv[[GASB]:[GASB]],_xlfn.AGGREGATE(15,3,(TableDiv[[Agency]:[Agency]]=$E588)/(TableDiv[[Agency]:[Agency]]=$E588)*(ROW(TableDiv[Agency])-ROW(TableDiv[[#Headers],[Agency]])),COLUMNS($F$7:AE$7))))</f>
        <v/>
      </c>
      <c r="AF588" s="2223" t="str" cm="1">
        <f t="array" ref="AF588">IF($D588&lt;COLUMNS($F$7:AF$7),"",INDEX(TableDiv[[GASB]:[GASB]],_xlfn.AGGREGATE(15,3,(TableDiv[[Agency]:[Agency]]=$E588)/(TableDiv[[Agency]:[Agency]]=$E588)*(ROW(TableDiv[Agency])-ROW(TableDiv[[#Headers],[Agency]])),COLUMNS($F$7:AF$7))))</f>
        <v/>
      </c>
      <c r="AG588" s="2223" t="str" cm="1">
        <f t="array" ref="AG588">IF($D588&lt;COLUMNS($F$7:AG$7),"",INDEX(TableDiv[[GASB]:[GASB]],_xlfn.AGGREGATE(15,3,(TableDiv[[Agency]:[Agency]]=$E588)/(TableDiv[[Agency]:[Agency]]=$E588)*(ROW(TableDiv[Agency])-ROW(TableDiv[[#Headers],[Agency]])),COLUMNS($F$7:AG$7))))</f>
        <v/>
      </c>
      <c r="AH588" s="2223" t="str" cm="1">
        <f t="array" ref="AH588">IF($D588&lt;COLUMNS($F$7:AH$7),"",INDEX(TableDiv[[GASB]:[GASB]],_xlfn.AGGREGATE(15,3,(TableDiv[[Agency]:[Agency]]=$E588)/(TableDiv[[Agency]:[Agency]]=$E588)*(ROW(TableDiv[Agency])-ROW(TableDiv[[#Headers],[Agency]])),COLUMNS($F$7:AH$7))))</f>
        <v/>
      </c>
      <c r="AI588" s="2223" t="str" cm="1">
        <f t="array" ref="AI588">IF($D588&lt;COLUMNS($F$7:AI$7),"",INDEX(TableDiv[[GASB]:[GASB]],_xlfn.AGGREGATE(15,3,(TableDiv[[Agency]:[Agency]]=$E588)/(TableDiv[[Agency]:[Agency]]=$E588)*(ROW(TableDiv[Agency])-ROW(TableDiv[[#Headers],[Agency]])),COLUMNS($F$7:AI$7))))</f>
        <v/>
      </c>
      <c r="AJ588" s="2223" t="str" cm="1">
        <f t="array" ref="AJ588">IF($D588&lt;COLUMNS($F$7:AJ$7),"",INDEX(TableDiv[[GASB]:[GASB]],_xlfn.AGGREGATE(15,3,(TableDiv[[Agency]:[Agency]]=$E588)/(TableDiv[[Agency]:[Agency]]=$E588)*(ROW(TableDiv[Agency])-ROW(TableDiv[[#Headers],[Agency]])),COLUMNS($F$7:AJ$7))))</f>
        <v/>
      </c>
      <c r="AK588" s="2223" t="str" cm="1">
        <f t="array" ref="AK588">IF($D588&lt;COLUMNS($F$7:AK$7),"",INDEX(TableDiv[[GASB]:[GASB]],_xlfn.AGGREGATE(15,3,(TableDiv[[Agency]:[Agency]]=$E588)/(TableDiv[[Agency]:[Agency]]=$E588)*(ROW(TableDiv[Agency])-ROW(TableDiv[[#Headers],[Agency]])),COLUMNS($F$7:AK$7))))</f>
        <v/>
      </c>
      <c r="AL588" s="2223" t="str" cm="1">
        <f t="array" ref="AL588">IF($D588&lt;COLUMNS($F$7:AL$7),"",INDEX(TableDiv[[GASB]:[GASB]],_xlfn.AGGREGATE(15,3,(TableDiv[[Agency]:[Agency]]=$E588)/(TableDiv[[Agency]:[Agency]]=$E588)*(ROW(TableDiv[Agency])-ROW(TableDiv[[#Headers],[Agency]])),COLUMNS($F$7:AL$7))))</f>
        <v/>
      </c>
      <c r="AM588" s="2223" t="str" cm="1">
        <f t="array" ref="AM588">IF($D588&lt;COLUMNS($F$7:AM$7),"",INDEX(TableDiv[[GASB]:[GASB]],_xlfn.AGGREGATE(15,3,(TableDiv[[Agency]:[Agency]]=$E588)/(TableDiv[[Agency]:[Agency]]=$E588)*(ROW(TableDiv[Agency])-ROW(TableDiv[[#Headers],[Agency]])),COLUMNS($F$7:AM$7))))</f>
        <v/>
      </c>
      <c r="AN588" s="2223"/>
      <c r="AO588" s="2223"/>
      <c r="AP588" s="2223"/>
      <c r="AQ588" s="2223"/>
      <c r="AR588" s="2223"/>
      <c r="AS588" s="2223"/>
    </row>
    <row r="589" spans="1:45" x14ac:dyDescent="0.2">
      <c r="A589" s="2223"/>
      <c r="B589" s="2223"/>
      <c r="C589" s="2223"/>
      <c r="W589" s="2223" t="str" cm="1">
        <f t="array" ref="W589">IF($D589&lt;COLUMNS($F$7:W$7),"",INDEX(TableDiv[[GASB]:[GASB]],_xlfn.AGGREGATE(15,3,(TableDiv[[Agency]:[Agency]]=$E589)/(TableDiv[[Agency]:[Agency]]=$E589)*(ROW(TableDiv[Agency])-ROW(TableDiv[[#Headers],[Agency]])),COLUMNS($F$7:W$7))))</f>
        <v/>
      </c>
      <c r="X589" s="2223" t="str" cm="1">
        <f t="array" ref="X589">IF($D589&lt;COLUMNS($F$7:X$7),"",INDEX(TableDiv[[GASB]:[GASB]],_xlfn.AGGREGATE(15,3,(TableDiv[[Agency]:[Agency]]=$E589)/(TableDiv[[Agency]:[Agency]]=$E589)*(ROW(TableDiv[Agency])-ROW(TableDiv[[#Headers],[Agency]])),COLUMNS($F$7:X$7))))</f>
        <v/>
      </c>
      <c r="Y589" s="2223" t="str" cm="1">
        <f t="array" ref="Y589">IF($D589&lt;COLUMNS($F$7:Y$7),"",INDEX(TableDiv[[GASB]:[GASB]],_xlfn.AGGREGATE(15,3,(TableDiv[[Agency]:[Agency]]=$E589)/(TableDiv[[Agency]:[Agency]]=$E589)*(ROW(TableDiv[Agency])-ROW(TableDiv[[#Headers],[Agency]])),COLUMNS($F$7:Y$7))))</f>
        <v/>
      </c>
      <c r="Z589" s="2223" t="str" cm="1">
        <f t="array" ref="Z589">IF($D589&lt;COLUMNS($F$7:Z$7),"",INDEX(TableDiv[[GASB]:[GASB]],_xlfn.AGGREGATE(15,3,(TableDiv[[Agency]:[Agency]]=$E589)/(TableDiv[[Agency]:[Agency]]=$E589)*(ROW(TableDiv[Agency])-ROW(TableDiv[[#Headers],[Agency]])),COLUMNS($F$7:Z$7))))</f>
        <v/>
      </c>
      <c r="AA589" s="2223" t="str" cm="1">
        <f t="array" ref="AA589">IF($D589&lt;COLUMNS($F$7:AA$7),"",INDEX(TableDiv[[GASB]:[GASB]],_xlfn.AGGREGATE(15,3,(TableDiv[[Agency]:[Agency]]=$E589)/(TableDiv[[Agency]:[Agency]]=$E589)*(ROW(TableDiv[Agency])-ROW(TableDiv[[#Headers],[Agency]])),COLUMNS($F$7:AA$7))))</f>
        <v/>
      </c>
      <c r="AB589" s="2223" t="str" cm="1">
        <f t="array" ref="AB589">IF($D589&lt;COLUMNS($F$7:AB$7),"",INDEX(TableDiv[[GASB]:[GASB]],_xlfn.AGGREGATE(15,3,(TableDiv[[Agency]:[Agency]]=$E589)/(TableDiv[[Agency]:[Agency]]=$E589)*(ROW(TableDiv[Agency])-ROW(TableDiv[[#Headers],[Agency]])),COLUMNS($F$7:AB$7))))</f>
        <v/>
      </c>
      <c r="AC589" s="2223" t="str" cm="1">
        <f t="array" ref="AC589">IF($D589&lt;COLUMNS($F$7:AC$7),"",INDEX(TableDiv[[GASB]:[GASB]],_xlfn.AGGREGATE(15,3,(TableDiv[[Agency]:[Agency]]=$E589)/(TableDiv[[Agency]:[Agency]]=$E589)*(ROW(TableDiv[Agency])-ROW(TableDiv[[#Headers],[Agency]])),COLUMNS($F$7:AC$7))))</f>
        <v/>
      </c>
      <c r="AD589" s="2223" t="str" cm="1">
        <f t="array" ref="AD589">IF($D589&lt;COLUMNS($F$7:AD$7),"",INDEX(TableDiv[[GASB]:[GASB]],_xlfn.AGGREGATE(15,3,(TableDiv[[Agency]:[Agency]]=$E589)/(TableDiv[[Agency]:[Agency]]=$E589)*(ROW(TableDiv[Agency])-ROW(TableDiv[[#Headers],[Agency]])),COLUMNS($F$7:AD$7))))</f>
        <v/>
      </c>
      <c r="AE589" s="2223" t="str" cm="1">
        <f t="array" ref="AE589">IF($D589&lt;COLUMNS($F$7:AE$7),"",INDEX(TableDiv[[GASB]:[GASB]],_xlfn.AGGREGATE(15,3,(TableDiv[[Agency]:[Agency]]=$E589)/(TableDiv[[Agency]:[Agency]]=$E589)*(ROW(TableDiv[Agency])-ROW(TableDiv[[#Headers],[Agency]])),COLUMNS($F$7:AE$7))))</f>
        <v/>
      </c>
      <c r="AF589" s="2223" t="str" cm="1">
        <f t="array" ref="AF589">IF($D589&lt;COLUMNS($F$7:AF$7),"",INDEX(TableDiv[[GASB]:[GASB]],_xlfn.AGGREGATE(15,3,(TableDiv[[Agency]:[Agency]]=$E589)/(TableDiv[[Agency]:[Agency]]=$E589)*(ROW(TableDiv[Agency])-ROW(TableDiv[[#Headers],[Agency]])),COLUMNS($F$7:AF$7))))</f>
        <v/>
      </c>
      <c r="AG589" s="2223" t="str" cm="1">
        <f t="array" ref="AG589">IF($D589&lt;COLUMNS($F$7:AG$7),"",INDEX(TableDiv[[GASB]:[GASB]],_xlfn.AGGREGATE(15,3,(TableDiv[[Agency]:[Agency]]=$E589)/(TableDiv[[Agency]:[Agency]]=$E589)*(ROW(TableDiv[Agency])-ROW(TableDiv[[#Headers],[Agency]])),COLUMNS($F$7:AG$7))))</f>
        <v/>
      </c>
      <c r="AH589" s="2223" t="str" cm="1">
        <f t="array" ref="AH589">IF($D589&lt;COLUMNS($F$7:AH$7),"",INDEX(TableDiv[[GASB]:[GASB]],_xlfn.AGGREGATE(15,3,(TableDiv[[Agency]:[Agency]]=$E589)/(TableDiv[[Agency]:[Agency]]=$E589)*(ROW(TableDiv[Agency])-ROW(TableDiv[[#Headers],[Agency]])),COLUMNS($F$7:AH$7))))</f>
        <v/>
      </c>
      <c r="AI589" s="2223" t="str" cm="1">
        <f t="array" ref="AI589">IF($D589&lt;COLUMNS($F$7:AI$7),"",INDEX(TableDiv[[GASB]:[GASB]],_xlfn.AGGREGATE(15,3,(TableDiv[[Agency]:[Agency]]=$E589)/(TableDiv[[Agency]:[Agency]]=$E589)*(ROW(TableDiv[Agency])-ROW(TableDiv[[#Headers],[Agency]])),COLUMNS($F$7:AI$7))))</f>
        <v/>
      </c>
      <c r="AJ589" s="2223" t="str" cm="1">
        <f t="array" ref="AJ589">IF($D589&lt;COLUMNS($F$7:AJ$7),"",INDEX(TableDiv[[GASB]:[GASB]],_xlfn.AGGREGATE(15,3,(TableDiv[[Agency]:[Agency]]=$E589)/(TableDiv[[Agency]:[Agency]]=$E589)*(ROW(TableDiv[Agency])-ROW(TableDiv[[#Headers],[Agency]])),COLUMNS($F$7:AJ$7))))</f>
        <v/>
      </c>
      <c r="AK589" s="2223" t="str" cm="1">
        <f t="array" ref="AK589">IF($D589&lt;COLUMNS($F$7:AK$7),"",INDEX(TableDiv[[GASB]:[GASB]],_xlfn.AGGREGATE(15,3,(TableDiv[[Agency]:[Agency]]=$E589)/(TableDiv[[Agency]:[Agency]]=$E589)*(ROW(TableDiv[Agency])-ROW(TableDiv[[#Headers],[Agency]])),COLUMNS($F$7:AK$7))))</f>
        <v/>
      </c>
      <c r="AL589" s="2223" t="str" cm="1">
        <f t="array" ref="AL589">IF($D589&lt;COLUMNS($F$7:AL$7),"",INDEX(TableDiv[[GASB]:[GASB]],_xlfn.AGGREGATE(15,3,(TableDiv[[Agency]:[Agency]]=$E589)/(TableDiv[[Agency]:[Agency]]=$E589)*(ROW(TableDiv[Agency])-ROW(TableDiv[[#Headers],[Agency]])),COLUMNS($F$7:AL$7))))</f>
        <v/>
      </c>
      <c r="AM589" s="2223" t="str" cm="1">
        <f t="array" ref="AM589">IF($D589&lt;COLUMNS($F$7:AM$7),"",INDEX(TableDiv[[GASB]:[GASB]],_xlfn.AGGREGATE(15,3,(TableDiv[[Agency]:[Agency]]=$E589)/(TableDiv[[Agency]:[Agency]]=$E589)*(ROW(TableDiv[Agency])-ROW(TableDiv[[#Headers],[Agency]])),COLUMNS($F$7:AM$7))))</f>
        <v/>
      </c>
      <c r="AN589" s="2223"/>
      <c r="AO589" s="2223"/>
      <c r="AP589" s="2223"/>
      <c r="AQ589" s="2223"/>
      <c r="AR589" s="2223"/>
      <c r="AS589" s="2223"/>
    </row>
    <row r="590" spans="1:45" x14ac:dyDescent="0.2">
      <c r="A590" s="2223"/>
      <c r="B590" s="2223"/>
      <c r="C590" s="2223"/>
      <c r="W590" s="2223" t="str" cm="1">
        <f t="array" ref="W590">IF($D590&lt;COLUMNS($F$7:W$7),"",INDEX(TableDiv[[GASB]:[GASB]],_xlfn.AGGREGATE(15,3,(TableDiv[[Agency]:[Agency]]=$E590)/(TableDiv[[Agency]:[Agency]]=$E590)*(ROW(TableDiv[Agency])-ROW(TableDiv[[#Headers],[Agency]])),COLUMNS($F$7:W$7))))</f>
        <v/>
      </c>
      <c r="X590" s="2223" t="str" cm="1">
        <f t="array" ref="X590">IF($D590&lt;COLUMNS($F$7:X$7),"",INDEX(TableDiv[[GASB]:[GASB]],_xlfn.AGGREGATE(15,3,(TableDiv[[Agency]:[Agency]]=$E590)/(TableDiv[[Agency]:[Agency]]=$E590)*(ROW(TableDiv[Agency])-ROW(TableDiv[[#Headers],[Agency]])),COLUMNS($F$7:X$7))))</f>
        <v/>
      </c>
      <c r="Y590" s="2223" t="str" cm="1">
        <f t="array" ref="Y590">IF($D590&lt;COLUMNS($F$7:Y$7),"",INDEX(TableDiv[[GASB]:[GASB]],_xlfn.AGGREGATE(15,3,(TableDiv[[Agency]:[Agency]]=$E590)/(TableDiv[[Agency]:[Agency]]=$E590)*(ROW(TableDiv[Agency])-ROW(TableDiv[[#Headers],[Agency]])),COLUMNS($F$7:Y$7))))</f>
        <v/>
      </c>
      <c r="Z590" s="2223" t="str" cm="1">
        <f t="array" ref="Z590">IF($D590&lt;COLUMNS($F$7:Z$7),"",INDEX(TableDiv[[GASB]:[GASB]],_xlfn.AGGREGATE(15,3,(TableDiv[[Agency]:[Agency]]=$E590)/(TableDiv[[Agency]:[Agency]]=$E590)*(ROW(TableDiv[Agency])-ROW(TableDiv[[#Headers],[Agency]])),COLUMNS($F$7:Z$7))))</f>
        <v/>
      </c>
      <c r="AA590" s="2223" t="str" cm="1">
        <f t="array" ref="AA590">IF($D590&lt;COLUMNS($F$7:AA$7),"",INDEX(TableDiv[[GASB]:[GASB]],_xlfn.AGGREGATE(15,3,(TableDiv[[Agency]:[Agency]]=$E590)/(TableDiv[[Agency]:[Agency]]=$E590)*(ROW(TableDiv[Agency])-ROW(TableDiv[[#Headers],[Agency]])),COLUMNS($F$7:AA$7))))</f>
        <v/>
      </c>
      <c r="AB590" s="2223" t="str" cm="1">
        <f t="array" ref="AB590">IF($D590&lt;COLUMNS($F$7:AB$7),"",INDEX(TableDiv[[GASB]:[GASB]],_xlfn.AGGREGATE(15,3,(TableDiv[[Agency]:[Agency]]=$E590)/(TableDiv[[Agency]:[Agency]]=$E590)*(ROW(TableDiv[Agency])-ROW(TableDiv[[#Headers],[Agency]])),COLUMNS($F$7:AB$7))))</f>
        <v/>
      </c>
      <c r="AC590" s="2223" t="str" cm="1">
        <f t="array" ref="AC590">IF($D590&lt;COLUMNS($F$7:AC$7),"",INDEX(TableDiv[[GASB]:[GASB]],_xlfn.AGGREGATE(15,3,(TableDiv[[Agency]:[Agency]]=$E590)/(TableDiv[[Agency]:[Agency]]=$E590)*(ROW(TableDiv[Agency])-ROW(TableDiv[[#Headers],[Agency]])),COLUMNS($F$7:AC$7))))</f>
        <v/>
      </c>
      <c r="AD590" s="2223" t="str" cm="1">
        <f t="array" ref="AD590">IF($D590&lt;COLUMNS($F$7:AD$7),"",INDEX(TableDiv[[GASB]:[GASB]],_xlfn.AGGREGATE(15,3,(TableDiv[[Agency]:[Agency]]=$E590)/(TableDiv[[Agency]:[Agency]]=$E590)*(ROW(TableDiv[Agency])-ROW(TableDiv[[#Headers],[Agency]])),COLUMNS($F$7:AD$7))))</f>
        <v/>
      </c>
      <c r="AE590" s="2223" t="str" cm="1">
        <f t="array" ref="AE590">IF($D590&lt;COLUMNS($F$7:AE$7),"",INDEX(TableDiv[[GASB]:[GASB]],_xlfn.AGGREGATE(15,3,(TableDiv[[Agency]:[Agency]]=$E590)/(TableDiv[[Agency]:[Agency]]=$E590)*(ROW(TableDiv[Agency])-ROW(TableDiv[[#Headers],[Agency]])),COLUMNS($F$7:AE$7))))</f>
        <v/>
      </c>
      <c r="AF590" s="2223" t="str" cm="1">
        <f t="array" ref="AF590">IF($D590&lt;COLUMNS($F$7:AF$7),"",INDEX(TableDiv[[GASB]:[GASB]],_xlfn.AGGREGATE(15,3,(TableDiv[[Agency]:[Agency]]=$E590)/(TableDiv[[Agency]:[Agency]]=$E590)*(ROW(TableDiv[Agency])-ROW(TableDiv[[#Headers],[Agency]])),COLUMNS($F$7:AF$7))))</f>
        <v/>
      </c>
      <c r="AG590" s="2223" t="str" cm="1">
        <f t="array" ref="AG590">IF($D590&lt;COLUMNS($F$7:AG$7),"",INDEX(TableDiv[[GASB]:[GASB]],_xlfn.AGGREGATE(15,3,(TableDiv[[Agency]:[Agency]]=$E590)/(TableDiv[[Agency]:[Agency]]=$E590)*(ROW(TableDiv[Agency])-ROW(TableDiv[[#Headers],[Agency]])),COLUMNS($F$7:AG$7))))</f>
        <v/>
      </c>
      <c r="AH590" s="2223" t="str" cm="1">
        <f t="array" ref="AH590">IF($D590&lt;COLUMNS($F$7:AH$7),"",INDEX(TableDiv[[GASB]:[GASB]],_xlfn.AGGREGATE(15,3,(TableDiv[[Agency]:[Agency]]=$E590)/(TableDiv[[Agency]:[Agency]]=$E590)*(ROW(TableDiv[Agency])-ROW(TableDiv[[#Headers],[Agency]])),COLUMNS($F$7:AH$7))))</f>
        <v/>
      </c>
      <c r="AI590" s="2223" t="str" cm="1">
        <f t="array" ref="AI590">IF($D590&lt;COLUMNS($F$7:AI$7),"",INDEX(TableDiv[[GASB]:[GASB]],_xlfn.AGGREGATE(15,3,(TableDiv[[Agency]:[Agency]]=$E590)/(TableDiv[[Agency]:[Agency]]=$E590)*(ROW(TableDiv[Agency])-ROW(TableDiv[[#Headers],[Agency]])),COLUMNS($F$7:AI$7))))</f>
        <v/>
      </c>
      <c r="AJ590" s="2223" t="str" cm="1">
        <f t="array" ref="AJ590">IF($D590&lt;COLUMNS($F$7:AJ$7),"",INDEX(TableDiv[[GASB]:[GASB]],_xlfn.AGGREGATE(15,3,(TableDiv[[Agency]:[Agency]]=$E590)/(TableDiv[[Agency]:[Agency]]=$E590)*(ROW(TableDiv[Agency])-ROW(TableDiv[[#Headers],[Agency]])),COLUMNS($F$7:AJ$7))))</f>
        <v/>
      </c>
      <c r="AK590" s="2223" t="str" cm="1">
        <f t="array" ref="AK590">IF($D590&lt;COLUMNS($F$7:AK$7),"",INDEX(TableDiv[[GASB]:[GASB]],_xlfn.AGGREGATE(15,3,(TableDiv[[Agency]:[Agency]]=$E590)/(TableDiv[[Agency]:[Agency]]=$E590)*(ROW(TableDiv[Agency])-ROW(TableDiv[[#Headers],[Agency]])),COLUMNS($F$7:AK$7))))</f>
        <v/>
      </c>
      <c r="AL590" s="2223" t="str" cm="1">
        <f t="array" ref="AL590">IF($D590&lt;COLUMNS($F$7:AL$7),"",INDEX(TableDiv[[GASB]:[GASB]],_xlfn.AGGREGATE(15,3,(TableDiv[[Agency]:[Agency]]=$E590)/(TableDiv[[Agency]:[Agency]]=$E590)*(ROW(TableDiv[Agency])-ROW(TableDiv[[#Headers],[Agency]])),COLUMNS($F$7:AL$7))))</f>
        <v/>
      </c>
      <c r="AM590" s="2223" t="str" cm="1">
        <f t="array" ref="AM590">IF($D590&lt;COLUMNS($F$7:AM$7),"",INDEX(TableDiv[[GASB]:[GASB]],_xlfn.AGGREGATE(15,3,(TableDiv[[Agency]:[Agency]]=$E590)/(TableDiv[[Agency]:[Agency]]=$E590)*(ROW(TableDiv[Agency])-ROW(TableDiv[[#Headers],[Agency]])),COLUMNS($F$7:AM$7))))</f>
        <v/>
      </c>
      <c r="AN590" s="2223"/>
      <c r="AO590" s="2223"/>
      <c r="AP590" s="2223"/>
      <c r="AQ590" s="2223"/>
      <c r="AR590" s="2223"/>
      <c r="AS590" s="2223"/>
    </row>
    <row r="591" spans="1:45" x14ac:dyDescent="0.2">
      <c r="A591" s="2223"/>
      <c r="B591" s="2223"/>
      <c r="C591" s="2223"/>
      <c r="W591" s="2223" t="str" cm="1">
        <f t="array" ref="W591">IF($D591&lt;COLUMNS($F$7:W$7),"",INDEX(TableDiv[[GASB]:[GASB]],_xlfn.AGGREGATE(15,3,(TableDiv[[Agency]:[Agency]]=$E591)/(TableDiv[[Agency]:[Agency]]=$E591)*(ROW(TableDiv[Agency])-ROW(TableDiv[[#Headers],[Agency]])),COLUMNS($F$7:W$7))))</f>
        <v/>
      </c>
      <c r="X591" s="2223" t="str" cm="1">
        <f t="array" ref="X591">IF($D591&lt;COLUMNS($F$7:X$7),"",INDEX(TableDiv[[GASB]:[GASB]],_xlfn.AGGREGATE(15,3,(TableDiv[[Agency]:[Agency]]=$E591)/(TableDiv[[Agency]:[Agency]]=$E591)*(ROW(TableDiv[Agency])-ROW(TableDiv[[#Headers],[Agency]])),COLUMNS($F$7:X$7))))</f>
        <v/>
      </c>
      <c r="Y591" s="2223" t="str" cm="1">
        <f t="array" ref="Y591">IF($D591&lt;COLUMNS($F$7:Y$7),"",INDEX(TableDiv[[GASB]:[GASB]],_xlfn.AGGREGATE(15,3,(TableDiv[[Agency]:[Agency]]=$E591)/(TableDiv[[Agency]:[Agency]]=$E591)*(ROW(TableDiv[Agency])-ROW(TableDiv[[#Headers],[Agency]])),COLUMNS($F$7:Y$7))))</f>
        <v/>
      </c>
      <c r="Z591" s="2223" t="str" cm="1">
        <f t="array" ref="Z591">IF($D591&lt;COLUMNS($F$7:Z$7),"",INDEX(TableDiv[[GASB]:[GASB]],_xlfn.AGGREGATE(15,3,(TableDiv[[Agency]:[Agency]]=$E591)/(TableDiv[[Agency]:[Agency]]=$E591)*(ROW(TableDiv[Agency])-ROW(TableDiv[[#Headers],[Agency]])),COLUMNS($F$7:Z$7))))</f>
        <v/>
      </c>
      <c r="AA591" s="2223" t="str" cm="1">
        <f t="array" ref="AA591">IF($D591&lt;COLUMNS($F$7:AA$7),"",INDEX(TableDiv[[GASB]:[GASB]],_xlfn.AGGREGATE(15,3,(TableDiv[[Agency]:[Agency]]=$E591)/(TableDiv[[Agency]:[Agency]]=$E591)*(ROW(TableDiv[Agency])-ROW(TableDiv[[#Headers],[Agency]])),COLUMNS($F$7:AA$7))))</f>
        <v/>
      </c>
      <c r="AB591" s="2223" t="str" cm="1">
        <f t="array" ref="AB591">IF($D591&lt;COLUMNS($F$7:AB$7),"",INDEX(TableDiv[[GASB]:[GASB]],_xlfn.AGGREGATE(15,3,(TableDiv[[Agency]:[Agency]]=$E591)/(TableDiv[[Agency]:[Agency]]=$E591)*(ROW(TableDiv[Agency])-ROW(TableDiv[[#Headers],[Agency]])),COLUMNS($F$7:AB$7))))</f>
        <v/>
      </c>
      <c r="AC591" s="2223" t="str" cm="1">
        <f t="array" ref="AC591">IF($D591&lt;COLUMNS($F$7:AC$7),"",INDEX(TableDiv[[GASB]:[GASB]],_xlfn.AGGREGATE(15,3,(TableDiv[[Agency]:[Agency]]=$E591)/(TableDiv[[Agency]:[Agency]]=$E591)*(ROW(TableDiv[Agency])-ROW(TableDiv[[#Headers],[Agency]])),COLUMNS($F$7:AC$7))))</f>
        <v/>
      </c>
      <c r="AD591" s="2223" t="str" cm="1">
        <f t="array" ref="AD591">IF($D591&lt;COLUMNS($F$7:AD$7),"",INDEX(TableDiv[[GASB]:[GASB]],_xlfn.AGGREGATE(15,3,(TableDiv[[Agency]:[Agency]]=$E591)/(TableDiv[[Agency]:[Agency]]=$E591)*(ROW(TableDiv[Agency])-ROW(TableDiv[[#Headers],[Agency]])),COLUMNS($F$7:AD$7))))</f>
        <v/>
      </c>
      <c r="AE591" s="2223" t="str" cm="1">
        <f t="array" ref="AE591">IF($D591&lt;COLUMNS($F$7:AE$7),"",INDEX(TableDiv[[GASB]:[GASB]],_xlfn.AGGREGATE(15,3,(TableDiv[[Agency]:[Agency]]=$E591)/(TableDiv[[Agency]:[Agency]]=$E591)*(ROW(TableDiv[Agency])-ROW(TableDiv[[#Headers],[Agency]])),COLUMNS($F$7:AE$7))))</f>
        <v/>
      </c>
      <c r="AF591" s="2223" t="str" cm="1">
        <f t="array" ref="AF591">IF($D591&lt;COLUMNS($F$7:AF$7),"",INDEX(TableDiv[[GASB]:[GASB]],_xlfn.AGGREGATE(15,3,(TableDiv[[Agency]:[Agency]]=$E591)/(TableDiv[[Agency]:[Agency]]=$E591)*(ROW(TableDiv[Agency])-ROW(TableDiv[[#Headers],[Agency]])),COLUMNS($F$7:AF$7))))</f>
        <v/>
      </c>
      <c r="AG591" s="2223" t="str" cm="1">
        <f t="array" ref="AG591">IF($D591&lt;COLUMNS($F$7:AG$7),"",INDEX(TableDiv[[GASB]:[GASB]],_xlfn.AGGREGATE(15,3,(TableDiv[[Agency]:[Agency]]=$E591)/(TableDiv[[Agency]:[Agency]]=$E591)*(ROW(TableDiv[Agency])-ROW(TableDiv[[#Headers],[Agency]])),COLUMNS($F$7:AG$7))))</f>
        <v/>
      </c>
      <c r="AH591" s="2223" t="str" cm="1">
        <f t="array" ref="AH591">IF($D591&lt;COLUMNS($F$7:AH$7),"",INDEX(TableDiv[[GASB]:[GASB]],_xlfn.AGGREGATE(15,3,(TableDiv[[Agency]:[Agency]]=$E591)/(TableDiv[[Agency]:[Agency]]=$E591)*(ROW(TableDiv[Agency])-ROW(TableDiv[[#Headers],[Agency]])),COLUMNS($F$7:AH$7))))</f>
        <v/>
      </c>
      <c r="AI591" s="2223" t="str" cm="1">
        <f t="array" ref="AI591">IF($D591&lt;COLUMNS($F$7:AI$7),"",INDEX(TableDiv[[GASB]:[GASB]],_xlfn.AGGREGATE(15,3,(TableDiv[[Agency]:[Agency]]=$E591)/(TableDiv[[Agency]:[Agency]]=$E591)*(ROW(TableDiv[Agency])-ROW(TableDiv[[#Headers],[Agency]])),COLUMNS($F$7:AI$7))))</f>
        <v/>
      </c>
      <c r="AJ591" s="2223" t="str" cm="1">
        <f t="array" ref="AJ591">IF($D591&lt;COLUMNS($F$7:AJ$7),"",INDEX(TableDiv[[GASB]:[GASB]],_xlfn.AGGREGATE(15,3,(TableDiv[[Agency]:[Agency]]=$E591)/(TableDiv[[Agency]:[Agency]]=$E591)*(ROW(TableDiv[Agency])-ROW(TableDiv[[#Headers],[Agency]])),COLUMNS($F$7:AJ$7))))</f>
        <v/>
      </c>
      <c r="AK591" s="2223" t="str" cm="1">
        <f t="array" ref="AK591">IF($D591&lt;COLUMNS($F$7:AK$7),"",INDEX(TableDiv[[GASB]:[GASB]],_xlfn.AGGREGATE(15,3,(TableDiv[[Agency]:[Agency]]=$E591)/(TableDiv[[Agency]:[Agency]]=$E591)*(ROW(TableDiv[Agency])-ROW(TableDiv[[#Headers],[Agency]])),COLUMNS($F$7:AK$7))))</f>
        <v/>
      </c>
      <c r="AL591" s="2223" t="str" cm="1">
        <f t="array" ref="AL591">IF($D591&lt;COLUMNS($F$7:AL$7),"",INDEX(TableDiv[[GASB]:[GASB]],_xlfn.AGGREGATE(15,3,(TableDiv[[Agency]:[Agency]]=$E591)/(TableDiv[[Agency]:[Agency]]=$E591)*(ROW(TableDiv[Agency])-ROW(TableDiv[[#Headers],[Agency]])),COLUMNS($F$7:AL$7))))</f>
        <v/>
      </c>
      <c r="AM591" s="2223" t="str" cm="1">
        <f t="array" ref="AM591">IF($D591&lt;COLUMNS($F$7:AM$7),"",INDEX(TableDiv[[GASB]:[GASB]],_xlfn.AGGREGATE(15,3,(TableDiv[[Agency]:[Agency]]=$E591)/(TableDiv[[Agency]:[Agency]]=$E591)*(ROW(TableDiv[Agency])-ROW(TableDiv[[#Headers],[Agency]])),COLUMNS($F$7:AM$7))))</f>
        <v/>
      </c>
      <c r="AN591" s="2223"/>
      <c r="AO591" s="2223"/>
      <c r="AP591" s="2223"/>
      <c r="AQ591" s="2223"/>
      <c r="AR591" s="2223"/>
      <c r="AS591" s="2223"/>
    </row>
    <row r="592" spans="1:45" x14ac:dyDescent="0.2">
      <c r="A592" s="2223"/>
      <c r="B592" s="2223"/>
      <c r="C592" s="2223"/>
      <c r="W592" s="2223" t="str" cm="1">
        <f t="array" ref="W592">IF($D592&lt;COLUMNS($F$7:W$7),"",INDEX(TableDiv[[GASB]:[GASB]],_xlfn.AGGREGATE(15,3,(TableDiv[[Agency]:[Agency]]=$E592)/(TableDiv[[Agency]:[Agency]]=$E592)*(ROW(TableDiv[Agency])-ROW(TableDiv[[#Headers],[Agency]])),COLUMNS($F$7:W$7))))</f>
        <v/>
      </c>
      <c r="X592" s="2223" t="str" cm="1">
        <f t="array" ref="X592">IF($D592&lt;COLUMNS($F$7:X$7),"",INDEX(TableDiv[[GASB]:[GASB]],_xlfn.AGGREGATE(15,3,(TableDiv[[Agency]:[Agency]]=$E592)/(TableDiv[[Agency]:[Agency]]=$E592)*(ROW(TableDiv[Agency])-ROW(TableDiv[[#Headers],[Agency]])),COLUMNS($F$7:X$7))))</f>
        <v/>
      </c>
      <c r="Y592" s="2223" t="str" cm="1">
        <f t="array" ref="Y592">IF($D592&lt;COLUMNS($F$7:Y$7),"",INDEX(TableDiv[[GASB]:[GASB]],_xlfn.AGGREGATE(15,3,(TableDiv[[Agency]:[Agency]]=$E592)/(TableDiv[[Agency]:[Agency]]=$E592)*(ROW(TableDiv[Agency])-ROW(TableDiv[[#Headers],[Agency]])),COLUMNS($F$7:Y$7))))</f>
        <v/>
      </c>
      <c r="Z592" s="2223" t="str" cm="1">
        <f t="array" ref="Z592">IF($D592&lt;COLUMNS($F$7:Z$7),"",INDEX(TableDiv[[GASB]:[GASB]],_xlfn.AGGREGATE(15,3,(TableDiv[[Agency]:[Agency]]=$E592)/(TableDiv[[Agency]:[Agency]]=$E592)*(ROW(TableDiv[Agency])-ROW(TableDiv[[#Headers],[Agency]])),COLUMNS($F$7:Z$7))))</f>
        <v/>
      </c>
      <c r="AA592" s="2223" t="str" cm="1">
        <f t="array" ref="AA592">IF($D592&lt;COLUMNS($F$7:AA$7),"",INDEX(TableDiv[[GASB]:[GASB]],_xlfn.AGGREGATE(15,3,(TableDiv[[Agency]:[Agency]]=$E592)/(TableDiv[[Agency]:[Agency]]=$E592)*(ROW(TableDiv[Agency])-ROW(TableDiv[[#Headers],[Agency]])),COLUMNS($F$7:AA$7))))</f>
        <v/>
      </c>
      <c r="AB592" s="2223" t="str" cm="1">
        <f t="array" ref="AB592">IF($D592&lt;COLUMNS($F$7:AB$7),"",INDEX(TableDiv[[GASB]:[GASB]],_xlfn.AGGREGATE(15,3,(TableDiv[[Agency]:[Agency]]=$E592)/(TableDiv[[Agency]:[Agency]]=$E592)*(ROW(TableDiv[Agency])-ROW(TableDiv[[#Headers],[Agency]])),COLUMNS($F$7:AB$7))))</f>
        <v/>
      </c>
      <c r="AC592" s="2223" t="str" cm="1">
        <f t="array" ref="AC592">IF($D592&lt;COLUMNS($F$7:AC$7),"",INDEX(TableDiv[[GASB]:[GASB]],_xlfn.AGGREGATE(15,3,(TableDiv[[Agency]:[Agency]]=$E592)/(TableDiv[[Agency]:[Agency]]=$E592)*(ROW(TableDiv[Agency])-ROW(TableDiv[[#Headers],[Agency]])),COLUMNS($F$7:AC$7))))</f>
        <v/>
      </c>
      <c r="AD592" s="2223" t="str" cm="1">
        <f t="array" ref="AD592">IF($D592&lt;COLUMNS($F$7:AD$7),"",INDEX(TableDiv[[GASB]:[GASB]],_xlfn.AGGREGATE(15,3,(TableDiv[[Agency]:[Agency]]=$E592)/(TableDiv[[Agency]:[Agency]]=$E592)*(ROW(TableDiv[Agency])-ROW(TableDiv[[#Headers],[Agency]])),COLUMNS($F$7:AD$7))))</f>
        <v/>
      </c>
      <c r="AE592" s="2223" t="str" cm="1">
        <f t="array" ref="AE592">IF($D592&lt;COLUMNS($F$7:AE$7),"",INDEX(TableDiv[[GASB]:[GASB]],_xlfn.AGGREGATE(15,3,(TableDiv[[Agency]:[Agency]]=$E592)/(TableDiv[[Agency]:[Agency]]=$E592)*(ROW(TableDiv[Agency])-ROW(TableDiv[[#Headers],[Agency]])),COLUMNS($F$7:AE$7))))</f>
        <v/>
      </c>
      <c r="AF592" s="2223" t="str" cm="1">
        <f t="array" ref="AF592">IF($D592&lt;COLUMNS($F$7:AF$7),"",INDEX(TableDiv[[GASB]:[GASB]],_xlfn.AGGREGATE(15,3,(TableDiv[[Agency]:[Agency]]=$E592)/(TableDiv[[Agency]:[Agency]]=$E592)*(ROW(TableDiv[Agency])-ROW(TableDiv[[#Headers],[Agency]])),COLUMNS($F$7:AF$7))))</f>
        <v/>
      </c>
      <c r="AG592" s="2223" t="str" cm="1">
        <f t="array" ref="AG592">IF($D592&lt;COLUMNS($F$7:AG$7),"",INDEX(TableDiv[[GASB]:[GASB]],_xlfn.AGGREGATE(15,3,(TableDiv[[Agency]:[Agency]]=$E592)/(TableDiv[[Agency]:[Agency]]=$E592)*(ROW(TableDiv[Agency])-ROW(TableDiv[[#Headers],[Agency]])),COLUMNS($F$7:AG$7))))</f>
        <v/>
      </c>
      <c r="AH592" s="2223" t="str" cm="1">
        <f t="array" ref="AH592">IF($D592&lt;COLUMNS($F$7:AH$7),"",INDEX(TableDiv[[GASB]:[GASB]],_xlfn.AGGREGATE(15,3,(TableDiv[[Agency]:[Agency]]=$E592)/(TableDiv[[Agency]:[Agency]]=$E592)*(ROW(TableDiv[Agency])-ROW(TableDiv[[#Headers],[Agency]])),COLUMNS($F$7:AH$7))))</f>
        <v/>
      </c>
      <c r="AI592" s="2223" t="str" cm="1">
        <f t="array" ref="AI592">IF($D592&lt;COLUMNS($F$7:AI$7),"",INDEX(TableDiv[[GASB]:[GASB]],_xlfn.AGGREGATE(15,3,(TableDiv[[Agency]:[Agency]]=$E592)/(TableDiv[[Agency]:[Agency]]=$E592)*(ROW(TableDiv[Agency])-ROW(TableDiv[[#Headers],[Agency]])),COLUMNS($F$7:AI$7))))</f>
        <v/>
      </c>
      <c r="AJ592" s="2223" t="str" cm="1">
        <f t="array" ref="AJ592">IF($D592&lt;COLUMNS($F$7:AJ$7),"",INDEX(TableDiv[[GASB]:[GASB]],_xlfn.AGGREGATE(15,3,(TableDiv[[Agency]:[Agency]]=$E592)/(TableDiv[[Agency]:[Agency]]=$E592)*(ROW(TableDiv[Agency])-ROW(TableDiv[[#Headers],[Agency]])),COLUMNS($F$7:AJ$7))))</f>
        <v/>
      </c>
      <c r="AK592" s="2223" t="str" cm="1">
        <f t="array" ref="AK592">IF($D592&lt;COLUMNS($F$7:AK$7),"",INDEX(TableDiv[[GASB]:[GASB]],_xlfn.AGGREGATE(15,3,(TableDiv[[Agency]:[Agency]]=$E592)/(TableDiv[[Agency]:[Agency]]=$E592)*(ROW(TableDiv[Agency])-ROW(TableDiv[[#Headers],[Agency]])),COLUMNS($F$7:AK$7))))</f>
        <v/>
      </c>
      <c r="AL592" s="2223" t="str" cm="1">
        <f t="array" ref="AL592">IF($D592&lt;COLUMNS($F$7:AL$7),"",INDEX(TableDiv[[GASB]:[GASB]],_xlfn.AGGREGATE(15,3,(TableDiv[[Agency]:[Agency]]=$E592)/(TableDiv[[Agency]:[Agency]]=$E592)*(ROW(TableDiv[Agency])-ROW(TableDiv[[#Headers],[Agency]])),COLUMNS($F$7:AL$7))))</f>
        <v/>
      </c>
      <c r="AM592" s="2223" t="str" cm="1">
        <f t="array" ref="AM592">IF($D592&lt;COLUMNS($F$7:AM$7),"",INDEX(TableDiv[[GASB]:[GASB]],_xlfn.AGGREGATE(15,3,(TableDiv[[Agency]:[Agency]]=$E592)/(TableDiv[[Agency]:[Agency]]=$E592)*(ROW(TableDiv[Agency])-ROW(TableDiv[[#Headers],[Agency]])),COLUMNS($F$7:AM$7))))</f>
        <v/>
      </c>
      <c r="AN592" s="2223"/>
      <c r="AO592" s="2223"/>
      <c r="AP592" s="2223"/>
      <c r="AQ592" s="2223"/>
      <c r="AR592" s="2223"/>
      <c r="AS592" s="2223"/>
    </row>
    <row r="593" spans="1:45" x14ac:dyDescent="0.2">
      <c r="A593" s="2223"/>
      <c r="B593" s="2223"/>
      <c r="C593" s="2223"/>
      <c r="W593" s="2223" t="str" cm="1">
        <f t="array" ref="W593">IF($D593&lt;COLUMNS($F$7:W$7),"",INDEX(TableDiv[[GASB]:[GASB]],_xlfn.AGGREGATE(15,3,(TableDiv[[Agency]:[Agency]]=$E593)/(TableDiv[[Agency]:[Agency]]=$E593)*(ROW(TableDiv[Agency])-ROW(TableDiv[[#Headers],[Agency]])),COLUMNS($F$7:W$7))))</f>
        <v/>
      </c>
      <c r="X593" s="2223" t="str" cm="1">
        <f t="array" ref="X593">IF($D593&lt;COLUMNS($F$7:X$7),"",INDEX(TableDiv[[GASB]:[GASB]],_xlfn.AGGREGATE(15,3,(TableDiv[[Agency]:[Agency]]=$E593)/(TableDiv[[Agency]:[Agency]]=$E593)*(ROW(TableDiv[Agency])-ROW(TableDiv[[#Headers],[Agency]])),COLUMNS($F$7:X$7))))</f>
        <v/>
      </c>
      <c r="Y593" s="2223" t="str" cm="1">
        <f t="array" ref="Y593">IF($D593&lt;COLUMNS($F$7:Y$7),"",INDEX(TableDiv[[GASB]:[GASB]],_xlfn.AGGREGATE(15,3,(TableDiv[[Agency]:[Agency]]=$E593)/(TableDiv[[Agency]:[Agency]]=$E593)*(ROW(TableDiv[Agency])-ROW(TableDiv[[#Headers],[Agency]])),COLUMNS($F$7:Y$7))))</f>
        <v/>
      </c>
      <c r="Z593" s="2223" t="str" cm="1">
        <f t="array" ref="Z593">IF($D593&lt;COLUMNS($F$7:Z$7),"",INDEX(TableDiv[[GASB]:[GASB]],_xlfn.AGGREGATE(15,3,(TableDiv[[Agency]:[Agency]]=$E593)/(TableDiv[[Agency]:[Agency]]=$E593)*(ROW(TableDiv[Agency])-ROW(TableDiv[[#Headers],[Agency]])),COLUMNS($F$7:Z$7))))</f>
        <v/>
      </c>
      <c r="AA593" s="2223" t="str" cm="1">
        <f t="array" ref="AA593">IF($D593&lt;COLUMNS($F$7:AA$7),"",INDEX(TableDiv[[GASB]:[GASB]],_xlfn.AGGREGATE(15,3,(TableDiv[[Agency]:[Agency]]=$E593)/(TableDiv[[Agency]:[Agency]]=$E593)*(ROW(TableDiv[Agency])-ROW(TableDiv[[#Headers],[Agency]])),COLUMNS($F$7:AA$7))))</f>
        <v/>
      </c>
      <c r="AB593" s="2223" t="str" cm="1">
        <f t="array" ref="AB593">IF($D593&lt;COLUMNS($F$7:AB$7),"",INDEX(TableDiv[[GASB]:[GASB]],_xlfn.AGGREGATE(15,3,(TableDiv[[Agency]:[Agency]]=$E593)/(TableDiv[[Agency]:[Agency]]=$E593)*(ROW(TableDiv[Agency])-ROW(TableDiv[[#Headers],[Agency]])),COLUMNS($F$7:AB$7))))</f>
        <v/>
      </c>
      <c r="AC593" s="2223" t="str" cm="1">
        <f t="array" ref="AC593">IF($D593&lt;COLUMNS($F$7:AC$7),"",INDEX(TableDiv[[GASB]:[GASB]],_xlfn.AGGREGATE(15,3,(TableDiv[[Agency]:[Agency]]=$E593)/(TableDiv[[Agency]:[Agency]]=$E593)*(ROW(TableDiv[Agency])-ROW(TableDiv[[#Headers],[Agency]])),COLUMNS($F$7:AC$7))))</f>
        <v/>
      </c>
      <c r="AD593" s="2223" t="str" cm="1">
        <f t="array" ref="AD593">IF($D593&lt;COLUMNS($F$7:AD$7),"",INDEX(TableDiv[[GASB]:[GASB]],_xlfn.AGGREGATE(15,3,(TableDiv[[Agency]:[Agency]]=$E593)/(TableDiv[[Agency]:[Agency]]=$E593)*(ROW(TableDiv[Agency])-ROW(TableDiv[[#Headers],[Agency]])),COLUMNS($F$7:AD$7))))</f>
        <v/>
      </c>
      <c r="AE593" s="2223" t="str" cm="1">
        <f t="array" ref="AE593">IF($D593&lt;COLUMNS($F$7:AE$7),"",INDEX(TableDiv[[GASB]:[GASB]],_xlfn.AGGREGATE(15,3,(TableDiv[[Agency]:[Agency]]=$E593)/(TableDiv[[Agency]:[Agency]]=$E593)*(ROW(TableDiv[Agency])-ROW(TableDiv[[#Headers],[Agency]])),COLUMNS($F$7:AE$7))))</f>
        <v/>
      </c>
      <c r="AF593" s="2223" t="str" cm="1">
        <f t="array" ref="AF593">IF($D593&lt;COLUMNS($F$7:AF$7),"",INDEX(TableDiv[[GASB]:[GASB]],_xlfn.AGGREGATE(15,3,(TableDiv[[Agency]:[Agency]]=$E593)/(TableDiv[[Agency]:[Agency]]=$E593)*(ROW(TableDiv[Agency])-ROW(TableDiv[[#Headers],[Agency]])),COLUMNS($F$7:AF$7))))</f>
        <v/>
      </c>
      <c r="AG593" s="2223" t="str" cm="1">
        <f t="array" ref="AG593">IF($D593&lt;COLUMNS($F$7:AG$7),"",INDEX(TableDiv[[GASB]:[GASB]],_xlfn.AGGREGATE(15,3,(TableDiv[[Agency]:[Agency]]=$E593)/(TableDiv[[Agency]:[Agency]]=$E593)*(ROW(TableDiv[Agency])-ROW(TableDiv[[#Headers],[Agency]])),COLUMNS($F$7:AG$7))))</f>
        <v/>
      </c>
      <c r="AH593" s="2223" t="str" cm="1">
        <f t="array" ref="AH593">IF($D593&lt;COLUMNS($F$7:AH$7),"",INDEX(TableDiv[[GASB]:[GASB]],_xlfn.AGGREGATE(15,3,(TableDiv[[Agency]:[Agency]]=$E593)/(TableDiv[[Agency]:[Agency]]=$E593)*(ROW(TableDiv[Agency])-ROW(TableDiv[[#Headers],[Agency]])),COLUMNS($F$7:AH$7))))</f>
        <v/>
      </c>
      <c r="AI593" s="2223" t="str" cm="1">
        <f t="array" ref="AI593">IF($D593&lt;COLUMNS($F$7:AI$7),"",INDEX(TableDiv[[GASB]:[GASB]],_xlfn.AGGREGATE(15,3,(TableDiv[[Agency]:[Agency]]=$E593)/(TableDiv[[Agency]:[Agency]]=$E593)*(ROW(TableDiv[Agency])-ROW(TableDiv[[#Headers],[Agency]])),COLUMNS($F$7:AI$7))))</f>
        <v/>
      </c>
      <c r="AJ593" s="2223" t="str" cm="1">
        <f t="array" ref="AJ593">IF($D593&lt;COLUMNS($F$7:AJ$7),"",INDEX(TableDiv[[GASB]:[GASB]],_xlfn.AGGREGATE(15,3,(TableDiv[[Agency]:[Agency]]=$E593)/(TableDiv[[Agency]:[Agency]]=$E593)*(ROW(TableDiv[Agency])-ROW(TableDiv[[#Headers],[Agency]])),COLUMNS($F$7:AJ$7))))</f>
        <v/>
      </c>
      <c r="AK593" s="2223" t="str" cm="1">
        <f t="array" ref="AK593">IF($D593&lt;COLUMNS($F$7:AK$7),"",INDEX(TableDiv[[GASB]:[GASB]],_xlfn.AGGREGATE(15,3,(TableDiv[[Agency]:[Agency]]=$E593)/(TableDiv[[Agency]:[Agency]]=$E593)*(ROW(TableDiv[Agency])-ROW(TableDiv[[#Headers],[Agency]])),COLUMNS($F$7:AK$7))))</f>
        <v/>
      </c>
      <c r="AL593" s="2223" t="str" cm="1">
        <f t="array" ref="AL593">IF($D593&lt;COLUMNS($F$7:AL$7),"",INDEX(TableDiv[[GASB]:[GASB]],_xlfn.AGGREGATE(15,3,(TableDiv[[Agency]:[Agency]]=$E593)/(TableDiv[[Agency]:[Agency]]=$E593)*(ROW(TableDiv[Agency])-ROW(TableDiv[[#Headers],[Agency]])),COLUMNS($F$7:AL$7))))</f>
        <v/>
      </c>
      <c r="AM593" s="2223" t="str" cm="1">
        <f t="array" ref="AM593">IF($D593&lt;COLUMNS($F$7:AM$7),"",INDEX(TableDiv[[GASB]:[GASB]],_xlfn.AGGREGATE(15,3,(TableDiv[[Agency]:[Agency]]=$E593)/(TableDiv[[Agency]:[Agency]]=$E593)*(ROW(TableDiv[Agency])-ROW(TableDiv[[#Headers],[Agency]])),COLUMNS($F$7:AM$7))))</f>
        <v/>
      </c>
      <c r="AN593" s="2223"/>
      <c r="AO593" s="2223"/>
      <c r="AP593" s="2223"/>
      <c r="AQ593" s="2223"/>
      <c r="AR593" s="2223"/>
      <c r="AS593" s="2223"/>
    </row>
    <row r="594" spans="1:45" x14ac:dyDescent="0.2">
      <c r="A594" s="2223"/>
      <c r="B594" s="2223"/>
      <c r="C594" s="2223"/>
      <c r="W594" s="2223" t="str" cm="1">
        <f t="array" ref="W594">IF($D594&lt;COLUMNS($F$7:W$7),"",INDEX(TableDiv[[GASB]:[GASB]],_xlfn.AGGREGATE(15,3,(TableDiv[[Agency]:[Agency]]=$E594)/(TableDiv[[Agency]:[Agency]]=$E594)*(ROW(TableDiv[Agency])-ROW(TableDiv[[#Headers],[Agency]])),COLUMNS($F$7:W$7))))</f>
        <v/>
      </c>
      <c r="X594" s="2223" t="str" cm="1">
        <f t="array" ref="X594">IF($D594&lt;COLUMNS($F$7:X$7),"",INDEX(TableDiv[[GASB]:[GASB]],_xlfn.AGGREGATE(15,3,(TableDiv[[Agency]:[Agency]]=$E594)/(TableDiv[[Agency]:[Agency]]=$E594)*(ROW(TableDiv[Agency])-ROW(TableDiv[[#Headers],[Agency]])),COLUMNS($F$7:X$7))))</f>
        <v/>
      </c>
      <c r="Y594" s="2223" t="str" cm="1">
        <f t="array" ref="Y594">IF($D594&lt;COLUMNS($F$7:Y$7),"",INDEX(TableDiv[[GASB]:[GASB]],_xlfn.AGGREGATE(15,3,(TableDiv[[Agency]:[Agency]]=$E594)/(TableDiv[[Agency]:[Agency]]=$E594)*(ROW(TableDiv[Agency])-ROW(TableDiv[[#Headers],[Agency]])),COLUMNS($F$7:Y$7))))</f>
        <v/>
      </c>
      <c r="Z594" s="2223" t="str" cm="1">
        <f t="array" ref="Z594">IF($D594&lt;COLUMNS($F$7:Z$7),"",INDEX(TableDiv[[GASB]:[GASB]],_xlfn.AGGREGATE(15,3,(TableDiv[[Agency]:[Agency]]=$E594)/(TableDiv[[Agency]:[Agency]]=$E594)*(ROW(TableDiv[Agency])-ROW(TableDiv[[#Headers],[Agency]])),COLUMNS($F$7:Z$7))))</f>
        <v/>
      </c>
      <c r="AA594" s="2223" t="str" cm="1">
        <f t="array" ref="AA594">IF($D594&lt;COLUMNS($F$7:AA$7),"",INDEX(TableDiv[[GASB]:[GASB]],_xlfn.AGGREGATE(15,3,(TableDiv[[Agency]:[Agency]]=$E594)/(TableDiv[[Agency]:[Agency]]=$E594)*(ROW(TableDiv[Agency])-ROW(TableDiv[[#Headers],[Agency]])),COLUMNS($F$7:AA$7))))</f>
        <v/>
      </c>
      <c r="AB594" s="2223" t="str" cm="1">
        <f t="array" ref="AB594">IF($D594&lt;COLUMNS($F$7:AB$7),"",INDEX(TableDiv[[GASB]:[GASB]],_xlfn.AGGREGATE(15,3,(TableDiv[[Agency]:[Agency]]=$E594)/(TableDiv[[Agency]:[Agency]]=$E594)*(ROW(TableDiv[Agency])-ROW(TableDiv[[#Headers],[Agency]])),COLUMNS($F$7:AB$7))))</f>
        <v/>
      </c>
      <c r="AC594" s="2223" t="str" cm="1">
        <f t="array" ref="AC594">IF($D594&lt;COLUMNS($F$7:AC$7),"",INDEX(TableDiv[[GASB]:[GASB]],_xlfn.AGGREGATE(15,3,(TableDiv[[Agency]:[Agency]]=$E594)/(TableDiv[[Agency]:[Agency]]=$E594)*(ROW(TableDiv[Agency])-ROW(TableDiv[[#Headers],[Agency]])),COLUMNS($F$7:AC$7))))</f>
        <v/>
      </c>
      <c r="AD594" s="2223" t="str" cm="1">
        <f t="array" ref="AD594">IF($D594&lt;COLUMNS($F$7:AD$7),"",INDEX(TableDiv[[GASB]:[GASB]],_xlfn.AGGREGATE(15,3,(TableDiv[[Agency]:[Agency]]=$E594)/(TableDiv[[Agency]:[Agency]]=$E594)*(ROW(TableDiv[Agency])-ROW(TableDiv[[#Headers],[Agency]])),COLUMNS($F$7:AD$7))))</f>
        <v/>
      </c>
      <c r="AE594" s="2223" t="str" cm="1">
        <f t="array" ref="AE594">IF($D594&lt;COLUMNS($F$7:AE$7),"",INDEX(TableDiv[[GASB]:[GASB]],_xlfn.AGGREGATE(15,3,(TableDiv[[Agency]:[Agency]]=$E594)/(TableDiv[[Agency]:[Agency]]=$E594)*(ROW(TableDiv[Agency])-ROW(TableDiv[[#Headers],[Agency]])),COLUMNS($F$7:AE$7))))</f>
        <v/>
      </c>
      <c r="AF594" s="2223" t="str" cm="1">
        <f t="array" ref="AF594">IF($D594&lt;COLUMNS($F$7:AF$7),"",INDEX(TableDiv[[GASB]:[GASB]],_xlfn.AGGREGATE(15,3,(TableDiv[[Agency]:[Agency]]=$E594)/(TableDiv[[Agency]:[Agency]]=$E594)*(ROW(TableDiv[Agency])-ROW(TableDiv[[#Headers],[Agency]])),COLUMNS($F$7:AF$7))))</f>
        <v/>
      </c>
      <c r="AG594" s="2223" t="str" cm="1">
        <f t="array" ref="AG594">IF($D594&lt;COLUMNS($F$7:AG$7),"",INDEX(TableDiv[[GASB]:[GASB]],_xlfn.AGGREGATE(15,3,(TableDiv[[Agency]:[Agency]]=$E594)/(TableDiv[[Agency]:[Agency]]=$E594)*(ROW(TableDiv[Agency])-ROW(TableDiv[[#Headers],[Agency]])),COLUMNS($F$7:AG$7))))</f>
        <v/>
      </c>
      <c r="AH594" s="2223" t="str" cm="1">
        <f t="array" ref="AH594">IF($D594&lt;COLUMNS($F$7:AH$7),"",INDEX(TableDiv[[GASB]:[GASB]],_xlfn.AGGREGATE(15,3,(TableDiv[[Agency]:[Agency]]=$E594)/(TableDiv[[Agency]:[Agency]]=$E594)*(ROW(TableDiv[Agency])-ROW(TableDiv[[#Headers],[Agency]])),COLUMNS($F$7:AH$7))))</f>
        <v/>
      </c>
      <c r="AI594" s="2223" t="str" cm="1">
        <f t="array" ref="AI594">IF($D594&lt;COLUMNS($F$7:AI$7),"",INDEX(TableDiv[[GASB]:[GASB]],_xlfn.AGGREGATE(15,3,(TableDiv[[Agency]:[Agency]]=$E594)/(TableDiv[[Agency]:[Agency]]=$E594)*(ROW(TableDiv[Agency])-ROW(TableDiv[[#Headers],[Agency]])),COLUMNS($F$7:AI$7))))</f>
        <v/>
      </c>
      <c r="AJ594" s="2223" t="str" cm="1">
        <f t="array" ref="AJ594">IF($D594&lt;COLUMNS($F$7:AJ$7),"",INDEX(TableDiv[[GASB]:[GASB]],_xlfn.AGGREGATE(15,3,(TableDiv[[Agency]:[Agency]]=$E594)/(TableDiv[[Agency]:[Agency]]=$E594)*(ROW(TableDiv[Agency])-ROW(TableDiv[[#Headers],[Agency]])),COLUMNS($F$7:AJ$7))))</f>
        <v/>
      </c>
      <c r="AK594" s="2223" t="str" cm="1">
        <f t="array" ref="AK594">IF($D594&lt;COLUMNS($F$7:AK$7),"",INDEX(TableDiv[[GASB]:[GASB]],_xlfn.AGGREGATE(15,3,(TableDiv[[Agency]:[Agency]]=$E594)/(TableDiv[[Agency]:[Agency]]=$E594)*(ROW(TableDiv[Agency])-ROW(TableDiv[[#Headers],[Agency]])),COLUMNS($F$7:AK$7))))</f>
        <v/>
      </c>
      <c r="AL594" s="2223" t="str" cm="1">
        <f t="array" ref="AL594">IF($D594&lt;COLUMNS($F$7:AL$7),"",INDEX(TableDiv[[GASB]:[GASB]],_xlfn.AGGREGATE(15,3,(TableDiv[[Agency]:[Agency]]=$E594)/(TableDiv[[Agency]:[Agency]]=$E594)*(ROW(TableDiv[Agency])-ROW(TableDiv[[#Headers],[Agency]])),COLUMNS($F$7:AL$7))))</f>
        <v/>
      </c>
      <c r="AM594" s="2223" t="str" cm="1">
        <f t="array" ref="AM594">IF($D594&lt;COLUMNS($F$7:AM$7),"",INDEX(TableDiv[[GASB]:[GASB]],_xlfn.AGGREGATE(15,3,(TableDiv[[Agency]:[Agency]]=$E594)/(TableDiv[[Agency]:[Agency]]=$E594)*(ROW(TableDiv[Agency])-ROW(TableDiv[[#Headers],[Agency]])),COLUMNS($F$7:AM$7))))</f>
        <v/>
      </c>
      <c r="AN594" s="2223"/>
      <c r="AO594" s="2223"/>
      <c r="AP594" s="2223"/>
      <c r="AQ594" s="2223"/>
      <c r="AR594" s="2223"/>
      <c r="AS594" s="2223"/>
    </row>
    <row r="595" spans="1:45" x14ac:dyDescent="0.2">
      <c r="A595" s="2223"/>
      <c r="B595" s="2223"/>
      <c r="C595" s="2223"/>
      <c r="W595" s="2223" t="str" cm="1">
        <f t="array" ref="W595">IF($D595&lt;COLUMNS($F$7:W$7),"",INDEX(TableDiv[[GASB]:[GASB]],_xlfn.AGGREGATE(15,3,(TableDiv[[Agency]:[Agency]]=$E595)/(TableDiv[[Agency]:[Agency]]=$E595)*(ROW(TableDiv[Agency])-ROW(TableDiv[[#Headers],[Agency]])),COLUMNS($F$7:W$7))))</f>
        <v/>
      </c>
      <c r="X595" s="2223" t="str" cm="1">
        <f t="array" ref="X595">IF($D595&lt;COLUMNS($F$7:X$7),"",INDEX(TableDiv[[GASB]:[GASB]],_xlfn.AGGREGATE(15,3,(TableDiv[[Agency]:[Agency]]=$E595)/(TableDiv[[Agency]:[Agency]]=$E595)*(ROW(TableDiv[Agency])-ROW(TableDiv[[#Headers],[Agency]])),COLUMNS($F$7:X$7))))</f>
        <v/>
      </c>
      <c r="Y595" s="2223" t="str" cm="1">
        <f t="array" ref="Y595">IF($D595&lt;COLUMNS($F$7:Y$7),"",INDEX(TableDiv[[GASB]:[GASB]],_xlfn.AGGREGATE(15,3,(TableDiv[[Agency]:[Agency]]=$E595)/(TableDiv[[Agency]:[Agency]]=$E595)*(ROW(TableDiv[Agency])-ROW(TableDiv[[#Headers],[Agency]])),COLUMNS($F$7:Y$7))))</f>
        <v/>
      </c>
      <c r="Z595" s="2223" t="str" cm="1">
        <f t="array" ref="Z595">IF($D595&lt;COLUMNS($F$7:Z$7),"",INDEX(TableDiv[[GASB]:[GASB]],_xlfn.AGGREGATE(15,3,(TableDiv[[Agency]:[Agency]]=$E595)/(TableDiv[[Agency]:[Agency]]=$E595)*(ROW(TableDiv[Agency])-ROW(TableDiv[[#Headers],[Agency]])),COLUMNS($F$7:Z$7))))</f>
        <v/>
      </c>
      <c r="AA595" s="2223" t="str" cm="1">
        <f t="array" ref="AA595">IF($D595&lt;COLUMNS($F$7:AA$7),"",INDEX(TableDiv[[GASB]:[GASB]],_xlfn.AGGREGATE(15,3,(TableDiv[[Agency]:[Agency]]=$E595)/(TableDiv[[Agency]:[Agency]]=$E595)*(ROW(TableDiv[Agency])-ROW(TableDiv[[#Headers],[Agency]])),COLUMNS($F$7:AA$7))))</f>
        <v/>
      </c>
      <c r="AB595" s="2223" t="str" cm="1">
        <f t="array" ref="AB595">IF($D595&lt;COLUMNS($F$7:AB$7),"",INDEX(TableDiv[[GASB]:[GASB]],_xlfn.AGGREGATE(15,3,(TableDiv[[Agency]:[Agency]]=$E595)/(TableDiv[[Agency]:[Agency]]=$E595)*(ROW(TableDiv[Agency])-ROW(TableDiv[[#Headers],[Agency]])),COLUMNS($F$7:AB$7))))</f>
        <v/>
      </c>
      <c r="AC595" s="2223" t="str" cm="1">
        <f t="array" ref="AC595">IF($D595&lt;COLUMNS($F$7:AC$7),"",INDEX(TableDiv[[GASB]:[GASB]],_xlfn.AGGREGATE(15,3,(TableDiv[[Agency]:[Agency]]=$E595)/(TableDiv[[Agency]:[Agency]]=$E595)*(ROW(TableDiv[Agency])-ROW(TableDiv[[#Headers],[Agency]])),COLUMNS($F$7:AC$7))))</f>
        <v/>
      </c>
      <c r="AD595" s="2223" t="str" cm="1">
        <f t="array" ref="AD595">IF($D595&lt;COLUMNS($F$7:AD$7),"",INDEX(TableDiv[[GASB]:[GASB]],_xlfn.AGGREGATE(15,3,(TableDiv[[Agency]:[Agency]]=$E595)/(TableDiv[[Agency]:[Agency]]=$E595)*(ROW(TableDiv[Agency])-ROW(TableDiv[[#Headers],[Agency]])),COLUMNS($F$7:AD$7))))</f>
        <v/>
      </c>
      <c r="AE595" s="2223" t="str" cm="1">
        <f t="array" ref="AE595">IF($D595&lt;COLUMNS($F$7:AE$7),"",INDEX(TableDiv[[GASB]:[GASB]],_xlfn.AGGREGATE(15,3,(TableDiv[[Agency]:[Agency]]=$E595)/(TableDiv[[Agency]:[Agency]]=$E595)*(ROW(TableDiv[Agency])-ROW(TableDiv[[#Headers],[Agency]])),COLUMNS($F$7:AE$7))))</f>
        <v/>
      </c>
      <c r="AF595" s="2223" t="str" cm="1">
        <f t="array" ref="AF595">IF($D595&lt;COLUMNS($F$7:AF$7),"",INDEX(TableDiv[[GASB]:[GASB]],_xlfn.AGGREGATE(15,3,(TableDiv[[Agency]:[Agency]]=$E595)/(TableDiv[[Agency]:[Agency]]=$E595)*(ROW(TableDiv[Agency])-ROW(TableDiv[[#Headers],[Agency]])),COLUMNS($F$7:AF$7))))</f>
        <v/>
      </c>
      <c r="AG595" s="2223" t="str" cm="1">
        <f t="array" ref="AG595">IF($D595&lt;COLUMNS($F$7:AG$7),"",INDEX(TableDiv[[GASB]:[GASB]],_xlfn.AGGREGATE(15,3,(TableDiv[[Agency]:[Agency]]=$E595)/(TableDiv[[Agency]:[Agency]]=$E595)*(ROW(TableDiv[Agency])-ROW(TableDiv[[#Headers],[Agency]])),COLUMNS($F$7:AG$7))))</f>
        <v/>
      </c>
      <c r="AH595" s="2223" t="str" cm="1">
        <f t="array" ref="AH595">IF($D595&lt;COLUMNS($F$7:AH$7),"",INDEX(TableDiv[[GASB]:[GASB]],_xlfn.AGGREGATE(15,3,(TableDiv[[Agency]:[Agency]]=$E595)/(TableDiv[[Agency]:[Agency]]=$E595)*(ROW(TableDiv[Agency])-ROW(TableDiv[[#Headers],[Agency]])),COLUMNS($F$7:AH$7))))</f>
        <v/>
      </c>
      <c r="AI595" s="2223" t="str" cm="1">
        <f t="array" ref="AI595">IF($D595&lt;COLUMNS($F$7:AI$7),"",INDEX(TableDiv[[GASB]:[GASB]],_xlfn.AGGREGATE(15,3,(TableDiv[[Agency]:[Agency]]=$E595)/(TableDiv[[Agency]:[Agency]]=$E595)*(ROW(TableDiv[Agency])-ROW(TableDiv[[#Headers],[Agency]])),COLUMNS($F$7:AI$7))))</f>
        <v/>
      </c>
      <c r="AJ595" s="2223" t="str" cm="1">
        <f t="array" ref="AJ595">IF($D595&lt;COLUMNS($F$7:AJ$7),"",INDEX(TableDiv[[GASB]:[GASB]],_xlfn.AGGREGATE(15,3,(TableDiv[[Agency]:[Agency]]=$E595)/(TableDiv[[Agency]:[Agency]]=$E595)*(ROW(TableDiv[Agency])-ROW(TableDiv[[#Headers],[Agency]])),COLUMNS($F$7:AJ$7))))</f>
        <v/>
      </c>
      <c r="AK595" s="2223" t="str" cm="1">
        <f t="array" ref="AK595">IF($D595&lt;COLUMNS($F$7:AK$7),"",INDEX(TableDiv[[GASB]:[GASB]],_xlfn.AGGREGATE(15,3,(TableDiv[[Agency]:[Agency]]=$E595)/(TableDiv[[Agency]:[Agency]]=$E595)*(ROW(TableDiv[Agency])-ROW(TableDiv[[#Headers],[Agency]])),COLUMNS($F$7:AK$7))))</f>
        <v/>
      </c>
      <c r="AL595" s="2223" t="str" cm="1">
        <f t="array" ref="AL595">IF($D595&lt;COLUMNS($F$7:AL$7),"",INDEX(TableDiv[[GASB]:[GASB]],_xlfn.AGGREGATE(15,3,(TableDiv[[Agency]:[Agency]]=$E595)/(TableDiv[[Agency]:[Agency]]=$E595)*(ROW(TableDiv[Agency])-ROW(TableDiv[[#Headers],[Agency]])),COLUMNS($F$7:AL$7))))</f>
        <v/>
      </c>
      <c r="AM595" s="2223" t="str" cm="1">
        <f t="array" ref="AM595">IF($D595&lt;COLUMNS($F$7:AM$7),"",INDEX(TableDiv[[GASB]:[GASB]],_xlfn.AGGREGATE(15,3,(TableDiv[[Agency]:[Agency]]=$E595)/(TableDiv[[Agency]:[Agency]]=$E595)*(ROW(TableDiv[Agency])-ROW(TableDiv[[#Headers],[Agency]])),COLUMNS($F$7:AM$7))))</f>
        <v/>
      </c>
      <c r="AN595" s="2223"/>
      <c r="AO595" s="2223"/>
      <c r="AP595" s="2223"/>
      <c r="AQ595" s="2223"/>
      <c r="AR595" s="2223"/>
      <c r="AS595" s="2223"/>
    </row>
    <row r="596" spans="1:45" x14ac:dyDescent="0.2">
      <c r="A596" s="2223"/>
      <c r="B596" s="2223"/>
      <c r="C596" s="2223"/>
      <c r="W596" s="2223" t="str" cm="1">
        <f t="array" ref="W596">IF($D596&lt;COLUMNS($F$7:W$7),"",INDEX(TableDiv[[GASB]:[GASB]],_xlfn.AGGREGATE(15,3,(TableDiv[[Agency]:[Agency]]=$E596)/(TableDiv[[Agency]:[Agency]]=$E596)*(ROW(TableDiv[Agency])-ROW(TableDiv[[#Headers],[Agency]])),COLUMNS($F$7:W$7))))</f>
        <v/>
      </c>
      <c r="X596" s="2223" t="str" cm="1">
        <f t="array" ref="X596">IF($D596&lt;COLUMNS($F$7:X$7),"",INDEX(TableDiv[[GASB]:[GASB]],_xlfn.AGGREGATE(15,3,(TableDiv[[Agency]:[Agency]]=$E596)/(TableDiv[[Agency]:[Agency]]=$E596)*(ROW(TableDiv[Agency])-ROW(TableDiv[[#Headers],[Agency]])),COLUMNS($F$7:X$7))))</f>
        <v/>
      </c>
      <c r="Y596" s="2223" t="str" cm="1">
        <f t="array" ref="Y596">IF($D596&lt;COLUMNS($F$7:Y$7),"",INDEX(TableDiv[[GASB]:[GASB]],_xlfn.AGGREGATE(15,3,(TableDiv[[Agency]:[Agency]]=$E596)/(TableDiv[[Agency]:[Agency]]=$E596)*(ROW(TableDiv[Agency])-ROW(TableDiv[[#Headers],[Agency]])),COLUMNS($F$7:Y$7))))</f>
        <v/>
      </c>
      <c r="Z596" s="2223" t="str" cm="1">
        <f t="array" ref="Z596">IF($D596&lt;COLUMNS($F$7:Z$7),"",INDEX(TableDiv[[GASB]:[GASB]],_xlfn.AGGREGATE(15,3,(TableDiv[[Agency]:[Agency]]=$E596)/(TableDiv[[Agency]:[Agency]]=$E596)*(ROW(TableDiv[Agency])-ROW(TableDiv[[#Headers],[Agency]])),COLUMNS($F$7:Z$7))))</f>
        <v/>
      </c>
      <c r="AA596" s="2223" t="str" cm="1">
        <f t="array" ref="AA596">IF($D596&lt;COLUMNS($F$7:AA$7),"",INDEX(TableDiv[[GASB]:[GASB]],_xlfn.AGGREGATE(15,3,(TableDiv[[Agency]:[Agency]]=$E596)/(TableDiv[[Agency]:[Agency]]=$E596)*(ROW(TableDiv[Agency])-ROW(TableDiv[[#Headers],[Agency]])),COLUMNS($F$7:AA$7))))</f>
        <v/>
      </c>
      <c r="AB596" s="2223" t="str" cm="1">
        <f t="array" ref="AB596">IF($D596&lt;COLUMNS($F$7:AB$7),"",INDEX(TableDiv[[GASB]:[GASB]],_xlfn.AGGREGATE(15,3,(TableDiv[[Agency]:[Agency]]=$E596)/(TableDiv[[Agency]:[Agency]]=$E596)*(ROW(TableDiv[Agency])-ROW(TableDiv[[#Headers],[Agency]])),COLUMNS($F$7:AB$7))))</f>
        <v/>
      </c>
      <c r="AC596" s="2223" t="str" cm="1">
        <f t="array" ref="AC596">IF($D596&lt;COLUMNS($F$7:AC$7),"",INDEX(TableDiv[[GASB]:[GASB]],_xlfn.AGGREGATE(15,3,(TableDiv[[Agency]:[Agency]]=$E596)/(TableDiv[[Agency]:[Agency]]=$E596)*(ROW(TableDiv[Agency])-ROW(TableDiv[[#Headers],[Agency]])),COLUMNS($F$7:AC$7))))</f>
        <v/>
      </c>
      <c r="AD596" s="2223" t="str" cm="1">
        <f t="array" ref="AD596">IF($D596&lt;COLUMNS($F$7:AD$7),"",INDEX(TableDiv[[GASB]:[GASB]],_xlfn.AGGREGATE(15,3,(TableDiv[[Agency]:[Agency]]=$E596)/(TableDiv[[Agency]:[Agency]]=$E596)*(ROW(TableDiv[Agency])-ROW(TableDiv[[#Headers],[Agency]])),COLUMNS($F$7:AD$7))))</f>
        <v/>
      </c>
      <c r="AE596" s="2223" t="str" cm="1">
        <f t="array" ref="AE596">IF($D596&lt;COLUMNS($F$7:AE$7),"",INDEX(TableDiv[[GASB]:[GASB]],_xlfn.AGGREGATE(15,3,(TableDiv[[Agency]:[Agency]]=$E596)/(TableDiv[[Agency]:[Agency]]=$E596)*(ROW(TableDiv[Agency])-ROW(TableDiv[[#Headers],[Agency]])),COLUMNS($F$7:AE$7))))</f>
        <v/>
      </c>
      <c r="AF596" s="2223" t="str" cm="1">
        <f t="array" ref="AF596">IF($D596&lt;COLUMNS($F$7:AF$7),"",INDEX(TableDiv[[GASB]:[GASB]],_xlfn.AGGREGATE(15,3,(TableDiv[[Agency]:[Agency]]=$E596)/(TableDiv[[Agency]:[Agency]]=$E596)*(ROW(TableDiv[Agency])-ROW(TableDiv[[#Headers],[Agency]])),COLUMNS($F$7:AF$7))))</f>
        <v/>
      </c>
      <c r="AG596" s="2223" t="str" cm="1">
        <f t="array" ref="AG596">IF($D596&lt;COLUMNS($F$7:AG$7),"",INDEX(TableDiv[[GASB]:[GASB]],_xlfn.AGGREGATE(15,3,(TableDiv[[Agency]:[Agency]]=$E596)/(TableDiv[[Agency]:[Agency]]=$E596)*(ROW(TableDiv[Agency])-ROW(TableDiv[[#Headers],[Agency]])),COLUMNS($F$7:AG$7))))</f>
        <v/>
      </c>
      <c r="AH596" s="2223" t="str" cm="1">
        <f t="array" ref="AH596">IF($D596&lt;COLUMNS($F$7:AH$7),"",INDEX(TableDiv[[GASB]:[GASB]],_xlfn.AGGREGATE(15,3,(TableDiv[[Agency]:[Agency]]=$E596)/(TableDiv[[Agency]:[Agency]]=$E596)*(ROW(TableDiv[Agency])-ROW(TableDiv[[#Headers],[Agency]])),COLUMNS($F$7:AH$7))))</f>
        <v/>
      </c>
      <c r="AI596" s="2223" t="str" cm="1">
        <f t="array" ref="AI596">IF($D596&lt;COLUMNS($F$7:AI$7),"",INDEX(TableDiv[[GASB]:[GASB]],_xlfn.AGGREGATE(15,3,(TableDiv[[Agency]:[Agency]]=$E596)/(TableDiv[[Agency]:[Agency]]=$E596)*(ROW(TableDiv[Agency])-ROW(TableDiv[[#Headers],[Agency]])),COLUMNS($F$7:AI$7))))</f>
        <v/>
      </c>
      <c r="AJ596" s="2223" t="str" cm="1">
        <f t="array" ref="AJ596">IF($D596&lt;COLUMNS($F$7:AJ$7),"",INDEX(TableDiv[[GASB]:[GASB]],_xlfn.AGGREGATE(15,3,(TableDiv[[Agency]:[Agency]]=$E596)/(TableDiv[[Agency]:[Agency]]=$E596)*(ROW(TableDiv[Agency])-ROW(TableDiv[[#Headers],[Agency]])),COLUMNS($F$7:AJ$7))))</f>
        <v/>
      </c>
      <c r="AK596" s="2223" t="str" cm="1">
        <f t="array" ref="AK596">IF($D596&lt;COLUMNS($F$7:AK$7),"",INDEX(TableDiv[[GASB]:[GASB]],_xlfn.AGGREGATE(15,3,(TableDiv[[Agency]:[Agency]]=$E596)/(TableDiv[[Agency]:[Agency]]=$E596)*(ROW(TableDiv[Agency])-ROW(TableDiv[[#Headers],[Agency]])),COLUMNS($F$7:AK$7))))</f>
        <v/>
      </c>
      <c r="AL596" s="2223" t="str" cm="1">
        <f t="array" ref="AL596">IF($D596&lt;COLUMNS($F$7:AL$7),"",INDEX(TableDiv[[GASB]:[GASB]],_xlfn.AGGREGATE(15,3,(TableDiv[[Agency]:[Agency]]=$E596)/(TableDiv[[Agency]:[Agency]]=$E596)*(ROW(TableDiv[Agency])-ROW(TableDiv[[#Headers],[Agency]])),COLUMNS($F$7:AL$7))))</f>
        <v/>
      </c>
      <c r="AM596" s="2223" t="str" cm="1">
        <f t="array" ref="AM596">IF($D596&lt;COLUMNS($F$7:AM$7),"",INDEX(TableDiv[[GASB]:[GASB]],_xlfn.AGGREGATE(15,3,(TableDiv[[Agency]:[Agency]]=$E596)/(TableDiv[[Agency]:[Agency]]=$E596)*(ROW(TableDiv[Agency])-ROW(TableDiv[[#Headers],[Agency]])),COLUMNS($F$7:AM$7))))</f>
        <v/>
      </c>
      <c r="AN596" s="2223"/>
      <c r="AO596" s="2223"/>
      <c r="AP596" s="2223"/>
      <c r="AQ596" s="2223"/>
      <c r="AR596" s="2223"/>
      <c r="AS596" s="2223"/>
    </row>
    <row r="597" spans="1:45" x14ac:dyDescent="0.2">
      <c r="A597" s="2223"/>
      <c r="B597" s="2223"/>
      <c r="C597" s="2223"/>
      <c r="W597" s="2223" t="str" cm="1">
        <f t="array" ref="W597">IF($D597&lt;COLUMNS($F$7:W$7),"",INDEX(TableDiv[[GASB]:[GASB]],_xlfn.AGGREGATE(15,3,(TableDiv[[Agency]:[Agency]]=$E597)/(TableDiv[[Agency]:[Agency]]=$E597)*(ROW(TableDiv[Agency])-ROW(TableDiv[[#Headers],[Agency]])),COLUMNS($F$7:W$7))))</f>
        <v/>
      </c>
      <c r="X597" s="2223" t="str" cm="1">
        <f t="array" ref="X597">IF($D597&lt;COLUMNS($F$7:X$7),"",INDEX(TableDiv[[GASB]:[GASB]],_xlfn.AGGREGATE(15,3,(TableDiv[[Agency]:[Agency]]=$E597)/(TableDiv[[Agency]:[Agency]]=$E597)*(ROW(TableDiv[Agency])-ROW(TableDiv[[#Headers],[Agency]])),COLUMNS($F$7:X$7))))</f>
        <v/>
      </c>
      <c r="Y597" s="2223" t="str" cm="1">
        <f t="array" ref="Y597">IF($D597&lt;COLUMNS($F$7:Y$7),"",INDEX(TableDiv[[GASB]:[GASB]],_xlfn.AGGREGATE(15,3,(TableDiv[[Agency]:[Agency]]=$E597)/(TableDiv[[Agency]:[Agency]]=$E597)*(ROW(TableDiv[Agency])-ROW(TableDiv[[#Headers],[Agency]])),COLUMNS($F$7:Y$7))))</f>
        <v/>
      </c>
      <c r="Z597" s="2223" t="str" cm="1">
        <f t="array" ref="Z597">IF($D597&lt;COLUMNS($F$7:Z$7),"",INDEX(TableDiv[[GASB]:[GASB]],_xlfn.AGGREGATE(15,3,(TableDiv[[Agency]:[Agency]]=$E597)/(TableDiv[[Agency]:[Agency]]=$E597)*(ROW(TableDiv[Agency])-ROW(TableDiv[[#Headers],[Agency]])),COLUMNS($F$7:Z$7))))</f>
        <v/>
      </c>
      <c r="AA597" s="2223" t="str" cm="1">
        <f t="array" ref="AA597">IF($D597&lt;COLUMNS($F$7:AA$7),"",INDEX(TableDiv[[GASB]:[GASB]],_xlfn.AGGREGATE(15,3,(TableDiv[[Agency]:[Agency]]=$E597)/(TableDiv[[Agency]:[Agency]]=$E597)*(ROW(TableDiv[Agency])-ROW(TableDiv[[#Headers],[Agency]])),COLUMNS($F$7:AA$7))))</f>
        <v/>
      </c>
      <c r="AB597" s="2223" t="str" cm="1">
        <f t="array" ref="AB597">IF($D597&lt;COLUMNS($F$7:AB$7),"",INDEX(TableDiv[[GASB]:[GASB]],_xlfn.AGGREGATE(15,3,(TableDiv[[Agency]:[Agency]]=$E597)/(TableDiv[[Agency]:[Agency]]=$E597)*(ROW(TableDiv[Agency])-ROW(TableDiv[[#Headers],[Agency]])),COLUMNS($F$7:AB$7))))</f>
        <v/>
      </c>
      <c r="AC597" s="2223" t="str" cm="1">
        <f t="array" ref="AC597">IF($D597&lt;COLUMNS($F$7:AC$7),"",INDEX(TableDiv[[GASB]:[GASB]],_xlfn.AGGREGATE(15,3,(TableDiv[[Agency]:[Agency]]=$E597)/(TableDiv[[Agency]:[Agency]]=$E597)*(ROW(TableDiv[Agency])-ROW(TableDiv[[#Headers],[Agency]])),COLUMNS($F$7:AC$7))))</f>
        <v/>
      </c>
      <c r="AD597" s="2223" t="str" cm="1">
        <f t="array" ref="AD597">IF($D597&lt;COLUMNS($F$7:AD$7),"",INDEX(TableDiv[[GASB]:[GASB]],_xlfn.AGGREGATE(15,3,(TableDiv[[Agency]:[Agency]]=$E597)/(TableDiv[[Agency]:[Agency]]=$E597)*(ROW(TableDiv[Agency])-ROW(TableDiv[[#Headers],[Agency]])),COLUMNS($F$7:AD$7))))</f>
        <v/>
      </c>
      <c r="AE597" s="2223" t="str" cm="1">
        <f t="array" ref="AE597">IF($D597&lt;COLUMNS($F$7:AE$7),"",INDEX(TableDiv[[GASB]:[GASB]],_xlfn.AGGREGATE(15,3,(TableDiv[[Agency]:[Agency]]=$E597)/(TableDiv[[Agency]:[Agency]]=$E597)*(ROW(TableDiv[Agency])-ROW(TableDiv[[#Headers],[Agency]])),COLUMNS($F$7:AE$7))))</f>
        <v/>
      </c>
      <c r="AF597" s="2223" t="str" cm="1">
        <f t="array" ref="AF597">IF($D597&lt;COLUMNS($F$7:AF$7),"",INDEX(TableDiv[[GASB]:[GASB]],_xlfn.AGGREGATE(15,3,(TableDiv[[Agency]:[Agency]]=$E597)/(TableDiv[[Agency]:[Agency]]=$E597)*(ROW(TableDiv[Agency])-ROW(TableDiv[[#Headers],[Agency]])),COLUMNS($F$7:AF$7))))</f>
        <v/>
      </c>
      <c r="AG597" s="2223" t="str" cm="1">
        <f t="array" ref="AG597">IF($D597&lt;COLUMNS($F$7:AG$7),"",INDEX(TableDiv[[GASB]:[GASB]],_xlfn.AGGREGATE(15,3,(TableDiv[[Agency]:[Agency]]=$E597)/(TableDiv[[Agency]:[Agency]]=$E597)*(ROW(TableDiv[Agency])-ROW(TableDiv[[#Headers],[Agency]])),COLUMNS($F$7:AG$7))))</f>
        <v/>
      </c>
      <c r="AH597" s="2223" t="str" cm="1">
        <f t="array" ref="AH597">IF($D597&lt;COLUMNS($F$7:AH$7),"",INDEX(TableDiv[[GASB]:[GASB]],_xlfn.AGGREGATE(15,3,(TableDiv[[Agency]:[Agency]]=$E597)/(TableDiv[[Agency]:[Agency]]=$E597)*(ROW(TableDiv[Agency])-ROW(TableDiv[[#Headers],[Agency]])),COLUMNS($F$7:AH$7))))</f>
        <v/>
      </c>
      <c r="AI597" s="2223" t="str" cm="1">
        <f t="array" ref="AI597">IF($D597&lt;COLUMNS($F$7:AI$7),"",INDEX(TableDiv[[GASB]:[GASB]],_xlfn.AGGREGATE(15,3,(TableDiv[[Agency]:[Agency]]=$E597)/(TableDiv[[Agency]:[Agency]]=$E597)*(ROW(TableDiv[Agency])-ROW(TableDiv[[#Headers],[Agency]])),COLUMNS($F$7:AI$7))))</f>
        <v/>
      </c>
      <c r="AJ597" s="2223" t="str" cm="1">
        <f t="array" ref="AJ597">IF($D597&lt;COLUMNS($F$7:AJ$7),"",INDEX(TableDiv[[GASB]:[GASB]],_xlfn.AGGREGATE(15,3,(TableDiv[[Agency]:[Agency]]=$E597)/(TableDiv[[Agency]:[Agency]]=$E597)*(ROW(TableDiv[Agency])-ROW(TableDiv[[#Headers],[Agency]])),COLUMNS($F$7:AJ$7))))</f>
        <v/>
      </c>
      <c r="AK597" s="2223" t="str" cm="1">
        <f t="array" ref="AK597">IF($D597&lt;COLUMNS($F$7:AK$7),"",INDEX(TableDiv[[GASB]:[GASB]],_xlfn.AGGREGATE(15,3,(TableDiv[[Agency]:[Agency]]=$E597)/(TableDiv[[Agency]:[Agency]]=$E597)*(ROW(TableDiv[Agency])-ROW(TableDiv[[#Headers],[Agency]])),COLUMNS($F$7:AK$7))))</f>
        <v/>
      </c>
      <c r="AL597" s="2223" t="str" cm="1">
        <f t="array" ref="AL597">IF($D597&lt;COLUMNS($F$7:AL$7),"",INDEX(TableDiv[[GASB]:[GASB]],_xlfn.AGGREGATE(15,3,(TableDiv[[Agency]:[Agency]]=$E597)/(TableDiv[[Agency]:[Agency]]=$E597)*(ROW(TableDiv[Agency])-ROW(TableDiv[[#Headers],[Agency]])),COLUMNS($F$7:AL$7))))</f>
        <v/>
      </c>
      <c r="AM597" s="2223" t="str" cm="1">
        <f t="array" ref="AM597">IF($D597&lt;COLUMNS($F$7:AM$7),"",INDEX(TableDiv[[GASB]:[GASB]],_xlfn.AGGREGATE(15,3,(TableDiv[[Agency]:[Agency]]=$E597)/(TableDiv[[Agency]:[Agency]]=$E597)*(ROW(TableDiv[Agency])-ROW(TableDiv[[#Headers],[Agency]])),COLUMNS($F$7:AM$7))))</f>
        <v/>
      </c>
      <c r="AN597" s="2223"/>
      <c r="AO597" s="2223"/>
      <c r="AP597" s="2223"/>
      <c r="AQ597" s="2223"/>
      <c r="AR597" s="2223"/>
      <c r="AS597" s="2223"/>
    </row>
    <row r="598" spans="1:45" x14ac:dyDescent="0.2">
      <c r="A598" s="2223"/>
      <c r="B598" s="2223"/>
      <c r="C598" s="2223"/>
      <c r="W598" s="2223" t="str" cm="1">
        <f t="array" ref="W598">IF($D598&lt;COLUMNS($F$7:W$7),"",INDEX(TableDiv[[GASB]:[GASB]],_xlfn.AGGREGATE(15,3,(TableDiv[[Agency]:[Agency]]=$E598)/(TableDiv[[Agency]:[Agency]]=$E598)*(ROW(TableDiv[Agency])-ROW(TableDiv[[#Headers],[Agency]])),COLUMNS($F$7:W$7))))</f>
        <v/>
      </c>
      <c r="X598" s="2223" t="str" cm="1">
        <f t="array" ref="X598">IF($D598&lt;COLUMNS($F$7:X$7),"",INDEX(TableDiv[[GASB]:[GASB]],_xlfn.AGGREGATE(15,3,(TableDiv[[Agency]:[Agency]]=$E598)/(TableDiv[[Agency]:[Agency]]=$E598)*(ROW(TableDiv[Agency])-ROW(TableDiv[[#Headers],[Agency]])),COLUMNS($F$7:X$7))))</f>
        <v/>
      </c>
      <c r="Y598" s="2223" t="str" cm="1">
        <f t="array" ref="Y598">IF($D598&lt;COLUMNS($F$7:Y$7),"",INDEX(TableDiv[[GASB]:[GASB]],_xlfn.AGGREGATE(15,3,(TableDiv[[Agency]:[Agency]]=$E598)/(TableDiv[[Agency]:[Agency]]=$E598)*(ROW(TableDiv[Agency])-ROW(TableDiv[[#Headers],[Agency]])),COLUMNS($F$7:Y$7))))</f>
        <v/>
      </c>
      <c r="Z598" s="2223" t="str" cm="1">
        <f t="array" ref="Z598">IF($D598&lt;COLUMNS($F$7:Z$7),"",INDEX(TableDiv[[GASB]:[GASB]],_xlfn.AGGREGATE(15,3,(TableDiv[[Agency]:[Agency]]=$E598)/(TableDiv[[Agency]:[Agency]]=$E598)*(ROW(TableDiv[Agency])-ROW(TableDiv[[#Headers],[Agency]])),COLUMNS($F$7:Z$7))))</f>
        <v/>
      </c>
      <c r="AA598" s="2223" t="str" cm="1">
        <f t="array" ref="AA598">IF($D598&lt;COLUMNS($F$7:AA$7),"",INDEX(TableDiv[[GASB]:[GASB]],_xlfn.AGGREGATE(15,3,(TableDiv[[Agency]:[Agency]]=$E598)/(TableDiv[[Agency]:[Agency]]=$E598)*(ROW(TableDiv[Agency])-ROW(TableDiv[[#Headers],[Agency]])),COLUMNS($F$7:AA$7))))</f>
        <v/>
      </c>
      <c r="AB598" s="2223" t="str" cm="1">
        <f t="array" ref="AB598">IF($D598&lt;COLUMNS($F$7:AB$7),"",INDEX(TableDiv[[GASB]:[GASB]],_xlfn.AGGREGATE(15,3,(TableDiv[[Agency]:[Agency]]=$E598)/(TableDiv[[Agency]:[Agency]]=$E598)*(ROW(TableDiv[Agency])-ROW(TableDiv[[#Headers],[Agency]])),COLUMNS($F$7:AB$7))))</f>
        <v/>
      </c>
      <c r="AC598" s="2223" t="str" cm="1">
        <f t="array" ref="AC598">IF($D598&lt;COLUMNS($F$7:AC$7),"",INDEX(TableDiv[[GASB]:[GASB]],_xlfn.AGGREGATE(15,3,(TableDiv[[Agency]:[Agency]]=$E598)/(TableDiv[[Agency]:[Agency]]=$E598)*(ROW(TableDiv[Agency])-ROW(TableDiv[[#Headers],[Agency]])),COLUMNS($F$7:AC$7))))</f>
        <v/>
      </c>
      <c r="AD598" s="2223" t="str" cm="1">
        <f t="array" ref="AD598">IF($D598&lt;COLUMNS($F$7:AD$7),"",INDEX(TableDiv[[GASB]:[GASB]],_xlfn.AGGREGATE(15,3,(TableDiv[[Agency]:[Agency]]=$E598)/(TableDiv[[Agency]:[Agency]]=$E598)*(ROW(TableDiv[Agency])-ROW(TableDiv[[#Headers],[Agency]])),COLUMNS($F$7:AD$7))))</f>
        <v/>
      </c>
      <c r="AE598" s="2223" t="str" cm="1">
        <f t="array" ref="AE598">IF($D598&lt;COLUMNS($F$7:AE$7),"",INDEX(TableDiv[[GASB]:[GASB]],_xlfn.AGGREGATE(15,3,(TableDiv[[Agency]:[Agency]]=$E598)/(TableDiv[[Agency]:[Agency]]=$E598)*(ROW(TableDiv[Agency])-ROW(TableDiv[[#Headers],[Agency]])),COLUMNS($F$7:AE$7))))</f>
        <v/>
      </c>
      <c r="AF598" s="2223" t="str" cm="1">
        <f t="array" ref="AF598">IF($D598&lt;COLUMNS($F$7:AF$7),"",INDEX(TableDiv[[GASB]:[GASB]],_xlfn.AGGREGATE(15,3,(TableDiv[[Agency]:[Agency]]=$E598)/(TableDiv[[Agency]:[Agency]]=$E598)*(ROW(TableDiv[Agency])-ROW(TableDiv[[#Headers],[Agency]])),COLUMNS($F$7:AF$7))))</f>
        <v/>
      </c>
      <c r="AG598" s="2223" t="str" cm="1">
        <f t="array" ref="AG598">IF($D598&lt;COLUMNS($F$7:AG$7),"",INDEX(TableDiv[[GASB]:[GASB]],_xlfn.AGGREGATE(15,3,(TableDiv[[Agency]:[Agency]]=$E598)/(TableDiv[[Agency]:[Agency]]=$E598)*(ROW(TableDiv[Agency])-ROW(TableDiv[[#Headers],[Agency]])),COLUMNS($F$7:AG$7))))</f>
        <v/>
      </c>
      <c r="AH598" s="2223" t="str" cm="1">
        <f t="array" ref="AH598">IF($D598&lt;COLUMNS($F$7:AH$7),"",INDEX(TableDiv[[GASB]:[GASB]],_xlfn.AGGREGATE(15,3,(TableDiv[[Agency]:[Agency]]=$E598)/(TableDiv[[Agency]:[Agency]]=$E598)*(ROW(TableDiv[Agency])-ROW(TableDiv[[#Headers],[Agency]])),COLUMNS($F$7:AH$7))))</f>
        <v/>
      </c>
      <c r="AI598" s="2223" t="str" cm="1">
        <f t="array" ref="AI598">IF($D598&lt;COLUMNS($F$7:AI$7),"",INDEX(TableDiv[[GASB]:[GASB]],_xlfn.AGGREGATE(15,3,(TableDiv[[Agency]:[Agency]]=$E598)/(TableDiv[[Agency]:[Agency]]=$E598)*(ROW(TableDiv[Agency])-ROW(TableDiv[[#Headers],[Agency]])),COLUMNS($F$7:AI$7))))</f>
        <v/>
      </c>
      <c r="AJ598" s="2223" t="str" cm="1">
        <f t="array" ref="AJ598">IF($D598&lt;COLUMNS($F$7:AJ$7),"",INDEX(TableDiv[[GASB]:[GASB]],_xlfn.AGGREGATE(15,3,(TableDiv[[Agency]:[Agency]]=$E598)/(TableDiv[[Agency]:[Agency]]=$E598)*(ROW(TableDiv[Agency])-ROW(TableDiv[[#Headers],[Agency]])),COLUMNS($F$7:AJ$7))))</f>
        <v/>
      </c>
      <c r="AK598" s="2223" t="str" cm="1">
        <f t="array" ref="AK598">IF($D598&lt;COLUMNS($F$7:AK$7),"",INDEX(TableDiv[[GASB]:[GASB]],_xlfn.AGGREGATE(15,3,(TableDiv[[Agency]:[Agency]]=$E598)/(TableDiv[[Agency]:[Agency]]=$E598)*(ROW(TableDiv[Agency])-ROW(TableDiv[[#Headers],[Agency]])),COLUMNS($F$7:AK$7))))</f>
        <v/>
      </c>
      <c r="AL598" s="2223" t="str" cm="1">
        <f t="array" ref="AL598">IF($D598&lt;COLUMNS($F$7:AL$7),"",INDEX(TableDiv[[GASB]:[GASB]],_xlfn.AGGREGATE(15,3,(TableDiv[[Agency]:[Agency]]=$E598)/(TableDiv[[Agency]:[Agency]]=$E598)*(ROW(TableDiv[Agency])-ROW(TableDiv[[#Headers],[Agency]])),COLUMNS($F$7:AL$7))))</f>
        <v/>
      </c>
      <c r="AM598" s="2223" t="str" cm="1">
        <f t="array" ref="AM598">IF($D598&lt;COLUMNS($F$7:AM$7),"",INDEX(TableDiv[[GASB]:[GASB]],_xlfn.AGGREGATE(15,3,(TableDiv[[Agency]:[Agency]]=$E598)/(TableDiv[[Agency]:[Agency]]=$E598)*(ROW(TableDiv[Agency])-ROW(TableDiv[[#Headers],[Agency]])),COLUMNS($F$7:AM$7))))</f>
        <v/>
      </c>
      <c r="AN598" s="2223"/>
      <c r="AO598" s="2223"/>
      <c r="AP598" s="2223"/>
      <c r="AQ598" s="2223"/>
      <c r="AR598" s="2223"/>
      <c r="AS598" s="2223"/>
    </row>
    <row r="599" spans="1:45" x14ac:dyDescent="0.2">
      <c r="A599" s="2223"/>
      <c r="B599" s="2223"/>
      <c r="C599" s="2223"/>
      <c r="W599" s="2223" t="str" cm="1">
        <f t="array" ref="W599">IF($D599&lt;COLUMNS($F$7:W$7),"",INDEX(TableDiv[[GASB]:[GASB]],_xlfn.AGGREGATE(15,3,(TableDiv[[Agency]:[Agency]]=$E599)/(TableDiv[[Agency]:[Agency]]=$E599)*(ROW(TableDiv[Agency])-ROW(TableDiv[[#Headers],[Agency]])),COLUMNS($F$7:W$7))))</f>
        <v/>
      </c>
      <c r="X599" s="2223" t="str" cm="1">
        <f t="array" ref="X599">IF($D599&lt;COLUMNS($F$7:X$7),"",INDEX(TableDiv[[GASB]:[GASB]],_xlfn.AGGREGATE(15,3,(TableDiv[[Agency]:[Agency]]=$E599)/(TableDiv[[Agency]:[Agency]]=$E599)*(ROW(TableDiv[Agency])-ROW(TableDiv[[#Headers],[Agency]])),COLUMNS($F$7:X$7))))</f>
        <v/>
      </c>
      <c r="Y599" s="2223" t="str" cm="1">
        <f t="array" ref="Y599">IF($D599&lt;COLUMNS($F$7:Y$7),"",INDEX(TableDiv[[GASB]:[GASB]],_xlfn.AGGREGATE(15,3,(TableDiv[[Agency]:[Agency]]=$E599)/(TableDiv[[Agency]:[Agency]]=$E599)*(ROW(TableDiv[Agency])-ROW(TableDiv[[#Headers],[Agency]])),COLUMNS($F$7:Y$7))))</f>
        <v/>
      </c>
      <c r="Z599" s="2223" t="str" cm="1">
        <f t="array" ref="Z599">IF($D599&lt;COLUMNS($F$7:Z$7),"",INDEX(TableDiv[[GASB]:[GASB]],_xlfn.AGGREGATE(15,3,(TableDiv[[Agency]:[Agency]]=$E599)/(TableDiv[[Agency]:[Agency]]=$E599)*(ROW(TableDiv[Agency])-ROW(TableDiv[[#Headers],[Agency]])),COLUMNS($F$7:Z$7))))</f>
        <v/>
      </c>
      <c r="AA599" s="2223" t="str" cm="1">
        <f t="array" ref="AA599">IF($D599&lt;COLUMNS($F$7:AA$7),"",INDEX(TableDiv[[GASB]:[GASB]],_xlfn.AGGREGATE(15,3,(TableDiv[[Agency]:[Agency]]=$E599)/(TableDiv[[Agency]:[Agency]]=$E599)*(ROW(TableDiv[Agency])-ROW(TableDiv[[#Headers],[Agency]])),COLUMNS($F$7:AA$7))))</f>
        <v/>
      </c>
      <c r="AB599" s="2223" t="str" cm="1">
        <f t="array" ref="AB599">IF($D599&lt;COLUMNS($F$7:AB$7),"",INDEX(TableDiv[[GASB]:[GASB]],_xlfn.AGGREGATE(15,3,(TableDiv[[Agency]:[Agency]]=$E599)/(TableDiv[[Agency]:[Agency]]=$E599)*(ROW(TableDiv[Agency])-ROW(TableDiv[[#Headers],[Agency]])),COLUMNS($F$7:AB$7))))</f>
        <v/>
      </c>
      <c r="AC599" s="2223" t="str" cm="1">
        <f t="array" ref="AC599">IF($D599&lt;COLUMNS($F$7:AC$7),"",INDEX(TableDiv[[GASB]:[GASB]],_xlfn.AGGREGATE(15,3,(TableDiv[[Agency]:[Agency]]=$E599)/(TableDiv[[Agency]:[Agency]]=$E599)*(ROW(TableDiv[Agency])-ROW(TableDiv[[#Headers],[Agency]])),COLUMNS($F$7:AC$7))))</f>
        <v/>
      </c>
      <c r="AD599" s="2223" t="str" cm="1">
        <f t="array" ref="AD599">IF($D599&lt;COLUMNS($F$7:AD$7),"",INDEX(TableDiv[[GASB]:[GASB]],_xlfn.AGGREGATE(15,3,(TableDiv[[Agency]:[Agency]]=$E599)/(TableDiv[[Agency]:[Agency]]=$E599)*(ROW(TableDiv[Agency])-ROW(TableDiv[[#Headers],[Agency]])),COLUMNS($F$7:AD$7))))</f>
        <v/>
      </c>
      <c r="AE599" s="2223" t="str" cm="1">
        <f t="array" ref="AE599">IF($D599&lt;COLUMNS($F$7:AE$7),"",INDEX(TableDiv[[GASB]:[GASB]],_xlfn.AGGREGATE(15,3,(TableDiv[[Agency]:[Agency]]=$E599)/(TableDiv[[Agency]:[Agency]]=$E599)*(ROW(TableDiv[Agency])-ROW(TableDiv[[#Headers],[Agency]])),COLUMNS($F$7:AE$7))))</f>
        <v/>
      </c>
      <c r="AF599" s="2223" t="str" cm="1">
        <f t="array" ref="AF599">IF($D599&lt;COLUMNS($F$7:AF$7),"",INDEX(TableDiv[[GASB]:[GASB]],_xlfn.AGGREGATE(15,3,(TableDiv[[Agency]:[Agency]]=$E599)/(TableDiv[[Agency]:[Agency]]=$E599)*(ROW(TableDiv[Agency])-ROW(TableDiv[[#Headers],[Agency]])),COLUMNS($F$7:AF$7))))</f>
        <v/>
      </c>
      <c r="AG599" s="2223" t="str" cm="1">
        <f t="array" ref="AG599">IF($D599&lt;COLUMNS($F$7:AG$7),"",INDEX(TableDiv[[GASB]:[GASB]],_xlfn.AGGREGATE(15,3,(TableDiv[[Agency]:[Agency]]=$E599)/(TableDiv[[Agency]:[Agency]]=$E599)*(ROW(TableDiv[Agency])-ROW(TableDiv[[#Headers],[Agency]])),COLUMNS($F$7:AG$7))))</f>
        <v/>
      </c>
      <c r="AH599" s="2223" t="str" cm="1">
        <f t="array" ref="AH599">IF($D599&lt;COLUMNS($F$7:AH$7),"",INDEX(TableDiv[[GASB]:[GASB]],_xlfn.AGGREGATE(15,3,(TableDiv[[Agency]:[Agency]]=$E599)/(TableDiv[[Agency]:[Agency]]=$E599)*(ROW(TableDiv[Agency])-ROW(TableDiv[[#Headers],[Agency]])),COLUMNS($F$7:AH$7))))</f>
        <v/>
      </c>
      <c r="AI599" s="2223" t="str" cm="1">
        <f t="array" ref="AI599">IF($D599&lt;COLUMNS($F$7:AI$7),"",INDEX(TableDiv[[GASB]:[GASB]],_xlfn.AGGREGATE(15,3,(TableDiv[[Agency]:[Agency]]=$E599)/(TableDiv[[Agency]:[Agency]]=$E599)*(ROW(TableDiv[Agency])-ROW(TableDiv[[#Headers],[Agency]])),COLUMNS($F$7:AI$7))))</f>
        <v/>
      </c>
      <c r="AJ599" s="2223" t="str" cm="1">
        <f t="array" ref="AJ599">IF($D599&lt;COLUMNS($F$7:AJ$7),"",INDEX(TableDiv[[GASB]:[GASB]],_xlfn.AGGREGATE(15,3,(TableDiv[[Agency]:[Agency]]=$E599)/(TableDiv[[Agency]:[Agency]]=$E599)*(ROW(TableDiv[Agency])-ROW(TableDiv[[#Headers],[Agency]])),COLUMNS($F$7:AJ$7))))</f>
        <v/>
      </c>
      <c r="AK599" s="2223" t="str" cm="1">
        <f t="array" ref="AK599">IF($D599&lt;COLUMNS($F$7:AK$7),"",INDEX(TableDiv[[GASB]:[GASB]],_xlfn.AGGREGATE(15,3,(TableDiv[[Agency]:[Agency]]=$E599)/(TableDiv[[Agency]:[Agency]]=$E599)*(ROW(TableDiv[Agency])-ROW(TableDiv[[#Headers],[Agency]])),COLUMNS($F$7:AK$7))))</f>
        <v/>
      </c>
      <c r="AL599" s="2223" t="str" cm="1">
        <f t="array" ref="AL599">IF($D599&lt;COLUMNS($F$7:AL$7),"",INDEX(TableDiv[[GASB]:[GASB]],_xlfn.AGGREGATE(15,3,(TableDiv[[Agency]:[Agency]]=$E599)/(TableDiv[[Agency]:[Agency]]=$E599)*(ROW(TableDiv[Agency])-ROW(TableDiv[[#Headers],[Agency]])),COLUMNS($F$7:AL$7))))</f>
        <v/>
      </c>
      <c r="AM599" s="2223" t="str" cm="1">
        <f t="array" ref="AM599">IF($D599&lt;COLUMNS($F$7:AM$7),"",INDEX(TableDiv[[GASB]:[GASB]],_xlfn.AGGREGATE(15,3,(TableDiv[[Agency]:[Agency]]=$E599)/(TableDiv[[Agency]:[Agency]]=$E599)*(ROW(TableDiv[Agency])-ROW(TableDiv[[#Headers],[Agency]])),COLUMNS($F$7:AM$7))))</f>
        <v/>
      </c>
      <c r="AN599" s="2223"/>
      <c r="AO599" s="2223"/>
      <c r="AP599" s="2223"/>
      <c r="AQ599" s="2223"/>
      <c r="AR599" s="2223"/>
      <c r="AS599" s="2223"/>
    </row>
    <row r="600" spans="1:45" x14ac:dyDescent="0.2">
      <c r="A600" s="2223"/>
      <c r="B600" s="2223"/>
      <c r="C600" s="2223"/>
      <c r="W600" s="2223" t="str" cm="1">
        <f t="array" ref="W600">IF($D600&lt;COLUMNS($F$7:W$7),"",INDEX(TableDiv[[GASB]:[GASB]],_xlfn.AGGREGATE(15,3,(TableDiv[[Agency]:[Agency]]=$E600)/(TableDiv[[Agency]:[Agency]]=$E600)*(ROW(TableDiv[Agency])-ROW(TableDiv[[#Headers],[Agency]])),COLUMNS($F$7:W$7))))</f>
        <v/>
      </c>
      <c r="X600" s="2223" t="str" cm="1">
        <f t="array" ref="X600">IF($D600&lt;COLUMNS($F$7:X$7),"",INDEX(TableDiv[[GASB]:[GASB]],_xlfn.AGGREGATE(15,3,(TableDiv[[Agency]:[Agency]]=$E600)/(TableDiv[[Agency]:[Agency]]=$E600)*(ROW(TableDiv[Agency])-ROW(TableDiv[[#Headers],[Agency]])),COLUMNS($F$7:X$7))))</f>
        <v/>
      </c>
      <c r="Y600" s="2223" t="str" cm="1">
        <f t="array" ref="Y600">IF($D600&lt;COLUMNS($F$7:Y$7),"",INDEX(TableDiv[[GASB]:[GASB]],_xlfn.AGGREGATE(15,3,(TableDiv[[Agency]:[Agency]]=$E600)/(TableDiv[[Agency]:[Agency]]=$E600)*(ROW(TableDiv[Agency])-ROW(TableDiv[[#Headers],[Agency]])),COLUMNS($F$7:Y$7))))</f>
        <v/>
      </c>
      <c r="Z600" s="2223" t="str" cm="1">
        <f t="array" ref="Z600">IF($D600&lt;COLUMNS($F$7:Z$7),"",INDEX(TableDiv[[GASB]:[GASB]],_xlfn.AGGREGATE(15,3,(TableDiv[[Agency]:[Agency]]=$E600)/(TableDiv[[Agency]:[Agency]]=$E600)*(ROW(TableDiv[Agency])-ROW(TableDiv[[#Headers],[Agency]])),COLUMNS($F$7:Z$7))))</f>
        <v/>
      </c>
      <c r="AA600" s="2223" t="str" cm="1">
        <f t="array" ref="AA600">IF($D600&lt;COLUMNS($F$7:AA$7),"",INDEX(TableDiv[[GASB]:[GASB]],_xlfn.AGGREGATE(15,3,(TableDiv[[Agency]:[Agency]]=$E600)/(TableDiv[[Agency]:[Agency]]=$E600)*(ROW(TableDiv[Agency])-ROW(TableDiv[[#Headers],[Agency]])),COLUMNS($F$7:AA$7))))</f>
        <v/>
      </c>
      <c r="AB600" s="2223" t="str" cm="1">
        <f t="array" ref="AB600">IF($D600&lt;COLUMNS($F$7:AB$7),"",INDEX(TableDiv[[GASB]:[GASB]],_xlfn.AGGREGATE(15,3,(TableDiv[[Agency]:[Agency]]=$E600)/(TableDiv[[Agency]:[Agency]]=$E600)*(ROW(TableDiv[Agency])-ROW(TableDiv[[#Headers],[Agency]])),COLUMNS($F$7:AB$7))))</f>
        <v/>
      </c>
      <c r="AC600" s="2223" t="str" cm="1">
        <f t="array" ref="AC600">IF($D600&lt;COLUMNS($F$7:AC$7),"",INDEX(TableDiv[[GASB]:[GASB]],_xlfn.AGGREGATE(15,3,(TableDiv[[Agency]:[Agency]]=$E600)/(TableDiv[[Agency]:[Agency]]=$E600)*(ROW(TableDiv[Agency])-ROW(TableDiv[[#Headers],[Agency]])),COLUMNS($F$7:AC$7))))</f>
        <v/>
      </c>
      <c r="AD600" s="2223" t="str" cm="1">
        <f t="array" ref="AD600">IF($D600&lt;COLUMNS($F$7:AD$7),"",INDEX(TableDiv[[GASB]:[GASB]],_xlfn.AGGREGATE(15,3,(TableDiv[[Agency]:[Agency]]=$E600)/(TableDiv[[Agency]:[Agency]]=$E600)*(ROW(TableDiv[Agency])-ROW(TableDiv[[#Headers],[Agency]])),COLUMNS($F$7:AD$7))))</f>
        <v/>
      </c>
      <c r="AE600" s="2223" t="str" cm="1">
        <f t="array" ref="AE600">IF($D600&lt;COLUMNS($F$7:AE$7),"",INDEX(TableDiv[[GASB]:[GASB]],_xlfn.AGGREGATE(15,3,(TableDiv[[Agency]:[Agency]]=$E600)/(TableDiv[[Agency]:[Agency]]=$E600)*(ROW(TableDiv[Agency])-ROW(TableDiv[[#Headers],[Agency]])),COLUMNS($F$7:AE$7))))</f>
        <v/>
      </c>
      <c r="AF600" s="2223" t="str" cm="1">
        <f t="array" ref="AF600">IF($D600&lt;COLUMNS($F$7:AF$7),"",INDEX(TableDiv[[GASB]:[GASB]],_xlfn.AGGREGATE(15,3,(TableDiv[[Agency]:[Agency]]=$E600)/(TableDiv[[Agency]:[Agency]]=$E600)*(ROW(TableDiv[Agency])-ROW(TableDiv[[#Headers],[Agency]])),COLUMNS($F$7:AF$7))))</f>
        <v/>
      </c>
      <c r="AG600" s="2223" t="str" cm="1">
        <f t="array" ref="AG600">IF($D600&lt;COLUMNS($F$7:AG$7),"",INDEX(TableDiv[[GASB]:[GASB]],_xlfn.AGGREGATE(15,3,(TableDiv[[Agency]:[Agency]]=$E600)/(TableDiv[[Agency]:[Agency]]=$E600)*(ROW(TableDiv[Agency])-ROW(TableDiv[[#Headers],[Agency]])),COLUMNS($F$7:AG$7))))</f>
        <v/>
      </c>
      <c r="AH600" s="2223" t="str" cm="1">
        <f t="array" ref="AH600">IF($D600&lt;COLUMNS($F$7:AH$7),"",INDEX(TableDiv[[GASB]:[GASB]],_xlfn.AGGREGATE(15,3,(TableDiv[[Agency]:[Agency]]=$E600)/(TableDiv[[Agency]:[Agency]]=$E600)*(ROW(TableDiv[Agency])-ROW(TableDiv[[#Headers],[Agency]])),COLUMNS($F$7:AH$7))))</f>
        <v/>
      </c>
      <c r="AI600" s="2223" t="str" cm="1">
        <f t="array" ref="AI600">IF($D600&lt;COLUMNS($F$7:AI$7),"",INDEX(TableDiv[[GASB]:[GASB]],_xlfn.AGGREGATE(15,3,(TableDiv[[Agency]:[Agency]]=$E600)/(TableDiv[[Agency]:[Agency]]=$E600)*(ROW(TableDiv[Agency])-ROW(TableDiv[[#Headers],[Agency]])),COLUMNS($F$7:AI$7))))</f>
        <v/>
      </c>
      <c r="AJ600" s="2223" t="str" cm="1">
        <f t="array" ref="AJ600">IF($D600&lt;COLUMNS($F$7:AJ$7),"",INDEX(TableDiv[[GASB]:[GASB]],_xlfn.AGGREGATE(15,3,(TableDiv[[Agency]:[Agency]]=$E600)/(TableDiv[[Agency]:[Agency]]=$E600)*(ROW(TableDiv[Agency])-ROW(TableDiv[[#Headers],[Agency]])),COLUMNS($F$7:AJ$7))))</f>
        <v/>
      </c>
      <c r="AK600" s="2223" t="str" cm="1">
        <f t="array" ref="AK600">IF($D600&lt;COLUMNS($F$7:AK$7),"",INDEX(TableDiv[[GASB]:[GASB]],_xlfn.AGGREGATE(15,3,(TableDiv[[Agency]:[Agency]]=$E600)/(TableDiv[[Agency]:[Agency]]=$E600)*(ROW(TableDiv[Agency])-ROW(TableDiv[[#Headers],[Agency]])),COLUMNS($F$7:AK$7))))</f>
        <v/>
      </c>
      <c r="AL600" s="2223" t="str" cm="1">
        <f t="array" ref="AL600">IF($D600&lt;COLUMNS($F$7:AL$7),"",INDEX(TableDiv[[GASB]:[GASB]],_xlfn.AGGREGATE(15,3,(TableDiv[[Agency]:[Agency]]=$E600)/(TableDiv[[Agency]:[Agency]]=$E600)*(ROW(TableDiv[Agency])-ROW(TableDiv[[#Headers],[Agency]])),COLUMNS($F$7:AL$7))))</f>
        <v/>
      </c>
      <c r="AM600" s="2223" t="str" cm="1">
        <f t="array" ref="AM600">IF($D600&lt;COLUMNS($F$7:AM$7),"",INDEX(TableDiv[[GASB]:[GASB]],_xlfn.AGGREGATE(15,3,(TableDiv[[Agency]:[Agency]]=$E600)/(TableDiv[[Agency]:[Agency]]=$E600)*(ROW(TableDiv[Agency])-ROW(TableDiv[[#Headers],[Agency]])),COLUMNS($F$7:AM$7))))</f>
        <v/>
      </c>
      <c r="AN600" s="2223"/>
      <c r="AO600" s="2223"/>
      <c r="AP600" s="2223"/>
      <c r="AQ600" s="2223"/>
      <c r="AR600" s="2223"/>
      <c r="AS600" s="2223"/>
    </row>
    <row r="601" spans="1:45" x14ac:dyDescent="0.2">
      <c r="A601" s="2223"/>
      <c r="B601" s="2223"/>
      <c r="C601" s="2223"/>
      <c r="W601" s="2223" t="str" cm="1">
        <f t="array" ref="W601">IF($D601&lt;COLUMNS($F$7:W$7),"",INDEX(TableDiv[[GASB]:[GASB]],_xlfn.AGGREGATE(15,3,(TableDiv[[Agency]:[Agency]]=$E601)/(TableDiv[[Agency]:[Agency]]=$E601)*(ROW(TableDiv[Agency])-ROW(TableDiv[[#Headers],[Agency]])),COLUMNS($F$7:W$7))))</f>
        <v/>
      </c>
      <c r="X601" s="2223" t="str" cm="1">
        <f t="array" ref="X601">IF($D601&lt;COLUMNS($F$7:X$7),"",INDEX(TableDiv[[GASB]:[GASB]],_xlfn.AGGREGATE(15,3,(TableDiv[[Agency]:[Agency]]=$E601)/(TableDiv[[Agency]:[Agency]]=$E601)*(ROW(TableDiv[Agency])-ROW(TableDiv[[#Headers],[Agency]])),COLUMNS($F$7:X$7))))</f>
        <v/>
      </c>
      <c r="Y601" s="2223" t="str" cm="1">
        <f t="array" ref="Y601">IF($D601&lt;COLUMNS($F$7:Y$7),"",INDEX(TableDiv[[GASB]:[GASB]],_xlfn.AGGREGATE(15,3,(TableDiv[[Agency]:[Agency]]=$E601)/(TableDiv[[Agency]:[Agency]]=$E601)*(ROW(TableDiv[Agency])-ROW(TableDiv[[#Headers],[Agency]])),COLUMNS($F$7:Y$7))))</f>
        <v/>
      </c>
      <c r="Z601" s="2223" t="str" cm="1">
        <f t="array" ref="Z601">IF($D601&lt;COLUMNS($F$7:Z$7),"",INDEX(TableDiv[[GASB]:[GASB]],_xlfn.AGGREGATE(15,3,(TableDiv[[Agency]:[Agency]]=$E601)/(TableDiv[[Agency]:[Agency]]=$E601)*(ROW(TableDiv[Agency])-ROW(TableDiv[[#Headers],[Agency]])),COLUMNS($F$7:Z$7))))</f>
        <v/>
      </c>
      <c r="AA601" s="2223" t="str" cm="1">
        <f t="array" ref="AA601">IF($D601&lt;COLUMNS($F$7:AA$7),"",INDEX(TableDiv[[GASB]:[GASB]],_xlfn.AGGREGATE(15,3,(TableDiv[[Agency]:[Agency]]=$E601)/(TableDiv[[Agency]:[Agency]]=$E601)*(ROW(TableDiv[Agency])-ROW(TableDiv[[#Headers],[Agency]])),COLUMNS($F$7:AA$7))))</f>
        <v/>
      </c>
      <c r="AB601" s="2223" t="str" cm="1">
        <f t="array" ref="AB601">IF($D601&lt;COLUMNS($F$7:AB$7),"",INDEX(TableDiv[[GASB]:[GASB]],_xlfn.AGGREGATE(15,3,(TableDiv[[Agency]:[Agency]]=$E601)/(TableDiv[[Agency]:[Agency]]=$E601)*(ROW(TableDiv[Agency])-ROW(TableDiv[[#Headers],[Agency]])),COLUMNS($F$7:AB$7))))</f>
        <v/>
      </c>
      <c r="AC601" s="2223" t="str" cm="1">
        <f t="array" ref="AC601">IF($D601&lt;COLUMNS($F$7:AC$7),"",INDEX(TableDiv[[GASB]:[GASB]],_xlfn.AGGREGATE(15,3,(TableDiv[[Agency]:[Agency]]=$E601)/(TableDiv[[Agency]:[Agency]]=$E601)*(ROW(TableDiv[Agency])-ROW(TableDiv[[#Headers],[Agency]])),COLUMNS($F$7:AC$7))))</f>
        <v/>
      </c>
      <c r="AD601" s="2223" t="str" cm="1">
        <f t="array" ref="AD601">IF($D601&lt;COLUMNS($F$7:AD$7),"",INDEX(TableDiv[[GASB]:[GASB]],_xlfn.AGGREGATE(15,3,(TableDiv[[Agency]:[Agency]]=$E601)/(TableDiv[[Agency]:[Agency]]=$E601)*(ROW(TableDiv[Agency])-ROW(TableDiv[[#Headers],[Agency]])),COLUMNS($F$7:AD$7))))</f>
        <v/>
      </c>
      <c r="AE601" s="2223" t="str" cm="1">
        <f t="array" ref="AE601">IF($D601&lt;COLUMNS($F$7:AE$7),"",INDEX(TableDiv[[GASB]:[GASB]],_xlfn.AGGREGATE(15,3,(TableDiv[[Agency]:[Agency]]=$E601)/(TableDiv[[Agency]:[Agency]]=$E601)*(ROW(TableDiv[Agency])-ROW(TableDiv[[#Headers],[Agency]])),COLUMNS($F$7:AE$7))))</f>
        <v/>
      </c>
      <c r="AF601" s="2223" t="str" cm="1">
        <f t="array" ref="AF601">IF($D601&lt;COLUMNS($F$7:AF$7),"",INDEX(TableDiv[[GASB]:[GASB]],_xlfn.AGGREGATE(15,3,(TableDiv[[Agency]:[Agency]]=$E601)/(TableDiv[[Agency]:[Agency]]=$E601)*(ROW(TableDiv[Agency])-ROW(TableDiv[[#Headers],[Agency]])),COLUMNS($F$7:AF$7))))</f>
        <v/>
      </c>
      <c r="AG601" s="2223" t="str" cm="1">
        <f t="array" ref="AG601">IF($D601&lt;COLUMNS($F$7:AG$7),"",INDEX(TableDiv[[GASB]:[GASB]],_xlfn.AGGREGATE(15,3,(TableDiv[[Agency]:[Agency]]=$E601)/(TableDiv[[Agency]:[Agency]]=$E601)*(ROW(TableDiv[Agency])-ROW(TableDiv[[#Headers],[Agency]])),COLUMNS($F$7:AG$7))))</f>
        <v/>
      </c>
      <c r="AH601" s="2223" t="str" cm="1">
        <f t="array" ref="AH601">IF($D601&lt;COLUMNS($F$7:AH$7),"",INDEX(TableDiv[[GASB]:[GASB]],_xlfn.AGGREGATE(15,3,(TableDiv[[Agency]:[Agency]]=$E601)/(TableDiv[[Agency]:[Agency]]=$E601)*(ROW(TableDiv[Agency])-ROW(TableDiv[[#Headers],[Agency]])),COLUMNS($F$7:AH$7))))</f>
        <v/>
      </c>
      <c r="AI601" s="2223" t="str" cm="1">
        <f t="array" ref="AI601">IF($D601&lt;COLUMNS($F$7:AI$7),"",INDEX(TableDiv[[GASB]:[GASB]],_xlfn.AGGREGATE(15,3,(TableDiv[[Agency]:[Agency]]=$E601)/(TableDiv[[Agency]:[Agency]]=$E601)*(ROW(TableDiv[Agency])-ROW(TableDiv[[#Headers],[Agency]])),COLUMNS($F$7:AI$7))))</f>
        <v/>
      </c>
      <c r="AJ601" s="2223" t="str" cm="1">
        <f t="array" ref="AJ601">IF($D601&lt;COLUMNS($F$7:AJ$7),"",INDEX(TableDiv[[GASB]:[GASB]],_xlfn.AGGREGATE(15,3,(TableDiv[[Agency]:[Agency]]=$E601)/(TableDiv[[Agency]:[Agency]]=$E601)*(ROW(TableDiv[Agency])-ROW(TableDiv[[#Headers],[Agency]])),COLUMNS($F$7:AJ$7))))</f>
        <v/>
      </c>
      <c r="AK601" s="2223" t="str" cm="1">
        <f t="array" ref="AK601">IF($D601&lt;COLUMNS($F$7:AK$7),"",INDEX(TableDiv[[GASB]:[GASB]],_xlfn.AGGREGATE(15,3,(TableDiv[[Agency]:[Agency]]=$E601)/(TableDiv[[Agency]:[Agency]]=$E601)*(ROW(TableDiv[Agency])-ROW(TableDiv[[#Headers],[Agency]])),COLUMNS($F$7:AK$7))))</f>
        <v/>
      </c>
      <c r="AL601" s="2223" t="str" cm="1">
        <f t="array" ref="AL601">IF($D601&lt;COLUMNS($F$7:AL$7),"",INDEX(TableDiv[[GASB]:[GASB]],_xlfn.AGGREGATE(15,3,(TableDiv[[Agency]:[Agency]]=$E601)/(TableDiv[[Agency]:[Agency]]=$E601)*(ROW(TableDiv[Agency])-ROW(TableDiv[[#Headers],[Agency]])),COLUMNS($F$7:AL$7))))</f>
        <v/>
      </c>
      <c r="AM601" s="2223" t="str" cm="1">
        <f t="array" ref="AM601">IF($D601&lt;COLUMNS($F$7:AM$7),"",INDEX(TableDiv[[GASB]:[GASB]],_xlfn.AGGREGATE(15,3,(TableDiv[[Agency]:[Agency]]=$E601)/(TableDiv[[Agency]:[Agency]]=$E601)*(ROW(TableDiv[Agency])-ROW(TableDiv[[#Headers],[Agency]])),COLUMNS($F$7:AM$7))))</f>
        <v/>
      </c>
      <c r="AN601" s="2223"/>
      <c r="AO601" s="2223"/>
      <c r="AP601" s="2223"/>
      <c r="AQ601" s="2223"/>
      <c r="AR601" s="2223"/>
      <c r="AS601" s="2223"/>
    </row>
    <row r="602" spans="1:45" x14ac:dyDescent="0.2">
      <c r="A602" s="2223"/>
      <c r="B602" s="2223"/>
      <c r="C602" s="2223"/>
      <c r="W602" s="2223" t="str" cm="1">
        <f t="array" ref="W602">IF($D602&lt;COLUMNS($F$7:W$7),"",INDEX(TableDiv[[GASB]:[GASB]],_xlfn.AGGREGATE(15,3,(TableDiv[[Agency]:[Agency]]=$E602)/(TableDiv[[Agency]:[Agency]]=$E602)*(ROW(TableDiv[Agency])-ROW(TableDiv[[#Headers],[Agency]])),COLUMNS($F$7:W$7))))</f>
        <v/>
      </c>
      <c r="X602" s="2223" t="str" cm="1">
        <f t="array" ref="X602">IF($D602&lt;COLUMNS($F$7:X$7),"",INDEX(TableDiv[[GASB]:[GASB]],_xlfn.AGGREGATE(15,3,(TableDiv[[Agency]:[Agency]]=$E602)/(TableDiv[[Agency]:[Agency]]=$E602)*(ROW(TableDiv[Agency])-ROW(TableDiv[[#Headers],[Agency]])),COLUMNS($F$7:X$7))))</f>
        <v/>
      </c>
      <c r="Y602" s="2223" t="str" cm="1">
        <f t="array" ref="Y602">IF($D602&lt;COLUMNS($F$7:Y$7),"",INDEX(TableDiv[[GASB]:[GASB]],_xlfn.AGGREGATE(15,3,(TableDiv[[Agency]:[Agency]]=$E602)/(TableDiv[[Agency]:[Agency]]=$E602)*(ROW(TableDiv[Agency])-ROW(TableDiv[[#Headers],[Agency]])),COLUMNS($F$7:Y$7))))</f>
        <v/>
      </c>
      <c r="Z602" s="2223" t="str" cm="1">
        <f t="array" ref="Z602">IF($D602&lt;COLUMNS($F$7:Z$7),"",INDEX(TableDiv[[GASB]:[GASB]],_xlfn.AGGREGATE(15,3,(TableDiv[[Agency]:[Agency]]=$E602)/(TableDiv[[Agency]:[Agency]]=$E602)*(ROW(TableDiv[Agency])-ROW(TableDiv[[#Headers],[Agency]])),COLUMNS($F$7:Z$7))))</f>
        <v/>
      </c>
      <c r="AA602" s="2223" t="str" cm="1">
        <f t="array" ref="AA602">IF($D602&lt;COLUMNS($F$7:AA$7),"",INDEX(TableDiv[[GASB]:[GASB]],_xlfn.AGGREGATE(15,3,(TableDiv[[Agency]:[Agency]]=$E602)/(TableDiv[[Agency]:[Agency]]=$E602)*(ROW(TableDiv[Agency])-ROW(TableDiv[[#Headers],[Agency]])),COLUMNS($F$7:AA$7))))</f>
        <v/>
      </c>
      <c r="AB602" s="2223" t="str" cm="1">
        <f t="array" ref="AB602">IF($D602&lt;COLUMNS($F$7:AB$7),"",INDEX(TableDiv[[GASB]:[GASB]],_xlfn.AGGREGATE(15,3,(TableDiv[[Agency]:[Agency]]=$E602)/(TableDiv[[Agency]:[Agency]]=$E602)*(ROW(TableDiv[Agency])-ROW(TableDiv[[#Headers],[Agency]])),COLUMNS($F$7:AB$7))))</f>
        <v/>
      </c>
      <c r="AC602" s="2223" t="str" cm="1">
        <f t="array" ref="AC602">IF($D602&lt;COLUMNS($F$7:AC$7),"",INDEX(TableDiv[[GASB]:[GASB]],_xlfn.AGGREGATE(15,3,(TableDiv[[Agency]:[Agency]]=$E602)/(TableDiv[[Agency]:[Agency]]=$E602)*(ROW(TableDiv[Agency])-ROW(TableDiv[[#Headers],[Agency]])),COLUMNS($F$7:AC$7))))</f>
        <v/>
      </c>
      <c r="AD602" s="2223" t="str" cm="1">
        <f t="array" ref="AD602">IF($D602&lt;COLUMNS($F$7:AD$7),"",INDEX(TableDiv[[GASB]:[GASB]],_xlfn.AGGREGATE(15,3,(TableDiv[[Agency]:[Agency]]=$E602)/(TableDiv[[Agency]:[Agency]]=$E602)*(ROW(TableDiv[Agency])-ROW(TableDiv[[#Headers],[Agency]])),COLUMNS($F$7:AD$7))))</f>
        <v/>
      </c>
      <c r="AE602" s="2223" t="str" cm="1">
        <f t="array" ref="AE602">IF($D602&lt;COLUMNS($F$7:AE$7),"",INDEX(TableDiv[[GASB]:[GASB]],_xlfn.AGGREGATE(15,3,(TableDiv[[Agency]:[Agency]]=$E602)/(TableDiv[[Agency]:[Agency]]=$E602)*(ROW(TableDiv[Agency])-ROW(TableDiv[[#Headers],[Agency]])),COLUMNS($F$7:AE$7))))</f>
        <v/>
      </c>
      <c r="AF602" s="2223" t="str" cm="1">
        <f t="array" ref="AF602">IF($D602&lt;COLUMNS($F$7:AF$7),"",INDEX(TableDiv[[GASB]:[GASB]],_xlfn.AGGREGATE(15,3,(TableDiv[[Agency]:[Agency]]=$E602)/(TableDiv[[Agency]:[Agency]]=$E602)*(ROW(TableDiv[Agency])-ROW(TableDiv[[#Headers],[Agency]])),COLUMNS($F$7:AF$7))))</f>
        <v/>
      </c>
      <c r="AG602" s="2223" t="str" cm="1">
        <f t="array" ref="AG602">IF($D602&lt;COLUMNS($F$7:AG$7),"",INDEX(TableDiv[[GASB]:[GASB]],_xlfn.AGGREGATE(15,3,(TableDiv[[Agency]:[Agency]]=$E602)/(TableDiv[[Agency]:[Agency]]=$E602)*(ROW(TableDiv[Agency])-ROW(TableDiv[[#Headers],[Agency]])),COLUMNS($F$7:AG$7))))</f>
        <v/>
      </c>
      <c r="AH602" s="2223" t="str" cm="1">
        <f t="array" ref="AH602">IF($D602&lt;COLUMNS($F$7:AH$7),"",INDEX(TableDiv[[GASB]:[GASB]],_xlfn.AGGREGATE(15,3,(TableDiv[[Agency]:[Agency]]=$E602)/(TableDiv[[Agency]:[Agency]]=$E602)*(ROW(TableDiv[Agency])-ROW(TableDiv[[#Headers],[Agency]])),COLUMNS($F$7:AH$7))))</f>
        <v/>
      </c>
      <c r="AI602" s="2223" t="str" cm="1">
        <f t="array" ref="AI602">IF($D602&lt;COLUMNS($F$7:AI$7),"",INDEX(TableDiv[[GASB]:[GASB]],_xlfn.AGGREGATE(15,3,(TableDiv[[Agency]:[Agency]]=$E602)/(TableDiv[[Agency]:[Agency]]=$E602)*(ROW(TableDiv[Agency])-ROW(TableDiv[[#Headers],[Agency]])),COLUMNS($F$7:AI$7))))</f>
        <v/>
      </c>
      <c r="AJ602" s="2223" t="str" cm="1">
        <f t="array" ref="AJ602">IF($D602&lt;COLUMNS($F$7:AJ$7),"",INDEX(TableDiv[[GASB]:[GASB]],_xlfn.AGGREGATE(15,3,(TableDiv[[Agency]:[Agency]]=$E602)/(TableDiv[[Agency]:[Agency]]=$E602)*(ROW(TableDiv[Agency])-ROW(TableDiv[[#Headers],[Agency]])),COLUMNS($F$7:AJ$7))))</f>
        <v/>
      </c>
      <c r="AK602" s="2223" t="str" cm="1">
        <f t="array" ref="AK602">IF($D602&lt;COLUMNS($F$7:AK$7),"",INDEX(TableDiv[[GASB]:[GASB]],_xlfn.AGGREGATE(15,3,(TableDiv[[Agency]:[Agency]]=$E602)/(TableDiv[[Agency]:[Agency]]=$E602)*(ROW(TableDiv[Agency])-ROW(TableDiv[[#Headers],[Agency]])),COLUMNS($F$7:AK$7))))</f>
        <v/>
      </c>
      <c r="AL602" s="2223" t="str" cm="1">
        <f t="array" ref="AL602">IF($D602&lt;COLUMNS($F$7:AL$7),"",INDEX(TableDiv[[GASB]:[GASB]],_xlfn.AGGREGATE(15,3,(TableDiv[[Agency]:[Agency]]=$E602)/(TableDiv[[Agency]:[Agency]]=$E602)*(ROW(TableDiv[Agency])-ROW(TableDiv[[#Headers],[Agency]])),COLUMNS($F$7:AL$7))))</f>
        <v/>
      </c>
      <c r="AM602" s="2223" t="str" cm="1">
        <f t="array" ref="AM602">IF($D602&lt;COLUMNS($F$7:AM$7),"",INDEX(TableDiv[[GASB]:[GASB]],_xlfn.AGGREGATE(15,3,(TableDiv[[Agency]:[Agency]]=$E602)/(TableDiv[[Agency]:[Agency]]=$E602)*(ROW(TableDiv[Agency])-ROW(TableDiv[[#Headers],[Agency]])),COLUMNS($F$7:AM$7))))</f>
        <v/>
      </c>
      <c r="AN602" s="2223"/>
      <c r="AO602" s="2223"/>
      <c r="AP602" s="2223"/>
      <c r="AQ602" s="2223"/>
      <c r="AR602" s="2223"/>
      <c r="AS602" s="2223"/>
    </row>
    <row r="603" spans="1:45" x14ac:dyDescent="0.2">
      <c r="A603" s="2223"/>
      <c r="B603" s="2223"/>
      <c r="C603" s="2223"/>
      <c r="W603" s="2223" t="str" cm="1">
        <f t="array" ref="W603">IF($D603&lt;COLUMNS($F$7:W$7),"",INDEX(TableDiv[[GASB]:[GASB]],_xlfn.AGGREGATE(15,3,(TableDiv[[Agency]:[Agency]]=$E603)/(TableDiv[[Agency]:[Agency]]=$E603)*(ROW(TableDiv[Agency])-ROW(TableDiv[[#Headers],[Agency]])),COLUMNS($F$7:W$7))))</f>
        <v/>
      </c>
      <c r="X603" s="2223" t="str" cm="1">
        <f t="array" ref="X603">IF($D603&lt;COLUMNS($F$7:X$7),"",INDEX(TableDiv[[GASB]:[GASB]],_xlfn.AGGREGATE(15,3,(TableDiv[[Agency]:[Agency]]=$E603)/(TableDiv[[Agency]:[Agency]]=$E603)*(ROW(TableDiv[Agency])-ROW(TableDiv[[#Headers],[Agency]])),COLUMNS($F$7:X$7))))</f>
        <v/>
      </c>
      <c r="Y603" s="2223" t="str" cm="1">
        <f t="array" ref="Y603">IF($D603&lt;COLUMNS($F$7:Y$7),"",INDEX(TableDiv[[GASB]:[GASB]],_xlfn.AGGREGATE(15,3,(TableDiv[[Agency]:[Agency]]=$E603)/(TableDiv[[Agency]:[Agency]]=$E603)*(ROW(TableDiv[Agency])-ROW(TableDiv[[#Headers],[Agency]])),COLUMNS($F$7:Y$7))))</f>
        <v/>
      </c>
      <c r="Z603" s="2223" t="str" cm="1">
        <f t="array" ref="Z603">IF($D603&lt;COLUMNS($F$7:Z$7),"",INDEX(TableDiv[[GASB]:[GASB]],_xlfn.AGGREGATE(15,3,(TableDiv[[Agency]:[Agency]]=$E603)/(TableDiv[[Agency]:[Agency]]=$E603)*(ROW(TableDiv[Agency])-ROW(TableDiv[[#Headers],[Agency]])),COLUMNS($F$7:Z$7))))</f>
        <v/>
      </c>
      <c r="AA603" s="2223" t="str" cm="1">
        <f t="array" ref="AA603">IF($D603&lt;COLUMNS($F$7:AA$7),"",INDEX(TableDiv[[GASB]:[GASB]],_xlfn.AGGREGATE(15,3,(TableDiv[[Agency]:[Agency]]=$E603)/(TableDiv[[Agency]:[Agency]]=$E603)*(ROW(TableDiv[Agency])-ROW(TableDiv[[#Headers],[Agency]])),COLUMNS($F$7:AA$7))))</f>
        <v/>
      </c>
      <c r="AB603" s="2223" t="str" cm="1">
        <f t="array" ref="AB603">IF($D603&lt;COLUMNS($F$7:AB$7),"",INDEX(TableDiv[[GASB]:[GASB]],_xlfn.AGGREGATE(15,3,(TableDiv[[Agency]:[Agency]]=$E603)/(TableDiv[[Agency]:[Agency]]=$E603)*(ROW(TableDiv[Agency])-ROW(TableDiv[[#Headers],[Agency]])),COLUMNS($F$7:AB$7))))</f>
        <v/>
      </c>
      <c r="AC603" s="2223" t="str" cm="1">
        <f t="array" ref="AC603">IF($D603&lt;COLUMNS($F$7:AC$7),"",INDEX(TableDiv[[GASB]:[GASB]],_xlfn.AGGREGATE(15,3,(TableDiv[[Agency]:[Agency]]=$E603)/(TableDiv[[Agency]:[Agency]]=$E603)*(ROW(TableDiv[Agency])-ROW(TableDiv[[#Headers],[Agency]])),COLUMNS($F$7:AC$7))))</f>
        <v/>
      </c>
      <c r="AD603" s="2223" t="str" cm="1">
        <f t="array" ref="AD603">IF($D603&lt;COLUMNS($F$7:AD$7),"",INDEX(TableDiv[[GASB]:[GASB]],_xlfn.AGGREGATE(15,3,(TableDiv[[Agency]:[Agency]]=$E603)/(TableDiv[[Agency]:[Agency]]=$E603)*(ROW(TableDiv[Agency])-ROW(TableDiv[[#Headers],[Agency]])),COLUMNS($F$7:AD$7))))</f>
        <v/>
      </c>
      <c r="AE603" s="2223" t="str" cm="1">
        <f t="array" ref="AE603">IF($D603&lt;COLUMNS($F$7:AE$7),"",INDEX(TableDiv[[GASB]:[GASB]],_xlfn.AGGREGATE(15,3,(TableDiv[[Agency]:[Agency]]=$E603)/(TableDiv[[Agency]:[Agency]]=$E603)*(ROW(TableDiv[Agency])-ROW(TableDiv[[#Headers],[Agency]])),COLUMNS($F$7:AE$7))))</f>
        <v/>
      </c>
      <c r="AF603" s="2223" t="str" cm="1">
        <f t="array" ref="AF603">IF($D603&lt;COLUMNS($F$7:AF$7),"",INDEX(TableDiv[[GASB]:[GASB]],_xlfn.AGGREGATE(15,3,(TableDiv[[Agency]:[Agency]]=$E603)/(TableDiv[[Agency]:[Agency]]=$E603)*(ROW(TableDiv[Agency])-ROW(TableDiv[[#Headers],[Agency]])),COLUMNS($F$7:AF$7))))</f>
        <v/>
      </c>
      <c r="AG603" s="2223" t="str" cm="1">
        <f t="array" ref="AG603">IF($D603&lt;COLUMNS($F$7:AG$7),"",INDEX(TableDiv[[GASB]:[GASB]],_xlfn.AGGREGATE(15,3,(TableDiv[[Agency]:[Agency]]=$E603)/(TableDiv[[Agency]:[Agency]]=$E603)*(ROW(TableDiv[Agency])-ROW(TableDiv[[#Headers],[Agency]])),COLUMNS($F$7:AG$7))))</f>
        <v/>
      </c>
      <c r="AH603" s="2223" t="str" cm="1">
        <f t="array" ref="AH603">IF($D603&lt;COLUMNS($F$7:AH$7),"",INDEX(TableDiv[[GASB]:[GASB]],_xlfn.AGGREGATE(15,3,(TableDiv[[Agency]:[Agency]]=$E603)/(TableDiv[[Agency]:[Agency]]=$E603)*(ROW(TableDiv[Agency])-ROW(TableDiv[[#Headers],[Agency]])),COLUMNS($F$7:AH$7))))</f>
        <v/>
      </c>
      <c r="AI603" s="2223" t="str" cm="1">
        <f t="array" ref="AI603">IF($D603&lt;COLUMNS($F$7:AI$7),"",INDEX(TableDiv[[GASB]:[GASB]],_xlfn.AGGREGATE(15,3,(TableDiv[[Agency]:[Agency]]=$E603)/(TableDiv[[Agency]:[Agency]]=$E603)*(ROW(TableDiv[Agency])-ROW(TableDiv[[#Headers],[Agency]])),COLUMNS($F$7:AI$7))))</f>
        <v/>
      </c>
      <c r="AJ603" s="2223" t="str" cm="1">
        <f t="array" ref="AJ603">IF($D603&lt;COLUMNS($F$7:AJ$7),"",INDEX(TableDiv[[GASB]:[GASB]],_xlfn.AGGREGATE(15,3,(TableDiv[[Agency]:[Agency]]=$E603)/(TableDiv[[Agency]:[Agency]]=$E603)*(ROW(TableDiv[Agency])-ROW(TableDiv[[#Headers],[Agency]])),COLUMNS($F$7:AJ$7))))</f>
        <v/>
      </c>
      <c r="AK603" s="2223" t="str" cm="1">
        <f t="array" ref="AK603">IF($D603&lt;COLUMNS($F$7:AK$7),"",INDEX(TableDiv[[GASB]:[GASB]],_xlfn.AGGREGATE(15,3,(TableDiv[[Agency]:[Agency]]=$E603)/(TableDiv[[Agency]:[Agency]]=$E603)*(ROW(TableDiv[Agency])-ROW(TableDiv[[#Headers],[Agency]])),COLUMNS($F$7:AK$7))))</f>
        <v/>
      </c>
      <c r="AL603" s="2223" t="str" cm="1">
        <f t="array" ref="AL603">IF($D603&lt;COLUMNS($F$7:AL$7),"",INDEX(TableDiv[[GASB]:[GASB]],_xlfn.AGGREGATE(15,3,(TableDiv[[Agency]:[Agency]]=$E603)/(TableDiv[[Agency]:[Agency]]=$E603)*(ROW(TableDiv[Agency])-ROW(TableDiv[[#Headers],[Agency]])),COLUMNS($F$7:AL$7))))</f>
        <v/>
      </c>
      <c r="AM603" s="2223" t="str" cm="1">
        <f t="array" ref="AM603">IF($D603&lt;COLUMNS($F$7:AM$7),"",INDEX(TableDiv[[GASB]:[GASB]],_xlfn.AGGREGATE(15,3,(TableDiv[[Agency]:[Agency]]=$E603)/(TableDiv[[Agency]:[Agency]]=$E603)*(ROW(TableDiv[Agency])-ROW(TableDiv[[#Headers],[Agency]])),COLUMNS($F$7:AM$7))))</f>
        <v/>
      </c>
      <c r="AN603" s="2223"/>
      <c r="AO603" s="2223"/>
      <c r="AP603" s="2223"/>
      <c r="AQ603" s="2223"/>
      <c r="AR603" s="2223"/>
      <c r="AS603" s="2223"/>
    </row>
    <row r="604" spans="1:45" x14ac:dyDescent="0.2">
      <c r="A604" s="2223"/>
      <c r="B604" s="2223"/>
      <c r="C604" s="2223"/>
      <c r="W604" s="2223" t="str" cm="1">
        <f t="array" ref="W604">IF($D604&lt;COLUMNS($F$7:W$7),"",INDEX(TableDiv[[GASB]:[GASB]],_xlfn.AGGREGATE(15,3,(TableDiv[[Agency]:[Agency]]=$E604)/(TableDiv[[Agency]:[Agency]]=$E604)*(ROW(TableDiv[Agency])-ROW(TableDiv[[#Headers],[Agency]])),COLUMNS($F$7:W$7))))</f>
        <v/>
      </c>
      <c r="X604" s="2223" t="str" cm="1">
        <f t="array" ref="X604">IF($D604&lt;COLUMNS($F$7:X$7),"",INDEX(TableDiv[[GASB]:[GASB]],_xlfn.AGGREGATE(15,3,(TableDiv[[Agency]:[Agency]]=$E604)/(TableDiv[[Agency]:[Agency]]=$E604)*(ROW(TableDiv[Agency])-ROW(TableDiv[[#Headers],[Agency]])),COLUMNS($F$7:X$7))))</f>
        <v/>
      </c>
      <c r="Y604" s="2223" t="str" cm="1">
        <f t="array" ref="Y604">IF($D604&lt;COLUMNS($F$7:Y$7),"",INDEX(TableDiv[[GASB]:[GASB]],_xlfn.AGGREGATE(15,3,(TableDiv[[Agency]:[Agency]]=$E604)/(TableDiv[[Agency]:[Agency]]=$E604)*(ROW(TableDiv[Agency])-ROW(TableDiv[[#Headers],[Agency]])),COLUMNS($F$7:Y$7))))</f>
        <v/>
      </c>
      <c r="Z604" s="2223" t="str" cm="1">
        <f t="array" ref="Z604">IF($D604&lt;COLUMNS($F$7:Z$7),"",INDEX(TableDiv[[GASB]:[GASB]],_xlfn.AGGREGATE(15,3,(TableDiv[[Agency]:[Agency]]=$E604)/(TableDiv[[Agency]:[Agency]]=$E604)*(ROW(TableDiv[Agency])-ROW(TableDiv[[#Headers],[Agency]])),COLUMNS($F$7:Z$7))))</f>
        <v/>
      </c>
      <c r="AA604" s="2223" t="str" cm="1">
        <f t="array" ref="AA604">IF($D604&lt;COLUMNS($F$7:AA$7),"",INDEX(TableDiv[[GASB]:[GASB]],_xlfn.AGGREGATE(15,3,(TableDiv[[Agency]:[Agency]]=$E604)/(TableDiv[[Agency]:[Agency]]=$E604)*(ROW(TableDiv[Agency])-ROW(TableDiv[[#Headers],[Agency]])),COLUMNS($F$7:AA$7))))</f>
        <v/>
      </c>
      <c r="AB604" s="2223" t="str" cm="1">
        <f t="array" ref="AB604">IF($D604&lt;COLUMNS($F$7:AB$7),"",INDEX(TableDiv[[GASB]:[GASB]],_xlfn.AGGREGATE(15,3,(TableDiv[[Agency]:[Agency]]=$E604)/(TableDiv[[Agency]:[Agency]]=$E604)*(ROW(TableDiv[Agency])-ROW(TableDiv[[#Headers],[Agency]])),COLUMNS($F$7:AB$7))))</f>
        <v/>
      </c>
      <c r="AC604" s="2223" t="str" cm="1">
        <f t="array" ref="AC604">IF($D604&lt;COLUMNS($F$7:AC$7),"",INDEX(TableDiv[[GASB]:[GASB]],_xlfn.AGGREGATE(15,3,(TableDiv[[Agency]:[Agency]]=$E604)/(TableDiv[[Agency]:[Agency]]=$E604)*(ROW(TableDiv[Agency])-ROW(TableDiv[[#Headers],[Agency]])),COLUMNS($F$7:AC$7))))</f>
        <v/>
      </c>
      <c r="AD604" s="2223" t="str" cm="1">
        <f t="array" ref="AD604">IF($D604&lt;COLUMNS($F$7:AD$7),"",INDEX(TableDiv[[GASB]:[GASB]],_xlfn.AGGREGATE(15,3,(TableDiv[[Agency]:[Agency]]=$E604)/(TableDiv[[Agency]:[Agency]]=$E604)*(ROW(TableDiv[Agency])-ROW(TableDiv[[#Headers],[Agency]])),COLUMNS($F$7:AD$7))))</f>
        <v/>
      </c>
      <c r="AE604" s="2223" t="str" cm="1">
        <f t="array" ref="AE604">IF($D604&lt;COLUMNS($F$7:AE$7),"",INDEX(TableDiv[[GASB]:[GASB]],_xlfn.AGGREGATE(15,3,(TableDiv[[Agency]:[Agency]]=$E604)/(TableDiv[[Agency]:[Agency]]=$E604)*(ROW(TableDiv[Agency])-ROW(TableDiv[[#Headers],[Agency]])),COLUMNS($F$7:AE$7))))</f>
        <v/>
      </c>
      <c r="AF604" s="2223" t="str" cm="1">
        <f t="array" ref="AF604">IF($D604&lt;COLUMNS($F$7:AF$7),"",INDEX(TableDiv[[GASB]:[GASB]],_xlfn.AGGREGATE(15,3,(TableDiv[[Agency]:[Agency]]=$E604)/(TableDiv[[Agency]:[Agency]]=$E604)*(ROW(TableDiv[Agency])-ROW(TableDiv[[#Headers],[Agency]])),COLUMNS($F$7:AF$7))))</f>
        <v/>
      </c>
      <c r="AG604" s="2223" t="str" cm="1">
        <f t="array" ref="AG604">IF($D604&lt;COLUMNS($F$7:AG$7),"",INDEX(TableDiv[[GASB]:[GASB]],_xlfn.AGGREGATE(15,3,(TableDiv[[Agency]:[Agency]]=$E604)/(TableDiv[[Agency]:[Agency]]=$E604)*(ROW(TableDiv[Agency])-ROW(TableDiv[[#Headers],[Agency]])),COLUMNS($F$7:AG$7))))</f>
        <v/>
      </c>
      <c r="AH604" s="2223" t="str" cm="1">
        <f t="array" ref="AH604">IF($D604&lt;COLUMNS($F$7:AH$7),"",INDEX(TableDiv[[GASB]:[GASB]],_xlfn.AGGREGATE(15,3,(TableDiv[[Agency]:[Agency]]=$E604)/(TableDiv[[Agency]:[Agency]]=$E604)*(ROW(TableDiv[Agency])-ROW(TableDiv[[#Headers],[Agency]])),COLUMNS($F$7:AH$7))))</f>
        <v/>
      </c>
      <c r="AI604" s="2223" t="str" cm="1">
        <f t="array" ref="AI604">IF($D604&lt;COLUMNS($F$7:AI$7),"",INDEX(TableDiv[[GASB]:[GASB]],_xlfn.AGGREGATE(15,3,(TableDiv[[Agency]:[Agency]]=$E604)/(TableDiv[[Agency]:[Agency]]=$E604)*(ROW(TableDiv[Agency])-ROW(TableDiv[[#Headers],[Agency]])),COLUMNS($F$7:AI$7))))</f>
        <v/>
      </c>
      <c r="AJ604" s="2223" t="str" cm="1">
        <f t="array" ref="AJ604">IF($D604&lt;COLUMNS($F$7:AJ$7),"",INDEX(TableDiv[[GASB]:[GASB]],_xlfn.AGGREGATE(15,3,(TableDiv[[Agency]:[Agency]]=$E604)/(TableDiv[[Agency]:[Agency]]=$E604)*(ROW(TableDiv[Agency])-ROW(TableDiv[[#Headers],[Agency]])),COLUMNS($F$7:AJ$7))))</f>
        <v/>
      </c>
      <c r="AK604" s="2223" t="str" cm="1">
        <f t="array" ref="AK604">IF($D604&lt;COLUMNS($F$7:AK$7),"",INDEX(TableDiv[[GASB]:[GASB]],_xlfn.AGGREGATE(15,3,(TableDiv[[Agency]:[Agency]]=$E604)/(TableDiv[[Agency]:[Agency]]=$E604)*(ROW(TableDiv[Agency])-ROW(TableDiv[[#Headers],[Agency]])),COLUMNS($F$7:AK$7))))</f>
        <v/>
      </c>
      <c r="AL604" s="2223" t="str" cm="1">
        <f t="array" ref="AL604">IF($D604&lt;COLUMNS($F$7:AL$7),"",INDEX(TableDiv[[GASB]:[GASB]],_xlfn.AGGREGATE(15,3,(TableDiv[[Agency]:[Agency]]=$E604)/(TableDiv[[Agency]:[Agency]]=$E604)*(ROW(TableDiv[Agency])-ROW(TableDiv[[#Headers],[Agency]])),COLUMNS($F$7:AL$7))))</f>
        <v/>
      </c>
      <c r="AM604" s="2223" t="str" cm="1">
        <f t="array" ref="AM604">IF($D604&lt;COLUMNS($F$7:AM$7),"",INDEX(TableDiv[[GASB]:[GASB]],_xlfn.AGGREGATE(15,3,(TableDiv[[Agency]:[Agency]]=$E604)/(TableDiv[[Agency]:[Agency]]=$E604)*(ROW(TableDiv[Agency])-ROW(TableDiv[[#Headers],[Agency]])),COLUMNS($F$7:AM$7))))</f>
        <v/>
      </c>
      <c r="AN604" s="2223"/>
      <c r="AO604" s="2223"/>
      <c r="AP604" s="2223"/>
      <c r="AQ604" s="2223"/>
      <c r="AR604" s="2223"/>
      <c r="AS604" s="2223"/>
    </row>
    <row r="605" spans="1:45" x14ac:dyDescent="0.2">
      <c r="A605" s="2223"/>
      <c r="B605" s="2223"/>
      <c r="C605" s="2223"/>
      <c r="W605" s="2223" t="str" cm="1">
        <f t="array" ref="W605">IF($D605&lt;COLUMNS($F$7:W$7),"",INDEX(TableDiv[[GASB]:[GASB]],_xlfn.AGGREGATE(15,3,(TableDiv[[Agency]:[Agency]]=$E605)/(TableDiv[[Agency]:[Agency]]=$E605)*(ROW(TableDiv[Agency])-ROW(TableDiv[[#Headers],[Agency]])),COLUMNS($F$7:W$7))))</f>
        <v/>
      </c>
      <c r="X605" s="2223" t="str" cm="1">
        <f t="array" ref="X605">IF($D605&lt;COLUMNS($F$7:X$7),"",INDEX(TableDiv[[GASB]:[GASB]],_xlfn.AGGREGATE(15,3,(TableDiv[[Agency]:[Agency]]=$E605)/(TableDiv[[Agency]:[Agency]]=$E605)*(ROW(TableDiv[Agency])-ROW(TableDiv[[#Headers],[Agency]])),COLUMNS($F$7:X$7))))</f>
        <v/>
      </c>
      <c r="Y605" s="2223" t="str" cm="1">
        <f t="array" ref="Y605">IF($D605&lt;COLUMNS($F$7:Y$7),"",INDEX(TableDiv[[GASB]:[GASB]],_xlfn.AGGREGATE(15,3,(TableDiv[[Agency]:[Agency]]=$E605)/(TableDiv[[Agency]:[Agency]]=$E605)*(ROW(TableDiv[Agency])-ROW(TableDiv[[#Headers],[Agency]])),COLUMNS($F$7:Y$7))))</f>
        <v/>
      </c>
      <c r="Z605" s="2223" t="str" cm="1">
        <f t="array" ref="Z605">IF($D605&lt;COLUMNS($F$7:Z$7),"",INDEX(TableDiv[[GASB]:[GASB]],_xlfn.AGGREGATE(15,3,(TableDiv[[Agency]:[Agency]]=$E605)/(TableDiv[[Agency]:[Agency]]=$E605)*(ROW(TableDiv[Agency])-ROW(TableDiv[[#Headers],[Agency]])),COLUMNS($F$7:Z$7))))</f>
        <v/>
      </c>
      <c r="AA605" s="2223" t="str" cm="1">
        <f t="array" ref="AA605">IF($D605&lt;COLUMNS($F$7:AA$7),"",INDEX(TableDiv[[GASB]:[GASB]],_xlfn.AGGREGATE(15,3,(TableDiv[[Agency]:[Agency]]=$E605)/(TableDiv[[Agency]:[Agency]]=$E605)*(ROW(TableDiv[Agency])-ROW(TableDiv[[#Headers],[Agency]])),COLUMNS($F$7:AA$7))))</f>
        <v/>
      </c>
      <c r="AB605" s="2223" t="str" cm="1">
        <f t="array" ref="AB605">IF($D605&lt;COLUMNS($F$7:AB$7),"",INDEX(TableDiv[[GASB]:[GASB]],_xlfn.AGGREGATE(15,3,(TableDiv[[Agency]:[Agency]]=$E605)/(TableDiv[[Agency]:[Agency]]=$E605)*(ROW(TableDiv[Agency])-ROW(TableDiv[[#Headers],[Agency]])),COLUMNS($F$7:AB$7))))</f>
        <v/>
      </c>
      <c r="AC605" s="2223" t="str" cm="1">
        <f t="array" ref="AC605">IF($D605&lt;COLUMNS($F$7:AC$7),"",INDEX(TableDiv[[GASB]:[GASB]],_xlfn.AGGREGATE(15,3,(TableDiv[[Agency]:[Agency]]=$E605)/(TableDiv[[Agency]:[Agency]]=$E605)*(ROW(TableDiv[Agency])-ROW(TableDiv[[#Headers],[Agency]])),COLUMNS($F$7:AC$7))))</f>
        <v/>
      </c>
      <c r="AD605" s="2223" t="str" cm="1">
        <f t="array" ref="AD605">IF($D605&lt;COLUMNS($F$7:AD$7),"",INDEX(TableDiv[[GASB]:[GASB]],_xlfn.AGGREGATE(15,3,(TableDiv[[Agency]:[Agency]]=$E605)/(TableDiv[[Agency]:[Agency]]=$E605)*(ROW(TableDiv[Agency])-ROW(TableDiv[[#Headers],[Agency]])),COLUMNS($F$7:AD$7))))</f>
        <v/>
      </c>
      <c r="AE605" s="2223" t="str" cm="1">
        <f t="array" ref="AE605">IF($D605&lt;COLUMNS($F$7:AE$7),"",INDEX(TableDiv[[GASB]:[GASB]],_xlfn.AGGREGATE(15,3,(TableDiv[[Agency]:[Agency]]=$E605)/(TableDiv[[Agency]:[Agency]]=$E605)*(ROW(TableDiv[Agency])-ROW(TableDiv[[#Headers],[Agency]])),COLUMNS($F$7:AE$7))))</f>
        <v/>
      </c>
      <c r="AF605" s="2223" t="str" cm="1">
        <f t="array" ref="AF605">IF($D605&lt;COLUMNS($F$7:AF$7),"",INDEX(TableDiv[[GASB]:[GASB]],_xlfn.AGGREGATE(15,3,(TableDiv[[Agency]:[Agency]]=$E605)/(TableDiv[[Agency]:[Agency]]=$E605)*(ROW(TableDiv[Agency])-ROW(TableDiv[[#Headers],[Agency]])),COLUMNS($F$7:AF$7))))</f>
        <v/>
      </c>
      <c r="AG605" s="2223" t="str" cm="1">
        <f t="array" ref="AG605">IF($D605&lt;COLUMNS($F$7:AG$7),"",INDEX(TableDiv[[GASB]:[GASB]],_xlfn.AGGREGATE(15,3,(TableDiv[[Agency]:[Agency]]=$E605)/(TableDiv[[Agency]:[Agency]]=$E605)*(ROW(TableDiv[Agency])-ROW(TableDiv[[#Headers],[Agency]])),COLUMNS($F$7:AG$7))))</f>
        <v/>
      </c>
      <c r="AH605" s="2223" t="str" cm="1">
        <f t="array" ref="AH605">IF($D605&lt;COLUMNS($F$7:AH$7),"",INDEX(TableDiv[[GASB]:[GASB]],_xlfn.AGGREGATE(15,3,(TableDiv[[Agency]:[Agency]]=$E605)/(TableDiv[[Agency]:[Agency]]=$E605)*(ROW(TableDiv[Agency])-ROW(TableDiv[[#Headers],[Agency]])),COLUMNS($F$7:AH$7))))</f>
        <v/>
      </c>
      <c r="AI605" s="2223" t="str" cm="1">
        <f t="array" ref="AI605">IF($D605&lt;COLUMNS($F$7:AI$7),"",INDEX(TableDiv[[GASB]:[GASB]],_xlfn.AGGREGATE(15,3,(TableDiv[[Agency]:[Agency]]=$E605)/(TableDiv[[Agency]:[Agency]]=$E605)*(ROW(TableDiv[Agency])-ROW(TableDiv[[#Headers],[Agency]])),COLUMNS($F$7:AI$7))))</f>
        <v/>
      </c>
      <c r="AJ605" s="2223" t="str" cm="1">
        <f t="array" ref="AJ605">IF($D605&lt;COLUMNS($F$7:AJ$7),"",INDEX(TableDiv[[GASB]:[GASB]],_xlfn.AGGREGATE(15,3,(TableDiv[[Agency]:[Agency]]=$E605)/(TableDiv[[Agency]:[Agency]]=$E605)*(ROW(TableDiv[Agency])-ROW(TableDiv[[#Headers],[Agency]])),COLUMNS($F$7:AJ$7))))</f>
        <v/>
      </c>
      <c r="AK605" s="2223" t="str" cm="1">
        <f t="array" ref="AK605">IF($D605&lt;COLUMNS($F$7:AK$7),"",INDEX(TableDiv[[GASB]:[GASB]],_xlfn.AGGREGATE(15,3,(TableDiv[[Agency]:[Agency]]=$E605)/(TableDiv[[Agency]:[Agency]]=$E605)*(ROW(TableDiv[Agency])-ROW(TableDiv[[#Headers],[Agency]])),COLUMNS($F$7:AK$7))))</f>
        <v/>
      </c>
      <c r="AL605" s="2223" t="str" cm="1">
        <f t="array" ref="AL605">IF($D605&lt;COLUMNS($F$7:AL$7),"",INDEX(TableDiv[[GASB]:[GASB]],_xlfn.AGGREGATE(15,3,(TableDiv[[Agency]:[Agency]]=$E605)/(TableDiv[[Agency]:[Agency]]=$E605)*(ROW(TableDiv[Agency])-ROW(TableDiv[[#Headers],[Agency]])),COLUMNS($F$7:AL$7))))</f>
        <v/>
      </c>
      <c r="AM605" s="2223" t="str" cm="1">
        <f t="array" ref="AM605">IF($D605&lt;COLUMNS($F$7:AM$7),"",INDEX(TableDiv[[GASB]:[GASB]],_xlfn.AGGREGATE(15,3,(TableDiv[[Agency]:[Agency]]=$E605)/(TableDiv[[Agency]:[Agency]]=$E605)*(ROW(TableDiv[Agency])-ROW(TableDiv[[#Headers],[Agency]])),COLUMNS($F$7:AM$7))))</f>
        <v/>
      </c>
      <c r="AN605" s="2223"/>
      <c r="AO605" s="2223"/>
      <c r="AP605" s="2223"/>
      <c r="AQ605" s="2223"/>
      <c r="AR605" s="2223"/>
      <c r="AS605" s="2223"/>
    </row>
    <row r="606" spans="1:45" x14ac:dyDescent="0.2">
      <c r="A606" s="2223"/>
      <c r="B606" s="2223"/>
      <c r="C606" s="2223"/>
      <c r="W606" s="2223" t="str" cm="1">
        <f t="array" ref="W606">IF($D606&lt;COLUMNS($F$7:W$7),"",INDEX(TableDiv[[GASB]:[GASB]],_xlfn.AGGREGATE(15,3,(TableDiv[[Agency]:[Agency]]=$E606)/(TableDiv[[Agency]:[Agency]]=$E606)*(ROW(TableDiv[Agency])-ROW(TableDiv[[#Headers],[Agency]])),COLUMNS($F$7:W$7))))</f>
        <v/>
      </c>
      <c r="X606" s="2223" t="str" cm="1">
        <f t="array" ref="X606">IF($D606&lt;COLUMNS($F$7:X$7),"",INDEX(TableDiv[[GASB]:[GASB]],_xlfn.AGGREGATE(15,3,(TableDiv[[Agency]:[Agency]]=$E606)/(TableDiv[[Agency]:[Agency]]=$E606)*(ROW(TableDiv[Agency])-ROW(TableDiv[[#Headers],[Agency]])),COLUMNS($F$7:X$7))))</f>
        <v/>
      </c>
      <c r="Y606" s="2223" t="str" cm="1">
        <f t="array" ref="Y606">IF($D606&lt;COLUMNS($F$7:Y$7),"",INDEX(TableDiv[[GASB]:[GASB]],_xlfn.AGGREGATE(15,3,(TableDiv[[Agency]:[Agency]]=$E606)/(TableDiv[[Agency]:[Agency]]=$E606)*(ROW(TableDiv[Agency])-ROW(TableDiv[[#Headers],[Agency]])),COLUMNS($F$7:Y$7))))</f>
        <v/>
      </c>
      <c r="Z606" s="2223" t="str" cm="1">
        <f t="array" ref="Z606">IF($D606&lt;COLUMNS($F$7:Z$7),"",INDEX(TableDiv[[GASB]:[GASB]],_xlfn.AGGREGATE(15,3,(TableDiv[[Agency]:[Agency]]=$E606)/(TableDiv[[Agency]:[Agency]]=$E606)*(ROW(TableDiv[Agency])-ROW(TableDiv[[#Headers],[Agency]])),COLUMNS($F$7:Z$7))))</f>
        <v/>
      </c>
      <c r="AA606" s="2223" t="str" cm="1">
        <f t="array" ref="AA606">IF($D606&lt;COLUMNS($F$7:AA$7),"",INDEX(TableDiv[[GASB]:[GASB]],_xlfn.AGGREGATE(15,3,(TableDiv[[Agency]:[Agency]]=$E606)/(TableDiv[[Agency]:[Agency]]=$E606)*(ROW(TableDiv[Agency])-ROW(TableDiv[[#Headers],[Agency]])),COLUMNS($F$7:AA$7))))</f>
        <v/>
      </c>
      <c r="AB606" s="2223" t="str" cm="1">
        <f t="array" ref="AB606">IF($D606&lt;COLUMNS($F$7:AB$7),"",INDEX(TableDiv[[GASB]:[GASB]],_xlfn.AGGREGATE(15,3,(TableDiv[[Agency]:[Agency]]=$E606)/(TableDiv[[Agency]:[Agency]]=$E606)*(ROW(TableDiv[Agency])-ROW(TableDiv[[#Headers],[Agency]])),COLUMNS($F$7:AB$7))))</f>
        <v/>
      </c>
      <c r="AC606" s="2223" t="str" cm="1">
        <f t="array" ref="AC606">IF($D606&lt;COLUMNS($F$7:AC$7),"",INDEX(TableDiv[[GASB]:[GASB]],_xlfn.AGGREGATE(15,3,(TableDiv[[Agency]:[Agency]]=$E606)/(TableDiv[[Agency]:[Agency]]=$E606)*(ROW(TableDiv[Agency])-ROW(TableDiv[[#Headers],[Agency]])),COLUMNS($F$7:AC$7))))</f>
        <v/>
      </c>
      <c r="AD606" s="2223" t="str" cm="1">
        <f t="array" ref="AD606">IF($D606&lt;COLUMNS($F$7:AD$7),"",INDEX(TableDiv[[GASB]:[GASB]],_xlfn.AGGREGATE(15,3,(TableDiv[[Agency]:[Agency]]=$E606)/(TableDiv[[Agency]:[Agency]]=$E606)*(ROW(TableDiv[Agency])-ROW(TableDiv[[#Headers],[Agency]])),COLUMNS($F$7:AD$7))))</f>
        <v/>
      </c>
      <c r="AE606" s="2223" t="str" cm="1">
        <f t="array" ref="AE606">IF($D606&lt;COLUMNS($F$7:AE$7),"",INDEX(TableDiv[[GASB]:[GASB]],_xlfn.AGGREGATE(15,3,(TableDiv[[Agency]:[Agency]]=$E606)/(TableDiv[[Agency]:[Agency]]=$E606)*(ROW(TableDiv[Agency])-ROW(TableDiv[[#Headers],[Agency]])),COLUMNS($F$7:AE$7))))</f>
        <v/>
      </c>
      <c r="AF606" s="2223" t="str" cm="1">
        <f t="array" ref="AF606">IF($D606&lt;COLUMNS($F$7:AF$7),"",INDEX(TableDiv[[GASB]:[GASB]],_xlfn.AGGREGATE(15,3,(TableDiv[[Agency]:[Agency]]=$E606)/(TableDiv[[Agency]:[Agency]]=$E606)*(ROW(TableDiv[Agency])-ROW(TableDiv[[#Headers],[Agency]])),COLUMNS($F$7:AF$7))))</f>
        <v/>
      </c>
      <c r="AG606" s="2223" t="str" cm="1">
        <f t="array" ref="AG606">IF($D606&lt;COLUMNS($F$7:AG$7),"",INDEX(TableDiv[[GASB]:[GASB]],_xlfn.AGGREGATE(15,3,(TableDiv[[Agency]:[Agency]]=$E606)/(TableDiv[[Agency]:[Agency]]=$E606)*(ROW(TableDiv[Agency])-ROW(TableDiv[[#Headers],[Agency]])),COLUMNS($F$7:AG$7))))</f>
        <v/>
      </c>
      <c r="AH606" s="2223" t="str" cm="1">
        <f t="array" ref="AH606">IF($D606&lt;COLUMNS($F$7:AH$7),"",INDEX(TableDiv[[GASB]:[GASB]],_xlfn.AGGREGATE(15,3,(TableDiv[[Agency]:[Agency]]=$E606)/(TableDiv[[Agency]:[Agency]]=$E606)*(ROW(TableDiv[Agency])-ROW(TableDiv[[#Headers],[Agency]])),COLUMNS($F$7:AH$7))))</f>
        <v/>
      </c>
      <c r="AI606" s="2223" t="str" cm="1">
        <f t="array" ref="AI606">IF($D606&lt;COLUMNS($F$7:AI$7),"",INDEX(TableDiv[[GASB]:[GASB]],_xlfn.AGGREGATE(15,3,(TableDiv[[Agency]:[Agency]]=$E606)/(TableDiv[[Agency]:[Agency]]=$E606)*(ROW(TableDiv[Agency])-ROW(TableDiv[[#Headers],[Agency]])),COLUMNS($F$7:AI$7))))</f>
        <v/>
      </c>
      <c r="AJ606" s="2223" t="str" cm="1">
        <f t="array" ref="AJ606">IF($D606&lt;COLUMNS($F$7:AJ$7),"",INDEX(TableDiv[[GASB]:[GASB]],_xlfn.AGGREGATE(15,3,(TableDiv[[Agency]:[Agency]]=$E606)/(TableDiv[[Agency]:[Agency]]=$E606)*(ROW(TableDiv[Agency])-ROW(TableDiv[[#Headers],[Agency]])),COLUMNS($F$7:AJ$7))))</f>
        <v/>
      </c>
      <c r="AK606" s="2223" t="str" cm="1">
        <f t="array" ref="AK606">IF($D606&lt;COLUMNS($F$7:AK$7),"",INDEX(TableDiv[[GASB]:[GASB]],_xlfn.AGGREGATE(15,3,(TableDiv[[Agency]:[Agency]]=$E606)/(TableDiv[[Agency]:[Agency]]=$E606)*(ROW(TableDiv[Agency])-ROW(TableDiv[[#Headers],[Agency]])),COLUMNS($F$7:AK$7))))</f>
        <v/>
      </c>
      <c r="AL606" s="2223" t="str" cm="1">
        <f t="array" ref="AL606">IF($D606&lt;COLUMNS($F$7:AL$7),"",INDEX(TableDiv[[GASB]:[GASB]],_xlfn.AGGREGATE(15,3,(TableDiv[[Agency]:[Agency]]=$E606)/(TableDiv[[Agency]:[Agency]]=$E606)*(ROW(TableDiv[Agency])-ROW(TableDiv[[#Headers],[Agency]])),COLUMNS($F$7:AL$7))))</f>
        <v/>
      </c>
      <c r="AM606" s="2223" t="str" cm="1">
        <f t="array" ref="AM606">IF($D606&lt;COLUMNS($F$7:AM$7),"",INDEX(TableDiv[[GASB]:[GASB]],_xlfn.AGGREGATE(15,3,(TableDiv[[Agency]:[Agency]]=$E606)/(TableDiv[[Agency]:[Agency]]=$E606)*(ROW(TableDiv[Agency])-ROW(TableDiv[[#Headers],[Agency]])),COLUMNS($F$7:AM$7))))</f>
        <v/>
      </c>
      <c r="AN606" s="2223"/>
      <c r="AO606" s="2223"/>
      <c r="AP606" s="2223"/>
      <c r="AQ606" s="2223"/>
      <c r="AR606" s="2223"/>
      <c r="AS606" s="2223"/>
    </row>
    <row r="607" spans="1:45" x14ac:dyDescent="0.2">
      <c r="A607" s="2223"/>
      <c r="B607" s="2223"/>
      <c r="C607" s="2223"/>
      <c r="W607" s="2223" t="str" cm="1">
        <f t="array" ref="W607">IF($D607&lt;COLUMNS($F$7:W$7),"",INDEX(TableDiv[[GASB]:[GASB]],_xlfn.AGGREGATE(15,3,(TableDiv[[Agency]:[Agency]]=$E607)/(TableDiv[[Agency]:[Agency]]=$E607)*(ROW(TableDiv[Agency])-ROW(TableDiv[[#Headers],[Agency]])),COLUMNS($F$7:W$7))))</f>
        <v/>
      </c>
      <c r="X607" s="2223" t="str" cm="1">
        <f t="array" ref="X607">IF($D607&lt;COLUMNS($F$7:X$7),"",INDEX(TableDiv[[GASB]:[GASB]],_xlfn.AGGREGATE(15,3,(TableDiv[[Agency]:[Agency]]=$E607)/(TableDiv[[Agency]:[Agency]]=$E607)*(ROW(TableDiv[Agency])-ROW(TableDiv[[#Headers],[Agency]])),COLUMNS($F$7:X$7))))</f>
        <v/>
      </c>
      <c r="Y607" s="2223" t="str" cm="1">
        <f t="array" ref="Y607">IF($D607&lt;COLUMNS($F$7:Y$7),"",INDEX(TableDiv[[GASB]:[GASB]],_xlfn.AGGREGATE(15,3,(TableDiv[[Agency]:[Agency]]=$E607)/(TableDiv[[Agency]:[Agency]]=$E607)*(ROW(TableDiv[Agency])-ROW(TableDiv[[#Headers],[Agency]])),COLUMNS($F$7:Y$7))))</f>
        <v/>
      </c>
      <c r="Z607" s="2223" t="str" cm="1">
        <f t="array" ref="Z607">IF($D607&lt;COLUMNS($F$7:Z$7),"",INDEX(TableDiv[[GASB]:[GASB]],_xlfn.AGGREGATE(15,3,(TableDiv[[Agency]:[Agency]]=$E607)/(TableDiv[[Agency]:[Agency]]=$E607)*(ROW(TableDiv[Agency])-ROW(TableDiv[[#Headers],[Agency]])),COLUMNS($F$7:Z$7))))</f>
        <v/>
      </c>
      <c r="AA607" s="2223" t="str" cm="1">
        <f t="array" ref="AA607">IF($D607&lt;COLUMNS($F$7:AA$7),"",INDEX(TableDiv[[GASB]:[GASB]],_xlfn.AGGREGATE(15,3,(TableDiv[[Agency]:[Agency]]=$E607)/(TableDiv[[Agency]:[Agency]]=$E607)*(ROW(TableDiv[Agency])-ROW(TableDiv[[#Headers],[Agency]])),COLUMNS($F$7:AA$7))))</f>
        <v/>
      </c>
      <c r="AB607" s="2223" t="str" cm="1">
        <f t="array" ref="AB607">IF($D607&lt;COLUMNS($F$7:AB$7),"",INDEX(TableDiv[[GASB]:[GASB]],_xlfn.AGGREGATE(15,3,(TableDiv[[Agency]:[Agency]]=$E607)/(TableDiv[[Agency]:[Agency]]=$E607)*(ROW(TableDiv[Agency])-ROW(TableDiv[[#Headers],[Agency]])),COLUMNS($F$7:AB$7))))</f>
        <v/>
      </c>
      <c r="AC607" s="2223" t="str" cm="1">
        <f t="array" ref="AC607">IF($D607&lt;COLUMNS($F$7:AC$7),"",INDEX(TableDiv[[GASB]:[GASB]],_xlfn.AGGREGATE(15,3,(TableDiv[[Agency]:[Agency]]=$E607)/(TableDiv[[Agency]:[Agency]]=$E607)*(ROW(TableDiv[Agency])-ROW(TableDiv[[#Headers],[Agency]])),COLUMNS($F$7:AC$7))))</f>
        <v/>
      </c>
      <c r="AD607" s="2223" t="str" cm="1">
        <f t="array" ref="AD607">IF($D607&lt;COLUMNS($F$7:AD$7),"",INDEX(TableDiv[[GASB]:[GASB]],_xlfn.AGGREGATE(15,3,(TableDiv[[Agency]:[Agency]]=$E607)/(TableDiv[[Agency]:[Agency]]=$E607)*(ROW(TableDiv[Agency])-ROW(TableDiv[[#Headers],[Agency]])),COLUMNS($F$7:AD$7))))</f>
        <v/>
      </c>
      <c r="AE607" s="2223" t="str" cm="1">
        <f t="array" ref="AE607">IF($D607&lt;COLUMNS($F$7:AE$7),"",INDEX(TableDiv[[GASB]:[GASB]],_xlfn.AGGREGATE(15,3,(TableDiv[[Agency]:[Agency]]=$E607)/(TableDiv[[Agency]:[Agency]]=$E607)*(ROW(TableDiv[Agency])-ROW(TableDiv[[#Headers],[Agency]])),COLUMNS($F$7:AE$7))))</f>
        <v/>
      </c>
      <c r="AF607" s="2223" t="str" cm="1">
        <f t="array" ref="AF607">IF($D607&lt;COLUMNS($F$7:AF$7),"",INDEX(TableDiv[[GASB]:[GASB]],_xlfn.AGGREGATE(15,3,(TableDiv[[Agency]:[Agency]]=$E607)/(TableDiv[[Agency]:[Agency]]=$E607)*(ROW(TableDiv[Agency])-ROW(TableDiv[[#Headers],[Agency]])),COLUMNS($F$7:AF$7))))</f>
        <v/>
      </c>
      <c r="AG607" s="2223" t="str" cm="1">
        <f t="array" ref="AG607">IF($D607&lt;COLUMNS($F$7:AG$7),"",INDEX(TableDiv[[GASB]:[GASB]],_xlfn.AGGREGATE(15,3,(TableDiv[[Agency]:[Agency]]=$E607)/(TableDiv[[Agency]:[Agency]]=$E607)*(ROW(TableDiv[Agency])-ROW(TableDiv[[#Headers],[Agency]])),COLUMNS($F$7:AG$7))))</f>
        <v/>
      </c>
      <c r="AH607" s="2223" t="str" cm="1">
        <f t="array" ref="AH607">IF($D607&lt;COLUMNS($F$7:AH$7),"",INDEX(TableDiv[[GASB]:[GASB]],_xlfn.AGGREGATE(15,3,(TableDiv[[Agency]:[Agency]]=$E607)/(TableDiv[[Agency]:[Agency]]=$E607)*(ROW(TableDiv[Agency])-ROW(TableDiv[[#Headers],[Agency]])),COLUMNS($F$7:AH$7))))</f>
        <v/>
      </c>
      <c r="AI607" s="2223" t="str" cm="1">
        <f t="array" ref="AI607">IF($D607&lt;COLUMNS($F$7:AI$7),"",INDEX(TableDiv[[GASB]:[GASB]],_xlfn.AGGREGATE(15,3,(TableDiv[[Agency]:[Agency]]=$E607)/(TableDiv[[Agency]:[Agency]]=$E607)*(ROW(TableDiv[Agency])-ROW(TableDiv[[#Headers],[Agency]])),COLUMNS($F$7:AI$7))))</f>
        <v/>
      </c>
      <c r="AJ607" s="2223" t="str" cm="1">
        <f t="array" ref="AJ607">IF($D607&lt;COLUMNS($F$7:AJ$7),"",INDEX(TableDiv[[GASB]:[GASB]],_xlfn.AGGREGATE(15,3,(TableDiv[[Agency]:[Agency]]=$E607)/(TableDiv[[Agency]:[Agency]]=$E607)*(ROW(TableDiv[Agency])-ROW(TableDiv[[#Headers],[Agency]])),COLUMNS($F$7:AJ$7))))</f>
        <v/>
      </c>
      <c r="AK607" s="2223" t="str" cm="1">
        <f t="array" ref="AK607">IF($D607&lt;COLUMNS($F$7:AK$7),"",INDEX(TableDiv[[GASB]:[GASB]],_xlfn.AGGREGATE(15,3,(TableDiv[[Agency]:[Agency]]=$E607)/(TableDiv[[Agency]:[Agency]]=$E607)*(ROW(TableDiv[Agency])-ROW(TableDiv[[#Headers],[Agency]])),COLUMNS($F$7:AK$7))))</f>
        <v/>
      </c>
      <c r="AL607" s="2223" t="str" cm="1">
        <f t="array" ref="AL607">IF($D607&lt;COLUMNS($F$7:AL$7),"",INDEX(TableDiv[[GASB]:[GASB]],_xlfn.AGGREGATE(15,3,(TableDiv[[Agency]:[Agency]]=$E607)/(TableDiv[[Agency]:[Agency]]=$E607)*(ROW(TableDiv[Agency])-ROW(TableDiv[[#Headers],[Agency]])),COLUMNS($F$7:AL$7))))</f>
        <v/>
      </c>
      <c r="AM607" s="2223" t="str" cm="1">
        <f t="array" ref="AM607">IF($D607&lt;COLUMNS($F$7:AM$7),"",INDEX(TableDiv[[GASB]:[GASB]],_xlfn.AGGREGATE(15,3,(TableDiv[[Agency]:[Agency]]=$E607)/(TableDiv[[Agency]:[Agency]]=$E607)*(ROW(TableDiv[Agency])-ROW(TableDiv[[#Headers],[Agency]])),COLUMNS($F$7:AM$7))))</f>
        <v/>
      </c>
      <c r="AN607" s="2223"/>
      <c r="AO607" s="2223"/>
      <c r="AP607" s="2223"/>
      <c r="AQ607" s="2223"/>
      <c r="AR607" s="2223"/>
      <c r="AS607" s="2223"/>
    </row>
    <row r="608" spans="1:45" x14ac:dyDescent="0.2">
      <c r="A608" s="2223"/>
      <c r="B608" s="2223"/>
      <c r="C608" s="2223"/>
      <c r="W608" s="2223" t="str" cm="1">
        <f t="array" ref="W608">IF($D608&lt;COLUMNS($F$7:W$7),"",INDEX(TableDiv[[GASB]:[GASB]],_xlfn.AGGREGATE(15,3,(TableDiv[[Agency]:[Agency]]=$E608)/(TableDiv[[Agency]:[Agency]]=$E608)*(ROW(TableDiv[Agency])-ROW(TableDiv[[#Headers],[Agency]])),COLUMNS($F$7:W$7))))</f>
        <v/>
      </c>
      <c r="X608" s="2223" t="str" cm="1">
        <f t="array" ref="X608">IF($D608&lt;COLUMNS($F$7:X$7),"",INDEX(TableDiv[[GASB]:[GASB]],_xlfn.AGGREGATE(15,3,(TableDiv[[Agency]:[Agency]]=$E608)/(TableDiv[[Agency]:[Agency]]=$E608)*(ROW(TableDiv[Agency])-ROW(TableDiv[[#Headers],[Agency]])),COLUMNS($F$7:X$7))))</f>
        <v/>
      </c>
      <c r="Y608" s="2223" t="str" cm="1">
        <f t="array" ref="Y608">IF($D608&lt;COLUMNS($F$7:Y$7),"",INDEX(TableDiv[[GASB]:[GASB]],_xlfn.AGGREGATE(15,3,(TableDiv[[Agency]:[Agency]]=$E608)/(TableDiv[[Agency]:[Agency]]=$E608)*(ROW(TableDiv[Agency])-ROW(TableDiv[[#Headers],[Agency]])),COLUMNS($F$7:Y$7))))</f>
        <v/>
      </c>
      <c r="Z608" s="2223" t="str" cm="1">
        <f t="array" ref="Z608">IF($D608&lt;COLUMNS($F$7:Z$7),"",INDEX(TableDiv[[GASB]:[GASB]],_xlfn.AGGREGATE(15,3,(TableDiv[[Agency]:[Agency]]=$E608)/(TableDiv[[Agency]:[Agency]]=$E608)*(ROW(TableDiv[Agency])-ROW(TableDiv[[#Headers],[Agency]])),COLUMNS($F$7:Z$7))))</f>
        <v/>
      </c>
      <c r="AA608" s="2223" t="str" cm="1">
        <f t="array" ref="AA608">IF($D608&lt;COLUMNS($F$7:AA$7),"",INDEX(TableDiv[[GASB]:[GASB]],_xlfn.AGGREGATE(15,3,(TableDiv[[Agency]:[Agency]]=$E608)/(TableDiv[[Agency]:[Agency]]=$E608)*(ROW(TableDiv[Agency])-ROW(TableDiv[[#Headers],[Agency]])),COLUMNS($F$7:AA$7))))</f>
        <v/>
      </c>
      <c r="AB608" s="2223" t="str" cm="1">
        <f t="array" ref="AB608">IF($D608&lt;COLUMNS($F$7:AB$7),"",INDEX(TableDiv[[GASB]:[GASB]],_xlfn.AGGREGATE(15,3,(TableDiv[[Agency]:[Agency]]=$E608)/(TableDiv[[Agency]:[Agency]]=$E608)*(ROW(TableDiv[Agency])-ROW(TableDiv[[#Headers],[Agency]])),COLUMNS($F$7:AB$7))))</f>
        <v/>
      </c>
      <c r="AC608" s="2223" t="str" cm="1">
        <f t="array" ref="AC608">IF($D608&lt;COLUMNS($F$7:AC$7),"",INDEX(TableDiv[[GASB]:[GASB]],_xlfn.AGGREGATE(15,3,(TableDiv[[Agency]:[Agency]]=$E608)/(TableDiv[[Agency]:[Agency]]=$E608)*(ROW(TableDiv[Agency])-ROW(TableDiv[[#Headers],[Agency]])),COLUMNS($F$7:AC$7))))</f>
        <v/>
      </c>
      <c r="AD608" s="2223" t="str" cm="1">
        <f t="array" ref="AD608">IF($D608&lt;COLUMNS($F$7:AD$7),"",INDEX(TableDiv[[GASB]:[GASB]],_xlfn.AGGREGATE(15,3,(TableDiv[[Agency]:[Agency]]=$E608)/(TableDiv[[Agency]:[Agency]]=$E608)*(ROW(TableDiv[Agency])-ROW(TableDiv[[#Headers],[Agency]])),COLUMNS($F$7:AD$7))))</f>
        <v/>
      </c>
      <c r="AE608" s="2223" t="str" cm="1">
        <f t="array" ref="AE608">IF($D608&lt;COLUMNS($F$7:AE$7),"",INDEX(TableDiv[[GASB]:[GASB]],_xlfn.AGGREGATE(15,3,(TableDiv[[Agency]:[Agency]]=$E608)/(TableDiv[[Agency]:[Agency]]=$E608)*(ROW(TableDiv[Agency])-ROW(TableDiv[[#Headers],[Agency]])),COLUMNS($F$7:AE$7))))</f>
        <v/>
      </c>
      <c r="AF608" s="2223" t="str" cm="1">
        <f t="array" ref="AF608">IF($D608&lt;COLUMNS($F$7:AF$7),"",INDEX(TableDiv[[GASB]:[GASB]],_xlfn.AGGREGATE(15,3,(TableDiv[[Agency]:[Agency]]=$E608)/(TableDiv[[Agency]:[Agency]]=$E608)*(ROW(TableDiv[Agency])-ROW(TableDiv[[#Headers],[Agency]])),COLUMNS($F$7:AF$7))))</f>
        <v/>
      </c>
      <c r="AG608" s="2223" t="str" cm="1">
        <f t="array" ref="AG608">IF($D608&lt;COLUMNS($F$7:AG$7),"",INDEX(TableDiv[[GASB]:[GASB]],_xlfn.AGGREGATE(15,3,(TableDiv[[Agency]:[Agency]]=$E608)/(TableDiv[[Agency]:[Agency]]=$E608)*(ROW(TableDiv[Agency])-ROW(TableDiv[[#Headers],[Agency]])),COLUMNS($F$7:AG$7))))</f>
        <v/>
      </c>
      <c r="AH608" s="2223" t="str" cm="1">
        <f t="array" ref="AH608">IF($D608&lt;COLUMNS($F$7:AH$7),"",INDEX(TableDiv[[GASB]:[GASB]],_xlfn.AGGREGATE(15,3,(TableDiv[[Agency]:[Agency]]=$E608)/(TableDiv[[Agency]:[Agency]]=$E608)*(ROW(TableDiv[Agency])-ROW(TableDiv[[#Headers],[Agency]])),COLUMNS($F$7:AH$7))))</f>
        <v/>
      </c>
      <c r="AI608" s="2223" t="str" cm="1">
        <f t="array" ref="AI608">IF($D608&lt;COLUMNS($F$7:AI$7),"",INDEX(TableDiv[[GASB]:[GASB]],_xlfn.AGGREGATE(15,3,(TableDiv[[Agency]:[Agency]]=$E608)/(TableDiv[[Agency]:[Agency]]=$E608)*(ROW(TableDiv[Agency])-ROW(TableDiv[[#Headers],[Agency]])),COLUMNS($F$7:AI$7))))</f>
        <v/>
      </c>
      <c r="AJ608" s="2223" t="str" cm="1">
        <f t="array" ref="AJ608">IF($D608&lt;COLUMNS($F$7:AJ$7),"",INDEX(TableDiv[[GASB]:[GASB]],_xlfn.AGGREGATE(15,3,(TableDiv[[Agency]:[Agency]]=$E608)/(TableDiv[[Agency]:[Agency]]=$E608)*(ROW(TableDiv[Agency])-ROW(TableDiv[[#Headers],[Agency]])),COLUMNS($F$7:AJ$7))))</f>
        <v/>
      </c>
      <c r="AK608" s="2223" t="str" cm="1">
        <f t="array" ref="AK608">IF($D608&lt;COLUMNS($F$7:AK$7),"",INDEX(TableDiv[[GASB]:[GASB]],_xlfn.AGGREGATE(15,3,(TableDiv[[Agency]:[Agency]]=$E608)/(TableDiv[[Agency]:[Agency]]=$E608)*(ROW(TableDiv[Agency])-ROW(TableDiv[[#Headers],[Agency]])),COLUMNS($F$7:AK$7))))</f>
        <v/>
      </c>
      <c r="AL608" s="2223" t="str" cm="1">
        <f t="array" ref="AL608">IF($D608&lt;COLUMNS($F$7:AL$7),"",INDEX(TableDiv[[GASB]:[GASB]],_xlfn.AGGREGATE(15,3,(TableDiv[[Agency]:[Agency]]=$E608)/(TableDiv[[Agency]:[Agency]]=$E608)*(ROW(TableDiv[Agency])-ROW(TableDiv[[#Headers],[Agency]])),COLUMNS($F$7:AL$7))))</f>
        <v/>
      </c>
      <c r="AM608" s="2223" t="str" cm="1">
        <f t="array" ref="AM608">IF($D608&lt;COLUMNS($F$7:AM$7),"",INDEX(TableDiv[[GASB]:[GASB]],_xlfn.AGGREGATE(15,3,(TableDiv[[Agency]:[Agency]]=$E608)/(TableDiv[[Agency]:[Agency]]=$E608)*(ROW(TableDiv[Agency])-ROW(TableDiv[[#Headers],[Agency]])),COLUMNS($F$7:AM$7))))</f>
        <v/>
      </c>
      <c r="AN608" s="2223"/>
      <c r="AO608" s="2223"/>
      <c r="AP608" s="2223"/>
      <c r="AQ608" s="2223"/>
      <c r="AR608" s="2223"/>
      <c r="AS608" s="2223"/>
    </row>
    <row r="609" spans="1:45" x14ac:dyDescent="0.2">
      <c r="A609" s="2223"/>
      <c r="B609" s="2223"/>
      <c r="C609" s="2223"/>
      <c r="W609" s="2223" t="str" cm="1">
        <f t="array" ref="W609">IF($D609&lt;COLUMNS($F$7:W$7),"",INDEX(TableDiv[[GASB]:[GASB]],_xlfn.AGGREGATE(15,3,(TableDiv[[Agency]:[Agency]]=$E609)/(TableDiv[[Agency]:[Agency]]=$E609)*(ROW(TableDiv[Agency])-ROW(TableDiv[[#Headers],[Agency]])),COLUMNS($F$7:W$7))))</f>
        <v/>
      </c>
      <c r="X609" s="2223" t="str" cm="1">
        <f t="array" ref="X609">IF($D609&lt;COLUMNS($F$7:X$7),"",INDEX(TableDiv[[GASB]:[GASB]],_xlfn.AGGREGATE(15,3,(TableDiv[[Agency]:[Agency]]=$E609)/(TableDiv[[Agency]:[Agency]]=$E609)*(ROW(TableDiv[Agency])-ROW(TableDiv[[#Headers],[Agency]])),COLUMNS($F$7:X$7))))</f>
        <v/>
      </c>
      <c r="Y609" s="2223" t="str" cm="1">
        <f t="array" ref="Y609">IF($D609&lt;COLUMNS($F$7:Y$7),"",INDEX(TableDiv[[GASB]:[GASB]],_xlfn.AGGREGATE(15,3,(TableDiv[[Agency]:[Agency]]=$E609)/(TableDiv[[Agency]:[Agency]]=$E609)*(ROW(TableDiv[Agency])-ROW(TableDiv[[#Headers],[Agency]])),COLUMNS($F$7:Y$7))))</f>
        <v/>
      </c>
      <c r="Z609" s="2223" t="str" cm="1">
        <f t="array" ref="Z609">IF($D609&lt;COLUMNS($F$7:Z$7),"",INDEX(TableDiv[[GASB]:[GASB]],_xlfn.AGGREGATE(15,3,(TableDiv[[Agency]:[Agency]]=$E609)/(TableDiv[[Agency]:[Agency]]=$E609)*(ROW(TableDiv[Agency])-ROW(TableDiv[[#Headers],[Agency]])),COLUMNS($F$7:Z$7))))</f>
        <v/>
      </c>
      <c r="AA609" s="2223" t="str" cm="1">
        <f t="array" ref="AA609">IF($D609&lt;COLUMNS($F$7:AA$7),"",INDEX(TableDiv[[GASB]:[GASB]],_xlfn.AGGREGATE(15,3,(TableDiv[[Agency]:[Agency]]=$E609)/(TableDiv[[Agency]:[Agency]]=$E609)*(ROW(TableDiv[Agency])-ROW(TableDiv[[#Headers],[Agency]])),COLUMNS($F$7:AA$7))))</f>
        <v/>
      </c>
      <c r="AB609" s="2223" t="str" cm="1">
        <f t="array" ref="AB609">IF($D609&lt;COLUMNS($F$7:AB$7),"",INDEX(TableDiv[[GASB]:[GASB]],_xlfn.AGGREGATE(15,3,(TableDiv[[Agency]:[Agency]]=$E609)/(TableDiv[[Agency]:[Agency]]=$E609)*(ROW(TableDiv[Agency])-ROW(TableDiv[[#Headers],[Agency]])),COLUMNS($F$7:AB$7))))</f>
        <v/>
      </c>
      <c r="AC609" s="2223" t="str" cm="1">
        <f t="array" ref="AC609">IF($D609&lt;COLUMNS($F$7:AC$7),"",INDEX(TableDiv[[GASB]:[GASB]],_xlfn.AGGREGATE(15,3,(TableDiv[[Agency]:[Agency]]=$E609)/(TableDiv[[Agency]:[Agency]]=$E609)*(ROW(TableDiv[Agency])-ROW(TableDiv[[#Headers],[Agency]])),COLUMNS($F$7:AC$7))))</f>
        <v/>
      </c>
      <c r="AD609" s="2223" t="str" cm="1">
        <f t="array" ref="AD609">IF($D609&lt;COLUMNS($F$7:AD$7),"",INDEX(TableDiv[[GASB]:[GASB]],_xlfn.AGGREGATE(15,3,(TableDiv[[Agency]:[Agency]]=$E609)/(TableDiv[[Agency]:[Agency]]=$E609)*(ROW(TableDiv[Agency])-ROW(TableDiv[[#Headers],[Agency]])),COLUMNS($F$7:AD$7))))</f>
        <v/>
      </c>
      <c r="AE609" s="2223" t="str" cm="1">
        <f t="array" ref="AE609">IF($D609&lt;COLUMNS($F$7:AE$7),"",INDEX(TableDiv[[GASB]:[GASB]],_xlfn.AGGREGATE(15,3,(TableDiv[[Agency]:[Agency]]=$E609)/(TableDiv[[Agency]:[Agency]]=$E609)*(ROW(TableDiv[Agency])-ROW(TableDiv[[#Headers],[Agency]])),COLUMNS($F$7:AE$7))))</f>
        <v/>
      </c>
      <c r="AF609" s="2223" t="str" cm="1">
        <f t="array" ref="AF609">IF($D609&lt;COLUMNS($F$7:AF$7),"",INDEX(TableDiv[[GASB]:[GASB]],_xlfn.AGGREGATE(15,3,(TableDiv[[Agency]:[Agency]]=$E609)/(TableDiv[[Agency]:[Agency]]=$E609)*(ROW(TableDiv[Agency])-ROW(TableDiv[[#Headers],[Agency]])),COLUMNS($F$7:AF$7))))</f>
        <v/>
      </c>
      <c r="AG609" s="2223" t="str" cm="1">
        <f t="array" ref="AG609">IF($D609&lt;COLUMNS($F$7:AG$7),"",INDEX(TableDiv[[GASB]:[GASB]],_xlfn.AGGREGATE(15,3,(TableDiv[[Agency]:[Agency]]=$E609)/(TableDiv[[Agency]:[Agency]]=$E609)*(ROW(TableDiv[Agency])-ROW(TableDiv[[#Headers],[Agency]])),COLUMNS($F$7:AG$7))))</f>
        <v/>
      </c>
      <c r="AH609" s="2223" t="str" cm="1">
        <f t="array" ref="AH609">IF($D609&lt;COLUMNS($F$7:AH$7),"",INDEX(TableDiv[[GASB]:[GASB]],_xlfn.AGGREGATE(15,3,(TableDiv[[Agency]:[Agency]]=$E609)/(TableDiv[[Agency]:[Agency]]=$E609)*(ROW(TableDiv[Agency])-ROW(TableDiv[[#Headers],[Agency]])),COLUMNS($F$7:AH$7))))</f>
        <v/>
      </c>
      <c r="AI609" s="2223" t="str" cm="1">
        <f t="array" ref="AI609">IF($D609&lt;COLUMNS($F$7:AI$7),"",INDEX(TableDiv[[GASB]:[GASB]],_xlfn.AGGREGATE(15,3,(TableDiv[[Agency]:[Agency]]=$E609)/(TableDiv[[Agency]:[Agency]]=$E609)*(ROW(TableDiv[Agency])-ROW(TableDiv[[#Headers],[Agency]])),COLUMNS($F$7:AI$7))))</f>
        <v/>
      </c>
      <c r="AJ609" s="2223" t="str" cm="1">
        <f t="array" ref="AJ609">IF($D609&lt;COLUMNS($F$7:AJ$7),"",INDEX(TableDiv[[GASB]:[GASB]],_xlfn.AGGREGATE(15,3,(TableDiv[[Agency]:[Agency]]=$E609)/(TableDiv[[Agency]:[Agency]]=$E609)*(ROW(TableDiv[Agency])-ROW(TableDiv[[#Headers],[Agency]])),COLUMNS($F$7:AJ$7))))</f>
        <v/>
      </c>
      <c r="AK609" s="2223" t="str" cm="1">
        <f t="array" ref="AK609">IF($D609&lt;COLUMNS($F$7:AK$7),"",INDEX(TableDiv[[GASB]:[GASB]],_xlfn.AGGREGATE(15,3,(TableDiv[[Agency]:[Agency]]=$E609)/(TableDiv[[Agency]:[Agency]]=$E609)*(ROW(TableDiv[Agency])-ROW(TableDiv[[#Headers],[Agency]])),COLUMNS($F$7:AK$7))))</f>
        <v/>
      </c>
      <c r="AL609" s="2223" t="str" cm="1">
        <f t="array" ref="AL609">IF($D609&lt;COLUMNS($F$7:AL$7),"",INDEX(TableDiv[[GASB]:[GASB]],_xlfn.AGGREGATE(15,3,(TableDiv[[Agency]:[Agency]]=$E609)/(TableDiv[[Agency]:[Agency]]=$E609)*(ROW(TableDiv[Agency])-ROW(TableDiv[[#Headers],[Agency]])),COLUMNS($F$7:AL$7))))</f>
        <v/>
      </c>
      <c r="AM609" s="2223" t="str" cm="1">
        <f t="array" ref="AM609">IF($D609&lt;COLUMNS($F$7:AM$7),"",INDEX(TableDiv[[GASB]:[GASB]],_xlfn.AGGREGATE(15,3,(TableDiv[[Agency]:[Agency]]=$E609)/(TableDiv[[Agency]:[Agency]]=$E609)*(ROW(TableDiv[Agency])-ROW(TableDiv[[#Headers],[Agency]])),COLUMNS($F$7:AM$7))))</f>
        <v/>
      </c>
      <c r="AN609" s="2223"/>
      <c r="AO609" s="2223"/>
      <c r="AP609" s="2223"/>
      <c r="AQ609" s="2223"/>
      <c r="AR609" s="2223"/>
      <c r="AS609" s="2223"/>
    </row>
    <row r="610" spans="1:45" x14ac:dyDescent="0.2">
      <c r="A610" s="2223"/>
      <c r="B610" s="2223"/>
      <c r="C610" s="2223"/>
      <c r="W610" s="2223" t="str" cm="1">
        <f t="array" ref="W610">IF($D610&lt;COLUMNS($F$7:W$7),"",INDEX(TableDiv[[GASB]:[GASB]],_xlfn.AGGREGATE(15,3,(TableDiv[[Agency]:[Agency]]=$E610)/(TableDiv[[Agency]:[Agency]]=$E610)*(ROW(TableDiv[Agency])-ROW(TableDiv[[#Headers],[Agency]])),COLUMNS($F$7:W$7))))</f>
        <v/>
      </c>
      <c r="X610" s="2223" t="str" cm="1">
        <f t="array" ref="X610">IF($D610&lt;COLUMNS($F$7:X$7),"",INDEX(TableDiv[[GASB]:[GASB]],_xlfn.AGGREGATE(15,3,(TableDiv[[Agency]:[Agency]]=$E610)/(TableDiv[[Agency]:[Agency]]=$E610)*(ROW(TableDiv[Agency])-ROW(TableDiv[[#Headers],[Agency]])),COLUMNS($F$7:X$7))))</f>
        <v/>
      </c>
      <c r="Y610" s="2223" t="str" cm="1">
        <f t="array" ref="Y610">IF($D610&lt;COLUMNS($F$7:Y$7),"",INDEX(TableDiv[[GASB]:[GASB]],_xlfn.AGGREGATE(15,3,(TableDiv[[Agency]:[Agency]]=$E610)/(TableDiv[[Agency]:[Agency]]=$E610)*(ROW(TableDiv[Agency])-ROW(TableDiv[[#Headers],[Agency]])),COLUMNS($F$7:Y$7))))</f>
        <v/>
      </c>
      <c r="Z610" s="2223" t="str" cm="1">
        <f t="array" ref="Z610">IF($D610&lt;COLUMNS($F$7:Z$7),"",INDEX(TableDiv[[GASB]:[GASB]],_xlfn.AGGREGATE(15,3,(TableDiv[[Agency]:[Agency]]=$E610)/(TableDiv[[Agency]:[Agency]]=$E610)*(ROW(TableDiv[Agency])-ROW(TableDiv[[#Headers],[Agency]])),COLUMNS($F$7:Z$7))))</f>
        <v/>
      </c>
      <c r="AA610" s="2223" t="str" cm="1">
        <f t="array" ref="AA610">IF($D610&lt;COLUMNS($F$7:AA$7),"",INDEX(TableDiv[[GASB]:[GASB]],_xlfn.AGGREGATE(15,3,(TableDiv[[Agency]:[Agency]]=$E610)/(TableDiv[[Agency]:[Agency]]=$E610)*(ROW(TableDiv[Agency])-ROW(TableDiv[[#Headers],[Agency]])),COLUMNS($F$7:AA$7))))</f>
        <v/>
      </c>
      <c r="AB610" s="2223" t="str" cm="1">
        <f t="array" ref="AB610">IF($D610&lt;COLUMNS($F$7:AB$7),"",INDEX(TableDiv[[GASB]:[GASB]],_xlfn.AGGREGATE(15,3,(TableDiv[[Agency]:[Agency]]=$E610)/(TableDiv[[Agency]:[Agency]]=$E610)*(ROW(TableDiv[Agency])-ROW(TableDiv[[#Headers],[Agency]])),COLUMNS($F$7:AB$7))))</f>
        <v/>
      </c>
      <c r="AC610" s="2223" t="str" cm="1">
        <f t="array" ref="AC610">IF($D610&lt;COLUMNS($F$7:AC$7),"",INDEX(TableDiv[[GASB]:[GASB]],_xlfn.AGGREGATE(15,3,(TableDiv[[Agency]:[Agency]]=$E610)/(TableDiv[[Agency]:[Agency]]=$E610)*(ROW(TableDiv[Agency])-ROW(TableDiv[[#Headers],[Agency]])),COLUMNS($F$7:AC$7))))</f>
        <v/>
      </c>
      <c r="AD610" s="2223" t="str" cm="1">
        <f t="array" ref="AD610">IF($D610&lt;COLUMNS($F$7:AD$7),"",INDEX(TableDiv[[GASB]:[GASB]],_xlfn.AGGREGATE(15,3,(TableDiv[[Agency]:[Agency]]=$E610)/(TableDiv[[Agency]:[Agency]]=$E610)*(ROW(TableDiv[Agency])-ROW(TableDiv[[#Headers],[Agency]])),COLUMNS($F$7:AD$7))))</f>
        <v/>
      </c>
      <c r="AE610" s="2223" t="str" cm="1">
        <f t="array" ref="AE610">IF($D610&lt;COLUMNS($F$7:AE$7),"",INDEX(TableDiv[[GASB]:[GASB]],_xlfn.AGGREGATE(15,3,(TableDiv[[Agency]:[Agency]]=$E610)/(TableDiv[[Agency]:[Agency]]=$E610)*(ROW(TableDiv[Agency])-ROW(TableDiv[[#Headers],[Agency]])),COLUMNS($F$7:AE$7))))</f>
        <v/>
      </c>
      <c r="AF610" s="2223" t="str" cm="1">
        <f t="array" ref="AF610">IF($D610&lt;COLUMNS($F$7:AF$7),"",INDEX(TableDiv[[GASB]:[GASB]],_xlfn.AGGREGATE(15,3,(TableDiv[[Agency]:[Agency]]=$E610)/(TableDiv[[Agency]:[Agency]]=$E610)*(ROW(TableDiv[Agency])-ROW(TableDiv[[#Headers],[Agency]])),COLUMNS($F$7:AF$7))))</f>
        <v/>
      </c>
      <c r="AG610" s="2223" t="str" cm="1">
        <f t="array" ref="AG610">IF($D610&lt;COLUMNS($F$7:AG$7),"",INDEX(TableDiv[[GASB]:[GASB]],_xlfn.AGGREGATE(15,3,(TableDiv[[Agency]:[Agency]]=$E610)/(TableDiv[[Agency]:[Agency]]=$E610)*(ROW(TableDiv[Agency])-ROW(TableDiv[[#Headers],[Agency]])),COLUMNS($F$7:AG$7))))</f>
        <v/>
      </c>
      <c r="AH610" s="2223" t="str" cm="1">
        <f t="array" ref="AH610">IF($D610&lt;COLUMNS($F$7:AH$7),"",INDEX(TableDiv[[GASB]:[GASB]],_xlfn.AGGREGATE(15,3,(TableDiv[[Agency]:[Agency]]=$E610)/(TableDiv[[Agency]:[Agency]]=$E610)*(ROW(TableDiv[Agency])-ROW(TableDiv[[#Headers],[Agency]])),COLUMNS($F$7:AH$7))))</f>
        <v/>
      </c>
      <c r="AI610" s="2223" t="str" cm="1">
        <f t="array" ref="AI610">IF($D610&lt;COLUMNS($F$7:AI$7),"",INDEX(TableDiv[[GASB]:[GASB]],_xlfn.AGGREGATE(15,3,(TableDiv[[Agency]:[Agency]]=$E610)/(TableDiv[[Agency]:[Agency]]=$E610)*(ROW(TableDiv[Agency])-ROW(TableDiv[[#Headers],[Agency]])),COLUMNS($F$7:AI$7))))</f>
        <v/>
      </c>
      <c r="AJ610" s="2223" t="str" cm="1">
        <f t="array" ref="AJ610">IF($D610&lt;COLUMNS($F$7:AJ$7),"",INDEX(TableDiv[[GASB]:[GASB]],_xlfn.AGGREGATE(15,3,(TableDiv[[Agency]:[Agency]]=$E610)/(TableDiv[[Agency]:[Agency]]=$E610)*(ROW(TableDiv[Agency])-ROW(TableDiv[[#Headers],[Agency]])),COLUMNS($F$7:AJ$7))))</f>
        <v/>
      </c>
      <c r="AK610" s="2223" t="str" cm="1">
        <f t="array" ref="AK610">IF($D610&lt;COLUMNS($F$7:AK$7),"",INDEX(TableDiv[[GASB]:[GASB]],_xlfn.AGGREGATE(15,3,(TableDiv[[Agency]:[Agency]]=$E610)/(TableDiv[[Agency]:[Agency]]=$E610)*(ROW(TableDiv[Agency])-ROW(TableDiv[[#Headers],[Agency]])),COLUMNS($F$7:AK$7))))</f>
        <v/>
      </c>
      <c r="AL610" s="2223" t="str" cm="1">
        <f t="array" ref="AL610">IF($D610&lt;COLUMNS($F$7:AL$7),"",INDEX(TableDiv[[GASB]:[GASB]],_xlfn.AGGREGATE(15,3,(TableDiv[[Agency]:[Agency]]=$E610)/(TableDiv[[Agency]:[Agency]]=$E610)*(ROW(TableDiv[Agency])-ROW(TableDiv[[#Headers],[Agency]])),COLUMNS($F$7:AL$7))))</f>
        <v/>
      </c>
      <c r="AM610" s="2223" t="str" cm="1">
        <f t="array" ref="AM610">IF($D610&lt;COLUMNS($F$7:AM$7),"",INDEX(TableDiv[[GASB]:[GASB]],_xlfn.AGGREGATE(15,3,(TableDiv[[Agency]:[Agency]]=$E610)/(TableDiv[[Agency]:[Agency]]=$E610)*(ROW(TableDiv[Agency])-ROW(TableDiv[[#Headers],[Agency]])),COLUMNS($F$7:AM$7))))</f>
        <v/>
      </c>
      <c r="AN610" s="2223"/>
      <c r="AO610" s="2223"/>
      <c r="AP610" s="2223"/>
      <c r="AQ610" s="2223"/>
      <c r="AR610" s="2223"/>
      <c r="AS610" s="2223"/>
    </row>
    <row r="611" spans="1:45" x14ac:dyDescent="0.2">
      <c r="A611" s="2223"/>
      <c r="B611" s="2223"/>
      <c r="C611" s="2223"/>
      <c r="W611" s="2223" t="str" cm="1">
        <f t="array" ref="W611">IF($D611&lt;COLUMNS($F$7:W$7),"",INDEX(TableDiv[[GASB]:[GASB]],_xlfn.AGGREGATE(15,3,(TableDiv[[Agency]:[Agency]]=$E611)/(TableDiv[[Agency]:[Agency]]=$E611)*(ROW(TableDiv[Agency])-ROW(TableDiv[[#Headers],[Agency]])),COLUMNS($F$7:W$7))))</f>
        <v/>
      </c>
      <c r="X611" s="2223" t="str" cm="1">
        <f t="array" ref="X611">IF($D611&lt;COLUMNS($F$7:X$7),"",INDEX(TableDiv[[GASB]:[GASB]],_xlfn.AGGREGATE(15,3,(TableDiv[[Agency]:[Agency]]=$E611)/(TableDiv[[Agency]:[Agency]]=$E611)*(ROW(TableDiv[Agency])-ROW(TableDiv[[#Headers],[Agency]])),COLUMNS($F$7:X$7))))</f>
        <v/>
      </c>
      <c r="Y611" s="2223" t="str" cm="1">
        <f t="array" ref="Y611">IF($D611&lt;COLUMNS($F$7:Y$7),"",INDEX(TableDiv[[GASB]:[GASB]],_xlfn.AGGREGATE(15,3,(TableDiv[[Agency]:[Agency]]=$E611)/(TableDiv[[Agency]:[Agency]]=$E611)*(ROW(TableDiv[Agency])-ROW(TableDiv[[#Headers],[Agency]])),COLUMNS($F$7:Y$7))))</f>
        <v/>
      </c>
      <c r="Z611" s="2223" t="str" cm="1">
        <f t="array" ref="Z611">IF($D611&lt;COLUMNS($F$7:Z$7),"",INDEX(TableDiv[[GASB]:[GASB]],_xlfn.AGGREGATE(15,3,(TableDiv[[Agency]:[Agency]]=$E611)/(TableDiv[[Agency]:[Agency]]=$E611)*(ROW(TableDiv[Agency])-ROW(TableDiv[[#Headers],[Agency]])),COLUMNS($F$7:Z$7))))</f>
        <v/>
      </c>
      <c r="AA611" s="2223" t="str" cm="1">
        <f t="array" ref="AA611">IF($D611&lt;COLUMNS($F$7:AA$7),"",INDEX(TableDiv[[GASB]:[GASB]],_xlfn.AGGREGATE(15,3,(TableDiv[[Agency]:[Agency]]=$E611)/(TableDiv[[Agency]:[Agency]]=$E611)*(ROW(TableDiv[Agency])-ROW(TableDiv[[#Headers],[Agency]])),COLUMNS($F$7:AA$7))))</f>
        <v/>
      </c>
      <c r="AB611" s="2223" t="str" cm="1">
        <f t="array" ref="AB611">IF($D611&lt;COLUMNS($F$7:AB$7),"",INDEX(TableDiv[[GASB]:[GASB]],_xlfn.AGGREGATE(15,3,(TableDiv[[Agency]:[Agency]]=$E611)/(TableDiv[[Agency]:[Agency]]=$E611)*(ROW(TableDiv[Agency])-ROW(TableDiv[[#Headers],[Agency]])),COLUMNS($F$7:AB$7))))</f>
        <v/>
      </c>
      <c r="AC611" s="2223" t="str" cm="1">
        <f t="array" ref="AC611">IF($D611&lt;COLUMNS($F$7:AC$7),"",INDEX(TableDiv[[GASB]:[GASB]],_xlfn.AGGREGATE(15,3,(TableDiv[[Agency]:[Agency]]=$E611)/(TableDiv[[Agency]:[Agency]]=$E611)*(ROW(TableDiv[Agency])-ROW(TableDiv[[#Headers],[Agency]])),COLUMNS($F$7:AC$7))))</f>
        <v/>
      </c>
      <c r="AD611" s="2223" t="str" cm="1">
        <f t="array" ref="AD611">IF($D611&lt;COLUMNS($F$7:AD$7),"",INDEX(TableDiv[[GASB]:[GASB]],_xlfn.AGGREGATE(15,3,(TableDiv[[Agency]:[Agency]]=$E611)/(TableDiv[[Agency]:[Agency]]=$E611)*(ROW(TableDiv[Agency])-ROW(TableDiv[[#Headers],[Agency]])),COLUMNS($F$7:AD$7))))</f>
        <v/>
      </c>
      <c r="AE611" s="2223" t="str" cm="1">
        <f t="array" ref="AE611">IF($D611&lt;COLUMNS($F$7:AE$7),"",INDEX(TableDiv[[GASB]:[GASB]],_xlfn.AGGREGATE(15,3,(TableDiv[[Agency]:[Agency]]=$E611)/(TableDiv[[Agency]:[Agency]]=$E611)*(ROW(TableDiv[Agency])-ROW(TableDiv[[#Headers],[Agency]])),COLUMNS($F$7:AE$7))))</f>
        <v/>
      </c>
      <c r="AF611" s="2223" t="str" cm="1">
        <f t="array" ref="AF611">IF($D611&lt;COLUMNS($F$7:AF$7),"",INDEX(TableDiv[[GASB]:[GASB]],_xlfn.AGGREGATE(15,3,(TableDiv[[Agency]:[Agency]]=$E611)/(TableDiv[[Agency]:[Agency]]=$E611)*(ROW(TableDiv[Agency])-ROW(TableDiv[[#Headers],[Agency]])),COLUMNS($F$7:AF$7))))</f>
        <v/>
      </c>
      <c r="AG611" s="2223" t="str" cm="1">
        <f t="array" ref="AG611">IF($D611&lt;COLUMNS($F$7:AG$7),"",INDEX(TableDiv[[GASB]:[GASB]],_xlfn.AGGREGATE(15,3,(TableDiv[[Agency]:[Agency]]=$E611)/(TableDiv[[Agency]:[Agency]]=$E611)*(ROW(TableDiv[Agency])-ROW(TableDiv[[#Headers],[Agency]])),COLUMNS($F$7:AG$7))))</f>
        <v/>
      </c>
      <c r="AH611" s="2223" t="str" cm="1">
        <f t="array" ref="AH611">IF($D611&lt;COLUMNS($F$7:AH$7),"",INDEX(TableDiv[[GASB]:[GASB]],_xlfn.AGGREGATE(15,3,(TableDiv[[Agency]:[Agency]]=$E611)/(TableDiv[[Agency]:[Agency]]=$E611)*(ROW(TableDiv[Agency])-ROW(TableDiv[[#Headers],[Agency]])),COLUMNS($F$7:AH$7))))</f>
        <v/>
      </c>
      <c r="AI611" s="2223" t="str" cm="1">
        <f t="array" ref="AI611">IF($D611&lt;COLUMNS($F$7:AI$7),"",INDEX(TableDiv[[GASB]:[GASB]],_xlfn.AGGREGATE(15,3,(TableDiv[[Agency]:[Agency]]=$E611)/(TableDiv[[Agency]:[Agency]]=$E611)*(ROW(TableDiv[Agency])-ROW(TableDiv[[#Headers],[Agency]])),COLUMNS($F$7:AI$7))))</f>
        <v/>
      </c>
      <c r="AJ611" s="2223" t="str" cm="1">
        <f t="array" ref="AJ611">IF($D611&lt;COLUMNS($F$7:AJ$7),"",INDEX(TableDiv[[GASB]:[GASB]],_xlfn.AGGREGATE(15,3,(TableDiv[[Agency]:[Agency]]=$E611)/(TableDiv[[Agency]:[Agency]]=$E611)*(ROW(TableDiv[Agency])-ROW(TableDiv[[#Headers],[Agency]])),COLUMNS($F$7:AJ$7))))</f>
        <v/>
      </c>
      <c r="AK611" s="2223" t="str" cm="1">
        <f t="array" ref="AK611">IF($D611&lt;COLUMNS($F$7:AK$7),"",INDEX(TableDiv[[GASB]:[GASB]],_xlfn.AGGREGATE(15,3,(TableDiv[[Agency]:[Agency]]=$E611)/(TableDiv[[Agency]:[Agency]]=$E611)*(ROW(TableDiv[Agency])-ROW(TableDiv[[#Headers],[Agency]])),COLUMNS($F$7:AK$7))))</f>
        <v/>
      </c>
      <c r="AL611" s="2223" t="str" cm="1">
        <f t="array" ref="AL611">IF($D611&lt;COLUMNS($F$7:AL$7),"",INDEX(TableDiv[[GASB]:[GASB]],_xlfn.AGGREGATE(15,3,(TableDiv[[Agency]:[Agency]]=$E611)/(TableDiv[[Agency]:[Agency]]=$E611)*(ROW(TableDiv[Agency])-ROW(TableDiv[[#Headers],[Agency]])),COLUMNS($F$7:AL$7))))</f>
        <v/>
      </c>
      <c r="AM611" s="2223" t="str" cm="1">
        <f t="array" ref="AM611">IF($D611&lt;COLUMNS($F$7:AM$7),"",INDEX(TableDiv[[GASB]:[GASB]],_xlfn.AGGREGATE(15,3,(TableDiv[[Agency]:[Agency]]=$E611)/(TableDiv[[Agency]:[Agency]]=$E611)*(ROW(TableDiv[Agency])-ROW(TableDiv[[#Headers],[Agency]])),COLUMNS($F$7:AM$7))))</f>
        <v/>
      </c>
      <c r="AN611" s="2223"/>
      <c r="AO611" s="2223"/>
      <c r="AP611" s="2223"/>
      <c r="AQ611" s="2223"/>
      <c r="AR611" s="2223"/>
      <c r="AS611" s="2223"/>
    </row>
    <row r="612" spans="1:45" x14ac:dyDescent="0.2">
      <c r="A612" s="2223"/>
      <c r="B612" s="2223"/>
      <c r="C612" s="2223"/>
      <c r="W612" s="2223" t="str" cm="1">
        <f t="array" ref="W612">IF($D612&lt;COLUMNS($F$7:W$7),"",INDEX(TableDiv[[GASB]:[GASB]],_xlfn.AGGREGATE(15,3,(TableDiv[[Agency]:[Agency]]=$E612)/(TableDiv[[Agency]:[Agency]]=$E612)*(ROW(TableDiv[Agency])-ROW(TableDiv[[#Headers],[Agency]])),COLUMNS($F$7:W$7))))</f>
        <v/>
      </c>
      <c r="X612" s="2223" t="str" cm="1">
        <f t="array" ref="X612">IF($D612&lt;COLUMNS($F$7:X$7),"",INDEX(TableDiv[[GASB]:[GASB]],_xlfn.AGGREGATE(15,3,(TableDiv[[Agency]:[Agency]]=$E612)/(TableDiv[[Agency]:[Agency]]=$E612)*(ROW(TableDiv[Agency])-ROW(TableDiv[[#Headers],[Agency]])),COLUMNS($F$7:X$7))))</f>
        <v/>
      </c>
      <c r="Y612" s="2223" t="str" cm="1">
        <f t="array" ref="Y612">IF($D612&lt;COLUMNS($F$7:Y$7),"",INDEX(TableDiv[[GASB]:[GASB]],_xlfn.AGGREGATE(15,3,(TableDiv[[Agency]:[Agency]]=$E612)/(TableDiv[[Agency]:[Agency]]=$E612)*(ROW(TableDiv[Agency])-ROW(TableDiv[[#Headers],[Agency]])),COLUMNS($F$7:Y$7))))</f>
        <v/>
      </c>
      <c r="Z612" s="2223" t="str" cm="1">
        <f t="array" ref="Z612">IF($D612&lt;COLUMNS($F$7:Z$7),"",INDEX(TableDiv[[GASB]:[GASB]],_xlfn.AGGREGATE(15,3,(TableDiv[[Agency]:[Agency]]=$E612)/(TableDiv[[Agency]:[Agency]]=$E612)*(ROW(TableDiv[Agency])-ROW(TableDiv[[#Headers],[Agency]])),COLUMNS($F$7:Z$7))))</f>
        <v/>
      </c>
      <c r="AA612" s="2223" t="str" cm="1">
        <f t="array" ref="AA612">IF($D612&lt;COLUMNS($F$7:AA$7),"",INDEX(TableDiv[[GASB]:[GASB]],_xlfn.AGGREGATE(15,3,(TableDiv[[Agency]:[Agency]]=$E612)/(TableDiv[[Agency]:[Agency]]=$E612)*(ROW(TableDiv[Agency])-ROW(TableDiv[[#Headers],[Agency]])),COLUMNS($F$7:AA$7))))</f>
        <v/>
      </c>
      <c r="AB612" s="2223" t="str" cm="1">
        <f t="array" ref="AB612">IF($D612&lt;COLUMNS($F$7:AB$7),"",INDEX(TableDiv[[GASB]:[GASB]],_xlfn.AGGREGATE(15,3,(TableDiv[[Agency]:[Agency]]=$E612)/(TableDiv[[Agency]:[Agency]]=$E612)*(ROW(TableDiv[Agency])-ROW(TableDiv[[#Headers],[Agency]])),COLUMNS($F$7:AB$7))))</f>
        <v/>
      </c>
      <c r="AC612" s="2223" t="str" cm="1">
        <f t="array" ref="AC612">IF($D612&lt;COLUMNS($F$7:AC$7),"",INDEX(TableDiv[[GASB]:[GASB]],_xlfn.AGGREGATE(15,3,(TableDiv[[Agency]:[Agency]]=$E612)/(TableDiv[[Agency]:[Agency]]=$E612)*(ROW(TableDiv[Agency])-ROW(TableDiv[[#Headers],[Agency]])),COLUMNS($F$7:AC$7))))</f>
        <v/>
      </c>
      <c r="AD612" s="2223" t="str" cm="1">
        <f t="array" ref="AD612">IF($D612&lt;COLUMNS($F$7:AD$7),"",INDEX(TableDiv[[GASB]:[GASB]],_xlfn.AGGREGATE(15,3,(TableDiv[[Agency]:[Agency]]=$E612)/(TableDiv[[Agency]:[Agency]]=$E612)*(ROW(TableDiv[Agency])-ROW(TableDiv[[#Headers],[Agency]])),COLUMNS($F$7:AD$7))))</f>
        <v/>
      </c>
      <c r="AE612" s="2223" t="str" cm="1">
        <f t="array" ref="AE612">IF($D612&lt;COLUMNS($F$7:AE$7),"",INDEX(TableDiv[[GASB]:[GASB]],_xlfn.AGGREGATE(15,3,(TableDiv[[Agency]:[Agency]]=$E612)/(TableDiv[[Agency]:[Agency]]=$E612)*(ROW(TableDiv[Agency])-ROW(TableDiv[[#Headers],[Agency]])),COLUMNS($F$7:AE$7))))</f>
        <v/>
      </c>
      <c r="AF612" s="2223" t="str" cm="1">
        <f t="array" ref="AF612">IF($D612&lt;COLUMNS($F$7:AF$7),"",INDEX(TableDiv[[GASB]:[GASB]],_xlfn.AGGREGATE(15,3,(TableDiv[[Agency]:[Agency]]=$E612)/(TableDiv[[Agency]:[Agency]]=$E612)*(ROW(TableDiv[Agency])-ROW(TableDiv[[#Headers],[Agency]])),COLUMNS($F$7:AF$7))))</f>
        <v/>
      </c>
      <c r="AG612" s="2223" t="str" cm="1">
        <f t="array" ref="AG612">IF($D612&lt;COLUMNS($F$7:AG$7),"",INDEX(TableDiv[[GASB]:[GASB]],_xlfn.AGGREGATE(15,3,(TableDiv[[Agency]:[Agency]]=$E612)/(TableDiv[[Agency]:[Agency]]=$E612)*(ROW(TableDiv[Agency])-ROW(TableDiv[[#Headers],[Agency]])),COLUMNS($F$7:AG$7))))</f>
        <v/>
      </c>
      <c r="AH612" s="2223" t="str" cm="1">
        <f t="array" ref="AH612">IF($D612&lt;COLUMNS($F$7:AH$7),"",INDEX(TableDiv[[GASB]:[GASB]],_xlfn.AGGREGATE(15,3,(TableDiv[[Agency]:[Agency]]=$E612)/(TableDiv[[Agency]:[Agency]]=$E612)*(ROW(TableDiv[Agency])-ROW(TableDiv[[#Headers],[Agency]])),COLUMNS($F$7:AH$7))))</f>
        <v/>
      </c>
      <c r="AI612" s="2223" t="str" cm="1">
        <f t="array" ref="AI612">IF($D612&lt;COLUMNS($F$7:AI$7),"",INDEX(TableDiv[[GASB]:[GASB]],_xlfn.AGGREGATE(15,3,(TableDiv[[Agency]:[Agency]]=$E612)/(TableDiv[[Agency]:[Agency]]=$E612)*(ROW(TableDiv[Agency])-ROW(TableDiv[[#Headers],[Agency]])),COLUMNS($F$7:AI$7))))</f>
        <v/>
      </c>
      <c r="AJ612" s="2223" t="str" cm="1">
        <f t="array" ref="AJ612">IF($D612&lt;COLUMNS($F$7:AJ$7),"",INDEX(TableDiv[[GASB]:[GASB]],_xlfn.AGGREGATE(15,3,(TableDiv[[Agency]:[Agency]]=$E612)/(TableDiv[[Agency]:[Agency]]=$E612)*(ROW(TableDiv[Agency])-ROW(TableDiv[[#Headers],[Agency]])),COLUMNS($F$7:AJ$7))))</f>
        <v/>
      </c>
      <c r="AK612" s="2223" t="str" cm="1">
        <f t="array" ref="AK612">IF($D612&lt;COLUMNS($F$7:AK$7),"",INDEX(TableDiv[[GASB]:[GASB]],_xlfn.AGGREGATE(15,3,(TableDiv[[Agency]:[Agency]]=$E612)/(TableDiv[[Agency]:[Agency]]=$E612)*(ROW(TableDiv[Agency])-ROW(TableDiv[[#Headers],[Agency]])),COLUMNS($F$7:AK$7))))</f>
        <v/>
      </c>
      <c r="AL612" s="2223" t="str" cm="1">
        <f t="array" ref="AL612">IF($D612&lt;COLUMNS($F$7:AL$7),"",INDEX(TableDiv[[GASB]:[GASB]],_xlfn.AGGREGATE(15,3,(TableDiv[[Agency]:[Agency]]=$E612)/(TableDiv[[Agency]:[Agency]]=$E612)*(ROW(TableDiv[Agency])-ROW(TableDiv[[#Headers],[Agency]])),COLUMNS($F$7:AL$7))))</f>
        <v/>
      </c>
      <c r="AM612" s="2223" t="str" cm="1">
        <f t="array" ref="AM612">IF($D612&lt;COLUMNS($F$7:AM$7),"",INDEX(TableDiv[[GASB]:[GASB]],_xlfn.AGGREGATE(15,3,(TableDiv[[Agency]:[Agency]]=$E612)/(TableDiv[[Agency]:[Agency]]=$E612)*(ROW(TableDiv[Agency])-ROW(TableDiv[[#Headers],[Agency]])),COLUMNS($F$7:AM$7))))</f>
        <v/>
      </c>
      <c r="AN612" s="2223"/>
      <c r="AO612" s="2223"/>
      <c r="AP612" s="2223"/>
      <c r="AQ612" s="2223"/>
      <c r="AR612" s="2223"/>
      <c r="AS612" s="2223"/>
    </row>
    <row r="613" spans="1:45" x14ac:dyDescent="0.2">
      <c r="A613" s="2223"/>
      <c r="B613" s="2223"/>
      <c r="C613" s="2223"/>
      <c r="W613" s="2223" t="str" cm="1">
        <f t="array" ref="W613">IF($D613&lt;COLUMNS($F$7:W$7),"",INDEX(TableDiv[[GASB]:[GASB]],_xlfn.AGGREGATE(15,3,(TableDiv[[Agency]:[Agency]]=$E613)/(TableDiv[[Agency]:[Agency]]=$E613)*(ROW(TableDiv[Agency])-ROW(TableDiv[[#Headers],[Agency]])),COLUMNS($F$7:W$7))))</f>
        <v/>
      </c>
      <c r="X613" s="2223" t="str" cm="1">
        <f t="array" ref="X613">IF($D613&lt;COLUMNS($F$7:X$7),"",INDEX(TableDiv[[GASB]:[GASB]],_xlfn.AGGREGATE(15,3,(TableDiv[[Agency]:[Agency]]=$E613)/(TableDiv[[Agency]:[Agency]]=$E613)*(ROW(TableDiv[Agency])-ROW(TableDiv[[#Headers],[Agency]])),COLUMNS($F$7:X$7))))</f>
        <v/>
      </c>
      <c r="Y613" s="2223" t="str" cm="1">
        <f t="array" ref="Y613">IF($D613&lt;COLUMNS($F$7:Y$7),"",INDEX(TableDiv[[GASB]:[GASB]],_xlfn.AGGREGATE(15,3,(TableDiv[[Agency]:[Agency]]=$E613)/(TableDiv[[Agency]:[Agency]]=$E613)*(ROW(TableDiv[Agency])-ROW(TableDiv[[#Headers],[Agency]])),COLUMNS($F$7:Y$7))))</f>
        <v/>
      </c>
      <c r="Z613" s="2223" t="str" cm="1">
        <f t="array" ref="Z613">IF($D613&lt;COLUMNS($F$7:Z$7),"",INDEX(TableDiv[[GASB]:[GASB]],_xlfn.AGGREGATE(15,3,(TableDiv[[Agency]:[Agency]]=$E613)/(TableDiv[[Agency]:[Agency]]=$E613)*(ROW(TableDiv[Agency])-ROW(TableDiv[[#Headers],[Agency]])),COLUMNS($F$7:Z$7))))</f>
        <v/>
      </c>
      <c r="AA613" s="2223" t="str" cm="1">
        <f t="array" ref="AA613">IF($D613&lt;COLUMNS($F$7:AA$7),"",INDEX(TableDiv[[GASB]:[GASB]],_xlfn.AGGREGATE(15,3,(TableDiv[[Agency]:[Agency]]=$E613)/(TableDiv[[Agency]:[Agency]]=$E613)*(ROW(TableDiv[Agency])-ROW(TableDiv[[#Headers],[Agency]])),COLUMNS($F$7:AA$7))))</f>
        <v/>
      </c>
      <c r="AB613" s="2223" t="str" cm="1">
        <f t="array" ref="AB613">IF($D613&lt;COLUMNS($F$7:AB$7),"",INDEX(TableDiv[[GASB]:[GASB]],_xlfn.AGGREGATE(15,3,(TableDiv[[Agency]:[Agency]]=$E613)/(TableDiv[[Agency]:[Agency]]=$E613)*(ROW(TableDiv[Agency])-ROW(TableDiv[[#Headers],[Agency]])),COLUMNS($F$7:AB$7))))</f>
        <v/>
      </c>
      <c r="AC613" s="2223" t="str" cm="1">
        <f t="array" ref="AC613">IF($D613&lt;COLUMNS($F$7:AC$7),"",INDEX(TableDiv[[GASB]:[GASB]],_xlfn.AGGREGATE(15,3,(TableDiv[[Agency]:[Agency]]=$E613)/(TableDiv[[Agency]:[Agency]]=$E613)*(ROW(TableDiv[Agency])-ROW(TableDiv[[#Headers],[Agency]])),COLUMNS($F$7:AC$7))))</f>
        <v/>
      </c>
      <c r="AD613" s="2223" t="str" cm="1">
        <f t="array" ref="AD613">IF($D613&lt;COLUMNS($F$7:AD$7),"",INDEX(TableDiv[[GASB]:[GASB]],_xlfn.AGGREGATE(15,3,(TableDiv[[Agency]:[Agency]]=$E613)/(TableDiv[[Agency]:[Agency]]=$E613)*(ROW(TableDiv[Agency])-ROW(TableDiv[[#Headers],[Agency]])),COLUMNS($F$7:AD$7))))</f>
        <v/>
      </c>
      <c r="AE613" s="2223" t="str" cm="1">
        <f t="array" ref="AE613">IF($D613&lt;COLUMNS($F$7:AE$7),"",INDEX(TableDiv[[GASB]:[GASB]],_xlfn.AGGREGATE(15,3,(TableDiv[[Agency]:[Agency]]=$E613)/(TableDiv[[Agency]:[Agency]]=$E613)*(ROW(TableDiv[Agency])-ROW(TableDiv[[#Headers],[Agency]])),COLUMNS($F$7:AE$7))))</f>
        <v/>
      </c>
      <c r="AF613" s="2223" t="str" cm="1">
        <f t="array" ref="AF613">IF($D613&lt;COLUMNS($F$7:AF$7),"",INDEX(TableDiv[[GASB]:[GASB]],_xlfn.AGGREGATE(15,3,(TableDiv[[Agency]:[Agency]]=$E613)/(TableDiv[[Agency]:[Agency]]=$E613)*(ROW(TableDiv[Agency])-ROW(TableDiv[[#Headers],[Agency]])),COLUMNS($F$7:AF$7))))</f>
        <v/>
      </c>
      <c r="AG613" s="2223" t="str" cm="1">
        <f t="array" ref="AG613">IF($D613&lt;COLUMNS($F$7:AG$7),"",INDEX(TableDiv[[GASB]:[GASB]],_xlfn.AGGREGATE(15,3,(TableDiv[[Agency]:[Agency]]=$E613)/(TableDiv[[Agency]:[Agency]]=$E613)*(ROW(TableDiv[Agency])-ROW(TableDiv[[#Headers],[Agency]])),COLUMNS($F$7:AG$7))))</f>
        <v/>
      </c>
      <c r="AH613" s="2223" t="str" cm="1">
        <f t="array" ref="AH613">IF($D613&lt;COLUMNS($F$7:AH$7),"",INDEX(TableDiv[[GASB]:[GASB]],_xlfn.AGGREGATE(15,3,(TableDiv[[Agency]:[Agency]]=$E613)/(TableDiv[[Agency]:[Agency]]=$E613)*(ROW(TableDiv[Agency])-ROW(TableDiv[[#Headers],[Agency]])),COLUMNS($F$7:AH$7))))</f>
        <v/>
      </c>
      <c r="AI613" s="2223" t="str" cm="1">
        <f t="array" ref="AI613">IF($D613&lt;COLUMNS($F$7:AI$7),"",INDEX(TableDiv[[GASB]:[GASB]],_xlfn.AGGREGATE(15,3,(TableDiv[[Agency]:[Agency]]=$E613)/(TableDiv[[Agency]:[Agency]]=$E613)*(ROW(TableDiv[Agency])-ROW(TableDiv[[#Headers],[Agency]])),COLUMNS($F$7:AI$7))))</f>
        <v/>
      </c>
      <c r="AJ613" s="2223" t="str" cm="1">
        <f t="array" ref="AJ613">IF($D613&lt;COLUMNS($F$7:AJ$7),"",INDEX(TableDiv[[GASB]:[GASB]],_xlfn.AGGREGATE(15,3,(TableDiv[[Agency]:[Agency]]=$E613)/(TableDiv[[Agency]:[Agency]]=$E613)*(ROW(TableDiv[Agency])-ROW(TableDiv[[#Headers],[Agency]])),COLUMNS($F$7:AJ$7))))</f>
        <v/>
      </c>
      <c r="AK613" s="2223" t="str" cm="1">
        <f t="array" ref="AK613">IF($D613&lt;COLUMNS($F$7:AK$7),"",INDEX(TableDiv[[GASB]:[GASB]],_xlfn.AGGREGATE(15,3,(TableDiv[[Agency]:[Agency]]=$E613)/(TableDiv[[Agency]:[Agency]]=$E613)*(ROW(TableDiv[Agency])-ROW(TableDiv[[#Headers],[Agency]])),COLUMNS($F$7:AK$7))))</f>
        <v/>
      </c>
      <c r="AL613" s="2223" t="str" cm="1">
        <f t="array" ref="AL613">IF($D613&lt;COLUMNS($F$7:AL$7),"",INDEX(TableDiv[[GASB]:[GASB]],_xlfn.AGGREGATE(15,3,(TableDiv[[Agency]:[Agency]]=$E613)/(TableDiv[[Agency]:[Agency]]=$E613)*(ROW(TableDiv[Agency])-ROW(TableDiv[[#Headers],[Agency]])),COLUMNS($F$7:AL$7))))</f>
        <v/>
      </c>
      <c r="AM613" s="2223" t="str" cm="1">
        <f t="array" ref="AM613">IF($D613&lt;COLUMNS($F$7:AM$7),"",INDEX(TableDiv[[GASB]:[GASB]],_xlfn.AGGREGATE(15,3,(TableDiv[[Agency]:[Agency]]=$E613)/(TableDiv[[Agency]:[Agency]]=$E613)*(ROW(TableDiv[Agency])-ROW(TableDiv[[#Headers],[Agency]])),COLUMNS($F$7:AM$7))))</f>
        <v/>
      </c>
      <c r="AN613" s="2223"/>
      <c r="AO613" s="2223"/>
      <c r="AP613" s="2223"/>
      <c r="AQ613" s="2223"/>
      <c r="AR613" s="2223"/>
      <c r="AS613" s="2223"/>
    </row>
    <row r="614" spans="1:45" x14ac:dyDescent="0.2">
      <c r="A614" s="2223"/>
      <c r="B614" s="2223"/>
      <c r="C614" s="2223"/>
      <c r="W614" s="2223" t="str" cm="1">
        <f t="array" ref="W614">IF($D614&lt;COLUMNS($F$7:W$7),"",INDEX(TableDiv[[GASB]:[GASB]],_xlfn.AGGREGATE(15,3,(TableDiv[[Agency]:[Agency]]=$E614)/(TableDiv[[Agency]:[Agency]]=$E614)*(ROW(TableDiv[Agency])-ROW(TableDiv[[#Headers],[Agency]])),COLUMNS($F$7:W$7))))</f>
        <v/>
      </c>
      <c r="X614" s="2223" t="str" cm="1">
        <f t="array" ref="X614">IF($D614&lt;COLUMNS($F$7:X$7),"",INDEX(TableDiv[[GASB]:[GASB]],_xlfn.AGGREGATE(15,3,(TableDiv[[Agency]:[Agency]]=$E614)/(TableDiv[[Agency]:[Agency]]=$E614)*(ROW(TableDiv[Agency])-ROW(TableDiv[[#Headers],[Agency]])),COLUMNS($F$7:X$7))))</f>
        <v/>
      </c>
      <c r="Y614" s="2223" t="str" cm="1">
        <f t="array" ref="Y614">IF($D614&lt;COLUMNS($F$7:Y$7),"",INDEX(TableDiv[[GASB]:[GASB]],_xlfn.AGGREGATE(15,3,(TableDiv[[Agency]:[Agency]]=$E614)/(TableDiv[[Agency]:[Agency]]=$E614)*(ROW(TableDiv[Agency])-ROW(TableDiv[[#Headers],[Agency]])),COLUMNS($F$7:Y$7))))</f>
        <v/>
      </c>
      <c r="Z614" s="2223" t="str" cm="1">
        <f t="array" ref="Z614">IF($D614&lt;COLUMNS($F$7:Z$7),"",INDEX(TableDiv[[GASB]:[GASB]],_xlfn.AGGREGATE(15,3,(TableDiv[[Agency]:[Agency]]=$E614)/(TableDiv[[Agency]:[Agency]]=$E614)*(ROW(TableDiv[Agency])-ROW(TableDiv[[#Headers],[Agency]])),COLUMNS($F$7:Z$7))))</f>
        <v/>
      </c>
      <c r="AA614" s="2223" t="str" cm="1">
        <f t="array" ref="AA614">IF($D614&lt;COLUMNS($F$7:AA$7),"",INDEX(TableDiv[[GASB]:[GASB]],_xlfn.AGGREGATE(15,3,(TableDiv[[Agency]:[Agency]]=$E614)/(TableDiv[[Agency]:[Agency]]=$E614)*(ROW(TableDiv[Agency])-ROW(TableDiv[[#Headers],[Agency]])),COLUMNS($F$7:AA$7))))</f>
        <v/>
      </c>
      <c r="AB614" s="2223" t="str" cm="1">
        <f t="array" ref="AB614">IF($D614&lt;COLUMNS($F$7:AB$7),"",INDEX(TableDiv[[GASB]:[GASB]],_xlfn.AGGREGATE(15,3,(TableDiv[[Agency]:[Agency]]=$E614)/(TableDiv[[Agency]:[Agency]]=$E614)*(ROW(TableDiv[Agency])-ROW(TableDiv[[#Headers],[Agency]])),COLUMNS($F$7:AB$7))))</f>
        <v/>
      </c>
      <c r="AC614" s="2223" t="str" cm="1">
        <f t="array" ref="AC614">IF($D614&lt;COLUMNS($F$7:AC$7),"",INDEX(TableDiv[[GASB]:[GASB]],_xlfn.AGGREGATE(15,3,(TableDiv[[Agency]:[Agency]]=$E614)/(TableDiv[[Agency]:[Agency]]=$E614)*(ROW(TableDiv[Agency])-ROW(TableDiv[[#Headers],[Agency]])),COLUMNS($F$7:AC$7))))</f>
        <v/>
      </c>
      <c r="AD614" s="2223" t="str" cm="1">
        <f t="array" ref="AD614">IF($D614&lt;COLUMNS($F$7:AD$7),"",INDEX(TableDiv[[GASB]:[GASB]],_xlfn.AGGREGATE(15,3,(TableDiv[[Agency]:[Agency]]=$E614)/(TableDiv[[Agency]:[Agency]]=$E614)*(ROW(TableDiv[Agency])-ROW(TableDiv[[#Headers],[Agency]])),COLUMNS($F$7:AD$7))))</f>
        <v/>
      </c>
      <c r="AE614" s="2223" t="str" cm="1">
        <f t="array" ref="AE614">IF($D614&lt;COLUMNS($F$7:AE$7),"",INDEX(TableDiv[[GASB]:[GASB]],_xlfn.AGGREGATE(15,3,(TableDiv[[Agency]:[Agency]]=$E614)/(TableDiv[[Agency]:[Agency]]=$E614)*(ROW(TableDiv[Agency])-ROW(TableDiv[[#Headers],[Agency]])),COLUMNS($F$7:AE$7))))</f>
        <v/>
      </c>
      <c r="AF614" s="2223" t="str" cm="1">
        <f t="array" ref="AF614">IF($D614&lt;COLUMNS($F$7:AF$7),"",INDEX(TableDiv[[GASB]:[GASB]],_xlfn.AGGREGATE(15,3,(TableDiv[[Agency]:[Agency]]=$E614)/(TableDiv[[Agency]:[Agency]]=$E614)*(ROW(TableDiv[Agency])-ROW(TableDiv[[#Headers],[Agency]])),COLUMNS($F$7:AF$7))))</f>
        <v/>
      </c>
      <c r="AG614" s="2223" t="str" cm="1">
        <f t="array" ref="AG614">IF($D614&lt;COLUMNS($F$7:AG$7),"",INDEX(TableDiv[[GASB]:[GASB]],_xlfn.AGGREGATE(15,3,(TableDiv[[Agency]:[Agency]]=$E614)/(TableDiv[[Agency]:[Agency]]=$E614)*(ROW(TableDiv[Agency])-ROW(TableDiv[[#Headers],[Agency]])),COLUMNS($F$7:AG$7))))</f>
        <v/>
      </c>
      <c r="AH614" s="2223" t="str" cm="1">
        <f t="array" ref="AH614">IF($D614&lt;COLUMNS($F$7:AH$7),"",INDEX(TableDiv[[GASB]:[GASB]],_xlfn.AGGREGATE(15,3,(TableDiv[[Agency]:[Agency]]=$E614)/(TableDiv[[Agency]:[Agency]]=$E614)*(ROW(TableDiv[Agency])-ROW(TableDiv[[#Headers],[Agency]])),COLUMNS($F$7:AH$7))))</f>
        <v/>
      </c>
      <c r="AI614" s="2223" t="str" cm="1">
        <f t="array" ref="AI614">IF($D614&lt;COLUMNS($F$7:AI$7),"",INDEX(TableDiv[[GASB]:[GASB]],_xlfn.AGGREGATE(15,3,(TableDiv[[Agency]:[Agency]]=$E614)/(TableDiv[[Agency]:[Agency]]=$E614)*(ROW(TableDiv[Agency])-ROW(TableDiv[[#Headers],[Agency]])),COLUMNS($F$7:AI$7))))</f>
        <v/>
      </c>
      <c r="AJ614" s="2223" t="str" cm="1">
        <f t="array" ref="AJ614">IF($D614&lt;COLUMNS($F$7:AJ$7),"",INDEX(TableDiv[[GASB]:[GASB]],_xlfn.AGGREGATE(15,3,(TableDiv[[Agency]:[Agency]]=$E614)/(TableDiv[[Agency]:[Agency]]=$E614)*(ROW(TableDiv[Agency])-ROW(TableDiv[[#Headers],[Agency]])),COLUMNS($F$7:AJ$7))))</f>
        <v/>
      </c>
      <c r="AK614" s="2223" t="str" cm="1">
        <f t="array" ref="AK614">IF($D614&lt;COLUMNS($F$7:AK$7),"",INDEX(TableDiv[[GASB]:[GASB]],_xlfn.AGGREGATE(15,3,(TableDiv[[Agency]:[Agency]]=$E614)/(TableDiv[[Agency]:[Agency]]=$E614)*(ROW(TableDiv[Agency])-ROW(TableDiv[[#Headers],[Agency]])),COLUMNS($F$7:AK$7))))</f>
        <v/>
      </c>
      <c r="AL614" s="2223" t="str" cm="1">
        <f t="array" ref="AL614">IF($D614&lt;COLUMNS($F$7:AL$7),"",INDEX(TableDiv[[GASB]:[GASB]],_xlfn.AGGREGATE(15,3,(TableDiv[[Agency]:[Agency]]=$E614)/(TableDiv[[Agency]:[Agency]]=$E614)*(ROW(TableDiv[Agency])-ROW(TableDiv[[#Headers],[Agency]])),COLUMNS($F$7:AL$7))))</f>
        <v/>
      </c>
      <c r="AM614" s="2223" t="str" cm="1">
        <f t="array" ref="AM614">IF($D614&lt;COLUMNS($F$7:AM$7),"",INDEX(TableDiv[[GASB]:[GASB]],_xlfn.AGGREGATE(15,3,(TableDiv[[Agency]:[Agency]]=$E614)/(TableDiv[[Agency]:[Agency]]=$E614)*(ROW(TableDiv[Agency])-ROW(TableDiv[[#Headers],[Agency]])),COLUMNS($F$7:AM$7))))</f>
        <v/>
      </c>
      <c r="AN614" s="2223"/>
      <c r="AO614" s="2223"/>
      <c r="AP614" s="2223"/>
      <c r="AQ614" s="2223"/>
      <c r="AR614" s="2223"/>
      <c r="AS614" s="2223"/>
    </row>
    <row r="615" spans="1:45" x14ac:dyDescent="0.2">
      <c r="A615" s="2223"/>
      <c r="B615" s="2223"/>
      <c r="C615" s="2223"/>
      <c r="W615" s="2223" t="str" cm="1">
        <f t="array" ref="W615">IF($D615&lt;COLUMNS($F$7:W$7),"",INDEX(TableDiv[[GASB]:[GASB]],_xlfn.AGGREGATE(15,3,(TableDiv[[Agency]:[Agency]]=$E615)/(TableDiv[[Agency]:[Agency]]=$E615)*(ROW(TableDiv[Agency])-ROW(TableDiv[[#Headers],[Agency]])),COLUMNS($F$7:W$7))))</f>
        <v/>
      </c>
      <c r="X615" s="2223" t="str" cm="1">
        <f t="array" ref="X615">IF($D615&lt;COLUMNS($F$7:X$7),"",INDEX(TableDiv[[GASB]:[GASB]],_xlfn.AGGREGATE(15,3,(TableDiv[[Agency]:[Agency]]=$E615)/(TableDiv[[Agency]:[Agency]]=$E615)*(ROW(TableDiv[Agency])-ROW(TableDiv[[#Headers],[Agency]])),COLUMNS($F$7:X$7))))</f>
        <v/>
      </c>
      <c r="Y615" s="2223" t="str" cm="1">
        <f t="array" ref="Y615">IF($D615&lt;COLUMNS($F$7:Y$7),"",INDEX(TableDiv[[GASB]:[GASB]],_xlfn.AGGREGATE(15,3,(TableDiv[[Agency]:[Agency]]=$E615)/(TableDiv[[Agency]:[Agency]]=$E615)*(ROW(TableDiv[Agency])-ROW(TableDiv[[#Headers],[Agency]])),COLUMNS($F$7:Y$7))))</f>
        <v/>
      </c>
      <c r="Z615" s="2223" t="str" cm="1">
        <f t="array" ref="Z615">IF($D615&lt;COLUMNS($F$7:Z$7),"",INDEX(TableDiv[[GASB]:[GASB]],_xlfn.AGGREGATE(15,3,(TableDiv[[Agency]:[Agency]]=$E615)/(TableDiv[[Agency]:[Agency]]=$E615)*(ROW(TableDiv[Agency])-ROW(TableDiv[[#Headers],[Agency]])),COLUMNS($F$7:Z$7))))</f>
        <v/>
      </c>
      <c r="AA615" s="2223" t="str" cm="1">
        <f t="array" ref="AA615">IF($D615&lt;COLUMNS($F$7:AA$7),"",INDEX(TableDiv[[GASB]:[GASB]],_xlfn.AGGREGATE(15,3,(TableDiv[[Agency]:[Agency]]=$E615)/(TableDiv[[Agency]:[Agency]]=$E615)*(ROW(TableDiv[Agency])-ROW(TableDiv[[#Headers],[Agency]])),COLUMNS($F$7:AA$7))))</f>
        <v/>
      </c>
      <c r="AB615" s="2223" t="str" cm="1">
        <f t="array" ref="AB615">IF($D615&lt;COLUMNS($F$7:AB$7),"",INDEX(TableDiv[[GASB]:[GASB]],_xlfn.AGGREGATE(15,3,(TableDiv[[Agency]:[Agency]]=$E615)/(TableDiv[[Agency]:[Agency]]=$E615)*(ROW(TableDiv[Agency])-ROW(TableDiv[[#Headers],[Agency]])),COLUMNS($F$7:AB$7))))</f>
        <v/>
      </c>
      <c r="AC615" s="2223" t="str" cm="1">
        <f t="array" ref="AC615">IF($D615&lt;COLUMNS($F$7:AC$7),"",INDEX(TableDiv[[GASB]:[GASB]],_xlfn.AGGREGATE(15,3,(TableDiv[[Agency]:[Agency]]=$E615)/(TableDiv[[Agency]:[Agency]]=$E615)*(ROW(TableDiv[Agency])-ROW(TableDiv[[#Headers],[Agency]])),COLUMNS($F$7:AC$7))))</f>
        <v/>
      </c>
      <c r="AD615" s="2223" t="str" cm="1">
        <f t="array" ref="AD615">IF($D615&lt;COLUMNS($F$7:AD$7),"",INDEX(TableDiv[[GASB]:[GASB]],_xlfn.AGGREGATE(15,3,(TableDiv[[Agency]:[Agency]]=$E615)/(TableDiv[[Agency]:[Agency]]=$E615)*(ROW(TableDiv[Agency])-ROW(TableDiv[[#Headers],[Agency]])),COLUMNS($F$7:AD$7))))</f>
        <v/>
      </c>
      <c r="AE615" s="2223" t="str" cm="1">
        <f t="array" ref="AE615">IF($D615&lt;COLUMNS($F$7:AE$7),"",INDEX(TableDiv[[GASB]:[GASB]],_xlfn.AGGREGATE(15,3,(TableDiv[[Agency]:[Agency]]=$E615)/(TableDiv[[Agency]:[Agency]]=$E615)*(ROW(TableDiv[Agency])-ROW(TableDiv[[#Headers],[Agency]])),COLUMNS($F$7:AE$7))))</f>
        <v/>
      </c>
      <c r="AF615" s="2223" t="str" cm="1">
        <f t="array" ref="AF615">IF($D615&lt;COLUMNS($F$7:AF$7),"",INDEX(TableDiv[[GASB]:[GASB]],_xlfn.AGGREGATE(15,3,(TableDiv[[Agency]:[Agency]]=$E615)/(TableDiv[[Agency]:[Agency]]=$E615)*(ROW(TableDiv[Agency])-ROW(TableDiv[[#Headers],[Agency]])),COLUMNS($F$7:AF$7))))</f>
        <v/>
      </c>
      <c r="AG615" s="2223" t="str" cm="1">
        <f t="array" ref="AG615">IF($D615&lt;COLUMNS($F$7:AG$7),"",INDEX(TableDiv[[GASB]:[GASB]],_xlfn.AGGREGATE(15,3,(TableDiv[[Agency]:[Agency]]=$E615)/(TableDiv[[Agency]:[Agency]]=$E615)*(ROW(TableDiv[Agency])-ROW(TableDiv[[#Headers],[Agency]])),COLUMNS($F$7:AG$7))))</f>
        <v/>
      </c>
      <c r="AH615" s="2223" t="str" cm="1">
        <f t="array" ref="AH615">IF($D615&lt;COLUMNS($F$7:AH$7),"",INDEX(TableDiv[[GASB]:[GASB]],_xlfn.AGGREGATE(15,3,(TableDiv[[Agency]:[Agency]]=$E615)/(TableDiv[[Agency]:[Agency]]=$E615)*(ROW(TableDiv[Agency])-ROW(TableDiv[[#Headers],[Agency]])),COLUMNS($F$7:AH$7))))</f>
        <v/>
      </c>
      <c r="AI615" s="2223" t="str" cm="1">
        <f t="array" ref="AI615">IF($D615&lt;COLUMNS($F$7:AI$7),"",INDEX(TableDiv[[GASB]:[GASB]],_xlfn.AGGREGATE(15,3,(TableDiv[[Agency]:[Agency]]=$E615)/(TableDiv[[Agency]:[Agency]]=$E615)*(ROW(TableDiv[Agency])-ROW(TableDiv[[#Headers],[Agency]])),COLUMNS($F$7:AI$7))))</f>
        <v/>
      </c>
      <c r="AJ615" s="2223" t="str" cm="1">
        <f t="array" ref="AJ615">IF($D615&lt;COLUMNS($F$7:AJ$7),"",INDEX(TableDiv[[GASB]:[GASB]],_xlfn.AGGREGATE(15,3,(TableDiv[[Agency]:[Agency]]=$E615)/(TableDiv[[Agency]:[Agency]]=$E615)*(ROW(TableDiv[Agency])-ROW(TableDiv[[#Headers],[Agency]])),COLUMNS($F$7:AJ$7))))</f>
        <v/>
      </c>
      <c r="AK615" s="2223" t="str" cm="1">
        <f t="array" ref="AK615">IF($D615&lt;COLUMNS($F$7:AK$7),"",INDEX(TableDiv[[GASB]:[GASB]],_xlfn.AGGREGATE(15,3,(TableDiv[[Agency]:[Agency]]=$E615)/(TableDiv[[Agency]:[Agency]]=$E615)*(ROW(TableDiv[Agency])-ROW(TableDiv[[#Headers],[Agency]])),COLUMNS($F$7:AK$7))))</f>
        <v/>
      </c>
      <c r="AL615" s="2223" t="str" cm="1">
        <f t="array" ref="AL615">IF($D615&lt;COLUMNS($F$7:AL$7),"",INDEX(TableDiv[[GASB]:[GASB]],_xlfn.AGGREGATE(15,3,(TableDiv[[Agency]:[Agency]]=$E615)/(TableDiv[[Agency]:[Agency]]=$E615)*(ROW(TableDiv[Agency])-ROW(TableDiv[[#Headers],[Agency]])),COLUMNS($F$7:AL$7))))</f>
        <v/>
      </c>
      <c r="AM615" s="2223" t="str" cm="1">
        <f t="array" ref="AM615">IF($D615&lt;COLUMNS($F$7:AM$7),"",INDEX(TableDiv[[GASB]:[GASB]],_xlfn.AGGREGATE(15,3,(TableDiv[[Agency]:[Agency]]=$E615)/(TableDiv[[Agency]:[Agency]]=$E615)*(ROW(TableDiv[Agency])-ROW(TableDiv[[#Headers],[Agency]])),COLUMNS($F$7:AM$7))))</f>
        <v/>
      </c>
      <c r="AN615" s="2223"/>
      <c r="AO615" s="2223"/>
      <c r="AP615" s="2223"/>
      <c r="AQ615" s="2223"/>
      <c r="AR615" s="2223"/>
      <c r="AS615" s="2223"/>
    </row>
    <row r="616" spans="1:45" x14ac:dyDescent="0.2">
      <c r="A616" s="2223"/>
      <c r="B616" s="2223"/>
      <c r="C616" s="2223"/>
      <c r="W616" s="2223" t="str" cm="1">
        <f t="array" ref="W616">IF($D616&lt;COLUMNS($F$7:W$7),"",INDEX(TableDiv[[GASB]:[GASB]],_xlfn.AGGREGATE(15,3,(TableDiv[[Agency]:[Agency]]=$E616)/(TableDiv[[Agency]:[Agency]]=$E616)*(ROW(TableDiv[Agency])-ROW(TableDiv[[#Headers],[Agency]])),COLUMNS($F$7:W$7))))</f>
        <v/>
      </c>
      <c r="X616" s="2223" t="str" cm="1">
        <f t="array" ref="X616">IF($D616&lt;COLUMNS($F$7:X$7),"",INDEX(TableDiv[[GASB]:[GASB]],_xlfn.AGGREGATE(15,3,(TableDiv[[Agency]:[Agency]]=$E616)/(TableDiv[[Agency]:[Agency]]=$E616)*(ROW(TableDiv[Agency])-ROW(TableDiv[[#Headers],[Agency]])),COLUMNS($F$7:X$7))))</f>
        <v/>
      </c>
      <c r="Y616" s="2223" t="str" cm="1">
        <f t="array" ref="Y616">IF($D616&lt;COLUMNS($F$7:Y$7),"",INDEX(TableDiv[[GASB]:[GASB]],_xlfn.AGGREGATE(15,3,(TableDiv[[Agency]:[Agency]]=$E616)/(TableDiv[[Agency]:[Agency]]=$E616)*(ROW(TableDiv[Agency])-ROW(TableDiv[[#Headers],[Agency]])),COLUMNS($F$7:Y$7))))</f>
        <v/>
      </c>
      <c r="Z616" s="2223" t="str" cm="1">
        <f t="array" ref="Z616">IF($D616&lt;COLUMNS($F$7:Z$7),"",INDEX(TableDiv[[GASB]:[GASB]],_xlfn.AGGREGATE(15,3,(TableDiv[[Agency]:[Agency]]=$E616)/(TableDiv[[Agency]:[Agency]]=$E616)*(ROW(TableDiv[Agency])-ROW(TableDiv[[#Headers],[Agency]])),COLUMNS($F$7:Z$7))))</f>
        <v/>
      </c>
      <c r="AA616" s="2223" t="str" cm="1">
        <f t="array" ref="AA616">IF($D616&lt;COLUMNS($F$7:AA$7),"",INDEX(TableDiv[[GASB]:[GASB]],_xlfn.AGGREGATE(15,3,(TableDiv[[Agency]:[Agency]]=$E616)/(TableDiv[[Agency]:[Agency]]=$E616)*(ROW(TableDiv[Agency])-ROW(TableDiv[[#Headers],[Agency]])),COLUMNS($F$7:AA$7))))</f>
        <v/>
      </c>
      <c r="AB616" s="2223" t="str" cm="1">
        <f t="array" ref="AB616">IF($D616&lt;COLUMNS($F$7:AB$7),"",INDEX(TableDiv[[GASB]:[GASB]],_xlfn.AGGREGATE(15,3,(TableDiv[[Agency]:[Agency]]=$E616)/(TableDiv[[Agency]:[Agency]]=$E616)*(ROW(TableDiv[Agency])-ROW(TableDiv[[#Headers],[Agency]])),COLUMNS($F$7:AB$7))))</f>
        <v/>
      </c>
      <c r="AC616" s="2223" t="str" cm="1">
        <f t="array" ref="AC616">IF($D616&lt;COLUMNS($F$7:AC$7),"",INDEX(TableDiv[[GASB]:[GASB]],_xlfn.AGGREGATE(15,3,(TableDiv[[Agency]:[Agency]]=$E616)/(TableDiv[[Agency]:[Agency]]=$E616)*(ROW(TableDiv[Agency])-ROW(TableDiv[[#Headers],[Agency]])),COLUMNS($F$7:AC$7))))</f>
        <v/>
      </c>
      <c r="AD616" s="2223" t="str" cm="1">
        <f t="array" ref="AD616">IF($D616&lt;COLUMNS($F$7:AD$7),"",INDEX(TableDiv[[GASB]:[GASB]],_xlfn.AGGREGATE(15,3,(TableDiv[[Agency]:[Agency]]=$E616)/(TableDiv[[Agency]:[Agency]]=$E616)*(ROW(TableDiv[Agency])-ROW(TableDiv[[#Headers],[Agency]])),COLUMNS($F$7:AD$7))))</f>
        <v/>
      </c>
      <c r="AE616" s="2223" t="str" cm="1">
        <f t="array" ref="AE616">IF($D616&lt;COLUMNS($F$7:AE$7),"",INDEX(TableDiv[[GASB]:[GASB]],_xlfn.AGGREGATE(15,3,(TableDiv[[Agency]:[Agency]]=$E616)/(TableDiv[[Agency]:[Agency]]=$E616)*(ROW(TableDiv[Agency])-ROW(TableDiv[[#Headers],[Agency]])),COLUMNS($F$7:AE$7))))</f>
        <v/>
      </c>
      <c r="AF616" s="2223" t="str" cm="1">
        <f t="array" ref="AF616">IF($D616&lt;COLUMNS($F$7:AF$7),"",INDEX(TableDiv[[GASB]:[GASB]],_xlfn.AGGREGATE(15,3,(TableDiv[[Agency]:[Agency]]=$E616)/(TableDiv[[Agency]:[Agency]]=$E616)*(ROW(TableDiv[Agency])-ROW(TableDiv[[#Headers],[Agency]])),COLUMNS($F$7:AF$7))))</f>
        <v/>
      </c>
      <c r="AG616" s="2223" t="str" cm="1">
        <f t="array" ref="AG616">IF($D616&lt;COLUMNS($F$7:AG$7),"",INDEX(TableDiv[[GASB]:[GASB]],_xlfn.AGGREGATE(15,3,(TableDiv[[Agency]:[Agency]]=$E616)/(TableDiv[[Agency]:[Agency]]=$E616)*(ROW(TableDiv[Agency])-ROW(TableDiv[[#Headers],[Agency]])),COLUMNS($F$7:AG$7))))</f>
        <v/>
      </c>
      <c r="AH616" s="2223" t="str" cm="1">
        <f t="array" ref="AH616">IF($D616&lt;COLUMNS($F$7:AH$7),"",INDEX(TableDiv[[GASB]:[GASB]],_xlfn.AGGREGATE(15,3,(TableDiv[[Agency]:[Agency]]=$E616)/(TableDiv[[Agency]:[Agency]]=$E616)*(ROW(TableDiv[Agency])-ROW(TableDiv[[#Headers],[Agency]])),COLUMNS($F$7:AH$7))))</f>
        <v/>
      </c>
      <c r="AI616" s="2223" t="str" cm="1">
        <f t="array" ref="AI616">IF($D616&lt;COLUMNS($F$7:AI$7),"",INDEX(TableDiv[[GASB]:[GASB]],_xlfn.AGGREGATE(15,3,(TableDiv[[Agency]:[Agency]]=$E616)/(TableDiv[[Agency]:[Agency]]=$E616)*(ROW(TableDiv[Agency])-ROW(TableDiv[[#Headers],[Agency]])),COLUMNS($F$7:AI$7))))</f>
        <v/>
      </c>
      <c r="AJ616" s="2223" t="str" cm="1">
        <f t="array" ref="AJ616">IF($D616&lt;COLUMNS($F$7:AJ$7),"",INDEX(TableDiv[[GASB]:[GASB]],_xlfn.AGGREGATE(15,3,(TableDiv[[Agency]:[Agency]]=$E616)/(TableDiv[[Agency]:[Agency]]=$E616)*(ROW(TableDiv[Agency])-ROW(TableDiv[[#Headers],[Agency]])),COLUMNS($F$7:AJ$7))))</f>
        <v/>
      </c>
      <c r="AK616" s="2223" t="str" cm="1">
        <f t="array" ref="AK616">IF($D616&lt;COLUMNS($F$7:AK$7),"",INDEX(TableDiv[[GASB]:[GASB]],_xlfn.AGGREGATE(15,3,(TableDiv[[Agency]:[Agency]]=$E616)/(TableDiv[[Agency]:[Agency]]=$E616)*(ROW(TableDiv[Agency])-ROW(TableDiv[[#Headers],[Agency]])),COLUMNS($F$7:AK$7))))</f>
        <v/>
      </c>
      <c r="AL616" s="2223" t="str" cm="1">
        <f t="array" ref="AL616">IF($D616&lt;COLUMNS($F$7:AL$7),"",INDEX(TableDiv[[GASB]:[GASB]],_xlfn.AGGREGATE(15,3,(TableDiv[[Agency]:[Agency]]=$E616)/(TableDiv[[Agency]:[Agency]]=$E616)*(ROW(TableDiv[Agency])-ROW(TableDiv[[#Headers],[Agency]])),COLUMNS($F$7:AL$7))))</f>
        <v/>
      </c>
      <c r="AM616" s="2223" t="str" cm="1">
        <f t="array" ref="AM616">IF($D616&lt;COLUMNS($F$7:AM$7),"",INDEX(TableDiv[[GASB]:[GASB]],_xlfn.AGGREGATE(15,3,(TableDiv[[Agency]:[Agency]]=$E616)/(TableDiv[[Agency]:[Agency]]=$E616)*(ROW(TableDiv[Agency])-ROW(TableDiv[[#Headers],[Agency]])),COLUMNS($F$7:AM$7))))</f>
        <v/>
      </c>
      <c r="AN616" s="2223"/>
      <c r="AO616" s="2223"/>
      <c r="AP616" s="2223"/>
      <c r="AQ616" s="2223"/>
      <c r="AR616" s="2223"/>
      <c r="AS616" s="2223"/>
    </row>
    <row r="617" spans="1:45" x14ac:dyDescent="0.2">
      <c r="A617" s="2223"/>
      <c r="B617" s="2223"/>
      <c r="C617" s="2223"/>
      <c r="W617" s="2223" t="str" cm="1">
        <f t="array" ref="W617">IF($D617&lt;COLUMNS($F$7:W$7),"",INDEX(TableDiv[[GASB]:[GASB]],_xlfn.AGGREGATE(15,3,(TableDiv[[Agency]:[Agency]]=$E617)/(TableDiv[[Agency]:[Agency]]=$E617)*(ROW(TableDiv[Agency])-ROW(TableDiv[[#Headers],[Agency]])),COLUMNS($F$7:W$7))))</f>
        <v/>
      </c>
      <c r="X617" s="2223" t="str" cm="1">
        <f t="array" ref="X617">IF($D617&lt;COLUMNS($F$7:X$7),"",INDEX(TableDiv[[GASB]:[GASB]],_xlfn.AGGREGATE(15,3,(TableDiv[[Agency]:[Agency]]=$E617)/(TableDiv[[Agency]:[Agency]]=$E617)*(ROW(TableDiv[Agency])-ROW(TableDiv[[#Headers],[Agency]])),COLUMNS($F$7:X$7))))</f>
        <v/>
      </c>
      <c r="Y617" s="2223" t="str" cm="1">
        <f t="array" ref="Y617">IF($D617&lt;COLUMNS($F$7:Y$7),"",INDEX(TableDiv[[GASB]:[GASB]],_xlfn.AGGREGATE(15,3,(TableDiv[[Agency]:[Agency]]=$E617)/(TableDiv[[Agency]:[Agency]]=$E617)*(ROW(TableDiv[Agency])-ROW(TableDiv[[#Headers],[Agency]])),COLUMNS($F$7:Y$7))))</f>
        <v/>
      </c>
      <c r="Z617" s="2223" t="str" cm="1">
        <f t="array" ref="Z617">IF($D617&lt;COLUMNS($F$7:Z$7),"",INDEX(TableDiv[[GASB]:[GASB]],_xlfn.AGGREGATE(15,3,(TableDiv[[Agency]:[Agency]]=$E617)/(TableDiv[[Agency]:[Agency]]=$E617)*(ROW(TableDiv[Agency])-ROW(TableDiv[[#Headers],[Agency]])),COLUMNS($F$7:Z$7))))</f>
        <v/>
      </c>
      <c r="AA617" s="2223" t="str" cm="1">
        <f t="array" ref="AA617">IF($D617&lt;COLUMNS($F$7:AA$7),"",INDEX(TableDiv[[GASB]:[GASB]],_xlfn.AGGREGATE(15,3,(TableDiv[[Agency]:[Agency]]=$E617)/(TableDiv[[Agency]:[Agency]]=$E617)*(ROW(TableDiv[Agency])-ROW(TableDiv[[#Headers],[Agency]])),COLUMNS($F$7:AA$7))))</f>
        <v/>
      </c>
      <c r="AB617" s="2223" t="str" cm="1">
        <f t="array" ref="AB617">IF($D617&lt;COLUMNS($F$7:AB$7),"",INDEX(TableDiv[[GASB]:[GASB]],_xlfn.AGGREGATE(15,3,(TableDiv[[Agency]:[Agency]]=$E617)/(TableDiv[[Agency]:[Agency]]=$E617)*(ROW(TableDiv[Agency])-ROW(TableDiv[[#Headers],[Agency]])),COLUMNS($F$7:AB$7))))</f>
        <v/>
      </c>
      <c r="AC617" s="2223" t="str" cm="1">
        <f t="array" ref="AC617">IF($D617&lt;COLUMNS($F$7:AC$7),"",INDEX(TableDiv[[GASB]:[GASB]],_xlfn.AGGREGATE(15,3,(TableDiv[[Agency]:[Agency]]=$E617)/(TableDiv[[Agency]:[Agency]]=$E617)*(ROW(TableDiv[Agency])-ROW(TableDiv[[#Headers],[Agency]])),COLUMNS($F$7:AC$7))))</f>
        <v/>
      </c>
      <c r="AD617" s="2223" t="str" cm="1">
        <f t="array" ref="AD617">IF($D617&lt;COLUMNS($F$7:AD$7),"",INDEX(TableDiv[[GASB]:[GASB]],_xlfn.AGGREGATE(15,3,(TableDiv[[Agency]:[Agency]]=$E617)/(TableDiv[[Agency]:[Agency]]=$E617)*(ROW(TableDiv[Agency])-ROW(TableDiv[[#Headers],[Agency]])),COLUMNS($F$7:AD$7))))</f>
        <v/>
      </c>
      <c r="AE617" s="2223" t="str" cm="1">
        <f t="array" ref="AE617">IF($D617&lt;COLUMNS($F$7:AE$7),"",INDEX(TableDiv[[GASB]:[GASB]],_xlfn.AGGREGATE(15,3,(TableDiv[[Agency]:[Agency]]=$E617)/(TableDiv[[Agency]:[Agency]]=$E617)*(ROW(TableDiv[Agency])-ROW(TableDiv[[#Headers],[Agency]])),COLUMNS($F$7:AE$7))))</f>
        <v/>
      </c>
      <c r="AF617" s="2223" t="str" cm="1">
        <f t="array" ref="AF617">IF($D617&lt;COLUMNS($F$7:AF$7),"",INDEX(TableDiv[[GASB]:[GASB]],_xlfn.AGGREGATE(15,3,(TableDiv[[Agency]:[Agency]]=$E617)/(TableDiv[[Agency]:[Agency]]=$E617)*(ROW(TableDiv[Agency])-ROW(TableDiv[[#Headers],[Agency]])),COLUMNS($F$7:AF$7))))</f>
        <v/>
      </c>
      <c r="AG617" s="2223" t="str" cm="1">
        <f t="array" ref="AG617">IF($D617&lt;COLUMNS($F$7:AG$7),"",INDEX(TableDiv[[GASB]:[GASB]],_xlfn.AGGREGATE(15,3,(TableDiv[[Agency]:[Agency]]=$E617)/(TableDiv[[Agency]:[Agency]]=$E617)*(ROW(TableDiv[Agency])-ROW(TableDiv[[#Headers],[Agency]])),COLUMNS($F$7:AG$7))))</f>
        <v/>
      </c>
      <c r="AH617" s="2223" t="str" cm="1">
        <f t="array" ref="AH617">IF($D617&lt;COLUMNS($F$7:AH$7),"",INDEX(TableDiv[[GASB]:[GASB]],_xlfn.AGGREGATE(15,3,(TableDiv[[Agency]:[Agency]]=$E617)/(TableDiv[[Agency]:[Agency]]=$E617)*(ROW(TableDiv[Agency])-ROW(TableDiv[[#Headers],[Agency]])),COLUMNS($F$7:AH$7))))</f>
        <v/>
      </c>
      <c r="AI617" s="2223" t="str" cm="1">
        <f t="array" ref="AI617">IF($D617&lt;COLUMNS($F$7:AI$7),"",INDEX(TableDiv[[GASB]:[GASB]],_xlfn.AGGREGATE(15,3,(TableDiv[[Agency]:[Agency]]=$E617)/(TableDiv[[Agency]:[Agency]]=$E617)*(ROW(TableDiv[Agency])-ROW(TableDiv[[#Headers],[Agency]])),COLUMNS($F$7:AI$7))))</f>
        <v/>
      </c>
      <c r="AJ617" s="2223" t="str" cm="1">
        <f t="array" ref="AJ617">IF($D617&lt;COLUMNS($F$7:AJ$7),"",INDEX(TableDiv[[GASB]:[GASB]],_xlfn.AGGREGATE(15,3,(TableDiv[[Agency]:[Agency]]=$E617)/(TableDiv[[Agency]:[Agency]]=$E617)*(ROW(TableDiv[Agency])-ROW(TableDiv[[#Headers],[Agency]])),COLUMNS($F$7:AJ$7))))</f>
        <v/>
      </c>
      <c r="AK617" s="2223" t="str" cm="1">
        <f t="array" ref="AK617">IF($D617&lt;COLUMNS($F$7:AK$7),"",INDEX(TableDiv[[GASB]:[GASB]],_xlfn.AGGREGATE(15,3,(TableDiv[[Agency]:[Agency]]=$E617)/(TableDiv[[Agency]:[Agency]]=$E617)*(ROW(TableDiv[Agency])-ROW(TableDiv[[#Headers],[Agency]])),COLUMNS($F$7:AK$7))))</f>
        <v/>
      </c>
      <c r="AL617" s="2223" t="str" cm="1">
        <f t="array" ref="AL617">IF($D617&lt;COLUMNS($F$7:AL$7),"",INDEX(TableDiv[[GASB]:[GASB]],_xlfn.AGGREGATE(15,3,(TableDiv[[Agency]:[Agency]]=$E617)/(TableDiv[[Agency]:[Agency]]=$E617)*(ROW(TableDiv[Agency])-ROW(TableDiv[[#Headers],[Agency]])),COLUMNS($F$7:AL$7))))</f>
        <v/>
      </c>
      <c r="AM617" s="2223" t="str" cm="1">
        <f t="array" ref="AM617">IF($D617&lt;COLUMNS($F$7:AM$7),"",INDEX(TableDiv[[GASB]:[GASB]],_xlfn.AGGREGATE(15,3,(TableDiv[[Agency]:[Agency]]=$E617)/(TableDiv[[Agency]:[Agency]]=$E617)*(ROW(TableDiv[Agency])-ROW(TableDiv[[#Headers],[Agency]])),COLUMNS($F$7:AM$7))))</f>
        <v/>
      </c>
      <c r="AN617" s="2223"/>
      <c r="AO617" s="2223"/>
      <c r="AP617" s="2223"/>
      <c r="AQ617" s="2223"/>
      <c r="AR617" s="2223"/>
      <c r="AS617" s="2223"/>
    </row>
    <row r="618" spans="1:45" x14ac:dyDescent="0.2">
      <c r="A618" s="2223"/>
      <c r="B618" s="2223"/>
      <c r="C618" s="2223"/>
      <c r="W618" s="2223" t="str" cm="1">
        <f t="array" ref="W618">IF($D618&lt;COLUMNS($F$7:W$7),"",INDEX(TableDiv[[GASB]:[GASB]],_xlfn.AGGREGATE(15,3,(TableDiv[[Agency]:[Agency]]=$E618)/(TableDiv[[Agency]:[Agency]]=$E618)*(ROW(TableDiv[Agency])-ROW(TableDiv[[#Headers],[Agency]])),COLUMNS($F$7:W$7))))</f>
        <v/>
      </c>
      <c r="X618" s="2223" t="str" cm="1">
        <f t="array" ref="X618">IF($D618&lt;COLUMNS($F$7:X$7),"",INDEX(TableDiv[[GASB]:[GASB]],_xlfn.AGGREGATE(15,3,(TableDiv[[Agency]:[Agency]]=$E618)/(TableDiv[[Agency]:[Agency]]=$E618)*(ROW(TableDiv[Agency])-ROW(TableDiv[[#Headers],[Agency]])),COLUMNS($F$7:X$7))))</f>
        <v/>
      </c>
      <c r="Y618" s="2223" t="str" cm="1">
        <f t="array" ref="Y618">IF($D618&lt;COLUMNS($F$7:Y$7),"",INDEX(TableDiv[[GASB]:[GASB]],_xlfn.AGGREGATE(15,3,(TableDiv[[Agency]:[Agency]]=$E618)/(TableDiv[[Agency]:[Agency]]=$E618)*(ROW(TableDiv[Agency])-ROW(TableDiv[[#Headers],[Agency]])),COLUMNS($F$7:Y$7))))</f>
        <v/>
      </c>
      <c r="Z618" s="2223" t="str" cm="1">
        <f t="array" ref="Z618">IF($D618&lt;COLUMNS($F$7:Z$7),"",INDEX(TableDiv[[GASB]:[GASB]],_xlfn.AGGREGATE(15,3,(TableDiv[[Agency]:[Agency]]=$E618)/(TableDiv[[Agency]:[Agency]]=$E618)*(ROW(TableDiv[Agency])-ROW(TableDiv[[#Headers],[Agency]])),COLUMNS($F$7:Z$7))))</f>
        <v/>
      </c>
      <c r="AA618" s="2223" t="str" cm="1">
        <f t="array" ref="AA618">IF($D618&lt;COLUMNS($F$7:AA$7),"",INDEX(TableDiv[[GASB]:[GASB]],_xlfn.AGGREGATE(15,3,(TableDiv[[Agency]:[Agency]]=$E618)/(TableDiv[[Agency]:[Agency]]=$E618)*(ROW(TableDiv[Agency])-ROW(TableDiv[[#Headers],[Agency]])),COLUMNS($F$7:AA$7))))</f>
        <v/>
      </c>
      <c r="AB618" s="2223" t="str" cm="1">
        <f t="array" ref="AB618">IF($D618&lt;COLUMNS($F$7:AB$7),"",INDEX(TableDiv[[GASB]:[GASB]],_xlfn.AGGREGATE(15,3,(TableDiv[[Agency]:[Agency]]=$E618)/(TableDiv[[Agency]:[Agency]]=$E618)*(ROW(TableDiv[Agency])-ROW(TableDiv[[#Headers],[Agency]])),COLUMNS($F$7:AB$7))))</f>
        <v/>
      </c>
      <c r="AC618" s="2223" t="str" cm="1">
        <f t="array" ref="AC618">IF($D618&lt;COLUMNS($F$7:AC$7),"",INDEX(TableDiv[[GASB]:[GASB]],_xlfn.AGGREGATE(15,3,(TableDiv[[Agency]:[Agency]]=$E618)/(TableDiv[[Agency]:[Agency]]=$E618)*(ROW(TableDiv[Agency])-ROW(TableDiv[[#Headers],[Agency]])),COLUMNS($F$7:AC$7))))</f>
        <v/>
      </c>
      <c r="AD618" s="2223" t="str" cm="1">
        <f t="array" ref="AD618">IF($D618&lt;COLUMNS($F$7:AD$7),"",INDEX(TableDiv[[GASB]:[GASB]],_xlfn.AGGREGATE(15,3,(TableDiv[[Agency]:[Agency]]=$E618)/(TableDiv[[Agency]:[Agency]]=$E618)*(ROW(TableDiv[Agency])-ROW(TableDiv[[#Headers],[Agency]])),COLUMNS($F$7:AD$7))))</f>
        <v/>
      </c>
      <c r="AE618" s="2223" t="str" cm="1">
        <f t="array" ref="AE618">IF($D618&lt;COLUMNS($F$7:AE$7),"",INDEX(TableDiv[[GASB]:[GASB]],_xlfn.AGGREGATE(15,3,(TableDiv[[Agency]:[Agency]]=$E618)/(TableDiv[[Agency]:[Agency]]=$E618)*(ROW(TableDiv[Agency])-ROW(TableDiv[[#Headers],[Agency]])),COLUMNS($F$7:AE$7))))</f>
        <v/>
      </c>
      <c r="AF618" s="2223" t="str" cm="1">
        <f t="array" ref="AF618">IF($D618&lt;COLUMNS($F$7:AF$7),"",INDEX(TableDiv[[GASB]:[GASB]],_xlfn.AGGREGATE(15,3,(TableDiv[[Agency]:[Agency]]=$E618)/(TableDiv[[Agency]:[Agency]]=$E618)*(ROW(TableDiv[Agency])-ROW(TableDiv[[#Headers],[Agency]])),COLUMNS($F$7:AF$7))))</f>
        <v/>
      </c>
      <c r="AG618" s="2223" t="str" cm="1">
        <f t="array" ref="AG618">IF($D618&lt;COLUMNS($F$7:AG$7),"",INDEX(TableDiv[[GASB]:[GASB]],_xlfn.AGGREGATE(15,3,(TableDiv[[Agency]:[Agency]]=$E618)/(TableDiv[[Agency]:[Agency]]=$E618)*(ROW(TableDiv[Agency])-ROW(TableDiv[[#Headers],[Agency]])),COLUMNS($F$7:AG$7))))</f>
        <v/>
      </c>
      <c r="AH618" s="2223" t="str" cm="1">
        <f t="array" ref="AH618">IF($D618&lt;COLUMNS($F$7:AH$7),"",INDEX(TableDiv[[GASB]:[GASB]],_xlfn.AGGREGATE(15,3,(TableDiv[[Agency]:[Agency]]=$E618)/(TableDiv[[Agency]:[Agency]]=$E618)*(ROW(TableDiv[Agency])-ROW(TableDiv[[#Headers],[Agency]])),COLUMNS($F$7:AH$7))))</f>
        <v/>
      </c>
      <c r="AI618" s="2223" t="str" cm="1">
        <f t="array" ref="AI618">IF($D618&lt;COLUMNS($F$7:AI$7),"",INDEX(TableDiv[[GASB]:[GASB]],_xlfn.AGGREGATE(15,3,(TableDiv[[Agency]:[Agency]]=$E618)/(TableDiv[[Agency]:[Agency]]=$E618)*(ROW(TableDiv[Agency])-ROW(TableDiv[[#Headers],[Agency]])),COLUMNS($F$7:AI$7))))</f>
        <v/>
      </c>
      <c r="AJ618" s="2223" t="str" cm="1">
        <f t="array" ref="AJ618">IF($D618&lt;COLUMNS($F$7:AJ$7),"",INDEX(TableDiv[[GASB]:[GASB]],_xlfn.AGGREGATE(15,3,(TableDiv[[Agency]:[Agency]]=$E618)/(TableDiv[[Agency]:[Agency]]=$E618)*(ROW(TableDiv[Agency])-ROW(TableDiv[[#Headers],[Agency]])),COLUMNS($F$7:AJ$7))))</f>
        <v/>
      </c>
      <c r="AK618" s="2223" t="str" cm="1">
        <f t="array" ref="AK618">IF($D618&lt;COLUMNS($F$7:AK$7),"",INDEX(TableDiv[[GASB]:[GASB]],_xlfn.AGGREGATE(15,3,(TableDiv[[Agency]:[Agency]]=$E618)/(TableDiv[[Agency]:[Agency]]=$E618)*(ROW(TableDiv[Agency])-ROW(TableDiv[[#Headers],[Agency]])),COLUMNS($F$7:AK$7))))</f>
        <v/>
      </c>
      <c r="AL618" s="2223" t="str" cm="1">
        <f t="array" ref="AL618">IF($D618&lt;COLUMNS($F$7:AL$7),"",INDEX(TableDiv[[GASB]:[GASB]],_xlfn.AGGREGATE(15,3,(TableDiv[[Agency]:[Agency]]=$E618)/(TableDiv[[Agency]:[Agency]]=$E618)*(ROW(TableDiv[Agency])-ROW(TableDiv[[#Headers],[Agency]])),COLUMNS($F$7:AL$7))))</f>
        <v/>
      </c>
      <c r="AM618" s="2223" t="str" cm="1">
        <f t="array" ref="AM618">IF($D618&lt;COLUMNS($F$7:AM$7),"",INDEX(TableDiv[[GASB]:[GASB]],_xlfn.AGGREGATE(15,3,(TableDiv[[Agency]:[Agency]]=$E618)/(TableDiv[[Agency]:[Agency]]=$E618)*(ROW(TableDiv[Agency])-ROW(TableDiv[[#Headers],[Agency]])),COLUMNS($F$7:AM$7))))</f>
        <v/>
      </c>
      <c r="AN618" s="2223"/>
      <c r="AO618" s="2223"/>
      <c r="AP618" s="2223"/>
      <c r="AQ618" s="2223"/>
      <c r="AR618" s="2223"/>
      <c r="AS618" s="2223"/>
    </row>
    <row r="619" spans="1:45" x14ac:dyDescent="0.2">
      <c r="A619" s="2223"/>
      <c r="B619" s="2223"/>
      <c r="C619" s="2223"/>
      <c r="W619" s="2223" t="str" cm="1">
        <f t="array" ref="W619">IF($D619&lt;COLUMNS($F$7:W$7),"",INDEX(TableDiv[[GASB]:[GASB]],_xlfn.AGGREGATE(15,3,(TableDiv[[Agency]:[Agency]]=$E619)/(TableDiv[[Agency]:[Agency]]=$E619)*(ROW(TableDiv[Agency])-ROW(TableDiv[[#Headers],[Agency]])),COLUMNS($F$7:W$7))))</f>
        <v/>
      </c>
      <c r="X619" s="2223" t="str" cm="1">
        <f t="array" ref="X619">IF($D619&lt;COLUMNS($F$7:X$7),"",INDEX(TableDiv[[GASB]:[GASB]],_xlfn.AGGREGATE(15,3,(TableDiv[[Agency]:[Agency]]=$E619)/(TableDiv[[Agency]:[Agency]]=$E619)*(ROW(TableDiv[Agency])-ROW(TableDiv[[#Headers],[Agency]])),COLUMNS($F$7:X$7))))</f>
        <v/>
      </c>
      <c r="Y619" s="2223" t="str" cm="1">
        <f t="array" ref="Y619">IF($D619&lt;COLUMNS($F$7:Y$7),"",INDEX(TableDiv[[GASB]:[GASB]],_xlfn.AGGREGATE(15,3,(TableDiv[[Agency]:[Agency]]=$E619)/(TableDiv[[Agency]:[Agency]]=$E619)*(ROW(TableDiv[Agency])-ROW(TableDiv[[#Headers],[Agency]])),COLUMNS($F$7:Y$7))))</f>
        <v/>
      </c>
      <c r="Z619" s="2223" t="str" cm="1">
        <f t="array" ref="Z619">IF($D619&lt;COLUMNS($F$7:Z$7),"",INDEX(TableDiv[[GASB]:[GASB]],_xlfn.AGGREGATE(15,3,(TableDiv[[Agency]:[Agency]]=$E619)/(TableDiv[[Agency]:[Agency]]=$E619)*(ROW(TableDiv[Agency])-ROW(TableDiv[[#Headers],[Agency]])),COLUMNS($F$7:Z$7))))</f>
        <v/>
      </c>
      <c r="AA619" s="2223" t="str" cm="1">
        <f t="array" ref="AA619">IF($D619&lt;COLUMNS($F$7:AA$7),"",INDEX(TableDiv[[GASB]:[GASB]],_xlfn.AGGREGATE(15,3,(TableDiv[[Agency]:[Agency]]=$E619)/(TableDiv[[Agency]:[Agency]]=$E619)*(ROW(TableDiv[Agency])-ROW(TableDiv[[#Headers],[Agency]])),COLUMNS($F$7:AA$7))))</f>
        <v/>
      </c>
      <c r="AB619" s="2223" t="str" cm="1">
        <f t="array" ref="AB619">IF($D619&lt;COLUMNS($F$7:AB$7),"",INDEX(TableDiv[[GASB]:[GASB]],_xlfn.AGGREGATE(15,3,(TableDiv[[Agency]:[Agency]]=$E619)/(TableDiv[[Agency]:[Agency]]=$E619)*(ROW(TableDiv[Agency])-ROW(TableDiv[[#Headers],[Agency]])),COLUMNS($F$7:AB$7))))</f>
        <v/>
      </c>
      <c r="AC619" s="2223" t="str" cm="1">
        <f t="array" ref="AC619">IF($D619&lt;COLUMNS($F$7:AC$7),"",INDEX(TableDiv[[GASB]:[GASB]],_xlfn.AGGREGATE(15,3,(TableDiv[[Agency]:[Agency]]=$E619)/(TableDiv[[Agency]:[Agency]]=$E619)*(ROW(TableDiv[Agency])-ROW(TableDiv[[#Headers],[Agency]])),COLUMNS($F$7:AC$7))))</f>
        <v/>
      </c>
      <c r="AD619" s="2223" t="str" cm="1">
        <f t="array" ref="AD619">IF($D619&lt;COLUMNS($F$7:AD$7),"",INDEX(TableDiv[[GASB]:[GASB]],_xlfn.AGGREGATE(15,3,(TableDiv[[Agency]:[Agency]]=$E619)/(TableDiv[[Agency]:[Agency]]=$E619)*(ROW(TableDiv[Agency])-ROW(TableDiv[[#Headers],[Agency]])),COLUMNS($F$7:AD$7))))</f>
        <v/>
      </c>
      <c r="AE619" s="2223" t="str" cm="1">
        <f t="array" ref="AE619">IF($D619&lt;COLUMNS($F$7:AE$7),"",INDEX(TableDiv[[GASB]:[GASB]],_xlfn.AGGREGATE(15,3,(TableDiv[[Agency]:[Agency]]=$E619)/(TableDiv[[Agency]:[Agency]]=$E619)*(ROW(TableDiv[Agency])-ROW(TableDiv[[#Headers],[Agency]])),COLUMNS($F$7:AE$7))))</f>
        <v/>
      </c>
      <c r="AF619" s="2223" t="str" cm="1">
        <f t="array" ref="AF619">IF($D619&lt;COLUMNS($F$7:AF$7),"",INDEX(TableDiv[[GASB]:[GASB]],_xlfn.AGGREGATE(15,3,(TableDiv[[Agency]:[Agency]]=$E619)/(TableDiv[[Agency]:[Agency]]=$E619)*(ROW(TableDiv[Agency])-ROW(TableDiv[[#Headers],[Agency]])),COLUMNS($F$7:AF$7))))</f>
        <v/>
      </c>
      <c r="AG619" s="2223" t="str" cm="1">
        <f t="array" ref="AG619">IF($D619&lt;COLUMNS($F$7:AG$7),"",INDEX(TableDiv[[GASB]:[GASB]],_xlfn.AGGREGATE(15,3,(TableDiv[[Agency]:[Agency]]=$E619)/(TableDiv[[Agency]:[Agency]]=$E619)*(ROW(TableDiv[Agency])-ROW(TableDiv[[#Headers],[Agency]])),COLUMNS($F$7:AG$7))))</f>
        <v/>
      </c>
      <c r="AH619" s="2223" t="str" cm="1">
        <f t="array" ref="AH619">IF($D619&lt;COLUMNS($F$7:AH$7),"",INDEX(TableDiv[[GASB]:[GASB]],_xlfn.AGGREGATE(15,3,(TableDiv[[Agency]:[Agency]]=$E619)/(TableDiv[[Agency]:[Agency]]=$E619)*(ROW(TableDiv[Agency])-ROW(TableDiv[[#Headers],[Agency]])),COLUMNS($F$7:AH$7))))</f>
        <v/>
      </c>
      <c r="AI619" s="2223" t="str" cm="1">
        <f t="array" ref="AI619">IF($D619&lt;COLUMNS($F$7:AI$7),"",INDEX(TableDiv[[GASB]:[GASB]],_xlfn.AGGREGATE(15,3,(TableDiv[[Agency]:[Agency]]=$E619)/(TableDiv[[Agency]:[Agency]]=$E619)*(ROW(TableDiv[Agency])-ROW(TableDiv[[#Headers],[Agency]])),COLUMNS($F$7:AI$7))))</f>
        <v/>
      </c>
      <c r="AJ619" s="2223" t="str" cm="1">
        <f t="array" ref="AJ619">IF($D619&lt;COLUMNS($F$7:AJ$7),"",INDEX(TableDiv[[GASB]:[GASB]],_xlfn.AGGREGATE(15,3,(TableDiv[[Agency]:[Agency]]=$E619)/(TableDiv[[Agency]:[Agency]]=$E619)*(ROW(TableDiv[Agency])-ROW(TableDiv[[#Headers],[Agency]])),COLUMNS($F$7:AJ$7))))</f>
        <v/>
      </c>
      <c r="AK619" s="2223" t="str" cm="1">
        <f t="array" ref="AK619">IF($D619&lt;COLUMNS($F$7:AK$7),"",INDEX(TableDiv[[GASB]:[GASB]],_xlfn.AGGREGATE(15,3,(TableDiv[[Agency]:[Agency]]=$E619)/(TableDiv[[Agency]:[Agency]]=$E619)*(ROW(TableDiv[Agency])-ROW(TableDiv[[#Headers],[Agency]])),COLUMNS($F$7:AK$7))))</f>
        <v/>
      </c>
      <c r="AL619" s="2223" t="str" cm="1">
        <f t="array" ref="AL619">IF($D619&lt;COLUMNS($F$7:AL$7),"",INDEX(TableDiv[[GASB]:[GASB]],_xlfn.AGGREGATE(15,3,(TableDiv[[Agency]:[Agency]]=$E619)/(TableDiv[[Agency]:[Agency]]=$E619)*(ROW(TableDiv[Agency])-ROW(TableDiv[[#Headers],[Agency]])),COLUMNS($F$7:AL$7))))</f>
        <v/>
      </c>
      <c r="AM619" s="2223" t="str" cm="1">
        <f t="array" ref="AM619">IF($D619&lt;COLUMNS($F$7:AM$7),"",INDEX(TableDiv[[GASB]:[GASB]],_xlfn.AGGREGATE(15,3,(TableDiv[[Agency]:[Agency]]=$E619)/(TableDiv[[Agency]:[Agency]]=$E619)*(ROW(TableDiv[Agency])-ROW(TableDiv[[#Headers],[Agency]])),COLUMNS($F$7:AM$7))))</f>
        <v/>
      </c>
      <c r="AN619" s="2223"/>
      <c r="AO619" s="2223"/>
      <c r="AP619" s="2223"/>
      <c r="AQ619" s="2223"/>
      <c r="AR619" s="2223"/>
      <c r="AS619" s="2223"/>
    </row>
    <row r="620" spans="1:45" x14ac:dyDescent="0.2">
      <c r="A620" s="2223"/>
      <c r="B620" s="2223"/>
      <c r="C620" s="2223"/>
      <c r="W620" s="2223" t="str" cm="1">
        <f t="array" ref="W620">IF($D620&lt;COLUMNS($F$7:W$7),"",INDEX(TableDiv[[GASB]:[GASB]],_xlfn.AGGREGATE(15,3,(TableDiv[[Agency]:[Agency]]=$E620)/(TableDiv[[Agency]:[Agency]]=$E620)*(ROW(TableDiv[Agency])-ROW(TableDiv[[#Headers],[Agency]])),COLUMNS($F$7:W$7))))</f>
        <v/>
      </c>
      <c r="X620" s="2223" t="str" cm="1">
        <f t="array" ref="X620">IF($D620&lt;COLUMNS($F$7:X$7),"",INDEX(TableDiv[[GASB]:[GASB]],_xlfn.AGGREGATE(15,3,(TableDiv[[Agency]:[Agency]]=$E620)/(TableDiv[[Agency]:[Agency]]=$E620)*(ROW(TableDiv[Agency])-ROW(TableDiv[[#Headers],[Agency]])),COLUMNS($F$7:X$7))))</f>
        <v/>
      </c>
      <c r="Y620" s="2223" t="str" cm="1">
        <f t="array" ref="Y620">IF($D620&lt;COLUMNS($F$7:Y$7),"",INDEX(TableDiv[[GASB]:[GASB]],_xlfn.AGGREGATE(15,3,(TableDiv[[Agency]:[Agency]]=$E620)/(TableDiv[[Agency]:[Agency]]=$E620)*(ROW(TableDiv[Agency])-ROW(TableDiv[[#Headers],[Agency]])),COLUMNS($F$7:Y$7))))</f>
        <v/>
      </c>
      <c r="Z620" s="2223" t="str" cm="1">
        <f t="array" ref="Z620">IF($D620&lt;COLUMNS($F$7:Z$7),"",INDEX(TableDiv[[GASB]:[GASB]],_xlfn.AGGREGATE(15,3,(TableDiv[[Agency]:[Agency]]=$E620)/(TableDiv[[Agency]:[Agency]]=$E620)*(ROW(TableDiv[Agency])-ROW(TableDiv[[#Headers],[Agency]])),COLUMNS($F$7:Z$7))))</f>
        <v/>
      </c>
      <c r="AA620" s="2223" t="str" cm="1">
        <f t="array" ref="AA620">IF($D620&lt;COLUMNS($F$7:AA$7),"",INDEX(TableDiv[[GASB]:[GASB]],_xlfn.AGGREGATE(15,3,(TableDiv[[Agency]:[Agency]]=$E620)/(TableDiv[[Agency]:[Agency]]=$E620)*(ROW(TableDiv[Agency])-ROW(TableDiv[[#Headers],[Agency]])),COLUMNS($F$7:AA$7))))</f>
        <v/>
      </c>
      <c r="AB620" s="2223" t="str" cm="1">
        <f t="array" ref="AB620">IF($D620&lt;COLUMNS($F$7:AB$7),"",INDEX(TableDiv[[GASB]:[GASB]],_xlfn.AGGREGATE(15,3,(TableDiv[[Agency]:[Agency]]=$E620)/(TableDiv[[Agency]:[Agency]]=$E620)*(ROW(TableDiv[Agency])-ROW(TableDiv[[#Headers],[Agency]])),COLUMNS($F$7:AB$7))))</f>
        <v/>
      </c>
      <c r="AC620" s="2223" t="str" cm="1">
        <f t="array" ref="AC620">IF($D620&lt;COLUMNS($F$7:AC$7),"",INDEX(TableDiv[[GASB]:[GASB]],_xlfn.AGGREGATE(15,3,(TableDiv[[Agency]:[Agency]]=$E620)/(TableDiv[[Agency]:[Agency]]=$E620)*(ROW(TableDiv[Agency])-ROW(TableDiv[[#Headers],[Agency]])),COLUMNS($F$7:AC$7))))</f>
        <v/>
      </c>
      <c r="AD620" s="2223" t="str" cm="1">
        <f t="array" ref="AD620">IF($D620&lt;COLUMNS($F$7:AD$7),"",INDEX(TableDiv[[GASB]:[GASB]],_xlfn.AGGREGATE(15,3,(TableDiv[[Agency]:[Agency]]=$E620)/(TableDiv[[Agency]:[Agency]]=$E620)*(ROW(TableDiv[Agency])-ROW(TableDiv[[#Headers],[Agency]])),COLUMNS($F$7:AD$7))))</f>
        <v/>
      </c>
      <c r="AE620" s="2223" t="str" cm="1">
        <f t="array" ref="AE620">IF($D620&lt;COLUMNS($F$7:AE$7),"",INDEX(TableDiv[[GASB]:[GASB]],_xlfn.AGGREGATE(15,3,(TableDiv[[Agency]:[Agency]]=$E620)/(TableDiv[[Agency]:[Agency]]=$E620)*(ROW(TableDiv[Agency])-ROW(TableDiv[[#Headers],[Agency]])),COLUMNS($F$7:AE$7))))</f>
        <v/>
      </c>
      <c r="AF620" s="2223" t="str" cm="1">
        <f t="array" ref="AF620">IF($D620&lt;COLUMNS($F$7:AF$7),"",INDEX(TableDiv[[GASB]:[GASB]],_xlfn.AGGREGATE(15,3,(TableDiv[[Agency]:[Agency]]=$E620)/(TableDiv[[Agency]:[Agency]]=$E620)*(ROW(TableDiv[Agency])-ROW(TableDiv[[#Headers],[Agency]])),COLUMNS($F$7:AF$7))))</f>
        <v/>
      </c>
      <c r="AG620" s="2223" t="str" cm="1">
        <f t="array" ref="AG620">IF($D620&lt;COLUMNS($F$7:AG$7),"",INDEX(TableDiv[[GASB]:[GASB]],_xlfn.AGGREGATE(15,3,(TableDiv[[Agency]:[Agency]]=$E620)/(TableDiv[[Agency]:[Agency]]=$E620)*(ROW(TableDiv[Agency])-ROW(TableDiv[[#Headers],[Agency]])),COLUMNS($F$7:AG$7))))</f>
        <v/>
      </c>
      <c r="AH620" s="2223" t="str" cm="1">
        <f t="array" ref="AH620">IF($D620&lt;COLUMNS($F$7:AH$7),"",INDEX(TableDiv[[GASB]:[GASB]],_xlfn.AGGREGATE(15,3,(TableDiv[[Agency]:[Agency]]=$E620)/(TableDiv[[Agency]:[Agency]]=$E620)*(ROW(TableDiv[Agency])-ROW(TableDiv[[#Headers],[Agency]])),COLUMNS($F$7:AH$7))))</f>
        <v/>
      </c>
      <c r="AI620" s="2223" t="str" cm="1">
        <f t="array" ref="AI620">IF($D620&lt;COLUMNS($F$7:AI$7),"",INDEX(TableDiv[[GASB]:[GASB]],_xlfn.AGGREGATE(15,3,(TableDiv[[Agency]:[Agency]]=$E620)/(TableDiv[[Agency]:[Agency]]=$E620)*(ROW(TableDiv[Agency])-ROW(TableDiv[[#Headers],[Agency]])),COLUMNS($F$7:AI$7))))</f>
        <v/>
      </c>
      <c r="AJ620" s="2223" t="str" cm="1">
        <f t="array" ref="AJ620">IF($D620&lt;COLUMNS($F$7:AJ$7),"",INDEX(TableDiv[[GASB]:[GASB]],_xlfn.AGGREGATE(15,3,(TableDiv[[Agency]:[Agency]]=$E620)/(TableDiv[[Agency]:[Agency]]=$E620)*(ROW(TableDiv[Agency])-ROW(TableDiv[[#Headers],[Agency]])),COLUMNS($F$7:AJ$7))))</f>
        <v/>
      </c>
      <c r="AK620" s="2223" t="str" cm="1">
        <f t="array" ref="AK620">IF($D620&lt;COLUMNS($F$7:AK$7),"",INDEX(TableDiv[[GASB]:[GASB]],_xlfn.AGGREGATE(15,3,(TableDiv[[Agency]:[Agency]]=$E620)/(TableDiv[[Agency]:[Agency]]=$E620)*(ROW(TableDiv[Agency])-ROW(TableDiv[[#Headers],[Agency]])),COLUMNS($F$7:AK$7))))</f>
        <v/>
      </c>
      <c r="AL620" s="2223" t="str" cm="1">
        <f t="array" ref="AL620">IF($D620&lt;COLUMNS($F$7:AL$7),"",INDEX(TableDiv[[GASB]:[GASB]],_xlfn.AGGREGATE(15,3,(TableDiv[[Agency]:[Agency]]=$E620)/(TableDiv[[Agency]:[Agency]]=$E620)*(ROW(TableDiv[Agency])-ROW(TableDiv[[#Headers],[Agency]])),COLUMNS($F$7:AL$7))))</f>
        <v/>
      </c>
      <c r="AM620" s="2223" t="str" cm="1">
        <f t="array" ref="AM620">IF($D620&lt;COLUMNS($F$7:AM$7),"",INDEX(TableDiv[[GASB]:[GASB]],_xlfn.AGGREGATE(15,3,(TableDiv[[Agency]:[Agency]]=$E620)/(TableDiv[[Agency]:[Agency]]=$E620)*(ROW(TableDiv[Agency])-ROW(TableDiv[[#Headers],[Agency]])),COLUMNS($F$7:AM$7))))</f>
        <v/>
      </c>
      <c r="AN620" s="2223"/>
      <c r="AO620" s="2223"/>
      <c r="AP620" s="2223"/>
      <c r="AQ620" s="2223"/>
      <c r="AR620" s="2223"/>
      <c r="AS620" s="2223"/>
    </row>
    <row r="621" spans="1:45" x14ac:dyDescent="0.2">
      <c r="A621" s="2223"/>
      <c r="B621" s="2223"/>
      <c r="C621" s="2223"/>
      <c r="W621" s="2223" t="str" cm="1">
        <f t="array" ref="W621">IF($D621&lt;COLUMNS($F$7:W$7),"",INDEX(TableDiv[[GASB]:[GASB]],_xlfn.AGGREGATE(15,3,(TableDiv[[Agency]:[Agency]]=$E621)/(TableDiv[[Agency]:[Agency]]=$E621)*(ROW(TableDiv[Agency])-ROW(TableDiv[[#Headers],[Agency]])),COLUMNS($F$7:W$7))))</f>
        <v/>
      </c>
      <c r="X621" s="2223" t="str" cm="1">
        <f t="array" ref="X621">IF($D621&lt;COLUMNS($F$7:X$7),"",INDEX(TableDiv[[GASB]:[GASB]],_xlfn.AGGREGATE(15,3,(TableDiv[[Agency]:[Agency]]=$E621)/(TableDiv[[Agency]:[Agency]]=$E621)*(ROW(TableDiv[Agency])-ROW(TableDiv[[#Headers],[Agency]])),COLUMNS($F$7:X$7))))</f>
        <v/>
      </c>
      <c r="Y621" s="2223" t="str" cm="1">
        <f t="array" ref="Y621">IF($D621&lt;COLUMNS($F$7:Y$7),"",INDEX(TableDiv[[GASB]:[GASB]],_xlfn.AGGREGATE(15,3,(TableDiv[[Agency]:[Agency]]=$E621)/(TableDiv[[Agency]:[Agency]]=$E621)*(ROW(TableDiv[Agency])-ROW(TableDiv[[#Headers],[Agency]])),COLUMNS($F$7:Y$7))))</f>
        <v/>
      </c>
      <c r="Z621" s="2223" t="str" cm="1">
        <f t="array" ref="Z621">IF($D621&lt;COLUMNS($F$7:Z$7),"",INDEX(TableDiv[[GASB]:[GASB]],_xlfn.AGGREGATE(15,3,(TableDiv[[Agency]:[Agency]]=$E621)/(TableDiv[[Agency]:[Agency]]=$E621)*(ROW(TableDiv[Agency])-ROW(TableDiv[[#Headers],[Agency]])),COLUMNS($F$7:Z$7))))</f>
        <v/>
      </c>
      <c r="AA621" s="2223" t="str" cm="1">
        <f t="array" ref="AA621">IF($D621&lt;COLUMNS($F$7:AA$7),"",INDEX(TableDiv[[GASB]:[GASB]],_xlfn.AGGREGATE(15,3,(TableDiv[[Agency]:[Agency]]=$E621)/(TableDiv[[Agency]:[Agency]]=$E621)*(ROW(TableDiv[Agency])-ROW(TableDiv[[#Headers],[Agency]])),COLUMNS($F$7:AA$7))))</f>
        <v/>
      </c>
      <c r="AB621" s="2223" t="str" cm="1">
        <f t="array" ref="AB621">IF($D621&lt;COLUMNS($F$7:AB$7),"",INDEX(TableDiv[[GASB]:[GASB]],_xlfn.AGGREGATE(15,3,(TableDiv[[Agency]:[Agency]]=$E621)/(TableDiv[[Agency]:[Agency]]=$E621)*(ROW(TableDiv[Agency])-ROW(TableDiv[[#Headers],[Agency]])),COLUMNS($F$7:AB$7))))</f>
        <v/>
      </c>
      <c r="AC621" s="2223" t="str" cm="1">
        <f t="array" ref="AC621">IF($D621&lt;COLUMNS($F$7:AC$7),"",INDEX(TableDiv[[GASB]:[GASB]],_xlfn.AGGREGATE(15,3,(TableDiv[[Agency]:[Agency]]=$E621)/(TableDiv[[Agency]:[Agency]]=$E621)*(ROW(TableDiv[Agency])-ROW(TableDiv[[#Headers],[Agency]])),COLUMNS($F$7:AC$7))))</f>
        <v/>
      </c>
      <c r="AD621" s="2223" t="str" cm="1">
        <f t="array" ref="AD621">IF($D621&lt;COLUMNS($F$7:AD$7),"",INDEX(TableDiv[[GASB]:[GASB]],_xlfn.AGGREGATE(15,3,(TableDiv[[Agency]:[Agency]]=$E621)/(TableDiv[[Agency]:[Agency]]=$E621)*(ROW(TableDiv[Agency])-ROW(TableDiv[[#Headers],[Agency]])),COLUMNS($F$7:AD$7))))</f>
        <v/>
      </c>
      <c r="AE621" s="2223" t="str" cm="1">
        <f t="array" ref="AE621">IF($D621&lt;COLUMNS($F$7:AE$7),"",INDEX(TableDiv[[GASB]:[GASB]],_xlfn.AGGREGATE(15,3,(TableDiv[[Agency]:[Agency]]=$E621)/(TableDiv[[Agency]:[Agency]]=$E621)*(ROW(TableDiv[Agency])-ROW(TableDiv[[#Headers],[Agency]])),COLUMNS($F$7:AE$7))))</f>
        <v/>
      </c>
      <c r="AF621" s="2223" t="str" cm="1">
        <f t="array" ref="AF621">IF($D621&lt;COLUMNS($F$7:AF$7),"",INDEX(TableDiv[[GASB]:[GASB]],_xlfn.AGGREGATE(15,3,(TableDiv[[Agency]:[Agency]]=$E621)/(TableDiv[[Agency]:[Agency]]=$E621)*(ROW(TableDiv[Agency])-ROW(TableDiv[[#Headers],[Agency]])),COLUMNS($F$7:AF$7))))</f>
        <v/>
      </c>
      <c r="AG621" s="2223" t="str" cm="1">
        <f t="array" ref="AG621">IF($D621&lt;COLUMNS($F$7:AG$7),"",INDEX(TableDiv[[GASB]:[GASB]],_xlfn.AGGREGATE(15,3,(TableDiv[[Agency]:[Agency]]=$E621)/(TableDiv[[Agency]:[Agency]]=$E621)*(ROW(TableDiv[Agency])-ROW(TableDiv[[#Headers],[Agency]])),COLUMNS($F$7:AG$7))))</f>
        <v/>
      </c>
      <c r="AH621" s="2223" t="str" cm="1">
        <f t="array" ref="AH621">IF($D621&lt;COLUMNS($F$7:AH$7),"",INDEX(TableDiv[[GASB]:[GASB]],_xlfn.AGGREGATE(15,3,(TableDiv[[Agency]:[Agency]]=$E621)/(TableDiv[[Agency]:[Agency]]=$E621)*(ROW(TableDiv[Agency])-ROW(TableDiv[[#Headers],[Agency]])),COLUMNS($F$7:AH$7))))</f>
        <v/>
      </c>
      <c r="AI621" s="2223" t="str" cm="1">
        <f t="array" ref="AI621">IF($D621&lt;COLUMNS($F$7:AI$7),"",INDEX(TableDiv[[GASB]:[GASB]],_xlfn.AGGREGATE(15,3,(TableDiv[[Agency]:[Agency]]=$E621)/(TableDiv[[Agency]:[Agency]]=$E621)*(ROW(TableDiv[Agency])-ROW(TableDiv[[#Headers],[Agency]])),COLUMNS($F$7:AI$7))))</f>
        <v/>
      </c>
      <c r="AJ621" s="2223" t="str" cm="1">
        <f t="array" ref="AJ621">IF($D621&lt;COLUMNS($F$7:AJ$7),"",INDEX(TableDiv[[GASB]:[GASB]],_xlfn.AGGREGATE(15,3,(TableDiv[[Agency]:[Agency]]=$E621)/(TableDiv[[Agency]:[Agency]]=$E621)*(ROW(TableDiv[Agency])-ROW(TableDiv[[#Headers],[Agency]])),COLUMNS($F$7:AJ$7))))</f>
        <v/>
      </c>
      <c r="AK621" s="2223" t="str" cm="1">
        <f t="array" ref="AK621">IF($D621&lt;COLUMNS($F$7:AK$7),"",INDEX(TableDiv[[GASB]:[GASB]],_xlfn.AGGREGATE(15,3,(TableDiv[[Agency]:[Agency]]=$E621)/(TableDiv[[Agency]:[Agency]]=$E621)*(ROW(TableDiv[Agency])-ROW(TableDiv[[#Headers],[Agency]])),COLUMNS($F$7:AK$7))))</f>
        <v/>
      </c>
      <c r="AL621" s="2223" t="str" cm="1">
        <f t="array" ref="AL621">IF($D621&lt;COLUMNS($F$7:AL$7),"",INDEX(TableDiv[[GASB]:[GASB]],_xlfn.AGGREGATE(15,3,(TableDiv[[Agency]:[Agency]]=$E621)/(TableDiv[[Agency]:[Agency]]=$E621)*(ROW(TableDiv[Agency])-ROW(TableDiv[[#Headers],[Agency]])),COLUMNS($F$7:AL$7))))</f>
        <v/>
      </c>
      <c r="AM621" s="2223" t="str" cm="1">
        <f t="array" ref="AM621">IF($D621&lt;COLUMNS($F$7:AM$7),"",INDEX(TableDiv[[GASB]:[GASB]],_xlfn.AGGREGATE(15,3,(TableDiv[[Agency]:[Agency]]=$E621)/(TableDiv[[Agency]:[Agency]]=$E621)*(ROW(TableDiv[Agency])-ROW(TableDiv[[#Headers],[Agency]])),COLUMNS($F$7:AM$7))))</f>
        <v/>
      </c>
      <c r="AN621" s="2223"/>
      <c r="AO621" s="2223"/>
      <c r="AP621" s="2223"/>
      <c r="AQ621" s="2223"/>
      <c r="AR621" s="2223"/>
      <c r="AS621" s="2223"/>
    </row>
    <row r="622" spans="1:45" x14ac:dyDescent="0.2">
      <c r="A622" s="2223"/>
      <c r="B622" s="2223"/>
      <c r="C622" s="2223"/>
      <c r="W622" s="2223" t="str" cm="1">
        <f t="array" ref="W622">IF($D622&lt;COLUMNS($F$7:W$7),"",INDEX(TableDiv[[GASB]:[GASB]],_xlfn.AGGREGATE(15,3,(TableDiv[[Agency]:[Agency]]=$E622)/(TableDiv[[Agency]:[Agency]]=$E622)*(ROW(TableDiv[Agency])-ROW(TableDiv[[#Headers],[Agency]])),COLUMNS($F$7:W$7))))</f>
        <v/>
      </c>
      <c r="X622" s="2223" t="str" cm="1">
        <f t="array" ref="X622">IF($D622&lt;COLUMNS($F$7:X$7),"",INDEX(TableDiv[[GASB]:[GASB]],_xlfn.AGGREGATE(15,3,(TableDiv[[Agency]:[Agency]]=$E622)/(TableDiv[[Agency]:[Agency]]=$E622)*(ROW(TableDiv[Agency])-ROW(TableDiv[[#Headers],[Agency]])),COLUMNS($F$7:X$7))))</f>
        <v/>
      </c>
      <c r="Y622" s="2223" t="str" cm="1">
        <f t="array" ref="Y622">IF($D622&lt;COLUMNS($F$7:Y$7),"",INDEX(TableDiv[[GASB]:[GASB]],_xlfn.AGGREGATE(15,3,(TableDiv[[Agency]:[Agency]]=$E622)/(TableDiv[[Agency]:[Agency]]=$E622)*(ROW(TableDiv[Agency])-ROW(TableDiv[[#Headers],[Agency]])),COLUMNS($F$7:Y$7))))</f>
        <v/>
      </c>
      <c r="Z622" s="2223" t="str" cm="1">
        <f t="array" ref="Z622">IF($D622&lt;COLUMNS($F$7:Z$7),"",INDEX(TableDiv[[GASB]:[GASB]],_xlfn.AGGREGATE(15,3,(TableDiv[[Agency]:[Agency]]=$E622)/(TableDiv[[Agency]:[Agency]]=$E622)*(ROW(TableDiv[Agency])-ROW(TableDiv[[#Headers],[Agency]])),COLUMNS($F$7:Z$7))))</f>
        <v/>
      </c>
      <c r="AA622" s="2223" t="str" cm="1">
        <f t="array" ref="AA622">IF($D622&lt;COLUMNS($F$7:AA$7),"",INDEX(TableDiv[[GASB]:[GASB]],_xlfn.AGGREGATE(15,3,(TableDiv[[Agency]:[Agency]]=$E622)/(TableDiv[[Agency]:[Agency]]=$E622)*(ROW(TableDiv[Agency])-ROW(TableDiv[[#Headers],[Agency]])),COLUMNS($F$7:AA$7))))</f>
        <v/>
      </c>
      <c r="AB622" s="2223" t="str" cm="1">
        <f t="array" ref="AB622">IF($D622&lt;COLUMNS($F$7:AB$7),"",INDEX(TableDiv[[GASB]:[GASB]],_xlfn.AGGREGATE(15,3,(TableDiv[[Agency]:[Agency]]=$E622)/(TableDiv[[Agency]:[Agency]]=$E622)*(ROW(TableDiv[Agency])-ROW(TableDiv[[#Headers],[Agency]])),COLUMNS($F$7:AB$7))))</f>
        <v/>
      </c>
      <c r="AC622" s="2223" t="str" cm="1">
        <f t="array" ref="AC622">IF($D622&lt;COLUMNS($F$7:AC$7),"",INDEX(TableDiv[[GASB]:[GASB]],_xlfn.AGGREGATE(15,3,(TableDiv[[Agency]:[Agency]]=$E622)/(TableDiv[[Agency]:[Agency]]=$E622)*(ROW(TableDiv[Agency])-ROW(TableDiv[[#Headers],[Agency]])),COLUMNS($F$7:AC$7))))</f>
        <v/>
      </c>
      <c r="AD622" s="2223" t="str" cm="1">
        <f t="array" ref="AD622">IF($D622&lt;COLUMNS($F$7:AD$7),"",INDEX(TableDiv[[GASB]:[GASB]],_xlfn.AGGREGATE(15,3,(TableDiv[[Agency]:[Agency]]=$E622)/(TableDiv[[Agency]:[Agency]]=$E622)*(ROW(TableDiv[Agency])-ROW(TableDiv[[#Headers],[Agency]])),COLUMNS($F$7:AD$7))))</f>
        <v/>
      </c>
      <c r="AE622" s="2223" t="str" cm="1">
        <f t="array" ref="AE622">IF($D622&lt;COLUMNS($F$7:AE$7),"",INDEX(TableDiv[[GASB]:[GASB]],_xlfn.AGGREGATE(15,3,(TableDiv[[Agency]:[Agency]]=$E622)/(TableDiv[[Agency]:[Agency]]=$E622)*(ROW(TableDiv[Agency])-ROW(TableDiv[[#Headers],[Agency]])),COLUMNS($F$7:AE$7))))</f>
        <v/>
      </c>
      <c r="AF622" s="2223" t="str" cm="1">
        <f t="array" ref="AF622">IF($D622&lt;COLUMNS($F$7:AF$7),"",INDEX(TableDiv[[GASB]:[GASB]],_xlfn.AGGREGATE(15,3,(TableDiv[[Agency]:[Agency]]=$E622)/(TableDiv[[Agency]:[Agency]]=$E622)*(ROW(TableDiv[Agency])-ROW(TableDiv[[#Headers],[Agency]])),COLUMNS($F$7:AF$7))))</f>
        <v/>
      </c>
      <c r="AG622" s="2223" t="str" cm="1">
        <f t="array" ref="AG622">IF($D622&lt;COLUMNS($F$7:AG$7),"",INDEX(TableDiv[[GASB]:[GASB]],_xlfn.AGGREGATE(15,3,(TableDiv[[Agency]:[Agency]]=$E622)/(TableDiv[[Agency]:[Agency]]=$E622)*(ROW(TableDiv[Agency])-ROW(TableDiv[[#Headers],[Agency]])),COLUMNS($F$7:AG$7))))</f>
        <v/>
      </c>
      <c r="AH622" s="2223" t="str" cm="1">
        <f t="array" ref="AH622">IF($D622&lt;COLUMNS($F$7:AH$7),"",INDEX(TableDiv[[GASB]:[GASB]],_xlfn.AGGREGATE(15,3,(TableDiv[[Agency]:[Agency]]=$E622)/(TableDiv[[Agency]:[Agency]]=$E622)*(ROW(TableDiv[Agency])-ROW(TableDiv[[#Headers],[Agency]])),COLUMNS($F$7:AH$7))))</f>
        <v/>
      </c>
      <c r="AI622" s="2223" t="str" cm="1">
        <f t="array" ref="AI622">IF($D622&lt;COLUMNS($F$7:AI$7),"",INDEX(TableDiv[[GASB]:[GASB]],_xlfn.AGGREGATE(15,3,(TableDiv[[Agency]:[Agency]]=$E622)/(TableDiv[[Agency]:[Agency]]=$E622)*(ROW(TableDiv[Agency])-ROW(TableDiv[[#Headers],[Agency]])),COLUMNS($F$7:AI$7))))</f>
        <v/>
      </c>
      <c r="AJ622" s="2223" t="str" cm="1">
        <f t="array" ref="AJ622">IF($D622&lt;COLUMNS($F$7:AJ$7),"",INDEX(TableDiv[[GASB]:[GASB]],_xlfn.AGGREGATE(15,3,(TableDiv[[Agency]:[Agency]]=$E622)/(TableDiv[[Agency]:[Agency]]=$E622)*(ROW(TableDiv[Agency])-ROW(TableDiv[[#Headers],[Agency]])),COLUMNS($F$7:AJ$7))))</f>
        <v/>
      </c>
      <c r="AK622" s="2223" t="str" cm="1">
        <f t="array" ref="AK622">IF($D622&lt;COLUMNS($F$7:AK$7),"",INDEX(TableDiv[[GASB]:[GASB]],_xlfn.AGGREGATE(15,3,(TableDiv[[Agency]:[Agency]]=$E622)/(TableDiv[[Agency]:[Agency]]=$E622)*(ROW(TableDiv[Agency])-ROW(TableDiv[[#Headers],[Agency]])),COLUMNS($F$7:AK$7))))</f>
        <v/>
      </c>
      <c r="AL622" s="2223" t="str" cm="1">
        <f t="array" ref="AL622">IF($D622&lt;COLUMNS($F$7:AL$7),"",INDEX(TableDiv[[GASB]:[GASB]],_xlfn.AGGREGATE(15,3,(TableDiv[[Agency]:[Agency]]=$E622)/(TableDiv[[Agency]:[Agency]]=$E622)*(ROW(TableDiv[Agency])-ROW(TableDiv[[#Headers],[Agency]])),COLUMNS($F$7:AL$7))))</f>
        <v/>
      </c>
      <c r="AM622" s="2223" t="str" cm="1">
        <f t="array" ref="AM622">IF($D622&lt;COLUMNS($F$7:AM$7),"",INDEX(TableDiv[[GASB]:[GASB]],_xlfn.AGGREGATE(15,3,(TableDiv[[Agency]:[Agency]]=$E622)/(TableDiv[[Agency]:[Agency]]=$E622)*(ROW(TableDiv[Agency])-ROW(TableDiv[[#Headers],[Agency]])),COLUMNS($F$7:AM$7))))</f>
        <v/>
      </c>
      <c r="AN622" s="2223"/>
      <c r="AO622" s="2223"/>
      <c r="AP622" s="2223"/>
      <c r="AQ622" s="2223"/>
      <c r="AR622" s="2223"/>
      <c r="AS622" s="2223"/>
    </row>
    <row r="623" spans="1:45" x14ac:dyDescent="0.2">
      <c r="A623" s="2223"/>
      <c r="B623" s="2223"/>
      <c r="C623" s="2223"/>
      <c r="W623" s="2223" t="str" cm="1">
        <f t="array" ref="W623">IF($D623&lt;COLUMNS($F$7:W$7),"",INDEX(TableDiv[[GASB]:[GASB]],_xlfn.AGGREGATE(15,3,(TableDiv[[Agency]:[Agency]]=$E623)/(TableDiv[[Agency]:[Agency]]=$E623)*(ROW(TableDiv[Agency])-ROW(TableDiv[[#Headers],[Agency]])),COLUMNS($F$7:W$7))))</f>
        <v/>
      </c>
      <c r="X623" s="2223" t="str" cm="1">
        <f t="array" ref="X623">IF($D623&lt;COLUMNS($F$7:X$7),"",INDEX(TableDiv[[GASB]:[GASB]],_xlfn.AGGREGATE(15,3,(TableDiv[[Agency]:[Agency]]=$E623)/(TableDiv[[Agency]:[Agency]]=$E623)*(ROW(TableDiv[Agency])-ROW(TableDiv[[#Headers],[Agency]])),COLUMNS($F$7:X$7))))</f>
        <v/>
      </c>
      <c r="Y623" s="2223" t="str" cm="1">
        <f t="array" ref="Y623">IF($D623&lt;COLUMNS($F$7:Y$7),"",INDEX(TableDiv[[GASB]:[GASB]],_xlfn.AGGREGATE(15,3,(TableDiv[[Agency]:[Agency]]=$E623)/(TableDiv[[Agency]:[Agency]]=$E623)*(ROW(TableDiv[Agency])-ROW(TableDiv[[#Headers],[Agency]])),COLUMNS($F$7:Y$7))))</f>
        <v/>
      </c>
      <c r="Z623" s="2223" t="str" cm="1">
        <f t="array" ref="Z623">IF($D623&lt;COLUMNS($F$7:Z$7),"",INDEX(TableDiv[[GASB]:[GASB]],_xlfn.AGGREGATE(15,3,(TableDiv[[Agency]:[Agency]]=$E623)/(TableDiv[[Agency]:[Agency]]=$E623)*(ROW(TableDiv[Agency])-ROW(TableDiv[[#Headers],[Agency]])),COLUMNS($F$7:Z$7))))</f>
        <v/>
      </c>
      <c r="AA623" s="2223" t="str" cm="1">
        <f t="array" ref="AA623">IF($D623&lt;COLUMNS($F$7:AA$7),"",INDEX(TableDiv[[GASB]:[GASB]],_xlfn.AGGREGATE(15,3,(TableDiv[[Agency]:[Agency]]=$E623)/(TableDiv[[Agency]:[Agency]]=$E623)*(ROW(TableDiv[Agency])-ROW(TableDiv[[#Headers],[Agency]])),COLUMNS($F$7:AA$7))))</f>
        <v/>
      </c>
      <c r="AB623" s="2223" t="str" cm="1">
        <f t="array" ref="AB623">IF($D623&lt;COLUMNS($F$7:AB$7),"",INDEX(TableDiv[[GASB]:[GASB]],_xlfn.AGGREGATE(15,3,(TableDiv[[Agency]:[Agency]]=$E623)/(TableDiv[[Agency]:[Agency]]=$E623)*(ROW(TableDiv[Agency])-ROW(TableDiv[[#Headers],[Agency]])),COLUMNS($F$7:AB$7))))</f>
        <v/>
      </c>
      <c r="AC623" s="2223" t="str" cm="1">
        <f t="array" ref="AC623">IF($D623&lt;COLUMNS($F$7:AC$7),"",INDEX(TableDiv[[GASB]:[GASB]],_xlfn.AGGREGATE(15,3,(TableDiv[[Agency]:[Agency]]=$E623)/(TableDiv[[Agency]:[Agency]]=$E623)*(ROW(TableDiv[Agency])-ROW(TableDiv[[#Headers],[Agency]])),COLUMNS($F$7:AC$7))))</f>
        <v/>
      </c>
      <c r="AD623" s="2223" t="str" cm="1">
        <f t="array" ref="AD623">IF($D623&lt;COLUMNS($F$7:AD$7),"",INDEX(TableDiv[[GASB]:[GASB]],_xlfn.AGGREGATE(15,3,(TableDiv[[Agency]:[Agency]]=$E623)/(TableDiv[[Agency]:[Agency]]=$E623)*(ROW(TableDiv[Agency])-ROW(TableDiv[[#Headers],[Agency]])),COLUMNS($F$7:AD$7))))</f>
        <v/>
      </c>
      <c r="AE623" s="2223" t="str" cm="1">
        <f t="array" ref="AE623">IF($D623&lt;COLUMNS($F$7:AE$7),"",INDEX(TableDiv[[GASB]:[GASB]],_xlfn.AGGREGATE(15,3,(TableDiv[[Agency]:[Agency]]=$E623)/(TableDiv[[Agency]:[Agency]]=$E623)*(ROW(TableDiv[Agency])-ROW(TableDiv[[#Headers],[Agency]])),COLUMNS($F$7:AE$7))))</f>
        <v/>
      </c>
      <c r="AF623" s="2223" t="str" cm="1">
        <f t="array" ref="AF623">IF($D623&lt;COLUMNS($F$7:AF$7),"",INDEX(TableDiv[[GASB]:[GASB]],_xlfn.AGGREGATE(15,3,(TableDiv[[Agency]:[Agency]]=$E623)/(TableDiv[[Agency]:[Agency]]=$E623)*(ROW(TableDiv[Agency])-ROW(TableDiv[[#Headers],[Agency]])),COLUMNS($F$7:AF$7))))</f>
        <v/>
      </c>
      <c r="AG623" s="2223" t="str" cm="1">
        <f t="array" ref="AG623">IF($D623&lt;COLUMNS($F$7:AG$7),"",INDEX(TableDiv[[GASB]:[GASB]],_xlfn.AGGREGATE(15,3,(TableDiv[[Agency]:[Agency]]=$E623)/(TableDiv[[Agency]:[Agency]]=$E623)*(ROW(TableDiv[Agency])-ROW(TableDiv[[#Headers],[Agency]])),COLUMNS($F$7:AG$7))))</f>
        <v/>
      </c>
      <c r="AH623" s="2223" t="str" cm="1">
        <f t="array" ref="AH623">IF($D623&lt;COLUMNS($F$7:AH$7),"",INDEX(TableDiv[[GASB]:[GASB]],_xlfn.AGGREGATE(15,3,(TableDiv[[Agency]:[Agency]]=$E623)/(TableDiv[[Agency]:[Agency]]=$E623)*(ROW(TableDiv[Agency])-ROW(TableDiv[[#Headers],[Agency]])),COLUMNS($F$7:AH$7))))</f>
        <v/>
      </c>
      <c r="AI623" s="2223" t="str" cm="1">
        <f t="array" ref="AI623">IF($D623&lt;COLUMNS($F$7:AI$7),"",INDEX(TableDiv[[GASB]:[GASB]],_xlfn.AGGREGATE(15,3,(TableDiv[[Agency]:[Agency]]=$E623)/(TableDiv[[Agency]:[Agency]]=$E623)*(ROW(TableDiv[Agency])-ROW(TableDiv[[#Headers],[Agency]])),COLUMNS($F$7:AI$7))))</f>
        <v/>
      </c>
      <c r="AJ623" s="2223" t="str" cm="1">
        <f t="array" ref="AJ623">IF($D623&lt;COLUMNS($F$7:AJ$7),"",INDEX(TableDiv[[GASB]:[GASB]],_xlfn.AGGREGATE(15,3,(TableDiv[[Agency]:[Agency]]=$E623)/(TableDiv[[Agency]:[Agency]]=$E623)*(ROW(TableDiv[Agency])-ROW(TableDiv[[#Headers],[Agency]])),COLUMNS($F$7:AJ$7))))</f>
        <v/>
      </c>
      <c r="AK623" s="2223" t="str" cm="1">
        <f t="array" ref="AK623">IF($D623&lt;COLUMNS($F$7:AK$7),"",INDEX(TableDiv[[GASB]:[GASB]],_xlfn.AGGREGATE(15,3,(TableDiv[[Agency]:[Agency]]=$E623)/(TableDiv[[Agency]:[Agency]]=$E623)*(ROW(TableDiv[Agency])-ROW(TableDiv[[#Headers],[Agency]])),COLUMNS($F$7:AK$7))))</f>
        <v/>
      </c>
      <c r="AL623" s="2223" t="str" cm="1">
        <f t="array" ref="AL623">IF($D623&lt;COLUMNS($F$7:AL$7),"",INDEX(TableDiv[[GASB]:[GASB]],_xlfn.AGGREGATE(15,3,(TableDiv[[Agency]:[Agency]]=$E623)/(TableDiv[[Agency]:[Agency]]=$E623)*(ROW(TableDiv[Agency])-ROW(TableDiv[[#Headers],[Agency]])),COLUMNS($F$7:AL$7))))</f>
        <v/>
      </c>
      <c r="AM623" s="2223" t="str" cm="1">
        <f t="array" ref="AM623">IF($D623&lt;COLUMNS($F$7:AM$7),"",INDEX(TableDiv[[GASB]:[GASB]],_xlfn.AGGREGATE(15,3,(TableDiv[[Agency]:[Agency]]=$E623)/(TableDiv[[Agency]:[Agency]]=$E623)*(ROW(TableDiv[Agency])-ROW(TableDiv[[#Headers],[Agency]])),COLUMNS($F$7:AM$7))))</f>
        <v/>
      </c>
      <c r="AN623" s="2223"/>
      <c r="AO623" s="2223"/>
      <c r="AP623" s="2223"/>
      <c r="AQ623" s="2223"/>
      <c r="AR623" s="2223"/>
      <c r="AS623" s="2223"/>
    </row>
    <row r="624" spans="1:45" x14ac:dyDescent="0.2">
      <c r="A624" s="2223"/>
      <c r="B624" s="2223"/>
      <c r="C624" s="2223"/>
      <c r="W624" s="2223" t="str" cm="1">
        <f t="array" ref="W624">IF($D624&lt;COLUMNS($F$7:W$7),"",INDEX(TableDiv[[GASB]:[GASB]],_xlfn.AGGREGATE(15,3,(TableDiv[[Agency]:[Agency]]=$E624)/(TableDiv[[Agency]:[Agency]]=$E624)*(ROW(TableDiv[Agency])-ROW(TableDiv[[#Headers],[Agency]])),COLUMNS($F$7:W$7))))</f>
        <v/>
      </c>
      <c r="X624" s="2223" t="str" cm="1">
        <f t="array" ref="X624">IF($D624&lt;COLUMNS($F$7:X$7),"",INDEX(TableDiv[[GASB]:[GASB]],_xlfn.AGGREGATE(15,3,(TableDiv[[Agency]:[Agency]]=$E624)/(TableDiv[[Agency]:[Agency]]=$E624)*(ROW(TableDiv[Agency])-ROW(TableDiv[[#Headers],[Agency]])),COLUMNS($F$7:X$7))))</f>
        <v/>
      </c>
      <c r="Y624" s="2223" t="str" cm="1">
        <f t="array" ref="Y624">IF($D624&lt;COLUMNS($F$7:Y$7),"",INDEX(TableDiv[[GASB]:[GASB]],_xlfn.AGGREGATE(15,3,(TableDiv[[Agency]:[Agency]]=$E624)/(TableDiv[[Agency]:[Agency]]=$E624)*(ROW(TableDiv[Agency])-ROW(TableDiv[[#Headers],[Agency]])),COLUMNS($F$7:Y$7))))</f>
        <v/>
      </c>
      <c r="Z624" s="2223" t="str" cm="1">
        <f t="array" ref="Z624">IF($D624&lt;COLUMNS($F$7:Z$7),"",INDEX(TableDiv[[GASB]:[GASB]],_xlfn.AGGREGATE(15,3,(TableDiv[[Agency]:[Agency]]=$E624)/(TableDiv[[Agency]:[Agency]]=$E624)*(ROW(TableDiv[Agency])-ROW(TableDiv[[#Headers],[Agency]])),COLUMNS($F$7:Z$7))))</f>
        <v/>
      </c>
      <c r="AA624" s="2223" t="str" cm="1">
        <f t="array" ref="AA624">IF($D624&lt;COLUMNS($F$7:AA$7),"",INDEX(TableDiv[[GASB]:[GASB]],_xlfn.AGGREGATE(15,3,(TableDiv[[Agency]:[Agency]]=$E624)/(TableDiv[[Agency]:[Agency]]=$E624)*(ROW(TableDiv[Agency])-ROW(TableDiv[[#Headers],[Agency]])),COLUMNS($F$7:AA$7))))</f>
        <v/>
      </c>
      <c r="AB624" s="2223" t="str" cm="1">
        <f t="array" ref="AB624">IF($D624&lt;COLUMNS($F$7:AB$7),"",INDEX(TableDiv[[GASB]:[GASB]],_xlfn.AGGREGATE(15,3,(TableDiv[[Agency]:[Agency]]=$E624)/(TableDiv[[Agency]:[Agency]]=$E624)*(ROW(TableDiv[Agency])-ROW(TableDiv[[#Headers],[Agency]])),COLUMNS($F$7:AB$7))))</f>
        <v/>
      </c>
      <c r="AC624" s="2223" t="str" cm="1">
        <f t="array" ref="AC624">IF($D624&lt;COLUMNS($F$7:AC$7),"",INDEX(TableDiv[[GASB]:[GASB]],_xlfn.AGGREGATE(15,3,(TableDiv[[Agency]:[Agency]]=$E624)/(TableDiv[[Agency]:[Agency]]=$E624)*(ROW(TableDiv[Agency])-ROW(TableDiv[[#Headers],[Agency]])),COLUMNS($F$7:AC$7))))</f>
        <v/>
      </c>
      <c r="AD624" s="2223" t="str" cm="1">
        <f t="array" ref="AD624">IF($D624&lt;COLUMNS($F$7:AD$7),"",INDEX(TableDiv[[GASB]:[GASB]],_xlfn.AGGREGATE(15,3,(TableDiv[[Agency]:[Agency]]=$E624)/(TableDiv[[Agency]:[Agency]]=$E624)*(ROW(TableDiv[Agency])-ROW(TableDiv[[#Headers],[Agency]])),COLUMNS($F$7:AD$7))))</f>
        <v/>
      </c>
      <c r="AE624" s="2223" t="str" cm="1">
        <f t="array" ref="AE624">IF($D624&lt;COLUMNS($F$7:AE$7),"",INDEX(TableDiv[[GASB]:[GASB]],_xlfn.AGGREGATE(15,3,(TableDiv[[Agency]:[Agency]]=$E624)/(TableDiv[[Agency]:[Agency]]=$E624)*(ROW(TableDiv[Agency])-ROW(TableDiv[[#Headers],[Agency]])),COLUMNS($F$7:AE$7))))</f>
        <v/>
      </c>
      <c r="AF624" s="2223" t="str" cm="1">
        <f t="array" ref="AF624">IF($D624&lt;COLUMNS($F$7:AF$7),"",INDEX(TableDiv[[GASB]:[GASB]],_xlfn.AGGREGATE(15,3,(TableDiv[[Agency]:[Agency]]=$E624)/(TableDiv[[Agency]:[Agency]]=$E624)*(ROW(TableDiv[Agency])-ROW(TableDiv[[#Headers],[Agency]])),COLUMNS($F$7:AF$7))))</f>
        <v/>
      </c>
      <c r="AG624" s="2223" t="str" cm="1">
        <f t="array" ref="AG624">IF($D624&lt;COLUMNS($F$7:AG$7),"",INDEX(TableDiv[[GASB]:[GASB]],_xlfn.AGGREGATE(15,3,(TableDiv[[Agency]:[Agency]]=$E624)/(TableDiv[[Agency]:[Agency]]=$E624)*(ROW(TableDiv[Agency])-ROW(TableDiv[[#Headers],[Agency]])),COLUMNS($F$7:AG$7))))</f>
        <v/>
      </c>
      <c r="AH624" s="2223" t="str" cm="1">
        <f t="array" ref="AH624">IF($D624&lt;COLUMNS($F$7:AH$7),"",INDEX(TableDiv[[GASB]:[GASB]],_xlfn.AGGREGATE(15,3,(TableDiv[[Agency]:[Agency]]=$E624)/(TableDiv[[Agency]:[Agency]]=$E624)*(ROW(TableDiv[Agency])-ROW(TableDiv[[#Headers],[Agency]])),COLUMNS($F$7:AH$7))))</f>
        <v/>
      </c>
      <c r="AI624" s="2223" t="str" cm="1">
        <f t="array" ref="AI624">IF($D624&lt;COLUMNS($F$7:AI$7),"",INDEX(TableDiv[[GASB]:[GASB]],_xlfn.AGGREGATE(15,3,(TableDiv[[Agency]:[Agency]]=$E624)/(TableDiv[[Agency]:[Agency]]=$E624)*(ROW(TableDiv[Agency])-ROW(TableDiv[[#Headers],[Agency]])),COLUMNS($F$7:AI$7))))</f>
        <v/>
      </c>
      <c r="AJ624" s="2223" t="str" cm="1">
        <f t="array" ref="AJ624">IF($D624&lt;COLUMNS($F$7:AJ$7),"",INDEX(TableDiv[[GASB]:[GASB]],_xlfn.AGGREGATE(15,3,(TableDiv[[Agency]:[Agency]]=$E624)/(TableDiv[[Agency]:[Agency]]=$E624)*(ROW(TableDiv[Agency])-ROW(TableDiv[[#Headers],[Agency]])),COLUMNS($F$7:AJ$7))))</f>
        <v/>
      </c>
      <c r="AK624" s="2223" t="str" cm="1">
        <f t="array" ref="AK624">IF($D624&lt;COLUMNS($F$7:AK$7),"",INDEX(TableDiv[[GASB]:[GASB]],_xlfn.AGGREGATE(15,3,(TableDiv[[Agency]:[Agency]]=$E624)/(TableDiv[[Agency]:[Agency]]=$E624)*(ROW(TableDiv[Agency])-ROW(TableDiv[[#Headers],[Agency]])),COLUMNS($F$7:AK$7))))</f>
        <v/>
      </c>
      <c r="AL624" s="2223" t="str" cm="1">
        <f t="array" ref="AL624">IF($D624&lt;COLUMNS($F$7:AL$7),"",INDEX(TableDiv[[GASB]:[GASB]],_xlfn.AGGREGATE(15,3,(TableDiv[[Agency]:[Agency]]=$E624)/(TableDiv[[Agency]:[Agency]]=$E624)*(ROW(TableDiv[Agency])-ROW(TableDiv[[#Headers],[Agency]])),COLUMNS($F$7:AL$7))))</f>
        <v/>
      </c>
      <c r="AM624" s="2223" t="str" cm="1">
        <f t="array" ref="AM624">IF($D624&lt;COLUMNS($F$7:AM$7),"",INDEX(TableDiv[[GASB]:[GASB]],_xlfn.AGGREGATE(15,3,(TableDiv[[Agency]:[Agency]]=$E624)/(TableDiv[[Agency]:[Agency]]=$E624)*(ROW(TableDiv[Agency])-ROW(TableDiv[[#Headers],[Agency]])),COLUMNS($F$7:AM$7))))</f>
        <v/>
      </c>
      <c r="AN624" s="2223"/>
      <c r="AO624" s="2223"/>
      <c r="AP624" s="2223"/>
      <c r="AQ624" s="2223"/>
      <c r="AR624" s="2223"/>
      <c r="AS624" s="2223"/>
    </row>
    <row r="625" spans="1:45" x14ac:dyDescent="0.2">
      <c r="A625" s="2223"/>
      <c r="B625" s="2223"/>
      <c r="C625" s="2223"/>
      <c r="W625" s="2223" t="str" cm="1">
        <f t="array" ref="W625">IF($D625&lt;COLUMNS($F$7:W$7),"",INDEX(TableDiv[[GASB]:[GASB]],_xlfn.AGGREGATE(15,3,(TableDiv[[Agency]:[Agency]]=$E625)/(TableDiv[[Agency]:[Agency]]=$E625)*(ROW(TableDiv[Agency])-ROW(TableDiv[[#Headers],[Agency]])),COLUMNS($F$7:W$7))))</f>
        <v/>
      </c>
      <c r="X625" s="2223" t="str" cm="1">
        <f t="array" ref="X625">IF($D625&lt;COLUMNS($F$7:X$7),"",INDEX(TableDiv[[GASB]:[GASB]],_xlfn.AGGREGATE(15,3,(TableDiv[[Agency]:[Agency]]=$E625)/(TableDiv[[Agency]:[Agency]]=$E625)*(ROW(TableDiv[Agency])-ROW(TableDiv[[#Headers],[Agency]])),COLUMNS($F$7:X$7))))</f>
        <v/>
      </c>
      <c r="Y625" s="2223" t="str" cm="1">
        <f t="array" ref="Y625">IF($D625&lt;COLUMNS($F$7:Y$7),"",INDEX(TableDiv[[GASB]:[GASB]],_xlfn.AGGREGATE(15,3,(TableDiv[[Agency]:[Agency]]=$E625)/(TableDiv[[Agency]:[Agency]]=$E625)*(ROW(TableDiv[Agency])-ROW(TableDiv[[#Headers],[Agency]])),COLUMNS($F$7:Y$7))))</f>
        <v/>
      </c>
      <c r="Z625" s="2223" t="str" cm="1">
        <f t="array" ref="Z625">IF($D625&lt;COLUMNS($F$7:Z$7),"",INDEX(TableDiv[[GASB]:[GASB]],_xlfn.AGGREGATE(15,3,(TableDiv[[Agency]:[Agency]]=$E625)/(TableDiv[[Agency]:[Agency]]=$E625)*(ROW(TableDiv[Agency])-ROW(TableDiv[[#Headers],[Agency]])),COLUMNS($F$7:Z$7))))</f>
        <v/>
      </c>
      <c r="AA625" s="2223" t="str" cm="1">
        <f t="array" ref="AA625">IF($D625&lt;COLUMNS($F$7:AA$7),"",INDEX(TableDiv[[GASB]:[GASB]],_xlfn.AGGREGATE(15,3,(TableDiv[[Agency]:[Agency]]=$E625)/(TableDiv[[Agency]:[Agency]]=$E625)*(ROW(TableDiv[Agency])-ROW(TableDiv[[#Headers],[Agency]])),COLUMNS($F$7:AA$7))))</f>
        <v/>
      </c>
      <c r="AB625" s="2223" t="str" cm="1">
        <f t="array" ref="AB625">IF($D625&lt;COLUMNS($F$7:AB$7),"",INDEX(TableDiv[[GASB]:[GASB]],_xlfn.AGGREGATE(15,3,(TableDiv[[Agency]:[Agency]]=$E625)/(TableDiv[[Agency]:[Agency]]=$E625)*(ROW(TableDiv[Agency])-ROW(TableDiv[[#Headers],[Agency]])),COLUMNS($F$7:AB$7))))</f>
        <v/>
      </c>
      <c r="AC625" s="2223" t="str" cm="1">
        <f t="array" ref="AC625">IF($D625&lt;COLUMNS($F$7:AC$7),"",INDEX(TableDiv[[GASB]:[GASB]],_xlfn.AGGREGATE(15,3,(TableDiv[[Agency]:[Agency]]=$E625)/(TableDiv[[Agency]:[Agency]]=$E625)*(ROW(TableDiv[Agency])-ROW(TableDiv[[#Headers],[Agency]])),COLUMNS($F$7:AC$7))))</f>
        <v/>
      </c>
      <c r="AD625" s="2223" t="str" cm="1">
        <f t="array" ref="AD625">IF($D625&lt;COLUMNS($F$7:AD$7),"",INDEX(TableDiv[[GASB]:[GASB]],_xlfn.AGGREGATE(15,3,(TableDiv[[Agency]:[Agency]]=$E625)/(TableDiv[[Agency]:[Agency]]=$E625)*(ROW(TableDiv[Agency])-ROW(TableDiv[[#Headers],[Agency]])),COLUMNS($F$7:AD$7))))</f>
        <v/>
      </c>
      <c r="AE625" s="2223" t="str" cm="1">
        <f t="array" ref="AE625">IF($D625&lt;COLUMNS($F$7:AE$7),"",INDEX(TableDiv[[GASB]:[GASB]],_xlfn.AGGREGATE(15,3,(TableDiv[[Agency]:[Agency]]=$E625)/(TableDiv[[Agency]:[Agency]]=$E625)*(ROW(TableDiv[Agency])-ROW(TableDiv[[#Headers],[Agency]])),COLUMNS($F$7:AE$7))))</f>
        <v/>
      </c>
      <c r="AF625" s="2223" t="str" cm="1">
        <f t="array" ref="AF625">IF($D625&lt;COLUMNS($F$7:AF$7),"",INDEX(TableDiv[[GASB]:[GASB]],_xlfn.AGGREGATE(15,3,(TableDiv[[Agency]:[Agency]]=$E625)/(TableDiv[[Agency]:[Agency]]=$E625)*(ROW(TableDiv[Agency])-ROW(TableDiv[[#Headers],[Agency]])),COLUMNS($F$7:AF$7))))</f>
        <v/>
      </c>
      <c r="AG625" s="2223" t="str" cm="1">
        <f t="array" ref="AG625">IF($D625&lt;COLUMNS($F$7:AG$7),"",INDEX(TableDiv[[GASB]:[GASB]],_xlfn.AGGREGATE(15,3,(TableDiv[[Agency]:[Agency]]=$E625)/(TableDiv[[Agency]:[Agency]]=$E625)*(ROW(TableDiv[Agency])-ROW(TableDiv[[#Headers],[Agency]])),COLUMNS($F$7:AG$7))))</f>
        <v/>
      </c>
      <c r="AH625" s="2223" t="str" cm="1">
        <f t="array" ref="AH625">IF($D625&lt;COLUMNS($F$7:AH$7),"",INDEX(TableDiv[[GASB]:[GASB]],_xlfn.AGGREGATE(15,3,(TableDiv[[Agency]:[Agency]]=$E625)/(TableDiv[[Agency]:[Agency]]=$E625)*(ROW(TableDiv[Agency])-ROW(TableDiv[[#Headers],[Agency]])),COLUMNS($F$7:AH$7))))</f>
        <v/>
      </c>
      <c r="AI625" s="2223" t="str" cm="1">
        <f t="array" ref="AI625">IF($D625&lt;COLUMNS($F$7:AI$7),"",INDEX(TableDiv[[GASB]:[GASB]],_xlfn.AGGREGATE(15,3,(TableDiv[[Agency]:[Agency]]=$E625)/(TableDiv[[Agency]:[Agency]]=$E625)*(ROW(TableDiv[Agency])-ROW(TableDiv[[#Headers],[Agency]])),COLUMNS($F$7:AI$7))))</f>
        <v/>
      </c>
      <c r="AJ625" s="2223" t="str" cm="1">
        <f t="array" ref="AJ625">IF($D625&lt;COLUMNS($F$7:AJ$7),"",INDEX(TableDiv[[GASB]:[GASB]],_xlfn.AGGREGATE(15,3,(TableDiv[[Agency]:[Agency]]=$E625)/(TableDiv[[Agency]:[Agency]]=$E625)*(ROW(TableDiv[Agency])-ROW(TableDiv[[#Headers],[Agency]])),COLUMNS($F$7:AJ$7))))</f>
        <v/>
      </c>
      <c r="AK625" s="2223" t="str" cm="1">
        <f t="array" ref="AK625">IF($D625&lt;COLUMNS($F$7:AK$7),"",INDEX(TableDiv[[GASB]:[GASB]],_xlfn.AGGREGATE(15,3,(TableDiv[[Agency]:[Agency]]=$E625)/(TableDiv[[Agency]:[Agency]]=$E625)*(ROW(TableDiv[Agency])-ROW(TableDiv[[#Headers],[Agency]])),COLUMNS($F$7:AK$7))))</f>
        <v/>
      </c>
      <c r="AL625" s="2223" t="str" cm="1">
        <f t="array" ref="AL625">IF($D625&lt;COLUMNS($F$7:AL$7),"",INDEX(TableDiv[[GASB]:[GASB]],_xlfn.AGGREGATE(15,3,(TableDiv[[Agency]:[Agency]]=$E625)/(TableDiv[[Agency]:[Agency]]=$E625)*(ROW(TableDiv[Agency])-ROW(TableDiv[[#Headers],[Agency]])),COLUMNS($F$7:AL$7))))</f>
        <v/>
      </c>
      <c r="AM625" s="2223" t="str" cm="1">
        <f t="array" ref="AM625">IF($D625&lt;COLUMNS($F$7:AM$7),"",INDEX(TableDiv[[GASB]:[GASB]],_xlfn.AGGREGATE(15,3,(TableDiv[[Agency]:[Agency]]=$E625)/(TableDiv[[Agency]:[Agency]]=$E625)*(ROW(TableDiv[Agency])-ROW(TableDiv[[#Headers],[Agency]])),COLUMNS($F$7:AM$7))))</f>
        <v/>
      </c>
      <c r="AN625" s="2223"/>
      <c r="AO625" s="2223"/>
      <c r="AP625" s="2223"/>
      <c r="AQ625" s="2223"/>
      <c r="AR625" s="2223"/>
      <c r="AS625" s="2223"/>
    </row>
    <row r="626" spans="1:45" x14ac:dyDescent="0.2">
      <c r="A626" s="2223"/>
      <c r="B626" s="2223"/>
      <c r="C626" s="2223"/>
      <c r="W626" s="2223" t="str" cm="1">
        <f t="array" ref="W626">IF($D626&lt;COLUMNS($F$7:W$7),"",INDEX(TableDiv[[GASB]:[GASB]],_xlfn.AGGREGATE(15,3,(TableDiv[[Agency]:[Agency]]=$E626)/(TableDiv[[Agency]:[Agency]]=$E626)*(ROW(TableDiv[Agency])-ROW(TableDiv[[#Headers],[Agency]])),COLUMNS($F$7:W$7))))</f>
        <v/>
      </c>
      <c r="X626" s="2223" t="str" cm="1">
        <f t="array" ref="X626">IF($D626&lt;COLUMNS($F$7:X$7),"",INDEX(TableDiv[[GASB]:[GASB]],_xlfn.AGGREGATE(15,3,(TableDiv[[Agency]:[Agency]]=$E626)/(TableDiv[[Agency]:[Agency]]=$E626)*(ROW(TableDiv[Agency])-ROW(TableDiv[[#Headers],[Agency]])),COLUMNS($F$7:X$7))))</f>
        <v/>
      </c>
      <c r="Y626" s="2223" t="str" cm="1">
        <f t="array" ref="Y626">IF($D626&lt;COLUMNS($F$7:Y$7),"",INDEX(TableDiv[[GASB]:[GASB]],_xlfn.AGGREGATE(15,3,(TableDiv[[Agency]:[Agency]]=$E626)/(TableDiv[[Agency]:[Agency]]=$E626)*(ROW(TableDiv[Agency])-ROW(TableDiv[[#Headers],[Agency]])),COLUMNS($F$7:Y$7))))</f>
        <v/>
      </c>
      <c r="Z626" s="2223" t="str" cm="1">
        <f t="array" ref="Z626">IF($D626&lt;COLUMNS($F$7:Z$7),"",INDEX(TableDiv[[GASB]:[GASB]],_xlfn.AGGREGATE(15,3,(TableDiv[[Agency]:[Agency]]=$E626)/(TableDiv[[Agency]:[Agency]]=$E626)*(ROW(TableDiv[Agency])-ROW(TableDiv[[#Headers],[Agency]])),COLUMNS($F$7:Z$7))))</f>
        <v/>
      </c>
      <c r="AA626" s="2223" t="str" cm="1">
        <f t="array" ref="AA626">IF($D626&lt;COLUMNS($F$7:AA$7),"",INDEX(TableDiv[[GASB]:[GASB]],_xlfn.AGGREGATE(15,3,(TableDiv[[Agency]:[Agency]]=$E626)/(TableDiv[[Agency]:[Agency]]=$E626)*(ROW(TableDiv[Agency])-ROW(TableDiv[[#Headers],[Agency]])),COLUMNS($F$7:AA$7))))</f>
        <v/>
      </c>
      <c r="AB626" s="2223" t="str" cm="1">
        <f t="array" ref="AB626">IF($D626&lt;COLUMNS($F$7:AB$7),"",INDEX(TableDiv[[GASB]:[GASB]],_xlfn.AGGREGATE(15,3,(TableDiv[[Agency]:[Agency]]=$E626)/(TableDiv[[Agency]:[Agency]]=$E626)*(ROW(TableDiv[Agency])-ROW(TableDiv[[#Headers],[Agency]])),COLUMNS($F$7:AB$7))))</f>
        <v/>
      </c>
      <c r="AC626" s="2223" t="str" cm="1">
        <f t="array" ref="AC626">IF($D626&lt;COLUMNS($F$7:AC$7),"",INDEX(TableDiv[[GASB]:[GASB]],_xlfn.AGGREGATE(15,3,(TableDiv[[Agency]:[Agency]]=$E626)/(TableDiv[[Agency]:[Agency]]=$E626)*(ROW(TableDiv[Agency])-ROW(TableDiv[[#Headers],[Agency]])),COLUMNS($F$7:AC$7))))</f>
        <v/>
      </c>
      <c r="AD626" s="2223" t="str" cm="1">
        <f t="array" ref="AD626">IF($D626&lt;COLUMNS($F$7:AD$7),"",INDEX(TableDiv[[GASB]:[GASB]],_xlfn.AGGREGATE(15,3,(TableDiv[[Agency]:[Agency]]=$E626)/(TableDiv[[Agency]:[Agency]]=$E626)*(ROW(TableDiv[Agency])-ROW(TableDiv[[#Headers],[Agency]])),COLUMNS($F$7:AD$7))))</f>
        <v/>
      </c>
      <c r="AE626" s="2223" t="str" cm="1">
        <f t="array" ref="AE626">IF($D626&lt;COLUMNS($F$7:AE$7),"",INDEX(TableDiv[[GASB]:[GASB]],_xlfn.AGGREGATE(15,3,(TableDiv[[Agency]:[Agency]]=$E626)/(TableDiv[[Agency]:[Agency]]=$E626)*(ROW(TableDiv[Agency])-ROW(TableDiv[[#Headers],[Agency]])),COLUMNS($F$7:AE$7))))</f>
        <v/>
      </c>
      <c r="AF626" s="2223" t="str" cm="1">
        <f t="array" ref="AF626">IF($D626&lt;COLUMNS($F$7:AF$7),"",INDEX(TableDiv[[GASB]:[GASB]],_xlfn.AGGREGATE(15,3,(TableDiv[[Agency]:[Agency]]=$E626)/(TableDiv[[Agency]:[Agency]]=$E626)*(ROW(TableDiv[Agency])-ROW(TableDiv[[#Headers],[Agency]])),COLUMNS($F$7:AF$7))))</f>
        <v/>
      </c>
      <c r="AG626" s="2223" t="str" cm="1">
        <f t="array" ref="AG626">IF($D626&lt;COLUMNS($F$7:AG$7),"",INDEX(TableDiv[[GASB]:[GASB]],_xlfn.AGGREGATE(15,3,(TableDiv[[Agency]:[Agency]]=$E626)/(TableDiv[[Agency]:[Agency]]=$E626)*(ROW(TableDiv[Agency])-ROW(TableDiv[[#Headers],[Agency]])),COLUMNS($F$7:AG$7))))</f>
        <v/>
      </c>
      <c r="AH626" s="2223" t="str" cm="1">
        <f t="array" ref="AH626">IF($D626&lt;COLUMNS($F$7:AH$7),"",INDEX(TableDiv[[GASB]:[GASB]],_xlfn.AGGREGATE(15,3,(TableDiv[[Agency]:[Agency]]=$E626)/(TableDiv[[Agency]:[Agency]]=$E626)*(ROW(TableDiv[Agency])-ROW(TableDiv[[#Headers],[Agency]])),COLUMNS($F$7:AH$7))))</f>
        <v/>
      </c>
      <c r="AI626" s="2223" t="str" cm="1">
        <f t="array" ref="AI626">IF($D626&lt;COLUMNS($F$7:AI$7),"",INDEX(TableDiv[[GASB]:[GASB]],_xlfn.AGGREGATE(15,3,(TableDiv[[Agency]:[Agency]]=$E626)/(TableDiv[[Agency]:[Agency]]=$E626)*(ROW(TableDiv[Agency])-ROW(TableDiv[[#Headers],[Agency]])),COLUMNS($F$7:AI$7))))</f>
        <v/>
      </c>
      <c r="AJ626" s="2223" t="str" cm="1">
        <f t="array" ref="AJ626">IF($D626&lt;COLUMNS($F$7:AJ$7),"",INDEX(TableDiv[[GASB]:[GASB]],_xlfn.AGGREGATE(15,3,(TableDiv[[Agency]:[Agency]]=$E626)/(TableDiv[[Agency]:[Agency]]=$E626)*(ROW(TableDiv[Agency])-ROW(TableDiv[[#Headers],[Agency]])),COLUMNS($F$7:AJ$7))))</f>
        <v/>
      </c>
      <c r="AK626" s="2223" t="str" cm="1">
        <f t="array" ref="AK626">IF($D626&lt;COLUMNS($F$7:AK$7),"",INDEX(TableDiv[[GASB]:[GASB]],_xlfn.AGGREGATE(15,3,(TableDiv[[Agency]:[Agency]]=$E626)/(TableDiv[[Agency]:[Agency]]=$E626)*(ROW(TableDiv[Agency])-ROW(TableDiv[[#Headers],[Agency]])),COLUMNS($F$7:AK$7))))</f>
        <v/>
      </c>
      <c r="AL626" s="2223" t="str" cm="1">
        <f t="array" ref="AL626">IF($D626&lt;COLUMNS($F$7:AL$7),"",INDEX(TableDiv[[GASB]:[GASB]],_xlfn.AGGREGATE(15,3,(TableDiv[[Agency]:[Agency]]=$E626)/(TableDiv[[Agency]:[Agency]]=$E626)*(ROW(TableDiv[Agency])-ROW(TableDiv[[#Headers],[Agency]])),COLUMNS($F$7:AL$7))))</f>
        <v/>
      </c>
      <c r="AM626" s="2223" t="str" cm="1">
        <f t="array" ref="AM626">IF($D626&lt;COLUMNS($F$7:AM$7),"",INDEX(TableDiv[[GASB]:[GASB]],_xlfn.AGGREGATE(15,3,(TableDiv[[Agency]:[Agency]]=$E626)/(TableDiv[[Agency]:[Agency]]=$E626)*(ROW(TableDiv[Agency])-ROW(TableDiv[[#Headers],[Agency]])),COLUMNS($F$7:AM$7))))</f>
        <v/>
      </c>
      <c r="AN626" s="2223"/>
      <c r="AO626" s="2223"/>
      <c r="AP626" s="2223"/>
      <c r="AQ626" s="2223"/>
      <c r="AR626" s="2223"/>
      <c r="AS626" s="2223"/>
    </row>
    <row r="627" spans="1:45" x14ac:dyDescent="0.2">
      <c r="A627" s="2223"/>
      <c r="B627" s="2223"/>
      <c r="C627" s="2223"/>
      <c r="W627" s="2223" t="str" cm="1">
        <f t="array" ref="W627">IF($D627&lt;COLUMNS($F$7:W$7),"",INDEX(TableDiv[[GASB]:[GASB]],_xlfn.AGGREGATE(15,3,(TableDiv[[Agency]:[Agency]]=$E627)/(TableDiv[[Agency]:[Agency]]=$E627)*(ROW(TableDiv[Agency])-ROW(TableDiv[[#Headers],[Agency]])),COLUMNS($F$7:W$7))))</f>
        <v/>
      </c>
      <c r="X627" s="2223" t="str" cm="1">
        <f t="array" ref="X627">IF($D627&lt;COLUMNS($F$7:X$7),"",INDEX(TableDiv[[GASB]:[GASB]],_xlfn.AGGREGATE(15,3,(TableDiv[[Agency]:[Agency]]=$E627)/(TableDiv[[Agency]:[Agency]]=$E627)*(ROW(TableDiv[Agency])-ROW(TableDiv[[#Headers],[Agency]])),COLUMNS($F$7:X$7))))</f>
        <v/>
      </c>
      <c r="Y627" s="2223" t="str" cm="1">
        <f t="array" ref="Y627">IF($D627&lt;COLUMNS($F$7:Y$7),"",INDEX(TableDiv[[GASB]:[GASB]],_xlfn.AGGREGATE(15,3,(TableDiv[[Agency]:[Agency]]=$E627)/(TableDiv[[Agency]:[Agency]]=$E627)*(ROW(TableDiv[Agency])-ROW(TableDiv[[#Headers],[Agency]])),COLUMNS($F$7:Y$7))))</f>
        <v/>
      </c>
      <c r="Z627" s="2223" t="str" cm="1">
        <f t="array" ref="Z627">IF($D627&lt;COLUMNS($F$7:Z$7),"",INDEX(TableDiv[[GASB]:[GASB]],_xlfn.AGGREGATE(15,3,(TableDiv[[Agency]:[Agency]]=$E627)/(TableDiv[[Agency]:[Agency]]=$E627)*(ROW(TableDiv[Agency])-ROW(TableDiv[[#Headers],[Agency]])),COLUMNS($F$7:Z$7))))</f>
        <v/>
      </c>
      <c r="AA627" s="2223" t="str" cm="1">
        <f t="array" ref="AA627">IF($D627&lt;COLUMNS($F$7:AA$7),"",INDEX(TableDiv[[GASB]:[GASB]],_xlfn.AGGREGATE(15,3,(TableDiv[[Agency]:[Agency]]=$E627)/(TableDiv[[Agency]:[Agency]]=$E627)*(ROW(TableDiv[Agency])-ROW(TableDiv[[#Headers],[Agency]])),COLUMNS($F$7:AA$7))))</f>
        <v/>
      </c>
      <c r="AB627" s="2223" t="str" cm="1">
        <f t="array" ref="AB627">IF($D627&lt;COLUMNS($F$7:AB$7),"",INDEX(TableDiv[[GASB]:[GASB]],_xlfn.AGGREGATE(15,3,(TableDiv[[Agency]:[Agency]]=$E627)/(TableDiv[[Agency]:[Agency]]=$E627)*(ROW(TableDiv[Agency])-ROW(TableDiv[[#Headers],[Agency]])),COLUMNS($F$7:AB$7))))</f>
        <v/>
      </c>
      <c r="AC627" s="2223" t="str" cm="1">
        <f t="array" ref="AC627">IF($D627&lt;COLUMNS($F$7:AC$7),"",INDEX(TableDiv[[GASB]:[GASB]],_xlfn.AGGREGATE(15,3,(TableDiv[[Agency]:[Agency]]=$E627)/(TableDiv[[Agency]:[Agency]]=$E627)*(ROW(TableDiv[Agency])-ROW(TableDiv[[#Headers],[Agency]])),COLUMNS($F$7:AC$7))))</f>
        <v/>
      </c>
      <c r="AD627" s="2223" t="str" cm="1">
        <f t="array" ref="AD627">IF($D627&lt;COLUMNS($F$7:AD$7),"",INDEX(TableDiv[[GASB]:[GASB]],_xlfn.AGGREGATE(15,3,(TableDiv[[Agency]:[Agency]]=$E627)/(TableDiv[[Agency]:[Agency]]=$E627)*(ROW(TableDiv[Agency])-ROW(TableDiv[[#Headers],[Agency]])),COLUMNS($F$7:AD$7))))</f>
        <v/>
      </c>
      <c r="AE627" s="2223" t="str" cm="1">
        <f t="array" ref="AE627">IF($D627&lt;COLUMNS($F$7:AE$7),"",INDEX(TableDiv[[GASB]:[GASB]],_xlfn.AGGREGATE(15,3,(TableDiv[[Agency]:[Agency]]=$E627)/(TableDiv[[Agency]:[Agency]]=$E627)*(ROW(TableDiv[Agency])-ROW(TableDiv[[#Headers],[Agency]])),COLUMNS($F$7:AE$7))))</f>
        <v/>
      </c>
      <c r="AF627" s="2223" t="str" cm="1">
        <f t="array" ref="AF627">IF($D627&lt;COLUMNS($F$7:AF$7),"",INDEX(TableDiv[[GASB]:[GASB]],_xlfn.AGGREGATE(15,3,(TableDiv[[Agency]:[Agency]]=$E627)/(TableDiv[[Agency]:[Agency]]=$E627)*(ROW(TableDiv[Agency])-ROW(TableDiv[[#Headers],[Agency]])),COLUMNS($F$7:AF$7))))</f>
        <v/>
      </c>
      <c r="AG627" s="2223" t="str" cm="1">
        <f t="array" ref="AG627">IF($D627&lt;COLUMNS($F$7:AG$7),"",INDEX(TableDiv[[GASB]:[GASB]],_xlfn.AGGREGATE(15,3,(TableDiv[[Agency]:[Agency]]=$E627)/(TableDiv[[Agency]:[Agency]]=$E627)*(ROW(TableDiv[Agency])-ROW(TableDiv[[#Headers],[Agency]])),COLUMNS($F$7:AG$7))))</f>
        <v/>
      </c>
      <c r="AH627" s="2223" t="str" cm="1">
        <f t="array" ref="AH627">IF($D627&lt;COLUMNS($F$7:AH$7),"",INDEX(TableDiv[[GASB]:[GASB]],_xlfn.AGGREGATE(15,3,(TableDiv[[Agency]:[Agency]]=$E627)/(TableDiv[[Agency]:[Agency]]=$E627)*(ROW(TableDiv[Agency])-ROW(TableDiv[[#Headers],[Agency]])),COLUMNS($F$7:AH$7))))</f>
        <v/>
      </c>
      <c r="AI627" s="2223" t="str" cm="1">
        <f t="array" ref="AI627">IF($D627&lt;COLUMNS($F$7:AI$7),"",INDEX(TableDiv[[GASB]:[GASB]],_xlfn.AGGREGATE(15,3,(TableDiv[[Agency]:[Agency]]=$E627)/(TableDiv[[Agency]:[Agency]]=$E627)*(ROW(TableDiv[Agency])-ROW(TableDiv[[#Headers],[Agency]])),COLUMNS($F$7:AI$7))))</f>
        <v/>
      </c>
      <c r="AJ627" s="2223" t="str" cm="1">
        <f t="array" ref="AJ627">IF($D627&lt;COLUMNS($F$7:AJ$7),"",INDEX(TableDiv[[GASB]:[GASB]],_xlfn.AGGREGATE(15,3,(TableDiv[[Agency]:[Agency]]=$E627)/(TableDiv[[Agency]:[Agency]]=$E627)*(ROW(TableDiv[Agency])-ROW(TableDiv[[#Headers],[Agency]])),COLUMNS($F$7:AJ$7))))</f>
        <v/>
      </c>
      <c r="AK627" s="2223" t="str" cm="1">
        <f t="array" ref="AK627">IF($D627&lt;COLUMNS($F$7:AK$7),"",INDEX(TableDiv[[GASB]:[GASB]],_xlfn.AGGREGATE(15,3,(TableDiv[[Agency]:[Agency]]=$E627)/(TableDiv[[Agency]:[Agency]]=$E627)*(ROW(TableDiv[Agency])-ROW(TableDiv[[#Headers],[Agency]])),COLUMNS($F$7:AK$7))))</f>
        <v/>
      </c>
      <c r="AL627" s="2223" t="str" cm="1">
        <f t="array" ref="AL627">IF($D627&lt;COLUMNS($F$7:AL$7),"",INDEX(TableDiv[[GASB]:[GASB]],_xlfn.AGGREGATE(15,3,(TableDiv[[Agency]:[Agency]]=$E627)/(TableDiv[[Agency]:[Agency]]=$E627)*(ROW(TableDiv[Agency])-ROW(TableDiv[[#Headers],[Agency]])),COLUMNS($F$7:AL$7))))</f>
        <v/>
      </c>
      <c r="AM627" s="2223" t="str" cm="1">
        <f t="array" ref="AM627">IF($D627&lt;COLUMNS($F$7:AM$7),"",INDEX(TableDiv[[GASB]:[GASB]],_xlfn.AGGREGATE(15,3,(TableDiv[[Agency]:[Agency]]=$E627)/(TableDiv[[Agency]:[Agency]]=$E627)*(ROW(TableDiv[Agency])-ROW(TableDiv[[#Headers],[Agency]])),COLUMNS($F$7:AM$7))))</f>
        <v/>
      </c>
      <c r="AN627" s="2223"/>
      <c r="AO627" s="2223"/>
      <c r="AP627" s="2223"/>
      <c r="AQ627" s="2223"/>
      <c r="AR627" s="2223"/>
      <c r="AS627" s="2223"/>
    </row>
    <row r="628" spans="1:45" x14ac:dyDescent="0.2">
      <c r="A628" s="2223"/>
      <c r="B628" s="2223"/>
      <c r="C628" s="2223"/>
      <c r="W628" s="2223" t="str" cm="1">
        <f t="array" ref="W628">IF($D628&lt;COLUMNS($F$7:W$7),"",INDEX(TableDiv[[GASB]:[GASB]],_xlfn.AGGREGATE(15,3,(TableDiv[[Agency]:[Agency]]=$E628)/(TableDiv[[Agency]:[Agency]]=$E628)*(ROW(TableDiv[Agency])-ROW(TableDiv[[#Headers],[Agency]])),COLUMNS($F$7:W$7))))</f>
        <v/>
      </c>
      <c r="X628" s="2223" t="str" cm="1">
        <f t="array" ref="X628">IF($D628&lt;COLUMNS($F$7:X$7),"",INDEX(TableDiv[[GASB]:[GASB]],_xlfn.AGGREGATE(15,3,(TableDiv[[Agency]:[Agency]]=$E628)/(TableDiv[[Agency]:[Agency]]=$E628)*(ROW(TableDiv[Agency])-ROW(TableDiv[[#Headers],[Agency]])),COLUMNS($F$7:X$7))))</f>
        <v/>
      </c>
      <c r="Y628" s="2223" t="str" cm="1">
        <f t="array" ref="Y628">IF($D628&lt;COLUMNS($F$7:Y$7),"",INDEX(TableDiv[[GASB]:[GASB]],_xlfn.AGGREGATE(15,3,(TableDiv[[Agency]:[Agency]]=$E628)/(TableDiv[[Agency]:[Agency]]=$E628)*(ROW(TableDiv[Agency])-ROW(TableDiv[[#Headers],[Agency]])),COLUMNS($F$7:Y$7))))</f>
        <v/>
      </c>
      <c r="Z628" s="2223" t="str" cm="1">
        <f t="array" ref="Z628">IF($D628&lt;COLUMNS($F$7:Z$7),"",INDEX(TableDiv[[GASB]:[GASB]],_xlfn.AGGREGATE(15,3,(TableDiv[[Agency]:[Agency]]=$E628)/(TableDiv[[Agency]:[Agency]]=$E628)*(ROW(TableDiv[Agency])-ROW(TableDiv[[#Headers],[Agency]])),COLUMNS($F$7:Z$7))))</f>
        <v/>
      </c>
      <c r="AA628" s="2223" t="str" cm="1">
        <f t="array" ref="AA628">IF($D628&lt;COLUMNS($F$7:AA$7),"",INDEX(TableDiv[[GASB]:[GASB]],_xlfn.AGGREGATE(15,3,(TableDiv[[Agency]:[Agency]]=$E628)/(TableDiv[[Agency]:[Agency]]=$E628)*(ROW(TableDiv[Agency])-ROW(TableDiv[[#Headers],[Agency]])),COLUMNS($F$7:AA$7))))</f>
        <v/>
      </c>
      <c r="AB628" s="2223" t="str" cm="1">
        <f t="array" ref="AB628">IF($D628&lt;COLUMNS($F$7:AB$7),"",INDEX(TableDiv[[GASB]:[GASB]],_xlfn.AGGREGATE(15,3,(TableDiv[[Agency]:[Agency]]=$E628)/(TableDiv[[Agency]:[Agency]]=$E628)*(ROW(TableDiv[Agency])-ROW(TableDiv[[#Headers],[Agency]])),COLUMNS($F$7:AB$7))))</f>
        <v/>
      </c>
      <c r="AC628" s="2223" t="str" cm="1">
        <f t="array" ref="AC628">IF($D628&lt;COLUMNS($F$7:AC$7),"",INDEX(TableDiv[[GASB]:[GASB]],_xlfn.AGGREGATE(15,3,(TableDiv[[Agency]:[Agency]]=$E628)/(TableDiv[[Agency]:[Agency]]=$E628)*(ROW(TableDiv[Agency])-ROW(TableDiv[[#Headers],[Agency]])),COLUMNS($F$7:AC$7))))</f>
        <v/>
      </c>
      <c r="AD628" s="2223" t="str" cm="1">
        <f t="array" ref="AD628">IF($D628&lt;COLUMNS($F$7:AD$7),"",INDEX(TableDiv[[GASB]:[GASB]],_xlfn.AGGREGATE(15,3,(TableDiv[[Agency]:[Agency]]=$E628)/(TableDiv[[Agency]:[Agency]]=$E628)*(ROW(TableDiv[Agency])-ROW(TableDiv[[#Headers],[Agency]])),COLUMNS($F$7:AD$7))))</f>
        <v/>
      </c>
      <c r="AE628" s="2223" t="str" cm="1">
        <f t="array" ref="AE628">IF($D628&lt;COLUMNS($F$7:AE$7),"",INDEX(TableDiv[[GASB]:[GASB]],_xlfn.AGGREGATE(15,3,(TableDiv[[Agency]:[Agency]]=$E628)/(TableDiv[[Agency]:[Agency]]=$E628)*(ROW(TableDiv[Agency])-ROW(TableDiv[[#Headers],[Agency]])),COLUMNS($F$7:AE$7))))</f>
        <v/>
      </c>
      <c r="AF628" s="2223" t="str" cm="1">
        <f t="array" ref="AF628">IF($D628&lt;COLUMNS($F$7:AF$7),"",INDEX(TableDiv[[GASB]:[GASB]],_xlfn.AGGREGATE(15,3,(TableDiv[[Agency]:[Agency]]=$E628)/(TableDiv[[Agency]:[Agency]]=$E628)*(ROW(TableDiv[Agency])-ROW(TableDiv[[#Headers],[Agency]])),COLUMNS($F$7:AF$7))))</f>
        <v/>
      </c>
      <c r="AG628" s="2223" t="str" cm="1">
        <f t="array" ref="AG628">IF($D628&lt;COLUMNS($F$7:AG$7),"",INDEX(TableDiv[[GASB]:[GASB]],_xlfn.AGGREGATE(15,3,(TableDiv[[Agency]:[Agency]]=$E628)/(TableDiv[[Agency]:[Agency]]=$E628)*(ROW(TableDiv[Agency])-ROW(TableDiv[[#Headers],[Agency]])),COLUMNS($F$7:AG$7))))</f>
        <v/>
      </c>
      <c r="AH628" s="2223" t="str" cm="1">
        <f t="array" ref="AH628">IF($D628&lt;COLUMNS($F$7:AH$7),"",INDEX(TableDiv[[GASB]:[GASB]],_xlfn.AGGREGATE(15,3,(TableDiv[[Agency]:[Agency]]=$E628)/(TableDiv[[Agency]:[Agency]]=$E628)*(ROW(TableDiv[Agency])-ROW(TableDiv[[#Headers],[Agency]])),COLUMNS($F$7:AH$7))))</f>
        <v/>
      </c>
      <c r="AI628" s="2223" t="str" cm="1">
        <f t="array" ref="AI628">IF($D628&lt;COLUMNS($F$7:AI$7),"",INDEX(TableDiv[[GASB]:[GASB]],_xlfn.AGGREGATE(15,3,(TableDiv[[Agency]:[Agency]]=$E628)/(TableDiv[[Agency]:[Agency]]=$E628)*(ROW(TableDiv[Agency])-ROW(TableDiv[[#Headers],[Agency]])),COLUMNS($F$7:AI$7))))</f>
        <v/>
      </c>
      <c r="AJ628" s="2223" t="str" cm="1">
        <f t="array" ref="AJ628">IF($D628&lt;COLUMNS($F$7:AJ$7),"",INDEX(TableDiv[[GASB]:[GASB]],_xlfn.AGGREGATE(15,3,(TableDiv[[Agency]:[Agency]]=$E628)/(TableDiv[[Agency]:[Agency]]=$E628)*(ROW(TableDiv[Agency])-ROW(TableDiv[[#Headers],[Agency]])),COLUMNS($F$7:AJ$7))))</f>
        <v/>
      </c>
      <c r="AK628" s="2223" t="str" cm="1">
        <f t="array" ref="AK628">IF($D628&lt;COLUMNS($F$7:AK$7),"",INDEX(TableDiv[[GASB]:[GASB]],_xlfn.AGGREGATE(15,3,(TableDiv[[Agency]:[Agency]]=$E628)/(TableDiv[[Agency]:[Agency]]=$E628)*(ROW(TableDiv[Agency])-ROW(TableDiv[[#Headers],[Agency]])),COLUMNS($F$7:AK$7))))</f>
        <v/>
      </c>
      <c r="AL628" s="2223" t="str" cm="1">
        <f t="array" ref="AL628">IF($D628&lt;COLUMNS($F$7:AL$7),"",INDEX(TableDiv[[GASB]:[GASB]],_xlfn.AGGREGATE(15,3,(TableDiv[[Agency]:[Agency]]=$E628)/(TableDiv[[Agency]:[Agency]]=$E628)*(ROW(TableDiv[Agency])-ROW(TableDiv[[#Headers],[Agency]])),COLUMNS($F$7:AL$7))))</f>
        <v/>
      </c>
      <c r="AM628" s="2223" t="str" cm="1">
        <f t="array" ref="AM628">IF($D628&lt;COLUMNS($F$7:AM$7),"",INDEX(TableDiv[[GASB]:[GASB]],_xlfn.AGGREGATE(15,3,(TableDiv[[Agency]:[Agency]]=$E628)/(TableDiv[[Agency]:[Agency]]=$E628)*(ROW(TableDiv[Agency])-ROW(TableDiv[[#Headers],[Agency]])),COLUMNS($F$7:AM$7))))</f>
        <v/>
      </c>
      <c r="AN628" s="2223"/>
      <c r="AO628" s="2223"/>
      <c r="AP628" s="2223"/>
      <c r="AQ628" s="2223"/>
      <c r="AR628" s="2223"/>
      <c r="AS628" s="2223"/>
    </row>
    <row r="629" spans="1:45" x14ac:dyDescent="0.2">
      <c r="A629" s="2223"/>
      <c r="B629" s="2223"/>
      <c r="C629" s="2223"/>
      <c r="W629" s="2223" t="str" cm="1">
        <f t="array" ref="W629">IF($D629&lt;COLUMNS($F$7:W$7),"",INDEX(TableDiv[[GASB]:[GASB]],_xlfn.AGGREGATE(15,3,(TableDiv[[Agency]:[Agency]]=$E629)/(TableDiv[[Agency]:[Agency]]=$E629)*(ROW(TableDiv[Agency])-ROW(TableDiv[[#Headers],[Agency]])),COLUMNS($F$7:W$7))))</f>
        <v/>
      </c>
      <c r="X629" s="2223" t="str" cm="1">
        <f t="array" ref="X629">IF($D629&lt;COLUMNS($F$7:X$7),"",INDEX(TableDiv[[GASB]:[GASB]],_xlfn.AGGREGATE(15,3,(TableDiv[[Agency]:[Agency]]=$E629)/(TableDiv[[Agency]:[Agency]]=$E629)*(ROW(TableDiv[Agency])-ROW(TableDiv[[#Headers],[Agency]])),COLUMNS($F$7:X$7))))</f>
        <v/>
      </c>
      <c r="Y629" s="2223" t="str" cm="1">
        <f t="array" ref="Y629">IF($D629&lt;COLUMNS($F$7:Y$7),"",INDEX(TableDiv[[GASB]:[GASB]],_xlfn.AGGREGATE(15,3,(TableDiv[[Agency]:[Agency]]=$E629)/(TableDiv[[Agency]:[Agency]]=$E629)*(ROW(TableDiv[Agency])-ROW(TableDiv[[#Headers],[Agency]])),COLUMNS($F$7:Y$7))))</f>
        <v/>
      </c>
      <c r="Z629" s="2223" t="str" cm="1">
        <f t="array" ref="Z629">IF($D629&lt;COLUMNS($F$7:Z$7),"",INDEX(TableDiv[[GASB]:[GASB]],_xlfn.AGGREGATE(15,3,(TableDiv[[Agency]:[Agency]]=$E629)/(TableDiv[[Agency]:[Agency]]=$E629)*(ROW(TableDiv[Agency])-ROW(TableDiv[[#Headers],[Agency]])),COLUMNS($F$7:Z$7))))</f>
        <v/>
      </c>
      <c r="AA629" s="2223" t="str" cm="1">
        <f t="array" ref="AA629">IF($D629&lt;COLUMNS($F$7:AA$7),"",INDEX(TableDiv[[GASB]:[GASB]],_xlfn.AGGREGATE(15,3,(TableDiv[[Agency]:[Agency]]=$E629)/(TableDiv[[Agency]:[Agency]]=$E629)*(ROW(TableDiv[Agency])-ROW(TableDiv[[#Headers],[Agency]])),COLUMNS($F$7:AA$7))))</f>
        <v/>
      </c>
      <c r="AB629" s="2223" t="str" cm="1">
        <f t="array" ref="AB629">IF($D629&lt;COLUMNS($F$7:AB$7),"",INDEX(TableDiv[[GASB]:[GASB]],_xlfn.AGGREGATE(15,3,(TableDiv[[Agency]:[Agency]]=$E629)/(TableDiv[[Agency]:[Agency]]=$E629)*(ROW(TableDiv[Agency])-ROW(TableDiv[[#Headers],[Agency]])),COLUMNS($F$7:AB$7))))</f>
        <v/>
      </c>
      <c r="AC629" s="2223" t="str" cm="1">
        <f t="array" ref="AC629">IF($D629&lt;COLUMNS($F$7:AC$7),"",INDEX(TableDiv[[GASB]:[GASB]],_xlfn.AGGREGATE(15,3,(TableDiv[[Agency]:[Agency]]=$E629)/(TableDiv[[Agency]:[Agency]]=$E629)*(ROW(TableDiv[Agency])-ROW(TableDiv[[#Headers],[Agency]])),COLUMNS($F$7:AC$7))))</f>
        <v/>
      </c>
      <c r="AD629" s="2223" t="str" cm="1">
        <f t="array" ref="AD629">IF($D629&lt;COLUMNS($F$7:AD$7),"",INDEX(TableDiv[[GASB]:[GASB]],_xlfn.AGGREGATE(15,3,(TableDiv[[Agency]:[Agency]]=$E629)/(TableDiv[[Agency]:[Agency]]=$E629)*(ROW(TableDiv[Agency])-ROW(TableDiv[[#Headers],[Agency]])),COLUMNS($F$7:AD$7))))</f>
        <v/>
      </c>
      <c r="AE629" s="2223" t="str" cm="1">
        <f t="array" ref="AE629">IF($D629&lt;COLUMNS($F$7:AE$7),"",INDEX(TableDiv[[GASB]:[GASB]],_xlfn.AGGREGATE(15,3,(TableDiv[[Agency]:[Agency]]=$E629)/(TableDiv[[Agency]:[Agency]]=$E629)*(ROW(TableDiv[Agency])-ROW(TableDiv[[#Headers],[Agency]])),COLUMNS($F$7:AE$7))))</f>
        <v/>
      </c>
      <c r="AF629" s="2223" t="str" cm="1">
        <f t="array" ref="AF629">IF($D629&lt;COLUMNS($F$7:AF$7),"",INDEX(TableDiv[[GASB]:[GASB]],_xlfn.AGGREGATE(15,3,(TableDiv[[Agency]:[Agency]]=$E629)/(TableDiv[[Agency]:[Agency]]=$E629)*(ROW(TableDiv[Agency])-ROW(TableDiv[[#Headers],[Agency]])),COLUMNS($F$7:AF$7))))</f>
        <v/>
      </c>
      <c r="AG629" s="2223" t="str" cm="1">
        <f t="array" ref="AG629">IF($D629&lt;COLUMNS($F$7:AG$7),"",INDEX(TableDiv[[GASB]:[GASB]],_xlfn.AGGREGATE(15,3,(TableDiv[[Agency]:[Agency]]=$E629)/(TableDiv[[Agency]:[Agency]]=$E629)*(ROW(TableDiv[Agency])-ROW(TableDiv[[#Headers],[Agency]])),COLUMNS($F$7:AG$7))))</f>
        <v/>
      </c>
      <c r="AH629" s="2223" t="str" cm="1">
        <f t="array" ref="AH629">IF($D629&lt;COLUMNS($F$7:AH$7),"",INDEX(TableDiv[[GASB]:[GASB]],_xlfn.AGGREGATE(15,3,(TableDiv[[Agency]:[Agency]]=$E629)/(TableDiv[[Agency]:[Agency]]=$E629)*(ROW(TableDiv[Agency])-ROW(TableDiv[[#Headers],[Agency]])),COLUMNS($F$7:AH$7))))</f>
        <v/>
      </c>
      <c r="AI629" s="2223" t="str" cm="1">
        <f t="array" ref="AI629">IF($D629&lt;COLUMNS($F$7:AI$7),"",INDEX(TableDiv[[GASB]:[GASB]],_xlfn.AGGREGATE(15,3,(TableDiv[[Agency]:[Agency]]=$E629)/(TableDiv[[Agency]:[Agency]]=$E629)*(ROW(TableDiv[Agency])-ROW(TableDiv[[#Headers],[Agency]])),COLUMNS($F$7:AI$7))))</f>
        <v/>
      </c>
      <c r="AJ629" s="2223" t="str" cm="1">
        <f t="array" ref="AJ629">IF($D629&lt;COLUMNS($F$7:AJ$7),"",INDEX(TableDiv[[GASB]:[GASB]],_xlfn.AGGREGATE(15,3,(TableDiv[[Agency]:[Agency]]=$E629)/(TableDiv[[Agency]:[Agency]]=$E629)*(ROW(TableDiv[Agency])-ROW(TableDiv[[#Headers],[Agency]])),COLUMNS($F$7:AJ$7))))</f>
        <v/>
      </c>
      <c r="AK629" s="2223" t="str" cm="1">
        <f t="array" ref="AK629">IF($D629&lt;COLUMNS($F$7:AK$7),"",INDEX(TableDiv[[GASB]:[GASB]],_xlfn.AGGREGATE(15,3,(TableDiv[[Agency]:[Agency]]=$E629)/(TableDiv[[Agency]:[Agency]]=$E629)*(ROW(TableDiv[Agency])-ROW(TableDiv[[#Headers],[Agency]])),COLUMNS($F$7:AK$7))))</f>
        <v/>
      </c>
      <c r="AL629" s="2223" t="str" cm="1">
        <f t="array" ref="AL629">IF($D629&lt;COLUMNS($F$7:AL$7),"",INDEX(TableDiv[[GASB]:[GASB]],_xlfn.AGGREGATE(15,3,(TableDiv[[Agency]:[Agency]]=$E629)/(TableDiv[[Agency]:[Agency]]=$E629)*(ROW(TableDiv[Agency])-ROW(TableDiv[[#Headers],[Agency]])),COLUMNS($F$7:AL$7))))</f>
        <v/>
      </c>
      <c r="AM629" s="2223" t="str" cm="1">
        <f t="array" ref="AM629">IF($D629&lt;COLUMNS($F$7:AM$7),"",INDEX(TableDiv[[GASB]:[GASB]],_xlfn.AGGREGATE(15,3,(TableDiv[[Agency]:[Agency]]=$E629)/(TableDiv[[Agency]:[Agency]]=$E629)*(ROW(TableDiv[Agency])-ROW(TableDiv[[#Headers],[Agency]])),COLUMNS($F$7:AM$7))))</f>
        <v/>
      </c>
      <c r="AN629" s="2223"/>
      <c r="AO629" s="2223"/>
      <c r="AP629" s="2223"/>
      <c r="AQ629" s="2223"/>
      <c r="AR629" s="2223"/>
      <c r="AS629" s="2223"/>
    </row>
    <row r="630" spans="1:45" x14ac:dyDescent="0.2">
      <c r="A630" s="2223"/>
      <c r="B630" s="2223"/>
      <c r="C630" s="2223"/>
      <c r="W630" s="2223" t="str" cm="1">
        <f t="array" ref="W630">IF($D630&lt;COLUMNS($F$7:W$7),"",INDEX(TableDiv[[GASB]:[GASB]],_xlfn.AGGREGATE(15,3,(TableDiv[[Agency]:[Agency]]=$E630)/(TableDiv[[Agency]:[Agency]]=$E630)*(ROW(TableDiv[Agency])-ROW(TableDiv[[#Headers],[Agency]])),COLUMNS($F$7:W$7))))</f>
        <v/>
      </c>
      <c r="X630" s="2223" t="str" cm="1">
        <f t="array" ref="X630">IF($D630&lt;COLUMNS($F$7:X$7),"",INDEX(TableDiv[[GASB]:[GASB]],_xlfn.AGGREGATE(15,3,(TableDiv[[Agency]:[Agency]]=$E630)/(TableDiv[[Agency]:[Agency]]=$E630)*(ROW(TableDiv[Agency])-ROW(TableDiv[[#Headers],[Agency]])),COLUMNS($F$7:X$7))))</f>
        <v/>
      </c>
      <c r="Y630" s="2223" t="str" cm="1">
        <f t="array" ref="Y630">IF($D630&lt;COLUMNS($F$7:Y$7),"",INDEX(TableDiv[[GASB]:[GASB]],_xlfn.AGGREGATE(15,3,(TableDiv[[Agency]:[Agency]]=$E630)/(TableDiv[[Agency]:[Agency]]=$E630)*(ROW(TableDiv[Agency])-ROW(TableDiv[[#Headers],[Agency]])),COLUMNS($F$7:Y$7))))</f>
        <v/>
      </c>
      <c r="Z630" s="2223" t="str" cm="1">
        <f t="array" ref="Z630">IF($D630&lt;COLUMNS($F$7:Z$7),"",INDEX(TableDiv[[GASB]:[GASB]],_xlfn.AGGREGATE(15,3,(TableDiv[[Agency]:[Agency]]=$E630)/(TableDiv[[Agency]:[Agency]]=$E630)*(ROW(TableDiv[Agency])-ROW(TableDiv[[#Headers],[Agency]])),COLUMNS($F$7:Z$7))))</f>
        <v/>
      </c>
      <c r="AA630" s="2223" t="str" cm="1">
        <f t="array" ref="AA630">IF($D630&lt;COLUMNS($F$7:AA$7),"",INDEX(TableDiv[[GASB]:[GASB]],_xlfn.AGGREGATE(15,3,(TableDiv[[Agency]:[Agency]]=$E630)/(TableDiv[[Agency]:[Agency]]=$E630)*(ROW(TableDiv[Agency])-ROW(TableDiv[[#Headers],[Agency]])),COLUMNS($F$7:AA$7))))</f>
        <v/>
      </c>
      <c r="AB630" s="2223" t="str" cm="1">
        <f t="array" ref="AB630">IF($D630&lt;COLUMNS($F$7:AB$7),"",INDEX(TableDiv[[GASB]:[GASB]],_xlfn.AGGREGATE(15,3,(TableDiv[[Agency]:[Agency]]=$E630)/(TableDiv[[Agency]:[Agency]]=$E630)*(ROW(TableDiv[Agency])-ROW(TableDiv[[#Headers],[Agency]])),COLUMNS($F$7:AB$7))))</f>
        <v/>
      </c>
      <c r="AC630" s="2223" t="str" cm="1">
        <f t="array" ref="AC630">IF($D630&lt;COLUMNS($F$7:AC$7),"",INDEX(TableDiv[[GASB]:[GASB]],_xlfn.AGGREGATE(15,3,(TableDiv[[Agency]:[Agency]]=$E630)/(TableDiv[[Agency]:[Agency]]=$E630)*(ROW(TableDiv[Agency])-ROW(TableDiv[[#Headers],[Agency]])),COLUMNS($F$7:AC$7))))</f>
        <v/>
      </c>
      <c r="AD630" s="2223" t="str" cm="1">
        <f t="array" ref="AD630">IF($D630&lt;COLUMNS($F$7:AD$7),"",INDEX(TableDiv[[GASB]:[GASB]],_xlfn.AGGREGATE(15,3,(TableDiv[[Agency]:[Agency]]=$E630)/(TableDiv[[Agency]:[Agency]]=$E630)*(ROW(TableDiv[Agency])-ROW(TableDiv[[#Headers],[Agency]])),COLUMNS($F$7:AD$7))))</f>
        <v/>
      </c>
      <c r="AE630" s="2223" t="str" cm="1">
        <f t="array" ref="AE630">IF($D630&lt;COLUMNS($F$7:AE$7),"",INDEX(TableDiv[[GASB]:[GASB]],_xlfn.AGGREGATE(15,3,(TableDiv[[Agency]:[Agency]]=$E630)/(TableDiv[[Agency]:[Agency]]=$E630)*(ROW(TableDiv[Agency])-ROW(TableDiv[[#Headers],[Agency]])),COLUMNS($F$7:AE$7))))</f>
        <v/>
      </c>
      <c r="AF630" s="2223" t="str" cm="1">
        <f t="array" ref="AF630">IF($D630&lt;COLUMNS($F$7:AF$7),"",INDEX(TableDiv[[GASB]:[GASB]],_xlfn.AGGREGATE(15,3,(TableDiv[[Agency]:[Agency]]=$E630)/(TableDiv[[Agency]:[Agency]]=$E630)*(ROW(TableDiv[Agency])-ROW(TableDiv[[#Headers],[Agency]])),COLUMNS($F$7:AF$7))))</f>
        <v/>
      </c>
      <c r="AG630" s="2223" t="str" cm="1">
        <f t="array" ref="AG630">IF($D630&lt;COLUMNS($F$7:AG$7),"",INDEX(TableDiv[[GASB]:[GASB]],_xlfn.AGGREGATE(15,3,(TableDiv[[Agency]:[Agency]]=$E630)/(TableDiv[[Agency]:[Agency]]=$E630)*(ROW(TableDiv[Agency])-ROW(TableDiv[[#Headers],[Agency]])),COLUMNS($F$7:AG$7))))</f>
        <v/>
      </c>
      <c r="AH630" s="2223" t="str" cm="1">
        <f t="array" ref="AH630">IF($D630&lt;COLUMNS($F$7:AH$7),"",INDEX(TableDiv[[GASB]:[GASB]],_xlfn.AGGREGATE(15,3,(TableDiv[[Agency]:[Agency]]=$E630)/(TableDiv[[Agency]:[Agency]]=$E630)*(ROW(TableDiv[Agency])-ROW(TableDiv[[#Headers],[Agency]])),COLUMNS($F$7:AH$7))))</f>
        <v/>
      </c>
      <c r="AI630" s="2223" t="str" cm="1">
        <f t="array" ref="AI630">IF($D630&lt;COLUMNS($F$7:AI$7),"",INDEX(TableDiv[[GASB]:[GASB]],_xlfn.AGGREGATE(15,3,(TableDiv[[Agency]:[Agency]]=$E630)/(TableDiv[[Agency]:[Agency]]=$E630)*(ROW(TableDiv[Agency])-ROW(TableDiv[[#Headers],[Agency]])),COLUMNS($F$7:AI$7))))</f>
        <v/>
      </c>
      <c r="AJ630" s="2223" t="str" cm="1">
        <f t="array" ref="AJ630">IF($D630&lt;COLUMNS($F$7:AJ$7),"",INDEX(TableDiv[[GASB]:[GASB]],_xlfn.AGGREGATE(15,3,(TableDiv[[Agency]:[Agency]]=$E630)/(TableDiv[[Agency]:[Agency]]=$E630)*(ROW(TableDiv[Agency])-ROW(TableDiv[[#Headers],[Agency]])),COLUMNS($F$7:AJ$7))))</f>
        <v/>
      </c>
      <c r="AK630" s="2223" t="str" cm="1">
        <f t="array" ref="AK630">IF($D630&lt;COLUMNS($F$7:AK$7),"",INDEX(TableDiv[[GASB]:[GASB]],_xlfn.AGGREGATE(15,3,(TableDiv[[Agency]:[Agency]]=$E630)/(TableDiv[[Agency]:[Agency]]=$E630)*(ROW(TableDiv[Agency])-ROW(TableDiv[[#Headers],[Agency]])),COLUMNS($F$7:AK$7))))</f>
        <v/>
      </c>
      <c r="AL630" s="2223" t="str" cm="1">
        <f t="array" ref="AL630">IF($D630&lt;COLUMNS($F$7:AL$7),"",INDEX(TableDiv[[GASB]:[GASB]],_xlfn.AGGREGATE(15,3,(TableDiv[[Agency]:[Agency]]=$E630)/(TableDiv[[Agency]:[Agency]]=$E630)*(ROW(TableDiv[Agency])-ROW(TableDiv[[#Headers],[Agency]])),COLUMNS($F$7:AL$7))))</f>
        <v/>
      </c>
      <c r="AM630" s="2223" t="str" cm="1">
        <f t="array" ref="AM630">IF($D630&lt;COLUMNS($F$7:AM$7),"",INDEX(TableDiv[[GASB]:[GASB]],_xlfn.AGGREGATE(15,3,(TableDiv[[Agency]:[Agency]]=$E630)/(TableDiv[[Agency]:[Agency]]=$E630)*(ROW(TableDiv[Agency])-ROW(TableDiv[[#Headers],[Agency]])),COLUMNS($F$7:AM$7))))</f>
        <v/>
      </c>
      <c r="AN630" s="2223"/>
      <c r="AO630" s="2223"/>
      <c r="AP630" s="2223"/>
      <c r="AQ630" s="2223"/>
      <c r="AR630" s="2223"/>
      <c r="AS630" s="2223"/>
    </row>
    <row r="631" spans="1:45" x14ac:dyDescent="0.2">
      <c r="A631" s="2223"/>
      <c r="B631" s="2223"/>
      <c r="C631" s="2223"/>
      <c r="W631" s="2223" t="str" cm="1">
        <f t="array" ref="W631">IF($D631&lt;COLUMNS($F$7:W$7),"",INDEX(TableDiv[[GASB]:[GASB]],_xlfn.AGGREGATE(15,3,(TableDiv[[Agency]:[Agency]]=$E631)/(TableDiv[[Agency]:[Agency]]=$E631)*(ROW(TableDiv[Agency])-ROW(TableDiv[[#Headers],[Agency]])),COLUMNS($F$7:W$7))))</f>
        <v/>
      </c>
      <c r="X631" s="2223" t="str" cm="1">
        <f t="array" ref="X631">IF($D631&lt;COLUMNS($F$7:X$7),"",INDEX(TableDiv[[GASB]:[GASB]],_xlfn.AGGREGATE(15,3,(TableDiv[[Agency]:[Agency]]=$E631)/(TableDiv[[Agency]:[Agency]]=$E631)*(ROW(TableDiv[Agency])-ROW(TableDiv[[#Headers],[Agency]])),COLUMNS($F$7:X$7))))</f>
        <v/>
      </c>
      <c r="Y631" s="2223" t="str" cm="1">
        <f t="array" ref="Y631">IF($D631&lt;COLUMNS($F$7:Y$7),"",INDEX(TableDiv[[GASB]:[GASB]],_xlfn.AGGREGATE(15,3,(TableDiv[[Agency]:[Agency]]=$E631)/(TableDiv[[Agency]:[Agency]]=$E631)*(ROW(TableDiv[Agency])-ROW(TableDiv[[#Headers],[Agency]])),COLUMNS($F$7:Y$7))))</f>
        <v/>
      </c>
      <c r="Z631" s="2223" t="str" cm="1">
        <f t="array" ref="Z631">IF($D631&lt;COLUMNS($F$7:Z$7),"",INDEX(TableDiv[[GASB]:[GASB]],_xlfn.AGGREGATE(15,3,(TableDiv[[Agency]:[Agency]]=$E631)/(TableDiv[[Agency]:[Agency]]=$E631)*(ROW(TableDiv[Agency])-ROW(TableDiv[[#Headers],[Agency]])),COLUMNS($F$7:Z$7))))</f>
        <v/>
      </c>
      <c r="AA631" s="2223" t="str" cm="1">
        <f t="array" ref="AA631">IF($D631&lt;COLUMNS($F$7:AA$7),"",INDEX(TableDiv[[GASB]:[GASB]],_xlfn.AGGREGATE(15,3,(TableDiv[[Agency]:[Agency]]=$E631)/(TableDiv[[Agency]:[Agency]]=$E631)*(ROW(TableDiv[Agency])-ROW(TableDiv[[#Headers],[Agency]])),COLUMNS($F$7:AA$7))))</f>
        <v/>
      </c>
      <c r="AB631" s="2223" t="str" cm="1">
        <f t="array" ref="AB631">IF($D631&lt;COLUMNS($F$7:AB$7),"",INDEX(TableDiv[[GASB]:[GASB]],_xlfn.AGGREGATE(15,3,(TableDiv[[Agency]:[Agency]]=$E631)/(TableDiv[[Agency]:[Agency]]=$E631)*(ROW(TableDiv[Agency])-ROW(TableDiv[[#Headers],[Agency]])),COLUMNS($F$7:AB$7))))</f>
        <v/>
      </c>
      <c r="AC631" s="2223" t="str" cm="1">
        <f t="array" ref="AC631">IF($D631&lt;COLUMNS($F$7:AC$7),"",INDEX(TableDiv[[GASB]:[GASB]],_xlfn.AGGREGATE(15,3,(TableDiv[[Agency]:[Agency]]=$E631)/(TableDiv[[Agency]:[Agency]]=$E631)*(ROW(TableDiv[Agency])-ROW(TableDiv[[#Headers],[Agency]])),COLUMNS($F$7:AC$7))))</f>
        <v/>
      </c>
      <c r="AD631" s="2223" t="str" cm="1">
        <f t="array" ref="AD631">IF($D631&lt;COLUMNS($F$7:AD$7),"",INDEX(TableDiv[[GASB]:[GASB]],_xlfn.AGGREGATE(15,3,(TableDiv[[Agency]:[Agency]]=$E631)/(TableDiv[[Agency]:[Agency]]=$E631)*(ROW(TableDiv[Agency])-ROW(TableDiv[[#Headers],[Agency]])),COLUMNS($F$7:AD$7))))</f>
        <v/>
      </c>
      <c r="AE631" s="2223" t="str" cm="1">
        <f t="array" ref="AE631">IF($D631&lt;COLUMNS($F$7:AE$7),"",INDEX(TableDiv[[GASB]:[GASB]],_xlfn.AGGREGATE(15,3,(TableDiv[[Agency]:[Agency]]=$E631)/(TableDiv[[Agency]:[Agency]]=$E631)*(ROW(TableDiv[Agency])-ROW(TableDiv[[#Headers],[Agency]])),COLUMNS($F$7:AE$7))))</f>
        <v/>
      </c>
      <c r="AF631" s="2223" t="str" cm="1">
        <f t="array" ref="AF631">IF($D631&lt;COLUMNS($F$7:AF$7),"",INDEX(TableDiv[[GASB]:[GASB]],_xlfn.AGGREGATE(15,3,(TableDiv[[Agency]:[Agency]]=$E631)/(TableDiv[[Agency]:[Agency]]=$E631)*(ROW(TableDiv[Agency])-ROW(TableDiv[[#Headers],[Agency]])),COLUMNS($F$7:AF$7))))</f>
        <v/>
      </c>
      <c r="AG631" s="2223" t="str" cm="1">
        <f t="array" ref="AG631">IF($D631&lt;COLUMNS($F$7:AG$7),"",INDEX(TableDiv[[GASB]:[GASB]],_xlfn.AGGREGATE(15,3,(TableDiv[[Agency]:[Agency]]=$E631)/(TableDiv[[Agency]:[Agency]]=$E631)*(ROW(TableDiv[Agency])-ROW(TableDiv[[#Headers],[Agency]])),COLUMNS($F$7:AG$7))))</f>
        <v/>
      </c>
      <c r="AH631" s="2223" t="str" cm="1">
        <f t="array" ref="AH631">IF($D631&lt;COLUMNS($F$7:AH$7),"",INDEX(TableDiv[[GASB]:[GASB]],_xlfn.AGGREGATE(15,3,(TableDiv[[Agency]:[Agency]]=$E631)/(TableDiv[[Agency]:[Agency]]=$E631)*(ROW(TableDiv[Agency])-ROW(TableDiv[[#Headers],[Agency]])),COLUMNS($F$7:AH$7))))</f>
        <v/>
      </c>
      <c r="AI631" s="2223" t="str" cm="1">
        <f t="array" ref="AI631">IF($D631&lt;COLUMNS($F$7:AI$7),"",INDEX(TableDiv[[GASB]:[GASB]],_xlfn.AGGREGATE(15,3,(TableDiv[[Agency]:[Agency]]=$E631)/(TableDiv[[Agency]:[Agency]]=$E631)*(ROW(TableDiv[Agency])-ROW(TableDiv[[#Headers],[Agency]])),COLUMNS($F$7:AI$7))))</f>
        <v/>
      </c>
      <c r="AJ631" s="2223" t="str" cm="1">
        <f t="array" ref="AJ631">IF($D631&lt;COLUMNS($F$7:AJ$7),"",INDEX(TableDiv[[GASB]:[GASB]],_xlfn.AGGREGATE(15,3,(TableDiv[[Agency]:[Agency]]=$E631)/(TableDiv[[Agency]:[Agency]]=$E631)*(ROW(TableDiv[Agency])-ROW(TableDiv[[#Headers],[Agency]])),COLUMNS($F$7:AJ$7))))</f>
        <v/>
      </c>
      <c r="AK631" s="2223" t="str" cm="1">
        <f t="array" ref="AK631">IF($D631&lt;COLUMNS($F$7:AK$7),"",INDEX(TableDiv[[GASB]:[GASB]],_xlfn.AGGREGATE(15,3,(TableDiv[[Agency]:[Agency]]=$E631)/(TableDiv[[Agency]:[Agency]]=$E631)*(ROW(TableDiv[Agency])-ROW(TableDiv[[#Headers],[Agency]])),COLUMNS($F$7:AK$7))))</f>
        <v/>
      </c>
      <c r="AL631" s="2223" t="str" cm="1">
        <f t="array" ref="AL631">IF($D631&lt;COLUMNS($F$7:AL$7),"",INDEX(TableDiv[[GASB]:[GASB]],_xlfn.AGGREGATE(15,3,(TableDiv[[Agency]:[Agency]]=$E631)/(TableDiv[[Agency]:[Agency]]=$E631)*(ROW(TableDiv[Agency])-ROW(TableDiv[[#Headers],[Agency]])),COLUMNS($F$7:AL$7))))</f>
        <v/>
      </c>
      <c r="AM631" s="2223" t="str" cm="1">
        <f t="array" ref="AM631">IF($D631&lt;COLUMNS($F$7:AM$7),"",INDEX(TableDiv[[GASB]:[GASB]],_xlfn.AGGREGATE(15,3,(TableDiv[[Agency]:[Agency]]=$E631)/(TableDiv[[Agency]:[Agency]]=$E631)*(ROW(TableDiv[Agency])-ROW(TableDiv[[#Headers],[Agency]])),COLUMNS($F$7:AM$7))))</f>
        <v/>
      </c>
      <c r="AN631" s="2223"/>
      <c r="AO631" s="2223"/>
      <c r="AP631" s="2223"/>
      <c r="AQ631" s="2223"/>
      <c r="AR631" s="2223"/>
      <c r="AS631" s="2223"/>
    </row>
    <row r="632" spans="1:45" x14ac:dyDescent="0.2">
      <c r="A632" s="2223"/>
      <c r="B632" s="2223"/>
      <c r="C632" s="2223"/>
      <c r="W632" s="2223" t="str" cm="1">
        <f t="array" ref="W632">IF($D632&lt;COLUMNS($F$7:W$7),"",INDEX(TableDiv[[GASB]:[GASB]],_xlfn.AGGREGATE(15,3,(TableDiv[[Agency]:[Agency]]=$E632)/(TableDiv[[Agency]:[Agency]]=$E632)*(ROW(TableDiv[Agency])-ROW(TableDiv[[#Headers],[Agency]])),COLUMNS($F$7:W$7))))</f>
        <v/>
      </c>
      <c r="X632" s="2223" t="str" cm="1">
        <f t="array" ref="X632">IF($D632&lt;COLUMNS($F$7:X$7),"",INDEX(TableDiv[[GASB]:[GASB]],_xlfn.AGGREGATE(15,3,(TableDiv[[Agency]:[Agency]]=$E632)/(TableDiv[[Agency]:[Agency]]=$E632)*(ROW(TableDiv[Agency])-ROW(TableDiv[[#Headers],[Agency]])),COLUMNS($F$7:X$7))))</f>
        <v/>
      </c>
      <c r="Y632" s="2223" t="str" cm="1">
        <f t="array" ref="Y632">IF($D632&lt;COLUMNS($F$7:Y$7),"",INDEX(TableDiv[[GASB]:[GASB]],_xlfn.AGGREGATE(15,3,(TableDiv[[Agency]:[Agency]]=$E632)/(TableDiv[[Agency]:[Agency]]=$E632)*(ROW(TableDiv[Agency])-ROW(TableDiv[[#Headers],[Agency]])),COLUMNS($F$7:Y$7))))</f>
        <v/>
      </c>
      <c r="Z632" s="2223" t="str" cm="1">
        <f t="array" ref="Z632">IF($D632&lt;COLUMNS($F$7:Z$7),"",INDEX(TableDiv[[GASB]:[GASB]],_xlfn.AGGREGATE(15,3,(TableDiv[[Agency]:[Agency]]=$E632)/(TableDiv[[Agency]:[Agency]]=$E632)*(ROW(TableDiv[Agency])-ROW(TableDiv[[#Headers],[Agency]])),COLUMNS($F$7:Z$7))))</f>
        <v/>
      </c>
      <c r="AA632" s="2223" t="str" cm="1">
        <f t="array" ref="AA632">IF($D632&lt;COLUMNS($F$7:AA$7),"",INDEX(TableDiv[[GASB]:[GASB]],_xlfn.AGGREGATE(15,3,(TableDiv[[Agency]:[Agency]]=$E632)/(TableDiv[[Agency]:[Agency]]=$E632)*(ROW(TableDiv[Agency])-ROW(TableDiv[[#Headers],[Agency]])),COLUMNS($F$7:AA$7))))</f>
        <v/>
      </c>
      <c r="AB632" s="2223" t="str" cm="1">
        <f t="array" ref="AB632">IF($D632&lt;COLUMNS($F$7:AB$7),"",INDEX(TableDiv[[GASB]:[GASB]],_xlfn.AGGREGATE(15,3,(TableDiv[[Agency]:[Agency]]=$E632)/(TableDiv[[Agency]:[Agency]]=$E632)*(ROW(TableDiv[Agency])-ROW(TableDiv[[#Headers],[Agency]])),COLUMNS($F$7:AB$7))))</f>
        <v/>
      </c>
      <c r="AC632" s="2223" t="str" cm="1">
        <f t="array" ref="AC632">IF($D632&lt;COLUMNS($F$7:AC$7),"",INDEX(TableDiv[[GASB]:[GASB]],_xlfn.AGGREGATE(15,3,(TableDiv[[Agency]:[Agency]]=$E632)/(TableDiv[[Agency]:[Agency]]=$E632)*(ROW(TableDiv[Agency])-ROW(TableDiv[[#Headers],[Agency]])),COLUMNS($F$7:AC$7))))</f>
        <v/>
      </c>
      <c r="AD632" s="2223" t="str" cm="1">
        <f t="array" ref="AD632">IF($D632&lt;COLUMNS($F$7:AD$7),"",INDEX(TableDiv[[GASB]:[GASB]],_xlfn.AGGREGATE(15,3,(TableDiv[[Agency]:[Agency]]=$E632)/(TableDiv[[Agency]:[Agency]]=$E632)*(ROW(TableDiv[Agency])-ROW(TableDiv[[#Headers],[Agency]])),COLUMNS($F$7:AD$7))))</f>
        <v/>
      </c>
      <c r="AE632" s="2223" t="str" cm="1">
        <f t="array" ref="AE632">IF($D632&lt;COLUMNS($F$7:AE$7),"",INDEX(TableDiv[[GASB]:[GASB]],_xlfn.AGGREGATE(15,3,(TableDiv[[Agency]:[Agency]]=$E632)/(TableDiv[[Agency]:[Agency]]=$E632)*(ROW(TableDiv[Agency])-ROW(TableDiv[[#Headers],[Agency]])),COLUMNS($F$7:AE$7))))</f>
        <v/>
      </c>
      <c r="AF632" s="2223" t="str" cm="1">
        <f t="array" ref="AF632">IF($D632&lt;COLUMNS($F$7:AF$7),"",INDEX(TableDiv[[GASB]:[GASB]],_xlfn.AGGREGATE(15,3,(TableDiv[[Agency]:[Agency]]=$E632)/(TableDiv[[Agency]:[Agency]]=$E632)*(ROW(TableDiv[Agency])-ROW(TableDiv[[#Headers],[Agency]])),COLUMNS($F$7:AF$7))))</f>
        <v/>
      </c>
      <c r="AG632" s="2223" t="str" cm="1">
        <f t="array" ref="AG632">IF($D632&lt;COLUMNS($F$7:AG$7),"",INDEX(TableDiv[[GASB]:[GASB]],_xlfn.AGGREGATE(15,3,(TableDiv[[Agency]:[Agency]]=$E632)/(TableDiv[[Agency]:[Agency]]=$E632)*(ROW(TableDiv[Agency])-ROW(TableDiv[[#Headers],[Agency]])),COLUMNS($F$7:AG$7))))</f>
        <v/>
      </c>
      <c r="AH632" s="2223" t="str" cm="1">
        <f t="array" ref="AH632">IF($D632&lt;COLUMNS($F$7:AH$7),"",INDEX(TableDiv[[GASB]:[GASB]],_xlfn.AGGREGATE(15,3,(TableDiv[[Agency]:[Agency]]=$E632)/(TableDiv[[Agency]:[Agency]]=$E632)*(ROW(TableDiv[Agency])-ROW(TableDiv[[#Headers],[Agency]])),COLUMNS($F$7:AH$7))))</f>
        <v/>
      </c>
      <c r="AI632" s="2223" t="str" cm="1">
        <f t="array" ref="AI632">IF($D632&lt;COLUMNS($F$7:AI$7),"",INDEX(TableDiv[[GASB]:[GASB]],_xlfn.AGGREGATE(15,3,(TableDiv[[Agency]:[Agency]]=$E632)/(TableDiv[[Agency]:[Agency]]=$E632)*(ROW(TableDiv[Agency])-ROW(TableDiv[[#Headers],[Agency]])),COLUMNS($F$7:AI$7))))</f>
        <v/>
      </c>
      <c r="AJ632" s="2223" t="str" cm="1">
        <f t="array" ref="AJ632">IF($D632&lt;COLUMNS($F$7:AJ$7),"",INDEX(TableDiv[[GASB]:[GASB]],_xlfn.AGGREGATE(15,3,(TableDiv[[Agency]:[Agency]]=$E632)/(TableDiv[[Agency]:[Agency]]=$E632)*(ROW(TableDiv[Agency])-ROW(TableDiv[[#Headers],[Agency]])),COLUMNS($F$7:AJ$7))))</f>
        <v/>
      </c>
      <c r="AK632" s="2223" t="str" cm="1">
        <f t="array" ref="AK632">IF($D632&lt;COLUMNS($F$7:AK$7),"",INDEX(TableDiv[[GASB]:[GASB]],_xlfn.AGGREGATE(15,3,(TableDiv[[Agency]:[Agency]]=$E632)/(TableDiv[[Agency]:[Agency]]=$E632)*(ROW(TableDiv[Agency])-ROW(TableDiv[[#Headers],[Agency]])),COLUMNS($F$7:AK$7))))</f>
        <v/>
      </c>
      <c r="AL632" s="2223" t="str" cm="1">
        <f t="array" ref="AL632">IF($D632&lt;COLUMNS($F$7:AL$7),"",INDEX(TableDiv[[GASB]:[GASB]],_xlfn.AGGREGATE(15,3,(TableDiv[[Agency]:[Agency]]=$E632)/(TableDiv[[Agency]:[Agency]]=$E632)*(ROW(TableDiv[Agency])-ROW(TableDiv[[#Headers],[Agency]])),COLUMNS($F$7:AL$7))))</f>
        <v/>
      </c>
      <c r="AM632" s="2223" t="str" cm="1">
        <f t="array" ref="AM632">IF($D632&lt;COLUMNS($F$7:AM$7),"",INDEX(TableDiv[[GASB]:[GASB]],_xlfn.AGGREGATE(15,3,(TableDiv[[Agency]:[Agency]]=$E632)/(TableDiv[[Agency]:[Agency]]=$E632)*(ROW(TableDiv[Agency])-ROW(TableDiv[[#Headers],[Agency]])),COLUMNS($F$7:AM$7))))</f>
        <v/>
      </c>
      <c r="AN632" s="2223"/>
      <c r="AO632" s="2223"/>
      <c r="AP632" s="2223"/>
      <c r="AQ632" s="2223"/>
      <c r="AR632" s="2223"/>
      <c r="AS632" s="2223"/>
    </row>
    <row r="633" spans="1:45" x14ac:dyDescent="0.2">
      <c r="A633" s="2223"/>
      <c r="B633" s="2223"/>
      <c r="C633" s="2223"/>
      <c r="W633" s="2223" t="str" cm="1">
        <f t="array" ref="W633">IF($D633&lt;COLUMNS($F$7:W$7),"",INDEX(TableDiv[[GASB]:[GASB]],_xlfn.AGGREGATE(15,3,(TableDiv[[Agency]:[Agency]]=$E633)/(TableDiv[[Agency]:[Agency]]=$E633)*(ROW(TableDiv[Agency])-ROW(TableDiv[[#Headers],[Agency]])),COLUMNS($F$7:W$7))))</f>
        <v/>
      </c>
      <c r="X633" s="2223" t="str" cm="1">
        <f t="array" ref="X633">IF($D633&lt;COLUMNS($F$7:X$7),"",INDEX(TableDiv[[GASB]:[GASB]],_xlfn.AGGREGATE(15,3,(TableDiv[[Agency]:[Agency]]=$E633)/(TableDiv[[Agency]:[Agency]]=$E633)*(ROW(TableDiv[Agency])-ROW(TableDiv[[#Headers],[Agency]])),COLUMNS($F$7:X$7))))</f>
        <v/>
      </c>
      <c r="Y633" s="2223" t="str" cm="1">
        <f t="array" ref="Y633">IF($D633&lt;COLUMNS($F$7:Y$7),"",INDEX(TableDiv[[GASB]:[GASB]],_xlfn.AGGREGATE(15,3,(TableDiv[[Agency]:[Agency]]=$E633)/(TableDiv[[Agency]:[Agency]]=$E633)*(ROW(TableDiv[Agency])-ROW(TableDiv[[#Headers],[Agency]])),COLUMNS($F$7:Y$7))))</f>
        <v/>
      </c>
      <c r="Z633" s="2223" t="str" cm="1">
        <f t="array" ref="Z633">IF($D633&lt;COLUMNS($F$7:Z$7),"",INDEX(TableDiv[[GASB]:[GASB]],_xlfn.AGGREGATE(15,3,(TableDiv[[Agency]:[Agency]]=$E633)/(TableDiv[[Agency]:[Agency]]=$E633)*(ROW(TableDiv[Agency])-ROW(TableDiv[[#Headers],[Agency]])),COLUMNS($F$7:Z$7))))</f>
        <v/>
      </c>
      <c r="AA633" s="2223" t="str" cm="1">
        <f t="array" ref="AA633">IF($D633&lt;COLUMNS($F$7:AA$7),"",INDEX(TableDiv[[GASB]:[GASB]],_xlfn.AGGREGATE(15,3,(TableDiv[[Agency]:[Agency]]=$E633)/(TableDiv[[Agency]:[Agency]]=$E633)*(ROW(TableDiv[Agency])-ROW(TableDiv[[#Headers],[Agency]])),COLUMNS($F$7:AA$7))))</f>
        <v/>
      </c>
      <c r="AB633" s="2223" t="str" cm="1">
        <f t="array" ref="AB633">IF($D633&lt;COLUMNS($F$7:AB$7),"",INDEX(TableDiv[[GASB]:[GASB]],_xlfn.AGGREGATE(15,3,(TableDiv[[Agency]:[Agency]]=$E633)/(TableDiv[[Agency]:[Agency]]=$E633)*(ROW(TableDiv[Agency])-ROW(TableDiv[[#Headers],[Agency]])),COLUMNS($F$7:AB$7))))</f>
        <v/>
      </c>
      <c r="AC633" s="2223" t="str" cm="1">
        <f t="array" ref="AC633">IF($D633&lt;COLUMNS($F$7:AC$7),"",INDEX(TableDiv[[GASB]:[GASB]],_xlfn.AGGREGATE(15,3,(TableDiv[[Agency]:[Agency]]=$E633)/(TableDiv[[Agency]:[Agency]]=$E633)*(ROW(TableDiv[Agency])-ROW(TableDiv[[#Headers],[Agency]])),COLUMNS($F$7:AC$7))))</f>
        <v/>
      </c>
      <c r="AD633" s="2223" t="str" cm="1">
        <f t="array" ref="AD633">IF($D633&lt;COLUMNS($F$7:AD$7),"",INDEX(TableDiv[[GASB]:[GASB]],_xlfn.AGGREGATE(15,3,(TableDiv[[Agency]:[Agency]]=$E633)/(TableDiv[[Agency]:[Agency]]=$E633)*(ROW(TableDiv[Agency])-ROW(TableDiv[[#Headers],[Agency]])),COLUMNS($F$7:AD$7))))</f>
        <v/>
      </c>
      <c r="AE633" s="2223" t="str" cm="1">
        <f t="array" ref="AE633">IF($D633&lt;COLUMNS($F$7:AE$7),"",INDEX(TableDiv[[GASB]:[GASB]],_xlfn.AGGREGATE(15,3,(TableDiv[[Agency]:[Agency]]=$E633)/(TableDiv[[Agency]:[Agency]]=$E633)*(ROW(TableDiv[Agency])-ROW(TableDiv[[#Headers],[Agency]])),COLUMNS($F$7:AE$7))))</f>
        <v/>
      </c>
      <c r="AF633" s="2223" t="str" cm="1">
        <f t="array" ref="AF633">IF($D633&lt;COLUMNS($F$7:AF$7),"",INDEX(TableDiv[[GASB]:[GASB]],_xlfn.AGGREGATE(15,3,(TableDiv[[Agency]:[Agency]]=$E633)/(TableDiv[[Agency]:[Agency]]=$E633)*(ROW(TableDiv[Agency])-ROW(TableDiv[[#Headers],[Agency]])),COLUMNS($F$7:AF$7))))</f>
        <v/>
      </c>
      <c r="AG633" s="2223" t="str" cm="1">
        <f t="array" ref="AG633">IF($D633&lt;COLUMNS($F$7:AG$7),"",INDEX(TableDiv[[GASB]:[GASB]],_xlfn.AGGREGATE(15,3,(TableDiv[[Agency]:[Agency]]=$E633)/(TableDiv[[Agency]:[Agency]]=$E633)*(ROW(TableDiv[Agency])-ROW(TableDiv[[#Headers],[Agency]])),COLUMNS($F$7:AG$7))))</f>
        <v/>
      </c>
      <c r="AH633" s="2223" t="str" cm="1">
        <f t="array" ref="AH633">IF($D633&lt;COLUMNS($F$7:AH$7),"",INDEX(TableDiv[[GASB]:[GASB]],_xlfn.AGGREGATE(15,3,(TableDiv[[Agency]:[Agency]]=$E633)/(TableDiv[[Agency]:[Agency]]=$E633)*(ROW(TableDiv[Agency])-ROW(TableDiv[[#Headers],[Agency]])),COLUMNS($F$7:AH$7))))</f>
        <v/>
      </c>
      <c r="AI633" s="2223" t="str" cm="1">
        <f t="array" ref="AI633">IF($D633&lt;COLUMNS($F$7:AI$7),"",INDEX(TableDiv[[GASB]:[GASB]],_xlfn.AGGREGATE(15,3,(TableDiv[[Agency]:[Agency]]=$E633)/(TableDiv[[Agency]:[Agency]]=$E633)*(ROW(TableDiv[Agency])-ROW(TableDiv[[#Headers],[Agency]])),COLUMNS($F$7:AI$7))))</f>
        <v/>
      </c>
      <c r="AJ633" s="2223" t="str" cm="1">
        <f t="array" ref="AJ633">IF($D633&lt;COLUMNS($F$7:AJ$7),"",INDEX(TableDiv[[GASB]:[GASB]],_xlfn.AGGREGATE(15,3,(TableDiv[[Agency]:[Agency]]=$E633)/(TableDiv[[Agency]:[Agency]]=$E633)*(ROW(TableDiv[Agency])-ROW(TableDiv[[#Headers],[Agency]])),COLUMNS($F$7:AJ$7))))</f>
        <v/>
      </c>
      <c r="AK633" s="2223" t="str" cm="1">
        <f t="array" ref="AK633">IF($D633&lt;COLUMNS($F$7:AK$7),"",INDEX(TableDiv[[GASB]:[GASB]],_xlfn.AGGREGATE(15,3,(TableDiv[[Agency]:[Agency]]=$E633)/(TableDiv[[Agency]:[Agency]]=$E633)*(ROW(TableDiv[Agency])-ROW(TableDiv[[#Headers],[Agency]])),COLUMNS($F$7:AK$7))))</f>
        <v/>
      </c>
      <c r="AL633" s="2223" t="str" cm="1">
        <f t="array" ref="AL633">IF($D633&lt;COLUMNS($F$7:AL$7),"",INDEX(TableDiv[[GASB]:[GASB]],_xlfn.AGGREGATE(15,3,(TableDiv[[Agency]:[Agency]]=$E633)/(TableDiv[[Agency]:[Agency]]=$E633)*(ROW(TableDiv[Agency])-ROW(TableDiv[[#Headers],[Agency]])),COLUMNS($F$7:AL$7))))</f>
        <v/>
      </c>
      <c r="AM633" s="2223" t="str" cm="1">
        <f t="array" ref="AM633">IF($D633&lt;COLUMNS($F$7:AM$7),"",INDEX(TableDiv[[GASB]:[GASB]],_xlfn.AGGREGATE(15,3,(TableDiv[[Agency]:[Agency]]=$E633)/(TableDiv[[Agency]:[Agency]]=$E633)*(ROW(TableDiv[Agency])-ROW(TableDiv[[#Headers],[Agency]])),COLUMNS($F$7:AM$7))))</f>
        <v/>
      </c>
      <c r="AN633" s="2223"/>
      <c r="AO633" s="2223"/>
      <c r="AP633" s="2223"/>
      <c r="AQ633" s="2223"/>
      <c r="AR633" s="2223"/>
      <c r="AS633" s="2223"/>
    </row>
    <row r="634" spans="1:45" x14ac:dyDescent="0.2">
      <c r="A634" s="2223"/>
      <c r="B634" s="2223"/>
      <c r="C634" s="2223"/>
      <c r="W634" s="2223" t="str" cm="1">
        <f t="array" ref="W634">IF($D634&lt;COLUMNS($F$7:W$7),"",INDEX(TableDiv[[GASB]:[GASB]],_xlfn.AGGREGATE(15,3,(TableDiv[[Agency]:[Agency]]=$E634)/(TableDiv[[Agency]:[Agency]]=$E634)*(ROW(TableDiv[Agency])-ROW(TableDiv[[#Headers],[Agency]])),COLUMNS($F$7:W$7))))</f>
        <v/>
      </c>
      <c r="X634" s="2223" t="str" cm="1">
        <f t="array" ref="X634">IF($D634&lt;COLUMNS($F$7:X$7),"",INDEX(TableDiv[[GASB]:[GASB]],_xlfn.AGGREGATE(15,3,(TableDiv[[Agency]:[Agency]]=$E634)/(TableDiv[[Agency]:[Agency]]=$E634)*(ROW(TableDiv[Agency])-ROW(TableDiv[[#Headers],[Agency]])),COLUMNS($F$7:X$7))))</f>
        <v/>
      </c>
      <c r="Y634" s="2223" t="str" cm="1">
        <f t="array" ref="Y634">IF($D634&lt;COLUMNS($F$7:Y$7),"",INDEX(TableDiv[[GASB]:[GASB]],_xlfn.AGGREGATE(15,3,(TableDiv[[Agency]:[Agency]]=$E634)/(TableDiv[[Agency]:[Agency]]=$E634)*(ROW(TableDiv[Agency])-ROW(TableDiv[[#Headers],[Agency]])),COLUMNS($F$7:Y$7))))</f>
        <v/>
      </c>
      <c r="Z634" s="2223" t="str" cm="1">
        <f t="array" ref="Z634">IF($D634&lt;COLUMNS($F$7:Z$7),"",INDEX(TableDiv[[GASB]:[GASB]],_xlfn.AGGREGATE(15,3,(TableDiv[[Agency]:[Agency]]=$E634)/(TableDiv[[Agency]:[Agency]]=$E634)*(ROW(TableDiv[Agency])-ROW(TableDiv[[#Headers],[Agency]])),COLUMNS($F$7:Z$7))))</f>
        <v/>
      </c>
      <c r="AA634" s="2223" t="str" cm="1">
        <f t="array" ref="AA634">IF($D634&lt;COLUMNS($F$7:AA$7),"",INDEX(TableDiv[[GASB]:[GASB]],_xlfn.AGGREGATE(15,3,(TableDiv[[Agency]:[Agency]]=$E634)/(TableDiv[[Agency]:[Agency]]=$E634)*(ROW(TableDiv[Agency])-ROW(TableDiv[[#Headers],[Agency]])),COLUMNS($F$7:AA$7))))</f>
        <v/>
      </c>
      <c r="AB634" s="2223" t="str" cm="1">
        <f t="array" ref="AB634">IF($D634&lt;COLUMNS($F$7:AB$7),"",INDEX(TableDiv[[GASB]:[GASB]],_xlfn.AGGREGATE(15,3,(TableDiv[[Agency]:[Agency]]=$E634)/(TableDiv[[Agency]:[Agency]]=$E634)*(ROW(TableDiv[Agency])-ROW(TableDiv[[#Headers],[Agency]])),COLUMNS($F$7:AB$7))))</f>
        <v/>
      </c>
      <c r="AC634" s="2223" t="str" cm="1">
        <f t="array" ref="AC634">IF($D634&lt;COLUMNS($F$7:AC$7),"",INDEX(TableDiv[[GASB]:[GASB]],_xlfn.AGGREGATE(15,3,(TableDiv[[Agency]:[Agency]]=$E634)/(TableDiv[[Agency]:[Agency]]=$E634)*(ROW(TableDiv[Agency])-ROW(TableDiv[[#Headers],[Agency]])),COLUMNS($F$7:AC$7))))</f>
        <v/>
      </c>
      <c r="AD634" s="2223" t="str" cm="1">
        <f t="array" ref="AD634">IF($D634&lt;COLUMNS($F$7:AD$7),"",INDEX(TableDiv[[GASB]:[GASB]],_xlfn.AGGREGATE(15,3,(TableDiv[[Agency]:[Agency]]=$E634)/(TableDiv[[Agency]:[Agency]]=$E634)*(ROW(TableDiv[Agency])-ROW(TableDiv[[#Headers],[Agency]])),COLUMNS($F$7:AD$7))))</f>
        <v/>
      </c>
      <c r="AE634" s="2223" t="str" cm="1">
        <f t="array" ref="AE634">IF($D634&lt;COLUMNS($F$7:AE$7),"",INDEX(TableDiv[[GASB]:[GASB]],_xlfn.AGGREGATE(15,3,(TableDiv[[Agency]:[Agency]]=$E634)/(TableDiv[[Agency]:[Agency]]=$E634)*(ROW(TableDiv[Agency])-ROW(TableDiv[[#Headers],[Agency]])),COLUMNS($F$7:AE$7))))</f>
        <v/>
      </c>
      <c r="AF634" s="2223" t="str" cm="1">
        <f t="array" ref="AF634">IF($D634&lt;COLUMNS($F$7:AF$7),"",INDEX(TableDiv[[GASB]:[GASB]],_xlfn.AGGREGATE(15,3,(TableDiv[[Agency]:[Agency]]=$E634)/(TableDiv[[Agency]:[Agency]]=$E634)*(ROW(TableDiv[Agency])-ROW(TableDiv[[#Headers],[Agency]])),COLUMNS($F$7:AF$7))))</f>
        <v/>
      </c>
      <c r="AG634" s="2223" t="str" cm="1">
        <f t="array" ref="AG634">IF($D634&lt;COLUMNS($F$7:AG$7),"",INDEX(TableDiv[[GASB]:[GASB]],_xlfn.AGGREGATE(15,3,(TableDiv[[Agency]:[Agency]]=$E634)/(TableDiv[[Agency]:[Agency]]=$E634)*(ROW(TableDiv[Agency])-ROW(TableDiv[[#Headers],[Agency]])),COLUMNS($F$7:AG$7))))</f>
        <v/>
      </c>
      <c r="AH634" s="2223" t="str" cm="1">
        <f t="array" ref="AH634">IF($D634&lt;COLUMNS($F$7:AH$7),"",INDEX(TableDiv[[GASB]:[GASB]],_xlfn.AGGREGATE(15,3,(TableDiv[[Agency]:[Agency]]=$E634)/(TableDiv[[Agency]:[Agency]]=$E634)*(ROW(TableDiv[Agency])-ROW(TableDiv[[#Headers],[Agency]])),COLUMNS($F$7:AH$7))))</f>
        <v/>
      </c>
      <c r="AI634" s="2223" t="str" cm="1">
        <f t="array" ref="AI634">IF($D634&lt;COLUMNS($F$7:AI$7),"",INDEX(TableDiv[[GASB]:[GASB]],_xlfn.AGGREGATE(15,3,(TableDiv[[Agency]:[Agency]]=$E634)/(TableDiv[[Agency]:[Agency]]=$E634)*(ROW(TableDiv[Agency])-ROW(TableDiv[[#Headers],[Agency]])),COLUMNS($F$7:AI$7))))</f>
        <v/>
      </c>
      <c r="AJ634" s="2223" t="str" cm="1">
        <f t="array" ref="AJ634">IF($D634&lt;COLUMNS($F$7:AJ$7),"",INDEX(TableDiv[[GASB]:[GASB]],_xlfn.AGGREGATE(15,3,(TableDiv[[Agency]:[Agency]]=$E634)/(TableDiv[[Agency]:[Agency]]=$E634)*(ROW(TableDiv[Agency])-ROW(TableDiv[[#Headers],[Agency]])),COLUMNS($F$7:AJ$7))))</f>
        <v/>
      </c>
      <c r="AK634" s="2223" t="str" cm="1">
        <f t="array" ref="AK634">IF($D634&lt;COLUMNS($F$7:AK$7),"",INDEX(TableDiv[[GASB]:[GASB]],_xlfn.AGGREGATE(15,3,(TableDiv[[Agency]:[Agency]]=$E634)/(TableDiv[[Agency]:[Agency]]=$E634)*(ROW(TableDiv[Agency])-ROW(TableDiv[[#Headers],[Agency]])),COLUMNS($F$7:AK$7))))</f>
        <v/>
      </c>
      <c r="AL634" s="2223" t="str" cm="1">
        <f t="array" ref="AL634">IF($D634&lt;COLUMNS($F$7:AL$7),"",INDEX(TableDiv[[GASB]:[GASB]],_xlfn.AGGREGATE(15,3,(TableDiv[[Agency]:[Agency]]=$E634)/(TableDiv[[Agency]:[Agency]]=$E634)*(ROW(TableDiv[Agency])-ROW(TableDiv[[#Headers],[Agency]])),COLUMNS($F$7:AL$7))))</f>
        <v/>
      </c>
      <c r="AM634" s="2223" t="str" cm="1">
        <f t="array" ref="AM634">IF($D634&lt;COLUMNS($F$7:AM$7),"",INDEX(TableDiv[[GASB]:[GASB]],_xlfn.AGGREGATE(15,3,(TableDiv[[Agency]:[Agency]]=$E634)/(TableDiv[[Agency]:[Agency]]=$E634)*(ROW(TableDiv[Agency])-ROW(TableDiv[[#Headers],[Agency]])),COLUMNS($F$7:AM$7))))</f>
        <v/>
      </c>
      <c r="AN634" s="2223"/>
      <c r="AO634" s="2223"/>
      <c r="AP634" s="2223"/>
      <c r="AQ634" s="2223"/>
      <c r="AR634" s="2223"/>
      <c r="AS634" s="2223"/>
    </row>
    <row r="635" spans="1:45" x14ac:dyDescent="0.2">
      <c r="A635" s="2223"/>
      <c r="B635" s="2223"/>
      <c r="C635" s="2223"/>
      <c r="W635" s="2223" t="str" cm="1">
        <f t="array" ref="W635">IF($D635&lt;COLUMNS($F$7:W$7),"",INDEX(TableDiv[[GASB]:[GASB]],_xlfn.AGGREGATE(15,3,(TableDiv[[Agency]:[Agency]]=$E635)/(TableDiv[[Agency]:[Agency]]=$E635)*(ROW(TableDiv[Agency])-ROW(TableDiv[[#Headers],[Agency]])),COLUMNS($F$7:W$7))))</f>
        <v/>
      </c>
      <c r="X635" s="2223" t="str" cm="1">
        <f t="array" ref="X635">IF($D635&lt;COLUMNS($F$7:X$7),"",INDEX(TableDiv[[GASB]:[GASB]],_xlfn.AGGREGATE(15,3,(TableDiv[[Agency]:[Agency]]=$E635)/(TableDiv[[Agency]:[Agency]]=$E635)*(ROW(TableDiv[Agency])-ROW(TableDiv[[#Headers],[Agency]])),COLUMNS($F$7:X$7))))</f>
        <v/>
      </c>
      <c r="Y635" s="2223" t="str" cm="1">
        <f t="array" ref="Y635">IF($D635&lt;COLUMNS($F$7:Y$7),"",INDEX(TableDiv[[GASB]:[GASB]],_xlfn.AGGREGATE(15,3,(TableDiv[[Agency]:[Agency]]=$E635)/(TableDiv[[Agency]:[Agency]]=$E635)*(ROW(TableDiv[Agency])-ROW(TableDiv[[#Headers],[Agency]])),COLUMNS($F$7:Y$7))))</f>
        <v/>
      </c>
      <c r="Z635" s="2223" t="str" cm="1">
        <f t="array" ref="Z635">IF($D635&lt;COLUMNS($F$7:Z$7),"",INDEX(TableDiv[[GASB]:[GASB]],_xlfn.AGGREGATE(15,3,(TableDiv[[Agency]:[Agency]]=$E635)/(TableDiv[[Agency]:[Agency]]=$E635)*(ROW(TableDiv[Agency])-ROW(TableDiv[[#Headers],[Agency]])),COLUMNS($F$7:Z$7))))</f>
        <v/>
      </c>
      <c r="AA635" s="2223" t="str" cm="1">
        <f t="array" ref="AA635">IF($D635&lt;COLUMNS($F$7:AA$7),"",INDEX(TableDiv[[GASB]:[GASB]],_xlfn.AGGREGATE(15,3,(TableDiv[[Agency]:[Agency]]=$E635)/(TableDiv[[Agency]:[Agency]]=$E635)*(ROW(TableDiv[Agency])-ROW(TableDiv[[#Headers],[Agency]])),COLUMNS($F$7:AA$7))))</f>
        <v/>
      </c>
      <c r="AB635" s="2223" t="str" cm="1">
        <f t="array" ref="AB635">IF($D635&lt;COLUMNS($F$7:AB$7),"",INDEX(TableDiv[[GASB]:[GASB]],_xlfn.AGGREGATE(15,3,(TableDiv[[Agency]:[Agency]]=$E635)/(TableDiv[[Agency]:[Agency]]=$E635)*(ROW(TableDiv[Agency])-ROW(TableDiv[[#Headers],[Agency]])),COLUMNS($F$7:AB$7))))</f>
        <v/>
      </c>
      <c r="AC635" s="2223" t="str" cm="1">
        <f t="array" ref="AC635">IF($D635&lt;COLUMNS($F$7:AC$7),"",INDEX(TableDiv[[GASB]:[GASB]],_xlfn.AGGREGATE(15,3,(TableDiv[[Agency]:[Agency]]=$E635)/(TableDiv[[Agency]:[Agency]]=$E635)*(ROW(TableDiv[Agency])-ROW(TableDiv[[#Headers],[Agency]])),COLUMNS($F$7:AC$7))))</f>
        <v/>
      </c>
      <c r="AD635" s="2223" t="str" cm="1">
        <f t="array" ref="AD635">IF($D635&lt;COLUMNS($F$7:AD$7),"",INDEX(TableDiv[[GASB]:[GASB]],_xlfn.AGGREGATE(15,3,(TableDiv[[Agency]:[Agency]]=$E635)/(TableDiv[[Agency]:[Agency]]=$E635)*(ROW(TableDiv[Agency])-ROW(TableDiv[[#Headers],[Agency]])),COLUMNS($F$7:AD$7))))</f>
        <v/>
      </c>
      <c r="AE635" s="2223" t="str" cm="1">
        <f t="array" ref="AE635">IF($D635&lt;COLUMNS($F$7:AE$7),"",INDEX(TableDiv[[GASB]:[GASB]],_xlfn.AGGREGATE(15,3,(TableDiv[[Agency]:[Agency]]=$E635)/(TableDiv[[Agency]:[Agency]]=$E635)*(ROW(TableDiv[Agency])-ROW(TableDiv[[#Headers],[Agency]])),COLUMNS($F$7:AE$7))))</f>
        <v/>
      </c>
      <c r="AF635" s="2223" t="str" cm="1">
        <f t="array" ref="AF635">IF($D635&lt;COLUMNS($F$7:AF$7),"",INDEX(TableDiv[[GASB]:[GASB]],_xlfn.AGGREGATE(15,3,(TableDiv[[Agency]:[Agency]]=$E635)/(TableDiv[[Agency]:[Agency]]=$E635)*(ROW(TableDiv[Agency])-ROW(TableDiv[[#Headers],[Agency]])),COLUMNS($F$7:AF$7))))</f>
        <v/>
      </c>
      <c r="AG635" s="2223" t="str" cm="1">
        <f t="array" ref="AG635">IF($D635&lt;COLUMNS($F$7:AG$7),"",INDEX(TableDiv[[GASB]:[GASB]],_xlfn.AGGREGATE(15,3,(TableDiv[[Agency]:[Agency]]=$E635)/(TableDiv[[Agency]:[Agency]]=$E635)*(ROW(TableDiv[Agency])-ROW(TableDiv[[#Headers],[Agency]])),COLUMNS($F$7:AG$7))))</f>
        <v/>
      </c>
      <c r="AH635" s="2223" t="str" cm="1">
        <f t="array" ref="AH635">IF($D635&lt;COLUMNS($F$7:AH$7),"",INDEX(TableDiv[[GASB]:[GASB]],_xlfn.AGGREGATE(15,3,(TableDiv[[Agency]:[Agency]]=$E635)/(TableDiv[[Agency]:[Agency]]=$E635)*(ROW(TableDiv[Agency])-ROW(TableDiv[[#Headers],[Agency]])),COLUMNS($F$7:AH$7))))</f>
        <v/>
      </c>
      <c r="AI635" s="2223" t="str" cm="1">
        <f t="array" ref="AI635">IF($D635&lt;COLUMNS($F$7:AI$7),"",INDEX(TableDiv[[GASB]:[GASB]],_xlfn.AGGREGATE(15,3,(TableDiv[[Agency]:[Agency]]=$E635)/(TableDiv[[Agency]:[Agency]]=$E635)*(ROW(TableDiv[Agency])-ROW(TableDiv[[#Headers],[Agency]])),COLUMNS($F$7:AI$7))))</f>
        <v/>
      </c>
      <c r="AJ635" s="2223" t="str" cm="1">
        <f t="array" ref="AJ635">IF($D635&lt;COLUMNS($F$7:AJ$7),"",INDEX(TableDiv[[GASB]:[GASB]],_xlfn.AGGREGATE(15,3,(TableDiv[[Agency]:[Agency]]=$E635)/(TableDiv[[Agency]:[Agency]]=$E635)*(ROW(TableDiv[Agency])-ROW(TableDiv[[#Headers],[Agency]])),COLUMNS($F$7:AJ$7))))</f>
        <v/>
      </c>
      <c r="AK635" s="2223" t="str" cm="1">
        <f t="array" ref="AK635">IF($D635&lt;COLUMNS($F$7:AK$7),"",INDEX(TableDiv[[GASB]:[GASB]],_xlfn.AGGREGATE(15,3,(TableDiv[[Agency]:[Agency]]=$E635)/(TableDiv[[Agency]:[Agency]]=$E635)*(ROW(TableDiv[Agency])-ROW(TableDiv[[#Headers],[Agency]])),COLUMNS($F$7:AK$7))))</f>
        <v/>
      </c>
      <c r="AL635" s="2223" t="str" cm="1">
        <f t="array" ref="AL635">IF($D635&lt;COLUMNS($F$7:AL$7),"",INDEX(TableDiv[[GASB]:[GASB]],_xlfn.AGGREGATE(15,3,(TableDiv[[Agency]:[Agency]]=$E635)/(TableDiv[[Agency]:[Agency]]=$E635)*(ROW(TableDiv[Agency])-ROW(TableDiv[[#Headers],[Agency]])),COLUMNS($F$7:AL$7))))</f>
        <v/>
      </c>
      <c r="AM635" s="2223" t="str" cm="1">
        <f t="array" ref="AM635">IF($D635&lt;COLUMNS($F$7:AM$7),"",INDEX(TableDiv[[GASB]:[GASB]],_xlfn.AGGREGATE(15,3,(TableDiv[[Agency]:[Agency]]=$E635)/(TableDiv[[Agency]:[Agency]]=$E635)*(ROW(TableDiv[Agency])-ROW(TableDiv[[#Headers],[Agency]])),COLUMNS($F$7:AM$7))))</f>
        <v/>
      </c>
      <c r="AN635" s="2223"/>
      <c r="AO635" s="2223"/>
      <c r="AP635" s="2223"/>
      <c r="AQ635" s="2223"/>
      <c r="AR635" s="2223"/>
      <c r="AS635" s="2223"/>
    </row>
    <row r="636" spans="1:45" x14ac:dyDescent="0.2">
      <c r="A636" s="2223"/>
      <c r="B636" s="2223"/>
      <c r="C636" s="2223"/>
      <c r="W636" s="2223" t="str" cm="1">
        <f t="array" ref="W636">IF($D636&lt;COLUMNS($F$7:W$7),"",INDEX(TableDiv[[GASB]:[GASB]],_xlfn.AGGREGATE(15,3,(TableDiv[[Agency]:[Agency]]=$E636)/(TableDiv[[Agency]:[Agency]]=$E636)*(ROW(TableDiv[Agency])-ROW(TableDiv[[#Headers],[Agency]])),COLUMNS($F$7:W$7))))</f>
        <v/>
      </c>
      <c r="X636" s="2223" t="str" cm="1">
        <f t="array" ref="X636">IF($D636&lt;COLUMNS($F$7:X$7),"",INDEX(TableDiv[[GASB]:[GASB]],_xlfn.AGGREGATE(15,3,(TableDiv[[Agency]:[Agency]]=$E636)/(TableDiv[[Agency]:[Agency]]=$E636)*(ROW(TableDiv[Agency])-ROW(TableDiv[[#Headers],[Agency]])),COLUMNS($F$7:X$7))))</f>
        <v/>
      </c>
      <c r="Y636" s="2223" t="str" cm="1">
        <f t="array" ref="Y636">IF($D636&lt;COLUMNS($F$7:Y$7),"",INDEX(TableDiv[[GASB]:[GASB]],_xlfn.AGGREGATE(15,3,(TableDiv[[Agency]:[Agency]]=$E636)/(TableDiv[[Agency]:[Agency]]=$E636)*(ROW(TableDiv[Agency])-ROW(TableDiv[[#Headers],[Agency]])),COLUMNS($F$7:Y$7))))</f>
        <v/>
      </c>
      <c r="Z636" s="2223" t="str" cm="1">
        <f t="array" ref="Z636">IF($D636&lt;COLUMNS($F$7:Z$7),"",INDEX(TableDiv[[GASB]:[GASB]],_xlfn.AGGREGATE(15,3,(TableDiv[[Agency]:[Agency]]=$E636)/(TableDiv[[Agency]:[Agency]]=$E636)*(ROW(TableDiv[Agency])-ROW(TableDiv[[#Headers],[Agency]])),COLUMNS($F$7:Z$7))))</f>
        <v/>
      </c>
      <c r="AA636" s="2223" t="str" cm="1">
        <f t="array" ref="AA636">IF($D636&lt;COLUMNS($F$7:AA$7),"",INDEX(TableDiv[[GASB]:[GASB]],_xlfn.AGGREGATE(15,3,(TableDiv[[Agency]:[Agency]]=$E636)/(TableDiv[[Agency]:[Agency]]=$E636)*(ROW(TableDiv[Agency])-ROW(TableDiv[[#Headers],[Agency]])),COLUMNS($F$7:AA$7))))</f>
        <v/>
      </c>
      <c r="AB636" s="2223" t="str" cm="1">
        <f t="array" ref="AB636">IF($D636&lt;COLUMNS($F$7:AB$7),"",INDEX(TableDiv[[GASB]:[GASB]],_xlfn.AGGREGATE(15,3,(TableDiv[[Agency]:[Agency]]=$E636)/(TableDiv[[Agency]:[Agency]]=$E636)*(ROW(TableDiv[Agency])-ROW(TableDiv[[#Headers],[Agency]])),COLUMNS($F$7:AB$7))))</f>
        <v/>
      </c>
      <c r="AC636" s="2223" t="str" cm="1">
        <f t="array" ref="AC636">IF($D636&lt;COLUMNS($F$7:AC$7),"",INDEX(TableDiv[[GASB]:[GASB]],_xlfn.AGGREGATE(15,3,(TableDiv[[Agency]:[Agency]]=$E636)/(TableDiv[[Agency]:[Agency]]=$E636)*(ROW(TableDiv[Agency])-ROW(TableDiv[[#Headers],[Agency]])),COLUMNS($F$7:AC$7))))</f>
        <v/>
      </c>
      <c r="AD636" s="2223" t="str" cm="1">
        <f t="array" ref="AD636">IF($D636&lt;COLUMNS($F$7:AD$7),"",INDEX(TableDiv[[GASB]:[GASB]],_xlfn.AGGREGATE(15,3,(TableDiv[[Agency]:[Agency]]=$E636)/(TableDiv[[Agency]:[Agency]]=$E636)*(ROW(TableDiv[Agency])-ROW(TableDiv[[#Headers],[Agency]])),COLUMNS($F$7:AD$7))))</f>
        <v/>
      </c>
      <c r="AE636" s="2223" t="str" cm="1">
        <f t="array" ref="AE636">IF($D636&lt;COLUMNS($F$7:AE$7),"",INDEX(TableDiv[[GASB]:[GASB]],_xlfn.AGGREGATE(15,3,(TableDiv[[Agency]:[Agency]]=$E636)/(TableDiv[[Agency]:[Agency]]=$E636)*(ROW(TableDiv[Agency])-ROW(TableDiv[[#Headers],[Agency]])),COLUMNS($F$7:AE$7))))</f>
        <v/>
      </c>
      <c r="AF636" s="2223" t="str" cm="1">
        <f t="array" ref="AF636">IF($D636&lt;COLUMNS($F$7:AF$7),"",INDEX(TableDiv[[GASB]:[GASB]],_xlfn.AGGREGATE(15,3,(TableDiv[[Agency]:[Agency]]=$E636)/(TableDiv[[Agency]:[Agency]]=$E636)*(ROW(TableDiv[Agency])-ROW(TableDiv[[#Headers],[Agency]])),COLUMNS($F$7:AF$7))))</f>
        <v/>
      </c>
      <c r="AG636" s="2223" t="str" cm="1">
        <f t="array" ref="AG636">IF($D636&lt;COLUMNS($F$7:AG$7),"",INDEX(TableDiv[[GASB]:[GASB]],_xlfn.AGGREGATE(15,3,(TableDiv[[Agency]:[Agency]]=$E636)/(TableDiv[[Agency]:[Agency]]=$E636)*(ROW(TableDiv[Agency])-ROW(TableDiv[[#Headers],[Agency]])),COLUMNS($F$7:AG$7))))</f>
        <v/>
      </c>
      <c r="AH636" s="2223" t="str" cm="1">
        <f t="array" ref="AH636">IF($D636&lt;COLUMNS($F$7:AH$7),"",INDEX(TableDiv[[GASB]:[GASB]],_xlfn.AGGREGATE(15,3,(TableDiv[[Agency]:[Agency]]=$E636)/(TableDiv[[Agency]:[Agency]]=$E636)*(ROW(TableDiv[Agency])-ROW(TableDiv[[#Headers],[Agency]])),COLUMNS($F$7:AH$7))))</f>
        <v/>
      </c>
      <c r="AI636" s="2223" t="str" cm="1">
        <f t="array" ref="AI636">IF($D636&lt;COLUMNS($F$7:AI$7),"",INDEX(TableDiv[[GASB]:[GASB]],_xlfn.AGGREGATE(15,3,(TableDiv[[Agency]:[Agency]]=$E636)/(TableDiv[[Agency]:[Agency]]=$E636)*(ROW(TableDiv[Agency])-ROW(TableDiv[[#Headers],[Agency]])),COLUMNS($F$7:AI$7))))</f>
        <v/>
      </c>
      <c r="AJ636" s="2223" t="str" cm="1">
        <f t="array" ref="AJ636">IF($D636&lt;COLUMNS($F$7:AJ$7),"",INDEX(TableDiv[[GASB]:[GASB]],_xlfn.AGGREGATE(15,3,(TableDiv[[Agency]:[Agency]]=$E636)/(TableDiv[[Agency]:[Agency]]=$E636)*(ROW(TableDiv[Agency])-ROW(TableDiv[[#Headers],[Agency]])),COLUMNS($F$7:AJ$7))))</f>
        <v/>
      </c>
      <c r="AK636" s="2223" t="str" cm="1">
        <f t="array" ref="AK636">IF($D636&lt;COLUMNS($F$7:AK$7),"",INDEX(TableDiv[[GASB]:[GASB]],_xlfn.AGGREGATE(15,3,(TableDiv[[Agency]:[Agency]]=$E636)/(TableDiv[[Agency]:[Agency]]=$E636)*(ROW(TableDiv[Agency])-ROW(TableDiv[[#Headers],[Agency]])),COLUMNS($F$7:AK$7))))</f>
        <v/>
      </c>
      <c r="AL636" s="2223" t="str" cm="1">
        <f t="array" ref="AL636">IF($D636&lt;COLUMNS($F$7:AL$7),"",INDEX(TableDiv[[GASB]:[GASB]],_xlfn.AGGREGATE(15,3,(TableDiv[[Agency]:[Agency]]=$E636)/(TableDiv[[Agency]:[Agency]]=$E636)*(ROW(TableDiv[Agency])-ROW(TableDiv[[#Headers],[Agency]])),COLUMNS($F$7:AL$7))))</f>
        <v/>
      </c>
      <c r="AM636" s="2223" t="str" cm="1">
        <f t="array" ref="AM636">IF($D636&lt;COLUMNS($F$7:AM$7),"",INDEX(TableDiv[[GASB]:[GASB]],_xlfn.AGGREGATE(15,3,(TableDiv[[Agency]:[Agency]]=$E636)/(TableDiv[[Agency]:[Agency]]=$E636)*(ROW(TableDiv[Agency])-ROW(TableDiv[[#Headers],[Agency]])),COLUMNS($F$7:AM$7))))</f>
        <v/>
      </c>
      <c r="AN636" s="2223"/>
      <c r="AO636" s="2223"/>
      <c r="AP636" s="2223"/>
      <c r="AQ636" s="2223"/>
      <c r="AR636" s="2223"/>
      <c r="AS636" s="2223"/>
    </row>
    <row r="637" spans="1:45" x14ac:dyDescent="0.2">
      <c r="A637" s="2223"/>
      <c r="B637" s="2223"/>
      <c r="C637" s="2223"/>
      <c r="W637" s="2223" t="str" cm="1">
        <f t="array" ref="W637">IF($D637&lt;COLUMNS($F$7:W$7),"",INDEX(TableDiv[[GASB]:[GASB]],_xlfn.AGGREGATE(15,3,(TableDiv[[Agency]:[Agency]]=$E637)/(TableDiv[[Agency]:[Agency]]=$E637)*(ROW(TableDiv[Agency])-ROW(TableDiv[[#Headers],[Agency]])),COLUMNS($F$7:W$7))))</f>
        <v/>
      </c>
      <c r="X637" s="2223" t="str" cm="1">
        <f t="array" ref="X637">IF($D637&lt;COLUMNS($F$7:X$7),"",INDEX(TableDiv[[GASB]:[GASB]],_xlfn.AGGREGATE(15,3,(TableDiv[[Agency]:[Agency]]=$E637)/(TableDiv[[Agency]:[Agency]]=$E637)*(ROW(TableDiv[Agency])-ROW(TableDiv[[#Headers],[Agency]])),COLUMNS($F$7:X$7))))</f>
        <v/>
      </c>
      <c r="Y637" s="2223" t="str" cm="1">
        <f t="array" ref="Y637">IF($D637&lt;COLUMNS($F$7:Y$7),"",INDEX(TableDiv[[GASB]:[GASB]],_xlfn.AGGREGATE(15,3,(TableDiv[[Agency]:[Agency]]=$E637)/(TableDiv[[Agency]:[Agency]]=$E637)*(ROW(TableDiv[Agency])-ROW(TableDiv[[#Headers],[Agency]])),COLUMNS($F$7:Y$7))))</f>
        <v/>
      </c>
      <c r="Z637" s="2223" t="str" cm="1">
        <f t="array" ref="Z637">IF($D637&lt;COLUMNS($F$7:Z$7),"",INDEX(TableDiv[[GASB]:[GASB]],_xlfn.AGGREGATE(15,3,(TableDiv[[Agency]:[Agency]]=$E637)/(TableDiv[[Agency]:[Agency]]=$E637)*(ROW(TableDiv[Agency])-ROW(TableDiv[[#Headers],[Agency]])),COLUMNS($F$7:Z$7))))</f>
        <v/>
      </c>
      <c r="AA637" s="2223" t="str" cm="1">
        <f t="array" ref="AA637">IF($D637&lt;COLUMNS($F$7:AA$7),"",INDEX(TableDiv[[GASB]:[GASB]],_xlfn.AGGREGATE(15,3,(TableDiv[[Agency]:[Agency]]=$E637)/(TableDiv[[Agency]:[Agency]]=$E637)*(ROW(TableDiv[Agency])-ROW(TableDiv[[#Headers],[Agency]])),COLUMNS($F$7:AA$7))))</f>
        <v/>
      </c>
      <c r="AB637" s="2223" t="str" cm="1">
        <f t="array" ref="AB637">IF($D637&lt;COLUMNS($F$7:AB$7),"",INDEX(TableDiv[[GASB]:[GASB]],_xlfn.AGGREGATE(15,3,(TableDiv[[Agency]:[Agency]]=$E637)/(TableDiv[[Agency]:[Agency]]=$E637)*(ROW(TableDiv[Agency])-ROW(TableDiv[[#Headers],[Agency]])),COLUMNS($F$7:AB$7))))</f>
        <v/>
      </c>
      <c r="AC637" s="2223" t="str" cm="1">
        <f t="array" ref="AC637">IF($D637&lt;COLUMNS($F$7:AC$7),"",INDEX(TableDiv[[GASB]:[GASB]],_xlfn.AGGREGATE(15,3,(TableDiv[[Agency]:[Agency]]=$E637)/(TableDiv[[Agency]:[Agency]]=$E637)*(ROW(TableDiv[Agency])-ROW(TableDiv[[#Headers],[Agency]])),COLUMNS($F$7:AC$7))))</f>
        <v/>
      </c>
      <c r="AD637" s="2223" t="str" cm="1">
        <f t="array" ref="AD637">IF($D637&lt;COLUMNS($F$7:AD$7),"",INDEX(TableDiv[[GASB]:[GASB]],_xlfn.AGGREGATE(15,3,(TableDiv[[Agency]:[Agency]]=$E637)/(TableDiv[[Agency]:[Agency]]=$E637)*(ROW(TableDiv[Agency])-ROW(TableDiv[[#Headers],[Agency]])),COLUMNS($F$7:AD$7))))</f>
        <v/>
      </c>
      <c r="AE637" s="2223" t="str" cm="1">
        <f t="array" ref="AE637">IF($D637&lt;COLUMNS($F$7:AE$7),"",INDEX(TableDiv[[GASB]:[GASB]],_xlfn.AGGREGATE(15,3,(TableDiv[[Agency]:[Agency]]=$E637)/(TableDiv[[Agency]:[Agency]]=$E637)*(ROW(TableDiv[Agency])-ROW(TableDiv[[#Headers],[Agency]])),COLUMNS($F$7:AE$7))))</f>
        <v/>
      </c>
      <c r="AF637" s="2223" t="str" cm="1">
        <f t="array" ref="AF637">IF($D637&lt;COLUMNS($F$7:AF$7),"",INDEX(TableDiv[[GASB]:[GASB]],_xlfn.AGGREGATE(15,3,(TableDiv[[Agency]:[Agency]]=$E637)/(TableDiv[[Agency]:[Agency]]=$E637)*(ROW(TableDiv[Agency])-ROW(TableDiv[[#Headers],[Agency]])),COLUMNS($F$7:AF$7))))</f>
        <v/>
      </c>
      <c r="AG637" s="2223" t="str" cm="1">
        <f t="array" ref="AG637">IF($D637&lt;COLUMNS($F$7:AG$7),"",INDEX(TableDiv[[GASB]:[GASB]],_xlfn.AGGREGATE(15,3,(TableDiv[[Agency]:[Agency]]=$E637)/(TableDiv[[Agency]:[Agency]]=$E637)*(ROW(TableDiv[Agency])-ROW(TableDiv[[#Headers],[Agency]])),COLUMNS($F$7:AG$7))))</f>
        <v/>
      </c>
      <c r="AH637" s="2223" t="str" cm="1">
        <f t="array" ref="AH637">IF($D637&lt;COLUMNS($F$7:AH$7),"",INDEX(TableDiv[[GASB]:[GASB]],_xlfn.AGGREGATE(15,3,(TableDiv[[Agency]:[Agency]]=$E637)/(TableDiv[[Agency]:[Agency]]=$E637)*(ROW(TableDiv[Agency])-ROW(TableDiv[[#Headers],[Agency]])),COLUMNS($F$7:AH$7))))</f>
        <v/>
      </c>
      <c r="AI637" s="2223" t="str" cm="1">
        <f t="array" ref="AI637">IF($D637&lt;COLUMNS($F$7:AI$7),"",INDEX(TableDiv[[GASB]:[GASB]],_xlfn.AGGREGATE(15,3,(TableDiv[[Agency]:[Agency]]=$E637)/(TableDiv[[Agency]:[Agency]]=$E637)*(ROW(TableDiv[Agency])-ROW(TableDiv[[#Headers],[Agency]])),COLUMNS($F$7:AI$7))))</f>
        <v/>
      </c>
      <c r="AJ637" s="2223" t="str" cm="1">
        <f t="array" ref="AJ637">IF($D637&lt;COLUMNS($F$7:AJ$7),"",INDEX(TableDiv[[GASB]:[GASB]],_xlfn.AGGREGATE(15,3,(TableDiv[[Agency]:[Agency]]=$E637)/(TableDiv[[Agency]:[Agency]]=$E637)*(ROW(TableDiv[Agency])-ROW(TableDiv[[#Headers],[Agency]])),COLUMNS($F$7:AJ$7))))</f>
        <v/>
      </c>
      <c r="AK637" s="2223" t="str" cm="1">
        <f t="array" ref="AK637">IF($D637&lt;COLUMNS($F$7:AK$7),"",INDEX(TableDiv[[GASB]:[GASB]],_xlfn.AGGREGATE(15,3,(TableDiv[[Agency]:[Agency]]=$E637)/(TableDiv[[Agency]:[Agency]]=$E637)*(ROW(TableDiv[Agency])-ROW(TableDiv[[#Headers],[Agency]])),COLUMNS($F$7:AK$7))))</f>
        <v/>
      </c>
      <c r="AL637" s="2223" t="str" cm="1">
        <f t="array" ref="AL637">IF($D637&lt;COLUMNS($F$7:AL$7),"",INDEX(TableDiv[[GASB]:[GASB]],_xlfn.AGGREGATE(15,3,(TableDiv[[Agency]:[Agency]]=$E637)/(TableDiv[[Agency]:[Agency]]=$E637)*(ROW(TableDiv[Agency])-ROW(TableDiv[[#Headers],[Agency]])),COLUMNS($F$7:AL$7))))</f>
        <v/>
      </c>
      <c r="AM637" s="2223" t="str" cm="1">
        <f t="array" ref="AM637">IF($D637&lt;COLUMNS($F$7:AM$7),"",INDEX(TableDiv[[GASB]:[GASB]],_xlfn.AGGREGATE(15,3,(TableDiv[[Agency]:[Agency]]=$E637)/(TableDiv[[Agency]:[Agency]]=$E637)*(ROW(TableDiv[Agency])-ROW(TableDiv[[#Headers],[Agency]])),COLUMNS($F$7:AM$7))))</f>
        <v/>
      </c>
      <c r="AN637" s="2223"/>
      <c r="AO637" s="2223"/>
      <c r="AP637" s="2223"/>
      <c r="AQ637" s="2223"/>
      <c r="AR637" s="2223"/>
      <c r="AS637" s="2223"/>
    </row>
    <row r="638" spans="1:45" x14ac:dyDescent="0.2">
      <c r="A638" s="2223"/>
      <c r="B638" s="2223"/>
      <c r="C638" s="2223"/>
      <c r="W638" s="2223" t="str" cm="1">
        <f t="array" ref="W638">IF($D638&lt;COLUMNS($F$7:W$7),"",INDEX(TableDiv[[GASB]:[GASB]],_xlfn.AGGREGATE(15,3,(TableDiv[[Agency]:[Agency]]=$E638)/(TableDiv[[Agency]:[Agency]]=$E638)*(ROW(TableDiv[Agency])-ROW(TableDiv[[#Headers],[Agency]])),COLUMNS($F$7:W$7))))</f>
        <v/>
      </c>
      <c r="X638" s="2223" t="str" cm="1">
        <f t="array" ref="X638">IF($D638&lt;COLUMNS($F$7:X$7),"",INDEX(TableDiv[[GASB]:[GASB]],_xlfn.AGGREGATE(15,3,(TableDiv[[Agency]:[Agency]]=$E638)/(TableDiv[[Agency]:[Agency]]=$E638)*(ROW(TableDiv[Agency])-ROW(TableDiv[[#Headers],[Agency]])),COLUMNS($F$7:X$7))))</f>
        <v/>
      </c>
      <c r="Y638" s="2223" t="str" cm="1">
        <f t="array" ref="Y638">IF($D638&lt;COLUMNS($F$7:Y$7),"",INDEX(TableDiv[[GASB]:[GASB]],_xlfn.AGGREGATE(15,3,(TableDiv[[Agency]:[Agency]]=$E638)/(TableDiv[[Agency]:[Agency]]=$E638)*(ROW(TableDiv[Agency])-ROW(TableDiv[[#Headers],[Agency]])),COLUMNS($F$7:Y$7))))</f>
        <v/>
      </c>
      <c r="Z638" s="2223" t="str" cm="1">
        <f t="array" ref="Z638">IF($D638&lt;COLUMNS($F$7:Z$7),"",INDEX(TableDiv[[GASB]:[GASB]],_xlfn.AGGREGATE(15,3,(TableDiv[[Agency]:[Agency]]=$E638)/(TableDiv[[Agency]:[Agency]]=$E638)*(ROW(TableDiv[Agency])-ROW(TableDiv[[#Headers],[Agency]])),COLUMNS($F$7:Z$7))))</f>
        <v/>
      </c>
      <c r="AA638" s="2223" t="str" cm="1">
        <f t="array" ref="AA638">IF($D638&lt;COLUMNS($F$7:AA$7),"",INDEX(TableDiv[[GASB]:[GASB]],_xlfn.AGGREGATE(15,3,(TableDiv[[Agency]:[Agency]]=$E638)/(TableDiv[[Agency]:[Agency]]=$E638)*(ROW(TableDiv[Agency])-ROW(TableDiv[[#Headers],[Agency]])),COLUMNS($F$7:AA$7))))</f>
        <v/>
      </c>
      <c r="AB638" s="2223" t="str" cm="1">
        <f t="array" ref="AB638">IF($D638&lt;COLUMNS($F$7:AB$7),"",INDEX(TableDiv[[GASB]:[GASB]],_xlfn.AGGREGATE(15,3,(TableDiv[[Agency]:[Agency]]=$E638)/(TableDiv[[Agency]:[Agency]]=$E638)*(ROW(TableDiv[Agency])-ROW(TableDiv[[#Headers],[Agency]])),COLUMNS($F$7:AB$7))))</f>
        <v/>
      </c>
      <c r="AC638" s="2223" t="str" cm="1">
        <f t="array" ref="AC638">IF($D638&lt;COLUMNS($F$7:AC$7),"",INDEX(TableDiv[[GASB]:[GASB]],_xlfn.AGGREGATE(15,3,(TableDiv[[Agency]:[Agency]]=$E638)/(TableDiv[[Agency]:[Agency]]=$E638)*(ROW(TableDiv[Agency])-ROW(TableDiv[[#Headers],[Agency]])),COLUMNS($F$7:AC$7))))</f>
        <v/>
      </c>
      <c r="AD638" s="2223" t="str" cm="1">
        <f t="array" ref="AD638">IF($D638&lt;COLUMNS($F$7:AD$7),"",INDEX(TableDiv[[GASB]:[GASB]],_xlfn.AGGREGATE(15,3,(TableDiv[[Agency]:[Agency]]=$E638)/(TableDiv[[Agency]:[Agency]]=$E638)*(ROW(TableDiv[Agency])-ROW(TableDiv[[#Headers],[Agency]])),COLUMNS($F$7:AD$7))))</f>
        <v/>
      </c>
      <c r="AE638" s="2223" t="str" cm="1">
        <f t="array" ref="AE638">IF($D638&lt;COLUMNS($F$7:AE$7),"",INDEX(TableDiv[[GASB]:[GASB]],_xlfn.AGGREGATE(15,3,(TableDiv[[Agency]:[Agency]]=$E638)/(TableDiv[[Agency]:[Agency]]=$E638)*(ROW(TableDiv[Agency])-ROW(TableDiv[[#Headers],[Agency]])),COLUMNS($F$7:AE$7))))</f>
        <v/>
      </c>
      <c r="AF638" s="2223" t="str" cm="1">
        <f t="array" ref="AF638">IF($D638&lt;COLUMNS($F$7:AF$7),"",INDEX(TableDiv[[GASB]:[GASB]],_xlfn.AGGREGATE(15,3,(TableDiv[[Agency]:[Agency]]=$E638)/(TableDiv[[Agency]:[Agency]]=$E638)*(ROW(TableDiv[Agency])-ROW(TableDiv[[#Headers],[Agency]])),COLUMNS($F$7:AF$7))))</f>
        <v/>
      </c>
      <c r="AG638" s="2223" t="str" cm="1">
        <f t="array" ref="AG638">IF($D638&lt;COLUMNS($F$7:AG$7),"",INDEX(TableDiv[[GASB]:[GASB]],_xlfn.AGGREGATE(15,3,(TableDiv[[Agency]:[Agency]]=$E638)/(TableDiv[[Agency]:[Agency]]=$E638)*(ROW(TableDiv[Agency])-ROW(TableDiv[[#Headers],[Agency]])),COLUMNS($F$7:AG$7))))</f>
        <v/>
      </c>
      <c r="AH638" s="2223" t="str" cm="1">
        <f t="array" ref="AH638">IF($D638&lt;COLUMNS($F$7:AH$7),"",INDEX(TableDiv[[GASB]:[GASB]],_xlfn.AGGREGATE(15,3,(TableDiv[[Agency]:[Agency]]=$E638)/(TableDiv[[Agency]:[Agency]]=$E638)*(ROW(TableDiv[Agency])-ROW(TableDiv[[#Headers],[Agency]])),COLUMNS($F$7:AH$7))))</f>
        <v/>
      </c>
      <c r="AI638" s="2223" t="str" cm="1">
        <f t="array" ref="AI638">IF($D638&lt;COLUMNS($F$7:AI$7),"",INDEX(TableDiv[[GASB]:[GASB]],_xlfn.AGGREGATE(15,3,(TableDiv[[Agency]:[Agency]]=$E638)/(TableDiv[[Agency]:[Agency]]=$E638)*(ROW(TableDiv[Agency])-ROW(TableDiv[[#Headers],[Agency]])),COLUMNS($F$7:AI$7))))</f>
        <v/>
      </c>
      <c r="AJ638" s="2223" t="str" cm="1">
        <f t="array" ref="AJ638">IF($D638&lt;COLUMNS($F$7:AJ$7),"",INDEX(TableDiv[[GASB]:[GASB]],_xlfn.AGGREGATE(15,3,(TableDiv[[Agency]:[Agency]]=$E638)/(TableDiv[[Agency]:[Agency]]=$E638)*(ROW(TableDiv[Agency])-ROW(TableDiv[[#Headers],[Agency]])),COLUMNS($F$7:AJ$7))))</f>
        <v/>
      </c>
      <c r="AK638" s="2223" t="str" cm="1">
        <f t="array" ref="AK638">IF($D638&lt;COLUMNS($F$7:AK$7),"",INDEX(TableDiv[[GASB]:[GASB]],_xlfn.AGGREGATE(15,3,(TableDiv[[Agency]:[Agency]]=$E638)/(TableDiv[[Agency]:[Agency]]=$E638)*(ROW(TableDiv[Agency])-ROW(TableDiv[[#Headers],[Agency]])),COLUMNS($F$7:AK$7))))</f>
        <v/>
      </c>
      <c r="AL638" s="2223" t="str" cm="1">
        <f t="array" ref="AL638">IF($D638&lt;COLUMNS($F$7:AL$7),"",INDEX(TableDiv[[GASB]:[GASB]],_xlfn.AGGREGATE(15,3,(TableDiv[[Agency]:[Agency]]=$E638)/(TableDiv[[Agency]:[Agency]]=$E638)*(ROW(TableDiv[Agency])-ROW(TableDiv[[#Headers],[Agency]])),COLUMNS($F$7:AL$7))))</f>
        <v/>
      </c>
      <c r="AM638" s="2223" t="str" cm="1">
        <f t="array" ref="AM638">IF($D638&lt;COLUMNS($F$7:AM$7),"",INDEX(TableDiv[[GASB]:[GASB]],_xlfn.AGGREGATE(15,3,(TableDiv[[Agency]:[Agency]]=$E638)/(TableDiv[[Agency]:[Agency]]=$E638)*(ROW(TableDiv[Agency])-ROW(TableDiv[[#Headers],[Agency]])),COLUMNS($F$7:AM$7))))</f>
        <v/>
      </c>
      <c r="AN638" s="2223"/>
      <c r="AO638" s="2223"/>
      <c r="AP638" s="2223"/>
      <c r="AQ638" s="2223"/>
      <c r="AR638" s="2223"/>
      <c r="AS638" s="2223"/>
    </row>
    <row r="639" spans="1:45" x14ac:dyDescent="0.2">
      <c r="A639" s="2223"/>
      <c r="B639" s="2223"/>
      <c r="C639" s="2223"/>
      <c r="W639" s="2223" t="str" cm="1">
        <f t="array" ref="W639">IF($D639&lt;COLUMNS($F$7:W$7),"",INDEX(TableDiv[[GASB]:[GASB]],_xlfn.AGGREGATE(15,3,(TableDiv[[Agency]:[Agency]]=$E639)/(TableDiv[[Agency]:[Agency]]=$E639)*(ROW(TableDiv[Agency])-ROW(TableDiv[[#Headers],[Agency]])),COLUMNS($F$7:W$7))))</f>
        <v/>
      </c>
      <c r="X639" s="2223" t="str" cm="1">
        <f t="array" ref="X639">IF($D639&lt;COLUMNS($F$7:X$7),"",INDEX(TableDiv[[GASB]:[GASB]],_xlfn.AGGREGATE(15,3,(TableDiv[[Agency]:[Agency]]=$E639)/(TableDiv[[Agency]:[Agency]]=$E639)*(ROW(TableDiv[Agency])-ROW(TableDiv[[#Headers],[Agency]])),COLUMNS($F$7:X$7))))</f>
        <v/>
      </c>
      <c r="Y639" s="2223" t="str" cm="1">
        <f t="array" ref="Y639">IF($D639&lt;COLUMNS($F$7:Y$7),"",INDEX(TableDiv[[GASB]:[GASB]],_xlfn.AGGREGATE(15,3,(TableDiv[[Agency]:[Agency]]=$E639)/(TableDiv[[Agency]:[Agency]]=$E639)*(ROW(TableDiv[Agency])-ROW(TableDiv[[#Headers],[Agency]])),COLUMNS($F$7:Y$7))))</f>
        <v/>
      </c>
      <c r="Z639" s="2223" t="str" cm="1">
        <f t="array" ref="Z639">IF($D639&lt;COLUMNS($F$7:Z$7),"",INDEX(TableDiv[[GASB]:[GASB]],_xlfn.AGGREGATE(15,3,(TableDiv[[Agency]:[Agency]]=$E639)/(TableDiv[[Agency]:[Agency]]=$E639)*(ROW(TableDiv[Agency])-ROW(TableDiv[[#Headers],[Agency]])),COLUMNS($F$7:Z$7))))</f>
        <v/>
      </c>
      <c r="AA639" s="2223" t="str" cm="1">
        <f t="array" ref="AA639">IF($D639&lt;COLUMNS($F$7:AA$7),"",INDEX(TableDiv[[GASB]:[GASB]],_xlfn.AGGREGATE(15,3,(TableDiv[[Agency]:[Agency]]=$E639)/(TableDiv[[Agency]:[Agency]]=$E639)*(ROW(TableDiv[Agency])-ROW(TableDiv[[#Headers],[Agency]])),COLUMNS($F$7:AA$7))))</f>
        <v/>
      </c>
      <c r="AB639" s="2223" t="str" cm="1">
        <f t="array" ref="AB639">IF($D639&lt;COLUMNS($F$7:AB$7),"",INDEX(TableDiv[[GASB]:[GASB]],_xlfn.AGGREGATE(15,3,(TableDiv[[Agency]:[Agency]]=$E639)/(TableDiv[[Agency]:[Agency]]=$E639)*(ROW(TableDiv[Agency])-ROW(TableDiv[[#Headers],[Agency]])),COLUMNS($F$7:AB$7))))</f>
        <v/>
      </c>
      <c r="AC639" s="2223" t="str" cm="1">
        <f t="array" ref="AC639">IF($D639&lt;COLUMNS($F$7:AC$7),"",INDEX(TableDiv[[GASB]:[GASB]],_xlfn.AGGREGATE(15,3,(TableDiv[[Agency]:[Agency]]=$E639)/(TableDiv[[Agency]:[Agency]]=$E639)*(ROW(TableDiv[Agency])-ROW(TableDiv[[#Headers],[Agency]])),COLUMNS($F$7:AC$7))))</f>
        <v/>
      </c>
      <c r="AD639" s="2223" t="str" cm="1">
        <f t="array" ref="AD639">IF($D639&lt;COLUMNS($F$7:AD$7),"",INDEX(TableDiv[[GASB]:[GASB]],_xlfn.AGGREGATE(15,3,(TableDiv[[Agency]:[Agency]]=$E639)/(TableDiv[[Agency]:[Agency]]=$E639)*(ROW(TableDiv[Agency])-ROW(TableDiv[[#Headers],[Agency]])),COLUMNS($F$7:AD$7))))</f>
        <v/>
      </c>
      <c r="AE639" s="2223" t="str" cm="1">
        <f t="array" ref="AE639">IF($D639&lt;COLUMNS($F$7:AE$7),"",INDEX(TableDiv[[GASB]:[GASB]],_xlfn.AGGREGATE(15,3,(TableDiv[[Agency]:[Agency]]=$E639)/(TableDiv[[Agency]:[Agency]]=$E639)*(ROW(TableDiv[Agency])-ROW(TableDiv[[#Headers],[Agency]])),COLUMNS($F$7:AE$7))))</f>
        <v/>
      </c>
      <c r="AF639" s="2223" t="str" cm="1">
        <f t="array" ref="AF639">IF($D639&lt;COLUMNS($F$7:AF$7),"",INDEX(TableDiv[[GASB]:[GASB]],_xlfn.AGGREGATE(15,3,(TableDiv[[Agency]:[Agency]]=$E639)/(TableDiv[[Agency]:[Agency]]=$E639)*(ROW(TableDiv[Agency])-ROW(TableDiv[[#Headers],[Agency]])),COLUMNS($F$7:AF$7))))</f>
        <v/>
      </c>
      <c r="AG639" s="2223" t="str" cm="1">
        <f t="array" ref="AG639">IF($D639&lt;COLUMNS($F$7:AG$7),"",INDEX(TableDiv[[GASB]:[GASB]],_xlfn.AGGREGATE(15,3,(TableDiv[[Agency]:[Agency]]=$E639)/(TableDiv[[Agency]:[Agency]]=$E639)*(ROW(TableDiv[Agency])-ROW(TableDiv[[#Headers],[Agency]])),COLUMNS($F$7:AG$7))))</f>
        <v/>
      </c>
      <c r="AH639" s="2223" t="str" cm="1">
        <f t="array" ref="AH639">IF($D639&lt;COLUMNS($F$7:AH$7),"",INDEX(TableDiv[[GASB]:[GASB]],_xlfn.AGGREGATE(15,3,(TableDiv[[Agency]:[Agency]]=$E639)/(TableDiv[[Agency]:[Agency]]=$E639)*(ROW(TableDiv[Agency])-ROW(TableDiv[[#Headers],[Agency]])),COLUMNS($F$7:AH$7))))</f>
        <v/>
      </c>
      <c r="AI639" s="2223" t="str" cm="1">
        <f t="array" ref="AI639">IF($D639&lt;COLUMNS($F$7:AI$7),"",INDEX(TableDiv[[GASB]:[GASB]],_xlfn.AGGREGATE(15,3,(TableDiv[[Agency]:[Agency]]=$E639)/(TableDiv[[Agency]:[Agency]]=$E639)*(ROW(TableDiv[Agency])-ROW(TableDiv[[#Headers],[Agency]])),COLUMNS($F$7:AI$7))))</f>
        <v/>
      </c>
      <c r="AJ639" s="2223" t="str" cm="1">
        <f t="array" ref="AJ639">IF($D639&lt;COLUMNS($F$7:AJ$7),"",INDEX(TableDiv[[GASB]:[GASB]],_xlfn.AGGREGATE(15,3,(TableDiv[[Agency]:[Agency]]=$E639)/(TableDiv[[Agency]:[Agency]]=$E639)*(ROW(TableDiv[Agency])-ROW(TableDiv[[#Headers],[Agency]])),COLUMNS($F$7:AJ$7))))</f>
        <v/>
      </c>
      <c r="AK639" s="2223" t="str" cm="1">
        <f t="array" ref="AK639">IF($D639&lt;COLUMNS($F$7:AK$7),"",INDEX(TableDiv[[GASB]:[GASB]],_xlfn.AGGREGATE(15,3,(TableDiv[[Agency]:[Agency]]=$E639)/(TableDiv[[Agency]:[Agency]]=$E639)*(ROW(TableDiv[Agency])-ROW(TableDiv[[#Headers],[Agency]])),COLUMNS($F$7:AK$7))))</f>
        <v/>
      </c>
      <c r="AL639" s="2223" t="str" cm="1">
        <f t="array" ref="AL639">IF($D639&lt;COLUMNS($F$7:AL$7),"",INDEX(TableDiv[[GASB]:[GASB]],_xlfn.AGGREGATE(15,3,(TableDiv[[Agency]:[Agency]]=$E639)/(TableDiv[[Agency]:[Agency]]=$E639)*(ROW(TableDiv[Agency])-ROW(TableDiv[[#Headers],[Agency]])),COLUMNS($F$7:AL$7))))</f>
        <v/>
      </c>
      <c r="AM639" s="2223" t="str" cm="1">
        <f t="array" ref="AM639">IF($D639&lt;COLUMNS($F$7:AM$7),"",INDEX(TableDiv[[GASB]:[GASB]],_xlfn.AGGREGATE(15,3,(TableDiv[[Agency]:[Agency]]=$E639)/(TableDiv[[Agency]:[Agency]]=$E639)*(ROW(TableDiv[Agency])-ROW(TableDiv[[#Headers],[Agency]])),COLUMNS($F$7:AM$7))))</f>
        <v/>
      </c>
      <c r="AN639" s="2223"/>
      <c r="AO639" s="2223"/>
      <c r="AP639" s="2223"/>
      <c r="AQ639" s="2223"/>
      <c r="AR639" s="2223"/>
      <c r="AS639" s="2223"/>
    </row>
    <row r="640" spans="1:45" x14ac:dyDescent="0.2">
      <c r="A640" s="2223"/>
      <c r="B640" s="2223"/>
      <c r="C640" s="2223"/>
      <c r="W640" s="2223" t="str" cm="1">
        <f t="array" ref="W640">IF($D640&lt;COLUMNS($F$7:W$7),"",INDEX(TableDiv[[GASB]:[GASB]],_xlfn.AGGREGATE(15,3,(TableDiv[[Agency]:[Agency]]=$E640)/(TableDiv[[Agency]:[Agency]]=$E640)*(ROW(TableDiv[Agency])-ROW(TableDiv[[#Headers],[Agency]])),COLUMNS($F$7:W$7))))</f>
        <v/>
      </c>
      <c r="X640" s="2223" t="str" cm="1">
        <f t="array" ref="X640">IF($D640&lt;COLUMNS($F$7:X$7),"",INDEX(TableDiv[[GASB]:[GASB]],_xlfn.AGGREGATE(15,3,(TableDiv[[Agency]:[Agency]]=$E640)/(TableDiv[[Agency]:[Agency]]=$E640)*(ROW(TableDiv[Agency])-ROW(TableDiv[[#Headers],[Agency]])),COLUMNS($F$7:X$7))))</f>
        <v/>
      </c>
      <c r="Y640" s="2223" t="str" cm="1">
        <f t="array" ref="Y640">IF($D640&lt;COLUMNS($F$7:Y$7),"",INDEX(TableDiv[[GASB]:[GASB]],_xlfn.AGGREGATE(15,3,(TableDiv[[Agency]:[Agency]]=$E640)/(TableDiv[[Agency]:[Agency]]=$E640)*(ROW(TableDiv[Agency])-ROW(TableDiv[[#Headers],[Agency]])),COLUMNS($F$7:Y$7))))</f>
        <v/>
      </c>
      <c r="Z640" s="2223" t="str" cm="1">
        <f t="array" ref="Z640">IF($D640&lt;COLUMNS($F$7:Z$7),"",INDEX(TableDiv[[GASB]:[GASB]],_xlfn.AGGREGATE(15,3,(TableDiv[[Agency]:[Agency]]=$E640)/(TableDiv[[Agency]:[Agency]]=$E640)*(ROW(TableDiv[Agency])-ROW(TableDiv[[#Headers],[Agency]])),COLUMNS($F$7:Z$7))))</f>
        <v/>
      </c>
      <c r="AA640" s="2223" t="str" cm="1">
        <f t="array" ref="AA640">IF($D640&lt;COLUMNS($F$7:AA$7),"",INDEX(TableDiv[[GASB]:[GASB]],_xlfn.AGGREGATE(15,3,(TableDiv[[Agency]:[Agency]]=$E640)/(TableDiv[[Agency]:[Agency]]=$E640)*(ROW(TableDiv[Agency])-ROW(TableDiv[[#Headers],[Agency]])),COLUMNS($F$7:AA$7))))</f>
        <v/>
      </c>
      <c r="AB640" s="2223" t="str" cm="1">
        <f t="array" ref="AB640">IF($D640&lt;COLUMNS($F$7:AB$7),"",INDEX(TableDiv[[GASB]:[GASB]],_xlfn.AGGREGATE(15,3,(TableDiv[[Agency]:[Agency]]=$E640)/(TableDiv[[Agency]:[Agency]]=$E640)*(ROW(TableDiv[Agency])-ROW(TableDiv[[#Headers],[Agency]])),COLUMNS($F$7:AB$7))))</f>
        <v/>
      </c>
      <c r="AC640" s="2223" t="str" cm="1">
        <f t="array" ref="AC640">IF($D640&lt;COLUMNS($F$7:AC$7),"",INDEX(TableDiv[[GASB]:[GASB]],_xlfn.AGGREGATE(15,3,(TableDiv[[Agency]:[Agency]]=$E640)/(TableDiv[[Agency]:[Agency]]=$E640)*(ROW(TableDiv[Agency])-ROW(TableDiv[[#Headers],[Agency]])),COLUMNS($F$7:AC$7))))</f>
        <v/>
      </c>
      <c r="AD640" s="2223" t="str" cm="1">
        <f t="array" ref="AD640">IF($D640&lt;COLUMNS($F$7:AD$7),"",INDEX(TableDiv[[GASB]:[GASB]],_xlfn.AGGREGATE(15,3,(TableDiv[[Agency]:[Agency]]=$E640)/(TableDiv[[Agency]:[Agency]]=$E640)*(ROW(TableDiv[Agency])-ROW(TableDiv[[#Headers],[Agency]])),COLUMNS($F$7:AD$7))))</f>
        <v/>
      </c>
      <c r="AE640" s="2223" t="str" cm="1">
        <f t="array" ref="AE640">IF($D640&lt;COLUMNS($F$7:AE$7),"",INDEX(TableDiv[[GASB]:[GASB]],_xlfn.AGGREGATE(15,3,(TableDiv[[Agency]:[Agency]]=$E640)/(TableDiv[[Agency]:[Agency]]=$E640)*(ROW(TableDiv[Agency])-ROW(TableDiv[[#Headers],[Agency]])),COLUMNS($F$7:AE$7))))</f>
        <v/>
      </c>
      <c r="AF640" s="2223" t="str" cm="1">
        <f t="array" ref="AF640">IF($D640&lt;COLUMNS($F$7:AF$7),"",INDEX(TableDiv[[GASB]:[GASB]],_xlfn.AGGREGATE(15,3,(TableDiv[[Agency]:[Agency]]=$E640)/(TableDiv[[Agency]:[Agency]]=$E640)*(ROW(TableDiv[Agency])-ROW(TableDiv[[#Headers],[Agency]])),COLUMNS($F$7:AF$7))))</f>
        <v/>
      </c>
      <c r="AG640" s="2223" t="str" cm="1">
        <f t="array" ref="AG640">IF($D640&lt;COLUMNS($F$7:AG$7),"",INDEX(TableDiv[[GASB]:[GASB]],_xlfn.AGGREGATE(15,3,(TableDiv[[Agency]:[Agency]]=$E640)/(TableDiv[[Agency]:[Agency]]=$E640)*(ROW(TableDiv[Agency])-ROW(TableDiv[[#Headers],[Agency]])),COLUMNS($F$7:AG$7))))</f>
        <v/>
      </c>
      <c r="AH640" s="2223" t="str" cm="1">
        <f t="array" ref="AH640">IF($D640&lt;COLUMNS($F$7:AH$7),"",INDEX(TableDiv[[GASB]:[GASB]],_xlfn.AGGREGATE(15,3,(TableDiv[[Agency]:[Agency]]=$E640)/(TableDiv[[Agency]:[Agency]]=$E640)*(ROW(TableDiv[Agency])-ROW(TableDiv[[#Headers],[Agency]])),COLUMNS($F$7:AH$7))))</f>
        <v/>
      </c>
      <c r="AI640" s="2223" t="str" cm="1">
        <f t="array" ref="AI640">IF($D640&lt;COLUMNS($F$7:AI$7),"",INDEX(TableDiv[[GASB]:[GASB]],_xlfn.AGGREGATE(15,3,(TableDiv[[Agency]:[Agency]]=$E640)/(TableDiv[[Agency]:[Agency]]=$E640)*(ROW(TableDiv[Agency])-ROW(TableDiv[[#Headers],[Agency]])),COLUMNS($F$7:AI$7))))</f>
        <v/>
      </c>
      <c r="AJ640" s="2223" t="str" cm="1">
        <f t="array" ref="AJ640">IF($D640&lt;COLUMNS($F$7:AJ$7),"",INDEX(TableDiv[[GASB]:[GASB]],_xlfn.AGGREGATE(15,3,(TableDiv[[Agency]:[Agency]]=$E640)/(TableDiv[[Agency]:[Agency]]=$E640)*(ROW(TableDiv[Agency])-ROW(TableDiv[[#Headers],[Agency]])),COLUMNS($F$7:AJ$7))))</f>
        <v/>
      </c>
      <c r="AK640" s="2223" t="str" cm="1">
        <f t="array" ref="AK640">IF($D640&lt;COLUMNS($F$7:AK$7),"",INDEX(TableDiv[[GASB]:[GASB]],_xlfn.AGGREGATE(15,3,(TableDiv[[Agency]:[Agency]]=$E640)/(TableDiv[[Agency]:[Agency]]=$E640)*(ROW(TableDiv[Agency])-ROW(TableDiv[[#Headers],[Agency]])),COLUMNS($F$7:AK$7))))</f>
        <v/>
      </c>
      <c r="AL640" s="2223" t="str" cm="1">
        <f t="array" ref="AL640">IF($D640&lt;COLUMNS($F$7:AL$7),"",INDEX(TableDiv[[GASB]:[GASB]],_xlfn.AGGREGATE(15,3,(TableDiv[[Agency]:[Agency]]=$E640)/(TableDiv[[Agency]:[Agency]]=$E640)*(ROW(TableDiv[Agency])-ROW(TableDiv[[#Headers],[Agency]])),COLUMNS($F$7:AL$7))))</f>
        <v/>
      </c>
      <c r="AM640" s="2223" t="str" cm="1">
        <f t="array" ref="AM640">IF($D640&lt;COLUMNS($F$7:AM$7),"",INDEX(TableDiv[[GASB]:[GASB]],_xlfn.AGGREGATE(15,3,(TableDiv[[Agency]:[Agency]]=$E640)/(TableDiv[[Agency]:[Agency]]=$E640)*(ROW(TableDiv[Agency])-ROW(TableDiv[[#Headers],[Agency]])),COLUMNS($F$7:AM$7))))</f>
        <v/>
      </c>
      <c r="AN640" s="2223"/>
      <c r="AO640" s="2223"/>
      <c r="AP640" s="2223"/>
      <c r="AQ640" s="2223"/>
      <c r="AR640" s="2223"/>
      <c r="AS640" s="2223"/>
    </row>
    <row r="641" spans="1:45" x14ac:dyDescent="0.2">
      <c r="A641" s="2223"/>
      <c r="B641" s="2223"/>
      <c r="C641" s="2223"/>
      <c r="W641" s="2223" t="str" cm="1">
        <f t="array" ref="W641">IF($D641&lt;COLUMNS($F$7:W$7),"",INDEX(TableDiv[[GASB]:[GASB]],_xlfn.AGGREGATE(15,3,(TableDiv[[Agency]:[Agency]]=$E641)/(TableDiv[[Agency]:[Agency]]=$E641)*(ROW(TableDiv[Agency])-ROW(TableDiv[[#Headers],[Agency]])),COLUMNS($F$7:W$7))))</f>
        <v/>
      </c>
      <c r="X641" s="2223" t="str" cm="1">
        <f t="array" ref="X641">IF($D641&lt;COLUMNS($F$7:X$7),"",INDEX(TableDiv[[GASB]:[GASB]],_xlfn.AGGREGATE(15,3,(TableDiv[[Agency]:[Agency]]=$E641)/(TableDiv[[Agency]:[Agency]]=$E641)*(ROW(TableDiv[Agency])-ROW(TableDiv[[#Headers],[Agency]])),COLUMNS($F$7:X$7))))</f>
        <v/>
      </c>
      <c r="Y641" s="2223" t="str" cm="1">
        <f t="array" ref="Y641">IF($D641&lt;COLUMNS($F$7:Y$7),"",INDEX(TableDiv[[GASB]:[GASB]],_xlfn.AGGREGATE(15,3,(TableDiv[[Agency]:[Agency]]=$E641)/(TableDiv[[Agency]:[Agency]]=$E641)*(ROW(TableDiv[Agency])-ROW(TableDiv[[#Headers],[Agency]])),COLUMNS($F$7:Y$7))))</f>
        <v/>
      </c>
      <c r="Z641" s="2223" t="str" cm="1">
        <f t="array" ref="Z641">IF($D641&lt;COLUMNS($F$7:Z$7),"",INDEX(TableDiv[[GASB]:[GASB]],_xlfn.AGGREGATE(15,3,(TableDiv[[Agency]:[Agency]]=$E641)/(TableDiv[[Agency]:[Agency]]=$E641)*(ROW(TableDiv[Agency])-ROW(TableDiv[[#Headers],[Agency]])),COLUMNS($F$7:Z$7))))</f>
        <v/>
      </c>
      <c r="AA641" s="2223" t="str" cm="1">
        <f t="array" ref="AA641">IF($D641&lt;COLUMNS($F$7:AA$7),"",INDEX(TableDiv[[GASB]:[GASB]],_xlfn.AGGREGATE(15,3,(TableDiv[[Agency]:[Agency]]=$E641)/(TableDiv[[Agency]:[Agency]]=$E641)*(ROW(TableDiv[Agency])-ROW(TableDiv[[#Headers],[Agency]])),COLUMNS($F$7:AA$7))))</f>
        <v/>
      </c>
      <c r="AB641" s="2223" t="str" cm="1">
        <f t="array" ref="AB641">IF($D641&lt;COLUMNS($F$7:AB$7),"",INDEX(TableDiv[[GASB]:[GASB]],_xlfn.AGGREGATE(15,3,(TableDiv[[Agency]:[Agency]]=$E641)/(TableDiv[[Agency]:[Agency]]=$E641)*(ROW(TableDiv[Agency])-ROW(TableDiv[[#Headers],[Agency]])),COLUMNS($F$7:AB$7))))</f>
        <v/>
      </c>
      <c r="AC641" s="2223" t="str" cm="1">
        <f t="array" ref="AC641">IF($D641&lt;COLUMNS($F$7:AC$7),"",INDEX(TableDiv[[GASB]:[GASB]],_xlfn.AGGREGATE(15,3,(TableDiv[[Agency]:[Agency]]=$E641)/(TableDiv[[Agency]:[Agency]]=$E641)*(ROW(TableDiv[Agency])-ROW(TableDiv[[#Headers],[Agency]])),COLUMNS($F$7:AC$7))))</f>
        <v/>
      </c>
      <c r="AD641" s="2223" t="str" cm="1">
        <f t="array" ref="AD641">IF($D641&lt;COLUMNS($F$7:AD$7),"",INDEX(TableDiv[[GASB]:[GASB]],_xlfn.AGGREGATE(15,3,(TableDiv[[Agency]:[Agency]]=$E641)/(TableDiv[[Agency]:[Agency]]=$E641)*(ROW(TableDiv[Agency])-ROW(TableDiv[[#Headers],[Agency]])),COLUMNS($F$7:AD$7))))</f>
        <v/>
      </c>
      <c r="AE641" s="2223" t="str" cm="1">
        <f t="array" ref="AE641">IF($D641&lt;COLUMNS($F$7:AE$7),"",INDEX(TableDiv[[GASB]:[GASB]],_xlfn.AGGREGATE(15,3,(TableDiv[[Agency]:[Agency]]=$E641)/(TableDiv[[Agency]:[Agency]]=$E641)*(ROW(TableDiv[Agency])-ROW(TableDiv[[#Headers],[Agency]])),COLUMNS($F$7:AE$7))))</f>
        <v/>
      </c>
      <c r="AF641" s="2223" t="str" cm="1">
        <f t="array" ref="AF641">IF($D641&lt;COLUMNS($F$7:AF$7),"",INDEX(TableDiv[[GASB]:[GASB]],_xlfn.AGGREGATE(15,3,(TableDiv[[Agency]:[Agency]]=$E641)/(TableDiv[[Agency]:[Agency]]=$E641)*(ROW(TableDiv[Agency])-ROW(TableDiv[[#Headers],[Agency]])),COLUMNS($F$7:AF$7))))</f>
        <v/>
      </c>
      <c r="AG641" s="2223" t="str" cm="1">
        <f t="array" ref="AG641">IF($D641&lt;COLUMNS($F$7:AG$7),"",INDEX(TableDiv[[GASB]:[GASB]],_xlfn.AGGREGATE(15,3,(TableDiv[[Agency]:[Agency]]=$E641)/(TableDiv[[Agency]:[Agency]]=$E641)*(ROW(TableDiv[Agency])-ROW(TableDiv[[#Headers],[Agency]])),COLUMNS($F$7:AG$7))))</f>
        <v/>
      </c>
      <c r="AH641" s="2223" t="str" cm="1">
        <f t="array" ref="AH641">IF($D641&lt;COLUMNS($F$7:AH$7),"",INDEX(TableDiv[[GASB]:[GASB]],_xlfn.AGGREGATE(15,3,(TableDiv[[Agency]:[Agency]]=$E641)/(TableDiv[[Agency]:[Agency]]=$E641)*(ROW(TableDiv[Agency])-ROW(TableDiv[[#Headers],[Agency]])),COLUMNS($F$7:AH$7))))</f>
        <v/>
      </c>
      <c r="AI641" s="2223" t="str" cm="1">
        <f t="array" ref="AI641">IF($D641&lt;COLUMNS($F$7:AI$7),"",INDEX(TableDiv[[GASB]:[GASB]],_xlfn.AGGREGATE(15,3,(TableDiv[[Agency]:[Agency]]=$E641)/(TableDiv[[Agency]:[Agency]]=$E641)*(ROW(TableDiv[Agency])-ROW(TableDiv[[#Headers],[Agency]])),COLUMNS($F$7:AI$7))))</f>
        <v/>
      </c>
      <c r="AJ641" s="2223" t="str" cm="1">
        <f t="array" ref="AJ641">IF($D641&lt;COLUMNS($F$7:AJ$7),"",INDEX(TableDiv[[GASB]:[GASB]],_xlfn.AGGREGATE(15,3,(TableDiv[[Agency]:[Agency]]=$E641)/(TableDiv[[Agency]:[Agency]]=$E641)*(ROW(TableDiv[Agency])-ROW(TableDiv[[#Headers],[Agency]])),COLUMNS($F$7:AJ$7))))</f>
        <v/>
      </c>
      <c r="AK641" s="2223" t="str" cm="1">
        <f t="array" ref="AK641">IF($D641&lt;COLUMNS($F$7:AK$7),"",INDEX(TableDiv[[GASB]:[GASB]],_xlfn.AGGREGATE(15,3,(TableDiv[[Agency]:[Agency]]=$E641)/(TableDiv[[Agency]:[Agency]]=$E641)*(ROW(TableDiv[Agency])-ROW(TableDiv[[#Headers],[Agency]])),COLUMNS($F$7:AK$7))))</f>
        <v/>
      </c>
      <c r="AL641" s="2223" t="str" cm="1">
        <f t="array" ref="AL641">IF($D641&lt;COLUMNS($F$7:AL$7),"",INDEX(TableDiv[[GASB]:[GASB]],_xlfn.AGGREGATE(15,3,(TableDiv[[Agency]:[Agency]]=$E641)/(TableDiv[[Agency]:[Agency]]=$E641)*(ROW(TableDiv[Agency])-ROW(TableDiv[[#Headers],[Agency]])),COLUMNS($F$7:AL$7))))</f>
        <v/>
      </c>
      <c r="AM641" s="2223" t="str" cm="1">
        <f t="array" ref="AM641">IF($D641&lt;COLUMNS($F$7:AM$7),"",INDEX(TableDiv[[GASB]:[GASB]],_xlfn.AGGREGATE(15,3,(TableDiv[[Agency]:[Agency]]=$E641)/(TableDiv[[Agency]:[Agency]]=$E641)*(ROW(TableDiv[Agency])-ROW(TableDiv[[#Headers],[Agency]])),COLUMNS($F$7:AM$7))))</f>
        <v/>
      </c>
      <c r="AN641" s="2223"/>
      <c r="AO641" s="2223"/>
      <c r="AP641" s="2223"/>
      <c r="AQ641" s="2223"/>
      <c r="AR641" s="2223"/>
      <c r="AS641" s="2223"/>
    </row>
    <row r="642" spans="1:45" x14ac:dyDescent="0.2">
      <c r="A642" s="2223"/>
      <c r="B642" s="2223"/>
      <c r="C642" s="2223"/>
      <c r="W642" s="2223" t="str" cm="1">
        <f t="array" ref="W642">IF($D642&lt;COLUMNS($F$7:W$7),"",INDEX(TableDiv[[GASB]:[GASB]],_xlfn.AGGREGATE(15,3,(TableDiv[[Agency]:[Agency]]=$E642)/(TableDiv[[Agency]:[Agency]]=$E642)*(ROW(TableDiv[Agency])-ROW(TableDiv[[#Headers],[Agency]])),COLUMNS($F$7:W$7))))</f>
        <v/>
      </c>
      <c r="X642" s="2223" t="str" cm="1">
        <f t="array" ref="X642">IF($D642&lt;COLUMNS($F$7:X$7),"",INDEX(TableDiv[[GASB]:[GASB]],_xlfn.AGGREGATE(15,3,(TableDiv[[Agency]:[Agency]]=$E642)/(TableDiv[[Agency]:[Agency]]=$E642)*(ROW(TableDiv[Agency])-ROW(TableDiv[[#Headers],[Agency]])),COLUMNS($F$7:X$7))))</f>
        <v/>
      </c>
      <c r="Y642" s="2223" t="str" cm="1">
        <f t="array" ref="Y642">IF($D642&lt;COLUMNS($F$7:Y$7),"",INDEX(TableDiv[[GASB]:[GASB]],_xlfn.AGGREGATE(15,3,(TableDiv[[Agency]:[Agency]]=$E642)/(TableDiv[[Agency]:[Agency]]=$E642)*(ROW(TableDiv[Agency])-ROW(TableDiv[[#Headers],[Agency]])),COLUMNS($F$7:Y$7))))</f>
        <v/>
      </c>
      <c r="Z642" s="2223" t="str" cm="1">
        <f t="array" ref="Z642">IF($D642&lt;COLUMNS($F$7:Z$7),"",INDEX(TableDiv[[GASB]:[GASB]],_xlfn.AGGREGATE(15,3,(TableDiv[[Agency]:[Agency]]=$E642)/(TableDiv[[Agency]:[Agency]]=$E642)*(ROW(TableDiv[Agency])-ROW(TableDiv[[#Headers],[Agency]])),COLUMNS($F$7:Z$7))))</f>
        <v/>
      </c>
      <c r="AA642" s="2223" t="str" cm="1">
        <f t="array" ref="AA642">IF($D642&lt;COLUMNS($F$7:AA$7),"",INDEX(TableDiv[[GASB]:[GASB]],_xlfn.AGGREGATE(15,3,(TableDiv[[Agency]:[Agency]]=$E642)/(TableDiv[[Agency]:[Agency]]=$E642)*(ROW(TableDiv[Agency])-ROW(TableDiv[[#Headers],[Agency]])),COLUMNS($F$7:AA$7))))</f>
        <v/>
      </c>
      <c r="AB642" s="2223" t="str" cm="1">
        <f t="array" ref="AB642">IF($D642&lt;COLUMNS($F$7:AB$7),"",INDEX(TableDiv[[GASB]:[GASB]],_xlfn.AGGREGATE(15,3,(TableDiv[[Agency]:[Agency]]=$E642)/(TableDiv[[Agency]:[Agency]]=$E642)*(ROW(TableDiv[Agency])-ROW(TableDiv[[#Headers],[Agency]])),COLUMNS($F$7:AB$7))))</f>
        <v/>
      </c>
      <c r="AC642" s="2223" t="str" cm="1">
        <f t="array" ref="AC642">IF($D642&lt;COLUMNS($F$7:AC$7),"",INDEX(TableDiv[[GASB]:[GASB]],_xlfn.AGGREGATE(15,3,(TableDiv[[Agency]:[Agency]]=$E642)/(TableDiv[[Agency]:[Agency]]=$E642)*(ROW(TableDiv[Agency])-ROW(TableDiv[[#Headers],[Agency]])),COLUMNS($F$7:AC$7))))</f>
        <v/>
      </c>
      <c r="AD642" s="2223" t="str" cm="1">
        <f t="array" ref="AD642">IF($D642&lt;COLUMNS($F$7:AD$7),"",INDEX(TableDiv[[GASB]:[GASB]],_xlfn.AGGREGATE(15,3,(TableDiv[[Agency]:[Agency]]=$E642)/(TableDiv[[Agency]:[Agency]]=$E642)*(ROW(TableDiv[Agency])-ROW(TableDiv[[#Headers],[Agency]])),COLUMNS($F$7:AD$7))))</f>
        <v/>
      </c>
      <c r="AE642" s="2223" t="str" cm="1">
        <f t="array" ref="AE642">IF($D642&lt;COLUMNS($F$7:AE$7),"",INDEX(TableDiv[[GASB]:[GASB]],_xlfn.AGGREGATE(15,3,(TableDiv[[Agency]:[Agency]]=$E642)/(TableDiv[[Agency]:[Agency]]=$E642)*(ROW(TableDiv[Agency])-ROW(TableDiv[[#Headers],[Agency]])),COLUMNS($F$7:AE$7))))</f>
        <v/>
      </c>
      <c r="AF642" s="2223" t="str" cm="1">
        <f t="array" ref="AF642">IF($D642&lt;COLUMNS($F$7:AF$7),"",INDEX(TableDiv[[GASB]:[GASB]],_xlfn.AGGREGATE(15,3,(TableDiv[[Agency]:[Agency]]=$E642)/(TableDiv[[Agency]:[Agency]]=$E642)*(ROW(TableDiv[Agency])-ROW(TableDiv[[#Headers],[Agency]])),COLUMNS($F$7:AF$7))))</f>
        <v/>
      </c>
      <c r="AG642" s="2223" t="str" cm="1">
        <f t="array" ref="AG642">IF($D642&lt;COLUMNS($F$7:AG$7),"",INDEX(TableDiv[[GASB]:[GASB]],_xlfn.AGGREGATE(15,3,(TableDiv[[Agency]:[Agency]]=$E642)/(TableDiv[[Agency]:[Agency]]=$E642)*(ROW(TableDiv[Agency])-ROW(TableDiv[[#Headers],[Agency]])),COLUMNS($F$7:AG$7))))</f>
        <v/>
      </c>
      <c r="AH642" s="2223" t="str" cm="1">
        <f t="array" ref="AH642">IF($D642&lt;COLUMNS($F$7:AH$7),"",INDEX(TableDiv[[GASB]:[GASB]],_xlfn.AGGREGATE(15,3,(TableDiv[[Agency]:[Agency]]=$E642)/(TableDiv[[Agency]:[Agency]]=$E642)*(ROW(TableDiv[Agency])-ROW(TableDiv[[#Headers],[Agency]])),COLUMNS($F$7:AH$7))))</f>
        <v/>
      </c>
      <c r="AI642" s="2223" t="str" cm="1">
        <f t="array" ref="AI642">IF($D642&lt;COLUMNS($F$7:AI$7),"",INDEX(TableDiv[[GASB]:[GASB]],_xlfn.AGGREGATE(15,3,(TableDiv[[Agency]:[Agency]]=$E642)/(TableDiv[[Agency]:[Agency]]=$E642)*(ROW(TableDiv[Agency])-ROW(TableDiv[[#Headers],[Agency]])),COLUMNS($F$7:AI$7))))</f>
        <v/>
      </c>
      <c r="AJ642" s="2223" t="str" cm="1">
        <f t="array" ref="AJ642">IF($D642&lt;COLUMNS($F$7:AJ$7),"",INDEX(TableDiv[[GASB]:[GASB]],_xlfn.AGGREGATE(15,3,(TableDiv[[Agency]:[Agency]]=$E642)/(TableDiv[[Agency]:[Agency]]=$E642)*(ROW(TableDiv[Agency])-ROW(TableDiv[[#Headers],[Agency]])),COLUMNS($F$7:AJ$7))))</f>
        <v/>
      </c>
      <c r="AK642" s="2223" t="str" cm="1">
        <f t="array" ref="AK642">IF($D642&lt;COLUMNS($F$7:AK$7),"",INDEX(TableDiv[[GASB]:[GASB]],_xlfn.AGGREGATE(15,3,(TableDiv[[Agency]:[Agency]]=$E642)/(TableDiv[[Agency]:[Agency]]=$E642)*(ROW(TableDiv[Agency])-ROW(TableDiv[[#Headers],[Agency]])),COLUMNS($F$7:AK$7))))</f>
        <v/>
      </c>
      <c r="AL642" s="2223" t="str" cm="1">
        <f t="array" ref="AL642">IF($D642&lt;COLUMNS($F$7:AL$7),"",INDEX(TableDiv[[GASB]:[GASB]],_xlfn.AGGREGATE(15,3,(TableDiv[[Agency]:[Agency]]=$E642)/(TableDiv[[Agency]:[Agency]]=$E642)*(ROW(TableDiv[Agency])-ROW(TableDiv[[#Headers],[Agency]])),COLUMNS($F$7:AL$7))))</f>
        <v/>
      </c>
      <c r="AM642" s="2223" t="str" cm="1">
        <f t="array" ref="AM642">IF($D642&lt;COLUMNS($F$7:AM$7),"",INDEX(TableDiv[[GASB]:[GASB]],_xlfn.AGGREGATE(15,3,(TableDiv[[Agency]:[Agency]]=$E642)/(TableDiv[[Agency]:[Agency]]=$E642)*(ROW(TableDiv[Agency])-ROW(TableDiv[[#Headers],[Agency]])),COLUMNS($F$7:AM$7))))</f>
        <v/>
      </c>
      <c r="AN642" s="2223"/>
      <c r="AO642" s="2223"/>
      <c r="AP642" s="2223"/>
      <c r="AQ642" s="2223"/>
      <c r="AR642" s="2223"/>
      <c r="AS642" s="2223"/>
    </row>
    <row r="643" spans="1:45" x14ac:dyDescent="0.2">
      <c r="A643" s="2223"/>
      <c r="B643" s="2223"/>
      <c r="C643" s="2223"/>
      <c r="W643" s="2223" t="str" cm="1">
        <f t="array" ref="W643">IF($D643&lt;COLUMNS($F$7:W$7),"",INDEX(TableDiv[[GASB]:[GASB]],_xlfn.AGGREGATE(15,3,(TableDiv[[Agency]:[Agency]]=$E643)/(TableDiv[[Agency]:[Agency]]=$E643)*(ROW(TableDiv[Agency])-ROW(TableDiv[[#Headers],[Agency]])),COLUMNS($F$7:W$7))))</f>
        <v/>
      </c>
      <c r="X643" s="2223" t="str" cm="1">
        <f t="array" ref="X643">IF($D643&lt;COLUMNS($F$7:X$7),"",INDEX(TableDiv[[GASB]:[GASB]],_xlfn.AGGREGATE(15,3,(TableDiv[[Agency]:[Agency]]=$E643)/(TableDiv[[Agency]:[Agency]]=$E643)*(ROW(TableDiv[Agency])-ROW(TableDiv[[#Headers],[Agency]])),COLUMNS($F$7:X$7))))</f>
        <v/>
      </c>
      <c r="Y643" s="2223" t="str" cm="1">
        <f t="array" ref="Y643">IF($D643&lt;COLUMNS($F$7:Y$7),"",INDEX(TableDiv[[GASB]:[GASB]],_xlfn.AGGREGATE(15,3,(TableDiv[[Agency]:[Agency]]=$E643)/(TableDiv[[Agency]:[Agency]]=$E643)*(ROW(TableDiv[Agency])-ROW(TableDiv[[#Headers],[Agency]])),COLUMNS($F$7:Y$7))))</f>
        <v/>
      </c>
      <c r="Z643" s="2223" t="str" cm="1">
        <f t="array" ref="Z643">IF($D643&lt;COLUMNS($F$7:Z$7),"",INDEX(TableDiv[[GASB]:[GASB]],_xlfn.AGGREGATE(15,3,(TableDiv[[Agency]:[Agency]]=$E643)/(TableDiv[[Agency]:[Agency]]=$E643)*(ROW(TableDiv[Agency])-ROW(TableDiv[[#Headers],[Agency]])),COLUMNS($F$7:Z$7))))</f>
        <v/>
      </c>
      <c r="AA643" s="2223" t="str" cm="1">
        <f t="array" ref="AA643">IF($D643&lt;COLUMNS($F$7:AA$7),"",INDEX(TableDiv[[GASB]:[GASB]],_xlfn.AGGREGATE(15,3,(TableDiv[[Agency]:[Agency]]=$E643)/(TableDiv[[Agency]:[Agency]]=$E643)*(ROW(TableDiv[Agency])-ROW(TableDiv[[#Headers],[Agency]])),COLUMNS($F$7:AA$7))))</f>
        <v/>
      </c>
      <c r="AB643" s="2223" t="str" cm="1">
        <f t="array" ref="AB643">IF($D643&lt;COLUMNS($F$7:AB$7),"",INDEX(TableDiv[[GASB]:[GASB]],_xlfn.AGGREGATE(15,3,(TableDiv[[Agency]:[Agency]]=$E643)/(TableDiv[[Agency]:[Agency]]=$E643)*(ROW(TableDiv[Agency])-ROW(TableDiv[[#Headers],[Agency]])),COLUMNS($F$7:AB$7))))</f>
        <v/>
      </c>
      <c r="AC643" s="2223" t="str" cm="1">
        <f t="array" ref="AC643">IF($D643&lt;COLUMNS($F$7:AC$7),"",INDEX(TableDiv[[GASB]:[GASB]],_xlfn.AGGREGATE(15,3,(TableDiv[[Agency]:[Agency]]=$E643)/(TableDiv[[Agency]:[Agency]]=$E643)*(ROW(TableDiv[Agency])-ROW(TableDiv[[#Headers],[Agency]])),COLUMNS($F$7:AC$7))))</f>
        <v/>
      </c>
      <c r="AD643" s="2223" t="str" cm="1">
        <f t="array" ref="AD643">IF($D643&lt;COLUMNS($F$7:AD$7),"",INDEX(TableDiv[[GASB]:[GASB]],_xlfn.AGGREGATE(15,3,(TableDiv[[Agency]:[Agency]]=$E643)/(TableDiv[[Agency]:[Agency]]=$E643)*(ROW(TableDiv[Agency])-ROW(TableDiv[[#Headers],[Agency]])),COLUMNS($F$7:AD$7))))</f>
        <v/>
      </c>
      <c r="AE643" s="2223" t="str" cm="1">
        <f t="array" ref="AE643">IF($D643&lt;COLUMNS($F$7:AE$7),"",INDEX(TableDiv[[GASB]:[GASB]],_xlfn.AGGREGATE(15,3,(TableDiv[[Agency]:[Agency]]=$E643)/(TableDiv[[Agency]:[Agency]]=$E643)*(ROW(TableDiv[Agency])-ROW(TableDiv[[#Headers],[Agency]])),COLUMNS($F$7:AE$7))))</f>
        <v/>
      </c>
      <c r="AF643" s="2223" t="str" cm="1">
        <f t="array" ref="AF643">IF($D643&lt;COLUMNS($F$7:AF$7),"",INDEX(TableDiv[[GASB]:[GASB]],_xlfn.AGGREGATE(15,3,(TableDiv[[Agency]:[Agency]]=$E643)/(TableDiv[[Agency]:[Agency]]=$E643)*(ROW(TableDiv[Agency])-ROW(TableDiv[[#Headers],[Agency]])),COLUMNS($F$7:AF$7))))</f>
        <v/>
      </c>
      <c r="AG643" s="2223" t="str" cm="1">
        <f t="array" ref="AG643">IF($D643&lt;COLUMNS($F$7:AG$7),"",INDEX(TableDiv[[GASB]:[GASB]],_xlfn.AGGREGATE(15,3,(TableDiv[[Agency]:[Agency]]=$E643)/(TableDiv[[Agency]:[Agency]]=$E643)*(ROW(TableDiv[Agency])-ROW(TableDiv[[#Headers],[Agency]])),COLUMNS($F$7:AG$7))))</f>
        <v/>
      </c>
      <c r="AH643" s="2223" t="str" cm="1">
        <f t="array" ref="AH643">IF($D643&lt;COLUMNS($F$7:AH$7),"",INDEX(TableDiv[[GASB]:[GASB]],_xlfn.AGGREGATE(15,3,(TableDiv[[Agency]:[Agency]]=$E643)/(TableDiv[[Agency]:[Agency]]=$E643)*(ROW(TableDiv[Agency])-ROW(TableDiv[[#Headers],[Agency]])),COLUMNS($F$7:AH$7))))</f>
        <v/>
      </c>
      <c r="AI643" s="2223" t="str" cm="1">
        <f t="array" ref="AI643">IF($D643&lt;COLUMNS($F$7:AI$7),"",INDEX(TableDiv[[GASB]:[GASB]],_xlfn.AGGREGATE(15,3,(TableDiv[[Agency]:[Agency]]=$E643)/(TableDiv[[Agency]:[Agency]]=$E643)*(ROW(TableDiv[Agency])-ROW(TableDiv[[#Headers],[Agency]])),COLUMNS($F$7:AI$7))))</f>
        <v/>
      </c>
      <c r="AJ643" s="2223" t="str" cm="1">
        <f t="array" ref="AJ643">IF($D643&lt;COLUMNS($F$7:AJ$7),"",INDEX(TableDiv[[GASB]:[GASB]],_xlfn.AGGREGATE(15,3,(TableDiv[[Agency]:[Agency]]=$E643)/(TableDiv[[Agency]:[Agency]]=$E643)*(ROW(TableDiv[Agency])-ROW(TableDiv[[#Headers],[Agency]])),COLUMNS($F$7:AJ$7))))</f>
        <v/>
      </c>
      <c r="AK643" s="2223" t="str" cm="1">
        <f t="array" ref="AK643">IF($D643&lt;COLUMNS($F$7:AK$7),"",INDEX(TableDiv[[GASB]:[GASB]],_xlfn.AGGREGATE(15,3,(TableDiv[[Agency]:[Agency]]=$E643)/(TableDiv[[Agency]:[Agency]]=$E643)*(ROW(TableDiv[Agency])-ROW(TableDiv[[#Headers],[Agency]])),COLUMNS($F$7:AK$7))))</f>
        <v/>
      </c>
      <c r="AL643" s="2223" t="str" cm="1">
        <f t="array" ref="AL643">IF($D643&lt;COLUMNS($F$7:AL$7),"",INDEX(TableDiv[[GASB]:[GASB]],_xlfn.AGGREGATE(15,3,(TableDiv[[Agency]:[Agency]]=$E643)/(TableDiv[[Agency]:[Agency]]=$E643)*(ROW(TableDiv[Agency])-ROW(TableDiv[[#Headers],[Agency]])),COLUMNS($F$7:AL$7))))</f>
        <v/>
      </c>
      <c r="AM643" s="2223" t="str" cm="1">
        <f t="array" ref="AM643">IF($D643&lt;COLUMNS($F$7:AM$7),"",INDEX(TableDiv[[GASB]:[GASB]],_xlfn.AGGREGATE(15,3,(TableDiv[[Agency]:[Agency]]=$E643)/(TableDiv[[Agency]:[Agency]]=$E643)*(ROW(TableDiv[Agency])-ROW(TableDiv[[#Headers],[Agency]])),COLUMNS($F$7:AM$7))))</f>
        <v/>
      </c>
      <c r="AN643" s="2223"/>
      <c r="AO643" s="2223"/>
      <c r="AP643" s="2223"/>
      <c r="AQ643" s="2223"/>
      <c r="AR643" s="2223"/>
      <c r="AS643" s="2223"/>
    </row>
    <row r="644" spans="1:45" x14ac:dyDescent="0.2">
      <c r="A644" s="2223"/>
      <c r="B644" s="2223"/>
      <c r="C644" s="2223"/>
      <c r="W644" s="2223" t="str" cm="1">
        <f t="array" ref="W644">IF($D644&lt;COLUMNS($F$7:W$7),"",INDEX(TableDiv[[GASB]:[GASB]],_xlfn.AGGREGATE(15,3,(TableDiv[[Agency]:[Agency]]=$E644)/(TableDiv[[Agency]:[Agency]]=$E644)*(ROW(TableDiv[Agency])-ROW(TableDiv[[#Headers],[Agency]])),COLUMNS($F$7:W$7))))</f>
        <v/>
      </c>
      <c r="X644" s="2223" t="str" cm="1">
        <f t="array" ref="X644">IF($D644&lt;COLUMNS($F$7:X$7),"",INDEX(TableDiv[[GASB]:[GASB]],_xlfn.AGGREGATE(15,3,(TableDiv[[Agency]:[Agency]]=$E644)/(TableDiv[[Agency]:[Agency]]=$E644)*(ROW(TableDiv[Agency])-ROW(TableDiv[[#Headers],[Agency]])),COLUMNS($F$7:X$7))))</f>
        <v/>
      </c>
      <c r="Y644" s="2223" t="str" cm="1">
        <f t="array" ref="Y644">IF($D644&lt;COLUMNS($F$7:Y$7),"",INDEX(TableDiv[[GASB]:[GASB]],_xlfn.AGGREGATE(15,3,(TableDiv[[Agency]:[Agency]]=$E644)/(TableDiv[[Agency]:[Agency]]=$E644)*(ROW(TableDiv[Agency])-ROW(TableDiv[[#Headers],[Agency]])),COLUMNS($F$7:Y$7))))</f>
        <v/>
      </c>
      <c r="Z644" s="2223" t="str" cm="1">
        <f t="array" ref="Z644">IF($D644&lt;COLUMNS($F$7:Z$7),"",INDEX(TableDiv[[GASB]:[GASB]],_xlfn.AGGREGATE(15,3,(TableDiv[[Agency]:[Agency]]=$E644)/(TableDiv[[Agency]:[Agency]]=$E644)*(ROW(TableDiv[Agency])-ROW(TableDiv[[#Headers],[Agency]])),COLUMNS($F$7:Z$7))))</f>
        <v/>
      </c>
      <c r="AA644" s="2223" t="str" cm="1">
        <f t="array" ref="AA644">IF($D644&lt;COLUMNS($F$7:AA$7),"",INDEX(TableDiv[[GASB]:[GASB]],_xlfn.AGGREGATE(15,3,(TableDiv[[Agency]:[Agency]]=$E644)/(TableDiv[[Agency]:[Agency]]=$E644)*(ROW(TableDiv[Agency])-ROW(TableDiv[[#Headers],[Agency]])),COLUMNS($F$7:AA$7))))</f>
        <v/>
      </c>
      <c r="AB644" s="2223" t="str" cm="1">
        <f t="array" ref="AB644">IF($D644&lt;COLUMNS($F$7:AB$7),"",INDEX(TableDiv[[GASB]:[GASB]],_xlfn.AGGREGATE(15,3,(TableDiv[[Agency]:[Agency]]=$E644)/(TableDiv[[Agency]:[Agency]]=$E644)*(ROW(TableDiv[Agency])-ROW(TableDiv[[#Headers],[Agency]])),COLUMNS($F$7:AB$7))))</f>
        <v/>
      </c>
      <c r="AC644" s="2223" t="str" cm="1">
        <f t="array" ref="AC644">IF($D644&lt;COLUMNS($F$7:AC$7),"",INDEX(TableDiv[[GASB]:[GASB]],_xlfn.AGGREGATE(15,3,(TableDiv[[Agency]:[Agency]]=$E644)/(TableDiv[[Agency]:[Agency]]=$E644)*(ROW(TableDiv[Agency])-ROW(TableDiv[[#Headers],[Agency]])),COLUMNS($F$7:AC$7))))</f>
        <v/>
      </c>
      <c r="AD644" s="2223" t="str" cm="1">
        <f t="array" ref="AD644">IF($D644&lt;COLUMNS($F$7:AD$7),"",INDEX(TableDiv[[GASB]:[GASB]],_xlfn.AGGREGATE(15,3,(TableDiv[[Agency]:[Agency]]=$E644)/(TableDiv[[Agency]:[Agency]]=$E644)*(ROW(TableDiv[Agency])-ROW(TableDiv[[#Headers],[Agency]])),COLUMNS($F$7:AD$7))))</f>
        <v/>
      </c>
      <c r="AE644" s="2223" t="str" cm="1">
        <f t="array" ref="AE644">IF($D644&lt;COLUMNS($F$7:AE$7),"",INDEX(TableDiv[[GASB]:[GASB]],_xlfn.AGGREGATE(15,3,(TableDiv[[Agency]:[Agency]]=$E644)/(TableDiv[[Agency]:[Agency]]=$E644)*(ROW(TableDiv[Agency])-ROW(TableDiv[[#Headers],[Agency]])),COLUMNS($F$7:AE$7))))</f>
        <v/>
      </c>
      <c r="AF644" s="2223" t="str" cm="1">
        <f t="array" ref="AF644">IF($D644&lt;COLUMNS($F$7:AF$7),"",INDEX(TableDiv[[GASB]:[GASB]],_xlfn.AGGREGATE(15,3,(TableDiv[[Agency]:[Agency]]=$E644)/(TableDiv[[Agency]:[Agency]]=$E644)*(ROW(TableDiv[Agency])-ROW(TableDiv[[#Headers],[Agency]])),COLUMNS($F$7:AF$7))))</f>
        <v/>
      </c>
      <c r="AG644" s="2223" t="str" cm="1">
        <f t="array" ref="AG644">IF($D644&lt;COLUMNS($F$7:AG$7),"",INDEX(TableDiv[[GASB]:[GASB]],_xlfn.AGGREGATE(15,3,(TableDiv[[Agency]:[Agency]]=$E644)/(TableDiv[[Agency]:[Agency]]=$E644)*(ROW(TableDiv[Agency])-ROW(TableDiv[[#Headers],[Agency]])),COLUMNS($F$7:AG$7))))</f>
        <v/>
      </c>
      <c r="AH644" s="2223" t="str" cm="1">
        <f t="array" ref="AH644">IF($D644&lt;COLUMNS($F$7:AH$7),"",INDEX(TableDiv[[GASB]:[GASB]],_xlfn.AGGREGATE(15,3,(TableDiv[[Agency]:[Agency]]=$E644)/(TableDiv[[Agency]:[Agency]]=$E644)*(ROW(TableDiv[Agency])-ROW(TableDiv[[#Headers],[Agency]])),COLUMNS($F$7:AH$7))))</f>
        <v/>
      </c>
      <c r="AI644" s="2223" t="str" cm="1">
        <f t="array" ref="AI644">IF($D644&lt;COLUMNS($F$7:AI$7),"",INDEX(TableDiv[[GASB]:[GASB]],_xlfn.AGGREGATE(15,3,(TableDiv[[Agency]:[Agency]]=$E644)/(TableDiv[[Agency]:[Agency]]=$E644)*(ROW(TableDiv[Agency])-ROW(TableDiv[[#Headers],[Agency]])),COLUMNS($F$7:AI$7))))</f>
        <v/>
      </c>
      <c r="AJ644" s="2223" t="str" cm="1">
        <f t="array" ref="AJ644">IF($D644&lt;COLUMNS($F$7:AJ$7),"",INDEX(TableDiv[[GASB]:[GASB]],_xlfn.AGGREGATE(15,3,(TableDiv[[Agency]:[Agency]]=$E644)/(TableDiv[[Agency]:[Agency]]=$E644)*(ROW(TableDiv[Agency])-ROW(TableDiv[[#Headers],[Agency]])),COLUMNS($F$7:AJ$7))))</f>
        <v/>
      </c>
      <c r="AK644" s="2223" t="str" cm="1">
        <f t="array" ref="AK644">IF($D644&lt;COLUMNS($F$7:AK$7),"",INDEX(TableDiv[[GASB]:[GASB]],_xlfn.AGGREGATE(15,3,(TableDiv[[Agency]:[Agency]]=$E644)/(TableDiv[[Agency]:[Agency]]=$E644)*(ROW(TableDiv[Agency])-ROW(TableDiv[[#Headers],[Agency]])),COLUMNS($F$7:AK$7))))</f>
        <v/>
      </c>
      <c r="AL644" s="2223" t="str" cm="1">
        <f t="array" ref="AL644">IF($D644&lt;COLUMNS($F$7:AL$7),"",INDEX(TableDiv[[GASB]:[GASB]],_xlfn.AGGREGATE(15,3,(TableDiv[[Agency]:[Agency]]=$E644)/(TableDiv[[Agency]:[Agency]]=$E644)*(ROW(TableDiv[Agency])-ROW(TableDiv[[#Headers],[Agency]])),COLUMNS($F$7:AL$7))))</f>
        <v/>
      </c>
      <c r="AM644" s="2223" t="str" cm="1">
        <f t="array" ref="AM644">IF($D644&lt;COLUMNS($F$7:AM$7),"",INDEX(TableDiv[[GASB]:[GASB]],_xlfn.AGGREGATE(15,3,(TableDiv[[Agency]:[Agency]]=$E644)/(TableDiv[[Agency]:[Agency]]=$E644)*(ROW(TableDiv[Agency])-ROW(TableDiv[[#Headers],[Agency]])),COLUMNS($F$7:AM$7))))</f>
        <v/>
      </c>
      <c r="AN644" s="2223"/>
      <c r="AO644" s="2223"/>
      <c r="AP644" s="2223"/>
      <c r="AQ644" s="2223"/>
      <c r="AR644" s="2223"/>
      <c r="AS644" s="2223"/>
    </row>
    <row r="645" spans="1:45" x14ac:dyDescent="0.2">
      <c r="A645" s="2223"/>
      <c r="B645" s="2223"/>
      <c r="C645" s="2223"/>
      <c r="W645" s="2223" t="str" cm="1">
        <f t="array" ref="W645">IF($D645&lt;COLUMNS($F$7:W$7),"",INDEX(TableDiv[[GASB]:[GASB]],_xlfn.AGGREGATE(15,3,(TableDiv[[Agency]:[Agency]]=$E645)/(TableDiv[[Agency]:[Agency]]=$E645)*(ROW(TableDiv[Agency])-ROW(TableDiv[[#Headers],[Agency]])),COLUMNS($F$7:W$7))))</f>
        <v/>
      </c>
      <c r="X645" s="2223" t="str" cm="1">
        <f t="array" ref="X645">IF($D645&lt;COLUMNS($F$7:X$7),"",INDEX(TableDiv[[GASB]:[GASB]],_xlfn.AGGREGATE(15,3,(TableDiv[[Agency]:[Agency]]=$E645)/(TableDiv[[Agency]:[Agency]]=$E645)*(ROW(TableDiv[Agency])-ROW(TableDiv[[#Headers],[Agency]])),COLUMNS($F$7:X$7))))</f>
        <v/>
      </c>
      <c r="Y645" s="2223" t="str" cm="1">
        <f t="array" ref="Y645">IF($D645&lt;COLUMNS($F$7:Y$7),"",INDEX(TableDiv[[GASB]:[GASB]],_xlfn.AGGREGATE(15,3,(TableDiv[[Agency]:[Agency]]=$E645)/(TableDiv[[Agency]:[Agency]]=$E645)*(ROW(TableDiv[Agency])-ROW(TableDiv[[#Headers],[Agency]])),COLUMNS($F$7:Y$7))))</f>
        <v/>
      </c>
      <c r="Z645" s="2223" t="str" cm="1">
        <f t="array" ref="Z645">IF($D645&lt;COLUMNS($F$7:Z$7),"",INDEX(TableDiv[[GASB]:[GASB]],_xlfn.AGGREGATE(15,3,(TableDiv[[Agency]:[Agency]]=$E645)/(TableDiv[[Agency]:[Agency]]=$E645)*(ROW(TableDiv[Agency])-ROW(TableDiv[[#Headers],[Agency]])),COLUMNS($F$7:Z$7))))</f>
        <v/>
      </c>
      <c r="AA645" s="2223" t="str" cm="1">
        <f t="array" ref="AA645">IF($D645&lt;COLUMNS($F$7:AA$7),"",INDEX(TableDiv[[GASB]:[GASB]],_xlfn.AGGREGATE(15,3,(TableDiv[[Agency]:[Agency]]=$E645)/(TableDiv[[Agency]:[Agency]]=$E645)*(ROW(TableDiv[Agency])-ROW(TableDiv[[#Headers],[Agency]])),COLUMNS($F$7:AA$7))))</f>
        <v/>
      </c>
      <c r="AB645" s="2223" t="str" cm="1">
        <f t="array" ref="AB645">IF($D645&lt;COLUMNS($F$7:AB$7),"",INDEX(TableDiv[[GASB]:[GASB]],_xlfn.AGGREGATE(15,3,(TableDiv[[Agency]:[Agency]]=$E645)/(TableDiv[[Agency]:[Agency]]=$E645)*(ROW(TableDiv[Agency])-ROW(TableDiv[[#Headers],[Agency]])),COLUMNS($F$7:AB$7))))</f>
        <v/>
      </c>
      <c r="AC645" s="2223" t="str" cm="1">
        <f t="array" ref="AC645">IF($D645&lt;COLUMNS($F$7:AC$7),"",INDEX(TableDiv[[GASB]:[GASB]],_xlfn.AGGREGATE(15,3,(TableDiv[[Agency]:[Agency]]=$E645)/(TableDiv[[Agency]:[Agency]]=$E645)*(ROW(TableDiv[Agency])-ROW(TableDiv[[#Headers],[Agency]])),COLUMNS($F$7:AC$7))))</f>
        <v/>
      </c>
      <c r="AD645" s="2223" t="str" cm="1">
        <f t="array" ref="AD645">IF($D645&lt;COLUMNS($F$7:AD$7),"",INDEX(TableDiv[[GASB]:[GASB]],_xlfn.AGGREGATE(15,3,(TableDiv[[Agency]:[Agency]]=$E645)/(TableDiv[[Agency]:[Agency]]=$E645)*(ROW(TableDiv[Agency])-ROW(TableDiv[[#Headers],[Agency]])),COLUMNS($F$7:AD$7))))</f>
        <v/>
      </c>
      <c r="AE645" s="2223" t="str" cm="1">
        <f t="array" ref="AE645">IF($D645&lt;COLUMNS($F$7:AE$7),"",INDEX(TableDiv[[GASB]:[GASB]],_xlfn.AGGREGATE(15,3,(TableDiv[[Agency]:[Agency]]=$E645)/(TableDiv[[Agency]:[Agency]]=$E645)*(ROW(TableDiv[Agency])-ROW(TableDiv[[#Headers],[Agency]])),COLUMNS($F$7:AE$7))))</f>
        <v/>
      </c>
      <c r="AF645" s="2223" t="str" cm="1">
        <f t="array" ref="AF645">IF($D645&lt;COLUMNS($F$7:AF$7),"",INDEX(TableDiv[[GASB]:[GASB]],_xlfn.AGGREGATE(15,3,(TableDiv[[Agency]:[Agency]]=$E645)/(TableDiv[[Agency]:[Agency]]=$E645)*(ROW(TableDiv[Agency])-ROW(TableDiv[[#Headers],[Agency]])),COLUMNS($F$7:AF$7))))</f>
        <v/>
      </c>
      <c r="AG645" s="2223" t="str" cm="1">
        <f t="array" ref="AG645">IF($D645&lt;COLUMNS($F$7:AG$7),"",INDEX(TableDiv[[GASB]:[GASB]],_xlfn.AGGREGATE(15,3,(TableDiv[[Agency]:[Agency]]=$E645)/(TableDiv[[Agency]:[Agency]]=$E645)*(ROW(TableDiv[Agency])-ROW(TableDiv[[#Headers],[Agency]])),COLUMNS($F$7:AG$7))))</f>
        <v/>
      </c>
      <c r="AH645" s="2223" t="str" cm="1">
        <f t="array" ref="AH645">IF($D645&lt;COLUMNS($F$7:AH$7),"",INDEX(TableDiv[[GASB]:[GASB]],_xlfn.AGGREGATE(15,3,(TableDiv[[Agency]:[Agency]]=$E645)/(TableDiv[[Agency]:[Agency]]=$E645)*(ROW(TableDiv[Agency])-ROW(TableDiv[[#Headers],[Agency]])),COLUMNS($F$7:AH$7))))</f>
        <v/>
      </c>
      <c r="AI645" s="2223" t="str" cm="1">
        <f t="array" ref="AI645">IF($D645&lt;COLUMNS($F$7:AI$7),"",INDEX(TableDiv[[GASB]:[GASB]],_xlfn.AGGREGATE(15,3,(TableDiv[[Agency]:[Agency]]=$E645)/(TableDiv[[Agency]:[Agency]]=$E645)*(ROW(TableDiv[Agency])-ROW(TableDiv[[#Headers],[Agency]])),COLUMNS($F$7:AI$7))))</f>
        <v/>
      </c>
      <c r="AJ645" s="2223" t="str" cm="1">
        <f t="array" ref="AJ645">IF($D645&lt;COLUMNS($F$7:AJ$7),"",INDEX(TableDiv[[GASB]:[GASB]],_xlfn.AGGREGATE(15,3,(TableDiv[[Agency]:[Agency]]=$E645)/(TableDiv[[Agency]:[Agency]]=$E645)*(ROW(TableDiv[Agency])-ROW(TableDiv[[#Headers],[Agency]])),COLUMNS($F$7:AJ$7))))</f>
        <v/>
      </c>
      <c r="AK645" s="2223" t="str" cm="1">
        <f t="array" ref="AK645">IF($D645&lt;COLUMNS($F$7:AK$7),"",INDEX(TableDiv[[GASB]:[GASB]],_xlfn.AGGREGATE(15,3,(TableDiv[[Agency]:[Agency]]=$E645)/(TableDiv[[Agency]:[Agency]]=$E645)*(ROW(TableDiv[Agency])-ROW(TableDiv[[#Headers],[Agency]])),COLUMNS($F$7:AK$7))))</f>
        <v/>
      </c>
      <c r="AL645" s="2223" t="str" cm="1">
        <f t="array" ref="AL645">IF($D645&lt;COLUMNS($F$7:AL$7),"",INDEX(TableDiv[[GASB]:[GASB]],_xlfn.AGGREGATE(15,3,(TableDiv[[Agency]:[Agency]]=$E645)/(TableDiv[[Agency]:[Agency]]=$E645)*(ROW(TableDiv[Agency])-ROW(TableDiv[[#Headers],[Agency]])),COLUMNS($F$7:AL$7))))</f>
        <v/>
      </c>
      <c r="AM645" s="2223" t="str" cm="1">
        <f t="array" ref="AM645">IF($D645&lt;COLUMNS($F$7:AM$7),"",INDEX(TableDiv[[GASB]:[GASB]],_xlfn.AGGREGATE(15,3,(TableDiv[[Agency]:[Agency]]=$E645)/(TableDiv[[Agency]:[Agency]]=$E645)*(ROW(TableDiv[Agency])-ROW(TableDiv[[#Headers],[Agency]])),COLUMNS($F$7:AM$7))))</f>
        <v/>
      </c>
      <c r="AN645" s="2223"/>
      <c r="AO645" s="2223"/>
      <c r="AP645" s="2223"/>
      <c r="AQ645" s="2223"/>
      <c r="AR645" s="2223"/>
      <c r="AS645" s="2223"/>
    </row>
    <row r="646" spans="1:45" x14ac:dyDescent="0.2">
      <c r="A646" s="2223"/>
      <c r="B646" s="2223"/>
      <c r="C646" s="2223"/>
      <c r="W646" s="2223" t="str" cm="1">
        <f t="array" ref="W646">IF($D646&lt;COLUMNS($F$7:W$7),"",INDEX(TableDiv[[GASB]:[GASB]],_xlfn.AGGREGATE(15,3,(TableDiv[[Agency]:[Agency]]=$E646)/(TableDiv[[Agency]:[Agency]]=$E646)*(ROW(TableDiv[Agency])-ROW(TableDiv[[#Headers],[Agency]])),COLUMNS($F$7:W$7))))</f>
        <v/>
      </c>
      <c r="X646" s="2223" t="str" cm="1">
        <f t="array" ref="X646">IF($D646&lt;COLUMNS($F$7:X$7),"",INDEX(TableDiv[[GASB]:[GASB]],_xlfn.AGGREGATE(15,3,(TableDiv[[Agency]:[Agency]]=$E646)/(TableDiv[[Agency]:[Agency]]=$E646)*(ROW(TableDiv[Agency])-ROW(TableDiv[[#Headers],[Agency]])),COLUMNS($F$7:X$7))))</f>
        <v/>
      </c>
      <c r="Y646" s="2223" t="str" cm="1">
        <f t="array" ref="Y646">IF($D646&lt;COLUMNS($F$7:Y$7),"",INDEX(TableDiv[[GASB]:[GASB]],_xlfn.AGGREGATE(15,3,(TableDiv[[Agency]:[Agency]]=$E646)/(TableDiv[[Agency]:[Agency]]=$E646)*(ROW(TableDiv[Agency])-ROW(TableDiv[[#Headers],[Agency]])),COLUMNS($F$7:Y$7))))</f>
        <v/>
      </c>
      <c r="Z646" s="2223" t="str" cm="1">
        <f t="array" ref="Z646">IF($D646&lt;COLUMNS($F$7:Z$7),"",INDEX(TableDiv[[GASB]:[GASB]],_xlfn.AGGREGATE(15,3,(TableDiv[[Agency]:[Agency]]=$E646)/(TableDiv[[Agency]:[Agency]]=$E646)*(ROW(TableDiv[Agency])-ROW(TableDiv[[#Headers],[Agency]])),COLUMNS($F$7:Z$7))))</f>
        <v/>
      </c>
      <c r="AA646" s="2223" t="str" cm="1">
        <f t="array" ref="AA646">IF($D646&lt;COLUMNS($F$7:AA$7),"",INDEX(TableDiv[[GASB]:[GASB]],_xlfn.AGGREGATE(15,3,(TableDiv[[Agency]:[Agency]]=$E646)/(TableDiv[[Agency]:[Agency]]=$E646)*(ROW(TableDiv[Agency])-ROW(TableDiv[[#Headers],[Agency]])),COLUMNS($F$7:AA$7))))</f>
        <v/>
      </c>
      <c r="AB646" s="2223" t="str" cm="1">
        <f t="array" ref="AB646">IF($D646&lt;COLUMNS($F$7:AB$7),"",INDEX(TableDiv[[GASB]:[GASB]],_xlfn.AGGREGATE(15,3,(TableDiv[[Agency]:[Agency]]=$E646)/(TableDiv[[Agency]:[Agency]]=$E646)*(ROW(TableDiv[Agency])-ROW(TableDiv[[#Headers],[Agency]])),COLUMNS($F$7:AB$7))))</f>
        <v/>
      </c>
      <c r="AC646" s="2223" t="str" cm="1">
        <f t="array" ref="AC646">IF($D646&lt;COLUMNS($F$7:AC$7),"",INDEX(TableDiv[[GASB]:[GASB]],_xlfn.AGGREGATE(15,3,(TableDiv[[Agency]:[Agency]]=$E646)/(TableDiv[[Agency]:[Agency]]=$E646)*(ROW(TableDiv[Agency])-ROW(TableDiv[[#Headers],[Agency]])),COLUMNS($F$7:AC$7))))</f>
        <v/>
      </c>
      <c r="AD646" s="2223" t="str" cm="1">
        <f t="array" ref="AD646">IF($D646&lt;COLUMNS($F$7:AD$7),"",INDEX(TableDiv[[GASB]:[GASB]],_xlfn.AGGREGATE(15,3,(TableDiv[[Agency]:[Agency]]=$E646)/(TableDiv[[Agency]:[Agency]]=$E646)*(ROW(TableDiv[Agency])-ROW(TableDiv[[#Headers],[Agency]])),COLUMNS($F$7:AD$7))))</f>
        <v/>
      </c>
      <c r="AE646" s="2223" t="str" cm="1">
        <f t="array" ref="AE646">IF($D646&lt;COLUMNS($F$7:AE$7),"",INDEX(TableDiv[[GASB]:[GASB]],_xlfn.AGGREGATE(15,3,(TableDiv[[Agency]:[Agency]]=$E646)/(TableDiv[[Agency]:[Agency]]=$E646)*(ROW(TableDiv[Agency])-ROW(TableDiv[[#Headers],[Agency]])),COLUMNS($F$7:AE$7))))</f>
        <v/>
      </c>
      <c r="AF646" s="2223" t="str" cm="1">
        <f t="array" ref="AF646">IF($D646&lt;COLUMNS($F$7:AF$7),"",INDEX(TableDiv[[GASB]:[GASB]],_xlfn.AGGREGATE(15,3,(TableDiv[[Agency]:[Agency]]=$E646)/(TableDiv[[Agency]:[Agency]]=$E646)*(ROW(TableDiv[Agency])-ROW(TableDiv[[#Headers],[Agency]])),COLUMNS($F$7:AF$7))))</f>
        <v/>
      </c>
      <c r="AG646" s="2223" t="str" cm="1">
        <f t="array" ref="AG646">IF($D646&lt;COLUMNS($F$7:AG$7),"",INDEX(TableDiv[[GASB]:[GASB]],_xlfn.AGGREGATE(15,3,(TableDiv[[Agency]:[Agency]]=$E646)/(TableDiv[[Agency]:[Agency]]=$E646)*(ROW(TableDiv[Agency])-ROW(TableDiv[[#Headers],[Agency]])),COLUMNS($F$7:AG$7))))</f>
        <v/>
      </c>
      <c r="AH646" s="2223" t="str" cm="1">
        <f t="array" ref="AH646">IF($D646&lt;COLUMNS($F$7:AH$7),"",INDEX(TableDiv[[GASB]:[GASB]],_xlfn.AGGREGATE(15,3,(TableDiv[[Agency]:[Agency]]=$E646)/(TableDiv[[Agency]:[Agency]]=$E646)*(ROW(TableDiv[Agency])-ROW(TableDiv[[#Headers],[Agency]])),COLUMNS($F$7:AH$7))))</f>
        <v/>
      </c>
      <c r="AI646" s="2223" t="str" cm="1">
        <f t="array" ref="AI646">IF($D646&lt;COLUMNS($F$7:AI$7),"",INDEX(TableDiv[[GASB]:[GASB]],_xlfn.AGGREGATE(15,3,(TableDiv[[Agency]:[Agency]]=$E646)/(TableDiv[[Agency]:[Agency]]=$E646)*(ROW(TableDiv[Agency])-ROW(TableDiv[[#Headers],[Agency]])),COLUMNS($F$7:AI$7))))</f>
        <v/>
      </c>
      <c r="AJ646" s="2223" t="str" cm="1">
        <f t="array" ref="AJ646">IF($D646&lt;COLUMNS($F$7:AJ$7),"",INDEX(TableDiv[[GASB]:[GASB]],_xlfn.AGGREGATE(15,3,(TableDiv[[Agency]:[Agency]]=$E646)/(TableDiv[[Agency]:[Agency]]=$E646)*(ROW(TableDiv[Agency])-ROW(TableDiv[[#Headers],[Agency]])),COLUMNS($F$7:AJ$7))))</f>
        <v/>
      </c>
      <c r="AK646" s="2223" t="str" cm="1">
        <f t="array" ref="AK646">IF($D646&lt;COLUMNS($F$7:AK$7),"",INDEX(TableDiv[[GASB]:[GASB]],_xlfn.AGGREGATE(15,3,(TableDiv[[Agency]:[Agency]]=$E646)/(TableDiv[[Agency]:[Agency]]=$E646)*(ROW(TableDiv[Agency])-ROW(TableDiv[[#Headers],[Agency]])),COLUMNS($F$7:AK$7))))</f>
        <v/>
      </c>
      <c r="AL646" s="2223" t="str" cm="1">
        <f t="array" ref="AL646">IF($D646&lt;COLUMNS($F$7:AL$7),"",INDEX(TableDiv[[GASB]:[GASB]],_xlfn.AGGREGATE(15,3,(TableDiv[[Agency]:[Agency]]=$E646)/(TableDiv[[Agency]:[Agency]]=$E646)*(ROW(TableDiv[Agency])-ROW(TableDiv[[#Headers],[Agency]])),COLUMNS($F$7:AL$7))))</f>
        <v/>
      </c>
      <c r="AM646" s="2223" t="str" cm="1">
        <f t="array" ref="AM646">IF($D646&lt;COLUMNS($F$7:AM$7),"",INDEX(TableDiv[[GASB]:[GASB]],_xlfn.AGGREGATE(15,3,(TableDiv[[Agency]:[Agency]]=$E646)/(TableDiv[[Agency]:[Agency]]=$E646)*(ROW(TableDiv[Agency])-ROW(TableDiv[[#Headers],[Agency]])),COLUMNS($F$7:AM$7))))</f>
        <v/>
      </c>
      <c r="AN646" s="2223"/>
      <c r="AO646" s="2223"/>
      <c r="AP646" s="2223"/>
      <c r="AQ646" s="2223"/>
      <c r="AR646" s="2223"/>
      <c r="AS646" s="2223"/>
    </row>
    <row r="647" spans="1:45" x14ac:dyDescent="0.2">
      <c r="A647" s="2223"/>
      <c r="B647" s="2223"/>
      <c r="C647" s="2223"/>
      <c r="W647" s="2223" t="str" cm="1">
        <f t="array" ref="W647">IF($D647&lt;COLUMNS($F$7:W$7),"",INDEX(TableDiv[[GASB]:[GASB]],_xlfn.AGGREGATE(15,3,(TableDiv[[Agency]:[Agency]]=$E647)/(TableDiv[[Agency]:[Agency]]=$E647)*(ROW(TableDiv[Agency])-ROW(TableDiv[[#Headers],[Agency]])),COLUMNS($F$7:W$7))))</f>
        <v/>
      </c>
      <c r="X647" s="2223" t="str" cm="1">
        <f t="array" ref="X647">IF($D647&lt;COLUMNS($F$7:X$7),"",INDEX(TableDiv[[GASB]:[GASB]],_xlfn.AGGREGATE(15,3,(TableDiv[[Agency]:[Agency]]=$E647)/(TableDiv[[Agency]:[Agency]]=$E647)*(ROW(TableDiv[Agency])-ROW(TableDiv[[#Headers],[Agency]])),COLUMNS($F$7:X$7))))</f>
        <v/>
      </c>
      <c r="Y647" s="2223" t="str" cm="1">
        <f t="array" ref="Y647">IF($D647&lt;COLUMNS($F$7:Y$7),"",INDEX(TableDiv[[GASB]:[GASB]],_xlfn.AGGREGATE(15,3,(TableDiv[[Agency]:[Agency]]=$E647)/(TableDiv[[Agency]:[Agency]]=$E647)*(ROW(TableDiv[Agency])-ROW(TableDiv[[#Headers],[Agency]])),COLUMNS($F$7:Y$7))))</f>
        <v/>
      </c>
      <c r="Z647" s="2223" t="str" cm="1">
        <f t="array" ref="Z647">IF($D647&lt;COLUMNS($F$7:Z$7),"",INDEX(TableDiv[[GASB]:[GASB]],_xlfn.AGGREGATE(15,3,(TableDiv[[Agency]:[Agency]]=$E647)/(TableDiv[[Agency]:[Agency]]=$E647)*(ROW(TableDiv[Agency])-ROW(TableDiv[[#Headers],[Agency]])),COLUMNS($F$7:Z$7))))</f>
        <v/>
      </c>
      <c r="AA647" s="2223" t="str" cm="1">
        <f t="array" ref="AA647">IF($D647&lt;COLUMNS($F$7:AA$7),"",INDEX(TableDiv[[GASB]:[GASB]],_xlfn.AGGREGATE(15,3,(TableDiv[[Agency]:[Agency]]=$E647)/(TableDiv[[Agency]:[Agency]]=$E647)*(ROW(TableDiv[Agency])-ROW(TableDiv[[#Headers],[Agency]])),COLUMNS($F$7:AA$7))))</f>
        <v/>
      </c>
      <c r="AB647" s="2223" t="str" cm="1">
        <f t="array" ref="AB647">IF($D647&lt;COLUMNS($F$7:AB$7),"",INDEX(TableDiv[[GASB]:[GASB]],_xlfn.AGGREGATE(15,3,(TableDiv[[Agency]:[Agency]]=$E647)/(TableDiv[[Agency]:[Agency]]=$E647)*(ROW(TableDiv[Agency])-ROW(TableDiv[[#Headers],[Agency]])),COLUMNS($F$7:AB$7))))</f>
        <v/>
      </c>
      <c r="AC647" s="2223" t="str" cm="1">
        <f t="array" ref="AC647">IF($D647&lt;COLUMNS($F$7:AC$7),"",INDEX(TableDiv[[GASB]:[GASB]],_xlfn.AGGREGATE(15,3,(TableDiv[[Agency]:[Agency]]=$E647)/(TableDiv[[Agency]:[Agency]]=$E647)*(ROW(TableDiv[Agency])-ROW(TableDiv[[#Headers],[Agency]])),COLUMNS($F$7:AC$7))))</f>
        <v/>
      </c>
      <c r="AD647" s="2223" t="str" cm="1">
        <f t="array" ref="AD647">IF($D647&lt;COLUMNS($F$7:AD$7),"",INDEX(TableDiv[[GASB]:[GASB]],_xlfn.AGGREGATE(15,3,(TableDiv[[Agency]:[Agency]]=$E647)/(TableDiv[[Agency]:[Agency]]=$E647)*(ROW(TableDiv[Agency])-ROW(TableDiv[[#Headers],[Agency]])),COLUMNS($F$7:AD$7))))</f>
        <v/>
      </c>
      <c r="AE647" s="2223" t="str" cm="1">
        <f t="array" ref="AE647">IF($D647&lt;COLUMNS($F$7:AE$7),"",INDEX(TableDiv[[GASB]:[GASB]],_xlfn.AGGREGATE(15,3,(TableDiv[[Agency]:[Agency]]=$E647)/(TableDiv[[Agency]:[Agency]]=$E647)*(ROW(TableDiv[Agency])-ROW(TableDiv[[#Headers],[Agency]])),COLUMNS($F$7:AE$7))))</f>
        <v/>
      </c>
      <c r="AF647" s="2223" t="str" cm="1">
        <f t="array" ref="AF647">IF($D647&lt;COLUMNS($F$7:AF$7),"",INDEX(TableDiv[[GASB]:[GASB]],_xlfn.AGGREGATE(15,3,(TableDiv[[Agency]:[Agency]]=$E647)/(TableDiv[[Agency]:[Agency]]=$E647)*(ROW(TableDiv[Agency])-ROW(TableDiv[[#Headers],[Agency]])),COLUMNS($F$7:AF$7))))</f>
        <v/>
      </c>
      <c r="AG647" s="2223" t="str" cm="1">
        <f t="array" ref="AG647">IF($D647&lt;COLUMNS($F$7:AG$7),"",INDEX(TableDiv[[GASB]:[GASB]],_xlfn.AGGREGATE(15,3,(TableDiv[[Agency]:[Agency]]=$E647)/(TableDiv[[Agency]:[Agency]]=$E647)*(ROW(TableDiv[Agency])-ROW(TableDiv[[#Headers],[Agency]])),COLUMNS($F$7:AG$7))))</f>
        <v/>
      </c>
      <c r="AH647" s="2223" t="str" cm="1">
        <f t="array" ref="AH647">IF($D647&lt;COLUMNS($F$7:AH$7),"",INDEX(TableDiv[[GASB]:[GASB]],_xlfn.AGGREGATE(15,3,(TableDiv[[Agency]:[Agency]]=$E647)/(TableDiv[[Agency]:[Agency]]=$E647)*(ROW(TableDiv[Agency])-ROW(TableDiv[[#Headers],[Agency]])),COLUMNS($F$7:AH$7))))</f>
        <v/>
      </c>
      <c r="AI647" s="2223" t="str" cm="1">
        <f t="array" ref="AI647">IF($D647&lt;COLUMNS($F$7:AI$7),"",INDEX(TableDiv[[GASB]:[GASB]],_xlfn.AGGREGATE(15,3,(TableDiv[[Agency]:[Agency]]=$E647)/(TableDiv[[Agency]:[Agency]]=$E647)*(ROW(TableDiv[Agency])-ROW(TableDiv[[#Headers],[Agency]])),COLUMNS($F$7:AI$7))))</f>
        <v/>
      </c>
      <c r="AJ647" s="2223" t="str" cm="1">
        <f t="array" ref="AJ647">IF($D647&lt;COLUMNS($F$7:AJ$7),"",INDEX(TableDiv[[GASB]:[GASB]],_xlfn.AGGREGATE(15,3,(TableDiv[[Agency]:[Agency]]=$E647)/(TableDiv[[Agency]:[Agency]]=$E647)*(ROW(TableDiv[Agency])-ROW(TableDiv[[#Headers],[Agency]])),COLUMNS($F$7:AJ$7))))</f>
        <v/>
      </c>
      <c r="AK647" s="2223" t="str" cm="1">
        <f t="array" ref="AK647">IF($D647&lt;COLUMNS($F$7:AK$7),"",INDEX(TableDiv[[GASB]:[GASB]],_xlfn.AGGREGATE(15,3,(TableDiv[[Agency]:[Agency]]=$E647)/(TableDiv[[Agency]:[Agency]]=$E647)*(ROW(TableDiv[Agency])-ROW(TableDiv[[#Headers],[Agency]])),COLUMNS($F$7:AK$7))))</f>
        <v/>
      </c>
      <c r="AL647" s="2223" t="str" cm="1">
        <f t="array" ref="AL647">IF($D647&lt;COLUMNS($F$7:AL$7),"",INDEX(TableDiv[[GASB]:[GASB]],_xlfn.AGGREGATE(15,3,(TableDiv[[Agency]:[Agency]]=$E647)/(TableDiv[[Agency]:[Agency]]=$E647)*(ROW(TableDiv[Agency])-ROW(TableDiv[[#Headers],[Agency]])),COLUMNS($F$7:AL$7))))</f>
        <v/>
      </c>
      <c r="AM647" s="2223" t="str" cm="1">
        <f t="array" ref="AM647">IF($D647&lt;COLUMNS($F$7:AM$7),"",INDEX(TableDiv[[GASB]:[GASB]],_xlfn.AGGREGATE(15,3,(TableDiv[[Agency]:[Agency]]=$E647)/(TableDiv[[Agency]:[Agency]]=$E647)*(ROW(TableDiv[Agency])-ROW(TableDiv[[#Headers],[Agency]])),COLUMNS($F$7:AM$7))))</f>
        <v/>
      </c>
      <c r="AN647" s="2223"/>
      <c r="AO647" s="2223"/>
      <c r="AP647" s="2223"/>
      <c r="AQ647" s="2223"/>
      <c r="AR647" s="2223"/>
      <c r="AS647" s="2223"/>
    </row>
    <row r="648" spans="1:45" x14ac:dyDescent="0.2">
      <c r="A648" s="2223"/>
      <c r="B648" s="2223"/>
      <c r="C648" s="2223"/>
      <c r="W648" s="2223" t="str" cm="1">
        <f t="array" ref="W648">IF($D648&lt;COLUMNS($F$7:W$7),"",INDEX(TableDiv[[GASB]:[GASB]],_xlfn.AGGREGATE(15,3,(TableDiv[[Agency]:[Agency]]=$E648)/(TableDiv[[Agency]:[Agency]]=$E648)*(ROW(TableDiv[Agency])-ROW(TableDiv[[#Headers],[Agency]])),COLUMNS($F$7:W$7))))</f>
        <v/>
      </c>
      <c r="X648" s="2223" t="str" cm="1">
        <f t="array" ref="X648">IF($D648&lt;COLUMNS($F$7:X$7),"",INDEX(TableDiv[[GASB]:[GASB]],_xlfn.AGGREGATE(15,3,(TableDiv[[Agency]:[Agency]]=$E648)/(TableDiv[[Agency]:[Agency]]=$E648)*(ROW(TableDiv[Agency])-ROW(TableDiv[[#Headers],[Agency]])),COLUMNS($F$7:X$7))))</f>
        <v/>
      </c>
      <c r="Y648" s="2223" t="str" cm="1">
        <f t="array" ref="Y648">IF($D648&lt;COLUMNS($F$7:Y$7),"",INDEX(TableDiv[[GASB]:[GASB]],_xlfn.AGGREGATE(15,3,(TableDiv[[Agency]:[Agency]]=$E648)/(TableDiv[[Agency]:[Agency]]=$E648)*(ROW(TableDiv[Agency])-ROW(TableDiv[[#Headers],[Agency]])),COLUMNS($F$7:Y$7))))</f>
        <v/>
      </c>
      <c r="Z648" s="2223" t="str" cm="1">
        <f t="array" ref="Z648">IF($D648&lt;COLUMNS($F$7:Z$7),"",INDEX(TableDiv[[GASB]:[GASB]],_xlfn.AGGREGATE(15,3,(TableDiv[[Agency]:[Agency]]=$E648)/(TableDiv[[Agency]:[Agency]]=$E648)*(ROW(TableDiv[Agency])-ROW(TableDiv[[#Headers],[Agency]])),COLUMNS($F$7:Z$7))))</f>
        <v/>
      </c>
      <c r="AA648" s="2223" t="str" cm="1">
        <f t="array" ref="AA648">IF($D648&lt;COLUMNS($F$7:AA$7),"",INDEX(TableDiv[[GASB]:[GASB]],_xlfn.AGGREGATE(15,3,(TableDiv[[Agency]:[Agency]]=$E648)/(TableDiv[[Agency]:[Agency]]=$E648)*(ROW(TableDiv[Agency])-ROW(TableDiv[[#Headers],[Agency]])),COLUMNS($F$7:AA$7))))</f>
        <v/>
      </c>
      <c r="AB648" s="2223" t="str" cm="1">
        <f t="array" ref="AB648">IF($D648&lt;COLUMNS($F$7:AB$7),"",INDEX(TableDiv[[GASB]:[GASB]],_xlfn.AGGREGATE(15,3,(TableDiv[[Agency]:[Agency]]=$E648)/(TableDiv[[Agency]:[Agency]]=$E648)*(ROW(TableDiv[Agency])-ROW(TableDiv[[#Headers],[Agency]])),COLUMNS($F$7:AB$7))))</f>
        <v/>
      </c>
      <c r="AC648" s="2223" t="str" cm="1">
        <f t="array" ref="AC648">IF($D648&lt;COLUMNS($F$7:AC$7),"",INDEX(TableDiv[[GASB]:[GASB]],_xlfn.AGGREGATE(15,3,(TableDiv[[Agency]:[Agency]]=$E648)/(TableDiv[[Agency]:[Agency]]=$E648)*(ROW(TableDiv[Agency])-ROW(TableDiv[[#Headers],[Agency]])),COLUMNS($F$7:AC$7))))</f>
        <v/>
      </c>
      <c r="AD648" s="2223" t="str" cm="1">
        <f t="array" ref="AD648">IF($D648&lt;COLUMNS($F$7:AD$7),"",INDEX(TableDiv[[GASB]:[GASB]],_xlfn.AGGREGATE(15,3,(TableDiv[[Agency]:[Agency]]=$E648)/(TableDiv[[Agency]:[Agency]]=$E648)*(ROW(TableDiv[Agency])-ROW(TableDiv[[#Headers],[Agency]])),COLUMNS($F$7:AD$7))))</f>
        <v/>
      </c>
      <c r="AE648" s="2223" t="str" cm="1">
        <f t="array" ref="AE648">IF($D648&lt;COLUMNS($F$7:AE$7),"",INDEX(TableDiv[[GASB]:[GASB]],_xlfn.AGGREGATE(15,3,(TableDiv[[Agency]:[Agency]]=$E648)/(TableDiv[[Agency]:[Agency]]=$E648)*(ROW(TableDiv[Agency])-ROW(TableDiv[[#Headers],[Agency]])),COLUMNS($F$7:AE$7))))</f>
        <v/>
      </c>
      <c r="AF648" s="2223" t="str" cm="1">
        <f t="array" ref="AF648">IF($D648&lt;COLUMNS($F$7:AF$7),"",INDEX(TableDiv[[GASB]:[GASB]],_xlfn.AGGREGATE(15,3,(TableDiv[[Agency]:[Agency]]=$E648)/(TableDiv[[Agency]:[Agency]]=$E648)*(ROW(TableDiv[Agency])-ROW(TableDiv[[#Headers],[Agency]])),COLUMNS($F$7:AF$7))))</f>
        <v/>
      </c>
      <c r="AG648" s="2223" t="str" cm="1">
        <f t="array" ref="AG648">IF($D648&lt;COLUMNS($F$7:AG$7),"",INDEX(TableDiv[[GASB]:[GASB]],_xlfn.AGGREGATE(15,3,(TableDiv[[Agency]:[Agency]]=$E648)/(TableDiv[[Agency]:[Agency]]=$E648)*(ROW(TableDiv[Agency])-ROW(TableDiv[[#Headers],[Agency]])),COLUMNS($F$7:AG$7))))</f>
        <v/>
      </c>
      <c r="AH648" s="2223" t="str" cm="1">
        <f t="array" ref="AH648">IF($D648&lt;COLUMNS($F$7:AH$7),"",INDEX(TableDiv[[GASB]:[GASB]],_xlfn.AGGREGATE(15,3,(TableDiv[[Agency]:[Agency]]=$E648)/(TableDiv[[Agency]:[Agency]]=$E648)*(ROW(TableDiv[Agency])-ROW(TableDiv[[#Headers],[Agency]])),COLUMNS($F$7:AH$7))))</f>
        <v/>
      </c>
      <c r="AI648" s="2223" t="str" cm="1">
        <f t="array" ref="AI648">IF($D648&lt;COLUMNS($F$7:AI$7),"",INDEX(TableDiv[[GASB]:[GASB]],_xlfn.AGGREGATE(15,3,(TableDiv[[Agency]:[Agency]]=$E648)/(TableDiv[[Agency]:[Agency]]=$E648)*(ROW(TableDiv[Agency])-ROW(TableDiv[[#Headers],[Agency]])),COLUMNS($F$7:AI$7))))</f>
        <v/>
      </c>
      <c r="AJ648" s="2223" t="str" cm="1">
        <f t="array" ref="AJ648">IF($D648&lt;COLUMNS($F$7:AJ$7),"",INDEX(TableDiv[[GASB]:[GASB]],_xlfn.AGGREGATE(15,3,(TableDiv[[Agency]:[Agency]]=$E648)/(TableDiv[[Agency]:[Agency]]=$E648)*(ROW(TableDiv[Agency])-ROW(TableDiv[[#Headers],[Agency]])),COLUMNS($F$7:AJ$7))))</f>
        <v/>
      </c>
      <c r="AK648" s="2223" t="str" cm="1">
        <f t="array" ref="AK648">IF($D648&lt;COLUMNS($F$7:AK$7),"",INDEX(TableDiv[[GASB]:[GASB]],_xlfn.AGGREGATE(15,3,(TableDiv[[Agency]:[Agency]]=$E648)/(TableDiv[[Agency]:[Agency]]=$E648)*(ROW(TableDiv[Agency])-ROW(TableDiv[[#Headers],[Agency]])),COLUMNS($F$7:AK$7))))</f>
        <v/>
      </c>
      <c r="AL648" s="2223" t="str" cm="1">
        <f t="array" ref="AL648">IF($D648&lt;COLUMNS($F$7:AL$7),"",INDEX(TableDiv[[GASB]:[GASB]],_xlfn.AGGREGATE(15,3,(TableDiv[[Agency]:[Agency]]=$E648)/(TableDiv[[Agency]:[Agency]]=$E648)*(ROW(TableDiv[Agency])-ROW(TableDiv[[#Headers],[Agency]])),COLUMNS($F$7:AL$7))))</f>
        <v/>
      </c>
      <c r="AM648" s="2223" t="str" cm="1">
        <f t="array" ref="AM648">IF($D648&lt;COLUMNS($F$7:AM$7),"",INDEX(TableDiv[[GASB]:[GASB]],_xlfn.AGGREGATE(15,3,(TableDiv[[Agency]:[Agency]]=$E648)/(TableDiv[[Agency]:[Agency]]=$E648)*(ROW(TableDiv[Agency])-ROW(TableDiv[[#Headers],[Agency]])),COLUMNS($F$7:AM$7))))</f>
        <v/>
      </c>
      <c r="AN648" s="2223"/>
      <c r="AO648" s="2223"/>
      <c r="AP648" s="2223"/>
      <c r="AQ648" s="2223"/>
      <c r="AR648" s="2223"/>
      <c r="AS648" s="2223"/>
    </row>
    <row r="649" spans="1:45" x14ac:dyDescent="0.2">
      <c r="A649" s="2223"/>
      <c r="B649" s="2223"/>
      <c r="C649" s="2223"/>
      <c r="W649" s="2223" t="str" cm="1">
        <f t="array" ref="W649">IF($D649&lt;COLUMNS($F$7:W$7),"",INDEX(TableDiv[[GASB]:[GASB]],_xlfn.AGGREGATE(15,3,(TableDiv[[Agency]:[Agency]]=$E649)/(TableDiv[[Agency]:[Agency]]=$E649)*(ROW(TableDiv[Agency])-ROW(TableDiv[[#Headers],[Agency]])),COLUMNS($F$7:W$7))))</f>
        <v/>
      </c>
      <c r="X649" s="2223" t="str" cm="1">
        <f t="array" ref="X649">IF($D649&lt;COLUMNS($F$7:X$7),"",INDEX(TableDiv[[GASB]:[GASB]],_xlfn.AGGREGATE(15,3,(TableDiv[[Agency]:[Agency]]=$E649)/(TableDiv[[Agency]:[Agency]]=$E649)*(ROW(TableDiv[Agency])-ROW(TableDiv[[#Headers],[Agency]])),COLUMNS($F$7:X$7))))</f>
        <v/>
      </c>
      <c r="Y649" s="2223" t="str" cm="1">
        <f t="array" ref="Y649">IF($D649&lt;COLUMNS($F$7:Y$7),"",INDEX(TableDiv[[GASB]:[GASB]],_xlfn.AGGREGATE(15,3,(TableDiv[[Agency]:[Agency]]=$E649)/(TableDiv[[Agency]:[Agency]]=$E649)*(ROW(TableDiv[Agency])-ROW(TableDiv[[#Headers],[Agency]])),COLUMNS($F$7:Y$7))))</f>
        <v/>
      </c>
      <c r="Z649" s="2223" t="str" cm="1">
        <f t="array" ref="Z649">IF($D649&lt;COLUMNS($F$7:Z$7),"",INDEX(TableDiv[[GASB]:[GASB]],_xlfn.AGGREGATE(15,3,(TableDiv[[Agency]:[Agency]]=$E649)/(TableDiv[[Agency]:[Agency]]=$E649)*(ROW(TableDiv[Agency])-ROW(TableDiv[[#Headers],[Agency]])),COLUMNS($F$7:Z$7))))</f>
        <v/>
      </c>
      <c r="AA649" s="2223" t="str" cm="1">
        <f t="array" ref="AA649">IF($D649&lt;COLUMNS($F$7:AA$7),"",INDEX(TableDiv[[GASB]:[GASB]],_xlfn.AGGREGATE(15,3,(TableDiv[[Agency]:[Agency]]=$E649)/(TableDiv[[Agency]:[Agency]]=$E649)*(ROW(TableDiv[Agency])-ROW(TableDiv[[#Headers],[Agency]])),COLUMNS($F$7:AA$7))))</f>
        <v/>
      </c>
      <c r="AB649" s="2223" t="str" cm="1">
        <f t="array" ref="AB649">IF($D649&lt;COLUMNS($F$7:AB$7),"",INDEX(TableDiv[[GASB]:[GASB]],_xlfn.AGGREGATE(15,3,(TableDiv[[Agency]:[Agency]]=$E649)/(TableDiv[[Agency]:[Agency]]=$E649)*(ROW(TableDiv[Agency])-ROW(TableDiv[[#Headers],[Agency]])),COLUMNS($F$7:AB$7))))</f>
        <v/>
      </c>
      <c r="AC649" s="2223" t="str" cm="1">
        <f t="array" ref="AC649">IF($D649&lt;COLUMNS($F$7:AC$7),"",INDEX(TableDiv[[GASB]:[GASB]],_xlfn.AGGREGATE(15,3,(TableDiv[[Agency]:[Agency]]=$E649)/(TableDiv[[Agency]:[Agency]]=$E649)*(ROW(TableDiv[Agency])-ROW(TableDiv[[#Headers],[Agency]])),COLUMNS($F$7:AC$7))))</f>
        <v/>
      </c>
      <c r="AD649" s="2223" t="str" cm="1">
        <f t="array" ref="AD649">IF($D649&lt;COLUMNS($F$7:AD$7),"",INDEX(TableDiv[[GASB]:[GASB]],_xlfn.AGGREGATE(15,3,(TableDiv[[Agency]:[Agency]]=$E649)/(TableDiv[[Agency]:[Agency]]=$E649)*(ROW(TableDiv[Agency])-ROW(TableDiv[[#Headers],[Agency]])),COLUMNS($F$7:AD$7))))</f>
        <v/>
      </c>
      <c r="AE649" s="2223" t="str" cm="1">
        <f t="array" ref="AE649">IF($D649&lt;COLUMNS($F$7:AE$7),"",INDEX(TableDiv[[GASB]:[GASB]],_xlfn.AGGREGATE(15,3,(TableDiv[[Agency]:[Agency]]=$E649)/(TableDiv[[Agency]:[Agency]]=$E649)*(ROW(TableDiv[Agency])-ROW(TableDiv[[#Headers],[Agency]])),COLUMNS($F$7:AE$7))))</f>
        <v/>
      </c>
      <c r="AF649" s="2223" t="str" cm="1">
        <f t="array" ref="AF649">IF($D649&lt;COLUMNS($F$7:AF$7),"",INDEX(TableDiv[[GASB]:[GASB]],_xlfn.AGGREGATE(15,3,(TableDiv[[Agency]:[Agency]]=$E649)/(TableDiv[[Agency]:[Agency]]=$E649)*(ROW(TableDiv[Agency])-ROW(TableDiv[[#Headers],[Agency]])),COLUMNS($F$7:AF$7))))</f>
        <v/>
      </c>
      <c r="AG649" s="2223" t="str" cm="1">
        <f t="array" ref="AG649">IF($D649&lt;COLUMNS($F$7:AG$7),"",INDEX(TableDiv[[GASB]:[GASB]],_xlfn.AGGREGATE(15,3,(TableDiv[[Agency]:[Agency]]=$E649)/(TableDiv[[Agency]:[Agency]]=$E649)*(ROW(TableDiv[Agency])-ROW(TableDiv[[#Headers],[Agency]])),COLUMNS($F$7:AG$7))))</f>
        <v/>
      </c>
      <c r="AH649" s="2223" t="str" cm="1">
        <f t="array" ref="AH649">IF($D649&lt;COLUMNS($F$7:AH$7),"",INDEX(TableDiv[[GASB]:[GASB]],_xlfn.AGGREGATE(15,3,(TableDiv[[Agency]:[Agency]]=$E649)/(TableDiv[[Agency]:[Agency]]=$E649)*(ROW(TableDiv[Agency])-ROW(TableDiv[[#Headers],[Agency]])),COLUMNS($F$7:AH$7))))</f>
        <v/>
      </c>
      <c r="AI649" s="2223" t="str" cm="1">
        <f t="array" ref="AI649">IF($D649&lt;COLUMNS($F$7:AI$7),"",INDEX(TableDiv[[GASB]:[GASB]],_xlfn.AGGREGATE(15,3,(TableDiv[[Agency]:[Agency]]=$E649)/(TableDiv[[Agency]:[Agency]]=$E649)*(ROW(TableDiv[Agency])-ROW(TableDiv[[#Headers],[Agency]])),COLUMNS($F$7:AI$7))))</f>
        <v/>
      </c>
      <c r="AJ649" s="2223" t="str" cm="1">
        <f t="array" ref="AJ649">IF($D649&lt;COLUMNS($F$7:AJ$7),"",INDEX(TableDiv[[GASB]:[GASB]],_xlfn.AGGREGATE(15,3,(TableDiv[[Agency]:[Agency]]=$E649)/(TableDiv[[Agency]:[Agency]]=$E649)*(ROW(TableDiv[Agency])-ROW(TableDiv[[#Headers],[Agency]])),COLUMNS($F$7:AJ$7))))</f>
        <v/>
      </c>
      <c r="AK649" s="2223" t="str" cm="1">
        <f t="array" ref="AK649">IF($D649&lt;COLUMNS($F$7:AK$7),"",INDEX(TableDiv[[GASB]:[GASB]],_xlfn.AGGREGATE(15,3,(TableDiv[[Agency]:[Agency]]=$E649)/(TableDiv[[Agency]:[Agency]]=$E649)*(ROW(TableDiv[Agency])-ROW(TableDiv[[#Headers],[Agency]])),COLUMNS($F$7:AK$7))))</f>
        <v/>
      </c>
      <c r="AL649" s="2223" t="str" cm="1">
        <f t="array" ref="AL649">IF($D649&lt;COLUMNS($F$7:AL$7),"",INDEX(TableDiv[[GASB]:[GASB]],_xlfn.AGGREGATE(15,3,(TableDiv[[Agency]:[Agency]]=$E649)/(TableDiv[[Agency]:[Agency]]=$E649)*(ROW(TableDiv[Agency])-ROW(TableDiv[[#Headers],[Agency]])),COLUMNS($F$7:AL$7))))</f>
        <v/>
      </c>
      <c r="AM649" s="2223" t="str" cm="1">
        <f t="array" ref="AM649">IF($D649&lt;COLUMNS($F$7:AM$7),"",INDEX(TableDiv[[GASB]:[GASB]],_xlfn.AGGREGATE(15,3,(TableDiv[[Agency]:[Agency]]=$E649)/(TableDiv[[Agency]:[Agency]]=$E649)*(ROW(TableDiv[Agency])-ROW(TableDiv[[#Headers],[Agency]])),COLUMNS($F$7:AM$7))))</f>
        <v/>
      </c>
      <c r="AN649" s="2223"/>
      <c r="AO649" s="2223"/>
      <c r="AP649" s="2223"/>
      <c r="AQ649" s="2223"/>
      <c r="AR649" s="2223"/>
      <c r="AS649" s="2223"/>
    </row>
    <row r="650" spans="1:45" x14ac:dyDescent="0.2">
      <c r="A650" s="2223"/>
      <c r="B650" s="2223"/>
      <c r="C650" s="2223"/>
      <c r="W650" s="2223" t="str" cm="1">
        <f t="array" ref="W650">IF($D650&lt;COLUMNS($F$7:W$7),"",INDEX(TableDiv[[GASB]:[GASB]],_xlfn.AGGREGATE(15,3,(TableDiv[[Agency]:[Agency]]=$E650)/(TableDiv[[Agency]:[Agency]]=$E650)*(ROW(TableDiv[Agency])-ROW(TableDiv[[#Headers],[Agency]])),COLUMNS($F$7:W$7))))</f>
        <v/>
      </c>
      <c r="X650" s="2223" t="str" cm="1">
        <f t="array" ref="X650">IF($D650&lt;COLUMNS($F$7:X$7),"",INDEX(TableDiv[[GASB]:[GASB]],_xlfn.AGGREGATE(15,3,(TableDiv[[Agency]:[Agency]]=$E650)/(TableDiv[[Agency]:[Agency]]=$E650)*(ROW(TableDiv[Agency])-ROW(TableDiv[[#Headers],[Agency]])),COLUMNS($F$7:X$7))))</f>
        <v/>
      </c>
      <c r="Y650" s="2223" t="str" cm="1">
        <f t="array" ref="Y650">IF($D650&lt;COLUMNS($F$7:Y$7),"",INDEX(TableDiv[[GASB]:[GASB]],_xlfn.AGGREGATE(15,3,(TableDiv[[Agency]:[Agency]]=$E650)/(TableDiv[[Agency]:[Agency]]=$E650)*(ROW(TableDiv[Agency])-ROW(TableDiv[[#Headers],[Agency]])),COLUMNS($F$7:Y$7))))</f>
        <v/>
      </c>
      <c r="Z650" s="2223" t="str" cm="1">
        <f t="array" ref="Z650">IF($D650&lt;COLUMNS($F$7:Z$7),"",INDEX(TableDiv[[GASB]:[GASB]],_xlfn.AGGREGATE(15,3,(TableDiv[[Agency]:[Agency]]=$E650)/(TableDiv[[Agency]:[Agency]]=$E650)*(ROW(TableDiv[Agency])-ROW(TableDiv[[#Headers],[Agency]])),COLUMNS($F$7:Z$7))))</f>
        <v/>
      </c>
      <c r="AA650" s="2223" t="str" cm="1">
        <f t="array" ref="AA650">IF($D650&lt;COLUMNS($F$7:AA$7),"",INDEX(TableDiv[[GASB]:[GASB]],_xlfn.AGGREGATE(15,3,(TableDiv[[Agency]:[Agency]]=$E650)/(TableDiv[[Agency]:[Agency]]=$E650)*(ROW(TableDiv[Agency])-ROW(TableDiv[[#Headers],[Agency]])),COLUMNS($F$7:AA$7))))</f>
        <v/>
      </c>
      <c r="AB650" s="2223" t="str" cm="1">
        <f t="array" ref="AB650">IF($D650&lt;COLUMNS($F$7:AB$7),"",INDEX(TableDiv[[GASB]:[GASB]],_xlfn.AGGREGATE(15,3,(TableDiv[[Agency]:[Agency]]=$E650)/(TableDiv[[Agency]:[Agency]]=$E650)*(ROW(TableDiv[Agency])-ROW(TableDiv[[#Headers],[Agency]])),COLUMNS($F$7:AB$7))))</f>
        <v/>
      </c>
      <c r="AC650" s="2223" t="str" cm="1">
        <f t="array" ref="AC650">IF($D650&lt;COLUMNS($F$7:AC$7),"",INDEX(TableDiv[[GASB]:[GASB]],_xlfn.AGGREGATE(15,3,(TableDiv[[Agency]:[Agency]]=$E650)/(TableDiv[[Agency]:[Agency]]=$E650)*(ROW(TableDiv[Agency])-ROW(TableDiv[[#Headers],[Agency]])),COLUMNS($F$7:AC$7))))</f>
        <v/>
      </c>
      <c r="AD650" s="2223" t="str" cm="1">
        <f t="array" ref="AD650">IF($D650&lt;COLUMNS($F$7:AD$7),"",INDEX(TableDiv[[GASB]:[GASB]],_xlfn.AGGREGATE(15,3,(TableDiv[[Agency]:[Agency]]=$E650)/(TableDiv[[Agency]:[Agency]]=$E650)*(ROW(TableDiv[Agency])-ROW(TableDiv[[#Headers],[Agency]])),COLUMNS($F$7:AD$7))))</f>
        <v/>
      </c>
      <c r="AE650" s="2223" t="str" cm="1">
        <f t="array" ref="AE650">IF($D650&lt;COLUMNS($F$7:AE$7),"",INDEX(TableDiv[[GASB]:[GASB]],_xlfn.AGGREGATE(15,3,(TableDiv[[Agency]:[Agency]]=$E650)/(TableDiv[[Agency]:[Agency]]=$E650)*(ROW(TableDiv[Agency])-ROW(TableDiv[[#Headers],[Agency]])),COLUMNS($F$7:AE$7))))</f>
        <v/>
      </c>
      <c r="AF650" s="2223" t="str" cm="1">
        <f t="array" ref="AF650">IF($D650&lt;COLUMNS($F$7:AF$7),"",INDEX(TableDiv[[GASB]:[GASB]],_xlfn.AGGREGATE(15,3,(TableDiv[[Agency]:[Agency]]=$E650)/(TableDiv[[Agency]:[Agency]]=$E650)*(ROW(TableDiv[Agency])-ROW(TableDiv[[#Headers],[Agency]])),COLUMNS($F$7:AF$7))))</f>
        <v/>
      </c>
      <c r="AG650" s="2223" t="str" cm="1">
        <f t="array" ref="AG650">IF($D650&lt;COLUMNS($F$7:AG$7),"",INDEX(TableDiv[[GASB]:[GASB]],_xlfn.AGGREGATE(15,3,(TableDiv[[Agency]:[Agency]]=$E650)/(TableDiv[[Agency]:[Agency]]=$E650)*(ROW(TableDiv[Agency])-ROW(TableDiv[[#Headers],[Agency]])),COLUMNS($F$7:AG$7))))</f>
        <v/>
      </c>
      <c r="AH650" s="2223" t="str" cm="1">
        <f t="array" ref="AH650">IF($D650&lt;COLUMNS($F$7:AH$7),"",INDEX(TableDiv[[GASB]:[GASB]],_xlfn.AGGREGATE(15,3,(TableDiv[[Agency]:[Agency]]=$E650)/(TableDiv[[Agency]:[Agency]]=$E650)*(ROW(TableDiv[Agency])-ROW(TableDiv[[#Headers],[Agency]])),COLUMNS($F$7:AH$7))))</f>
        <v/>
      </c>
      <c r="AI650" s="2223" t="str" cm="1">
        <f t="array" ref="AI650">IF($D650&lt;COLUMNS($F$7:AI$7),"",INDEX(TableDiv[[GASB]:[GASB]],_xlfn.AGGREGATE(15,3,(TableDiv[[Agency]:[Agency]]=$E650)/(TableDiv[[Agency]:[Agency]]=$E650)*(ROW(TableDiv[Agency])-ROW(TableDiv[[#Headers],[Agency]])),COLUMNS($F$7:AI$7))))</f>
        <v/>
      </c>
      <c r="AJ650" s="2223" t="str" cm="1">
        <f t="array" ref="AJ650">IF($D650&lt;COLUMNS($F$7:AJ$7),"",INDEX(TableDiv[[GASB]:[GASB]],_xlfn.AGGREGATE(15,3,(TableDiv[[Agency]:[Agency]]=$E650)/(TableDiv[[Agency]:[Agency]]=$E650)*(ROW(TableDiv[Agency])-ROW(TableDiv[[#Headers],[Agency]])),COLUMNS($F$7:AJ$7))))</f>
        <v/>
      </c>
      <c r="AK650" s="2223" t="str" cm="1">
        <f t="array" ref="AK650">IF($D650&lt;COLUMNS($F$7:AK$7),"",INDEX(TableDiv[[GASB]:[GASB]],_xlfn.AGGREGATE(15,3,(TableDiv[[Agency]:[Agency]]=$E650)/(TableDiv[[Agency]:[Agency]]=$E650)*(ROW(TableDiv[Agency])-ROW(TableDiv[[#Headers],[Agency]])),COLUMNS($F$7:AK$7))))</f>
        <v/>
      </c>
      <c r="AL650" s="2223" t="str" cm="1">
        <f t="array" ref="AL650">IF($D650&lt;COLUMNS($F$7:AL$7),"",INDEX(TableDiv[[GASB]:[GASB]],_xlfn.AGGREGATE(15,3,(TableDiv[[Agency]:[Agency]]=$E650)/(TableDiv[[Agency]:[Agency]]=$E650)*(ROW(TableDiv[Agency])-ROW(TableDiv[[#Headers],[Agency]])),COLUMNS($F$7:AL$7))))</f>
        <v/>
      </c>
      <c r="AM650" s="2223" t="str" cm="1">
        <f t="array" ref="AM650">IF($D650&lt;COLUMNS($F$7:AM$7),"",INDEX(TableDiv[[GASB]:[GASB]],_xlfn.AGGREGATE(15,3,(TableDiv[[Agency]:[Agency]]=$E650)/(TableDiv[[Agency]:[Agency]]=$E650)*(ROW(TableDiv[Agency])-ROW(TableDiv[[#Headers],[Agency]])),COLUMNS($F$7:AM$7))))</f>
        <v/>
      </c>
      <c r="AN650" s="2223"/>
      <c r="AO650" s="2223"/>
      <c r="AP650" s="2223"/>
      <c r="AQ650" s="2223"/>
      <c r="AR650" s="2223"/>
      <c r="AS650" s="2223"/>
    </row>
    <row r="651" spans="1:45" x14ac:dyDescent="0.2">
      <c r="A651" s="2223"/>
      <c r="B651" s="2223"/>
      <c r="C651" s="2223"/>
      <c r="W651" s="2223" t="str" cm="1">
        <f t="array" ref="W651">IF($D651&lt;COLUMNS($F$7:W$7),"",INDEX(TableDiv[[GASB]:[GASB]],_xlfn.AGGREGATE(15,3,(TableDiv[[Agency]:[Agency]]=$E651)/(TableDiv[[Agency]:[Agency]]=$E651)*(ROW(TableDiv[Agency])-ROW(TableDiv[[#Headers],[Agency]])),COLUMNS($F$7:W$7))))</f>
        <v/>
      </c>
      <c r="X651" s="2223" t="str" cm="1">
        <f t="array" ref="X651">IF($D651&lt;COLUMNS($F$7:X$7),"",INDEX(TableDiv[[GASB]:[GASB]],_xlfn.AGGREGATE(15,3,(TableDiv[[Agency]:[Agency]]=$E651)/(TableDiv[[Agency]:[Agency]]=$E651)*(ROW(TableDiv[Agency])-ROW(TableDiv[[#Headers],[Agency]])),COLUMNS($F$7:X$7))))</f>
        <v/>
      </c>
      <c r="Y651" s="2223" t="str" cm="1">
        <f t="array" ref="Y651">IF($D651&lt;COLUMNS($F$7:Y$7),"",INDEX(TableDiv[[GASB]:[GASB]],_xlfn.AGGREGATE(15,3,(TableDiv[[Agency]:[Agency]]=$E651)/(TableDiv[[Agency]:[Agency]]=$E651)*(ROW(TableDiv[Agency])-ROW(TableDiv[[#Headers],[Agency]])),COLUMNS($F$7:Y$7))))</f>
        <v/>
      </c>
      <c r="Z651" s="2223" t="str" cm="1">
        <f t="array" ref="Z651">IF($D651&lt;COLUMNS($F$7:Z$7),"",INDEX(TableDiv[[GASB]:[GASB]],_xlfn.AGGREGATE(15,3,(TableDiv[[Agency]:[Agency]]=$E651)/(TableDiv[[Agency]:[Agency]]=$E651)*(ROW(TableDiv[Agency])-ROW(TableDiv[[#Headers],[Agency]])),COLUMNS($F$7:Z$7))))</f>
        <v/>
      </c>
      <c r="AA651" s="2223" t="str" cm="1">
        <f t="array" ref="AA651">IF($D651&lt;COLUMNS($F$7:AA$7),"",INDEX(TableDiv[[GASB]:[GASB]],_xlfn.AGGREGATE(15,3,(TableDiv[[Agency]:[Agency]]=$E651)/(TableDiv[[Agency]:[Agency]]=$E651)*(ROW(TableDiv[Agency])-ROW(TableDiv[[#Headers],[Agency]])),COLUMNS($F$7:AA$7))))</f>
        <v/>
      </c>
      <c r="AB651" s="2223" t="str" cm="1">
        <f t="array" ref="AB651">IF($D651&lt;COLUMNS($F$7:AB$7),"",INDEX(TableDiv[[GASB]:[GASB]],_xlfn.AGGREGATE(15,3,(TableDiv[[Agency]:[Agency]]=$E651)/(TableDiv[[Agency]:[Agency]]=$E651)*(ROW(TableDiv[Agency])-ROW(TableDiv[[#Headers],[Agency]])),COLUMNS($F$7:AB$7))))</f>
        <v/>
      </c>
      <c r="AC651" s="2223" t="str" cm="1">
        <f t="array" ref="AC651">IF($D651&lt;COLUMNS($F$7:AC$7),"",INDEX(TableDiv[[GASB]:[GASB]],_xlfn.AGGREGATE(15,3,(TableDiv[[Agency]:[Agency]]=$E651)/(TableDiv[[Agency]:[Agency]]=$E651)*(ROW(TableDiv[Agency])-ROW(TableDiv[[#Headers],[Agency]])),COLUMNS($F$7:AC$7))))</f>
        <v/>
      </c>
      <c r="AD651" s="2223" t="str" cm="1">
        <f t="array" ref="AD651">IF($D651&lt;COLUMNS($F$7:AD$7),"",INDEX(TableDiv[[GASB]:[GASB]],_xlfn.AGGREGATE(15,3,(TableDiv[[Agency]:[Agency]]=$E651)/(TableDiv[[Agency]:[Agency]]=$E651)*(ROW(TableDiv[Agency])-ROW(TableDiv[[#Headers],[Agency]])),COLUMNS($F$7:AD$7))))</f>
        <v/>
      </c>
      <c r="AE651" s="2223" t="str" cm="1">
        <f t="array" ref="AE651">IF($D651&lt;COLUMNS($F$7:AE$7),"",INDEX(TableDiv[[GASB]:[GASB]],_xlfn.AGGREGATE(15,3,(TableDiv[[Agency]:[Agency]]=$E651)/(TableDiv[[Agency]:[Agency]]=$E651)*(ROW(TableDiv[Agency])-ROW(TableDiv[[#Headers],[Agency]])),COLUMNS($F$7:AE$7))))</f>
        <v/>
      </c>
      <c r="AF651" s="2223" t="str" cm="1">
        <f t="array" ref="AF651">IF($D651&lt;COLUMNS($F$7:AF$7),"",INDEX(TableDiv[[GASB]:[GASB]],_xlfn.AGGREGATE(15,3,(TableDiv[[Agency]:[Agency]]=$E651)/(TableDiv[[Agency]:[Agency]]=$E651)*(ROW(TableDiv[Agency])-ROW(TableDiv[[#Headers],[Agency]])),COLUMNS($F$7:AF$7))))</f>
        <v/>
      </c>
      <c r="AG651" s="2223" t="str" cm="1">
        <f t="array" ref="AG651">IF($D651&lt;COLUMNS($F$7:AG$7),"",INDEX(TableDiv[[GASB]:[GASB]],_xlfn.AGGREGATE(15,3,(TableDiv[[Agency]:[Agency]]=$E651)/(TableDiv[[Agency]:[Agency]]=$E651)*(ROW(TableDiv[Agency])-ROW(TableDiv[[#Headers],[Agency]])),COLUMNS($F$7:AG$7))))</f>
        <v/>
      </c>
      <c r="AH651" s="2223" t="str" cm="1">
        <f t="array" ref="AH651">IF($D651&lt;COLUMNS($F$7:AH$7),"",INDEX(TableDiv[[GASB]:[GASB]],_xlfn.AGGREGATE(15,3,(TableDiv[[Agency]:[Agency]]=$E651)/(TableDiv[[Agency]:[Agency]]=$E651)*(ROW(TableDiv[Agency])-ROW(TableDiv[[#Headers],[Agency]])),COLUMNS($F$7:AH$7))))</f>
        <v/>
      </c>
      <c r="AI651" s="2223" t="str" cm="1">
        <f t="array" ref="AI651">IF($D651&lt;COLUMNS($F$7:AI$7),"",INDEX(TableDiv[[GASB]:[GASB]],_xlfn.AGGREGATE(15,3,(TableDiv[[Agency]:[Agency]]=$E651)/(TableDiv[[Agency]:[Agency]]=$E651)*(ROW(TableDiv[Agency])-ROW(TableDiv[[#Headers],[Agency]])),COLUMNS($F$7:AI$7))))</f>
        <v/>
      </c>
      <c r="AJ651" s="2223" t="str" cm="1">
        <f t="array" ref="AJ651">IF($D651&lt;COLUMNS($F$7:AJ$7),"",INDEX(TableDiv[[GASB]:[GASB]],_xlfn.AGGREGATE(15,3,(TableDiv[[Agency]:[Agency]]=$E651)/(TableDiv[[Agency]:[Agency]]=$E651)*(ROW(TableDiv[Agency])-ROW(TableDiv[[#Headers],[Agency]])),COLUMNS($F$7:AJ$7))))</f>
        <v/>
      </c>
      <c r="AK651" s="2223" t="str" cm="1">
        <f t="array" ref="AK651">IF($D651&lt;COLUMNS($F$7:AK$7),"",INDEX(TableDiv[[GASB]:[GASB]],_xlfn.AGGREGATE(15,3,(TableDiv[[Agency]:[Agency]]=$E651)/(TableDiv[[Agency]:[Agency]]=$E651)*(ROW(TableDiv[Agency])-ROW(TableDiv[[#Headers],[Agency]])),COLUMNS($F$7:AK$7))))</f>
        <v/>
      </c>
      <c r="AL651" s="2223" t="str" cm="1">
        <f t="array" ref="AL651">IF($D651&lt;COLUMNS($F$7:AL$7),"",INDEX(TableDiv[[GASB]:[GASB]],_xlfn.AGGREGATE(15,3,(TableDiv[[Agency]:[Agency]]=$E651)/(TableDiv[[Agency]:[Agency]]=$E651)*(ROW(TableDiv[Agency])-ROW(TableDiv[[#Headers],[Agency]])),COLUMNS($F$7:AL$7))))</f>
        <v/>
      </c>
      <c r="AM651" s="2223" t="str" cm="1">
        <f t="array" ref="AM651">IF($D651&lt;COLUMNS($F$7:AM$7),"",INDEX(TableDiv[[GASB]:[GASB]],_xlfn.AGGREGATE(15,3,(TableDiv[[Agency]:[Agency]]=$E651)/(TableDiv[[Agency]:[Agency]]=$E651)*(ROW(TableDiv[Agency])-ROW(TableDiv[[#Headers],[Agency]])),COLUMNS($F$7:AM$7))))</f>
        <v/>
      </c>
      <c r="AN651" s="2223"/>
      <c r="AO651" s="2223"/>
      <c r="AP651" s="2223"/>
      <c r="AQ651" s="2223"/>
      <c r="AR651" s="2223"/>
      <c r="AS651" s="2223"/>
    </row>
    <row r="652" spans="1:45" x14ac:dyDescent="0.2">
      <c r="A652" s="2223"/>
      <c r="B652" s="2223"/>
      <c r="C652" s="2223"/>
      <c r="W652" s="2223" t="str" cm="1">
        <f t="array" ref="W652">IF($D652&lt;COLUMNS($F$7:W$7),"",INDEX(TableDiv[[GASB]:[GASB]],_xlfn.AGGREGATE(15,3,(TableDiv[[Agency]:[Agency]]=$E652)/(TableDiv[[Agency]:[Agency]]=$E652)*(ROW(TableDiv[Agency])-ROW(TableDiv[[#Headers],[Agency]])),COLUMNS($F$7:W$7))))</f>
        <v/>
      </c>
      <c r="X652" s="2223" t="str" cm="1">
        <f t="array" ref="X652">IF($D652&lt;COLUMNS($F$7:X$7),"",INDEX(TableDiv[[GASB]:[GASB]],_xlfn.AGGREGATE(15,3,(TableDiv[[Agency]:[Agency]]=$E652)/(TableDiv[[Agency]:[Agency]]=$E652)*(ROW(TableDiv[Agency])-ROW(TableDiv[[#Headers],[Agency]])),COLUMNS($F$7:X$7))))</f>
        <v/>
      </c>
      <c r="Y652" s="2223" t="str" cm="1">
        <f t="array" ref="Y652">IF($D652&lt;COLUMNS($F$7:Y$7),"",INDEX(TableDiv[[GASB]:[GASB]],_xlfn.AGGREGATE(15,3,(TableDiv[[Agency]:[Agency]]=$E652)/(TableDiv[[Agency]:[Agency]]=$E652)*(ROW(TableDiv[Agency])-ROW(TableDiv[[#Headers],[Agency]])),COLUMNS($F$7:Y$7))))</f>
        <v/>
      </c>
      <c r="Z652" s="2223" t="str" cm="1">
        <f t="array" ref="Z652">IF($D652&lt;COLUMNS($F$7:Z$7),"",INDEX(TableDiv[[GASB]:[GASB]],_xlfn.AGGREGATE(15,3,(TableDiv[[Agency]:[Agency]]=$E652)/(TableDiv[[Agency]:[Agency]]=$E652)*(ROW(TableDiv[Agency])-ROW(TableDiv[[#Headers],[Agency]])),COLUMNS($F$7:Z$7))))</f>
        <v/>
      </c>
      <c r="AA652" s="2223" t="str" cm="1">
        <f t="array" ref="AA652">IF($D652&lt;COLUMNS($F$7:AA$7),"",INDEX(TableDiv[[GASB]:[GASB]],_xlfn.AGGREGATE(15,3,(TableDiv[[Agency]:[Agency]]=$E652)/(TableDiv[[Agency]:[Agency]]=$E652)*(ROW(TableDiv[Agency])-ROW(TableDiv[[#Headers],[Agency]])),COLUMNS($F$7:AA$7))))</f>
        <v/>
      </c>
      <c r="AB652" s="2223" t="str" cm="1">
        <f t="array" ref="AB652">IF($D652&lt;COLUMNS($F$7:AB$7),"",INDEX(TableDiv[[GASB]:[GASB]],_xlfn.AGGREGATE(15,3,(TableDiv[[Agency]:[Agency]]=$E652)/(TableDiv[[Agency]:[Agency]]=$E652)*(ROW(TableDiv[Agency])-ROW(TableDiv[[#Headers],[Agency]])),COLUMNS($F$7:AB$7))))</f>
        <v/>
      </c>
      <c r="AC652" s="2223" t="str" cm="1">
        <f t="array" ref="AC652">IF($D652&lt;COLUMNS($F$7:AC$7),"",INDEX(TableDiv[[GASB]:[GASB]],_xlfn.AGGREGATE(15,3,(TableDiv[[Agency]:[Agency]]=$E652)/(TableDiv[[Agency]:[Agency]]=$E652)*(ROW(TableDiv[Agency])-ROW(TableDiv[[#Headers],[Agency]])),COLUMNS($F$7:AC$7))))</f>
        <v/>
      </c>
      <c r="AD652" s="2223" t="str" cm="1">
        <f t="array" ref="AD652">IF($D652&lt;COLUMNS($F$7:AD$7),"",INDEX(TableDiv[[GASB]:[GASB]],_xlfn.AGGREGATE(15,3,(TableDiv[[Agency]:[Agency]]=$E652)/(TableDiv[[Agency]:[Agency]]=$E652)*(ROW(TableDiv[Agency])-ROW(TableDiv[[#Headers],[Agency]])),COLUMNS($F$7:AD$7))))</f>
        <v/>
      </c>
      <c r="AE652" s="2223" t="str" cm="1">
        <f t="array" ref="AE652">IF($D652&lt;COLUMNS($F$7:AE$7),"",INDEX(TableDiv[[GASB]:[GASB]],_xlfn.AGGREGATE(15,3,(TableDiv[[Agency]:[Agency]]=$E652)/(TableDiv[[Agency]:[Agency]]=$E652)*(ROW(TableDiv[Agency])-ROW(TableDiv[[#Headers],[Agency]])),COLUMNS($F$7:AE$7))))</f>
        <v/>
      </c>
      <c r="AF652" s="2223" t="str" cm="1">
        <f t="array" ref="AF652">IF($D652&lt;COLUMNS($F$7:AF$7),"",INDEX(TableDiv[[GASB]:[GASB]],_xlfn.AGGREGATE(15,3,(TableDiv[[Agency]:[Agency]]=$E652)/(TableDiv[[Agency]:[Agency]]=$E652)*(ROW(TableDiv[Agency])-ROW(TableDiv[[#Headers],[Agency]])),COLUMNS($F$7:AF$7))))</f>
        <v/>
      </c>
      <c r="AG652" s="2223" t="str" cm="1">
        <f t="array" ref="AG652">IF($D652&lt;COLUMNS($F$7:AG$7),"",INDEX(TableDiv[[GASB]:[GASB]],_xlfn.AGGREGATE(15,3,(TableDiv[[Agency]:[Agency]]=$E652)/(TableDiv[[Agency]:[Agency]]=$E652)*(ROW(TableDiv[Agency])-ROW(TableDiv[[#Headers],[Agency]])),COLUMNS($F$7:AG$7))))</f>
        <v/>
      </c>
      <c r="AH652" s="2223" t="str" cm="1">
        <f t="array" ref="AH652">IF($D652&lt;COLUMNS($F$7:AH$7),"",INDEX(TableDiv[[GASB]:[GASB]],_xlfn.AGGREGATE(15,3,(TableDiv[[Agency]:[Agency]]=$E652)/(TableDiv[[Agency]:[Agency]]=$E652)*(ROW(TableDiv[Agency])-ROW(TableDiv[[#Headers],[Agency]])),COLUMNS($F$7:AH$7))))</f>
        <v/>
      </c>
      <c r="AI652" s="2223" t="str" cm="1">
        <f t="array" ref="AI652">IF($D652&lt;COLUMNS($F$7:AI$7),"",INDEX(TableDiv[[GASB]:[GASB]],_xlfn.AGGREGATE(15,3,(TableDiv[[Agency]:[Agency]]=$E652)/(TableDiv[[Agency]:[Agency]]=$E652)*(ROW(TableDiv[Agency])-ROW(TableDiv[[#Headers],[Agency]])),COLUMNS($F$7:AI$7))))</f>
        <v/>
      </c>
      <c r="AJ652" s="2223" t="str" cm="1">
        <f t="array" ref="AJ652">IF($D652&lt;COLUMNS($F$7:AJ$7),"",INDEX(TableDiv[[GASB]:[GASB]],_xlfn.AGGREGATE(15,3,(TableDiv[[Agency]:[Agency]]=$E652)/(TableDiv[[Agency]:[Agency]]=$E652)*(ROW(TableDiv[Agency])-ROW(TableDiv[[#Headers],[Agency]])),COLUMNS($F$7:AJ$7))))</f>
        <v/>
      </c>
      <c r="AK652" s="2223" t="str" cm="1">
        <f t="array" ref="AK652">IF($D652&lt;COLUMNS($F$7:AK$7),"",INDEX(TableDiv[[GASB]:[GASB]],_xlfn.AGGREGATE(15,3,(TableDiv[[Agency]:[Agency]]=$E652)/(TableDiv[[Agency]:[Agency]]=$E652)*(ROW(TableDiv[Agency])-ROW(TableDiv[[#Headers],[Agency]])),COLUMNS($F$7:AK$7))))</f>
        <v/>
      </c>
      <c r="AL652" s="2223" t="str" cm="1">
        <f t="array" ref="AL652">IF($D652&lt;COLUMNS($F$7:AL$7),"",INDEX(TableDiv[[GASB]:[GASB]],_xlfn.AGGREGATE(15,3,(TableDiv[[Agency]:[Agency]]=$E652)/(TableDiv[[Agency]:[Agency]]=$E652)*(ROW(TableDiv[Agency])-ROW(TableDiv[[#Headers],[Agency]])),COLUMNS($F$7:AL$7))))</f>
        <v/>
      </c>
      <c r="AM652" s="2223" t="str" cm="1">
        <f t="array" ref="AM652">IF($D652&lt;COLUMNS($F$7:AM$7),"",INDEX(TableDiv[[GASB]:[GASB]],_xlfn.AGGREGATE(15,3,(TableDiv[[Agency]:[Agency]]=$E652)/(TableDiv[[Agency]:[Agency]]=$E652)*(ROW(TableDiv[Agency])-ROW(TableDiv[[#Headers],[Agency]])),COLUMNS($F$7:AM$7))))</f>
        <v/>
      </c>
      <c r="AN652" s="2223"/>
      <c r="AO652" s="2223"/>
      <c r="AP652" s="2223"/>
      <c r="AQ652" s="2223"/>
      <c r="AR652" s="2223"/>
      <c r="AS652" s="2223"/>
    </row>
    <row r="653" spans="1:45" x14ac:dyDescent="0.2">
      <c r="A653" s="2223"/>
      <c r="B653" s="2223"/>
      <c r="C653" s="2223"/>
      <c r="W653" s="2223" t="str" cm="1">
        <f t="array" ref="W653">IF($D653&lt;COLUMNS($F$7:W$7),"",INDEX(TableDiv[[GASB]:[GASB]],_xlfn.AGGREGATE(15,3,(TableDiv[[Agency]:[Agency]]=$E653)/(TableDiv[[Agency]:[Agency]]=$E653)*(ROW(TableDiv[Agency])-ROW(TableDiv[[#Headers],[Agency]])),COLUMNS($F$7:W$7))))</f>
        <v/>
      </c>
      <c r="X653" s="2223" t="str" cm="1">
        <f t="array" ref="X653">IF($D653&lt;COLUMNS($F$7:X$7),"",INDEX(TableDiv[[GASB]:[GASB]],_xlfn.AGGREGATE(15,3,(TableDiv[[Agency]:[Agency]]=$E653)/(TableDiv[[Agency]:[Agency]]=$E653)*(ROW(TableDiv[Agency])-ROW(TableDiv[[#Headers],[Agency]])),COLUMNS($F$7:X$7))))</f>
        <v/>
      </c>
      <c r="Y653" s="2223" t="str" cm="1">
        <f t="array" ref="Y653">IF($D653&lt;COLUMNS($F$7:Y$7),"",INDEX(TableDiv[[GASB]:[GASB]],_xlfn.AGGREGATE(15,3,(TableDiv[[Agency]:[Agency]]=$E653)/(TableDiv[[Agency]:[Agency]]=$E653)*(ROW(TableDiv[Agency])-ROW(TableDiv[[#Headers],[Agency]])),COLUMNS($F$7:Y$7))))</f>
        <v/>
      </c>
      <c r="Z653" s="2223" t="str" cm="1">
        <f t="array" ref="Z653">IF($D653&lt;COLUMNS($F$7:Z$7),"",INDEX(TableDiv[[GASB]:[GASB]],_xlfn.AGGREGATE(15,3,(TableDiv[[Agency]:[Agency]]=$E653)/(TableDiv[[Agency]:[Agency]]=$E653)*(ROW(TableDiv[Agency])-ROW(TableDiv[[#Headers],[Agency]])),COLUMNS($F$7:Z$7))))</f>
        <v/>
      </c>
      <c r="AA653" s="2223" t="str" cm="1">
        <f t="array" ref="AA653">IF($D653&lt;COLUMNS($F$7:AA$7),"",INDEX(TableDiv[[GASB]:[GASB]],_xlfn.AGGREGATE(15,3,(TableDiv[[Agency]:[Agency]]=$E653)/(TableDiv[[Agency]:[Agency]]=$E653)*(ROW(TableDiv[Agency])-ROW(TableDiv[[#Headers],[Agency]])),COLUMNS($F$7:AA$7))))</f>
        <v/>
      </c>
      <c r="AB653" s="2223" t="str" cm="1">
        <f t="array" ref="AB653">IF($D653&lt;COLUMNS($F$7:AB$7),"",INDEX(TableDiv[[GASB]:[GASB]],_xlfn.AGGREGATE(15,3,(TableDiv[[Agency]:[Agency]]=$E653)/(TableDiv[[Agency]:[Agency]]=$E653)*(ROW(TableDiv[Agency])-ROW(TableDiv[[#Headers],[Agency]])),COLUMNS($F$7:AB$7))))</f>
        <v/>
      </c>
      <c r="AC653" s="2223" t="str" cm="1">
        <f t="array" ref="AC653">IF($D653&lt;COLUMNS($F$7:AC$7),"",INDEX(TableDiv[[GASB]:[GASB]],_xlfn.AGGREGATE(15,3,(TableDiv[[Agency]:[Agency]]=$E653)/(TableDiv[[Agency]:[Agency]]=$E653)*(ROW(TableDiv[Agency])-ROW(TableDiv[[#Headers],[Agency]])),COLUMNS($F$7:AC$7))))</f>
        <v/>
      </c>
      <c r="AD653" s="2223" t="str" cm="1">
        <f t="array" ref="AD653">IF($D653&lt;COLUMNS($F$7:AD$7),"",INDEX(TableDiv[[GASB]:[GASB]],_xlfn.AGGREGATE(15,3,(TableDiv[[Agency]:[Agency]]=$E653)/(TableDiv[[Agency]:[Agency]]=$E653)*(ROW(TableDiv[Agency])-ROW(TableDiv[[#Headers],[Agency]])),COLUMNS($F$7:AD$7))))</f>
        <v/>
      </c>
      <c r="AE653" s="2223" t="str" cm="1">
        <f t="array" ref="AE653">IF($D653&lt;COLUMNS($F$7:AE$7),"",INDEX(TableDiv[[GASB]:[GASB]],_xlfn.AGGREGATE(15,3,(TableDiv[[Agency]:[Agency]]=$E653)/(TableDiv[[Agency]:[Agency]]=$E653)*(ROW(TableDiv[Agency])-ROW(TableDiv[[#Headers],[Agency]])),COLUMNS($F$7:AE$7))))</f>
        <v/>
      </c>
      <c r="AF653" s="2223" t="str" cm="1">
        <f t="array" ref="AF653">IF($D653&lt;COLUMNS($F$7:AF$7),"",INDEX(TableDiv[[GASB]:[GASB]],_xlfn.AGGREGATE(15,3,(TableDiv[[Agency]:[Agency]]=$E653)/(TableDiv[[Agency]:[Agency]]=$E653)*(ROW(TableDiv[Agency])-ROW(TableDiv[[#Headers],[Agency]])),COLUMNS($F$7:AF$7))))</f>
        <v/>
      </c>
      <c r="AG653" s="2223" t="str" cm="1">
        <f t="array" ref="AG653">IF($D653&lt;COLUMNS($F$7:AG$7),"",INDEX(TableDiv[[GASB]:[GASB]],_xlfn.AGGREGATE(15,3,(TableDiv[[Agency]:[Agency]]=$E653)/(TableDiv[[Agency]:[Agency]]=$E653)*(ROW(TableDiv[Agency])-ROW(TableDiv[[#Headers],[Agency]])),COLUMNS($F$7:AG$7))))</f>
        <v/>
      </c>
      <c r="AH653" s="2223" t="str" cm="1">
        <f t="array" ref="AH653">IF($D653&lt;COLUMNS($F$7:AH$7),"",INDEX(TableDiv[[GASB]:[GASB]],_xlfn.AGGREGATE(15,3,(TableDiv[[Agency]:[Agency]]=$E653)/(TableDiv[[Agency]:[Agency]]=$E653)*(ROW(TableDiv[Agency])-ROW(TableDiv[[#Headers],[Agency]])),COLUMNS($F$7:AH$7))))</f>
        <v/>
      </c>
      <c r="AI653" s="2223" t="str" cm="1">
        <f t="array" ref="AI653">IF($D653&lt;COLUMNS($F$7:AI$7),"",INDEX(TableDiv[[GASB]:[GASB]],_xlfn.AGGREGATE(15,3,(TableDiv[[Agency]:[Agency]]=$E653)/(TableDiv[[Agency]:[Agency]]=$E653)*(ROW(TableDiv[Agency])-ROW(TableDiv[[#Headers],[Agency]])),COLUMNS($F$7:AI$7))))</f>
        <v/>
      </c>
      <c r="AJ653" s="2223" t="str" cm="1">
        <f t="array" ref="AJ653">IF($D653&lt;COLUMNS($F$7:AJ$7),"",INDEX(TableDiv[[GASB]:[GASB]],_xlfn.AGGREGATE(15,3,(TableDiv[[Agency]:[Agency]]=$E653)/(TableDiv[[Agency]:[Agency]]=$E653)*(ROW(TableDiv[Agency])-ROW(TableDiv[[#Headers],[Agency]])),COLUMNS($F$7:AJ$7))))</f>
        <v/>
      </c>
      <c r="AK653" s="2223" t="str" cm="1">
        <f t="array" ref="AK653">IF($D653&lt;COLUMNS($F$7:AK$7),"",INDEX(TableDiv[[GASB]:[GASB]],_xlfn.AGGREGATE(15,3,(TableDiv[[Agency]:[Agency]]=$E653)/(TableDiv[[Agency]:[Agency]]=$E653)*(ROW(TableDiv[Agency])-ROW(TableDiv[[#Headers],[Agency]])),COLUMNS($F$7:AK$7))))</f>
        <v/>
      </c>
      <c r="AL653" s="2223" t="str" cm="1">
        <f t="array" ref="AL653">IF($D653&lt;COLUMNS($F$7:AL$7),"",INDEX(TableDiv[[GASB]:[GASB]],_xlfn.AGGREGATE(15,3,(TableDiv[[Agency]:[Agency]]=$E653)/(TableDiv[[Agency]:[Agency]]=$E653)*(ROW(TableDiv[Agency])-ROW(TableDiv[[#Headers],[Agency]])),COLUMNS($F$7:AL$7))))</f>
        <v/>
      </c>
      <c r="AM653" s="2223" t="str" cm="1">
        <f t="array" ref="AM653">IF($D653&lt;COLUMNS($F$7:AM$7),"",INDEX(TableDiv[[GASB]:[GASB]],_xlfn.AGGREGATE(15,3,(TableDiv[[Agency]:[Agency]]=$E653)/(TableDiv[[Agency]:[Agency]]=$E653)*(ROW(TableDiv[Agency])-ROW(TableDiv[[#Headers],[Agency]])),COLUMNS($F$7:AM$7))))</f>
        <v/>
      </c>
      <c r="AN653" s="2223"/>
      <c r="AO653" s="2223"/>
      <c r="AP653" s="2223"/>
      <c r="AQ653" s="2223"/>
      <c r="AR653" s="2223"/>
      <c r="AS653" s="2223"/>
    </row>
    <row r="654" spans="1:45" x14ac:dyDescent="0.2">
      <c r="A654" s="2223"/>
      <c r="B654" s="2223"/>
      <c r="C654" s="2223"/>
      <c r="W654" s="2223" t="str" cm="1">
        <f t="array" ref="W654">IF($D654&lt;COLUMNS($F$7:W$7),"",INDEX(TableDiv[[GASB]:[GASB]],_xlfn.AGGREGATE(15,3,(TableDiv[[Agency]:[Agency]]=$E654)/(TableDiv[[Agency]:[Agency]]=$E654)*(ROW(TableDiv[Agency])-ROW(TableDiv[[#Headers],[Agency]])),COLUMNS($F$7:W$7))))</f>
        <v/>
      </c>
      <c r="X654" s="2223" t="str" cm="1">
        <f t="array" ref="X654">IF($D654&lt;COLUMNS($F$7:X$7),"",INDEX(TableDiv[[GASB]:[GASB]],_xlfn.AGGREGATE(15,3,(TableDiv[[Agency]:[Agency]]=$E654)/(TableDiv[[Agency]:[Agency]]=$E654)*(ROW(TableDiv[Agency])-ROW(TableDiv[[#Headers],[Agency]])),COLUMNS($F$7:X$7))))</f>
        <v/>
      </c>
      <c r="Y654" s="2223" t="str" cm="1">
        <f t="array" ref="Y654">IF($D654&lt;COLUMNS($F$7:Y$7),"",INDEX(TableDiv[[GASB]:[GASB]],_xlfn.AGGREGATE(15,3,(TableDiv[[Agency]:[Agency]]=$E654)/(TableDiv[[Agency]:[Agency]]=$E654)*(ROW(TableDiv[Agency])-ROW(TableDiv[[#Headers],[Agency]])),COLUMNS($F$7:Y$7))))</f>
        <v/>
      </c>
      <c r="Z654" s="2223" t="str" cm="1">
        <f t="array" ref="Z654">IF($D654&lt;COLUMNS($F$7:Z$7),"",INDEX(TableDiv[[GASB]:[GASB]],_xlfn.AGGREGATE(15,3,(TableDiv[[Agency]:[Agency]]=$E654)/(TableDiv[[Agency]:[Agency]]=$E654)*(ROW(TableDiv[Agency])-ROW(TableDiv[[#Headers],[Agency]])),COLUMNS($F$7:Z$7))))</f>
        <v/>
      </c>
      <c r="AA654" s="2223" t="str" cm="1">
        <f t="array" ref="AA654">IF($D654&lt;COLUMNS($F$7:AA$7),"",INDEX(TableDiv[[GASB]:[GASB]],_xlfn.AGGREGATE(15,3,(TableDiv[[Agency]:[Agency]]=$E654)/(TableDiv[[Agency]:[Agency]]=$E654)*(ROW(TableDiv[Agency])-ROW(TableDiv[[#Headers],[Agency]])),COLUMNS($F$7:AA$7))))</f>
        <v/>
      </c>
      <c r="AB654" s="2223" t="str" cm="1">
        <f t="array" ref="AB654">IF($D654&lt;COLUMNS($F$7:AB$7),"",INDEX(TableDiv[[GASB]:[GASB]],_xlfn.AGGREGATE(15,3,(TableDiv[[Agency]:[Agency]]=$E654)/(TableDiv[[Agency]:[Agency]]=$E654)*(ROW(TableDiv[Agency])-ROW(TableDiv[[#Headers],[Agency]])),COLUMNS($F$7:AB$7))))</f>
        <v/>
      </c>
      <c r="AC654" s="2223" t="str" cm="1">
        <f t="array" ref="AC654">IF($D654&lt;COLUMNS($F$7:AC$7),"",INDEX(TableDiv[[GASB]:[GASB]],_xlfn.AGGREGATE(15,3,(TableDiv[[Agency]:[Agency]]=$E654)/(TableDiv[[Agency]:[Agency]]=$E654)*(ROW(TableDiv[Agency])-ROW(TableDiv[[#Headers],[Agency]])),COLUMNS($F$7:AC$7))))</f>
        <v/>
      </c>
      <c r="AD654" s="2223" t="str" cm="1">
        <f t="array" ref="AD654">IF($D654&lt;COLUMNS($F$7:AD$7),"",INDEX(TableDiv[[GASB]:[GASB]],_xlfn.AGGREGATE(15,3,(TableDiv[[Agency]:[Agency]]=$E654)/(TableDiv[[Agency]:[Agency]]=$E654)*(ROW(TableDiv[Agency])-ROW(TableDiv[[#Headers],[Agency]])),COLUMNS($F$7:AD$7))))</f>
        <v/>
      </c>
      <c r="AE654" s="2223" t="str" cm="1">
        <f t="array" ref="AE654">IF($D654&lt;COLUMNS($F$7:AE$7),"",INDEX(TableDiv[[GASB]:[GASB]],_xlfn.AGGREGATE(15,3,(TableDiv[[Agency]:[Agency]]=$E654)/(TableDiv[[Agency]:[Agency]]=$E654)*(ROW(TableDiv[Agency])-ROW(TableDiv[[#Headers],[Agency]])),COLUMNS($F$7:AE$7))))</f>
        <v/>
      </c>
      <c r="AF654" s="2223" t="str" cm="1">
        <f t="array" ref="AF654">IF($D654&lt;COLUMNS($F$7:AF$7),"",INDEX(TableDiv[[GASB]:[GASB]],_xlfn.AGGREGATE(15,3,(TableDiv[[Agency]:[Agency]]=$E654)/(TableDiv[[Agency]:[Agency]]=$E654)*(ROW(TableDiv[Agency])-ROW(TableDiv[[#Headers],[Agency]])),COLUMNS($F$7:AF$7))))</f>
        <v/>
      </c>
      <c r="AG654" s="2223" t="str" cm="1">
        <f t="array" ref="AG654">IF($D654&lt;COLUMNS($F$7:AG$7),"",INDEX(TableDiv[[GASB]:[GASB]],_xlfn.AGGREGATE(15,3,(TableDiv[[Agency]:[Agency]]=$E654)/(TableDiv[[Agency]:[Agency]]=$E654)*(ROW(TableDiv[Agency])-ROW(TableDiv[[#Headers],[Agency]])),COLUMNS($F$7:AG$7))))</f>
        <v/>
      </c>
      <c r="AH654" s="2223" t="str" cm="1">
        <f t="array" ref="AH654">IF($D654&lt;COLUMNS($F$7:AH$7),"",INDEX(TableDiv[[GASB]:[GASB]],_xlfn.AGGREGATE(15,3,(TableDiv[[Agency]:[Agency]]=$E654)/(TableDiv[[Agency]:[Agency]]=$E654)*(ROW(TableDiv[Agency])-ROW(TableDiv[[#Headers],[Agency]])),COLUMNS($F$7:AH$7))))</f>
        <v/>
      </c>
      <c r="AI654" s="2223" t="str" cm="1">
        <f t="array" ref="AI654">IF($D654&lt;COLUMNS($F$7:AI$7),"",INDEX(TableDiv[[GASB]:[GASB]],_xlfn.AGGREGATE(15,3,(TableDiv[[Agency]:[Agency]]=$E654)/(TableDiv[[Agency]:[Agency]]=$E654)*(ROW(TableDiv[Agency])-ROW(TableDiv[[#Headers],[Agency]])),COLUMNS($F$7:AI$7))))</f>
        <v/>
      </c>
      <c r="AJ654" s="2223" t="str" cm="1">
        <f t="array" ref="AJ654">IF($D654&lt;COLUMNS($F$7:AJ$7),"",INDEX(TableDiv[[GASB]:[GASB]],_xlfn.AGGREGATE(15,3,(TableDiv[[Agency]:[Agency]]=$E654)/(TableDiv[[Agency]:[Agency]]=$E654)*(ROW(TableDiv[Agency])-ROW(TableDiv[[#Headers],[Agency]])),COLUMNS($F$7:AJ$7))))</f>
        <v/>
      </c>
      <c r="AK654" s="2223" t="str" cm="1">
        <f t="array" ref="AK654">IF($D654&lt;COLUMNS($F$7:AK$7),"",INDEX(TableDiv[[GASB]:[GASB]],_xlfn.AGGREGATE(15,3,(TableDiv[[Agency]:[Agency]]=$E654)/(TableDiv[[Agency]:[Agency]]=$E654)*(ROW(TableDiv[Agency])-ROW(TableDiv[[#Headers],[Agency]])),COLUMNS($F$7:AK$7))))</f>
        <v/>
      </c>
      <c r="AL654" s="2223" t="str" cm="1">
        <f t="array" ref="AL654">IF($D654&lt;COLUMNS($F$7:AL$7),"",INDEX(TableDiv[[GASB]:[GASB]],_xlfn.AGGREGATE(15,3,(TableDiv[[Agency]:[Agency]]=$E654)/(TableDiv[[Agency]:[Agency]]=$E654)*(ROW(TableDiv[Agency])-ROW(TableDiv[[#Headers],[Agency]])),COLUMNS($F$7:AL$7))))</f>
        <v/>
      </c>
      <c r="AM654" s="2223" t="str" cm="1">
        <f t="array" ref="AM654">IF($D654&lt;COLUMNS($F$7:AM$7),"",INDEX(TableDiv[[GASB]:[GASB]],_xlfn.AGGREGATE(15,3,(TableDiv[[Agency]:[Agency]]=$E654)/(TableDiv[[Agency]:[Agency]]=$E654)*(ROW(TableDiv[Agency])-ROW(TableDiv[[#Headers],[Agency]])),COLUMNS($F$7:AM$7))))</f>
        <v/>
      </c>
      <c r="AN654" s="2223"/>
      <c r="AO654" s="2223"/>
      <c r="AP654" s="2223"/>
      <c r="AQ654" s="2223"/>
      <c r="AR654" s="2223"/>
      <c r="AS654" s="2223"/>
    </row>
    <row r="655" spans="1:45" x14ac:dyDescent="0.2">
      <c r="A655" s="2223"/>
      <c r="B655" s="2223"/>
      <c r="C655" s="2223"/>
      <c r="W655" s="2223" t="str" cm="1">
        <f t="array" ref="W655">IF($D655&lt;COLUMNS($F$7:W$7),"",INDEX(TableDiv[[GASB]:[GASB]],_xlfn.AGGREGATE(15,3,(TableDiv[[Agency]:[Agency]]=$E655)/(TableDiv[[Agency]:[Agency]]=$E655)*(ROW(TableDiv[Agency])-ROW(TableDiv[[#Headers],[Agency]])),COLUMNS($F$7:W$7))))</f>
        <v/>
      </c>
      <c r="X655" s="2223" t="str" cm="1">
        <f t="array" ref="X655">IF($D655&lt;COLUMNS($F$7:X$7),"",INDEX(TableDiv[[GASB]:[GASB]],_xlfn.AGGREGATE(15,3,(TableDiv[[Agency]:[Agency]]=$E655)/(TableDiv[[Agency]:[Agency]]=$E655)*(ROW(TableDiv[Agency])-ROW(TableDiv[[#Headers],[Agency]])),COLUMNS($F$7:X$7))))</f>
        <v/>
      </c>
      <c r="Y655" s="2223" t="str" cm="1">
        <f t="array" ref="Y655">IF($D655&lt;COLUMNS($F$7:Y$7),"",INDEX(TableDiv[[GASB]:[GASB]],_xlfn.AGGREGATE(15,3,(TableDiv[[Agency]:[Agency]]=$E655)/(TableDiv[[Agency]:[Agency]]=$E655)*(ROW(TableDiv[Agency])-ROW(TableDiv[[#Headers],[Agency]])),COLUMNS($F$7:Y$7))))</f>
        <v/>
      </c>
      <c r="Z655" s="2223" t="str" cm="1">
        <f t="array" ref="Z655">IF($D655&lt;COLUMNS($F$7:Z$7),"",INDEX(TableDiv[[GASB]:[GASB]],_xlfn.AGGREGATE(15,3,(TableDiv[[Agency]:[Agency]]=$E655)/(TableDiv[[Agency]:[Agency]]=$E655)*(ROW(TableDiv[Agency])-ROW(TableDiv[[#Headers],[Agency]])),COLUMNS($F$7:Z$7))))</f>
        <v/>
      </c>
      <c r="AA655" s="2223" t="str" cm="1">
        <f t="array" ref="AA655">IF($D655&lt;COLUMNS($F$7:AA$7),"",INDEX(TableDiv[[GASB]:[GASB]],_xlfn.AGGREGATE(15,3,(TableDiv[[Agency]:[Agency]]=$E655)/(TableDiv[[Agency]:[Agency]]=$E655)*(ROW(TableDiv[Agency])-ROW(TableDiv[[#Headers],[Agency]])),COLUMNS($F$7:AA$7))))</f>
        <v/>
      </c>
      <c r="AB655" s="2223" t="str" cm="1">
        <f t="array" ref="AB655">IF($D655&lt;COLUMNS($F$7:AB$7),"",INDEX(TableDiv[[GASB]:[GASB]],_xlfn.AGGREGATE(15,3,(TableDiv[[Agency]:[Agency]]=$E655)/(TableDiv[[Agency]:[Agency]]=$E655)*(ROW(TableDiv[Agency])-ROW(TableDiv[[#Headers],[Agency]])),COLUMNS($F$7:AB$7))))</f>
        <v/>
      </c>
      <c r="AC655" s="2223" t="str" cm="1">
        <f t="array" ref="AC655">IF($D655&lt;COLUMNS($F$7:AC$7),"",INDEX(TableDiv[[GASB]:[GASB]],_xlfn.AGGREGATE(15,3,(TableDiv[[Agency]:[Agency]]=$E655)/(TableDiv[[Agency]:[Agency]]=$E655)*(ROW(TableDiv[Agency])-ROW(TableDiv[[#Headers],[Agency]])),COLUMNS($F$7:AC$7))))</f>
        <v/>
      </c>
      <c r="AD655" s="2223" t="str" cm="1">
        <f t="array" ref="AD655">IF($D655&lt;COLUMNS($F$7:AD$7),"",INDEX(TableDiv[[GASB]:[GASB]],_xlfn.AGGREGATE(15,3,(TableDiv[[Agency]:[Agency]]=$E655)/(TableDiv[[Agency]:[Agency]]=$E655)*(ROW(TableDiv[Agency])-ROW(TableDiv[[#Headers],[Agency]])),COLUMNS($F$7:AD$7))))</f>
        <v/>
      </c>
      <c r="AE655" s="2223" t="str" cm="1">
        <f t="array" ref="AE655">IF($D655&lt;COLUMNS($F$7:AE$7),"",INDEX(TableDiv[[GASB]:[GASB]],_xlfn.AGGREGATE(15,3,(TableDiv[[Agency]:[Agency]]=$E655)/(TableDiv[[Agency]:[Agency]]=$E655)*(ROW(TableDiv[Agency])-ROW(TableDiv[[#Headers],[Agency]])),COLUMNS($F$7:AE$7))))</f>
        <v/>
      </c>
      <c r="AF655" s="2223" t="str" cm="1">
        <f t="array" ref="AF655">IF($D655&lt;COLUMNS($F$7:AF$7),"",INDEX(TableDiv[[GASB]:[GASB]],_xlfn.AGGREGATE(15,3,(TableDiv[[Agency]:[Agency]]=$E655)/(TableDiv[[Agency]:[Agency]]=$E655)*(ROW(TableDiv[Agency])-ROW(TableDiv[[#Headers],[Agency]])),COLUMNS($F$7:AF$7))))</f>
        <v/>
      </c>
      <c r="AG655" s="2223" t="str" cm="1">
        <f t="array" ref="AG655">IF($D655&lt;COLUMNS($F$7:AG$7),"",INDEX(TableDiv[[GASB]:[GASB]],_xlfn.AGGREGATE(15,3,(TableDiv[[Agency]:[Agency]]=$E655)/(TableDiv[[Agency]:[Agency]]=$E655)*(ROW(TableDiv[Agency])-ROW(TableDiv[[#Headers],[Agency]])),COLUMNS($F$7:AG$7))))</f>
        <v/>
      </c>
      <c r="AH655" s="2223" t="str" cm="1">
        <f t="array" ref="AH655">IF($D655&lt;COLUMNS($F$7:AH$7),"",INDEX(TableDiv[[GASB]:[GASB]],_xlfn.AGGREGATE(15,3,(TableDiv[[Agency]:[Agency]]=$E655)/(TableDiv[[Agency]:[Agency]]=$E655)*(ROW(TableDiv[Agency])-ROW(TableDiv[[#Headers],[Agency]])),COLUMNS($F$7:AH$7))))</f>
        <v/>
      </c>
      <c r="AI655" s="2223" t="str" cm="1">
        <f t="array" ref="AI655">IF($D655&lt;COLUMNS($F$7:AI$7),"",INDEX(TableDiv[[GASB]:[GASB]],_xlfn.AGGREGATE(15,3,(TableDiv[[Agency]:[Agency]]=$E655)/(TableDiv[[Agency]:[Agency]]=$E655)*(ROW(TableDiv[Agency])-ROW(TableDiv[[#Headers],[Agency]])),COLUMNS($F$7:AI$7))))</f>
        <v/>
      </c>
      <c r="AJ655" s="2223" t="str" cm="1">
        <f t="array" ref="AJ655">IF($D655&lt;COLUMNS($F$7:AJ$7),"",INDEX(TableDiv[[GASB]:[GASB]],_xlfn.AGGREGATE(15,3,(TableDiv[[Agency]:[Agency]]=$E655)/(TableDiv[[Agency]:[Agency]]=$E655)*(ROW(TableDiv[Agency])-ROW(TableDiv[[#Headers],[Agency]])),COLUMNS($F$7:AJ$7))))</f>
        <v/>
      </c>
      <c r="AK655" s="2223" t="str" cm="1">
        <f t="array" ref="AK655">IF($D655&lt;COLUMNS($F$7:AK$7),"",INDEX(TableDiv[[GASB]:[GASB]],_xlfn.AGGREGATE(15,3,(TableDiv[[Agency]:[Agency]]=$E655)/(TableDiv[[Agency]:[Agency]]=$E655)*(ROW(TableDiv[Agency])-ROW(TableDiv[[#Headers],[Agency]])),COLUMNS($F$7:AK$7))))</f>
        <v/>
      </c>
      <c r="AL655" s="2223" t="str" cm="1">
        <f t="array" ref="AL655">IF($D655&lt;COLUMNS($F$7:AL$7),"",INDEX(TableDiv[[GASB]:[GASB]],_xlfn.AGGREGATE(15,3,(TableDiv[[Agency]:[Agency]]=$E655)/(TableDiv[[Agency]:[Agency]]=$E655)*(ROW(TableDiv[Agency])-ROW(TableDiv[[#Headers],[Agency]])),COLUMNS($F$7:AL$7))))</f>
        <v/>
      </c>
      <c r="AM655" s="2223" t="str" cm="1">
        <f t="array" ref="AM655">IF($D655&lt;COLUMNS($F$7:AM$7),"",INDEX(TableDiv[[GASB]:[GASB]],_xlfn.AGGREGATE(15,3,(TableDiv[[Agency]:[Agency]]=$E655)/(TableDiv[[Agency]:[Agency]]=$E655)*(ROW(TableDiv[Agency])-ROW(TableDiv[[#Headers],[Agency]])),COLUMNS($F$7:AM$7))))</f>
        <v/>
      </c>
      <c r="AN655" s="2223"/>
      <c r="AO655" s="2223"/>
      <c r="AP655" s="2223"/>
      <c r="AQ655" s="2223"/>
      <c r="AR655" s="2223"/>
      <c r="AS655" s="2223"/>
    </row>
    <row r="656" spans="1:45" x14ac:dyDescent="0.2">
      <c r="A656" s="2223"/>
      <c r="B656" s="2223"/>
      <c r="C656" s="2223"/>
      <c r="W656" s="2223" t="str" cm="1">
        <f t="array" ref="W656">IF($D656&lt;COLUMNS($F$7:W$7),"",INDEX(TableDiv[[GASB]:[GASB]],_xlfn.AGGREGATE(15,3,(TableDiv[[Agency]:[Agency]]=$E656)/(TableDiv[[Agency]:[Agency]]=$E656)*(ROW(TableDiv[Agency])-ROW(TableDiv[[#Headers],[Agency]])),COLUMNS($F$7:W$7))))</f>
        <v/>
      </c>
      <c r="X656" s="2223" t="str" cm="1">
        <f t="array" ref="X656">IF($D656&lt;COLUMNS($F$7:X$7),"",INDEX(TableDiv[[GASB]:[GASB]],_xlfn.AGGREGATE(15,3,(TableDiv[[Agency]:[Agency]]=$E656)/(TableDiv[[Agency]:[Agency]]=$E656)*(ROW(TableDiv[Agency])-ROW(TableDiv[[#Headers],[Agency]])),COLUMNS($F$7:X$7))))</f>
        <v/>
      </c>
      <c r="Y656" s="2223" t="str" cm="1">
        <f t="array" ref="Y656">IF($D656&lt;COLUMNS($F$7:Y$7),"",INDEX(TableDiv[[GASB]:[GASB]],_xlfn.AGGREGATE(15,3,(TableDiv[[Agency]:[Agency]]=$E656)/(TableDiv[[Agency]:[Agency]]=$E656)*(ROW(TableDiv[Agency])-ROW(TableDiv[[#Headers],[Agency]])),COLUMNS($F$7:Y$7))))</f>
        <v/>
      </c>
      <c r="Z656" s="2223" t="str" cm="1">
        <f t="array" ref="Z656">IF($D656&lt;COLUMNS($F$7:Z$7),"",INDEX(TableDiv[[GASB]:[GASB]],_xlfn.AGGREGATE(15,3,(TableDiv[[Agency]:[Agency]]=$E656)/(TableDiv[[Agency]:[Agency]]=$E656)*(ROW(TableDiv[Agency])-ROW(TableDiv[[#Headers],[Agency]])),COLUMNS($F$7:Z$7))))</f>
        <v/>
      </c>
      <c r="AA656" s="2223" t="str" cm="1">
        <f t="array" ref="AA656">IF($D656&lt;COLUMNS($F$7:AA$7),"",INDEX(TableDiv[[GASB]:[GASB]],_xlfn.AGGREGATE(15,3,(TableDiv[[Agency]:[Agency]]=$E656)/(TableDiv[[Agency]:[Agency]]=$E656)*(ROW(TableDiv[Agency])-ROW(TableDiv[[#Headers],[Agency]])),COLUMNS($F$7:AA$7))))</f>
        <v/>
      </c>
      <c r="AB656" s="2223" t="str" cm="1">
        <f t="array" ref="AB656">IF($D656&lt;COLUMNS($F$7:AB$7),"",INDEX(TableDiv[[GASB]:[GASB]],_xlfn.AGGREGATE(15,3,(TableDiv[[Agency]:[Agency]]=$E656)/(TableDiv[[Agency]:[Agency]]=$E656)*(ROW(TableDiv[Agency])-ROW(TableDiv[[#Headers],[Agency]])),COLUMNS($F$7:AB$7))))</f>
        <v/>
      </c>
      <c r="AC656" s="2223" t="str" cm="1">
        <f t="array" ref="AC656">IF($D656&lt;COLUMNS($F$7:AC$7),"",INDEX(TableDiv[[GASB]:[GASB]],_xlfn.AGGREGATE(15,3,(TableDiv[[Agency]:[Agency]]=$E656)/(TableDiv[[Agency]:[Agency]]=$E656)*(ROW(TableDiv[Agency])-ROW(TableDiv[[#Headers],[Agency]])),COLUMNS($F$7:AC$7))))</f>
        <v/>
      </c>
      <c r="AD656" s="2223" t="str" cm="1">
        <f t="array" ref="AD656">IF($D656&lt;COLUMNS($F$7:AD$7),"",INDEX(TableDiv[[GASB]:[GASB]],_xlfn.AGGREGATE(15,3,(TableDiv[[Agency]:[Agency]]=$E656)/(TableDiv[[Agency]:[Agency]]=$E656)*(ROW(TableDiv[Agency])-ROW(TableDiv[[#Headers],[Agency]])),COLUMNS($F$7:AD$7))))</f>
        <v/>
      </c>
      <c r="AE656" s="2223" t="str" cm="1">
        <f t="array" ref="AE656">IF($D656&lt;COLUMNS($F$7:AE$7),"",INDEX(TableDiv[[GASB]:[GASB]],_xlfn.AGGREGATE(15,3,(TableDiv[[Agency]:[Agency]]=$E656)/(TableDiv[[Agency]:[Agency]]=$E656)*(ROW(TableDiv[Agency])-ROW(TableDiv[[#Headers],[Agency]])),COLUMNS($F$7:AE$7))))</f>
        <v/>
      </c>
      <c r="AF656" s="2223" t="str" cm="1">
        <f t="array" ref="AF656">IF($D656&lt;COLUMNS($F$7:AF$7),"",INDEX(TableDiv[[GASB]:[GASB]],_xlfn.AGGREGATE(15,3,(TableDiv[[Agency]:[Agency]]=$E656)/(TableDiv[[Agency]:[Agency]]=$E656)*(ROW(TableDiv[Agency])-ROW(TableDiv[[#Headers],[Agency]])),COLUMNS($F$7:AF$7))))</f>
        <v/>
      </c>
      <c r="AG656" s="2223" t="str" cm="1">
        <f t="array" ref="AG656">IF($D656&lt;COLUMNS($F$7:AG$7),"",INDEX(TableDiv[[GASB]:[GASB]],_xlfn.AGGREGATE(15,3,(TableDiv[[Agency]:[Agency]]=$E656)/(TableDiv[[Agency]:[Agency]]=$E656)*(ROW(TableDiv[Agency])-ROW(TableDiv[[#Headers],[Agency]])),COLUMNS($F$7:AG$7))))</f>
        <v/>
      </c>
      <c r="AH656" s="2223" t="str" cm="1">
        <f t="array" ref="AH656">IF($D656&lt;COLUMNS($F$7:AH$7),"",INDEX(TableDiv[[GASB]:[GASB]],_xlfn.AGGREGATE(15,3,(TableDiv[[Agency]:[Agency]]=$E656)/(TableDiv[[Agency]:[Agency]]=$E656)*(ROW(TableDiv[Agency])-ROW(TableDiv[[#Headers],[Agency]])),COLUMNS($F$7:AH$7))))</f>
        <v/>
      </c>
      <c r="AI656" s="2223" t="str" cm="1">
        <f t="array" ref="AI656">IF($D656&lt;COLUMNS($F$7:AI$7),"",INDEX(TableDiv[[GASB]:[GASB]],_xlfn.AGGREGATE(15,3,(TableDiv[[Agency]:[Agency]]=$E656)/(TableDiv[[Agency]:[Agency]]=$E656)*(ROW(TableDiv[Agency])-ROW(TableDiv[[#Headers],[Agency]])),COLUMNS($F$7:AI$7))))</f>
        <v/>
      </c>
      <c r="AJ656" s="2223" t="str" cm="1">
        <f t="array" ref="AJ656">IF($D656&lt;COLUMNS($F$7:AJ$7),"",INDEX(TableDiv[[GASB]:[GASB]],_xlfn.AGGREGATE(15,3,(TableDiv[[Agency]:[Agency]]=$E656)/(TableDiv[[Agency]:[Agency]]=$E656)*(ROW(TableDiv[Agency])-ROW(TableDiv[[#Headers],[Agency]])),COLUMNS($F$7:AJ$7))))</f>
        <v/>
      </c>
      <c r="AK656" s="2223" t="str" cm="1">
        <f t="array" ref="AK656">IF($D656&lt;COLUMNS($F$7:AK$7),"",INDEX(TableDiv[[GASB]:[GASB]],_xlfn.AGGREGATE(15,3,(TableDiv[[Agency]:[Agency]]=$E656)/(TableDiv[[Agency]:[Agency]]=$E656)*(ROW(TableDiv[Agency])-ROW(TableDiv[[#Headers],[Agency]])),COLUMNS($F$7:AK$7))))</f>
        <v/>
      </c>
      <c r="AL656" s="2223" t="str" cm="1">
        <f t="array" ref="AL656">IF($D656&lt;COLUMNS($F$7:AL$7),"",INDEX(TableDiv[[GASB]:[GASB]],_xlfn.AGGREGATE(15,3,(TableDiv[[Agency]:[Agency]]=$E656)/(TableDiv[[Agency]:[Agency]]=$E656)*(ROW(TableDiv[Agency])-ROW(TableDiv[[#Headers],[Agency]])),COLUMNS($F$7:AL$7))))</f>
        <v/>
      </c>
      <c r="AM656" s="2223" t="str" cm="1">
        <f t="array" ref="AM656">IF($D656&lt;COLUMNS($F$7:AM$7),"",INDEX(TableDiv[[GASB]:[GASB]],_xlfn.AGGREGATE(15,3,(TableDiv[[Agency]:[Agency]]=$E656)/(TableDiv[[Agency]:[Agency]]=$E656)*(ROW(TableDiv[Agency])-ROW(TableDiv[[#Headers],[Agency]])),COLUMNS($F$7:AM$7))))</f>
        <v/>
      </c>
      <c r="AN656" s="2223"/>
      <c r="AO656" s="2223"/>
      <c r="AP656" s="2223"/>
      <c r="AQ656" s="2223"/>
      <c r="AR656" s="2223"/>
      <c r="AS656" s="2223"/>
    </row>
    <row r="657" spans="1:45" x14ac:dyDescent="0.2">
      <c r="A657" s="2223"/>
      <c r="B657" s="2223"/>
      <c r="C657" s="2223"/>
      <c r="W657" s="2223" t="str" cm="1">
        <f t="array" ref="W657">IF($D657&lt;COLUMNS($F$7:W$7),"",INDEX(TableDiv[[GASB]:[GASB]],_xlfn.AGGREGATE(15,3,(TableDiv[[Agency]:[Agency]]=$E657)/(TableDiv[[Agency]:[Agency]]=$E657)*(ROW(TableDiv[Agency])-ROW(TableDiv[[#Headers],[Agency]])),COLUMNS($F$7:W$7))))</f>
        <v/>
      </c>
      <c r="X657" s="2223" t="str" cm="1">
        <f t="array" ref="X657">IF($D657&lt;COLUMNS($F$7:X$7),"",INDEX(TableDiv[[GASB]:[GASB]],_xlfn.AGGREGATE(15,3,(TableDiv[[Agency]:[Agency]]=$E657)/(TableDiv[[Agency]:[Agency]]=$E657)*(ROW(TableDiv[Agency])-ROW(TableDiv[[#Headers],[Agency]])),COLUMNS($F$7:X$7))))</f>
        <v/>
      </c>
      <c r="Y657" s="2223" t="str" cm="1">
        <f t="array" ref="Y657">IF($D657&lt;COLUMNS($F$7:Y$7),"",INDEX(TableDiv[[GASB]:[GASB]],_xlfn.AGGREGATE(15,3,(TableDiv[[Agency]:[Agency]]=$E657)/(TableDiv[[Agency]:[Agency]]=$E657)*(ROW(TableDiv[Agency])-ROW(TableDiv[[#Headers],[Agency]])),COLUMNS($F$7:Y$7))))</f>
        <v/>
      </c>
      <c r="Z657" s="2223" t="str" cm="1">
        <f t="array" ref="Z657">IF($D657&lt;COLUMNS($F$7:Z$7),"",INDEX(TableDiv[[GASB]:[GASB]],_xlfn.AGGREGATE(15,3,(TableDiv[[Agency]:[Agency]]=$E657)/(TableDiv[[Agency]:[Agency]]=$E657)*(ROW(TableDiv[Agency])-ROW(TableDiv[[#Headers],[Agency]])),COLUMNS($F$7:Z$7))))</f>
        <v/>
      </c>
      <c r="AA657" s="2223" t="str" cm="1">
        <f t="array" ref="AA657">IF($D657&lt;COLUMNS($F$7:AA$7),"",INDEX(TableDiv[[GASB]:[GASB]],_xlfn.AGGREGATE(15,3,(TableDiv[[Agency]:[Agency]]=$E657)/(TableDiv[[Agency]:[Agency]]=$E657)*(ROW(TableDiv[Agency])-ROW(TableDiv[[#Headers],[Agency]])),COLUMNS($F$7:AA$7))))</f>
        <v/>
      </c>
      <c r="AB657" s="2223" t="str" cm="1">
        <f t="array" ref="AB657">IF($D657&lt;COLUMNS($F$7:AB$7),"",INDEX(TableDiv[[GASB]:[GASB]],_xlfn.AGGREGATE(15,3,(TableDiv[[Agency]:[Agency]]=$E657)/(TableDiv[[Agency]:[Agency]]=$E657)*(ROW(TableDiv[Agency])-ROW(TableDiv[[#Headers],[Agency]])),COLUMNS($F$7:AB$7))))</f>
        <v/>
      </c>
      <c r="AC657" s="2223" t="str" cm="1">
        <f t="array" ref="AC657">IF($D657&lt;COLUMNS($F$7:AC$7),"",INDEX(TableDiv[[GASB]:[GASB]],_xlfn.AGGREGATE(15,3,(TableDiv[[Agency]:[Agency]]=$E657)/(TableDiv[[Agency]:[Agency]]=$E657)*(ROW(TableDiv[Agency])-ROW(TableDiv[[#Headers],[Agency]])),COLUMNS($F$7:AC$7))))</f>
        <v/>
      </c>
      <c r="AD657" s="2223" t="str" cm="1">
        <f t="array" ref="AD657">IF($D657&lt;COLUMNS($F$7:AD$7),"",INDEX(TableDiv[[GASB]:[GASB]],_xlfn.AGGREGATE(15,3,(TableDiv[[Agency]:[Agency]]=$E657)/(TableDiv[[Agency]:[Agency]]=$E657)*(ROW(TableDiv[Agency])-ROW(TableDiv[[#Headers],[Agency]])),COLUMNS($F$7:AD$7))))</f>
        <v/>
      </c>
      <c r="AE657" s="2223" t="str" cm="1">
        <f t="array" ref="AE657">IF($D657&lt;COLUMNS($F$7:AE$7),"",INDEX(TableDiv[[GASB]:[GASB]],_xlfn.AGGREGATE(15,3,(TableDiv[[Agency]:[Agency]]=$E657)/(TableDiv[[Agency]:[Agency]]=$E657)*(ROW(TableDiv[Agency])-ROW(TableDiv[[#Headers],[Agency]])),COLUMNS($F$7:AE$7))))</f>
        <v/>
      </c>
      <c r="AF657" s="2223" t="str" cm="1">
        <f t="array" ref="AF657">IF($D657&lt;COLUMNS($F$7:AF$7),"",INDEX(TableDiv[[GASB]:[GASB]],_xlfn.AGGREGATE(15,3,(TableDiv[[Agency]:[Agency]]=$E657)/(TableDiv[[Agency]:[Agency]]=$E657)*(ROW(TableDiv[Agency])-ROW(TableDiv[[#Headers],[Agency]])),COLUMNS($F$7:AF$7))))</f>
        <v/>
      </c>
      <c r="AG657" s="2223" t="str" cm="1">
        <f t="array" ref="AG657">IF($D657&lt;COLUMNS($F$7:AG$7),"",INDEX(TableDiv[[GASB]:[GASB]],_xlfn.AGGREGATE(15,3,(TableDiv[[Agency]:[Agency]]=$E657)/(TableDiv[[Agency]:[Agency]]=$E657)*(ROW(TableDiv[Agency])-ROW(TableDiv[[#Headers],[Agency]])),COLUMNS($F$7:AG$7))))</f>
        <v/>
      </c>
      <c r="AH657" s="2223" t="str" cm="1">
        <f t="array" ref="AH657">IF($D657&lt;COLUMNS($F$7:AH$7),"",INDEX(TableDiv[[GASB]:[GASB]],_xlfn.AGGREGATE(15,3,(TableDiv[[Agency]:[Agency]]=$E657)/(TableDiv[[Agency]:[Agency]]=$E657)*(ROW(TableDiv[Agency])-ROW(TableDiv[[#Headers],[Agency]])),COLUMNS($F$7:AH$7))))</f>
        <v/>
      </c>
      <c r="AI657" s="2223" t="str" cm="1">
        <f t="array" ref="AI657">IF($D657&lt;COLUMNS($F$7:AI$7),"",INDEX(TableDiv[[GASB]:[GASB]],_xlfn.AGGREGATE(15,3,(TableDiv[[Agency]:[Agency]]=$E657)/(TableDiv[[Agency]:[Agency]]=$E657)*(ROW(TableDiv[Agency])-ROW(TableDiv[[#Headers],[Agency]])),COLUMNS($F$7:AI$7))))</f>
        <v/>
      </c>
      <c r="AJ657" s="2223" t="str" cm="1">
        <f t="array" ref="AJ657">IF($D657&lt;COLUMNS($F$7:AJ$7),"",INDEX(TableDiv[[GASB]:[GASB]],_xlfn.AGGREGATE(15,3,(TableDiv[[Agency]:[Agency]]=$E657)/(TableDiv[[Agency]:[Agency]]=$E657)*(ROW(TableDiv[Agency])-ROW(TableDiv[[#Headers],[Agency]])),COLUMNS($F$7:AJ$7))))</f>
        <v/>
      </c>
      <c r="AK657" s="2223" t="str" cm="1">
        <f t="array" ref="AK657">IF($D657&lt;COLUMNS($F$7:AK$7),"",INDEX(TableDiv[[GASB]:[GASB]],_xlfn.AGGREGATE(15,3,(TableDiv[[Agency]:[Agency]]=$E657)/(TableDiv[[Agency]:[Agency]]=$E657)*(ROW(TableDiv[Agency])-ROW(TableDiv[[#Headers],[Agency]])),COLUMNS($F$7:AK$7))))</f>
        <v/>
      </c>
      <c r="AL657" s="2223" t="str" cm="1">
        <f t="array" ref="AL657">IF($D657&lt;COLUMNS($F$7:AL$7),"",INDEX(TableDiv[[GASB]:[GASB]],_xlfn.AGGREGATE(15,3,(TableDiv[[Agency]:[Agency]]=$E657)/(TableDiv[[Agency]:[Agency]]=$E657)*(ROW(TableDiv[Agency])-ROW(TableDiv[[#Headers],[Agency]])),COLUMNS($F$7:AL$7))))</f>
        <v/>
      </c>
      <c r="AM657" s="2223" t="str" cm="1">
        <f t="array" ref="AM657">IF($D657&lt;COLUMNS($F$7:AM$7),"",INDEX(TableDiv[[GASB]:[GASB]],_xlfn.AGGREGATE(15,3,(TableDiv[[Agency]:[Agency]]=$E657)/(TableDiv[[Agency]:[Agency]]=$E657)*(ROW(TableDiv[Agency])-ROW(TableDiv[[#Headers],[Agency]])),COLUMNS($F$7:AM$7))))</f>
        <v/>
      </c>
      <c r="AN657" s="2223"/>
      <c r="AO657" s="2223"/>
      <c r="AP657" s="2223"/>
      <c r="AQ657" s="2223"/>
      <c r="AR657" s="2223"/>
      <c r="AS657" s="2223"/>
    </row>
    <row r="658" spans="1:45" x14ac:dyDescent="0.2">
      <c r="A658" s="2223"/>
      <c r="B658" s="2223"/>
      <c r="C658" s="2223"/>
      <c r="W658" s="2223" t="str" cm="1">
        <f t="array" ref="W658">IF($D658&lt;COLUMNS($F$7:W$7),"",INDEX(TableDiv[[GASB]:[GASB]],_xlfn.AGGREGATE(15,3,(TableDiv[[Agency]:[Agency]]=$E658)/(TableDiv[[Agency]:[Agency]]=$E658)*(ROW(TableDiv[Agency])-ROW(TableDiv[[#Headers],[Agency]])),COLUMNS($F$7:W$7))))</f>
        <v/>
      </c>
      <c r="X658" s="2223" t="str" cm="1">
        <f t="array" ref="X658">IF($D658&lt;COLUMNS($F$7:X$7),"",INDEX(TableDiv[[GASB]:[GASB]],_xlfn.AGGREGATE(15,3,(TableDiv[[Agency]:[Agency]]=$E658)/(TableDiv[[Agency]:[Agency]]=$E658)*(ROW(TableDiv[Agency])-ROW(TableDiv[[#Headers],[Agency]])),COLUMNS($F$7:X$7))))</f>
        <v/>
      </c>
      <c r="Y658" s="2223" t="str" cm="1">
        <f t="array" ref="Y658">IF($D658&lt;COLUMNS($F$7:Y$7),"",INDEX(TableDiv[[GASB]:[GASB]],_xlfn.AGGREGATE(15,3,(TableDiv[[Agency]:[Agency]]=$E658)/(TableDiv[[Agency]:[Agency]]=$E658)*(ROW(TableDiv[Agency])-ROW(TableDiv[[#Headers],[Agency]])),COLUMNS($F$7:Y$7))))</f>
        <v/>
      </c>
      <c r="Z658" s="2223" t="str" cm="1">
        <f t="array" ref="Z658">IF($D658&lt;COLUMNS($F$7:Z$7),"",INDEX(TableDiv[[GASB]:[GASB]],_xlfn.AGGREGATE(15,3,(TableDiv[[Agency]:[Agency]]=$E658)/(TableDiv[[Agency]:[Agency]]=$E658)*(ROW(TableDiv[Agency])-ROW(TableDiv[[#Headers],[Agency]])),COLUMNS($F$7:Z$7))))</f>
        <v/>
      </c>
      <c r="AA658" s="2223" t="str" cm="1">
        <f t="array" ref="AA658">IF($D658&lt;COLUMNS($F$7:AA$7),"",INDEX(TableDiv[[GASB]:[GASB]],_xlfn.AGGREGATE(15,3,(TableDiv[[Agency]:[Agency]]=$E658)/(TableDiv[[Agency]:[Agency]]=$E658)*(ROW(TableDiv[Agency])-ROW(TableDiv[[#Headers],[Agency]])),COLUMNS($F$7:AA$7))))</f>
        <v/>
      </c>
      <c r="AB658" s="2223" t="str" cm="1">
        <f t="array" ref="AB658">IF($D658&lt;COLUMNS($F$7:AB$7),"",INDEX(TableDiv[[GASB]:[GASB]],_xlfn.AGGREGATE(15,3,(TableDiv[[Agency]:[Agency]]=$E658)/(TableDiv[[Agency]:[Agency]]=$E658)*(ROW(TableDiv[Agency])-ROW(TableDiv[[#Headers],[Agency]])),COLUMNS($F$7:AB$7))))</f>
        <v/>
      </c>
      <c r="AC658" s="2223" t="str" cm="1">
        <f t="array" ref="AC658">IF($D658&lt;COLUMNS($F$7:AC$7),"",INDEX(TableDiv[[GASB]:[GASB]],_xlfn.AGGREGATE(15,3,(TableDiv[[Agency]:[Agency]]=$E658)/(TableDiv[[Agency]:[Agency]]=$E658)*(ROW(TableDiv[Agency])-ROW(TableDiv[[#Headers],[Agency]])),COLUMNS($F$7:AC$7))))</f>
        <v/>
      </c>
      <c r="AD658" s="2223" t="str" cm="1">
        <f t="array" ref="AD658">IF($D658&lt;COLUMNS($F$7:AD$7),"",INDEX(TableDiv[[GASB]:[GASB]],_xlfn.AGGREGATE(15,3,(TableDiv[[Agency]:[Agency]]=$E658)/(TableDiv[[Agency]:[Agency]]=$E658)*(ROW(TableDiv[Agency])-ROW(TableDiv[[#Headers],[Agency]])),COLUMNS($F$7:AD$7))))</f>
        <v/>
      </c>
      <c r="AE658" s="2223" t="str" cm="1">
        <f t="array" ref="AE658">IF($D658&lt;COLUMNS($F$7:AE$7),"",INDEX(TableDiv[[GASB]:[GASB]],_xlfn.AGGREGATE(15,3,(TableDiv[[Agency]:[Agency]]=$E658)/(TableDiv[[Agency]:[Agency]]=$E658)*(ROW(TableDiv[Agency])-ROW(TableDiv[[#Headers],[Agency]])),COLUMNS($F$7:AE$7))))</f>
        <v/>
      </c>
      <c r="AF658" s="2223" t="str" cm="1">
        <f t="array" ref="AF658">IF($D658&lt;COLUMNS($F$7:AF$7),"",INDEX(TableDiv[[GASB]:[GASB]],_xlfn.AGGREGATE(15,3,(TableDiv[[Agency]:[Agency]]=$E658)/(TableDiv[[Agency]:[Agency]]=$E658)*(ROW(TableDiv[Agency])-ROW(TableDiv[[#Headers],[Agency]])),COLUMNS($F$7:AF$7))))</f>
        <v/>
      </c>
      <c r="AG658" s="2223" t="str" cm="1">
        <f t="array" ref="AG658">IF($D658&lt;COLUMNS($F$7:AG$7),"",INDEX(TableDiv[[GASB]:[GASB]],_xlfn.AGGREGATE(15,3,(TableDiv[[Agency]:[Agency]]=$E658)/(TableDiv[[Agency]:[Agency]]=$E658)*(ROW(TableDiv[Agency])-ROW(TableDiv[[#Headers],[Agency]])),COLUMNS($F$7:AG$7))))</f>
        <v/>
      </c>
      <c r="AH658" s="2223" t="str" cm="1">
        <f t="array" ref="AH658">IF($D658&lt;COLUMNS($F$7:AH$7),"",INDEX(TableDiv[[GASB]:[GASB]],_xlfn.AGGREGATE(15,3,(TableDiv[[Agency]:[Agency]]=$E658)/(TableDiv[[Agency]:[Agency]]=$E658)*(ROW(TableDiv[Agency])-ROW(TableDiv[[#Headers],[Agency]])),COLUMNS($F$7:AH$7))))</f>
        <v/>
      </c>
      <c r="AI658" s="2223" t="str" cm="1">
        <f t="array" ref="AI658">IF($D658&lt;COLUMNS($F$7:AI$7),"",INDEX(TableDiv[[GASB]:[GASB]],_xlfn.AGGREGATE(15,3,(TableDiv[[Agency]:[Agency]]=$E658)/(TableDiv[[Agency]:[Agency]]=$E658)*(ROW(TableDiv[Agency])-ROW(TableDiv[[#Headers],[Agency]])),COLUMNS($F$7:AI$7))))</f>
        <v/>
      </c>
      <c r="AJ658" s="2223" t="str" cm="1">
        <f t="array" ref="AJ658">IF($D658&lt;COLUMNS($F$7:AJ$7),"",INDEX(TableDiv[[GASB]:[GASB]],_xlfn.AGGREGATE(15,3,(TableDiv[[Agency]:[Agency]]=$E658)/(TableDiv[[Agency]:[Agency]]=$E658)*(ROW(TableDiv[Agency])-ROW(TableDiv[[#Headers],[Agency]])),COLUMNS($F$7:AJ$7))))</f>
        <v/>
      </c>
      <c r="AK658" s="2223" t="str" cm="1">
        <f t="array" ref="AK658">IF($D658&lt;COLUMNS($F$7:AK$7),"",INDEX(TableDiv[[GASB]:[GASB]],_xlfn.AGGREGATE(15,3,(TableDiv[[Agency]:[Agency]]=$E658)/(TableDiv[[Agency]:[Agency]]=$E658)*(ROW(TableDiv[Agency])-ROW(TableDiv[[#Headers],[Agency]])),COLUMNS($F$7:AK$7))))</f>
        <v/>
      </c>
      <c r="AL658" s="2223" t="str" cm="1">
        <f t="array" ref="AL658">IF($D658&lt;COLUMNS($F$7:AL$7),"",INDEX(TableDiv[[GASB]:[GASB]],_xlfn.AGGREGATE(15,3,(TableDiv[[Agency]:[Agency]]=$E658)/(TableDiv[[Agency]:[Agency]]=$E658)*(ROW(TableDiv[Agency])-ROW(TableDiv[[#Headers],[Agency]])),COLUMNS($F$7:AL$7))))</f>
        <v/>
      </c>
      <c r="AM658" s="2223" t="str" cm="1">
        <f t="array" ref="AM658">IF($D658&lt;COLUMNS($F$7:AM$7),"",INDEX(TableDiv[[GASB]:[GASB]],_xlfn.AGGREGATE(15,3,(TableDiv[[Agency]:[Agency]]=$E658)/(TableDiv[[Agency]:[Agency]]=$E658)*(ROW(TableDiv[Agency])-ROW(TableDiv[[#Headers],[Agency]])),COLUMNS($F$7:AM$7))))</f>
        <v/>
      </c>
      <c r="AN658" s="2223"/>
      <c r="AO658" s="2223"/>
      <c r="AP658" s="2223"/>
      <c r="AQ658" s="2223"/>
      <c r="AR658" s="2223"/>
      <c r="AS658" s="2223"/>
    </row>
    <row r="659" spans="1:45" x14ac:dyDescent="0.2">
      <c r="A659" s="2223"/>
      <c r="B659" s="2223"/>
      <c r="C659" s="2223"/>
      <c r="W659" s="2223" t="str" cm="1">
        <f t="array" ref="W659">IF($D659&lt;COLUMNS($F$7:W$7),"",INDEX(TableDiv[[GASB]:[GASB]],_xlfn.AGGREGATE(15,3,(TableDiv[[Agency]:[Agency]]=$E659)/(TableDiv[[Agency]:[Agency]]=$E659)*(ROW(TableDiv[Agency])-ROW(TableDiv[[#Headers],[Agency]])),COLUMNS($F$7:W$7))))</f>
        <v/>
      </c>
      <c r="X659" s="2223" t="str" cm="1">
        <f t="array" ref="X659">IF($D659&lt;COLUMNS($F$7:X$7),"",INDEX(TableDiv[[GASB]:[GASB]],_xlfn.AGGREGATE(15,3,(TableDiv[[Agency]:[Agency]]=$E659)/(TableDiv[[Agency]:[Agency]]=$E659)*(ROW(TableDiv[Agency])-ROW(TableDiv[[#Headers],[Agency]])),COLUMNS($F$7:X$7))))</f>
        <v/>
      </c>
      <c r="Y659" s="2223" t="str" cm="1">
        <f t="array" ref="Y659">IF($D659&lt;COLUMNS($F$7:Y$7),"",INDEX(TableDiv[[GASB]:[GASB]],_xlfn.AGGREGATE(15,3,(TableDiv[[Agency]:[Agency]]=$E659)/(TableDiv[[Agency]:[Agency]]=$E659)*(ROW(TableDiv[Agency])-ROW(TableDiv[[#Headers],[Agency]])),COLUMNS($F$7:Y$7))))</f>
        <v/>
      </c>
      <c r="Z659" s="2223" t="str" cm="1">
        <f t="array" ref="Z659">IF($D659&lt;COLUMNS($F$7:Z$7),"",INDEX(TableDiv[[GASB]:[GASB]],_xlfn.AGGREGATE(15,3,(TableDiv[[Agency]:[Agency]]=$E659)/(TableDiv[[Agency]:[Agency]]=$E659)*(ROW(TableDiv[Agency])-ROW(TableDiv[[#Headers],[Agency]])),COLUMNS($F$7:Z$7))))</f>
        <v/>
      </c>
      <c r="AA659" s="2223" t="str" cm="1">
        <f t="array" ref="AA659">IF($D659&lt;COLUMNS($F$7:AA$7),"",INDEX(TableDiv[[GASB]:[GASB]],_xlfn.AGGREGATE(15,3,(TableDiv[[Agency]:[Agency]]=$E659)/(TableDiv[[Agency]:[Agency]]=$E659)*(ROW(TableDiv[Agency])-ROW(TableDiv[[#Headers],[Agency]])),COLUMNS($F$7:AA$7))))</f>
        <v/>
      </c>
      <c r="AB659" s="2223" t="str" cm="1">
        <f t="array" ref="AB659">IF($D659&lt;COLUMNS($F$7:AB$7),"",INDEX(TableDiv[[GASB]:[GASB]],_xlfn.AGGREGATE(15,3,(TableDiv[[Agency]:[Agency]]=$E659)/(TableDiv[[Agency]:[Agency]]=$E659)*(ROW(TableDiv[Agency])-ROW(TableDiv[[#Headers],[Agency]])),COLUMNS($F$7:AB$7))))</f>
        <v/>
      </c>
      <c r="AC659" s="2223" t="str" cm="1">
        <f t="array" ref="AC659">IF($D659&lt;COLUMNS($F$7:AC$7),"",INDEX(TableDiv[[GASB]:[GASB]],_xlfn.AGGREGATE(15,3,(TableDiv[[Agency]:[Agency]]=$E659)/(TableDiv[[Agency]:[Agency]]=$E659)*(ROW(TableDiv[Agency])-ROW(TableDiv[[#Headers],[Agency]])),COLUMNS($F$7:AC$7))))</f>
        <v/>
      </c>
      <c r="AD659" s="2223" t="str" cm="1">
        <f t="array" ref="AD659">IF($D659&lt;COLUMNS($F$7:AD$7),"",INDEX(TableDiv[[GASB]:[GASB]],_xlfn.AGGREGATE(15,3,(TableDiv[[Agency]:[Agency]]=$E659)/(TableDiv[[Agency]:[Agency]]=$E659)*(ROW(TableDiv[Agency])-ROW(TableDiv[[#Headers],[Agency]])),COLUMNS($F$7:AD$7))))</f>
        <v/>
      </c>
      <c r="AE659" s="2223" t="str" cm="1">
        <f t="array" ref="AE659">IF($D659&lt;COLUMNS($F$7:AE$7),"",INDEX(TableDiv[[GASB]:[GASB]],_xlfn.AGGREGATE(15,3,(TableDiv[[Agency]:[Agency]]=$E659)/(TableDiv[[Agency]:[Agency]]=$E659)*(ROW(TableDiv[Agency])-ROW(TableDiv[[#Headers],[Agency]])),COLUMNS($F$7:AE$7))))</f>
        <v/>
      </c>
      <c r="AF659" s="2223" t="str" cm="1">
        <f t="array" ref="AF659">IF($D659&lt;COLUMNS($F$7:AF$7),"",INDEX(TableDiv[[GASB]:[GASB]],_xlfn.AGGREGATE(15,3,(TableDiv[[Agency]:[Agency]]=$E659)/(TableDiv[[Agency]:[Agency]]=$E659)*(ROW(TableDiv[Agency])-ROW(TableDiv[[#Headers],[Agency]])),COLUMNS($F$7:AF$7))))</f>
        <v/>
      </c>
      <c r="AG659" s="2223" t="str" cm="1">
        <f t="array" ref="AG659">IF($D659&lt;COLUMNS($F$7:AG$7),"",INDEX(TableDiv[[GASB]:[GASB]],_xlfn.AGGREGATE(15,3,(TableDiv[[Agency]:[Agency]]=$E659)/(TableDiv[[Agency]:[Agency]]=$E659)*(ROW(TableDiv[Agency])-ROW(TableDiv[[#Headers],[Agency]])),COLUMNS($F$7:AG$7))))</f>
        <v/>
      </c>
      <c r="AH659" s="2223" t="str" cm="1">
        <f t="array" ref="AH659">IF($D659&lt;COLUMNS($F$7:AH$7),"",INDEX(TableDiv[[GASB]:[GASB]],_xlfn.AGGREGATE(15,3,(TableDiv[[Agency]:[Agency]]=$E659)/(TableDiv[[Agency]:[Agency]]=$E659)*(ROW(TableDiv[Agency])-ROW(TableDiv[[#Headers],[Agency]])),COLUMNS($F$7:AH$7))))</f>
        <v/>
      </c>
      <c r="AI659" s="2223" t="str" cm="1">
        <f t="array" ref="AI659">IF($D659&lt;COLUMNS($F$7:AI$7),"",INDEX(TableDiv[[GASB]:[GASB]],_xlfn.AGGREGATE(15,3,(TableDiv[[Agency]:[Agency]]=$E659)/(TableDiv[[Agency]:[Agency]]=$E659)*(ROW(TableDiv[Agency])-ROW(TableDiv[[#Headers],[Agency]])),COLUMNS($F$7:AI$7))))</f>
        <v/>
      </c>
      <c r="AJ659" s="2223" t="str" cm="1">
        <f t="array" ref="AJ659">IF($D659&lt;COLUMNS($F$7:AJ$7),"",INDEX(TableDiv[[GASB]:[GASB]],_xlfn.AGGREGATE(15,3,(TableDiv[[Agency]:[Agency]]=$E659)/(TableDiv[[Agency]:[Agency]]=$E659)*(ROW(TableDiv[Agency])-ROW(TableDiv[[#Headers],[Agency]])),COLUMNS($F$7:AJ$7))))</f>
        <v/>
      </c>
      <c r="AK659" s="2223" t="str" cm="1">
        <f t="array" ref="AK659">IF($D659&lt;COLUMNS($F$7:AK$7),"",INDEX(TableDiv[[GASB]:[GASB]],_xlfn.AGGREGATE(15,3,(TableDiv[[Agency]:[Agency]]=$E659)/(TableDiv[[Agency]:[Agency]]=$E659)*(ROW(TableDiv[Agency])-ROW(TableDiv[[#Headers],[Agency]])),COLUMNS($F$7:AK$7))))</f>
        <v/>
      </c>
      <c r="AL659" s="2223" t="str" cm="1">
        <f t="array" ref="AL659">IF($D659&lt;COLUMNS($F$7:AL$7),"",INDEX(TableDiv[[GASB]:[GASB]],_xlfn.AGGREGATE(15,3,(TableDiv[[Agency]:[Agency]]=$E659)/(TableDiv[[Agency]:[Agency]]=$E659)*(ROW(TableDiv[Agency])-ROW(TableDiv[[#Headers],[Agency]])),COLUMNS($F$7:AL$7))))</f>
        <v/>
      </c>
      <c r="AM659" s="2223" t="str" cm="1">
        <f t="array" ref="AM659">IF($D659&lt;COLUMNS($F$7:AM$7),"",INDEX(TableDiv[[GASB]:[GASB]],_xlfn.AGGREGATE(15,3,(TableDiv[[Agency]:[Agency]]=$E659)/(TableDiv[[Agency]:[Agency]]=$E659)*(ROW(TableDiv[Agency])-ROW(TableDiv[[#Headers],[Agency]])),COLUMNS($F$7:AM$7))))</f>
        <v/>
      </c>
      <c r="AN659" s="2223"/>
      <c r="AO659" s="2223"/>
      <c r="AP659" s="2223"/>
      <c r="AQ659" s="2223"/>
      <c r="AR659" s="2223"/>
      <c r="AS659" s="2223"/>
    </row>
    <row r="660" spans="1:45" x14ac:dyDescent="0.2">
      <c r="A660" s="2223"/>
      <c r="B660" s="2223"/>
      <c r="C660" s="2223"/>
      <c r="W660" s="2223" t="str" cm="1">
        <f t="array" ref="W660">IF($D660&lt;COLUMNS($F$7:W$7),"",INDEX(TableDiv[[GASB]:[GASB]],_xlfn.AGGREGATE(15,3,(TableDiv[[Agency]:[Agency]]=$E660)/(TableDiv[[Agency]:[Agency]]=$E660)*(ROW(TableDiv[Agency])-ROW(TableDiv[[#Headers],[Agency]])),COLUMNS($F$7:W$7))))</f>
        <v/>
      </c>
      <c r="X660" s="2223" t="str" cm="1">
        <f t="array" ref="X660">IF($D660&lt;COLUMNS($F$7:X$7),"",INDEX(TableDiv[[GASB]:[GASB]],_xlfn.AGGREGATE(15,3,(TableDiv[[Agency]:[Agency]]=$E660)/(TableDiv[[Agency]:[Agency]]=$E660)*(ROW(TableDiv[Agency])-ROW(TableDiv[[#Headers],[Agency]])),COLUMNS($F$7:X$7))))</f>
        <v/>
      </c>
      <c r="Y660" s="2223" t="str" cm="1">
        <f t="array" ref="Y660">IF($D660&lt;COLUMNS($F$7:Y$7),"",INDEX(TableDiv[[GASB]:[GASB]],_xlfn.AGGREGATE(15,3,(TableDiv[[Agency]:[Agency]]=$E660)/(TableDiv[[Agency]:[Agency]]=$E660)*(ROW(TableDiv[Agency])-ROW(TableDiv[[#Headers],[Agency]])),COLUMNS($F$7:Y$7))))</f>
        <v/>
      </c>
      <c r="Z660" s="2223" t="str" cm="1">
        <f t="array" ref="Z660">IF($D660&lt;COLUMNS($F$7:Z$7),"",INDEX(TableDiv[[GASB]:[GASB]],_xlfn.AGGREGATE(15,3,(TableDiv[[Agency]:[Agency]]=$E660)/(TableDiv[[Agency]:[Agency]]=$E660)*(ROW(TableDiv[Agency])-ROW(TableDiv[[#Headers],[Agency]])),COLUMNS($F$7:Z$7))))</f>
        <v/>
      </c>
      <c r="AA660" s="2223" t="str" cm="1">
        <f t="array" ref="AA660">IF($D660&lt;COLUMNS($F$7:AA$7),"",INDEX(TableDiv[[GASB]:[GASB]],_xlfn.AGGREGATE(15,3,(TableDiv[[Agency]:[Agency]]=$E660)/(TableDiv[[Agency]:[Agency]]=$E660)*(ROW(TableDiv[Agency])-ROW(TableDiv[[#Headers],[Agency]])),COLUMNS($F$7:AA$7))))</f>
        <v/>
      </c>
      <c r="AB660" s="2223" t="str" cm="1">
        <f t="array" ref="AB660">IF($D660&lt;COLUMNS($F$7:AB$7),"",INDEX(TableDiv[[GASB]:[GASB]],_xlfn.AGGREGATE(15,3,(TableDiv[[Agency]:[Agency]]=$E660)/(TableDiv[[Agency]:[Agency]]=$E660)*(ROW(TableDiv[Agency])-ROW(TableDiv[[#Headers],[Agency]])),COLUMNS($F$7:AB$7))))</f>
        <v/>
      </c>
      <c r="AC660" s="2223" t="str" cm="1">
        <f t="array" ref="AC660">IF($D660&lt;COLUMNS($F$7:AC$7),"",INDEX(TableDiv[[GASB]:[GASB]],_xlfn.AGGREGATE(15,3,(TableDiv[[Agency]:[Agency]]=$E660)/(TableDiv[[Agency]:[Agency]]=$E660)*(ROW(TableDiv[Agency])-ROW(TableDiv[[#Headers],[Agency]])),COLUMNS($F$7:AC$7))))</f>
        <v/>
      </c>
      <c r="AD660" s="2223" t="str" cm="1">
        <f t="array" ref="AD660">IF($D660&lt;COLUMNS($F$7:AD$7),"",INDEX(TableDiv[[GASB]:[GASB]],_xlfn.AGGREGATE(15,3,(TableDiv[[Agency]:[Agency]]=$E660)/(TableDiv[[Agency]:[Agency]]=$E660)*(ROW(TableDiv[Agency])-ROW(TableDiv[[#Headers],[Agency]])),COLUMNS($F$7:AD$7))))</f>
        <v/>
      </c>
      <c r="AE660" s="2223" t="str" cm="1">
        <f t="array" ref="AE660">IF($D660&lt;COLUMNS($F$7:AE$7),"",INDEX(TableDiv[[GASB]:[GASB]],_xlfn.AGGREGATE(15,3,(TableDiv[[Agency]:[Agency]]=$E660)/(TableDiv[[Agency]:[Agency]]=$E660)*(ROW(TableDiv[Agency])-ROW(TableDiv[[#Headers],[Agency]])),COLUMNS($F$7:AE$7))))</f>
        <v/>
      </c>
      <c r="AF660" s="2223" t="str" cm="1">
        <f t="array" ref="AF660">IF($D660&lt;COLUMNS($F$7:AF$7),"",INDEX(TableDiv[[GASB]:[GASB]],_xlfn.AGGREGATE(15,3,(TableDiv[[Agency]:[Agency]]=$E660)/(TableDiv[[Agency]:[Agency]]=$E660)*(ROW(TableDiv[Agency])-ROW(TableDiv[[#Headers],[Agency]])),COLUMNS($F$7:AF$7))))</f>
        <v/>
      </c>
      <c r="AG660" s="2223" t="str" cm="1">
        <f t="array" ref="AG660">IF($D660&lt;COLUMNS($F$7:AG$7),"",INDEX(TableDiv[[GASB]:[GASB]],_xlfn.AGGREGATE(15,3,(TableDiv[[Agency]:[Agency]]=$E660)/(TableDiv[[Agency]:[Agency]]=$E660)*(ROW(TableDiv[Agency])-ROW(TableDiv[[#Headers],[Agency]])),COLUMNS($F$7:AG$7))))</f>
        <v/>
      </c>
      <c r="AH660" s="2223" t="str" cm="1">
        <f t="array" ref="AH660">IF($D660&lt;COLUMNS($F$7:AH$7),"",INDEX(TableDiv[[GASB]:[GASB]],_xlfn.AGGREGATE(15,3,(TableDiv[[Agency]:[Agency]]=$E660)/(TableDiv[[Agency]:[Agency]]=$E660)*(ROW(TableDiv[Agency])-ROW(TableDiv[[#Headers],[Agency]])),COLUMNS($F$7:AH$7))))</f>
        <v/>
      </c>
      <c r="AI660" s="2223" t="str" cm="1">
        <f t="array" ref="AI660">IF($D660&lt;COLUMNS($F$7:AI$7),"",INDEX(TableDiv[[GASB]:[GASB]],_xlfn.AGGREGATE(15,3,(TableDiv[[Agency]:[Agency]]=$E660)/(TableDiv[[Agency]:[Agency]]=$E660)*(ROW(TableDiv[Agency])-ROW(TableDiv[[#Headers],[Agency]])),COLUMNS($F$7:AI$7))))</f>
        <v/>
      </c>
      <c r="AJ660" s="2223" t="str" cm="1">
        <f t="array" ref="AJ660">IF($D660&lt;COLUMNS($F$7:AJ$7),"",INDEX(TableDiv[[GASB]:[GASB]],_xlfn.AGGREGATE(15,3,(TableDiv[[Agency]:[Agency]]=$E660)/(TableDiv[[Agency]:[Agency]]=$E660)*(ROW(TableDiv[Agency])-ROW(TableDiv[[#Headers],[Agency]])),COLUMNS($F$7:AJ$7))))</f>
        <v/>
      </c>
      <c r="AK660" s="2223" t="str" cm="1">
        <f t="array" ref="AK660">IF($D660&lt;COLUMNS($F$7:AK$7),"",INDEX(TableDiv[[GASB]:[GASB]],_xlfn.AGGREGATE(15,3,(TableDiv[[Agency]:[Agency]]=$E660)/(TableDiv[[Agency]:[Agency]]=$E660)*(ROW(TableDiv[Agency])-ROW(TableDiv[[#Headers],[Agency]])),COLUMNS($F$7:AK$7))))</f>
        <v/>
      </c>
      <c r="AL660" s="2223" t="str" cm="1">
        <f t="array" ref="AL660">IF($D660&lt;COLUMNS($F$7:AL$7),"",INDEX(TableDiv[[GASB]:[GASB]],_xlfn.AGGREGATE(15,3,(TableDiv[[Agency]:[Agency]]=$E660)/(TableDiv[[Agency]:[Agency]]=$E660)*(ROW(TableDiv[Agency])-ROW(TableDiv[[#Headers],[Agency]])),COLUMNS($F$7:AL$7))))</f>
        <v/>
      </c>
      <c r="AM660" s="2223" t="str" cm="1">
        <f t="array" ref="AM660">IF($D660&lt;COLUMNS($F$7:AM$7),"",INDEX(TableDiv[[GASB]:[GASB]],_xlfn.AGGREGATE(15,3,(TableDiv[[Agency]:[Agency]]=$E660)/(TableDiv[[Agency]:[Agency]]=$E660)*(ROW(TableDiv[Agency])-ROW(TableDiv[[#Headers],[Agency]])),COLUMNS($F$7:AM$7))))</f>
        <v/>
      </c>
      <c r="AN660" s="2223"/>
      <c r="AO660" s="2223"/>
      <c r="AP660" s="2223"/>
      <c r="AQ660" s="2223"/>
      <c r="AR660" s="2223"/>
      <c r="AS660" s="2223"/>
    </row>
    <row r="661" spans="1:45" x14ac:dyDescent="0.2">
      <c r="A661" s="2223"/>
      <c r="B661" s="2223"/>
      <c r="C661" s="2223"/>
      <c r="W661" s="2223" t="str" cm="1">
        <f t="array" ref="W661">IF($D661&lt;COLUMNS($F$7:W$7),"",INDEX(TableDiv[[GASB]:[GASB]],_xlfn.AGGREGATE(15,3,(TableDiv[[Agency]:[Agency]]=$E661)/(TableDiv[[Agency]:[Agency]]=$E661)*(ROW(TableDiv[Agency])-ROW(TableDiv[[#Headers],[Agency]])),COLUMNS($F$7:W$7))))</f>
        <v/>
      </c>
      <c r="X661" s="2223" t="str" cm="1">
        <f t="array" ref="X661">IF($D661&lt;COLUMNS($F$7:X$7),"",INDEX(TableDiv[[GASB]:[GASB]],_xlfn.AGGREGATE(15,3,(TableDiv[[Agency]:[Agency]]=$E661)/(TableDiv[[Agency]:[Agency]]=$E661)*(ROW(TableDiv[Agency])-ROW(TableDiv[[#Headers],[Agency]])),COLUMNS($F$7:X$7))))</f>
        <v/>
      </c>
      <c r="Y661" s="2223" t="str" cm="1">
        <f t="array" ref="Y661">IF($D661&lt;COLUMNS($F$7:Y$7),"",INDEX(TableDiv[[GASB]:[GASB]],_xlfn.AGGREGATE(15,3,(TableDiv[[Agency]:[Agency]]=$E661)/(TableDiv[[Agency]:[Agency]]=$E661)*(ROW(TableDiv[Agency])-ROW(TableDiv[[#Headers],[Agency]])),COLUMNS($F$7:Y$7))))</f>
        <v/>
      </c>
      <c r="Z661" s="2223" t="str" cm="1">
        <f t="array" ref="Z661">IF($D661&lt;COLUMNS($F$7:Z$7),"",INDEX(TableDiv[[GASB]:[GASB]],_xlfn.AGGREGATE(15,3,(TableDiv[[Agency]:[Agency]]=$E661)/(TableDiv[[Agency]:[Agency]]=$E661)*(ROW(TableDiv[Agency])-ROW(TableDiv[[#Headers],[Agency]])),COLUMNS($F$7:Z$7))))</f>
        <v/>
      </c>
      <c r="AA661" s="2223" t="str" cm="1">
        <f t="array" ref="AA661">IF($D661&lt;COLUMNS($F$7:AA$7),"",INDEX(TableDiv[[GASB]:[GASB]],_xlfn.AGGREGATE(15,3,(TableDiv[[Agency]:[Agency]]=$E661)/(TableDiv[[Agency]:[Agency]]=$E661)*(ROW(TableDiv[Agency])-ROW(TableDiv[[#Headers],[Agency]])),COLUMNS($F$7:AA$7))))</f>
        <v/>
      </c>
      <c r="AB661" s="2223" t="str" cm="1">
        <f t="array" ref="AB661">IF($D661&lt;COLUMNS($F$7:AB$7),"",INDEX(TableDiv[[GASB]:[GASB]],_xlfn.AGGREGATE(15,3,(TableDiv[[Agency]:[Agency]]=$E661)/(TableDiv[[Agency]:[Agency]]=$E661)*(ROW(TableDiv[Agency])-ROW(TableDiv[[#Headers],[Agency]])),COLUMNS($F$7:AB$7))))</f>
        <v/>
      </c>
      <c r="AC661" s="2223" t="str" cm="1">
        <f t="array" ref="AC661">IF($D661&lt;COLUMNS($F$7:AC$7),"",INDEX(TableDiv[[GASB]:[GASB]],_xlfn.AGGREGATE(15,3,(TableDiv[[Agency]:[Agency]]=$E661)/(TableDiv[[Agency]:[Agency]]=$E661)*(ROW(TableDiv[Agency])-ROW(TableDiv[[#Headers],[Agency]])),COLUMNS($F$7:AC$7))))</f>
        <v/>
      </c>
      <c r="AD661" s="2223" t="str" cm="1">
        <f t="array" ref="AD661">IF($D661&lt;COLUMNS($F$7:AD$7),"",INDEX(TableDiv[[GASB]:[GASB]],_xlfn.AGGREGATE(15,3,(TableDiv[[Agency]:[Agency]]=$E661)/(TableDiv[[Agency]:[Agency]]=$E661)*(ROW(TableDiv[Agency])-ROW(TableDiv[[#Headers],[Agency]])),COLUMNS($F$7:AD$7))))</f>
        <v/>
      </c>
      <c r="AE661" s="2223" t="str" cm="1">
        <f t="array" ref="AE661">IF($D661&lt;COLUMNS($F$7:AE$7),"",INDEX(TableDiv[[GASB]:[GASB]],_xlfn.AGGREGATE(15,3,(TableDiv[[Agency]:[Agency]]=$E661)/(TableDiv[[Agency]:[Agency]]=$E661)*(ROW(TableDiv[Agency])-ROW(TableDiv[[#Headers],[Agency]])),COLUMNS($F$7:AE$7))))</f>
        <v/>
      </c>
      <c r="AF661" s="2223" t="str" cm="1">
        <f t="array" ref="AF661">IF($D661&lt;COLUMNS($F$7:AF$7),"",INDEX(TableDiv[[GASB]:[GASB]],_xlfn.AGGREGATE(15,3,(TableDiv[[Agency]:[Agency]]=$E661)/(TableDiv[[Agency]:[Agency]]=$E661)*(ROW(TableDiv[Agency])-ROW(TableDiv[[#Headers],[Agency]])),COLUMNS($F$7:AF$7))))</f>
        <v/>
      </c>
      <c r="AG661" s="2223" t="str" cm="1">
        <f t="array" ref="AG661">IF($D661&lt;COLUMNS($F$7:AG$7),"",INDEX(TableDiv[[GASB]:[GASB]],_xlfn.AGGREGATE(15,3,(TableDiv[[Agency]:[Agency]]=$E661)/(TableDiv[[Agency]:[Agency]]=$E661)*(ROW(TableDiv[Agency])-ROW(TableDiv[[#Headers],[Agency]])),COLUMNS($F$7:AG$7))))</f>
        <v/>
      </c>
      <c r="AH661" s="2223" t="str" cm="1">
        <f t="array" ref="AH661">IF($D661&lt;COLUMNS($F$7:AH$7),"",INDEX(TableDiv[[GASB]:[GASB]],_xlfn.AGGREGATE(15,3,(TableDiv[[Agency]:[Agency]]=$E661)/(TableDiv[[Agency]:[Agency]]=$E661)*(ROW(TableDiv[Agency])-ROW(TableDiv[[#Headers],[Agency]])),COLUMNS($F$7:AH$7))))</f>
        <v/>
      </c>
      <c r="AI661" s="2223" t="str" cm="1">
        <f t="array" ref="AI661">IF($D661&lt;COLUMNS($F$7:AI$7),"",INDEX(TableDiv[[GASB]:[GASB]],_xlfn.AGGREGATE(15,3,(TableDiv[[Agency]:[Agency]]=$E661)/(TableDiv[[Agency]:[Agency]]=$E661)*(ROW(TableDiv[Agency])-ROW(TableDiv[[#Headers],[Agency]])),COLUMNS($F$7:AI$7))))</f>
        <v/>
      </c>
      <c r="AJ661" s="2223" t="str" cm="1">
        <f t="array" ref="AJ661">IF($D661&lt;COLUMNS($F$7:AJ$7),"",INDEX(TableDiv[[GASB]:[GASB]],_xlfn.AGGREGATE(15,3,(TableDiv[[Agency]:[Agency]]=$E661)/(TableDiv[[Agency]:[Agency]]=$E661)*(ROW(TableDiv[Agency])-ROW(TableDiv[[#Headers],[Agency]])),COLUMNS($F$7:AJ$7))))</f>
        <v/>
      </c>
      <c r="AK661" s="2223" t="str" cm="1">
        <f t="array" ref="AK661">IF($D661&lt;COLUMNS($F$7:AK$7),"",INDEX(TableDiv[[GASB]:[GASB]],_xlfn.AGGREGATE(15,3,(TableDiv[[Agency]:[Agency]]=$E661)/(TableDiv[[Agency]:[Agency]]=$E661)*(ROW(TableDiv[Agency])-ROW(TableDiv[[#Headers],[Agency]])),COLUMNS($F$7:AK$7))))</f>
        <v/>
      </c>
      <c r="AL661" s="2223" t="str" cm="1">
        <f t="array" ref="AL661">IF($D661&lt;COLUMNS($F$7:AL$7),"",INDEX(TableDiv[[GASB]:[GASB]],_xlfn.AGGREGATE(15,3,(TableDiv[[Agency]:[Agency]]=$E661)/(TableDiv[[Agency]:[Agency]]=$E661)*(ROW(TableDiv[Agency])-ROW(TableDiv[[#Headers],[Agency]])),COLUMNS($F$7:AL$7))))</f>
        <v/>
      </c>
      <c r="AM661" s="2223" t="str" cm="1">
        <f t="array" ref="AM661">IF($D661&lt;COLUMNS($F$7:AM$7),"",INDEX(TableDiv[[GASB]:[GASB]],_xlfn.AGGREGATE(15,3,(TableDiv[[Agency]:[Agency]]=$E661)/(TableDiv[[Agency]:[Agency]]=$E661)*(ROW(TableDiv[Agency])-ROW(TableDiv[[#Headers],[Agency]])),COLUMNS($F$7:AM$7))))</f>
        <v/>
      </c>
      <c r="AN661" s="2223"/>
      <c r="AO661" s="2223"/>
      <c r="AP661" s="2223"/>
      <c r="AQ661" s="2223"/>
      <c r="AR661" s="2223"/>
      <c r="AS661" s="2223"/>
    </row>
    <row r="662" spans="1:45" x14ac:dyDescent="0.2">
      <c r="A662" s="2223"/>
      <c r="B662" s="2223"/>
      <c r="C662" s="2223"/>
      <c r="W662" s="2223" t="str" cm="1">
        <f t="array" ref="W662">IF($D662&lt;COLUMNS($F$7:W$7),"",INDEX(TableDiv[[GASB]:[GASB]],_xlfn.AGGREGATE(15,3,(TableDiv[[Agency]:[Agency]]=$E662)/(TableDiv[[Agency]:[Agency]]=$E662)*(ROW(TableDiv[Agency])-ROW(TableDiv[[#Headers],[Agency]])),COLUMNS($F$7:W$7))))</f>
        <v/>
      </c>
      <c r="X662" s="2223" t="str" cm="1">
        <f t="array" ref="X662">IF($D662&lt;COLUMNS($F$7:X$7),"",INDEX(TableDiv[[GASB]:[GASB]],_xlfn.AGGREGATE(15,3,(TableDiv[[Agency]:[Agency]]=$E662)/(TableDiv[[Agency]:[Agency]]=$E662)*(ROW(TableDiv[Agency])-ROW(TableDiv[[#Headers],[Agency]])),COLUMNS($F$7:X$7))))</f>
        <v/>
      </c>
      <c r="Y662" s="2223" t="str" cm="1">
        <f t="array" ref="Y662">IF($D662&lt;COLUMNS($F$7:Y$7),"",INDEX(TableDiv[[GASB]:[GASB]],_xlfn.AGGREGATE(15,3,(TableDiv[[Agency]:[Agency]]=$E662)/(TableDiv[[Agency]:[Agency]]=$E662)*(ROW(TableDiv[Agency])-ROW(TableDiv[[#Headers],[Agency]])),COLUMNS($F$7:Y$7))))</f>
        <v/>
      </c>
      <c r="Z662" s="2223" t="str" cm="1">
        <f t="array" ref="Z662">IF($D662&lt;COLUMNS($F$7:Z$7),"",INDEX(TableDiv[[GASB]:[GASB]],_xlfn.AGGREGATE(15,3,(TableDiv[[Agency]:[Agency]]=$E662)/(TableDiv[[Agency]:[Agency]]=$E662)*(ROW(TableDiv[Agency])-ROW(TableDiv[[#Headers],[Agency]])),COLUMNS($F$7:Z$7))))</f>
        <v/>
      </c>
      <c r="AA662" s="2223" t="str" cm="1">
        <f t="array" ref="AA662">IF($D662&lt;COLUMNS($F$7:AA$7),"",INDEX(TableDiv[[GASB]:[GASB]],_xlfn.AGGREGATE(15,3,(TableDiv[[Agency]:[Agency]]=$E662)/(TableDiv[[Agency]:[Agency]]=$E662)*(ROW(TableDiv[Agency])-ROW(TableDiv[[#Headers],[Agency]])),COLUMNS($F$7:AA$7))))</f>
        <v/>
      </c>
      <c r="AB662" s="2223" t="str" cm="1">
        <f t="array" ref="AB662">IF($D662&lt;COLUMNS($F$7:AB$7),"",INDEX(TableDiv[[GASB]:[GASB]],_xlfn.AGGREGATE(15,3,(TableDiv[[Agency]:[Agency]]=$E662)/(TableDiv[[Agency]:[Agency]]=$E662)*(ROW(TableDiv[Agency])-ROW(TableDiv[[#Headers],[Agency]])),COLUMNS($F$7:AB$7))))</f>
        <v/>
      </c>
      <c r="AC662" s="2223" t="str" cm="1">
        <f t="array" ref="AC662">IF($D662&lt;COLUMNS($F$7:AC$7),"",INDEX(TableDiv[[GASB]:[GASB]],_xlfn.AGGREGATE(15,3,(TableDiv[[Agency]:[Agency]]=$E662)/(TableDiv[[Agency]:[Agency]]=$E662)*(ROW(TableDiv[Agency])-ROW(TableDiv[[#Headers],[Agency]])),COLUMNS($F$7:AC$7))))</f>
        <v/>
      </c>
      <c r="AD662" s="2223" t="str" cm="1">
        <f t="array" ref="AD662">IF($D662&lt;COLUMNS($F$7:AD$7),"",INDEX(TableDiv[[GASB]:[GASB]],_xlfn.AGGREGATE(15,3,(TableDiv[[Agency]:[Agency]]=$E662)/(TableDiv[[Agency]:[Agency]]=$E662)*(ROW(TableDiv[Agency])-ROW(TableDiv[[#Headers],[Agency]])),COLUMNS($F$7:AD$7))))</f>
        <v/>
      </c>
      <c r="AE662" s="2223" t="str" cm="1">
        <f t="array" ref="AE662">IF($D662&lt;COLUMNS($F$7:AE$7),"",INDEX(TableDiv[[GASB]:[GASB]],_xlfn.AGGREGATE(15,3,(TableDiv[[Agency]:[Agency]]=$E662)/(TableDiv[[Agency]:[Agency]]=$E662)*(ROW(TableDiv[Agency])-ROW(TableDiv[[#Headers],[Agency]])),COLUMNS($F$7:AE$7))))</f>
        <v/>
      </c>
      <c r="AF662" s="2223" t="str" cm="1">
        <f t="array" ref="AF662">IF($D662&lt;COLUMNS($F$7:AF$7),"",INDEX(TableDiv[[GASB]:[GASB]],_xlfn.AGGREGATE(15,3,(TableDiv[[Agency]:[Agency]]=$E662)/(TableDiv[[Agency]:[Agency]]=$E662)*(ROW(TableDiv[Agency])-ROW(TableDiv[[#Headers],[Agency]])),COLUMNS($F$7:AF$7))))</f>
        <v/>
      </c>
      <c r="AG662" s="2223" t="str" cm="1">
        <f t="array" ref="AG662">IF($D662&lt;COLUMNS($F$7:AG$7),"",INDEX(TableDiv[[GASB]:[GASB]],_xlfn.AGGREGATE(15,3,(TableDiv[[Agency]:[Agency]]=$E662)/(TableDiv[[Agency]:[Agency]]=$E662)*(ROW(TableDiv[Agency])-ROW(TableDiv[[#Headers],[Agency]])),COLUMNS($F$7:AG$7))))</f>
        <v/>
      </c>
      <c r="AH662" s="2223" t="str" cm="1">
        <f t="array" ref="AH662">IF($D662&lt;COLUMNS($F$7:AH$7),"",INDEX(TableDiv[[GASB]:[GASB]],_xlfn.AGGREGATE(15,3,(TableDiv[[Agency]:[Agency]]=$E662)/(TableDiv[[Agency]:[Agency]]=$E662)*(ROW(TableDiv[Agency])-ROW(TableDiv[[#Headers],[Agency]])),COLUMNS($F$7:AH$7))))</f>
        <v/>
      </c>
      <c r="AI662" s="2223" t="str" cm="1">
        <f t="array" ref="AI662">IF($D662&lt;COLUMNS($F$7:AI$7),"",INDEX(TableDiv[[GASB]:[GASB]],_xlfn.AGGREGATE(15,3,(TableDiv[[Agency]:[Agency]]=$E662)/(TableDiv[[Agency]:[Agency]]=$E662)*(ROW(TableDiv[Agency])-ROW(TableDiv[[#Headers],[Agency]])),COLUMNS($F$7:AI$7))))</f>
        <v/>
      </c>
      <c r="AJ662" s="2223" t="str" cm="1">
        <f t="array" ref="AJ662">IF($D662&lt;COLUMNS($F$7:AJ$7),"",INDEX(TableDiv[[GASB]:[GASB]],_xlfn.AGGREGATE(15,3,(TableDiv[[Agency]:[Agency]]=$E662)/(TableDiv[[Agency]:[Agency]]=$E662)*(ROW(TableDiv[Agency])-ROW(TableDiv[[#Headers],[Agency]])),COLUMNS($F$7:AJ$7))))</f>
        <v/>
      </c>
      <c r="AK662" s="2223" t="str" cm="1">
        <f t="array" ref="AK662">IF($D662&lt;COLUMNS($F$7:AK$7),"",INDEX(TableDiv[[GASB]:[GASB]],_xlfn.AGGREGATE(15,3,(TableDiv[[Agency]:[Agency]]=$E662)/(TableDiv[[Agency]:[Agency]]=$E662)*(ROW(TableDiv[Agency])-ROW(TableDiv[[#Headers],[Agency]])),COLUMNS($F$7:AK$7))))</f>
        <v/>
      </c>
      <c r="AL662" s="2223" t="str" cm="1">
        <f t="array" ref="AL662">IF($D662&lt;COLUMNS($F$7:AL$7),"",INDEX(TableDiv[[GASB]:[GASB]],_xlfn.AGGREGATE(15,3,(TableDiv[[Agency]:[Agency]]=$E662)/(TableDiv[[Agency]:[Agency]]=$E662)*(ROW(TableDiv[Agency])-ROW(TableDiv[[#Headers],[Agency]])),COLUMNS($F$7:AL$7))))</f>
        <v/>
      </c>
      <c r="AM662" s="2223" t="str" cm="1">
        <f t="array" ref="AM662">IF($D662&lt;COLUMNS($F$7:AM$7),"",INDEX(TableDiv[[GASB]:[GASB]],_xlfn.AGGREGATE(15,3,(TableDiv[[Agency]:[Agency]]=$E662)/(TableDiv[[Agency]:[Agency]]=$E662)*(ROW(TableDiv[Agency])-ROW(TableDiv[[#Headers],[Agency]])),COLUMNS($F$7:AM$7))))</f>
        <v/>
      </c>
      <c r="AN662" s="2223"/>
      <c r="AO662" s="2223"/>
      <c r="AP662" s="2223"/>
      <c r="AQ662" s="2223"/>
      <c r="AR662" s="2223"/>
      <c r="AS662" s="2223"/>
    </row>
    <row r="663" spans="1:45" x14ac:dyDescent="0.2">
      <c r="A663" s="2223"/>
      <c r="B663" s="2223"/>
      <c r="C663" s="2223"/>
      <c r="W663" s="2223" t="str" cm="1">
        <f t="array" ref="W663">IF($D663&lt;COLUMNS($F$7:W$7),"",INDEX(TableDiv[[GASB]:[GASB]],_xlfn.AGGREGATE(15,3,(TableDiv[[Agency]:[Agency]]=$E663)/(TableDiv[[Agency]:[Agency]]=$E663)*(ROW(TableDiv[Agency])-ROW(TableDiv[[#Headers],[Agency]])),COLUMNS($F$7:W$7))))</f>
        <v/>
      </c>
      <c r="X663" s="2223" t="str" cm="1">
        <f t="array" ref="X663">IF($D663&lt;COLUMNS($F$7:X$7),"",INDEX(TableDiv[[GASB]:[GASB]],_xlfn.AGGREGATE(15,3,(TableDiv[[Agency]:[Agency]]=$E663)/(TableDiv[[Agency]:[Agency]]=$E663)*(ROW(TableDiv[Agency])-ROW(TableDiv[[#Headers],[Agency]])),COLUMNS($F$7:X$7))))</f>
        <v/>
      </c>
      <c r="Y663" s="2223" t="str" cm="1">
        <f t="array" ref="Y663">IF($D663&lt;COLUMNS($F$7:Y$7),"",INDEX(TableDiv[[GASB]:[GASB]],_xlfn.AGGREGATE(15,3,(TableDiv[[Agency]:[Agency]]=$E663)/(TableDiv[[Agency]:[Agency]]=$E663)*(ROW(TableDiv[Agency])-ROW(TableDiv[[#Headers],[Agency]])),COLUMNS($F$7:Y$7))))</f>
        <v/>
      </c>
      <c r="Z663" s="2223" t="str" cm="1">
        <f t="array" ref="Z663">IF($D663&lt;COLUMNS($F$7:Z$7),"",INDEX(TableDiv[[GASB]:[GASB]],_xlfn.AGGREGATE(15,3,(TableDiv[[Agency]:[Agency]]=$E663)/(TableDiv[[Agency]:[Agency]]=$E663)*(ROW(TableDiv[Agency])-ROW(TableDiv[[#Headers],[Agency]])),COLUMNS($F$7:Z$7))))</f>
        <v/>
      </c>
      <c r="AA663" s="2223" t="str" cm="1">
        <f t="array" ref="AA663">IF($D663&lt;COLUMNS($F$7:AA$7),"",INDEX(TableDiv[[GASB]:[GASB]],_xlfn.AGGREGATE(15,3,(TableDiv[[Agency]:[Agency]]=$E663)/(TableDiv[[Agency]:[Agency]]=$E663)*(ROW(TableDiv[Agency])-ROW(TableDiv[[#Headers],[Agency]])),COLUMNS($F$7:AA$7))))</f>
        <v/>
      </c>
      <c r="AB663" s="2223" t="str" cm="1">
        <f t="array" ref="AB663">IF($D663&lt;COLUMNS($F$7:AB$7),"",INDEX(TableDiv[[GASB]:[GASB]],_xlfn.AGGREGATE(15,3,(TableDiv[[Agency]:[Agency]]=$E663)/(TableDiv[[Agency]:[Agency]]=$E663)*(ROW(TableDiv[Agency])-ROW(TableDiv[[#Headers],[Agency]])),COLUMNS($F$7:AB$7))))</f>
        <v/>
      </c>
      <c r="AC663" s="2223" t="str" cm="1">
        <f t="array" ref="AC663">IF($D663&lt;COLUMNS($F$7:AC$7),"",INDEX(TableDiv[[GASB]:[GASB]],_xlfn.AGGREGATE(15,3,(TableDiv[[Agency]:[Agency]]=$E663)/(TableDiv[[Agency]:[Agency]]=$E663)*(ROW(TableDiv[Agency])-ROW(TableDiv[[#Headers],[Agency]])),COLUMNS($F$7:AC$7))))</f>
        <v/>
      </c>
      <c r="AD663" s="2223" t="str" cm="1">
        <f t="array" ref="AD663">IF($D663&lt;COLUMNS($F$7:AD$7),"",INDEX(TableDiv[[GASB]:[GASB]],_xlfn.AGGREGATE(15,3,(TableDiv[[Agency]:[Agency]]=$E663)/(TableDiv[[Agency]:[Agency]]=$E663)*(ROW(TableDiv[Agency])-ROW(TableDiv[[#Headers],[Agency]])),COLUMNS($F$7:AD$7))))</f>
        <v/>
      </c>
      <c r="AE663" s="2223" t="str" cm="1">
        <f t="array" ref="AE663">IF($D663&lt;COLUMNS($F$7:AE$7),"",INDEX(TableDiv[[GASB]:[GASB]],_xlfn.AGGREGATE(15,3,(TableDiv[[Agency]:[Agency]]=$E663)/(TableDiv[[Agency]:[Agency]]=$E663)*(ROW(TableDiv[Agency])-ROW(TableDiv[[#Headers],[Agency]])),COLUMNS($F$7:AE$7))))</f>
        <v/>
      </c>
      <c r="AF663" s="2223" t="str" cm="1">
        <f t="array" ref="AF663">IF($D663&lt;COLUMNS($F$7:AF$7),"",INDEX(TableDiv[[GASB]:[GASB]],_xlfn.AGGREGATE(15,3,(TableDiv[[Agency]:[Agency]]=$E663)/(TableDiv[[Agency]:[Agency]]=$E663)*(ROW(TableDiv[Agency])-ROW(TableDiv[[#Headers],[Agency]])),COLUMNS($F$7:AF$7))))</f>
        <v/>
      </c>
      <c r="AG663" s="2223" t="str" cm="1">
        <f t="array" ref="AG663">IF($D663&lt;COLUMNS($F$7:AG$7),"",INDEX(TableDiv[[GASB]:[GASB]],_xlfn.AGGREGATE(15,3,(TableDiv[[Agency]:[Agency]]=$E663)/(TableDiv[[Agency]:[Agency]]=$E663)*(ROW(TableDiv[Agency])-ROW(TableDiv[[#Headers],[Agency]])),COLUMNS($F$7:AG$7))))</f>
        <v/>
      </c>
      <c r="AH663" s="2223" t="str" cm="1">
        <f t="array" ref="AH663">IF($D663&lt;COLUMNS($F$7:AH$7),"",INDEX(TableDiv[[GASB]:[GASB]],_xlfn.AGGREGATE(15,3,(TableDiv[[Agency]:[Agency]]=$E663)/(TableDiv[[Agency]:[Agency]]=$E663)*(ROW(TableDiv[Agency])-ROW(TableDiv[[#Headers],[Agency]])),COLUMNS($F$7:AH$7))))</f>
        <v/>
      </c>
      <c r="AI663" s="2223" t="str" cm="1">
        <f t="array" ref="AI663">IF($D663&lt;COLUMNS($F$7:AI$7),"",INDEX(TableDiv[[GASB]:[GASB]],_xlfn.AGGREGATE(15,3,(TableDiv[[Agency]:[Agency]]=$E663)/(TableDiv[[Agency]:[Agency]]=$E663)*(ROW(TableDiv[Agency])-ROW(TableDiv[[#Headers],[Agency]])),COLUMNS($F$7:AI$7))))</f>
        <v/>
      </c>
      <c r="AJ663" s="2223" t="str" cm="1">
        <f t="array" ref="AJ663">IF($D663&lt;COLUMNS($F$7:AJ$7),"",INDEX(TableDiv[[GASB]:[GASB]],_xlfn.AGGREGATE(15,3,(TableDiv[[Agency]:[Agency]]=$E663)/(TableDiv[[Agency]:[Agency]]=$E663)*(ROW(TableDiv[Agency])-ROW(TableDiv[[#Headers],[Agency]])),COLUMNS($F$7:AJ$7))))</f>
        <v/>
      </c>
      <c r="AK663" s="2223" t="str" cm="1">
        <f t="array" ref="AK663">IF($D663&lt;COLUMNS($F$7:AK$7),"",INDEX(TableDiv[[GASB]:[GASB]],_xlfn.AGGREGATE(15,3,(TableDiv[[Agency]:[Agency]]=$E663)/(TableDiv[[Agency]:[Agency]]=$E663)*(ROW(TableDiv[Agency])-ROW(TableDiv[[#Headers],[Agency]])),COLUMNS($F$7:AK$7))))</f>
        <v/>
      </c>
      <c r="AL663" s="2223" t="str" cm="1">
        <f t="array" ref="AL663">IF($D663&lt;COLUMNS($F$7:AL$7),"",INDEX(TableDiv[[GASB]:[GASB]],_xlfn.AGGREGATE(15,3,(TableDiv[[Agency]:[Agency]]=$E663)/(TableDiv[[Agency]:[Agency]]=$E663)*(ROW(TableDiv[Agency])-ROW(TableDiv[[#Headers],[Agency]])),COLUMNS($F$7:AL$7))))</f>
        <v/>
      </c>
      <c r="AM663" s="2223" t="str" cm="1">
        <f t="array" ref="AM663">IF($D663&lt;COLUMNS($F$7:AM$7),"",INDEX(TableDiv[[GASB]:[GASB]],_xlfn.AGGREGATE(15,3,(TableDiv[[Agency]:[Agency]]=$E663)/(TableDiv[[Agency]:[Agency]]=$E663)*(ROW(TableDiv[Agency])-ROW(TableDiv[[#Headers],[Agency]])),COLUMNS($F$7:AM$7))))</f>
        <v/>
      </c>
      <c r="AN663" s="2223"/>
      <c r="AO663" s="2223"/>
      <c r="AP663" s="2223"/>
      <c r="AQ663" s="2223"/>
      <c r="AR663" s="2223"/>
      <c r="AS663" s="2223"/>
    </row>
    <row r="664" spans="1:45" x14ac:dyDescent="0.2">
      <c r="A664" s="2223"/>
      <c r="B664" s="2223"/>
      <c r="C664" s="2223"/>
      <c r="W664" s="2223" t="str" cm="1">
        <f t="array" ref="W664">IF($D664&lt;COLUMNS($F$7:W$7),"",INDEX(TableDiv[[GASB]:[GASB]],_xlfn.AGGREGATE(15,3,(TableDiv[[Agency]:[Agency]]=$E664)/(TableDiv[[Agency]:[Agency]]=$E664)*(ROW(TableDiv[Agency])-ROW(TableDiv[[#Headers],[Agency]])),COLUMNS($F$7:W$7))))</f>
        <v/>
      </c>
      <c r="X664" s="2223" t="str" cm="1">
        <f t="array" ref="X664">IF($D664&lt;COLUMNS($F$7:X$7),"",INDEX(TableDiv[[GASB]:[GASB]],_xlfn.AGGREGATE(15,3,(TableDiv[[Agency]:[Agency]]=$E664)/(TableDiv[[Agency]:[Agency]]=$E664)*(ROW(TableDiv[Agency])-ROW(TableDiv[[#Headers],[Agency]])),COLUMNS($F$7:X$7))))</f>
        <v/>
      </c>
      <c r="Y664" s="2223" t="str" cm="1">
        <f t="array" ref="Y664">IF($D664&lt;COLUMNS($F$7:Y$7),"",INDEX(TableDiv[[GASB]:[GASB]],_xlfn.AGGREGATE(15,3,(TableDiv[[Agency]:[Agency]]=$E664)/(TableDiv[[Agency]:[Agency]]=$E664)*(ROW(TableDiv[Agency])-ROW(TableDiv[[#Headers],[Agency]])),COLUMNS($F$7:Y$7))))</f>
        <v/>
      </c>
      <c r="Z664" s="2223" t="str" cm="1">
        <f t="array" ref="Z664">IF($D664&lt;COLUMNS($F$7:Z$7),"",INDEX(TableDiv[[GASB]:[GASB]],_xlfn.AGGREGATE(15,3,(TableDiv[[Agency]:[Agency]]=$E664)/(TableDiv[[Agency]:[Agency]]=$E664)*(ROW(TableDiv[Agency])-ROW(TableDiv[[#Headers],[Agency]])),COLUMNS($F$7:Z$7))))</f>
        <v/>
      </c>
      <c r="AA664" s="2223" t="str" cm="1">
        <f t="array" ref="AA664">IF($D664&lt;COLUMNS($F$7:AA$7),"",INDEX(TableDiv[[GASB]:[GASB]],_xlfn.AGGREGATE(15,3,(TableDiv[[Agency]:[Agency]]=$E664)/(TableDiv[[Agency]:[Agency]]=$E664)*(ROW(TableDiv[Agency])-ROW(TableDiv[[#Headers],[Agency]])),COLUMNS($F$7:AA$7))))</f>
        <v/>
      </c>
      <c r="AB664" s="2223" t="str" cm="1">
        <f t="array" ref="AB664">IF($D664&lt;COLUMNS($F$7:AB$7),"",INDEX(TableDiv[[GASB]:[GASB]],_xlfn.AGGREGATE(15,3,(TableDiv[[Agency]:[Agency]]=$E664)/(TableDiv[[Agency]:[Agency]]=$E664)*(ROW(TableDiv[Agency])-ROW(TableDiv[[#Headers],[Agency]])),COLUMNS($F$7:AB$7))))</f>
        <v/>
      </c>
      <c r="AC664" s="2223" t="str" cm="1">
        <f t="array" ref="AC664">IF($D664&lt;COLUMNS($F$7:AC$7),"",INDEX(TableDiv[[GASB]:[GASB]],_xlfn.AGGREGATE(15,3,(TableDiv[[Agency]:[Agency]]=$E664)/(TableDiv[[Agency]:[Agency]]=$E664)*(ROW(TableDiv[Agency])-ROW(TableDiv[[#Headers],[Agency]])),COLUMNS($F$7:AC$7))))</f>
        <v/>
      </c>
      <c r="AD664" s="2223" t="str" cm="1">
        <f t="array" ref="AD664">IF($D664&lt;COLUMNS($F$7:AD$7),"",INDEX(TableDiv[[GASB]:[GASB]],_xlfn.AGGREGATE(15,3,(TableDiv[[Agency]:[Agency]]=$E664)/(TableDiv[[Agency]:[Agency]]=$E664)*(ROW(TableDiv[Agency])-ROW(TableDiv[[#Headers],[Agency]])),COLUMNS($F$7:AD$7))))</f>
        <v/>
      </c>
      <c r="AE664" s="2223" t="str" cm="1">
        <f t="array" ref="AE664">IF($D664&lt;COLUMNS($F$7:AE$7),"",INDEX(TableDiv[[GASB]:[GASB]],_xlfn.AGGREGATE(15,3,(TableDiv[[Agency]:[Agency]]=$E664)/(TableDiv[[Agency]:[Agency]]=$E664)*(ROW(TableDiv[Agency])-ROW(TableDiv[[#Headers],[Agency]])),COLUMNS($F$7:AE$7))))</f>
        <v/>
      </c>
      <c r="AF664" s="2223" t="str" cm="1">
        <f t="array" ref="AF664">IF($D664&lt;COLUMNS($F$7:AF$7),"",INDEX(TableDiv[[GASB]:[GASB]],_xlfn.AGGREGATE(15,3,(TableDiv[[Agency]:[Agency]]=$E664)/(TableDiv[[Agency]:[Agency]]=$E664)*(ROW(TableDiv[Agency])-ROW(TableDiv[[#Headers],[Agency]])),COLUMNS($F$7:AF$7))))</f>
        <v/>
      </c>
      <c r="AG664" s="2223" t="str" cm="1">
        <f t="array" ref="AG664">IF($D664&lt;COLUMNS($F$7:AG$7),"",INDEX(TableDiv[[GASB]:[GASB]],_xlfn.AGGREGATE(15,3,(TableDiv[[Agency]:[Agency]]=$E664)/(TableDiv[[Agency]:[Agency]]=$E664)*(ROW(TableDiv[Agency])-ROW(TableDiv[[#Headers],[Agency]])),COLUMNS($F$7:AG$7))))</f>
        <v/>
      </c>
      <c r="AH664" s="2223" t="str" cm="1">
        <f t="array" ref="AH664">IF($D664&lt;COLUMNS($F$7:AH$7),"",INDEX(TableDiv[[GASB]:[GASB]],_xlfn.AGGREGATE(15,3,(TableDiv[[Agency]:[Agency]]=$E664)/(TableDiv[[Agency]:[Agency]]=$E664)*(ROW(TableDiv[Agency])-ROW(TableDiv[[#Headers],[Agency]])),COLUMNS($F$7:AH$7))))</f>
        <v/>
      </c>
      <c r="AI664" s="2223" t="str" cm="1">
        <f t="array" ref="AI664">IF($D664&lt;COLUMNS($F$7:AI$7),"",INDEX(TableDiv[[GASB]:[GASB]],_xlfn.AGGREGATE(15,3,(TableDiv[[Agency]:[Agency]]=$E664)/(TableDiv[[Agency]:[Agency]]=$E664)*(ROW(TableDiv[Agency])-ROW(TableDiv[[#Headers],[Agency]])),COLUMNS($F$7:AI$7))))</f>
        <v/>
      </c>
      <c r="AJ664" s="2223" t="str" cm="1">
        <f t="array" ref="AJ664">IF($D664&lt;COLUMNS($F$7:AJ$7),"",INDEX(TableDiv[[GASB]:[GASB]],_xlfn.AGGREGATE(15,3,(TableDiv[[Agency]:[Agency]]=$E664)/(TableDiv[[Agency]:[Agency]]=$E664)*(ROW(TableDiv[Agency])-ROW(TableDiv[[#Headers],[Agency]])),COLUMNS($F$7:AJ$7))))</f>
        <v/>
      </c>
      <c r="AK664" s="2223" t="str" cm="1">
        <f t="array" ref="AK664">IF($D664&lt;COLUMNS($F$7:AK$7),"",INDEX(TableDiv[[GASB]:[GASB]],_xlfn.AGGREGATE(15,3,(TableDiv[[Agency]:[Agency]]=$E664)/(TableDiv[[Agency]:[Agency]]=$E664)*(ROW(TableDiv[Agency])-ROW(TableDiv[[#Headers],[Agency]])),COLUMNS($F$7:AK$7))))</f>
        <v/>
      </c>
      <c r="AL664" s="2223" t="str" cm="1">
        <f t="array" ref="AL664">IF($D664&lt;COLUMNS($F$7:AL$7),"",INDEX(TableDiv[[GASB]:[GASB]],_xlfn.AGGREGATE(15,3,(TableDiv[[Agency]:[Agency]]=$E664)/(TableDiv[[Agency]:[Agency]]=$E664)*(ROW(TableDiv[Agency])-ROW(TableDiv[[#Headers],[Agency]])),COLUMNS($F$7:AL$7))))</f>
        <v/>
      </c>
      <c r="AM664" s="2223" t="str" cm="1">
        <f t="array" ref="AM664">IF($D664&lt;COLUMNS($F$7:AM$7),"",INDEX(TableDiv[[GASB]:[GASB]],_xlfn.AGGREGATE(15,3,(TableDiv[[Agency]:[Agency]]=$E664)/(TableDiv[[Agency]:[Agency]]=$E664)*(ROW(TableDiv[Agency])-ROW(TableDiv[[#Headers],[Agency]])),COLUMNS($F$7:AM$7))))</f>
        <v/>
      </c>
      <c r="AN664" s="2223"/>
      <c r="AO664" s="2223"/>
      <c r="AP664" s="2223"/>
      <c r="AQ664" s="2223"/>
      <c r="AR664" s="2223"/>
      <c r="AS664" s="2223"/>
    </row>
    <row r="665" spans="1:45" x14ac:dyDescent="0.2">
      <c r="A665" s="2223"/>
      <c r="B665" s="2223"/>
      <c r="C665" s="2223"/>
      <c r="W665" s="2223" t="str" cm="1">
        <f t="array" ref="W665">IF($D665&lt;COLUMNS($F$7:W$7),"",INDEX(TableDiv[[GASB]:[GASB]],_xlfn.AGGREGATE(15,3,(TableDiv[[Agency]:[Agency]]=$E665)/(TableDiv[[Agency]:[Agency]]=$E665)*(ROW(TableDiv[Agency])-ROW(TableDiv[[#Headers],[Agency]])),COLUMNS($F$7:W$7))))</f>
        <v/>
      </c>
      <c r="X665" s="2223" t="str" cm="1">
        <f t="array" ref="X665">IF($D665&lt;COLUMNS($F$7:X$7),"",INDEX(TableDiv[[GASB]:[GASB]],_xlfn.AGGREGATE(15,3,(TableDiv[[Agency]:[Agency]]=$E665)/(TableDiv[[Agency]:[Agency]]=$E665)*(ROW(TableDiv[Agency])-ROW(TableDiv[[#Headers],[Agency]])),COLUMNS($F$7:X$7))))</f>
        <v/>
      </c>
      <c r="Y665" s="2223" t="str" cm="1">
        <f t="array" ref="Y665">IF($D665&lt;COLUMNS($F$7:Y$7),"",INDEX(TableDiv[[GASB]:[GASB]],_xlfn.AGGREGATE(15,3,(TableDiv[[Agency]:[Agency]]=$E665)/(TableDiv[[Agency]:[Agency]]=$E665)*(ROW(TableDiv[Agency])-ROW(TableDiv[[#Headers],[Agency]])),COLUMNS($F$7:Y$7))))</f>
        <v/>
      </c>
      <c r="Z665" s="2223" t="str" cm="1">
        <f t="array" ref="Z665">IF($D665&lt;COLUMNS($F$7:Z$7),"",INDEX(TableDiv[[GASB]:[GASB]],_xlfn.AGGREGATE(15,3,(TableDiv[[Agency]:[Agency]]=$E665)/(TableDiv[[Agency]:[Agency]]=$E665)*(ROW(TableDiv[Agency])-ROW(TableDiv[[#Headers],[Agency]])),COLUMNS($F$7:Z$7))))</f>
        <v/>
      </c>
      <c r="AA665" s="2223" t="str" cm="1">
        <f t="array" ref="AA665">IF($D665&lt;COLUMNS($F$7:AA$7),"",INDEX(TableDiv[[GASB]:[GASB]],_xlfn.AGGREGATE(15,3,(TableDiv[[Agency]:[Agency]]=$E665)/(TableDiv[[Agency]:[Agency]]=$E665)*(ROW(TableDiv[Agency])-ROW(TableDiv[[#Headers],[Agency]])),COLUMNS($F$7:AA$7))))</f>
        <v/>
      </c>
      <c r="AB665" s="2223" t="str" cm="1">
        <f t="array" ref="AB665">IF($D665&lt;COLUMNS($F$7:AB$7),"",INDEX(TableDiv[[GASB]:[GASB]],_xlfn.AGGREGATE(15,3,(TableDiv[[Agency]:[Agency]]=$E665)/(TableDiv[[Agency]:[Agency]]=$E665)*(ROW(TableDiv[Agency])-ROW(TableDiv[[#Headers],[Agency]])),COLUMNS($F$7:AB$7))))</f>
        <v/>
      </c>
      <c r="AC665" s="2223" t="str" cm="1">
        <f t="array" ref="AC665">IF($D665&lt;COLUMNS($F$7:AC$7),"",INDEX(TableDiv[[GASB]:[GASB]],_xlfn.AGGREGATE(15,3,(TableDiv[[Agency]:[Agency]]=$E665)/(TableDiv[[Agency]:[Agency]]=$E665)*(ROW(TableDiv[Agency])-ROW(TableDiv[[#Headers],[Agency]])),COLUMNS($F$7:AC$7))))</f>
        <v/>
      </c>
      <c r="AD665" s="2223" t="str" cm="1">
        <f t="array" ref="AD665">IF($D665&lt;COLUMNS($F$7:AD$7),"",INDEX(TableDiv[[GASB]:[GASB]],_xlfn.AGGREGATE(15,3,(TableDiv[[Agency]:[Agency]]=$E665)/(TableDiv[[Agency]:[Agency]]=$E665)*(ROW(TableDiv[Agency])-ROW(TableDiv[[#Headers],[Agency]])),COLUMNS($F$7:AD$7))))</f>
        <v/>
      </c>
      <c r="AE665" s="2223" t="str" cm="1">
        <f t="array" ref="AE665">IF($D665&lt;COLUMNS($F$7:AE$7),"",INDEX(TableDiv[[GASB]:[GASB]],_xlfn.AGGREGATE(15,3,(TableDiv[[Agency]:[Agency]]=$E665)/(TableDiv[[Agency]:[Agency]]=$E665)*(ROW(TableDiv[Agency])-ROW(TableDiv[[#Headers],[Agency]])),COLUMNS($F$7:AE$7))))</f>
        <v/>
      </c>
      <c r="AF665" s="2223" t="str" cm="1">
        <f t="array" ref="AF665">IF($D665&lt;COLUMNS($F$7:AF$7),"",INDEX(TableDiv[[GASB]:[GASB]],_xlfn.AGGREGATE(15,3,(TableDiv[[Agency]:[Agency]]=$E665)/(TableDiv[[Agency]:[Agency]]=$E665)*(ROW(TableDiv[Agency])-ROW(TableDiv[[#Headers],[Agency]])),COLUMNS($F$7:AF$7))))</f>
        <v/>
      </c>
      <c r="AG665" s="2223" t="str" cm="1">
        <f t="array" ref="AG665">IF($D665&lt;COLUMNS($F$7:AG$7),"",INDEX(TableDiv[[GASB]:[GASB]],_xlfn.AGGREGATE(15,3,(TableDiv[[Agency]:[Agency]]=$E665)/(TableDiv[[Agency]:[Agency]]=$E665)*(ROW(TableDiv[Agency])-ROW(TableDiv[[#Headers],[Agency]])),COLUMNS($F$7:AG$7))))</f>
        <v/>
      </c>
      <c r="AH665" s="2223" t="str" cm="1">
        <f t="array" ref="AH665">IF($D665&lt;COLUMNS($F$7:AH$7),"",INDEX(TableDiv[[GASB]:[GASB]],_xlfn.AGGREGATE(15,3,(TableDiv[[Agency]:[Agency]]=$E665)/(TableDiv[[Agency]:[Agency]]=$E665)*(ROW(TableDiv[Agency])-ROW(TableDiv[[#Headers],[Agency]])),COLUMNS($F$7:AH$7))))</f>
        <v/>
      </c>
      <c r="AI665" s="2223" t="str" cm="1">
        <f t="array" ref="AI665">IF($D665&lt;COLUMNS($F$7:AI$7),"",INDEX(TableDiv[[GASB]:[GASB]],_xlfn.AGGREGATE(15,3,(TableDiv[[Agency]:[Agency]]=$E665)/(TableDiv[[Agency]:[Agency]]=$E665)*(ROW(TableDiv[Agency])-ROW(TableDiv[[#Headers],[Agency]])),COLUMNS($F$7:AI$7))))</f>
        <v/>
      </c>
      <c r="AJ665" s="2223" t="str" cm="1">
        <f t="array" ref="AJ665">IF($D665&lt;COLUMNS($F$7:AJ$7),"",INDEX(TableDiv[[GASB]:[GASB]],_xlfn.AGGREGATE(15,3,(TableDiv[[Agency]:[Agency]]=$E665)/(TableDiv[[Agency]:[Agency]]=$E665)*(ROW(TableDiv[Agency])-ROW(TableDiv[[#Headers],[Agency]])),COLUMNS($F$7:AJ$7))))</f>
        <v/>
      </c>
      <c r="AK665" s="2223" t="str" cm="1">
        <f t="array" ref="AK665">IF($D665&lt;COLUMNS($F$7:AK$7),"",INDEX(TableDiv[[GASB]:[GASB]],_xlfn.AGGREGATE(15,3,(TableDiv[[Agency]:[Agency]]=$E665)/(TableDiv[[Agency]:[Agency]]=$E665)*(ROW(TableDiv[Agency])-ROW(TableDiv[[#Headers],[Agency]])),COLUMNS($F$7:AK$7))))</f>
        <v/>
      </c>
      <c r="AL665" s="2223" t="str" cm="1">
        <f t="array" ref="AL665">IF($D665&lt;COLUMNS($F$7:AL$7),"",INDEX(TableDiv[[GASB]:[GASB]],_xlfn.AGGREGATE(15,3,(TableDiv[[Agency]:[Agency]]=$E665)/(TableDiv[[Agency]:[Agency]]=$E665)*(ROW(TableDiv[Agency])-ROW(TableDiv[[#Headers],[Agency]])),COLUMNS($F$7:AL$7))))</f>
        <v/>
      </c>
      <c r="AM665" s="2223" t="str" cm="1">
        <f t="array" ref="AM665">IF($D665&lt;COLUMNS($F$7:AM$7),"",INDEX(TableDiv[[GASB]:[GASB]],_xlfn.AGGREGATE(15,3,(TableDiv[[Agency]:[Agency]]=$E665)/(TableDiv[[Agency]:[Agency]]=$E665)*(ROW(TableDiv[Agency])-ROW(TableDiv[[#Headers],[Agency]])),COLUMNS($F$7:AM$7))))</f>
        <v/>
      </c>
      <c r="AN665" s="2223"/>
      <c r="AO665" s="2223"/>
      <c r="AP665" s="2223"/>
      <c r="AQ665" s="2223"/>
      <c r="AR665" s="2223"/>
      <c r="AS665" s="2223"/>
    </row>
    <row r="666" spans="1:45" x14ac:dyDescent="0.2">
      <c r="A666" s="2223"/>
      <c r="B666" s="2223"/>
      <c r="C666" s="2223"/>
      <c r="W666" s="2223" t="str" cm="1">
        <f t="array" ref="W666">IF($D666&lt;COLUMNS($F$7:W$7),"",INDEX(TableDiv[[GASB]:[GASB]],_xlfn.AGGREGATE(15,3,(TableDiv[[Agency]:[Agency]]=$E666)/(TableDiv[[Agency]:[Agency]]=$E666)*(ROW(TableDiv[Agency])-ROW(TableDiv[[#Headers],[Agency]])),COLUMNS($F$7:W$7))))</f>
        <v/>
      </c>
      <c r="X666" s="2223" t="str" cm="1">
        <f t="array" ref="X666">IF($D666&lt;COLUMNS($F$7:X$7),"",INDEX(TableDiv[[GASB]:[GASB]],_xlfn.AGGREGATE(15,3,(TableDiv[[Agency]:[Agency]]=$E666)/(TableDiv[[Agency]:[Agency]]=$E666)*(ROW(TableDiv[Agency])-ROW(TableDiv[[#Headers],[Agency]])),COLUMNS($F$7:X$7))))</f>
        <v/>
      </c>
      <c r="Y666" s="2223" t="str" cm="1">
        <f t="array" ref="Y666">IF($D666&lt;COLUMNS($F$7:Y$7),"",INDEX(TableDiv[[GASB]:[GASB]],_xlfn.AGGREGATE(15,3,(TableDiv[[Agency]:[Agency]]=$E666)/(TableDiv[[Agency]:[Agency]]=$E666)*(ROW(TableDiv[Agency])-ROW(TableDiv[[#Headers],[Agency]])),COLUMNS($F$7:Y$7))))</f>
        <v/>
      </c>
      <c r="Z666" s="2223" t="str" cm="1">
        <f t="array" ref="Z666">IF($D666&lt;COLUMNS($F$7:Z$7),"",INDEX(TableDiv[[GASB]:[GASB]],_xlfn.AGGREGATE(15,3,(TableDiv[[Agency]:[Agency]]=$E666)/(TableDiv[[Agency]:[Agency]]=$E666)*(ROW(TableDiv[Agency])-ROW(TableDiv[[#Headers],[Agency]])),COLUMNS($F$7:Z$7))))</f>
        <v/>
      </c>
      <c r="AA666" s="2223" t="str" cm="1">
        <f t="array" ref="AA666">IF($D666&lt;COLUMNS($F$7:AA$7),"",INDEX(TableDiv[[GASB]:[GASB]],_xlfn.AGGREGATE(15,3,(TableDiv[[Agency]:[Agency]]=$E666)/(TableDiv[[Agency]:[Agency]]=$E666)*(ROW(TableDiv[Agency])-ROW(TableDiv[[#Headers],[Agency]])),COLUMNS($F$7:AA$7))))</f>
        <v/>
      </c>
      <c r="AB666" s="2223" t="str" cm="1">
        <f t="array" ref="AB666">IF($D666&lt;COLUMNS($F$7:AB$7),"",INDEX(TableDiv[[GASB]:[GASB]],_xlfn.AGGREGATE(15,3,(TableDiv[[Agency]:[Agency]]=$E666)/(TableDiv[[Agency]:[Agency]]=$E666)*(ROW(TableDiv[Agency])-ROW(TableDiv[[#Headers],[Agency]])),COLUMNS($F$7:AB$7))))</f>
        <v/>
      </c>
      <c r="AC666" s="2223" t="str" cm="1">
        <f t="array" ref="AC666">IF($D666&lt;COLUMNS($F$7:AC$7),"",INDEX(TableDiv[[GASB]:[GASB]],_xlfn.AGGREGATE(15,3,(TableDiv[[Agency]:[Agency]]=$E666)/(TableDiv[[Agency]:[Agency]]=$E666)*(ROW(TableDiv[Agency])-ROW(TableDiv[[#Headers],[Agency]])),COLUMNS($F$7:AC$7))))</f>
        <v/>
      </c>
      <c r="AD666" s="2223" t="str" cm="1">
        <f t="array" ref="AD666">IF($D666&lt;COLUMNS($F$7:AD$7),"",INDEX(TableDiv[[GASB]:[GASB]],_xlfn.AGGREGATE(15,3,(TableDiv[[Agency]:[Agency]]=$E666)/(TableDiv[[Agency]:[Agency]]=$E666)*(ROW(TableDiv[Agency])-ROW(TableDiv[[#Headers],[Agency]])),COLUMNS($F$7:AD$7))))</f>
        <v/>
      </c>
      <c r="AE666" s="2223" t="str" cm="1">
        <f t="array" ref="AE666">IF($D666&lt;COLUMNS($F$7:AE$7),"",INDEX(TableDiv[[GASB]:[GASB]],_xlfn.AGGREGATE(15,3,(TableDiv[[Agency]:[Agency]]=$E666)/(TableDiv[[Agency]:[Agency]]=$E666)*(ROW(TableDiv[Agency])-ROW(TableDiv[[#Headers],[Agency]])),COLUMNS($F$7:AE$7))))</f>
        <v/>
      </c>
      <c r="AF666" s="2223" t="str" cm="1">
        <f t="array" ref="AF666">IF($D666&lt;COLUMNS($F$7:AF$7),"",INDEX(TableDiv[[GASB]:[GASB]],_xlfn.AGGREGATE(15,3,(TableDiv[[Agency]:[Agency]]=$E666)/(TableDiv[[Agency]:[Agency]]=$E666)*(ROW(TableDiv[Agency])-ROW(TableDiv[[#Headers],[Agency]])),COLUMNS($F$7:AF$7))))</f>
        <v/>
      </c>
      <c r="AG666" s="2223" t="str" cm="1">
        <f t="array" ref="AG666">IF($D666&lt;COLUMNS($F$7:AG$7),"",INDEX(TableDiv[[GASB]:[GASB]],_xlfn.AGGREGATE(15,3,(TableDiv[[Agency]:[Agency]]=$E666)/(TableDiv[[Agency]:[Agency]]=$E666)*(ROW(TableDiv[Agency])-ROW(TableDiv[[#Headers],[Agency]])),COLUMNS($F$7:AG$7))))</f>
        <v/>
      </c>
      <c r="AH666" s="2223" t="str" cm="1">
        <f t="array" ref="AH666">IF($D666&lt;COLUMNS($F$7:AH$7),"",INDEX(TableDiv[[GASB]:[GASB]],_xlfn.AGGREGATE(15,3,(TableDiv[[Agency]:[Agency]]=$E666)/(TableDiv[[Agency]:[Agency]]=$E666)*(ROW(TableDiv[Agency])-ROW(TableDiv[[#Headers],[Agency]])),COLUMNS($F$7:AH$7))))</f>
        <v/>
      </c>
      <c r="AI666" s="2223" t="str" cm="1">
        <f t="array" ref="AI666">IF($D666&lt;COLUMNS($F$7:AI$7),"",INDEX(TableDiv[[GASB]:[GASB]],_xlfn.AGGREGATE(15,3,(TableDiv[[Agency]:[Agency]]=$E666)/(TableDiv[[Agency]:[Agency]]=$E666)*(ROW(TableDiv[Agency])-ROW(TableDiv[[#Headers],[Agency]])),COLUMNS($F$7:AI$7))))</f>
        <v/>
      </c>
      <c r="AJ666" s="2223" t="str" cm="1">
        <f t="array" ref="AJ666">IF($D666&lt;COLUMNS($F$7:AJ$7),"",INDEX(TableDiv[[GASB]:[GASB]],_xlfn.AGGREGATE(15,3,(TableDiv[[Agency]:[Agency]]=$E666)/(TableDiv[[Agency]:[Agency]]=$E666)*(ROW(TableDiv[Agency])-ROW(TableDiv[[#Headers],[Agency]])),COLUMNS($F$7:AJ$7))))</f>
        <v/>
      </c>
      <c r="AK666" s="2223" t="str" cm="1">
        <f t="array" ref="AK666">IF($D666&lt;COLUMNS($F$7:AK$7),"",INDEX(TableDiv[[GASB]:[GASB]],_xlfn.AGGREGATE(15,3,(TableDiv[[Agency]:[Agency]]=$E666)/(TableDiv[[Agency]:[Agency]]=$E666)*(ROW(TableDiv[Agency])-ROW(TableDiv[[#Headers],[Agency]])),COLUMNS($F$7:AK$7))))</f>
        <v/>
      </c>
      <c r="AL666" s="2223" t="str" cm="1">
        <f t="array" ref="AL666">IF($D666&lt;COLUMNS($F$7:AL$7),"",INDEX(TableDiv[[GASB]:[GASB]],_xlfn.AGGREGATE(15,3,(TableDiv[[Agency]:[Agency]]=$E666)/(TableDiv[[Agency]:[Agency]]=$E666)*(ROW(TableDiv[Agency])-ROW(TableDiv[[#Headers],[Agency]])),COLUMNS($F$7:AL$7))))</f>
        <v/>
      </c>
      <c r="AM666" s="2223" t="str" cm="1">
        <f t="array" ref="AM666">IF($D666&lt;COLUMNS($F$7:AM$7),"",INDEX(TableDiv[[GASB]:[GASB]],_xlfn.AGGREGATE(15,3,(TableDiv[[Agency]:[Agency]]=$E666)/(TableDiv[[Agency]:[Agency]]=$E666)*(ROW(TableDiv[Agency])-ROW(TableDiv[[#Headers],[Agency]])),COLUMNS($F$7:AM$7))))</f>
        <v/>
      </c>
      <c r="AN666" s="2223"/>
      <c r="AO666" s="2223"/>
      <c r="AP666" s="2223"/>
      <c r="AQ666" s="2223"/>
      <c r="AR666" s="2223"/>
      <c r="AS666" s="2223"/>
    </row>
    <row r="667" spans="1:45" x14ac:dyDescent="0.2">
      <c r="A667" s="2223"/>
      <c r="B667" s="2223"/>
      <c r="C667" s="2223"/>
      <c r="W667" s="2223" t="str" cm="1">
        <f t="array" ref="W667">IF($D667&lt;COLUMNS($F$7:W$7),"",INDEX(TableDiv[[GASB]:[GASB]],_xlfn.AGGREGATE(15,3,(TableDiv[[Agency]:[Agency]]=$E667)/(TableDiv[[Agency]:[Agency]]=$E667)*(ROW(TableDiv[Agency])-ROW(TableDiv[[#Headers],[Agency]])),COLUMNS($F$7:W$7))))</f>
        <v/>
      </c>
      <c r="X667" s="2223" t="str" cm="1">
        <f t="array" ref="X667">IF($D667&lt;COLUMNS($F$7:X$7),"",INDEX(TableDiv[[GASB]:[GASB]],_xlfn.AGGREGATE(15,3,(TableDiv[[Agency]:[Agency]]=$E667)/(TableDiv[[Agency]:[Agency]]=$E667)*(ROW(TableDiv[Agency])-ROW(TableDiv[[#Headers],[Agency]])),COLUMNS($F$7:X$7))))</f>
        <v/>
      </c>
      <c r="Y667" s="2223" t="str" cm="1">
        <f t="array" ref="Y667">IF($D667&lt;COLUMNS($F$7:Y$7),"",INDEX(TableDiv[[GASB]:[GASB]],_xlfn.AGGREGATE(15,3,(TableDiv[[Agency]:[Agency]]=$E667)/(TableDiv[[Agency]:[Agency]]=$E667)*(ROW(TableDiv[Agency])-ROW(TableDiv[[#Headers],[Agency]])),COLUMNS($F$7:Y$7))))</f>
        <v/>
      </c>
      <c r="Z667" s="2223" t="str" cm="1">
        <f t="array" ref="Z667">IF($D667&lt;COLUMNS($F$7:Z$7),"",INDEX(TableDiv[[GASB]:[GASB]],_xlfn.AGGREGATE(15,3,(TableDiv[[Agency]:[Agency]]=$E667)/(TableDiv[[Agency]:[Agency]]=$E667)*(ROW(TableDiv[Agency])-ROW(TableDiv[[#Headers],[Agency]])),COLUMNS($F$7:Z$7))))</f>
        <v/>
      </c>
      <c r="AA667" s="2223" t="str" cm="1">
        <f t="array" ref="AA667">IF($D667&lt;COLUMNS($F$7:AA$7),"",INDEX(TableDiv[[GASB]:[GASB]],_xlfn.AGGREGATE(15,3,(TableDiv[[Agency]:[Agency]]=$E667)/(TableDiv[[Agency]:[Agency]]=$E667)*(ROW(TableDiv[Agency])-ROW(TableDiv[[#Headers],[Agency]])),COLUMNS($F$7:AA$7))))</f>
        <v/>
      </c>
      <c r="AB667" s="2223" t="str" cm="1">
        <f t="array" ref="AB667">IF($D667&lt;COLUMNS($F$7:AB$7),"",INDEX(TableDiv[[GASB]:[GASB]],_xlfn.AGGREGATE(15,3,(TableDiv[[Agency]:[Agency]]=$E667)/(TableDiv[[Agency]:[Agency]]=$E667)*(ROW(TableDiv[Agency])-ROW(TableDiv[[#Headers],[Agency]])),COLUMNS($F$7:AB$7))))</f>
        <v/>
      </c>
      <c r="AC667" s="2223" t="str" cm="1">
        <f t="array" ref="AC667">IF($D667&lt;COLUMNS($F$7:AC$7),"",INDEX(TableDiv[[GASB]:[GASB]],_xlfn.AGGREGATE(15,3,(TableDiv[[Agency]:[Agency]]=$E667)/(TableDiv[[Agency]:[Agency]]=$E667)*(ROW(TableDiv[Agency])-ROW(TableDiv[[#Headers],[Agency]])),COLUMNS($F$7:AC$7))))</f>
        <v/>
      </c>
      <c r="AD667" s="2223" t="str" cm="1">
        <f t="array" ref="AD667">IF($D667&lt;COLUMNS($F$7:AD$7),"",INDEX(TableDiv[[GASB]:[GASB]],_xlfn.AGGREGATE(15,3,(TableDiv[[Agency]:[Agency]]=$E667)/(TableDiv[[Agency]:[Agency]]=$E667)*(ROW(TableDiv[Agency])-ROW(TableDiv[[#Headers],[Agency]])),COLUMNS($F$7:AD$7))))</f>
        <v/>
      </c>
      <c r="AE667" s="2223" t="str" cm="1">
        <f t="array" ref="AE667">IF($D667&lt;COLUMNS($F$7:AE$7),"",INDEX(TableDiv[[GASB]:[GASB]],_xlfn.AGGREGATE(15,3,(TableDiv[[Agency]:[Agency]]=$E667)/(TableDiv[[Agency]:[Agency]]=$E667)*(ROW(TableDiv[Agency])-ROW(TableDiv[[#Headers],[Agency]])),COLUMNS($F$7:AE$7))))</f>
        <v/>
      </c>
      <c r="AF667" s="2223" t="str" cm="1">
        <f t="array" ref="AF667">IF($D667&lt;COLUMNS($F$7:AF$7),"",INDEX(TableDiv[[GASB]:[GASB]],_xlfn.AGGREGATE(15,3,(TableDiv[[Agency]:[Agency]]=$E667)/(TableDiv[[Agency]:[Agency]]=$E667)*(ROW(TableDiv[Agency])-ROW(TableDiv[[#Headers],[Agency]])),COLUMNS($F$7:AF$7))))</f>
        <v/>
      </c>
      <c r="AG667" s="2223" t="str" cm="1">
        <f t="array" ref="AG667">IF($D667&lt;COLUMNS($F$7:AG$7),"",INDEX(TableDiv[[GASB]:[GASB]],_xlfn.AGGREGATE(15,3,(TableDiv[[Agency]:[Agency]]=$E667)/(TableDiv[[Agency]:[Agency]]=$E667)*(ROW(TableDiv[Agency])-ROW(TableDiv[[#Headers],[Agency]])),COLUMNS($F$7:AG$7))))</f>
        <v/>
      </c>
      <c r="AH667" s="2223" t="str" cm="1">
        <f t="array" ref="AH667">IF($D667&lt;COLUMNS($F$7:AH$7),"",INDEX(TableDiv[[GASB]:[GASB]],_xlfn.AGGREGATE(15,3,(TableDiv[[Agency]:[Agency]]=$E667)/(TableDiv[[Agency]:[Agency]]=$E667)*(ROW(TableDiv[Agency])-ROW(TableDiv[[#Headers],[Agency]])),COLUMNS($F$7:AH$7))))</f>
        <v/>
      </c>
      <c r="AI667" s="2223" t="str" cm="1">
        <f t="array" ref="AI667">IF($D667&lt;COLUMNS($F$7:AI$7),"",INDEX(TableDiv[[GASB]:[GASB]],_xlfn.AGGREGATE(15,3,(TableDiv[[Agency]:[Agency]]=$E667)/(TableDiv[[Agency]:[Agency]]=$E667)*(ROW(TableDiv[Agency])-ROW(TableDiv[[#Headers],[Agency]])),COLUMNS($F$7:AI$7))))</f>
        <v/>
      </c>
      <c r="AJ667" s="2223" t="str" cm="1">
        <f t="array" ref="AJ667">IF($D667&lt;COLUMNS($F$7:AJ$7),"",INDEX(TableDiv[[GASB]:[GASB]],_xlfn.AGGREGATE(15,3,(TableDiv[[Agency]:[Agency]]=$E667)/(TableDiv[[Agency]:[Agency]]=$E667)*(ROW(TableDiv[Agency])-ROW(TableDiv[[#Headers],[Agency]])),COLUMNS($F$7:AJ$7))))</f>
        <v/>
      </c>
      <c r="AK667" s="2223" t="str" cm="1">
        <f t="array" ref="AK667">IF($D667&lt;COLUMNS($F$7:AK$7),"",INDEX(TableDiv[[GASB]:[GASB]],_xlfn.AGGREGATE(15,3,(TableDiv[[Agency]:[Agency]]=$E667)/(TableDiv[[Agency]:[Agency]]=$E667)*(ROW(TableDiv[Agency])-ROW(TableDiv[[#Headers],[Agency]])),COLUMNS($F$7:AK$7))))</f>
        <v/>
      </c>
      <c r="AL667" s="2223" t="str" cm="1">
        <f t="array" ref="AL667">IF($D667&lt;COLUMNS($F$7:AL$7),"",INDEX(TableDiv[[GASB]:[GASB]],_xlfn.AGGREGATE(15,3,(TableDiv[[Agency]:[Agency]]=$E667)/(TableDiv[[Agency]:[Agency]]=$E667)*(ROW(TableDiv[Agency])-ROW(TableDiv[[#Headers],[Agency]])),COLUMNS($F$7:AL$7))))</f>
        <v/>
      </c>
      <c r="AM667" s="2223" t="str" cm="1">
        <f t="array" ref="AM667">IF($D667&lt;COLUMNS($F$7:AM$7),"",INDEX(TableDiv[[GASB]:[GASB]],_xlfn.AGGREGATE(15,3,(TableDiv[[Agency]:[Agency]]=$E667)/(TableDiv[[Agency]:[Agency]]=$E667)*(ROW(TableDiv[Agency])-ROW(TableDiv[[#Headers],[Agency]])),COLUMNS($F$7:AM$7))))</f>
        <v/>
      </c>
      <c r="AN667" s="2223"/>
      <c r="AO667" s="2223"/>
      <c r="AP667" s="2223"/>
      <c r="AQ667" s="2223"/>
      <c r="AR667" s="2223"/>
      <c r="AS667" s="2223"/>
    </row>
    <row r="668" spans="1:45" x14ac:dyDescent="0.2">
      <c r="A668" s="2223"/>
      <c r="B668" s="2223"/>
      <c r="C668" s="2223"/>
      <c r="W668" s="2223" t="str" cm="1">
        <f t="array" ref="W668">IF($D668&lt;COLUMNS($F$7:W$7),"",INDEX(TableDiv[[GASB]:[GASB]],_xlfn.AGGREGATE(15,3,(TableDiv[[Agency]:[Agency]]=$E668)/(TableDiv[[Agency]:[Agency]]=$E668)*(ROW(TableDiv[Agency])-ROW(TableDiv[[#Headers],[Agency]])),COLUMNS($F$7:W$7))))</f>
        <v/>
      </c>
      <c r="X668" s="2223" t="str" cm="1">
        <f t="array" ref="X668">IF($D668&lt;COLUMNS($F$7:X$7),"",INDEX(TableDiv[[GASB]:[GASB]],_xlfn.AGGREGATE(15,3,(TableDiv[[Agency]:[Agency]]=$E668)/(TableDiv[[Agency]:[Agency]]=$E668)*(ROW(TableDiv[Agency])-ROW(TableDiv[[#Headers],[Agency]])),COLUMNS($F$7:X$7))))</f>
        <v/>
      </c>
      <c r="Y668" s="2223" t="str" cm="1">
        <f t="array" ref="Y668">IF($D668&lt;COLUMNS($F$7:Y$7),"",INDEX(TableDiv[[GASB]:[GASB]],_xlfn.AGGREGATE(15,3,(TableDiv[[Agency]:[Agency]]=$E668)/(TableDiv[[Agency]:[Agency]]=$E668)*(ROW(TableDiv[Agency])-ROW(TableDiv[[#Headers],[Agency]])),COLUMNS($F$7:Y$7))))</f>
        <v/>
      </c>
      <c r="Z668" s="2223" t="str" cm="1">
        <f t="array" ref="Z668">IF($D668&lt;COLUMNS($F$7:Z$7),"",INDEX(TableDiv[[GASB]:[GASB]],_xlfn.AGGREGATE(15,3,(TableDiv[[Agency]:[Agency]]=$E668)/(TableDiv[[Agency]:[Agency]]=$E668)*(ROW(TableDiv[Agency])-ROW(TableDiv[[#Headers],[Agency]])),COLUMNS($F$7:Z$7))))</f>
        <v/>
      </c>
      <c r="AA668" s="2223" t="str" cm="1">
        <f t="array" ref="AA668">IF($D668&lt;COLUMNS($F$7:AA$7),"",INDEX(TableDiv[[GASB]:[GASB]],_xlfn.AGGREGATE(15,3,(TableDiv[[Agency]:[Agency]]=$E668)/(TableDiv[[Agency]:[Agency]]=$E668)*(ROW(TableDiv[Agency])-ROW(TableDiv[[#Headers],[Agency]])),COLUMNS($F$7:AA$7))))</f>
        <v/>
      </c>
      <c r="AB668" s="2223" t="str" cm="1">
        <f t="array" ref="AB668">IF($D668&lt;COLUMNS($F$7:AB$7),"",INDEX(TableDiv[[GASB]:[GASB]],_xlfn.AGGREGATE(15,3,(TableDiv[[Agency]:[Agency]]=$E668)/(TableDiv[[Agency]:[Agency]]=$E668)*(ROW(TableDiv[Agency])-ROW(TableDiv[[#Headers],[Agency]])),COLUMNS($F$7:AB$7))))</f>
        <v/>
      </c>
      <c r="AC668" s="2223" t="str" cm="1">
        <f t="array" ref="AC668">IF($D668&lt;COLUMNS($F$7:AC$7),"",INDEX(TableDiv[[GASB]:[GASB]],_xlfn.AGGREGATE(15,3,(TableDiv[[Agency]:[Agency]]=$E668)/(TableDiv[[Agency]:[Agency]]=$E668)*(ROW(TableDiv[Agency])-ROW(TableDiv[[#Headers],[Agency]])),COLUMNS($F$7:AC$7))))</f>
        <v/>
      </c>
      <c r="AD668" s="2223" t="str" cm="1">
        <f t="array" ref="AD668">IF($D668&lt;COLUMNS($F$7:AD$7),"",INDEX(TableDiv[[GASB]:[GASB]],_xlfn.AGGREGATE(15,3,(TableDiv[[Agency]:[Agency]]=$E668)/(TableDiv[[Agency]:[Agency]]=$E668)*(ROW(TableDiv[Agency])-ROW(TableDiv[[#Headers],[Agency]])),COLUMNS($F$7:AD$7))))</f>
        <v/>
      </c>
      <c r="AE668" s="2223" t="str" cm="1">
        <f t="array" ref="AE668">IF($D668&lt;COLUMNS($F$7:AE$7),"",INDEX(TableDiv[[GASB]:[GASB]],_xlfn.AGGREGATE(15,3,(TableDiv[[Agency]:[Agency]]=$E668)/(TableDiv[[Agency]:[Agency]]=$E668)*(ROW(TableDiv[Agency])-ROW(TableDiv[[#Headers],[Agency]])),COLUMNS($F$7:AE$7))))</f>
        <v/>
      </c>
      <c r="AF668" s="2223" t="str" cm="1">
        <f t="array" ref="AF668">IF($D668&lt;COLUMNS($F$7:AF$7),"",INDEX(TableDiv[[GASB]:[GASB]],_xlfn.AGGREGATE(15,3,(TableDiv[[Agency]:[Agency]]=$E668)/(TableDiv[[Agency]:[Agency]]=$E668)*(ROW(TableDiv[Agency])-ROW(TableDiv[[#Headers],[Agency]])),COLUMNS($F$7:AF$7))))</f>
        <v/>
      </c>
      <c r="AG668" s="2223" t="str" cm="1">
        <f t="array" ref="AG668">IF($D668&lt;COLUMNS($F$7:AG$7),"",INDEX(TableDiv[[GASB]:[GASB]],_xlfn.AGGREGATE(15,3,(TableDiv[[Agency]:[Agency]]=$E668)/(TableDiv[[Agency]:[Agency]]=$E668)*(ROW(TableDiv[Agency])-ROW(TableDiv[[#Headers],[Agency]])),COLUMNS($F$7:AG$7))))</f>
        <v/>
      </c>
      <c r="AH668" s="2223" t="str" cm="1">
        <f t="array" ref="AH668">IF($D668&lt;COLUMNS($F$7:AH$7),"",INDEX(TableDiv[[GASB]:[GASB]],_xlfn.AGGREGATE(15,3,(TableDiv[[Agency]:[Agency]]=$E668)/(TableDiv[[Agency]:[Agency]]=$E668)*(ROW(TableDiv[Agency])-ROW(TableDiv[[#Headers],[Agency]])),COLUMNS($F$7:AH$7))))</f>
        <v/>
      </c>
      <c r="AI668" s="2223" t="str" cm="1">
        <f t="array" ref="AI668">IF($D668&lt;COLUMNS($F$7:AI$7),"",INDEX(TableDiv[[GASB]:[GASB]],_xlfn.AGGREGATE(15,3,(TableDiv[[Agency]:[Agency]]=$E668)/(TableDiv[[Agency]:[Agency]]=$E668)*(ROW(TableDiv[Agency])-ROW(TableDiv[[#Headers],[Agency]])),COLUMNS($F$7:AI$7))))</f>
        <v/>
      </c>
      <c r="AJ668" s="2223" t="str" cm="1">
        <f t="array" ref="AJ668">IF($D668&lt;COLUMNS($F$7:AJ$7),"",INDEX(TableDiv[[GASB]:[GASB]],_xlfn.AGGREGATE(15,3,(TableDiv[[Agency]:[Agency]]=$E668)/(TableDiv[[Agency]:[Agency]]=$E668)*(ROW(TableDiv[Agency])-ROW(TableDiv[[#Headers],[Agency]])),COLUMNS($F$7:AJ$7))))</f>
        <v/>
      </c>
      <c r="AK668" s="2223" t="str" cm="1">
        <f t="array" ref="AK668">IF($D668&lt;COLUMNS($F$7:AK$7),"",INDEX(TableDiv[[GASB]:[GASB]],_xlfn.AGGREGATE(15,3,(TableDiv[[Agency]:[Agency]]=$E668)/(TableDiv[[Agency]:[Agency]]=$E668)*(ROW(TableDiv[Agency])-ROW(TableDiv[[#Headers],[Agency]])),COLUMNS($F$7:AK$7))))</f>
        <v/>
      </c>
      <c r="AL668" s="2223" t="str" cm="1">
        <f t="array" ref="AL668">IF($D668&lt;COLUMNS($F$7:AL$7),"",INDEX(TableDiv[[GASB]:[GASB]],_xlfn.AGGREGATE(15,3,(TableDiv[[Agency]:[Agency]]=$E668)/(TableDiv[[Agency]:[Agency]]=$E668)*(ROW(TableDiv[Agency])-ROW(TableDiv[[#Headers],[Agency]])),COLUMNS($F$7:AL$7))))</f>
        <v/>
      </c>
      <c r="AM668" s="2223" t="str" cm="1">
        <f t="array" ref="AM668">IF($D668&lt;COLUMNS($F$7:AM$7),"",INDEX(TableDiv[[GASB]:[GASB]],_xlfn.AGGREGATE(15,3,(TableDiv[[Agency]:[Agency]]=$E668)/(TableDiv[[Agency]:[Agency]]=$E668)*(ROW(TableDiv[Agency])-ROW(TableDiv[[#Headers],[Agency]])),COLUMNS($F$7:AM$7))))</f>
        <v/>
      </c>
      <c r="AN668" s="2223"/>
      <c r="AO668" s="2223"/>
      <c r="AP668" s="2223"/>
      <c r="AQ668" s="2223"/>
      <c r="AR668" s="2223"/>
      <c r="AS668" s="2223"/>
    </row>
    <row r="669" spans="1:45" x14ac:dyDescent="0.2">
      <c r="A669" s="2223"/>
      <c r="B669" s="2223"/>
      <c r="C669" s="2223"/>
      <c r="W669" s="2223" t="str" cm="1">
        <f t="array" ref="W669">IF($D669&lt;COLUMNS($F$7:W$7),"",INDEX(TableDiv[[GASB]:[GASB]],_xlfn.AGGREGATE(15,3,(TableDiv[[Agency]:[Agency]]=$E669)/(TableDiv[[Agency]:[Agency]]=$E669)*(ROW(TableDiv[Agency])-ROW(TableDiv[[#Headers],[Agency]])),COLUMNS($F$7:W$7))))</f>
        <v/>
      </c>
      <c r="X669" s="2223" t="str" cm="1">
        <f t="array" ref="X669">IF($D669&lt;COLUMNS($F$7:X$7),"",INDEX(TableDiv[[GASB]:[GASB]],_xlfn.AGGREGATE(15,3,(TableDiv[[Agency]:[Agency]]=$E669)/(TableDiv[[Agency]:[Agency]]=$E669)*(ROW(TableDiv[Agency])-ROW(TableDiv[[#Headers],[Agency]])),COLUMNS($F$7:X$7))))</f>
        <v/>
      </c>
      <c r="Y669" s="2223" t="str" cm="1">
        <f t="array" ref="Y669">IF($D669&lt;COLUMNS($F$7:Y$7),"",INDEX(TableDiv[[GASB]:[GASB]],_xlfn.AGGREGATE(15,3,(TableDiv[[Agency]:[Agency]]=$E669)/(TableDiv[[Agency]:[Agency]]=$E669)*(ROW(TableDiv[Agency])-ROW(TableDiv[[#Headers],[Agency]])),COLUMNS($F$7:Y$7))))</f>
        <v/>
      </c>
      <c r="Z669" s="2223" t="str" cm="1">
        <f t="array" ref="Z669">IF($D669&lt;COLUMNS($F$7:Z$7),"",INDEX(TableDiv[[GASB]:[GASB]],_xlfn.AGGREGATE(15,3,(TableDiv[[Agency]:[Agency]]=$E669)/(TableDiv[[Agency]:[Agency]]=$E669)*(ROW(TableDiv[Agency])-ROW(TableDiv[[#Headers],[Agency]])),COLUMNS($F$7:Z$7))))</f>
        <v/>
      </c>
      <c r="AA669" s="2223" t="str" cm="1">
        <f t="array" ref="AA669">IF($D669&lt;COLUMNS($F$7:AA$7),"",INDEX(TableDiv[[GASB]:[GASB]],_xlfn.AGGREGATE(15,3,(TableDiv[[Agency]:[Agency]]=$E669)/(TableDiv[[Agency]:[Agency]]=$E669)*(ROW(TableDiv[Agency])-ROW(TableDiv[[#Headers],[Agency]])),COLUMNS($F$7:AA$7))))</f>
        <v/>
      </c>
      <c r="AB669" s="2223" t="str" cm="1">
        <f t="array" ref="AB669">IF($D669&lt;COLUMNS($F$7:AB$7),"",INDEX(TableDiv[[GASB]:[GASB]],_xlfn.AGGREGATE(15,3,(TableDiv[[Agency]:[Agency]]=$E669)/(TableDiv[[Agency]:[Agency]]=$E669)*(ROW(TableDiv[Agency])-ROW(TableDiv[[#Headers],[Agency]])),COLUMNS($F$7:AB$7))))</f>
        <v/>
      </c>
      <c r="AC669" s="2223" t="str" cm="1">
        <f t="array" ref="AC669">IF($D669&lt;COLUMNS($F$7:AC$7),"",INDEX(TableDiv[[GASB]:[GASB]],_xlfn.AGGREGATE(15,3,(TableDiv[[Agency]:[Agency]]=$E669)/(TableDiv[[Agency]:[Agency]]=$E669)*(ROW(TableDiv[Agency])-ROW(TableDiv[[#Headers],[Agency]])),COLUMNS($F$7:AC$7))))</f>
        <v/>
      </c>
      <c r="AD669" s="2223" t="str" cm="1">
        <f t="array" ref="AD669">IF($D669&lt;COLUMNS($F$7:AD$7),"",INDEX(TableDiv[[GASB]:[GASB]],_xlfn.AGGREGATE(15,3,(TableDiv[[Agency]:[Agency]]=$E669)/(TableDiv[[Agency]:[Agency]]=$E669)*(ROW(TableDiv[Agency])-ROW(TableDiv[[#Headers],[Agency]])),COLUMNS($F$7:AD$7))))</f>
        <v/>
      </c>
      <c r="AE669" s="2223" t="str" cm="1">
        <f t="array" ref="AE669">IF($D669&lt;COLUMNS($F$7:AE$7),"",INDEX(TableDiv[[GASB]:[GASB]],_xlfn.AGGREGATE(15,3,(TableDiv[[Agency]:[Agency]]=$E669)/(TableDiv[[Agency]:[Agency]]=$E669)*(ROW(TableDiv[Agency])-ROW(TableDiv[[#Headers],[Agency]])),COLUMNS($F$7:AE$7))))</f>
        <v/>
      </c>
      <c r="AF669" s="2223" t="str" cm="1">
        <f t="array" ref="AF669">IF($D669&lt;COLUMNS($F$7:AF$7),"",INDEX(TableDiv[[GASB]:[GASB]],_xlfn.AGGREGATE(15,3,(TableDiv[[Agency]:[Agency]]=$E669)/(TableDiv[[Agency]:[Agency]]=$E669)*(ROW(TableDiv[Agency])-ROW(TableDiv[[#Headers],[Agency]])),COLUMNS($F$7:AF$7))))</f>
        <v/>
      </c>
      <c r="AG669" s="2223" t="str" cm="1">
        <f t="array" ref="AG669">IF($D669&lt;COLUMNS($F$7:AG$7),"",INDEX(TableDiv[[GASB]:[GASB]],_xlfn.AGGREGATE(15,3,(TableDiv[[Agency]:[Agency]]=$E669)/(TableDiv[[Agency]:[Agency]]=$E669)*(ROW(TableDiv[Agency])-ROW(TableDiv[[#Headers],[Agency]])),COLUMNS($F$7:AG$7))))</f>
        <v/>
      </c>
      <c r="AH669" s="2223" t="str" cm="1">
        <f t="array" ref="AH669">IF($D669&lt;COLUMNS($F$7:AH$7),"",INDEX(TableDiv[[GASB]:[GASB]],_xlfn.AGGREGATE(15,3,(TableDiv[[Agency]:[Agency]]=$E669)/(TableDiv[[Agency]:[Agency]]=$E669)*(ROW(TableDiv[Agency])-ROW(TableDiv[[#Headers],[Agency]])),COLUMNS($F$7:AH$7))))</f>
        <v/>
      </c>
      <c r="AI669" s="2223" t="str" cm="1">
        <f t="array" ref="AI669">IF($D669&lt;COLUMNS($F$7:AI$7),"",INDEX(TableDiv[[GASB]:[GASB]],_xlfn.AGGREGATE(15,3,(TableDiv[[Agency]:[Agency]]=$E669)/(TableDiv[[Agency]:[Agency]]=$E669)*(ROW(TableDiv[Agency])-ROW(TableDiv[[#Headers],[Agency]])),COLUMNS($F$7:AI$7))))</f>
        <v/>
      </c>
      <c r="AJ669" s="2223" t="str" cm="1">
        <f t="array" ref="AJ669">IF($D669&lt;COLUMNS($F$7:AJ$7),"",INDEX(TableDiv[[GASB]:[GASB]],_xlfn.AGGREGATE(15,3,(TableDiv[[Agency]:[Agency]]=$E669)/(TableDiv[[Agency]:[Agency]]=$E669)*(ROW(TableDiv[Agency])-ROW(TableDiv[[#Headers],[Agency]])),COLUMNS($F$7:AJ$7))))</f>
        <v/>
      </c>
      <c r="AK669" s="2223" t="str" cm="1">
        <f t="array" ref="AK669">IF($D669&lt;COLUMNS($F$7:AK$7),"",INDEX(TableDiv[[GASB]:[GASB]],_xlfn.AGGREGATE(15,3,(TableDiv[[Agency]:[Agency]]=$E669)/(TableDiv[[Agency]:[Agency]]=$E669)*(ROW(TableDiv[Agency])-ROW(TableDiv[[#Headers],[Agency]])),COLUMNS($F$7:AK$7))))</f>
        <v/>
      </c>
      <c r="AL669" s="2223" t="str" cm="1">
        <f t="array" ref="AL669">IF($D669&lt;COLUMNS($F$7:AL$7),"",INDEX(TableDiv[[GASB]:[GASB]],_xlfn.AGGREGATE(15,3,(TableDiv[[Agency]:[Agency]]=$E669)/(TableDiv[[Agency]:[Agency]]=$E669)*(ROW(TableDiv[Agency])-ROW(TableDiv[[#Headers],[Agency]])),COLUMNS($F$7:AL$7))))</f>
        <v/>
      </c>
      <c r="AM669" s="2223" t="str" cm="1">
        <f t="array" ref="AM669">IF($D669&lt;COLUMNS($F$7:AM$7),"",INDEX(TableDiv[[GASB]:[GASB]],_xlfn.AGGREGATE(15,3,(TableDiv[[Agency]:[Agency]]=$E669)/(TableDiv[[Agency]:[Agency]]=$E669)*(ROW(TableDiv[Agency])-ROW(TableDiv[[#Headers],[Agency]])),COLUMNS($F$7:AM$7))))</f>
        <v/>
      </c>
      <c r="AN669" s="2223"/>
      <c r="AO669" s="2223"/>
      <c r="AP669" s="2223"/>
      <c r="AQ669" s="2223"/>
      <c r="AR669" s="2223"/>
      <c r="AS669" s="2223"/>
    </row>
    <row r="670" spans="1:45" x14ac:dyDescent="0.2">
      <c r="A670" s="2223"/>
      <c r="B670" s="2223"/>
      <c r="C670" s="2223"/>
      <c r="W670" s="2223" t="str" cm="1">
        <f t="array" ref="W670">IF($D670&lt;COLUMNS($F$7:W$7),"",INDEX(TableDiv[[GASB]:[GASB]],_xlfn.AGGREGATE(15,3,(TableDiv[[Agency]:[Agency]]=$E670)/(TableDiv[[Agency]:[Agency]]=$E670)*(ROW(TableDiv[Agency])-ROW(TableDiv[[#Headers],[Agency]])),COLUMNS($F$7:W$7))))</f>
        <v/>
      </c>
      <c r="X670" s="2223" t="str" cm="1">
        <f t="array" ref="X670">IF($D670&lt;COLUMNS($F$7:X$7),"",INDEX(TableDiv[[GASB]:[GASB]],_xlfn.AGGREGATE(15,3,(TableDiv[[Agency]:[Agency]]=$E670)/(TableDiv[[Agency]:[Agency]]=$E670)*(ROW(TableDiv[Agency])-ROW(TableDiv[[#Headers],[Agency]])),COLUMNS($F$7:X$7))))</f>
        <v/>
      </c>
      <c r="Y670" s="2223" t="str" cm="1">
        <f t="array" ref="Y670">IF($D670&lt;COLUMNS($F$7:Y$7),"",INDEX(TableDiv[[GASB]:[GASB]],_xlfn.AGGREGATE(15,3,(TableDiv[[Agency]:[Agency]]=$E670)/(TableDiv[[Agency]:[Agency]]=$E670)*(ROW(TableDiv[Agency])-ROW(TableDiv[[#Headers],[Agency]])),COLUMNS($F$7:Y$7))))</f>
        <v/>
      </c>
      <c r="Z670" s="2223" t="str" cm="1">
        <f t="array" ref="Z670">IF($D670&lt;COLUMNS($F$7:Z$7),"",INDEX(TableDiv[[GASB]:[GASB]],_xlfn.AGGREGATE(15,3,(TableDiv[[Agency]:[Agency]]=$E670)/(TableDiv[[Agency]:[Agency]]=$E670)*(ROW(TableDiv[Agency])-ROW(TableDiv[[#Headers],[Agency]])),COLUMNS($F$7:Z$7))))</f>
        <v/>
      </c>
      <c r="AA670" s="2223" t="str" cm="1">
        <f t="array" ref="AA670">IF($D670&lt;COLUMNS($F$7:AA$7),"",INDEX(TableDiv[[GASB]:[GASB]],_xlfn.AGGREGATE(15,3,(TableDiv[[Agency]:[Agency]]=$E670)/(TableDiv[[Agency]:[Agency]]=$E670)*(ROW(TableDiv[Agency])-ROW(TableDiv[[#Headers],[Agency]])),COLUMNS($F$7:AA$7))))</f>
        <v/>
      </c>
      <c r="AB670" s="2223" t="str" cm="1">
        <f t="array" ref="AB670">IF($D670&lt;COLUMNS($F$7:AB$7),"",INDEX(TableDiv[[GASB]:[GASB]],_xlfn.AGGREGATE(15,3,(TableDiv[[Agency]:[Agency]]=$E670)/(TableDiv[[Agency]:[Agency]]=$E670)*(ROW(TableDiv[Agency])-ROW(TableDiv[[#Headers],[Agency]])),COLUMNS($F$7:AB$7))))</f>
        <v/>
      </c>
      <c r="AC670" s="2223" t="str" cm="1">
        <f t="array" ref="AC670">IF($D670&lt;COLUMNS($F$7:AC$7),"",INDEX(TableDiv[[GASB]:[GASB]],_xlfn.AGGREGATE(15,3,(TableDiv[[Agency]:[Agency]]=$E670)/(TableDiv[[Agency]:[Agency]]=$E670)*(ROW(TableDiv[Agency])-ROW(TableDiv[[#Headers],[Agency]])),COLUMNS($F$7:AC$7))))</f>
        <v/>
      </c>
      <c r="AD670" s="2223" t="str" cm="1">
        <f t="array" ref="AD670">IF($D670&lt;COLUMNS($F$7:AD$7),"",INDEX(TableDiv[[GASB]:[GASB]],_xlfn.AGGREGATE(15,3,(TableDiv[[Agency]:[Agency]]=$E670)/(TableDiv[[Agency]:[Agency]]=$E670)*(ROW(TableDiv[Agency])-ROW(TableDiv[[#Headers],[Agency]])),COLUMNS($F$7:AD$7))))</f>
        <v/>
      </c>
      <c r="AE670" s="2223" t="str" cm="1">
        <f t="array" ref="AE670">IF($D670&lt;COLUMNS($F$7:AE$7),"",INDEX(TableDiv[[GASB]:[GASB]],_xlfn.AGGREGATE(15,3,(TableDiv[[Agency]:[Agency]]=$E670)/(TableDiv[[Agency]:[Agency]]=$E670)*(ROW(TableDiv[Agency])-ROW(TableDiv[[#Headers],[Agency]])),COLUMNS($F$7:AE$7))))</f>
        <v/>
      </c>
      <c r="AF670" s="2223" t="str" cm="1">
        <f t="array" ref="AF670">IF($D670&lt;COLUMNS($F$7:AF$7),"",INDEX(TableDiv[[GASB]:[GASB]],_xlfn.AGGREGATE(15,3,(TableDiv[[Agency]:[Agency]]=$E670)/(TableDiv[[Agency]:[Agency]]=$E670)*(ROW(TableDiv[Agency])-ROW(TableDiv[[#Headers],[Agency]])),COLUMNS($F$7:AF$7))))</f>
        <v/>
      </c>
      <c r="AG670" s="2223" t="str" cm="1">
        <f t="array" ref="AG670">IF($D670&lt;COLUMNS($F$7:AG$7),"",INDEX(TableDiv[[GASB]:[GASB]],_xlfn.AGGREGATE(15,3,(TableDiv[[Agency]:[Agency]]=$E670)/(TableDiv[[Agency]:[Agency]]=$E670)*(ROW(TableDiv[Agency])-ROW(TableDiv[[#Headers],[Agency]])),COLUMNS($F$7:AG$7))))</f>
        <v/>
      </c>
      <c r="AH670" s="2223" t="str" cm="1">
        <f t="array" ref="AH670">IF($D670&lt;COLUMNS($F$7:AH$7),"",INDEX(TableDiv[[GASB]:[GASB]],_xlfn.AGGREGATE(15,3,(TableDiv[[Agency]:[Agency]]=$E670)/(TableDiv[[Agency]:[Agency]]=$E670)*(ROW(TableDiv[Agency])-ROW(TableDiv[[#Headers],[Agency]])),COLUMNS($F$7:AH$7))))</f>
        <v/>
      </c>
      <c r="AI670" s="2223" t="str" cm="1">
        <f t="array" ref="AI670">IF($D670&lt;COLUMNS($F$7:AI$7),"",INDEX(TableDiv[[GASB]:[GASB]],_xlfn.AGGREGATE(15,3,(TableDiv[[Agency]:[Agency]]=$E670)/(TableDiv[[Agency]:[Agency]]=$E670)*(ROW(TableDiv[Agency])-ROW(TableDiv[[#Headers],[Agency]])),COLUMNS($F$7:AI$7))))</f>
        <v/>
      </c>
      <c r="AJ670" s="2223" t="str" cm="1">
        <f t="array" ref="AJ670">IF($D670&lt;COLUMNS($F$7:AJ$7),"",INDEX(TableDiv[[GASB]:[GASB]],_xlfn.AGGREGATE(15,3,(TableDiv[[Agency]:[Agency]]=$E670)/(TableDiv[[Agency]:[Agency]]=$E670)*(ROW(TableDiv[Agency])-ROW(TableDiv[[#Headers],[Agency]])),COLUMNS($F$7:AJ$7))))</f>
        <v/>
      </c>
      <c r="AK670" s="2223" t="str" cm="1">
        <f t="array" ref="AK670">IF($D670&lt;COLUMNS($F$7:AK$7),"",INDEX(TableDiv[[GASB]:[GASB]],_xlfn.AGGREGATE(15,3,(TableDiv[[Agency]:[Agency]]=$E670)/(TableDiv[[Agency]:[Agency]]=$E670)*(ROW(TableDiv[Agency])-ROW(TableDiv[[#Headers],[Agency]])),COLUMNS($F$7:AK$7))))</f>
        <v/>
      </c>
      <c r="AL670" s="2223" t="str" cm="1">
        <f t="array" ref="AL670">IF($D670&lt;COLUMNS($F$7:AL$7),"",INDEX(TableDiv[[GASB]:[GASB]],_xlfn.AGGREGATE(15,3,(TableDiv[[Agency]:[Agency]]=$E670)/(TableDiv[[Agency]:[Agency]]=$E670)*(ROW(TableDiv[Agency])-ROW(TableDiv[[#Headers],[Agency]])),COLUMNS($F$7:AL$7))))</f>
        <v/>
      </c>
      <c r="AM670" s="2223" t="str" cm="1">
        <f t="array" ref="AM670">IF($D670&lt;COLUMNS($F$7:AM$7),"",INDEX(TableDiv[[GASB]:[GASB]],_xlfn.AGGREGATE(15,3,(TableDiv[[Agency]:[Agency]]=$E670)/(TableDiv[[Agency]:[Agency]]=$E670)*(ROW(TableDiv[Agency])-ROW(TableDiv[[#Headers],[Agency]])),COLUMNS($F$7:AM$7))))</f>
        <v/>
      </c>
      <c r="AN670" s="2223"/>
      <c r="AO670" s="2223"/>
      <c r="AP670" s="2223"/>
      <c r="AQ670" s="2223"/>
      <c r="AR670" s="2223"/>
      <c r="AS670" s="2223"/>
    </row>
    <row r="671" spans="1:45" x14ac:dyDescent="0.2">
      <c r="A671" s="2223"/>
      <c r="B671" s="2223"/>
      <c r="C671" s="2223"/>
      <c r="W671" s="2223" t="str" cm="1">
        <f t="array" ref="W671">IF($D671&lt;COLUMNS($F$7:W$7),"",INDEX(TableDiv[[GASB]:[GASB]],_xlfn.AGGREGATE(15,3,(TableDiv[[Agency]:[Agency]]=$E671)/(TableDiv[[Agency]:[Agency]]=$E671)*(ROW(TableDiv[Agency])-ROW(TableDiv[[#Headers],[Agency]])),COLUMNS($F$7:W$7))))</f>
        <v/>
      </c>
      <c r="X671" s="2223" t="str" cm="1">
        <f t="array" ref="X671">IF($D671&lt;COLUMNS($F$7:X$7),"",INDEX(TableDiv[[GASB]:[GASB]],_xlfn.AGGREGATE(15,3,(TableDiv[[Agency]:[Agency]]=$E671)/(TableDiv[[Agency]:[Agency]]=$E671)*(ROW(TableDiv[Agency])-ROW(TableDiv[[#Headers],[Agency]])),COLUMNS($F$7:X$7))))</f>
        <v/>
      </c>
      <c r="Y671" s="2223" t="str" cm="1">
        <f t="array" ref="Y671">IF($D671&lt;COLUMNS($F$7:Y$7),"",INDEX(TableDiv[[GASB]:[GASB]],_xlfn.AGGREGATE(15,3,(TableDiv[[Agency]:[Agency]]=$E671)/(TableDiv[[Agency]:[Agency]]=$E671)*(ROW(TableDiv[Agency])-ROW(TableDiv[[#Headers],[Agency]])),COLUMNS($F$7:Y$7))))</f>
        <v/>
      </c>
      <c r="Z671" s="2223" t="str" cm="1">
        <f t="array" ref="Z671">IF($D671&lt;COLUMNS($F$7:Z$7),"",INDEX(TableDiv[[GASB]:[GASB]],_xlfn.AGGREGATE(15,3,(TableDiv[[Agency]:[Agency]]=$E671)/(TableDiv[[Agency]:[Agency]]=$E671)*(ROW(TableDiv[Agency])-ROW(TableDiv[[#Headers],[Agency]])),COLUMNS($F$7:Z$7))))</f>
        <v/>
      </c>
      <c r="AA671" s="2223" t="str" cm="1">
        <f t="array" ref="AA671">IF($D671&lt;COLUMNS($F$7:AA$7),"",INDEX(TableDiv[[GASB]:[GASB]],_xlfn.AGGREGATE(15,3,(TableDiv[[Agency]:[Agency]]=$E671)/(TableDiv[[Agency]:[Agency]]=$E671)*(ROW(TableDiv[Agency])-ROW(TableDiv[[#Headers],[Agency]])),COLUMNS($F$7:AA$7))))</f>
        <v/>
      </c>
      <c r="AB671" s="2223" t="str" cm="1">
        <f t="array" ref="AB671">IF($D671&lt;COLUMNS($F$7:AB$7),"",INDEX(TableDiv[[GASB]:[GASB]],_xlfn.AGGREGATE(15,3,(TableDiv[[Agency]:[Agency]]=$E671)/(TableDiv[[Agency]:[Agency]]=$E671)*(ROW(TableDiv[Agency])-ROW(TableDiv[[#Headers],[Agency]])),COLUMNS($F$7:AB$7))))</f>
        <v/>
      </c>
      <c r="AC671" s="2223" t="str" cm="1">
        <f t="array" ref="AC671">IF($D671&lt;COLUMNS($F$7:AC$7),"",INDEX(TableDiv[[GASB]:[GASB]],_xlfn.AGGREGATE(15,3,(TableDiv[[Agency]:[Agency]]=$E671)/(TableDiv[[Agency]:[Agency]]=$E671)*(ROW(TableDiv[Agency])-ROW(TableDiv[[#Headers],[Agency]])),COLUMNS($F$7:AC$7))))</f>
        <v/>
      </c>
      <c r="AD671" s="2223" t="str" cm="1">
        <f t="array" ref="AD671">IF($D671&lt;COLUMNS($F$7:AD$7),"",INDEX(TableDiv[[GASB]:[GASB]],_xlfn.AGGREGATE(15,3,(TableDiv[[Agency]:[Agency]]=$E671)/(TableDiv[[Agency]:[Agency]]=$E671)*(ROW(TableDiv[Agency])-ROW(TableDiv[[#Headers],[Agency]])),COLUMNS($F$7:AD$7))))</f>
        <v/>
      </c>
      <c r="AE671" s="2223" t="str" cm="1">
        <f t="array" ref="AE671">IF($D671&lt;COLUMNS($F$7:AE$7),"",INDEX(TableDiv[[GASB]:[GASB]],_xlfn.AGGREGATE(15,3,(TableDiv[[Agency]:[Agency]]=$E671)/(TableDiv[[Agency]:[Agency]]=$E671)*(ROW(TableDiv[Agency])-ROW(TableDiv[[#Headers],[Agency]])),COLUMNS($F$7:AE$7))))</f>
        <v/>
      </c>
      <c r="AF671" s="2223" t="str" cm="1">
        <f t="array" ref="AF671">IF($D671&lt;COLUMNS($F$7:AF$7),"",INDEX(TableDiv[[GASB]:[GASB]],_xlfn.AGGREGATE(15,3,(TableDiv[[Agency]:[Agency]]=$E671)/(TableDiv[[Agency]:[Agency]]=$E671)*(ROW(TableDiv[Agency])-ROW(TableDiv[[#Headers],[Agency]])),COLUMNS($F$7:AF$7))))</f>
        <v/>
      </c>
      <c r="AG671" s="2223" t="str" cm="1">
        <f t="array" ref="AG671">IF($D671&lt;COLUMNS($F$7:AG$7),"",INDEX(TableDiv[[GASB]:[GASB]],_xlfn.AGGREGATE(15,3,(TableDiv[[Agency]:[Agency]]=$E671)/(TableDiv[[Agency]:[Agency]]=$E671)*(ROW(TableDiv[Agency])-ROW(TableDiv[[#Headers],[Agency]])),COLUMNS($F$7:AG$7))))</f>
        <v/>
      </c>
      <c r="AH671" s="2223" t="str" cm="1">
        <f t="array" ref="AH671">IF($D671&lt;COLUMNS($F$7:AH$7),"",INDEX(TableDiv[[GASB]:[GASB]],_xlfn.AGGREGATE(15,3,(TableDiv[[Agency]:[Agency]]=$E671)/(TableDiv[[Agency]:[Agency]]=$E671)*(ROW(TableDiv[Agency])-ROW(TableDiv[[#Headers],[Agency]])),COLUMNS($F$7:AH$7))))</f>
        <v/>
      </c>
      <c r="AI671" s="2223" t="str" cm="1">
        <f t="array" ref="AI671">IF($D671&lt;COLUMNS($F$7:AI$7),"",INDEX(TableDiv[[GASB]:[GASB]],_xlfn.AGGREGATE(15,3,(TableDiv[[Agency]:[Agency]]=$E671)/(TableDiv[[Agency]:[Agency]]=$E671)*(ROW(TableDiv[Agency])-ROW(TableDiv[[#Headers],[Agency]])),COLUMNS($F$7:AI$7))))</f>
        <v/>
      </c>
      <c r="AJ671" s="2223" t="str" cm="1">
        <f t="array" ref="AJ671">IF($D671&lt;COLUMNS($F$7:AJ$7),"",INDEX(TableDiv[[GASB]:[GASB]],_xlfn.AGGREGATE(15,3,(TableDiv[[Agency]:[Agency]]=$E671)/(TableDiv[[Agency]:[Agency]]=$E671)*(ROW(TableDiv[Agency])-ROW(TableDiv[[#Headers],[Agency]])),COLUMNS($F$7:AJ$7))))</f>
        <v/>
      </c>
      <c r="AK671" s="2223" t="str" cm="1">
        <f t="array" ref="AK671">IF($D671&lt;COLUMNS($F$7:AK$7),"",INDEX(TableDiv[[GASB]:[GASB]],_xlfn.AGGREGATE(15,3,(TableDiv[[Agency]:[Agency]]=$E671)/(TableDiv[[Agency]:[Agency]]=$E671)*(ROW(TableDiv[Agency])-ROW(TableDiv[[#Headers],[Agency]])),COLUMNS($F$7:AK$7))))</f>
        <v/>
      </c>
      <c r="AL671" s="2223" t="str" cm="1">
        <f t="array" ref="AL671">IF($D671&lt;COLUMNS($F$7:AL$7),"",INDEX(TableDiv[[GASB]:[GASB]],_xlfn.AGGREGATE(15,3,(TableDiv[[Agency]:[Agency]]=$E671)/(TableDiv[[Agency]:[Agency]]=$E671)*(ROW(TableDiv[Agency])-ROW(TableDiv[[#Headers],[Agency]])),COLUMNS($F$7:AL$7))))</f>
        <v/>
      </c>
      <c r="AM671" s="2223" t="str" cm="1">
        <f t="array" ref="AM671">IF($D671&lt;COLUMNS($F$7:AM$7),"",INDEX(TableDiv[[GASB]:[GASB]],_xlfn.AGGREGATE(15,3,(TableDiv[[Agency]:[Agency]]=$E671)/(TableDiv[[Agency]:[Agency]]=$E671)*(ROW(TableDiv[Agency])-ROW(TableDiv[[#Headers],[Agency]])),COLUMNS($F$7:AM$7))))</f>
        <v/>
      </c>
      <c r="AN671" s="2223"/>
      <c r="AO671" s="2223"/>
      <c r="AP671" s="2223"/>
      <c r="AQ671" s="2223"/>
      <c r="AR671" s="2223"/>
      <c r="AS671" s="2223"/>
    </row>
    <row r="672" spans="1:45" x14ac:dyDescent="0.2">
      <c r="A672" s="2223"/>
      <c r="B672" s="2223"/>
      <c r="C672" s="2223"/>
      <c r="W672" s="2223" t="str" cm="1">
        <f t="array" ref="W672">IF($D672&lt;COLUMNS($F$7:W$7),"",INDEX(TableDiv[[GASB]:[GASB]],_xlfn.AGGREGATE(15,3,(TableDiv[[Agency]:[Agency]]=$E672)/(TableDiv[[Agency]:[Agency]]=$E672)*(ROW(TableDiv[Agency])-ROW(TableDiv[[#Headers],[Agency]])),COLUMNS($F$7:W$7))))</f>
        <v/>
      </c>
      <c r="X672" s="2223" t="str" cm="1">
        <f t="array" ref="X672">IF($D672&lt;COLUMNS($F$7:X$7),"",INDEX(TableDiv[[GASB]:[GASB]],_xlfn.AGGREGATE(15,3,(TableDiv[[Agency]:[Agency]]=$E672)/(TableDiv[[Agency]:[Agency]]=$E672)*(ROW(TableDiv[Agency])-ROW(TableDiv[[#Headers],[Agency]])),COLUMNS($F$7:X$7))))</f>
        <v/>
      </c>
      <c r="Y672" s="2223" t="str" cm="1">
        <f t="array" ref="Y672">IF($D672&lt;COLUMNS($F$7:Y$7),"",INDEX(TableDiv[[GASB]:[GASB]],_xlfn.AGGREGATE(15,3,(TableDiv[[Agency]:[Agency]]=$E672)/(TableDiv[[Agency]:[Agency]]=$E672)*(ROW(TableDiv[Agency])-ROW(TableDiv[[#Headers],[Agency]])),COLUMNS($F$7:Y$7))))</f>
        <v/>
      </c>
      <c r="Z672" s="2223" t="str" cm="1">
        <f t="array" ref="Z672">IF($D672&lt;COLUMNS($F$7:Z$7),"",INDEX(TableDiv[[GASB]:[GASB]],_xlfn.AGGREGATE(15,3,(TableDiv[[Agency]:[Agency]]=$E672)/(TableDiv[[Agency]:[Agency]]=$E672)*(ROW(TableDiv[Agency])-ROW(TableDiv[[#Headers],[Agency]])),COLUMNS($F$7:Z$7))))</f>
        <v/>
      </c>
      <c r="AA672" s="2223" t="str" cm="1">
        <f t="array" ref="AA672">IF($D672&lt;COLUMNS($F$7:AA$7),"",INDEX(TableDiv[[GASB]:[GASB]],_xlfn.AGGREGATE(15,3,(TableDiv[[Agency]:[Agency]]=$E672)/(TableDiv[[Agency]:[Agency]]=$E672)*(ROW(TableDiv[Agency])-ROW(TableDiv[[#Headers],[Agency]])),COLUMNS($F$7:AA$7))))</f>
        <v/>
      </c>
      <c r="AB672" s="2223" t="str" cm="1">
        <f t="array" ref="AB672">IF($D672&lt;COLUMNS($F$7:AB$7),"",INDEX(TableDiv[[GASB]:[GASB]],_xlfn.AGGREGATE(15,3,(TableDiv[[Agency]:[Agency]]=$E672)/(TableDiv[[Agency]:[Agency]]=$E672)*(ROW(TableDiv[Agency])-ROW(TableDiv[[#Headers],[Agency]])),COLUMNS($F$7:AB$7))))</f>
        <v/>
      </c>
      <c r="AC672" s="2223" t="str" cm="1">
        <f t="array" ref="AC672">IF($D672&lt;COLUMNS($F$7:AC$7),"",INDEX(TableDiv[[GASB]:[GASB]],_xlfn.AGGREGATE(15,3,(TableDiv[[Agency]:[Agency]]=$E672)/(TableDiv[[Agency]:[Agency]]=$E672)*(ROW(TableDiv[Agency])-ROW(TableDiv[[#Headers],[Agency]])),COLUMNS($F$7:AC$7))))</f>
        <v/>
      </c>
      <c r="AD672" s="2223" t="str" cm="1">
        <f t="array" ref="AD672">IF($D672&lt;COLUMNS($F$7:AD$7),"",INDEX(TableDiv[[GASB]:[GASB]],_xlfn.AGGREGATE(15,3,(TableDiv[[Agency]:[Agency]]=$E672)/(TableDiv[[Agency]:[Agency]]=$E672)*(ROW(TableDiv[Agency])-ROW(TableDiv[[#Headers],[Agency]])),COLUMNS($F$7:AD$7))))</f>
        <v/>
      </c>
      <c r="AE672" s="2223" t="str" cm="1">
        <f t="array" ref="AE672">IF($D672&lt;COLUMNS($F$7:AE$7),"",INDEX(TableDiv[[GASB]:[GASB]],_xlfn.AGGREGATE(15,3,(TableDiv[[Agency]:[Agency]]=$E672)/(TableDiv[[Agency]:[Agency]]=$E672)*(ROW(TableDiv[Agency])-ROW(TableDiv[[#Headers],[Agency]])),COLUMNS($F$7:AE$7))))</f>
        <v/>
      </c>
      <c r="AF672" s="2223" t="str" cm="1">
        <f t="array" ref="AF672">IF($D672&lt;COLUMNS($F$7:AF$7),"",INDEX(TableDiv[[GASB]:[GASB]],_xlfn.AGGREGATE(15,3,(TableDiv[[Agency]:[Agency]]=$E672)/(TableDiv[[Agency]:[Agency]]=$E672)*(ROW(TableDiv[Agency])-ROW(TableDiv[[#Headers],[Agency]])),COLUMNS($F$7:AF$7))))</f>
        <v/>
      </c>
      <c r="AG672" s="2223" t="str" cm="1">
        <f t="array" ref="AG672">IF($D672&lt;COLUMNS($F$7:AG$7),"",INDEX(TableDiv[[GASB]:[GASB]],_xlfn.AGGREGATE(15,3,(TableDiv[[Agency]:[Agency]]=$E672)/(TableDiv[[Agency]:[Agency]]=$E672)*(ROW(TableDiv[Agency])-ROW(TableDiv[[#Headers],[Agency]])),COLUMNS($F$7:AG$7))))</f>
        <v/>
      </c>
      <c r="AH672" s="2223" t="str" cm="1">
        <f t="array" ref="AH672">IF($D672&lt;COLUMNS($F$7:AH$7),"",INDEX(TableDiv[[GASB]:[GASB]],_xlfn.AGGREGATE(15,3,(TableDiv[[Agency]:[Agency]]=$E672)/(TableDiv[[Agency]:[Agency]]=$E672)*(ROW(TableDiv[Agency])-ROW(TableDiv[[#Headers],[Agency]])),COLUMNS($F$7:AH$7))))</f>
        <v/>
      </c>
      <c r="AI672" s="2223" t="str" cm="1">
        <f t="array" ref="AI672">IF($D672&lt;COLUMNS($F$7:AI$7),"",INDEX(TableDiv[[GASB]:[GASB]],_xlfn.AGGREGATE(15,3,(TableDiv[[Agency]:[Agency]]=$E672)/(TableDiv[[Agency]:[Agency]]=$E672)*(ROW(TableDiv[Agency])-ROW(TableDiv[[#Headers],[Agency]])),COLUMNS($F$7:AI$7))))</f>
        <v/>
      </c>
      <c r="AJ672" s="2223" t="str" cm="1">
        <f t="array" ref="AJ672">IF($D672&lt;COLUMNS($F$7:AJ$7),"",INDEX(TableDiv[[GASB]:[GASB]],_xlfn.AGGREGATE(15,3,(TableDiv[[Agency]:[Agency]]=$E672)/(TableDiv[[Agency]:[Agency]]=$E672)*(ROW(TableDiv[Agency])-ROW(TableDiv[[#Headers],[Agency]])),COLUMNS($F$7:AJ$7))))</f>
        <v/>
      </c>
      <c r="AK672" s="2223" t="str" cm="1">
        <f t="array" ref="AK672">IF($D672&lt;COLUMNS($F$7:AK$7),"",INDEX(TableDiv[[GASB]:[GASB]],_xlfn.AGGREGATE(15,3,(TableDiv[[Agency]:[Agency]]=$E672)/(TableDiv[[Agency]:[Agency]]=$E672)*(ROW(TableDiv[Agency])-ROW(TableDiv[[#Headers],[Agency]])),COLUMNS($F$7:AK$7))))</f>
        <v/>
      </c>
      <c r="AL672" s="2223" t="str" cm="1">
        <f t="array" ref="AL672">IF($D672&lt;COLUMNS($F$7:AL$7),"",INDEX(TableDiv[[GASB]:[GASB]],_xlfn.AGGREGATE(15,3,(TableDiv[[Agency]:[Agency]]=$E672)/(TableDiv[[Agency]:[Agency]]=$E672)*(ROW(TableDiv[Agency])-ROW(TableDiv[[#Headers],[Agency]])),COLUMNS($F$7:AL$7))))</f>
        <v/>
      </c>
      <c r="AM672" s="2223" t="str" cm="1">
        <f t="array" ref="AM672">IF($D672&lt;COLUMNS($F$7:AM$7),"",INDEX(TableDiv[[GASB]:[GASB]],_xlfn.AGGREGATE(15,3,(TableDiv[[Agency]:[Agency]]=$E672)/(TableDiv[[Agency]:[Agency]]=$E672)*(ROW(TableDiv[Agency])-ROW(TableDiv[[#Headers],[Agency]])),COLUMNS($F$7:AM$7))))</f>
        <v/>
      </c>
      <c r="AN672" s="2223"/>
      <c r="AO672" s="2223"/>
      <c r="AP672" s="2223"/>
      <c r="AQ672" s="2223"/>
      <c r="AR672" s="2223"/>
      <c r="AS672" s="2223"/>
    </row>
    <row r="673" spans="1:45" x14ac:dyDescent="0.2">
      <c r="A673" s="2223"/>
      <c r="B673" s="2223"/>
      <c r="C673" s="2223"/>
      <c r="W673" s="2223" t="str" cm="1">
        <f t="array" ref="W673">IF($D673&lt;COLUMNS($F$7:W$7),"",INDEX(TableDiv[[GASB]:[GASB]],_xlfn.AGGREGATE(15,3,(TableDiv[[Agency]:[Agency]]=$E673)/(TableDiv[[Agency]:[Agency]]=$E673)*(ROW(TableDiv[Agency])-ROW(TableDiv[[#Headers],[Agency]])),COLUMNS($F$7:W$7))))</f>
        <v/>
      </c>
      <c r="X673" s="2223" t="str" cm="1">
        <f t="array" ref="X673">IF($D673&lt;COLUMNS($F$7:X$7),"",INDEX(TableDiv[[GASB]:[GASB]],_xlfn.AGGREGATE(15,3,(TableDiv[[Agency]:[Agency]]=$E673)/(TableDiv[[Agency]:[Agency]]=$E673)*(ROW(TableDiv[Agency])-ROW(TableDiv[[#Headers],[Agency]])),COLUMNS($F$7:X$7))))</f>
        <v/>
      </c>
      <c r="Y673" s="2223" t="str" cm="1">
        <f t="array" ref="Y673">IF($D673&lt;COLUMNS($F$7:Y$7),"",INDEX(TableDiv[[GASB]:[GASB]],_xlfn.AGGREGATE(15,3,(TableDiv[[Agency]:[Agency]]=$E673)/(TableDiv[[Agency]:[Agency]]=$E673)*(ROW(TableDiv[Agency])-ROW(TableDiv[[#Headers],[Agency]])),COLUMNS($F$7:Y$7))))</f>
        <v/>
      </c>
      <c r="Z673" s="2223" t="str" cm="1">
        <f t="array" ref="Z673">IF($D673&lt;COLUMNS($F$7:Z$7),"",INDEX(TableDiv[[GASB]:[GASB]],_xlfn.AGGREGATE(15,3,(TableDiv[[Agency]:[Agency]]=$E673)/(TableDiv[[Agency]:[Agency]]=$E673)*(ROW(TableDiv[Agency])-ROW(TableDiv[[#Headers],[Agency]])),COLUMNS($F$7:Z$7))))</f>
        <v/>
      </c>
      <c r="AA673" s="2223" t="str" cm="1">
        <f t="array" ref="AA673">IF($D673&lt;COLUMNS($F$7:AA$7),"",INDEX(TableDiv[[GASB]:[GASB]],_xlfn.AGGREGATE(15,3,(TableDiv[[Agency]:[Agency]]=$E673)/(TableDiv[[Agency]:[Agency]]=$E673)*(ROW(TableDiv[Agency])-ROW(TableDiv[[#Headers],[Agency]])),COLUMNS($F$7:AA$7))))</f>
        <v/>
      </c>
      <c r="AB673" s="2223" t="str" cm="1">
        <f t="array" ref="AB673">IF($D673&lt;COLUMNS($F$7:AB$7),"",INDEX(TableDiv[[GASB]:[GASB]],_xlfn.AGGREGATE(15,3,(TableDiv[[Agency]:[Agency]]=$E673)/(TableDiv[[Agency]:[Agency]]=$E673)*(ROW(TableDiv[Agency])-ROW(TableDiv[[#Headers],[Agency]])),COLUMNS($F$7:AB$7))))</f>
        <v/>
      </c>
      <c r="AC673" s="2223" t="str" cm="1">
        <f t="array" ref="AC673">IF($D673&lt;COLUMNS($F$7:AC$7),"",INDEX(TableDiv[[GASB]:[GASB]],_xlfn.AGGREGATE(15,3,(TableDiv[[Agency]:[Agency]]=$E673)/(TableDiv[[Agency]:[Agency]]=$E673)*(ROW(TableDiv[Agency])-ROW(TableDiv[[#Headers],[Agency]])),COLUMNS($F$7:AC$7))))</f>
        <v/>
      </c>
      <c r="AD673" s="2223" t="str" cm="1">
        <f t="array" ref="AD673">IF($D673&lt;COLUMNS($F$7:AD$7),"",INDEX(TableDiv[[GASB]:[GASB]],_xlfn.AGGREGATE(15,3,(TableDiv[[Agency]:[Agency]]=$E673)/(TableDiv[[Agency]:[Agency]]=$E673)*(ROW(TableDiv[Agency])-ROW(TableDiv[[#Headers],[Agency]])),COLUMNS($F$7:AD$7))))</f>
        <v/>
      </c>
      <c r="AE673" s="2223" t="str" cm="1">
        <f t="array" ref="AE673">IF($D673&lt;COLUMNS($F$7:AE$7),"",INDEX(TableDiv[[GASB]:[GASB]],_xlfn.AGGREGATE(15,3,(TableDiv[[Agency]:[Agency]]=$E673)/(TableDiv[[Agency]:[Agency]]=$E673)*(ROW(TableDiv[Agency])-ROW(TableDiv[[#Headers],[Agency]])),COLUMNS($F$7:AE$7))))</f>
        <v/>
      </c>
      <c r="AF673" s="2223" t="str" cm="1">
        <f t="array" ref="AF673">IF($D673&lt;COLUMNS($F$7:AF$7),"",INDEX(TableDiv[[GASB]:[GASB]],_xlfn.AGGREGATE(15,3,(TableDiv[[Agency]:[Agency]]=$E673)/(TableDiv[[Agency]:[Agency]]=$E673)*(ROW(TableDiv[Agency])-ROW(TableDiv[[#Headers],[Agency]])),COLUMNS($F$7:AF$7))))</f>
        <v/>
      </c>
      <c r="AG673" s="2223" t="str" cm="1">
        <f t="array" ref="AG673">IF($D673&lt;COLUMNS($F$7:AG$7),"",INDEX(TableDiv[[GASB]:[GASB]],_xlfn.AGGREGATE(15,3,(TableDiv[[Agency]:[Agency]]=$E673)/(TableDiv[[Agency]:[Agency]]=$E673)*(ROW(TableDiv[Agency])-ROW(TableDiv[[#Headers],[Agency]])),COLUMNS($F$7:AG$7))))</f>
        <v/>
      </c>
      <c r="AH673" s="2223" t="str" cm="1">
        <f t="array" ref="AH673">IF($D673&lt;COLUMNS($F$7:AH$7),"",INDEX(TableDiv[[GASB]:[GASB]],_xlfn.AGGREGATE(15,3,(TableDiv[[Agency]:[Agency]]=$E673)/(TableDiv[[Agency]:[Agency]]=$E673)*(ROW(TableDiv[Agency])-ROW(TableDiv[[#Headers],[Agency]])),COLUMNS($F$7:AH$7))))</f>
        <v/>
      </c>
      <c r="AI673" s="2223" t="str" cm="1">
        <f t="array" ref="AI673">IF($D673&lt;COLUMNS($F$7:AI$7),"",INDEX(TableDiv[[GASB]:[GASB]],_xlfn.AGGREGATE(15,3,(TableDiv[[Agency]:[Agency]]=$E673)/(TableDiv[[Agency]:[Agency]]=$E673)*(ROW(TableDiv[Agency])-ROW(TableDiv[[#Headers],[Agency]])),COLUMNS($F$7:AI$7))))</f>
        <v/>
      </c>
      <c r="AJ673" s="2223" t="str" cm="1">
        <f t="array" ref="AJ673">IF($D673&lt;COLUMNS($F$7:AJ$7),"",INDEX(TableDiv[[GASB]:[GASB]],_xlfn.AGGREGATE(15,3,(TableDiv[[Agency]:[Agency]]=$E673)/(TableDiv[[Agency]:[Agency]]=$E673)*(ROW(TableDiv[Agency])-ROW(TableDiv[[#Headers],[Agency]])),COLUMNS($F$7:AJ$7))))</f>
        <v/>
      </c>
      <c r="AK673" s="2223" t="str" cm="1">
        <f t="array" ref="AK673">IF($D673&lt;COLUMNS($F$7:AK$7),"",INDEX(TableDiv[[GASB]:[GASB]],_xlfn.AGGREGATE(15,3,(TableDiv[[Agency]:[Agency]]=$E673)/(TableDiv[[Agency]:[Agency]]=$E673)*(ROW(TableDiv[Agency])-ROW(TableDiv[[#Headers],[Agency]])),COLUMNS($F$7:AK$7))))</f>
        <v/>
      </c>
      <c r="AL673" s="2223" t="str" cm="1">
        <f t="array" ref="AL673">IF($D673&lt;COLUMNS($F$7:AL$7),"",INDEX(TableDiv[[GASB]:[GASB]],_xlfn.AGGREGATE(15,3,(TableDiv[[Agency]:[Agency]]=$E673)/(TableDiv[[Agency]:[Agency]]=$E673)*(ROW(TableDiv[Agency])-ROW(TableDiv[[#Headers],[Agency]])),COLUMNS($F$7:AL$7))))</f>
        <v/>
      </c>
      <c r="AM673" s="2223" t="str" cm="1">
        <f t="array" ref="AM673">IF($D673&lt;COLUMNS($F$7:AM$7),"",INDEX(TableDiv[[GASB]:[GASB]],_xlfn.AGGREGATE(15,3,(TableDiv[[Agency]:[Agency]]=$E673)/(TableDiv[[Agency]:[Agency]]=$E673)*(ROW(TableDiv[Agency])-ROW(TableDiv[[#Headers],[Agency]])),COLUMNS($F$7:AM$7))))</f>
        <v/>
      </c>
      <c r="AN673" s="2223"/>
      <c r="AO673" s="2223"/>
      <c r="AP673" s="2223"/>
      <c r="AQ673" s="2223"/>
      <c r="AR673" s="2223"/>
      <c r="AS673" s="2223"/>
    </row>
    <row r="674" spans="1:45" x14ac:dyDescent="0.2">
      <c r="A674" s="2223"/>
      <c r="B674" s="2223"/>
      <c r="C674" s="2223"/>
      <c r="W674" s="2223" t="str" cm="1">
        <f t="array" ref="W674">IF($D674&lt;COLUMNS($F$7:W$7),"",INDEX(TableDiv[[GASB]:[GASB]],_xlfn.AGGREGATE(15,3,(TableDiv[[Agency]:[Agency]]=$E674)/(TableDiv[[Agency]:[Agency]]=$E674)*(ROW(TableDiv[Agency])-ROW(TableDiv[[#Headers],[Agency]])),COLUMNS($F$7:W$7))))</f>
        <v/>
      </c>
      <c r="X674" s="2223" t="str" cm="1">
        <f t="array" ref="X674">IF($D674&lt;COLUMNS($F$7:X$7),"",INDEX(TableDiv[[GASB]:[GASB]],_xlfn.AGGREGATE(15,3,(TableDiv[[Agency]:[Agency]]=$E674)/(TableDiv[[Agency]:[Agency]]=$E674)*(ROW(TableDiv[Agency])-ROW(TableDiv[[#Headers],[Agency]])),COLUMNS($F$7:X$7))))</f>
        <v/>
      </c>
      <c r="Y674" s="2223" t="str" cm="1">
        <f t="array" ref="Y674">IF($D674&lt;COLUMNS($F$7:Y$7),"",INDEX(TableDiv[[GASB]:[GASB]],_xlfn.AGGREGATE(15,3,(TableDiv[[Agency]:[Agency]]=$E674)/(TableDiv[[Agency]:[Agency]]=$E674)*(ROW(TableDiv[Agency])-ROW(TableDiv[[#Headers],[Agency]])),COLUMNS($F$7:Y$7))))</f>
        <v/>
      </c>
      <c r="Z674" s="2223" t="str" cm="1">
        <f t="array" ref="Z674">IF($D674&lt;COLUMNS($F$7:Z$7),"",INDEX(TableDiv[[GASB]:[GASB]],_xlfn.AGGREGATE(15,3,(TableDiv[[Agency]:[Agency]]=$E674)/(TableDiv[[Agency]:[Agency]]=$E674)*(ROW(TableDiv[Agency])-ROW(TableDiv[[#Headers],[Agency]])),COLUMNS($F$7:Z$7))))</f>
        <v/>
      </c>
      <c r="AA674" s="2223" t="str" cm="1">
        <f t="array" ref="AA674">IF($D674&lt;COLUMNS($F$7:AA$7),"",INDEX(TableDiv[[GASB]:[GASB]],_xlfn.AGGREGATE(15,3,(TableDiv[[Agency]:[Agency]]=$E674)/(TableDiv[[Agency]:[Agency]]=$E674)*(ROW(TableDiv[Agency])-ROW(TableDiv[[#Headers],[Agency]])),COLUMNS($F$7:AA$7))))</f>
        <v/>
      </c>
      <c r="AB674" s="2223" t="str" cm="1">
        <f t="array" ref="AB674">IF($D674&lt;COLUMNS($F$7:AB$7),"",INDEX(TableDiv[[GASB]:[GASB]],_xlfn.AGGREGATE(15,3,(TableDiv[[Agency]:[Agency]]=$E674)/(TableDiv[[Agency]:[Agency]]=$E674)*(ROW(TableDiv[Agency])-ROW(TableDiv[[#Headers],[Agency]])),COLUMNS($F$7:AB$7))))</f>
        <v/>
      </c>
      <c r="AC674" s="2223" t="str" cm="1">
        <f t="array" ref="AC674">IF($D674&lt;COLUMNS($F$7:AC$7),"",INDEX(TableDiv[[GASB]:[GASB]],_xlfn.AGGREGATE(15,3,(TableDiv[[Agency]:[Agency]]=$E674)/(TableDiv[[Agency]:[Agency]]=$E674)*(ROW(TableDiv[Agency])-ROW(TableDiv[[#Headers],[Agency]])),COLUMNS($F$7:AC$7))))</f>
        <v/>
      </c>
      <c r="AD674" s="2223" t="str" cm="1">
        <f t="array" ref="AD674">IF($D674&lt;COLUMNS($F$7:AD$7),"",INDEX(TableDiv[[GASB]:[GASB]],_xlfn.AGGREGATE(15,3,(TableDiv[[Agency]:[Agency]]=$E674)/(TableDiv[[Agency]:[Agency]]=$E674)*(ROW(TableDiv[Agency])-ROW(TableDiv[[#Headers],[Agency]])),COLUMNS($F$7:AD$7))))</f>
        <v/>
      </c>
      <c r="AE674" s="2223" t="str" cm="1">
        <f t="array" ref="AE674">IF($D674&lt;COLUMNS($F$7:AE$7),"",INDEX(TableDiv[[GASB]:[GASB]],_xlfn.AGGREGATE(15,3,(TableDiv[[Agency]:[Agency]]=$E674)/(TableDiv[[Agency]:[Agency]]=$E674)*(ROW(TableDiv[Agency])-ROW(TableDiv[[#Headers],[Agency]])),COLUMNS($F$7:AE$7))))</f>
        <v/>
      </c>
      <c r="AF674" s="2223" t="str" cm="1">
        <f t="array" ref="AF674">IF($D674&lt;COLUMNS($F$7:AF$7),"",INDEX(TableDiv[[GASB]:[GASB]],_xlfn.AGGREGATE(15,3,(TableDiv[[Agency]:[Agency]]=$E674)/(TableDiv[[Agency]:[Agency]]=$E674)*(ROW(TableDiv[Agency])-ROW(TableDiv[[#Headers],[Agency]])),COLUMNS($F$7:AF$7))))</f>
        <v/>
      </c>
      <c r="AG674" s="2223" t="str" cm="1">
        <f t="array" ref="AG674">IF($D674&lt;COLUMNS($F$7:AG$7),"",INDEX(TableDiv[[GASB]:[GASB]],_xlfn.AGGREGATE(15,3,(TableDiv[[Agency]:[Agency]]=$E674)/(TableDiv[[Agency]:[Agency]]=$E674)*(ROW(TableDiv[Agency])-ROW(TableDiv[[#Headers],[Agency]])),COLUMNS($F$7:AG$7))))</f>
        <v/>
      </c>
      <c r="AH674" s="2223" t="str" cm="1">
        <f t="array" ref="AH674">IF($D674&lt;COLUMNS($F$7:AH$7),"",INDEX(TableDiv[[GASB]:[GASB]],_xlfn.AGGREGATE(15,3,(TableDiv[[Agency]:[Agency]]=$E674)/(TableDiv[[Agency]:[Agency]]=$E674)*(ROW(TableDiv[Agency])-ROW(TableDiv[[#Headers],[Agency]])),COLUMNS($F$7:AH$7))))</f>
        <v/>
      </c>
      <c r="AI674" s="2223" t="str" cm="1">
        <f t="array" ref="AI674">IF($D674&lt;COLUMNS($F$7:AI$7),"",INDEX(TableDiv[[GASB]:[GASB]],_xlfn.AGGREGATE(15,3,(TableDiv[[Agency]:[Agency]]=$E674)/(TableDiv[[Agency]:[Agency]]=$E674)*(ROW(TableDiv[Agency])-ROW(TableDiv[[#Headers],[Agency]])),COLUMNS($F$7:AI$7))))</f>
        <v/>
      </c>
      <c r="AJ674" s="2223" t="str" cm="1">
        <f t="array" ref="AJ674">IF($D674&lt;COLUMNS($F$7:AJ$7),"",INDEX(TableDiv[[GASB]:[GASB]],_xlfn.AGGREGATE(15,3,(TableDiv[[Agency]:[Agency]]=$E674)/(TableDiv[[Agency]:[Agency]]=$E674)*(ROW(TableDiv[Agency])-ROW(TableDiv[[#Headers],[Agency]])),COLUMNS($F$7:AJ$7))))</f>
        <v/>
      </c>
      <c r="AK674" s="2223" t="str" cm="1">
        <f t="array" ref="AK674">IF($D674&lt;COLUMNS($F$7:AK$7),"",INDEX(TableDiv[[GASB]:[GASB]],_xlfn.AGGREGATE(15,3,(TableDiv[[Agency]:[Agency]]=$E674)/(TableDiv[[Agency]:[Agency]]=$E674)*(ROW(TableDiv[Agency])-ROW(TableDiv[[#Headers],[Agency]])),COLUMNS($F$7:AK$7))))</f>
        <v/>
      </c>
      <c r="AL674" s="2223" t="str" cm="1">
        <f t="array" ref="AL674">IF($D674&lt;COLUMNS($F$7:AL$7),"",INDEX(TableDiv[[GASB]:[GASB]],_xlfn.AGGREGATE(15,3,(TableDiv[[Agency]:[Agency]]=$E674)/(TableDiv[[Agency]:[Agency]]=$E674)*(ROW(TableDiv[Agency])-ROW(TableDiv[[#Headers],[Agency]])),COLUMNS($F$7:AL$7))))</f>
        <v/>
      </c>
      <c r="AM674" s="2223" t="str" cm="1">
        <f t="array" ref="AM674">IF($D674&lt;COLUMNS($F$7:AM$7),"",INDEX(TableDiv[[GASB]:[GASB]],_xlfn.AGGREGATE(15,3,(TableDiv[[Agency]:[Agency]]=$E674)/(TableDiv[[Agency]:[Agency]]=$E674)*(ROW(TableDiv[Agency])-ROW(TableDiv[[#Headers],[Agency]])),COLUMNS($F$7:AM$7))))</f>
        <v/>
      </c>
      <c r="AN674" s="2223"/>
      <c r="AO674" s="2223"/>
      <c r="AP674" s="2223"/>
      <c r="AQ674" s="2223"/>
      <c r="AR674" s="2223"/>
      <c r="AS674" s="2223"/>
    </row>
    <row r="675" spans="1:45" x14ac:dyDescent="0.2">
      <c r="A675" s="2223"/>
      <c r="B675" s="2223"/>
      <c r="C675" s="2223"/>
      <c r="W675" s="2223" t="str" cm="1">
        <f t="array" ref="W675">IF($D675&lt;COLUMNS($F$7:W$7),"",INDEX(TableDiv[[GASB]:[GASB]],_xlfn.AGGREGATE(15,3,(TableDiv[[Agency]:[Agency]]=$E675)/(TableDiv[[Agency]:[Agency]]=$E675)*(ROW(TableDiv[Agency])-ROW(TableDiv[[#Headers],[Agency]])),COLUMNS($F$7:W$7))))</f>
        <v/>
      </c>
      <c r="X675" s="2223" t="str" cm="1">
        <f t="array" ref="X675">IF($D675&lt;COLUMNS($F$7:X$7),"",INDEX(TableDiv[[GASB]:[GASB]],_xlfn.AGGREGATE(15,3,(TableDiv[[Agency]:[Agency]]=$E675)/(TableDiv[[Agency]:[Agency]]=$E675)*(ROW(TableDiv[Agency])-ROW(TableDiv[[#Headers],[Agency]])),COLUMNS($F$7:X$7))))</f>
        <v/>
      </c>
      <c r="Y675" s="2223" t="str" cm="1">
        <f t="array" ref="Y675">IF($D675&lt;COLUMNS($F$7:Y$7),"",INDEX(TableDiv[[GASB]:[GASB]],_xlfn.AGGREGATE(15,3,(TableDiv[[Agency]:[Agency]]=$E675)/(TableDiv[[Agency]:[Agency]]=$E675)*(ROW(TableDiv[Agency])-ROW(TableDiv[[#Headers],[Agency]])),COLUMNS($F$7:Y$7))))</f>
        <v/>
      </c>
      <c r="Z675" s="2223" t="str" cm="1">
        <f t="array" ref="Z675">IF($D675&lt;COLUMNS($F$7:Z$7),"",INDEX(TableDiv[[GASB]:[GASB]],_xlfn.AGGREGATE(15,3,(TableDiv[[Agency]:[Agency]]=$E675)/(TableDiv[[Agency]:[Agency]]=$E675)*(ROW(TableDiv[Agency])-ROW(TableDiv[[#Headers],[Agency]])),COLUMNS($F$7:Z$7))))</f>
        <v/>
      </c>
      <c r="AA675" s="2223" t="str" cm="1">
        <f t="array" ref="AA675">IF($D675&lt;COLUMNS($F$7:AA$7),"",INDEX(TableDiv[[GASB]:[GASB]],_xlfn.AGGREGATE(15,3,(TableDiv[[Agency]:[Agency]]=$E675)/(TableDiv[[Agency]:[Agency]]=$E675)*(ROW(TableDiv[Agency])-ROW(TableDiv[[#Headers],[Agency]])),COLUMNS($F$7:AA$7))))</f>
        <v/>
      </c>
      <c r="AB675" s="2223" t="str" cm="1">
        <f t="array" ref="AB675">IF($D675&lt;COLUMNS($F$7:AB$7),"",INDEX(TableDiv[[GASB]:[GASB]],_xlfn.AGGREGATE(15,3,(TableDiv[[Agency]:[Agency]]=$E675)/(TableDiv[[Agency]:[Agency]]=$E675)*(ROW(TableDiv[Agency])-ROW(TableDiv[[#Headers],[Agency]])),COLUMNS($F$7:AB$7))))</f>
        <v/>
      </c>
      <c r="AC675" s="2223" t="str" cm="1">
        <f t="array" ref="AC675">IF($D675&lt;COLUMNS($F$7:AC$7),"",INDEX(TableDiv[[GASB]:[GASB]],_xlfn.AGGREGATE(15,3,(TableDiv[[Agency]:[Agency]]=$E675)/(TableDiv[[Agency]:[Agency]]=$E675)*(ROW(TableDiv[Agency])-ROW(TableDiv[[#Headers],[Agency]])),COLUMNS($F$7:AC$7))))</f>
        <v/>
      </c>
      <c r="AD675" s="2223" t="str" cm="1">
        <f t="array" ref="AD675">IF($D675&lt;COLUMNS($F$7:AD$7),"",INDEX(TableDiv[[GASB]:[GASB]],_xlfn.AGGREGATE(15,3,(TableDiv[[Agency]:[Agency]]=$E675)/(TableDiv[[Agency]:[Agency]]=$E675)*(ROW(TableDiv[Agency])-ROW(TableDiv[[#Headers],[Agency]])),COLUMNS($F$7:AD$7))))</f>
        <v/>
      </c>
      <c r="AE675" s="2223" t="str" cm="1">
        <f t="array" ref="AE675">IF($D675&lt;COLUMNS($F$7:AE$7),"",INDEX(TableDiv[[GASB]:[GASB]],_xlfn.AGGREGATE(15,3,(TableDiv[[Agency]:[Agency]]=$E675)/(TableDiv[[Agency]:[Agency]]=$E675)*(ROW(TableDiv[Agency])-ROW(TableDiv[[#Headers],[Agency]])),COLUMNS($F$7:AE$7))))</f>
        <v/>
      </c>
      <c r="AF675" s="2223" t="str" cm="1">
        <f t="array" ref="AF675">IF($D675&lt;COLUMNS($F$7:AF$7),"",INDEX(TableDiv[[GASB]:[GASB]],_xlfn.AGGREGATE(15,3,(TableDiv[[Agency]:[Agency]]=$E675)/(TableDiv[[Agency]:[Agency]]=$E675)*(ROW(TableDiv[Agency])-ROW(TableDiv[[#Headers],[Agency]])),COLUMNS($F$7:AF$7))))</f>
        <v/>
      </c>
      <c r="AG675" s="2223" t="str" cm="1">
        <f t="array" ref="AG675">IF($D675&lt;COLUMNS($F$7:AG$7),"",INDEX(TableDiv[[GASB]:[GASB]],_xlfn.AGGREGATE(15,3,(TableDiv[[Agency]:[Agency]]=$E675)/(TableDiv[[Agency]:[Agency]]=$E675)*(ROW(TableDiv[Agency])-ROW(TableDiv[[#Headers],[Agency]])),COLUMNS($F$7:AG$7))))</f>
        <v/>
      </c>
      <c r="AH675" s="2223" t="str" cm="1">
        <f t="array" ref="AH675">IF($D675&lt;COLUMNS($F$7:AH$7),"",INDEX(TableDiv[[GASB]:[GASB]],_xlfn.AGGREGATE(15,3,(TableDiv[[Agency]:[Agency]]=$E675)/(TableDiv[[Agency]:[Agency]]=$E675)*(ROW(TableDiv[Agency])-ROW(TableDiv[[#Headers],[Agency]])),COLUMNS($F$7:AH$7))))</f>
        <v/>
      </c>
      <c r="AI675" s="2223" t="str" cm="1">
        <f t="array" ref="AI675">IF($D675&lt;COLUMNS($F$7:AI$7),"",INDEX(TableDiv[[GASB]:[GASB]],_xlfn.AGGREGATE(15,3,(TableDiv[[Agency]:[Agency]]=$E675)/(TableDiv[[Agency]:[Agency]]=$E675)*(ROW(TableDiv[Agency])-ROW(TableDiv[[#Headers],[Agency]])),COLUMNS($F$7:AI$7))))</f>
        <v/>
      </c>
      <c r="AJ675" s="2223" t="str" cm="1">
        <f t="array" ref="AJ675">IF($D675&lt;COLUMNS($F$7:AJ$7),"",INDEX(TableDiv[[GASB]:[GASB]],_xlfn.AGGREGATE(15,3,(TableDiv[[Agency]:[Agency]]=$E675)/(TableDiv[[Agency]:[Agency]]=$E675)*(ROW(TableDiv[Agency])-ROW(TableDiv[[#Headers],[Agency]])),COLUMNS($F$7:AJ$7))))</f>
        <v/>
      </c>
      <c r="AK675" s="2223" t="str" cm="1">
        <f t="array" ref="AK675">IF($D675&lt;COLUMNS($F$7:AK$7),"",INDEX(TableDiv[[GASB]:[GASB]],_xlfn.AGGREGATE(15,3,(TableDiv[[Agency]:[Agency]]=$E675)/(TableDiv[[Agency]:[Agency]]=$E675)*(ROW(TableDiv[Agency])-ROW(TableDiv[[#Headers],[Agency]])),COLUMNS($F$7:AK$7))))</f>
        <v/>
      </c>
      <c r="AL675" s="2223" t="str" cm="1">
        <f t="array" ref="AL675">IF($D675&lt;COLUMNS($F$7:AL$7),"",INDEX(TableDiv[[GASB]:[GASB]],_xlfn.AGGREGATE(15,3,(TableDiv[[Agency]:[Agency]]=$E675)/(TableDiv[[Agency]:[Agency]]=$E675)*(ROW(TableDiv[Agency])-ROW(TableDiv[[#Headers],[Agency]])),COLUMNS($F$7:AL$7))))</f>
        <v/>
      </c>
      <c r="AM675" s="2223" t="str" cm="1">
        <f t="array" ref="AM675">IF($D675&lt;COLUMNS($F$7:AM$7),"",INDEX(TableDiv[[GASB]:[GASB]],_xlfn.AGGREGATE(15,3,(TableDiv[[Agency]:[Agency]]=$E675)/(TableDiv[[Agency]:[Agency]]=$E675)*(ROW(TableDiv[Agency])-ROW(TableDiv[[#Headers],[Agency]])),COLUMNS($F$7:AM$7))))</f>
        <v/>
      </c>
      <c r="AN675" s="2223"/>
      <c r="AO675" s="2223"/>
      <c r="AP675" s="2223"/>
      <c r="AQ675" s="2223"/>
      <c r="AR675" s="2223"/>
      <c r="AS675" s="2223"/>
    </row>
    <row r="676" spans="1:45" x14ac:dyDescent="0.2">
      <c r="A676" s="2223"/>
      <c r="B676" s="2223"/>
      <c r="C676" s="2223"/>
      <c r="W676" s="2223" t="str" cm="1">
        <f t="array" ref="W676">IF($D676&lt;COLUMNS($F$7:W$7),"",INDEX(TableDiv[[GASB]:[GASB]],_xlfn.AGGREGATE(15,3,(TableDiv[[Agency]:[Agency]]=$E676)/(TableDiv[[Agency]:[Agency]]=$E676)*(ROW(TableDiv[Agency])-ROW(TableDiv[[#Headers],[Agency]])),COLUMNS($F$7:W$7))))</f>
        <v/>
      </c>
      <c r="X676" s="2223" t="str" cm="1">
        <f t="array" ref="X676">IF($D676&lt;COLUMNS($F$7:X$7),"",INDEX(TableDiv[[GASB]:[GASB]],_xlfn.AGGREGATE(15,3,(TableDiv[[Agency]:[Agency]]=$E676)/(TableDiv[[Agency]:[Agency]]=$E676)*(ROW(TableDiv[Agency])-ROW(TableDiv[[#Headers],[Agency]])),COLUMNS($F$7:X$7))))</f>
        <v/>
      </c>
      <c r="Y676" s="2223" t="str" cm="1">
        <f t="array" ref="Y676">IF($D676&lt;COLUMNS($F$7:Y$7),"",INDEX(TableDiv[[GASB]:[GASB]],_xlfn.AGGREGATE(15,3,(TableDiv[[Agency]:[Agency]]=$E676)/(TableDiv[[Agency]:[Agency]]=$E676)*(ROW(TableDiv[Agency])-ROW(TableDiv[[#Headers],[Agency]])),COLUMNS($F$7:Y$7))))</f>
        <v/>
      </c>
      <c r="Z676" s="2223" t="str" cm="1">
        <f t="array" ref="Z676">IF($D676&lt;COLUMNS($F$7:Z$7),"",INDEX(TableDiv[[GASB]:[GASB]],_xlfn.AGGREGATE(15,3,(TableDiv[[Agency]:[Agency]]=$E676)/(TableDiv[[Agency]:[Agency]]=$E676)*(ROW(TableDiv[Agency])-ROW(TableDiv[[#Headers],[Agency]])),COLUMNS($F$7:Z$7))))</f>
        <v/>
      </c>
      <c r="AA676" s="2223" t="str" cm="1">
        <f t="array" ref="AA676">IF($D676&lt;COLUMNS($F$7:AA$7),"",INDEX(TableDiv[[GASB]:[GASB]],_xlfn.AGGREGATE(15,3,(TableDiv[[Agency]:[Agency]]=$E676)/(TableDiv[[Agency]:[Agency]]=$E676)*(ROW(TableDiv[Agency])-ROW(TableDiv[[#Headers],[Agency]])),COLUMNS($F$7:AA$7))))</f>
        <v/>
      </c>
      <c r="AB676" s="2223" t="str" cm="1">
        <f t="array" ref="AB676">IF($D676&lt;COLUMNS($F$7:AB$7),"",INDEX(TableDiv[[GASB]:[GASB]],_xlfn.AGGREGATE(15,3,(TableDiv[[Agency]:[Agency]]=$E676)/(TableDiv[[Agency]:[Agency]]=$E676)*(ROW(TableDiv[Agency])-ROW(TableDiv[[#Headers],[Agency]])),COLUMNS($F$7:AB$7))))</f>
        <v/>
      </c>
      <c r="AC676" s="2223" t="str" cm="1">
        <f t="array" ref="AC676">IF($D676&lt;COLUMNS($F$7:AC$7),"",INDEX(TableDiv[[GASB]:[GASB]],_xlfn.AGGREGATE(15,3,(TableDiv[[Agency]:[Agency]]=$E676)/(TableDiv[[Agency]:[Agency]]=$E676)*(ROW(TableDiv[Agency])-ROW(TableDiv[[#Headers],[Agency]])),COLUMNS($F$7:AC$7))))</f>
        <v/>
      </c>
      <c r="AD676" s="2223" t="str" cm="1">
        <f t="array" ref="AD676">IF($D676&lt;COLUMNS($F$7:AD$7),"",INDEX(TableDiv[[GASB]:[GASB]],_xlfn.AGGREGATE(15,3,(TableDiv[[Agency]:[Agency]]=$E676)/(TableDiv[[Agency]:[Agency]]=$E676)*(ROW(TableDiv[Agency])-ROW(TableDiv[[#Headers],[Agency]])),COLUMNS($F$7:AD$7))))</f>
        <v/>
      </c>
      <c r="AE676" s="2223" t="str" cm="1">
        <f t="array" ref="AE676">IF($D676&lt;COLUMNS($F$7:AE$7),"",INDEX(TableDiv[[GASB]:[GASB]],_xlfn.AGGREGATE(15,3,(TableDiv[[Agency]:[Agency]]=$E676)/(TableDiv[[Agency]:[Agency]]=$E676)*(ROW(TableDiv[Agency])-ROW(TableDiv[[#Headers],[Agency]])),COLUMNS($F$7:AE$7))))</f>
        <v/>
      </c>
      <c r="AF676" s="2223" t="str" cm="1">
        <f t="array" ref="AF676">IF($D676&lt;COLUMNS($F$7:AF$7),"",INDEX(TableDiv[[GASB]:[GASB]],_xlfn.AGGREGATE(15,3,(TableDiv[[Agency]:[Agency]]=$E676)/(TableDiv[[Agency]:[Agency]]=$E676)*(ROW(TableDiv[Agency])-ROW(TableDiv[[#Headers],[Agency]])),COLUMNS($F$7:AF$7))))</f>
        <v/>
      </c>
      <c r="AG676" s="2223" t="str" cm="1">
        <f t="array" ref="AG676">IF($D676&lt;COLUMNS($F$7:AG$7),"",INDEX(TableDiv[[GASB]:[GASB]],_xlfn.AGGREGATE(15,3,(TableDiv[[Agency]:[Agency]]=$E676)/(TableDiv[[Agency]:[Agency]]=$E676)*(ROW(TableDiv[Agency])-ROW(TableDiv[[#Headers],[Agency]])),COLUMNS($F$7:AG$7))))</f>
        <v/>
      </c>
      <c r="AH676" s="2223" t="str" cm="1">
        <f t="array" ref="AH676">IF($D676&lt;COLUMNS($F$7:AH$7),"",INDEX(TableDiv[[GASB]:[GASB]],_xlfn.AGGREGATE(15,3,(TableDiv[[Agency]:[Agency]]=$E676)/(TableDiv[[Agency]:[Agency]]=$E676)*(ROW(TableDiv[Agency])-ROW(TableDiv[[#Headers],[Agency]])),COLUMNS($F$7:AH$7))))</f>
        <v/>
      </c>
      <c r="AI676" s="2223" t="str" cm="1">
        <f t="array" ref="AI676">IF($D676&lt;COLUMNS($F$7:AI$7),"",INDEX(TableDiv[[GASB]:[GASB]],_xlfn.AGGREGATE(15,3,(TableDiv[[Agency]:[Agency]]=$E676)/(TableDiv[[Agency]:[Agency]]=$E676)*(ROW(TableDiv[Agency])-ROW(TableDiv[[#Headers],[Agency]])),COLUMNS($F$7:AI$7))))</f>
        <v/>
      </c>
      <c r="AJ676" s="2223" t="str" cm="1">
        <f t="array" ref="AJ676">IF($D676&lt;COLUMNS($F$7:AJ$7),"",INDEX(TableDiv[[GASB]:[GASB]],_xlfn.AGGREGATE(15,3,(TableDiv[[Agency]:[Agency]]=$E676)/(TableDiv[[Agency]:[Agency]]=$E676)*(ROW(TableDiv[Agency])-ROW(TableDiv[[#Headers],[Agency]])),COLUMNS($F$7:AJ$7))))</f>
        <v/>
      </c>
      <c r="AK676" s="2223" t="str" cm="1">
        <f t="array" ref="AK676">IF($D676&lt;COLUMNS($F$7:AK$7),"",INDEX(TableDiv[[GASB]:[GASB]],_xlfn.AGGREGATE(15,3,(TableDiv[[Agency]:[Agency]]=$E676)/(TableDiv[[Agency]:[Agency]]=$E676)*(ROW(TableDiv[Agency])-ROW(TableDiv[[#Headers],[Agency]])),COLUMNS($F$7:AK$7))))</f>
        <v/>
      </c>
      <c r="AL676" s="2223" t="str" cm="1">
        <f t="array" ref="AL676">IF($D676&lt;COLUMNS($F$7:AL$7),"",INDEX(TableDiv[[GASB]:[GASB]],_xlfn.AGGREGATE(15,3,(TableDiv[[Agency]:[Agency]]=$E676)/(TableDiv[[Agency]:[Agency]]=$E676)*(ROW(TableDiv[Agency])-ROW(TableDiv[[#Headers],[Agency]])),COLUMNS($F$7:AL$7))))</f>
        <v/>
      </c>
      <c r="AM676" s="2223" t="str" cm="1">
        <f t="array" ref="AM676">IF($D676&lt;COLUMNS($F$7:AM$7),"",INDEX(TableDiv[[GASB]:[GASB]],_xlfn.AGGREGATE(15,3,(TableDiv[[Agency]:[Agency]]=$E676)/(TableDiv[[Agency]:[Agency]]=$E676)*(ROW(TableDiv[Agency])-ROW(TableDiv[[#Headers],[Agency]])),COLUMNS($F$7:AM$7))))</f>
        <v/>
      </c>
      <c r="AN676" s="2223"/>
      <c r="AO676" s="2223"/>
      <c r="AP676" s="2223"/>
      <c r="AQ676" s="2223"/>
      <c r="AR676" s="2223"/>
      <c r="AS676" s="2223"/>
    </row>
    <row r="677" spans="1:45" x14ac:dyDescent="0.2">
      <c r="A677" s="2223"/>
      <c r="B677" s="2223"/>
      <c r="C677" s="2223"/>
      <c r="W677" s="2223" t="str" cm="1">
        <f t="array" ref="W677">IF($D677&lt;COLUMNS($F$7:W$7),"",INDEX(TableDiv[[GASB]:[GASB]],_xlfn.AGGREGATE(15,3,(TableDiv[[Agency]:[Agency]]=$E677)/(TableDiv[[Agency]:[Agency]]=$E677)*(ROW(TableDiv[Agency])-ROW(TableDiv[[#Headers],[Agency]])),COLUMNS($F$7:W$7))))</f>
        <v/>
      </c>
      <c r="X677" s="2223" t="str" cm="1">
        <f t="array" ref="X677">IF($D677&lt;COLUMNS($F$7:X$7),"",INDEX(TableDiv[[GASB]:[GASB]],_xlfn.AGGREGATE(15,3,(TableDiv[[Agency]:[Agency]]=$E677)/(TableDiv[[Agency]:[Agency]]=$E677)*(ROW(TableDiv[Agency])-ROW(TableDiv[[#Headers],[Agency]])),COLUMNS($F$7:X$7))))</f>
        <v/>
      </c>
      <c r="Y677" s="2223" t="str" cm="1">
        <f t="array" ref="Y677">IF($D677&lt;COLUMNS($F$7:Y$7),"",INDEX(TableDiv[[GASB]:[GASB]],_xlfn.AGGREGATE(15,3,(TableDiv[[Agency]:[Agency]]=$E677)/(TableDiv[[Agency]:[Agency]]=$E677)*(ROW(TableDiv[Agency])-ROW(TableDiv[[#Headers],[Agency]])),COLUMNS($F$7:Y$7))))</f>
        <v/>
      </c>
      <c r="Z677" s="2223" t="str" cm="1">
        <f t="array" ref="Z677">IF($D677&lt;COLUMNS($F$7:Z$7),"",INDEX(TableDiv[[GASB]:[GASB]],_xlfn.AGGREGATE(15,3,(TableDiv[[Agency]:[Agency]]=$E677)/(TableDiv[[Agency]:[Agency]]=$E677)*(ROW(TableDiv[Agency])-ROW(TableDiv[[#Headers],[Agency]])),COLUMNS($F$7:Z$7))))</f>
        <v/>
      </c>
      <c r="AA677" s="2223" t="str" cm="1">
        <f t="array" ref="AA677">IF($D677&lt;COLUMNS($F$7:AA$7),"",INDEX(TableDiv[[GASB]:[GASB]],_xlfn.AGGREGATE(15,3,(TableDiv[[Agency]:[Agency]]=$E677)/(TableDiv[[Agency]:[Agency]]=$E677)*(ROW(TableDiv[Agency])-ROW(TableDiv[[#Headers],[Agency]])),COLUMNS($F$7:AA$7))))</f>
        <v/>
      </c>
      <c r="AB677" s="2223" t="str" cm="1">
        <f t="array" ref="AB677">IF($D677&lt;COLUMNS($F$7:AB$7),"",INDEX(TableDiv[[GASB]:[GASB]],_xlfn.AGGREGATE(15,3,(TableDiv[[Agency]:[Agency]]=$E677)/(TableDiv[[Agency]:[Agency]]=$E677)*(ROW(TableDiv[Agency])-ROW(TableDiv[[#Headers],[Agency]])),COLUMNS($F$7:AB$7))))</f>
        <v/>
      </c>
      <c r="AC677" s="2223" t="str" cm="1">
        <f t="array" ref="AC677">IF($D677&lt;COLUMNS($F$7:AC$7),"",INDEX(TableDiv[[GASB]:[GASB]],_xlfn.AGGREGATE(15,3,(TableDiv[[Agency]:[Agency]]=$E677)/(TableDiv[[Agency]:[Agency]]=$E677)*(ROW(TableDiv[Agency])-ROW(TableDiv[[#Headers],[Agency]])),COLUMNS($F$7:AC$7))))</f>
        <v/>
      </c>
      <c r="AD677" s="2223" t="str" cm="1">
        <f t="array" ref="AD677">IF($D677&lt;COLUMNS($F$7:AD$7),"",INDEX(TableDiv[[GASB]:[GASB]],_xlfn.AGGREGATE(15,3,(TableDiv[[Agency]:[Agency]]=$E677)/(TableDiv[[Agency]:[Agency]]=$E677)*(ROW(TableDiv[Agency])-ROW(TableDiv[[#Headers],[Agency]])),COLUMNS($F$7:AD$7))))</f>
        <v/>
      </c>
      <c r="AE677" s="2223" t="str" cm="1">
        <f t="array" ref="AE677">IF($D677&lt;COLUMNS($F$7:AE$7),"",INDEX(TableDiv[[GASB]:[GASB]],_xlfn.AGGREGATE(15,3,(TableDiv[[Agency]:[Agency]]=$E677)/(TableDiv[[Agency]:[Agency]]=$E677)*(ROW(TableDiv[Agency])-ROW(TableDiv[[#Headers],[Agency]])),COLUMNS($F$7:AE$7))))</f>
        <v/>
      </c>
      <c r="AF677" s="2223" t="str" cm="1">
        <f t="array" ref="AF677">IF($D677&lt;COLUMNS($F$7:AF$7),"",INDEX(TableDiv[[GASB]:[GASB]],_xlfn.AGGREGATE(15,3,(TableDiv[[Agency]:[Agency]]=$E677)/(TableDiv[[Agency]:[Agency]]=$E677)*(ROW(TableDiv[Agency])-ROW(TableDiv[[#Headers],[Agency]])),COLUMNS($F$7:AF$7))))</f>
        <v/>
      </c>
      <c r="AG677" s="2223" t="str" cm="1">
        <f t="array" ref="AG677">IF($D677&lt;COLUMNS($F$7:AG$7),"",INDEX(TableDiv[[GASB]:[GASB]],_xlfn.AGGREGATE(15,3,(TableDiv[[Agency]:[Agency]]=$E677)/(TableDiv[[Agency]:[Agency]]=$E677)*(ROW(TableDiv[Agency])-ROW(TableDiv[[#Headers],[Agency]])),COLUMNS($F$7:AG$7))))</f>
        <v/>
      </c>
      <c r="AH677" s="2223" t="str" cm="1">
        <f t="array" ref="AH677">IF($D677&lt;COLUMNS($F$7:AH$7),"",INDEX(TableDiv[[GASB]:[GASB]],_xlfn.AGGREGATE(15,3,(TableDiv[[Agency]:[Agency]]=$E677)/(TableDiv[[Agency]:[Agency]]=$E677)*(ROW(TableDiv[Agency])-ROW(TableDiv[[#Headers],[Agency]])),COLUMNS($F$7:AH$7))))</f>
        <v/>
      </c>
      <c r="AI677" s="2223" t="str" cm="1">
        <f t="array" ref="AI677">IF($D677&lt;COLUMNS($F$7:AI$7),"",INDEX(TableDiv[[GASB]:[GASB]],_xlfn.AGGREGATE(15,3,(TableDiv[[Agency]:[Agency]]=$E677)/(TableDiv[[Agency]:[Agency]]=$E677)*(ROW(TableDiv[Agency])-ROW(TableDiv[[#Headers],[Agency]])),COLUMNS($F$7:AI$7))))</f>
        <v/>
      </c>
      <c r="AJ677" s="2223" t="str" cm="1">
        <f t="array" ref="AJ677">IF($D677&lt;COLUMNS($F$7:AJ$7),"",INDEX(TableDiv[[GASB]:[GASB]],_xlfn.AGGREGATE(15,3,(TableDiv[[Agency]:[Agency]]=$E677)/(TableDiv[[Agency]:[Agency]]=$E677)*(ROW(TableDiv[Agency])-ROW(TableDiv[[#Headers],[Agency]])),COLUMNS($F$7:AJ$7))))</f>
        <v/>
      </c>
      <c r="AK677" s="2223" t="str" cm="1">
        <f t="array" ref="AK677">IF($D677&lt;COLUMNS($F$7:AK$7),"",INDEX(TableDiv[[GASB]:[GASB]],_xlfn.AGGREGATE(15,3,(TableDiv[[Agency]:[Agency]]=$E677)/(TableDiv[[Agency]:[Agency]]=$E677)*(ROW(TableDiv[Agency])-ROW(TableDiv[[#Headers],[Agency]])),COLUMNS($F$7:AK$7))))</f>
        <v/>
      </c>
      <c r="AL677" s="2223" t="str" cm="1">
        <f t="array" ref="AL677">IF($D677&lt;COLUMNS($F$7:AL$7),"",INDEX(TableDiv[[GASB]:[GASB]],_xlfn.AGGREGATE(15,3,(TableDiv[[Agency]:[Agency]]=$E677)/(TableDiv[[Agency]:[Agency]]=$E677)*(ROW(TableDiv[Agency])-ROW(TableDiv[[#Headers],[Agency]])),COLUMNS($F$7:AL$7))))</f>
        <v/>
      </c>
      <c r="AM677" s="2223" t="str" cm="1">
        <f t="array" ref="AM677">IF($D677&lt;COLUMNS($F$7:AM$7),"",INDEX(TableDiv[[GASB]:[GASB]],_xlfn.AGGREGATE(15,3,(TableDiv[[Agency]:[Agency]]=$E677)/(TableDiv[[Agency]:[Agency]]=$E677)*(ROW(TableDiv[Agency])-ROW(TableDiv[[#Headers],[Agency]])),COLUMNS($F$7:AM$7))))</f>
        <v/>
      </c>
      <c r="AN677" s="2223"/>
      <c r="AO677" s="2223"/>
      <c r="AP677" s="2223"/>
      <c r="AQ677" s="2223"/>
      <c r="AR677" s="2223"/>
      <c r="AS677" s="2223"/>
    </row>
    <row r="678" spans="1:45" x14ac:dyDescent="0.2">
      <c r="A678" s="2223"/>
      <c r="B678" s="2223"/>
      <c r="C678" s="2223"/>
      <c r="W678" s="2223" t="str" cm="1">
        <f t="array" ref="W678">IF($D678&lt;COLUMNS($F$7:W$7),"",INDEX(TableDiv[[GASB]:[GASB]],_xlfn.AGGREGATE(15,3,(TableDiv[[Agency]:[Agency]]=$E678)/(TableDiv[[Agency]:[Agency]]=$E678)*(ROW(TableDiv[Agency])-ROW(TableDiv[[#Headers],[Agency]])),COLUMNS($F$7:W$7))))</f>
        <v/>
      </c>
      <c r="X678" s="2223" t="str" cm="1">
        <f t="array" ref="X678">IF($D678&lt;COLUMNS($F$7:X$7),"",INDEX(TableDiv[[GASB]:[GASB]],_xlfn.AGGREGATE(15,3,(TableDiv[[Agency]:[Agency]]=$E678)/(TableDiv[[Agency]:[Agency]]=$E678)*(ROW(TableDiv[Agency])-ROW(TableDiv[[#Headers],[Agency]])),COLUMNS($F$7:X$7))))</f>
        <v/>
      </c>
      <c r="Y678" s="2223" t="str" cm="1">
        <f t="array" ref="Y678">IF($D678&lt;COLUMNS($F$7:Y$7),"",INDEX(TableDiv[[GASB]:[GASB]],_xlfn.AGGREGATE(15,3,(TableDiv[[Agency]:[Agency]]=$E678)/(TableDiv[[Agency]:[Agency]]=$E678)*(ROW(TableDiv[Agency])-ROW(TableDiv[[#Headers],[Agency]])),COLUMNS($F$7:Y$7))))</f>
        <v/>
      </c>
      <c r="Z678" s="2223" t="str" cm="1">
        <f t="array" ref="Z678">IF($D678&lt;COLUMNS($F$7:Z$7),"",INDEX(TableDiv[[GASB]:[GASB]],_xlfn.AGGREGATE(15,3,(TableDiv[[Agency]:[Agency]]=$E678)/(TableDiv[[Agency]:[Agency]]=$E678)*(ROW(TableDiv[Agency])-ROW(TableDiv[[#Headers],[Agency]])),COLUMNS($F$7:Z$7))))</f>
        <v/>
      </c>
      <c r="AA678" s="2223" t="str" cm="1">
        <f t="array" ref="AA678">IF($D678&lt;COLUMNS($F$7:AA$7),"",INDEX(TableDiv[[GASB]:[GASB]],_xlfn.AGGREGATE(15,3,(TableDiv[[Agency]:[Agency]]=$E678)/(TableDiv[[Agency]:[Agency]]=$E678)*(ROW(TableDiv[Agency])-ROW(TableDiv[[#Headers],[Agency]])),COLUMNS($F$7:AA$7))))</f>
        <v/>
      </c>
      <c r="AB678" s="2223" t="str" cm="1">
        <f t="array" ref="AB678">IF($D678&lt;COLUMNS($F$7:AB$7),"",INDEX(TableDiv[[GASB]:[GASB]],_xlfn.AGGREGATE(15,3,(TableDiv[[Agency]:[Agency]]=$E678)/(TableDiv[[Agency]:[Agency]]=$E678)*(ROW(TableDiv[Agency])-ROW(TableDiv[[#Headers],[Agency]])),COLUMNS($F$7:AB$7))))</f>
        <v/>
      </c>
      <c r="AC678" s="2223" t="str" cm="1">
        <f t="array" ref="AC678">IF($D678&lt;COLUMNS($F$7:AC$7),"",INDEX(TableDiv[[GASB]:[GASB]],_xlfn.AGGREGATE(15,3,(TableDiv[[Agency]:[Agency]]=$E678)/(TableDiv[[Agency]:[Agency]]=$E678)*(ROW(TableDiv[Agency])-ROW(TableDiv[[#Headers],[Agency]])),COLUMNS($F$7:AC$7))))</f>
        <v/>
      </c>
      <c r="AD678" s="2223" t="str" cm="1">
        <f t="array" ref="AD678">IF($D678&lt;COLUMNS($F$7:AD$7),"",INDEX(TableDiv[[GASB]:[GASB]],_xlfn.AGGREGATE(15,3,(TableDiv[[Agency]:[Agency]]=$E678)/(TableDiv[[Agency]:[Agency]]=$E678)*(ROW(TableDiv[Agency])-ROW(TableDiv[[#Headers],[Agency]])),COLUMNS($F$7:AD$7))))</f>
        <v/>
      </c>
      <c r="AE678" s="2223" t="str" cm="1">
        <f t="array" ref="AE678">IF($D678&lt;COLUMNS($F$7:AE$7),"",INDEX(TableDiv[[GASB]:[GASB]],_xlfn.AGGREGATE(15,3,(TableDiv[[Agency]:[Agency]]=$E678)/(TableDiv[[Agency]:[Agency]]=$E678)*(ROW(TableDiv[Agency])-ROW(TableDiv[[#Headers],[Agency]])),COLUMNS($F$7:AE$7))))</f>
        <v/>
      </c>
      <c r="AF678" s="2223" t="str" cm="1">
        <f t="array" ref="AF678">IF($D678&lt;COLUMNS($F$7:AF$7),"",INDEX(TableDiv[[GASB]:[GASB]],_xlfn.AGGREGATE(15,3,(TableDiv[[Agency]:[Agency]]=$E678)/(TableDiv[[Agency]:[Agency]]=$E678)*(ROW(TableDiv[Agency])-ROW(TableDiv[[#Headers],[Agency]])),COLUMNS($F$7:AF$7))))</f>
        <v/>
      </c>
      <c r="AG678" s="2223" t="str" cm="1">
        <f t="array" ref="AG678">IF($D678&lt;COLUMNS($F$7:AG$7),"",INDEX(TableDiv[[GASB]:[GASB]],_xlfn.AGGREGATE(15,3,(TableDiv[[Agency]:[Agency]]=$E678)/(TableDiv[[Agency]:[Agency]]=$E678)*(ROW(TableDiv[Agency])-ROW(TableDiv[[#Headers],[Agency]])),COLUMNS($F$7:AG$7))))</f>
        <v/>
      </c>
      <c r="AH678" s="2223" t="str" cm="1">
        <f t="array" ref="AH678">IF($D678&lt;COLUMNS($F$7:AH$7),"",INDEX(TableDiv[[GASB]:[GASB]],_xlfn.AGGREGATE(15,3,(TableDiv[[Agency]:[Agency]]=$E678)/(TableDiv[[Agency]:[Agency]]=$E678)*(ROW(TableDiv[Agency])-ROW(TableDiv[[#Headers],[Agency]])),COLUMNS($F$7:AH$7))))</f>
        <v/>
      </c>
      <c r="AI678" s="2223" t="str" cm="1">
        <f t="array" ref="AI678">IF($D678&lt;COLUMNS($F$7:AI$7),"",INDEX(TableDiv[[GASB]:[GASB]],_xlfn.AGGREGATE(15,3,(TableDiv[[Agency]:[Agency]]=$E678)/(TableDiv[[Agency]:[Agency]]=$E678)*(ROW(TableDiv[Agency])-ROW(TableDiv[[#Headers],[Agency]])),COLUMNS($F$7:AI$7))))</f>
        <v/>
      </c>
      <c r="AJ678" s="2223" t="str" cm="1">
        <f t="array" ref="AJ678">IF($D678&lt;COLUMNS($F$7:AJ$7),"",INDEX(TableDiv[[GASB]:[GASB]],_xlfn.AGGREGATE(15,3,(TableDiv[[Agency]:[Agency]]=$E678)/(TableDiv[[Agency]:[Agency]]=$E678)*(ROW(TableDiv[Agency])-ROW(TableDiv[[#Headers],[Agency]])),COLUMNS($F$7:AJ$7))))</f>
        <v/>
      </c>
      <c r="AK678" s="2223" t="str" cm="1">
        <f t="array" ref="AK678">IF($D678&lt;COLUMNS($F$7:AK$7),"",INDEX(TableDiv[[GASB]:[GASB]],_xlfn.AGGREGATE(15,3,(TableDiv[[Agency]:[Agency]]=$E678)/(TableDiv[[Agency]:[Agency]]=$E678)*(ROW(TableDiv[Agency])-ROW(TableDiv[[#Headers],[Agency]])),COLUMNS($F$7:AK$7))))</f>
        <v/>
      </c>
      <c r="AL678" s="2223" t="str" cm="1">
        <f t="array" ref="AL678">IF($D678&lt;COLUMNS($F$7:AL$7),"",INDEX(TableDiv[[GASB]:[GASB]],_xlfn.AGGREGATE(15,3,(TableDiv[[Agency]:[Agency]]=$E678)/(TableDiv[[Agency]:[Agency]]=$E678)*(ROW(TableDiv[Agency])-ROW(TableDiv[[#Headers],[Agency]])),COLUMNS($F$7:AL$7))))</f>
        <v/>
      </c>
      <c r="AM678" s="2223" t="str" cm="1">
        <f t="array" ref="AM678">IF($D678&lt;COLUMNS($F$7:AM$7),"",INDEX(TableDiv[[GASB]:[GASB]],_xlfn.AGGREGATE(15,3,(TableDiv[[Agency]:[Agency]]=$E678)/(TableDiv[[Agency]:[Agency]]=$E678)*(ROW(TableDiv[Agency])-ROW(TableDiv[[#Headers],[Agency]])),COLUMNS($F$7:AM$7))))</f>
        <v/>
      </c>
      <c r="AN678" s="2223"/>
      <c r="AO678" s="2223"/>
      <c r="AP678" s="2223"/>
      <c r="AQ678" s="2223"/>
      <c r="AR678" s="2223"/>
      <c r="AS678" s="2223"/>
    </row>
    <row r="679" spans="1:45" x14ac:dyDescent="0.2">
      <c r="A679" s="2223"/>
      <c r="B679" s="2223"/>
      <c r="C679" s="2223"/>
      <c r="W679" s="2223" t="str" cm="1">
        <f t="array" ref="W679">IF($D679&lt;COLUMNS($F$7:W$7),"",INDEX(TableDiv[[GASB]:[GASB]],_xlfn.AGGREGATE(15,3,(TableDiv[[Agency]:[Agency]]=$E679)/(TableDiv[[Agency]:[Agency]]=$E679)*(ROW(TableDiv[Agency])-ROW(TableDiv[[#Headers],[Agency]])),COLUMNS($F$7:W$7))))</f>
        <v/>
      </c>
      <c r="X679" s="2223" t="str" cm="1">
        <f t="array" ref="X679">IF($D679&lt;COLUMNS($F$7:X$7),"",INDEX(TableDiv[[GASB]:[GASB]],_xlfn.AGGREGATE(15,3,(TableDiv[[Agency]:[Agency]]=$E679)/(TableDiv[[Agency]:[Agency]]=$E679)*(ROW(TableDiv[Agency])-ROW(TableDiv[[#Headers],[Agency]])),COLUMNS($F$7:X$7))))</f>
        <v/>
      </c>
      <c r="Y679" s="2223" t="str" cm="1">
        <f t="array" ref="Y679">IF($D679&lt;COLUMNS($F$7:Y$7),"",INDEX(TableDiv[[GASB]:[GASB]],_xlfn.AGGREGATE(15,3,(TableDiv[[Agency]:[Agency]]=$E679)/(TableDiv[[Agency]:[Agency]]=$E679)*(ROW(TableDiv[Agency])-ROW(TableDiv[[#Headers],[Agency]])),COLUMNS($F$7:Y$7))))</f>
        <v/>
      </c>
      <c r="Z679" s="2223" t="str" cm="1">
        <f t="array" ref="Z679">IF($D679&lt;COLUMNS($F$7:Z$7),"",INDEX(TableDiv[[GASB]:[GASB]],_xlfn.AGGREGATE(15,3,(TableDiv[[Agency]:[Agency]]=$E679)/(TableDiv[[Agency]:[Agency]]=$E679)*(ROW(TableDiv[Agency])-ROW(TableDiv[[#Headers],[Agency]])),COLUMNS($F$7:Z$7))))</f>
        <v/>
      </c>
      <c r="AA679" s="2223" t="str" cm="1">
        <f t="array" ref="AA679">IF($D679&lt;COLUMNS($F$7:AA$7),"",INDEX(TableDiv[[GASB]:[GASB]],_xlfn.AGGREGATE(15,3,(TableDiv[[Agency]:[Agency]]=$E679)/(TableDiv[[Agency]:[Agency]]=$E679)*(ROW(TableDiv[Agency])-ROW(TableDiv[[#Headers],[Agency]])),COLUMNS($F$7:AA$7))))</f>
        <v/>
      </c>
      <c r="AB679" s="2223" t="str" cm="1">
        <f t="array" ref="AB679">IF($D679&lt;COLUMNS($F$7:AB$7),"",INDEX(TableDiv[[GASB]:[GASB]],_xlfn.AGGREGATE(15,3,(TableDiv[[Agency]:[Agency]]=$E679)/(TableDiv[[Agency]:[Agency]]=$E679)*(ROW(TableDiv[Agency])-ROW(TableDiv[[#Headers],[Agency]])),COLUMNS($F$7:AB$7))))</f>
        <v/>
      </c>
      <c r="AC679" s="2223" t="str" cm="1">
        <f t="array" ref="AC679">IF($D679&lt;COLUMNS($F$7:AC$7),"",INDEX(TableDiv[[GASB]:[GASB]],_xlfn.AGGREGATE(15,3,(TableDiv[[Agency]:[Agency]]=$E679)/(TableDiv[[Agency]:[Agency]]=$E679)*(ROW(TableDiv[Agency])-ROW(TableDiv[[#Headers],[Agency]])),COLUMNS($F$7:AC$7))))</f>
        <v/>
      </c>
      <c r="AD679" s="2223" t="str" cm="1">
        <f t="array" ref="AD679">IF($D679&lt;COLUMNS($F$7:AD$7),"",INDEX(TableDiv[[GASB]:[GASB]],_xlfn.AGGREGATE(15,3,(TableDiv[[Agency]:[Agency]]=$E679)/(TableDiv[[Agency]:[Agency]]=$E679)*(ROW(TableDiv[Agency])-ROW(TableDiv[[#Headers],[Agency]])),COLUMNS($F$7:AD$7))))</f>
        <v/>
      </c>
      <c r="AE679" s="2223" t="str" cm="1">
        <f t="array" ref="AE679">IF($D679&lt;COLUMNS($F$7:AE$7),"",INDEX(TableDiv[[GASB]:[GASB]],_xlfn.AGGREGATE(15,3,(TableDiv[[Agency]:[Agency]]=$E679)/(TableDiv[[Agency]:[Agency]]=$E679)*(ROW(TableDiv[Agency])-ROW(TableDiv[[#Headers],[Agency]])),COLUMNS($F$7:AE$7))))</f>
        <v/>
      </c>
      <c r="AF679" s="2223" t="str" cm="1">
        <f t="array" ref="AF679">IF($D679&lt;COLUMNS($F$7:AF$7),"",INDEX(TableDiv[[GASB]:[GASB]],_xlfn.AGGREGATE(15,3,(TableDiv[[Agency]:[Agency]]=$E679)/(TableDiv[[Agency]:[Agency]]=$E679)*(ROW(TableDiv[Agency])-ROW(TableDiv[[#Headers],[Agency]])),COLUMNS($F$7:AF$7))))</f>
        <v/>
      </c>
      <c r="AG679" s="2223" t="str" cm="1">
        <f t="array" ref="AG679">IF($D679&lt;COLUMNS($F$7:AG$7),"",INDEX(TableDiv[[GASB]:[GASB]],_xlfn.AGGREGATE(15,3,(TableDiv[[Agency]:[Agency]]=$E679)/(TableDiv[[Agency]:[Agency]]=$E679)*(ROW(TableDiv[Agency])-ROW(TableDiv[[#Headers],[Agency]])),COLUMNS($F$7:AG$7))))</f>
        <v/>
      </c>
      <c r="AH679" s="2223" t="str" cm="1">
        <f t="array" ref="AH679">IF($D679&lt;COLUMNS($F$7:AH$7),"",INDEX(TableDiv[[GASB]:[GASB]],_xlfn.AGGREGATE(15,3,(TableDiv[[Agency]:[Agency]]=$E679)/(TableDiv[[Agency]:[Agency]]=$E679)*(ROW(TableDiv[Agency])-ROW(TableDiv[[#Headers],[Agency]])),COLUMNS($F$7:AH$7))))</f>
        <v/>
      </c>
      <c r="AI679" s="2223" t="str" cm="1">
        <f t="array" ref="AI679">IF($D679&lt;COLUMNS($F$7:AI$7),"",INDEX(TableDiv[[GASB]:[GASB]],_xlfn.AGGREGATE(15,3,(TableDiv[[Agency]:[Agency]]=$E679)/(TableDiv[[Agency]:[Agency]]=$E679)*(ROW(TableDiv[Agency])-ROW(TableDiv[[#Headers],[Agency]])),COLUMNS($F$7:AI$7))))</f>
        <v/>
      </c>
      <c r="AJ679" s="2223" t="str" cm="1">
        <f t="array" ref="AJ679">IF($D679&lt;COLUMNS($F$7:AJ$7),"",INDEX(TableDiv[[GASB]:[GASB]],_xlfn.AGGREGATE(15,3,(TableDiv[[Agency]:[Agency]]=$E679)/(TableDiv[[Agency]:[Agency]]=$E679)*(ROW(TableDiv[Agency])-ROW(TableDiv[[#Headers],[Agency]])),COLUMNS($F$7:AJ$7))))</f>
        <v/>
      </c>
      <c r="AK679" s="2223" t="str" cm="1">
        <f t="array" ref="AK679">IF($D679&lt;COLUMNS($F$7:AK$7),"",INDEX(TableDiv[[GASB]:[GASB]],_xlfn.AGGREGATE(15,3,(TableDiv[[Agency]:[Agency]]=$E679)/(TableDiv[[Agency]:[Agency]]=$E679)*(ROW(TableDiv[Agency])-ROW(TableDiv[[#Headers],[Agency]])),COLUMNS($F$7:AK$7))))</f>
        <v/>
      </c>
      <c r="AL679" s="2223" t="str" cm="1">
        <f t="array" ref="AL679">IF($D679&lt;COLUMNS($F$7:AL$7),"",INDEX(TableDiv[[GASB]:[GASB]],_xlfn.AGGREGATE(15,3,(TableDiv[[Agency]:[Agency]]=$E679)/(TableDiv[[Agency]:[Agency]]=$E679)*(ROW(TableDiv[Agency])-ROW(TableDiv[[#Headers],[Agency]])),COLUMNS($F$7:AL$7))))</f>
        <v/>
      </c>
      <c r="AM679" s="2223" t="str" cm="1">
        <f t="array" ref="AM679">IF($D679&lt;COLUMNS($F$7:AM$7),"",INDEX(TableDiv[[GASB]:[GASB]],_xlfn.AGGREGATE(15,3,(TableDiv[[Agency]:[Agency]]=$E679)/(TableDiv[[Agency]:[Agency]]=$E679)*(ROW(TableDiv[Agency])-ROW(TableDiv[[#Headers],[Agency]])),COLUMNS($F$7:AM$7))))</f>
        <v/>
      </c>
      <c r="AN679" s="2223"/>
      <c r="AO679" s="2223"/>
      <c r="AP679" s="2223"/>
      <c r="AQ679" s="2223"/>
      <c r="AR679" s="2223"/>
      <c r="AS679" s="2223"/>
    </row>
    <row r="680" spans="1:45" x14ac:dyDescent="0.2">
      <c r="A680" s="2223"/>
      <c r="B680" s="2223"/>
      <c r="C680" s="2223"/>
      <c r="W680" s="2223" t="str" cm="1">
        <f t="array" ref="W680">IF($D680&lt;COLUMNS($F$7:W$7),"",INDEX(TableDiv[[GASB]:[GASB]],_xlfn.AGGREGATE(15,3,(TableDiv[[Agency]:[Agency]]=$E680)/(TableDiv[[Agency]:[Agency]]=$E680)*(ROW(TableDiv[Agency])-ROW(TableDiv[[#Headers],[Agency]])),COLUMNS($F$7:W$7))))</f>
        <v/>
      </c>
      <c r="X680" s="2223" t="str" cm="1">
        <f t="array" ref="X680">IF($D680&lt;COLUMNS($F$7:X$7),"",INDEX(TableDiv[[GASB]:[GASB]],_xlfn.AGGREGATE(15,3,(TableDiv[[Agency]:[Agency]]=$E680)/(TableDiv[[Agency]:[Agency]]=$E680)*(ROW(TableDiv[Agency])-ROW(TableDiv[[#Headers],[Agency]])),COLUMNS($F$7:X$7))))</f>
        <v/>
      </c>
      <c r="Y680" s="2223" t="str" cm="1">
        <f t="array" ref="Y680">IF($D680&lt;COLUMNS($F$7:Y$7),"",INDEX(TableDiv[[GASB]:[GASB]],_xlfn.AGGREGATE(15,3,(TableDiv[[Agency]:[Agency]]=$E680)/(TableDiv[[Agency]:[Agency]]=$E680)*(ROW(TableDiv[Agency])-ROW(TableDiv[[#Headers],[Agency]])),COLUMNS($F$7:Y$7))))</f>
        <v/>
      </c>
      <c r="Z680" s="2223" t="str" cm="1">
        <f t="array" ref="Z680">IF($D680&lt;COLUMNS($F$7:Z$7),"",INDEX(TableDiv[[GASB]:[GASB]],_xlfn.AGGREGATE(15,3,(TableDiv[[Agency]:[Agency]]=$E680)/(TableDiv[[Agency]:[Agency]]=$E680)*(ROW(TableDiv[Agency])-ROW(TableDiv[[#Headers],[Agency]])),COLUMNS($F$7:Z$7))))</f>
        <v/>
      </c>
      <c r="AA680" s="2223" t="str" cm="1">
        <f t="array" ref="AA680">IF($D680&lt;COLUMNS($F$7:AA$7),"",INDEX(TableDiv[[GASB]:[GASB]],_xlfn.AGGREGATE(15,3,(TableDiv[[Agency]:[Agency]]=$E680)/(TableDiv[[Agency]:[Agency]]=$E680)*(ROW(TableDiv[Agency])-ROW(TableDiv[[#Headers],[Agency]])),COLUMNS($F$7:AA$7))))</f>
        <v/>
      </c>
      <c r="AB680" s="2223" t="str" cm="1">
        <f t="array" ref="AB680">IF($D680&lt;COLUMNS($F$7:AB$7),"",INDEX(TableDiv[[GASB]:[GASB]],_xlfn.AGGREGATE(15,3,(TableDiv[[Agency]:[Agency]]=$E680)/(TableDiv[[Agency]:[Agency]]=$E680)*(ROW(TableDiv[Agency])-ROW(TableDiv[[#Headers],[Agency]])),COLUMNS($F$7:AB$7))))</f>
        <v/>
      </c>
      <c r="AC680" s="2223" t="str" cm="1">
        <f t="array" ref="AC680">IF($D680&lt;COLUMNS($F$7:AC$7),"",INDEX(TableDiv[[GASB]:[GASB]],_xlfn.AGGREGATE(15,3,(TableDiv[[Agency]:[Agency]]=$E680)/(TableDiv[[Agency]:[Agency]]=$E680)*(ROW(TableDiv[Agency])-ROW(TableDiv[[#Headers],[Agency]])),COLUMNS($F$7:AC$7))))</f>
        <v/>
      </c>
      <c r="AD680" s="2223" t="str" cm="1">
        <f t="array" ref="AD680">IF($D680&lt;COLUMNS($F$7:AD$7),"",INDEX(TableDiv[[GASB]:[GASB]],_xlfn.AGGREGATE(15,3,(TableDiv[[Agency]:[Agency]]=$E680)/(TableDiv[[Agency]:[Agency]]=$E680)*(ROW(TableDiv[Agency])-ROW(TableDiv[[#Headers],[Agency]])),COLUMNS($F$7:AD$7))))</f>
        <v/>
      </c>
      <c r="AE680" s="2223" t="str" cm="1">
        <f t="array" ref="AE680">IF($D680&lt;COLUMNS($F$7:AE$7),"",INDEX(TableDiv[[GASB]:[GASB]],_xlfn.AGGREGATE(15,3,(TableDiv[[Agency]:[Agency]]=$E680)/(TableDiv[[Agency]:[Agency]]=$E680)*(ROW(TableDiv[Agency])-ROW(TableDiv[[#Headers],[Agency]])),COLUMNS($F$7:AE$7))))</f>
        <v/>
      </c>
      <c r="AF680" s="2223" t="str" cm="1">
        <f t="array" ref="AF680">IF($D680&lt;COLUMNS($F$7:AF$7),"",INDEX(TableDiv[[GASB]:[GASB]],_xlfn.AGGREGATE(15,3,(TableDiv[[Agency]:[Agency]]=$E680)/(TableDiv[[Agency]:[Agency]]=$E680)*(ROW(TableDiv[Agency])-ROW(TableDiv[[#Headers],[Agency]])),COLUMNS($F$7:AF$7))))</f>
        <v/>
      </c>
      <c r="AG680" s="2223" t="str" cm="1">
        <f t="array" ref="AG680">IF($D680&lt;COLUMNS($F$7:AG$7),"",INDEX(TableDiv[[GASB]:[GASB]],_xlfn.AGGREGATE(15,3,(TableDiv[[Agency]:[Agency]]=$E680)/(TableDiv[[Agency]:[Agency]]=$E680)*(ROW(TableDiv[Agency])-ROW(TableDiv[[#Headers],[Agency]])),COLUMNS($F$7:AG$7))))</f>
        <v/>
      </c>
      <c r="AH680" s="2223" t="str" cm="1">
        <f t="array" ref="AH680">IF($D680&lt;COLUMNS($F$7:AH$7),"",INDEX(TableDiv[[GASB]:[GASB]],_xlfn.AGGREGATE(15,3,(TableDiv[[Agency]:[Agency]]=$E680)/(TableDiv[[Agency]:[Agency]]=$E680)*(ROW(TableDiv[Agency])-ROW(TableDiv[[#Headers],[Agency]])),COLUMNS($F$7:AH$7))))</f>
        <v/>
      </c>
      <c r="AI680" s="2223" t="str" cm="1">
        <f t="array" ref="AI680">IF($D680&lt;COLUMNS($F$7:AI$7),"",INDEX(TableDiv[[GASB]:[GASB]],_xlfn.AGGREGATE(15,3,(TableDiv[[Agency]:[Agency]]=$E680)/(TableDiv[[Agency]:[Agency]]=$E680)*(ROW(TableDiv[Agency])-ROW(TableDiv[[#Headers],[Agency]])),COLUMNS($F$7:AI$7))))</f>
        <v/>
      </c>
      <c r="AJ680" s="2223" t="str" cm="1">
        <f t="array" ref="AJ680">IF($D680&lt;COLUMNS($F$7:AJ$7),"",INDEX(TableDiv[[GASB]:[GASB]],_xlfn.AGGREGATE(15,3,(TableDiv[[Agency]:[Agency]]=$E680)/(TableDiv[[Agency]:[Agency]]=$E680)*(ROW(TableDiv[Agency])-ROW(TableDiv[[#Headers],[Agency]])),COLUMNS($F$7:AJ$7))))</f>
        <v/>
      </c>
      <c r="AK680" s="2223" t="str" cm="1">
        <f t="array" ref="AK680">IF($D680&lt;COLUMNS($F$7:AK$7),"",INDEX(TableDiv[[GASB]:[GASB]],_xlfn.AGGREGATE(15,3,(TableDiv[[Agency]:[Agency]]=$E680)/(TableDiv[[Agency]:[Agency]]=$E680)*(ROW(TableDiv[Agency])-ROW(TableDiv[[#Headers],[Agency]])),COLUMNS($F$7:AK$7))))</f>
        <v/>
      </c>
      <c r="AL680" s="2223" t="str" cm="1">
        <f t="array" ref="AL680">IF($D680&lt;COLUMNS($F$7:AL$7),"",INDEX(TableDiv[[GASB]:[GASB]],_xlfn.AGGREGATE(15,3,(TableDiv[[Agency]:[Agency]]=$E680)/(TableDiv[[Agency]:[Agency]]=$E680)*(ROW(TableDiv[Agency])-ROW(TableDiv[[#Headers],[Agency]])),COLUMNS($F$7:AL$7))))</f>
        <v/>
      </c>
      <c r="AM680" s="2223" t="str" cm="1">
        <f t="array" ref="AM680">IF($D680&lt;COLUMNS($F$7:AM$7),"",INDEX(TableDiv[[GASB]:[GASB]],_xlfn.AGGREGATE(15,3,(TableDiv[[Agency]:[Agency]]=$E680)/(TableDiv[[Agency]:[Agency]]=$E680)*(ROW(TableDiv[Agency])-ROW(TableDiv[[#Headers],[Agency]])),COLUMNS($F$7:AM$7))))</f>
        <v/>
      </c>
      <c r="AN680" s="2223"/>
      <c r="AO680" s="2223"/>
      <c r="AP680" s="2223"/>
      <c r="AQ680" s="2223"/>
      <c r="AR680" s="2223"/>
      <c r="AS680" s="2223"/>
    </row>
    <row r="681" spans="1:45" x14ac:dyDescent="0.2">
      <c r="A681" s="2223"/>
      <c r="B681" s="2223"/>
      <c r="C681" s="2223"/>
      <c r="W681" s="2223" t="str" cm="1">
        <f t="array" ref="W681">IF($D681&lt;COLUMNS($F$7:W$7),"",INDEX(TableDiv[[GASB]:[GASB]],_xlfn.AGGREGATE(15,3,(TableDiv[[Agency]:[Agency]]=$E681)/(TableDiv[[Agency]:[Agency]]=$E681)*(ROW(TableDiv[Agency])-ROW(TableDiv[[#Headers],[Agency]])),COLUMNS($F$7:W$7))))</f>
        <v/>
      </c>
      <c r="X681" s="2223" t="str" cm="1">
        <f t="array" ref="X681">IF($D681&lt;COLUMNS($F$7:X$7),"",INDEX(TableDiv[[GASB]:[GASB]],_xlfn.AGGREGATE(15,3,(TableDiv[[Agency]:[Agency]]=$E681)/(TableDiv[[Agency]:[Agency]]=$E681)*(ROW(TableDiv[Agency])-ROW(TableDiv[[#Headers],[Agency]])),COLUMNS($F$7:X$7))))</f>
        <v/>
      </c>
      <c r="Y681" s="2223" t="str" cm="1">
        <f t="array" ref="Y681">IF($D681&lt;COLUMNS($F$7:Y$7),"",INDEX(TableDiv[[GASB]:[GASB]],_xlfn.AGGREGATE(15,3,(TableDiv[[Agency]:[Agency]]=$E681)/(TableDiv[[Agency]:[Agency]]=$E681)*(ROW(TableDiv[Agency])-ROW(TableDiv[[#Headers],[Agency]])),COLUMNS($F$7:Y$7))))</f>
        <v/>
      </c>
      <c r="Z681" s="2223" t="str" cm="1">
        <f t="array" ref="Z681">IF($D681&lt;COLUMNS($F$7:Z$7),"",INDEX(TableDiv[[GASB]:[GASB]],_xlfn.AGGREGATE(15,3,(TableDiv[[Agency]:[Agency]]=$E681)/(TableDiv[[Agency]:[Agency]]=$E681)*(ROW(TableDiv[Agency])-ROW(TableDiv[[#Headers],[Agency]])),COLUMNS($F$7:Z$7))))</f>
        <v/>
      </c>
      <c r="AA681" s="2223" t="str" cm="1">
        <f t="array" ref="AA681">IF($D681&lt;COLUMNS($F$7:AA$7),"",INDEX(TableDiv[[GASB]:[GASB]],_xlfn.AGGREGATE(15,3,(TableDiv[[Agency]:[Agency]]=$E681)/(TableDiv[[Agency]:[Agency]]=$E681)*(ROW(TableDiv[Agency])-ROW(TableDiv[[#Headers],[Agency]])),COLUMNS($F$7:AA$7))))</f>
        <v/>
      </c>
      <c r="AB681" s="2223" t="str" cm="1">
        <f t="array" ref="AB681">IF($D681&lt;COLUMNS($F$7:AB$7),"",INDEX(TableDiv[[GASB]:[GASB]],_xlfn.AGGREGATE(15,3,(TableDiv[[Agency]:[Agency]]=$E681)/(TableDiv[[Agency]:[Agency]]=$E681)*(ROW(TableDiv[Agency])-ROW(TableDiv[[#Headers],[Agency]])),COLUMNS($F$7:AB$7))))</f>
        <v/>
      </c>
      <c r="AC681" s="2223" t="str" cm="1">
        <f t="array" ref="AC681">IF($D681&lt;COLUMNS($F$7:AC$7),"",INDEX(TableDiv[[GASB]:[GASB]],_xlfn.AGGREGATE(15,3,(TableDiv[[Agency]:[Agency]]=$E681)/(TableDiv[[Agency]:[Agency]]=$E681)*(ROW(TableDiv[Agency])-ROW(TableDiv[[#Headers],[Agency]])),COLUMNS($F$7:AC$7))))</f>
        <v/>
      </c>
      <c r="AD681" s="2223" t="str" cm="1">
        <f t="array" ref="AD681">IF($D681&lt;COLUMNS($F$7:AD$7),"",INDEX(TableDiv[[GASB]:[GASB]],_xlfn.AGGREGATE(15,3,(TableDiv[[Agency]:[Agency]]=$E681)/(TableDiv[[Agency]:[Agency]]=$E681)*(ROW(TableDiv[Agency])-ROW(TableDiv[[#Headers],[Agency]])),COLUMNS($F$7:AD$7))))</f>
        <v/>
      </c>
      <c r="AE681" s="2223" t="str" cm="1">
        <f t="array" ref="AE681">IF($D681&lt;COLUMNS($F$7:AE$7),"",INDEX(TableDiv[[GASB]:[GASB]],_xlfn.AGGREGATE(15,3,(TableDiv[[Agency]:[Agency]]=$E681)/(TableDiv[[Agency]:[Agency]]=$E681)*(ROW(TableDiv[Agency])-ROW(TableDiv[[#Headers],[Agency]])),COLUMNS($F$7:AE$7))))</f>
        <v/>
      </c>
      <c r="AF681" s="2223" t="str" cm="1">
        <f t="array" ref="AF681">IF($D681&lt;COLUMNS($F$7:AF$7),"",INDEX(TableDiv[[GASB]:[GASB]],_xlfn.AGGREGATE(15,3,(TableDiv[[Agency]:[Agency]]=$E681)/(TableDiv[[Agency]:[Agency]]=$E681)*(ROW(TableDiv[Agency])-ROW(TableDiv[[#Headers],[Agency]])),COLUMNS($F$7:AF$7))))</f>
        <v/>
      </c>
      <c r="AG681" s="2223" t="str" cm="1">
        <f t="array" ref="AG681">IF($D681&lt;COLUMNS($F$7:AG$7),"",INDEX(TableDiv[[GASB]:[GASB]],_xlfn.AGGREGATE(15,3,(TableDiv[[Agency]:[Agency]]=$E681)/(TableDiv[[Agency]:[Agency]]=$E681)*(ROW(TableDiv[Agency])-ROW(TableDiv[[#Headers],[Agency]])),COLUMNS($F$7:AG$7))))</f>
        <v/>
      </c>
      <c r="AH681" s="2223" t="str" cm="1">
        <f t="array" ref="AH681">IF($D681&lt;COLUMNS($F$7:AH$7),"",INDEX(TableDiv[[GASB]:[GASB]],_xlfn.AGGREGATE(15,3,(TableDiv[[Agency]:[Agency]]=$E681)/(TableDiv[[Agency]:[Agency]]=$E681)*(ROW(TableDiv[Agency])-ROW(TableDiv[[#Headers],[Agency]])),COLUMNS($F$7:AH$7))))</f>
        <v/>
      </c>
      <c r="AI681" s="2223" t="str" cm="1">
        <f t="array" ref="AI681">IF($D681&lt;COLUMNS($F$7:AI$7),"",INDEX(TableDiv[[GASB]:[GASB]],_xlfn.AGGREGATE(15,3,(TableDiv[[Agency]:[Agency]]=$E681)/(TableDiv[[Agency]:[Agency]]=$E681)*(ROW(TableDiv[Agency])-ROW(TableDiv[[#Headers],[Agency]])),COLUMNS($F$7:AI$7))))</f>
        <v/>
      </c>
      <c r="AJ681" s="2223" t="str" cm="1">
        <f t="array" ref="AJ681">IF($D681&lt;COLUMNS($F$7:AJ$7),"",INDEX(TableDiv[[GASB]:[GASB]],_xlfn.AGGREGATE(15,3,(TableDiv[[Agency]:[Agency]]=$E681)/(TableDiv[[Agency]:[Agency]]=$E681)*(ROW(TableDiv[Agency])-ROW(TableDiv[[#Headers],[Agency]])),COLUMNS($F$7:AJ$7))))</f>
        <v/>
      </c>
      <c r="AK681" s="2223" t="str" cm="1">
        <f t="array" ref="AK681">IF($D681&lt;COLUMNS($F$7:AK$7),"",INDEX(TableDiv[[GASB]:[GASB]],_xlfn.AGGREGATE(15,3,(TableDiv[[Agency]:[Agency]]=$E681)/(TableDiv[[Agency]:[Agency]]=$E681)*(ROW(TableDiv[Agency])-ROW(TableDiv[[#Headers],[Agency]])),COLUMNS($F$7:AK$7))))</f>
        <v/>
      </c>
      <c r="AL681" s="2223" t="str" cm="1">
        <f t="array" ref="AL681">IF($D681&lt;COLUMNS($F$7:AL$7),"",INDEX(TableDiv[[GASB]:[GASB]],_xlfn.AGGREGATE(15,3,(TableDiv[[Agency]:[Agency]]=$E681)/(TableDiv[[Agency]:[Agency]]=$E681)*(ROW(TableDiv[Agency])-ROW(TableDiv[[#Headers],[Agency]])),COLUMNS($F$7:AL$7))))</f>
        <v/>
      </c>
      <c r="AM681" s="2223" t="str" cm="1">
        <f t="array" ref="AM681">IF($D681&lt;COLUMNS($F$7:AM$7),"",INDEX(TableDiv[[GASB]:[GASB]],_xlfn.AGGREGATE(15,3,(TableDiv[[Agency]:[Agency]]=$E681)/(TableDiv[[Agency]:[Agency]]=$E681)*(ROW(TableDiv[Agency])-ROW(TableDiv[[#Headers],[Agency]])),COLUMNS($F$7:AM$7))))</f>
        <v/>
      </c>
      <c r="AN681" s="2223"/>
      <c r="AO681" s="2223"/>
      <c r="AP681" s="2223"/>
      <c r="AQ681" s="2223"/>
      <c r="AR681" s="2223"/>
      <c r="AS681" s="2223"/>
    </row>
    <row r="682" spans="1:45" x14ac:dyDescent="0.2">
      <c r="A682" s="2223"/>
      <c r="B682" s="2223"/>
      <c r="C682" s="2223"/>
      <c r="W682" s="2223" t="str" cm="1">
        <f t="array" ref="W682">IF($D682&lt;COLUMNS($F$7:W$7),"",INDEX(TableDiv[[GASB]:[GASB]],_xlfn.AGGREGATE(15,3,(TableDiv[[Agency]:[Agency]]=$E682)/(TableDiv[[Agency]:[Agency]]=$E682)*(ROW(TableDiv[Agency])-ROW(TableDiv[[#Headers],[Agency]])),COLUMNS($F$7:W$7))))</f>
        <v/>
      </c>
      <c r="X682" s="2223" t="str" cm="1">
        <f t="array" ref="X682">IF($D682&lt;COLUMNS($F$7:X$7),"",INDEX(TableDiv[[GASB]:[GASB]],_xlfn.AGGREGATE(15,3,(TableDiv[[Agency]:[Agency]]=$E682)/(TableDiv[[Agency]:[Agency]]=$E682)*(ROW(TableDiv[Agency])-ROW(TableDiv[[#Headers],[Agency]])),COLUMNS($F$7:X$7))))</f>
        <v/>
      </c>
      <c r="Y682" s="2223" t="str" cm="1">
        <f t="array" ref="Y682">IF($D682&lt;COLUMNS($F$7:Y$7),"",INDEX(TableDiv[[GASB]:[GASB]],_xlfn.AGGREGATE(15,3,(TableDiv[[Agency]:[Agency]]=$E682)/(TableDiv[[Agency]:[Agency]]=$E682)*(ROW(TableDiv[Agency])-ROW(TableDiv[[#Headers],[Agency]])),COLUMNS($F$7:Y$7))))</f>
        <v/>
      </c>
      <c r="Z682" s="2223" t="str" cm="1">
        <f t="array" ref="Z682">IF($D682&lt;COLUMNS($F$7:Z$7),"",INDEX(TableDiv[[GASB]:[GASB]],_xlfn.AGGREGATE(15,3,(TableDiv[[Agency]:[Agency]]=$E682)/(TableDiv[[Agency]:[Agency]]=$E682)*(ROW(TableDiv[Agency])-ROW(TableDiv[[#Headers],[Agency]])),COLUMNS($F$7:Z$7))))</f>
        <v/>
      </c>
      <c r="AA682" s="2223" t="str" cm="1">
        <f t="array" ref="AA682">IF($D682&lt;COLUMNS($F$7:AA$7),"",INDEX(TableDiv[[GASB]:[GASB]],_xlfn.AGGREGATE(15,3,(TableDiv[[Agency]:[Agency]]=$E682)/(TableDiv[[Agency]:[Agency]]=$E682)*(ROW(TableDiv[Agency])-ROW(TableDiv[[#Headers],[Agency]])),COLUMNS($F$7:AA$7))))</f>
        <v/>
      </c>
      <c r="AB682" s="2223" t="str" cm="1">
        <f t="array" ref="AB682">IF($D682&lt;COLUMNS($F$7:AB$7),"",INDEX(TableDiv[[GASB]:[GASB]],_xlfn.AGGREGATE(15,3,(TableDiv[[Agency]:[Agency]]=$E682)/(TableDiv[[Agency]:[Agency]]=$E682)*(ROW(TableDiv[Agency])-ROW(TableDiv[[#Headers],[Agency]])),COLUMNS($F$7:AB$7))))</f>
        <v/>
      </c>
      <c r="AC682" s="2223" t="str" cm="1">
        <f t="array" ref="AC682">IF($D682&lt;COLUMNS($F$7:AC$7),"",INDEX(TableDiv[[GASB]:[GASB]],_xlfn.AGGREGATE(15,3,(TableDiv[[Agency]:[Agency]]=$E682)/(TableDiv[[Agency]:[Agency]]=$E682)*(ROW(TableDiv[Agency])-ROW(TableDiv[[#Headers],[Agency]])),COLUMNS($F$7:AC$7))))</f>
        <v/>
      </c>
      <c r="AD682" s="2223" t="str" cm="1">
        <f t="array" ref="AD682">IF($D682&lt;COLUMNS($F$7:AD$7),"",INDEX(TableDiv[[GASB]:[GASB]],_xlfn.AGGREGATE(15,3,(TableDiv[[Agency]:[Agency]]=$E682)/(TableDiv[[Agency]:[Agency]]=$E682)*(ROW(TableDiv[Agency])-ROW(TableDiv[[#Headers],[Agency]])),COLUMNS($F$7:AD$7))))</f>
        <v/>
      </c>
      <c r="AE682" s="2223" t="str" cm="1">
        <f t="array" ref="AE682">IF($D682&lt;COLUMNS($F$7:AE$7),"",INDEX(TableDiv[[GASB]:[GASB]],_xlfn.AGGREGATE(15,3,(TableDiv[[Agency]:[Agency]]=$E682)/(TableDiv[[Agency]:[Agency]]=$E682)*(ROW(TableDiv[Agency])-ROW(TableDiv[[#Headers],[Agency]])),COLUMNS($F$7:AE$7))))</f>
        <v/>
      </c>
      <c r="AF682" s="2223" t="str" cm="1">
        <f t="array" ref="AF682">IF($D682&lt;COLUMNS($F$7:AF$7),"",INDEX(TableDiv[[GASB]:[GASB]],_xlfn.AGGREGATE(15,3,(TableDiv[[Agency]:[Agency]]=$E682)/(TableDiv[[Agency]:[Agency]]=$E682)*(ROW(TableDiv[Agency])-ROW(TableDiv[[#Headers],[Agency]])),COLUMNS($F$7:AF$7))))</f>
        <v/>
      </c>
      <c r="AG682" s="2223" t="str" cm="1">
        <f t="array" ref="AG682">IF($D682&lt;COLUMNS($F$7:AG$7),"",INDEX(TableDiv[[GASB]:[GASB]],_xlfn.AGGREGATE(15,3,(TableDiv[[Agency]:[Agency]]=$E682)/(TableDiv[[Agency]:[Agency]]=$E682)*(ROW(TableDiv[Agency])-ROW(TableDiv[[#Headers],[Agency]])),COLUMNS($F$7:AG$7))))</f>
        <v/>
      </c>
      <c r="AH682" s="2223" t="str" cm="1">
        <f t="array" ref="AH682">IF($D682&lt;COLUMNS($F$7:AH$7),"",INDEX(TableDiv[[GASB]:[GASB]],_xlfn.AGGREGATE(15,3,(TableDiv[[Agency]:[Agency]]=$E682)/(TableDiv[[Agency]:[Agency]]=$E682)*(ROW(TableDiv[Agency])-ROW(TableDiv[[#Headers],[Agency]])),COLUMNS($F$7:AH$7))))</f>
        <v/>
      </c>
      <c r="AI682" s="2223" t="str" cm="1">
        <f t="array" ref="AI682">IF($D682&lt;COLUMNS($F$7:AI$7),"",INDEX(TableDiv[[GASB]:[GASB]],_xlfn.AGGREGATE(15,3,(TableDiv[[Agency]:[Agency]]=$E682)/(TableDiv[[Agency]:[Agency]]=$E682)*(ROW(TableDiv[Agency])-ROW(TableDiv[[#Headers],[Agency]])),COLUMNS($F$7:AI$7))))</f>
        <v/>
      </c>
      <c r="AJ682" s="2223" t="str" cm="1">
        <f t="array" ref="AJ682">IF($D682&lt;COLUMNS($F$7:AJ$7),"",INDEX(TableDiv[[GASB]:[GASB]],_xlfn.AGGREGATE(15,3,(TableDiv[[Agency]:[Agency]]=$E682)/(TableDiv[[Agency]:[Agency]]=$E682)*(ROW(TableDiv[Agency])-ROW(TableDiv[[#Headers],[Agency]])),COLUMNS($F$7:AJ$7))))</f>
        <v/>
      </c>
      <c r="AK682" s="2223" t="str" cm="1">
        <f t="array" ref="AK682">IF($D682&lt;COLUMNS($F$7:AK$7),"",INDEX(TableDiv[[GASB]:[GASB]],_xlfn.AGGREGATE(15,3,(TableDiv[[Agency]:[Agency]]=$E682)/(TableDiv[[Agency]:[Agency]]=$E682)*(ROW(TableDiv[Agency])-ROW(TableDiv[[#Headers],[Agency]])),COLUMNS($F$7:AK$7))))</f>
        <v/>
      </c>
      <c r="AL682" s="2223" t="str" cm="1">
        <f t="array" ref="AL682">IF($D682&lt;COLUMNS($F$7:AL$7),"",INDEX(TableDiv[[GASB]:[GASB]],_xlfn.AGGREGATE(15,3,(TableDiv[[Agency]:[Agency]]=$E682)/(TableDiv[[Agency]:[Agency]]=$E682)*(ROW(TableDiv[Agency])-ROW(TableDiv[[#Headers],[Agency]])),COLUMNS($F$7:AL$7))))</f>
        <v/>
      </c>
      <c r="AM682" s="2223" t="str" cm="1">
        <f t="array" ref="AM682">IF($D682&lt;COLUMNS($F$7:AM$7),"",INDEX(TableDiv[[GASB]:[GASB]],_xlfn.AGGREGATE(15,3,(TableDiv[[Agency]:[Agency]]=$E682)/(TableDiv[[Agency]:[Agency]]=$E682)*(ROW(TableDiv[Agency])-ROW(TableDiv[[#Headers],[Agency]])),COLUMNS($F$7:AM$7))))</f>
        <v/>
      </c>
      <c r="AN682" s="2223"/>
      <c r="AO682" s="2223"/>
      <c r="AP682" s="2223"/>
      <c r="AQ682" s="2223"/>
      <c r="AR682" s="2223"/>
      <c r="AS682" s="2223"/>
    </row>
    <row r="683" spans="1:45" x14ac:dyDescent="0.2">
      <c r="A683" s="2223"/>
      <c r="B683" s="2223"/>
      <c r="C683" s="2223"/>
      <c r="W683" s="2223" t="str" cm="1">
        <f t="array" ref="W683">IF($D683&lt;COLUMNS($F$7:W$7),"",INDEX(TableDiv[[GASB]:[GASB]],_xlfn.AGGREGATE(15,3,(TableDiv[[Agency]:[Agency]]=$E683)/(TableDiv[[Agency]:[Agency]]=$E683)*(ROW(TableDiv[Agency])-ROW(TableDiv[[#Headers],[Agency]])),COLUMNS($F$7:W$7))))</f>
        <v/>
      </c>
      <c r="X683" s="2223" t="str" cm="1">
        <f t="array" ref="X683">IF($D683&lt;COLUMNS($F$7:X$7),"",INDEX(TableDiv[[GASB]:[GASB]],_xlfn.AGGREGATE(15,3,(TableDiv[[Agency]:[Agency]]=$E683)/(TableDiv[[Agency]:[Agency]]=$E683)*(ROW(TableDiv[Agency])-ROW(TableDiv[[#Headers],[Agency]])),COLUMNS($F$7:X$7))))</f>
        <v/>
      </c>
      <c r="Y683" s="2223" t="str" cm="1">
        <f t="array" ref="Y683">IF($D683&lt;COLUMNS($F$7:Y$7),"",INDEX(TableDiv[[GASB]:[GASB]],_xlfn.AGGREGATE(15,3,(TableDiv[[Agency]:[Agency]]=$E683)/(TableDiv[[Agency]:[Agency]]=$E683)*(ROW(TableDiv[Agency])-ROW(TableDiv[[#Headers],[Agency]])),COLUMNS($F$7:Y$7))))</f>
        <v/>
      </c>
      <c r="Z683" s="2223" t="str" cm="1">
        <f t="array" ref="Z683">IF($D683&lt;COLUMNS($F$7:Z$7),"",INDEX(TableDiv[[GASB]:[GASB]],_xlfn.AGGREGATE(15,3,(TableDiv[[Agency]:[Agency]]=$E683)/(TableDiv[[Agency]:[Agency]]=$E683)*(ROW(TableDiv[Agency])-ROW(TableDiv[[#Headers],[Agency]])),COLUMNS($F$7:Z$7))))</f>
        <v/>
      </c>
      <c r="AA683" s="2223" t="str" cm="1">
        <f t="array" ref="AA683">IF($D683&lt;COLUMNS($F$7:AA$7),"",INDEX(TableDiv[[GASB]:[GASB]],_xlfn.AGGREGATE(15,3,(TableDiv[[Agency]:[Agency]]=$E683)/(TableDiv[[Agency]:[Agency]]=$E683)*(ROW(TableDiv[Agency])-ROW(TableDiv[[#Headers],[Agency]])),COLUMNS($F$7:AA$7))))</f>
        <v/>
      </c>
      <c r="AB683" s="2223" t="str" cm="1">
        <f t="array" ref="AB683">IF($D683&lt;COLUMNS($F$7:AB$7),"",INDEX(TableDiv[[GASB]:[GASB]],_xlfn.AGGREGATE(15,3,(TableDiv[[Agency]:[Agency]]=$E683)/(TableDiv[[Agency]:[Agency]]=$E683)*(ROW(TableDiv[Agency])-ROW(TableDiv[[#Headers],[Agency]])),COLUMNS($F$7:AB$7))))</f>
        <v/>
      </c>
      <c r="AC683" s="2223" t="str" cm="1">
        <f t="array" ref="AC683">IF($D683&lt;COLUMNS($F$7:AC$7),"",INDEX(TableDiv[[GASB]:[GASB]],_xlfn.AGGREGATE(15,3,(TableDiv[[Agency]:[Agency]]=$E683)/(TableDiv[[Agency]:[Agency]]=$E683)*(ROW(TableDiv[Agency])-ROW(TableDiv[[#Headers],[Agency]])),COLUMNS($F$7:AC$7))))</f>
        <v/>
      </c>
      <c r="AD683" s="2223" t="str" cm="1">
        <f t="array" ref="AD683">IF($D683&lt;COLUMNS($F$7:AD$7),"",INDEX(TableDiv[[GASB]:[GASB]],_xlfn.AGGREGATE(15,3,(TableDiv[[Agency]:[Agency]]=$E683)/(TableDiv[[Agency]:[Agency]]=$E683)*(ROW(TableDiv[Agency])-ROW(TableDiv[[#Headers],[Agency]])),COLUMNS($F$7:AD$7))))</f>
        <v/>
      </c>
      <c r="AE683" s="2223" t="str" cm="1">
        <f t="array" ref="AE683">IF($D683&lt;COLUMNS($F$7:AE$7),"",INDEX(TableDiv[[GASB]:[GASB]],_xlfn.AGGREGATE(15,3,(TableDiv[[Agency]:[Agency]]=$E683)/(TableDiv[[Agency]:[Agency]]=$E683)*(ROW(TableDiv[Agency])-ROW(TableDiv[[#Headers],[Agency]])),COLUMNS($F$7:AE$7))))</f>
        <v/>
      </c>
      <c r="AF683" s="2223" t="str" cm="1">
        <f t="array" ref="AF683">IF($D683&lt;COLUMNS($F$7:AF$7),"",INDEX(TableDiv[[GASB]:[GASB]],_xlfn.AGGREGATE(15,3,(TableDiv[[Agency]:[Agency]]=$E683)/(TableDiv[[Agency]:[Agency]]=$E683)*(ROW(TableDiv[Agency])-ROW(TableDiv[[#Headers],[Agency]])),COLUMNS($F$7:AF$7))))</f>
        <v/>
      </c>
      <c r="AG683" s="2223" t="str" cm="1">
        <f t="array" ref="AG683">IF($D683&lt;COLUMNS($F$7:AG$7),"",INDEX(TableDiv[[GASB]:[GASB]],_xlfn.AGGREGATE(15,3,(TableDiv[[Agency]:[Agency]]=$E683)/(TableDiv[[Agency]:[Agency]]=$E683)*(ROW(TableDiv[Agency])-ROW(TableDiv[[#Headers],[Agency]])),COLUMNS($F$7:AG$7))))</f>
        <v/>
      </c>
      <c r="AH683" s="2223" t="str" cm="1">
        <f t="array" ref="AH683">IF($D683&lt;COLUMNS($F$7:AH$7),"",INDEX(TableDiv[[GASB]:[GASB]],_xlfn.AGGREGATE(15,3,(TableDiv[[Agency]:[Agency]]=$E683)/(TableDiv[[Agency]:[Agency]]=$E683)*(ROW(TableDiv[Agency])-ROW(TableDiv[[#Headers],[Agency]])),COLUMNS($F$7:AH$7))))</f>
        <v/>
      </c>
      <c r="AI683" s="2223" t="str" cm="1">
        <f t="array" ref="AI683">IF($D683&lt;COLUMNS($F$7:AI$7),"",INDEX(TableDiv[[GASB]:[GASB]],_xlfn.AGGREGATE(15,3,(TableDiv[[Agency]:[Agency]]=$E683)/(TableDiv[[Agency]:[Agency]]=$E683)*(ROW(TableDiv[Agency])-ROW(TableDiv[[#Headers],[Agency]])),COLUMNS($F$7:AI$7))))</f>
        <v/>
      </c>
      <c r="AJ683" s="2223" t="str" cm="1">
        <f t="array" ref="AJ683">IF($D683&lt;COLUMNS($F$7:AJ$7),"",INDEX(TableDiv[[GASB]:[GASB]],_xlfn.AGGREGATE(15,3,(TableDiv[[Agency]:[Agency]]=$E683)/(TableDiv[[Agency]:[Agency]]=$E683)*(ROW(TableDiv[Agency])-ROW(TableDiv[[#Headers],[Agency]])),COLUMNS($F$7:AJ$7))))</f>
        <v/>
      </c>
      <c r="AK683" s="2223" t="str" cm="1">
        <f t="array" ref="AK683">IF($D683&lt;COLUMNS($F$7:AK$7),"",INDEX(TableDiv[[GASB]:[GASB]],_xlfn.AGGREGATE(15,3,(TableDiv[[Agency]:[Agency]]=$E683)/(TableDiv[[Agency]:[Agency]]=$E683)*(ROW(TableDiv[Agency])-ROW(TableDiv[[#Headers],[Agency]])),COLUMNS($F$7:AK$7))))</f>
        <v/>
      </c>
      <c r="AL683" s="2223" t="str" cm="1">
        <f t="array" ref="AL683">IF($D683&lt;COLUMNS($F$7:AL$7),"",INDEX(TableDiv[[GASB]:[GASB]],_xlfn.AGGREGATE(15,3,(TableDiv[[Agency]:[Agency]]=$E683)/(TableDiv[[Agency]:[Agency]]=$E683)*(ROW(TableDiv[Agency])-ROW(TableDiv[[#Headers],[Agency]])),COLUMNS($F$7:AL$7))))</f>
        <v/>
      </c>
      <c r="AM683" s="2223" t="str" cm="1">
        <f t="array" ref="AM683">IF($D683&lt;COLUMNS($F$7:AM$7),"",INDEX(TableDiv[[GASB]:[GASB]],_xlfn.AGGREGATE(15,3,(TableDiv[[Agency]:[Agency]]=$E683)/(TableDiv[[Agency]:[Agency]]=$E683)*(ROW(TableDiv[Agency])-ROW(TableDiv[[#Headers],[Agency]])),COLUMNS($F$7:AM$7))))</f>
        <v/>
      </c>
      <c r="AN683" s="2223"/>
      <c r="AO683" s="2223"/>
      <c r="AP683" s="2223"/>
      <c r="AQ683" s="2223"/>
      <c r="AR683" s="2223"/>
      <c r="AS683" s="2223"/>
    </row>
    <row r="684" spans="1:45" x14ac:dyDescent="0.2">
      <c r="A684" s="2223"/>
      <c r="B684" s="2223"/>
      <c r="C684" s="2223"/>
      <c r="W684" s="2223" t="str" cm="1">
        <f t="array" ref="W684">IF($D684&lt;COLUMNS($F$7:W$7),"",INDEX(TableDiv[[GASB]:[GASB]],_xlfn.AGGREGATE(15,3,(TableDiv[[Agency]:[Agency]]=$E684)/(TableDiv[[Agency]:[Agency]]=$E684)*(ROW(TableDiv[Agency])-ROW(TableDiv[[#Headers],[Agency]])),COLUMNS($F$7:W$7))))</f>
        <v/>
      </c>
      <c r="X684" s="2223" t="str" cm="1">
        <f t="array" ref="X684">IF($D684&lt;COLUMNS($F$7:X$7),"",INDEX(TableDiv[[GASB]:[GASB]],_xlfn.AGGREGATE(15,3,(TableDiv[[Agency]:[Agency]]=$E684)/(TableDiv[[Agency]:[Agency]]=$E684)*(ROW(TableDiv[Agency])-ROW(TableDiv[[#Headers],[Agency]])),COLUMNS($F$7:X$7))))</f>
        <v/>
      </c>
      <c r="Y684" s="2223" t="str" cm="1">
        <f t="array" ref="Y684">IF($D684&lt;COLUMNS($F$7:Y$7),"",INDEX(TableDiv[[GASB]:[GASB]],_xlfn.AGGREGATE(15,3,(TableDiv[[Agency]:[Agency]]=$E684)/(TableDiv[[Agency]:[Agency]]=$E684)*(ROW(TableDiv[Agency])-ROW(TableDiv[[#Headers],[Agency]])),COLUMNS($F$7:Y$7))))</f>
        <v/>
      </c>
      <c r="Z684" s="2223" t="str" cm="1">
        <f t="array" ref="Z684">IF($D684&lt;COLUMNS($F$7:Z$7),"",INDEX(TableDiv[[GASB]:[GASB]],_xlfn.AGGREGATE(15,3,(TableDiv[[Agency]:[Agency]]=$E684)/(TableDiv[[Agency]:[Agency]]=$E684)*(ROW(TableDiv[Agency])-ROW(TableDiv[[#Headers],[Agency]])),COLUMNS($F$7:Z$7))))</f>
        <v/>
      </c>
      <c r="AA684" s="2223" t="str" cm="1">
        <f t="array" ref="AA684">IF($D684&lt;COLUMNS($F$7:AA$7),"",INDEX(TableDiv[[GASB]:[GASB]],_xlfn.AGGREGATE(15,3,(TableDiv[[Agency]:[Agency]]=$E684)/(TableDiv[[Agency]:[Agency]]=$E684)*(ROW(TableDiv[Agency])-ROW(TableDiv[[#Headers],[Agency]])),COLUMNS($F$7:AA$7))))</f>
        <v/>
      </c>
      <c r="AB684" s="2223" t="str" cm="1">
        <f t="array" ref="AB684">IF($D684&lt;COLUMNS($F$7:AB$7),"",INDEX(TableDiv[[GASB]:[GASB]],_xlfn.AGGREGATE(15,3,(TableDiv[[Agency]:[Agency]]=$E684)/(TableDiv[[Agency]:[Agency]]=$E684)*(ROW(TableDiv[Agency])-ROW(TableDiv[[#Headers],[Agency]])),COLUMNS($F$7:AB$7))))</f>
        <v/>
      </c>
      <c r="AC684" s="2223" t="str" cm="1">
        <f t="array" ref="AC684">IF($D684&lt;COLUMNS($F$7:AC$7),"",INDEX(TableDiv[[GASB]:[GASB]],_xlfn.AGGREGATE(15,3,(TableDiv[[Agency]:[Agency]]=$E684)/(TableDiv[[Agency]:[Agency]]=$E684)*(ROW(TableDiv[Agency])-ROW(TableDiv[[#Headers],[Agency]])),COLUMNS($F$7:AC$7))))</f>
        <v/>
      </c>
      <c r="AD684" s="2223" t="str" cm="1">
        <f t="array" ref="AD684">IF($D684&lt;COLUMNS($F$7:AD$7),"",INDEX(TableDiv[[GASB]:[GASB]],_xlfn.AGGREGATE(15,3,(TableDiv[[Agency]:[Agency]]=$E684)/(TableDiv[[Agency]:[Agency]]=$E684)*(ROW(TableDiv[Agency])-ROW(TableDiv[[#Headers],[Agency]])),COLUMNS($F$7:AD$7))))</f>
        <v/>
      </c>
      <c r="AE684" s="2223" t="str" cm="1">
        <f t="array" ref="AE684">IF($D684&lt;COLUMNS($F$7:AE$7),"",INDEX(TableDiv[[GASB]:[GASB]],_xlfn.AGGREGATE(15,3,(TableDiv[[Agency]:[Agency]]=$E684)/(TableDiv[[Agency]:[Agency]]=$E684)*(ROW(TableDiv[Agency])-ROW(TableDiv[[#Headers],[Agency]])),COLUMNS($F$7:AE$7))))</f>
        <v/>
      </c>
      <c r="AF684" s="2223" t="str" cm="1">
        <f t="array" ref="AF684">IF($D684&lt;COLUMNS($F$7:AF$7),"",INDEX(TableDiv[[GASB]:[GASB]],_xlfn.AGGREGATE(15,3,(TableDiv[[Agency]:[Agency]]=$E684)/(TableDiv[[Agency]:[Agency]]=$E684)*(ROW(TableDiv[Agency])-ROW(TableDiv[[#Headers],[Agency]])),COLUMNS($F$7:AF$7))))</f>
        <v/>
      </c>
      <c r="AG684" s="2223" t="str" cm="1">
        <f t="array" ref="AG684">IF($D684&lt;COLUMNS($F$7:AG$7),"",INDEX(TableDiv[[GASB]:[GASB]],_xlfn.AGGREGATE(15,3,(TableDiv[[Agency]:[Agency]]=$E684)/(TableDiv[[Agency]:[Agency]]=$E684)*(ROW(TableDiv[Agency])-ROW(TableDiv[[#Headers],[Agency]])),COLUMNS($F$7:AG$7))))</f>
        <v/>
      </c>
      <c r="AH684" s="2223" t="str" cm="1">
        <f t="array" ref="AH684">IF($D684&lt;COLUMNS($F$7:AH$7),"",INDEX(TableDiv[[GASB]:[GASB]],_xlfn.AGGREGATE(15,3,(TableDiv[[Agency]:[Agency]]=$E684)/(TableDiv[[Agency]:[Agency]]=$E684)*(ROW(TableDiv[Agency])-ROW(TableDiv[[#Headers],[Agency]])),COLUMNS($F$7:AH$7))))</f>
        <v/>
      </c>
      <c r="AI684" s="2223" t="str" cm="1">
        <f t="array" ref="AI684">IF($D684&lt;COLUMNS($F$7:AI$7),"",INDEX(TableDiv[[GASB]:[GASB]],_xlfn.AGGREGATE(15,3,(TableDiv[[Agency]:[Agency]]=$E684)/(TableDiv[[Agency]:[Agency]]=$E684)*(ROW(TableDiv[Agency])-ROW(TableDiv[[#Headers],[Agency]])),COLUMNS($F$7:AI$7))))</f>
        <v/>
      </c>
      <c r="AJ684" s="2223" t="str" cm="1">
        <f t="array" ref="AJ684">IF($D684&lt;COLUMNS($F$7:AJ$7),"",INDEX(TableDiv[[GASB]:[GASB]],_xlfn.AGGREGATE(15,3,(TableDiv[[Agency]:[Agency]]=$E684)/(TableDiv[[Agency]:[Agency]]=$E684)*(ROW(TableDiv[Agency])-ROW(TableDiv[[#Headers],[Agency]])),COLUMNS($F$7:AJ$7))))</f>
        <v/>
      </c>
      <c r="AK684" s="2223" t="str" cm="1">
        <f t="array" ref="AK684">IF($D684&lt;COLUMNS($F$7:AK$7),"",INDEX(TableDiv[[GASB]:[GASB]],_xlfn.AGGREGATE(15,3,(TableDiv[[Agency]:[Agency]]=$E684)/(TableDiv[[Agency]:[Agency]]=$E684)*(ROW(TableDiv[Agency])-ROW(TableDiv[[#Headers],[Agency]])),COLUMNS($F$7:AK$7))))</f>
        <v/>
      </c>
      <c r="AL684" s="2223" t="str" cm="1">
        <f t="array" ref="AL684">IF($D684&lt;COLUMNS($F$7:AL$7),"",INDEX(TableDiv[[GASB]:[GASB]],_xlfn.AGGREGATE(15,3,(TableDiv[[Agency]:[Agency]]=$E684)/(TableDiv[[Agency]:[Agency]]=$E684)*(ROW(TableDiv[Agency])-ROW(TableDiv[[#Headers],[Agency]])),COLUMNS($F$7:AL$7))))</f>
        <v/>
      </c>
      <c r="AM684" s="2223" t="str" cm="1">
        <f t="array" ref="AM684">IF($D684&lt;COLUMNS($F$7:AM$7),"",INDEX(TableDiv[[GASB]:[GASB]],_xlfn.AGGREGATE(15,3,(TableDiv[[Agency]:[Agency]]=$E684)/(TableDiv[[Agency]:[Agency]]=$E684)*(ROW(TableDiv[Agency])-ROW(TableDiv[[#Headers],[Agency]])),COLUMNS($F$7:AM$7))))</f>
        <v/>
      </c>
      <c r="AN684" s="2223"/>
      <c r="AO684" s="2223"/>
      <c r="AP684" s="2223"/>
      <c r="AQ684" s="2223"/>
      <c r="AR684" s="2223"/>
      <c r="AS684" s="2223"/>
    </row>
    <row r="685" spans="1:45" x14ac:dyDescent="0.2">
      <c r="A685" s="2223"/>
      <c r="B685" s="2223"/>
      <c r="C685" s="2223"/>
      <c r="W685" s="2223" t="str" cm="1">
        <f t="array" ref="W685">IF($D685&lt;COLUMNS($F$7:W$7),"",INDEX(TableDiv[[GASB]:[GASB]],_xlfn.AGGREGATE(15,3,(TableDiv[[Agency]:[Agency]]=$E685)/(TableDiv[[Agency]:[Agency]]=$E685)*(ROW(TableDiv[Agency])-ROW(TableDiv[[#Headers],[Agency]])),COLUMNS($F$7:W$7))))</f>
        <v/>
      </c>
      <c r="X685" s="2223" t="str" cm="1">
        <f t="array" ref="X685">IF($D685&lt;COLUMNS($F$7:X$7),"",INDEX(TableDiv[[GASB]:[GASB]],_xlfn.AGGREGATE(15,3,(TableDiv[[Agency]:[Agency]]=$E685)/(TableDiv[[Agency]:[Agency]]=$E685)*(ROW(TableDiv[Agency])-ROW(TableDiv[[#Headers],[Agency]])),COLUMNS($F$7:X$7))))</f>
        <v/>
      </c>
      <c r="Y685" s="2223" t="str" cm="1">
        <f t="array" ref="Y685">IF($D685&lt;COLUMNS($F$7:Y$7),"",INDEX(TableDiv[[GASB]:[GASB]],_xlfn.AGGREGATE(15,3,(TableDiv[[Agency]:[Agency]]=$E685)/(TableDiv[[Agency]:[Agency]]=$E685)*(ROW(TableDiv[Agency])-ROW(TableDiv[[#Headers],[Agency]])),COLUMNS($F$7:Y$7))))</f>
        <v/>
      </c>
      <c r="Z685" s="2223" t="str" cm="1">
        <f t="array" ref="Z685">IF($D685&lt;COLUMNS($F$7:Z$7),"",INDEX(TableDiv[[GASB]:[GASB]],_xlfn.AGGREGATE(15,3,(TableDiv[[Agency]:[Agency]]=$E685)/(TableDiv[[Agency]:[Agency]]=$E685)*(ROW(TableDiv[Agency])-ROW(TableDiv[[#Headers],[Agency]])),COLUMNS($F$7:Z$7))))</f>
        <v/>
      </c>
      <c r="AA685" s="2223" t="str" cm="1">
        <f t="array" ref="AA685">IF($D685&lt;COLUMNS($F$7:AA$7),"",INDEX(TableDiv[[GASB]:[GASB]],_xlfn.AGGREGATE(15,3,(TableDiv[[Agency]:[Agency]]=$E685)/(TableDiv[[Agency]:[Agency]]=$E685)*(ROW(TableDiv[Agency])-ROW(TableDiv[[#Headers],[Agency]])),COLUMNS($F$7:AA$7))))</f>
        <v/>
      </c>
      <c r="AB685" s="2223" t="str" cm="1">
        <f t="array" ref="AB685">IF($D685&lt;COLUMNS($F$7:AB$7),"",INDEX(TableDiv[[GASB]:[GASB]],_xlfn.AGGREGATE(15,3,(TableDiv[[Agency]:[Agency]]=$E685)/(TableDiv[[Agency]:[Agency]]=$E685)*(ROW(TableDiv[Agency])-ROW(TableDiv[[#Headers],[Agency]])),COLUMNS($F$7:AB$7))))</f>
        <v/>
      </c>
      <c r="AC685" s="2223" t="str" cm="1">
        <f t="array" ref="AC685">IF($D685&lt;COLUMNS($F$7:AC$7),"",INDEX(TableDiv[[GASB]:[GASB]],_xlfn.AGGREGATE(15,3,(TableDiv[[Agency]:[Agency]]=$E685)/(TableDiv[[Agency]:[Agency]]=$E685)*(ROW(TableDiv[Agency])-ROW(TableDiv[[#Headers],[Agency]])),COLUMNS($F$7:AC$7))))</f>
        <v/>
      </c>
      <c r="AD685" s="2223" t="str" cm="1">
        <f t="array" ref="AD685">IF($D685&lt;COLUMNS($F$7:AD$7),"",INDEX(TableDiv[[GASB]:[GASB]],_xlfn.AGGREGATE(15,3,(TableDiv[[Agency]:[Agency]]=$E685)/(TableDiv[[Agency]:[Agency]]=$E685)*(ROW(TableDiv[Agency])-ROW(TableDiv[[#Headers],[Agency]])),COLUMNS($F$7:AD$7))))</f>
        <v/>
      </c>
      <c r="AE685" s="2223" t="str" cm="1">
        <f t="array" ref="AE685">IF($D685&lt;COLUMNS($F$7:AE$7),"",INDEX(TableDiv[[GASB]:[GASB]],_xlfn.AGGREGATE(15,3,(TableDiv[[Agency]:[Agency]]=$E685)/(TableDiv[[Agency]:[Agency]]=$E685)*(ROW(TableDiv[Agency])-ROW(TableDiv[[#Headers],[Agency]])),COLUMNS($F$7:AE$7))))</f>
        <v/>
      </c>
      <c r="AF685" s="2223" t="str" cm="1">
        <f t="array" ref="AF685">IF($D685&lt;COLUMNS($F$7:AF$7),"",INDEX(TableDiv[[GASB]:[GASB]],_xlfn.AGGREGATE(15,3,(TableDiv[[Agency]:[Agency]]=$E685)/(TableDiv[[Agency]:[Agency]]=$E685)*(ROW(TableDiv[Agency])-ROW(TableDiv[[#Headers],[Agency]])),COLUMNS($F$7:AF$7))))</f>
        <v/>
      </c>
      <c r="AG685" s="2223" t="str" cm="1">
        <f t="array" ref="AG685">IF($D685&lt;COLUMNS($F$7:AG$7),"",INDEX(TableDiv[[GASB]:[GASB]],_xlfn.AGGREGATE(15,3,(TableDiv[[Agency]:[Agency]]=$E685)/(TableDiv[[Agency]:[Agency]]=$E685)*(ROW(TableDiv[Agency])-ROW(TableDiv[[#Headers],[Agency]])),COLUMNS($F$7:AG$7))))</f>
        <v/>
      </c>
      <c r="AH685" s="2223" t="str" cm="1">
        <f t="array" ref="AH685">IF($D685&lt;COLUMNS($F$7:AH$7),"",INDEX(TableDiv[[GASB]:[GASB]],_xlfn.AGGREGATE(15,3,(TableDiv[[Agency]:[Agency]]=$E685)/(TableDiv[[Agency]:[Agency]]=$E685)*(ROW(TableDiv[Agency])-ROW(TableDiv[[#Headers],[Agency]])),COLUMNS($F$7:AH$7))))</f>
        <v/>
      </c>
      <c r="AI685" s="2223" t="str" cm="1">
        <f t="array" ref="AI685">IF($D685&lt;COLUMNS($F$7:AI$7),"",INDEX(TableDiv[[GASB]:[GASB]],_xlfn.AGGREGATE(15,3,(TableDiv[[Agency]:[Agency]]=$E685)/(TableDiv[[Agency]:[Agency]]=$E685)*(ROW(TableDiv[Agency])-ROW(TableDiv[[#Headers],[Agency]])),COLUMNS($F$7:AI$7))))</f>
        <v/>
      </c>
      <c r="AJ685" s="2223" t="str" cm="1">
        <f t="array" ref="AJ685">IF($D685&lt;COLUMNS($F$7:AJ$7),"",INDEX(TableDiv[[GASB]:[GASB]],_xlfn.AGGREGATE(15,3,(TableDiv[[Agency]:[Agency]]=$E685)/(TableDiv[[Agency]:[Agency]]=$E685)*(ROW(TableDiv[Agency])-ROW(TableDiv[[#Headers],[Agency]])),COLUMNS($F$7:AJ$7))))</f>
        <v/>
      </c>
      <c r="AK685" s="2223" t="str" cm="1">
        <f t="array" ref="AK685">IF($D685&lt;COLUMNS($F$7:AK$7),"",INDEX(TableDiv[[GASB]:[GASB]],_xlfn.AGGREGATE(15,3,(TableDiv[[Agency]:[Agency]]=$E685)/(TableDiv[[Agency]:[Agency]]=$E685)*(ROW(TableDiv[Agency])-ROW(TableDiv[[#Headers],[Agency]])),COLUMNS($F$7:AK$7))))</f>
        <v/>
      </c>
      <c r="AL685" s="2223" t="str" cm="1">
        <f t="array" ref="AL685">IF($D685&lt;COLUMNS($F$7:AL$7),"",INDEX(TableDiv[[GASB]:[GASB]],_xlfn.AGGREGATE(15,3,(TableDiv[[Agency]:[Agency]]=$E685)/(TableDiv[[Agency]:[Agency]]=$E685)*(ROW(TableDiv[Agency])-ROW(TableDiv[[#Headers],[Agency]])),COLUMNS($F$7:AL$7))))</f>
        <v/>
      </c>
      <c r="AM685" s="2223" t="str" cm="1">
        <f t="array" ref="AM685">IF($D685&lt;COLUMNS($F$7:AM$7),"",INDEX(TableDiv[[GASB]:[GASB]],_xlfn.AGGREGATE(15,3,(TableDiv[[Agency]:[Agency]]=$E685)/(TableDiv[[Agency]:[Agency]]=$E685)*(ROW(TableDiv[Agency])-ROW(TableDiv[[#Headers],[Agency]])),COLUMNS($F$7:AM$7))))</f>
        <v/>
      </c>
      <c r="AN685" s="2223"/>
      <c r="AO685" s="2223"/>
      <c r="AP685" s="2223"/>
      <c r="AQ685" s="2223"/>
      <c r="AR685" s="2223"/>
      <c r="AS685" s="2223"/>
    </row>
    <row r="686" spans="1:45" x14ac:dyDescent="0.2">
      <c r="A686" s="2223"/>
      <c r="B686" s="2223"/>
      <c r="C686" s="2223"/>
      <c r="W686" s="2223" t="str" cm="1">
        <f t="array" ref="W686">IF($D686&lt;COLUMNS($F$7:W$7),"",INDEX(TableDiv[[GASB]:[GASB]],_xlfn.AGGREGATE(15,3,(TableDiv[[Agency]:[Agency]]=$E686)/(TableDiv[[Agency]:[Agency]]=$E686)*(ROW(TableDiv[Agency])-ROW(TableDiv[[#Headers],[Agency]])),COLUMNS($F$7:W$7))))</f>
        <v/>
      </c>
      <c r="X686" s="2223" t="str" cm="1">
        <f t="array" ref="X686">IF($D686&lt;COLUMNS($F$7:X$7),"",INDEX(TableDiv[[GASB]:[GASB]],_xlfn.AGGREGATE(15,3,(TableDiv[[Agency]:[Agency]]=$E686)/(TableDiv[[Agency]:[Agency]]=$E686)*(ROW(TableDiv[Agency])-ROW(TableDiv[[#Headers],[Agency]])),COLUMNS($F$7:X$7))))</f>
        <v/>
      </c>
      <c r="Y686" s="2223" t="str" cm="1">
        <f t="array" ref="Y686">IF($D686&lt;COLUMNS($F$7:Y$7),"",INDEX(TableDiv[[GASB]:[GASB]],_xlfn.AGGREGATE(15,3,(TableDiv[[Agency]:[Agency]]=$E686)/(TableDiv[[Agency]:[Agency]]=$E686)*(ROW(TableDiv[Agency])-ROW(TableDiv[[#Headers],[Agency]])),COLUMNS($F$7:Y$7))))</f>
        <v/>
      </c>
      <c r="Z686" s="2223" t="str" cm="1">
        <f t="array" ref="Z686">IF($D686&lt;COLUMNS($F$7:Z$7),"",INDEX(TableDiv[[GASB]:[GASB]],_xlfn.AGGREGATE(15,3,(TableDiv[[Agency]:[Agency]]=$E686)/(TableDiv[[Agency]:[Agency]]=$E686)*(ROW(TableDiv[Agency])-ROW(TableDiv[[#Headers],[Agency]])),COLUMNS($F$7:Z$7))))</f>
        <v/>
      </c>
      <c r="AA686" s="2223" t="str" cm="1">
        <f t="array" ref="AA686">IF($D686&lt;COLUMNS($F$7:AA$7),"",INDEX(TableDiv[[GASB]:[GASB]],_xlfn.AGGREGATE(15,3,(TableDiv[[Agency]:[Agency]]=$E686)/(TableDiv[[Agency]:[Agency]]=$E686)*(ROW(TableDiv[Agency])-ROW(TableDiv[[#Headers],[Agency]])),COLUMNS($F$7:AA$7))))</f>
        <v/>
      </c>
      <c r="AB686" s="2223" t="str" cm="1">
        <f t="array" ref="AB686">IF($D686&lt;COLUMNS($F$7:AB$7),"",INDEX(TableDiv[[GASB]:[GASB]],_xlfn.AGGREGATE(15,3,(TableDiv[[Agency]:[Agency]]=$E686)/(TableDiv[[Agency]:[Agency]]=$E686)*(ROW(TableDiv[Agency])-ROW(TableDiv[[#Headers],[Agency]])),COLUMNS($F$7:AB$7))))</f>
        <v/>
      </c>
      <c r="AC686" s="2223" t="str" cm="1">
        <f t="array" ref="AC686">IF($D686&lt;COLUMNS($F$7:AC$7),"",INDEX(TableDiv[[GASB]:[GASB]],_xlfn.AGGREGATE(15,3,(TableDiv[[Agency]:[Agency]]=$E686)/(TableDiv[[Agency]:[Agency]]=$E686)*(ROW(TableDiv[Agency])-ROW(TableDiv[[#Headers],[Agency]])),COLUMNS($F$7:AC$7))))</f>
        <v/>
      </c>
      <c r="AD686" s="2223" t="str" cm="1">
        <f t="array" ref="AD686">IF($D686&lt;COLUMNS($F$7:AD$7),"",INDEX(TableDiv[[GASB]:[GASB]],_xlfn.AGGREGATE(15,3,(TableDiv[[Agency]:[Agency]]=$E686)/(TableDiv[[Agency]:[Agency]]=$E686)*(ROW(TableDiv[Agency])-ROW(TableDiv[[#Headers],[Agency]])),COLUMNS($F$7:AD$7))))</f>
        <v/>
      </c>
      <c r="AE686" s="2223" t="str" cm="1">
        <f t="array" ref="AE686">IF($D686&lt;COLUMNS($F$7:AE$7),"",INDEX(TableDiv[[GASB]:[GASB]],_xlfn.AGGREGATE(15,3,(TableDiv[[Agency]:[Agency]]=$E686)/(TableDiv[[Agency]:[Agency]]=$E686)*(ROW(TableDiv[Agency])-ROW(TableDiv[[#Headers],[Agency]])),COLUMNS($F$7:AE$7))))</f>
        <v/>
      </c>
      <c r="AF686" s="2223" t="str" cm="1">
        <f t="array" ref="AF686">IF($D686&lt;COLUMNS($F$7:AF$7),"",INDEX(TableDiv[[GASB]:[GASB]],_xlfn.AGGREGATE(15,3,(TableDiv[[Agency]:[Agency]]=$E686)/(TableDiv[[Agency]:[Agency]]=$E686)*(ROW(TableDiv[Agency])-ROW(TableDiv[[#Headers],[Agency]])),COLUMNS($F$7:AF$7))))</f>
        <v/>
      </c>
      <c r="AG686" s="2223" t="str" cm="1">
        <f t="array" ref="AG686">IF($D686&lt;COLUMNS($F$7:AG$7),"",INDEX(TableDiv[[GASB]:[GASB]],_xlfn.AGGREGATE(15,3,(TableDiv[[Agency]:[Agency]]=$E686)/(TableDiv[[Agency]:[Agency]]=$E686)*(ROW(TableDiv[Agency])-ROW(TableDiv[[#Headers],[Agency]])),COLUMNS($F$7:AG$7))))</f>
        <v/>
      </c>
      <c r="AH686" s="2223" t="str" cm="1">
        <f t="array" ref="AH686">IF($D686&lt;COLUMNS($F$7:AH$7),"",INDEX(TableDiv[[GASB]:[GASB]],_xlfn.AGGREGATE(15,3,(TableDiv[[Agency]:[Agency]]=$E686)/(TableDiv[[Agency]:[Agency]]=$E686)*(ROW(TableDiv[Agency])-ROW(TableDiv[[#Headers],[Agency]])),COLUMNS($F$7:AH$7))))</f>
        <v/>
      </c>
      <c r="AI686" s="2223" t="str" cm="1">
        <f t="array" ref="AI686">IF($D686&lt;COLUMNS($F$7:AI$7),"",INDEX(TableDiv[[GASB]:[GASB]],_xlfn.AGGREGATE(15,3,(TableDiv[[Agency]:[Agency]]=$E686)/(TableDiv[[Agency]:[Agency]]=$E686)*(ROW(TableDiv[Agency])-ROW(TableDiv[[#Headers],[Agency]])),COLUMNS($F$7:AI$7))))</f>
        <v/>
      </c>
      <c r="AJ686" s="2223" t="str" cm="1">
        <f t="array" ref="AJ686">IF($D686&lt;COLUMNS($F$7:AJ$7),"",INDEX(TableDiv[[GASB]:[GASB]],_xlfn.AGGREGATE(15,3,(TableDiv[[Agency]:[Agency]]=$E686)/(TableDiv[[Agency]:[Agency]]=$E686)*(ROW(TableDiv[Agency])-ROW(TableDiv[[#Headers],[Agency]])),COLUMNS($F$7:AJ$7))))</f>
        <v/>
      </c>
      <c r="AK686" s="2223" t="str" cm="1">
        <f t="array" ref="AK686">IF($D686&lt;COLUMNS($F$7:AK$7),"",INDEX(TableDiv[[GASB]:[GASB]],_xlfn.AGGREGATE(15,3,(TableDiv[[Agency]:[Agency]]=$E686)/(TableDiv[[Agency]:[Agency]]=$E686)*(ROW(TableDiv[Agency])-ROW(TableDiv[[#Headers],[Agency]])),COLUMNS($F$7:AK$7))))</f>
        <v/>
      </c>
      <c r="AL686" s="2223" t="str" cm="1">
        <f t="array" ref="AL686">IF($D686&lt;COLUMNS($F$7:AL$7),"",INDEX(TableDiv[[GASB]:[GASB]],_xlfn.AGGREGATE(15,3,(TableDiv[[Agency]:[Agency]]=$E686)/(TableDiv[[Agency]:[Agency]]=$E686)*(ROW(TableDiv[Agency])-ROW(TableDiv[[#Headers],[Agency]])),COLUMNS($F$7:AL$7))))</f>
        <v/>
      </c>
      <c r="AM686" s="2223" t="str" cm="1">
        <f t="array" ref="AM686">IF($D686&lt;COLUMNS($F$7:AM$7),"",INDEX(TableDiv[[GASB]:[GASB]],_xlfn.AGGREGATE(15,3,(TableDiv[[Agency]:[Agency]]=$E686)/(TableDiv[[Agency]:[Agency]]=$E686)*(ROW(TableDiv[Agency])-ROW(TableDiv[[#Headers],[Agency]])),COLUMNS($F$7:AM$7))))</f>
        <v/>
      </c>
      <c r="AN686" s="2223"/>
      <c r="AO686" s="2223"/>
      <c r="AP686" s="2223"/>
      <c r="AQ686" s="2223"/>
      <c r="AR686" s="2223"/>
      <c r="AS686" s="2223"/>
    </row>
    <row r="687" spans="1:45" x14ac:dyDescent="0.2">
      <c r="A687" s="2223"/>
      <c r="B687" s="2223"/>
      <c r="C687" s="2223"/>
      <c r="W687" s="2223" t="str" cm="1">
        <f t="array" ref="W687">IF($D687&lt;COLUMNS($F$7:W$7),"",INDEX(TableDiv[[GASB]:[GASB]],_xlfn.AGGREGATE(15,3,(TableDiv[[Agency]:[Agency]]=$E687)/(TableDiv[[Agency]:[Agency]]=$E687)*(ROW(TableDiv[Agency])-ROW(TableDiv[[#Headers],[Agency]])),COLUMNS($F$7:W$7))))</f>
        <v/>
      </c>
      <c r="X687" s="2223" t="str" cm="1">
        <f t="array" ref="X687">IF($D687&lt;COLUMNS($F$7:X$7),"",INDEX(TableDiv[[GASB]:[GASB]],_xlfn.AGGREGATE(15,3,(TableDiv[[Agency]:[Agency]]=$E687)/(TableDiv[[Agency]:[Agency]]=$E687)*(ROW(TableDiv[Agency])-ROW(TableDiv[[#Headers],[Agency]])),COLUMNS($F$7:X$7))))</f>
        <v/>
      </c>
      <c r="Y687" s="2223" t="str" cm="1">
        <f t="array" ref="Y687">IF($D687&lt;COLUMNS($F$7:Y$7),"",INDEX(TableDiv[[GASB]:[GASB]],_xlfn.AGGREGATE(15,3,(TableDiv[[Agency]:[Agency]]=$E687)/(TableDiv[[Agency]:[Agency]]=$E687)*(ROW(TableDiv[Agency])-ROW(TableDiv[[#Headers],[Agency]])),COLUMNS($F$7:Y$7))))</f>
        <v/>
      </c>
      <c r="Z687" s="2223" t="str" cm="1">
        <f t="array" ref="Z687">IF($D687&lt;COLUMNS($F$7:Z$7),"",INDEX(TableDiv[[GASB]:[GASB]],_xlfn.AGGREGATE(15,3,(TableDiv[[Agency]:[Agency]]=$E687)/(TableDiv[[Agency]:[Agency]]=$E687)*(ROW(TableDiv[Agency])-ROW(TableDiv[[#Headers],[Agency]])),COLUMNS($F$7:Z$7))))</f>
        <v/>
      </c>
      <c r="AA687" s="2223" t="str" cm="1">
        <f t="array" ref="AA687">IF($D687&lt;COLUMNS($F$7:AA$7),"",INDEX(TableDiv[[GASB]:[GASB]],_xlfn.AGGREGATE(15,3,(TableDiv[[Agency]:[Agency]]=$E687)/(TableDiv[[Agency]:[Agency]]=$E687)*(ROW(TableDiv[Agency])-ROW(TableDiv[[#Headers],[Agency]])),COLUMNS($F$7:AA$7))))</f>
        <v/>
      </c>
      <c r="AB687" s="2223" t="str" cm="1">
        <f t="array" ref="AB687">IF($D687&lt;COLUMNS($F$7:AB$7),"",INDEX(TableDiv[[GASB]:[GASB]],_xlfn.AGGREGATE(15,3,(TableDiv[[Agency]:[Agency]]=$E687)/(TableDiv[[Agency]:[Agency]]=$E687)*(ROW(TableDiv[Agency])-ROW(TableDiv[[#Headers],[Agency]])),COLUMNS($F$7:AB$7))))</f>
        <v/>
      </c>
      <c r="AC687" s="2223" t="str" cm="1">
        <f t="array" ref="AC687">IF($D687&lt;COLUMNS($F$7:AC$7),"",INDEX(TableDiv[[GASB]:[GASB]],_xlfn.AGGREGATE(15,3,(TableDiv[[Agency]:[Agency]]=$E687)/(TableDiv[[Agency]:[Agency]]=$E687)*(ROW(TableDiv[Agency])-ROW(TableDiv[[#Headers],[Agency]])),COLUMNS($F$7:AC$7))))</f>
        <v/>
      </c>
      <c r="AD687" s="2223" t="str" cm="1">
        <f t="array" ref="AD687">IF($D687&lt;COLUMNS($F$7:AD$7),"",INDEX(TableDiv[[GASB]:[GASB]],_xlfn.AGGREGATE(15,3,(TableDiv[[Agency]:[Agency]]=$E687)/(TableDiv[[Agency]:[Agency]]=$E687)*(ROW(TableDiv[Agency])-ROW(TableDiv[[#Headers],[Agency]])),COLUMNS($F$7:AD$7))))</f>
        <v/>
      </c>
      <c r="AE687" s="2223" t="str" cm="1">
        <f t="array" ref="AE687">IF($D687&lt;COLUMNS($F$7:AE$7),"",INDEX(TableDiv[[GASB]:[GASB]],_xlfn.AGGREGATE(15,3,(TableDiv[[Agency]:[Agency]]=$E687)/(TableDiv[[Agency]:[Agency]]=$E687)*(ROW(TableDiv[Agency])-ROW(TableDiv[[#Headers],[Agency]])),COLUMNS($F$7:AE$7))))</f>
        <v/>
      </c>
      <c r="AF687" s="2223" t="str" cm="1">
        <f t="array" ref="AF687">IF($D687&lt;COLUMNS($F$7:AF$7),"",INDEX(TableDiv[[GASB]:[GASB]],_xlfn.AGGREGATE(15,3,(TableDiv[[Agency]:[Agency]]=$E687)/(TableDiv[[Agency]:[Agency]]=$E687)*(ROW(TableDiv[Agency])-ROW(TableDiv[[#Headers],[Agency]])),COLUMNS($F$7:AF$7))))</f>
        <v/>
      </c>
      <c r="AG687" s="2223" t="str" cm="1">
        <f t="array" ref="AG687">IF($D687&lt;COLUMNS($F$7:AG$7),"",INDEX(TableDiv[[GASB]:[GASB]],_xlfn.AGGREGATE(15,3,(TableDiv[[Agency]:[Agency]]=$E687)/(TableDiv[[Agency]:[Agency]]=$E687)*(ROW(TableDiv[Agency])-ROW(TableDiv[[#Headers],[Agency]])),COLUMNS($F$7:AG$7))))</f>
        <v/>
      </c>
      <c r="AH687" s="2223" t="str" cm="1">
        <f t="array" ref="AH687">IF($D687&lt;COLUMNS($F$7:AH$7),"",INDEX(TableDiv[[GASB]:[GASB]],_xlfn.AGGREGATE(15,3,(TableDiv[[Agency]:[Agency]]=$E687)/(TableDiv[[Agency]:[Agency]]=$E687)*(ROW(TableDiv[Agency])-ROW(TableDiv[[#Headers],[Agency]])),COLUMNS($F$7:AH$7))))</f>
        <v/>
      </c>
      <c r="AI687" s="2223" t="str" cm="1">
        <f t="array" ref="AI687">IF($D687&lt;COLUMNS($F$7:AI$7),"",INDEX(TableDiv[[GASB]:[GASB]],_xlfn.AGGREGATE(15,3,(TableDiv[[Agency]:[Agency]]=$E687)/(TableDiv[[Agency]:[Agency]]=$E687)*(ROW(TableDiv[Agency])-ROW(TableDiv[[#Headers],[Agency]])),COLUMNS($F$7:AI$7))))</f>
        <v/>
      </c>
      <c r="AJ687" s="2223" t="str" cm="1">
        <f t="array" ref="AJ687">IF($D687&lt;COLUMNS($F$7:AJ$7),"",INDEX(TableDiv[[GASB]:[GASB]],_xlfn.AGGREGATE(15,3,(TableDiv[[Agency]:[Agency]]=$E687)/(TableDiv[[Agency]:[Agency]]=$E687)*(ROW(TableDiv[Agency])-ROW(TableDiv[[#Headers],[Agency]])),COLUMNS($F$7:AJ$7))))</f>
        <v/>
      </c>
      <c r="AK687" s="2223" t="str" cm="1">
        <f t="array" ref="AK687">IF($D687&lt;COLUMNS($F$7:AK$7),"",INDEX(TableDiv[[GASB]:[GASB]],_xlfn.AGGREGATE(15,3,(TableDiv[[Agency]:[Agency]]=$E687)/(TableDiv[[Agency]:[Agency]]=$E687)*(ROW(TableDiv[Agency])-ROW(TableDiv[[#Headers],[Agency]])),COLUMNS($F$7:AK$7))))</f>
        <v/>
      </c>
      <c r="AL687" s="2223" t="str" cm="1">
        <f t="array" ref="AL687">IF($D687&lt;COLUMNS($F$7:AL$7),"",INDEX(TableDiv[[GASB]:[GASB]],_xlfn.AGGREGATE(15,3,(TableDiv[[Agency]:[Agency]]=$E687)/(TableDiv[[Agency]:[Agency]]=$E687)*(ROW(TableDiv[Agency])-ROW(TableDiv[[#Headers],[Agency]])),COLUMNS($F$7:AL$7))))</f>
        <v/>
      </c>
      <c r="AM687" s="2223" t="str" cm="1">
        <f t="array" ref="AM687">IF($D687&lt;COLUMNS($F$7:AM$7),"",INDEX(TableDiv[[GASB]:[GASB]],_xlfn.AGGREGATE(15,3,(TableDiv[[Agency]:[Agency]]=$E687)/(TableDiv[[Agency]:[Agency]]=$E687)*(ROW(TableDiv[Agency])-ROW(TableDiv[[#Headers],[Agency]])),COLUMNS($F$7:AM$7))))</f>
        <v/>
      </c>
      <c r="AN687" s="2223"/>
      <c r="AO687" s="2223"/>
      <c r="AP687" s="2223"/>
      <c r="AQ687" s="2223"/>
      <c r="AR687" s="2223"/>
      <c r="AS687" s="2223"/>
    </row>
    <row r="688" spans="1:45" x14ac:dyDescent="0.2">
      <c r="A688" s="2223"/>
      <c r="B688" s="2223"/>
      <c r="C688" s="2223"/>
      <c r="W688" s="2223" t="str" cm="1">
        <f t="array" ref="W688">IF($D688&lt;COLUMNS($F$7:W$7),"",INDEX(TableDiv[[GASB]:[GASB]],_xlfn.AGGREGATE(15,3,(TableDiv[[Agency]:[Agency]]=$E688)/(TableDiv[[Agency]:[Agency]]=$E688)*(ROW(TableDiv[Agency])-ROW(TableDiv[[#Headers],[Agency]])),COLUMNS($F$7:W$7))))</f>
        <v/>
      </c>
      <c r="X688" s="2223" t="str" cm="1">
        <f t="array" ref="X688">IF($D688&lt;COLUMNS($F$7:X$7),"",INDEX(TableDiv[[GASB]:[GASB]],_xlfn.AGGREGATE(15,3,(TableDiv[[Agency]:[Agency]]=$E688)/(TableDiv[[Agency]:[Agency]]=$E688)*(ROW(TableDiv[Agency])-ROW(TableDiv[[#Headers],[Agency]])),COLUMNS($F$7:X$7))))</f>
        <v/>
      </c>
      <c r="Y688" s="2223" t="str" cm="1">
        <f t="array" ref="Y688">IF($D688&lt;COLUMNS($F$7:Y$7),"",INDEX(TableDiv[[GASB]:[GASB]],_xlfn.AGGREGATE(15,3,(TableDiv[[Agency]:[Agency]]=$E688)/(TableDiv[[Agency]:[Agency]]=$E688)*(ROW(TableDiv[Agency])-ROW(TableDiv[[#Headers],[Agency]])),COLUMNS($F$7:Y$7))))</f>
        <v/>
      </c>
      <c r="Z688" s="2223" t="str" cm="1">
        <f t="array" ref="Z688">IF($D688&lt;COLUMNS($F$7:Z$7),"",INDEX(TableDiv[[GASB]:[GASB]],_xlfn.AGGREGATE(15,3,(TableDiv[[Agency]:[Agency]]=$E688)/(TableDiv[[Agency]:[Agency]]=$E688)*(ROW(TableDiv[Agency])-ROW(TableDiv[[#Headers],[Agency]])),COLUMNS($F$7:Z$7))))</f>
        <v/>
      </c>
      <c r="AA688" s="2223" t="str" cm="1">
        <f t="array" ref="AA688">IF($D688&lt;COLUMNS($F$7:AA$7),"",INDEX(TableDiv[[GASB]:[GASB]],_xlfn.AGGREGATE(15,3,(TableDiv[[Agency]:[Agency]]=$E688)/(TableDiv[[Agency]:[Agency]]=$E688)*(ROW(TableDiv[Agency])-ROW(TableDiv[[#Headers],[Agency]])),COLUMNS($F$7:AA$7))))</f>
        <v/>
      </c>
      <c r="AB688" s="2223" t="str" cm="1">
        <f t="array" ref="AB688">IF($D688&lt;COLUMNS($F$7:AB$7),"",INDEX(TableDiv[[GASB]:[GASB]],_xlfn.AGGREGATE(15,3,(TableDiv[[Agency]:[Agency]]=$E688)/(TableDiv[[Agency]:[Agency]]=$E688)*(ROW(TableDiv[Agency])-ROW(TableDiv[[#Headers],[Agency]])),COLUMNS($F$7:AB$7))))</f>
        <v/>
      </c>
      <c r="AC688" s="2223" t="str" cm="1">
        <f t="array" ref="AC688">IF($D688&lt;COLUMNS($F$7:AC$7),"",INDEX(TableDiv[[GASB]:[GASB]],_xlfn.AGGREGATE(15,3,(TableDiv[[Agency]:[Agency]]=$E688)/(TableDiv[[Agency]:[Agency]]=$E688)*(ROW(TableDiv[Agency])-ROW(TableDiv[[#Headers],[Agency]])),COLUMNS($F$7:AC$7))))</f>
        <v/>
      </c>
      <c r="AD688" s="2223" t="str" cm="1">
        <f t="array" ref="AD688">IF($D688&lt;COLUMNS($F$7:AD$7),"",INDEX(TableDiv[[GASB]:[GASB]],_xlfn.AGGREGATE(15,3,(TableDiv[[Agency]:[Agency]]=$E688)/(TableDiv[[Agency]:[Agency]]=$E688)*(ROW(TableDiv[Agency])-ROW(TableDiv[[#Headers],[Agency]])),COLUMNS($F$7:AD$7))))</f>
        <v/>
      </c>
      <c r="AE688" s="2223" t="str" cm="1">
        <f t="array" ref="AE688">IF($D688&lt;COLUMNS($F$7:AE$7),"",INDEX(TableDiv[[GASB]:[GASB]],_xlfn.AGGREGATE(15,3,(TableDiv[[Agency]:[Agency]]=$E688)/(TableDiv[[Agency]:[Agency]]=$E688)*(ROW(TableDiv[Agency])-ROW(TableDiv[[#Headers],[Agency]])),COLUMNS($F$7:AE$7))))</f>
        <v/>
      </c>
      <c r="AF688" s="2223" t="str" cm="1">
        <f t="array" ref="AF688">IF($D688&lt;COLUMNS($F$7:AF$7),"",INDEX(TableDiv[[GASB]:[GASB]],_xlfn.AGGREGATE(15,3,(TableDiv[[Agency]:[Agency]]=$E688)/(TableDiv[[Agency]:[Agency]]=$E688)*(ROW(TableDiv[Agency])-ROW(TableDiv[[#Headers],[Agency]])),COLUMNS($F$7:AF$7))))</f>
        <v/>
      </c>
      <c r="AG688" s="2223" t="str" cm="1">
        <f t="array" ref="AG688">IF($D688&lt;COLUMNS($F$7:AG$7),"",INDEX(TableDiv[[GASB]:[GASB]],_xlfn.AGGREGATE(15,3,(TableDiv[[Agency]:[Agency]]=$E688)/(TableDiv[[Agency]:[Agency]]=$E688)*(ROW(TableDiv[Agency])-ROW(TableDiv[[#Headers],[Agency]])),COLUMNS($F$7:AG$7))))</f>
        <v/>
      </c>
      <c r="AH688" s="2223" t="str" cm="1">
        <f t="array" ref="AH688">IF($D688&lt;COLUMNS($F$7:AH$7),"",INDEX(TableDiv[[GASB]:[GASB]],_xlfn.AGGREGATE(15,3,(TableDiv[[Agency]:[Agency]]=$E688)/(TableDiv[[Agency]:[Agency]]=$E688)*(ROW(TableDiv[Agency])-ROW(TableDiv[[#Headers],[Agency]])),COLUMNS($F$7:AH$7))))</f>
        <v/>
      </c>
      <c r="AI688" s="2223" t="str" cm="1">
        <f t="array" ref="AI688">IF($D688&lt;COLUMNS($F$7:AI$7),"",INDEX(TableDiv[[GASB]:[GASB]],_xlfn.AGGREGATE(15,3,(TableDiv[[Agency]:[Agency]]=$E688)/(TableDiv[[Agency]:[Agency]]=$E688)*(ROW(TableDiv[Agency])-ROW(TableDiv[[#Headers],[Agency]])),COLUMNS($F$7:AI$7))))</f>
        <v/>
      </c>
      <c r="AJ688" s="2223" t="str" cm="1">
        <f t="array" ref="AJ688">IF($D688&lt;COLUMNS($F$7:AJ$7),"",INDEX(TableDiv[[GASB]:[GASB]],_xlfn.AGGREGATE(15,3,(TableDiv[[Agency]:[Agency]]=$E688)/(TableDiv[[Agency]:[Agency]]=$E688)*(ROW(TableDiv[Agency])-ROW(TableDiv[[#Headers],[Agency]])),COLUMNS($F$7:AJ$7))))</f>
        <v/>
      </c>
      <c r="AK688" s="2223" t="str" cm="1">
        <f t="array" ref="AK688">IF($D688&lt;COLUMNS($F$7:AK$7),"",INDEX(TableDiv[[GASB]:[GASB]],_xlfn.AGGREGATE(15,3,(TableDiv[[Agency]:[Agency]]=$E688)/(TableDiv[[Agency]:[Agency]]=$E688)*(ROW(TableDiv[Agency])-ROW(TableDiv[[#Headers],[Agency]])),COLUMNS($F$7:AK$7))))</f>
        <v/>
      </c>
      <c r="AL688" s="2223" t="str" cm="1">
        <f t="array" ref="AL688">IF($D688&lt;COLUMNS($F$7:AL$7),"",INDEX(TableDiv[[GASB]:[GASB]],_xlfn.AGGREGATE(15,3,(TableDiv[[Agency]:[Agency]]=$E688)/(TableDiv[[Agency]:[Agency]]=$E688)*(ROW(TableDiv[Agency])-ROW(TableDiv[[#Headers],[Agency]])),COLUMNS($F$7:AL$7))))</f>
        <v/>
      </c>
      <c r="AM688" s="2223" t="str" cm="1">
        <f t="array" ref="AM688">IF($D688&lt;COLUMNS($F$7:AM$7),"",INDEX(TableDiv[[GASB]:[GASB]],_xlfn.AGGREGATE(15,3,(TableDiv[[Agency]:[Agency]]=$E688)/(TableDiv[[Agency]:[Agency]]=$E688)*(ROW(TableDiv[Agency])-ROW(TableDiv[[#Headers],[Agency]])),COLUMNS($F$7:AM$7))))</f>
        <v/>
      </c>
      <c r="AN688" s="2223"/>
      <c r="AO688" s="2223"/>
      <c r="AP688" s="2223"/>
      <c r="AQ688" s="2223"/>
      <c r="AR688" s="2223"/>
      <c r="AS688" s="2223"/>
    </row>
    <row r="689" spans="1:45" x14ac:dyDescent="0.2">
      <c r="A689" s="2223"/>
      <c r="B689" s="2223"/>
      <c r="C689" s="2223"/>
      <c r="W689" s="2223" t="str" cm="1">
        <f t="array" ref="W689">IF($D689&lt;COLUMNS($F$7:W$7),"",INDEX(TableDiv[[GASB]:[GASB]],_xlfn.AGGREGATE(15,3,(TableDiv[[Agency]:[Agency]]=$E689)/(TableDiv[[Agency]:[Agency]]=$E689)*(ROW(TableDiv[Agency])-ROW(TableDiv[[#Headers],[Agency]])),COLUMNS($F$7:W$7))))</f>
        <v/>
      </c>
      <c r="X689" s="2223" t="str" cm="1">
        <f t="array" ref="X689">IF($D689&lt;COLUMNS($F$7:X$7),"",INDEX(TableDiv[[GASB]:[GASB]],_xlfn.AGGREGATE(15,3,(TableDiv[[Agency]:[Agency]]=$E689)/(TableDiv[[Agency]:[Agency]]=$E689)*(ROW(TableDiv[Agency])-ROW(TableDiv[[#Headers],[Agency]])),COLUMNS($F$7:X$7))))</f>
        <v/>
      </c>
      <c r="Y689" s="2223" t="str" cm="1">
        <f t="array" ref="Y689">IF($D689&lt;COLUMNS($F$7:Y$7),"",INDEX(TableDiv[[GASB]:[GASB]],_xlfn.AGGREGATE(15,3,(TableDiv[[Agency]:[Agency]]=$E689)/(TableDiv[[Agency]:[Agency]]=$E689)*(ROW(TableDiv[Agency])-ROW(TableDiv[[#Headers],[Agency]])),COLUMNS($F$7:Y$7))))</f>
        <v/>
      </c>
      <c r="Z689" s="2223" t="str" cm="1">
        <f t="array" ref="Z689">IF($D689&lt;COLUMNS($F$7:Z$7),"",INDEX(TableDiv[[GASB]:[GASB]],_xlfn.AGGREGATE(15,3,(TableDiv[[Agency]:[Agency]]=$E689)/(TableDiv[[Agency]:[Agency]]=$E689)*(ROW(TableDiv[Agency])-ROW(TableDiv[[#Headers],[Agency]])),COLUMNS($F$7:Z$7))))</f>
        <v/>
      </c>
      <c r="AA689" s="2223" t="str" cm="1">
        <f t="array" ref="AA689">IF($D689&lt;COLUMNS($F$7:AA$7),"",INDEX(TableDiv[[GASB]:[GASB]],_xlfn.AGGREGATE(15,3,(TableDiv[[Agency]:[Agency]]=$E689)/(TableDiv[[Agency]:[Agency]]=$E689)*(ROW(TableDiv[Agency])-ROW(TableDiv[[#Headers],[Agency]])),COLUMNS($F$7:AA$7))))</f>
        <v/>
      </c>
      <c r="AB689" s="2223" t="str" cm="1">
        <f t="array" ref="AB689">IF($D689&lt;COLUMNS($F$7:AB$7),"",INDEX(TableDiv[[GASB]:[GASB]],_xlfn.AGGREGATE(15,3,(TableDiv[[Agency]:[Agency]]=$E689)/(TableDiv[[Agency]:[Agency]]=$E689)*(ROW(TableDiv[Agency])-ROW(TableDiv[[#Headers],[Agency]])),COLUMNS($F$7:AB$7))))</f>
        <v/>
      </c>
      <c r="AC689" s="2223" t="str" cm="1">
        <f t="array" ref="AC689">IF($D689&lt;COLUMNS($F$7:AC$7),"",INDEX(TableDiv[[GASB]:[GASB]],_xlfn.AGGREGATE(15,3,(TableDiv[[Agency]:[Agency]]=$E689)/(TableDiv[[Agency]:[Agency]]=$E689)*(ROW(TableDiv[Agency])-ROW(TableDiv[[#Headers],[Agency]])),COLUMNS($F$7:AC$7))))</f>
        <v/>
      </c>
      <c r="AD689" s="2223" t="str" cm="1">
        <f t="array" ref="AD689">IF($D689&lt;COLUMNS($F$7:AD$7),"",INDEX(TableDiv[[GASB]:[GASB]],_xlfn.AGGREGATE(15,3,(TableDiv[[Agency]:[Agency]]=$E689)/(TableDiv[[Agency]:[Agency]]=$E689)*(ROW(TableDiv[Agency])-ROW(TableDiv[[#Headers],[Agency]])),COLUMNS($F$7:AD$7))))</f>
        <v/>
      </c>
      <c r="AE689" s="2223" t="str" cm="1">
        <f t="array" ref="AE689">IF($D689&lt;COLUMNS($F$7:AE$7),"",INDEX(TableDiv[[GASB]:[GASB]],_xlfn.AGGREGATE(15,3,(TableDiv[[Agency]:[Agency]]=$E689)/(TableDiv[[Agency]:[Agency]]=$E689)*(ROW(TableDiv[Agency])-ROW(TableDiv[[#Headers],[Agency]])),COLUMNS($F$7:AE$7))))</f>
        <v/>
      </c>
      <c r="AF689" s="2223" t="str" cm="1">
        <f t="array" ref="AF689">IF($D689&lt;COLUMNS($F$7:AF$7),"",INDEX(TableDiv[[GASB]:[GASB]],_xlfn.AGGREGATE(15,3,(TableDiv[[Agency]:[Agency]]=$E689)/(TableDiv[[Agency]:[Agency]]=$E689)*(ROW(TableDiv[Agency])-ROW(TableDiv[[#Headers],[Agency]])),COLUMNS($F$7:AF$7))))</f>
        <v/>
      </c>
      <c r="AG689" s="2223" t="str" cm="1">
        <f t="array" ref="AG689">IF($D689&lt;COLUMNS($F$7:AG$7),"",INDEX(TableDiv[[GASB]:[GASB]],_xlfn.AGGREGATE(15,3,(TableDiv[[Agency]:[Agency]]=$E689)/(TableDiv[[Agency]:[Agency]]=$E689)*(ROW(TableDiv[Agency])-ROW(TableDiv[[#Headers],[Agency]])),COLUMNS($F$7:AG$7))))</f>
        <v/>
      </c>
      <c r="AH689" s="2223" t="str" cm="1">
        <f t="array" ref="AH689">IF($D689&lt;COLUMNS($F$7:AH$7),"",INDEX(TableDiv[[GASB]:[GASB]],_xlfn.AGGREGATE(15,3,(TableDiv[[Agency]:[Agency]]=$E689)/(TableDiv[[Agency]:[Agency]]=$E689)*(ROW(TableDiv[Agency])-ROW(TableDiv[[#Headers],[Agency]])),COLUMNS($F$7:AH$7))))</f>
        <v/>
      </c>
      <c r="AI689" s="2223" t="str" cm="1">
        <f t="array" ref="AI689">IF($D689&lt;COLUMNS($F$7:AI$7),"",INDEX(TableDiv[[GASB]:[GASB]],_xlfn.AGGREGATE(15,3,(TableDiv[[Agency]:[Agency]]=$E689)/(TableDiv[[Agency]:[Agency]]=$E689)*(ROW(TableDiv[Agency])-ROW(TableDiv[[#Headers],[Agency]])),COLUMNS($F$7:AI$7))))</f>
        <v/>
      </c>
      <c r="AJ689" s="2223" t="str" cm="1">
        <f t="array" ref="AJ689">IF($D689&lt;COLUMNS($F$7:AJ$7),"",INDEX(TableDiv[[GASB]:[GASB]],_xlfn.AGGREGATE(15,3,(TableDiv[[Agency]:[Agency]]=$E689)/(TableDiv[[Agency]:[Agency]]=$E689)*(ROW(TableDiv[Agency])-ROW(TableDiv[[#Headers],[Agency]])),COLUMNS($F$7:AJ$7))))</f>
        <v/>
      </c>
      <c r="AK689" s="2223" t="str" cm="1">
        <f t="array" ref="AK689">IF($D689&lt;COLUMNS($F$7:AK$7),"",INDEX(TableDiv[[GASB]:[GASB]],_xlfn.AGGREGATE(15,3,(TableDiv[[Agency]:[Agency]]=$E689)/(TableDiv[[Agency]:[Agency]]=$E689)*(ROW(TableDiv[Agency])-ROW(TableDiv[[#Headers],[Agency]])),COLUMNS($F$7:AK$7))))</f>
        <v/>
      </c>
      <c r="AL689" s="2223" t="str" cm="1">
        <f t="array" ref="AL689">IF($D689&lt;COLUMNS($F$7:AL$7),"",INDEX(TableDiv[[GASB]:[GASB]],_xlfn.AGGREGATE(15,3,(TableDiv[[Agency]:[Agency]]=$E689)/(TableDiv[[Agency]:[Agency]]=$E689)*(ROW(TableDiv[Agency])-ROW(TableDiv[[#Headers],[Agency]])),COLUMNS($F$7:AL$7))))</f>
        <v/>
      </c>
      <c r="AM689" s="2223" t="str" cm="1">
        <f t="array" ref="AM689">IF($D689&lt;COLUMNS($F$7:AM$7),"",INDEX(TableDiv[[GASB]:[GASB]],_xlfn.AGGREGATE(15,3,(TableDiv[[Agency]:[Agency]]=$E689)/(TableDiv[[Agency]:[Agency]]=$E689)*(ROW(TableDiv[Agency])-ROW(TableDiv[[#Headers],[Agency]])),COLUMNS($F$7:AM$7))))</f>
        <v/>
      </c>
      <c r="AN689" s="2223"/>
      <c r="AO689" s="2223"/>
      <c r="AP689" s="2223"/>
      <c r="AQ689" s="2223"/>
      <c r="AR689" s="2223"/>
      <c r="AS689" s="2223"/>
    </row>
    <row r="690" spans="1:45" x14ac:dyDescent="0.2">
      <c r="A690" s="2223"/>
      <c r="B690" s="2223"/>
      <c r="C690" s="2223"/>
      <c r="W690" s="2223" t="str" cm="1">
        <f t="array" ref="W690">IF($D690&lt;COLUMNS($F$7:W$7),"",INDEX(TableDiv[[GASB]:[GASB]],_xlfn.AGGREGATE(15,3,(TableDiv[[Agency]:[Agency]]=$E690)/(TableDiv[[Agency]:[Agency]]=$E690)*(ROW(TableDiv[Agency])-ROW(TableDiv[[#Headers],[Agency]])),COLUMNS($F$7:W$7))))</f>
        <v/>
      </c>
      <c r="X690" s="2223" t="str" cm="1">
        <f t="array" ref="X690">IF($D690&lt;COLUMNS($F$7:X$7),"",INDEX(TableDiv[[GASB]:[GASB]],_xlfn.AGGREGATE(15,3,(TableDiv[[Agency]:[Agency]]=$E690)/(TableDiv[[Agency]:[Agency]]=$E690)*(ROW(TableDiv[Agency])-ROW(TableDiv[[#Headers],[Agency]])),COLUMNS($F$7:X$7))))</f>
        <v/>
      </c>
      <c r="Y690" s="2223" t="str" cm="1">
        <f t="array" ref="Y690">IF($D690&lt;COLUMNS($F$7:Y$7),"",INDEX(TableDiv[[GASB]:[GASB]],_xlfn.AGGREGATE(15,3,(TableDiv[[Agency]:[Agency]]=$E690)/(TableDiv[[Agency]:[Agency]]=$E690)*(ROW(TableDiv[Agency])-ROW(TableDiv[[#Headers],[Agency]])),COLUMNS($F$7:Y$7))))</f>
        <v/>
      </c>
      <c r="Z690" s="2223" t="str" cm="1">
        <f t="array" ref="Z690">IF($D690&lt;COLUMNS($F$7:Z$7),"",INDEX(TableDiv[[GASB]:[GASB]],_xlfn.AGGREGATE(15,3,(TableDiv[[Agency]:[Agency]]=$E690)/(TableDiv[[Agency]:[Agency]]=$E690)*(ROW(TableDiv[Agency])-ROW(TableDiv[[#Headers],[Agency]])),COLUMNS($F$7:Z$7))))</f>
        <v/>
      </c>
      <c r="AA690" s="2223" t="str" cm="1">
        <f t="array" ref="AA690">IF($D690&lt;COLUMNS($F$7:AA$7),"",INDEX(TableDiv[[GASB]:[GASB]],_xlfn.AGGREGATE(15,3,(TableDiv[[Agency]:[Agency]]=$E690)/(TableDiv[[Agency]:[Agency]]=$E690)*(ROW(TableDiv[Agency])-ROW(TableDiv[[#Headers],[Agency]])),COLUMNS($F$7:AA$7))))</f>
        <v/>
      </c>
      <c r="AB690" s="2223" t="str" cm="1">
        <f t="array" ref="AB690">IF($D690&lt;COLUMNS($F$7:AB$7),"",INDEX(TableDiv[[GASB]:[GASB]],_xlfn.AGGREGATE(15,3,(TableDiv[[Agency]:[Agency]]=$E690)/(TableDiv[[Agency]:[Agency]]=$E690)*(ROW(TableDiv[Agency])-ROW(TableDiv[[#Headers],[Agency]])),COLUMNS($F$7:AB$7))))</f>
        <v/>
      </c>
      <c r="AC690" s="2223" t="str" cm="1">
        <f t="array" ref="AC690">IF($D690&lt;COLUMNS($F$7:AC$7),"",INDEX(TableDiv[[GASB]:[GASB]],_xlfn.AGGREGATE(15,3,(TableDiv[[Agency]:[Agency]]=$E690)/(TableDiv[[Agency]:[Agency]]=$E690)*(ROW(TableDiv[Agency])-ROW(TableDiv[[#Headers],[Agency]])),COLUMNS($F$7:AC$7))))</f>
        <v/>
      </c>
      <c r="AD690" s="2223" t="str" cm="1">
        <f t="array" ref="AD690">IF($D690&lt;COLUMNS($F$7:AD$7),"",INDEX(TableDiv[[GASB]:[GASB]],_xlfn.AGGREGATE(15,3,(TableDiv[[Agency]:[Agency]]=$E690)/(TableDiv[[Agency]:[Agency]]=$E690)*(ROW(TableDiv[Agency])-ROW(TableDiv[[#Headers],[Agency]])),COLUMNS($F$7:AD$7))))</f>
        <v/>
      </c>
      <c r="AE690" s="2223" t="str" cm="1">
        <f t="array" ref="AE690">IF($D690&lt;COLUMNS($F$7:AE$7),"",INDEX(TableDiv[[GASB]:[GASB]],_xlfn.AGGREGATE(15,3,(TableDiv[[Agency]:[Agency]]=$E690)/(TableDiv[[Agency]:[Agency]]=$E690)*(ROW(TableDiv[Agency])-ROW(TableDiv[[#Headers],[Agency]])),COLUMNS($F$7:AE$7))))</f>
        <v/>
      </c>
      <c r="AF690" s="2223" t="str" cm="1">
        <f t="array" ref="AF690">IF($D690&lt;COLUMNS($F$7:AF$7),"",INDEX(TableDiv[[GASB]:[GASB]],_xlfn.AGGREGATE(15,3,(TableDiv[[Agency]:[Agency]]=$E690)/(TableDiv[[Agency]:[Agency]]=$E690)*(ROW(TableDiv[Agency])-ROW(TableDiv[[#Headers],[Agency]])),COLUMNS($F$7:AF$7))))</f>
        <v/>
      </c>
      <c r="AG690" s="2223" t="str" cm="1">
        <f t="array" ref="AG690">IF($D690&lt;COLUMNS($F$7:AG$7),"",INDEX(TableDiv[[GASB]:[GASB]],_xlfn.AGGREGATE(15,3,(TableDiv[[Agency]:[Agency]]=$E690)/(TableDiv[[Agency]:[Agency]]=$E690)*(ROW(TableDiv[Agency])-ROW(TableDiv[[#Headers],[Agency]])),COLUMNS($F$7:AG$7))))</f>
        <v/>
      </c>
      <c r="AH690" s="2223" t="str" cm="1">
        <f t="array" ref="AH690">IF($D690&lt;COLUMNS($F$7:AH$7),"",INDEX(TableDiv[[GASB]:[GASB]],_xlfn.AGGREGATE(15,3,(TableDiv[[Agency]:[Agency]]=$E690)/(TableDiv[[Agency]:[Agency]]=$E690)*(ROW(TableDiv[Agency])-ROW(TableDiv[[#Headers],[Agency]])),COLUMNS($F$7:AH$7))))</f>
        <v/>
      </c>
      <c r="AI690" s="2223" t="str" cm="1">
        <f t="array" ref="AI690">IF($D690&lt;COLUMNS($F$7:AI$7),"",INDEX(TableDiv[[GASB]:[GASB]],_xlfn.AGGREGATE(15,3,(TableDiv[[Agency]:[Agency]]=$E690)/(TableDiv[[Agency]:[Agency]]=$E690)*(ROW(TableDiv[Agency])-ROW(TableDiv[[#Headers],[Agency]])),COLUMNS($F$7:AI$7))))</f>
        <v/>
      </c>
      <c r="AJ690" s="2223" t="str" cm="1">
        <f t="array" ref="AJ690">IF($D690&lt;COLUMNS($F$7:AJ$7),"",INDEX(TableDiv[[GASB]:[GASB]],_xlfn.AGGREGATE(15,3,(TableDiv[[Agency]:[Agency]]=$E690)/(TableDiv[[Agency]:[Agency]]=$E690)*(ROW(TableDiv[Agency])-ROW(TableDiv[[#Headers],[Agency]])),COLUMNS($F$7:AJ$7))))</f>
        <v/>
      </c>
      <c r="AK690" s="2223" t="str" cm="1">
        <f t="array" ref="AK690">IF($D690&lt;COLUMNS($F$7:AK$7),"",INDEX(TableDiv[[GASB]:[GASB]],_xlfn.AGGREGATE(15,3,(TableDiv[[Agency]:[Agency]]=$E690)/(TableDiv[[Agency]:[Agency]]=$E690)*(ROW(TableDiv[Agency])-ROW(TableDiv[[#Headers],[Agency]])),COLUMNS($F$7:AK$7))))</f>
        <v/>
      </c>
      <c r="AL690" s="2223" t="str" cm="1">
        <f t="array" ref="AL690">IF($D690&lt;COLUMNS($F$7:AL$7),"",INDEX(TableDiv[[GASB]:[GASB]],_xlfn.AGGREGATE(15,3,(TableDiv[[Agency]:[Agency]]=$E690)/(TableDiv[[Agency]:[Agency]]=$E690)*(ROW(TableDiv[Agency])-ROW(TableDiv[[#Headers],[Agency]])),COLUMNS($F$7:AL$7))))</f>
        <v/>
      </c>
      <c r="AM690" s="2223" t="str" cm="1">
        <f t="array" ref="AM690">IF($D690&lt;COLUMNS($F$7:AM$7),"",INDEX(TableDiv[[GASB]:[GASB]],_xlfn.AGGREGATE(15,3,(TableDiv[[Agency]:[Agency]]=$E690)/(TableDiv[[Agency]:[Agency]]=$E690)*(ROW(TableDiv[Agency])-ROW(TableDiv[[#Headers],[Agency]])),COLUMNS($F$7:AM$7))))</f>
        <v/>
      </c>
      <c r="AN690" s="2223"/>
      <c r="AO690" s="2223"/>
      <c r="AP690" s="2223"/>
      <c r="AQ690" s="2223"/>
      <c r="AR690" s="2223"/>
      <c r="AS690" s="2223"/>
    </row>
    <row r="691" spans="1:45" x14ac:dyDescent="0.2">
      <c r="A691" s="2223"/>
      <c r="B691" s="2223"/>
      <c r="C691" s="2223"/>
      <c r="W691" s="2223" t="str" cm="1">
        <f t="array" ref="W691">IF($D691&lt;COLUMNS($F$7:W$7),"",INDEX(TableDiv[[GASB]:[GASB]],_xlfn.AGGREGATE(15,3,(TableDiv[[Agency]:[Agency]]=$E691)/(TableDiv[[Agency]:[Agency]]=$E691)*(ROW(TableDiv[Agency])-ROW(TableDiv[[#Headers],[Agency]])),COLUMNS($F$7:W$7))))</f>
        <v/>
      </c>
      <c r="X691" s="2223" t="str" cm="1">
        <f t="array" ref="X691">IF($D691&lt;COLUMNS($F$7:X$7),"",INDEX(TableDiv[[GASB]:[GASB]],_xlfn.AGGREGATE(15,3,(TableDiv[[Agency]:[Agency]]=$E691)/(TableDiv[[Agency]:[Agency]]=$E691)*(ROW(TableDiv[Agency])-ROW(TableDiv[[#Headers],[Agency]])),COLUMNS($F$7:X$7))))</f>
        <v/>
      </c>
      <c r="Y691" s="2223" t="str" cm="1">
        <f t="array" ref="Y691">IF($D691&lt;COLUMNS($F$7:Y$7),"",INDEX(TableDiv[[GASB]:[GASB]],_xlfn.AGGREGATE(15,3,(TableDiv[[Agency]:[Agency]]=$E691)/(TableDiv[[Agency]:[Agency]]=$E691)*(ROW(TableDiv[Agency])-ROW(TableDiv[[#Headers],[Agency]])),COLUMNS($F$7:Y$7))))</f>
        <v/>
      </c>
      <c r="Z691" s="2223" t="str" cm="1">
        <f t="array" ref="Z691">IF($D691&lt;COLUMNS($F$7:Z$7),"",INDEX(TableDiv[[GASB]:[GASB]],_xlfn.AGGREGATE(15,3,(TableDiv[[Agency]:[Agency]]=$E691)/(TableDiv[[Agency]:[Agency]]=$E691)*(ROW(TableDiv[Agency])-ROW(TableDiv[[#Headers],[Agency]])),COLUMNS($F$7:Z$7))))</f>
        <v/>
      </c>
      <c r="AA691" s="2223" t="str" cm="1">
        <f t="array" ref="AA691">IF($D691&lt;COLUMNS($F$7:AA$7),"",INDEX(TableDiv[[GASB]:[GASB]],_xlfn.AGGREGATE(15,3,(TableDiv[[Agency]:[Agency]]=$E691)/(TableDiv[[Agency]:[Agency]]=$E691)*(ROW(TableDiv[Agency])-ROW(TableDiv[[#Headers],[Agency]])),COLUMNS($F$7:AA$7))))</f>
        <v/>
      </c>
      <c r="AB691" s="2223" t="str" cm="1">
        <f t="array" ref="AB691">IF($D691&lt;COLUMNS($F$7:AB$7),"",INDEX(TableDiv[[GASB]:[GASB]],_xlfn.AGGREGATE(15,3,(TableDiv[[Agency]:[Agency]]=$E691)/(TableDiv[[Agency]:[Agency]]=$E691)*(ROW(TableDiv[Agency])-ROW(TableDiv[[#Headers],[Agency]])),COLUMNS($F$7:AB$7))))</f>
        <v/>
      </c>
      <c r="AC691" s="2223" t="str" cm="1">
        <f t="array" ref="AC691">IF($D691&lt;COLUMNS($F$7:AC$7),"",INDEX(TableDiv[[GASB]:[GASB]],_xlfn.AGGREGATE(15,3,(TableDiv[[Agency]:[Agency]]=$E691)/(TableDiv[[Agency]:[Agency]]=$E691)*(ROW(TableDiv[Agency])-ROW(TableDiv[[#Headers],[Agency]])),COLUMNS($F$7:AC$7))))</f>
        <v/>
      </c>
      <c r="AD691" s="2223" t="str" cm="1">
        <f t="array" ref="AD691">IF($D691&lt;COLUMNS($F$7:AD$7),"",INDEX(TableDiv[[GASB]:[GASB]],_xlfn.AGGREGATE(15,3,(TableDiv[[Agency]:[Agency]]=$E691)/(TableDiv[[Agency]:[Agency]]=$E691)*(ROW(TableDiv[Agency])-ROW(TableDiv[[#Headers],[Agency]])),COLUMNS($F$7:AD$7))))</f>
        <v/>
      </c>
      <c r="AE691" s="2223" t="str" cm="1">
        <f t="array" ref="AE691">IF($D691&lt;COLUMNS($F$7:AE$7),"",INDEX(TableDiv[[GASB]:[GASB]],_xlfn.AGGREGATE(15,3,(TableDiv[[Agency]:[Agency]]=$E691)/(TableDiv[[Agency]:[Agency]]=$E691)*(ROW(TableDiv[Agency])-ROW(TableDiv[[#Headers],[Agency]])),COLUMNS($F$7:AE$7))))</f>
        <v/>
      </c>
      <c r="AF691" s="2223" t="str" cm="1">
        <f t="array" ref="AF691">IF($D691&lt;COLUMNS($F$7:AF$7),"",INDEX(TableDiv[[GASB]:[GASB]],_xlfn.AGGREGATE(15,3,(TableDiv[[Agency]:[Agency]]=$E691)/(TableDiv[[Agency]:[Agency]]=$E691)*(ROW(TableDiv[Agency])-ROW(TableDiv[[#Headers],[Agency]])),COLUMNS($F$7:AF$7))))</f>
        <v/>
      </c>
      <c r="AG691" s="2223" t="str" cm="1">
        <f t="array" ref="AG691">IF($D691&lt;COLUMNS($F$7:AG$7),"",INDEX(TableDiv[[GASB]:[GASB]],_xlfn.AGGREGATE(15,3,(TableDiv[[Agency]:[Agency]]=$E691)/(TableDiv[[Agency]:[Agency]]=$E691)*(ROW(TableDiv[Agency])-ROW(TableDiv[[#Headers],[Agency]])),COLUMNS($F$7:AG$7))))</f>
        <v/>
      </c>
      <c r="AH691" s="2223" t="str" cm="1">
        <f t="array" ref="AH691">IF($D691&lt;COLUMNS($F$7:AH$7),"",INDEX(TableDiv[[GASB]:[GASB]],_xlfn.AGGREGATE(15,3,(TableDiv[[Agency]:[Agency]]=$E691)/(TableDiv[[Agency]:[Agency]]=$E691)*(ROW(TableDiv[Agency])-ROW(TableDiv[[#Headers],[Agency]])),COLUMNS($F$7:AH$7))))</f>
        <v/>
      </c>
      <c r="AI691" s="2223" t="str" cm="1">
        <f t="array" ref="AI691">IF($D691&lt;COLUMNS($F$7:AI$7),"",INDEX(TableDiv[[GASB]:[GASB]],_xlfn.AGGREGATE(15,3,(TableDiv[[Agency]:[Agency]]=$E691)/(TableDiv[[Agency]:[Agency]]=$E691)*(ROW(TableDiv[Agency])-ROW(TableDiv[[#Headers],[Agency]])),COLUMNS($F$7:AI$7))))</f>
        <v/>
      </c>
      <c r="AJ691" s="2223" t="str" cm="1">
        <f t="array" ref="AJ691">IF($D691&lt;COLUMNS($F$7:AJ$7),"",INDEX(TableDiv[[GASB]:[GASB]],_xlfn.AGGREGATE(15,3,(TableDiv[[Agency]:[Agency]]=$E691)/(TableDiv[[Agency]:[Agency]]=$E691)*(ROW(TableDiv[Agency])-ROW(TableDiv[[#Headers],[Agency]])),COLUMNS($F$7:AJ$7))))</f>
        <v/>
      </c>
      <c r="AK691" s="2223" t="str" cm="1">
        <f t="array" ref="AK691">IF($D691&lt;COLUMNS($F$7:AK$7),"",INDEX(TableDiv[[GASB]:[GASB]],_xlfn.AGGREGATE(15,3,(TableDiv[[Agency]:[Agency]]=$E691)/(TableDiv[[Agency]:[Agency]]=$E691)*(ROW(TableDiv[Agency])-ROW(TableDiv[[#Headers],[Agency]])),COLUMNS($F$7:AK$7))))</f>
        <v/>
      </c>
      <c r="AL691" s="2223" t="str" cm="1">
        <f t="array" ref="AL691">IF($D691&lt;COLUMNS($F$7:AL$7),"",INDEX(TableDiv[[GASB]:[GASB]],_xlfn.AGGREGATE(15,3,(TableDiv[[Agency]:[Agency]]=$E691)/(TableDiv[[Agency]:[Agency]]=$E691)*(ROW(TableDiv[Agency])-ROW(TableDiv[[#Headers],[Agency]])),COLUMNS($F$7:AL$7))))</f>
        <v/>
      </c>
      <c r="AM691" s="2223" t="str" cm="1">
        <f t="array" ref="AM691">IF($D691&lt;COLUMNS($F$7:AM$7),"",INDEX(TableDiv[[GASB]:[GASB]],_xlfn.AGGREGATE(15,3,(TableDiv[[Agency]:[Agency]]=$E691)/(TableDiv[[Agency]:[Agency]]=$E691)*(ROW(TableDiv[Agency])-ROW(TableDiv[[#Headers],[Agency]])),COLUMNS($F$7:AM$7))))</f>
        <v/>
      </c>
      <c r="AN691" s="2223"/>
      <c r="AO691" s="2223"/>
      <c r="AP691" s="2223"/>
      <c r="AQ691" s="2223"/>
      <c r="AR691" s="2223"/>
      <c r="AS691" s="2223"/>
    </row>
    <row r="692" spans="1:45" x14ac:dyDescent="0.2">
      <c r="A692" s="2223"/>
      <c r="B692" s="2223"/>
      <c r="C692" s="2223"/>
      <c r="W692" s="2223" t="str" cm="1">
        <f t="array" ref="W692">IF($D692&lt;COLUMNS($F$7:W$7),"",INDEX(TableDiv[[GASB]:[GASB]],_xlfn.AGGREGATE(15,3,(TableDiv[[Agency]:[Agency]]=$E692)/(TableDiv[[Agency]:[Agency]]=$E692)*(ROW(TableDiv[Agency])-ROW(TableDiv[[#Headers],[Agency]])),COLUMNS($F$7:W$7))))</f>
        <v/>
      </c>
      <c r="X692" s="2223" t="str" cm="1">
        <f t="array" ref="X692">IF($D692&lt;COLUMNS($F$7:X$7),"",INDEX(TableDiv[[GASB]:[GASB]],_xlfn.AGGREGATE(15,3,(TableDiv[[Agency]:[Agency]]=$E692)/(TableDiv[[Agency]:[Agency]]=$E692)*(ROW(TableDiv[Agency])-ROW(TableDiv[[#Headers],[Agency]])),COLUMNS($F$7:X$7))))</f>
        <v/>
      </c>
      <c r="Y692" s="2223" t="str" cm="1">
        <f t="array" ref="Y692">IF($D692&lt;COLUMNS($F$7:Y$7),"",INDEX(TableDiv[[GASB]:[GASB]],_xlfn.AGGREGATE(15,3,(TableDiv[[Agency]:[Agency]]=$E692)/(TableDiv[[Agency]:[Agency]]=$E692)*(ROW(TableDiv[Agency])-ROW(TableDiv[[#Headers],[Agency]])),COLUMNS($F$7:Y$7))))</f>
        <v/>
      </c>
      <c r="Z692" s="2223" t="str" cm="1">
        <f t="array" ref="Z692">IF($D692&lt;COLUMNS($F$7:Z$7),"",INDEX(TableDiv[[GASB]:[GASB]],_xlfn.AGGREGATE(15,3,(TableDiv[[Agency]:[Agency]]=$E692)/(TableDiv[[Agency]:[Agency]]=$E692)*(ROW(TableDiv[Agency])-ROW(TableDiv[[#Headers],[Agency]])),COLUMNS($F$7:Z$7))))</f>
        <v/>
      </c>
      <c r="AA692" s="2223" t="str" cm="1">
        <f t="array" ref="AA692">IF($D692&lt;COLUMNS($F$7:AA$7),"",INDEX(TableDiv[[GASB]:[GASB]],_xlfn.AGGREGATE(15,3,(TableDiv[[Agency]:[Agency]]=$E692)/(TableDiv[[Agency]:[Agency]]=$E692)*(ROW(TableDiv[Agency])-ROW(TableDiv[[#Headers],[Agency]])),COLUMNS($F$7:AA$7))))</f>
        <v/>
      </c>
      <c r="AB692" s="2223" t="str" cm="1">
        <f t="array" ref="AB692">IF($D692&lt;COLUMNS($F$7:AB$7),"",INDEX(TableDiv[[GASB]:[GASB]],_xlfn.AGGREGATE(15,3,(TableDiv[[Agency]:[Agency]]=$E692)/(TableDiv[[Agency]:[Agency]]=$E692)*(ROW(TableDiv[Agency])-ROW(TableDiv[[#Headers],[Agency]])),COLUMNS($F$7:AB$7))))</f>
        <v/>
      </c>
      <c r="AC692" s="2223" t="str" cm="1">
        <f t="array" ref="AC692">IF($D692&lt;COLUMNS($F$7:AC$7),"",INDEX(TableDiv[[GASB]:[GASB]],_xlfn.AGGREGATE(15,3,(TableDiv[[Agency]:[Agency]]=$E692)/(TableDiv[[Agency]:[Agency]]=$E692)*(ROW(TableDiv[Agency])-ROW(TableDiv[[#Headers],[Agency]])),COLUMNS($F$7:AC$7))))</f>
        <v/>
      </c>
      <c r="AD692" s="2223" t="str" cm="1">
        <f t="array" ref="AD692">IF($D692&lt;COLUMNS($F$7:AD$7),"",INDEX(TableDiv[[GASB]:[GASB]],_xlfn.AGGREGATE(15,3,(TableDiv[[Agency]:[Agency]]=$E692)/(TableDiv[[Agency]:[Agency]]=$E692)*(ROW(TableDiv[Agency])-ROW(TableDiv[[#Headers],[Agency]])),COLUMNS($F$7:AD$7))))</f>
        <v/>
      </c>
      <c r="AE692" s="2223" t="str" cm="1">
        <f t="array" ref="AE692">IF($D692&lt;COLUMNS($F$7:AE$7),"",INDEX(TableDiv[[GASB]:[GASB]],_xlfn.AGGREGATE(15,3,(TableDiv[[Agency]:[Agency]]=$E692)/(TableDiv[[Agency]:[Agency]]=$E692)*(ROW(TableDiv[Agency])-ROW(TableDiv[[#Headers],[Agency]])),COLUMNS($F$7:AE$7))))</f>
        <v/>
      </c>
      <c r="AF692" s="2223" t="str" cm="1">
        <f t="array" ref="AF692">IF($D692&lt;COLUMNS($F$7:AF$7),"",INDEX(TableDiv[[GASB]:[GASB]],_xlfn.AGGREGATE(15,3,(TableDiv[[Agency]:[Agency]]=$E692)/(TableDiv[[Agency]:[Agency]]=$E692)*(ROW(TableDiv[Agency])-ROW(TableDiv[[#Headers],[Agency]])),COLUMNS($F$7:AF$7))))</f>
        <v/>
      </c>
      <c r="AG692" s="2223" t="str" cm="1">
        <f t="array" ref="AG692">IF($D692&lt;COLUMNS($F$7:AG$7),"",INDEX(TableDiv[[GASB]:[GASB]],_xlfn.AGGREGATE(15,3,(TableDiv[[Agency]:[Agency]]=$E692)/(TableDiv[[Agency]:[Agency]]=$E692)*(ROW(TableDiv[Agency])-ROW(TableDiv[[#Headers],[Agency]])),COLUMNS($F$7:AG$7))))</f>
        <v/>
      </c>
      <c r="AH692" s="2223" t="str" cm="1">
        <f t="array" ref="AH692">IF($D692&lt;COLUMNS($F$7:AH$7),"",INDEX(TableDiv[[GASB]:[GASB]],_xlfn.AGGREGATE(15,3,(TableDiv[[Agency]:[Agency]]=$E692)/(TableDiv[[Agency]:[Agency]]=$E692)*(ROW(TableDiv[Agency])-ROW(TableDiv[[#Headers],[Agency]])),COLUMNS($F$7:AH$7))))</f>
        <v/>
      </c>
      <c r="AI692" s="2223" t="str" cm="1">
        <f t="array" ref="AI692">IF($D692&lt;COLUMNS($F$7:AI$7),"",INDEX(TableDiv[[GASB]:[GASB]],_xlfn.AGGREGATE(15,3,(TableDiv[[Agency]:[Agency]]=$E692)/(TableDiv[[Agency]:[Agency]]=$E692)*(ROW(TableDiv[Agency])-ROW(TableDiv[[#Headers],[Agency]])),COLUMNS($F$7:AI$7))))</f>
        <v/>
      </c>
      <c r="AJ692" s="2223" t="str" cm="1">
        <f t="array" ref="AJ692">IF($D692&lt;COLUMNS($F$7:AJ$7),"",INDEX(TableDiv[[GASB]:[GASB]],_xlfn.AGGREGATE(15,3,(TableDiv[[Agency]:[Agency]]=$E692)/(TableDiv[[Agency]:[Agency]]=$E692)*(ROW(TableDiv[Agency])-ROW(TableDiv[[#Headers],[Agency]])),COLUMNS($F$7:AJ$7))))</f>
        <v/>
      </c>
      <c r="AK692" s="2223" t="str" cm="1">
        <f t="array" ref="AK692">IF($D692&lt;COLUMNS($F$7:AK$7),"",INDEX(TableDiv[[GASB]:[GASB]],_xlfn.AGGREGATE(15,3,(TableDiv[[Agency]:[Agency]]=$E692)/(TableDiv[[Agency]:[Agency]]=$E692)*(ROW(TableDiv[Agency])-ROW(TableDiv[[#Headers],[Agency]])),COLUMNS($F$7:AK$7))))</f>
        <v/>
      </c>
      <c r="AL692" s="2223" t="str" cm="1">
        <f t="array" ref="AL692">IF($D692&lt;COLUMNS($F$7:AL$7),"",INDEX(TableDiv[[GASB]:[GASB]],_xlfn.AGGREGATE(15,3,(TableDiv[[Agency]:[Agency]]=$E692)/(TableDiv[[Agency]:[Agency]]=$E692)*(ROW(TableDiv[Agency])-ROW(TableDiv[[#Headers],[Agency]])),COLUMNS($F$7:AL$7))))</f>
        <v/>
      </c>
      <c r="AM692" s="2223" t="str" cm="1">
        <f t="array" ref="AM692">IF($D692&lt;COLUMNS($F$7:AM$7),"",INDEX(TableDiv[[GASB]:[GASB]],_xlfn.AGGREGATE(15,3,(TableDiv[[Agency]:[Agency]]=$E692)/(TableDiv[[Agency]:[Agency]]=$E692)*(ROW(TableDiv[Agency])-ROW(TableDiv[[#Headers],[Agency]])),COLUMNS($F$7:AM$7))))</f>
        <v/>
      </c>
      <c r="AN692" s="2223"/>
      <c r="AO692" s="2223"/>
      <c r="AP692" s="2223"/>
      <c r="AQ692" s="2223"/>
      <c r="AR692" s="2223"/>
      <c r="AS692" s="2223"/>
    </row>
    <row r="693" spans="1:45" x14ac:dyDescent="0.2">
      <c r="A693" s="2223"/>
      <c r="B693" s="2223"/>
      <c r="C693" s="2223"/>
      <c r="W693" s="2223" t="str" cm="1">
        <f t="array" ref="W693">IF($D693&lt;COLUMNS($F$7:W$7),"",INDEX(TableDiv[[GASB]:[GASB]],_xlfn.AGGREGATE(15,3,(TableDiv[[Agency]:[Agency]]=$E693)/(TableDiv[[Agency]:[Agency]]=$E693)*(ROW(TableDiv[Agency])-ROW(TableDiv[[#Headers],[Agency]])),COLUMNS($F$7:W$7))))</f>
        <v/>
      </c>
      <c r="X693" s="2223" t="str" cm="1">
        <f t="array" ref="X693">IF($D693&lt;COLUMNS($F$7:X$7),"",INDEX(TableDiv[[GASB]:[GASB]],_xlfn.AGGREGATE(15,3,(TableDiv[[Agency]:[Agency]]=$E693)/(TableDiv[[Agency]:[Agency]]=$E693)*(ROW(TableDiv[Agency])-ROW(TableDiv[[#Headers],[Agency]])),COLUMNS($F$7:X$7))))</f>
        <v/>
      </c>
      <c r="Y693" s="2223" t="str" cm="1">
        <f t="array" ref="Y693">IF($D693&lt;COLUMNS($F$7:Y$7),"",INDEX(TableDiv[[GASB]:[GASB]],_xlfn.AGGREGATE(15,3,(TableDiv[[Agency]:[Agency]]=$E693)/(TableDiv[[Agency]:[Agency]]=$E693)*(ROW(TableDiv[Agency])-ROW(TableDiv[[#Headers],[Agency]])),COLUMNS($F$7:Y$7))))</f>
        <v/>
      </c>
      <c r="Z693" s="2223" t="str" cm="1">
        <f t="array" ref="Z693">IF($D693&lt;COLUMNS($F$7:Z$7),"",INDEX(TableDiv[[GASB]:[GASB]],_xlfn.AGGREGATE(15,3,(TableDiv[[Agency]:[Agency]]=$E693)/(TableDiv[[Agency]:[Agency]]=$E693)*(ROW(TableDiv[Agency])-ROW(TableDiv[[#Headers],[Agency]])),COLUMNS($F$7:Z$7))))</f>
        <v/>
      </c>
      <c r="AA693" s="2223" t="str" cm="1">
        <f t="array" ref="AA693">IF($D693&lt;COLUMNS($F$7:AA$7),"",INDEX(TableDiv[[GASB]:[GASB]],_xlfn.AGGREGATE(15,3,(TableDiv[[Agency]:[Agency]]=$E693)/(TableDiv[[Agency]:[Agency]]=$E693)*(ROW(TableDiv[Agency])-ROW(TableDiv[[#Headers],[Agency]])),COLUMNS($F$7:AA$7))))</f>
        <v/>
      </c>
      <c r="AB693" s="2223" t="str" cm="1">
        <f t="array" ref="AB693">IF($D693&lt;COLUMNS($F$7:AB$7),"",INDEX(TableDiv[[GASB]:[GASB]],_xlfn.AGGREGATE(15,3,(TableDiv[[Agency]:[Agency]]=$E693)/(TableDiv[[Agency]:[Agency]]=$E693)*(ROW(TableDiv[Agency])-ROW(TableDiv[[#Headers],[Agency]])),COLUMNS($F$7:AB$7))))</f>
        <v/>
      </c>
      <c r="AC693" s="2223" t="str" cm="1">
        <f t="array" ref="AC693">IF($D693&lt;COLUMNS($F$7:AC$7),"",INDEX(TableDiv[[GASB]:[GASB]],_xlfn.AGGREGATE(15,3,(TableDiv[[Agency]:[Agency]]=$E693)/(TableDiv[[Agency]:[Agency]]=$E693)*(ROW(TableDiv[Agency])-ROW(TableDiv[[#Headers],[Agency]])),COLUMNS($F$7:AC$7))))</f>
        <v/>
      </c>
      <c r="AD693" s="2223" t="str" cm="1">
        <f t="array" ref="AD693">IF($D693&lt;COLUMNS($F$7:AD$7),"",INDEX(TableDiv[[GASB]:[GASB]],_xlfn.AGGREGATE(15,3,(TableDiv[[Agency]:[Agency]]=$E693)/(TableDiv[[Agency]:[Agency]]=$E693)*(ROW(TableDiv[Agency])-ROW(TableDiv[[#Headers],[Agency]])),COLUMNS($F$7:AD$7))))</f>
        <v/>
      </c>
      <c r="AE693" s="2223" t="str" cm="1">
        <f t="array" ref="AE693">IF($D693&lt;COLUMNS($F$7:AE$7),"",INDEX(TableDiv[[GASB]:[GASB]],_xlfn.AGGREGATE(15,3,(TableDiv[[Agency]:[Agency]]=$E693)/(TableDiv[[Agency]:[Agency]]=$E693)*(ROW(TableDiv[Agency])-ROW(TableDiv[[#Headers],[Agency]])),COLUMNS($F$7:AE$7))))</f>
        <v/>
      </c>
      <c r="AF693" s="2223" t="str" cm="1">
        <f t="array" ref="AF693">IF($D693&lt;COLUMNS($F$7:AF$7),"",INDEX(TableDiv[[GASB]:[GASB]],_xlfn.AGGREGATE(15,3,(TableDiv[[Agency]:[Agency]]=$E693)/(TableDiv[[Agency]:[Agency]]=$E693)*(ROW(TableDiv[Agency])-ROW(TableDiv[[#Headers],[Agency]])),COLUMNS($F$7:AF$7))))</f>
        <v/>
      </c>
      <c r="AG693" s="2223" t="str" cm="1">
        <f t="array" ref="AG693">IF($D693&lt;COLUMNS($F$7:AG$7),"",INDEX(TableDiv[[GASB]:[GASB]],_xlfn.AGGREGATE(15,3,(TableDiv[[Agency]:[Agency]]=$E693)/(TableDiv[[Agency]:[Agency]]=$E693)*(ROW(TableDiv[Agency])-ROW(TableDiv[[#Headers],[Agency]])),COLUMNS($F$7:AG$7))))</f>
        <v/>
      </c>
      <c r="AH693" s="2223" t="str" cm="1">
        <f t="array" ref="AH693">IF($D693&lt;COLUMNS($F$7:AH$7),"",INDEX(TableDiv[[GASB]:[GASB]],_xlfn.AGGREGATE(15,3,(TableDiv[[Agency]:[Agency]]=$E693)/(TableDiv[[Agency]:[Agency]]=$E693)*(ROW(TableDiv[Agency])-ROW(TableDiv[[#Headers],[Agency]])),COLUMNS($F$7:AH$7))))</f>
        <v/>
      </c>
      <c r="AI693" s="2223" t="str" cm="1">
        <f t="array" ref="AI693">IF($D693&lt;COLUMNS($F$7:AI$7),"",INDEX(TableDiv[[GASB]:[GASB]],_xlfn.AGGREGATE(15,3,(TableDiv[[Agency]:[Agency]]=$E693)/(TableDiv[[Agency]:[Agency]]=$E693)*(ROW(TableDiv[Agency])-ROW(TableDiv[[#Headers],[Agency]])),COLUMNS($F$7:AI$7))))</f>
        <v/>
      </c>
      <c r="AJ693" s="2223" t="str" cm="1">
        <f t="array" ref="AJ693">IF($D693&lt;COLUMNS($F$7:AJ$7),"",INDEX(TableDiv[[GASB]:[GASB]],_xlfn.AGGREGATE(15,3,(TableDiv[[Agency]:[Agency]]=$E693)/(TableDiv[[Agency]:[Agency]]=$E693)*(ROW(TableDiv[Agency])-ROW(TableDiv[[#Headers],[Agency]])),COLUMNS($F$7:AJ$7))))</f>
        <v/>
      </c>
      <c r="AK693" s="2223" t="str" cm="1">
        <f t="array" ref="AK693">IF($D693&lt;COLUMNS($F$7:AK$7),"",INDEX(TableDiv[[GASB]:[GASB]],_xlfn.AGGREGATE(15,3,(TableDiv[[Agency]:[Agency]]=$E693)/(TableDiv[[Agency]:[Agency]]=$E693)*(ROW(TableDiv[Agency])-ROW(TableDiv[[#Headers],[Agency]])),COLUMNS($F$7:AK$7))))</f>
        <v/>
      </c>
      <c r="AL693" s="2223" t="str" cm="1">
        <f t="array" ref="AL693">IF($D693&lt;COLUMNS($F$7:AL$7),"",INDEX(TableDiv[[GASB]:[GASB]],_xlfn.AGGREGATE(15,3,(TableDiv[[Agency]:[Agency]]=$E693)/(TableDiv[[Agency]:[Agency]]=$E693)*(ROW(TableDiv[Agency])-ROW(TableDiv[[#Headers],[Agency]])),COLUMNS($F$7:AL$7))))</f>
        <v/>
      </c>
      <c r="AM693" s="2223" t="str" cm="1">
        <f t="array" ref="AM693">IF($D693&lt;COLUMNS($F$7:AM$7),"",INDEX(TableDiv[[GASB]:[GASB]],_xlfn.AGGREGATE(15,3,(TableDiv[[Agency]:[Agency]]=$E693)/(TableDiv[[Agency]:[Agency]]=$E693)*(ROW(TableDiv[Agency])-ROW(TableDiv[[#Headers],[Agency]])),COLUMNS($F$7:AM$7))))</f>
        <v/>
      </c>
      <c r="AN693" s="2223"/>
      <c r="AO693" s="2223"/>
      <c r="AP693" s="2223"/>
      <c r="AQ693" s="2223"/>
      <c r="AR693" s="2223"/>
      <c r="AS693" s="2223"/>
    </row>
    <row r="694" spans="1:45" x14ac:dyDescent="0.2">
      <c r="A694" s="2223"/>
      <c r="B694" s="2223"/>
      <c r="C694" s="2223"/>
      <c r="W694" s="2223" t="str" cm="1">
        <f t="array" ref="W694">IF($D694&lt;COLUMNS($F$7:W$7),"",INDEX(TableDiv[[GASB]:[GASB]],_xlfn.AGGREGATE(15,3,(TableDiv[[Agency]:[Agency]]=$E694)/(TableDiv[[Agency]:[Agency]]=$E694)*(ROW(TableDiv[Agency])-ROW(TableDiv[[#Headers],[Agency]])),COLUMNS($F$7:W$7))))</f>
        <v/>
      </c>
      <c r="X694" s="2223" t="str" cm="1">
        <f t="array" ref="X694">IF($D694&lt;COLUMNS($F$7:X$7),"",INDEX(TableDiv[[GASB]:[GASB]],_xlfn.AGGREGATE(15,3,(TableDiv[[Agency]:[Agency]]=$E694)/(TableDiv[[Agency]:[Agency]]=$E694)*(ROW(TableDiv[Agency])-ROW(TableDiv[[#Headers],[Agency]])),COLUMNS($F$7:X$7))))</f>
        <v/>
      </c>
      <c r="Y694" s="2223" t="str" cm="1">
        <f t="array" ref="Y694">IF($D694&lt;COLUMNS($F$7:Y$7),"",INDEX(TableDiv[[GASB]:[GASB]],_xlfn.AGGREGATE(15,3,(TableDiv[[Agency]:[Agency]]=$E694)/(TableDiv[[Agency]:[Agency]]=$E694)*(ROW(TableDiv[Agency])-ROW(TableDiv[[#Headers],[Agency]])),COLUMNS($F$7:Y$7))))</f>
        <v/>
      </c>
      <c r="Z694" s="2223" t="str" cm="1">
        <f t="array" ref="Z694">IF($D694&lt;COLUMNS($F$7:Z$7),"",INDEX(TableDiv[[GASB]:[GASB]],_xlfn.AGGREGATE(15,3,(TableDiv[[Agency]:[Agency]]=$E694)/(TableDiv[[Agency]:[Agency]]=$E694)*(ROW(TableDiv[Agency])-ROW(TableDiv[[#Headers],[Agency]])),COLUMNS($F$7:Z$7))))</f>
        <v/>
      </c>
      <c r="AA694" s="2223" t="str" cm="1">
        <f t="array" ref="AA694">IF($D694&lt;COLUMNS($F$7:AA$7),"",INDEX(TableDiv[[GASB]:[GASB]],_xlfn.AGGREGATE(15,3,(TableDiv[[Agency]:[Agency]]=$E694)/(TableDiv[[Agency]:[Agency]]=$E694)*(ROW(TableDiv[Agency])-ROW(TableDiv[[#Headers],[Agency]])),COLUMNS($F$7:AA$7))))</f>
        <v/>
      </c>
      <c r="AB694" s="2223" t="str" cm="1">
        <f t="array" ref="AB694">IF($D694&lt;COLUMNS($F$7:AB$7),"",INDEX(TableDiv[[GASB]:[GASB]],_xlfn.AGGREGATE(15,3,(TableDiv[[Agency]:[Agency]]=$E694)/(TableDiv[[Agency]:[Agency]]=$E694)*(ROW(TableDiv[Agency])-ROW(TableDiv[[#Headers],[Agency]])),COLUMNS($F$7:AB$7))))</f>
        <v/>
      </c>
      <c r="AC694" s="2223" t="str" cm="1">
        <f t="array" ref="AC694">IF($D694&lt;COLUMNS($F$7:AC$7),"",INDEX(TableDiv[[GASB]:[GASB]],_xlfn.AGGREGATE(15,3,(TableDiv[[Agency]:[Agency]]=$E694)/(TableDiv[[Agency]:[Agency]]=$E694)*(ROW(TableDiv[Agency])-ROW(TableDiv[[#Headers],[Agency]])),COLUMNS($F$7:AC$7))))</f>
        <v/>
      </c>
      <c r="AD694" s="2223" t="str" cm="1">
        <f t="array" ref="AD694">IF($D694&lt;COLUMNS($F$7:AD$7),"",INDEX(TableDiv[[GASB]:[GASB]],_xlfn.AGGREGATE(15,3,(TableDiv[[Agency]:[Agency]]=$E694)/(TableDiv[[Agency]:[Agency]]=$E694)*(ROW(TableDiv[Agency])-ROW(TableDiv[[#Headers],[Agency]])),COLUMNS($F$7:AD$7))))</f>
        <v/>
      </c>
      <c r="AE694" s="2223" t="str" cm="1">
        <f t="array" ref="AE694">IF($D694&lt;COLUMNS($F$7:AE$7),"",INDEX(TableDiv[[GASB]:[GASB]],_xlfn.AGGREGATE(15,3,(TableDiv[[Agency]:[Agency]]=$E694)/(TableDiv[[Agency]:[Agency]]=$E694)*(ROW(TableDiv[Agency])-ROW(TableDiv[[#Headers],[Agency]])),COLUMNS($F$7:AE$7))))</f>
        <v/>
      </c>
      <c r="AF694" s="2223" t="str" cm="1">
        <f t="array" ref="AF694">IF($D694&lt;COLUMNS($F$7:AF$7),"",INDEX(TableDiv[[GASB]:[GASB]],_xlfn.AGGREGATE(15,3,(TableDiv[[Agency]:[Agency]]=$E694)/(TableDiv[[Agency]:[Agency]]=$E694)*(ROW(TableDiv[Agency])-ROW(TableDiv[[#Headers],[Agency]])),COLUMNS($F$7:AF$7))))</f>
        <v/>
      </c>
      <c r="AG694" s="2223" t="str" cm="1">
        <f t="array" ref="AG694">IF($D694&lt;COLUMNS($F$7:AG$7),"",INDEX(TableDiv[[GASB]:[GASB]],_xlfn.AGGREGATE(15,3,(TableDiv[[Agency]:[Agency]]=$E694)/(TableDiv[[Agency]:[Agency]]=$E694)*(ROW(TableDiv[Agency])-ROW(TableDiv[[#Headers],[Agency]])),COLUMNS($F$7:AG$7))))</f>
        <v/>
      </c>
      <c r="AH694" s="2223" t="str" cm="1">
        <f t="array" ref="AH694">IF($D694&lt;COLUMNS($F$7:AH$7),"",INDEX(TableDiv[[GASB]:[GASB]],_xlfn.AGGREGATE(15,3,(TableDiv[[Agency]:[Agency]]=$E694)/(TableDiv[[Agency]:[Agency]]=$E694)*(ROW(TableDiv[Agency])-ROW(TableDiv[[#Headers],[Agency]])),COLUMNS($F$7:AH$7))))</f>
        <v/>
      </c>
      <c r="AI694" s="2223" t="str" cm="1">
        <f t="array" ref="AI694">IF($D694&lt;COLUMNS($F$7:AI$7),"",INDEX(TableDiv[[GASB]:[GASB]],_xlfn.AGGREGATE(15,3,(TableDiv[[Agency]:[Agency]]=$E694)/(TableDiv[[Agency]:[Agency]]=$E694)*(ROW(TableDiv[Agency])-ROW(TableDiv[[#Headers],[Agency]])),COLUMNS($F$7:AI$7))))</f>
        <v/>
      </c>
      <c r="AJ694" s="2223" t="str" cm="1">
        <f t="array" ref="AJ694">IF($D694&lt;COLUMNS($F$7:AJ$7),"",INDEX(TableDiv[[GASB]:[GASB]],_xlfn.AGGREGATE(15,3,(TableDiv[[Agency]:[Agency]]=$E694)/(TableDiv[[Agency]:[Agency]]=$E694)*(ROW(TableDiv[Agency])-ROW(TableDiv[[#Headers],[Agency]])),COLUMNS($F$7:AJ$7))))</f>
        <v/>
      </c>
      <c r="AK694" s="2223" t="str" cm="1">
        <f t="array" ref="AK694">IF($D694&lt;COLUMNS($F$7:AK$7),"",INDEX(TableDiv[[GASB]:[GASB]],_xlfn.AGGREGATE(15,3,(TableDiv[[Agency]:[Agency]]=$E694)/(TableDiv[[Agency]:[Agency]]=$E694)*(ROW(TableDiv[Agency])-ROW(TableDiv[[#Headers],[Agency]])),COLUMNS($F$7:AK$7))))</f>
        <v/>
      </c>
      <c r="AL694" s="2223" t="str" cm="1">
        <f t="array" ref="AL694">IF($D694&lt;COLUMNS($F$7:AL$7),"",INDEX(TableDiv[[GASB]:[GASB]],_xlfn.AGGREGATE(15,3,(TableDiv[[Agency]:[Agency]]=$E694)/(TableDiv[[Agency]:[Agency]]=$E694)*(ROW(TableDiv[Agency])-ROW(TableDiv[[#Headers],[Agency]])),COLUMNS($F$7:AL$7))))</f>
        <v/>
      </c>
      <c r="AM694" s="2223" t="str" cm="1">
        <f t="array" ref="AM694">IF($D694&lt;COLUMNS($F$7:AM$7),"",INDEX(TableDiv[[GASB]:[GASB]],_xlfn.AGGREGATE(15,3,(TableDiv[[Agency]:[Agency]]=$E694)/(TableDiv[[Agency]:[Agency]]=$E694)*(ROW(TableDiv[Agency])-ROW(TableDiv[[#Headers],[Agency]])),COLUMNS($F$7:AM$7))))</f>
        <v/>
      </c>
      <c r="AN694" s="2223"/>
      <c r="AO694" s="2223"/>
      <c r="AP694" s="2223"/>
      <c r="AQ694" s="2223"/>
      <c r="AR694" s="2223"/>
      <c r="AS694" s="2223"/>
    </row>
    <row r="695" spans="1:45" x14ac:dyDescent="0.2">
      <c r="A695" s="2223"/>
      <c r="B695" s="2223"/>
      <c r="C695" s="2223"/>
      <c r="W695" s="2223" t="str" cm="1">
        <f t="array" ref="W695">IF($D695&lt;COLUMNS($F$7:W$7),"",INDEX(TableDiv[[GASB]:[GASB]],_xlfn.AGGREGATE(15,3,(TableDiv[[Agency]:[Agency]]=$E695)/(TableDiv[[Agency]:[Agency]]=$E695)*(ROW(TableDiv[Agency])-ROW(TableDiv[[#Headers],[Agency]])),COLUMNS($F$7:W$7))))</f>
        <v/>
      </c>
      <c r="X695" s="2223" t="str" cm="1">
        <f t="array" ref="X695">IF($D695&lt;COLUMNS($F$7:X$7),"",INDEX(TableDiv[[GASB]:[GASB]],_xlfn.AGGREGATE(15,3,(TableDiv[[Agency]:[Agency]]=$E695)/(TableDiv[[Agency]:[Agency]]=$E695)*(ROW(TableDiv[Agency])-ROW(TableDiv[[#Headers],[Agency]])),COLUMNS($F$7:X$7))))</f>
        <v/>
      </c>
      <c r="Y695" s="2223" t="str" cm="1">
        <f t="array" ref="Y695">IF($D695&lt;COLUMNS($F$7:Y$7),"",INDEX(TableDiv[[GASB]:[GASB]],_xlfn.AGGREGATE(15,3,(TableDiv[[Agency]:[Agency]]=$E695)/(TableDiv[[Agency]:[Agency]]=$E695)*(ROW(TableDiv[Agency])-ROW(TableDiv[[#Headers],[Agency]])),COLUMNS($F$7:Y$7))))</f>
        <v/>
      </c>
      <c r="Z695" s="2223" t="str" cm="1">
        <f t="array" ref="Z695">IF($D695&lt;COLUMNS($F$7:Z$7),"",INDEX(TableDiv[[GASB]:[GASB]],_xlfn.AGGREGATE(15,3,(TableDiv[[Agency]:[Agency]]=$E695)/(TableDiv[[Agency]:[Agency]]=$E695)*(ROW(TableDiv[Agency])-ROW(TableDiv[[#Headers],[Agency]])),COLUMNS($F$7:Z$7))))</f>
        <v/>
      </c>
      <c r="AA695" s="2223" t="str" cm="1">
        <f t="array" ref="AA695">IF($D695&lt;COLUMNS($F$7:AA$7),"",INDEX(TableDiv[[GASB]:[GASB]],_xlfn.AGGREGATE(15,3,(TableDiv[[Agency]:[Agency]]=$E695)/(TableDiv[[Agency]:[Agency]]=$E695)*(ROW(TableDiv[Agency])-ROW(TableDiv[[#Headers],[Agency]])),COLUMNS($F$7:AA$7))))</f>
        <v/>
      </c>
      <c r="AB695" s="2223" t="str" cm="1">
        <f t="array" ref="AB695">IF($D695&lt;COLUMNS($F$7:AB$7),"",INDEX(TableDiv[[GASB]:[GASB]],_xlfn.AGGREGATE(15,3,(TableDiv[[Agency]:[Agency]]=$E695)/(TableDiv[[Agency]:[Agency]]=$E695)*(ROW(TableDiv[Agency])-ROW(TableDiv[[#Headers],[Agency]])),COLUMNS($F$7:AB$7))))</f>
        <v/>
      </c>
      <c r="AC695" s="2223" t="str" cm="1">
        <f t="array" ref="AC695">IF($D695&lt;COLUMNS($F$7:AC$7),"",INDEX(TableDiv[[GASB]:[GASB]],_xlfn.AGGREGATE(15,3,(TableDiv[[Agency]:[Agency]]=$E695)/(TableDiv[[Agency]:[Agency]]=$E695)*(ROW(TableDiv[Agency])-ROW(TableDiv[[#Headers],[Agency]])),COLUMNS($F$7:AC$7))))</f>
        <v/>
      </c>
      <c r="AD695" s="2223" t="str" cm="1">
        <f t="array" ref="AD695">IF($D695&lt;COLUMNS($F$7:AD$7),"",INDEX(TableDiv[[GASB]:[GASB]],_xlfn.AGGREGATE(15,3,(TableDiv[[Agency]:[Agency]]=$E695)/(TableDiv[[Agency]:[Agency]]=$E695)*(ROW(TableDiv[Agency])-ROW(TableDiv[[#Headers],[Agency]])),COLUMNS($F$7:AD$7))))</f>
        <v/>
      </c>
      <c r="AE695" s="2223" t="str" cm="1">
        <f t="array" ref="AE695">IF($D695&lt;COLUMNS($F$7:AE$7),"",INDEX(TableDiv[[GASB]:[GASB]],_xlfn.AGGREGATE(15,3,(TableDiv[[Agency]:[Agency]]=$E695)/(TableDiv[[Agency]:[Agency]]=$E695)*(ROW(TableDiv[Agency])-ROW(TableDiv[[#Headers],[Agency]])),COLUMNS($F$7:AE$7))))</f>
        <v/>
      </c>
      <c r="AF695" s="2223" t="str" cm="1">
        <f t="array" ref="AF695">IF($D695&lt;COLUMNS($F$7:AF$7),"",INDEX(TableDiv[[GASB]:[GASB]],_xlfn.AGGREGATE(15,3,(TableDiv[[Agency]:[Agency]]=$E695)/(TableDiv[[Agency]:[Agency]]=$E695)*(ROW(TableDiv[Agency])-ROW(TableDiv[[#Headers],[Agency]])),COLUMNS($F$7:AF$7))))</f>
        <v/>
      </c>
      <c r="AG695" s="2223" t="str" cm="1">
        <f t="array" ref="AG695">IF($D695&lt;COLUMNS($F$7:AG$7),"",INDEX(TableDiv[[GASB]:[GASB]],_xlfn.AGGREGATE(15,3,(TableDiv[[Agency]:[Agency]]=$E695)/(TableDiv[[Agency]:[Agency]]=$E695)*(ROW(TableDiv[Agency])-ROW(TableDiv[[#Headers],[Agency]])),COLUMNS($F$7:AG$7))))</f>
        <v/>
      </c>
      <c r="AH695" s="2223" t="str" cm="1">
        <f t="array" ref="AH695">IF($D695&lt;COLUMNS($F$7:AH$7),"",INDEX(TableDiv[[GASB]:[GASB]],_xlfn.AGGREGATE(15,3,(TableDiv[[Agency]:[Agency]]=$E695)/(TableDiv[[Agency]:[Agency]]=$E695)*(ROW(TableDiv[Agency])-ROW(TableDiv[[#Headers],[Agency]])),COLUMNS($F$7:AH$7))))</f>
        <v/>
      </c>
      <c r="AI695" s="2223" t="str" cm="1">
        <f t="array" ref="AI695">IF($D695&lt;COLUMNS($F$7:AI$7),"",INDEX(TableDiv[[GASB]:[GASB]],_xlfn.AGGREGATE(15,3,(TableDiv[[Agency]:[Agency]]=$E695)/(TableDiv[[Agency]:[Agency]]=$E695)*(ROW(TableDiv[Agency])-ROW(TableDiv[[#Headers],[Agency]])),COLUMNS($F$7:AI$7))))</f>
        <v/>
      </c>
      <c r="AJ695" s="2223" t="str" cm="1">
        <f t="array" ref="AJ695">IF($D695&lt;COLUMNS($F$7:AJ$7),"",INDEX(TableDiv[[GASB]:[GASB]],_xlfn.AGGREGATE(15,3,(TableDiv[[Agency]:[Agency]]=$E695)/(TableDiv[[Agency]:[Agency]]=$E695)*(ROW(TableDiv[Agency])-ROW(TableDiv[[#Headers],[Agency]])),COLUMNS($F$7:AJ$7))))</f>
        <v/>
      </c>
      <c r="AK695" s="2223" t="str" cm="1">
        <f t="array" ref="AK695">IF($D695&lt;COLUMNS($F$7:AK$7),"",INDEX(TableDiv[[GASB]:[GASB]],_xlfn.AGGREGATE(15,3,(TableDiv[[Agency]:[Agency]]=$E695)/(TableDiv[[Agency]:[Agency]]=$E695)*(ROW(TableDiv[Agency])-ROW(TableDiv[[#Headers],[Agency]])),COLUMNS($F$7:AK$7))))</f>
        <v/>
      </c>
      <c r="AL695" s="2223" t="str" cm="1">
        <f t="array" ref="AL695">IF($D695&lt;COLUMNS($F$7:AL$7),"",INDEX(TableDiv[[GASB]:[GASB]],_xlfn.AGGREGATE(15,3,(TableDiv[[Agency]:[Agency]]=$E695)/(TableDiv[[Agency]:[Agency]]=$E695)*(ROW(TableDiv[Agency])-ROW(TableDiv[[#Headers],[Agency]])),COLUMNS($F$7:AL$7))))</f>
        <v/>
      </c>
      <c r="AM695" s="2223" t="str" cm="1">
        <f t="array" ref="AM695">IF($D695&lt;COLUMNS($F$7:AM$7),"",INDEX(TableDiv[[GASB]:[GASB]],_xlfn.AGGREGATE(15,3,(TableDiv[[Agency]:[Agency]]=$E695)/(TableDiv[[Agency]:[Agency]]=$E695)*(ROW(TableDiv[Agency])-ROW(TableDiv[[#Headers],[Agency]])),COLUMNS($F$7:AM$7))))</f>
        <v/>
      </c>
      <c r="AN695" s="2223"/>
      <c r="AO695" s="2223"/>
      <c r="AP695" s="2223"/>
      <c r="AQ695" s="2223"/>
      <c r="AR695" s="2223"/>
      <c r="AS695" s="2223"/>
    </row>
    <row r="696" spans="1:45" x14ac:dyDescent="0.2">
      <c r="A696" s="2223"/>
      <c r="B696" s="2223"/>
      <c r="C696" s="2223"/>
      <c r="W696" s="2223" t="str" cm="1">
        <f t="array" ref="W696">IF($D696&lt;COLUMNS($F$7:W$7),"",INDEX(TableDiv[[GASB]:[GASB]],_xlfn.AGGREGATE(15,3,(TableDiv[[Agency]:[Agency]]=$E696)/(TableDiv[[Agency]:[Agency]]=$E696)*(ROW(TableDiv[Agency])-ROW(TableDiv[[#Headers],[Agency]])),COLUMNS($F$7:W$7))))</f>
        <v/>
      </c>
      <c r="X696" s="2223" t="str" cm="1">
        <f t="array" ref="X696">IF($D696&lt;COLUMNS($F$7:X$7),"",INDEX(TableDiv[[GASB]:[GASB]],_xlfn.AGGREGATE(15,3,(TableDiv[[Agency]:[Agency]]=$E696)/(TableDiv[[Agency]:[Agency]]=$E696)*(ROW(TableDiv[Agency])-ROW(TableDiv[[#Headers],[Agency]])),COLUMNS($F$7:X$7))))</f>
        <v/>
      </c>
      <c r="Y696" s="2223" t="str" cm="1">
        <f t="array" ref="Y696">IF($D696&lt;COLUMNS($F$7:Y$7),"",INDEX(TableDiv[[GASB]:[GASB]],_xlfn.AGGREGATE(15,3,(TableDiv[[Agency]:[Agency]]=$E696)/(TableDiv[[Agency]:[Agency]]=$E696)*(ROW(TableDiv[Agency])-ROW(TableDiv[[#Headers],[Agency]])),COLUMNS($F$7:Y$7))))</f>
        <v/>
      </c>
      <c r="Z696" s="2223" t="str" cm="1">
        <f t="array" ref="Z696">IF($D696&lt;COLUMNS($F$7:Z$7),"",INDEX(TableDiv[[GASB]:[GASB]],_xlfn.AGGREGATE(15,3,(TableDiv[[Agency]:[Agency]]=$E696)/(TableDiv[[Agency]:[Agency]]=$E696)*(ROW(TableDiv[Agency])-ROW(TableDiv[[#Headers],[Agency]])),COLUMNS($F$7:Z$7))))</f>
        <v/>
      </c>
      <c r="AA696" s="2223" t="str" cm="1">
        <f t="array" ref="AA696">IF($D696&lt;COLUMNS($F$7:AA$7),"",INDEX(TableDiv[[GASB]:[GASB]],_xlfn.AGGREGATE(15,3,(TableDiv[[Agency]:[Agency]]=$E696)/(TableDiv[[Agency]:[Agency]]=$E696)*(ROW(TableDiv[Agency])-ROW(TableDiv[[#Headers],[Agency]])),COLUMNS($F$7:AA$7))))</f>
        <v/>
      </c>
      <c r="AB696" s="2223" t="str" cm="1">
        <f t="array" ref="AB696">IF($D696&lt;COLUMNS($F$7:AB$7),"",INDEX(TableDiv[[GASB]:[GASB]],_xlfn.AGGREGATE(15,3,(TableDiv[[Agency]:[Agency]]=$E696)/(TableDiv[[Agency]:[Agency]]=$E696)*(ROW(TableDiv[Agency])-ROW(TableDiv[[#Headers],[Agency]])),COLUMNS($F$7:AB$7))))</f>
        <v/>
      </c>
      <c r="AC696" s="2223" t="str" cm="1">
        <f t="array" ref="AC696">IF($D696&lt;COLUMNS($F$7:AC$7),"",INDEX(TableDiv[[GASB]:[GASB]],_xlfn.AGGREGATE(15,3,(TableDiv[[Agency]:[Agency]]=$E696)/(TableDiv[[Agency]:[Agency]]=$E696)*(ROW(TableDiv[Agency])-ROW(TableDiv[[#Headers],[Agency]])),COLUMNS($F$7:AC$7))))</f>
        <v/>
      </c>
      <c r="AD696" s="2223" t="str" cm="1">
        <f t="array" ref="AD696">IF($D696&lt;COLUMNS($F$7:AD$7),"",INDEX(TableDiv[[GASB]:[GASB]],_xlfn.AGGREGATE(15,3,(TableDiv[[Agency]:[Agency]]=$E696)/(TableDiv[[Agency]:[Agency]]=$E696)*(ROW(TableDiv[Agency])-ROW(TableDiv[[#Headers],[Agency]])),COLUMNS($F$7:AD$7))))</f>
        <v/>
      </c>
      <c r="AE696" s="2223" t="str" cm="1">
        <f t="array" ref="AE696">IF($D696&lt;COLUMNS($F$7:AE$7),"",INDEX(TableDiv[[GASB]:[GASB]],_xlfn.AGGREGATE(15,3,(TableDiv[[Agency]:[Agency]]=$E696)/(TableDiv[[Agency]:[Agency]]=$E696)*(ROW(TableDiv[Agency])-ROW(TableDiv[[#Headers],[Agency]])),COLUMNS($F$7:AE$7))))</f>
        <v/>
      </c>
      <c r="AF696" s="2223" t="str" cm="1">
        <f t="array" ref="AF696">IF($D696&lt;COLUMNS($F$7:AF$7),"",INDEX(TableDiv[[GASB]:[GASB]],_xlfn.AGGREGATE(15,3,(TableDiv[[Agency]:[Agency]]=$E696)/(TableDiv[[Agency]:[Agency]]=$E696)*(ROW(TableDiv[Agency])-ROW(TableDiv[[#Headers],[Agency]])),COLUMNS($F$7:AF$7))))</f>
        <v/>
      </c>
      <c r="AG696" s="2223" t="str" cm="1">
        <f t="array" ref="AG696">IF($D696&lt;COLUMNS($F$7:AG$7),"",INDEX(TableDiv[[GASB]:[GASB]],_xlfn.AGGREGATE(15,3,(TableDiv[[Agency]:[Agency]]=$E696)/(TableDiv[[Agency]:[Agency]]=$E696)*(ROW(TableDiv[Agency])-ROW(TableDiv[[#Headers],[Agency]])),COLUMNS($F$7:AG$7))))</f>
        <v/>
      </c>
      <c r="AH696" s="2223" t="str" cm="1">
        <f t="array" ref="AH696">IF($D696&lt;COLUMNS($F$7:AH$7),"",INDEX(TableDiv[[GASB]:[GASB]],_xlfn.AGGREGATE(15,3,(TableDiv[[Agency]:[Agency]]=$E696)/(TableDiv[[Agency]:[Agency]]=$E696)*(ROW(TableDiv[Agency])-ROW(TableDiv[[#Headers],[Agency]])),COLUMNS($F$7:AH$7))))</f>
        <v/>
      </c>
      <c r="AI696" s="2223" t="str" cm="1">
        <f t="array" ref="AI696">IF($D696&lt;COLUMNS($F$7:AI$7),"",INDEX(TableDiv[[GASB]:[GASB]],_xlfn.AGGREGATE(15,3,(TableDiv[[Agency]:[Agency]]=$E696)/(TableDiv[[Agency]:[Agency]]=$E696)*(ROW(TableDiv[Agency])-ROW(TableDiv[[#Headers],[Agency]])),COLUMNS($F$7:AI$7))))</f>
        <v/>
      </c>
      <c r="AJ696" s="2223" t="str" cm="1">
        <f t="array" ref="AJ696">IF($D696&lt;COLUMNS($F$7:AJ$7),"",INDEX(TableDiv[[GASB]:[GASB]],_xlfn.AGGREGATE(15,3,(TableDiv[[Agency]:[Agency]]=$E696)/(TableDiv[[Agency]:[Agency]]=$E696)*(ROW(TableDiv[Agency])-ROW(TableDiv[[#Headers],[Agency]])),COLUMNS($F$7:AJ$7))))</f>
        <v/>
      </c>
      <c r="AK696" s="2223" t="str" cm="1">
        <f t="array" ref="AK696">IF($D696&lt;COLUMNS($F$7:AK$7),"",INDEX(TableDiv[[GASB]:[GASB]],_xlfn.AGGREGATE(15,3,(TableDiv[[Agency]:[Agency]]=$E696)/(TableDiv[[Agency]:[Agency]]=$E696)*(ROW(TableDiv[Agency])-ROW(TableDiv[[#Headers],[Agency]])),COLUMNS($F$7:AK$7))))</f>
        <v/>
      </c>
      <c r="AL696" s="2223" t="str" cm="1">
        <f t="array" ref="AL696">IF($D696&lt;COLUMNS($F$7:AL$7),"",INDEX(TableDiv[[GASB]:[GASB]],_xlfn.AGGREGATE(15,3,(TableDiv[[Agency]:[Agency]]=$E696)/(TableDiv[[Agency]:[Agency]]=$E696)*(ROW(TableDiv[Agency])-ROW(TableDiv[[#Headers],[Agency]])),COLUMNS($F$7:AL$7))))</f>
        <v/>
      </c>
      <c r="AM696" s="2223" t="str" cm="1">
        <f t="array" ref="AM696">IF($D696&lt;COLUMNS($F$7:AM$7),"",INDEX(TableDiv[[GASB]:[GASB]],_xlfn.AGGREGATE(15,3,(TableDiv[[Agency]:[Agency]]=$E696)/(TableDiv[[Agency]:[Agency]]=$E696)*(ROW(TableDiv[Agency])-ROW(TableDiv[[#Headers],[Agency]])),COLUMNS($F$7:AM$7))))</f>
        <v/>
      </c>
      <c r="AN696" s="2223"/>
      <c r="AO696" s="2223"/>
      <c r="AP696" s="2223"/>
      <c r="AQ696" s="2223"/>
      <c r="AR696" s="2223"/>
      <c r="AS696" s="2223"/>
    </row>
    <row r="697" spans="1:45" x14ac:dyDescent="0.2">
      <c r="A697" s="2223"/>
      <c r="B697" s="2223"/>
      <c r="C697" s="2223"/>
      <c r="W697" s="2223" t="str" cm="1">
        <f t="array" ref="W697">IF($D697&lt;COLUMNS($F$7:W$7),"",INDEX(TableDiv[[GASB]:[GASB]],_xlfn.AGGREGATE(15,3,(TableDiv[[Agency]:[Agency]]=$E697)/(TableDiv[[Agency]:[Agency]]=$E697)*(ROW(TableDiv[Agency])-ROW(TableDiv[[#Headers],[Agency]])),COLUMNS($F$7:W$7))))</f>
        <v/>
      </c>
      <c r="X697" s="2223" t="str" cm="1">
        <f t="array" ref="X697">IF($D697&lt;COLUMNS($F$7:X$7),"",INDEX(TableDiv[[GASB]:[GASB]],_xlfn.AGGREGATE(15,3,(TableDiv[[Agency]:[Agency]]=$E697)/(TableDiv[[Agency]:[Agency]]=$E697)*(ROW(TableDiv[Agency])-ROW(TableDiv[[#Headers],[Agency]])),COLUMNS($F$7:X$7))))</f>
        <v/>
      </c>
      <c r="Y697" s="2223" t="str" cm="1">
        <f t="array" ref="Y697">IF($D697&lt;COLUMNS($F$7:Y$7),"",INDEX(TableDiv[[GASB]:[GASB]],_xlfn.AGGREGATE(15,3,(TableDiv[[Agency]:[Agency]]=$E697)/(TableDiv[[Agency]:[Agency]]=$E697)*(ROW(TableDiv[Agency])-ROW(TableDiv[[#Headers],[Agency]])),COLUMNS($F$7:Y$7))))</f>
        <v/>
      </c>
      <c r="Z697" s="2223" t="str" cm="1">
        <f t="array" ref="Z697">IF($D697&lt;COLUMNS($F$7:Z$7),"",INDEX(TableDiv[[GASB]:[GASB]],_xlfn.AGGREGATE(15,3,(TableDiv[[Agency]:[Agency]]=$E697)/(TableDiv[[Agency]:[Agency]]=$E697)*(ROW(TableDiv[Agency])-ROW(TableDiv[[#Headers],[Agency]])),COLUMNS($F$7:Z$7))))</f>
        <v/>
      </c>
      <c r="AA697" s="2223" t="str" cm="1">
        <f t="array" ref="AA697">IF($D697&lt;COLUMNS($F$7:AA$7),"",INDEX(TableDiv[[GASB]:[GASB]],_xlfn.AGGREGATE(15,3,(TableDiv[[Agency]:[Agency]]=$E697)/(TableDiv[[Agency]:[Agency]]=$E697)*(ROW(TableDiv[Agency])-ROW(TableDiv[[#Headers],[Agency]])),COLUMNS($F$7:AA$7))))</f>
        <v/>
      </c>
      <c r="AB697" s="2223" t="str" cm="1">
        <f t="array" ref="AB697">IF($D697&lt;COLUMNS($F$7:AB$7),"",INDEX(TableDiv[[GASB]:[GASB]],_xlfn.AGGREGATE(15,3,(TableDiv[[Agency]:[Agency]]=$E697)/(TableDiv[[Agency]:[Agency]]=$E697)*(ROW(TableDiv[Agency])-ROW(TableDiv[[#Headers],[Agency]])),COLUMNS($F$7:AB$7))))</f>
        <v/>
      </c>
      <c r="AC697" s="2223" t="str" cm="1">
        <f t="array" ref="AC697">IF($D697&lt;COLUMNS($F$7:AC$7),"",INDEX(TableDiv[[GASB]:[GASB]],_xlfn.AGGREGATE(15,3,(TableDiv[[Agency]:[Agency]]=$E697)/(TableDiv[[Agency]:[Agency]]=$E697)*(ROW(TableDiv[Agency])-ROW(TableDiv[[#Headers],[Agency]])),COLUMNS($F$7:AC$7))))</f>
        <v/>
      </c>
      <c r="AD697" s="2223" t="str" cm="1">
        <f t="array" ref="AD697">IF($D697&lt;COLUMNS($F$7:AD$7),"",INDEX(TableDiv[[GASB]:[GASB]],_xlfn.AGGREGATE(15,3,(TableDiv[[Agency]:[Agency]]=$E697)/(TableDiv[[Agency]:[Agency]]=$E697)*(ROW(TableDiv[Agency])-ROW(TableDiv[[#Headers],[Agency]])),COLUMNS($F$7:AD$7))))</f>
        <v/>
      </c>
      <c r="AE697" s="2223" t="str" cm="1">
        <f t="array" ref="AE697">IF($D697&lt;COLUMNS($F$7:AE$7),"",INDEX(TableDiv[[GASB]:[GASB]],_xlfn.AGGREGATE(15,3,(TableDiv[[Agency]:[Agency]]=$E697)/(TableDiv[[Agency]:[Agency]]=$E697)*(ROW(TableDiv[Agency])-ROW(TableDiv[[#Headers],[Agency]])),COLUMNS($F$7:AE$7))))</f>
        <v/>
      </c>
      <c r="AF697" s="2223" t="str" cm="1">
        <f t="array" ref="AF697">IF($D697&lt;COLUMNS($F$7:AF$7),"",INDEX(TableDiv[[GASB]:[GASB]],_xlfn.AGGREGATE(15,3,(TableDiv[[Agency]:[Agency]]=$E697)/(TableDiv[[Agency]:[Agency]]=$E697)*(ROW(TableDiv[Agency])-ROW(TableDiv[[#Headers],[Agency]])),COLUMNS($F$7:AF$7))))</f>
        <v/>
      </c>
      <c r="AG697" s="2223" t="str" cm="1">
        <f t="array" ref="AG697">IF($D697&lt;COLUMNS($F$7:AG$7),"",INDEX(TableDiv[[GASB]:[GASB]],_xlfn.AGGREGATE(15,3,(TableDiv[[Agency]:[Agency]]=$E697)/(TableDiv[[Agency]:[Agency]]=$E697)*(ROW(TableDiv[Agency])-ROW(TableDiv[[#Headers],[Agency]])),COLUMNS($F$7:AG$7))))</f>
        <v/>
      </c>
      <c r="AH697" s="2223" t="str" cm="1">
        <f t="array" ref="AH697">IF($D697&lt;COLUMNS($F$7:AH$7),"",INDEX(TableDiv[[GASB]:[GASB]],_xlfn.AGGREGATE(15,3,(TableDiv[[Agency]:[Agency]]=$E697)/(TableDiv[[Agency]:[Agency]]=$E697)*(ROW(TableDiv[Agency])-ROW(TableDiv[[#Headers],[Agency]])),COLUMNS($F$7:AH$7))))</f>
        <v/>
      </c>
      <c r="AI697" s="2223" t="str" cm="1">
        <f t="array" ref="AI697">IF($D697&lt;COLUMNS($F$7:AI$7),"",INDEX(TableDiv[[GASB]:[GASB]],_xlfn.AGGREGATE(15,3,(TableDiv[[Agency]:[Agency]]=$E697)/(TableDiv[[Agency]:[Agency]]=$E697)*(ROW(TableDiv[Agency])-ROW(TableDiv[[#Headers],[Agency]])),COLUMNS($F$7:AI$7))))</f>
        <v/>
      </c>
      <c r="AJ697" s="2223" t="str" cm="1">
        <f t="array" ref="AJ697">IF($D697&lt;COLUMNS($F$7:AJ$7),"",INDEX(TableDiv[[GASB]:[GASB]],_xlfn.AGGREGATE(15,3,(TableDiv[[Agency]:[Agency]]=$E697)/(TableDiv[[Agency]:[Agency]]=$E697)*(ROW(TableDiv[Agency])-ROW(TableDiv[[#Headers],[Agency]])),COLUMNS($F$7:AJ$7))))</f>
        <v/>
      </c>
      <c r="AK697" s="2223" t="str" cm="1">
        <f t="array" ref="AK697">IF($D697&lt;COLUMNS($F$7:AK$7),"",INDEX(TableDiv[[GASB]:[GASB]],_xlfn.AGGREGATE(15,3,(TableDiv[[Agency]:[Agency]]=$E697)/(TableDiv[[Agency]:[Agency]]=$E697)*(ROW(TableDiv[Agency])-ROW(TableDiv[[#Headers],[Agency]])),COLUMNS($F$7:AK$7))))</f>
        <v/>
      </c>
      <c r="AL697" s="2223" t="str" cm="1">
        <f t="array" ref="AL697">IF($D697&lt;COLUMNS($F$7:AL$7),"",INDEX(TableDiv[[GASB]:[GASB]],_xlfn.AGGREGATE(15,3,(TableDiv[[Agency]:[Agency]]=$E697)/(TableDiv[[Agency]:[Agency]]=$E697)*(ROW(TableDiv[Agency])-ROW(TableDiv[[#Headers],[Agency]])),COLUMNS($F$7:AL$7))))</f>
        <v/>
      </c>
      <c r="AM697" s="2223" t="str" cm="1">
        <f t="array" ref="AM697">IF($D697&lt;COLUMNS($F$7:AM$7),"",INDEX(TableDiv[[GASB]:[GASB]],_xlfn.AGGREGATE(15,3,(TableDiv[[Agency]:[Agency]]=$E697)/(TableDiv[[Agency]:[Agency]]=$E697)*(ROW(TableDiv[Agency])-ROW(TableDiv[[#Headers],[Agency]])),COLUMNS($F$7:AM$7))))</f>
        <v/>
      </c>
      <c r="AN697" s="2223"/>
      <c r="AO697" s="2223"/>
      <c r="AP697" s="2223"/>
      <c r="AQ697" s="2223"/>
      <c r="AR697" s="2223"/>
      <c r="AS697" s="2223"/>
    </row>
    <row r="698" spans="1:45" x14ac:dyDescent="0.2">
      <c r="A698" s="2223"/>
      <c r="B698" s="2223"/>
      <c r="C698" s="2223"/>
      <c r="W698" s="2223" t="str" cm="1">
        <f t="array" ref="W698">IF($D698&lt;COLUMNS($F$7:W$7),"",INDEX(TableDiv[[GASB]:[GASB]],_xlfn.AGGREGATE(15,3,(TableDiv[[Agency]:[Agency]]=$E698)/(TableDiv[[Agency]:[Agency]]=$E698)*(ROW(TableDiv[Agency])-ROW(TableDiv[[#Headers],[Agency]])),COLUMNS($F$7:W$7))))</f>
        <v/>
      </c>
      <c r="X698" s="2223" t="str" cm="1">
        <f t="array" ref="X698">IF($D698&lt;COLUMNS($F$7:X$7),"",INDEX(TableDiv[[GASB]:[GASB]],_xlfn.AGGREGATE(15,3,(TableDiv[[Agency]:[Agency]]=$E698)/(TableDiv[[Agency]:[Agency]]=$E698)*(ROW(TableDiv[Agency])-ROW(TableDiv[[#Headers],[Agency]])),COLUMNS($F$7:X$7))))</f>
        <v/>
      </c>
      <c r="Y698" s="2223" t="str" cm="1">
        <f t="array" ref="Y698">IF($D698&lt;COLUMNS($F$7:Y$7),"",INDEX(TableDiv[[GASB]:[GASB]],_xlfn.AGGREGATE(15,3,(TableDiv[[Agency]:[Agency]]=$E698)/(TableDiv[[Agency]:[Agency]]=$E698)*(ROW(TableDiv[Agency])-ROW(TableDiv[[#Headers],[Agency]])),COLUMNS($F$7:Y$7))))</f>
        <v/>
      </c>
      <c r="Z698" s="2223" t="str" cm="1">
        <f t="array" ref="Z698">IF($D698&lt;COLUMNS($F$7:Z$7),"",INDEX(TableDiv[[GASB]:[GASB]],_xlfn.AGGREGATE(15,3,(TableDiv[[Agency]:[Agency]]=$E698)/(TableDiv[[Agency]:[Agency]]=$E698)*(ROW(TableDiv[Agency])-ROW(TableDiv[[#Headers],[Agency]])),COLUMNS($F$7:Z$7))))</f>
        <v/>
      </c>
      <c r="AA698" s="2223" t="str" cm="1">
        <f t="array" ref="AA698">IF($D698&lt;COLUMNS($F$7:AA$7),"",INDEX(TableDiv[[GASB]:[GASB]],_xlfn.AGGREGATE(15,3,(TableDiv[[Agency]:[Agency]]=$E698)/(TableDiv[[Agency]:[Agency]]=$E698)*(ROW(TableDiv[Agency])-ROW(TableDiv[[#Headers],[Agency]])),COLUMNS($F$7:AA$7))))</f>
        <v/>
      </c>
      <c r="AB698" s="2223" t="str" cm="1">
        <f t="array" ref="AB698">IF($D698&lt;COLUMNS($F$7:AB$7),"",INDEX(TableDiv[[GASB]:[GASB]],_xlfn.AGGREGATE(15,3,(TableDiv[[Agency]:[Agency]]=$E698)/(TableDiv[[Agency]:[Agency]]=$E698)*(ROW(TableDiv[Agency])-ROW(TableDiv[[#Headers],[Agency]])),COLUMNS($F$7:AB$7))))</f>
        <v/>
      </c>
      <c r="AC698" s="2223" t="str" cm="1">
        <f t="array" ref="AC698">IF($D698&lt;COLUMNS($F$7:AC$7),"",INDEX(TableDiv[[GASB]:[GASB]],_xlfn.AGGREGATE(15,3,(TableDiv[[Agency]:[Agency]]=$E698)/(TableDiv[[Agency]:[Agency]]=$E698)*(ROW(TableDiv[Agency])-ROW(TableDiv[[#Headers],[Agency]])),COLUMNS($F$7:AC$7))))</f>
        <v/>
      </c>
      <c r="AD698" s="2223" t="str" cm="1">
        <f t="array" ref="AD698">IF($D698&lt;COLUMNS($F$7:AD$7),"",INDEX(TableDiv[[GASB]:[GASB]],_xlfn.AGGREGATE(15,3,(TableDiv[[Agency]:[Agency]]=$E698)/(TableDiv[[Agency]:[Agency]]=$E698)*(ROW(TableDiv[Agency])-ROW(TableDiv[[#Headers],[Agency]])),COLUMNS($F$7:AD$7))))</f>
        <v/>
      </c>
      <c r="AE698" s="2223" t="str" cm="1">
        <f t="array" ref="AE698">IF($D698&lt;COLUMNS($F$7:AE$7),"",INDEX(TableDiv[[GASB]:[GASB]],_xlfn.AGGREGATE(15,3,(TableDiv[[Agency]:[Agency]]=$E698)/(TableDiv[[Agency]:[Agency]]=$E698)*(ROW(TableDiv[Agency])-ROW(TableDiv[[#Headers],[Agency]])),COLUMNS($F$7:AE$7))))</f>
        <v/>
      </c>
      <c r="AF698" s="2223" t="str" cm="1">
        <f t="array" ref="AF698">IF($D698&lt;COLUMNS($F$7:AF$7),"",INDEX(TableDiv[[GASB]:[GASB]],_xlfn.AGGREGATE(15,3,(TableDiv[[Agency]:[Agency]]=$E698)/(TableDiv[[Agency]:[Agency]]=$E698)*(ROW(TableDiv[Agency])-ROW(TableDiv[[#Headers],[Agency]])),COLUMNS($F$7:AF$7))))</f>
        <v/>
      </c>
      <c r="AG698" s="2223" t="str" cm="1">
        <f t="array" ref="AG698">IF($D698&lt;COLUMNS($F$7:AG$7),"",INDEX(TableDiv[[GASB]:[GASB]],_xlfn.AGGREGATE(15,3,(TableDiv[[Agency]:[Agency]]=$E698)/(TableDiv[[Agency]:[Agency]]=$E698)*(ROW(TableDiv[Agency])-ROW(TableDiv[[#Headers],[Agency]])),COLUMNS($F$7:AG$7))))</f>
        <v/>
      </c>
      <c r="AH698" s="2223" t="str" cm="1">
        <f t="array" ref="AH698">IF($D698&lt;COLUMNS($F$7:AH$7),"",INDEX(TableDiv[[GASB]:[GASB]],_xlfn.AGGREGATE(15,3,(TableDiv[[Agency]:[Agency]]=$E698)/(TableDiv[[Agency]:[Agency]]=$E698)*(ROW(TableDiv[Agency])-ROW(TableDiv[[#Headers],[Agency]])),COLUMNS($F$7:AH$7))))</f>
        <v/>
      </c>
      <c r="AI698" s="2223" t="str" cm="1">
        <f t="array" ref="AI698">IF($D698&lt;COLUMNS($F$7:AI$7),"",INDEX(TableDiv[[GASB]:[GASB]],_xlfn.AGGREGATE(15,3,(TableDiv[[Agency]:[Agency]]=$E698)/(TableDiv[[Agency]:[Agency]]=$E698)*(ROW(TableDiv[Agency])-ROW(TableDiv[[#Headers],[Agency]])),COLUMNS($F$7:AI$7))))</f>
        <v/>
      </c>
      <c r="AJ698" s="2223" t="str" cm="1">
        <f t="array" ref="AJ698">IF($D698&lt;COLUMNS($F$7:AJ$7),"",INDEX(TableDiv[[GASB]:[GASB]],_xlfn.AGGREGATE(15,3,(TableDiv[[Agency]:[Agency]]=$E698)/(TableDiv[[Agency]:[Agency]]=$E698)*(ROW(TableDiv[Agency])-ROW(TableDiv[[#Headers],[Agency]])),COLUMNS($F$7:AJ$7))))</f>
        <v/>
      </c>
      <c r="AK698" s="2223" t="str" cm="1">
        <f t="array" ref="AK698">IF($D698&lt;COLUMNS($F$7:AK$7),"",INDEX(TableDiv[[GASB]:[GASB]],_xlfn.AGGREGATE(15,3,(TableDiv[[Agency]:[Agency]]=$E698)/(TableDiv[[Agency]:[Agency]]=$E698)*(ROW(TableDiv[Agency])-ROW(TableDiv[[#Headers],[Agency]])),COLUMNS($F$7:AK$7))))</f>
        <v/>
      </c>
      <c r="AL698" s="2223" t="str" cm="1">
        <f t="array" ref="AL698">IF($D698&lt;COLUMNS($F$7:AL$7),"",INDEX(TableDiv[[GASB]:[GASB]],_xlfn.AGGREGATE(15,3,(TableDiv[[Agency]:[Agency]]=$E698)/(TableDiv[[Agency]:[Agency]]=$E698)*(ROW(TableDiv[Agency])-ROW(TableDiv[[#Headers],[Agency]])),COLUMNS($F$7:AL$7))))</f>
        <v/>
      </c>
      <c r="AM698" s="2223" t="str" cm="1">
        <f t="array" ref="AM698">IF($D698&lt;COLUMNS($F$7:AM$7),"",INDEX(TableDiv[[GASB]:[GASB]],_xlfn.AGGREGATE(15,3,(TableDiv[[Agency]:[Agency]]=$E698)/(TableDiv[[Agency]:[Agency]]=$E698)*(ROW(TableDiv[Agency])-ROW(TableDiv[[#Headers],[Agency]])),COLUMNS($F$7:AM$7))))</f>
        <v/>
      </c>
      <c r="AN698" s="2223"/>
      <c r="AO698" s="2223"/>
      <c r="AP698" s="2223"/>
      <c r="AQ698" s="2223"/>
      <c r="AR698" s="2223"/>
      <c r="AS698" s="2223"/>
    </row>
    <row r="699" spans="1:45" x14ac:dyDescent="0.2">
      <c r="A699" s="2223"/>
      <c r="B699" s="2223"/>
      <c r="C699" s="2223"/>
      <c r="W699" s="2223" t="str" cm="1">
        <f t="array" ref="W699">IF($D699&lt;COLUMNS($F$7:W$7),"",INDEX(TableDiv[[GASB]:[GASB]],_xlfn.AGGREGATE(15,3,(TableDiv[[Agency]:[Agency]]=$E699)/(TableDiv[[Agency]:[Agency]]=$E699)*(ROW(TableDiv[Agency])-ROW(TableDiv[[#Headers],[Agency]])),COLUMNS($F$7:W$7))))</f>
        <v/>
      </c>
      <c r="X699" s="2223" t="str" cm="1">
        <f t="array" ref="X699">IF($D699&lt;COLUMNS($F$7:X$7),"",INDEX(TableDiv[[GASB]:[GASB]],_xlfn.AGGREGATE(15,3,(TableDiv[[Agency]:[Agency]]=$E699)/(TableDiv[[Agency]:[Agency]]=$E699)*(ROW(TableDiv[Agency])-ROW(TableDiv[[#Headers],[Agency]])),COLUMNS($F$7:X$7))))</f>
        <v/>
      </c>
      <c r="Y699" s="2223" t="str" cm="1">
        <f t="array" ref="Y699">IF($D699&lt;COLUMNS($F$7:Y$7),"",INDEX(TableDiv[[GASB]:[GASB]],_xlfn.AGGREGATE(15,3,(TableDiv[[Agency]:[Agency]]=$E699)/(TableDiv[[Agency]:[Agency]]=$E699)*(ROW(TableDiv[Agency])-ROW(TableDiv[[#Headers],[Agency]])),COLUMNS($F$7:Y$7))))</f>
        <v/>
      </c>
      <c r="Z699" s="2223" t="str" cm="1">
        <f t="array" ref="Z699">IF($D699&lt;COLUMNS($F$7:Z$7),"",INDEX(TableDiv[[GASB]:[GASB]],_xlfn.AGGREGATE(15,3,(TableDiv[[Agency]:[Agency]]=$E699)/(TableDiv[[Agency]:[Agency]]=$E699)*(ROW(TableDiv[Agency])-ROW(TableDiv[[#Headers],[Agency]])),COLUMNS($F$7:Z$7))))</f>
        <v/>
      </c>
      <c r="AA699" s="2223" t="str" cm="1">
        <f t="array" ref="AA699">IF($D699&lt;COLUMNS($F$7:AA$7),"",INDEX(TableDiv[[GASB]:[GASB]],_xlfn.AGGREGATE(15,3,(TableDiv[[Agency]:[Agency]]=$E699)/(TableDiv[[Agency]:[Agency]]=$E699)*(ROW(TableDiv[Agency])-ROW(TableDiv[[#Headers],[Agency]])),COLUMNS($F$7:AA$7))))</f>
        <v/>
      </c>
      <c r="AB699" s="2223" t="str" cm="1">
        <f t="array" ref="AB699">IF($D699&lt;COLUMNS($F$7:AB$7),"",INDEX(TableDiv[[GASB]:[GASB]],_xlfn.AGGREGATE(15,3,(TableDiv[[Agency]:[Agency]]=$E699)/(TableDiv[[Agency]:[Agency]]=$E699)*(ROW(TableDiv[Agency])-ROW(TableDiv[[#Headers],[Agency]])),COLUMNS($F$7:AB$7))))</f>
        <v/>
      </c>
      <c r="AC699" s="2223" t="str" cm="1">
        <f t="array" ref="AC699">IF($D699&lt;COLUMNS($F$7:AC$7),"",INDEX(TableDiv[[GASB]:[GASB]],_xlfn.AGGREGATE(15,3,(TableDiv[[Agency]:[Agency]]=$E699)/(TableDiv[[Agency]:[Agency]]=$E699)*(ROW(TableDiv[Agency])-ROW(TableDiv[[#Headers],[Agency]])),COLUMNS($F$7:AC$7))))</f>
        <v/>
      </c>
      <c r="AD699" s="2223" t="str" cm="1">
        <f t="array" ref="AD699">IF($D699&lt;COLUMNS($F$7:AD$7),"",INDEX(TableDiv[[GASB]:[GASB]],_xlfn.AGGREGATE(15,3,(TableDiv[[Agency]:[Agency]]=$E699)/(TableDiv[[Agency]:[Agency]]=$E699)*(ROW(TableDiv[Agency])-ROW(TableDiv[[#Headers],[Agency]])),COLUMNS($F$7:AD$7))))</f>
        <v/>
      </c>
      <c r="AE699" s="2223" t="str" cm="1">
        <f t="array" ref="AE699">IF($D699&lt;COLUMNS($F$7:AE$7),"",INDEX(TableDiv[[GASB]:[GASB]],_xlfn.AGGREGATE(15,3,(TableDiv[[Agency]:[Agency]]=$E699)/(TableDiv[[Agency]:[Agency]]=$E699)*(ROW(TableDiv[Agency])-ROW(TableDiv[[#Headers],[Agency]])),COLUMNS($F$7:AE$7))))</f>
        <v/>
      </c>
      <c r="AF699" s="2223" t="str" cm="1">
        <f t="array" ref="AF699">IF($D699&lt;COLUMNS($F$7:AF$7),"",INDEX(TableDiv[[GASB]:[GASB]],_xlfn.AGGREGATE(15,3,(TableDiv[[Agency]:[Agency]]=$E699)/(TableDiv[[Agency]:[Agency]]=$E699)*(ROW(TableDiv[Agency])-ROW(TableDiv[[#Headers],[Agency]])),COLUMNS($F$7:AF$7))))</f>
        <v/>
      </c>
      <c r="AG699" s="2223" t="str" cm="1">
        <f t="array" ref="AG699">IF($D699&lt;COLUMNS($F$7:AG$7),"",INDEX(TableDiv[[GASB]:[GASB]],_xlfn.AGGREGATE(15,3,(TableDiv[[Agency]:[Agency]]=$E699)/(TableDiv[[Agency]:[Agency]]=$E699)*(ROW(TableDiv[Agency])-ROW(TableDiv[[#Headers],[Agency]])),COLUMNS($F$7:AG$7))))</f>
        <v/>
      </c>
      <c r="AH699" s="2223" t="str" cm="1">
        <f t="array" ref="AH699">IF($D699&lt;COLUMNS($F$7:AH$7),"",INDEX(TableDiv[[GASB]:[GASB]],_xlfn.AGGREGATE(15,3,(TableDiv[[Agency]:[Agency]]=$E699)/(TableDiv[[Agency]:[Agency]]=$E699)*(ROW(TableDiv[Agency])-ROW(TableDiv[[#Headers],[Agency]])),COLUMNS($F$7:AH$7))))</f>
        <v/>
      </c>
      <c r="AI699" s="2223" t="str" cm="1">
        <f t="array" ref="AI699">IF($D699&lt;COLUMNS($F$7:AI$7),"",INDEX(TableDiv[[GASB]:[GASB]],_xlfn.AGGREGATE(15,3,(TableDiv[[Agency]:[Agency]]=$E699)/(TableDiv[[Agency]:[Agency]]=$E699)*(ROW(TableDiv[Agency])-ROW(TableDiv[[#Headers],[Agency]])),COLUMNS($F$7:AI$7))))</f>
        <v/>
      </c>
      <c r="AJ699" s="2223" t="str" cm="1">
        <f t="array" ref="AJ699">IF($D699&lt;COLUMNS($F$7:AJ$7),"",INDEX(TableDiv[[GASB]:[GASB]],_xlfn.AGGREGATE(15,3,(TableDiv[[Agency]:[Agency]]=$E699)/(TableDiv[[Agency]:[Agency]]=$E699)*(ROW(TableDiv[Agency])-ROW(TableDiv[[#Headers],[Agency]])),COLUMNS($F$7:AJ$7))))</f>
        <v/>
      </c>
      <c r="AK699" s="2223" t="str" cm="1">
        <f t="array" ref="AK699">IF($D699&lt;COLUMNS($F$7:AK$7),"",INDEX(TableDiv[[GASB]:[GASB]],_xlfn.AGGREGATE(15,3,(TableDiv[[Agency]:[Agency]]=$E699)/(TableDiv[[Agency]:[Agency]]=$E699)*(ROW(TableDiv[Agency])-ROW(TableDiv[[#Headers],[Agency]])),COLUMNS($F$7:AK$7))))</f>
        <v/>
      </c>
      <c r="AL699" s="2223" t="str" cm="1">
        <f t="array" ref="AL699">IF($D699&lt;COLUMNS($F$7:AL$7),"",INDEX(TableDiv[[GASB]:[GASB]],_xlfn.AGGREGATE(15,3,(TableDiv[[Agency]:[Agency]]=$E699)/(TableDiv[[Agency]:[Agency]]=$E699)*(ROW(TableDiv[Agency])-ROW(TableDiv[[#Headers],[Agency]])),COLUMNS($F$7:AL$7))))</f>
        <v/>
      </c>
      <c r="AM699" s="2223" t="str" cm="1">
        <f t="array" ref="AM699">IF($D699&lt;COLUMNS($F$7:AM$7),"",INDEX(TableDiv[[GASB]:[GASB]],_xlfn.AGGREGATE(15,3,(TableDiv[[Agency]:[Agency]]=$E699)/(TableDiv[[Agency]:[Agency]]=$E699)*(ROW(TableDiv[Agency])-ROW(TableDiv[[#Headers],[Agency]])),COLUMNS($F$7:AM$7))))</f>
        <v/>
      </c>
      <c r="AN699" s="2223"/>
      <c r="AO699" s="2223"/>
      <c r="AP699" s="2223"/>
      <c r="AQ699" s="2223"/>
      <c r="AR699" s="2223"/>
      <c r="AS699" s="2223"/>
    </row>
    <row r="700" spans="1:45" x14ac:dyDescent="0.2">
      <c r="A700" s="2223"/>
      <c r="B700" s="2223"/>
      <c r="C700" s="2223"/>
      <c r="W700" s="2223" t="str" cm="1">
        <f t="array" ref="W700">IF($D700&lt;COLUMNS($F$7:W$7),"",INDEX(TableDiv[[GASB]:[GASB]],_xlfn.AGGREGATE(15,3,(TableDiv[[Agency]:[Agency]]=$E700)/(TableDiv[[Agency]:[Agency]]=$E700)*(ROW(TableDiv[Agency])-ROW(TableDiv[[#Headers],[Agency]])),COLUMNS($F$7:W$7))))</f>
        <v/>
      </c>
      <c r="X700" s="2223" t="str" cm="1">
        <f t="array" ref="X700">IF($D700&lt;COLUMNS($F$7:X$7),"",INDEX(TableDiv[[GASB]:[GASB]],_xlfn.AGGREGATE(15,3,(TableDiv[[Agency]:[Agency]]=$E700)/(TableDiv[[Agency]:[Agency]]=$E700)*(ROW(TableDiv[Agency])-ROW(TableDiv[[#Headers],[Agency]])),COLUMNS($F$7:X$7))))</f>
        <v/>
      </c>
      <c r="Y700" s="2223" t="str" cm="1">
        <f t="array" ref="Y700">IF($D700&lt;COLUMNS($F$7:Y$7),"",INDEX(TableDiv[[GASB]:[GASB]],_xlfn.AGGREGATE(15,3,(TableDiv[[Agency]:[Agency]]=$E700)/(TableDiv[[Agency]:[Agency]]=$E700)*(ROW(TableDiv[Agency])-ROW(TableDiv[[#Headers],[Agency]])),COLUMNS($F$7:Y$7))))</f>
        <v/>
      </c>
      <c r="Z700" s="2223" t="str" cm="1">
        <f t="array" ref="Z700">IF($D700&lt;COLUMNS($F$7:Z$7),"",INDEX(TableDiv[[GASB]:[GASB]],_xlfn.AGGREGATE(15,3,(TableDiv[[Agency]:[Agency]]=$E700)/(TableDiv[[Agency]:[Agency]]=$E700)*(ROW(TableDiv[Agency])-ROW(TableDiv[[#Headers],[Agency]])),COLUMNS($F$7:Z$7))))</f>
        <v/>
      </c>
      <c r="AA700" s="2223" t="str" cm="1">
        <f t="array" ref="AA700">IF($D700&lt;COLUMNS($F$7:AA$7),"",INDEX(TableDiv[[GASB]:[GASB]],_xlfn.AGGREGATE(15,3,(TableDiv[[Agency]:[Agency]]=$E700)/(TableDiv[[Agency]:[Agency]]=$E700)*(ROW(TableDiv[Agency])-ROW(TableDiv[[#Headers],[Agency]])),COLUMNS($F$7:AA$7))))</f>
        <v/>
      </c>
      <c r="AB700" s="2223" t="str" cm="1">
        <f t="array" ref="AB700">IF($D700&lt;COLUMNS($F$7:AB$7),"",INDEX(TableDiv[[GASB]:[GASB]],_xlfn.AGGREGATE(15,3,(TableDiv[[Agency]:[Agency]]=$E700)/(TableDiv[[Agency]:[Agency]]=$E700)*(ROW(TableDiv[Agency])-ROW(TableDiv[[#Headers],[Agency]])),COLUMNS($F$7:AB$7))))</f>
        <v/>
      </c>
      <c r="AC700" s="2223" t="str" cm="1">
        <f t="array" ref="AC700">IF($D700&lt;COLUMNS($F$7:AC$7),"",INDEX(TableDiv[[GASB]:[GASB]],_xlfn.AGGREGATE(15,3,(TableDiv[[Agency]:[Agency]]=$E700)/(TableDiv[[Agency]:[Agency]]=$E700)*(ROW(TableDiv[Agency])-ROW(TableDiv[[#Headers],[Agency]])),COLUMNS($F$7:AC$7))))</f>
        <v/>
      </c>
      <c r="AD700" s="2223" t="str" cm="1">
        <f t="array" ref="AD700">IF($D700&lt;COLUMNS($F$7:AD$7),"",INDEX(TableDiv[[GASB]:[GASB]],_xlfn.AGGREGATE(15,3,(TableDiv[[Agency]:[Agency]]=$E700)/(TableDiv[[Agency]:[Agency]]=$E700)*(ROW(TableDiv[Agency])-ROW(TableDiv[[#Headers],[Agency]])),COLUMNS($F$7:AD$7))))</f>
        <v/>
      </c>
      <c r="AE700" s="2223" t="str" cm="1">
        <f t="array" ref="AE700">IF($D700&lt;COLUMNS($F$7:AE$7),"",INDEX(TableDiv[[GASB]:[GASB]],_xlfn.AGGREGATE(15,3,(TableDiv[[Agency]:[Agency]]=$E700)/(TableDiv[[Agency]:[Agency]]=$E700)*(ROW(TableDiv[Agency])-ROW(TableDiv[[#Headers],[Agency]])),COLUMNS($F$7:AE$7))))</f>
        <v/>
      </c>
      <c r="AF700" s="2223" t="str" cm="1">
        <f t="array" ref="AF700">IF($D700&lt;COLUMNS($F$7:AF$7),"",INDEX(TableDiv[[GASB]:[GASB]],_xlfn.AGGREGATE(15,3,(TableDiv[[Agency]:[Agency]]=$E700)/(TableDiv[[Agency]:[Agency]]=$E700)*(ROW(TableDiv[Agency])-ROW(TableDiv[[#Headers],[Agency]])),COLUMNS($F$7:AF$7))))</f>
        <v/>
      </c>
      <c r="AG700" s="2223" t="str" cm="1">
        <f t="array" ref="AG700">IF($D700&lt;COLUMNS($F$7:AG$7),"",INDEX(TableDiv[[GASB]:[GASB]],_xlfn.AGGREGATE(15,3,(TableDiv[[Agency]:[Agency]]=$E700)/(TableDiv[[Agency]:[Agency]]=$E700)*(ROW(TableDiv[Agency])-ROW(TableDiv[[#Headers],[Agency]])),COLUMNS($F$7:AG$7))))</f>
        <v/>
      </c>
      <c r="AH700" s="2223" t="str" cm="1">
        <f t="array" ref="AH700">IF($D700&lt;COLUMNS($F$7:AH$7),"",INDEX(TableDiv[[GASB]:[GASB]],_xlfn.AGGREGATE(15,3,(TableDiv[[Agency]:[Agency]]=$E700)/(TableDiv[[Agency]:[Agency]]=$E700)*(ROW(TableDiv[Agency])-ROW(TableDiv[[#Headers],[Agency]])),COLUMNS($F$7:AH$7))))</f>
        <v/>
      </c>
      <c r="AI700" s="2223" t="str" cm="1">
        <f t="array" ref="AI700">IF($D700&lt;COLUMNS($F$7:AI$7),"",INDEX(TableDiv[[GASB]:[GASB]],_xlfn.AGGREGATE(15,3,(TableDiv[[Agency]:[Agency]]=$E700)/(TableDiv[[Agency]:[Agency]]=$E700)*(ROW(TableDiv[Agency])-ROW(TableDiv[[#Headers],[Agency]])),COLUMNS($F$7:AI$7))))</f>
        <v/>
      </c>
      <c r="AJ700" s="2223" t="str" cm="1">
        <f t="array" ref="AJ700">IF($D700&lt;COLUMNS($F$7:AJ$7),"",INDEX(TableDiv[[GASB]:[GASB]],_xlfn.AGGREGATE(15,3,(TableDiv[[Agency]:[Agency]]=$E700)/(TableDiv[[Agency]:[Agency]]=$E700)*(ROW(TableDiv[Agency])-ROW(TableDiv[[#Headers],[Agency]])),COLUMNS($F$7:AJ$7))))</f>
        <v/>
      </c>
      <c r="AK700" s="2223" t="str" cm="1">
        <f t="array" ref="AK700">IF($D700&lt;COLUMNS($F$7:AK$7),"",INDEX(TableDiv[[GASB]:[GASB]],_xlfn.AGGREGATE(15,3,(TableDiv[[Agency]:[Agency]]=$E700)/(TableDiv[[Agency]:[Agency]]=$E700)*(ROW(TableDiv[Agency])-ROW(TableDiv[[#Headers],[Agency]])),COLUMNS($F$7:AK$7))))</f>
        <v/>
      </c>
      <c r="AL700" s="2223" t="str" cm="1">
        <f t="array" ref="AL700">IF($D700&lt;COLUMNS($F$7:AL$7),"",INDEX(TableDiv[[GASB]:[GASB]],_xlfn.AGGREGATE(15,3,(TableDiv[[Agency]:[Agency]]=$E700)/(TableDiv[[Agency]:[Agency]]=$E700)*(ROW(TableDiv[Agency])-ROW(TableDiv[[#Headers],[Agency]])),COLUMNS($F$7:AL$7))))</f>
        <v/>
      </c>
      <c r="AM700" s="2223" t="str" cm="1">
        <f t="array" ref="AM700">IF($D700&lt;COLUMNS($F$7:AM$7),"",INDEX(TableDiv[[GASB]:[GASB]],_xlfn.AGGREGATE(15,3,(TableDiv[[Agency]:[Agency]]=$E700)/(TableDiv[[Agency]:[Agency]]=$E700)*(ROW(TableDiv[Agency])-ROW(TableDiv[[#Headers],[Agency]])),COLUMNS($F$7:AM$7))))</f>
        <v/>
      </c>
      <c r="AN700" s="2223"/>
      <c r="AO700" s="2223"/>
      <c r="AP700" s="2223"/>
      <c r="AQ700" s="2223"/>
      <c r="AR700" s="2223"/>
      <c r="AS700" s="2223"/>
    </row>
    <row r="701" spans="1:45" x14ac:dyDescent="0.2">
      <c r="A701" s="2223"/>
      <c r="B701" s="2223"/>
      <c r="C701" s="2223"/>
      <c r="W701" s="2223" t="str" cm="1">
        <f t="array" ref="W701">IF($D701&lt;COLUMNS($F$7:W$7),"",INDEX(TableDiv[[GASB]:[GASB]],_xlfn.AGGREGATE(15,3,(TableDiv[[Agency]:[Agency]]=$E701)/(TableDiv[[Agency]:[Agency]]=$E701)*(ROW(TableDiv[Agency])-ROW(TableDiv[[#Headers],[Agency]])),COLUMNS($F$7:W$7))))</f>
        <v/>
      </c>
      <c r="X701" s="2223" t="str" cm="1">
        <f t="array" ref="X701">IF($D701&lt;COLUMNS($F$7:X$7),"",INDEX(TableDiv[[GASB]:[GASB]],_xlfn.AGGREGATE(15,3,(TableDiv[[Agency]:[Agency]]=$E701)/(TableDiv[[Agency]:[Agency]]=$E701)*(ROW(TableDiv[Agency])-ROW(TableDiv[[#Headers],[Agency]])),COLUMNS($F$7:X$7))))</f>
        <v/>
      </c>
      <c r="Y701" s="2223" t="str" cm="1">
        <f t="array" ref="Y701">IF($D701&lt;COLUMNS($F$7:Y$7),"",INDEX(TableDiv[[GASB]:[GASB]],_xlfn.AGGREGATE(15,3,(TableDiv[[Agency]:[Agency]]=$E701)/(TableDiv[[Agency]:[Agency]]=$E701)*(ROW(TableDiv[Agency])-ROW(TableDiv[[#Headers],[Agency]])),COLUMNS($F$7:Y$7))))</f>
        <v/>
      </c>
      <c r="Z701" s="2223" t="str" cm="1">
        <f t="array" ref="Z701">IF($D701&lt;COLUMNS($F$7:Z$7),"",INDEX(TableDiv[[GASB]:[GASB]],_xlfn.AGGREGATE(15,3,(TableDiv[[Agency]:[Agency]]=$E701)/(TableDiv[[Agency]:[Agency]]=$E701)*(ROW(TableDiv[Agency])-ROW(TableDiv[[#Headers],[Agency]])),COLUMNS($F$7:Z$7))))</f>
        <v/>
      </c>
      <c r="AA701" s="2223" t="str" cm="1">
        <f t="array" ref="AA701">IF($D701&lt;COLUMNS($F$7:AA$7),"",INDEX(TableDiv[[GASB]:[GASB]],_xlfn.AGGREGATE(15,3,(TableDiv[[Agency]:[Agency]]=$E701)/(TableDiv[[Agency]:[Agency]]=$E701)*(ROW(TableDiv[Agency])-ROW(TableDiv[[#Headers],[Agency]])),COLUMNS($F$7:AA$7))))</f>
        <v/>
      </c>
      <c r="AB701" s="2223" t="str" cm="1">
        <f t="array" ref="AB701">IF($D701&lt;COLUMNS($F$7:AB$7),"",INDEX(TableDiv[[GASB]:[GASB]],_xlfn.AGGREGATE(15,3,(TableDiv[[Agency]:[Agency]]=$E701)/(TableDiv[[Agency]:[Agency]]=$E701)*(ROW(TableDiv[Agency])-ROW(TableDiv[[#Headers],[Agency]])),COLUMNS($F$7:AB$7))))</f>
        <v/>
      </c>
      <c r="AC701" s="2223" t="str" cm="1">
        <f t="array" ref="AC701">IF($D701&lt;COLUMNS($F$7:AC$7),"",INDEX(TableDiv[[GASB]:[GASB]],_xlfn.AGGREGATE(15,3,(TableDiv[[Agency]:[Agency]]=$E701)/(TableDiv[[Agency]:[Agency]]=$E701)*(ROW(TableDiv[Agency])-ROW(TableDiv[[#Headers],[Agency]])),COLUMNS($F$7:AC$7))))</f>
        <v/>
      </c>
      <c r="AD701" s="2223" t="str" cm="1">
        <f t="array" ref="AD701">IF($D701&lt;COLUMNS($F$7:AD$7),"",INDEX(TableDiv[[GASB]:[GASB]],_xlfn.AGGREGATE(15,3,(TableDiv[[Agency]:[Agency]]=$E701)/(TableDiv[[Agency]:[Agency]]=$E701)*(ROW(TableDiv[Agency])-ROW(TableDiv[[#Headers],[Agency]])),COLUMNS($F$7:AD$7))))</f>
        <v/>
      </c>
      <c r="AE701" s="2223" t="str" cm="1">
        <f t="array" ref="AE701">IF($D701&lt;COLUMNS($F$7:AE$7),"",INDEX(TableDiv[[GASB]:[GASB]],_xlfn.AGGREGATE(15,3,(TableDiv[[Agency]:[Agency]]=$E701)/(TableDiv[[Agency]:[Agency]]=$E701)*(ROW(TableDiv[Agency])-ROW(TableDiv[[#Headers],[Agency]])),COLUMNS($F$7:AE$7))))</f>
        <v/>
      </c>
      <c r="AF701" s="2223" t="str" cm="1">
        <f t="array" ref="AF701">IF($D701&lt;COLUMNS($F$7:AF$7),"",INDEX(TableDiv[[GASB]:[GASB]],_xlfn.AGGREGATE(15,3,(TableDiv[[Agency]:[Agency]]=$E701)/(TableDiv[[Agency]:[Agency]]=$E701)*(ROW(TableDiv[Agency])-ROW(TableDiv[[#Headers],[Agency]])),COLUMNS($F$7:AF$7))))</f>
        <v/>
      </c>
      <c r="AG701" s="2223" t="str" cm="1">
        <f t="array" ref="AG701">IF($D701&lt;COLUMNS($F$7:AG$7),"",INDEX(TableDiv[[GASB]:[GASB]],_xlfn.AGGREGATE(15,3,(TableDiv[[Agency]:[Agency]]=$E701)/(TableDiv[[Agency]:[Agency]]=$E701)*(ROW(TableDiv[Agency])-ROW(TableDiv[[#Headers],[Agency]])),COLUMNS($F$7:AG$7))))</f>
        <v/>
      </c>
      <c r="AH701" s="2223" t="str" cm="1">
        <f t="array" ref="AH701">IF($D701&lt;COLUMNS($F$7:AH$7),"",INDEX(TableDiv[[GASB]:[GASB]],_xlfn.AGGREGATE(15,3,(TableDiv[[Agency]:[Agency]]=$E701)/(TableDiv[[Agency]:[Agency]]=$E701)*(ROW(TableDiv[Agency])-ROW(TableDiv[[#Headers],[Agency]])),COLUMNS($F$7:AH$7))))</f>
        <v/>
      </c>
      <c r="AI701" s="2223" t="str" cm="1">
        <f t="array" ref="AI701">IF($D701&lt;COLUMNS($F$7:AI$7),"",INDEX(TableDiv[[GASB]:[GASB]],_xlfn.AGGREGATE(15,3,(TableDiv[[Agency]:[Agency]]=$E701)/(TableDiv[[Agency]:[Agency]]=$E701)*(ROW(TableDiv[Agency])-ROW(TableDiv[[#Headers],[Agency]])),COLUMNS($F$7:AI$7))))</f>
        <v/>
      </c>
      <c r="AJ701" s="2223" t="str" cm="1">
        <f t="array" ref="AJ701">IF($D701&lt;COLUMNS($F$7:AJ$7),"",INDEX(TableDiv[[GASB]:[GASB]],_xlfn.AGGREGATE(15,3,(TableDiv[[Agency]:[Agency]]=$E701)/(TableDiv[[Agency]:[Agency]]=$E701)*(ROW(TableDiv[Agency])-ROW(TableDiv[[#Headers],[Agency]])),COLUMNS($F$7:AJ$7))))</f>
        <v/>
      </c>
      <c r="AK701" s="2223" t="str" cm="1">
        <f t="array" ref="AK701">IF($D701&lt;COLUMNS($F$7:AK$7),"",INDEX(TableDiv[[GASB]:[GASB]],_xlfn.AGGREGATE(15,3,(TableDiv[[Agency]:[Agency]]=$E701)/(TableDiv[[Agency]:[Agency]]=$E701)*(ROW(TableDiv[Agency])-ROW(TableDiv[[#Headers],[Agency]])),COLUMNS($F$7:AK$7))))</f>
        <v/>
      </c>
      <c r="AL701" s="2223" t="str" cm="1">
        <f t="array" ref="AL701">IF($D701&lt;COLUMNS($F$7:AL$7),"",INDEX(TableDiv[[GASB]:[GASB]],_xlfn.AGGREGATE(15,3,(TableDiv[[Agency]:[Agency]]=$E701)/(TableDiv[[Agency]:[Agency]]=$E701)*(ROW(TableDiv[Agency])-ROW(TableDiv[[#Headers],[Agency]])),COLUMNS($F$7:AL$7))))</f>
        <v/>
      </c>
      <c r="AM701" s="2223" t="str" cm="1">
        <f t="array" ref="AM701">IF($D701&lt;COLUMNS($F$7:AM$7),"",INDEX(TableDiv[[GASB]:[GASB]],_xlfn.AGGREGATE(15,3,(TableDiv[[Agency]:[Agency]]=$E701)/(TableDiv[[Agency]:[Agency]]=$E701)*(ROW(TableDiv[Agency])-ROW(TableDiv[[#Headers],[Agency]])),COLUMNS($F$7:AM$7))))</f>
        <v/>
      </c>
      <c r="AN701" s="2223"/>
      <c r="AO701" s="2223"/>
      <c r="AP701" s="2223"/>
      <c r="AQ701" s="2223"/>
      <c r="AR701" s="2223"/>
      <c r="AS701" s="2223"/>
    </row>
    <row r="702" spans="1:45" x14ac:dyDescent="0.2">
      <c r="A702" s="2223"/>
      <c r="B702" s="2223"/>
      <c r="C702" s="2223"/>
      <c r="W702" s="2223" t="str" cm="1">
        <f t="array" ref="W702">IF($D702&lt;COLUMNS($F$7:W$7),"",INDEX(TableDiv[[GASB]:[GASB]],_xlfn.AGGREGATE(15,3,(TableDiv[[Agency]:[Agency]]=$E702)/(TableDiv[[Agency]:[Agency]]=$E702)*(ROW(TableDiv[Agency])-ROW(TableDiv[[#Headers],[Agency]])),COLUMNS($F$7:W$7))))</f>
        <v/>
      </c>
      <c r="X702" s="2223" t="str" cm="1">
        <f t="array" ref="X702">IF($D702&lt;COLUMNS($F$7:X$7),"",INDEX(TableDiv[[GASB]:[GASB]],_xlfn.AGGREGATE(15,3,(TableDiv[[Agency]:[Agency]]=$E702)/(TableDiv[[Agency]:[Agency]]=$E702)*(ROW(TableDiv[Agency])-ROW(TableDiv[[#Headers],[Agency]])),COLUMNS($F$7:X$7))))</f>
        <v/>
      </c>
      <c r="Y702" s="2223" t="str" cm="1">
        <f t="array" ref="Y702">IF($D702&lt;COLUMNS($F$7:Y$7),"",INDEX(TableDiv[[GASB]:[GASB]],_xlfn.AGGREGATE(15,3,(TableDiv[[Agency]:[Agency]]=$E702)/(TableDiv[[Agency]:[Agency]]=$E702)*(ROW(TableDiv[Agency])-ROW(TableDiv[[#Headers],[Agency]])),COLUMNS($F$7:Y$7))))</f>
        <v/>
      </c>
      <c r="Z702" s="2223" t="str" cm="1">
        <f t="array" ref="Z702">IF($D702&lt;COLUMNS($F$7:Z$7),"",INDEX(TableDiv[[GASB]:[GASB]],_xlfn.AGGREGATE(15,3,(TableDiv[[Agency]:[Agency]]=$E702)/(TableDiv[[Agency]:[Agency]]=$E702)*(ROW(TableDiv[Agency])-ROW(TableDiv[[#Headers],[Agency]])),COLUMNS($F$7:Z$7))))</f>
        <v/>
      </c>
      <c r="AA702" s="2223" t="str" cm="1">
        <f t="array" ref="AA702">IF($D702&lt;COLUMNS($F$7:AA$7),"",INDEX(TableDiv[[GASB]:[GASB]],_xlfn.AGGREGATE(15,3,(TableDiv[[Agency]:[Agency]]=$E702)/(TableDiv[[Agency]:[Agency]]=$E702)*(ROW(TableDiv[Agency])-ROW(TableDiv[[#Headers],[Agency]])),COLUMNS($F$7:AA$7))))</f>
        <v/>
      </c>
      <c r="AB702" s="2223" t="str" cm="1">
        <f t="array" ref="AB702">IF($D702&lt;COLUMNS($F$7:AB$7),"",INDEX(TableDiv[[GASB]:[GASB]],_xlfn.AGGREGATE(15,3,(TableDiv[[Agency]:[Agency]]=$E702)/(TableDiv[[Agency]:[Agency]]=$E702)*(ROW(TableDiv[Agency])-ROW(TableDiv[[#Headers],[Agency]])),COLUMNS($F$7:AB$7))))</f>
        <v/>
      </c>
      <c r="AC702" s="2223" t="str" cm="1">
        <f t="array" ref="AC702">IF($D702&lt;COLUMNS($F$7:AC$7),"",INDEX(TableDiv[[GASB]:[GASB]],_xlfn.AGGREGATE(15,3,(TableDiv[[Agency]:[Agency]]=$E702)/(TableDiv[[Agency]:[Agency]]=$E702)*(ROW(TableDiv[Agency])-ROW(TableDiv[[#Headers],[Agency]])),COLUMNS($F$7:AC$7))))</f>
        <v/>
      </c>
      <c r="AD702" s="2223" t="str" cm="1">
        <f t="array" ref="AD702">IF($D702&lt;COLUMNS($F$7:AD$7),"",INDEX(TableDiv[[GASB]:[GASB]],_xlfn.AGGREGATE(15,3,(TableDiv[[Agency]:[Agency]]=$E702)/(TableDiv[[Agency]:[Agency]]=$E702)*(ROW(TableDiv[Agency])-ROW(TableDiv[[#Headers],[Agency]])),COLUMNS($F$7:AD$7))))</f>
        <v/>
      </c>
      <c r="AE702" s="2223" t="str" cm="1">
        <f t="array" ref="AE702">IF($D702&lt;COLUMNS($F$7:AE$7),"",INDEX(TableDiv[[GASB]:[GASB]],_xlfn.AGGREGATE(15,3,(TableDiv[[Agency]:[Agency]]=$E702)/(TableDiv[[Agency]:[Agency]]=$E702)*(ROW(TableDiv[Agency])-ROW(TableDiv[[#Headers],[Agency]])),COLUMNS($F$7:AE$7))))</f>
        <v/>
      </c>
      <c r="AF702" s="2223" t="str" cm="1">
        <f t="array" ref="AF702">IF($D702&lt;COLUMNS($F$7:AF$7),"",INDEX(TableDiv[[GASB]:[GASB]],_xlfn.AGGREGATE(15,3,(TableDiv[[Agency]:[Agency]]=$E702)/(TableDiv[[Agency]:[Agency]]=$E702)*(ROW(TableDiv[Agency])-ROW(TableDiv[[#Headers],[Agency]])),COLUMNS($F$7:AF$7))))</f>
        <v/>
      </c>
      <c r="AG702" s="2223" t="str" cm="1">
        <f t="array" ref="AG702">IF($D702&lt;COLUMNS($F$7:AG$7),"",INDEX(TableDiv[[GASB]:[GASB]],_xlfn.AGGREGATE(15,3,(TableDiv[[Agency]:[Agency]]=$E702)/(TableDiv[[Agency]:[Agency]]=$E702)*(ROW(TableDiv[Agency])-ROW(TableDiv[[#Headers],[Agency]])),COLUMNS($F$7:AG$7))))</f>
        <v/>
      </c>
      <c r="AH702" s="2223" t="str" cm="1">
        <f t="array" ref="AH702">IF($D702&lt;COLUMNS($F$7:AH$7),"",INDEX(TableDiv[[GASB]:[GASB]],_xlfn.AGGREGATE(15,3,(TableDiv[[Agency]:[Agency]]=$E702)/(TableDiv[[Agency]:[Agency]]=$E702)*(ROW(TableDiv[Agency])-ROW(TableDiv[[#Headers],[Agency]])),COLUMNS($F$7:AH$7))))</f>
        <v/>
      </c>
      <c r="AI702" s="2223" t="str" cm="1">
        <f t="array" ref="AI702">IF($D702&lt;COLUMNS($F$7:AI$7),"",INDEX(TableDiv[[GASB]:[GASB]],_xlfn.AGGREGATE(15,3,(TableDiv[[Agency]:[Agency]]=$E702)/(TableDiv[[Agency]:[Agency]]=$E702)*(ROW(TableDiv[Agency])-ROW(TableDiv[[#Headers],[Agency]])),COLUMNS($F$7:AI$7))))</f>
        <v/>
      </c>
      <c r="AJ702" s="2223" t="str" cm="1">
        <f t="array" ref="AJ702">IF($D702&lt;COLUMNS($F$7:AJ$7),"",INDEX(TableDiv[[GASB]:[GASB]],_xlfn.AGGREGATE(15,3,(TableDiv[[Agency]:[Agency]]=$E702)/(TableDiv[[Agency]:[Agency]]=$E702)*(ROW(TableDiv[Agency])-ROW(TableDiv[[#Headers],[Agency]])),COLUMNS($F$7:AJ$7))))</f>
        <v/>
      </c>
      <c r="AK702" s="2223" t="str" cm="1">
        <f t="array" ref="AK702">IF($D702&lt;COLUMNS($F$7:AK$7),"",INDEX(TableDiv[[GASB]:[GASB]],_xlfn.AGGREGATE(15,3,(TableDiv[[Agency]:[Agency]]=$E702)/(TableDiv[[Agency]:[Agency]]=$E702)*(ROW(TableDiv[Agency])-ROW(TableDiv[[#Headers],[Agency]])),COLUMNS($F$7:AK$7))))</f>
        <v/>
      </c>
      <c r="AL702" s="2223" t="str" cm="1">
        <f t="array" ref="AL702">IF($D702&lt;COLUMNS($F$7:AL$7),"",INDEX(TableDiv[[GASB]:[GASB]],_xlfn.AGGREGATE(15,3,(TableDiv[[Agency]:[Agency]]=$E702)/(TableDiv[[Agency]:[Agency]]=$E702)*(ROW(TableDiv[Agency])-ROW(TableDiv[[#Headers],[Agency]])),COLUMNS($F$7:AL$7))))</f>
        <v/>
      </c>
      <c r="AM702" s="2223" t="str" cm="1">
        <f t="array" ref="AM702">IF($D702&lt;COLUMNS($F$7:AM$7),"",INDEX(TableDiv[[GASB]:[GASB]],_xlfn.AGGREGATE(15,3,(TableDiv[[Agency]:[Agency]]=$E702)/(TableDiv[[Agency]:[Agency]]=$E702)*(ROW(TableDiv[Agency])-ROW(TableDiv[[#Headers],[Agency]])),COLUMNS($F$7:AM$7))))</f>
        <v/>
      </c>
      <c r="AN702" s="2223"/>
      <c r="AO702" s="2223"/>
      <c r="AP702" s="2223"/>
      <c r="AQ702" s="2223"/>
      <c r="AR702" s="2223"/>
      <c r="AS702" s="2223"/>
    </row>
    <row r="703" spans="1:45" x14ac:dyDescent="0.2">
      <c r="A703" s="2223"/>
      <c r="B703" s="2223"/>
      <c r="C703" s="2223"/>
      <c r="W703" s="2223" t="str" cm="1">
        <f t="array" ref="W703">IF($D703&lt;COLUMNS($F$7:W$7),"",INDEX(TableDiv[[GASB]:[GASB]],_xlfn.AGGREGATE(15,3,(TableDiv[[Agency]:[Agency]]=$E703)/(TableDiv[[Agency]:[Agency]]=$E703)*(ROW(TableDiv[Agency])-ROW(TableDiv[[#Headers],[Agency]])),COLUMNS($F$7:W$7))))</f>
        <v/>
      </c>
      <c r="X703" s="2223" t="str" cm="1">
        <f t="array" ref="X703">IF($D703&lt;COLUMNS($F$7:X$7),"",INDEX(TableDiv[[GASB]:[GASB]],_xlfn.AGGREGATE(15,3,(TableDiv[[Agency]:[Agency]]=$E703)/(TableDiv[[Agency]:[Agency]]=$E703)*(ROW(TableDiv[Agency])-ROW(TableDiv[[#Headers],[Agency]])),COLUMNS($F$7:X$7))))</f>
        <v/>
      </c>
      <c r="Y703" s="2223" t="str" cm="1">
        <f t="array" ref="Y703">IF($D703&lt;COLUMNS($F$7:Y$7),"",INDEX(TableDiv[[GASB]:[GASB]],_xlfn.AGGREGATE(15,3,(TableDiv[[Agency]:[Agency]]=$E703)/(TableDiv[[Agency]:[Agency]]=$E703)*(ROW(TableDiv[Agency])-ROW(TableDiv[[#Headers],[Agency]])),COLUMNS($F$7:Y$7))))</f>
        <v/>
      </c>
      <c r="Z703" s="2223" t="str" cm="1">
        <f t="array" ref="Z703">IF($D703&lt;COLUMNS($F$7:Z$7),"",INDEX(TableDiv[[GASB]:[GASB]],_xlfn.AGGREGATE(15,3,(TableDiv[[Agency]:[Agency]]=$E703)/(TableDiv[[Agency]:[Agency]]=$E703)*(ROW(TableDiv[Agency])-ROW(TableDiv[[#Headers],[Agency]])),COLUMNS($F$7:Z$7))))</f>
        <v/>
      </c>
      <c r="AA703" s="2223" t="str" cm="1">
        <f t="array" ref="AA703">IF($D703&lt;COLUMNS($F$7:AA$7),"",INDEX(TableDiv[[GASB]:[GASB]],_xlfn.AGGREGATE(15,3,(TableDiv[[Agency]:[Agency]]=$E703)/(TableDiv[[Agency]:[Agency]]=$E703)*(ROW(TableDiv[Agency])-ROW(TableDiv[[#Headers],[Agency]])),COLUMNS($F$7:AA$7))))</f>
        <v/>
      </c>
      <c r="AB703" s="2223" t="str" cm="1">
        <f t="array" ref="AB703">IF($D703&lt;COLUMNS($F$7:AB$7),"",INDEX(TableDiv[[GASB]:[GASB]],_xlfn.AGGREGATE(15,3,(TableDiv[[Agency]:[Agency]]=$E703)/(TableDiv[[Agency]:[Agency]]=$E703)*(ROW(TableDiv[Agency])-ROW(TableDiv[[#Headers],[Agency]])),COLUMNS($F$7:AB$7))))</f>
        <v/>
      </c>
      <c r="AC703" s="2223" t="str" cm="1">
        <f t="array" ref="AC703">IF($D703&lt;COLUMNS($F$7:AC$7),"",INDEX(TableDiv[[GASB]:[GASB]],_xlfn.AGGREGATE(15,3,(TableDiv[[Agency]:[Agency]]=$E703)/(TableDiv[[Agency]:[Agency]]=$E703)*(ROW(TableDiv[Agency])-ROW(TableDiv[[#Headers],[Agency]])),COLUMNS($F$7:AC$7))))</f>
        <v/>
      </c>
      <c r="AD703" s="2223" t="str" cm="1">
        <f t="array" ref="AD703">IF($D703&lt;COLUMNS($F$7:AD$7),"",INDEX(TableDiv[[GASB]:[GASB]],_xlfn.AGGREGATE(15,3,(TableDiv[[Agency]:[Agency]]=$E703)/(TableDiv[[Agency]:[Agency]]=$E703)*(ROW(TableDiv[Agency])-ROW(TableDiv[[#Headers],[Agency]])),COLUMNS($F$7:AD$7))))</f>
        <v/>
      </c>
      <c r="AE703" s="2223" t="str" cm="1">
        <f t="array" ref="AE703">IF($D703&lt;COLUMNS($F$7:AE$7),"",INDEX(TableDiv[[GASB]:[GASB]],_xlfn.AGGREGATE(15,3,(TableDiv[[Agency]:[Agency]]=$E703)/(TableDiv[[Agency]:[Agency]]=$E703)*(ROW(TableDiv[Agency])-ROW(TableDiv[[#Headers],[Agency]])),COLUMNS($F$7:AE$7))))</f>
        <v/>
      </c>
      <c r="AF703" s="2223" t="str" cm="1">
        <f t="array" ref="AF703">IF($D703&lt;COLUMNS($F$7:AF$7),"",INDEX(TableDiv[[GASB]:[GASB]],_xlfn.AGGREGATE(15,3,(TableDiv[[Agency]:[Agency]]=$E703)/(TableDiv[[Agency]:[Agency]]=$E703)*(ROW(TableDiv[Agency])-ROW(TableDiv[[#Headers],[Agency]])),COLUMNS($F$7:AF$7))))</f>
        <v/>
      </c>
      <c r="AG703" s="2223" t="str" cm="1">
        <f t="array" ref="AG703">IF($D703&lt;COLUMNS($F$7:AG$7),"",INDEX(TableDiv[[GASB]:[GASB]],_xlfn.AGGREGATE(15,3,(TableDiv[[Agency]:[Agency]]=$E703)/(TableDiv[[Agency]:[Agency]]=$E703)*(ROW(TableDiv[Agency])-ROW(TableDiv[[#Headers],[Agency]])),COLUMNS($F$7:AG$7))))</f>
        <v/>
      </c>
      <c r="AH703" s="2223" t="str" cm="1">
        <f t="array" ref="AH703">IF($D703&lt;COLUMNS($F$7:AH$7),"",INDEX(TableDiv[[GASB]:[GASB]],_xlfn.AGGREGATE(15,3,(TableDiv[[Agency]:[Agency]]=$E703)/(TableDiv[[Agency]:[Agency]]=$E703)*(ROW(TableDiv[Agency])-ROW(TableDiv[[#Headers],[Agency]])),COLUMNS($F$7:AH$7))))</f>
        <v/>
      </c>
      <c r="AI703" s="2223" t="str" cm="1">
        <f t="array" ref="AI703">IF($D703&lt;COLUMNS($F$7:AI$7),"",INDEX(TableDiv[[GASB]:[GASB]],_xlfn.AGGREGATE(15,3,(TableDiv[[Agency]:[Agency]]=$E703)/(TableDiv[[Agency]:[Agency]]=$E703)*(ROW(TableDiv[Agency])-ROW(TableDiv[[#Headers],[Agency]])),COLUMNS($F$7:AI$7))))</f>
        <v/>
      </c>
      <c r="AJ703" s="2223" t="str" cm="1">
        <f t="array" ref="AJ703">IF($D703&lt;COLUMNS($F$7:AJ$7),"",INDEX(TableDiv[[GASB]:[GASB]],_xlfn.AGGREGATE(15,3,(TableDiv[[Agency]:[Agency]]=$E703)/(TableDiv[[Agency]:[Agency]]=$E703)*(ROW(TableDiv[Agency])-ROW(TableDiv[[#Headers],[Agency]])),COLUMNS($F$7:AJ$7))))</f>
        <v/>
      </c>
      <c r="AK703" s="2223" t="str" cm="1">
        <f t="array" ref="AK703">IF($D703&lt;COLUMNS($F$7:AK$7),"",INDEX(TableDiv[[GASB]:[GASB]],_xlfn.AGGREGATE(15,3,(TableDiv[[Agency]:[Agency]]=$E703)/(TableDiv[[Agency]:[Agency]]=$E703)*(ROW(TableDiv[Agency])-ROW(TableDiv[[#Headers],[Agency]])),COLUMNS($F$7:AK$7))))</f>
        <v/>
      </c>
      <c r="AL703" s="2223" t="str" cm="1">
        <f t="array" ref="AL703">IF($D703&lt;COLUMNS($F$7:AL$7),"",INDEX(TableDiv[[GASB]:[GASB]],_xlfn.AGGREGATE(15,3,(TableDiv[[Agency]:[Agency]]=$E703)/(TableDiv[[Agency]:[Agency]]=$E703)*(ROW(TableDiv[Agency])-ROW(TableDiv[[#Headers],[Agency]])),COLUMNS($F$7:AL$7))))</f>
        <v/>
      </c>
      <c r="AM703" s="2223" t="str" cm="1">
        <f t="array" ref="AM703">IF($D703&lt;COLUMNS($F$7:AM$7),"",INDEX(TableDiv[[GASB]:[GASB]],_xlfn.AGGREGATE(15,3,(TableDiv[[Agency]:[Agency]]=$E703)/(TableDiv[[Agency]:[Agency]]=$E703)*(ROW(TableDiv[Agency])-ROW(TableDiv[[#Headers],[Agency]])),COLUMNS($F$7:AM$7))))</f>
        <v/>
      </c>
      <c r="AN703" s="2223"/>
      <c r="AO703" s="2223"/>
      <c r="AP703" s="2223"/>
      <c r="AQ703" s="2223"/>
      <c r="AR703" s="2223"/>
      <c r="AS703" s="2223"/>
    </row>
    <row r="704" spans="1:45" x14ac:dyDescent="0.2">
      <c r="A704" s="2223"/>
      <c r="B704" s="2223"/>
      <c r="C704" s="2223"/>
      <c r="W704" s="2223" t="str" cm="1">
        <f t="array" ref="W704">IF($D704&lt;COLUMNS($F$7:W$7),"",INDEX(TableDiv[[GASB]:[GASB]],_xlfn.AGGREGATE(15,3,(TableDiv[[Agency]:[Agency]]=$E704)/(TableDiv[[Agency]:[Agency]]=$E704)*(ROW(TableDiv[Agency])-ROW(TableDiv[[#Headers],[Agency]])),COLUMNS($F$7:W$7))))</f>
        <v/>
      </c>
      <c r="X704" s="2223" t="str" cm="1">
        <f t="array" ref="X704">IF($D704&lt;COLUMNS($F$7:X$7),"",INDEX(TableDiv[[GASB]:[GASB]],_xlfn.AGGREGATE(15,3,(TableDiv[[Agency]:[Agency]]=$E704)/(TableDiv[[Agency]:[Agency]]=$E704)*(ROW(TableDiv[Agency])-ROW(TableDiv[[#Headers],[Agency]])),COLUMNS($F$7:X$7))))</f>
        <v/>
      </c>
      <c r="Y704" s="2223" t="str" cm="1">
        <f t="array" ref="Y704">IF($D704&lt;COLUMNS($F$7:Y$7),"",INDEX(TableDiv[[GASB]:[GASB]],_xlfn.AGGREGATE(15,3,(TableDiv[[Agency]:[Agency]]=$E704)/(TableDiv[[Agency]:[Agency]]=$E704)*(ROW(TableDiv[Agency])-ROW(TableDiv[[#Headers],[Agency]])),COLUMNS($F$7:Y$7))))</f>
        <v/>
      </c>
      <c r="Z704" s="2223" t="str" cm="1">
        <f t="array" ref="Z704">IF($D704&lt;COLUMNS($F$7:Z$7),"",INDEX(TableDiv[[GASB]:[GASB]],_xlfn.AGGREGATE(15,3,(TableDiv[[Agency]:[Agency]]=$E704)/(TableDiv[[Agency]:[Agency]]=$E704)*(ROW(TableDiv[Agency])-ROW(TableDiv[[#Headers],[Agency]])),COLUMNS($F$7:Z$7))))</f>
        <v/>
      </c>
      <c r="AA704" s="2223" t="str" cm="1">
        <f t="array" ref="AA704">IF($D704&lt;COLUMNS($F$7:AA$7),"",INDEX(TableDiv[[GASB]:[GASB]],_xlfn.AGGREGATE(15,3,(TableDiv[[Agency]:[Agency]]=$E704)/(TableDiv[[Agency]:[Agency]]=$E704)*(ROW(TableDiv[Agency])-ROW(TableDiv[[#Headers],[Agency]])),COLUMNS($F$7:AA$7))))</f>
        <v/>
      </c>
      <c r="AB704" s="2223" t="str" cm="1">
        <f t="array" ref="AB704">IF($D704&lt;COLUMNS($F$7:AB$7),"",INDEX(TableDiv[[GASB]:[GASB]],_xlfn.AGGREGATE(15,3,(TableDiv[[Agency]:[Agency]]=$E704)/(TableDiv[[Agency]:[Agency]]=$E704)*(ROW(TableDiv[Agency])-ROW(TableDiv[[#Headers],[Agency]])),COLUMNS($F$7:AB$7))))</f>
        <v/>
      </c>
      <c r="AC704" s="2223" t="str" cm="1">
        <f t="array" ref="AC704">IF($D704&lt;COLUMNS($F$7:AC$7),"",INDEX(TableDiv[[GASB]:[GASB]],_xlfn.AGGREGATE(15,3,(TableDiv[[Agency]:[Agency]]=$E704)/(TableDiv[[Agency]:[Agency]]=$E704)*(ROW(TableDiv[Agency])-ROW(TableDiv[[#Headers],[Agency]])),COLUMNS($F$7:AC$7))))</f>
        <v/>
      </c>
      <c r="AD704" s="2223" t="str" cm="1">
        <f t="array" ref="AD704">IF($D704&lt;COLUMNS($F$7:AD$7),"",INDEX(TableDiv[[GASB]:[GASB]],_xlfn.AGGREGATE(15,3,(TableDiv[[Agency]:[Agency]]=$E704)/(TableDiv[[Agency]:[Agency]]=$E704)*(ROW(TableDiv[Agency])-ROW(TableDiv[[#Headers],[Agency]])),COLUMNS($F$7:AD$7))))</f>
        <v/>
      </c>
      <c r="AE704" s="2223" t="str" cm="1">
        <f t="array" ref="AE704">IF($D704&lt;COLUMNS($F$7:AE$7),"",INDEX(TableDiv[[GASB]:[GASB]],_xlfn.AGGREGATE(15,3,(TableDiv[[Agency]:[Agency]]=$E704)/(TableDiv[[Agency]:[Agency]]=$E704)*(ROW(TableDiv[Agency])-ROW(TableDiv[[#Headers],[Agency]])),COLUMNS($F$7:AE$7))))</f>
        <v/>
      </c>
      <c r="AF704" s="2223" t="str" cm="1">
        <f t="array" ref="AF704">IF($D704&lt;COLUMNS($F$7:AF$7),"",INDEX(TableDiv[[GASB]:[GASB]],_xlfn.AGGREGATE(15,3,(TableDiv[[Agency]:[Agency]]=$E704)/(TableDiv[[Agency]:[Agency]]=$E704)*(ROW(TableDiv[Agency])-ROW(TableDiv[[#Headers],[Agency]])),COLUMNS($F$7:AF$7))))</f>
        <v/>
      </c>
      <c r="AG704" s="2223" t="str" cm="1">
        <f t="array" ref="AG704">IF($D704&lt;COLUMNS($F$7:AG$7),"",INDEX(TableDiv[[GASB]:[GASB]],_xlfn.AGGREGATE(15,3,(TableDiv[[Agency]:[Agency]]=$E704)/(TableDiv[[Agency]:[Agency]]=$E704)*(ROW(TableDiv[Agency])-ROW(TableDiv[[#Headers],[Agency]])),COLUMNS($F$7:AG$7))))</f>
        <v/>
      </c>
      <c r="AH704" s="2223" t="str" cm="1">
        <f t="array" ref="AH704">IF($D704&lt;COLUMNS($F$7:AH$7),"",INDEX(TableDiv[[GASB]:[GASB]],_xlfn.AGGREGATE(15,3,(TableDiv[[Agency]:[Agency]]=$E704)/(TableDiv[[Agency]:[Agency]]=$E704)*(ROW(TableDiv[Agency])-ROW(TableDiv[[#Headers],[Agency]])),COLUMNS($F$7:AH$7))))</f>
        <v/>
      </c>
      <c r="AI704" s="2223" t="str" cm="1">
        <f t="array" ref="AI704">IF($D704&lt;COLUMNS($F$7:AI$7),"",INDEX(TableDiv[[GASB]:[GASB]],_xlfn.AGGREGATE(15,3,(TableDiv[[Agency]:[Agency]]=$E704)/(TableDiv[[Agency]:[Agency]]=$E704)*(ROW(TableDiv[Agency])-ROW(TableDiv[[#Headers],[Agency]])),COLUMNS($F$7:AI$7))))</f>
        <v/>
      </c>
      <c r="AJ704" s="2223" t="str" cm="1">
        <f t="array" ref="AJ704">IF($D704&lt;COLUMNS($F$7:AJ$7),"",INDEX(TableDiv[[GASB]:[GASB]],_xlfn.AGGREGATE(15,3,(TableDiv[[Agency]:[Agency]]=$E704)/(TableDiv[[Agency]:[Agency]]=$E704)*(ROW(TableDiv[Agency])-ROW(TableDiv[[#Headers],[Agency]])),COLUMNS($F$7:AJ$7))))</f>
        <v/>
      </c>
      <c r="AK704" s="2223" t="str" cm="1">
        <f t="array" ref="AK704">IF($D704&lt;COLUMNS($F$7:AK$7),"",INDEX(TableDiv[[GASB]:[GASB]],_xlfn.AGGREGATE(15,3,(TableDiv[[Agency]:[Agency]]=$E704)/(TableDiv[[Agency]:[Agency]]=$E704)*(ROW(TableDiv[Agency])-ROW(TableDiv[[#Headers],[Agency]])),COLUMNS($F$7:AK$7))))</f>
        <v/>
      </c>
      <c r="AL704" s="2223" t="str" cm="1">
        <f t="array" ref="AL704">IF($D704&lt;COLUMNS($F$7:AL$7),"",INDEX(TableDiv[[GASB]:[GASB]],_xlfn.AGGREGATE(15,3,(TableDiv[[Agency]:[Agency]]=$E704)/(TableDiv[[Agency]:[Agency]]=$E704)*(ROW(TableDiv[Agency])-ROW(TableDiv[[#Headers],[Agency]])),COLUMNS($F$7:AL$7))))</f>
        <v/>
      </c>
      <c r="AM704" s="2223" t="str" cm="1">
        <f t="array" ref="AM704">IF($D704&lt;COLUMNS($F$7:AM$7),"",INDEX(TableDiv[[GASB]:[GASB]],_xlfn.AGGREGATE(15,3,(TableDiv[[Agency]:[Agency]]=$E704)/(TableDiv[[Agency]:[Agency]]=$E704)*(ROW(TableDiv[Agency])-ROW(TableDiv[[#Headers],[Agency]])),COLUMNS($F$7:AM$7))))</f>
        <v/>
      </c>
      <c r="AN704" s="2223"/>
      <c r="AO704" s="2223"/>
      <c r="AP704" s="2223"/>
      <c r="AQ704" s="2223"/>
      <c r="AR704" s="2223"/>
      <c r="AS704" s="2223"/>
    </row>
    <row r="705" spans="1:45" x14ac:dyDescent="0.2">
      <c r="A705" s="2223"/>
      <c r="B705" s="2223"/>
      <c r="C705" s="2223"/>
      <c r="W705" s="2223" t="str" cm="1">
        <f t="array" ref="W705">IF($D705&lt;COLUMNS($F$7:W$7),"",INDEX(TableDiv[[GASB]:[GASB]],_xlfn.AGGREGATE(15,3,(TableDiv[[Agency]:[Agency]]=$E705)/(TableDiv[[Agency]:[Agency]]=$E705)*(ROW(TableDiv[Agency])-ROW(TableDiv[[#Headers],[Agency]])),COLUMNS($F$7:W$7))))</f>
        <v/>
      </c>
      <c r="X705" s="2223" t="str" cm="1">
        <f t="array" ref="X705">IF($D705&lt;COLUMNS($F$7:X$7),"",INDEX(TableDiv[[GASB]:[GASB]],_xlfn.AGGREGATE(15,3,(TableDiv[[Agency]:[Agency]]=$E705)/(TableDiv[[Agency]:[Agency]]=$E705)*(ROW(TableDiv[Agency])-ROW(TableDiv[[#Headers],[Agency]])),COLUMNS($F$7:X$7))))</f>
        <v/>
      </c>
      <c r="Y705" s="2223" t="str" cm="1">
        <f t="array" ref="Y705">IF($D705&lt;COLUMNS($F$7:Y$7),"",INDEX(TableDiv[[GASB]:[GASB]],_xlfn.AGGREGATE(15,3,(TableDiv[[Agency]:[Agency]]=$E705)/(TableDiv[[Agency]:[Agency]]=$E705)*(ROW(TableDiv[Agency])-ROW(TableDiv[[#Headers],[Agency]])),COLUMNS($F$7:Y$7))))</f>
        <v/>
      </c>
      <c r="Z705" s="2223" t="str" cm="1">
        <f t="array" ref="Z705">IF($D705&lt;COLUMNS($F$7:Z$7),"",INDEX(TableDiv[[GASB]:[GASB]],_xlfn.AGGREGATE(15,3,(TableDiv[[Agency]:[Agency]]=$E705)/(TableDiv[[Agency]:[Agency]]=$E705)*(ROW(TableDiv[Agency])-ROW(TableDiv[[#Headers],[Agency]])),COLUMNS($F$7:Z$7))))</f>
        <v/>
      </c>
      <c r="AA705" s="2223" t="str" cm="1">
        <f t="array" ref="AA705">IF($D705&lt;COLUMNS($F$7:AA$7),"",INDEX(TableDiv[[GASB]:[GASB]],_xlfn.AGGREGATE(15,3,(TableDiv[[Agency]:[Agency]]=$E705)/(TableDiv[[Agency]:[Agency]]=$E705)*(ROW(TableDiv[Agency])-ROW(TableDiv[[#Headers],[Agency]])),COLUMNS($F$7:AA$7))))</f>
        <v/>
      </c>
      <c r="AB705" s="2223" t="str" cm="1">
        <f t="array" ref="AB705">IF($D705&lt;COLUMNS($F$7:AB$7),"",INDEX(TableDiv[[GASB]:[GASB]],_xlfn.AGGREGATE(15,3,(TableDiv[[Agency]:[Agency]]=$E705)/(TableDiv[[Agency]:[Agency]]=$E705)*(ROW(TableDiv[Agency])-ROW(TableDiv[[#Headers],[Agency]])),COLUMNS($F$7:AB$7))))</f>
        <v/>
      </c>
      <c r="AC705" s="2223" t="str" cm="1">
        <f t="array" ref="AC705">IF($D705&lt;COLUMNS($F$7:AC$7),"",INDEX(TableDiv[[GASB]:[GASB]],_xlfn.AGGREGATE(15,3,(TableDiv[[Agency]:[Agency]]=$E705)/(TableDiv[[Agency]:[Agency]]=$E705)*(ROW(TableDiv[Agency])-ROW(TableDiv[[#Headers],[Agency]])),COLUMNS($F$7:AC$7))))</f>
        <v/>
      </c>
      <c r="AD705" s="2223" t="str" cm="1">
        <f t="array" ref="AD705">IF($D705&lt;COLUMNS($F$7:AD$7),"",INDEX(TableDiv[[GASB]:[GASB]],_xlfn.AGGREGATE(15,3,(TableDiv[[Agency]:[Agency]]=$E705)/(TableDiv[[Agency]:[Agency]]=$E705)*(ROW(TableDiv[Agency])-ROW(TableDiv[[#Headers],[Agency]])),COLUMNS($F$7:AD$7))))</f>
        <v/>
      </c>
      <c r="AE705" s="2223" t="str" cm="1">
        <f t="array" ref="AE705">IF($D705&lt;COLUMNS($F$7:AE$7),"",INDEX(TableDiv[[GASB]:[GASB]],_xlfn.AGGREGATE(15,3,(TableDiv[[Agency]:[Agency]]=$E705)/(TableDiv[[Agency]:[Agency]]=$E705)*(ROW(TableDiv[Agency])-ROW(TableDiv[[#Headers],[Agency]])),COLUMNS($F$7:AE$7))))</f>
        <v/>
      </c>
      <c r="AF705" s="2223" t="str" cm="1">
        <f t="array" ref="AF705">IF($D705&lt;COLUMNS($F$7:AF$7),"",INDEX(TableDiv[[GASB]:[GASB]],_xlfn.AGGREGATE(15,3,(TableDiv[[Agency]:[Agency]]=$E705)/(TableDiv[[Agency]:[Agency]]=$E705)*(ROW(TableDiv[Agency])-ROW(TableDiv[[#Headers],[Agency]])),COLUMNS($F$7:AF$7))))</f>
        <v/>
      </c>
      <c r="AG705" s="2223" t="str" cm="1">
        <f t="array" ref="AG705">IF($D705&lt;COLUMNS($F$7:AG$7),"",INDEX(TableDiv[[GASB]:[GASB]],_xlfn.AGGREGATE(15,3,(TableDiv[[Agency]:[Agency]]=$E705)/(TableDiv[[Agency]:[Agency]]=$E705)*(ROW(TableDiv[Agency])-ROW(TableDiv[[#Headers],[Agency]])),COLUMNS($F$7:AG$7))))</f>
        <v/>
      </c>
      <c r="AH705" s="2223" t="str" cm="1">
        <f t="array" ref="AH705">IF($D705&lt;COLUMNS($F$7:AH$7),"",INDEX(TableDiv[[GASB]:[GASB]],_xlfn.AGGREGATE(15,3,(TableDiv[[Agency]:[Agency]]=$E705)/(TableDiv[[Agency]:[Agency]]=$E705)*(ROW(TableDiv[Agency])-ROW(TableDiv[[#Headers],[Agency]])),COLUMNS($F$7:AH$7))))</f>
        <v/>
      </c>
      <c r="AI705" s="2223" t="str" cm="1">
        <f t="array" ref="AI705">IF($D705&lt;COLUMNS($F$7:AI$7),"",INDEX(TableDiv[[GASB]:[GASB]],_xlfn.AGGREGATE(15,3,(TableDiv[[Agency]:[Agency]]=$E705)/(TableDiv[[Agency]:[Agency]]=$E705)*(ROW(TableDiv[Agency])-ROW(TableDiv[[#Headers],[Agency]])),COLUMNS($F$7:AI$7))))</f>
        <v/>
      </c>
      <c r="AJ705" s="2223" t="str" cm="1">
        <f t="array" ref="AJ705">IF($D705&lt;COLUMNS($F$7:AJ$7),"",INDEX(TableDiv[[GASB]:[GASB]],_xlfn.AGGREGATE(15,3,(TableDiv[[Agency]:[Agency]]=$E705)/(TableDiv[[Agency]:[Agency]]=$E705)*(ROW(TableDiv[Agency])-ROW(TableDiv[[#Headers],[Agency]])),COLUMNS($F$7:AJ$7))))</f>
        <v/>
      </c>
      <c r="AK705" s="2223" t="str" cm="1">
        <f t="array" ref="AK705">IF($D705&lt;COLUMNS($F$7:AK$7),"",INDEX(TableDiv[[GASB]:[GASB]],_xlfn.AGGREGATE(15,3,(TableDiv[[Agency]:[Agency]]=$E705)/(TableDiv[[Agency]:[Agency]]=$E705)*(ROW(TableDiv[Agency])-ROW(TableDiv[[#Headers],[Agency]])),COLUMNS($F$7:AK$7))))</f>
        <v/>
      </c>
      <c r="AL705" s="2223" t="str" cm="1">
        <f t="array" ref="AL705">IF($D705&lt;COLUMNS($F$7:AL$7),"",INDEX(TableDiv[[GASB]:[GASB]],_xlfn.AGGREGATE(15,3,(TableDiv[[Agency]:[Agency]]=$E705)/(TableDiv[[Agency]:[Agency]]=$E705)*(ROW(TableDiv[Agency])-ROW(TableDiv[[#Headers],[Agency]])),COLUMNS($F$7:AL$7))))</f>
        <v/>
      </c>
      <c r="AM705" s="2223" t="str" cm="1">
        <f t="array" ref="AM705">IF($D705&lt;COLUMNS($F$7:AM$7),"",INDEX(TableDiv[[GASB]:[GASB]],_xlfn.AGGREGATE(15,3,(TableDiv[[Agency]:[Agency]]=$E705)/(TableDiv[[Agency]:[Agency]]=$E705)*(ROW(TableDiv[Agency])-ROW(TableDiv[[#Headers],[Agency]])),COLUMNS($F$7:AM$7))))</f>
        <v/>
      </c>
      <c r="AN705" s="2223"/>
      <c r="AO705" s="2223"/>
      <c r="AP705" s="2223"/>
      <c r="AQ705" s="2223"/>
      <c r="AR705" s="2223"/>
      <c r="AS705" s="2223"/>
    </row>
    <row r="706" spans="1:45" x14ac:dyDescent="0.2">
      <c r="A706" s="2223"/>
      <c r="B706" s="2223"/>
      <c r="C706" s="2223"/>
      <c r="W706" s="2223" t="str" cm="1">
        <f t="array" ref="W706">IF($D706&lt;COLUMNS($F$7:W$7),"",INDEX(TableDiv[[GASB]:[GASB]],_xlfn.AGGREGATE(15,3,(TableDiv[[Agency]:[Agency]]=$E706)/(TableDiv[[Agency]:[Agency]]=$E706)*(ROW(TableDiv[Agency])-ROW(TableDiv[[#Headers],[Agency]])),COLUMNS($F$7:W$7))))</f>
        <v/>
      </c>
      <c r="X706" s="2223" t="str" cm="1">
        <f t="array" ref="X706">IF($D706&lt;COLUMNS($F$7:X$7),"",INDEX(TableDiv[[GASB]:[GASB]],_xlfn.AGGREGATE(15,3,(TableDiv[[Agency]:[Agency]]=$E706)/(TableDiv[[Agency]:[Agency]]=$E706)*(ROW(TableDiv[Agency])-ROW(TableDiv[[#Headers],[Agency]])),COLUMNS($F$7:X$7))))</f>
        <v/>
      </c>
      <c r="Y706" s="2223" t="str" cm="1">
        <f t="array" ref="Y706">IF($D706&lt;COLUMNS($F$7:Y$7),"",INDEX(TableDiv[[GASB]:[GASB]],_xlfn.AGGREGATE(15,3,(TableDiv[[Agency]:[Agency]]=$E706)/(TableDiv[[Agency]:[Agency]]=$E706)*(ROW(TableDiv[Agency])-ROW(TableDiv[[#Headers],[Agency]])),COLUMNS($F$7:Y$7))))</f>
        <v/>
      </c>
      <c r="Z706" s="2223" t="str" cm="1">
        <f t="array" ref="Z706">IF($D706&lt;COLUMNS($F$7:Z$7),"",INDEX(TableDiv[[GASB]:[GASB]],_xlfn.AGGREGATE(15,3,(TableDiv[[Agency]:[Agency]]=$E706)/(TableDiv[[Agency]:[Agency]]=$E706)*(ROW(TableDiv[Agency])-ROW(TableDiv[[#Headers],[Agency]])),COLUMNS($F$7:Z$7))))</f>
        <v/>
      </c>
      <c r="AA706" s="2223" t="str" cm="1">
        <f t="array" ref="AA706">IF($D706&lt;COLUMNS($F$7:AA$7),"",INDEX(TableDiv[[GASB]:[GASB]],_xlfn.AGGREGATE(15,3,(TableDiv[[Agency]:[Agency]]=$E706)/(TableDiv[[Agency]:[Agency]]=$E706)*(ROW(TableDiv[Agency])-ROW(TableDiv[[#Headers],[Agency]])),COLUMNS($F$7:AA$7))))</f>
        <v/>
      </c>
      <c r="AB706" s="2223" t="str" cm="1">
        <f t="array" ref="AB706">IF($D706&lt;COLUMNS($F$7:AB$7),"",INDEX(TableDiv[[GASB]:[GASB]],_xlfn.AGGREGATE(15,3,(TableDiv[[Agency]:[Agency]]=$E706)/(TableDiv[[Agency]:[Agency]]=$E706)*(ROW(TableDiv[Agency])-ROW(TableDiv[[#Headers],[Agency]])),COLUMNS($F$7:AB$7))))</f>
        <v/>
      </c>
      <c r="AC706" s="2223" t="str" cm="1">
        <f t="array" ref="AC706">IF($D706&lt;COLUMNS($F$7:AC$7),"",INDEX(TableDiv[[GASB]:[GASB]],_xlfn.AGGREGATE(15,3,(TableDiv[[Agency]:[Agency]]=$E706)/(TableDiv[[Agency]:[Agency]]=$E706)*(ROW(TableDiv[Agency])-ROW(TableDiv[[#Headers],[Agency]])),COLUMNS($F$7:AC$7))))</f>
        <v/>
      </c>
      <c r="AD706" s="2223" t="str" cm="1">
        <f t="array" ref="AD706">IF($D706&lt;COLUMNS($F$7:AD$7),"",INDEX(TableDiv[[GASB]:[GASB]],_xlfn.AGGREGATE(15,3,(TableDiv[[Agency]:[Agency]]=$E706)/(TableDiv[[Agency]:[Agency]]=$E706)*(ROW(TableDiv[Agency])-ROW(TableDiv[[#Headers],[Agency]])),COLUMNS($F$7:AD$7))))</f>
        <v/>
      </c>
      <c r="AE706" s="2223" t="str" cm="1">
        <f t="array" ref="AE706">IF($D706&lt;COLUMNS($F$7:AE$7),"",INDEX(TableDiv[[GASB]:[GASB]],_xlfn.AGGREGATE(15,3,(TableDiv[[Agency]:[Agency]]=$E706)/(TableDiv[[Agency]:[Agency]]=$E706)*(ROW(TableDiv[Agency])-ROW(TableDiv[[#Headers],[Agency]])),COLUMNS($F$7:AE$7))))</f>
        <v/>
      </c>
      <c r="AF706" s="2223" t="str" cm="1">
        <f t="array" ref="AF706">IF($D706&lt;COLUMNS($F$7:AF$7),"",INDEX(TableDiv[[GASB]:[GASB]],_xlfn.AGGREGATE(15,3,(TableDiv[[Agency]:[Agency]]=$E706)/(TableDiv[[Agency]:[Agency]]=$E706)*(ROW(TableDiv[Agency])-ROW(TableDiv[[#Headers],[Agency]])),COLUMNS($F$7:AF$7))))</f>
        <v/>
      </c>
      <c r="AG706" s="2223" t="str" cm="1">
        <f t="array" ref="AG706">IF($D706&lt;COLUMNS($F$7:AG$7),"",INDEX(TableDiv[[GASB]:[GASB]],_xlfn.AGGREGATE(15,3,(TableDiv[[Agency]:[Agency]]=$E706)/(TableDiv[[Agency]:[Agency]]=$E706)*(ROW(TableDiv[Agency])-ROW(TableDiv[[#Headers],[Agency]])),COLUMNS($F$7:AG$7))))</f>
        <v/>
      </c>
      <c r="AH706" s="2223" t="str" cm="1">
        <f t="array" ref="AH706">IF($D706&lt;COLUMNS($F$7:AH$7),"",INDEX(TableDiv[[GASB]:[GASB]],_xlfn.AGGREGATE(15,3,(TableDiv[[Agency]:[Agency]]=$E706)/(TableDiv[[Agency]:[Agency]]=$E706)*(ROW(TableDiv[Agency])-ROW(TableDiv[[#Headers],[Agency]])),COLUMNS($F$7:AH$7))))</f>
        <v/>
      </c>
      <c r="AI706" s="2223" t="str" cm="1">
        <f t="array" ref="AI706">IF($D706&lt;COLUMNS($F$7:AI$7),"",INDEX(TableDiv[[GASB]:[GASB]],_xlfn.AGGREGATE(15,3,(TableDiv[[Agency]:[Agency]]=$E706)/(TableDiv[[Agency]:[Agency]]=$E706)*(ROW(TableDiv[Agency])-ROW(TableDiv[[#Headers],[Agency]])),COLUMNS($F$7:AI$7))))</f>
        <v/>
      </c>
      <c r="AJ706" s="2223" t="str" cm="1">
        <f t="array" ref="AJ706">IF($D706&lt;COLUMNS($F$7:AJ$7),"",INDEX(TableDiv[[GASB]:[GASB]],_xlfn.AGGREGATE(15,3,(TableDiv[[Agency]:[Agency]]=$E706)/(TableDiv[[Agency]:[Agency]]=$E706)*(ROW(TableDiv[Agency])-ROW(TableDiv[[#Headers],[Agency]])),COLUMNS($F$7:AJ$7))))</f>
        <v/>
      </c>
      <c r="AK706" s="2223" t="str" cm="1">
        <f t="array" ref="AK706">IF($D706&lt;COLUMNS($F$7:AK$7),"",INDEX(TableDiv[[GASB]:[GASB]],_xlfn.AGGREGATE(15,3,(TableDiv[[Agency]:[Agency]]=$E706)/(TableDiv[[Agency]:[Agency]]=$E706)*(ROW(TableDiv[Agency])-ROW(TableDiv[[#Headers],[Agency]])),COLUMNS($F$7:AK$7))))</f>
        <v/>
      </c>
      <c r="AL706" s="2223" t="str" cm="1">
        <f t="array" ref="AL706">IF($D706&lt;COLUMNS($F$7:AL$7),"",INDEX(TableDiv[[GASB]:[GASB]],_xlfn.AGGREGATE(15,3,(TableDiv[[Agency]:[Agency]]=$E706)/(TableDiv[[Agency]:[Agency]]=$E706)*(ROW(TableDiv[Agency])-ROW(TableDiv[[#Headers],[Agency]])),COLUMNS($F$7:AL$7))))</f>
        <v/>
      </c>
      <c r="AM706" s="2223" t="str" cm="1">
        <f t="array" ref="AM706">IF($D706&lt;COLUMNS($F$7:AM$7),"",INDEX(TableDiv[[GASB]:[GASB]],_xlfn.AGGREGATE(15,3,(TableDiv[[Agency]:[Agency]]=$E706)/(TableDiv[[Agency]:[Agency]]=$E706)*(ROW(TableDiv[Agency])-ROW(TableDiv[[#Headers],[Agency]])),COLUMNS($F$7:AM$7))))</f>
        <v/>
      </c>
      <c r="AN706" s="2223"/>
      <c r="AO706" s="2223"/>
      <c r="AP706" s="2223"/>
      <c r="AQ706" s="2223"/>
      <c r="AR706" s="2223"/>
      <c r="AS706" s="2223"/>
    </row>
    <row r="707" spans="1:45" x14ac:dyDescent="0.2">
      <c r="A707" s="2223"/>
      <c r="B707" s="2223"/>
      <c r="C707" s="2223"/>
      <c r="W707" s="2223" t="str" cm="1">
        <f t="array" ref="W707">IF($D707&lt;COLUMNS($F$7:W$7),"",INDEX(TableDiv[[GASB]:[GASB]],_xlfn.AGGREGATE(15,3,(TableDiv[[Agency]:[Agency]]=$E707)/(TableDiv[[Agency]:[Agency]]=$E707)*(ROW(TableDiv[Agency])-ROW(TableDiv[[#Headers],[Agency]])),COLUMNS($F$7:W$7))))</f>
        <v/>
      </c>
      <c r="X707" s="2223" t="str" cm="1">
        <f t="array" ref="X707">IF($D707&lt;COLUMNS($F$7:X$7),"",INDEX(TableDiv[[GASB]:[GASB]],_xlfn.AGGREGATE(15,3,(TableDiv[[Agency]:[Agency]]=$E707)/(TableDiv[[Agency]:[Agency]]=$E707)*(ROW(TableDiv[Agency])-ROW(TableDiv[[#Headers],[Agency]])),COLUMNS($F$7:X$7))))</f>
        <v/>
      </c>
      <c r="Y707" s="2223" t="str" cm="1">
        <f t="array" ref="Y707">IF($D707&lt;COLUMNS($F$7:Y$7),"",INDEX(TableDiv[[GASB]:[GASB]],_xlfn.AGGREGATE(15,3,(TableDiv[[Agency]:[Agency]]=$E707)/(TableDiv[[Agency]:[Agency]]=$E707)*(ROW(TableDiv[Agency])-ROW(TableDiv[[#Headers],[Agency]])),COLUMNS($F$7:Y$7))))</f>
        <v/>
      </c>
      <c r="Z707" s="2223" t="str" cm="1">
        <f t="array" ref="Z707">IF($D707&lt;COLUMNS($F$7:Z$7),"",INDEX(TableDiv[[GASB]:[GASB]],_xlfn.AGGREGATE(15,3,(TableDiv[[Agency]:[Agency]]=$E707)/(TableDiv[[Agency]:[Agency]]=$E707)*(ROW(TableDiv[Agency])-ROW(TableDiv[[#Headers],[Agency]])),COLUMNS($F$7:Z$7))))</f>
        <v/>
      </c>
      <c r="AA707" s="2223" t="str" cm="1">
        <f t="array" ref="AA707">IF($D707&lt;COLUMNS($F$7:AA$7),"",INDEX(TableDiv[[GASB]:[GASB]],_xlfn.AGGREGATE(15,3,(TableDiv[[Agency]:[Agency]]=$E707)/(TableDiv[[Agency]:[Agency]]=$E707)*(ROW(TableDiv[Agency])-ROW(TableDiv[[#Headers],[Agency]])),COLUMNS($F$7:AA$7))))</f>
        <v/>
      </c>
      <c r="AB707" s="2223" t="str" cm="1">
        <f t="array" ref="AB707">IF($D707&lt;COLUMNS($F$7:AB$7),"",INDEX(TableDiv[[GASB]:[GASB]],_xlfn.AGGREGATE(15,3,(TableDiv[[Agency]:[Agency]]=$E707)/(TableDiv[[Agency]:[Agency]]=$E707)*(ROW(TableDiv[Agency])-ROW(TableDiv[[#Headers],[Agency]])),COLUMNS($F$7:AB$7))))</f>
        <v/>
      </c>
      <c r="AC707" s="2223" t="str" cm="1">
        <f t="array" ref="AC707">IF($D707&lt;COLUMNS($F$7:AC$7),"",INDEX(TableDiv[[GASB]:[GASB]],_xlfn.AGGREGATE(15,3,(TableDiv[[Agency]:[Agency]]=$E707)/(TableDiv[[Agency]:[Agency]]=$E707)*(ROW(TableDiv[Agency])-ROW(TableDiv[[#Headers],[Agency]])),COLUMNS($F$7:AC$7))))</f>
        <v/>
      </c>
      <c r="AD707" s="2223" t="str" cm="1">
        <f t="array" ref="AD707">IF($D707&lt;COLUMNS($F$7:AD$7),"",INDEX(TableDiv[[GASB]:[GASB]],_xlfn.AGGREGATE(15,3,(TableDiv[[Agency]:[Agency]]=$E707)/(TableDiv[[Agency]:[Agency]]=$E707)*(ROW(TableDiv[Agency])-ROW(TableDiv[[#Headers],[Agency]])),COLUMNS($F$7:AD$7))))</f>
        <v/>
      </c>
      <c r="AE707" s="2223" t="str" cm="1">
        <f t="array" ref="AE707">IF($D707&lt;COLUMNS($F$7:AE$7),"",INDEX(TableDiv[[GASB]:[GASB]],_xlfn.AGGREGATE(15,3,(TableDiv[[Agency]:[Agency]]=$E707)/(TableDiv[[Agency]:[Agency]]=$E707)*(ROW(TableDiv[Agency])-ROW(TableDiv[[#Headers],[Agency]])),COLUMNS($F$7:AE$7))))</f>
        <v/>
      </c>
      <c r="AF707" s="2223" t="str" cm="1">
        <f t="array" ref="AF707">IF($D707&lt;COLUMNS($F$7:AF$7),"",INDEX(TableDiv[[GASB]:[GASB]],_xlfn.AGGREGATE(15,3,(TableDiv[[Agency]:[Agency]]=$E707)/(TableDiv[[Agency]:[Agency]]=$E707)*(ROW(TableDiv[Agency])-ROW(TableDiv[[#Headers],[Agency]])),COLUMNS($F$7:AF$7))))</f>
        <v/>
      </c>
      <c r="AG707" s="2223" t="str" cm="1">
        <f t="array" ref="AG707">IF($D707&lt;COLUMNS($F$7:AG$7),"",INDEX(TableDiv[[GASB]:[GASB]],_xlfn.AGGREGATE(15,3,(TableDiv[[Agency]:[Agency]]=$E707)/(TableDiv[[Agency]:[Agency]]=$E707)*(ROW(TableDiv[Agency])-ROW(TableDiv[[#Headers],[Agency]])),COLUMNS($F$7:AG$7))))</f>
        <v/>
      </c>
      <c r="AH707" s="2223" t="str" cm="1">
        <f t="array" ref="AH707">IF($D707&lt;COLUMNS($F$7:AH$7),"",INDEX(TableDiv[[GASB]:[GASB]],_xlfn.AGGREGATE(15,3,(TableDiv[[Agency]:[Agency]]=$E707)/(TableDiv[[Agency]:[Agency]]=$E707)*(ROW(TableDiv[Agency])-ROW(TableDiv[[#Headers],[Agency]])),COLUMNS($F$7:AH$7))))</f>
        <v/>
      </c>
      <c r="AI707" s="2223" t="str" cm="1">
        <f t="array" ref="AI707">IF($D707&lt;COLUMNS($F$7:AI$7),"",INDEX(TableDiv[[GASB]:[GASB]],_xlfn.AGGREGATE(15,3,(TableDiv[[Agency]:[Agency]]=$E707)/(TableDiv[[Agency]:[Agency]]=$E707)*(ROW(TableDiv[Agency])-ROW(TableDiv[[#Headers],[Agency]])),COLUMNS($F$7:AI$7))))</f>
        <v/>
      </c>
      <c r="AJ707" s="2223" t="str" cm="1">
        <f t="array" ref="AJ707">IF($D707&lt;COLUMNS($F$7:AJ$7),"",INDEX(TableDiv[[GASB]:[GASB]],_xlfn.AGGREGATE(15,3,(TableDiv[[Agency]:[Agency]]=$E707)/(TableDiv[[Agency]:[Agency]]=$E707)*(ROW(TableDiv[Agency])-ROW(TableDiv[[#Headers],[Agency]])),COLUMNS($F$7:AJ$7))))</f>
        <v/>
      </c>
      <c r="AK707" s="2223" t="str" cm="1">
        <f t="array" ref="AK707">IF($D707&lt;COLUMNS($F$7:AK$7),"",INDEX(TableDiv[[GASB]:[GASB]],_xlfn.AGGREGATE(15,3,(TableDiv[[Agency]:[Agency]]=$E707)/(TableDiv[[Agency]:[Agency]]=$E707)*(ROW(TableDiv[Agency])-ROW(TableDiv[[#Headers],[Agency]])),COLUMNS($F$7:AK$7))))</f>
        <v/>
      </c>
      <c r="AL707" s="2223" t="str" cm="1">
        <f t="array" ref="AL707">IF($D707&lt;COLUMNS($F$7:AL$7),"",INDEX(TableDiv[[GASB]:[GASB]],_xlfn.AGGREGATE(15,3,(TableDiv[[Agency]:[Agency]]=$E707)/(TableDiv[[Agency]:[Agency]]=$E707)*(ROW(TableDiv[Agency])-ROW(TableDiv[[#Headers],[Agency]])),COLUMNS($F$7:AL$7))))</f>
        <v/>
      </c>
      <c r="AM707" s="2223" t="str" cm="1">
        <f t="array" ref="AM707">IF($D707&lt;COLUMNS($F$7:AM$7),"",INDEX(TableDiv[[GASB]:[GASB]],_xlfn.AGGREGATE(15,3,(TableDiv[[Agency]:[Agency]]=$E707)/(TableDiv[[Agency]:[Agency]]=$E707)*(ROW(TableDiv[Agency])-ROW(TableDiv[[#Headers],[Agency]])),COLUMNS($F$7:AM$7))))</f>
        <v/>
      </c>
      <c r="AN707" s="2223"/>
      <c r="AO707" s="2223"/>
      <c r="AP707" s="2223"/>
      <c r="AQ707" s="2223"/>
      <c r="AR707" s="2223"/>
      <c r="AS707" s="2223"/>
    </row>
    <row r="708" spans="1:45" x14ac:dyDescent="0.2">
      <c r="A708" s="2223"/>
      <c r="B708" s="2223"/>
      <c r="C708" s="2223"/>
      <c r="W708" s="2223" t="str" cm="1">
        <f t="array" ref="W708">IF($D708&lt;COLUMNS($F$7:W$7),"",INDEX(TableDiv[[GASB]:[GASB]],_xlfn.AGGREGATE(15,3,(TableDiv[[Agency]:[Agency]]=$E708)/(TableDiv[[Agency]:[Agency]]=$E708)*(ROW(TableDiv[Agency])-ROW(TableDiv[[#Headers],[Agency]])),COLUMNS($F$7:W$7))))</f>
        <v/>
      </c>
      <c r="X708" s="2223" t="str" cm="1">
        <f t="array" ref="X708">IF($D708&lt;COLUMNS($F$7:X$7),"",INDEX(TableDiv[[GASB]:[GASB]],_xlfn.AGGREGATE(15,3,(TableDiv[[Agency]:[Agency]]=$E708)/(TableDiv[[Agency]:[Agency]]=$E708)*(ROW(TableDiv[Agency])-ROW(TableDiv[[#Headers],[Agency]])),COLUMNS($F$7:X$7))))</f>
        <v/>
      </c>
      <c r="Y708" s="2223" t="str" cm="1">
        <f t="array" ref="Y708">IF($D708&lt;COLUMNS($F$7:Y$7),"",INDEX(TableDiv[[GASB]:[GASB]],_xlfn.AGGREGATE(15,3,(TableDiv[[Agency]:[Agency]]=$E708)/(TableDiv[[Agency]:[Agency]]=$E708)*(ROW(TableDiv[Agency])-ROW(TableDiv[[#Headers],[Agency]])),COLUMNS($F$7:Y$7))))</f>
        <v/>
      </c>
      <c r="Z708" s="2223" t="str" cm="1">
        <f t="array" ref="Z708">IF($D708&lt;COLUMNS($F$7:Z$7),"",INDEX(TableDiv[[GASB]:[GASB]],_xlfn.AGGREGATE(15,3,(TableDiv[[Agency]:[Agency]]=$E708)/(TableDiv[[Agency]:[Agency]]=$E708)*(ROW(TableDiv[Agency])-ROW(TableDiv[[#Headers],[Agency]])),COLUMNS($F$7:Z$7))))</f>
        <v/>
      </c>
      <c r="AA708" s="2223" t="str" cm="1">
        <f t="array" ref="AA708">IF($D708&lt;COLUMNS($F$7:AA$7),"",INDEX(TableDiv[[GASB]:[GASB]],_xlfn.AGGREGATE(15,3,(TableDiv[[Agency]:[Agency]]=$E708)/(TableDiv[[Agency]:[Agency]]=$E708)*(ROW(TableDiv[Agency])-ROW(TableDiv[[#Headers],[Agency]])),COLUMNS($F$7:AA$7))))</f>
        <v/>
      </c>
      <c r="AB708" s="2223" t="str" cm="1">
        <f t="array" ref="AB708">IF($D708&lt;COLUMNS($F$7:AB$7),"",INDEX(TableDiv[[GASB]:[GASB]],_xlfn.AGGREGATE(15,3,(TableDiv[[Agency]:[Agency]]=$E708)/(TableDiv[[Agency]:[Agency]]=$E708)*(ROW(TableDiv[Agency])-ROW(TableDiv[[#Headers],[Agency]])),COLUMNS($F$7:AB$7))))</f>
        <v/>
      </c>
      <c r="AC708" s="2223" t="str" cm="1">
        <f t="array" ref="AC708">IF($D708&lt;COLUMNS($F$7:AC$7),"",INDEX(TableDiv[[GASB]:[GASB]],_xlfn.AGGREGATE(15,3,(TableDiv[[Agency]:[Agency]]=$E708)/(TableDiv[[Agency]:[Agency]]=$E708)*(ROW(TableDiv[Agency])-ROW(TableDiv[[#Headers],[Agency]])),COLUMNS($F$7:AC$7))))</f>
        <v/>
      </c>
      <c r="AD708" s="2223" t="str" cm="1">
        <f t="array" ref="AD708">IF($D708&lt;COLUMNS($F$7:AD$7),"",INDEX(TableDiv[[GASB]:[GASB]],_xlfn.AGGREGATE(15,3,(TableDiv[[Agency]:[Agency]]=$E708)/(TableDiv[[Agency]:[Agency]]=$E708)*(ROW(TableDiv[Agency])-ROW(TableDiv[[#Headers],[Agency]])),COLUMNS($F$7:AD$7))))</f>
        <v/>
      </c>
      <c r="AE708" s="2223" t="str" cm="1">
        <f t="array" ref="AE708">IF($D708&lt;COLUMNS($F$7:AE$7),"",INDEX(TableDiv[[GASB]:[GASB]],_xlfn.AGGREGATE(15,3,(TableDiv[[Agency]:[Agency]]=$E708)/(TableDiv[[Agency]:[Agency]]=$E708)*(ROW(TableDiv[Agency])-ROW(TableDiv[[#Headers],[Agency]])),COLUMNS($F$7:AE$7))))</f>
        <v/>
      </c>
      <c r="AF708" s="2223" t="str" cm="1">
        <f t="array" ref="AF708">IF($D708&lt;COLUMNS($F$7:AF$7),"",INDEX(TableDiv[[GASB]:[GASB]],_xlfn.AGGREGATE(15,3,(TableDiv[[Agency]:[Agency]]=$E708)/(TableDiv[[Agency]:[Agency]]=$E708)*(ROW(TableDiv[Agency])-ROW(TableDiv[[#Headers],[Agency]])),COLUMNS($F$7:AF$7))))</f>
        <v/>
      </c>
      <c r="AG708" s="2223" t="str" cm="1">
        <f t="array" ref="AG708">IF($D708&lt;COLUMNS($F$7:AG$7),"",INDEX(TableDiv[[GASB]:[GASB]],_xlfn.AGGREGATE(15,3,(TableDiv[[Agency]:[Agency]]=$E708)/(TableDiv[[Agency]:[Agency]]=$E708)*(ROW(TableDiv[Agency])-ROW(TableDiv[[#Headers],[Agency]])),COLUMNS($F$7:AG$7))))</f>
        <v/>
      </c>
      <c r="AH708" s="2223" t="str" cm="1">
        <f t="array" ref="AH708">IF($D708&lt;COLUMNS($F$7:AH$7),"",INDEX(TableDiv[[GASB]:[GASB]],_xlfn.AGGREGATE(15,3,(TableDiv[[Agency]:[Agency]]=$E708)/(TableDiv[[Agency]:[Agency]]=$E708)*(ROW(TableDiv[Agency])-ROW(TableDiv[[#Headers],[Agency]])),COLUMNS($F$7:AH$7))))</f>
        <v/>
      </c>
      <c r="AI708" s="2223" t="str" cm="1">
        <f t="array" ref="AI708">IF($D708&lt;COLUMNS($F$7:AI$7),"",INDEX(TableDiv[[GASB]:[GASB]],_xlfn.AGGREGATE(15,3,(TableDiv[[Agency]:[Agency]]=$E708)/(TableDiv[[Agency]:[Agency]]=$E708)*(ROW(TableDiv[Agency])-ROW(TableDiv[[#Headers],[Agency]])),COLUMNS($F$7:AI$7))))</f>
        <v/>
      </c>
      <c r="AJ708" s="2223" t="str" cm="1">
        <f t="array" ref="AJ708">IF($D708&lt;COLUMNS($F$7:AJ$7),"",INDEX(TableDiv[[GASB]:[GASB]],_xlfn.AGGREGATE(15,3,(TableDiv[[Agency]:[Agency]]=$E708)/(TableDiv[[Agency]:[Agency]]=$E708)*(ROW(TableDiv[Agency])-ROW(TableDiv[[#Headers],[Agency]])),COLUMNS($F$7:AJ$7))))</f>
        <v/>
      </c>
      <c r="AK708" s="2223" t="str" cm="1">
        <f t="array" ref="AK708">IF($D708&lt;COLUMNS($F$7:AK$7),"",INDEX(TableDiv[[GASB]:[GASB]],_xlfn.AGGREGATE(15,3,(TableDiv[[Agency]:[Agency]]=$E708)/(TableDiv[[Agency]:[Agency]]=$E708)*(ROW(TableDiv[Agency])-ROW(TableDiv[[#Headers],[Agency]])),COLUMNS($F$7:AK$7))))</f>
        <v/>
      </c>
      <c r="AL708" s="2223" t="str" cm="1">
        <f t="array" ref="AL708">IF($D708&lt;COLUMNS($F$7:AL$7),"",INDEX(TableDiv[[GASB]:[GASB]],_xlfn.AGGREGATE(15,3,(TableDiv[[Agency]:[Agency]]=$E708)/(TableDiv[[Agency]:[Agency]]=$E708)*(ROW(TableDiv[Agency])-ROW(TableDiv[[#Headers],[Agency]])),COLUMNS($F$7:AL$7))))</f>
        <v/>
      </c>
      <c r="AM708" s="2223" t="str" cm="1">
        <f t="array" ref="AM708">IF($D708&lt;COLUMNS($F$7:AM$7),"",INDEX(TableDiv[[GASB]:[GASB]],_xlfn.AGGREGATE(15,3,(TableDiv[[Agency]:[Agency]]=$E708)/(TableDiv[[Agency]:[Agency]]=$E708)*(ROW(TableDiv[Agency])-ROW(TableDiv[[#Headers],[Agency]])),COLUMNS($F$7:AM$7))))</f>
        <v/>
      </c>
      <c r="AN708" s="2223"/>
      <c r="AO708" s="2223"/>
      <c r="AP708" s="2223"/>
      <c r="AQ708" s="2223"/>
      <c r="AR708" s="2223"/>
      <c r="AS708" s="2223"/>
    </row>
    <row r="709" spans="1:45" x14ac:dyDescent="0.2">
      <c r="A709" s="2223"/>
      <c r="B709" s="2223"/>
      <c r="C709" s="2223"/>
      <c r="W709" s="2223" t="str" cm="1">
        <f t="array" ref="W709">IF($D709&lt;COLUMNS($F$7:W$7),"",INDEX(TableDiv[[GASB]:[GASB]],_xlfn.AGGREGATE(15,3,(TableDiv[[Agency]:[Agency]]=$E709)/(TableDiv[[Agency]:[Agency]]=$E709)*(ROW(TableDiv[Agency])-ROW(TableDiv[[#Headers],[Agency]])),COLUMNS($F$7:W$7))))</f>
        <v/>
      </c>
      <c r="X709" s="2223" t="str" cm="1">
        <f t="array" ref="X709">IF($D709&lt;COLUMNS($F$7:X$7),"",INDEX(TableDiv[[GASB]:[GASB]],_xlfn.AGGREGATE(15,3,(TableDiv[[Agency]:[Agency]]=$E709)/(TableDiv[[Agency]:[Agency]]=$E709)*(ROW(TableDiv[Agency])-ROW(TableDiv[[#Headers],[Agency]])),COLUMNS($F$7:X$7))))</f>
        <v/>
      </c>
      <c r="Y709" s="2223" t="str" cm="1">
        <f t="array" ref="Y709">IF($D709&lt;COLUMNS($F$7:Y$7),"",INDEX(TableDiv[[GASB]:[GASB]],_xlfn.AGGREGATE(15,3,(TableDiv[[Agency]:[Agency]]=$E709)/(TableDiv[[Agency]:[Agency]]=$E709)*(ROW(TableDiv[Agency])-ROW(TableDiv[[#Headers],[Agency]])),COLUMNS($F$7:Y$7))))</f>
        <v/>
      </c>
      <c r="Z709" s="2223" t="str" cm="1">
        <f t="array" ref="Z709">IF($D709&lt;COLUMNS($F$7:Z$7),"",INDEX(TableDiv[[GASB]:[GASB]],_xlfn.AGGREGATE(15,3,(TableDiv[[Agency]:[Agency]]=$E709)/(TableDiv[[Agency]:[Agency]]=$E709)*(ROW(TableDiv[Agency])-ROW(TableDiv[[#Headers],[Agency]])),COLUMNS($F$7:Z$7))))</f>
        <v/>
      </c>
      <c r="AA709" s="2223" t="str" cm="1">
        <f t="array" ref="AA709">IF($D709&lt;COLUMNS($F$7:AA$7),"",INDEX(TableDiv[[GASB]:[GASB]],_xlfn.AGGREGATE(15,3,(TableDiv[[Agency]:[Agency]]=$E709)/(TableDiv[[Agency]:[Agency]]=$E709)*(ROW(TableDiv[Agency])-ROW(TableDiv[[#Headers],[Agency]])),COLUMNS($F$7:AA$7))))</f>
        <v/>
      </c>
      <c r="AB709" s="2223" t="str" cm="1">
        <f t="array" ref="AB709">IF($D709&lt;COLUMNS($F$7:AB$7),"",INDEX(TableDiv[[GASB]:[GASB]],_xlfn.AGGREGATE(15,3,(TableDiv[[Agency]:[Agency]]=$E709)/(TableDiv[[Agency]:[Agency]]=$E709)*(ROW(TableDiv[Agency])-ROW(TableDiv[[#Headers],[Agency]])),COLUMNS($F$7:AB$7))))</f>
        <v/>
      </c>
      <c r="AC709" s="2223" t="str" cm="1">
        <f t="array" ref="AC709">IF($D709&lt;COLUMNS($F$7:AC$7),"",INDEX(TableDiv[[GASB]:[GASB]],_xlfn.AGGREGATE(15,3,(TableDiv[[Agency]:[Agency]]=$E709)/(TableDiv[[Agency]:[Agency]]=$E709)*(ROW(TableDiv[Agency])-ROW(TableDiv[[#Headers],[Agency]])),COLUMNS($F$7:AC$7))))</f>
        <v/>
      </c>
      <c r="AD709" s="2223" t="str" cm="1">
        <f t="array" ref="AD709">IF($D709&lt;COLUMNS($F$7:AD$7),"",INDEX(TableDiv[[GASB]:[GASB]],_xlfn.AGGREGATE(15,3,(TableDiv[[Agency]:[Agency]]=$E709)/(TableDiv[[Agency]:[Agency]]=$E709)*(ROW(TableDiv[Agency])-ROW(TableDiv[[#Headers],[Agency]])),COLUMNS($F$7:AD$7))))</f>
        <v/>
      </c>
      <c r="AE709" s="2223" t="str" cm="1">
        <f t="array" ref="AE709">IF($D709&lt;COLUMNS($F$7:AE$7),"",INDEX(TableDiv[[GASB]:[GASB]],_xlfn.AGGREGATE(15,3,(TableDiv[[Agency]:[Agency]]=$E709)/(TableDiv[[Agency]:[Agency]]=$E709)*(ROW(TableDiv[Agency])-ROW(TableDiv[[#Headers],[Agency]])),COLUMNS($F$7:AE$7))))</f>
        <v/>
      </c>
      <c r="AF709" s="2223" t="str" cm="1">
        <f t="array" ref="AF709">IF($D709&lt;COLUMNS($F$7:AF$7),"",INDEX(TableDiv[[GASB]:[GASB]],_xlfn.AGGREGATE(15,3,(TableDiv[[Agency]:[Agency]]=$E709)/(TableDiv[[Agency]:[Agency]]=$E709)*(ROW(TableDiv[Agency])-ROW(TableDiv[[#Headers],[Agency]])),COLUMNS($F$7:AF$7))))</f>
        <v/>
      </c>
      <c r="AG709" s="2223" t="str" cm="1">
        <f t="array" ref="AG709">IF($D709&lt;COLUMNS($F$7:AG$7),"",INDEX(TableDiv[[GASB]:[GASB]],_xlfn.AGGREGATE(15,3,(TableDiv[[Agency]:[Agency]]=$E709)/(TableDiv[[Agency]:[Agency]]=$E709)*(ROW(TableDiv[Agency])-ROW(TableDiv[[#Headers],[Agency]])),COLUMNS($F$7:AG$7))))</f>
        <v/>
      </c>
      <c r="AH709" s="2223" t="str" cm="1">
        <f t="array" ref="AH709">IF($D709&lt;COLUMNS($F$7:AH$7),"",INDEX(TableDiv[[GASB]:[GASB]],_xlfn.AGGREGATE(15,3,(TableDiv[[Agency]:[Agency]]=$E709)/(TableDiv[[Agency]:[Agency]]=$E709)*(ROW(TableDiv[Agency])-ROW(TableDiv[[#Headers],[Agency]])),COLUMNS($F$7:AH$7))))</f>
        <v/>
      </c>
      <c r="AI709" s="2223" t="str" cm="1">
        <f t="array" ref="AI709">IF($D709&lt;COLUMNS($F$7:AI$7),"",INDEX(TableDiv[[GASB]:[GASB]],_xlfn.AGGREGATE(15,3,(TableDiv[[Agency]:[Agency]]=$E709)/(TableDiv[[Agency]:[Agency]]=$E709)*(ROW(TableDiv[Agency])-ROW(TableDiv[[#Headers],[Agency]])),COLUMNS($F$7:AI$7))))</f>
        <v/>
      </c>
      <c r="AJ709" s="2223" t="str" cm="1">
        <f t="array" ref="AJ709">IF($D709&lt;COLUMNS($F$7:AJ$7),"",INDEX(TableDiv[[GASB]:[GASB]],_xlfn.AGGREGATE(15,3,(TableDiv[[Agency]:[Agency]]=$E709)/(TableDiv[[Agency]:[Agency]]=$E709)*(ROW(TableDiv[Agency])-ROW(TableDiv[[#Headers],[Agency]])),COLUMNS($F$7:AJ$7))))</f>
        <v/>
      </c>
      <c r="AK709" s="2223" t="str" cm="1">
        <f t="array" ref="AK709">IF($D709&lt;COLUMNS($F$7:AK$7),"",INDEX(TableDiv[[GASB]:[GASB]],_xlfn.AGGREGATE(15,3,(TableDiv[[Agency]:[Agency]]=$E709)/(TableDiv[[Agency]:[Agency]]=$E709)*(ROW(TableDiv[Agency])-ROW(TableDiv[[#Headers],[Agency]])),COLUMNS($F$7:AK$7))))</f>
        <v/>
      </c>
      <c r="AL709" s="2223" t="str" cm="1">
        <f t="array" ref="AL709">IF($D709&lt;COLUMNS($F$7:AL$7),"",INDEX(TableDiv[[GASB]:[GASB]],_xlfn.AGGREGATE(15,3,(TableDiv[[Agency]:[Agency]]=$E709)/(TableDiv[[Agency]:[Agency]]=$E709)*(ROW(TableDiv[Agency])-ROW(TableDiv[[#Headers],[Agency]])),COLUMNS($F$7:AL$7))))</f>
        <v/>
      </c>
      <c r="AM709" s="2223" t="str" cm="1">
        <f t="array" ref="AM709">IF($D709&lt;COLUMNS($F$7:AM$7),"",INDEX(TableDiv[[GASB]:[GASB]],_xlfn.AGGREGATE(15,3,(TableDiv[[Agency]:[Agency]]=$E709)/(TableDiv[[Agency]:[Agency]]=$E709)*(ROW(TableDiv[Agency])-ROW(TableDiv[[#Headers],[Agency]])),COLUMNS($F$7:AM$7))))</f>
        <v/>
      </c>
      <c r="AN709" s="2223"/>
      <c r="AO709" s="2223"/>
      <c r="AP709" s="2223"/>
      <c r="AQ709" s="2223"/>
      <c r="AR709" s="2223"/>
      <c r="AS709" s="2223"/>
    </row>
    <row r="710" spans="1:45" x14ac:dyDescent="0.2">
      <c r="A710" s="2223"/>
      <c r="B710" s="2223"/>
      <c r="C710" s="2223"/>
      <c r="W710" s="2223" t="str" cm="1">
        <f t="array" ref="W710">IF($D710&lt;COLUMNS($F$7:W$7),"",INDEX(TableDiv[[GASB]:[GASB]],_xlfn.AGGREGATE(15,3,(TableDiv[[Agency]:[Agency]]=$E710)/(TableDiv[[Agency]:[Agency]]=$E710)*(ROW(TableDiv[Agency])-ROW(TableDiv[[#Headers],[Agency]])),COLUMNS($F$7:W$7))))</f>
        <v/>
      </c>
      <c r="X710" s="2223" t="str" cm="1">
        <f t="array" ref="X710">IF($D710&lt;COLUMNS($F$7:X$7),"",INDEX(TableDiv[[GASB]:[GASB]],_xlfn.AGGREGATE(15,3,(TableDiv[[Agency]:[Agency]]=$E710)/(TableDiv[[Agency]:[Agency]]=$E710)*(ROW(TableDiv[Agency])-ROW(TableDiv[[#Headers],[Agency]])),COLUMNS($F$7:X$7))))</f>
        <v/>
      </c>
      <c r="Y710" s="2223" t="str" cm="1">
        <f t="array" ref="Y710">IF($D710&lt;COLUMNS($F$7:Y$7),"",INDEX(TableDiv[[GASB]:[GASB]],_xlfn.AGGREGATE(15,3,(TableDiv[[Agency]:[Agency]]=$E710)/(TableDiv[[Agency]:[Agency]]=$E710)*(ROW(TableDiv[Agency])-ROW(TableDiv[[#Headers],[Agency]])),COLUMNS($F$7:Y$7))))</f>
        <v/>
      </c>
      <c r="Z710" s="2223" t="str" cm="1">
        <f t="array" ref="Z710">IF($D710&lt;COLUMNS($F$7:Z$7),"",INDEX(TableDiv[[GASB]:[GASB]],_xlfn.AGGREGATE(15,3,(TableDiv[[Agency]:[Agency]]=$E710)/(TableDiv[[Agency]:[Agency]]=$E710)*(ROW(TableDiv[Agency])-ROW(TableDiv[[#Headers],[Agency]])),COLUMNS($F$7:Z$7))))</f>
        <v/>
      </c>
      <c r="AA710" s="2223" t="str" cm="1">
        <f t="array" ref="AA710">IF($D710&lt;COLUMNS($F$7:AA$7),"",INDEX(TableDiv[[GASB]:[GASB]],_xlfn.AGGREGATE(15,3,(TableDiv[[Agency]:[Agency]]=$E710)/(TableDiv[[Agency]:[Agency]]=$E710)*(ROW(TableDiv[Agency])-ROW(TableDiv[[#Headers],[Agency]])),COLUMNS($F$7:AA$7))))</f>
        <v/>
      </c>
      <c r="AB710" s="2223" t="str" cm="1">
        <f t="array" ref="AB710">IF($D710&lt;COLUMNS($F$7:AB$7),"",INDEX(TableDiv[[GASB]:[GASB]],_xlfn.AGGREGATE(15,3,(TableDiv[[Agency]:[Agency]]=$E710)/(TableDiv[[Agency]:[Agency]]=$E710)*(ROW(TableDiv[Agency])-ROW(TableDiv[[#Headers],[Agency]])),COLUMNS($F$7:AB$7))))</f>
        <v/>
      </c>
      <c r="AC710" s="2223" t="str" cm="1">
        <f t="array" ref="AC710">IF($D710&lt;COLUMNS($F$7:AC$7),"",INDEX(TableDiv[[GASB]:[GASB]],_xlfn.AGGREGATE(15,3,(TableDiv[[Agency]:[Agency]]=$E710)/(TableDiv[[Agency]:[Agency]]=$E710)*(ROW(TableDiv[Agency])-ROW(TableDiv[[#Headers],[Agency]])),COLUMNS($F$7:AC$7))))</f>
        <v/>
      </c>
      <c r="AD710" s="2223" t="str" cm="1">
        <f t="array" ref="AD710">IF($D710&lt;COLUMNS($F$7:AD$7),"",INDEX(TableDiv[[GASB]:[GASB]],_xlfn.AGGREGATE(15,3,(TableDiv[[Agency]:[Agency]]=$E710)/(TableDiv[[Agency]:[Agency]]=$E710)*(ROW(TableDiv[Agency])-ROW(TableDiv[[#Headers],[Agency]])),COLUMNS($F$7:AD$7))))</f>
        <v/>
      </c>
      <c r="AE710" s="2223" t="str" cm="1">
        <f t="array" ref="AE710">IF($D710&lt;COLUMNS($F$7:AE$7),"",INDEX(TableDiv[[GASB]:[GASB]],_xlfn.AGGREGATE(15,3,(TableDiv[[Agency]:[Agency]]=$E710)/(TableDiv[[Agency]:[Agency]]=$E710)*(ROW(TableDiv[Agency])-ROW(TableDiv[[#Headers],[Agency]])),COLUMNS($F$7:AE$7))))</f>
        <v/>
      </c>
      <c r="AF710" s="2223" t="str" cm="1">
        <f t="array" ref="AF710">IF($D710&lt;COLUMNS($F$7:AF$7),"",INDEX(TableDiv[[GASB]:[GASB]],_xlfn.AGGREGATE(15,3,(TableDiv[[Agency]:[Agency]]=$E710)/(TableDiv[[Agency]:[Agency]]=$E710)*(ROW(TableDiv[Agency])-ROW(TableDiv[[#Headers],[Agency]])),COLUMNS($F$7:AF$7))))</f>
        <v/>
      </c>
      <c r="AG710" s="2223" t="str" cm="1">
        <f t="array" ref="AG710">IF($D710&lt;COLUMNS($F$7:AG$7),"",INDEX(TableDiv[[GASB]:[GASB]],_xlfn.AGGREGATE(15,3,(TableDiv[[Agency]:[Agency]]=$E710)/(TableDiv[[Agency]:[Agency]]=$E710)*(ROW(TableDiv[Agency])-ROW(TableDiv[[#Headers],[Agency]])),COLUMNS($F$7:AG$7))))</f>
        <v/>
      </c>
      <c r="AH710" s="2223" t="str" cm="1">
        <f t="array" ref="AH710">IF($D710&lt;COLUMNS($F$7:AH$7),"",INDEX(TableDiv[[GASB]:[GASB]],_xlfn.AGGREGATE(15,3,(TableDiv[[Agency]:[Agency]]=$E710)/(TableDiv[[Agency]:[Agency]]=$E710)*(ROW(TableDiv[Agency])-ROW(TableDiv[[#Headers],[Agency]])),COLUMNS($F$7:AH$7))))</f>
        <v/>
      </c>
      <c r="AI710" s="2223" t="str" cm="1">
        <f t="array" ref="AI710">IF($D710&lt;COLUMNS($F$7:AI$7),"",INDEX(TableDiv[[GASB]:[GASB]],_xlfn.AGGREGATE(15,3,(TableDiv[[Agency]:[Agency]]=$E710)/(TableDiv[[Agency]:[Agency]]=$E710)*(ROW(TableDiv[Agency])-ROW(TableDiv[[#Headers],[Agency]])),COLUMNS($F$7:AI$7))))</f>
        <v/>
      </c>
      <c r="AJ710" s="2223" t="str" cm="1">
        <f t="array" ref="AJ710">IF($D710&lt;COLUMNS($F$7:AJ$7),"",INDEX(TableDiv[[GASB]:[GASB]],_xlfn.AGGREGATE(15,3,(TableDiv[[Agency]:[Agency]]=$E710)/(TableDiv[[Agency]:[Agency]]=$E710)*(ROW(TableDiv[Agency])-ROW(TableDiv[[#Headers],[Agency]])),COLUMNS($F$7:AJ$7))))</f>
        <v/>
      </c>
      <c r="AK710" s="2223" t="str" cm="1">
        <f t="array" ref="AK710">IF($D710&lt;COLUMNS($F$7:AK$7),"",INDEX(TableDiv[[GASB]:[GASB]],_xlfn.AGGREGATE(15,3,(TableDiv[[Agency]:[Agency]]=$E710)/(TableDiv[[Agency]:[Agency]]=$E710)*(ROW(TableDiv[Agency])-ROW(TableDiv[[#Headers],[Agency]])),COLUMNS($F$7:AK$7))))</f>
        <v/>
      </c>
      <c r="AL710" s="2223" t="str" cm="1">
        <f t="array" ref="AL710">IF($D710&lt;COLUMNS($F$7:AL$7),"",INDEX(TableDiv[[GASB]:[GASB]],_xlfn.AGGREGATE(15,3,(TableDiv[[Agency]:[Agency]]=$E710)/(TableDiv[[Agency]:[Agency]]=$E710)*(ROW(TableDiv[Agency])-ROW(TableDiv[[#Headers],[Agency]])),COLUMNS($F$7:AL$7))))</f>
        <v/>
      </c>
      <c r="AM710" s="2223" t="str" cm="1">
        <f t="array" ref="AM710">IF($D710&lt;COLUMNS($F$7:AM$7),"",INDEX(TableDiv[[GASB]:[GASB]],_xlfn.AGGREGATE(15,3,(TableDiv[[Agency]:[Agency]]=$E710)/(TableDiv[[Agency]:[Agency]]=$E710)*(ROW(TableDiv[Agency])-ROW(TableDiv[[#Headers],[Agency]])),COLUMNS($F$7:AM$7))))</f>
        <v/>
      </c>
      <c r="AN710" s="2223"/>
      <c r="AO710" s="2223"/>
      <c r="AP710" s="2223"/>
      <c r="AQ710" s="2223"/>
      <c r="AR710" s="2223"/>
      <c r="AS710" s="2223"/>
    </row>
    <row r="711" spans="1:45" x14ac:dyDescent="0.2">
      <c r="A711" s="2223"/>
      <c r="B711" s="2223"/>
      <c r="C711" s="2223"/>
      <c r="W711" s="2223" t="str" cm="1">
        <f t="array" ref="W711">IF($D711&lt;COLUMNS($F$7:W$7),"",INDEX(TableDiv[[GASB]:[GASB]],_xlfn.AGGREGATE(15,3,(TableDiv[[Agency]:[Agency]]=$E711)/(TableDiv[[Agency]:[Agency]]=$E711)*(ROW(TableDiv[Agency])-ROW(TableDiv[[#Headers],[Agency]])),COLUMNS($F$7:W$7))))</f>
        <v/>
      </c>
      <c r="X711" s="2223" t="str" cm="1">
        <f t="array" ref="X711">IF($D711&lt;COLUMNS($F$7:X$7),"",INDEX(TableDiv[[GASB]:[GASB]],_xlfn.AGGREGATE(15,3,(TableDiv[[Agency]:[Agency]]=$E711)/(TableDiv[[Agency]:[Agency]]=$E711)*(ROW(TableDiv[Agency])-ROW(TableDiv[[#Headers],[Agency]])),COLUMNS($F$7:X$7))))</f>
        <v/>
      </c>
      <c r="Y711" s="2223" t="str" cm="1">
        <f t="array" ref="Y711">IF($D711&lt;COLUMNS($F$7:Y$7),"",INDEX(TableDiv[[GASB]:[GASB]],_xlfn.AGGREGATE(15,3,(TableDiv[[Agency]:[Agency]]=$E711)/(TableDiv[[Agency]:[Agency]]=$E711)*(ROW(TableDiv[Agency])-ROW(TableDiv[[#Headers],[Agency]])),COLUMNS($F$7:Y$7))))</f>
        <v/>
      </c>
      <c r="Z711" s="2223" t="str" cm="1">
        <f t="array" ref="Z711">IF($D711&lt;COLUMNS($F$7:Z$7),"",INDEX(TableDiv[[GASB]:[GASB]],_xlfn.AGGREGATE(15,3,(TableDiv[[Agency]:[Agency]]=$E711)/(TableDiv[[Agency]:[Agency]]=$E711)*(ROW(TableDiv[Agency])-ROW(TableDiv[[#Headers],[Agency]])),COLUMNS($F$7:Z$7))))</f>
        <v/>
      </c>
      <c r="AA711" s="2223" t="str" cm="1">
        <f t="array" ref="AA711">IF($D711&lt;COLUMNS($F$7:AA$7),"",INDEX(TableDiv[[GASB]:[GASB]],_xlfn.AGGREGATE(15,3,(TableDiv[[Agency]:[Agency]]=$E711)/(TableDiv[[Agency]:[Agency]]=$E711)*(ROW(TableDiv[Agency])-ROW(TableDiv[[#Headers],[Agency]])),COLUMNS($F$7:AA$7))))</f>
        <v/>
      </c>
      <c r="AB711" s="2223" t="str" cm="1">
        <f t="array" ref="AB711">IF($D711&lt;COLUMNS($F$7:AB$7),"",INDEX(TableDiv[[GASB]:[GASB]],_xlfn.AGGREGATE(15,3,(TableDiv[[Agency]:[Agency]]=$E711)/(TableDiv[[Agency]:[Agency]]=$E711)*(ROW(TableDiv[Agency])-ROW(TableDiv[[#Headers],[Agency]])),COLUMNS($F$7:AB$7))))</f>
        <v/>
      </c>
      <c r="AC711" s="2223" t="str" cm="1">
        <f t="array" ref="AC711">IF($D711&lt;COLUMNS($F$7:AC$7),"",INDEX(TableDiv[[GASB]:[GASB]],_xlfn.AGGREGATE(15,3,(TableDiv[[Agency]:[Agency]]=$E711)/(TableDiv[[Agency]:[Agency]]=$E711)*(ROW(TableDiv[Agency])-ROW(TableDiv[[#Headers],[Agency]])),COLUMNS($F$7:AC$7))))</f>
        <v/>
      </c>
      <c r="AD711" s="2223" t="str" cm="1">
        <f t="array" ref="AD711">IF($D711&lt;COLUMNS($F$7:AD$7),"",INDEX(TableDiv[[GASB]:[GASB]],_xlfn.AGGREGATE(15,3,(TableDiv[[Agency]:[Agency]]=$E711)/(TableDiv[[Agency]:[Agency]]=$E711)*(ROW(TableDiv[Agency])-ROW(TableDiv[[#Headers],[Agency]])),COLUMNS($F$7:AD$7))))</f>
        <v/>
      </c>
      <c r="AE711" s="2223" t="str" cm="1">
        <f t="array" ref="AE711">IF($D711&lt;COLUMNS($F$7:AE$7),"",INDEX(TableDiv[[GASB]:[GASB]],_xlfn.AGGREGATE(15,3,(TableDiv[[Agency]:[Agency]]=$E711)/(TableDiv[[Agency]:[Agency]]=$E711)*(ROW(TableDiv[Agency])-ROW(TableDiv[[#Headers],[Agency]])),COLUMNS($F$7:AE$7))))</f>
        <v/>
      </c>
      <c r="AF711" s="2223" t="str" cm="1">
        <f t="array" ref="AF711">IF($D711&lt;COLUMNS($F$7:AF$7),"",INDEX(TableDiv[[GASB]:[GASB]],_xlfn.AGGREGATE(15,3,(TableDiv[[Agency]:[Agency]]=$E711)/(TableDiv[[Agency]:[Agency]]=$E711)*(ROW(TableDiv[Agency])-ROW(TableDiv[[#Headers],[Agency]])),COLUMNS($F$7:AF$7))))</f>
        <v/>
      </c>
      <c r="AG711" s="2223" t="str" cm="1">
        <f t="array" ref="AG711">IF($D711&lt;COLUMNS($F$7:AG$7),"",INDEX(TableDiv[[GASB]:[GASB]],_xlfn.AGGREGATE(15,3,(TableDiv[[Agency]:[Agency]]=$E711)/(TableDiv[[Agency]:[Agency]]=$E711)*(ROW(TableDiv[Agency])-ROW(TableDiv[[#Headers],[Agency]])),COLUMNS($F$7:AG$7))))</f>
        <v/>
      </c>
      <c r="AH711" s="2223" t="str" cm="1">
        <f t="array" ref="AH711">IF($D711&lt;COLUMNS($F$7:AH$7),"",INDEX(TableDiv[[GASB]:[GASB]],_xlfn.AGGREGATE(15,3,(TableDiv[[Agency]:[Agency]]=$E711)/(TableDiv[[Agency]:[Agency]]=$E711)*(ROW(TableDiv[Agency])-ROW(TableDiv[[#Headers],[Agency]])),COLUMNS($F$7:AH$7))))</f>
        <v/>
      </c>
      <c r="AI711" s="2223" t="str" cm="1">
        <f t="array" ref="AI711">IF($D711&lt;COLUMNS($F$7:AI$7),"",INDEX(TableDiv[[GASB]:[GASB]],_xlfn.AGGREGATE(15,3,(TableDiv[[Agency]:[Agency]]=$E711)/(TableDiv[[Agency]:[Agency]]=$E711)*(ROW(TableDiv[Agency])-ROW(TableDiv[[#Headers],[Agency]])),COLUMNS($F$7:AI$7))))</f>
        <v/>
      </c>
      <c r="AJ711" s="2223" t="str" cm="1">
        <f t="array" ref="AJ711">IF($D711&lt;COLUMNS($F$7:AJ$7),"",INDEX(TableDiv[[GASB]:[GASB]],_xlfn.AGGREGATE(15,3,(TableDiv[[Agency]:[Agency]]=$E711)/(TableDiv[[Agency]:[Agency]]=$E711)*(ROW(TableDiv[Agency])-ROW(TableDiv[[#Headers],[Agency]])),COLUMNS($F$7:AJ$7))))</f>
        <v/>
      </c>
      <c r="AK711" s="2223" t="str" cm="1">
        <f t="array" ref="AK711">IF($D711&lt;COLUMNS($F$7:AK$7),"",INDEX(TableDiv[[GASB]:[GASB]],_xlfn.AGGREGATE(15,3,(TableDiv[[Agency]:[Agency]]=$E711)/(TableDiv[[Agency]:[Agency]]=$E711)*(ROW(TableDiv[Agency])-ROW(TableDiv[[#Headers],[Agency]])),COLUMNS($F$7:AK$7))))</f>
        <v/>
      </c>
      <c r="AL711" s="2223" t="str" cm="1">
        <f t="array" ref="AL711">IF($D711&lt;COLUMNS($F$7:AL$7),"",INDEX(TableDiv[[GASB]:[GASB]],_xlfn.AGGREGATE(15,3,(TableDiv[[Agency]:[Agency]]=$E711)/(TableDiv[[Agency]:[Agency]]=$E711)*(ROW(TableDiv[Agency])-ROW(TableDiv[[#Headers],[Agency]])),COLUMNS($F$7:AL$7))))</f>
        <v/>
      </c>
      <c r="AM711" s="2223" t="str" cm="1">
        <f t="array" ref="AM711">IF($D711&lt;COLUMNS($F$7:AM$7),"",INDEX(TableDiv[[GASB]:[GASB]],_xlfn.AGGREGATE(15,3,(TableDiv[[Agency]:[Agency]]=$E711)/(TableDiv[[Agency]:[Agency]]=$E711)*(ROW(TableDiv[Agency])-ROW(TableDiv[[#Headers],[Agency]])),COLUMNS($F$7:AM$7))))</f>
        <v/>
      </c>
      <c r="AN711" s="2223"/>
      <c r="AO711" s="2223"/>
      <c r="AP711" s="2223"/>
      <c r="AQ711" s="2223"/>
      <c r="AR711" s="2223"/>
      <c r="AS711" s="2223"/>
    </row>
    <row r="712" spans="1:45" x14ac:dyDescent="0.2">
      <c r="A712" s="2223"/>
      <c r="B712" s="2223"/>
      <c r="C712" s="2223"/>
      <c r="W712" s="2223" t="str" cm="1">
        <f t="array" ref="W712">IF($D712&lt;COLUMNS($F$7:W$7),"",INDEX(TableDiv[[GASB]:[GASB]],_xlfn.AGGREGATE(15,3,(TableDiv[[Agency]:[Agency]]=$E712)/(TableDiv[[Agency]:[Agency]]=$E712)*(ROW(TableDiv[Agency])-ROW(TableDiv[[#Headers],[Agency]])),COLUMNS($F$7:W$7))))</f>
        <v/>
      </c>
      <c r="X712" s="2223" t="str" cm="1">
        <f t="array" ref="X712">IF($D712&lt;COLUMNS($F$7:X$7),"",INDEX(TableDiv[[GASB]:[GASB]],_xlfn.AGGREGATE(15,3,(TableDiv[[Agency]:[Agency]]=$E712)/(TableDiv[[Agency]:[Agency]]=$E712)*(ROW(TableDiv[Agency])-ROW(TableDiv[[#Headers],[Agency]])),COLUMNS($F$7:X$7))))</f>
        <v/>
      </c>
      <c r="Y712" s="2223" t="str" cm="1">
        <f t="array" ref="Y712">IF($D712&lt;COLUMNS($F$7:Y$7),"",INDEX(TableDiv[[GASB]:[GASB]],_xlfn.AGGREGATE(15,3,(TableDiv[[Agency]:[Agency]]=$E712)/(TableDiv[[Agency]:[Agency]]=$E712)*(ROW(TableDiv[Agency])-ROW(TableDiv[[#Headers],[Agency]])),COLUMNS($F$7:Y$7))))</f>
        <v/>
      </c>
      <c r="Z712" s="2223" t="str" cm="1">
        <f t="array" ref="Z712">IF($D712&lt;COLUMNS($F$7:Z$7),"",INDEX(TableDiv[[GASB]:[GASB]],_xlfn.AGGREGATE(15,3,(TableDiv[[Agency]:[Agency]]=$E712)/(TableDiv[[Agency]:[Agency]]=$E712)*(ROW(TableDiv[Agency])-ROW(TableDiv[[#Headers],[Agency]])),COLUMNS($F$7:Z$7))))</f>
        <v/>
      </c>
      <c r="AA712" s="2223" t="str" cm="1">
        <f t="array" ref="AA712">IF($D712&lt;COLUMNS($F$7:AA$7),"",INDEX(TableDiv[[GASB]:[GASB]],_xlfn.AGGREGATE(15,3,(TableDiv[[Agency]:[Agency]]=$E712)/(TableDiv[[Agency]:[Agency]]=$E712)*(ROW(TableDiv[Agency])-ROW(TableDiv[[#Headers],[Agency]])),COLUMNS($F$7:AA$7))))</f>
        <v/>
      </c>
      <c r="AB712" s="2223" t="str" cm="1">
        <f t="array" ref="AB712">IF($D712&lt;COLUMNS($F$7:AB$7),"",INDEX(TableDiv[[GASB]:[GASB]],_xlfn.AGGREGATE(15,3,(TableDiv[[Agency]:[Agency]]=$E712)/(TableDiv[[Agency]:[Agency]]=$E712)*(ROW(TableDiv[Agency])-ROW(TableDiv[[#Headers],[Agency]])),COLUMNS($F$7:AB$7))))</f>
        <v/>
      </c>
      <c r="AC712" s="2223" t="str" cm="1">
        <f t="array" ref="AC712">IF($D712&lt;COLUMNS($F$7:AC$7),"",INDEX(TableDiv[[GASB]:[GASB]],_xlfn.AGGREGATE(15,3,(TableDiv[[Agency]:[Agency]]=$E712)/(TableDiv[[Agency]:[Agency]]=$E712)*(ROW(TableDiv[Agency])-ROW(TableDiv[[#Headers],[Agency]])),COLUMNS($F$7:AC$7))))</f>
        <v/>
      </c>
      <c r="AD712" s="2223" t="str" cm="1">
        <f t="array" ref="AD712">IF($D712&lt;COLUMNS($F$7:AD$7),"",INDEX(TableDiv[[GASB]:[GASB]],_xlfn.AGGREGATE(15,3,(TableDiv[[Agency]:[Agency]]=$E712)/(TableDiv[[Agency]:[Agency]]=$E712)*(ROW(TableDiv[Agency])-ROW(TableDiv[[#Headers],[Agency]])),COLUMNS($F$7:AD$7))))</f>
        <v/>
      </c>
      <c r="AE712" s="2223" t="str" cm="1">
        <f t="array" ref="AE712">IF($D712&lt;COLUMNS($F$7:AE$7),"",INDEX(TableDiv[[GASB]:[GASB]],_xlfn.AGGREGATE(15,3,(TableDiv[[Agency]:[Agency]]=$E712)/(TableDiv[[Agency]:[Agency]]=$E712)*(ROW(TableDiv[Agency])-ROW(TableDiv[[#Headers],[Agency]])),COLUMNS($F$7:AE$7))))</f>
        <v/>
      </c>
      <c r="AF712" s="2223" t="str" cm="1">
        <f t="array" ref="AF712">IF($D712&lt;COLUMNS($F$7:AF$7),"",INDEX(TableDiv[[GASB]:[GASB]],_xlfn.AGGREGATE(15,3,(TableDiv[[Agency]:[Agency]]=$E712)/(TableDiv[[Agency]:[Agency]]=$E712)*(ROW(TableDiv[Agency])-ROW(TableDiv[[#Headers],[Agency]])),COLUMNS($F$7:AF$7))))</f>
        <v/>
      </c>
      <c r="AG712" s="2223" t="str" cm="1">
        <f t="array" ref="AG712">IF($D712&lt;COLUMNS($F$7:AG$7),"",INDEX(TableDiv[[GASB]:[GASB]],_xlfn.AGGREGATE(15,3,(TableDiv[[Agency]:[Agency]]=$E712)/(TableDiv[[Agency]:[Agency]]=$E712)*(ROW(TableDiv[Agency])-ROW(TableDiv[[#Headers],[Agency]])),COLUMNS($F$7:AG$7))))</f>
        <v/>
      </c>
      <c r="AH712" s="2223" t="str" cm="1">
        <f t="array" ref="AH712">IF($D712&lt;COLUMNS($F$7:AH$7),"",INDEX(TableDiv[[GASB]:[GASB]],_xlfn.AGGREGATE(15,3,(TableDiv[[Agency]:[Agency]]=$E712)/(TableDiv[[Agency]:[Agency]]=$E712)*(ROW(TableDiv[Agency])-ROW(TableDiv[[#Headers],[Agency]])),COLUMNS($F$7:AH$7))))</f>
        <v/>
      </c>
      <c r="AI712" s="2223" t="str" cm="1">
        <f t="array" ref="AI712">IF($D712&lt;COLUMNS($F$7:AI$7),"",INDEX(TableDiv[[GASB]:[GASB]],_xlfn.AGGREGATE(15,3,(TableDiv[[Agency]:[Agency]]=$E712)/(TableDiv[[Agency]:[Agency]]=$E712)*(ROW(TableDiv[Agency])-ROW(TableDiv[[#Headers],[Agency]])),COLUMNS($F$7:AI$7))))</f>
        <v/>
      </c>
      <c r="AJ712" s="2223" t="str" cm="1">
        <f t="array" ref="AJ712">IF($D712&lt;COLUMNS($F$7:AJ$7),"",INDEX(TableDiv[[GASB]:[GASB]],_xlfn.AGGREGATE(15,3,(TableDiv[[Agency]:[Agency]]=$E712)/(TableDiv[[Agency]:[Agency]]=$E712)*(ROW(TableDiv[Agency])-ROW(TableDiv[[#Headers],[Agency]])),COLUMNS($F$7:AJ$7))))</f>
        <v/>
      </c>
      <c r="AK712" s="2223" t="str" cm="1">
        <f t="array" ref="AK712">IF($D712&lt;COLUMNS($F$7:AK$7),"",INDEX(TableDiv[[GASB]:[GASB]],_xlfn.AGGREGATE(15,3,(TableDiv[[Agency]:[Agency]]=$E712)/(TableDiv[[Agency]:[Agency]]=$E712)*(ROW(TableDiv[Agency])-ROW(TableDiv[[#Headers],[Agency]])),COLUMNS($F$7:AK$7))))</f>
        <v/>
      </c>
      <c r="AL712" s="2223" t="str" cm="1">
        <f t="array" ref="AL712">IF($D712&lt;COLUMNS($F$7:AL$7),"",INDEX(TableDiv[[GASB]:[GASB]],_xlfn.AGGREGATE(15,3,(TableDiv[[Agency]:[Agency]]=$E712)/(TableDiv[[Agency]:[Agency]]=$E712)*(ROW(TableDiv[Agency])-ROW(TableDiv[[#Headers],[Agency]])),COLUMNS($F$7:AL$7))))</f>
        <v/>
      </c>
      <c r="AM712" s="2223" t="str" cm="1">
        <f t="array" ref="AM712">IF($D712&lt;COLUMNS($F$7:AM$7),"",INDEX(TableDiv[[GASB]:[GASB]],_xlfn.AGGREGATE(15,3,(TableDiv[[Agency]:[Agency]]=$E712)/(TableDiv[[Agency]:[Agency]]=$E712)*(ROW(TableDiv[Agency])-ROW(TableDiv[[#Headers],[Agency]])),COLUMNS($F$7:AM$7))))</f>
        <v/>
      </c>
      <c r="AN712" s="2223"/>
      <c r="AO712" s="2223"/>
      <c r="AP712" s="2223"/>
      <c r="AQ712" s="2223"/>
      <c r="AR712" s="2223"/>
      <c r="AS712" s="2223"/>
    </row>
    <row r="713" spans="1:45" x14ac:dyDescent="0.2">
      <c r="A713" s="2223"/>
      <c r="B713" s="2223"/>
      <c r="C713" s="2223"/>
      <c r="W713" s="2223" t="str" cm="1">
        <f t="array" ref="W713">IF($D713&lt;COLUMNS($F$7:W$7),"",INDEX(TableDiv[[GASB]:[GASB]],_xlfn.AGGREGATE(15,3,(TableDiv[[Agency]:[Agency]]=$E713)/(TableDiv[[Agency]:[Agency]]=$E713)*(ROW(TableDiv[Agency])-ROW(TableDiv[[#Headers],[Agency]])),COLUMNS($F$7:W$7))))</f>
        <v/>
      </c>
      <c r="X713" s="2223" t="str" cm="1">
        <f t="array" ref="X713">IF($D713&lt;COLUMNS($F$7:X$7),"",INDEX(TableDiv[[GASB]:[GASB]],_xlfn.AGGREGATE(15,3,(TableDiv[[Agency]:[Agency]]=$E713)/(TableDiv[[Agency]:[Agency]]=$E713)*(ROW(TableDiv[Agency])-ROW(TableDiv[[#Headers],[Agency]])),COLUMNS($F$7:X$7))))</f>
        <v/>
      </c>
      <c r="Y713" s="2223" t="str" cm="1">
        <f t="array" ref="Y713">IF($D713&lt;COLUMNS($F$7:Y$7),"",INDEX(TableDiv[[GASB]:[GASB]],_xlfn.AGGREGATE(15,3,(TableDiv[[Agency]:[Agency]]=$E713)/(TableDiv[[Agency]:[Agency]]=$E713)*(ROW(TableDiv[Agency])-ROW(TableDiv[[#Headers],[Agency]])),COLUMNS($F$7:Y$7))))</f>
        <v/>
      </c>
      <c r="Z713" s="2223" t="str" cm="1">
        <f t="array" ref="Z713">IF($D713&lt;COLUMNS($F$7:Z$7),"",INDEX(TableDiv[[GASB]:[GASB]],_xlfn.AGGREGATE(15,3,(TableDiv[[Agency]:[Agency]]=$E713)/(TableDiv[[Agency]:[Agency]]=$E713)*(ROW(TableDiv[Agency])-ROW(TableDiv[[#Headers],[Agency]])),COLUMNS($F$7:Z$7))))</f>
        <v/>
      </c>
      <c r="AA713" s="2223" t="str" cm="1">
        <f t="array" ref="AA713">IF($D713&lt;COLUMNS($F$7:AA$7),"",INDEX(TableDiv[[GASB]:[GASB]],_xlfn.AGGREGATE(15,3,(TableDiv[[Agency]:[Agency]]=$E713)/(TableDiv[[Agency]:[Agency]]=$E713)*(ROW(TableDiv[Agency])-ROW(TableDiv[[#Headers],[Agency]])),COLUMNS($F$7:AA$7))))</f>
        <v/>
      </c>
      <c r="AB713" s="2223" t="str" cm="1">
        <f t="array" ref="AB713">IF($D713&lt;COLUMNS($F$7:AB$7),"",INDEX(TableDiv[[GASB]:[GASB]],_xlfn.AGGREGATE(15,3,(TableDiv[[Agency]:[Agency]]=$E713)/(TableDiv[[Agency]:[Agency]]=$E713)*(ROW(TableDiv[Agency])-ROW(TableDiv[[#Headers],[Agency]])),COLUMNS($F$7:AB$7))))</f>
        <v/>
      </c>
      <c r="AC713" s="2223" t="str" cm="1">
        <f t="array" ref="AC713">IF($D713&lt;COLUMNS($F$7:AC$7),"",INDEX(TableDiv[[GASB]:[GASB]],_xlfn.AGGREGATE(15,3,(TableDiv[[Agency]:[Agency]]=$E713)/(TableDiv[[Agency]:[Agency]]=$E713)*(ROW(TableDiv[Agency])-ROW(TableDiv[[#Headers],[Agency]])),COLUMNS($F$7:AC$7))))</f>
        <v/>
      </c>
      <c r="AD713" s="2223" t="str" cm="1">
        <f t="array" ref="AD713">IF($D713&lt;COLUMNS($F$7:AD$7),"",INDEX(TableDiv[[GASB]:[GASB]],_xlfn.AGGREGATE(15,3,(TableDiv[[Agency]:[Agency]]=$E713)/(TableDiv[[Agency]:[Agency]]=$E713)*(ROW(TableDiv[Agency])-ROW(TableDiv[[#Headers],[Agency]])),COLUMNS($F$7:AD$7))))</f>
        <v/>
      </c>
      <c r="AE713" s="2223" t="str" cm="1">
        <f t="array" ref="AE713">IF($D713&lt;COLUMNS($F$7:AE$7),"",INDEX(TableDiv[[GASB]:[GASB]],_xlfn.AGGREGATE(15,3,(TableDiv[[Agency]:[Agency]]=$E713)/(TableDiv[[Agency]:[Agency]]=$E713)*(ROW(TableDiv[Agency])-ROW(TableDiv[[#Headers],[Agency]])),COLUMNS($F$7:AE$7))))</f>
        <v/>
      </c>
      <c r="AF713" s="2223" t="str" cm="1">
        <f t="array" ref="AF713">IF($D713&lt;COLUMNS($F$7:AF$7),"",INDEX(TableDiv[[GASB]:[GASB]],_xlfn.AGGREGATE(15,3,(TableDiv[[Agency]:[Agency]]=$E713)/(TableDiv[[Agency]:[Agency]]=$E713)*(ROW(TableDiv[Agency])-ROW(TableDiv[[#Headers],[Agency]])),COLUMNS($F$7:AF$7))))</f>
        <v/>
      </c>
      <c r="AG713" s="2223" t="str" cm="1">
        <f t="array" ref="AG713">IF($D713&lt;COLUMNS($F$7:AG$7),"",INDEX(TableDiv[[GASB]:[GASB]],_xlfn.AGGREGATE(15,3,(TableDiv[[Agency]:[Agency]]=$E713)/(TableDiv[[Agency]:[Agency]]=$E713)*(ROW(TableDiv[Agency])-ROW(TableDiv[[#Headers],[Agency]])),COLUMNS($F$7:AG$7))))</f>
        <v/>
      </c>
      <c r="AH713" s="2223" t="str" cm="1">
        <f t="array" ref="AH713">IF($D713&lt;COLUMNS($F$7:AH$7),"",INDEX(TableDiv[[GASB]:[GASB]],_xlfn.AGGREGATE(15,3,(TableDiv[[Agency]:[Agency]]=$E713)/(TableDiv[[Agency]:[Agency]]=$E713)*(ROW(TableDiv[Agency])-ROW(TableDiv[[#Headers],[Agency]])),COLUMNS($F$7:AH$7))))</f>
        <v/>
      </c>
      <c r="AI713" s="2223" t="str" cm="1">
        <f t="array" ref="AI713">IF($D713&lt;COLUMNS($F$7:AI$7),"",INDEX(TableDiv[[GASB]:[GASB]],_xlfn.AGGREGATE(15,3,(TableDiv[[Agency]:[Agency]]=$E713)/(TableDiv[[Agency]:[Agency]]=$E713)*(ROW(TableDiv[Agency])-ROW(TableDiv[[#Headers],[Agency]])),COLUMNS($F$7:AI$7))))</f>
        <v/>
      </c>
      <c r="AJ713" s="2223" t="str" cm="1">
        <f t="array" ref="AJ713">IF($D713&lt;COLUMNS($F$7:AJ$7),"",INDEX(TableDiv[[GASB]:[GASB]],_xlfn.AGGREGATE(15,3,(TableDiv[[Agency]:[Agency]]=$E713)/(TableDiv[[Agency]:[Agency]]=$E713)*(ROW(TableDiv[Agency])-ROW(TableDiv[[#Headers],[Agency]])),COLUMNS($F$7:AJ$7))))</f>
        <v/>
      </c>
      <c r="AK713" s="2223" t="str" cm="1">
        <f t="array" ref="AK713">IF($D713&lt;COLUMNS($F$7:AK$7),"",INDEX(TableDiv[[GASB]:[GASB]],_xlfn.AGGREGATE(15,3,(TableDiv[[Agency]:[Agency]]=$E713)/(TableDiv[[Agency]:[Agency]]=$E713)*(ROW(TableDiv[Agency])-ROW(TableDiv[[#Headers],[Agency]])),COLUMNS($F$7:AK$7))))</f>
        <v/>
      </c>
      <c r="AL713" s="2223" t="str" cm="1">
        <f t="array" ref="AL713">IF($D713&lt;COLUMNS($F$7:AL$7),"",INDEX(TableDiv[[GASB]:[GASB]],_xlfn.AGGREGATE(15,3,(TableDiv[[Agency]:[Agency]]=$E713)/(TableDiv[[Agency]:[Agency]]=$E713)*(ROW(TableDiv[Agency])-ROW(TableDiv[[#Headers],[Agency]])),COLUMNS($F$7:AL$7))))</f>
        <v/>
      </c>
      <c r="AM713" s="2223" t="str" cm="1">
        <f t="array" ref="AM713">IF($D713&lt;COLUMNS($F$7:AM$7),"",INDEX(TableDiv[[GASB]:[GASB]],_xlfn.AGGREGATE(15,3,(TableDiv[[Agency]:[Agency]]=$E713)/(TableDiv[[Agency]:[Agency]]=$E713)*(ROW(TableDiv[Agency])-ROW(TableDiv[[#Headers],[Agency]])),COLUMNS($F$7:AM$7))))</f>
        <v/>
      </c>
      <c r="AN713" s="2223"/>
      <c r="AO713" s="2223"/>
      <c r="AP713" s="2223"/>
      <c r="AQ713" s="2223"/>
      <c r="AR713" s="2223"/>
      <c r="AS713" s="2223"/>
    </row>
    <row r="714" spans="1:45" x14ac:dyDescent="0.2">
      <c r="A714" s="2223"/>
      <c r="B714" s="2223"/>
      <c r="C714" s="2223"/>
      <c r="W714" s="2223" t="str" cm="1">
        <f t="array" ref="W714">IF($D714&lt;COLUMNS($F$7:W$7),"",INDEX(TableDiv[[GASB]:[GASB]],_xlfn.AGGREGATE(15,3,(TableDiv[[Agency]:[Agency]]=$E714)/(TableDiv[[Agency]:[Agency]]=$E714)*(ROW(TableDiv[Agency])-ROW(TableDiv[[#Headers],[Agency]])),COLUMNS($F$7:W$7))))</f>
        <v/>
      </c>
      <c r="X714" s="2223" t="str" cm="1">
        <f t="array" ref="X714">IF($D714&lt;COLUMNS($F$7:X$7),"",INDEX(TableDiv[[GASB]:[GASB]],_xlfn.AGGREGATE(15,3,(TableDiv[[Agency]:[Agency]]=$E714)/(TableDiv[[Agency]:[Agency]]=$E714)*(ROW(TableDiv[Agency])-ROW(TableDiv[[#Headers],[Agency]])),COLUMNS($F$7:X$7))))</f>
        <v/>
      </c>
      <c r="Y714" s="2223" t="str" cm="1">
        <f t="array" ref="Y714">IF($D714&lt;COLUMNS($F$7:Y$7),"",INDEX(TableDiv[[GASB]:[GASB]],_xlfn.AGGREGATE(15,3,(TableDiv[[Agency]:[Agency]]=$E714)/(TableDiv[[Agency]:[Agency]]=$E714)*(ROW(TableDiv[Agency])-ROW(TableDiv[[#Headers],[Agency]])),COLUMNS($F$7:Y$7))))</f>
        <v/>
      </c>
      <c r="Z714" s="2223" t="str" cm="1">
        <f t="array" ref="Z714">IF($D714&lt;COLUMNS($F$7:Z$7),"",INDEX(TableDiv[[GASB]:[GASB]],_xlfn.AGGREGATE(15,3,(TableDiv[[Agency]:[Agency]]=$E714)/(TableDiv[[Agency]:[Agency]]=$E714)*(ROW(TableDiv[Agency])-ROW(TableDiv[[#Headers],[Agency]])),COLUMNS($F$7:Z$7))))</f>
        <v/>
      </c>
      <c r="AA714" s="2223" t="str" cm="1">
        <f t="array" ref="AA714">IF($D714&lt;COLUMNS($F$7:AA$7),"",INDEX(TableDiv[[GASB]:[GASB]],_xlfn.AGGREGATE(15,3,(TableDiv[[Agency]:[Agency]]=$E714)/(TableDiv[[Agency]:[Agency]]=$E714)*(ROW(TableDiv[Agency])-ROW(TableDiv[[#Headers],[Agency]])),COLUMNS($F$7:AA$7))))</f>
        <v/>
      </c>
      <c r="AB714" s="2223" t="str" cm="1">
        <f t="array" ref="AB714">IF($D714&lt;COLUMNS($F$7:AB$7),"",INDEX(TableDiv[[GASB]:[GASB]],_xlfn.AGGREGATE(15,3,(TableDiv[[Agency]:[Agency]]=$E714)/(TableDiv[[Agency]:[Agency]]=$E714)*(ROW(TableDiv[Agency])-ROW(TableDiv[[#Headers],[Agency]])),COLUMNS($F$7:AB$7))))</f>
        <v/>
      </c>
      <c r="AC714" s="2223" t="str" cm="1">
        <f t="array" ref="AC714">IF($D714&lt;COLUMNS($F$7:AC$7),"",INDEX(TableDiv[[GASB]:[GASB]],_xlfn.AGGREGATE(15,3,(TableDiv[[Agency]:[Agency]]=$E714)/(TableDiv[[Agency]:[Agency]]=$E714)*(ROW(TableDiv[Agency])-ROW(TableDiv[[#Headers],[Agency]])),COLUMNS($F$7:AC$7))))</f>
        <v/>
      </c>
      <c r="AD714" s="2223" t="str" cm="1">
        <f t="array" ref="AD714">IF($D714&lt;COLUMNS($F$7:AD$7),"",INDEX(TableDiv[[GASB]:[GASB]],_xlfn.AGGREGATE(15,3,(TableDiv[[Agency]:[Agency]]=$E714)/(TableDiv[[Agency]:[Agency]]=$E714)*(ROW(TableDiv[Agency])-ROW(TableDiv[[#Headers],[Agency]])),COLUMNS($F$7:AD$7))))</f>
        <v/>
      </c>
      <c r="AE714" s="2223" t="str" cm="1">
        <f t="array" ref="AE714">IF($D714&lt;COLUMNS($F$7:AE$7),"",INDEX(TableDiv[[GASB]:[GASB]],_xlfn.AGGREGATE(15,3,(TableDiv[[Agency]:[Agency]]=$E714)/(TableDiv[[Agency]:[Agency]]=$E714)*(ROW(TableDiv[Agency])-ROW(TableDiv[[#Headers],[Agency]])),COLUMNS($F$7:AE$7))))</f>
        <v/>
      </c>
      <c r="AF714" s="2223" t="str" cm="1">
        <f t="array" ref="AF714">IF($D714&lt;COLUMNS($F$7:AF$7),"",INDEX(TableDiv[[GASB]:[GASB]],_xlfn.AGGREGATE(15,3,(TableDiv[[Agency]:[Agency]]=$E714)/(TableDiv[[Agency]:[Agency]]=$E714)*(ROW(TableDiv[Agency])-ROW(TableDiv[[#Headers],[Agency]])),COLUMNS($F$7:AF$7))))</f>
        <v/>
      </c>
      <c r="AG714" s="2223" t="str" cm="1">
        <f t="array" ref="AG714">IF($D714&lt;COLUMNS($F$7:AG$7),"",INDEX(TableDiv[[GASB]:[GASB]],_xlfn.AGGREGATE(15,3,(TableDiv[[Agency]:[Agency]]=$E714)/(TableDiv[[Agency]:[Agency]]=$E714)*(ROW(TableDiv[Agency])-ROW(TableDiv[[#Headers],[Agency]])),COLUMNS($F$7:AG$7))))</f>
        <v/>
      </c>
      <c r="AH714" s="2223" t="str" cm="1">
        <f t="array" ref="AH714">IF($D714&lt;COLUMNS($F$7:AH$7),"",INDEX(TableDiv[[GASB]:[GASB]],_xlfn.AGGREGATE(15,3,(TableDiv[[Agency]:[Agency]]=$E714)/(TableDiv[[Agency]:[Agency]]=$E714)*(ROW(TableDiv[Agency])-ROW(TableDiv[[#Headers],[Agency]])),COLUMNS($F$7:AH$7))))</f>
        <v/>
      </c>
      <c r="AI714" s="2223" t="str" cm="1">
        <f t="array" ref="AI714">IF($D714&lt;COLUMNS($F$7:AI$7),"",INDEX(TableDiv[[GASB]:[GASB]],_xlfn.AGGREGATE(15,3,(TableDiv[[Agency]:[Agency]]=$E714)/(TableDiv[[Agency]:[Agency]]=$E714)*(ROW(TableDiv[Agency])-ROW(TableDiv[[#Headers],[Agency]])),COLUMNS($F$7:AI$7))))</f>
        <v/>
      </c>
      <c r="AJ714" s="2223" t="str" cm="1">
        <f t="array" ref="AJ714">IF($D714&lt;COLUMNS($F$7:AJ$7),"",INDEX(TableDiv[[GASB]:[GASB]],_xlfn.AGGREGATE(15,3,(TableDiv[[Agency]:[Agency]]=$E714)/(TableDiv[[Agency]:[Agency]]=$E714)*(ROW(TableDiv[Agency])-ROW(TableDiv[[#Headers],[Agency]])),COLUMNS($F$7:AJ$7))))</f>
        <v/>
      </c>
      <c r="AK714" s="2223" t="str" cm="1">
        <f t="array" ref="AK714">IF($D714&lt;COLUMNS($F$7:AK$7),"",INDEX(TableDiv[[GASB]:[GASB]],_xlfn.AGGREGATE(15,3,(TableDiv[[Agency]:[Agency]]=$E714)/(TableDiv[[Agency]:[Agency]]=$E714)*(ROW(TableDiv[Agency])-ROW(TableDiv[[#Headers],[Agency]])),COLUMNS($F$7:AK$7))))</f>
        <v/>
      </c>
      <c r="AL714" s="2223" t="str" cm="1">
        <f t="array" ref="AL714">IF($D714&lt;COLUMNS($F$7:AL$7),"",INDEX(TableDiv[[GASB]:[GASB]],_xlfn.AGGREGATE(15,3,(TableDiv[[Agency]:[Agency]]=$E714)/(TableDiv[[Agency]:[Agency]]=$E714)*(ROW(TableDiv[Agency])-ROW(TableDiv[[#Headers],[Agency]])),COLUMNS($F$7:AL$7))))</f>
        <v/>
      </c>
      <c r="AM714" s="2223" t="str" cm="1">
        <f t="array" ref="AM714">IF($D714&lt;COLUMNS($F$7:AM$7),"",INDEX(TableDiv[[GASB]:[GASB]],_xlfn.AGGREGATE(15,3,(TableDiv[[Agency]:[Agency]]=$E714)/(TableDiv[[Agency]:[Agency]]=$E714)*(ROW(TableDiv[Agency])-ROW(TableDiv[[#Headers],[Agency]])),COLUMNS($F$7:AM$7))))</f>
        <v/>
      </c>
      <c r="AN714" s="2223"/>
      <c r="AO714" s="2223"/>
      <c r="AP714" s="2223"/>
      <c r="AQ714" s="2223"/>
      <c r="AR714" s="2223"/>
      <c r="AS714" s="2223"/>
    </row>
    <row r="715" spans="1:45" x14ac:dyDescent="0.2">
      <c r="A715" s="2223"/>
      <c r="B715" s="2223"/>
      <c r="C715" s="2223"/>
      <c r="W715" s="2223" t="str" cm="1">
        <f t="array" ref="W715">IF($D715&lt;COLUMNS($F$7:W$7),"",INDEX(TableDiv[[GASB]:[GASB]],_xlfn.AGGREGATE(15,3,(TableDiv[[Agency]:[Agency]]=$E715)/(TableDiv[[Agency]:[Agency]]=$E715)*(ROW(TableDiv[Agency])-ROW(TableDiv[[#Headers],[Agency]])),COLUMNS($F$7:W$7))))</f>
        <v/>
      </c>
      <c r="X715" s="2223" t="str" cm="1">
        <f t="array" ref="X715">IF($D715&lt;COLUMNS($F$7:X$7),"",INDEX(TableDiv[[GASB]:[GASB]],_xlfn.AGGREGATE(15,3,(TableDiv[[Agency]:[Agency]]=$E715)/(TableDiv[[Agency]:[Agency]]=$E715)*(ROW(TableDiv[Agency])-ROW(TableDiv[[#Headers],[Agency]])),COLUMNS($F$7:X$7))))</f>
        <v/>
      </c>
      <c r="Y715" s="2223" t="str" cm="1">
        <f t="array" ref="Y715">IF($D715&lt;COLUMNS($F$7:Y$7),"",INDEX(TableDiv[[GASB]:[GASB]],_xlfn.AGGREGATE(15,3,(TableDiv[[Agency]:[Agency]]=$E715)/(TableDiv[[Agency]:[Agency]]=$E715)*(ROW(TableDiv[Agency])-ROW(TableDiv[[#Headers],[Agency]])),COLUMNS($F$7:Y$7))))</f>
        <v/>
      </c>
      <c r="Z715" s="2223" t="str" cm="1">
        <f t="array" ref="Z715">IF($D715&lt;COLUMNS($F$7:Z$7),"",INDEX(TableDiv[[GASB]:[GASB]],_xlfn.AGGREGATE(15,3,(TableDiv[[Agency]:[Agency]]=$E715)/(TableDiv[[Agency]:[Agency]]=$E715)*(ROW(TableDiv[Agency])-ROW(TableDiv[[#Headers],[Agency]])),COLUMNS($F$7:Z$7))))</f>
        <v/>
      </c>
      <c r="AA715" s="2223" t="str" cm="1">
        <f t="array" ref="AA715">IF($D715&lt;COLUMNS($F$7:AA$7),"",INDEX(TableDiv[[GASB]:[GASB]],_xlfn.AGGREGATE(15,3,(TableDiv[[Agency]:[Agency]]=$E715)/(TableDiv[[Agency]:[Agency]]=$E715)*(ROW(TableDiv[Agency])-ROW(TableDiv[[#Headers],[Agency]])),COLUMNS($F$7:AA$7))))</f>
        <v/>
      </c>
      <c r="AB715" s="2223" t="str" cm="1">
        <f t="array" ref="AB715">IF($D715&lt;COLUMNS($F$7:AB$7),"",INDEX(TableDiv[[GASB]:[GASB]],_xlfn.AGGREGATE(15,3,(TableDiv[[Agency]:[Agency]]=$E715)/(TableDiv[[Agency]:[Agency]]=$E715)*(ROW(TableDiv[Agency])-ROW(TableDiv[[#Headers],[Agency]])),COLUMNS($F$7:AB$7))))</f>
        <v/>
      </c>
      <c r="AC715" s="2223" t="str" cm="1">
        <f t="array" ref="AC715">IF($D715&lt;COLUMNS($F$7:AC$7),"",INDEX(TableDiv[[GASB]:[GASB]],_xlfn.AGGREGATE(15,3,(TableDiv[[Agency]:[Agency]]=$E715)/(TableDiv[[Agency]:[Agency]]=$E715)*(ROW(TableDiv[Agency])-ROW(TableDiv[[#Headers],[Agency]])),COLUMNS($F$7:AC$7))))</f>
        <v/>
      </c>
      <c r="AD715" s="2223" t="str" cm="1">
        <f t="array" ref="AD715">IF($D715&lt;COLUMNS($F$7:AD$7),"",INDEX(TableDiv[[GASB]:[GASB]],_xlfn.AGGREGATE(15,3,(TableDiv[[Agency]:[Agency]]=$E715)/(TableDiv[[Agency]:[Agency]]=$E715)*(ROW(TableDiv[Agency])-ROW(TableDiv[[#Headers],[Agency]])),COLUMNS($F$7:AD$7))))</f>
        <v/>
      </c>
      <c r="AE715" s="2223" t="str" cm="1">
        <f t="array" ref="AE715">IF($D715&lt;COLUMNS($F$7:AE$7),"",INDEX(TableDiv[[GASB]:[GASB]],_xlfn.AGGREGATE(15,3,(TableDiv[[Agency]:[Agency]]=$E715)/(TableDiv[[Agency]:[Agency]]=$E715)*(ROW(TableDiv[Agency])-ROW(TableDiv[[#Headers],[Agency]])),COLUMNS($F$7:AE$7))))</f>
        <v/>
      </c>
      <c r="AF715" s="2223" t="str" cm="1">
        <f t="array" ref="AF715">IF($D715&lt;COLUMNS($F$7:AF$7),"",INDEX(TableDiv[[GASB]:[GASB]],_xlfn.AGGREGATE(15,3,(TableDiv[[Agency]:[Agency]]=$E715)/(TableDiv[[Agency]:[Agency]]=$E715)*(ROW(TableDiv[Agency])-ROW(TableDiv[[#Headers],[Agency]])),COLUMNS($F$7:AF$7))))</f>
        <v/>
      </c>
      <c r="AG715" s="2223" t="str" cm="1">
        <f t="array" ref="AG715">IF($D715&lt;COLUMNS($F$7:AG$7),"",INDEX(TableDiv[[GASB]:[GASB]],_xlfn.AGGREGATE(15,3,(TableDiv[[Agency]:[Agency]]=$E715)/(TableDiv[[Agency]:[Agency]]=$E715)*(ROW(TableDiv[Agency])-ROW(TableDiv[[#Headers],[Agency]])),COLUMNS($F$7:AG$7))))</f>
        <v/>
      </c>
      <c r="AH715" s="2223" t="str" cm="1">
        <f t="array" ref="AH715">IF($D715&lt;COLUMNS($F$7:AH$7),"",INDEX(TableDiv[[GASB]:[GASB]],_xlfn.AGGREGATE(15,3,(TableDiv[[Agency]:[Agency]]=$E715)/(TableDiv[[Agency]:[Agency]]=$E715)*(ROW(TableDiv[Agency])-ROW(TableDiv[[#Headers],[Agency]])),COLUMNS($F$7:AH$7))))</f>
        <v/>
      </c>
      <c r="AI715" s="2223" t="str" cm="1">
        <f t="array" ref="AI715">IF($D715&lt;COLUMNS($F$7:AI$7),"",INDEX(TableDiv[[GASB]:[GASB]],_xlfn.AGGREGATE(15,3,(TableDiv[[Agency]:[Agency]]=$E715)/(TableDiv[[Agency]:[Agency]]=$E715)*(ROW(TableDiv[Agency])-ROW(TableDiv[[#Headers],[Agency]])),COLUMNS($F$7:AI$7))))</f>
        <v/>
      </c>
      <c r="AJ715" s="2223" t="str" cm="1">
        <f t="array" ref="AJ715">IF($D715&lt;COLUMNS($F$7:AJ$7),"",INDEX(TableDiv[[GASB]:[GASB]],_xlfn.AGGREGATE(15,3,(TableDiv[[Agency]:[Agency]]=$E715)/(TableDiv[[Agency]:[Agency]]=$E715)*(ROW(TableDiv[Agency])-ROW(TableDiv[[#Headers],[Agency]])),COLUMNS($F$7:AJ$7))))</f>
        <v/>
      </c>
      <c r="AK715" s="2223" t="str" cm="1">
        <f t="array" ref="AK715">IF($D715&lt;COLUMNS($F$7:AK$7),"",INDEX(TableDiv[[GASB]:[GASB]],_xlfn.AGGREGATE(15,3,(TableDiv[[Agency]:[Agency]]=$E715)/(TableDiv[[Agency]:[Agency]]=$E715)*(ROW(TableDiv[Agency])-ROW(TableDiv[[#Headers],[Agency]])),COLUMNS($F$7:AK$7))))</f>
        <v/>
      </c>
      <c r="AL715" s="2223" t="str" cm="1">
        <f t="array" ref="AL715">IF($D715&lt;COLUMNS($F$7:AL$7),"",INDEX(TableDiv[[GASB]:[GASB]],_xlfn.AGGREGATE(15,3,(TableDiv[[Agency]:[Agency]]=$E715)/(TableDiv[[Agency]:[Agency]]=$E715)*(ROW(TableDiv[Agency])-ROW(TableDiv[[#Headers],[Agency]])),COLUMNS($F$7:AL$7))))</f>
        <v/>
      </c>
      <c r="AM715" s="2223" t="str" cm="1">
        <f t="array" ref="AM715">IF($D715&lt;COLUMNS($F$7:AM$7),"",INDEX(TableDiv[[GASB]:[GASB]],_xlfn.AGGREGATE(15,3,(TableDiv[[Agency]:[Agency]]=$E715)/(TableDiv[[Agency]:[Agency]]=$E715)*(ROW(TableDiv[Agency])-ROW(TableDiv[[#Headers],[Agency]])),COLUMNS($F$7:AM$7))))</f>
        <v/>
      </c>
      <c r="AN715" s="2223"/>
      <c r="AO715" s="2223"/>
      <c r="AP715" s="2223"/>
      <c r="AQ715" s="2223"/>
      <c r="AR715" s="2223"/>
      <c r="AS715" s="2223"/>
    </row>
    <row r="716" spans="1:45" x14ac:dyDescent="0.2">
      <c r="A716" s="2223"/>
      <c r="B716" s="2223"/>
      <c r="C716" s="2223"/>
      <c r="W716" s="2223" t="str" cm="1">
        <f t="array" ref="W716">IF($D716&lt;COLUMNS($F$7:W$7),"",INDEX(TableDiv[[GASB]:[GASB]],_xlfn.AGGREGATE(15,3,(TableDiv[[Agency]:[Agency]]=$E716)/(TableDiv[[Agency]:[Agency]]=$E716)*(ROW(TableDiv[Agency])-ROW(TableDiv[[#Headers],[Agency]])),COLUMNS($F$7:W$7))))</f>
        <v/>
      </c>
      <c r="X716" s="2223" t="str" cm="1">
        <f t="array" ref="X716">IF($D716&lt;COLUMNS($F$7:X$7),"",INDEX(TableDiv[[GASB]:[GASB]],_xlfn.AGGREGATE(15,3,(TableDiv[[Agency]:[Agency]]=$E716)/(TableDiv[[Agency]:[Agency]]=$E716)*(ROW(TableDiv[Agency])-ROW(TableDiv[[#Headers],[Agency]])),COLUMNS($F$7:X$7))))</f>
        <v/>
      </c>
      <c r="Y716" s="2223" t="str" cm="1">
        <f t="array" ref="Y716">IF($D716&lt;COLUMNS($F$7:Y$7),"",INDEX(TableDiv[[GASB]:[GASB]],_xlfn.AGGREGATE(15,3,(TableDiv[[Agency]:[Agency]]=$E716)/(TableDiv[[Agency]:[Agency]]=$E716)*(ROW(TableDiv[Agency])-ROW(TableDiv[[#Headers],[Agency]])),COLUMNS($F$7:Y$7))))</f>
        <v/>
      </c>
      <c r="Z716" s="2223" t="str" cm="1">
        <f t="array" ref="Z716">IF($D716&lt;COLUMNS($F$7:Z$7),"",INDEX(TableDiv[[GASB]:[GASB]],_xlfn.AGGREGATE(15,3,(TableDiv[[Agency]:[Agency]]=$E716)/(TableDiv[[Agency]:[Agency]]=$E716)*(ROW(TableDiv[Agency])-ROW(TableDiv[[#Headers],[Agency]])),COLUMNS($F$7:Z$7))))</f>
        <v/>
      </c>
      <c r="AA716" s="2223" t="str" cm="1">
        <f t="array" ref="AA716">IF($D716&lt;COLUMNS($F$7:AA$7),"",INDEX(TableDiv[[GASB]:[GASB]],_xlfn.AGGREGATE(15,3,(TableDiv[[Agency]:[Agency]]=$E716)/(TableDiv[[Agency]:[Agency]]=$E716)*(ROW(TableDiv[Agency])-ROW(TableDiv[[#Headers],[Agency]])),COLUMNS($F$7:AA$7))))</f>
        <v/>
      </c>
      <c r="AB716" s="2223" t="str" cm="1">
        <f t="array" ref="AB716">IF($D716&lt;COLUMNS($F$7:AB$7),"",INDEX(TableDiv[[GASB]:[GASB]],_xlfn.AGGREGATE(15,3,(TableDiv[[Agency]:[Agency]]=$E716)/(TableDiv[[Agency]:[Agency]]=$E716)*(ROW(TableDiv[Agency])-ROW(TableDiv[[#Headers],[Agency]])),COLUMNS($F$7:AB$7))))</f>
        <v/>
      </c>
      <c r="AC716" s="2223" t="str" cm="1">
        <f t="array" ref="AC716">IF($D716&lt;COLUMNS($F$7:AC$7),"",INDEX(TableDiv[[GASB]:[GASB]],_xlfn.AGGREGATE(15,3,(TableDiv[[Agency]:[Agency]]=$E716)/(TableDiv[[Agency]:[Agency]]=$E716)*(ROW(TableDiv[Agency])-ROW(TableDiv[[#Headers],[Agency]])),COLUMNS($F$7:AC$7))))</f>
        <v/>
      </c>
      <c r="AD716" s="2223" t="str" cm="1">
        <f t="array" ref="AD716">IF($D716&lt;COLUMNS($F$7:AD$7),"",INDEX(TableDiv[[GASB]:[GASB]],_xlfn.AGGREGATE(15,3,(TableDiv[[Agency]:[Agency]]=$E716)/(TableDiv[[Agency]:[Agency]]=$E716)*(ROW(TableDiv[Agency])-ROW(TableDiv[[#Headers],[Agency]])),COLUMNS($F$7:AD$7))))</f>
        <v/>
      </c>
      <c r="AE716" s="2223" t="str" cm="1">
        <f t="array" ref="AE716">IF($D716&lt;COLUMNS($F$7:AE$7),"",INDEX(TableDiv[[GASB]:[GASB]],_xlfn.AGGREGATE(15,3,(TableDiv[[Agency]:[Agency]]=$E716)/(TableDiv[[Agency]:[Agency]]=$E716)*(ROW(TableDiv[Agency])-ROW(TableDiv[[#Headers],[Agency]])),COLUMNS($F$7:AE$7))))</f>
        <v/>
      </c>
      <c r="AF716" s="2223" t="str" cm="1">
        <f t="array" ref="AF716">IF($D716&lt;COLUMNS($F$7:AF$7),"",INDEX(TableDiv[[GASB]:[GASB]],_xlfn.AGGREGATE(15,3,(TableDiv[[Agency]:[Agency]]=$E716)/(TableDiv[[Agency]:[Agency]]=$E716)*(ROW(TableDiv[Agency])-ROW(TableDiv[[#Headers],[Agency]])),COLUMNS($F$7:AF$7))))</f>
        <v/>
      </c>
      <c r="AG716" s="2223" t="str" cm="1">
        <f t="array" ref="AG716">IF($D716&lt;COLUMNS($F$7:AG$7),"",INDEX(TableDiv[[GASB]:[GASB]],_xlfn.AGGREGATE(15,3,(TableDiv[[Agency]:[Agency]]=$E716)/(TableDiv[[Agency]:[Agency]]=$E716)*(ROW(TableDiv[Agency])-ROW(TableDiv[[#Headers],[Agency]])),COLUMNS($F$7:AG$7))))</f>
        <v/>
      </c>
      <c r="AH716" s="2223" t="str" cm="1">
        <f t="array" ref="AH716">IF($D716&lt;COLUMNS($F$7:AH$7),"",INDEX(TableDiv[[GASB]:[GASB]],_xlfn.AGGREGATE(15,3,(TableDiv[[Agency]:[Agency]]=$E716)/(TableDiv[[Agency]:[Agency]]=$E716)*(ROW(TableDiv[Agency])-ROW(TableDiv[[#Headers],[Agency]])),COLUMNS($F$7:AH$7))))</f>
        <v/>
      </c>
      <c r="AI716" s="2223" t="str" cm="1">
        <f t="array" ref="AI716">IF($D716&lt;COLUMNS($F$7:AI$7),"",INDEX(TableDiv[[GASB]:[GASB]],_xlfn.AGGREGATE(15,3,(TableDiv[[Agency]:[Agency]]=$E716)/(TableDiv[[Agency]:[Agency]]=$E716)*(ROW(TableDiv[Agency])-ROW(TableDiv[[#Headers],[Agency]])),COLUMNS($F$7:AI$7))))</f>
        <v/>
      </c>
      <c r="AJ716" s="2223" t="str" cm="1">
        <f t="array" ref="AJ716">IF($D716&lt;COLUMNS($F$7:AJ$7),"",INDEX(TableDiv[[GASB]:[GASB]],_xlfn.AGGREGATE(15,3,(TableDiv[[Agency]:[Agency]]=$E716)/(TableDiv[[Agency]:[Agency]]=$E716)*(ROW(TableDiv[Agency])-ROW(TableDiv[[#Headers],[Agency]])),COLUMNS($F$7:AJ$7))))</f>
        <v/>
      </c>
      <c r="AK716" s="2223" t="str" cm="1">
        <f t="array" ref="AK716">IF($D716&lt;COLUMNS($F$7:AK$7),"",INDEX(TableDiv[[GASB]:[GASB]],_xlfn.AGGREGATE(15,3,(TableDiv[[Agency]:[Agency]]=$E716)/(TableDiv[[Agency]:[Agency]]=$E716)*(ROW(TableDiv[Agency])-ROW(TableDiv[[#Headers],[Agency]])),COLUMNS($F$7:AK$7))))</f>
        <v/>
      </c>
      <c r="AL716" s="2223" t="str" cm="1">
        <f t="array" ref="AL716">IF($D716&lt;COLUMNS($F$7:AL$7),"",INDEX(TableDiv[[GASB]:[GASB]],_xlfn.AGGREGATE(15,3,(TableDiv[[Agency]:[Agency]]=$E716)/(TableDiv[[Agency]:[Agency]]=$E716)*(ROW(TableDiv[Agency])-ROW(TableDiv[[#Headers],[Agency]])),COLUMNS($F$7:AL$7))))</f>
        <v/>
      </c>
      <c r="AM716" s="2223" t="str" cm="1">
        <f t="array" ref="AM716">IF($D716&lt;COLUMNS($F$7:AM$7),"",INDEX(TableDiv[[GASB]:[GASB]],_xlfn.AGGREGATE(15,3,(TableDiv[[Agency]:[Agency]]=$E716)/(TableDiv[[Agency]:[Agency]]=$E716)*(ROW(TableDiv[Agency])-ROW(TableDiv[[#Headers],[Agency]])),COLUMNS($F$7:AM$7))))</f>
        <v/>
      </c>
      <c r="AN716" s="2223"/>
      <c r="AO716" s="2223"/>
      <c r="AP716" s="2223"/>
      <c r="AQ716" s="2223"/>
      <c r="AR716" s="2223"/>
      <c r="AS716" s="2223"/>
    </row>
    <row r="717" spans="1:45" x14ac:dyDescent="0.2">
      <c r="A717" s="2223"/>
      <c r="B717" s="2223"/>
      <c r="C717" s="2223"/>
      <c r="W717" s="2223" t="str" cm="1">
        <f t="array" ref="W717">IF($D717&lt;COLUMNS($F$7:W$7),"",INDEX(TableDiv[[GASB]:[GASB]],_xlfn.AGGREGATE(15,3,(TableDiv[[Agency]:[Agency]]=$E717)/(TableDiv[[Agency]:[Agency]]=$E717)*(ROW(TableDiv[Agency])-ROW(TableDiv[[#Headers],[Agency]])),COLUMNS($F$7:W$7))))</f>
        <v/>
      </c>
      <c r="X717" s="2223" t="str" cm="1">
        <f t="array" ref="X717">IF($D717&lt;COLUMNS($F$7:X$7),"",INDEX(TableDiv[[GASB]:[GASB]],_xlfn.AGGREGATE(15,3,(TableDiv[[Agency]:[Agency]]=$E717)/(TableDiv[[Agency]:[Agency]]=$E717)*(ROW(TableDiv[Agency])-ROW(TableDiv[[#Headers],[Agency]])),COLUMNS($F$7:X$7))))</f>
        <v/>
      </c>
      <c r="Y717" s="2223" t="str" cm="1">
        <f t="array" ref="Y717">IF($D717&lt;COLUMNS($F$7:Y$7),"",INDEX(TableDiv[[GASB]:[GASB]],_xlfn.AGGREGATE(15,3,(TableDiv[[Agency]:[Agency]]=$E717)/(TableDiv[[Agency]:[Agency]]=$E717)*(ROW(TableDiv[Agency])-ROW(TableDiv[[#Headers],[Agency]])),COLUMNS($F$7:Y$7))))</f>
        <v/>
      </c>
      <c r="Z717" s="2223" t="str" cm="1">
        <f t="array" ref="Z717">IF($D717&lt;COLUMNS($F$7:Z$7),"",INDEX(TableDiv[[GASB]:[GASB]],_xlfn.AGGREGATE(15,3,(TableDiv[[Agency]:[Agency]]=$E717)/(TableDiv[[Agency]:[Agency]]=$E717)*(ROW(TableDiv[Agency])-ROW(TableDiv[[#Headers],[Agency]])),COLUMNS($F$7:Z$7))))</f>
        <v/>
      </c>
      <c r="AA717" s="2223" t="str" cm="1">
        <f t="array" ref="AA717">IF($D717&lt;COLUMNS($F$7:AA$7),"",INDEX(TableDiv[[GASB]:[GASB]],_xlfn.AGGREGATE(15,3,(TableDiv[[Agency]:[Agency]]=$E717)/(TableDiv[[Agency]:[Agency]]=$E717)*(ROW(TableDiv[Agency])-ROW(TableDiv[[#Headers],[Agency]])),COLUMNS($F$7:AA$7))))</f>
        <v/>
      </c>
      <c r="AB717" s="2223" t="str" cm="1">
        <f t="array" ref="AB717">IF($D717&lt;COLUMNS($F$7:AB$7),"",INDEX(TableDiv[[GASB]:[GASB]],_xlfn.AGGREGATE(15,3,(TableDiv[[Agency]:[Agency]]=$E717)/(TableDiv[[Agency]:[Agency]]=$E717)*(ROW(TableDiv[Agency])-ROW(TableDiv[[#Headers],[Agency]])),COLUMNS($F$7:AB$7))))</f>
        <v/>
      </c>
      <c r="AC717" s="2223" t="str" cm="1">
        <f t="array" ref="AC717">IF($D717&lt;COLUMNS($F$7:AC$7),"",INDEX(TableDiv[[GASB]:[GASB]],_xlfn.AGGREGATE(15,3,(TableDiv[[Agency]:[Agency]]=$E717)/(TableDiv[[Agency]:[Agency]]=$E717)*(ROW(TableDiv[Agency])-ROW(TableDiv[[#Headers],[Agency]])),COLUMNS($F$7:AC$7))))</f>
        <v/>
      </c>
      <c r="AD717" s="2223" t="str" cm="1">
        <f t="array" ref="AD717">IF($D717&lt;COLUMNS($F$7:AD$7),"",INDEX(TableDiv[[GASB]:[GASB]],_xlfn.AGGREGATE(15,3,(TableDiv[[Agency]:[Agency]]=$E717)/(TableDiv[[Agency]:[Agency]]=$E717)*(ROW(TableDiv[Agency])-ROW(TableDiv[[#Headers],[Agency]])),COLUMNS($F$7:AD$7))))</f>
        <v/>
      </c>
      <c r="AE717" s="2223" t="str" cm="1">
        <f t="array" ref="AE717">IF($D717&lt;COLUMNS($F$7:AE$7),"",INDEX(TableDiv[[GASB]:[GASB]],_xlfn.AGGREGATE(15,3,(TableDiv[[Agency]:[Agency]]=$E717)/(TableDiv[[Agency]:[Agency]]=$E717)*(ROW(TableDiv[Agency])-ROW(TableDiv[[#Headers],[Agency]])),COLUMNS($F$7:AE$7))))</f>
        <v/>
      </c>
      <c r="AF717" s="2223" t="str" cm="1">
        <f t="array" ref="AF717">IF($D717&lt;COLUMNS($F$7:AF$7),"",INDEX(TableDiv[[GASB]:[GASB]],_xlfn.AGGREGATE(15,3,(TableDiv[[Agency]:[Agency]]=$E717)/(TableDiv[[Agency]:[Agency]]=$E717)*(ROW(TableDiv[Agency])-ROW(TableDiv[[#Headers],[Agency]])),COLUMNS($F$7:AF$7))))</f>
        <v/>
      </c>
      <c r="AG717" s="2223" t="str" cm="1">
        <f t="array" ref="AG717">IF($D717&lt;COLUMNS($F$7:AG$7),"",INDEX(TableDiv[[GASB]:[GASB]],_xlfn.AGGREGATE(15,3,(TableDiv[[Agency]:[Agency]]=$E717)/(TableDiv[[Agency]:[Agency]]=$E717)*(ROW(TableDiv[Agency])-ROW(TableDiv[[#Headers],[Agency]])),COLUMNS($F$7:AG$7))))</f>
        <v/>
      </c>
      <c r="AH717" s="2223" t="str" cm="1">
        <f t="array" ref="AH717">IF($D717&lt;COLUMNS($F$7:AH$7),"",INDEX(TableDiv[[GASB]:[GASB]],_xlfn.AGGREGATE(15,3,(TableDiv[[Agency]:[Agency]]=$E717)/(TableDiv[[Agency]:[Agency]]=$E717)*(ROW(TableDiv[Agency])-ROW(TableDiv[[#Headers],[Agency]])),COLUMNS($F$7:AH$7))))</f>
        <v/>
      </c>
      <c r="AI717" s="2223" t="str" cm="1">
        <f t="array" ref="AI717">IF($D717&lt;COLUMNS($F$7:AI$7),"",INDEX(TableDiv[[GASB]:[GASB]],_xlfn.AGGREGATE(15,3,(TableDiv[[Agency]:[Agency]]=$E717)/(TableDiv[[Agency]:[Agency]]=$E717)*(ROW(TableDiv[Agency])-ROW(TableDiv[[#Headers],[Agency]])),COLUMNS($F$7:AI$7))))</f>
        <v/>
      </c>
      <c r="AJ717" s="2223" t="str" cm="1">
        <f t="array" ref="AJ717">IF($D717&lt;COLUMNS($F$7:AJ$7),"",INDEX(TableDiv[[GASB]:[GASB]],_xlfn.AGGREGATE(15,3,(TableDiv[[Agency]:[Agency]]=$E717)/(TableDiv[[Agency]:[Agency]]=$E717)*(ROW(TableDiv[Agency])-ROW(TableDiv[[#Headers],[Agency]])),COLUMNS($F$7:AJ$7))))</f>
        <v/>
      </c>
      <c r="AK717" s="2223" t="str" cm="1">
        <f t="array" ref="AK717">IF($D717&lt;COLUMNS($F$7:AK$7),"",INDEX(TableDiv[[GASB]:[GASB]],_xlfn.AGGREGATE(15,3,(TableDiv[[Agency]:[Agency]]=$E717)/(TableDiv[[Agency]:[Agency]]=$E717)*(ROW(TableDiv[Agency])-ROW(TableDiv[[#Headers],[Agency]])),COLUMNS($F$7:AK$7))))</f>
        <v/>
      </c>
      <c r="AL717" s="2223" t="str" cm="1">
        <f t="array" ref="AL717">IF($D717&lt;COLUMNS($F$7:AL$7),"",INDEX(TableDiv[[GASB]:[GASB]],_xlfn.AGGREGATE(15,3,(TableDiv[[Agency]:[Agency]]=$E717)/(TableDiv[[Agency]:[Agency]]=$E717)*(ROW(TableDiv[Agency])-ROW(TableDiv[[#Headers],[Agency]])),COLUMNS($F$7:AL$7))))</f>
        <v/>
      </c>
      <c r="AM717" s="2223" t="str" cm="1">
        <f t="array" ref="AM717">IF($D717&lt;COLUMNS($F$7:AM$7),"",INDEX(TableDiv[[GASB]:[GASB]],_xlfn.AGGREGATE(15,3,(TableDiv[[Agency]:[Agency]]=$E717)/(TableDiv[[Agency]:[Agency]]=$E717)*(ROW(TableDiv[Agency])-ROW(TableDiv[[#Headers],[Agency]])),COLUMNS($F$7:AM$7))))</f>
        <v/>
      </c>
      <c r="AN717" s="2223"/>
      <c r="AO717" s="2223"/>
      <c r="AP717" s="2223"/>
      <c r="AQ717" s="2223"/>
      <c r="AR717" s="2223"/>
      <c r="AS717" s="2223"/>
    </row>
    <row r="718" spans="1:45" x14ac:dyDescent="0.2">
      <c r="A718" s="2223"/>
      <c r="B718" s="2223"/>
      <c r="C718" s="2223"/>
      <c r="W718" s="2223" t="str" cm="1">
        <f t="array" ref="W718">IF($D718&lt;COLUMNS($F$7:W$7),"",INDEX(TableDiv[[GASB]:[GASB]],_xlfn.AGGREGATE(15,3,(TableDiv[[Agency]:[Agency]]=$E718)/(TableDiv[[Agency]:[Agency]]=$E718)*(ROW(TableDiv[Agency])-ROW(TableDiv[[#Headers],[Agency]])),COLUMNS($F$7:W$7))))</f>
        <v/>
      </c>
      <c r="X718" s="2223" t="str" cm="1">
        <f t="array" ref="X718">IF($D718&lt;COLUMNS($F$7:X$7),"",INDEX(TableDiv[[GASB]:[GASB]],_xlfn.AGGREGATE(15,3,(TableDiv[[Agency]:[Agency]]=$E718)/(TableDiv[[Agency]:[Agency]]=$E718)*(ROW(TableDiv[Agency])-ROW(TableDiv[[#Headers],[Agency]])),COLUMNS($F$7:X$7))))</f>
        <v/>
      </c>
      <c r="Y718" s="2223" t="str" cm="1">
        <f t="array" ref="Y718">IF($D718&lt;COLUMNS($F$7:Y$7),"",INDEX(TableDiv[[GASB]:[GASB]],_xlfn.AGGREGATE(15,3,(TableDiv[[Agency]:[Agency]]=$E718)/(TableDiv[[Agency]:[Agency]]=$E718)*(ROW(TableDiv[Agency])-ROW(TableDiv[[#Headers],[Agency]])),COLUMNS($F$7:Y$7))))</f>
        <v/>
      </c>
      <c r="Z718" s="2223" t="str" cm="1">
        <f t="array" ref="Z718">IF($D718&lt;COLUMNS($F$7:Z$7),"",INDEX(TableDiv[[GASB]:[GASB]],_xlfn.AGGREGATE(15,3,(TableDiv[[Agency]:[Agency]]=$E718)/(TableDiv[[Agency]:[Agency]]=$E718)*(ROW(TableDiv[Agency])-ROW(TableDiv[[#Headers],[Agency]])),COLUMNS($F$7:Z$7))))</f>
        <v/>
      </c>
      <c r="AA718" s="2223" t="str" cm="1">
        <f t="array" ref="AA718">IF($D718&lt;COLUMNS($F$7:AA$7),"",INDEX(TableDiv[[GASB]:[GASB]],_xlfn.AGGREGATE(15,3,(TableDiv[[Agency]:[Agency]]=$E718)/(TableDiv[[Agency]:[Agency]]=$E718)*(ROW(TableDiv[Agency])-ROW(TableDiv[[#Headers],[Agency]])),COLUMNS($F$7:AA$7))))</f>
        <v/>
      </c>
      <c r="AB718" s="2223" t="str" cm="1">
        <f t="array" ref="AB718">IF($D718&lt;COLUMNS($F$7:AB$7),"",INDEX(TableDiv[[GASB]:[GASB]],_xlfn.AGGREGATE(15,3,(TableDiv[[Agency]:[Agency]]=$E718)/(TableDiv[[Agency]:[Agency]]=$E718)*(ROW(TableDiv[Agency])-ROW(TableDiv[[#Headers],[Agency]])),COLUMNS($F$7:AB$7))))</f>
        <v/>
      </c>
      <c r="AC718" s="2223" t="str" cm="1">
        <f t="array" ref="AC718">IF($D718&lt;COLUMNS($F$7:AC$7),"",INDEX(TableDiv[[GASB]:[GASB]],_xlfn.AGGREGATE(15,3,(TableDiv[[Agency]:[Agency]]=$E718)/(TableDiv[[Agency]:[Agency]]=$E718)*(ROW(TableDiv[Agency])-ROW(TableDiv[[#Headers],[Agency]])),COLUMNS($F$7:AC$7))))</f>
        <v/>
      </c>
      <c r="AD718" s="2223" t="str" cm="1">
        <f t="array" ref="AD718">IF($D718&lt;COLUMNS($F$7:AD$7),"",INDEX(TableDiv[[GASB]:[GASB]],_xlfn.AGGREGATE(15,3,(TableDiv[[Agency]:[Agency]]=$E718)/(TableDiv[[Agency]:[Agency]]=$E718)*(ROW(TableDiv[Agency])-ROW(TableDiv[[#Headers],[Agency]])),COLUMNS($F$7:AD$7))))</f>
        <v/>
      </c>
      <c r="AE718" s="2223" t="str" cm="1">
        <f t="array" ref="AE718">IF($D718&lt;COLUMNS($F$7:AE$7),"",INDEX(TableDiv[[GASB]:[GASB]],_xlfn.AGGREGATE(15,3,(TableDiv[[Agency]:[Agency]]=$E718)/(TableDiv[[Agency]:[Agency]]=$E718)*(ROW(TableDiv[Agency])-ROW(TableDiv[[#Headers],[Agency]])),COLUMNS($F$7:AE$7))))</f>
        <v/>
      </c>
      <c r="AF718" s="2223" t="str" cm="1">
        <f t="array" ref="AF718">IF($D718&lt;COLUMNS($F$7:AF$7),"",INDEX(TableDiv[[GASB]:[GASB]],_xlfn.AGGREGATE(15,3,(TableDiv[[Agency]:[Agency]]=$E718)/(TableDiv[[Agency]:[Agency]]=$E718)*(ROW(TableDiv[Agency])-ROW(TableDiv[[#Headers],[Agency]])),COLUMNS($F$7:AF$7))))</f>
        <v/>
      </c>
      <c r="AG718" s="2223" t="str" cm="1">
        <f t="array" ref="AG718">IF($D718&lt;COLUMNS($F$7:AG$7),"",INDEX(TableDiv[[GASB]:[GASB]],_xlfn.AGGREGATE(15,3,(TableDiv[[Agency]:[Agency]]=$E718)/(TableDiv[[Agency]:[Agency]]=$E718)*(ROW(TableDiv[Agency])-ROW(TableDiv[[#Headers],[Agency]])),COLUMNS($F$7:AG$7))))</f>
        <v/>
      </c>
      <c r="AH718" s="2223" t="str" cm="1">
        <f t="array" ref="AH718">IF($D718&lt;COLUMNS($F$7:AH$7),"",INDEX(TableDiv[[GASB]:[GASB]],_xlfn.AGGREGATE(15,3,(TableDiv[[Agency]:[Agency]]=$E718)/(TableDiv[[Agency]:[Agency]]=$E718)*(ROW(TableDiv[Agency])-ROW(TableDiv[[#Headers],[Agency]])),COLUMNS($F$7:AH$7))))</f>
        <v/>
      </c>
      <c r="AI718" s="2223" t="str" cm="1">
        <f t="array" ref="AI718">IF($D718&lt;COLUMNS($F$7:AI$7),"",INDEX(TableDiv[[GASB]:[GASB]],_xlfn.AGGREGATE(15,3,(TableDiv[[Agency]:[Agency]]=$E718)/(TableDiv[[Agency]:[Agency]]=$E718)*(ROW(TableDiv[Agency])-ROW(TableDiv[[#Headers],[Agency]])),COLUMNS($F$7:AI$7))))</f>
        <v/>
      </c>
      <c r="AJ718" s="2223" t="str" cm="1">
        <f t="array" ref="AJ718">IF($D718&lt;COLUMNS($F$7:AJ$7),"",INDEX(TableDiv[[GASB]:[GASB]],_xlfn.AGGREGATE(15,3,(TableDiv[[Agency]:[Agency]]=$E718)/(TableDiv[[Agency]:[Agency]]=$E718)*(ROW(TableDiv[Agency])-ROW(TableDiv[[#Headers],[Agency]])),COLUMNS($F$7:AJ$7))))</f>
        <v/>
      </c>
      <c r="AK718" s="2223" t="str" cm="1">
        <f t="array" ref="AK718">IF($D718&lt;COLUMNS($F$7:AK$7),"",INDEX(TableDiv[[GASB]:[GASB]],_xlfn.AGGREGATE(15,3,(TableDiv[[Agency]:[Agency]]=$E718)/(TableDiv[[Agency]:[Agency]]=$E718)*(ROW(TableDiv[Agency])-ROW(TableDiv[[#Headers],[Agency]])),COLUMNS($F$7:AK$7))))</f>
        <v/>
      </c>
      <c r="AL718" s="2223" t="str" cm="1">
        <f t="array" ref="AL718">IF($D718&lt;COLUMNS($F$7:AL$7),"",INDEX(TableDiv[[GASB]:[GASB]],_xlfn.AGGREGATE(15,3,(TableDiv[[Agency]:[Agency]]=$E718)/(TableDiv[[Agency]:[Agency]]=$E718)*(ROW(TableDiv[Agency])-ROW(TableDiv[[#Headers],[Agency]])),COLUMNS($F$7:AL$7))))</f>
        <v/>
      </c>
      <c r="AM718" s="2223" t="str" cm="1">
        <f t="array" ref="AM718">IF($D718&lt;COLUMNS($F$7:AM$7),"",INDEX(TableDiv[[GASB]:[GASB]],_xlfn.AGGREGATE(15,3,(TableDiv[[Agency]:[Agency]]=$E718)/(TableDiv[[Agency]:[Agency]]=$E718)*(ROW(TableDiv[Agency])-ROW(TableDiv[[#Headers],[Agency]])),COLUMNS($F$7:AM$7))))</f>
        <v/>
      </c>
      <c r="AN718" s="2223"/>
      <c r="AO718" s="2223"/>
      <c r="AP718" s="2223"/>
      <c r="AQ718" s="2223"/>
      <c r="AR718" s="2223"/>
      <c r="AS718" s="2223"/>
    </row>
    <row r="719" spans="1:45" x14ac:dyDescent="0.2">
      <c r="A719" s="2223"/>
      <c r="B719" s="2223"/>
      <c r="C719" s="2223"/>
      <c r="W719" s="2223" t="str" cm="1">
        <f t="array" ref="W719">IF($D719&lt;COLUMNS($F$7:W$7),"",INDEX(TableDiv[[GASB]:[GASB]],_xlfn.AGGREGATE(15,3,(TableDiv[[Agency]:[Agency]]=$E719)/(TableDiv[[Agency]:[Agency]]=$E719)*(ROW(TableDiv[Agency])-ROW(TableDiv[[#Headers],[Agency]])),COLUMNS($F$7:W$7))))</f>
        <v/>
      </c>
      <c r="X719" s="2223" t="str" cm="1">
        <f t="array" ref="X719">IF($D719&lt;COLUMNS($F$7:X$7),"",INDEX(TableDiv[[GASB]:[GASB]],_xlfn.AGGREGATE(15,3,(TableDiv[[Agency]:[Agency]]=$E719)/(TableDiv[[Agency]:[Agency]]=$E719)*(ROW(TableDiv[Agency])-ROW(TableDiv[[#Headers],[Agency]])),COLUMNS($F$7:X$7))))</f>
        <v/>
      </c>
      <c r="Y719" s="2223" t="str" cm="1">
        <f t="array" ref="Y719">IF($D719&lt;COLUMNS($F$7:Y$7),"",INDEX(TableDiv[[GASB]:[GASB]],_xlfn.AGGREGATE(15,3,(TableDiv[[Agency]:[Agency]]=$E719)/(TableDiv[[Agency]:[Agency]]=$E719)*(ROW(TableDiv[Agency])-ROW(TableDiv[[#Headers],[Agency]])),COLUMNS($F$7:Y$7))))</f>
        <v/>
      </c>
      <c r="Z719" s="2223" t="str" cm="1">
        <f t="array" ref="Z719">IF($D719&lt;COLUMNS($F$7:Z$7),"",INDEX(TableDiv[[GASB]:[GASB]],_xlfn.AGGREGATE(15,3,(TableDiv[[Agency]:[Agency]]=$E719)/(TableDiv[[Agency]:[Agency]]=$E719)*(ROW(TableDiv[Agency])-ROW(TableDiv[[#Headers],[Agency]])),COLUMNS($F$7:Z$7))))</f>
        <v/>
      </c>
      <c r="AA719" s="2223" t="str" cm="1">
        <f t="array" ref="AA719">IF($D719&lt;COLUMNS($F$7:AA$7),"",INDEX(TableDiv[[GASB]:[GASB]],_xlfn.AGGREGATE(15,3,(TableDiv[[Agency]:[Agency]]=$E719)/(TableDiv[[Agency]:[Agency]]=$E719)*(ROW(TableDiv[Agency])-ROW(TableDiv[[#Headers],[Agency]])),COLUMNS($F$7:AA$7))))</f>
        <v/>
      </c>
      <c r="AB719" s="2223" t="str" cm="1">
        <f t="array" ref="AB719">IF($D719&lt;COLUMNS($F$7:AB$7),"",INDEX(TableDiv[[GASB]:[GASB]],_xlfn.AGGREGATE(15,3,(TableDiv[[Agency]:[Agency]]=$E719)/(TableDiv[[Agency]:[Agency]]=$E719)*(ROW(TableDiv[Agency])-ROW(TableDiv[[#Headers],[Agency]])),COLUMNS($F$7:AB$7))))</f>
        <v/>
      </c>
      <c r="AC719" s="2223" t="str" cm="1">
        <f t="array" ref="AC719">IF($D719&lt;COLUMNS($F$7:AC$7),"",INDEX(TableDiv[[GASB]:[GASB]],_xlfn.AGGREGATE(15,3,(TableDiv[[Agency]:[Agency]]=$E719)/(TableDiv[[Agency]:[Agency]]=$E719)*(ROW(TableDiv[Agency])-ROW(TableDiv[[#Headers],[Agency]])),COLUMNS($F$7:AC$7))))</f>
        <v/>
      </c>
      <c r="AD719" s="2223" t="str" cm="1">
        <f t="array" ref="AD719">IF($D719&lt;COLUMNS($F$7:AD$7),"",INDEX(TableDiv[[GASB]:[GASB]],_xlfn.AGGREGATE(15,3,(TableDiv[[Agency]:[Agency]]=$E719)/(TableDiv[[Agency]:[Agency]]=$E719)*(ROW(TableDiv[Agency])-ROW(TableDiv[[#Headers],[Agency]])),COLUMNS($F$7:AD$7))))</f>
        <v/>
      </c>
      <c r="AE719" s="2223" t="str" cm="1">
        <f t="array" ref="AE719">IF($D719&lt;COLUMNS($F$7:AE$7),"",INDEX(TableDiv[[GASB]:[GASB]],_xlfn.AGGREGATE(15,3,(TableDiv[[Agency]:[Agency]]=$E719)/(TableDiv[[Agency]:[Agency]]=$E719)*(ROW(TableDiv[Agency])-ROW(TableDiv[[#Headers],[Agency]])),COLUMNS($F$7:AE$7))))</f>
        <v/>
      </c>
      <c r="AF719" s="2223" t="str" cm="1">
        <f t="array" ref="AF719">IF($D719&lt;COLUMNS($F$7:AF$7),"",INDEX(TableDiv[[GASB]:[GASB]],_xlfn.AGGREGATE(15,3,(TableDiv[[Agency]:[Agency]]=$E719)/(TableDiv[[Agency]:[Agency]]=$E719)*(ROW(TableDiv[Agency])-ROW(TableDiv[[#Headers],[Agency]])),COLUMNS($F$7:AF$7))))</f>
        <v/>
      </c>
      <c r="AG719" s="2223" t="str" cm="1">
        <f t="array" ref="AG719">IF($D719&lt;COLUMNS($F$7:AG$7),"",INDEX(TableDiv[[GASB]:[GASB]],_xlfn.AGGREGATE(15,3,(TableDiv[[Agency]:[Agency]]=$E719)/(TableDiv[[Agency]:[Agency]]=$E719)*(ROW(TableDiv[Agency])-ROW(TableDiv[[#Headers],[Agency]])),COLUMNS($F$7:AG$7))))</f>
        <v/>
      </c>
      <c r="AH719" s="2223" t="str" cm="1">
        <f t="array" ref="AH719">IF($D719&lt;COLUMNS($F$7:AH$7),"",INDEX(TableDiv[[GASB]:[GASB]],_xlfn.AGGREGATE(15,3,(TableDiv[[Agency]:[Agency]]=$E719)/(TableDiv[[Agency]:[Agency]]=$E719)*(ROW(TableDiv[Agency])-ROW(TableDiv[[#Headers],[Agency]])),COLUMNS($F$7:AH$7))))</f>
        <v/>
      </c>
      <c r="AI719" s="2223" t="str" cm="1">
        <f t="array" ref="AI719">IF($D719&lt;COLUMNS($F$7:AI$7),"",INDEX(TableDiv[[GASB]:[GASB]],_xlfn.AGGREGATE(15,3,(TableDiv[[Agency]:[Agency]]=$E719)/(TableDiv[[Agency]:[Agency]]=$E719)*(ROW(TableDiv[Agency])-ROW(TableDiv[[#Headers],[Agency]])),COLUMNS($F$7:AI$7))))</f>
        <v/>
      </c>
      <c r="AJ719" s="2223" t="str" cm="1">
        <f t="array" ref="AJ719">IF($D719&lt;COLUMNS($F$7:AJ$7),"",INDEX(TableDiv[[GASB]:[GASB]],_xlfn.AGGREGATE(15,3,(TableDiv[[Agency]:[Agency]]=$E719)/(TableDiv[[Agency]:[Agency]]=$E719)*(ROW(TableDiv[Agency])-ROW(TableDiv[[#Headers],[Agency]])),COLUMNS($F$7:AJ$7))))</f>
        <v/>
      </c>
      <c r="AK719" s="2223" t="str" cm="1">
        <f t="array" ref="AK719">IF($D719&lt;COLUMNS($F$7:AK$7),"",INDEX(TableDiv[[GASB]:[GASB]],_xlfn.AGGREGATE(15,3,(TableDiv[[Agency]:[Agency]]=$E719)/(TableDiv[[Agency]:[Agency]]=$E719)*(ROW(TableDiv[Agency])-ROW(TableDiv[[#Headers],[Agency]])),COLUMNS($F$7:AK$7))))</f>
        <v/>
      </c>
      <c r="AL719" s="2223" t="str" cm="1">
        <f t="array" ref="AL719">IF($D719&lt;COLUMNS($F$7:AL$7),"",INDEX(TableDiv[[GASB]:[GASB]],_xlfn.AGGREGATE(15,3,(TableDiv[[Agency]:[Agency]]=$E719)/(TableDiv[[Agency]:[Agency]]=$E719)*(ROW(TableDiv[Agency])-ROW(TableDiv[[#Headers],[Agency]])),COLUMNS($F$7:AL$7))))</f>
        <v/>
      </c>
      <c r="AM719" s="2223" t="str" cm="1">
        <f t="array" ref="AM719">IF($D719&lt;COLUMNS($F$7:AM$7),"",INDEX(TableDiv[[GASB]:[GASB]],_xlfn.AGGREGATE(15,3,(TableDiv[[Agency]:[Agency]]=$E719)/(TableDiv[[Agency]:[Agency]]=$E719)*(ROW(TableDiv[Agency])-ROW(TableDiv[[#Headers],[Agency]])),COLUMNS($F$7:AM$7))))</f>
        <v/>
      </c>
      <c r="AN719" s="2223"/>
      <c r="AO719" s="2223"/>
      <c r="AP719" s="2223"/>
      <c r="AQ719" s="2223"/>
      <c r="AR719" s="2223"/>
      <c r="AS719" s="2223"/>
    </row>
    <row r="720" spans="1:45" x14ac:dyDescent="0.2">
      <c r="A720" s="2223"/>
      <c r="B720" s="2223"/>
      <c r="C720" s="2223"/>
      <c r="W720" s="2223" t="str" cm="1">
        <f t="array" ref="W720">IF($D720&lt;COLUMNS($F$7:W$7),"",INDEX(TableDiv[[GASB]:[GASB]],_xlfn.AGGREGATE(15,3,(TableDiv[[Agency]:[Agency]]=$E720)/(TableDiv[[Agency]:[Agency]]=$E720)*(ROW(TableDiv[Agency])-ROW(TableDiv[[#Headers],[Agency]])),COLUMNS($F$7:W$7))))</f>
        <v/>
      </c>
      <c r="X720" s="2223" t="str" cm="1">
        <f t="array" ref="X720">IF($D720&lt;COLUMNS($F$7:X$7),"",INDEX(TableDiv[[GASB]:[GASB]],_xlfn.AGGREGATE(15,3,(TableDiv[[Agency]:[Agency]]=$E720)/(TableDiv[[Agency]:[Agency]]=$E720)*(ROW(TableDiv[Agency])-ROW(TableDiv[[#Headers],[Agency]])),COLUMNS($F$7:X$7))))</f>
        <v/>
      </c>
      <c r="Y720" s="2223" t="str" cm="1">
        <f t="array" ref="Y720">IF($D720&lt;COLUMNS($F$7:Y$7),"",INDEX(TableDiv[[GASB]:[GASB]],_xlfn.AGGREGATE(15,3,(TableDiv[[Agency]:[Agency]]=$E720)/(TableDiv[[Agency]:[Agency]]=$E720)*(ROW(TableDiv[Agency])-ROW(TableDiv[[#Headers],[Agency]])),COLUMNS($F$7:Y$7))))</f>
        <v/>
      </c>
      <c r="Z720" s="2223" t="str" cm="1">
        <f t="array" ref="Z720">IF($D720&lt;COLUMNS($F$7:Z$7),"",INDEX(TableDiv[[GASB]:[GASB]],_xlfn.AGGREGATE(15,3,(TableDiv[[Agency]:[Agency]]=$E720)/(TableDiv[[Agency]:[Agency]]=$E720)*(ROW(TableDiv[Agency])-ROW(TableDiv[[#Headers],[Agency]])),COLUMNS($F$7:Z$7))))</f>
        <v/>
      </c>
      <c r="AA720" s="2223" t="str" cm="1">
        <f t="array" ref="AA720">IF($D720&lt;COLUMNS($F$7:AA$7),"",INDEX(TableDiv[[GASB]:[GASB]],_xlfn.AGGREGATE(15,3,(TableDiv[[Agency]:[Agency]]=$E720)/(TableDiv[[Agency]:[Agency]]=$E720)*(ROW(TableDiv[Agency])-ROW(TableDiv[[#Headers],[Agency]])),COLUMNS($F$7:AA$7))))</f>
        <v/>
      </c>
      <c r="AB720" s="2223" t="str" cm="1">
        <f t="array" ref="AB720">IF($D720&lt;COLUMNS($F$7:AB$7),"",INDEX(TableDiv[[GASB]:[GASB]],_xlfn.AGGREGATE(15,3,(TableDiv[[Agency]:[Agency]]=$E720)/(TableDiv[[Agency]:[Agency]]=$E720)*(ROW(TableDiv[Agency])-ROW(TableDiv[[#Headers],[Agency]])),COLUMNS($F$7:AB$7))))</f>
        <v/>
      </c>
      <c r="AC720" s="2223" t="str" cm="1">
        <f t="array" ref="AC720">IF($D720&lt;COLUMNS($F$7:AC$7),"",INDEX(TableDiv[[GASB]:[GASB]],_xlfn.AGGREGATE(15,3,(TableDiv[[Agency]:[Agency]]=$E720)/(TableDiv[[Agency]:[Agency]]=$E720)*(ROW(TableDiv[Agency])-ROW(TableDiv[[#Headers],[Agency]])),COLUMNS($F$7:AC$7))))</f>
        <v/>
      </c>
      <c r="AD720" s="2223" t="str" cm="1">
        <f t="array" ref="AD720">IF($D720&lt;COLUMNS($F$7:AD$7),"",INDEX(TableDiv[[GASB]:[GASB]],_xlfn.AGGREGATE(15,3,(TableDiv[[Agency]:[Agency]]=$E720)/(TableDiv[[Agency]:[Agency]]=$E720)*(ROW(TableDiv[Agency])-ROW(TableDiv[[#Headers],[Agency]])),COLUMNS($F$7:AD$7))))</f>
        <v/>
      </c>
      <c r="AE720" s="2223" t="str" cm="1">
        <f t="array" ref="AE720">IF($D720&lt;COLUMNS($F$7:AE$7),"",INDEX(TableDiv[[GASB]:[GASB]],_xlfn.AGGREGATE(15,3,(TableDiv[[Agency]:[Agency]]=$E720)/(TableDiv[[Agency]:[Agency]]=$E720)*(ROW(TableDiv[Agency])-ROW(TableDiv[[#Headers],[Agency]])),COLUMNS($F$7:AE$7))))</f>
        <v/>
      </c>
      <c r="AF720" s="2223" t="str" cm="1">
        <f t="array" ref="AF720">IF($D720&lt;COLUMNS($F$7:AF$7),"",INDEX(TableDiv[[GASB]:[GASB]],_xlfn.AGGREGATE(15,3,(TableDiv[[Agency]:[Agency]]=$E720)/(TableDiv[[Agency]:[Agency]]=$E720)*(ROW(TableDiv[Agency])-ROW(TableDiv[[#Headers],[Agency]])),COLUMNS($F$7:AF$7))))</f>
        <v/>
      </c>
      <c r="AG720" s="2223" t="str" cm="1">
        <f t="array" ref="AG720">IF($D720&lt;COLUMNS($F$7:AG$7),"",INDEX(TableDiv[[GASB]:[GASB]],_xlfn.AGGREGATE(15,3,(TableDiv[[Agency]:[Agency]]=$E720)/(TableDiv[[Agency]:[Agency]]=$E720)*(ROW(TableDiv[Agency])-ROW(TableDiv[[#Headers],[Agency]])),COLUMNS($F$7:AG$7))))</f>
        <v/>
      </c>
      <c r="AH720" s="2223" t="str" cm="1">
        <f t="array" ref="AH720">IF($D720&lt;COLUMNS($F$7:AH$7),"",INDEX(TableDiv[[GASB]:[GASB]],_xlfn.AGGREGATE(15,3,(TableDiv[[Agency]:[Agency]]=$E720)/(TableDiv[[Agency]:[Agency]]=$E720)*(ROW(TableDiv[Agency])-ROW(TableDiv[[#Headers],[Agency]])),COLUMNS($F$7:AH$7))))</f>
        <v/>
      </c>
      <c r="AI720" s="2223" t="str" cm="1">
        <f t="array" ref="AI720">IF($D720&lt;COLUMNS($F$7:AI$7),"",INDEX(TableDiv[[GASB]:[GASB]],_xlfn.AGGREGATE(15,3,(TableDiv[[Agency]:[Agency]]=$E720)/(TableDiv[[Agency]:[Agency]]=$E720)*(ROW(TableDiv[Agency])-ROW(TableDiv[[#Headers],[Agency]])),COLUMNS($F$7:AI$7))))</f>
        <v/>
      </c>
      <c r="AJ720" s="2223" t="str" cm="1">
        <f t="array" ref="AJ720">IF($D720&lt;COLUMNS($F$7:AJ$7),"",INDEX(TableDiv[[GASB]:[GASB]],_xlfn.AGGREGATE(15,3,(TableDiv[[Agency]:[Agency]]=$E720)/(TableDiv[[Agency]:[Agency]]=$E720)*(ROW(TableDiv[Agency])-ROW(TableDiv[[#Headers],[Agency]])),COLUMNS($F$7:AJ$7))))</f>
        <v/>
      </c>
      <c r="AK720" s="2223" t="str" cm="1">
        <f t="array" ref="AK720">IF($D720&lt;COLUMNS($F$7:AK$7),"",INDEX(TableDiv[[GASB]:[GASB]],_xlfn.AGGREGATE(15,3,(TableDiv[[Agency]:[Agency]]=$E720)/(TableDiv[[Agency]:[Agency]]=$E720)*(ROW(TableDiv[Agency])-ROW(TableDiv[[#Headers],[Agency]])),COLUMNS($F$7:AK$7))))</f>
        <v/>
      </c>
      <c r="AL720" s="2223" t="str" cm="1">
        <f t="array" ref="AL720">IF($D720&lt;COLUMNS($F$7:AL$7),"",INDEX(TableDiv[[GASB]:[GASB]],_xlfn.AGGREGATE(15,3,(TableDiv[[Agency]:[Agency]]=$E720)/(TableDiv[[Agency]:[Agency]]=$E720)*(ROW(TableDiv[Agency])-ROW(TableDiv[[#Headers],[Agency]])),COLUMNS($F$7:AL$7))))</f>
        <v/>
      </c>
      <c r="AM720" s="2223" t="str" cm="1">
        <f t="array" ref="AM720">IF($D720&lt;COLUMNS($F$7:AM$7),"",INDEX(TableDiv[[GASB]:[GASB]],_xlfn.AGGREGATE(15,3,(TableDiv[[Agency]:[Agency]]=$E720)/(TableDiv[[Agency]:[Agency]]=$E720)*(ROW(TableDiv[Agency])-ROW(TableDiv[[#Headers],[Agency]])),COLUMNS($F$7:AM$7))))</f>
        <v/>
      </c>
      <c r="AN720" s="2223"/>
      <c r="AO720" s="2223"/>
      <c r="AP720" s="2223"/>
      <c r="AQ720" s="2223"/>
      <c r="AR720" s="2223"/>
      <c r="AS720" s="2223"/>
    </row>
    <row r="721" spans="1:45" x14ac:dyDescent="0.2">
      <c r="A721" s="2223"/>
      <c r="B721" s="2223"/>
      <c r="C721" s="2223"/>
      <c r="W721" s="2223" t="str" cm="1">
        <f t="array" ref="W721">IF($D721&lt;COLUMNS($F$7:W$7),"",INDEX(TableDiv[[GASB]:[GASB]],_xlfn.AGGREGATE(15,3,(TableDiv[[Agency]:[Agency]]=$E721)/(TableDiv[[Agency]:[Agency]]=$E721)*(ROW(TableDiv[Agency])-ROW(TableDiv[[#Headers],[Agency]])),COLUMNS($F$7:W$7))))</f>
        <v/>
      </c>
      <c r="X721" s="2223" t="str" cm="1">
        <f t="array" ref="X721">IF($D721&lt;COLUMNS($F$7:X$7),"",INDEX(TableDiv[[GASB]:[GASB]],_xlfn.AGGREGATE(15,3,(TableDiv[[Agency]:[Agency]]=$E721)/(TableDiv[[Agency]:[Agency]]=$E721)*(ROW(TableDiv[Agency])-ROW(TableDiv[[#Headers],[Agency]])),COLUMNS($F$7:X$7))))</f>
        <v/>
      </c>
      <c r="Y721" s="2223" t="str" cm="1">
        <f t="array" ref="Y721">IF($D721&lt;COLUMNS($F$7:Y$7),"",INDEX(TableDiv[[GASB]:[GASB]],_xlfn.AGGREGATE(15,3,(TableDiv[[Agency]:[Agency]]=$E721)/(TableDiv[[Agency]:[Agency]]=$E721)*(ROW(TableDiv[Agency])-ROW(TableDiv[[#Headers],[Agency]])),COLUMNS($F$7:Y$7))))</f>
        <v/>
      </c>
      <c r="Z721" s="2223" t="str" cm="1">
        <f t="array" ref="Z721">IF($D721&lt;COLUMNS($F$7:Z$7),"",INDEX(TableDiv[[GASB]:[GASB]],_xlfn.AGGREGATE(15,3,(TableDiv[[Agency]:[Agency]]=$E721)/(TableDiv[[Agency]:[Agency]]=$E721)*(ROW(TableDiv[Agency])-ROW(TableDiv[[#Headers],[Agency]])),COLUMNS($F$7:Z$7))))</f>
        <v/>
      </c>
      <c r="AA721" s="2223" t="str" cm="1">
        <f t="array" ref="AA721">IF($D721&lt;COLUMNS($F$7:AA$7),"",INDEX(TableDiv[[GASB]:[GASB]],_xlfn.AGGREGATE(15,3,(TableDiv[[Agency]:[Agency]]=$E721)/(TableDiv[[Agency]:[Agency]]=$E721)*(ROW(TableDiv[Agency])-ROW(TableDiv[[#Headers],[Agency]])),COLUMNS($F$7:AA$7))))</f>
        <v/>
      </c>
      <c r="AB721" s="2223" t="str" cm="1">
        <f t="array" ref="AB721">IF($D721&lt;COLUMNS($F$7:AB$7),"",INDEX(TableDiv[[GASB]:[GASB]],_xlfn.AGGREGATE(15,3,(TableDiv[[Agency]:[Agency]]=$E721)/(TableDiv[[Agency]:[Agency]]=$E721)*(ROW(TableDiv[Agency])-ROW(TableDiv[[#Headers],[Agency]])),COLUMNS($F$7:AB$7))))</f>
        <v/>
      </c>
      <c r="AC721" s="2223" t="str" cm="1">
        <f t="array" ref="AC721">IF($D721&lt;COLUMNS($F$7:AC$7),"",INDEX(TableDiv[[GASB]:[GASB]],_xlfn.AGGREGATE(15,3,(TableDiv[[Agency]:[Agency]]=$E721)/(TableDiv[[Agency]:[Agency]]=$E721)*(ROW(TableDiv[Agency])-ROW(TableDiv[[#Headers],[Agency]])),COLUMNS($F$7:AC$7))))</f>
        <v/>
      </c>
      <c r="AD721" s="2223" t="str" cm="1">
        <f t="array" ref="AD721">IF($D721&lt;COLUMNS($F$7:AD$7),"",INDEX(TableDiv[[GASB]:[GASB]],_xlfn.AGGREGATE(15,3,(TableDiv[[Agency]:[Agency]]=$E721)/(TableDiv[[Agency]:[Agency]]=$E721)*(ROW(TableDiv[Agency])-ROW(TableDiv[[#Headers],[Agency]])),COLUMNS($F$7:AD$7))))</f>
        <v/>
      </c>
      <c r="AE721" s="2223" t="str" cm="1">
        <f t="array" ref="AE721">IF($D721&lt;COLUMNS($F$7:AE$7),"",INDEX(TableDiv[[GASB]:[GASB]],_xlfn.AGGREGATE(15,3,(TableDiv[[Agency]:[Agency]]=$E721)/(TableDiv[[Agency]:[Agency]]=$E721)*(ROW(TableDiv[Agency])-ROW(TableDiv[[#Headers],[Agency]])),COLUMNS($F$7:AE$7))))</f>
        <v/>
      </c>
      <c r="AF721" s="2223" t="str" cm="1">
        <f t="array" ref="AF721">IF($D721&lt;COLUMNS($F$7:AF$7),"",INDEX(TableDiv[[GASB]:[GASB]],_xlfn.AGGREGATE(15,3,(TableDiv[[Agency]:[Agency]]=$E721)/(TableDiv[[Agency]:[Agency]]=$E721)*(ROW(TableDiv[Agency])-ROW(TableDiv[[#Headers],[Agency]])),COLUMNS($F$7:AF$7))))</f>
        <v/>
      </c>
      <c r="AG721" s="2223" t="str" cm="1">
        <f t="array" ref="AG721">IF($D721&lt;COLUMNS($F$7:AG$7),"",INDEX(TableDiv[[GASB]:[GASB]],_xlfn.AGGREGATE(15,3,(TableDiv[[Agency]:[Agency]]=$E721)/(TableDiv[[Agency]:[Agency]]=$E721)*(ROW(TableDiv[Agency])-ROW(TableDiv[[#Headers],[Agency]])),COLUMNS($F$7:AG$7))))</f>
        <v/>
      </c>
      <c r="AH721" s="2223" t="str" cm="1">
        <f t="array" ref="AH721">IF($D721&lt;COLUMNS($F$7:AH$7),"",INDEX(TableDiv[[GASB]:[GASB]],_xlfn.AGGREGATE(15,3,(TableDiv[[Agency]:[Agency]]=$E721)/(TableDiv[[Agency]:[Agency]]=$E721)*(ROW(TableDiv[Agency])-ROW(TableDiv[[#Headers],[Agency]])),COLUMNS($F$7:AH$7))))</f>
        <v/>
      </c>
      <c r="AI721" s="2223" t="str" cm="1">
        <f t="array" ref="AI721">IF($D721&lt;COLUMNS($F$7:AI$7),"",INDEX(TableDiv[[GASB]:[GASB]],_xlfn.AGGREGATE(15,3,(TableDiv[[Agency]:[Agency]]=$E721)/(TableDiv[[Agency]:[Agency]]=$E721)*(ROW(TableDiv[Agency])-ROW(TableDiv[[#Headers],[Agency]])),COLUMNS($F$7:AI$7))))</f>
        <v/>
      </c>
      <c r="AJ721" s="2223" t="str" cm="1">
        <f t="array" ref="AJ721">IF($D721&lt;COLUMNS($F$7:AJ$7),"",INDEX(TableDiv[[GASB]:[GASB]],_xlfn.AGGREGATE(15,3,(TableDiv[[Agency]:[Agency]]=$E721)/(TableDiv[[Agency]:[Agency]]=$E721)*(ROW(TableDiv[Agency])-ROW(TableDiv[[#Headers],[Agency]])),COLUMNS($F$7:AJ$7))))</f>
        <v/>
      </c>
      <c r="AK721" s="2223" t="str" cm="1">
        <f t="array" ref="AK721">IF($D721&lt;COLUMNS($F$7:AK$7),"",INDEX(TableDiv[[GASB]:[GASB]],_xlfn.AGGREGATE(15,3,(TableDiv[[Agency]:[Agency]]=$E721)/(TableDiv[[Agency]:[Agency]]=$E721)*(ROW(TableDiv[Agency])-ROW(TableDiv[[#Headers],[Agency]])),COLUMNS($F$7:AK$7))))</f>
        <v/>
      </c>
      <c r="AL721" s="2223" t="str" cm="1">
        <f t="array" ref="AL721">IF($D721&lt;COLUMNS($F$7:AL$7),"",INDEX(TableDiv[[GASB]:[GASB]],_xlfn.AGGREGATE(15,3,(TableDiv[[Agency]:[Agency]]=$E721)/(TableDiv[[Agency]:[Agency]]=$E721)*(ROW(TableDiv[Agency])-ROW(TableDiv[[#Headers],[Agency]])),COLUMNS($F$7:AL$7))))</f>
        <v/>
      </c>
      <c r="AM721" s="2223" t="str" cm="1">
        <f t="array" ref="AM721">IF($D721&lt;COLUMNS($F$7:AM$7),"",INDEX(TableDiv[[GASB]:[GASB]],_xlfn.AGGREGATE(15,3,(TableDiv[[Agency]:[Agency]]=$E721)/(TableDiv[[Agency]:[Agency]]=$E721)*(ROW(TableDiv[Agency])-ROW(TableDiv[[#Headers],[Agency]])),COLUMNS($F$7:AM$7))))</f>
        <v/>
      </c>
      <c r="AN721" s="2223"/>
      <c r="AO721" s="2223"/>
      <c r="AP721" s="2223"/>
      <c r="AQ721" s="2223"/>
      <c r="AR721" s="2223"/>
      <c r="AS721" s="2223"/>
    </row>
    <row r="722" spans="1:45" x14ac:dyDescent="0.2">
      <c r="A722" s="2223"/>
      <c r="B722" s="2223"/>
      <c r="C722" s="2223"/>
      <c r="W722" s="2223" t="str" cm="1">
        <f t="array" ref="W722">IF($D722&lt;COLUMNS($F$7:W$7),"",INDEX(TableDiv[[GASB]:[GASB]],_xlfn.AGGREGATE(15,3,(TableDiv[[Agency]:[Agency]]=$E722)/(TableDiv[[Agency]:[Agency]]=$E722)*(ROW(TableDiv[Agency])-ROW(TableDiv[[#Headers],[Agency]])),COLUMNS($F$7:W$7))))</f>
        <v/>
      </c>
      <c r="X722" s="2223" t="str" cm="1">
        <f t="array" ref="X722">IF($D722&lt;COLUMNS($F$7:X$7),"",INDEX(TableDiv[[GASB]:[GASB]],_xlfn.AGGREGATE(15,3,(TableDiv[[Agency]:[Agency]]=$E722)/(TableDiv[[Agency]:[Agency]]=$E722)*(ROW(TableDiv[Agency])-ROW(TableDiv[[#Headers],[Agency]])),COLUMNS($F$7:X$7))))</f>
        <v/>
      </c>
      <c r="Y722" s="2223" t="str" cm="1">
        <f t="array" ref="Y722">IF($D722&lt;COLUMNS($F$7:Y$7),"",INDEX(TableDiv[[GASB]:[GASB]],_xlfn.AGGREGATE(15,3,(TableDiv[[Agency]:[Agency]]=$E722)/(TableDiv[[Agency]:[Agency]]=$E722)*(ROW(TableDiv[Agency])-ROW(TableDiv[[#Headers],[Agency]])),COLUMNS($F$7:Y$7))))</f>
        <v/>
      </c>
      <c r="Z722" s="2223" t="str" cm="1">
        <f t="array" ref="Z722">IF($D722&lt;COLUMNS($F$7:Z$7),"",INDEX(TableDiv[[GASB]:[GASB]],_xlfn.AGGREGATE(15,3,(TableDiv[[Agency]:[Agency]]=$E722)/(TableDiv[[Agency]:[Agency]]=$E722)*(ROW(TableDiv[Agency])-ROW(TableDiv[[#Headers],[Agency]])),COLUMNS($F$7:Z$7))))</f>
        <v/>
      </c>
      <c r="AA722" s="2223" t="str" cm="1">
        <f t="array" ref="AA722">IF($D722&lt;COLUMNS($F$7:AA$7),"",INDEX(TableDiv[[GASB]:[GASB]],_xlfn.AGGREGATE(15,3,(TableDiv[[Agency]:[Agency]]=$E722)/(TableDiv[[Agency]:[Agency]]=$E722)*(ROW(TableDiv[Agency])-ROW(TableDiv[[#Headers],[Agency]])),COLUMNS($F$7:AA$7))))</f>
        <v/>
      </c>
      <c r="AB722" s="2223" t="str" cm="1">
        <f t="array" ref="AB722">IF($D722&lt;COLUMNS($F$7:AB$7),"",INDEX(TableDiv[[GASB]:[GASB]],_xlfn.AGGREGATE(15,3,(TableDiv[[Agency]:[Agency]]=$E722)/(TableDiv[[Agency]:[Agency]]=$E722)*(ROW(TableDiv[Agency])-ROW(TableDiv[[#Headers],[Agency]])),COLUMNS($F$7:AB$7))))</f>
        <v/>
      </c>
      <c r="AC722" s="2223" t="str" cm="1">
        <f t="array" ref="AC722">IF($D722&lt;COLUMNS($F$7:AC$7),"",INDEX(TableDiv[[GASB]:[GASB]],_xlfn.AGGREGATE(15,3,(TableDiv[[Agency]:[Agency]]=$E722)/(TableDiv[[Agency]:[Agency]]=$E722)*(ROW(TableDiv[Agency])-ROW(TableDiv[[#Headers],[Agency]])),COLUMNS($F$7:AC$7))))</f>
        <v/>
      </c>
      <c r="AD722" s="2223" t="str" cm="1">
        <f t="array" ref="AD722">IF($D722&lt;COLUMNS($F$7:AD$7),"",INDEX(TableDiv[[GASB]:[GASB]],_xlfn.AGGREGATE(15,3,(TableDiv[[Agency]:[Agency]]=$E722)/(TableDiv[[Agency]:[Agency]]=$E722)*(ROW(TableDiv[Agency])-ROW(TableDiv[[#Headers],[Agency]])),COLUMNS($F$7:AD$7))))</f>
        <v/>
      </c>
      <c r="AE722" s="2223" t="str" cm="1">
        <f t="array" ref="AE722">IF($D722&lt;COLUMNS($F$7:AE$7),"",INDEX(TableDiv[[GASB]:[GASB]],_xlfn.AGGREGATE(15,3,(TableDiv[[Agency]:[Agency]]=$E722)/(TableDiv[[Agency]:[Agency]]=$E722)*(ROW(TableDiv[Agency])-ROW(TableDiv[[#Headers],[Agency]])),COLUMNS($F$7:AE$7))))</f>
        <v/>
      </c>
      <c r="AF722" s="2223" t="str" cm="1">
        <f t="array" ref="AF722">IF($D722&lt;COLUMNS($F$7:AF$7),"",INDEX(TableDiv[[GASB]:[GASB]],_xlfn.AGGREGATE(15,3,(TableDiv[[Agency]:[Agency]]=$E722)/(TableDiv[[Agency]:[Agency]]=$E722)*(ROW(TableDiv[Agency])-ROW(TableDiv[[#Headers],[Agency]])),COLUMNS($F$7:AF$7))))</f>
        <v/>
      </c>
      <c r="AG722" s="2223" t="str" cm="1">
        <f t="array" ref="AG722">IF($D722&lt;COLUMNS($F$7:AG$7),"",INDEX(TableDiv[[GASB]:[GASB]],_xlfn.AGGREGATE(15,3,(TableDiv[[Agency]:[Agency]]=$E722)/(TableDiv[[Agency]:[Agency]]=$E722)*(ROW(TableDiv[Agency])-ROW(TableDiv[[#Headers],[Agency]])),COLUMNS($F$7:AG$7))))</f>
        <v/>
      </c>
      <c r="AH722" s="2223" t="str" cm="1">
        <f t="array" ref="AH722">IF($D722&lt;COLUMNS($F$7:AH$7),"",INDEX(TableDiv[[GASB]:[GASB]],_xlfn.AGGREGATE(15,3,(TableDiv[[Agency]:[Agency]]=$E722)/(TableDiv[[Agency]:[Agency]]=$E722)*(ROW(TableDiv[Agency])-ROW(TableDiv[[#Headers],[Agency]])),COLUMNS($F$7:AH$7))))</f>
        <v/>
      </c>
      <c r="AI722" s="2223" t="str" cm="1">
        <f t="array" ref="AI722">IF($D722&lt;COLUMNS($F$7:AI$7),"",INDEX(TableDiv[[GASB]:[GASB]],_xlfn.AGGREGATE(15,3,(TableDiv[[Agency]:[Agency]]=$E722)/(TableDiv[[Agency]:[Agency]]=$E722)*(ROW(TableDiv[Agency])-ROW(TableDiv[[#Headers],[Agency]])),COLUMNS($F$7:AI$7))))</f>
        <v/>
      </c>
      <c r="AJ722" s="2223" t="str" cm="1">
        <f t="array" ref="AJ722">IF($D722&lt;COLUMNS($F$7:AJ$7),"",INDEX(TableDiv[[GASB]:[GASB]],_xlfn.AGGREGATE(15,3,(TableDiv[[Agency]:[Agency]]=$E722)/(TableDiv[[Agency]:[Agency]]=$E722)*(ROW(TableDiv[Agency])-ROW(TableDiv[[#Headers],[Agency]])),COLUMNS($F$7:AJ$7))))</f>
        <v/>
      </c>
      <c r="AK722" s="2223" t="str" cm="1">
        <f t="array" ref="AK722">IF($D722&lt;COLUMNS($F$7:AK$7),"",INDEX(TableDiv[[GASB]:[GASB]],_xlfn.AGGREGATE(15,3,(TableDiv[[Agency]:[Agency]]=$E722)/(TableDiv[[Agency]:[Agency]]=$E722)*(ROW(TableDiv[Agency])-ROW(TableDiv[[#Headers],[Agency]])),COLUMNS($F$7:AK$7))))</f>
        <v/>
      </c>
      <c r="AL722" s="2223" t="str" cm="1">
        <f t="array" ref="AL722">IF($D722&lt;COLUMNS($F$7:AL$7),"",INDEX(TableDiv[[GASB]:[GASB]],_xlfn.AGGREGATE(15,3,(TableDiv[[Agency]:[Agency]]=$E722)/(TableDiv[[Agency]:[Agency]]=$E722)*(ROW(TableDiv[Agency])-ROW(TableDiv[[#Headers],[Agency]])),COLUMNS($F$7:AL$7))))</f>
        <v/>
      </c>
      <c r="AM722" s="2223" t="str" cm="1">
        <f t="array" ref="AM722">IF($D722&lt;COLUMNS($F$7:AM$7),"",INDEX(TableDiv[[GASB]:[GASB]],_xlfn.AGGREGATE(15,3,(TableDiv[[Agency]:[Agency]]=$E722)/(TableDiv[[Agency]:[Agency]]=$E722)*(ROW(TableDiv[Agency])-ROW(TableDiv[[#Headers],[Agency]])),COLUMNS($F$7:AM$7))))</f>
        <v/>
      </c>
      <c r="AN722" s="2223"/>
      <c r="AO722" s="2223"/>
      <c r="AP722" s="2223"/>
      <c r="AQ722" s="2223"/>
      <c r="AR722" s="2223"/>
      <c r="AS722" s="2223"/>
    </row>
    <row r="723" spans="1:45" x14ac:dyDescent="0.2">
      <c r="A723" s="2223"/>
      <c r="B723" s="2223"/>
      <c r="C723" s="2223"/>
      <c r="W723" s="2223" t="str" cm="1">
        <f t="array" ref="W723">IF($D723&lt;COLUMNS($F$7:W$7),"",INDEX(TableDiv[[GASB]:[GASB]],_xlfn.AGGREGATE(15,3,(TableDiv[[Agency]:[Agency]]=$E723)/(TableDiv[[Agency]:[Agency]]=$E723)*(ROW(TableDiv[Agency])-ROW(TableDiv[[#Headers],[Agency]])),COLUMNS($F$7:W$7))))</f>
        <v/>
      </c>
      <c r="X723" s="2223" t="str" cm="1">
        <f t="array" ref="X723">IF($D723&lt;COLUMNS($F$7:X$7),"",INDEX(TableDiv[[GASB]:[GASB]],_xlfn.AGGREGATE(15,3,(TableDiv[[Agency]:[Agency]]=$E723)/(TableDiv[[Agency]:[Agency]]=$E723)*(ROW(TableDiv[Agency])-ROW(TableDiv[[#Headers],[Agency]])),COLUMNS($F$7:X$7))))</f>
        <v/>
      </c>
      <c r="Y723" s="2223" t="str" cm="1">
        <f t="array" ref="Y723">IF($D723&lt;COLUMNS($F$7:Y$7),"",INDEX(TableDiv[[GASB]:[GASB]],_xlfn.AGGREGATE(15,3,(TableDiv[[Agency]:[Agency]]=$E723)/(TableDiv[[Agency]:[Agency]]=$E723)*(ROW(TableDiv[Agency])-ROW(TableDiv[[#Headers],[Agency]])),COLUMNS($F$7:Y$7))))</f>
        <v/>
      </c>
      <c r="Z723" s="2223" t="str" cm="1">
        <f t="array" ref="Z723">IF($D723&lt;COLUMNS($F$7:Z$7),"",INDEX(TableDiv[[GASB]:[GASB]],_xlfn.AGGREGATE(15,3,(TableDiv[[Agency]:[Agency]]=$E723)/(TableDiv[[Agency]:[Agency]]=$E723)*(ROW(TableDiv[Agency])-ROW(TableDiv[[#Headers],[Agency]])),COLUMNS($F$7:Z$7))))</f>
        <v/>
      </c>
      <c r="AA723" s="2223" t="str" cm="1">
        <f t="array" ref="AA723">IF($D723&lt;COLUMNS($F$7:AA$7),"",INDEX(TableDiv[[GASB]:[GASB]],_xlfn.AGGREGATE(15,3,(TableDiv[[Agency]:[Agency]]=$E723)/(TableDiv[[Agency]:[Agency]]=$E723)*(ROW(TableDiv[Agency])-ROW(TableDiv[[#Headers],[Agency]])),COLUMNS($F$7:AA$7))))</f>
        <v/>
      </c>
      <c r="AB723" s="2223" t="str" cm="1">
        <f t="array" ref="AB723">IF($D723&lt;COLUMNS($F$7:AB$7),"",INDEX(TableDiv[[GASB]:[GASB]],_xlfn.AGGREGATE(15,3,(TableDiv[[Agency]:[Agency]]=$E723)/(TableDiv[[Agency]:[Agency]]=$E723)*(ROW(TableDiv[Agency])-ROW(TableDiv[[#Headers],[Agency]])),COLUMNS($F$7:AB$7))))</f>
        <v/>
      </c>
      <c r="AC723" s="2223" t="str" cm="1">
        <f t="array" ref="AC723">IF($D723&lt;COLUMNS($F$7:AC$7),"",INDEX(TableDiv[[GASB]:[GASB]],_xlfn.AGGREGATE(15,3,(TableDiv[[Agency]:[Agency]]=$E723)/(TableDiv[[Agency]:[Agency]]=$E723)*(ROW(TableDiv[Agency])-ROW(TableDiv[[#Headers],[Agency]])),COLUMNS($F$7:AC$7))))</f>
        <v/>
      </c>
      <c r="AD723" s="2223" t="str" cm="1">
        <f t="array" ref="AD723">IF($D723&lt;COLUMNS($F$7:AD$7),"",INDEX(TableDiv[[GASB]:[GASB]],_xlfn.AGGREGATE(15,3,(TableDiv[[Agency]:[Agency]]=$E723)/(TableDiv[[Agency]:[Agency]]=$E723)*(ROW(TableDiv[Agency])-ROW(TableDiv[[#Headers],[Agency]])),COLUMNS($F$7:AD$7))))</f>
        <v/>
      </c>
      <c r="AE723" s="2223" t="str" cm="1">
        <f t="array" ref="AE723">IF($D723&lt;COLUMNS($F$7:AE$7),"",INDEX(TableDiv[[GASB]:[GASB]],_xlfn.AGGREGATE(15,3,(TableDiv[[Agency]:[Agency]]=$E723)/(TableDiv[[Agency]:[Agency]]=$E723)*(ROW(TableDiv[Agency])-ROW(TableDiv[[#Headers],[Agency]])),COLUMNS($F$7:AE$7))))</f>
        <v/>
      </c>
      <c r="AF723" s="2223" t="str" cm="1">
        <f t="array" ref="AF723">IF($D723&lt;COLUMNS($F$7:AF$7),"",INDEX(TableDiv[[GASB]:[GASB]],_xlfn.AGGREGATE(15,3,(TableDiv[[Agency]:[Agency]]=$E723)/(TableDiv[[Agency]:[Agency]]=$E723)*(ROW(TableDiv[Agency])-ROW(TableDiv[[#Headers],[Agency]])),COLUMNS($F$7:AF$7))))</f>
        <v/>
      </c>
      <c r="AG723" s="2223" t="str" cm="1">
        <f t="array" ref="AG723">IF($D723&lt;COLUMNS($F$7:AG$7),"",INDEX(TableDiv[[GASB]:[GASB]],_xlfn.AGGREGATE(15,3,(TableDiv[[Agency]:[Agency]]=$E723)/(TableDiv[[Agency]:[Agency]]=$E723)*(ROW(TableDiv[Agency])-ROW(TableDiv[[#Headers],[Agency]])),COLUMNS($F$7:AG$7))))</f>
        <v/>
      </c>
      <c r="AH723" s="2223" t="str" cm="1">
        <f t="array" ref="AH723">IF($D723&lt;COLUMNS($F$7:AH$7),"",INDEX(TableDiv[[GASB]:[GASB]],_xlfn.AGGREGATE(15,3,(TableDiv[[Agency]:[Agency]]=$E723)/(TableDiv[[Agency]:[Agency]]=$E723)*(ROW(TableDiv[Agency])-ROW(TableDiv[[#Headers],[Agency]])),COLUMNS($F$7:AH$7))))</f>
        <v/>
      </c>
      <c r="AI723" s="2223" t="str" cm="1">
        <f t="array" ref="AI723">IF($D723&lt;COLUMNS($F$7:AI$7),"",INDEX(TableDiv[[GASB]:[GASB]],_xlfn.AGGREGATE(15,3,(TableDiv[[Agency]:[Agency]]=$E723)/(TableDiv[[Agency]:[Agency]]=$E723)*(ROW(TableDiv[Agency])-ROW(TableDiv[[#Headers],[Agency]])),COLUMNS($F$7:AI$7))))</f>
        <v/>
      </c>
      <c r="AJ723" s="2223" t="str" cm="1">
        <f t="array" ref="AJ723">IF($D723&lt;COLUMNS($F$7:AJ$7),"",INDEX(TableDiv[[GASB]:[GASB]],_xlfn.AGGREGATE(15,3,(TableDiv[[Agency]:[Agency]]=$E723)/(TableDiv[[Agency]:[Agency]]=$E723)*(ROW(TableDiv[Agency])-ROW(TableDiv[[#Headers],[Agency]])),COLUMNS($F$7:AJ$7))))</f>
        <v/>
      </c>
      <c r="AK723" s="2223" t="str" cm="1">
        <f t="array" ref="AK723">IF($D723&lt;COLUMNS($F$7:AK$7),"",INDEX(TableDiv[[GASB]:[GASB]],_xlfn.AGGREGATE(15,3,(TableDiv[[Agency]:[Agency]]=$E723)/(TableDiv[[Agency]:[Agency]]=$E723)*(ROW(TableDiv[Agency])-ROW(TableDiv[[#Headers],[Agency]])),COLUMNS($F$7:AK$7))))</f>
        <v/>
      </c>
      <c r="AL723" s="2223" t="str" cm="1">
        <f t="array" ref="AL723">IF($D723&lt;COLUMNS($F$7:AL$7),"",INDEX(TableDiv[[GASB]:[GASB]],_xlfn.AGGREGATE(15,3,(TableDiv[[Agency]:[Agency]]=$E723)/(TableDiv[[Agency]:[Agency]]=$E723)*(ROW(TableDiv[Agency])-ROW(TableDiv[[#Headers],[Agency]])),COLUMNS($F$7:AL$7))))</f>
        <v/>
      </c>
      <c r="AM723" s="2223" t="str" cm="1">
        <f t="array" ref="AM723">IF($D723&lt;COLUMNS($F$7:AM$7),"",INDEX(TableDiv[[GASB]:[GASB]],_xlfn.AGGREGATE(15,3,(TableDiv[[Agency]:[Agency]]=$E723)/(TableDiv[[Agency]:[Agency]]=$E723)*(ROW(TableDiv[Agency])-ROW(TableDiv[[#Headers],[Agency]])),COLUMNS($F$7:AM$7))))</f>
        <v/>
      </c>
      <c r="AN723" s="2223"/>
      <c r="AO723" s="2223"/>
      <c r="AP723" s="2223"/>
      <c r="AQ723" s="2223"/>
      <c r="AR723" s="2223"/>
      <c r="AS723" s="2223"/>
    </row>
    <row r="724" spans="1:45" x14ac:dyDescent="0.2">
      <c r="A724" s="2223"/>
      <c r="B724" s="2223"/>
      <c r="C724" s="2223"/>
      <c r="W724" s="2223" t="str" cm="1">
        <f t="array" ref="W724">IF($D724&lt;COLUMNS($F$7:W$7),"",INDEX(TableDiv[[GASB]:[GASB]],_xlfn.AGGREGATE(15,3,(TableDiv[[Agency]:[Agency]]=$E724)/(TableDiv[[Agency]:[Agency]]=$E724)*(ROW(TableDiv[Agency])-ROW(TableDiv[[#Headers],[Agency]])),COLUMNS($F$7:W$7))))</f>
        <v/>
      </c>
      <c r="X724" s="2223" t="str" cm="1">
        <f t="array" ref="X724">IF($D724&lt;COLUMNS($F$7:X$7),"",INDEX(TableDiv[[GASB]:[GASB]],_xlfn.AGGREGATE(15,3,(TableDiv[[Agency]:[Agency]]=$E724)/(TableDiv[[Agency]:[Agency]]=$E724)*(ROW(TableDiv[Agency])-ROW(TableDiv[[#Headers],[Agency]])),COLUMNS($F$7:X$7))))</f>
        <v/>
      </c>
      <c r="Y724" s="2223" t="str" cm="1">
        <f t="array" ref="Y724">IF($D724&lt;COLUMNS($F$7:Y$7),"",INDEX(TableDiv[[GASB]:[GASB]],_xlfn.AGGREGATE(15,3,(TableDiv[[Agency]:[Agency]]=$E724)/(TableDiv[[Agency]:[Agency]]=$E724)*(ROW(TableDiv[Agency])-ROW(TableDiv[[#Headers],[Agency]])),COLUMNS($F$7:Y$7))))</f>
        <v/>
      </c>
      <c r="Z724" s="2223" t="str" cm="1">
        <f t="array" ref="Z724">IF($D724&lt;COLUMNS($F$7:Z$7),"",INDEX(TableDiv[[GASB]:[GASB]],_xlfn.AGGREGATE(15,3,(TableDiv[[Agency]:[Agency]]=$E724)/(TableDiv[[Agency]:[Agency]]=$E724)*(ROW(TableDiv[Agency])-ROW(TableDiv[[#Headers],[Agency]])),COLUMNS($F$7:Z$7))))</f>
        <v/>
      </c>
      <c r="AA724" s="2223" t="str" cm="1">
        <f t="array" ref="AA724">IF($D724&lt;COLUMNS($F$7:AA$7),"",INDEX(TableDiv[[GASB]:[GASB]],_xlfn.AGGREGATE(15,3,(TableDiv[[Agency]:[Agency]]=$E724)/(TableDiv[[Agency]:[Agency]]=$E724)*(ROW(TableDiv[Agency])-ROW(TableDiv[[#Headers],[Agency]])),COLUMNS($F$7:AA$7))))</f>
        <v/>
      </c>
      <c r="AB724" s="2223" t="str" cm="1">
        <f t="array" ref="AB724">IF($D724&lt;COLUMNS($F$7:AB$7),"",INDEX(TableDiv[[GASB]:[GASB]],_xlfn.AGGREGATE(15,3,(TableDiv[[Agency]:[Agency]]=$E724)/(TableDiv[[Agency]:[Agency]]=$E724)*(ROW(TableDiv[Agency])-ROW(TableDiv[[#Headers],[Agency]])),COLUMNS($F$7:AB$7))))</f>
        <v/>
      </c>
      <c r="AC724" s="2223" t="str" cm="1">
        <f t="array" ref="AC724">IF($D724&lt;COLUMNS($F$7:AC$7),"",INDEX(TableDiv[[GASB]:[GASB]],_xlfn.AGGREGATE(15,3,(TableDiv[[Agency]:[Agency]]=$E724)/(TableDiv[[Agency]:[Agency]]=$E724)*(ROW(TableDiv[Agency])-ROW(TableDiv[[#Headers],[Agency]])),COLUMNS($F$7:AC$7))))</f>
        <v/>
      </c>
      <c r="AD724" s="2223" t="str" cm="1">
        <f t="array" ref="AD724">IF($D724&lt;COLUMNS($F$7:AD$7),"",INDEX(TableDiv[[GASB]:[GASB]],_xlfn.AGGREGATE(15,3,(TableDiv[[Agency]:[Agency]]=$E724)/(TableDiv[[Agency]:[Agency]]=$E724)*(ROW(TableDiv[Agency])-ROW(TableDiv[[#Headers],[Agency]])),COLUMNS($F$7:AD$7))))</f>
        <v/>
      </c>
      <c r="AE724" s="2223" t="str" cm="1">
        <f t="array" ref="AE724">IF($D724&lt;COLUMNS($F$7:AE$7),"",INDEX(TableDiv[[GASB]:[GASB]],_xlfn.AGGREGATE(15,3,(TableDiv[[Agency]:[Agency]]=$E724)/(TableDiv[[Agency]:[Agency]]=$E724)*(ROW(TableDiv[Agency])-ROW(TableDiv[[#Headers],[Agency]])),COLUMNS($F$7:AE$7))))</f>
        <v/>
      </c>
      <c r="AF724" s="2223" t="str" cm="1">
        <f t="array" ref="AF724">IF($D724&lt;COLUMNS($F$7:AF$7),"",INDEX(TableDiv[[GASB]:[GASB]],_xlfn.AGGREGATE(15,3,(TableDiv[[Agency]:[Agency]]=$E724)/(TableDiv[[Agency]:[Agency]]=$E724)*(ROW(TableDiv[Agency])-ROW(TableDiv[[#Headers],[Agency]])),COLUMNS($F$7:AF$7))))</f>
        <v/>
      </c>
      <c r="AG724" s="2223" t="str" cm="1">
        <f t="array" ref="AG724">IF($D724&lt;COLUMNS($F$7:AG$7),"",INDEX(TableDiv[[GASB]:[GASB]],_xlfn.AGGREGATE(15,3,(TableDiv[[Agency]:[Agency]]=$E724)/(TableDiv[[Agency]:[Agency]]=$E724)*(ROW(TableDiv[Agency])-ROW(TableDiv[[#Headers],[Agency]])),COLUMNS($F$7:AG$7))))</f>
        <v/>
      </c>
      <c r="AH724" s="2223" t="str" cm="1">
        <f t="array" ref="AH724">IF($D724&lt;COLUMNS($F$7:AH$7),"",INDEX(TableDiv[[GASB]:[GASB]],_xlfn.AGGREGATE(15,3,(TableDiv[[Agency]:[Agency]]=$E724)/(TableDiv[[Agency]:[Agency]]=$E724)*(ROW(TableDiv[Agency])-ROW(TableDiv[[#Headers],[Agency]])),COLUMNS($F$7:AH$7))))</f>
        <v/>
      </c>
      <c r="AI724" s="2223" t="str" cm="1">
        <f t="array" ref="AI724">IF($D724&lt;COLUMNS($F$7:AI$7),"",INDEX(TableDiv[[GASB]:[GASB]],_xlfn.AGGREGATE(15,3,(TableDiv[[Agency]:[Agency]]=$E724)/(TableDiv[[Agency]:[Agency]]=$E724)*(ROW(TableDiv[Agency])-ROW(TableDiv[[#Headers],[Agency]])),COLUMNS($F$7:AI$7))))</f>
        <v/>
      </c>
      <c r="AJ724" s="2223" t="str" cm="1">
        <f t="array" ref="AJ724">IF($D724&lt;COLUMNS($F$7:AJ$7),"",INDEX(TableDiv[[GASB]:[GASB]],_xlfn.AGGREGATE(15,3,(TableDiv[[Agency]:[Agency]]=$E724)/(TableDiv[[Agency]:[Agency]]=$E724)*(ROW(TableDiv[Agency])-ROW(TableDiv[[#Headers],[Agency]])),COLUMNS($F$7:AJ$7))))</f>
        <v/>
      </c>
      <c r="AK724" s="2223" t="str" cm="1">
        <f t="array" ref="AK724">IF($D724&lt;COLUMNS($F$7:AK$7),"",INDEX(TableDiv[[GASB]:[GASB]],_xlfn.AGGREGATE(15,3,(TableDiv[[Agency]:[Agency]]=$E724)/(TableDiv[[Agency]:[Agency]]=$E724)*(ROW(TableDiv[Agency])-ROW(TableDiv[[#Headers],[Agency]])),COLUMNS($F$7:AK$7))))</f>
        <v/>
      </c>
      <c r="AL724" s="2223" t="str" cm="1">
        <f t="array" ref="AL724">IF($D724&lt;COLUMNS($F$7:AL$7),"",INDEX(TableDiv[[GASB]:[GASB]],_xlfn.AGGREGATE(15,3,(TableDiv[[Agency]:[Agency]]=$E724)/(TableDiv[[Agency]:[Agency]]=$E724)*(ROW(TableDiv[Agency])-ROW(TableDiv[[#Headers],[Agency]])),COLUMNS($F$7:AL$7))))</f>
        <v/>
      </c>
      <c r="AM724" s="2223" t="str" cm="1">
        <f t="array" ref="AM724">IF($D724&lt;COLUMNS($F$7:AM$7),"",INDEX(TableDiv[[GASB]:[GASB]],_xlfn.AGGREGATE(15,3,(TableDiv[[Agency]:[Agency]]=$E724)/(TableDiv[[Agency]:[Agency]]=$E724)*(ROW(TableDiv[Agency])-ROW(TableDiv[[#Headers],[Agency]])),COLUMNS($F$7:AM$7))))</f>
        <v/>
      </c>
      <c r="AN724" s="2223"/>
      <c r="AO724" s="2223"/>
      <c r="AP724" s="2223"/>
      <c r="AQ724" s="2223"/>
      <c r="AR724" s="2223"/>
      <c r="AS724" s="2223"/>
    </row>
    <row r="725" spans="1:45" x14ac:dyDescent="0.2">
      <c r="A725" s="2223"/>
      <c r="B725" s="2223"/>
      <c r="C725" s="2223"/>
      <c r="W725" s="2223" t="str" cm="1">
        <f t="array" ref="W725">IF($D725&lt;COLUMNS($F$7:W$7),"",INDEX(TableDiv[[GASB]:[GASB]],_xlfn.AGGREGATE(15,3,(TableDiv[[Agency]:[Agency]]=$E725)/(TableDiv[[Agency]:[Agency]]=$E725)*(ROW(TableDiv[Agency])-ROW(TableDiv[[#Headers],[Agency]])),COLUMNS($F$7:W$7))))</f>
        <v/>
      </c>
      <c r="X725" s="2223" t="str" cm="1">
        <f t="array" ref="X725">IF($D725&lt;COLUMNS($F$7:X$7),"",INDEX(TableDiv[[GASB]:[GASB]],_xlfn.AGGREGATE(15,3,(TableDiv[[Agency]:[Agency]]=$E725)/(TableDiv[[Agency]:[Agency]]=$E725)*(ROW(TableDiv[Agency])-ROW(TableDiv[[#Headers],[Agency]])),COLUMNS($F$7:X$7))))</f>
        <v/>
      </c>
      <c r="Y725" s="2223" t="str" cm="1">
        <f t="array" ref="Y725">IF($D725&lt;COLUMNS($F$7:Y$7),"",INDEX(TableDiv[[GASB]:[GASB]],_xlfn.AGGREGATE(15,3,(TableDiv[[Agency]:[Agency]]=$E725)/(TableDiv[[Agency]:[Agency]]=$E725)*(ROW(TableDiv[Agency])-ROW(TableDiv[[#Headers],[Agency]])),COLUMNS($F$7:Y$7))))</f>
        <v/>
      </c>
      <c r="Z725" s="2223" t="str" cm="1">
        <f t="array" ref="Z725">IF($D725&lt;COLUMNS($F$7:Z$7),"",INDEX(TableDiv[[GASB]:[GASB]],_xlfn.AGGREGATE(15,3,(TableDiv[[Agency]:[Agency]]=$E725)/(TableDiv[[Agency]:[Agency]]=$E725)*(ROW(TableDiv[Agency])-ROW(TableDiv[[#Headers],[Agency]])),COLUMNS($F$7:Z$7))))</f>
        <v/>
      </c>
      <c r="AA725" s="2223" t="str" cm="1">
        <f t="array" ref="AA725">IF($D725&lt;COLUMNS($F$7:AA$7),"",INDEX(TableDiv[[GASB]:[GASB]],_xlfn.AGGREGATE(15,3,(TableDiv[[Agency]:[Agency]]=$E725)/(TableDiv[[Agency]:[Agency]]=$E725)*(ROW(TableDiv[Agency])-ROW(TableDiv[[#Headers],[Agency]])),COLUMNS($F$7:AA$7))))</f>
        <v/>
      </c>
      <c r="AB725" s="2223" t="str" cm="1">
        <f t="array" ref="AB725">IF($D725&lt;COLUMNS($F$7:AB$7),"",INDEX(TableDiv[[GASB]:[GASB]],_xlfn.AGGREGATE(15,3,(TableDiv[[Agency]:[Agency]]=$E725)/(TableDiv[[Agency]:[Agency]]=$E725)*(ROW(TableDiv[Agency])-ROW(TableDiv[[#Headers],[Agency]])),COLUMNS($F$7:AB$7))))</f>
        <v/>
      </c>
      <c r="AC725" s="2223" t="str" cm="1">
        <f t="array" ref="AC725">IF($D725&lt;COLUMNS($F$7:AC$7),"",INDEX(TableDiv[[GASB]:[GASB]],_xlfn.AGGREGATE(15,3,(TableDiv[[Agency]:[Agency]]=$E725)/(TableDiv[[Agency]:[Agency]]=$E725)*(ROW(TableDiv[Agency])-ROW(TableDiv[[#Headers],[Agency]])),COLUMNS($F$7:AC$7))))</f>
        <v/>
      </c>
      <c r="AD725" s="2223" t="str" cm="1">
        <f t="array" ref="AD725">IF($D725&lt;COLUMNS($F$7:AD$7),"",INDEX(TableDiv[[GASB]:[GASB]],_xlfn.AGGREGATE(15,3,(TableDiv[[Agency]:[Agency]]=$E725)/(TableDiv[[Agency]:[Agency]]=$E725)*(ROW(TableDiv[Agency])-ROW(TableDiv[[#Headers],[Agency]])),COLUMNS($F$7:AD$7))))</f>
        <v/>
      </c>
      <c r="AE725" s="2223" t="str" cm="1">
        <f t="array" ref="AE725">IF($D725&lt;COLUMNS($F$7:AE$7),"",INDEX(TableDiv[[GASB]:[GASB]],_xlfn.AGGREGATE(15,3,(TableDiv[[Agency]:[Agency]]=$E725)/(TableDiv[[Agency]:[Agency]]=$E725)*(ROW(TableDiv[Agency])-ROW(TableDiv[[#Headers],[Agency]])),COLUMNS($F$7:AE$7))))</f>
        <v/>
      </c>
      <c r="AF725" s="2223" t="str" cm="1">
        <f t="array" ref="AF725">IF($D725&lt;COLUMNS($F$7:AF$7),"",INDEX(TableDiv[[GASB]:[GASB]],_xlfn.AGGREGATE(15,3,(TableDiv[[Agency]:[Agency]]=$E725)/(TableDiv[[Agency]:[Agency]]=$E725)*(ROW(TableDiv[Agency])-ROW(TableDiv[[#Headers],[Agency]])),COLUMNS($F$7:AF$7))))</f>
        <v/>
      </c>
      <c r="AG725" s="2223" t="str" cm="1">
        <f t="array" ref="AG725">IF($D725&lt;COLUMNS($F$7:AG$7),"",INDEX(TableDiv[[GASB]:[GASB]],_xlfn.AGGREGATE(15,3,(TableDiv[[Agency]:[Agency]]=$E725)/(TableDiv[[Agency]:[Agency]]=$E725)*(ROW(TableDiv[Agency])-ROW(TableDiv[[#Headers],[Agency]])),COLUMNS($F$7:AG$7))))</f>
        <v/>
      </c>
      <c r="AH725" s="2223" t="str" cm="1">
        <f t="array" ref="AH725">IF($D725&lt;COLUMNS($F$7:AH$7),"",INDEX(TableDiv[[GASB]:[GASB]],_xlfn.AGGREGATE(15,3,(TableDiv[[Agency]:[Agency]]=$E725)/(TableDiv[[Agency]:[Agency]]=$E725)*(ROW(TableDiv[Agency])-ROW(TableDiv[[#Headers],[Agency]])),COLUMNS($F$7:AH$7))))</f>
        <v/>
      </c>
      <c r="AI725" s="2223" t="str" cm="1">
        <f t="array" ref="AI725">IF($D725&lt;COLUMNS($F$7:AI$7),"",INDEX(TableDiv[[GASB]:[GASB]],_xlfn.AGGREGATE(15,3,(TableDiv[[Agency]:[Agency]]=$E725)/(TableDiv[[Agency]:[Agency]]=$E725)*(ROW(TableDiv[Agency])-ROW(TableDiv[[#Headers],[Agency]])),COLUMNS($F$7:AI$7))))</f>
        <v/>
      </c>
      <c r="AJ725" s="2223" t="str" cm="1">
        <f t="array" ref="AJ725">IF($D725&lt;COLUMNS($F$7:AJ$7),"",INDEX(TableDiv[[GASB]:[GASB]],_xlfn.AGGREGATE(15,3,(TableDiv[[Agency]:[Agency]]=$E725)/(TableDiv[[Agency]:[Agency]]=$E725)*(ROW(TableDiv[Agency])-ROW(TableDiv[[#Headers],[Agency]])),COLUMNS($F$7:AJ$7))))</f>
        <v/>
      </c>
      <c r="AK725" s="2223" t="str" cm="1">
        <f t="array" ref="AK725">IF($D725&lt;COLUMNS($F$7:AK$7),"",INDEX(TableDiv[[GASB]:[GASB]],_xlfn.AGGREGATE(15,3,(TableDiv[[Agency]:[Agency]]=$E725)/(TableDiv[[Agency]:[Agency]]=$E725)*(ROW(TableDiv[Agency])-ROW(TableDiv[[#Headers],[Agency]])),COLUMNS($F$7:AK$7))))</f>
        <v/>
      </c>
      <c r="AL725" s="2223" t="str" cm="1">
        <f t="array" ref="AL725">IF($D725&lt;COLUMNS($F$7:AL$7),"",INDEX(TableDiv[[GASB]:[GASB]],_xlfn.AGGREGATE(15,3,(TableDiv[[Agency]:[Agency]]=$E725)/(TableDiv[[Agency]:[Agency]]=$E725)*(ROW(TableDiv[Agency])-ROW(TableDiv[[#Headers],[Agency]])),COLUMNS($F$7:AL$7))))</f>
        <v/>
      </c>
      <c r="AM725" s="2223" t="str" cm="1">
        <f t="array" ref="AM725">IF($D725&lt;COLUMNS($F$7:AM$7),"",INDEX(TableDiv[[GASB]:[GASB]],_xlfn.AGGREGATE(15,3,(TableDiv[[Agency]:[Agency]]=$E725)/(TableDiv[[Agency]:[Agency]]=$E725)*(ROW(TableDiv[Agency])-ROW(TableDiv[[#Headers],[Agency]])),COLUMNS($F$7:AM$7))))</f>
        <v/>
      </c>
      <c r="AN725" s="2223"/>
      <c r="AO725" s="2223"/>
      <c r="AP725" s="2223"/>
      <c r="AQ725" s="2223"/>
      <c r="AR725" s="2223"/>
      <c r="AS725" s="2223"/>
    </row>
    <row r="726" spans="1:45" x14ac:dyDescent="0.2">
      <c r="A726" s="2223"/>
      <c r="B726" s="2223"/>
      <c r="C726" s="2223"/>
      <c r="W726" s="2223" t="str" cm="1">
        <f t="array" ref="W726">IF($D726&lt;COLUMNS($F$7:W$7),"",INDEX(TableDiv[[GASB]:[GASB]],_xlfn.AGGREGATE(15,3,(TableDiv[[Agency]:[Agency]]=$E726)/(TableDiv[[Agency]:[Agency]]=$E726)*(ROW(TableDiv[Agency])-ROW(TableDiv[[#Headers],[Agency]])),COLUMNS($F$7:W$7))))</f>
        <v/>
      </c>
      <c r="X726" s="2223" t="str" cm="1">
        <f t="array" ref="X726">IF($D726&lt;COLUMNS($F$7:X$7),"",INDEX(TableDiv[[GASB]:[GASB]],_xlfn.AGGREGATE(15,3,(TableDiv[[Agency]:[Agency]]=$E726)/(TableDiv[[Agency]:[Agency]]=$E726)*(ROW(TableDiv[Agency])-ROW(TableDiv[[#Headers],[Agency]])),COLUMNS($F$7:X$7))))</f>
        <v/>
      </c>
      <c r="Y726" s="2223" t="str" cm="1">
        <f t="array" ref="Y726">IF($D726&lt;COLUMNS($F$7:Y$7),"",INDEX(TableDiv[[GASB]:[GASB]],_xlfn.AGGREGATE(15,3,(TableDiv[[Agency]:[Agency]]=$E726)/(TableDiv[[Agency]:[Agency]]=$E726)*(ROW(TableDiv[Agency])-ROW(TableDiv[[#Headers],[Agency]])),COLUMNS($F$7:Y$7))))</f>
        <v/>
      </c>
      <c r="Z726" s="2223" t="str" cm="1">
        <f t="array" ref="Z726">IF($D726&lt;COLUMNS($F$7:Z$7),"",INDEX(TableDiv[[GASB]:[GASB]],_xlfn.AGGREGATE(15,3,(TableDiv[[Agency]:[Agency]]=$E726)/(TableDiv[[Agency]:[Agency]]=$E726)*(ROW(TableDiv[Agency])-ROW(TableDiv[[#Headers],[Agency]])),COLUMNS($F$7:Z$7))))</f>
        <v/>
      </c>
      <c r="AA726" s="2223" t="str" cm="1">
        <f t="array" ref="AA726">IF($D726&lt;COLUMNS($F$7:AA$7),"",INDEX(TableDiv[[GASB]:[GASB]],_xlfn.AGGREGATE(15,3,(TableDiv[[Agency]:[Agency]]=$E726)/(TableDiv[[Agency]:[Agency]]=$E726)*(ROW(TableDiv[Agency])-ROW(TableDiv[[#Headers],[Agency]])),COLUMNS($F$7:AA$7))))</f>
        <v/>
      </c>
      <c r="AB726" s="2223" t="str" cm="1">
        <f t="array" ref="AB726">IF($D726&lt;COLUMNS($F$7:AB$7),"",INDEX(TableDiv[[GASB]:[GASB]],_xlfn.AGGREGATE(15,3,(TableDiv[[Agency]:[Agency]]=$E726)/(TableDiv[[Agency]:[Agency]]=$E726)*(ROW(TableDiv[Agency])-ROW(TableDiv[[#Headers],[Agency]])),COLUMNS($F$7:AB$7))))</f>
        <v/>
      </c>
      <c r="AC726" s="2223" t="str" cm="1">
        <f t="array" ref="AC726">IF($D726&lt;COLUMNS($F$7:AC$7),"",INDEX(TableDiv[[GASB]:[GASB]],_xlfn.AGGREGATE(15,3,(TableDiv[[Agency]:[Agency]]=$E726)/(TableDiv[[Agency]:[Agency]]=$E726)*(ROW(TableDiv[Agency])-ROW(TableDiv[[#Headers],[Agency]])),COLUMNS($F$7:AC$7))))</f>
        <v/>
      </c>
      <c r="AD726" s="2223" t="str" cm="1">
        <f t="array" ref="AD726">IF($D726&lt;COLUMNS($F$7:AD$7),"",INDEX(TableDiv[[GASB]:[GASB]],_xlfn.AGGREGATE(15,3,(TableDiv[[Agency]:[Agency]]=$E726)/(TableDiv[[Agency]:[Agency]]=$E726)*(ROW(TableDiv[Agency])-ROW(TableDiv[[#Headers],[Agency]])),COLUMNS($F$7:AD$7))))</f>
        <v/>
      </c>
      <c r="AE726" s="2223" t="str" cm="1">
        <f t="array" ref="AE726">IF($D726&lt;COLUMNS($F$7:AE$7),"",INDEX(TableDiv[[GASB]:[GASB]],_xlfn.AGGREGATE(15,3,(TableDiv[[Agency]:[Agency]]=$E726)/(TableDiv[[Agency]:[Agency]]=$E726)*(ROW(TableDiv[Agency])-ROW(TableDiv[[#Headers],[Agency]])),COLUMNS($F$7:AE$7))))</f>
        <v/>
      </c>
      <c r="AF726" s="2223" t="str" cm="1">
        <f t="array" ref="AF726">IF($D726&lt;COLUMNS($F$7:AF$7),"",INDEX(TableDiv[[GASB]:[GASB]],_xlfn.AGGREGATE(15,3,(TableDiv[[Agency]:[Agency]]=$E726)/(TableDiv[[Agency]:[Agency]]=$E726)*(ROW(TableDiv[Agency])-ROW(TableDiv[[#Headers],[Agency]])),COLUMNS($F$7:AF$7))))</f>
        <v/>
      </c>
      <c r="AG726" s="2223" t="str" cm="1">
        <f t="array" ref="AG726">IF($D726&lt;COLUMNS($F$7:AG$7),"",INDEX(TableDiv[[GASB]:[GASB]],_xlfn.AGGREGATE(15,3,(TableDiv[[Agency]:[Agency]]=$E726)/(TableDiv[[Agency]:[Agency]]=$E726)*(ROW(TableDiv[Agency])-ROW(TableDiv[[#Headers],[Agency]])),COLUMNS($F$7:AG$7))))</f>
        <v/>
      </c>
      <c r="AH726" s="2223" t="str" cm="1">
        <f t="array" ref="AH726">IF($D726&lt;COLUMNS($F$7:AH$7),"",INDEX(TableDiv[[GASB]:[GASB]],_xlfn.AGGREGATE(15,3,(TableDiv[[Agency]:[Agency]]=$E726)/(TableDiv[[Agency]:[Agency]]=$E726)*(ROW(TableDiv[Agency])-ROW(TableDiv[[#Headers],[Agency]])),COLUMNS($F$7:AH$7))))</f>
        <v/>
      </c>
      <c r="AI726" s="2223" t="str" cm="1">
        <f t="array" ref="AI726">IF($D726&lt;COLUMNS($F$7:AI$7),"",INDEX(TableDiv[[GASB]:[GASB]],_xlfn.AGGREGATE(15,3,(TableDiv[[Agency]:[Agency]]=$E726)/(TableDiv[[Agency]:[Agency]]=$E726)*(ROW(TableDiv[Agency])-ROW(TableDiv[[#Headers],[Agency]])),COLUMNS($F$7:AI$7))))</f>
        <v/>
      </c>
      <c r="AJ726" s="2223" t="str" cm="1">
        <f t="array" ref="AJ726">IF($D726&lt;COLUMNS($F$7:AJ$7),"",INDEX(TableDiv[[GASB]:[GASB]],_xlfn.AGGREGATE(15,3,(TableDiv[[Agency]:[Agency]]=$E726)/(TableDiv[[Agency]:[Agency]]=$E726)*(ROW(TableDiv[Agency])-ROW(TableDiv[[#Headers],[Agency]])),COLUMNS($F$7:AJ$7))))</f>
        <v/>
      </c>
      <c r="AK726" s="2223" t="str" cm="1">
        <f t="array" ref="AK726">IF($D726&lt;COLUMNS($F$7:AK$7),"",INDEX(TableDiv[[GASB]:[GASB]],_xlfn.AGGREGATE(15,3,(TableDiv[[Agency]:[Agency]]=$E726)/(TableDiv[[Agency]:[Agency]]=$E726)*(ROW(TableDiv[Agency])-ROW(TableDiv[[#Headers],[Agency]])),COLUMNS($F$7:AK$7))))</f>
        <v/>
      </c>
      <c r="AL726" s="2223" t="str" cm="1">
        <f t="array" ref="AL726">IF($D726&lt;COLUMNS($F$7:AL$7),"",INDEX(TableDiv[[GASB]:[GASB]],_xlfn.AGGREGATE(15,3,(TableDiv[[Agency]:[Agency]]=$E726)/(TableDiv[[Agency]:[Agency]]=$E726)*(ROW(TableDiv[Agency])-ROW(TableDiv[[#Headers],[Agency]])),COLUMNS($F$7:AL$7))))</f>
        <v/>
      </c>
      <c r="AM726" s="2223" t="str" cm="1">
        <f t="array" ref="AM726">IF($D726&lt;COLUMNS($F$7:AM$7),"",INDEX(TableDiv[[GASB]:[GASB]],_xlfn.AGGREGATE(15,3,(TableDiv[[Agency]:[Agency]]=$E726)/(TableDiv[[Agency]:[Agency]]=$E726)*(ROW(TableDiv[Agency])-ROW(TableDiv[[#Headers],[Agency]])),COLUMNS($F$7:AM$7))))</f>
        <v/>
      </c>
      <c r="AN726" s="2223"/>
      <c r="AO726" s="2223"/>
      <c r="AP726" s="2223"/>
      <c r="AQ726" s="2223"/>
      <c r="AR726" s="2223"/>
      <c r="AS726" s="2223"/>
    </row>
    <row r="727" spans="1:45" x14ac:dyDescent="0.2">
      <c r="A727" s="2223"/>
      <c r="B727" s="2223"/>
      <c r="C727" s="2223"/>
      <c r="W727" s="2223" t="str" cm="1">
        <f t="array" ref="W727">IF($D727&lt;COLUMNS($F$7:W$7),"",INDEX(TableDiv[[GASB]:[GASB]],_xlfn.AGGREGATE(15,3,(TableDiv[[Agency]:[Agency]]=$E727)/(TableDiv[[Agency]:[Agency]]=$E727)*(ROW(TableDiv[Agency])-ROW(TableDiv[[#Headers],[Agency]])),COLUMNS($F$7:W$7))))</f>
        <v/>
      </c>
      <c r="X727" s="2223" t="str" cm="1">
        <f t="array" ref="X727">IF($D727&lt;COLUMNS($F$7:X$7),"",INDEX(TableDiv[[GASB]:[GASB]],_xlfn.AGGREGATE(15,3,(TableDiv[[Agency]:[Agency]]=$E727)/(TableDiv[[Agency]:[Agency]]=$E727)*(ROW(TableDiv[Agency])-ROW(TableDiv[[#Headers],[Agency]])),COLUMNS($F$7:X$7))))</f>
        <v/>
      </c>
      <c r="Y727" s="2223" t="str" cm="1">
        <f t="array" ref="Y727">IF($D727&lt;COLUMNS($F$7:Y$7),"",INDEX(TableDiv[[GASB]:[GASB]],_xlfn.AGGREGATE(15,3,(TableDiv[[Agency]:[Agency]]=$E727)/(TableDiv[[Agency]:[Agency]]=$E727)*(ROW(TableDiv[Agency])-ROW(TableDiv[[#Headers],[Agency]])),COLUMNS($F$7:Y$7))))</f>
        <v/>
      </c>
      <c r="Z727" s="2223" t="str" cm="1">
        <f t="array" ref="Z727">IF($D727&lt;COLUMNS($F$7:Z$7),"",INDEX(TableDiv[[GASB]:[GASB]],_xlfn.AGGREGATE(15,3,(TableDiv[[Agency]:[Agency]]=$E727)/(TableDiv[[Agency]:[Agency]]=$E727)*(ROW(TableDiv[Agency])-ROW(TableDiv[[#Headers],[Agency]])),COLUMNS($F$7:Z$7))))</f>
        <v/>
      </c>
      <c r="AA727" s="2223" t="str" cm="1">
        <f t="array" ref="AA727">IF($D727&lt;COLUMNS($F$7:AA$7),"",INDEX(TableDiv[[GASB]:[GASB]],_xlfn.AGGREGATE(15,3,(TableDiv[[Agency]:[Agency]]=$E727)/(TableDiv[[Agency]:[Agency]]=$E727)*(ROW(TableDiv[Agency])-ROW(TableDiv[[#Headers],[Agency]])),COLUMNS($F$7:AA$7))))</f>
        <v/>
      </c>
      <c r="AB727" s="2223" t="str" cm="1">
        <f t="array" ref="AB727">IF($D727&lt;COLUMNS($F$7:AB$7),"",INDEX(TableDiv[[GASB]:[GASB]],_xlfn.AGGREGATE(15,3,(TableDiv[[Agency]:[Agency]]=$E727)/(TableDiv[[Agency]:[Agency]]=$E727)*(ROW(TableDiv[Agency])-ROW(TableDiv[[#Headers],[Agency]])),COLUMNS($F$7:AB$7))))</f>
        <v/>
      </c>
      <c r="AC727" s="2223" t="str" cm="1">
        <f t="array" ref="AC727">IF($D727&lt;COLUMNS($F$7:AC$7),"",INDEX(TableDiv[[GASB]:[GASB]],_xlfn.AGGREGATE(15,3,(TableDiv[[Agency]:[Agency]]=$E727)/(TableDiv[[Agency]:[Agency]]=$E727)*(ROW(TableDiv[Agency])-ROW(TableDiv[[#Headers],[Agency]])),COLUMNS($F$7:AC$7))))</f>
        <v/>
      </c>
      <c r="AD727" s="2223" t="str" cm="1">
        <f t="array" ref="AD727">IF($D727&lt;COLUMNS($F$7:AD$7),"",INDEX(TableDiv[[GASB]:[GASB]],_xlfn.AGGREGATE(15,3,(TableDiv[[Agency]:[Agency]]=$E727)/(TableDiv[[Agency]:[Agency]]=$E727)*(ROW(TableDiv[Agency])-ROW(TableDiv[[#Headers],[Agency]])),COLUMNS($F$7:AD$7))))</f>
        <v/>
      </c>
      <c r="AE727" s="2223" t="str" cm="1">
        <f t="array" ref="AE727">IF($D727&lt;COLUMNS($F$7:AE$7),"",INDEX(TableDiv[[GASB]:[GASB]],_xlfn.AGGREGATE(15,3,(TableDiv[[Agency]:[Agency]]=$E727)/(TableDiv[[Agency]:[Agency]]=$E727)*(ROW(TableDiv[Agency])-ROW(TableDiv[[#Headers],[Agency]])),COLUMNS($F$7:AE$7))))</f>
        <v/>
      </c>
      <c r="AF727" s="2223" t="str" cm="1">
        <f t="array" ref="AF727">IF($D727&lt;COLUMNS($F$7:AF$7),"",INDEX(TableDiv[[GASB]:[GASB]],_xlfn.AGGREGATE(15,3,(TableDiv[[Agency]:[Agency]]=$E727)/(TableDiv[[Agency]:[Agency]]=$E727)*(ROW(TableDiv[Agency])-ROW(TableDiv[[#Headers],[Agency]])),COLUMNS($F$7:AF$7))))</f>
        <v/>
      </c>
      <c r="AG727" s="2223" t="str" cm="1">
        <f t="array" ref="AG727">IF($D727&lt;COLUMNS($F$7:AG$7),"",INDEX(TableDiv[[GASB]:[GASB]],_xlfn.AGGREGATE(15,3,(TableDiv[[Agency]:[Agency]]=$E727)/(TableDiv[[Agency]:[Agency]]=$E727)*(ROW(TableDiv[Agency])-ROW(TableDiv[[#Headers],[Agency]])),COLUMNS($F$7:AG$7))))</f>
        <v/>
      </c>
      <c r="AH727" s="2223" t="str" cm="1">
        <f t="array" ref="AH727">IF($D727&lt;COLUMNS($F$7:AH$7),"",INDEX(TableDiv[[GASB]:[GASB]],_xlfn.AGGREGATE(15,3,(TableDiv[[Agency]:[Agency]]=$E727)/(TableDiv[[Agency]:[Agency]]=$E727)*(ROW(TableDiv[Agency])-ROW(TableDiv[[#Headers],[Agency]])),COLUMNS($F$7:AH$7))))</f>
        <v/>
      </c>
      <c r="AI727" s="2223" t="str" cm="1">
        <f t="array" ref="AI727">IF($D727&lt;COLUMNS($F$7:AI$7),"",INDEX(TableDiv[[GASB]:[GASB]],_xlfn.AGGREGATE(15,3,(TableDiv[[Agency]:[Agency]]=$E727)/(TableDiv[[Agency]:[Agency]]=$E727)*(ROW(TableDiv[Agency])-ROW(TableDiv[[#Headers],[Agency]])),COLUMNS($F$7:AI$7))))</f>
        <v/>
      </c>
      <c r="AJ727" s="2223" t="str" cm="1">
        <f t="array" ref="AJ727">IF($D727&lt;COLUMNS($F$7:AJ$7),"",INDEX(TableDiv[[GASB]:[GASB]],_xlfn.AGGREGATE(15,3,(TableDiv[[Agency]:[Agency]]=$E727)/(TableDiv[[Agency]:[Agency]]=$E727)*(ROW(TableDiv[Agency])-ROW(TableDiv[[#Headers],[Agency]])),COLUMNS($F$7:AJ$7))))</f>
        <v/>
      </c>
      <c r="AK727" s="2223" t="str" cm="1">
        <f t="array" ref="AK727">IF($D727&lt;COLUMNS($F$7:AK$7),"",INDEX(TableDiv[[GASB]:[GASB]],_xlfn.AGGREGATE(15,3,(TableDiv[[Agency]:[Agency]]=$E727)/(TableDiv[[Agency]:[Agency]]=$E727)*(ROW(TableDiv[Agency])-ROW(TableDiv[[#Headers],[Agency]])),COLUMNS($F$7:AK$7))))</f>
        <v/>
      </c>
      <c r="AL727" s="2223" t="str" cm="1">
        <f t="array" ref="AL727">IF($D727&lt;COLUMNS($F$7:AL$7),"",INDEX(TableDiv[[GASB]:[GASB]],_xlfn.AGGREGATE(15,3,(TableDiv[[Agency]:[Agency]]=$E727)/(TableDiv[[Agency]:[Agency]]=$E727)*(ROW(TableDiv[Agency])-ROW(TableDiv[[#Headers],[Agency]])),COLUMNS($F$7:AL$7))))</f>
        <v/>
      </c>
      <c r="AM727" s="2223" t="str" cm="1">
        <f t="array" ref="AM727">IF($D727&lt;COLUMNS($F$7:AM$7),"",INDEX(TableDiv[[GASB]:[GASB]],_xlfn.AGGREGATE(15,3,(TableDiv[[Agency]:[Agency]]=$E727)/(TableDiv[[Agency]:[Agency]]=$E727)*(ROW(TableDiv[Agency])-ROW(TableDiv[[#Headers],[Agency]])),COLUMNS($F$7:AM$7))))</f>
        <v/>
      </c>
      <c r="AN727" s="2223"/>
      <c r="AO727" s="2223"/>
      <c r="AP727" s="2223"/>
      <c r="AQ727" s="2223"/>
      <c r="AR727" s="2223"/>
      <c r="AS727" s="2223"/>
    </row>
    <row r="728" spans="1:45" x14ac:dyDescent="0.2">
      <c r="A728" s="2223"/>
      <c r="B728" s="2223"/>
      <c r="C728" s="2223"/>
      <c r="W728" s="2223" t="str" cm="1">
        <f t="array" ref="W728">IF($D728&lt;COLUMNS($F$7:W$7),"",INDEX(TableDiv[[GASB]:[GASB]],_xlfn.AGGREGATE(15,3,(TableDiv[[Agency]:[Agency]]=$E728)/(TableDiv[[Agency]:[Agency]]=$E728)*(ROW(TableDiv[Agency])-ROW(TableDiv[[#Headers],[Agency]])),COLUMNS($F$7:W$7))))</f>
        <v/>
      </c>
      <c r="X728" s="2223" t="str" cm="1">
        <f t="array" ref="X728">IF($D728&lt;COLUMNS($F$7:X$7),"",INDEX(TableDiv[[GASB]:[GASB]],_xlfn.AGGREGATE(15,3,(TableDiv[[Agency]:[Agency]]=$E728)/(TableDiv[[Agency]:[Agency]]=$E728)*(ROW(TableDiv[Agency])-ROW(TableDiv[[#Headers],[Agency]])),COLUMNS($F$7:X$7))))</f>
        <v/>
      </c>
      <c r="Y728" s="2223" t="str" cm="1">
        <f t="array" ref="Y728">IF($D728&lt;COLUMNS($F$7:Y$7),"",INDEX(TableDiv[[GASB]:[GASB]],_xlfn.AGGREGATE(15,3,(TableDiv[[Agency]:[Agency]]=$E728)/(TableDiv[[Agency]:[Agency]]=$E728)*(ROW(TableDiv[Agency])-ROW(TableDiv[[#Headers],[Agency]])),COLUMNS($F$7:Y$7))))</f>
        <v/>
      </c>
      <c r="Z728" s="2223" t="str" cm="1">
        <f t="array" ref="Z728">IF($D728&lt;COLUMNS($F$7:Z$7),"",INDEX(TableDiv[[GASB]:[GASB]],_xlfn.AGGREGATE(15,3,(TableDiv[[Agency]:[Agency]]=$E728)/(TableDiv[[Agency]:[Agency]]=$E728)*(ROW(TableDiv[Agency])-ROW(TableDiv[[#Headers],[Agency]])),COLUMNS($F$7:Z$7))))</f>
        <v/>
      </c>
      <c r="AA728" s="2223" t="str" cm="1">
        <f t="array" ref="AA728">IF($D728&lt;COLUMNS($F$7:AA$7),"",INDEX(TableDiv[[GASB]:[GASB]],_xlfn.AGGREGATE(15,3,(TableDiv[[Agency]:[Agency]]=$E728)/(TableDiv[[Agency]:[Agency]]=$E728)*(ROW(TableDiv[Agency])-ROW(TableDiv[[#Headers],[Agency]])),COLUMNS($F$7:AA$7))))</f>
        <v/>
      </c>
      <c r="AB728" s="2223" t="str" cm="1">
        <f t="array" ref="AB728">IF($D728&lt;COLUMNS($F$7:AB$7),"",INDEX(TableDiv[[GASB]:[GASB]],_xlfn.AGGREGATE(15,3,(TableDiv[[Agency]:[Agency]]=$E728)/(TableDiv[[Agency]:[Agency]]=$E728)*(ROW(TableDiv[Agency])-ROW(TableDiv[[#Headers],[Agency]])),COLUMNS($F$7:AB$7))))</f>
        <v/>
      </c>
      <c r="AC728" s="2223" t="str" cm="1">
        <f t="array" ref="AC728">IF($D728&lt;COLUMNS($F$7:AC$7),"",INDEX(TableDiv[[GASB]:[GASB]],_xlfn.AGGREGATE(15,3,(TableDiv[[Agency]:[Agency]]=$E728)/(TableDiv[[Agency]:[Agency]]=$E728)*(ROW(TableDiv[Agency])-ROW(TableDiv[[#Headers],[Agency]])),COLUMNS($F$7:AC$7))))</f>
        <v/>
      </c>
      <c r="AD728" s="2223" t="str" cm="1">
        <f t="array" ref="AD728">IF($D728&lt;COLUMNS($F$7:AD$7),"",INDEX(TableDiv[[GASB]:[GASB]],_xlfn.AGGREGATE(15,3,(TableDiv[[Agency]:[Agency]]=$E728)/(TableDiv[[Agency]:[Agency]]=$E728)*(ROW(TableDiv[Agency])-ROW(TableDiv[[#Headers],[Agency]])),COLUMNS($F$7:AD$7))))</f>
        <v/>
      </c>
      <c r="AE728" s="2223" t="str" cm="1">
        <f t="array" ref="AE728">IF($D728&lt;COLUMNS($F$7:AE$7),"",INDEX(TableDiv[[GASB]:[GASB]],_xlfn.AGGREGATE(15,3,(TableDiv[[Agency]:[Agency]]=$E728)/(TableDiv[[Agency]:[Agency]]=$E728)*(ROW(TableDiv[Agency])-ROW(TableDiv[[#Headers],[Agency]])),COLUMNS($F$7:AE$7))))</f>
        <v/>
      </c>
      <c r="AF728" s="2223" t="str" cm="1">
        <f t="array" ref="AF728">IF($D728&lt;COLUMNS($F$7:AF$7),"",INDEX(TableDiv[[GASB]:[GASB]],_xlfn.AGGREGATE(15,3,(TableDiv[[Agency]:[Agency]]=$E728)/(TableDiv[[Agency]:[Agency]]=$E728)*(ROW(TableDiv[Agency])-ROW(TableDiv[[#Headers],[Agency]])),COLUMNS($F$7:AF$7))))</f>
        <v/>
      </c>
      <c r="AG728" s="2223" t="str" cm="1">
        <f t="array" ref="AG728">IF($D728&lt;COLUMNS($F$7:AG$7),"",INDEX(TableDiv[[GASB]:[GASB]],_xlfn.AGGREGATE(15,3,(TableDiv[[Agency]:[Agency]]=$E728)/(TableDiv[[Agency]:[Agency]]=$E728)*(ROW(TableDiv[Agency])-ROW(TableDiv[[#Headers],[Agency]])),COLUMNS($F$7:AG$7))))</f>
        <v/>
      </c>
      <c r="AH728" s="2223" t="str" cm="1">
        <f t="array" ref="AH728">IF($D728&lt;COLUMNS($F$7:AH$7),"",INDEX(TableDiv[[GASB]:[GASB]],_xlfn.AGGREGATE(15,3,(TableDiv[[Agency]:[Agency]]=$E728)/(TableDiv[[Agency]:[Agency]]=$E728)*(ROW(TableDiv[Agency])-ROW(TableDiv[[#Headers],[Agency]])),COLUMNS($F$7:AH$7))))</f>
        <v/>
      </c>
      <c r="AI728" s="2223" t="str" cm="1">
        <f t="array" ref="AI728">IF($D728&lt;COLUMNS($F$7:AI$7),"",INDEX(TableDiv[[GASB]:[GASB]],_xlfn.AGGREGATE(15,3,(TableDiv[[Agency]:[Agency]]=$E728)/(TableDiv[[Agency]:[Agency]]=$E728)*(ROW(TableDiv[Agency])-ROW(TableDiv[[#Headers],[Agency]])),COLUMNS($F$7:AI$7))))</f>
        <v/>
      </c>
      <c r="AJ728" s="2223" t="str" cm="1">
        <f t="array" ref="AJ728">IF($D728&lt;COLUMNS($F$7:AJ$7),"",INDEX(TableDiv[[GASB]:[GASB]],_xlfn.AGGREGATE(15,3,(TableDiv[[Agency]:[Agency]]=$E728)/(TableDiv[[Agency]:[Agency]]=$E728)*(ROW(TableDiv[Agency])-ROW(TableDiv[[#Headers],[Agency]])),COLUMNS($F$7:AJ$7))))</f>
        <v/>
      </c>
      <c r="AK728" s="2223" t="str" cm="1">
        <f t="array" ref="AK728">IF($D728&lt;COLUMNS($F$7:AK$7),"",INDEX(TableDiv[[GASB]:[GASB]],_xlfn.AGGREGATE(15,3,(TableDiv[[Agency]:[Agency]]=$E728)/(TableDiv[[Agency]:[Agency]]=$E728)*(ROW(TableDiv[Agency])-ROW(TableDiv[[#Headers],[Agency]])),COLUMNS($F$7:AK$7))))</f>
        <v/>
      </c>
      <c r="AL728" s="2223" t="str" cm="1">
        <f t="array" ref="AL728">IF($D728&lt;COLUMNS($F$7:AL$7),"",INDEX(TableDiv[[GASB]:[GASB]],_xlfn.AGGREGATE(15,3,(TableDiv[[Agency]:[Agency]]=$E728)/(TableDiv[[Agency]:[Agency]]=$E728)*(ROW(TableDiv[Agency])-ROW(TableDiv[[#Headers],[Agency]])),COLUMNS($F$7:AL$7))))</f>
        <v/>
      </c>
      <c r="AM728" s="2223" t="str" cm="1">
        <f t="array" ref="AM728">IF($D728&lt;COLUMNS($F$7:AM$7),"",INDEX(TableDiv[[GASB]:[GASB]],_xlfn.AGGREGATE(15,3,(TableDiv[[Agency]:[Agency]]=$E728)/(TableDiv[[Agency]:[Agency]]=$E728)*(ROW(TableDiv[Agency])-ROW(TableDiv[[#Headers],[Agency]])),COLUMNS($F$7:AM$7))))</f>
        <v/>
      </c>
      <c r="AN728" s="2223"/>
      <c r="AO728" s="2223"/>
      <c r="AP728" s="2223"/>
      <c r="AQ728" s="2223"/>
      <c r="AR728" s="2223"/>
      <c r="AS728" s="2223"/>
    </row>
    <row r="729" spans="1:45" x14ac:dyDescent="0.2">
      <c r="A729" s="2223"/>
      <c r="B729" s="2223"/>
      <c r="C729" s="2223"/>
      <c r="W729" s="2223" t="str" cm="1">
        <f t="array" ref="W729">IF($D729&lt;COLUMNS($F$7:W$7),"",INDEX(TableDiv[[GASB]:[GASB]],_xlfn.AGGREGATE(15,3,(TableDiv[[Agency]:[Agency]]=$E729)/(TableDiv[[Agency]:[Agency]]=$E729)*(ROW(TableDiv[Agency])-ROW(TableDiv[[#Headers],[Agency]])),COLUMNS($F$7:W$7))))</f>
        <v/>
      </c>
      <c r="X729" s="2223" t="str" cm="1">
        <f t="array" ref="X729">IF($D729&lt;COLUMNS($F$7:X$7),"",INDEX(TableDiv[[GASB]:[GASB]],_xlfn.AGGREGATE(15,3,(TableDiv[[Agency]:[Agency]]=$E729)/(TableDiv[[Agency]:[Agency]]=$E729)*(ROW(TableDiv[Agency])-ROW(TableDiv[[#Headers],[Agency]])),COLUMNS($F$7:X$7))))</f>
        <v/>
      </c>
      <c r="Y729" s="2223" t="str" cm="1">
        <f t="array" ref="Y729">IF($D729&lt;COLUMNS($F$7:Y$7),"",INDEX(TableDiv[[GASB]:[GASB]],_xlfn.AGGREGATE(15,3,(TableDiv[[Agency]:[Agency]]=$E729)/(TableDiv[[Agency]:[Agency]]=$E729)*(ROW(TableDiv[Agency])-ROW(TableDiv[[#Headers],[Agency]])),COLUMNS($F$7:Y$7))))</f>
        <v/>
      </c>
      <c r="Z729" s="2223" t="str" cm="1">
        <f t="array" ref="Z729">IF($D729&lt;COLUMNS($F$7:Z$7),"",INDEX(TableDiv[[GASB]:[GASB]],_xlfn.AGGREGATE(15,3,(TableDiv[[Agency]:[Agency]]=$E729)/(TableDiv[[Agency]:[Agency]]=$E729)*(ROW(TableDiv[Agency])-ROW(TableDiv[[#Headers],[Agency]])),COLUMNS($F$7:Z$7))))</f>
        <v/>
      </c>
      <c r="AA729" s="2223" t="str" cm="1">
        <f t="array" ref="AA729">IF($D729&lt;COLUMNS($F$7:AA$7),"",INDEX(TableDiv[[GASB]:[GASB]],_xlfn.AGGREGATE(15,3,(TableDiv[[Agency]:[Agency]]=$E729)/(TableDiv[[Agency]:[Agency]]=$E729)*(ROW(TableDiv[Agency])-ROW(TableDiv[[#Headers],[Agency]])),COLUMNS($F$7:AA$7))))</f>
        <v/>
      </c>
      <c r="AB729" s="2223" t="str" cm="1">
        <f t="array" ref="AB729">IF($D729&lt;COLUMNS($F$7:AB$7),"",INDEX(TableDiv[[GASB]:[GASB]],_xlfn.AGGREGATE(15,3,(TableDiv[[Agency]:[Agency]]=$E729)/(TableDiv[[Agency]:[Agency]]=$E729)*(ROW(TableDiv[Agency])-ROW(TableDiv[[#Headers],[Agency]])),COLUMNS($F$7:AB$7))))</f>
        <v/>
      </c>
      <c r="AC729" s="2223" t="str" cm="1">
        <f t="array" ref="AC729">IF($D729&lt;COLUMNS($F$7:AC$7),"",INDEX(TableDiv[[GASB]:[GASB]],_xlfn.AGGREGATE(15,3,(TableDiv[[Agency]:[Agency]]=$E729)/(TableDiv[[Agency]:[Agency]]=$E729)*(ROW(TableDiv[Agency])-ROW(TableDiv[[#Headers],[Agency]])),COLUMNS($F$7:AC$7))))</f>
        <v/>
      </c>
      <c r="AD729" s="2223" t="str" cm="1">
        <f t="array" ref="AD729">IF($D729&lt;COLUMNS($F$7:AD$7),"",INDEX(TableDiv[[GASB]:[GASB]],_xlfn.AGGREGATE(15,3,(TableDiv[[Agency]:[Agency]]=$E729)/(TableDiv[[Agency]:[Agency]]=$E729)*(ROW(TableDiv[Agency])-ROW(TableDiv[[#Headers],[Agency]])),COLUMNS($F$7:AD$7))))</f>
        <v/>
      </c>
      <c r="AE729" s="2223" t="str" cm="1">
        <f t="array" ref="AE729">IF($D729&lt;COLUMNS($F$7:AE$7),"",INDEX(TableDiv[[GASB]:[GASB]],_xlfn.AGGREGATE(15,3,(TableDiv[[Agency]:[Agency]]=$E729)/(TableDiv[[Agency]:[Agency]]=$E729)*(ROW(TableDiv[Agency])-ROW(TableDiv[[#Headers],[Agency]])),COLUMNS($F$7:AE$7))))</f>
        <v/>
      </c>
      <c r="AF729" s="2223" t="str" cm="1">
        <f t="array" ref="AF729">IF($D729&lt;COLUMNS($F$7:AF$7),"",INDEX(TableDiv[[GASB]:[GASB]],_xlfn.AGGREGATE(15,3,(TableDiv[[Agency]:[Agency]]=$E729)/(TableDiv[[Agency]:[Agency]]=$E729)*(ROW(TableDiv[Agency])-ROW(TableDiv[[#Headers],[Agency]])),COLUMNS($F$7:AF$7))))</f>
        <v/>
      </c>
      <c r="AG729" s="2223" t="str" cm="1">
        <f t="array" ref="AG729">IF($D729&lt;COLUMNS($F$7:AG$7),"",INDEX(TableDiv[[GASB]:[GASB]],_xlfn.AGGREGATE(15,3,(TableDiv[[Agency]:[Agency]]=$E729)/(TableDiv[[Agency]:[Agency]]=$E729)*(ROW(TableDiv[Agency])-ROW(TableDiv[[#Headers],[Agency]])),COLUMNS($F$7:AG$7))))</f>
        <v/>
      </c>
      <c r="AH729" s="2223" t="str" cm="1">
        <f t="array" ref="AH729">IF($D729&lt;COLUMNS($F$7:AH$7),"",INDEX(TableDiv[[GASB]:[GASB]],_xlfn.AGGREGATE(15,3,(TableDiv[[Agency]:[Agency]]=$E729)/(TableDiv[[Agency]:[Agency]]=$E729)*(ROW(TableDiv[Agency])-ROW(TableDiv[[#Headers],[Agency]])),COLUMNS($F$7:AH$7))))</f>
        <v/>
      </c>
      <c r="AI729" s="2223" t="str" cm="1">
        <f t="array" ref="AI729">IF($D729&lt;COLUMNS($F$7:AI$7),"",INDEX(TableDiv[[GASB]:[GASB]],_xlfn.AGGREGATE(15,3,(TableDiv[[Agency]:[Agency]]=$E729)/(TableDiv[[Agency]:[Agency]]=$E729)*(ROW(TableDiv[Agency])-ROW(TableDiv[[#Headers],[Agency]])),COLUMNS($F$7:AI$7))))</f>
        <v/>
      </c>
      <c r="AJ729" s="2223" t="str" cm="1">
        <f t="array" ref="AJ729">IF($D729&lt;COLUMNS($F$7:AJ$7),"",INDEX(TableDiv[[GASB]:[GASB]],_xlfn.AGGREGATE(15,3,(TableDiv[[Agency]:[Agency]]=$E729)/(TableDiv[[Agency]:[Agency]]=$E729)*(ROW(TableDiv[Agency])-ROW(TableDiv[[#Headers],[Agency]])),COLUMNS($F$7:AJ$7))))</f>
        <v/>
      </c>
      <c r="AK729" s="2223" t="str" cm="1">
        <f t="array" ref="AK729">IF($D729&lt;COLUMNS($F$7:AK$7),"",INDEX(TableDiv[[GASB]:[GASB]],_xlfn.AGGREGATE(15,3,(TableDiv[[Agency]:[Agency]]=$E729)/(TableDiv[[Agency]:[Agency]]=$E729)*(ROW(TableDiv[Agency])-ROW(TableDiv[[#Headers],[Agency]])),COLUMNS($F$7:AK$7))))</f>
        <v/>
      </c>
      <c r="AL729" s="2223" t="str" cm="1">
        <f t="array" ref="AL729">IF($D729&lt;COLUMNS($F$7:AL$7),"",INDEX(TableDiv[[GASB]:[GASB]],_xlfn.AGGREGATE(15,3,(TableDiv[[Agency]:[Agency]]=$E729)/(TableDiv[[Agency]:[Agency]]=$E729)*(ROW(TableDiv[Agency])-ROW(TableDiv[[#Headers],[Agency]])),COLUMNS($F$7:AL$7))))</f>
        <v/>
      </c>
      <c r="AM729" s="2223" t="str" cm="1">
        <f t="array" ref="AM729">IF($D729&lt;COLUMNS($F$7:AM$7),"",INDEX(TableDiv[[GASB]:[GASB]],_xlfn.AGGREGATE(15,3,(TableDiv[[Agency]:[Agency]]=$E729)/(TableDiv[[Agency]:[Agency]]=$E729)*(ROW(TableDiv[Agency])-ROW(TableDiv[[#Headers],[Agency]])),COLUMNS($F$7:AM$7))))</f>
        <v/>
      </c>
      <c r="AN729" s="2223"/>
      <c r="AO729" s="2223"/>
      <c r="AP729" s="2223"/>
      <c r="AQ729" s="2223"/>
      <c r="AR729" s="2223"/>
      <c r="AS729" s="2223"/>
    </row>
    <row r="730" spans="1:45" x14ac:dyDescent="0.2">
      <c r="A730" s="2223"/>
      <c r="B730" s="2223"/>
      <c r="C730" s="2223"/>
      <c r="W730" s="2223" t="str" cm="1">
        <f t="array" ref="W730">IF($D730&lt;COLUMNS($F$7:W$7),"",INDEX(TableDiv[[GASB]:[GASB]],_xlfn.AGGREGATE(15,3,(TableDiv[[Agency]:[Agency]]=$E730)/(TableDiv[[Agency]:[Agency]]=$E730)*(ROW(TableDiv[Agency])-ROW(TableDiv[[#Headers],[Agency]])),COLUMNS($F$7:W$7))))</f>
        <v/>
      </c>
      <c r="X730" s="2223" t="str" cm="1">
        <f t="array" ref="X730">IF($D730&lt;COLUMNS($F$7:X$7),"",INDEX(TableDiv[[GASB]:[GASB]],_xlfn.AGGREGATE(15,3,(TableDiv[[Agency]:[Agency]]=$E730)/(TableDiv[[Agency]:[Agency]]=$E730)*(ROW(TableDiv[Agency])-ROW(TableDiv[[#Headers],[Agency]])),COLUMNS($F$7:X$7))))</f>
        <v/>
      </c>
      <c r="Y730" s="2223" t="str" cm="1">
        <f t="array" ref="Y730">IF($D730&lt;COLUMNS($F$7:Y$7),"",INDEX(TableDiv[[GASB]:[GASB]],_xlfn.AGGREGATE(15,3,(TableDiv[[Agency]:[Agency]]=$E730)/(TableDiv[[Agency]:[Agency]]=$E730)*(ROW(TableDiv[Agency])-ROW(TableDiv[[#Headers],[Agency]])),COLUMNS($F$7:Y$7))))</f>
        <v/>
      </c>
      <c r="Z730" s="2223" t="str" cm="1">
        <f t="array" ref="Z730">IF($D730&lt;COLUMNS($F$7:Z$7),"",INDEX(TableDiv[[GASB]:[GASB]],_xlfn.AGGREGATE(15,3,(TableDiv[[Agency]:[Agency]]=$E730)/(TableDiv[[Agency]:[Agency]]=$E730)*(ROW(TableDiv[Agency])-ROW(TableDiv[[#Headers],[Agency]])),COLUMNS($F$7:Z$7))))</f>
        <v/>
      </c>
      <c r="AA730" s="2223" t="str" cm="1">
        <f t="array" ref="AA730">IF($D730&lt;COLUMNS($F$7:AA$7),"",INDEX(TableDiv[[GASB]:[GASB]],_xlfn.AGGREGATE(15,3,(TableDiv[[Agency]:[Agency]]=$E730)/(TableDiv[[Agency]:[Agency]]=$E730)*(ROW(TableDiv[Agency])-ROW(TableDiv[[#Headers],[Agency]])),COLUMNS($F$7:AA$7))))</f>
        <v/>
      </c>
      <c r="AB730" s="2223" t="str" cm="1">
        <f t="array" ref="AB730">IF($D730&lt;COLUMNS($F$7:AB$7),"",INDEX(TableDiv[[GASB]:[GASB]],_xlfn.AGGREGATE(15,3,(TableDiv[[Agency]:[Agency]]=$E730)/(TableDiv[[Agency]:[Agency]]=$E730)*(ROW(TableDiv[Agency])-ROW(TableDiv[[#Headers],[Agency]])),COLUMNS($F$7:AB$7))))</f>
        <v/>
      </c>
      <c r="AC730" s="2223" t="str" cm="1">
        <f t="array" ref="AC730">IF($D730&lt;COLUMNS($F$7:AC$7),"",INDEX(TableDiv[[GASB]:[GASB]],_xlfn.AGGREGATE(15,3,(TableDiv[[Agency]:[Agency]]=$E730)/(TableDiv[[Agency]:[Agency]]=$E730)*(ROW(TableDiv[Agency])-ROW(TableDiv[[#Headers],[Agency]])),COLUMNS($F$7:AC$7))))</f>
        <v/>
      </c>
      <c r="AD730" s="2223" t="str" cm="1">
        <f t="array" ref="AD730">IF($D730&lt;COLUMNS($F$7:AD$7),"",INDEX(TableDiv[[GASB]:[GASB]],_xlfn.AGGREGATE(15,3,(TableDiv[[Agency]:[Agency]]=$E730)/(TableDiv[[Agency]:[Agency]]=$E730)*(ROW(TableDiv[Agency])-ROW(TableDiv[[#Headers],[Agency]])),COLUMNS($F$7:AD$7))))</f>
        <v/>
      </c>
      <c r="AE730" s="2223" t="str" cm="1">
        <f t="array" ref="AE730">IF($D730&lt;COLUMNS($F$7:AE$7),"",INDEX(TableDiv[[GASB]:[GASB]],_xlfn.AGGREGATE(15,3,(TableDiv[[Agency]:[Agency]]=$E730)/(TableDiv[[Agency]:[Agency]]=$E730)*(ROW(TableDiv[Agency])-ROW(TableDiv[[#Headers],[Agency]])),COLUMNS($F$7:AE$7))))</f>
        <v/>
      </c>
      <c r="AF730" s="2223" t="str" cm="1">
        <f t="array" ref="AF730">IF($D730&lt;COLUMNS($F$7:AF$7),"",INDEX(TableDiv[[GASB]:[GASB]],_xlfn.AGGREGATE(15,3,(TableDiv[[Agency]:[Agency]]=$E730)/(TableDiv[[Agency]:[Agency]]=$E730)*(ROW(TableDiv[Agency])-ROW(TableDiv[[#Headers],[Agency]])),COLUMNS($F$7:AF$7))))</f>
        <v/>
      </c>
      <c r="AG730" s="2223" t="str" cm="1">
        <f t="array" ref="AG730">IF($D730&lt;COLUMNS($F$7:AG$7),"",INDEX(TableDiv[[GASB]:[GASB]],_xlfn.AGGREGATE(15,3,(TableDiv[[Agency]:[Agency]]=$E730)/(TableDiv[[Agency]:[Agency]]=$E730)*(ROW(TableDiv[Agency])-ROW(TableDiv[[#Headers],[Agency]])),COLUMNS($F$7:AG$7))))</f>
        <v/>
      </c>
      <c r="AH730" s="2223" t="str" cm="1">
        <f t="array" ref="AH730">IF($D730&lt;COLUMNS($F$7:AH$7),"",INDEX(TableDiv[[GASB]:[GASB]],_xlfn.AGGREGATE(15,3,(TableDiv[[Agency]:[Agency]]=$E730)/(TableDiv[[Agency]:[Agency]]=$E730)*(ROW(TableDiv[Agency])-ROW(TableDiv[[#Headers],[Agency]])),COLUMNS($F$7:AH$7))))</f>
        <v/>
      </c>
      <c r="AI730" s="2223" t="str" cm="1">
        <f t="array" ref="AI730">IF($D730&lt;COLUMNS($F$7:AI$7),"",INDEX(TableDiv[[GASB]:[GASB]],_xlfn.AGGREGATE(15,3,(TableDiv[[Agency]:[Agency]]=$E730)/(TableDiv[[Agency]:[Agency]]=$E730)*(ROW(TableDiv[Agency])-ROW(TableDiv[[#Headers],[Agency]])),COLUMNS($F$7:AI$7))))</f>
        <v/>
      </c>
      <c r="AJ730" s="2223" t="str" cm="1">
        <f t="array" ref="AJ730">IF($D730&lt;COLUMNS($F$7:AJ$7),"",INDEX(TableDiv[[GASB]:[GASB]],_xlfn.AGGREGATE(15,3,(TableDiv[[Agency]:[Agency]]=$E730)/(TableDiv[[Agency]:[Agency]]=$E730)*(ROW(TableDiv[Agency])-ROW(TableDiv[[#Headers],[Agency]])),COLUMNS($F$7:AJ$7))))</f>
        <v/>
      </c>
      <c r="AK730" s="2223" t="str" cm="1">
        <f t="array" ref="AK730">IF($D730&lt;COLUMNS($F$7:AK$7),"",INDEX(TableDiv[[GASB]:[GASB]],_xlfn.AGGREGATE(15,3,(TableDiv[[Agency]:[Agency]]=$E730)/(TableDiv[[Agency]:[Agency]]=$E730)*(ROW(TableDiv[Agency])-ROW(TableDiv[[#Headers],[Agency]])),COLUMNS($F$7:AK$7))))</f>
        <v/>
      </c>
      <c r="AL730" s="2223" t="str" cm="1">
        <f t="array" ref="AL730">IF($D730&lt;COLUMNS($F$7:AL$7),"",INDEX(TableDiv[[GASB]:[GASB]],_xlfn.AGGREGATE(15,3,(TableDiv[[Agency]:[Agency]]=$E730)/(TableDiv[[Agency]:[Agency]]=$E730)*(ROW(TableDiv[Agency])-ROW(TableDiv[[#Headers],[Agency]])),COLUMNS($F$7:AL$7))))</f>
        <v/>
      </c>
      <c r="AM730" s="2223" t="str" cm="1">
        <f t="array" ref="AM730">IF($D730&lt;COLUMNS($F$7:AM$7),"",INDEX(TableDiv[[GASB]:[GASB]],_xlfn.AGGREGATE(15,3,(TableDiv[[Agency]:[Agency]]=$E730)/(TableDiv[[Agency]:[Agency]]=$E730)*(ROW(TableDiv[Agency])-ROW(TableDiv[[#Headers],[Agency]])),COLUMNS($F$7:AM$7))))</f>
        <v/>
      </c>
      <c r="AN730" s="2223"/>
      <c r="AO730" s="2223"/>
      <c r="AP730" s="2223"/>
      <c r="AQ730" s="2223"/>
      <c r="AR730" s="2223"/>
      <c r="AS730" s="2223"/>
    </row>
    <row r="731" spans="1:45" x14ac:dyDescent="0.2">
      <c r="A731" s="2223"/>
      <c r="B731" s="2223"/>
      <c r="C731" s="2223"/>
      <c r="W731" s="2223" t="str" cm="1">
        <f t="array" ref="W731">IF($D731&lt;COLUMNS($F$7:W$7),"",INDEX(TableDiv[[GASB]:[GASB]],_xlfn.AGGREGATE(15,3,(TableDiv[[Agency]:[Agency]]=$E731)/(TableDiv[[Agency]:[Agency]]=$E731)*(ROW(TableDiv[Agency])-ROW(TableDiv[[#Headers],[Agency]])),COLUMNS($F$7:W$7))))</f>
        <v/>
      </c>
      <c r="X731" s="2223" t="str" cm="1">
        <f t="array" ref="X731">IF($D731&lt;COLUMNS($F$7:X$7),"",INDEX(TableDiv[[GASB]:[GASB]],_xlfn.AGGREGATE(15,3,(TableDiv[[Agency]:[Agency]]=$E731)/(TableDiv[[Agency]:[Agency]]=$E731)*(ROW(TableDiv[Agency])-ROW(TableDiv[[#Headers],[Agency]])),COLUMNS($F$7:X$7))))</f>
        <v/>
      </c>
      <c r="Y731" s="2223" t="str" cm="1">
        <f t="array" ref="Y731">IF($D731&lt;COLUMNS($F$7:Y$7),"",INDEX(TableDiv[[GASB]:[GASB]],_xlfn.AGGREGATE(15,3,(TableDiv[[Agency]:[Agency]]=$E731)/(TableDiv[[Agency]:[Agency]]=$E731)*(ROW(TableDiv[Agency])-ROW(TableDiv[[#Headers],[Agency]])),COLUMNS($F$7:Y$7))))</f>
        <v/>
      </c>
      <c r="Z731" s="2223" t="str" cm="1">
        <f t="array" ref="Z731">IF($D731&lt;COLUMNS($F$7:Z$7),"",INDEX(TableDiv[[GASB]:[GASB]],_xlfn.AGGREGATE(15,3,(TableDiv[[Agency]:[Agency]]=$E731)/(TableDiv[[Agency]:[Agency]]=$E731)*(ROW(TableDiv[Agency])-ROW(TableDiv[[#Headers],[Agency]])),COLUMNS($F$7:Z$7))))</f>
        <v/>
      </c>
      <c r="AA731" s="2223" t="str" cm="1">
        <f t="array" ref="AA731">IF($D731&lt;COLUMNS($F$7:AA$7),"",INDEX(TableDiv[[GASB]:[GASB]],_xlfn.AGGREGATE(15,3,(TableDiv[[Agency]:[Agency]]=$E731)/(TableDiv[[Agency]:[Agency]]=$E731)*(ROW(TableDiv[Agency])-ROW(TableDiv[[#Headers],[Agency]])),COLUMNS($F$7:AA$7))))</f>
        <v/>
      </c>
      <c r="AB731" s="2223" t="str" cm="1">
        <f t="array" ref="AB731">IF($D731&lt;COLUMNS($F$7:AB$7),"",INDEX(TableDiv[[GASB]:[GASB]],_xlfn.AGGREGATE(15,3,(TableDiv[[Agency]:[Agency]]=$E731)/(TableDiv[[Agency]:[Agency]]=$E731)*(ROW(TableDiv[Agency])-ROW(TableDiv[[#Headers],[Agency]])),COLUMNS($F$7:AB$7))))</f>
        <v/>
      </c>
      <c r="AC731" s="2223" t="str" cm="1">
        <f t="array" ref="AC731">IF($D731&lt;COLUMNS($F$7:AC$7),"",INDEX(TableDiv[[GASB]:[GASB]],_xlfn.AGGREGATE(15,3,(TableDiv[[Agency]:[Agency]]=$E731)/(TableDiv[[Agency]:[Agency]]=$E731)*(ROW(TableDiv[Agency])-ROW(TableDiv[[#Headers],[Agency]])),COLUMNS($F$7:AC$7))))</f>
        <v/>
      </c>
      <c r="AD731" s="2223" t="str" cm="1">
        <f t="array" ref="AD731">IF($D731&lt;COLUMNS($F$7:AD$7),"",INDEX(TableDiv[[GASB]:[GASB]],_xlfn.AGGREGATE(15,3,(TableDiv[[Agency]:[Agency]]=$E731)/(TableDiv[[Agency]:[Agency]]=$E731)*(ROW(TableDiv[Agency])-ROW(TableDiv[[#Headers],[Agency]])),COLUMNS($F$7:AD$7))))</f>
        <v/>
      </c>
      <c r="AE731" s="2223" t="str" cm="1">
        <f t="array" ref="AE731">IF($D731&lt;COLUMNS($F$7:AE$7),"",INDEX(TableDiv[[GASB]:[GASB]],_xlfn.AGGREGATE(15,3,(TableDiv[[Agency]:[Agency]]=$E731)/(TableDiv[[Agency]:[Agency]]=$E731)*(ROW(TableDiv[Agency])-ROW(TableDiv[[#Headers],[Agency]])),COLUMNS($F$7:AE$7))))</f>
        <v/>
      </c>
      <c r="AF731" s="2223" t="str" cm="1">
        <f t="array" ref="AF731">IF($D731&lt;COLUMNS($F$7:AF$7),"",INDEX(TableDiv[[GASB]:[GASB]],_xlfn.AGGREGATE(15,3,(TableDiv[[Agency]:[Agency]]=$E731)/(TableDiv[[Agency]:[Agency]]=$E731)*(ROW(TableDiv[Agency])-ROW(TableDiv[[#Headers],[Agency]])),COLUMNS($F$7:AF$7))))</f>
        <v/>
      </c>
      <c r="AG731" s="2223" t="str" cm="1">
        <f t="array" ref="AG731">IF($D731&lt;COLUMNS($F$7:AG$7),"",INDEX(TableDiv[[GASB]:[GASB]],_xlfn.AGGREGATE(15,3,(TableDiv[[Agency]:[Agency]]=$E731)/(TableDiv[[Agency]:[Agency]]=$E731)*(ROW(TableDiv[Agency])-ROW(TableDiv[[#Headers],[Agency]])),COLUMNS($F$7:AG$7))))</f>
        <v/>
      </c>
      <c r="AH731" s="2223" t="str" cm="1">
        <f t="array" ref="AH731">IF($D731&lt;COLUMNS($F$7:AH$7),"",INDEX(TableDiv[[GASB]:[GASB]],_xlfn.AGGREGATE(15,3,(TableDiv[[Agency]:[Agency]]=$E731)/(TableDiv[[Agency]:[Agency]]=$E731)*(ROW(TableDiv[Agency])-ROW(TableDiv[[#Headers],[Agency]])),COLUMNS($F$7:AH$7))))</f>
        <v/>
      </c>
      <c r="AI731" s="2223" t="str" cm="1">
        <f t="array" ref="AI731">IF($D731&lt;COLUMNS($F$7:AI$7),"",INDEX(TableDiv[[GASB]:[GASB]],_xlfn.AGGREGATE(15,3,(TableDiv[[Agency]:[Agency]]=$E731)/(TableDiv[[Agency]:[Agency]]=$E731)*(ROW(TableDiv[Agency])-ROW(TableDiv[[#Headers],[Agency]])),COLUMNS($F$7:AI$7))))</f>
        <v/>
      </c>
      <c r="AJ731" s="2223" t="str" cm="1">
        <f t="array" ref="AJ731">IF($D731&lt;COLUMNS($F$7:AJ$7),"",INDEX(TableDiv[[GASB]:[GASB]],_xlfn.AGGREGATE(15,3,(TableDiv[[Agency]:[Agency]]=$E731)/(TableDiv[[Agency]:[Agency]]=$E731)*(ROW(TableDiv[Agency])-ROW(TableDiv[[#Headers],[Agency]])),COLUMNS($F$7:AJ$7))))</f>
        <v/>
      </c>
      <c r="AK731" s="2223" t="str" cm="1">
        <f t="array" ref="AK731">IF($D731&lt;COLUMNS($F$7:AK$7),"",INDEX(TableDiv[[GASB]:[GASB]],_xlfn.AGGREGATE(15,3,(TableDiv[[Agency]:[Agency]]=$E731)/(TableDiv[[Agency]:[Agency]]=$E731)*(ROW(TableDiv[Agency])-ROW(TableDiv[[#Headers],[Agency]])),COLUMNS($F$7:AK$7))))</f>
        <v/>
      </c>
      <c r="AL731" s="2223" t="str" cm="1">
        <f t="array" ref="AL731">IF($D731&lt;COLUMNS($F$7:AL$7),"",INDEX(TableDiv[[GASB]:[GASB]],_xlfn.AGGREGATE(15,3,(TableDiv[[Agency]:[Agency]]=$E731)/(TableDiv[[Agency]:[Agency]]=$E731)*(ROW(TableDiv[Agency])-ROW(TableDiv[[#Headers],[Agency]])),COLUMNS($F$7:AL$7))))</f>
        <v/>
      </c>
      <c r="AM731" s="2223" t="str" cm="1">
        <f t="array" ref="AM731">IF($D731&lt;COLUMNS($F$7:AM$7),"",INDEX(TableDiv[[GASB]:[GASB]],_xlfn.AGGREGATE(15,3,(TableDiv[[Agency]:[Agency]]=$E731)/(TableDiv[[Agency]:[Agency]]=$E731)*(ROW(TableDiv[Agency])-ROW(TableDiv[[#Headers],[Agency]])),COLUMNS($F$7:AM$7))))</f>
        <v/>
      </c>
      <c r="AN731" s="2223"/>
      <c r="AO731" s="2223"/>
      <c r="AP731" s="2223"/>
      <c r="AQ731" s="2223"/>
      <c r="AR731" s="2223"/>
      <c r="AS731" s="2223"/>
    </row>
    <row r="732" spans="1:45" x14ac:dyDescent="0.2">
      <c r="A732" s="2223"/>
      <c r="B732" s="2223"/>
      <c r="C732" s="2223"/>
      <c r="W732" s="2223" t="str" cm="1">
        <f t="array" ref="W732">IF($D732&lt;COLUMNS($F$7:W$7),"",INDEX(TableDiv[[GASB]:[GASB]],_xlfn.AGGREGATE(15,3,(TableDiv[[Agency]:[Agency]]=$E732)/(TableDiv[[Agency]:[Agency]]=$E732)*(ROW(TableDiv[Agency])-ROW(TableDiv[[#Headers],[Agency]])),COLUMNS($F$7:W$7))))</f>
        <v/>
      </c>
      <c r="X732" s="2223" t="str" cm="1">
        <f t="array" ref="X732">IF($D732&lt;COLUMNS($F$7:X$7),"",INDEX(TableDiv[[GASB]:[GASB]],_xlfn.AGGREGATE(15,3,(TableDiv[[Agency]:[Agency]]=$E732)/(TableDiv[[Agency]:[Agency]]=$E732)*(ROW(TableDiv[Agency])-ROW(TableDiv[[#Headers],[Agency]])),COLUMNS($F$7:X$7))))</f>
        <v/>
      </c>
      <c r="Y732" s="2223" t="str" cm="1">
        <f t="array" ref="Y732">IF($D732&lt;COLUMNS($F$7:Y$7),"",INDEX(TableDiv[[GASB]:[GASB]],_xlfn.AGGREGATE(15,3,(TableDiv[[Agency]:[Agency]]=$E732)/(TableDiv[[Agency]:[Agency]]=$E732)*(ROW(TableDiv[Agency])-ROW(TableDiv[[#Headers],[Agency]])),COLUMNS($F$7:Y$7))))</f>
        <v/>
      </c>
      <c r="Z732" s="2223" t="str" cm="1">
        <f t="array" ref="Z732">IF($D732&lt;COLUMNS($F$7:Z$7),"",INDEX(TableDiv[[GASB]:[GASB]],_xlfn.AGGREGATE(15,3,(TableDiv[[Agency]:[Agency]]=$E732)/(TableDiv[[Agency]:[Agency]]=$E732)*(ROW(TableDiv[Agency])-ROW(TableDiv[[#Headers],[Agency]])),COLUMNS($F$7:Z$7))))</f>
        <v/>
      </c>
      <c r="AA732" s="2223" t="str" cm="1">
        <f t="array" ref="AA732">IF($D732&lt;COLUMNS($F$7:AA$7),"",INDEX(TableDiv[[GASB]:[GASB]],_xlfn.AGGREGATE(15,3,(TableDiv[[Agency]:[Agency]]=$E732)/(TableDiv[[Agency]:[Agency]]=$E732)*(ROW(TableDiv[Agency])-ROW(TableDiv[[#Headers],[Agency]])),COLUMNS($F$7:AA$7))))</f>
        <v/>
      </c>
      <c r="AB732" s="2223" t="str" cm="1">
        <f t="array" ref="AB732">IF($D732&lt;COLUMNS($F$7:AB$7),"",INDEX(TableDiv[[GASB]:[GASB]],_xlfn.AGGREGATE(15,3,(TableDiv[[Agency]:[Agency]]=$E732)/(TableDiv[[Agency]:[Agency]]=$E732)*(ROW(TableDiv[Agency])-ROW(TableDiv[[#Headers],[Agency]])),COLUMNS($F$7:AB$7))))</f>
        <v/>
      </c>
      <c r="AC732" s="2223" t="str" cm="1">
        <f t="array" ref="AC732">IF($D732&lt;COLUMNS($F$7:AC$7),"",INDEX(TableDiv[[GASB]:[GASB]],_xlfn.AGGREGATE(15,3,(TableDiv[[Agency]:[Agency]]=$E732)/(TableDiv[[Agency]:[Agency]]=$E732)*(ROW(TableDiv[Agency])-ROW(TableDiv[[#Headers],[Agency]])),COLUMNS($F$7:AC$7))))</f>
        <v/>
      </c>
      <c r="AD732" s="2223" t="str" cm="1">
        <f t="array" ref="AD732">IF($D732&lt;COLUMNS($F$7:AD$7),"",INDEX(TableDiv[[GASB]:[GASB]],_xlfn.AGGREGATE(15,3,(TableDiv[[Agency]:[Agency]]=$E732)/(TableDiv[[Agency]:[Agency]]=$E732)*(ROW(TableDiv[Agency])-ROW(TableDiv[[#Headers],[Agency]])),COLUMNS($F$7:AD$7))))</f>
        <v/>
      </c>
      <c r="AE732" s="2223" t="str" cm="1">
        <f t="array" ref="AE732">IF($D732&lt;COLUMNS($F$7:AE$7),"",INDEX(TableDiv[[GASB]:[GASB]],_xlfn.AGGREGATE(15,3,(TableDiv[[Agency]:[Agency]]=$E732)/(TableDiv[[Agency]:[Agency]]=$E732)*(ROW(TableDiv[Agency])-ROW(TableDiv[[#Headers],[Agency]])),COLUMNS($F$7:AE$7))))</f>
        <v/>
      </c>
      <c r="AF732" s="2223" t="str" cm="1">
        <f t="array" ref="AF732">IF($D732&lt;COLUMNS($F$7:AF$7),"",INDEX(TableDiv[[GASB]:[GASB]],_xlfn.AGGREGATE(15,3,(TableDiv[[Agency]:[Agency]]=$E732)/(TableDiv[[Agency]:[Agency]]=$E732)*(ROW(TableDiv[Agency])-ROW(TableDiv[[#Headers],[Agency]])),COLUMNS($F$7:AF$7))))</f>
        <v/>
      </c>
      <c r="AG732" s="2223" t="str" cm="1">
        <f t="array" ref="AG732">IF($D732&lt;COLUMNS($F$7:AG$7),"",INDEX(TableDiv[[GASB]:[GASB]],_xlfn.AGGREGATE(15,3,(TableDiv[[Agency]:[Agency]]=$E732)/(TableDiv[[Agency]:[Agency]]=$E732)*(ROW(TableDiv[Agency])-ROW(TableDiv[[#Headers],[Agency]])),COLUMNS($F$7:AG$7))))</f>
        <v/>
      </c>
      <c r="AH732" s="2223" t="str" cm="1">
        <f t="array" ref="AH732">IF($D732&lt;COLUMNS($F$7:AH$7),"",INDEX(TableDiv[[GASB]:[GASB]],_xlfn.AGGREGATE(15,3,(TableDiv[[Agency]:[Agency]]=$E732)/(TableDiv[[Agency]:[Agency]]=$E732)*(ROW(TableDiv[Agency])-ROW(TableDiv[[#Headers],[Agency]])),COLUMNS($F$7:AH$7))))</f>
        <v/>
      </c>
      <c r="AI732" s="2223" t="str" cm="1">
        <f t="array" ref="AI732">IF($D732&lt;COLUMNS($F$7:AI$7),"",INDEX(TableDiv[[GASB]:[GASB]],_xlfn.AGGREGATE(15,3,(TableDiv[[Agency]:[Agency]]=$E732)/(TableDiv[[Agency]:[Agency]]=$E732)*(ROW(TableDiv[Agency])-ROW(TableDiv[[#Headers],[Agency]])),COLUMNS($F$7:AI$7))))</f>
        <v/>
      </c>
      <c r="AJ732" s="2223" t="str" cm="1">
        <f t="array" ref="AJ732">IF($D732&lt;COLUMNS($F$7:AJ$7),"",INDEX(TableDiv[[GASB]:[GASB]],_xlfn.AGGREGATE(15,3,(TableDiv[[Agency]:[Agency]]=$E732)/(TableDiv[[Agency]:[Agency]]=$E732)*(ROW(TableDiv[Agency])-ROW(TableDiv[[#Headers],[Agency]])),COLUMNS($F$7:AJ$7))))</f>
        <v/>
      </c>
      <c r="AK732" s="2223" t="str" cm="1">
        <f t="array" ref="AK732">IF($D732&lt;COLUMNS($F$7:AK$7),"",INDEX(TableDiv[[GASB]:[GASB]],_xlfn.AGGREGATE(15,3,(TableDiv[[Agency]:[Agency]]=$E732)/(TableDiv[[Agency]:[Agency]]=$E732)*(ROW(TableDiv[Agency])-ROW(TableDiv[[#Headers],[Agency]])),COLUMNS($F$7:AK$7))))</f>
        <v/>
      </c>
      <c r="AL732" s="2223" t="str" cm="1">
        <f t="array" ref="AL732">IF($D732&lt;COLUMNS($F$7:AL$7),"",INDEX(TableDiv[[GASB]:[GASB]],_xlfn.AGGREGATE(15,3,(TableDiv[[Agency]:[Agency]]=$E732)/(TableDiv[[Agency]:[Agency]]=$E732)*(ROW(TableDiv[Agency])-ROW(TableDiv[[#Headers],[Agency]])),COLUMNS($F$7:AL$7))))</f>
        <v/>
      </c>
      <c r="AM732" s="2223" t="str" cm="1">
        <f t="array" ref="AM732">IF($D732&lt;COLUMNS($F$7:AM$7),"",INDEX(TableDiv[[GASB]:[GASB]],_xlfn.AGGREGATE(15,3,(TableDiv[[Agency]:[Agency]]=$E732)/(TableDiv[[Agency]:[Agency]]=$E732)*(ROW(TableDiv[Agency])-ROW(TableDiv[[#Headers],[Agency]])),COLUMNS($F$7:AM$7))))</f>
        <v/>
      </c>
      <c r="AN732" s="2223"/>
      <c r="AO732" s="2223"/>
      <c r="AP732" s="2223"/>
      <c r="AQ732" s="2223"/>
      <c r="AR732" s="2223"/>
      <c r="AS732" s="2223"/>
    </row>
    <row r="733" spans="1:45" x14ac:dyDescent="0.2">
      <c r="A733" s="2223"/>
      <c r="B733" s="2223"/>
      <c r="C733" s="2223"/>
      <c r="W733" s="2223" t="str" cm="1">
        <f t="array" ref="W733">IF($D733&lt;COLUMNS($F$7:W$7),"",INDEX(TableDiv[[GASB]:[GASB]],_xlfn.AGGREGATE(15,3,(TableDiv[[Agency]:[Agency]]=$E733)/(TableDiv[[Agency]:[Agency]]=$E733)*(ROW(TableDiv[Agency])-ROW(TableDiv[[#Headers],[Agency]])),COLUMNS($F$7:W$7))))</f>
        <v/>
      </c>
      <c r="X733" s="2223" t="str" cm="1">
        <f t="array" ref="X733">IF($D733&lt;COLUMNS($F$7:X$7),"",INDEX(TableDiv[[GASB]:[GASB]],_xlfn.AGGREGATE(15,3,(TableDiv[[Agency]:[Agency]]=$E733)/(TableDiv[[Agency]:[Agency]]=$E733)*(ROW(TableDiv[Agency])-ROW(TableDiv[[#Headers],[Agency]])),COLUMNS($F$7:X$7))))</f>
        <v/>
      </c>
      <c r="Y733" s="2223" t="str" cm="1">
        <f t="array" ref="Y733">IF($D733&lt;COLUMNS($F$7:Y$7),"",INDEX(TableDiv[[GASB]:[GASB]],_xlfn.AGGREGATE(15,3,(TableDiv[[Agency]:[Agency]]=$E733)/(TableDiv[[Agency]:[Agency]]=$E733)*(ROW(TableDiv[Agency])-ROW(TableDiv[[#Headers],[Agency]])),COLUMNS($F$7:Y$7))))</f>
        <v/>
      </c>
      <c r="Z733" s="2223" t="str" cm="1">
        <f t="array" ref="Z733">IF($D733&lt;COLUMNS($F$7:Z$7),"",INDEX(TableDiv[[GASB]:[GASB]],_xlfn.AGGREGATE(15,3,(TableDiv[[Agency]:[Agency]]=$E733)/(TableDiv[[Agency]:[Agency]]=$E733)*(ROW(TableDiv[Agency])-ROW(TableDiv[[#Headers],[Agency]])),COLUMNS($F$7:Z$7))))</f>
        <v/>
      </c>
      <c r="AA733" s="2223" t="str" cm="1">
        <f t="array" ref="AA733">IF($D733&lt;COLUMNS($F$7:AA$7),"",INDEX(TableDiv[[GASB]:[GASB]],_xlfn.AGGREGATE(15,3,(TableDiv[[Agency]:[Agency]]=$E733)/(TableDiv[[Agency]:[Agency]]=$E733)*(ROW(TableDiv[Agency])-ROW(TableDiv[[#Headers],[Agency]])),COLUMNS($F$7:AA$7))))</f>
        <v/>
      </c>
      <c r="AB733" s="2223" t="str" cm="1">
        <f t="array" ref="AB733">IF($D733&lt;COLUMNS($F$7:AB$7),"",INDEX(TableDiv[[GASB]:[GASB]],_xlfn.AGGREGATE(15,3,(TableDiv[[Agency]:[Agency]]=$E733)/(TableDiv[[Agency]:[Agency]]=$E733)*(ROW(TableDiv[Agency])-ROW(TableDiv[[#Headers],[Agency]])),COLUMNS($F$7:AB$7))))</f>
        <v/>
      </c>
      <c r="AC733" s="2223" t="str" cm="1">
        <f t="array" ref="AC733">IF($D733&lt;COLUMNS($F$7:AC$7),"",INDEX(TableDiv[[GASB]:[GASB]],_xlfn.AGGREGATE(15,3,(TableDiv[[Agency]:[Agency]]=$E733)/(TableDiv[[Agency]:[Agency]]=$E733)*(ROW(TableDiv[Agency])-ROW(TableDiv[[#Headers],[Agency]])),COLUMNS($F$7:AC$7))))</f>
        <v/>
      </c>
      <c r="AD733" s="2223" t="str" cm="1">
        <f t="array" ref="AD733">IF($D733&lt;COLUMNS($F$7:AD$7),"",INDEX(TableDiv[[GASB]:[GASB]],_xlfn.AGGREGATE(15,3,(TableDiv[[Agency]:[Agency]]=$E733)/(TableDiv[[Agency]:[Agency]]=$E733)*(ROW(TableDiv[Agency])-ROW(TableDiv[[#Headers],[Agency]])),COLUMNS($F$7:AD$7))))</f>
        <v/>
      </c>
      <c r="AE733" s="2223" t="str" cm="1">
        <f t="array" ref="AE733">IF($D733&lt;COLUMNS($F$7:AE$7),"",INDEX(TableDiv[[GASB]:[GASB]],_xlfn.AGGREGATE(15,3,(TableDiv[[Agency]:[Agency]]=$E733)/(TableDiv[[Agency]:[Agency]]=$E733)*(ROW(TableDiv[Agency])-ROW(TableDiv[[#Headers],[Agency]])),COLUMNS($F$7:AE$7))))</f>
        <v/>
      </c>
      <c r="AF733" s="2223" t="str" cm="1">
        <f t="array" ref="AF733">IF($D733&lt;COLUMNS($F$7:AF$7),"",INDEX(TableDiv[[GASB]:[GASB]],_xlfn.AGGREGATE(15,3,(TableDiv[[Agency]:[Agency]]=$E733)/(TableDiv[[Agency]:[Agency]]=$E733)*(ROW(TableDiv[Agency])-ROW(TableDiv[[#Headers],[Agency]])),COLUMNS($F$7:AF$7))))</f>
        <v/>
      </c>
      <c r="AG733" s="2223" t="str" cm="1">
        <f t="array" ref="AG733">IF($D733&lt;COLUMNS($F$7:AG$7),"",INDEX(TableDiv[[GASB]:[GASB]],_xlfn.AGGREGATE(15,3,(TableDiv[[Agency]:[Agency]]=$E733)/(TableDiv[[Agency]:[Agency]]=$E733)*(ROW(TableDiv[Agency])-ROW(TableDiv[[#Headers],[Agency]])),COLUMNS($F$7:AG$7))))</f>
        <v/>
      </c>
      <c r="AH733" s="2223" t="str" cm="1">
        <f t="array" ref="AH733">IF($D733&lt;COLUMNS($F$7:AH$7),"",INDEX(TableDiv[[GASB]:[GASB]],_xlfn.AGGREGATE(15,3,(TableDiv[[Agency]:[Agency]]=$E733)/(TableDiv[[Agency]:[Agency]]=$E733)*(ROW(TableDiv[Agency])-ROW(TableDiv[[#Headers],[Agency]])),COLUMNS($F$7:AH$7))))</f>
        <v/>
      </c>
      <c r="AI733" s="2223" t="str" cm="1">
        <f t="array" ref="AI733">IF($D733&lt;COLUMNS($F$7:AI$7),"",INDEX(TableDiv[[GASB]:[GASB]],_xlfn.AGGREGATE(15,3,(TableDiv[[Agency]:[Agency]]=$E733)/(TableDiv[[Agency]:[Agency]]=$E733)*(ROW(TableDiv[Agency])-ROW(TableDiv[[#Headers],[Agency]])),COLUMNS($F$7:AI$7))))</f>
        <v/>
      </c>
      <c r="AJ733" s="2223" t="str" cm="1">
        <f t="array" ref="AJ733">IF($D733&lt;COLUMNS($F$7:AJ$7),"",INDEX(TableDiv[[GASB]:[GASB]],_xlfn.AGGREGATE(15,3,(TableDiv[[Agency]:[Agency]]=$E733)/(TableDiv[[Agency]:[Agency]]=$E733)*(ROW(TableDiv[Agency])-ROW(TableDiv[[#Headers],[Agency]])),COLUMNS($F$7:AJ$7))))</f>
        <v/>
      </c>
      <c r="AK733" s="2223" t="str" cm="1">
        <f t="array" ref="AK733">IF($D733&lt;COLUMNS($F$7:AK$7),"",INDEX(TableDiv[[GASB]:[GASB]],_xlfn.AGGREGATE(15,3,(TableDiv[[Agency]:[Agency]]=$E733)/(TableDiv[[Agency]:[Agency]]=$E733)*(ROW(TableDiv[Agency])-ROW(TableDiv[[#Headers],[Agency]])),COLUMNS($F$7:AK$7))))</f>
        <v/>
      </c>
      <c r="AL733" s="2223" t="str" cm="1">
        <f t="array" ref="AL733">IF($D733&lt;COLUMNS($F$7:AL$7),"",INDEX(TableDiv[[GASB]:[GASB]],_xlfn.AGGREGATE(15,3,(TableDiv[[Agency]:[Agency]]=$E733)/(TableDiv[[Agency]:[Agency]]=$E733)*(ROW(TableDiv[Agency])-ROW(TableDiv[[#Headers],[Agency]])),COLUMNS($F$7:AL$7))))</f>
        <v/>
      </c>
      <c r="AM733" s="2223" t="str" cm="1">
        <f t="array" ref="AM733">IF($D733&lt;COLUMNS($F$7:AM$7),"",INDEX(TableDiv[[GASB]:[GASB]],_xlfn.AGGREGATE(15,3,(TableDiv[[Agency]:[Agency]]=$E733)/(TableDiv[[Agency]:[Agency]]=$E733)*(ROW(TableDiv[Agency])-ROW(TableDiv[[#Headers],[Agency]])),COLUMNS($F$7:AM$7))))</f>
        <v/>
      </c>
      <c r="AN733" s="2223"/>
      <c r="AO733" s="2223"/>
      <c r="AP733" s="2223"/>
      <c r="AQ733" s="2223"/>
      <c r="AR733" s="2223"/>
      <c r="AS733" s="2223"/>
    </row>
    <row r="734" spans="1:45" x14ac:dyDescent="0.2">
      <c r="A734" s="2223"/>
      <c r="B734" s="2223"/>
      <c r="C734" s="2223"/>
      <c r="W734" s="2223" t="str" cm="1">
        <f t="array" ref="W734">IF($D734&lt;COLUMNS($F$7:W$7),"",INDEX(TableDiv[[GASB]:[GASB]],_xlfn.AGGREGATE(15,3,(TableDiv[[Agency]:[Agency]]=$E734)/(TableDiv[[Agency]:[Agency]]=$E734)*(ROW(TableDiv[Agency])-ROW(TableDiv[[#Headers],[Agency]])),COLUMNS($F$7:W$7))))</f>
        <v/>
      </c>
      <c r="X734" s="2223" t="str" cm="1">
        <f t="array" ref="X734">IF($D734&lt;COLUMNS($F$7:X$7),"",INDEX(TableDiv[[GASB]:[GASB]],_xlfn.AGGREGATE(15,3,(TableDiv[[Agency]:[Agency]]=$E734)/(TableDiv[[Agency]:[Agency]]=$E734)*(ROW(TableDiv[Agency])-ROW(TableDiv[[#Headers],[Agency]])),COLUMNS($F$7:X$7))))</f>
        <v/>
      </c>
      <c r="Y734" s="2223" t="str" cm="1">
        <f t="array" ref="Y734">IF($D734&lt;COLUMNS($F$7:Y$7),"",INDEX(TableDiv[[GASB]:[GASB]],_xlfn.AGGREGATE(15,3,(TableDiv[[Agency]:[Agency]]=$E734)/(TableDiv[[Agency]:[Agency]]=$E734)*(ROW(TableDiv[Agency])-ROW(TableDiv[[#Headers],[Agency]])),COLUMNS($F$7:Y$7))))</f>
        <v/>
      </c>
      <c r="Z734" s="2223" t="str" cm="1">
        <f t="array" ref="Z734">IF($D734&lt;COLUMNS($F$7:Z$7),"",INDEX(TableDiv[[GASB]:[GASB]],_xlfn.AGGREGATE(15,3,(TableDiv[[Agency]:[Agency]]=$E734)/(TableDiv[[Agency]:[Agency]]=$E734)*(ROW(TableDiv[Agency])-ROW(TableDiv[[#Headers],[Agency]])),COLUMNS($F$7:Z$7))))</f>
        <v/>
      </c>
      <c r="AA734" s="2223" t="str" cm="1">
        <f t="array" ref="AA734">IF($D734&lt;COLUMNS($F$7:AA$7),"",INDEX(TableDiv[[GASB]:[GASB]],_xlfn.AGGREGATE(15,3,(TableDiv[[Agency]:[Agency]]=$E734)/(TableDiv[[Agency]:[Agency]]=$E734)*(ROW(TableDiv[Agency])-ROW(TableDiv[[#Headers],[Agency]])),COLUMNS($F$7:AA$7))))</f>
        <v/>
      </c>
      <c r="AB734" s="2223" t="str" cm="1">
        <f t="array" ref="AB734">IF($D734&lt;COLUMNS($F$7:AB$7),"",INDEX(TableDiv[[GASB]:[GASB]],_xlfn.AGGREGATE(15,3,(TableDiv[[Agency]:[Agency]]=$E734)/(TableDiv[[Agency]:[Agency]]=$E734)*(ROW(TableDiv[Agency])-ROW(TableDiv[[#Headers],[Agency]])),COLUMNS($F$7:AB$7))))</f>
        <v/>
      </c>
      <c r="AC734" s="2223" t="str" cm="1">
        <f t="array" ref="AC734">IF($D734&lt;COLUMNS($F$7:AC$7),"",INDEX(TableDiv[[GASB]:[GASB]],_xlfn.AGGREGATE(15,3,(TableDiv[[Agency]:[Agency]]=$E734)/(TableDiv[[Agency]:[Agency]]=$E734)*(ROW(TableDiv[Agency])-ROW(TableDiv[[#Headers],[Agency]])),COLUMNS($F$7:AC$7))))</f>
        <v/>
      </c>
      <c r="AD734" s="2223" t="str" cm="1">
        <f t="array" ref="AD734">IF($D734&lt;COLUMNS($F$7:AD$7),"",INDEX(TableDiv[[GASB]:[GASB]],_xlfn.AGGREGATE(15,3,(TableDiv[[Agency]:[Agency]]=$E734)/(TableDiv[[Agency]:[Agency]]=$E734)*(ROW(TableDiv[Agency])-ROW(TableDiv[[#Headers],[Agency]])),COLUMNS($F$7:AD$7))))</f>
        <v/>
      </c>
      <c r="AE734" s="2223" t="str" cm="1">
        <f t="array" ref="AE734">IF($D734&lt;COLUMNS($F$7:AE$7),"",INDEX(TableDiv[[GASB]:[GASB]],_xlfn.AGGREGATE(15,3,(TableDiv[[Agency]:[Agency]]=$E734)/(TableDiv[[Agency]:[Agency]]=$E734)*(ROW(TableDiv[Agency])-ROW(TableDiv[[#Headers],[Agency]])),COLUMNS($F$7:AE$7))))</f>
        <v/>
      </c>
      <c r="AF734" s="2223" t="str" cm="1">
        <f t="array" ref="AF734">IF($D734&lt;COLUMNS($F$7:AF$7),"",INDEX(TableDiv[[GASB]:[GASB]],_xlfn.AGGREGATE(15,3,(TableDiv[[Agency]:[Agency]]=$E734)/(TableDiv[[Agency]:[Agency]]=$E734)*(ROW(TableDiv[Agency])-ROW(TableDiv[[#Headers],[Agency]])),COLUMNS($F$7:AF$7))))</f>
        <v/>
      </c>
      <c r="AG734" s="2223" t="str" cm="1">
        <f t="array" ref="AG734">IF($D734&lt;COLUMNS($F$7:AG$7),"",INDEX(TableDiv[[GASB]:[GASB]],_xlfn.AGGREGATE(15,3,(TableDiv[[Agency]:[Agency]]=$E734)/(TableDiv[[Agency]:[Agency]]=$E734)*(ROW(TableDiv[Agency])-ROW(TableDiv[[#Headers],[Agency]])),COLUMNS($F$7:AG$7))))</f>
        <v/>
      </c>
      <c r="AH734" s="2223" t="str" cm="1">
        <f t="array" ref="AH734">IF($D734&lt;COLUMNS($F$7:AH$7),"",INDEX(TableDiv[[GASB]:[GASB]],_xlfn.AGGREGATE(15,3,(TableDiv[[Agency]:[Agency]]=$E734)/(TableDiv[[Agency]:[Agency]]=$E734)*(ROW(TableDiv[Agency])-ROW(TableDiv[[#Headers],[Agency]])),COLUMNS($F$7:AH$7))))</f>
        <v/>
      </c>
      <c r="AI734" s="2223" t="str" cm="1">
        <f t="array" ref="AI734">IF($D734&lt;COLUMNS($F$7:AI$7),"",INDEX(TableDiv[[GASB]:[GASB]],_xlfn.AGGREGATE(15,3,(TableDiv[[Agency]:[Agency]]=$E734)/(TableDiv[[Agency]:[Agency]]=$E734)*(ROW(TableDiv[Agency])-ROW(TableDiv[[#Headers],[Agency]])),COLUMNS($F$7:AI$7))))</f>
        <v/>
      </c>
      <c r="AJ734" s="2223" t="str" cm="1">
        <f t="array" ref="AJ734">IF($D734&lt;COLUMNS($F$7:AJ$7),"",INDEX(TableDiv[[GASB]:[GASB]],_xlfn.AGGREGATE(15,3,(TableDiv[[Agency]:[Agency]]=$E734)/(TableDiv[[Agency]:[Agency]]=$E734)*(ROW(TableDiv[Agency])-ROW(TableDiv[[#Headers],[Agency]])),COLUMNS($F$7:AJ$7))))</f>
        <v/>
      </c>
      <c r="AK734" s="2223" t="str" cm="1">
        <f t="array" ref="AK734">IF($D734&lt;COLUMNS($F$7:AK$7),"",INDEX(TableDiv[[GASB]:[GASB]],_xlfn.AGGREGATE(15,3,(TableDiv[[Agency]:[Agency]]=$E734)/(TableDiv[[Agency]:[Agency]]=$E734)*(ROW(TableDiv[Agency])-ROW(TableDiv[[#Headers],[Agency]])),COLUMNS($F$7:AK$7))))</f>
        <v/>
      </c>
      <c r="AL734" s="2223" t="str" cm="1">
        <f t="array" ref="AL734">IF($D734&lt;COLUMNS($F$7:AL$7),"",INDEX(TableDiv[[GASB]:[GASB]],_xlfn.AGGREGATE(15,3,(TableDiv[[Agency]:[Agency]]=$E734)/(TableDiv[[Agency]:[Agency]]=$E734)*(ROW(TableDiv[Agency])-ROW(TableDiv[[#Headers],[Agency]])),COLUMNS($F$7:AL$7))))</f>
        <v/>
      </c>
      <c r="AM734" s="2223" t="str" cm="1">
        <f t="array" ref="AM734">IF($D734&lt;COLUMNS($F$7:AM$7),"",INDEX(TableDiv[[GASB]:[GASB]],_xlfn.AGGREGATE(15,3,(TableDiv[[Agency]:[Agency]]=$E734)/(TableDiv[[Agency]:[Agency]]=$E734)*(ROW(TableDiv[Agency])-ROW(TableDiv[[#Headers],[Agency]])),COLUMNS($F$7:AM$7))))</f>
        <v/>
      </c>
      <c r="AN734" s="2223"/>
      <c r="AO734" s="2223"/>
      <c r="AP734" s="2223"/>
      <c r="AQ734" s="2223"/>
      <c r="AR734" s="2223"/>
      <c r="AS734" s="2223"/>
    </row>
    <row r="735" spans="1:45" x14ac:dyDescent="0.2">
      <c r="A735" s="2223"/>
      <c r="B735" s="2223"/>
      <c r="C735" s="2223"/>
      <c r="W735" s="2223" t="str" cm="1">
        <f t="array" ref="W735">IF($D735&lt;COLUMNS($F$7:W$7),"",INDEX(TableDiv[[GASB]:[GASB]],_xlfn.AGGREGATE(15,3,(TableDiv[[Agency]:[Agency]]=$E735)/(TableDiv[[Agency]:[Agency]]=$E735)*(ROW(TableDiv[Agency])-ROW(TableDiv[[#Headers],[Agency]])),COLUMNS($F$7:W$7))))</f>
        <v/>
      </c>
      <c r="X735" s="2223" t="str" cm="1">
        <f t="array" ref="X735">IF($D735&lt;COLUMNS($F$7:X$7),"",INDEX(TableDiv[[GASB]:[GASB]],_xlfn.AGGREGATE(15,3,(TableDiv[[Agency]:[Agency]]=$E735)/(TableDiv[[Agency]:[Agency]]=$E735)*(ROW(TableDiv[Agency])-ROW(TableDiv[[#Headers],[Agency]])),COLUMNS($F$7:X$7))))</f>
        <v/>
      </c>
      <c r="Y735" s="2223" t="str" cm="1">
        <f t="array" ref="Y735">IF($D735&lt;COLUMNS($F$7:Y$7),"",INDEX(TableDiv[[GASB]:[GASB]],_xlfn.AGGREGATE(15,3,(TableDiv[[Agency]:[Agency]]=$E735)/(TableDiv[[Agency]:[Agency]]=$E735)*(ROW(TableDiv[Agency])-ROW(TableDiv[[#Headers],[Agency]])),COLUMNS($F$7:Y$7))))</f>
        <v/>
      </c>
      <c r="Z735" s="2223" t="str" cm="1">
        <f t="array" ref="Z735">IF($D735&lt;COLUMNS($F$7:Z$7),"",INDEX(TableDiv[[GASB]:[GASB]],_xlfn.AGGREGATE(15,3,(TableDiv[[Agency]:[Agency]]=$E735)/(TableDiv[[Agency]:[Agency]]=$E735)*(ROW(TableDiv[Agency])-ROW(TableDiv[[#Headers],[Agency]])),COLUMNS($F$7:Z$7))))</f>
        <v/>
      </c>
      <c r="AA735" s="2223" t="str" cm="1">
        <f t="array" ref="AA735">IF($D735&lt;COLUMNS($F$7:AA$7),"",INDEX(TableDiv[[GASB]:[GASB]],_xlfn.AGGREGATE(15,3,(TableDiv[[Agency]:[Agency]]=$E735)/(TableDiv[[Agency]:[Agency]]=$E735)*(ROW(TableDiv[Agency])-ROW(TableDiv[[#Headers],[Agency]])),COLUMNS($F$7:AA$7))))</f>
        <v/>
      </c>
      <c r="AB735" s="2223" t="str" cm="1">
        <f t="array" ref="AB735">IF($D735&lt;COLUMNS($F$7:AB$7),"",INDEX(TableDiv[[GASB]:[GASB]],_xlfn.AGGREGATE(15,3,(TableDiv[[Agency]:[Agency]]=$E735)/(TableDiv[[Agency]:[Agency]]=$E735)*(ROW(TableDiv[Agency])-ROW(TableDiv[[#Headers],[Agency]])),COLUMNS($F$7:AB$7))))</f>
        <v/>
      </c>
      <c r="AC735" s="2223" t="str" cm="1">
        <f t="array" ref="AC735">IF($D735&lt;COLUMNS($F$7:AC$7),"",INDEX(TableDiv[[GASB]:[GASB]],_xlfn.AGGREGATE(15,3,(TableDiv[[Agency]:[Agency]]=$E735)/(TableDiv[[Agency]:[Agency]]=$E735)*(ROW(TableDiv[Agency])-ROW(TableDiv[[#Headers],[Agency]])),COLUMNS($F$7:AC$7))))</f>
        <v/>
      </c>
      <c r="AD735" s="2223" t="str" cm="1">
        <f t="array" ref="AD735">IF($D735&lt;COLUMNS($F$7:AD$7),"",INDEX(TableDiv[[GASB]:[GASB]],_xlfn.AGGREGATE(15,3,(TableDiv[[Agency]:[Agency]]=$E735)/(TableDiv[[Agency]:[Agency]]=$E735)*(ROW(TableDiv[Agency])-ROW(TableDiv[[#Headers],[Agency]])),COLUMNS($F$7:AD$7))))</f>
        <v/>
      </c>
      <c r="AE735" s="2223" t="str" cm="1">
        <f t="array" ref="AE735">IF($D735&lt;COLUMNS($F$7:AE$7),"",INDEX(TableDiv[[GASB]:[GASB]],_xlfn.AGGREGATE(15,3,(TableDiv[[Agency]:[Agency]]=$E735)/(TableDiv[[Agency]:[Agency]]=$E735)*(ROW(TableDiv[Agency])-ROW(TableDiv[[#Headers],[Agency]])),COLUMNS($F$7:AE$7))))</f>
        <v/>
      </c>
      <c r="AF735" s="2223" t="str" cm="1">
        <f t="array" ref="AF735">IF($D735&lt;COLUMNS($F$7:AF$7),"",INDEX(TableDiv[[GASB]:[GASB]],_xlfn.AGGREGATE(15,3,(TableDiv[[Agency]:[Agency]]=$E735)/(TableDiv[[Agency]:[Agency]]=$E735)*(ROW(TableDiv[Agency])-ROW(TableDiv[[#Headers],[Agency]])),COLUMNS($F$7:AF$7))))</f>
        <v/>
      </c>
      <c r="AG735" s="2223" t="str" cm="1">
        <f t="array" ref="AG735">IF($D735&lt;COLUMNS($F$7:AG$7),"",INDEX(TableDiv[[GASB]:[GASB]],_xlfn.AGGREGATE(15,3,(TableDiv[[Agency]:[Agency]]=$E735)/(TableDiv[[Agency]:[Agency]]=$E735)*(ROW(TableDiv[Agency])-ROW(TableDiv[[#Headers],[Agency]])),COLUMNS($F$7:AG$7))))</f>
        <v/>
      </c>
      <c r="AH735" s="2223" t="str" cm="1">
        <f t="array" ref="AH735">IF($D735&lt;COLUMNS($F$7:AH$7),"",INDEX(TableDiv[[GASB]:[GASB]],_xlfn.AGGREGATE(15,3,(TableDiv[[Agency]:[Agency]]=$E735)/(TableDiv[[Agency]:[Agency]]=$E735)*(ROW(TableDiv[Agency])-ROW(TableDiv[[#Headers],[Agency]])),COLUMNS($F$7:AH$7))))</f>
        <v/>
      </c>
      <c r="AI735" s="2223" t="str" cm="1">
        <f t="array" ref="AI735">IF($D735&lt;COLUMNS($F$7:AI$7),"",INDEX(TableDiv[[GASB]:[GASB]],_xlfn.AGGREGATE(15,3,(TableDiv[[Agency]:[Agency]]=$E735)/(TableDiv[[Agency]:[Agency]]=$E735)*(ROW(TableDiv[Agency])-ROW(TableDiv[[#Headers],[Agency]])),COLUMNS($F$7:AI$7))))</f>
        <v/>
      </c>
      <c r="AJ735" s="2223" t="str" cm="1">
        <f t="array" ref="AJ735">IF($D735&lt;COLUMNS($F$7:AJ$7),"",INDEX(TableDiv[[GASB]:[GASB]],_xlfn.AGGREGATE(15,3,(TableDiv[[Agency]:[Agency]]=$E735)/(TableDiv[[Agency]:[Agency]]=$E735)*(ROW(TableDiv[Agency])-ROW(TableDiv[[#Headers],[Agency]])),COLUMNS($F$7:AJ$7))))</f>
        <v/>
      </c>
      <c r="AK735" s="2223" t="str" cm="1">
        <f t="array" ref="AK735">IF($D735&lt;COLUMNS($F$7:AK$7),"",INDEX(TableDiv[[GASB]:[GASB]],_xlfn.AGGREGATE(15,3,(TableDiv[[Agency]:[Agency]]=$E735)/(TableDiv[[Agency]:[Agency]]=$E735)*(ROW(TableDiv[Agency])-ROW(TableDiv[[#Headers],[Agency]])),COLUMNS($F$7:AK$7))))</f>
        <v/>
      </c>
      <c r="AL735" s="2223" t="str" cm="1">
        <f t="array" ref="AL735">IF($D735&lt;COLUMNS($F$7:AL$7),"",INDEX(TableDiv[[GASB]:[GASB]],_xlfn.AGGREGATE(15,3,(TableDiv[[Agency]:[Agency]]=$E735)/(TableDiv[[Agency]:[Agency]]=$E735)*(ROW(TableDiv[Agency])-ROW(TableDiv[[#Headers],[Agency]])),COLUMNS($F$7:AL$7))))</f>
        <v/>
      </c>
      <c r="AM735" s="2223" t="str" cm="1">
        <f t="array" ref="AM735">IF($D735&lt;COLUMNS($F$7:AM$7),"",INDEX(TableDiv[[GASB]:[GASB]],_xlfn.AGGREGATE(15,3,(TableDiv[[Agency]:[Agency]]=$E735)/(TableDiv[[Agency]:[Agency]]=$E735)*(ROW(TableDiv[Agency])-ROW(TableDiv[[#Headers],[Agency]])),COLUMNS($F$7:AM$7))))</f>
        <v/>
      </c>
      <c r="AN735" s="2223"/>
      <c r="AO735" s="2223"/>
      <c r="AP735" s="2223"/>
      <c r="AQ735" s="2223"/>
      <c r="AR735" s="2223"/>
      <c r="AS735" s="2223"/>
    </row>
    <row r="736" spans="1:45" x14ac:dyDescent="0.2">
      <c r="A736" s="2223"/>
      <c r="B736" s="2223"/>
      <c r="C736" s="2223"/>
      <c r="W736" s="2223" t="str" cm="1">
        <f t="array" ref="W736">IF($D736&lt;COLUMNS($F$7:W$7),"",INDEX(TableDiv[[GASB]:[GASB]],_xlfn.AGGREGATE(15,3,(TableDiv[[Agency]:[Agency]]=$E736)/(TableDiv[[Agency]:[Agency]]=$E736)*(ROW(TableDiv[Agency])-ROW(TableDiv[[#Headers],[Agency]])),COLUMNS($F$7:W$7))))</f>
        <v/>
      </c>
      <c r="X736" s="2223" t="str" cm="1">
        <f t="array" ref="X736">IF($D736&lt;COLUMNS($F$7:X$7),"",INDEX(TableDiv[[GASB]:[GASB]],_xlfn.AGGREGATE(15,3,(TableDiv[[Agency]:[Agency]]=$E736)/(TableDiv[[Agency]:[Agency]]=$E736)*(ROW(TableDiv[Agency])-ROW(TableDiv[[#Headers],[Agency]])),COLUMNS($F$7:X$7))))</f>
        <v/>
      </c>
      <c r="Y736" s="2223" t="str" cm="1">
        <f t="array" ref="Y736">IF($D736&lt;COLUMNS($F$7:Y$7),"",INDEX(TableDiv[[GASB]:[GASB]],_xlfn.AGGREGATE(15,3,(TableDiv[[Agency]:[Agency]]=$E736)/(TableDiv[[Agency]:[Agency]]=$E736)*(ROW(TableDiv[Agency])-ROW(TableDiv[[#Headers],[Agency]])),COLUMNS($F$7:Y$7))))</f>
        <v/>
      </c>
      <c r="Z736" s="2223" t="str" cm="1">
        <f t="array" ref="Z736">IF($D736&lt;COLUMNS($F$7:Z$7),"",INDEX(TableDiv[[GASB]:[GASB]],_xlfn.AGGREGATE(15,3,(TableDiv[[Agency]:[Agency]]=$E736)/(TableDiv[[Agency]:[Agency]]=$E736)*(ROW(TableDiv[Agency])-ROW(TableDiv[[#Headers],[Agency]])),COLUMNS($F$7:Z$7))))</f>
        <v/>
      </c>
      <c r="AA736" s="2223" t="str" cm="1">
        <f t="array" ref="AA736">IF($D736&lt;COLUMNS($F$7:AA$7),"",INDEX(TableDiv[[GASB]:[GASB]],_xlfn.AGGREGATE(15,3,(TableDiv[[Agency]:[Agency]]=$E736)/(TableDiv[[Agency]:[Agency]]=$E736)*(ROW(TableDiv[Agency])-ROW(TableDiv[[#Headers],[Agency]])),COLUMNS($F$7:AA$7))))</f>
        <v/>
      </c>
      <c r="AB736" s="2223" t="str" cm="1">
        <f t="array" ref="AB736">IF($D736&lt;COLUMNS($F$7:AB$7),"",INDEX(TableDiv[[GASB]:[GASB]],_xlfn.AGGREGATE(15,3,(TableDiv[[Agency]:[Agency]]=$E736)/(TableDiv[[Agency]:[Agency]]=$E736)*(ROW(TableDiv[Agency])-ROW(TableDiv[[#Headers],[Agency]])),COLUMNS($F$7:AB$7))))</f>
        <v/>
      </c>
      <c r="AC736" s="2223" t="str" cm="1">
        <f t="array" ref="AC736">IF($D736&lt;COLUMNS($F$7:AC$7),"",INDEX(TableDiv[[GASB]:[GASB]],_xlfn.AGGREGATE(15,3,(TableDiv[[Agency]:[Agency]]=$E736)/(TableDiv[[Agency]:[Agency]]=$E736)*(ROW(TableDiv[Agency])-ROW(TableDiv[[#Headers],[Agency]])),COLUMNS($F$7:AC$7))))</f>
        <v/>
      </c>
      <c r="AD736" s="2223" t="str" cm="1">
        <f t="array" ref="AD736">IF($D736&lt;COLUMNS($F$7:AD$7),"",INDEX(TableDiv[[GASB]:[GASB]],_xlfn.AGGREGATE(15,3,(TableDiv[[Agency]:[Agency]]=$E736)/(TableDiv[[Agency]:[Agency]]=$E736)*(ROW(TableDiv[Agency])-ROW(TableDiv[[#Headers],[Agency]])),COLUMNS($F$7:AD$7))))</f>
        <v/>
      </c>
      <c r="AE736" s="2223" t="str" cm="1">
        <f t="array" ref="AE736">IF($D736&lt;COLUMNS($F$7:AE$7),"",INDEX(TableDiv[[GASB]:[GASB]],_xlfn.AGGREGATE(15,3,(TableDiv[[Agency]:[Agency]]=$E736)/(TableDiv[[Agency]:[Agency]]=$E736)*(ROW(TableDiv[Agency])-ROW(TableDiv[[#Headers],[Agency]])),COLUMNS($F$7:AE$7))))</f>
        <v/>
      </c>
      <c r="AF736" s="2223" t="str" cm="1">
        <f t="array" ref="AF736">IF($D736&lt;COLUMNS($F$7:AF$7),"",INDEX(TableDiv[[GASB]:[GASB]],_xlfn.AGGREGATE(15,3,(TableDiv[[Agency]:[Agency]]=$E736)/(TableDiv[[Agency]:[Agency]]=$E736)*(ROW(TableDiv[Agency])-ROW(TableDiv[[#Headers],[Agency]])),COLUMNS($F$7:AF$7))))</f>
        <v/>
      </c>
      <c r="AG736" s="2223" t="str" cm="1">
        <f t="array" ref="AG736">IF($D736&lt;COLUMNS($F$7:AG$7),"",INDEX(TableDiv[[GASB]:[GASB]],_xlfn.AGGREGATE(15,3,(TableDiv[[Agency]:[Agency]]=$E736)/(TableDiv[[Agency]:[Agency]]=$E736)*(ROW(TableDiv[Agency])-ROW(TableDiv[[#Headers],[Agency]])),COLUMNS($F$7:AG$7))))</f>
        <v/>
      </c>
      <c r="AH736" s="2223" t="str" cm="1">
        <f t="array" ref="AH736">IF($D736&lt;COLUMNS($F$7:AH$7),"",INDEX(TableDiv[[GASB]:[GASB]],_xlfn.AGGREGATE(15,3,(TableDiv[[Agency]:[Agency]]=$E736)/(TableDiv[[Agency]:[Agency]]=$E736)*(ROW(TableDiv[Agency])-ROW(TableDiv[[#Headers],[Agency]])),COLUMNS($F$7:AH$7))))</f>
        <v/>
      </c>
      <c r="AI736" s="2223" t="str" cm="1">
        <f t="array" ref="AI736">IF($D736&lt;COLUMNS($F$7:AI$7),"",INDEX(TableDiv[[GASB]:[GASB]],_xlfn.AGGREGATE(15,3,(TableDiv[[Agency]:[Agency]]=$E736)/(TableDiv[[Agency]:[Agency]]=$E736)*(ROW(TableDiv[Agency])-ROW(TableDiv[[#Headers],[Agency]])),COLUMNS($F$7:AI$7))))</f>
        <v/>
      </c>
      <c r="AJ736" s="2223" t="str" cm="1">
        <f t="array" ref="AJ736">IF($D736&lt;COLUMNS($F$7:AJ$7),"",INDEX(TableDiv[[GASB]:[GASB]],_xlfn.AGGREGATE(15,3,(TableDiv[[Agency]:[Agency]]=$E736)/(TableDiv[[Agency]:[Agency]]=$E736)*(ROW(TableDiv[Agency])-ROW(TableDiv[[#Headers],[Agency]])),COLUMNS($F$7:AJ$7))))</f>
        <v/>
      </c>
      <c r="AK736" s="2223" t="str" cm="1">
        <f t="array" ref="AK736">IF($D736&lt;COLUMNS($F$7:AK$7),"",INDEX(TableDiv[[GASB]:[GASB]],_xlfn.AGGREGATE(15,3,(TableDiv[[Agency]:[Agency]]=$E736)/(TableDiv[[Agency]:[Agency]]=$E736)*(ROW(TableDiv[Agency])-ROW(TableDiv[[#Headers],[Agency]])),COLUMNS($F$7:AK$7))))</f>
        <v/>
      </c>
      <c r="AL736" s="2223" t="str" cm="1">
        <f t="array" ref="AL736">IF($D736&lt;COLUMNS($F$7:AL$7),"",INDEX(TableDiv[[GASB]:[GASB]],_xlfn.AGGREGATE(15,3,(TableDiv[[Agency]:[Agency]]=$E736)/(TableDiv[[Agency]:[Agency]]=$E736)*(ROW(TableDiv[Agency])-ROW(TableDiv[[#Headers],[Agency]])),COLUMNS($F$7:AL$7))))</f>
        <v/>
      </c>
      <c r="AM736" s="2223" t="str" cm="1">
        <f t="array" ref="AM736">IF($D736&lt;COLUMNS($F$7:AM$7),"",INDEX(TableDiv[[GASB]:[GASB]],_xlfn.AGGREGATE(15,3,(TableDiv[[Agency]:[Agency]]=$E736)/(TableDiv[[Agency]:[Agency]]=$E736)*(ROW(TableDiv[Agency])-ROW(TableDiv[[#Headers],[Agency]])),COLUMNS($F$7:AM$7))))</f>
        <v/>
      </c>
      <c r="AN736" s="2223"/>
      <c r="AO736" s="2223"/>
      <c r="AP736" s="2223"/>
      <c r="AQ736" s="2223"/>
      <c r="AR736" s="2223"/>
      <c r="AS736" s="2223"/>
    </row>
    <row r="737" spans="1:45" x14ac:dyDescent="0.2">
      <c r="A737" s="2223"/>
      <c r="B737" s="2223"/>
      <c r="C737" s="2223"/>
      <c r="W737" s="2223" t="str" cm="1">
        <f t="array" ref="W737">IF($D737&lt;COLUMNS($F$7:W$7),"",INDEX(TableDiv[[GASB]:[GASB]],_xlfn.AGGREGATE(15,3,(TableDiv[[Agency]:[Agency]]=$E737)/(TableDiv[[Agency]:[Agency]]=$E737)*(ROW(TableDiv[Agency])-ROW(TableDiv[[#Headers],[Agency]])),COLUMNS($F$7:W$7))))</f>
        <v/>
      </c>
      <c r="X737" s="2223" t="str" cm="1">
        <f t="array" ref="X737">IF($D737&lt;COLUMNS($F$7:X$7),"",INDEX(TableDiv[[GASB]:[GASB]],_xlfn.AGGREGATE(15,3,(TableDiv[[Agency]:[Agency]]=$E737)/(TableDiv[[Agency]:[Agency]]=$E737)*(ROW(TableDiv[Agency])-ROW(TableDiv[[#Headers],[Agency]])),COLUMNS($F$7:X$7))))</f>
        <v/>
      </c>
      <c r="Y737" s="2223" t="str" cm="1">
        <f t="array" ref="Y737">IF($D737&lt;COLUMNS($F$7:Y$7),"",INDEX(TableDiv[[GASB]:[GASB]],_xlfn.AGGREGATE(15,3,(TableDiv[[Agency]:[Agency]]=$E737)/(TableDiv[[Agency]:[Agency]]=$E737)*(ROW(TableDiv[Agency])-ROW(TableDiv[[#Headers],[Agency]])),COLUMNS($F$7:Y$7))))</f>
        <v/>
      </c>
      <c r="Z737" s="2223" t="str" cm="1">
        <f t="array" ref="Z737">IF($D737&lt;COLUMNS($F$7:Z$7),"",INDEX(TableDiv[[GASB]:[GASB]],_xlfn.AGGREGATE(15,3,(TableDiv[[Agency]:[Agency]]=$E737)/(TableDiv[[Agency]:[Agency]]=$E737)*(ROW(TableDiv[Agency])-ROW(TableDiv[[#Headers],[Agency]])),COLUMNS($F$7:Z$7))))</f>
        <v/>
      </c>
      <c r="AA737" s="2223" t="str" cm="1">
        <f t="array" ref="AA737">IF($D737&lt;COLUMNS($F$7:AA$7),"",INDEX(TableDiv[[GASB]:[GASB]],_xlfn.AGGREGATE(15,3,(TableDiv[[Agency]:[Agency]]=$E737)/(TableDiv[[Agency]:[Agency]]=$E737)*(ROW(TableDiv[Agency])-ROW(TableDiv[[#Headers],[Agency]])),COLUMNS($F$7:AA$7))))</f>
        <v/>
      </c>
      <c r="AB737" s="2223" t="str" cm="1">
        <f t="array" ref="AB737">IF($D737&lt;COLUMNS($F$7:AB$7),"",INDEX(TableDiv[[GASB]:[GASB]],_xlfn.AGGREGATE(15,3,(TableDiv[[Agency]:[Agency]]=$E737)/(TableDiv[[Agency]:[Agency]]=$E737)*(ROW(TableDiv[Agency])-ROW(TableDiv[[#Headers],[Agency]])),COLUMNS($F$7:AB$7))))</f>
        <v/>
      </c>
      <c r="AC737" s="2223" t="str" cm="1">
        <f t="array" ref="AC737">IF($D737&lt;COLUMNS($F$7:AC$7),"",INDEX(TableDiv[[GASB]:[GASB]],_xlfn.AGGREGATE(15,3,(TableDiv[[Agency]:[Agency]]=$E737)/(TableDiv[[Agency]:[Agency]]=$E737)*(ROW(TableDiv[Agency])-ROW(TableDiv[[#Headers],[Agency]])),COLUMNS($F$7:AC$7))))</f>
        <v/>
      </c>
      <c r="AD737" s="2223" t="str" cm="1">
        <f t="array" ref="AD737">IF($D737&lt;COLUMNS($F$7:AD$7),"",INDEX(TableDiv[[GASB]:[GASB]],_xlfn.AGGREGATE(15,3,(TableDiv[[Agency]:[Agency]]=$E737)/(TableDiv[[Agency]:[Agency]]=$E737)*(ROW(TableDiv[Agency])-ROW(TableDiv[[#Headers],[Agency]])),COLUMNS($F$7:AD$7))))</f>
        <v/>
      </c>
      <c r="AE737" s="2223" t="str" cm="1">
        <f t="array" ref="AE737">IF($D737&lt;COLUMNS($F$7:AE$7),"",INDEX(TableDiv[[GASB]:[GASB]],_xlfn.AGGREGATE(15,3,(TableDiv[[Agency]:[Agency]]=$E737)/(TableDiv[[Agency]:[Agency]]=$E737)*(ROW(TableDiv[Agency])-ROW(TableDiv[[#Headers],[Agency]])),COLUMNS($F$7:AE$7))))</f>
        <v/>
      </c>
      <c r="AF737" s="2223" t="str" cm="1">
        <f t="array" ref="AF737">IF($D737&lt;COLUMNS($F$7:AF$7),"",INDEX(TableDiv[[GASB]:[GASB]],_xlfn.AGGREGATE(15,3,(TableDiv[[Agency]:[Agency]]=$E737)/(TableDiv[[Agency]:[Agency]]=$E737)*(ROW(TableDiv[Agency])-ROW(TableDiv[[#Headers],[Agency]])),COLUMNS($F$7:AF$7))))</f>
        <v/>
      </c>
      <c r="AG737" s="2223" t="str" cm="1">
        <f t="array" ref="AG737">IF($D737&lt;COLUMNS($F$7:AG$7),"",INDEX(TableDiv[[GASB]:[GASB]],_xlfn.AGGREGATE(15,3,(TableDiv[[Agency]:[Agency]]=$E737)/(TableDiv[[Agency]:[Agency]]=$E737)*(ROW(TableDiv[Agency])-ROW(TableDiv[[#Headers],[Agency]])),COLUMNS($F$7:AG$7))))</f>
        <v/>
      </c>
      <c r="AH737" s="2223" t="str" cm="1">
        <f t="array" ref="AH737">IF($D737&lt;COLUMNS($F$7:AH$7),"",INDEX(TableDiv[[GASB]:[GASB]],_xlfn.AGGREGATE(15,3,(TableDiv[[Agency]:[Agency]]=$E737)/(TableDiv[[Agency]:[Agency]]=$E737)*(ROW(TableDiv[Agency])-ROW(TableDiv[[#Headers],[Agency]])),COLUMNS($F$7:AH$7))))</f>
        <v/>
      </c>
      <c r="AI737" s="2223" t="str" cm="1">
        <f t="array" ref="AI737">IF($D737&lt;COLUMNS($F$7:AI$7),"",INDEX(TableDiv[[GASB]:[GASB]],_xlfn.AGGREGATE(15,3,(TableDiv[[Agency]:[Agency]]=$E737)/(TableDiv[[Agency]:[Agency]]=$E737)*(ROW(TableDiv[Agency])-ROW(TableDiv[[#Headers],[Agency]])),COLUMNS($F$7:AI$7))))</f>
        <v/>
      </c>
      <c r="AJ737" s="2223" t="str" cm="1">
        <f t="array" ref="AJ737">IF($D737&lt;COLUMNS($F$7:AJ$7),"",INDEX(TableDiv[[GASB]:[GASB]],_xlfn.AGGREGATE(15,3,(TableDiv[[Agency]:[Agency]]=$E737)/(TableDiv[[Agency]:[Agency]]=$E737)*(ROW(TableDiv[Agency])-ROW(TableDiv[[#Headers],[Agency]])),COLUMNS($F$7:AJ$7))))</f>
        <v/>
      </c>
      <c r="AK737" s="2223" t="str" cm="1">
        <f t="array" ref="AK737">IF($D737&lt;COLUMNS($F$7:AK$7),"",INDEX(TableDiv[[GASB]:[GASB]],_xlfn.AGGREGATE(15,3,(TableDiv[[Agency]:[Agency]]=$E737)/(TableDiv[[Agency]:[Agency]]=$E737)*(ROW(TableDiv[Agency])-ROW(TableDiv[[#Headers],[Agency]])),COLUMNS($F$7:AK$7))))</f>
        <v/>
      </c>
      <c r="AL737" s="2223" t="str" cm="1">
        <f t="array" ref="AL737">IF($D737&lt;COLUMNS($F$7:AL$7),"",INDEX(TableDiv[[GASB]:[GASB]],_xlfn.AGGREGATE(15,3,(TableDiv[[Agency]:[Agency]]=$E737)/(TableDiv[[Agency]:[Agency]]=$E737)*(ROW(TableDiv[Agency])-ROW(TableDiv[[#Headers],[Agency]])),COLUMNS($F$7:AL$7))))</f>
        <v/>
      </c>
      <c r="AM737" s="2223" t="str" cm="1">
        <f t="array" ref="AM737">IF($D737&lt;COLUMNS($F$7:AM$7),"",INDEX(TableDiv[[GASB]:[GASB]],_xlfn.AGGREGATE(15,3,(TableDiv[[Agency]:[Agency]]=$E737)/(TableDiv[[Agency]:[Agency]]=$E737)*(ROW(TableDiv[Agency])-ROW(TableDiv[[#Headers],[Agency]])),COLUMNS($F$7:AM$7))))</f>
        <v/>
      </c>
      <c r="AN737" s="2223"/>
      <c r="AO737" s="2223"/>
      <c r="AP737" s="2223"/>
      <c r="AQ737" s="2223"/>
      <c r="AR737" s="2223"/>
      <c r="AS737" s="2223"/>
    </row>
    <row r="738" spans="1:45" x14ac:dyDescent="0.2">
      <c r="A738" s="2223"/>
      <c r="B738" s="2223"/>
      <c r="C738" s="2223"/>
      <c r="W738" s="2223" t="str" cm="1">
        <f t="array" ref="W738">IF($D738&lt;COLUMNS($F$7:W$7),"",INDEX(TableDiv[[GASB]:[GASB]],_xlfn.AGGREGATE(15,3,(TableDiv[[Agency]:[Agency]]=$E738)/(TableDiv[[Agency]:[Agency]]=$E738)*(ROW(TableDiv[Agency])-ROW(TableDiv[[#Headers],[Agency]])),COLUMNS($F$7:W$7))))</f>
        <v/>
      </c>
      <c r="X738" s="2223" t="str" cm="1">
        <f t="array" ref="X738">IF($D738&lt;COLUMNS($F$7:X$7),"",INDEX(TableDiv[[GASB]:[GASB]],_xlfn.AGGREGATE(15,3,(TableDiv[[Agency]:[Agency]]=$E738)/(TableDiv[[Agency]:[Agency]]=$E738)*(ROW(TableDiv[Agency])-ROW(TableDiv[[#Headers],[Agency]])),COLUMNS($F$7:X$7))))</f>
        <v/>
      </c>
      <c r="Y738" s="2223" t="str" cm="1">
        <f t="array" ref="Y738">IF($D738&lt;COLUMNS($F$7:Y$7),"",INDEX(TableDiv[[GASB]:[GASB]],_xlfn.AGGREGATE(15,3,(TableDiv[[Agency]:[Agency]]=$E738)/(TableDiv[[Agency]:[Agency]]=$E738)*(ROW(TableDiv[Agency])-ROW(TableDiv[[#Headers],[Agency]])),COLUMNS($F$7:Y$7))))</f>
        <v/>
      </c>
      <c r="Z738" s="2223" t="str" cm="1">
        <f t="array" ref="Z738">IF($D738&lt;COLUMNS($F$7:Z$7),"",INDEX(TableDiv[[GASB]:[GASB]],_xlfn.AGGREGATE(15,3,(TableDiv[[Agency]:[Agency]]=$E738)/(TableDiv[[Agency]:[Agency]]=$E738)*(ROW(TableDiv[Agency])-ROW(TableDiv[[#Headers],[Agency]])),COLUMNS($F$7:Z$7))))</f>
        <v/>
      </c>
      <c r="AA738" s="2223" t="str" cm="1">
        <f t="array" ref="AA738">IF($D738&lt;COLUMNS($F$7:AA$7),"",INDEX(TableDiv[[GASB]:[GASB]],_xlfn.AGGREGATE(15,3,(TableDiv[[Agency]:[Agency]]=$E738)/(TableDiv[[Agency]:[Agency]]=$E738)*(ROW(TableDiv[Agency])-ROW(TableDiv[[#Headers],[Agency]])),COLUMNS($F$7:AA$7))))</f>
        <v/>
      </c>
      <c r="AB738" s="2223" t="str" cm="1">
        <f t="array" ref="AB738">IF($D738&lt;COLUMNS($F$7:AB$7),"",INDEX(TableDiv[[GASB]:[GASB]],_xlfn.AGGREGATE(15,3,(TableDiv[[Agency]:[Agency]]=$E738)/(TableDiv[[Agency]:[Agency]]=$E738)*(ROW(TableDiv[Agency])-ROW(TableDiv[[#Headers],[Agency]])),COLUMNS($F$7:AB$7))))</f>
        <v/>
      </c>
      <c r="AC738" s="2223" t="str" cm="1">
        <f t="array" ref="AC738">IF($D738&lt;COLUMNS($F$7:AC$7),"",INDEX(TableDiv[[GASB]:[GASB]],_xlfn.AGGREGATE(15,3,(TableDiv[[Agency]:[Agency]]=$E738)/(TableDiv[[Agency]:[Agency]]=$E738)*(ROW(TableDiv[Agency])-ROW(TableDiv[[#Headers],[Agency]])),COLUMNS($F$7:AC$7))))</f>
        <v/>
      </c>
      <c r="AD738" s="2223" t="str" cm="1">
        <f t="array" ref="AD738">IF($D738&lt;COLUMNS($F$7:AD$7),"",INDEX(TableDiv[[GASB]:[GASB]],_xlfn.AGGREGATE(15,3,(TableDiv[[Agency]:[Agency]]=$E738)/(TableDiv[[Agency]:[Agency]]=$E738)*(ROW(TableDiv[Agency])-ROW(TableDiv[[#Headers],[Agency]])),COLUMNS($F$7:AD$7))))</f>
        <v/>
      </c>
      <c r="AE738" s="2223" t="str" cm="1">
        <f t="array" ref="AE738">IF($D738&lt;COLUMNS($F$7:AE$7),"",INDEX(TableDiv[[GASB]:[GASB]],_xlfn.AGGREGATE(15,3,(TableDiv[[Agency]:[Agency]]=$E738)/(TableDiv[[Agency]:[Agency]]=$E738)*(ROW(TableDiv[Agency])-ROW(TableDiv[[#Headers],[Agency]])),COLUMNS($F$7:AE$7))))</f>
        <v/>
      </c>
      <c r="AF738" s="2223" t="str" cm="1">
        <f t="array" ref="AF738">IF($D738&lt;COLUMNS($F$7:AF$7),"",INDEX(TableDiv[[GASB]:[GASB]],_xlfn.AGGREGATE(15,3,(TableDiv[[Agency]:[Agency]]=$E738)/(TableDiv[[Agency]:[Agency]]=$E738)*(ROW(TableDiv[Agency])-ROW(TableDiv[[#Headers],[Agency]])),COLUMNS($F$7:AF$7))))</f>
        <v/>
      </c>
      <c r="AG738" s="2223" t="str" cm="1">
        <f t="array" ref="AG738">IF($D738&lt;COLUMNS($F$7:AG$7),"",INDEX(TableDiv[[GASB]:[GASB]],_xlfn.AGGREGATE(15,3,(TableDiv[[Agency]:[Agency]]=$E738)/(TableDiv[[Agency]:[Agency]]=$E738)*(ROW(TableDiv[Agency])-ROW(TableDiv[[#Headers],[Agency]])),COLUMNS($F$7:AG$7))))</f>
        <v/>
      </c>
      <c r="AH738" s="2223" t="str" cm="1">
        <f t="array" ref="AH738">IF($D738&lt;COLUMNS($F$7:AH$7),"",INDEX(TableDiv[[GASB]:[GASB]],_xlfn.AGGREGATE(15,3,(TableDiv[[Agency]:[Agency]]=$E738)/(TableDiv[[Agency]:[Agency]]=$E738)*(ROW(TableDiv[Agency])-ROW(TableDiv[[#Headers],[Agency]])),COLUMNS($F$7:AH$7))))</f>
        <v/>
      </c>
      <c r="AI738" s="2223" t="str" cm="1">
        <f t="array" ref="AI738">IF($D738&lt;COLUMNS($F$7:AI$7),"",INDEX(TableDiv[[GASB]:[GASB]],_xlfn.AGGREGATE(15,3,(TableDiv[[Agency]:[Agency]]=$E738)/(TableDiv[[Agency]:[Agency]]=$E738)*(ROW(TableDiv[Agency])-ROW(TableDiv[[#Headers],[Agency]])),COLUMNS($F$7:AI$7))))</f>
        <v/>
      </c>
      <c r="AJ738" s="2223" t="str" cm="1">
        <f t="array" ref="AJ738">IF($D738&lt;COLUMNS($F$7:AJ$7),"",INDEX(TableDiv[[GASB]:[GASB]],_xlfn.AGGREGATE(15,3,(TableDiv[[Agency]:[Agency]]=$E738)/(TableDiv[[Agency]:[Agency]]=$E738)*(ROW(TableDiv[Agency])-ROW(TableDiv[[#Headers],[Agency]])),COLUMNS($F$7:AJ$7))))</f>
        <v/>
      </c>
      <c r="AK738" s="2223" t="str" cm="1">
        <f t="array" ref="AK738">IF($D738&lt;COLUMNS($F$7:AK$7),"",INDEX(TableDiv[[GASB]:[GASB]],_xlfn.AGGREGATE(15,3,(TableDiv[[Agency]:[Agency]]=$E738)/(TableDiv[[Agency]:[Agency]]=$E738)*(ROW(TableDiv[Agency])-ROW(TableDiv[[#Headers],[Agency]])),COLUMNS($F$7:AK$7))))</f>
        <v/>
      </c>
      <c r="AL738" s="2223" t="str" cm="1">
        <f t="array" ref="AL738">IF($D738&lt;COLUMNS($F$7:AL$7),"",INDEX(TableDiv[[GASB]:[GASB]],_xlfn.AGGREGATE(15,3,(TableDiv[[Agency]:[Agency]]=$E738)/(TableDiv[[Agency]:[Agency]]=$E738)*(ROW(TableDiv[Agency])-ROW(TableDiv[[#Headers],[Agency]])),COLUMNS($F$7:AL$7))))</f>
        <v/>
      </c>
      <c r="AM738" s="2223" t="str" cm="1">
        <f t="array" ref="AM738">IF($D738&lt;COLUMNS($F$7:AM$7),"",INDEX(TableDiv[[GASB]:[GASB]],_xlfn.AGGREGATE(15,3,(TableDiv[[Agency]:[Agency]]=$E738)/(TableDiv[[Agency]:[Agency]]=$E738)*(ROW(TableDiv[Agency])-ROW(TableDiv[[#Headers],[Agency]])),COLUMNS($F$7:AM$7))))</f>
        <v/>
      </c>
      <c r="AN738" s="2223"/>
      <c r="AO738" s="2223"/>
      <c r="AP738" s="2223"/>
      <c r="AQ738" s="2223"/>
      <c r="AR738" s="2223"/>
      <c r="AS738" s="2223"/>
    </row>
    <row r="739" spans="1:45" x14ac:dyDescent="0.2">
      <c r="A739" s="2223"/>
      <c r="B739" s="2223"/>
      <c r="C739" s="2223"/>
      <c r="W739" s="2223" t="str" cm="1">
        <f t="array" ref="W739">IF($D739&lt;COLUMNS($F$7:W$7),"",INDEX(TableDiv[[GASB]:[GASB]],_xlfn.AGGREGATE(15,3,(TableDiv[[Agency]:[Agency]]=$E739)/(TableDiv[[Agency]:[Agency]]=$E739)*(ROW(TableDiv[Agency])-ROW(TableDiv[[#Headers],[Agency]])),COLUMNS($F$7:W$7))))</f>
        <v/>
      </c>
      <c r="X739" s="2223" t="str" cm="1">
        <f t="array" ref="X739">IF($D739&lt;COLUMNS($F$7:X$7),"",INDEX(TableDiv[[GASB]:[GASB]],_xlfn.AGGREGATE(15,3,(TableDiv[[Agency]:[Agency]]=$E739)/(TableDiv[[Agency]:[Agency]]=$E739)*(ROW(TableDiv[Agency])-ROW(TableDiv[[#Headers],[Agency]])),COLUMNS($F$7:X$7))))</f>
        <v/>
      </c>
      <c r="Y739" s="2223" t="str" cm="1">
        <f t="array" ref="Y739">IF($D739&lt;COLUMNS($F$7:Y$7),"",INDEX(TableDiv[[GASB]:[GASB]],_xlfn.AGGREGATE(15,3,(TableDiv[[Agency]:[Agency]]=$E739)/(TableDiv[[Agency]:[Agency]]=$E739)*(ROW(TableDiv[Agency])-ROW(TableDiv[[#Headers],[Agency]])),COLUMNS($F$7:Y$7))))</f>
        <v/>
      </c>
      <c r="Z739" s="2223" t="str" cm="1">
        <f t="array" ref="Z739">IF($D739&lt;COLUMNS($F$7:Z$7),"",INDEX(TableDiv[[GASB]:[GASB]],_xlfn.AGGREGATE(15,3,(TableDiv[[Agency]:[Agency]]=$E739)/(TableDiv[[Agency]:[Agency]]=$E739)*(ROW(TableDiv[Agency])-ROW(TableDiv[[#Headers],[Agency]])),COLUMNS($F$7:Z$7))))</f>
        <v/>
      </c>
      <c r="AA739" s="2223" t="str" cm="1">
        <f t="array" ref="AA739">IF($D739&lt;COLUMNS($F$7:AA$7),"",INDEX(TableDiv[[GASB]:[GASB]],_xlfn.AGGREGATE(15,3,(TableDiv[[Agency]:[Agency]]=$E739)/(TableDiv[[Agency]:[Agency]]=$E739)*(ROW(TableDiv[Agency])-ROW(TableDiv[[#Headers],[Agency]])),COLUMNS($F$7:AA$7))))</f>
        <v/>
      </c>
      <c r="AB739" s="2223" t="str" cm="1">
        <f t="array" ref="AB739">IF($D739&lt;COLUMNS($F$7:AB$7),"",INDEX(TableDiv[[GASB]:[GASB]],_xlfn.AGGREGATE(15,3,(TableDiv[[Agency]:[Agency]]=$E739)/(TableDiv[[Agency]:[Agency]]=$E739)*(ROW(TableDiv[Agency])-ROW(TableDiv[[#Headers],[Agency]])),COLUMNS($F$7:AB$7))))</f>
        <v/>
      </c>
      <c r="AC739" s="2223" t="str" cm="1">
        <f t="array" ref="AC739">IF($D739&lt;COLUMNS($F$7:AC$7),"",INDEX(TableDiv[[GASB]:[GASB]],_xlfn.AGGREGATE(15,3,(TableDiv[[Agency]:[Agency]]=$E739)/(TableDiv[[Agency]:[Agency]]=$E739)*(ROW(TableDiv[Agency])-ROW(TableDiv[[#Headers],[Agency]])),COLUMNS($F$7:AC$7))))</f>
        <v/>
      </c>
      <c r="AD739" s="2223" t="str" cm="1">
        <f t="array" ref="AD739">IF($D739&lt;COLUMNS($F$7:AD$7),"",INDEX(TableDiv[[GASB]:[GASB]],_xlfn.AGGREGATE(15,3,(TableDiv[[Agency]:[Agency]]=$E739)/(TableDiv[[Agency]:[Agency]]=$E739)*(ROW(TableDiv[Agency])-ROW(TableDiv[[#Headers],[Agency]])),COLUMNS($F$7:AD$7))))</f>
        <v/>
      </c>
      <c r="AE739" s="2223" t="str" cm="1">
        <f t="array" ref="AE739">IF($D739&lt;COLUMNS($F$7:AE$7),"",INDEX(TableDiv[[GASB]:[GASB]],_xlfn.AGGREGATE(15,3,(TableDiv[[Agency]:[Agency]]=$E739)/(TableDiv[[Agency]:[Agency]]=$E739)*(ROW(TableDiv[Agency])-ROW(TableDiv[[#Headers],[Agency]])),COLUMNS($F$7:AE$7))))</f>
        <v/>
      </c>
      <c r="AF739" s="2223" t="str" cm="1">
        <f t="array" ref="AF739">IF($D739&lt;COLUMNS($F$7:AF$7),"",INDEX(TableDiv[[GASB]:[GASB]],_xlfn.AGGREGATE(15,3,(TableDiv[[Agency]:[Agency]]=$E739)/(TableDiv[[Agency]:[Agency]]=$E739)*(ROW(TableDiv[Agency])-ROW(TableDiv[[#Headers],[Agency]])),COLUMNS($F$7:AF$7))))</f>
        <v/>
      </c>
      <c r="AG739" s="2223" t="str" cm="1">
        <f t="array" ref="AG739">IF($D739&lt;COLUMNS($F$7:AG$7),"",INDEX(TableDiv[[GASB]:[GASB]],_xlfn.AGGREGATE(15,3,(TableDiv[[Agency]:[Agency]]=$E739)/(TableDiv[[Agency]:[Agency]]=$E739)*(ROW(TableDiv[Agency])-ROW(TableDiv[[#Headers],[Agency]])),COLUMNS($F$7:AG$7))))</f>
        <v/>
      </c>
      <c r="AH739" s="2223" t="str" cm="1">
        <f t="array" ref="AH739">IF($D739&lt;COLUMNS($F$7:AH$7),"",INDEX(TableDiv[[GASB]:[GASB]],_xlfn.AGGREGATE(15,3,(TableDiv[[Agency]:[Agency]]=$E739)/(TableDiv[[Agency]:[Agency]]=$E739)*(ROW(TableDiv[Agency])-ROW(TableDiv[[#Headers],[Agency]])),COLUMNS($F$7:AH$7))))</f>
        <v/>
      </c>
      <c r="AI739" s="2223" t="str" cm="1">
        <f t="array" ref="AI739">IF($D739&lt;COLUMNS($F$7:AI$7),"",INDEX(TableDiv[[GASB]:[GASB]],_xlfn.AGGREGATE(15,3,(TableDiv[[Agency]:[Agency]]=$E739)/(TableDiv[[Agency]:[Agency]]=$E739)*(ROW(TableDiv[Agency])-ROW(TableDiv[[#Headers],[Agency]])),COLUMNS($F$7:AI$7))))</f>
        <v/>
      </c>
      <c r="AJ739" s="2223" t="str" cm="1">
        <f t="array" ref="AJ739">IF($D739&lt;COLUMNS($F$7:AJ$7),"",INDEX(TableDiv[[GASB]:[GASB]],_xlfn.AGGREGATE(15,3,(TableDiv[[Agency]:[Agency]]=$E739)/(TableDiv[[Agency]:[Agency]]=$E739)*(ROW(TableDiv[Agency])-ROW(TableDiv[[#Headers],[Agency]])),COLUMNS($F$7:AJ$7))))</f>
        <v/>
      </c>
      <c r="AK739" s="2223" t="str" cm="1">
        <f t="array" ref="AK739">IF($D739&lt;COLUMNS($F$7:AK$7),"",INDEX(TableDiv[[GASB]:[GASB]],_xlfn.AGGREGATE(15,3,(TableDiv[[Agency]:[Agency]]=$E739)/(TableDiv[[Agency]:[Agency]]=$E739)*(ROW(TableDiv[Agency])-ROW(TableDiv[[#Headers],[Agency]])),COLUMNS($F$7:AK$7))))</f>
        <v/>
      </c>
      <c r="AL739" s="2223" t="str" cm="1">
        <f t="array" ref="AL739">IF($D739&lt;COLUMNS($F$7:AL$7),"",INDEX(TableDiv[[GASB]:[GASB]],_xlfn.AGGREGATE(15,3,(TableDiv[[Agency]:[Agency]]=$E739)/(TableDiv[[Agency]:[Agency]]=$E739)*(ROW(TableDiv[Agency])-ROW(TableDiv[[#Headers],[Agency]])),COLUMNS($F$7:AL$7))))</f>
        <v/>
      </c>
      <c r="AM739" s="2223" t="str" cm="1">
        <f t="array" ref="AM739">IF($D739&lt;COLUMNS($F$7:AM$7),"",INDEX(TableDiv[[GASB]:[GASB]],_xlfn.AGGREGATE(15,3,(TableDiv[[Agency]:[Agency]]=$E739)/(TableDiv[[Agency]:[Agency]]=$E739)*(ROW(TableDiv[Agency])-ROW(TableDiv[[#Headers],[Agency]])),COLUMNS($F$7:AM$7))))</f>
        <v/>
      </c>
      <c r="AN739" s="2223"/>
      <c r="AO739" s="2223"/>
      <c r="AP739" s="2223"/>
      <c r="AQ739" s="2223"/>
      <c r="AR739" s="2223"/>
      <c r="AS739" s="2223"/>
    </row>
    <row r="740" spans="1:45" x14ac:dyDescent="0.2">
      <c r="A740" s="2223"/>
      <c r="B740" s="2223"/>
      <c r="C740" s="2223"/>
      <c r="W740" s="2223" t="str" cm="1">
        <f t="array" ref="W740">IF($D740&lt;COLUMNS($F$7:W$7),"",INDEX(TableDiv[[GASB]:[GASB]],_xlfn.AGGREGATE(15,3,(TableDiv[[Agency]:[Agency]]=$E740)/(TableDiv[[Agency]:[Agency]]=$E740)*(ROW(TableDiv[Agency])-ROW(TableDiv[[#Headers],[Agency]])),COLUMNS($F$7:W$7))))</f>
        <v/>
      </c>
      <c r="X740" s="2223" t="str" cm="1">
        <f t="array" ref="X740">IF($D740&lt;COLUMNS($F$7:X$7),"",INDEX(TableDiv[[GASB]:[GASB]],_xlfn.AGGREGATE(15,3,(TableDiv[[Agency]:[Agency]]=$E740)/(TableDiv[[Agency]:[Agency]]=$E740)*(ROW(TableDiv[Agency])-ROW(TableDiv[[#Headers],[Agency]])),COLUMNS($F$7:X$7))))</f>
        <v/>
      </c>
      <c r="Y740" s="2223" t="str" cm="1">
        <f t="array" ref="Y740">IF($D740&lt;COLUMNS($F$7:Y$7),"",INDEX(TableDiv[[GASB]:[GASB]],_xlfn.AGGREGATE(15,3,(TableDiv[[Agency]:[Agency]]=$E740)/(TableDiv[[Agency]:[Agency]]=$E740)*(ROW(TableDiv[Agency])-ROW(TableDiv[[#Headers],[Agency]])),COLUMNS($F$7:Y$7))))</f>
        <v/>
      </c>
      <c r="Z740" s="2223" t="str" cm="1">
        <f t="array" ref="Z740">IF($D740&lt;COLUMNS($F$7:Z$7),"",INDEX(TableDiv[[GASB]:[GASB]],_xlfn.AGGREGATE(15,3,(TableDiv[[Agency]:[Agency]]=$E740)/(TableDiv[[Agency]:[Agency]]=$E740)*(ROW(TableDiv[Agency])-ROW(TableDiv[[#Headers],[Agency]])),COLUMNS($F$7:Z$7))))</f>
        <v/>
      </c>
      <c r="AA740" s="2223" t="str" cm="1">
        <f t="array" ref="AA740">IF($D740&lt;COLUMNS($F$7:AA$7),"",INDEX(TableDiv[[GASB]:[GASB]],_xlfn.AGGREGATE(15,3,(TableDiv[[Agency]:[Agency]]=$E740)/(TableDiv[[Agency]:[Agency]]=$E740)*(ROW(TableDiv[Agency])-ROW(TableDiv[[#Headers],[Agency]])),COLUMNS($F$7:AA$7))))</f>
        <v/>
      </c>
      <c r="AB740" s="2223" t="str" cm="1">
        <f t="array" ref="AB740">IF($D740&lt;COLUMNS($F$7:AB$7),"",INDEX(TableDiv[[GASB]:[GASB]],_xlfn.AGGREGATE(15,3,(TableDiv[[Agency]:[Agency]]=$E740)/(TableDiv[[Agency]:[Agency]]=$E740)*(ROW(TableDiv[Agency])-ROW(TableDiv[[#Headers],[Agency]])),COLUMNS($F$7:AB$7))))</f>
        <v/>
      </c>
      <c r="AC740" s="2223" t="str" cm="1">
        <f t="array" ref="AC740">IF($D740&lt;COLUMNS($F$7:AC$7),"",INDEX(TableDiv[[GASB]:[GASB]],_xlfn.AGGREGATE(15,3,(TableDiv[[Agency]:[Agency]]=$E740)/(TableDiv[[Agency]:[Agency]]=$E740)*(ROW(TableDiv[Agency])-ROW(TableDiv[[#Headers],[Agency]])),COLUMNS($F$7:AC$7))))</f>
        <v/>
      </c>
      <c r="AD740" s="2223" t="str" cm="1">
        <f t="array" ref="AD740">IF($D740&lt;COLUMNS($F$7:AD$7),"",INDEX(TableDiv[[GASB]:[GASB]],_xlfn.AGGREGATE(15,3,(TableDiv[[Agency]:[Agency]]=$E740)/(TableDiv[[Agency]:[Agency]]=$E740)*(ROW(TableDiv[Agency])-ROW(TableDiv[[#Headers],[Agency]])),COLUMNS($F$7:AD$7))))</f>
        <v/>
      </c>
      <c r="AE740" s="2223" t="str" cm="1">
        <f t="array" ref="AE740">IF($D740&lt;COLUMNS($F$7:AE$7),"",INDEX(TableDiv[[GASB]:[GASB]],_xlfn.AGGREGATE(15,3,(TableDiv[[Agency]:[Agency]]=$E740)/(TableDiv[[Agency]:[Agency]]=$E740)*(ROW(TableDiv[Agency])-ROW(TableDiv[[#Headers],[Agency]])),COLUMNS($F$7:AE$7))))</f>
        <v/>
      </c>
      <c r="AF740" s="2223" t="str" cm="1">
        <f t="array" ref="AF740">IF($D740&lt;COLUMNS($F$7:AF$7),"",INDEX(TableDiv[[GASB]:[GASB]],_xlfn.AGGREGATE(15,3,(TableDiv[[Agency]:[Agency]]=$E740)/(TableDiv[[Agency]:[Agency]]=$E740)*(ROW(TableDiv[Agency])-ROW(TableDiv[[#Headers],[Agency]])),COLUMNS($F$7:AF$7))))</f>
        <v/>
      </c>
      <c r="AG740" s="2223" t="str" cm="1">
        <f t="array" ref="AG740">IF($D740&lt;COLUMNS($F$7:AG$7),"",INDEX(TableDiv[[GASB]:[GASB]],_xlfn.AGGREGATE(15,3,(TableDiv[[Agency]:[Agency]]=$E740)/(TableDiv[[Agency]:[Agency]]=$E740)*(ROW(TableDiv[Agency])-ROW(TableDiv[[#Headers],[Agency]])),COLUMNS($F$7:AG$7))))</f>
        <v/>
      </c>
      <c r="AH740" s="2223" t="str" cm="1">
        <f t="array" ref="AH740">IF($D740&lt;COLUMNS($F$7:AH$7),"",INDEX(TableDiv[[GASB]:[GASB]],_xlfn.AGGREGATE(15,3,(TableDiv[[Agency]:[Agency]]=$E740)/(TableDiv[[Agency]:[Agency]]=$E740)*(ROW(TableDiv[Agency])-ROW(TableDiv[[#Headers],[Agency]])),COLUMNS($F$7:AH$7))))</f>
        <v/>
      </c>
      <c r="AI740" s="2223" t="str" cm="1">
        <f t="array" ref="AI740">IF($D740&lt;COLUMNS($F$7:AI$7),"",INDEX(TableDiv[[GASB]:[GASB]],_xlfn.AGGREGATE(15,3,(TableDiv[[Agency]:[Agency]]=$E740)/(TableDiv[[Agency]:[Agency]]=$E740)*(ROW(TableDiv[Agency])-ROW(TableDiv[[#Headers],[Agency]])),COLUMNS($F$7:AI$7))))</f>
        <v/>
      </c>
      <c r="AJ740" s="2223" t="str" cm="1">
        <f t="array" ref="AJ740">IF($D740&lt;COLUMNS($F$7:AJ$7),"",INDEX(TableDiv[[GASB]:[GASB]],_xlfn.AGGREGATE(15,3,(TableDiv[[Agency]:[Agency]]=$E740)/(TableDiv[[Agency]:[Agency]]=$E740)*(ROW(TableDiv[Agency])-ROW(TableDiv[[#Headers],[Agency]])),COLUMNS($F$7:AJ$7))))</f>
        <v/>
      </c>
      <c r="AK740" s="2223" t="str" cm="1">
        <f t="array" ref="AK740">IF($D740&lt;COLUMNS($F$7:AK$7),"",INDEX(TableDiv[[GASB]:[GASB]],_xlfn.AGGREGATE(15,3,(TableDiv[[Agency]:[Agency]]=$E740)/(TableDiv[[Agency]:[Agency]]=$E740)*(ROW(TableDiv[Agency])-ROW(TableDiv[[#Headers],[Agency]])),COLUMNS($F$7:AK$7))))</f>
        <v/>
      </c>
      <c r="AL740" s="2223" t="str" cm="1">
        <f t="array" ref="AL740">IF($D740&lt;COLUMNS($F$7:AL$7),"",INDEX(TableDiv[[GASB]:[GASB]],_xlfn.AGGREGATE(15,3,(TableDiv[[Agency]:[Agency]]=$E740)/(TableDiv[[Agency]:[Agency]]=$E740)*(ROW(TableDiv[Agency])-ROW(TableDiv[[#Headers],[Agency]])),COLUMNS($F$7:AL$7))))</f>
        <v/>
      </c>
      <c r="AM740" s="2223" t="str" cm="1">
        <f t="array" ref="AM740">IF($D740&lt;COLUMNS($F$7:AM$7),"",INDEX(TableDiv[[GASB]:[GASB]],_xlfn.AGGREGATE(15,3,(TableDiv[[Agency]:[Agency]]=$E740)/(TableDiv[[Agency]:[Agency]]=$E740)*(ROW(TableDiv[Agency])-ROW(TableDiv[[#Headers],[Agency]])),COLUMNS($F$7:AM$7))))</f>
        <v/>
      </c>
      <c r="AN740" s="2223"/>
      <c r="AO740" s="2223"/>
      <c r="AP740" s="2223"/>
      <c r="AQ740" s="2223"/>
      <c r="AR740" s="2223"/>
      <c r="AS740" s="2223"/>
    </row>
    <row r="741" spans="1:45" x14ac:dyDescent="0.2">
      <c r="A741" s="2223"/>
      <c r="B741" s="2223"/>
      <c r="C741" s="2223"/>
      <c r="W741" s="2223" t="str" cm="1">
        <f t="array" ref="W741">IF($D741&lt;COLUMNS($F$7:W$7),"",INDEX(TableDiv[[GASB]:[GASB]],_xlfn.AGGREGATE(15,3,(TableDiv[[Agency]:[Agency]]=$E741)/(TableDiv[[Agency]:[Agency]]=$E741)*(ROW(TableDiv[Agency])-ROW(TableDiv[[#Headers],[Agency]])),COLUMNS($F$7:W$7))))</f>
        <v/>
      </c>
      <c r="X741" s="2223" t="str" cm="1">
        <f t="array" ref="X741">IF($D741&lt;COLUMNS($F$7:X$7),"",INDEX(TableDiv[[GASB]:[GASB]],_xlfn.AGGREGATE(15,3,(TableDiv[[Agency]:[Agency]]=$E741)/(TableDiv[[Agency]:[Agency]]=$E741)*(ROW(TableDiv[Agency])-ROW(TableDiv[[#Headers],[Agency]])),COLUMNS($F$7:X$7))))</f>
        <v/>
      </c>
      <c r="Y741" s="2223" t="str" cm="1">
        <f t="array" ref="Y741">IF($D741&lt;COLUMNS($F$7:Y$7),"",INDEX(TableDiv[[GASB]:[GASB]],_xlfn.AGGREGATE(15,3,(TableDiv[[Agency]:[Agency]]=$E741)/(TableDiv[[Agency]:[Agency]]=$E741)*(ROW(TableDiv[Agency])-ROW(TableDiv[[#Headers],[Agency]])),COLUMNS($F$7:Y$7))))</f>
        <v/>
      </c>
      <c r="Z741" s="2223" t="str" cm="1">
        <f t="array" ref="Z741">IF($D741&lt;COLUMNS($F$7:Z$7),"",INDEX(TableDiv[[GASB]:[GASB]],_xlfn.AGGREGATE(15,3,(TableDiv[[Agency]:[Agency]]=$E741)/(TableDiv[[Agency]:[Agency]]=$E741)*(ROW(TableDiv[Agency])-ROW(TableDiv[[#Headers],[Agency]])),COLUMNS($F$7:Z$7))))</f>
        <v/>
      </c>
      <c r="AA741" s="2223" t="str" cm="1">
        <f t="array" ref="AA741">IF($D741&lt;COLUMNS($F$7:AA$7),"",INDEX(TableDiv[[GASB]:[GASB]],_xlfn.AGGREGATE(15,3,(TableDiv[[Agency]:[Agency]]=$E741)/(TableDiv[[Agency]:[Agency]]=$E741)*(ROW(TableDiv[Agency])-ROW(TableDiv[[#Headers],[Agency]])),COLUMNS($F$7:AA$7))))</f>
        <v/>
      </c>
      <c r="AB741" s="2223" t="str" cm="1">
        <f t="array" ref="AB741">IF($D741&lt;COLUMNS($F$7:AB$7),"",INDEX(TableDiv[[GASB]:[GASB]],_xlfn.AGGREGATE(15,3,(TableDiv[[Agency]:[Agency]]=$E741)/(TableDiv[[Agency]:[Agency]]=$E741)*(ROW(TableDiv[Agency])-ROW(TableDiv[[#Headers],[Agency]])),COLUMNS($F$7:AB$7))))</f>
        <v/>
      </c>
      <c r="AC741" s="2223" t="str" cm="1">
        <f t="array" ref="AC741">IF($D741&lt;COLUMNS($F$7:AC$7),"",INDEX(TableDiv[[GASB]:[GASB]],_xlfn.AGGREGATE(15,3,(TableDiv[[Agency]:[Agency]]=$E741)/(TableDiv[[Agency]:[Agency]]=$E741)*(ROW(TableDiv[Agency])-ROW(TableDiv[[#Headers],[Agency]])),COLUMNS($F$7:AC$7))))</f>
        <v/>
      </c>
      <c r="AD741" s="2223" t="str" cm="1">
        <f t="array" ref="AD741">IF($D741&lt;COLUMNS($F$7:AD$7),"",INDEX(TableDiv[[GASB]:[GASB]],_xlfn.AGGREGATE(15,3,(TableDiv[[Agency]:[Agency]]=$E741)/(TableDiv[[Agency]:[Agency]]=$E741)*(ROW(TableDiv[Agency])-ROW(TableDiv[[#Headers],[Agency]])),COLUMNS($F$7:AD$7))))</f>
        <v/>
      </c>
      <c r="AE741" s="2223" t="str" cm="1">
        <f t="array" ref="AE741">IF($D741&lt;COLUMNS($F$7:AE$7),"",INDEX(TableDiv[[GASB]:[GASB]],_xlfn.AGGREGATE(15,3,(TableDiv[[Agency]:[Agency]]=$E741)/(TableDiv[[Agency]:[Agency]]=$E741)*(ROW(TableDiv[Agency])-ROW(TableDiv[[#Headers],[Agency]])),COLUMNS($F$7:AE$7))))</f>
        <v/>
      </c>
      <c r="AF741" s="2223" t="str" cm="1">
        <f t="array" ref="AF741">IF($D741&lt;COLUMNS($F$7:AF$7),"",INDEX(TableDiv[[GASB]:[GASB]],_xlfn.AGGREGATE(15,3,(TableDiv[[Agency]:[Agency]]=$E741)/(TableDiv[[Agency]:[Agency]]=$E741)*(ROW(TableDiv[Agency])-ROW(TableDiv[[#Headers],[Agency]])),COLUMNS($F$7:AF$7))))</f>
        <v/>
      </c>
      <c r="AG741" s="2223" t="str" cm="1">
        <f t="array" ref="AG741">IF($D741&lt;COLUMNS($F$7:AG$7),"",INDEX(TableDiv[[GASB]:[GASB]],_xlfn.AGGREGATE(15,3,(TableDiv[[Agency]:[Agency]]=$E741)/(TableDiv[[Agency]:[Agency]]=$E741)*(ROW(TableDiv[Agency])-ROW(TableDiv[[#Headers],[Agency]])),COLUMNS($F$7:AG$7))))</f>
        <v/>
      </c>
      <c r="AH741" s="2223" t="str" cm="1">
        <f t="array" ref="AH741">IF($D741&lt;COLUMNS($F$7:AH$7),"",INDEX(TableDiv[[GASB]:[GASB]],_xlfn.AGGREGATE(15,3,(TableDiv[[Agency]:[Agency]]=$E741)/(TableDiv[[Agency]:[Agency]]=$E741)*(ROW(TableDiv[Agency])-ROW(TableDiv[[#Headers],[Agency]])),COLUMNS($F$7:AH$7))))</f>
        <v/>
      </c>
      <c r="AI741" s="2223" t="str" cm="1">
        <f t="array" ref="AI741">IF($D741&lt;COLUMNS($F$7:AI$7),"",INDEX(TableDiv[[GASB]:[GASB]],_xlfn.AGGREGATE(15,3,(TableDiv[[Agency]:[Agency]]=$E741)/(TableDiv[[Agency]:[Agency]]=$E741)*(ROW(TableDiv[Agency])-ROW(TableDiv[[#Headers],[Agency]])),COLUMNS($F$7:AI$7))))</f>
        <v/>
      </c>
      <c r="AJ741" s="2223" t="str" cm="1">
        <f t="array" ref="AJ741">IF($D741&lt;COLUMNS($F$7:AJ$7),"",INDEX(TableDiv[[GASB]:[GASB]],_xlfn.AGGREGATE(15,3,(TableDiv[[Agency]:[Agency]]=$E741)/(TableDiv[[Agency]:[Agency]]=$E741)*(ROW(TableDiv[Agency])-ROW(TableDiv[[#Headers],[Agency]])),COLUMNS($F$7:AJ$7))))</f>
        <v/>
      </c>
      <c r="AK741" s="2223" t="str" cm="1">
        <f t="array" ref="AK741">IF($D741&lt;COLUMNS($F$7:AK$7),"",INDEX(TableDiv[[GASB]:[GASB]],_xlfn.AGGREGATE(15,3,(TableDiv[[Agency]:[Agency]]=$E741)/(TableDiv[[Agency]:[Agency]]=$E741)*(ROW(TableDiv[Agency])-ROW(TableDiv[[#Headers],[Agency]])),COLUMNS($F$7:AK$7))))</f>
        <v/>
      </c>
      <c r="AL741" s="2223" t="str" cm="1">
        <f t="array" ref="AL741">IF($D741&lt;COLUMNS($F$7:AL$7),"",INDEX(TableDiv[[GASB]:[GASB]],_xlfn.AGGREGATE(15,3,(TableDiv[[Agency]:[Agency]]=$E741)/(TableDiv[[Agency]:[Agency]]=$E741)*(ROW(TableDiv[Agency])-ROW(TableDiv[[#Headers],[Agency]])),COLUMNS($F$7:AL$7))))</f>
        <v/>
      </c>
      <c r="AM741" s="2223" t="str" cm="1">
        <f t="array" ref="AM741">IF($D741&lt;COLUMNS($F$7:AM$7),"",INDEX(TableDiv[[GASB]:[GASB]],_xlfn.AGGREGATE(15,3,(TableDiv[[Agency]:[Agency]]=$E741)/(TableDiv[[Agency]:[Agency]]=$E741)*(ROW(TableDiv[Agency])-ROW(TableDiv[[#Headers],[Agency]])),COLUMNS($F$7:AM$7))))</f>
        <v/>
      </c>
      <c r="AN741" s="2223"/>
      <c r="AO741" s="2223"/>
      <c r="AP741" s="2223"/>
      <c r="AQ741" s="2223"/>
      <c r="AR741" s="2223"/>
      <c r="AS741" s="2223"/>
    </row>
    <row r="742" spans="1:45" x14ac:dyDescent="0.2">
      <c r="A742" s="2223"/>
      <c r="B742" s="2223"/>
      <c r="C742" s="2223"/>
      <c r="W742" s="2223" t="str" cm="1">
        <f t="array" ref="W742">IF($D742&lt;COLUMNS($F$7:W$7),"",INDEX(TableDiv[[GASB]:[GASB]],_xlfn.AGGREGATE(15,3,(TableDiv[[Agency]:[Agency]]=$E742)/(TableDiv[[Agency]:[Agency]]=$E742)*(ROW(TableDiv[Agency])-ROW(TableDiv[[#Headers],[Agency]])),COLUMNS($F$7:W$7))))</f>
        <v/>
      </c>
      <c r="X742" s="2223" t="str" cm="1">
        <f t="array" ref="X742">IF($D742&lt;COLUMNS($F$7:X$7),"",INDEX(TableDiv[[GASB]:[GASB]],_xlfn.AGGREGATE(15,3,(TableDiv[[Agency]:[Agency]]=$E742)/(TableDiv[[Agency]:[Agency]]=$E742)*(ROW(TableDiv[Agency])-ROW(TableDiv[[#Headers],[Agency]])),COLUMNS($F$7:X$7))))</f>
        <v/>
      </c>
      <c r="Y742" s="2223" t="str" cm="1">
        <f t="array" ref="Y742">IF($D742&lt;COLUMNS($F$7:Y$7),"",INDEX(TableDiv[[GASB]:[GASB]],_xlfn.AGGREGATE(15,3,(TableDiv[[Agency]:[Agency]]=$E742)/(TableDiv[[Agency]:[Agency]]=$E742)*(ROW(TableDiv[Agency])-ROW(TableDiv[[#Headers],[Agency]])),COLUMNS($F$7:Y$7))))</f>
        <v/>
      </c>
      <c r="Z742" s="2223" t="str" cm="1">
        <f t="array" ref="Z742">IF($D742&lt;COLUMNS($F$7:Z$7),"",INDEX(TableDiv[[GASB]:[GASB]],_xlfn.AGGREGATE(15,3,(TableDiv[[Agency]:[Agency]]=$E742)/(TableDiv[[Agency]:[Agency]]=$E742)*(ROW(TableDiv[Agency])-ROW(TableDiv[[#Headers],[Agency]])),COLUMNS($F$7:Z$7))))</f>
        <v/>
      </c>
      <c r="AA742" s="2223" t="str" cm="1">
        <f t="array" ref="AA742">IF($D742&lt;COLUMNS($F$7:AA$7),"",INDEX(TableDiv[[GASB]:[GASB]],_xlfn.AGGREGATE(15,3,(TableDiv[[Agency]:[Agency]]=$E742)/(TableDiv[[Agency]:[Agency]]=$E742)*(ROW(TableDiv[Agency])-ROW(TableDiv[[#Headers],[Agency]])),COLUMNS($F$7:AA$7))))</f>
        <v/>
      </c>
      <c r="AB742" s="2223" t="str" cm="1">
        <f t="array" ref="AB742">IF($D742&lt;COLUMNS($F$7:AB$7),"",INDEX(TableDiv[[GASB]:[GASB]],_xlfn.AGGREGATE(15,3,(TableDiv[[Agency]:[Agency]]=$E742)/(TableDiv[[Agency]:[Agency]]=$E742)*(ROW(TableDiv[Agency])-ROW(TableDiv[[#Headers],[Agency]])),COLUMNS($F$7:AB$7))))</f>
        <v/>
      </c>
      <c r="AC742" s="2223" t="str" cm="1">
        <f t="array" ref="AC742">IF($D742&lt;COLUMNS($F$7:AC$7),"",INDEX(TableDiv[[GASB]:[GASB]],_xlfn.AGGREGATE(15,3,(TableDiv[[Agency]:[Agency]]=$E742)/(TableDiv[[Agency]:[Agency]]=$E742)*(ROW(TableDiv[Agency])-ROW(TableDiv[[#Headers],[Agency]])),COLUMNS($F$7:AC$7))))</f>
        <v/>
      </c>
      <c r="AD742" s="2223" t="str" cm="1">
        <f t="array" ref="AD742">IF($D742&lt;COLUMNS($F$7:AD$7),"",INDEX(TableDiv[[GASB]:[GASB]],_xlfn.AGGREGATE(15,3,(TableDiv[[Agency]:[Agency]]=$E742)/(TableDiv[[Agency]:[Agency]]=$E742)*(ROW(TableDiv[Agency])-ROW(TableDiv[[#Headers],[Agency]])),COLUMNS($F$7:AD$7))))</f>
        <v/>
      </c>
      <c r="AE742" s="2223" t="str" cm="1">
        <f t="array" ref="AE742">IF($D742&lt;COLUMNS($F$7:AE$7),"",INDEX(TableDiv[[GASB]:[GASB]],_xlfn.AGGREGATE(15,3,(TableDiv[[Agency]:[Agency]]=$E742)/(TableDiv[[Agency]:[Agency]]=$E742)*(ROW(TableDiv[Agency])-ROW(TableDiv[[#Headers],[Agency]])),COLUMNS($F$7:AE$7))))</f>
        <v/>
      </c>
      <c r="AF742" s="2223" t="str" cm="1">
        <f t="array" ref="AF742">IF($D742&lt;COLUMNS($F$7:AF$7),"",INDEX(TableDiv[[GASB]:[GASB]],_xlfn.AGGREGATE(15,3,(TableDiv[[Agency]:[Agency]]=$E742)/(TableDiv[[Agency]:[Agency]]=$E742)*(ROW(TableDiv[Agency])-ROW(TableDiv[[#Headers],[Agency]])),COLUMNS($F$7:AF$7))))</f>
        <v/>
      </c>
      <c r="AG742" s="2223" t="str" cm="1">
        <f t="array" ref="AG742">IF($D742&lt;COLUMNS($F$7:AG$7),"",INDEX(TableDiv[[GASB]:[GASB]],_xlfn.AGGREGATE(15,3,(TableDiv[[Agency]:[Agency]]=$E742)/(TableDiv[[Agency]:[Agency]]=$E742)*(ROW(TableDiv[Agency])-ROW(TableDiv[[#Headers],[Agency]])),COLUMNS($F$7:AG$7))))</f>
        <v/>
      </c>
      <c r="AH742" s="2223" t="str" cm="1">
        <f t="array" ref="AH742">IF($D742&lt;COLUMNS($F$7:AH$7),"",INDEX(TableDiv[[GASB]:[GASB]],_xlfn.AGGREGATE(15,3,(TableDiv[[Agency]:[Agency]]=$E742)/(TableDiv[[Agency]:[Agency]]=$E742)*(ROW(TableDiv[Agency])-ROW(TableDiv[[#Headers],[Agency]])),COLUMNS($F$7:AH$7))))</f>
        <v/>
      </c>
      <c r="AI742" s="2223" t="str" cm="1">
        <f t="array" ref="AI742">IF($D742&lt;COLUMNS($F$7:AI$7),"",INDEX(TableDiv[[GASB]:[GASB]],_xlfn.AGGREGATE(15,3,(TableDiv[[Agency]:[Agency]]=$E742)/(TableDiv[[Agency]:[Agency]]=$E742)*(ROW(TableDiv[Agency])-ROW(TableDiv[[#Headers],[Agency]])),COLUMNS($F$7:AI$7))))</f>
        <v/>
      </c>
      <c r="AJ742" s="2223" t="str" cm="1">
        <f t="array" ref="AJ742">IF($D742&lt;COLUMNS($F$7:AJ$7),"",INDEX(TableDiv[[GASB]:[GASB]],_xlfn.AGGREGATE(15,3,(TableDiv[[Agency]:[Agency]]=$E742)/(TableDiv[[Agency]:[Agency]]=$E742)*(ROW(TableDiv[Agency])-ROW(TableDiv[[#Headers],[Agency]])),COLUMNS($F$7:AJ$7))))</f>
        <v/>
      </c>
      <c r="AK742" s="2223" t="str" cm="1">
        <f t="array" ref="AK742">IF($D742&lt;COLUMNS($F$7:AK$7),"",INDEX(TableDiv[[GASB]:[GASB]],_xlfn.AGGREGATE(15,3,(TableDiv[[Agency]:[Agency]]=$E742)/(TableDiv[[Agency]:[Agency]]=$E742)*(ROW(TableDiv[Agency])-ROW(TableDiv[[#Headers],[Agency]])),COLUMNS($F$7:AK$7))))</f>
        <v/>
      </c>
      <c r="AL742" s="2223" t="str" cm="1">
        <f t="array" ref="AL742">IF($D742&lt;COLUMNS($F$7:AL$7),"",INDEX(TableDiv[[GASB]:[GASB]],_xlfn.AGGREGATE(15,3,(TableDiv[[Agency]:[Agency]]=$E742)/(TableDiv[[Agency]:[Agency]]=$E742)*(ROW(TableDiv[Agency])-ROW(TableDiv[[#Headers],[Agency]])),COLUMNS($F$7:AL$7))))</f>
        <v/>
      </c>
      <c r="AM742" s="2223" t="str" cm="1">
        <f t="array" ref="AM742">IF($D742&lt;COLUMNS($F$7:AM$7),"",INDEX(TableDiv[[GASB]:[GASB]],_xlfn.AGGREGATE(15,3,(TableDiv[[Agency]:[Agency]]=$E742)/(TableDiv[[Agency]:[Agency]]=$E742)*(ROW(TableDiv[Agency])-ROW(TableDiv[[#Headers],[Agency]])),COLUMNS($F$7:AM$7))))</f>
        <v/>
      </c>
      <c r="AN742" s="2223"/>
      <c r="AO742" s="2223"/>
      <c r="AP742" s="2223"/>
      <c r="AQ742" s="2223"/>
      <c r="AR742" s="2223"/>
      <c r="AS742" s="2223"/>
    </row>
    <row r="743" spans="1:45" x14ac:dyDescent="0.2">
      <c r="A743" s="2223"/>
      <c r="B743" s="2223"/>
      <c r="C743" s="2223"/>
      <c r="W743" s="2223" t="str" cm="1">
        <f t="array" ref="W743">IF($D743&lt;COLUMNS($F$7:W$7),"",INDEX(TableDiv[[GASB]:[GASB]],_xlfn.AGGREGATE(15,3,(TableDiv[[Agency]:[Agency]]=$E743)/(TableDiv[[Agency]:[Agency]]=$E743)*(ROW(TableDiv[Agency])-ROW(TableDiv[[#Headers],[Agency]])),COLUMNS($F$7:W$7))))</f>
        <v/>
      </c>
      <c r="X743" s="2223" t="str" cm="1">
        <f t="array" ref="X743">IF($D743&lt;COLUMNS($F$7:X$7),"",INDEX(TableDiv[[GASB]:[GASB]],_xlfn.AGGREGATE(15,3,(TableDiv[[Agency]:[Agency]]=$E743)/(TableDiv[[Agency]:[Agency]]=$E743)*(ROW(TableDiv[Agency])-ROW(TableDiv[[#Headers],[Agency]])),COLUMNS($F$7:X$7))))</f>
        <v/>
      </c>
      <c r="Y743" s="2223" t="str" cm="1">
        <f t="array" ref="Y743">IF($D743&lt;COLUMNS($F$7:Y$7),"",INDEX(TableDiv[[GASB]:[GASB]],_xlfn.AGGREGATE(15,3,(TableDiv[[Agency]:[Agency]]=$E743)/(TableDiv[[Agency]:[Agency]]=$E743)*(ROW(TableDiv[Agency])-ROW(TableDiv[[#Headers],[Agency]])),COLUMNS($F$7:Y$7))))</f>
        <v/>
      </c>
      <c r="Z743" s="2223" t="str" cm="1">
        <f t="array" ref="Z743">IF($D743&lt;COLUMNS($F$7:Z$7),"",INDEX(TableDiv[[GASB]:[GASB]],_xlfn.AGGREGATE(15,3,(TableDiv[[Agency]:[Agency]]=$E743)/(TableDiv[[Agency]:[Agency]]=$E743)*(ROW(TableDiv[Agency])-ROW(TableDiv[[#Headers],[Agency]])),COLUMNS($F$7:Z$7))))</f>
        <v/>
      </c>
      <c r="AA743" s="2223" t="str" cm="1">
        <f t="array" ref="AA743">IF($D743&lt;COLUMNS($F$7:AA$7),"",INDEX(TableDiv[[GASB]:[GASB]],_xlfn.AGGREGATE(15,3,(TableDiv[[Agency]:[Agency]]=$E743)/(TableDiv[[Agency]:[Agency]]=$E743)*(ROW(TableDiv[Agency])-ROW(TableDiv[[#Headers],[Agency]])),COLUMNS($F$7:AA$7))))</f>
        <v/>
      </c>
      <c r="AB743" s="2223" t="str" cm="1">
        <f t="array" ref="AB743">IF($D743&lt;COLUMNS($F$7:AB$7),"",INDEX(TableDiv[[GASB]:[GASB]],_xlfn.AGGREGATE(15,3,(TableDiv[[Agency]:[Agency]]=$E743)/(TableDiv[[Agency]:[Agency]]=$E743)*(ROW(TableDiv[Agency])-ROW(TableDiv[[#Headers],[Agency]])),COLUMNS($F$7:AB$7))))</f>
        <v/>
      </c>
      <c r="AC743" s="2223" t="str" cm="1">
        <f t="array" ref="AC743">IF($D743&lt;COLUMNS($F$7:AC$7),"",INDEX(TableDiv[[GASB]:[GASB]],_xlfn.AGGREGATE(15,3,(TableDiv[[Agency]:[Agency]]=$E743)/(TableDiv[[Agency]:[Agency]]=$E743)*(ROW(TableDiv[Agency])-ROW(TableDiv[[#Headers],[Agency]])),COLUMNS($F$7:AC$7))))</f>
        <v/>
      </c>
      <c r="AD743" s="2223" t="str" cm="1">
        <f t="array" ref="AD743">IF($D743&lt;COLUMNS($F$7:AD$7),"",INDEX(TableDiv[[GASB]:[GASB]],_xlfn.AGGREGATE(15,3,(TableDiv[[Agency]:[Agency]]=$E743)/(TableDiv[[Agency]:[Agency]]=$E743)*(ROW(TableDiv[Agency])-ROW(TableDiv[[#Headers],[Agency]])),COLUMNS($F$7:AD$7))))</f>
        <v/>
      </c>
      <c r="AE743" s="2223" t="str" cm="1">
        <f t="array" ref="AE743">IF($D743&lt;COLUMNS($F$7:AE$7),"",INDEX(TableDiv[[GASB]:[GASB]],_xlfn.AGGREGATE(15,3,(TableDiv[[Agency]:[Agency]]=$E743)/(TableDiv[[Agency]:[Agency]]=$E743)*(ROW(TableDiv[Agency])-ROW(TableDiv[[#Headers],[Agency]])),COLUMNS($F$7:AE$7))))</f>
        <v/>
      </c>
      <c r="AF743" s="2223" t="str" cm="1">
        <f t="array" ref="AF743">IF($D743&lt;COLUMNS($F$7:AF$7),"",INDEX(TableDiv[[GASB]:[GASB]],_xlfn.AGGREGATE(15,3,(TableDiv[[Agency]:[Agency]]=$E743)/(TableDiv[[Agency]:[Agency]]=$E743)*(ROW(TableDiv[Agency])-ROW(TableDiv[[#Headers],[Agency]])),COLUMNS($F$7:AF$7))))</f>
        <v/>
      </c>
      <c r="AG743" s="2223" t="str" cm="1">
        <f t="array" ref="AG743">IF($D743&lt;COLUMNS($F$7:AG$7),"",INDEX(TableDiv[[GASB]:[GASB]],_xlfn.AGGREGATE(15,3,(TableDiv[[Agency]:[Agency]]=$E743)/(TableDiv[[Agency]:[Agency]]=$E743)*(ROW(TableDiv[Agency])-ROW(TableDiv[[#Headers],[Agency]])),COLUMNS($F$7:AG$7))))</f>
        <v/>
      </c>
      <c r="AH743" s="2223" t="str" cm="1">
        <f t="array" ref="AH743">IF($D743&lt;COLUMNS($F$7:AH$7),"",INDEX(TableDiv[[GASB]:[GASB]],_xlfn.AGGREGATE(15,3,(TableDiv[[Agency]:[Agency]]=$E743)/(TableDiv[[Agency]:[Agency]]=$E743)*(ROW(TableDiv[Agency])-ROW(TableDiv[[#Headers],[Agency]])),COLUMNS($F$7:AH$7))))</f>
        <v/>
      </c>
      <c r="AI743" s="2223" t="str" cm="1">
        <f t="array" ref="AI743">IF($D743&lt;COLUMNS($F$7:AI$7),"",INDEX(TableDiv[[GASB]:[GASB]],_xlfn.AGGREGATE(15,3,(TableDiv[[Agency]:[Agency]]=$E743)/(TableDiv[[Agency]:[Agency]]=$E743)*(ROW(TableDiv[Agency])-ROW(TableDiv[[#Headers],[Agency]])),COLUMNS($F$7:AI$7))))</f>
        <v/>
      </c>
      <c r="AJ743" s="2223" t="str" cm="1">
        <f t="array" ref="AJ743">IF($D743&lt;COLUMNS($F$7:AJ$7),"",INDEX(TableDiv[[GASB]:[GASB]],_xlfn.AGGREGATE(15,3,(TableDiv[[Agency]:[Agency]]=$E743)/(TableDiv[[Agency]:[Agency]]=$E743)*(ROW(TableDiv[Agency])-ROW(TableDiv[[#Headers],[Agency]])),COLUMNS($F$7:AJ$7))))</f>
        <v/>
      </c>
      <c r="AK743" s="2223" t="str" cm="1">
        <f t="array" ref="AK743">IF($D743&lt;COLUMNS($F$7:AK$7),"",INDEX(TableDiv[[GASB]:[GASB]],_xlfn.AGGREGATE(15,3,(TableDiv[[Agency]:[Agency]]=$E743)/(TableDiv[[Agency]:[Agency]]=$E743)*(ROW(TableDiv[Agency])-ROW(TableDiv[[#Headers],[Agency]])),COLUMNS($F$7:AK$7))))</f>
        <v/>
      </c>
      <c r="AL743" s="2223" t="str" cm="1">
        <f t="array" ref="AL743">IF($D743&lt;COLUMNS($F$7:AL$7),"",INDEX(TableDiv[[GASB]:[GASB]],_xlfn.AGGREGATE(15,3,(TableDiv[[Agency]:[Agency]]=$E743)/(TableDiv[[Agency]:[Agency]]=$E743)*(ROW(TableDiv[Agency])-ROW(TableDiv[[#Headers],[Agency]])),COLUMNS($F$7:AL$7))))</f>
        <v/>
      </c>
      <c r="AM743" s="2223" t="str" cm="1">
        <f t="array" ref="AM743">IF($D743&lt;COLUMNS($F$7:AM$7),"",INDEX(TableDiv[[GASB]:[GASB]],_xlfn.AGGREGATE(15,3,(TableDiv[[Agency]:[Agency]]=$E743)/(TableDiv[[Agency]:[Agency]]=$E743)*(ROW(TableDiv[Agency])-ROW(TableDiv[[#Headers],[Agency]])),COLUMNS($F$7:AM$7))))</f>
        <v/>
      </c>
      <c r="AN743" s="2223"/>
      <c r="AO743" s="2223"/>
      <c r="AP743" s="2223"/>
      <c r="AQ743" s="2223"/>
      <c r="AR743" s="2223"/>
      <c r="AS743" s="2223"/>
    </row>
    <row r="744" spans="1:45" x14ac:dyDescent="0.2">
      <c r="A744" s="2223"/>
      <c r="B744" s="2223"/>
      <c r="C744" s="2223"/>
      <c r="W744" s="2223" t="str" cm="1">
        <f t="array" ref="W744">IF($D744&lt;COLUMNS($F$7:W$7),"",INDEX(TableDiv[[GASB]:[GASB]],_xlfn.AGGREGATE(15,3,(TableDiv[[Agency]:[Agency]]=$E744)/(TableDiv[[Agency]:[Agency]]=$E744)*(ROW(TableDiv[Agency])-ROW(TableDiv[[#Headers],[Agency]])),COLUMNS($F$7:W$7))))</f>
        <v/>
      </c>
      <c r="X744" s="2223" t="str" cm="1">
        <f t="array" ref="X744">IF($D744&lt;COLUMNS($F$7:X$7),"",INDEX(TableDiv[[GASB]:[GASB]],_xlfn.AGGREGATE(15,3,(TableDiv[[Agency]:[Agency]]=$E744)/(TableDiv[[Agency]:[Agency]]=$E744)*(ROW(TableDiv[Agency])-ROW(TableDiv[[#Headers],[Agency]])),COLUMNS($F$7:X$7))))</f>
        <v/>
      </c>
      <c r="Y744" s="2223" t="str" cm="1">
        <f t="array" ref="Y744">IF($D744&lt;COLUMNS($F$7:Y$7),"",INDEX(TableDiv[[GASB]:[GASB]],_xlfn.AGGREGATE(15,3,(TableDiv[[Agency]:[Agency]]=$E744)/(TableDiv[[Agency]:[Agency]]=$E744)*(ROW(TableDiv[Agency])-ROW(TableDiv[[#Headers],[Agency]])),COLUMNS($F$7:Y$7))))</f>
        <v/>
      </c>
      <c r="Z744" s="2223" t="str" cm="1">
        <f t="array" ref="Z744">IF($D744&lt;COLUMNS($F$7:Z$7),"",INDEX(TableDiv[[GASB]:[GASB]],_xlfn.AGGREGATE(15,3,(TableDiv[[Agency]:[Agency]]=$E744)/(TableDiv[[Agency]:[Agency]]=$E744)*(ROW(TableDiv[Agency])-ROW(TableDiv[[#Headers],[Agency]])),COLUMNS($F$7:Z$7))))</f>
        <v/>
      </c>
      <c r="AA744" s="2223" t="str" cm="1">
        <f t="array" ref="AA744">IF($D744&lt;COLUMNS($F$7:AA$7),"",INDEX(TableDiv[[GASB]:[GASB]],_xlfn.AGGREGATE(15,3,(TableDiv[[Agency]:[Agency]]=$E744)/(TableDiv[[Agency]:[Agency]]=$E744)*(ROW(TableDiv[Agency])-ROW(TableDiv[[#Headers],[Agency]])),COLUMNS($F$7:AA$7))))</f>
        <v/>
      </c>
      <c r="AB744" s="2223" t="str" cm="1">
        <f t="array" ref="AB744">IF($D744&lt;COLUMNS($F$7:AB$7),"",INDEX(TableDiv[[GASB]:[GASB]],_xlfn.AGGREGATE(15,3,(TableDiv[[Agency]:[Agency]]=$E744)/(TableDiv[[Agency]:[Agency]]=$E744)*(ROW(TableDiv[Agency])-ROW(TableDiv[[#Headers],[Agency]])),COLUMNS($F$7:AB$7))))</f>
        <v/>
      </c>
      <c r="AC744" s="2223" t="str" cm="1">
        <f t="array" ref="AC744">IF($D744&lt;COLUMNS($F$7:AC$7),"",INDEX(TableDiv[[GASB]:[GASB]],_xlfn.AGGREGATE(15,3,(TableDiv[[Agency]:[Agency]]=$E744)/(TableDiv[[Agency]:[Agency]]=$E744)*(ROW(TableDiv[Agency])-ROW(TableDiv[[#Headers],[Agency]])),COLUMNS($F$7:AC$7))))</f>
        <v/>
      </c>
      <c r="AD744" s="2223" t="str" cm="1">
        <f t="array" ref="AD744">IF($D744&lt;COLUMNS($F$7:AD$7),"",INDEX(TableDiv[[GASB]:[GASB]],_xlfn.AGGREGATE(15,3,(TableDiv[[Agency]:[Agency]]=$E744)/(TableDiv[[Agency]:[Agency]]=$E744)*(ROW(TableDiv[Agency])-ROW(TableDiv[[#Headers],[Agency]])),COLUMNS($F$7:AD$7))))</f>
        <v/>
      </c>
      <c r="AE744" s="2223" t="str" cm="1">
        <f t="array" ref="AE744">IF($D744&lt;COLUMNS($F$7:AE$7),"",INDEX(TableDiv[[GASB]:[GASB]],_xlfn.AGGREGATE(15,3,(TableDiv[[Agency]:[Agency]]=$E744)/(TableDiv[[Agency]:[Agency]]=$E744)*(ROW(TableDiv[Agency])-ROW(TableDiv[[#Headers],[Agency]])),COLUMNS($F$7:AE$7))))</f>
        <v/>
      </c>
      <c r="AF744" s="2223" t="str" cm="1">
        <f t="array" ref="AF744">IF($D744&lt;COLUMNS($F$7:AF$7),"",INDEX(TableDiv[[GASB]:[GASB]],_xlfn.AGGREGATE(15,3,(TableDiv[[Agency]:[Agency]]=$E744)/(TableDiv[[Agency]:[Agency]]=$E744)*(ROW(TableDiv[Agency])-ROW(TableDiv[[#Headers],[Agency]])),COLUMNS($F$7:AF$7))))</f>
        <v/>
      </c>
      <c r="AG744" s="2223" t="str" cm="1">
        <f t="array" ref="AG744">IF($D744&lt;COLUMNS($F$7:AG$7),"",INDEX(TableDiv[[GASB]:[GASB]],_xlfn.AGGREGATE(15,3,(TableDiv[[Agency]:[Agency]]=$E744)/(TableDiv[[Agency]:[Agency]]=$E744)*(ROW(TableDiv[Agency])-ROW(TableDiv[[#Headers],[Agency]])),COLUMNS($F$7:AG$7))))</f>
        <v/>
      </c>
      <c r="AH744" s="2223" t="str" cm="1">
        <f t="array" ref="AH744">IF($D744&lt;COLUMNS($F$7:AH$7),"",INDEX(TableDiv[[GASB]:[GASB]],_xlfn.AGGREGATE(15,3,(TableDiv[[Agency]:[Agency]]=$E744)/(TableDiv[[Agency]:[Agency]]=$E744)*(ROW(TableDiv[Agency])-ROW(TableDiv[[#Headers],[Agency]])),COLUMNS($F$7:AH$7))))</f>
        <v/>
      </c>
      <c r="AI744" s="2223" t="str" cm="1">
        <f t="array" ref="AI744">IF($D744&lt;COLUMNS($F$7:AI$7),"",INDEX(TableDiv[[GASB]:[GASB]],_xlfn.AGGREGATE(15,3,(TableDiv[[Agency]:[Agency]]=$E744)/(TableDiv[[Agency]:[Agency]]=$E744)*(ROW(TableDiv[Agency])-ROW(TableDiv[[#Headers],[Agency]])),COLUMNS($F$7:AI$7))))</f>
        <v/>
      </c>
      <c r="AJ744" s="2223" t="str" cm="1">
        <f t="array" ref="AJ744">IF($D744&lt;COLUMNS($F$7:AJ$7),"",INDEX(TableDiv[[GASB]:[GASB]],_xlfn.AGGREGATE(15,3,(TableDiv[[Agency]:[Agency]]=$E744)/(TableDiv[[Agency]:[Agency]]=$E744)*(ROW(TableDiv[Agency])-ROW(TableDiv[[#Headers],[Agency]])),COLUMNS($F$7:AJ$7))))</f>
        <v/>
      </c>
      <c r="AK744" s="2223" t="str" cm="1">
        <f t="array" ref="AK744">IF($D744&lt;COLUMNS($F$7:AK$7),"",INDEX(TableDiv[[GASB]:[GASB]],_xlfn.AGGREGATE(15,3,(TableDiv[[Agency]:[Agency]]=$E744)/(TableDiv[[Agency]:[Agency]]=$E744)*(ROW(TableDiv[Agency])-ROW(TableDiv[[#Headers],[Agency]])),COLUMNS($F$7:AK$7))))</f>
        <v/>
      </c>
      <c r="AL744" s="2223" t="str" cm="1">
        <f t="array" ref="AL744">IF($D744&lt;COLUMNS($F$7:AL$7),"",INDEX(TableDiv[[GASB]:[GASB]],_xlfn.AGGREGATE(15,3,(TableDiv[[Agency]:[Agency]]=$E744)/(TableDiv[[Agency]:[Agency]]=$E744)*(ROW(TableDiv[Agency])-ROW(TableDiv[[#Headers],[Agency]])),COLUMNS($F$7:AL$7))))</f>
        <v/>
      </c>
      <c r="AM744" s="2223" t="str" cm="1">
        <f t="array" ref="AM744">IF($D744&lt;COLUMNS($F$7:AM$7),"",INDEX(TableDiv[[GASB]:[GASB]],_xlfn.AGGREGATE(15,3,(TableDiv[[Agency]:[Agency]]=$E744)/(TableDiv[[Agency]:[Agency]]=$E744)*(ROW(TableDiv[Agency])-ROW(TableDiv[[#Headers],[Agency]])),COLUMNS($F$7:AM$7))))</f>
        <v/>
      </c>
      <c r="AN744" s="2223"/>
      <c r="AO744" s="2223"/>
      <c r="AP744" s="2223"/>
      <c r="AQ744" s="2223"/>
      <c r="AR744" s="2223"/>
      <c r="AS744" s="2223"/>
    </row>
    <row r="745" spans="1:45" x14ac:dyDescent="0.2">
      <c r="A745" s="2223"/>
      <c r="B745" s="2223"/>
      <c r="C745" s="2223"/>
      <c r="W745" s="2223" t="str" cm="1">
        <f t="array" ref="W745">IF($D745&lt;COLUMNS($F$7:W$7),"",INDEX(TableDiv[[GASB]:[GASB]],_xlfn.AGGREGATE(15,3,(TableDiv[[Agency]:[Agency]]=$E745)/(TableDiv[[Agency]:[Agency]]=$E745)*(ROW(TableDiv[Agency])-ROW(TableDiv[[#Headers],[Agency]])),COLUMNS($F$7:W$7))))</f>
        <v/>
      </c>
      <c r="X745" s="2223" t="str" cm="1">
        <f t="array" ref="X745">IF($D745&lt;COLUMNS($F$7:X$7),"",INDEX(TableDiv[[GASB]:[GASB]],_xlfn.AGGREGATE(15,3,(TableDiv[[Agency]:[Agency]]=$E745)/(TableDiv[[Agency]:[Agency]]=$E745)*(ROW(TableDiv[Agency])-ROW(TableDiv[[#Headers],[Agency]])),COLUMNS($F$7:X$7))))</f>
        <v/>
      </c>
      <c r="Y745" s="2223" t="str" cm="1">
        <f t="array" ref="Y745">IF($D745&lt;COLUMNS($F$7:Y$7),"",INDEX(TableDiv[[GASB]:[GASB]],_xlfn.AGGREGATE(15,3,(TableDiv[[Agency]:[Agency]]=$E745)/(TableDiv[[Agency]:[Agency]]=$E745)*(ROW(TableDiv[Agency])-ROW(TableDiv[[#Headers],[Agency]])),COLUMNS($F$7:Y$7))))</f>
        <v/>
      </c>
      <c r="Z745" s="2223" t="str" cm="1">
        <f t="array" ref="Z745">IF($D745&lt;COLUMNS($F$7:Z$7),"",INDEX(TableDiv[[GASB]:[GASB]],_xlfn.AGGREGATE(15,3,(TableDiv[[Agency]:[Agency]]=$E745)/(TableDiv[[Agency]:[Agency]]=$E745)*(ROW(TableDiv[Agency])-ROW(TableDiv[[#Headers],[Agency]])),COLUMNS($F$7:Z$7))))</f>
        <v/>
      </c>
      <c r="AA745" s="2223" t="str" cm="1">
        <f t="array" ref="AA745">IF($D745&lt;COLUMNS($F$7:AA$7),"",INDEX(TableDiv[[GASB]:[GASB]],_xlfn.AGGREGATE(15,3,(TableDiv[[Agency]:[Agency]]=$E745)/(TableDiv[[Agency]:[Agency]]=$E745)*(ROW(TableDiv[Agency])-ROW(TableDiv[[#Headers],[Agency]])),COLUMNS($F$7:AA$7))))</f>
        <v/>
      </c>
      <c r="AB745" s="2223" t="str" cm="1">
        <f t="array" ref="AB745">IF($D745&lt;COLUMNS($F$7:AB$7),"",INDEX(TableDiv[[GASB]:[GASB]],_xlfn.AGGREGATE(15,3,(TableDiv[[Agency]:[Agency]]=$E745)/(TableDiv[[Agency]:[Agency]]=$E745)*(ROW(TableDiv[Agency])-ROW(TableDiv[[#Headers],[Agency]])),COLUMNS($F$7:AB$7))))</f>
        <v/>
      </c>
      <c r="AC745" s="2223" t="str" cm="1">
        <f t="array" ref="AC745">IF($D745&lt;COLUMNS($F$7:AC$7),"",INDEX(TableDiv[[GASB]:[GASB]],_xlfn.AGGREGATE(15,3,(TableDiv[[Agency]:[Agency]]=$E745)/(TableDiv[[Agency]:[Agency]]=$E745)*(ROW(TableDiv[Agency])-ROW(TableDiv[[#Headers],[Agency]])),COLUMNS($F$7:AC$7))))</f>
        <v/>
      </c>
      <c r="AD745" s="2223" t="str" cm="1">
        <f t="array" ref="AD745">IF($D745&lt;COLUMNS($F$7:AD$7),"",INDEX(TableDiv[[GASB]:[GASB]],_xlfn.AGGREGATE(15,3,(TableDiv[[Agency]:[Agency]]=$E745)/(TableDiv[[Agency]:[Agency]]=$E745)*(ROW(TableDiv[Agency])-ROW(TableDiv[[#Headers],[Agency]])),COLUMNS($F$7:AD$7))))</f>
        <v/>
      </c>
      <c r="AE745" s="2223" t="str" cm="1">
        <f t="array" ref="AE745">IF($D745&lt;COLUMNS($F$7:AE$7),"",INDEX(TableDiv[[GASB]:[GASB]],_xlfn.AGGREGATE(15,3,(TableDiv[[Agency]:[Agency]]=$E745)/(TableDiv[[Agency]:[Agency]]=$E745)*(ROW(TableDiv[Agency])-ROW(TableDiv[[#Headers],[Agency]])),COLUMNS($F$7:AE$7))))</f>
        <v/>
      </c>
      <c r="AF745" s="2223" t="str" cm="1">
        <f t="array" ref="AF745">IF($D745&lt;COLUMNS($F$7:AF$7),"",INDEX(TableDiv[[GASB]:[GASB]],_xlfn.AGGREGATE(15,3,(TableDiv[[Agency]:[Agency]]=$E745)/(TableDiv[[Agency]:[Agency]]=$E745)*(ROW(TableDiv[Agency])-ROW(TableDiv[[#Headers],[Agency]])),COLUMNS($F$7:AF$7))))</f>
        <v/>
      </c>
      <c r="AG745" s="2223" t="str" cm="1">
        <f t="array" ref="AG745">IF($D745&lt;COLUMNS($F$7:AG$7),"",INDEX(TableDiv[[GASB]:[GASB]],_xlfn.AGGREGATE(15,3,(TableDiv[[Agency]:[Agency]]=$E745)/(TableDiv[[Agency]:[Agency]]=$E745)*(ROW(TableDiv[Agency])-ROW(TableDiv[[#Headers],[Agency]])),COLUMNS($F$7:AG$7))))</f>
        <v/>
      </c>
      <c r="AH745" s="2223" t="str" cm="1">
        <f t="array" ref="AH745">IF($D745&lt;COLUMNS($F$7:AH$7),"",INDEX(TableDiv[[GASB]:[GASB]],_xlfn.AGGREGATE(15,3,(TableDiv[[Agency]:[Agency]]=$E745)/(TableDiv[[Agency]:[Agency]]=$E745)*(ROW(TableDiv[Agency])-ROW(TableDiv[[#Headers],[Agency]])),COLUMNS($F$7:AH$7))))</f>
        <v/>
      </c>
      <c r="AI745" s="2223" t="str" cm="1">
        <f t="array" ref="AI745">IF($D745&lt;COLUMNS($F$7:AI$7),"",INDEX(TableDiv[[GASB]:[GASB]],_xlfn.AGGREGATE(15,3,(TableDiv[[Agency]:[Agency]]=$E745)/(TableDiv[[Agency]:[Agency]]=$E745)*(ROW(TableDiv[Agency])-ROW(TableDiv[[#Headers],[Agency]])),COLUMNS($F$7:AI$7))))</f>
        <v/>
      </c>
      <c r="AJ745" s="2223" t="str" cm="1">
        <f t="array" ref="AJ745">IF($D745&lt;COLUMNS($F$7:AJ$7),"",INDEX(TableDiv[[GASB]:[GASB]],_xlfn.AGGREGATE(15,3,(TableDiv[[Agency]:[Agency]]=$E745)/(TableDiv[[Agency]:[Agency]]=$E745)*(ROW(TableDiv[Agency])-ROW(TableDiv[[#Headers],[Agency]])),COLUMNS($F$7:AJ$7))))</f>
        <v/>
      </c>
      <c r="AK745" s="2223" t="str" cm="1">
        <f t="array" ref="AK745">IF($D745&lt;COLUMNS($F$7:AK$7),"",INDEX(TableDiv[[GASB]:[GASB]],_xlfn.AGGREGATE(15,3,(TableDiv[[Agency]:[Agency]]=$E745)/(TableDiv[[Agency]:[Agency]]=$E745)*(ROW(TableDiv[Agency])-ROW(TableDiv[[#Headers],[Agency]])),COLUMNS($F$7:AK$7))))</f>
        <v/>
      </c>
      <c r="AL745" s="2223" t="str" cm="1">
        <f t="array" ref="AL745">IF($D745&lt;COLUMNS($F$7:AL$7),"",INDEX(TableDiv[[GASB]:[GASB]],_xlfn.AGGREGATE(15,3,(TableDiv[[Agency]:[Agency]]=$E745)/(TableDiv[[Agency]:[Agency]]=$E745)*(ROW(TableDiv[Agency])-ROW(TableDiv[[#Headers],[Agency]])),COLUMNS($F$7:AL$7))))</f>
        <v/>
      </c>
      <c r="AM745" s="2223" t="str" cm="1">
        <f t="array" ref="AM745">IF($D745&lt;COLUMNS($F$7:AM$7),"",INDEX(TableDiv[[GASB]:[GASB]],_xlfn.AGGREGATE(15,3,(TableDiv[[Agency]:[Agency]]=$E745)/(TableDiv[[Agency]:[Agency]]=$E745)*(ROW(TableDiv[Agency])-ROW(TableDiv[[#Headers],[Agency]])),COLUMNS($F$7:AM$7))))</f>
        <v/>
      </c>
      <c r="AN745" s="2223"/>
      <c r="AO745" s="2223"/>
      <c r="AP745" s="2223"/>
      <c r="AQ745" s="2223"/>
      <c r="AR745" s="2223"/>
      <c r="AS745" s="2223"/>
    </row>
    <row r="746" spans="1:45" x14ac:dyDescent="0.2">
      <c r="A746" s="2223"/>
      <c r="B746" s="2223"/>
      <c r="C746" s="2223"/>
      <c r="W746" s="2223" t="str" cm="1">
        <f t="array" ref="W746">IF($D746&lt;COLUMNS($F$7:W$7),"",INDEX(TableDiv[[GASB]:[GASB]],_xlfn.AGGREGATE(15,3,(TableDiv[[Agency]:[Agency]]=$E746)/(TableDiv[[Agency]:[Agency]]=$E746)*(ROW(TableDiv[Agency])-ROW(TableDiv[[#Headers],[Agency]])),COLUMNS($F$7:W$7))))</f>
        <v/>
      </c>
      <c r="X746" s="2223" t="str" cm="1">
        <f t="array" ref="X746">IF($D746&lt;COLUMNS($F$7:X$7),"",INDEX(TableDiv[[GASB]:[GASB]],_xlfn.AGGREGATE(15,3,(TableDiv[[Agency]:[Agency]]=$E746)/(TableDiv[[Agency]:[Agency]]=$E746)*(ROW(TableDiv[Agency])-ROW(TableDiv[[#Headers],[Agency]])),COLUMNS($F$7:X$7))))</f>
        <v/>
      </c>
      <c r="Y746" s="2223" t="str" cm="1">
        <f t="array" ref="Y746">IF($D746&lt;COLUMNS($F$7:Y$7),"",INDEX(TableDiv[[GASB]:[GASB]],_xlfn.AGGREGATE(15,3,(TableDiv[[Agency]:[Agency]]=$E746)/(TableDiv[[Agency]:[Agency]]=$E746)*(ROW(TableDiv[Agency])-ROW(TableDiv[[#Headers],[Agency]])),COLUMNS($F$7:Y$7))))</f>
        <v/>
      </c>
      <c r="Z746" s="2223" t="str" cm="1">
        <f t="array" ref="Z746">IF($D746&lt;COLUMNS($F$7:Z$7),"",INDEX(TableDiv[[GASB]:[GASB]],_xlfn.AGGREGATE(15,3,(TableDiv[[Agency]:[Agency]]=$E746)/(TableDiv[[Agency]:[Agency]]=$E746)*(ROW(TableDiv[Agency])-ROW(TableDiv[[#Headers],[Agency]])),COLUMNS($F$7:Z$7))))</f>
        <v/>
      </c>
      <c r="AA746" s="2223" t="str" cm="1">
        <f t="array" ref="AA746">IF($D746&lt;COLUMNS($F$7:AA$7),"",INDEX(TableDiv[[GASB]:[GASB]],_xlfn.AGGREGATE(15,3,(TableDiv[[Agency]:[Agency]]=$E746)/(TableDiv[[Agency]:[Agency]]=$E746)*(ROW(TableDiv[Agency])-ROW(TableDiv[[#Headers],[Agency]])),COLUMNS($F$7:AA$7))))</f>
        <v/>
      </c>
      <c r="AB746" s="2223" t="str" cm="1">
        <f t="array" ref="AB746">IF($D746&lt;COLUMNS($F$7:AB$7),"",INDEX(TableDiv[[GASB]:[GASB]],_xlfn.AGGREGATE(15,3,(TableDiv[[Agency]:[Agency]]=$E746)/(TableDiv[[Agency]:[Agency]]=$E746)*(ROW(TableDiv[Agency])-ROW(TableDiv[[#Headers],[Agency]])),COLUMNS($F$7:AB$7))))</f>
        <v/>
      </c>
      <c r="AC746" s="2223" t="str" cm="1">
        <f t="array" ref="AC746">IF($D746&lt;COLUMNS($F$7:AC$7),"",INDEX(TableDiv[[GASB]:[GASB]],_xlfn.AGGREGATE(15,3,(TableDiv[[Agency]:[Agency]]=$E746)/(TableDiv[[Agency]:[Agency]]=$E746)*(ROW(TableDiv[Agency])-ROW(TableDiv[[#Headers],[Agency]])),COLUMNS($F$7:AC$7))))</f>
        <v/>
      </c>
      <c r="AD746" s="2223" t="str" cm="1">
        <f t="array" ref="AD746">IF($D746&lt;COLUMNS($F$7:AD$7),"",INDEX(TableDiv[[GASB]:[GASB]],_xlfn.AGGREGATE(15,3,(TableDiv[[Agency]:[Agency]]=$E746)/(TableDiv[[Agency]:[Agency]]=$E746)*(ROW(TableDiv[Agency])-ROW(TableDiv[[#Headers],[Agency]])),COLUMNS($F$7:AD$7))))</f>
        <v/>
      </c>
      <c r="AE746" s="2223" t="str" cm="1">
        <f t="array" ref="AE746">IF($D746&lt;COLUMNS($F$7:AE$7),"",INDEX(TableDiv[[GASB]:[GASB]],_xlfn.AGGREGATE(15,3,(TableDiv[[Agency]:[Agency]]=$E746)/(TableDiv[[Agency]:[Agency]]=$E746)*(ROW(TableDiv[Agency])-ROW(TableDiv[[#Headers],[Agency]])),COLUMNS($F$7:AE$7))))</f>
        <v/>
      </c>
      <c r="AF746" s="2223" t="str" cm="1">
        <f t="array" ref="AF746">IF($D746&lt;COLUMNS($F$7:AF$7),"",INDEX(TableDiv[[GASB]:[GASB]],_xlfn.AGGREGATE(15,3,(TableDiv[[Agency]:[Agency]]=$E746)/(TableDiv[[Agency]:[Agency]]=$E746)*(ROW(TableDiv[Agency])-ROW(TableDiv[[#Headers],[Agency]])),COLUMNS($F$7:AF$7))))</f>
        <v/>
      </c>
      <c r="AG746" s="2223" t="str" cm="1">
        <f t="array" ref="AG746">IF($D746&lt;COLUMNS($F$7:AG$7),"",INDEX(TableDiv[[GASB]:[GASB]],_xlfn.AGGREGATE(15,3,(TableDiv[[Agency]:[Agency]]=$E746)/(TableDiv[[Agency]:[Agency]]=$E746)*(ROW(TableDiv[Agency])-ROW(TableDiv[[#Headers],[Agency]])),COLUMNS($F$7:AG$7))))</f>
        <v/>
      </c>
      <c r="AH746" s="2223" t="str" cm="1">
        <f t="array" ref="AH746">IF($D746&lt;COLUMNS($F$7:AH$7),"",INDEX(TableDiv[[GASB]:[GASB]],_xlfn.AGGREGATE(15,3,(TableDiv[[Agency]:[Agency]]=$E746)/(TableDiv[[Agency]:[Agency]]=$E746)*(ROW(TableDiv[Agency])-ROW(TableDiv[[#Headers],[Agency]])),COLUMNS($F$7:AH$7))))</f>
        <v/>
      </c>
      <c r="AI746" s="2223" t="str" cm="1">
        <f t="array" ref="AI746">IF($D746&lt;COLUMNS($F$7:AI$7),"",INDEX(TableDiv[[GASB]:[GASB]],_xlfn.AGGREGATE(15,3,(TableDiv[[Agency]:[Agency]]=$E746)/(TableDiv[[Agency]:[Agency]]=$E746)*(ROW(TableDiv[Agency])-ROW(TableDiv[[#Headers],[Agency]])),COLUMNS($F$7:AI$7))))</f>
        <v/>
      </c>
      <c r="AJ746" s="2223" t="str" cm="1">
        <f t="array" ref="AJ746">IF($D746&lt;COLUMNS($F$7:AJ$7),"",INDEX(TableDiv[[GASB]:[GASB]],_xlfn.AGGREGATE(15,3,(TableDiv[[Agency]:[Agency]]=$E746)/(TableDiv[[Agency]:[Agency]]=$E746)*(ROW(TableDiv[Agency])-ROW(TableDiv[[#Headers],[Agency]])),COLUMNS($F$7:AJ$7))))</f>
        <v/>
      </c>
      <c r="AK746" s="2223" t="str" cm="1">
        <f t="array" ref="AK746">IF($D746&lt;COLUMNS($F$7:AK$7),"",INDEX(TableDiv[[GASB]:[GASB]],_xlfn.AGGREGATE(15,3,(TableDiv[[Agency]:[Agency]]=$E746)/(TableDiv[[Agency]:[Agency]]=$E746)*(ROW(TableDiv[Agency])-ROW(TableDiv[[#Headers],[Agency]])),COLUMNS($F$7:AK$7))))</f>
        <v/>
      </c>
      <c r="AL746" s="2223" t="str" cm="1">
        <f t="array" ref="AL746">IF($D746&lt;COLUMNS($F$7:AL$7),"",INDEX(TableDiv[[GASB]:[GASB]],_xlfn.AGGREGATE(15,3,(TableDiv[[Agency]:[Agency]]=$E746)/(TableDiv[[Agency]:[Agency]]=$E746)*(ROW(TableDiv[Agency])-ROW(TableDiv[[#Headers],[Agency]])),COLUMNS($F$7:AL$7))))</f>
        <v/>
      </c>
      <c r="AM746" s="2223" t="str" cm="1">
        <f t="array" ref="AM746">IF($D746&lt;COLUMNS($F$7:AM$7),"",INDEX(TableDiv[[GASB]:[GASB]],_xlfn.AGGREGATE(15,3,(TableDiv[[Agency]:[Agency]]=$E746)/(TableDiv[[Agency]:[Agency]]=$E746)*(ROW(TableDiv[Agency])-ROW(TableDiv[[#Headers],[Agency]])),COLUMNS($F$7:AM$7))))</f>
        <v/>
      </c>
      <c r="AN746" s="2223"/>
      <c r="AO746" s="2223"/>
      <c r="AP746" s="2223"/>
      <c r="AQ746" s="2223"/>
      <c r="AR746" s="2223"/>
      <c r="AS746" s="2223"/>
    </row>
    <row r="747" spans="1:45" x14ac:dyDescent="0.2">
      <c r="A747" s="2223"/>
      <c r="B747" s="2223"/>
      <c r="C747" s="2223"/>
      <c r="W747" s="2223" t="str" cm="1">
        <f t="array" ref="W747">IF($D747&lt;COLUMNS($F$7:W$7),"",INDEX(TableDiv[[GASB]:[GASB]],_xlfn.AGGREGATE(15,3,(TableDiv[[Agency]:[Agency]]=$E747)/(TableDiv[[Agency]:[Agency]]=$E747)*(ROW(TableDiv[Agency])-ROW(TableDiv[[#Headers],[Agency]])),COLUMNS($F$7:W$7))))</f>
        <v/>
      </c>
      <c r="X747" s="2223" t="str" cm="1">
        <f t="array" ref="X747">IF($D747&lt;COLUMNS($F$7:X$7),"",INDEX(TableDiv[[GASB]:[GASB]],_xlfn.AGGREGATE(15,3,(TableDiv[[Agency]:[Agency]]=$E747)/(TableDiv[[Agency]:[Agency]]=$E747)*(ROW(TableDiv[Agency])-ROW(TableDiv[[#Headers],[Agency]])),COLUMNS($F$7:X$7))))</f>
        <v/>
      </c>
      <c r="Y747" s="2223" t="str" cm="1">
        <f t="array" ref="Y747">IF($D747&lt;COLUMNS($F$7:Y$7),"",INDEX(TableDiv[[GASB]:[GASB]],_xlfn.AGGREGATE(15,3,(TableDiv[[Agency]:[Agency]]=$E747)/(TableDiv[[Agency]:[Agency]]=$E747)*(ROW(TableDiv[Agency])-ROW(TableDiv[[#Headers],[Agency]])),COLUMNS($F$7:Y$7))))</f>
        <v/>
      </c>
      <c r="Z747" s="2223" t="str" cm="1">
        <f t="array" ref="Z747">IF($D747&lt;COLUMNS($F$7:Z$7),"",INDEX(TableDiv[[GASB]:[GASB]],_xlfn.AGGREGATE(15,3,(TableDiv[[Agency]:[Agency]]=$E747)/(TableDiv[[Agency]:[Agency]]=$E747)*(ROW(TableDiv[Agency])-ROW(TableDiv[[#Headers],[Agency]])),COLUMNS($F$7:Z$7))))</f>
        <v/>
      </c>
      <c r="AA747" s="2223" t="str" cm="1">
        <f t="array" ref="AA747">IF($D747&lt;COLUMNS($F$7:AA$7),"",INDEX(TableDiv[[GASB]:[GASB]],_xlfn.AGGREGATE(15,3,(TableDiv[[Agency]:[Agency]]=$E747)/(TableDiv[[Agency]:[Agency]]=$E747)*(ROW(TableDiv[Agency])-ROW(TableDiv[[#Headers],[Agency]])),COLUMNS($F$7:AA$7))))</f>
        <v/>
      </c>
      <c r="AB747" s="2223" t="str" cm="1">
        <f t="array" ref="AB747">IF($D747&lt;COLUMNS($F$7:AB$7),"",INDEX(TableDiv[[GASB]:[GASB]],_xlfn.AGGREGATE(15,3,(TableDiv[[Agency]:[Agency]]=$E747)/(TableDiv[[Agency]:[Agency]]=$E747)*(ROW(TableDiv[Agency])-ROW(TableDiv[[#Headers],[Agency]])),COLUMNS($F$7:AB$7))))</f>
        <v/>
      </c>
      <c r="AC747" s="2223" t="str" cm="1">
        <f t="array" ref="AC747">IF($D747&lt;COLUMNS($F$7:AC$7),"",INDEX(TableDiv[[GASB]:[GASB]],_xlfn.AGGREGATE(15,3,(TableDiv[[Agency]:[Agency]]=$E747)/(TableDiv[[Agency]:[Agency]]=$E747)*(ROW(TableDiv[Agency])-ROW(TableDiv[[#Headers],[Agency]])),COLUMNS($F$7:AC$7))))</f>
        <v/>
      </c>
      <c r="AD747" s="2223" t="str" cm="1">
        <f t="array" ref="AD747">IF($D747&lt;COLUMNS($F$7:AD$7),"",INDEX(TableDiv[[GASB]:[GASB]],_xlfn.AGGREGATE(15,3,(TableDiv[[Agency]:[Agency]]=$E747)/(TableDiv[[Agency]:[Agency]]=$E747)*(ROW(TableDiv[Agency])-ROW(TableDiv[[#Headers],[Agency]])),COLUMNS($F$7:AD$7))))</f>
        <v/>
      </c>
      <c r="AE747" s="2223" t="str" cm="1">
        <f t="array" ref="AE747">IF($D747&lt;COLUMNS($F$7:AE$7),"",INDEX(TableDiv[[GASB]:[GASB]],_xlfn.AGGREGATE(15,3,(TableDiv[[Agency]:[Agency]]=$E747)/(TableDiv[[Agency]:[Agency]]=$E747)*(ROW(TableDiv[Agency])-ROW(TableDiv[[#Headers],[Agency]])),COLUMNS($F$7:AE$7))))</f>
        <v/>
      </c>
      <c r="AF747" s="2223" t="str" cm="1">
        <f t="array" ref="AF747">IF($D747&lt;COLUMNS($F$7:AF$7),"",INDEX(TableDiv[[GASB]:[GASB]],_xlfn.AGGREGATE(15,3,(TableDiv[[Agency]:[Agency]]=$E747)/(TableDiv[[Agency]:[Agency]]=$E747)*(ROW(TableDiv[Agency])-ROW(TableDiv[[#Headers],[Agency]])),COLUMNS($F$7:AF$7))))</f>
        <v/>
      </c>
      <c r="AG747" s="2223" t="str" cm="1">
        <f t="array" ref="AG747">IF($D747&lt;COLUMNS($F$7:AG$7),"",INDEX(TableDiv[[GASB]:[GASB]],_xlfn.AGGREGATE(15,3,(TableDiv[[Agency]:[Agency]]=$E747)/(TableDiv[[Agency]:[Agency]]=$E747)*(ROW(TableDiv[Agency])-ROW(TableDiv[[#Headers],[Agency]])),COLUMNS($F$7:AG$7))))</f>
        <v/>
      </c>
      <c r="AH747" s="2223" t="str" cm="1">
        <f t="array" ref="AH747">IF($D747&lt;COLUMNS($F$7:AH$7),"",INDEX(TableDiv[[GASB]:[GASB]],_xlfn.AGGREGATE(15,3,(TableDiv[[Agency]:[Agency]]=$E747)/(TableDiv[[Agency]:[Agency]]=$E747)*(ROW(TableDiv[Agency])-ROW(TableDiv[[#Headers],[Agency]])),COLUMNS($F$7:AH$7))))</f>
        <v/>
      </c>
      <c r="AI747" s="2223" t="str" cm="1">
        <f t="array" ref="AI747">IF($D747&lt;COLUMNS($F$7:AI$7),"",INDEX(TableDiv[[GASB]:[GASB]],_xlfn.AGGREGATE(15,3,(TableDiv[[Agency]:[Agency]]=$E747)/(TableDiv[[Agency]:[Agency]]=$E747)*(ROW(TableDiv[Agency])-ROW(TableDiv[[#Headers],[Agency]])),COLUMNS($F$7:AI$7))))</f>
        <v/>
      </c>
      <c r="AJ747" s="2223" t="str" cm="1">
        <f t="array" ref="AJ747">IF($D747&lt;COLUMNS($F$7:AJ$7),"",INDEX(TableDiv[[GASB]:[GASB]],_xlfn.AGGREGATE(15,3,(TableDiv[[Agency]:[Agency]]=$E747)/(TableDiv[[Agency]:[Agency]]=$E747)*(ROW(TableDiv[Agency])-ROW(TableDiv[[#Headers],[Agency]])),COLUMNS($F$7:AJ$7))))</f>
        <v/>
      </c>
      <c r="AK747" s="2223" t="str" cm="1">
        <f t="array" ref="AK747">IF($D747&lt;COLUMNS($F$7:AK$7),"",INDEX(TableDiv[[GASB]:[GASB]],_xlfn.AGGREGATE(15,3,(TableDiv[[Agency]:[Agency]]=$E747)/(TableDiv[[Agency]:[Agency]]=$E747)*(ROW(TableDiv[Agency])-ROW(TableDiv[[#Headers],[Agency]])),COLUMNS($F$7:AK$7))))</f>
        <v/>
      </c>
      <c r="AL747" s="2223" t="str" cm="1">
        <f t="array" ref="AL747">IF($D747&lt;COLUMNS($F$7:AL$7),"",INDEX(TableDiv[[GASB]:[GASB]],_xlfn.AGGREGATE(15,3,(TableDiv[[Agency]:[Agency]]=$E747)/(TableDiv[[Agency]:[Agency]]=$E747)*(ROW(TableDiv[Agency])-ROW(TableDiv[[#Headers],[Agency]])),COLUMNS($F$7:AL$7))))</f>
        <v/>
      </c>
      <c r="AM747" s="2223" t="str" cm="1">
        <f t="array" ref="AM747">IF($D747&lt;COLUMNS($F$7:AM$7),"",INDEX(TableDiv[[GASB]:[GASB]],_xlfn.AGGREGATE(15,3,(TableDiv[[Agency]:[Agency]]=$E747)/(TableDiv[[Agency]:[Agency]]=$E747)*(ROW(TableDiv[Agency])-ROW(TableDiv[[#Headers],[Agency]])),COLUMNS($F$7:AM$7))))</f>
        <v/>
      </c>
      <c r="AN747" s="2223"/>
      <c r="AO747" s="2223"/>
      <c r="AP747" s="2223"/>
      <c r="AQ747" s="2223"/>
      <c r="AR747" s="2223"/>
      <c r="AS747" s="2223"/>
    </row>
    <row r="748" spans="1:45" x14ac:dyDescent="0.2">
      <c r="A748" s="2223"/>
      <c r="B748" s="2223"/>
      <c r="C748" s="2223"/>
      <c r="W748" s="2223" t="str" cm="1">
        <f t="array" ref="W748">IF($D748&lt;COLUMNS($F$7:W$7),"",INDEX(TableDiv[[GASB]:[GASB]],_xlfn.AGGREGATE(15,3,(TableDiv[[Agency]:[Agency]]=$E748)/(TableDiv[[Agency]:[Agency]]=$E748)*(ROW(TableDiv[Agency])-ROW(TableDiv[[#Headers],[Agency]])),COLUMNS($F$7:W$7))))</f>
        <v/>
      </c>
      <c r="X748" s="2223" t="str" cm="1">
        <f t="array" ref="X748">IF($D748&lt;COLUMNS($F$7:X$7),"",INDEX(TableDiv[[GASB]:[GASB]],_xlfn.AGGREGATE(15,3,(TableDiv[[Agency]:[Agency]]=$E748)/(TableDiv[[Agency]:[Agency]]=$E748)*(ROW(TableDiv[Agency])-ROW(TableDiv[[#Headers],[Agency]])),COLUMNS($F$7:X$7))))</f>
        <v/>
      </c>
      <c r="Y748" s="2223" t="str" cm="1">
        <f t="array" ref="Y748">IF($D748&lt;COLUMNS($F$7:Y$7),"",INDEX(TableDiv[[GASB]:[GASB]],_xlfn.AGGREGATE(15,3,(TableDiv[[Agency]:[Agency]]=$E748)/(TableDiv[[Agency]:[Agency]]=$E748)*(ROW(TableDiv[Agency])-ROW(TableDiv[[#Headers],[Agency]])),COLUMNS($F$7:Y$7))))</f>
        <v/>
      </c>
      <c r="Z748" s="2223" t="str" cm="1">
        <f t="array" ref="Z748">IF($D748&lt;COLUMNS($F$7:Z$7),"",INDEX(TableDiv[[GASB]:[GASB]],_xlfn.AGGREGATE(15,3,(TableDiv[[Agency]:[Agency]]=$E748)/(TableDiv[[Agency]:[Agency]]=$E748)*(ROW(TableDiv[Agency])-ROW(TableDiv[[#Headers],[Agency]])),COLUMNS($F$7:Z$7))))</f>
        <v/>
      </c>
      <c r="AA748" s="2223" t="str" cm="1">
        <f t="array" ref="AA748">IF($D748&lt;COLUMNS($F$7:AA$7),"",INDEX(TableDiv[[GASB]:[GASB]],_xlfn.AGGREGATE(15,3,(TableDiv[[Agency]:[Agency]]=$E748)/(TableDiv[[Agency]:[Agency]]=$E748)*(ROW(TableDiv[Agency])-ROW(TableDiv[[#Headers],[Agency]])),COLUMNS($F$7:AA$7))))</f>
        <v/>
      </c>
      <c r="AB748" s="2223" t="str" cm="1">
        <f t="array" ref="AB748">IF($D748&lt;COLUMNS($F$7:AB$7),"",INDEX(TableDiv[[GASB]:[GASB]],_xlfn.AGGREGATE(15,3,(TableDiv[[Agency]:[Agency]]=$E748)/(TableDiv[[Agency]:[Agency]]=$E748)*(ROW(TableDiv[Agency])-ROW(TableDiv[[#Headers],[Agency]])),COLUMNS($F$7:AB$7))))</f>
        <v/>
      </c>
      <c r="AC748" s="2223" t="str" cm="1">
        <f t="array" ref="AC748">IF($D748&lt;COLUMNS($F$7:AC$7),"",INDEX(TableDiv[[GASB]:[GASB]],_xlfn.AGGREGATE(15,3,(TableDiv[[Agency]:[Agency]]=$E748)/(TableDiv[[Agency]:[Agency]]=$E748)*(ROW(TableDiv[Agency])-ROW(TableDiv[[#Headers],[Agency]])),COLUMNS($F$7:AC$7))))</f>
        <v/>
      </c>
      <c r="AD748" s="2223" t="str" cm="1">
        <f t="array" ref="AD748">IF($D748&lt;COLUMNS($F$7:AD$7),"",INDEX(TableDiv[[GASB]:[GASB]],_xlfn.AGGREGATE(15,3,(TableDiv[[Agency]:[Agency]]=$E748)/(TableDiv[[Agency]:[Agency]]=$E748)*(ROW(TableDiv[Agency])-ROW(TableDiv[[#Headers],[Agency]])),COLUMNS($F$7:AD$7))))</f>
        <v/>
      </c>
      <c r="AE748" s="2223" t="str" cm="1">
        <f t="array" ref="AE748">IF($D748&lt;COLUMNS($F$7:AE$7),"",INDEX(TableDiv[[GASB]:[GASB]],_xlfn.AGGREGATE(15,3,(TableDiv[[Agency]:[Agency]]=$E748)/(TableDiv[[Agency]:[Agency]]=$E748)*(ROW(TableDiv[Agency])-ROW(TableDiv[[#Headers],[Agency]])),COLUMNS($F$7:AE$7))))</f>
        <v/>
      </c>
      <c r="AF748" s="2223" t="str" cm="1">
        <f t="array" ref="AF748">IF($D748&lt;COLUMNS($F$7:AF$7),"",INDEX(TableDiv[[GASB]:[GASB]],_xlfn.AGGREGATE(15,3,(TableDiv[[Agency]:[Agency]]=$E748)/(TableDiv[[Agency]:[Agency]]=$E748)*(ROW(TableDiv[Agency])-ROW(TableDiv[[#Headers],[Agency]])),COLUMNS($F$7:AF$7))))</f>
        <v/>
      </c>
      <c r="AG748" s="2223" t="str" cm="1">
        <f t="array" ref="AG748">IF($D748&lt;COLUMNS($F$7:AG$7),"",INDEX(TableDiv[[GASB]:[GASB]],_xlfn.AGGREGATE(15,3,(TableDiv[[Agency]:[Agency]]=$E748)/(TableDiv[[Agency]:[Agency]]=$E748)*(ROW(TableDiv[Agency])-ROW(TableDiv[[#Headers],[Agency]])),COLUMNS($F$7:AG$7))))</f>
        <v/>
      </c>
      <c r="AH748" s="2223" t="str" cm="1">
        <f t="array" ref="AH748">IF($D748&lt;COLUMNS($F$7:AH$7),"",INDEX(TableDiv[[GASB]:[GASB]],_xlfn.AGGREGATE(15,3,(TableDiv[[Agency]:[Agency]]=$E748)/(TableDiv[[Agency]:[Agency]]=$E748)*(ROW(TableDiv[Agency])-ROW(TableDiv[[#Headers],[Agency]])),COLUMNS($F$7:AH$7))))</f>
        <v/>
      </c>
      <c r="AI748" s="2223" t="str" cm="1">
        <f t="array" ref="AI748">IF($D748&lt;COLUMNS($F$7:AI$7),"",INDEX(TableDiv[[GASB]:[GASB]],_xlfn.AGGREGATE(15,3,(TableDiv[[Agency]:[Agency]]=$E748)/(TableDiv[[Agency]:[Agency]]=$E748)*(ROW(TableDiv[Agency])-ROW(TableDiv[[#Headers],[Agency]])),COLUMNS($F$7:AI$7))))</f>
        <v/>
      </c>
      <c r="AJ748" s="2223" t="str" cm="1">
        <f t="array" ref="AJ748">IF($D748&lt;COLUMNS($F$7:AJ$7),"",INDEX(TableDiv[[GASB]:[GASB]],_xlfn.AGGREGATE(15,3,(TableDiv[[Agency]:[Agency]]=$E748)/(TableDiv[[Agency]:[Agency]]=$E748)*(ROW(TableDiv[Agency])-ROW(TableDiv[[#Headers],[Agency]])),COLUMNS($F$7:AJ$7))))</f>
        <v/>
      </c>
      <c r="AK748" s="2223" t="str" cm="1">
        <f t="array" ref="AK748">IF($D748&lt;COLUMNS($F$7:AK$7),"",INDEX(TableDiv[[GASB]:[GASB]],_xlfn.AGGREGATE(15,3,(TableDiv[[Agency]:[Agency]]=$E748)/(TableDiv[[Agency]:[Agency]]=$E748)*(ROW(TableDiv[Agency])-ROW(TableDiv[[#Headers],[Agency]])),COLUMNS($F$7:AK$7))))</f>
        <v/>
      </c>
      <c r="AL748" s="2223" t="str" cm="1">
        <f t="array" ref="AL748">IF($D748&lt;COLUMNS($F$7:AL$7),"",INDEX(TableDiv[[GASB]:[GASB]],_xlfn.AGGREGATE(15,3,(TableDiv[[Agency]:[Agency]]=$E748)/(TableDiv[[Agency]:[Agency]]=$E748)*(ROW(TableDiv[Agency])-ROW(TableDiv[[#Headers],[Agency]])),COLUMNS($F$7:AL$7))))</f>
        <v/>
      </c>
      <c r="AM748" s="2223" t="str" cm="1">
        <f t="array" ref="AM748">IF($D748&lt;COLUMNS($F$7:AM$7),"",INDEX(TableDiv[[GASB]:[GASB]],_xlfn.AGGREGATE(15,3,(TableDiv[[Agency]:[Agency]]=$E748)/(TableDiv[[Agency]:[Agency]]=$E748)*(ROW(TableDiv[Agency])-ROW(TableDiv[[#Headers],[Agency]])),COLUMNS($F$7:AM$7))))</f>
        <v/>
      </c>
      <c r="AN748" s="2223"/>
      <c r="AO748" s="2223"/>
      <c r="AP748" s="2223"/>
      <c r="AQ748" s="2223"/>
      <c r="AR748" s="2223"/>
      <c r="AS748" s="2223"/>
    </row>
    <row r="749" spans="1:45" x14ac:dyDescent="0.2">
      <c r="A749" s="2223"/>
      <c r="B749" s="2223"/>
      <c r="C749" s="2223"/>
      <c r="W749" s="2223" t="str" cm="1">
        <f t="array" ref="W749">IF($D749&lt;COLUMNS($F$7:W$7),"",INDEX(TableDiv[[GASB]:[GASB]],_xlfn.AGGREGATE(15,3,(TableDiv[[Agency]:[Agency]]=$E749)/(TableDiv[[Agency]:[Agency]]=$E749)*(ROW(TableDiv[Agency])-ROW(TableDiv[[#Headers],[Agency]])),COLUMNS($F$7:W$7))))</f>
        <v/>
      </c>
      <c r="X749" s="2223" t="str" cm="1">
        <f t="array" ref="X749">IF($D749&lt;COLUMNS($F$7:X$7),"",INDEX(TableDiv[[GASB]:[GASB]],_xlfn.AGGREGATE(15,3,(TableDiv[[Agency]:[Agency]]=$E749)/(TableDiv[[Agency]:[Agency]]=$E749)*(ROW(TableDiv[Agency])-ROW(TableDiv[[#Headers],[Agency]])),COLUMNS($F$7:X$7))))</f>
        <v/>
      </c>
      <c r="Y749" s="2223" t="str" cm="1">
        <f t="array" ref="Y749">IF($D749&lt;COLUMNS($F$7:Y$7),"",INDEX(TableDiv[[GASB]:[GASB]],_xlfn.AGGREGATE(15,3,(TableDiv[[Agency]:[Agency]]=$E749)/(TableDiv[[Agency]:[Agency]]=$E749)*(ROW(TableDiv[Agency])-ROW(TableDiv[[#Headers],[Agency]])),COLUMNS($F$7:Y$7))))</f>
        <v/>
      </c>
      <c r="Z749" s="2223" t="str" cm="1">
        <f t="array" ref="Z749">IF($D749&lt;COLUMNS($F$7:Z$7),"",INDEX(TableDiv[[GASB]:[GASB]],_xlfn.AGGREGATE(15,3,(TableDiv[[Agency]:[Agency]]=$E749)/(TableDiv[[Agency]:[Agency]]=$E749)*(ROW(TableDiv[Agency])-ROW(TableDiv[[#Headers],[Agency]])),COLUMNS($F$7:Z$7))))</f>
        <v/>
      </c>
      <c r="AA749" s="2223" t="str" cm="1">
        <f t="array" ref="AA749">IF($D749&lt;COLUMNS($F$7:AA$7),"",INDEX(TableDiv[[GASB]:[GASB]],_xlfn.AGGREGATE(15,3,(TableDiv[[Agency]:[Agency]]=$E749)/(TableDiv[[Agency]:[Agency]]=$E749)*(ROW(TableDiv[Agency])-ROW(TableDiv[[#Headers],[Agency]])),COLUMNS($F$7:AA$7))))</f>
        <v/>
      </c>
      <c r="AB749" s="2223" t="str" cm="1">
        <f t="array" ref="AB749">IF($D749&lt;COLUMNS($F$7:AB$7),"",INDEX(TableDiv[[GASB]:[GASB]],_xlfn.AGGREGATE(15,3,(TableDiv[[Agency]:[Agency]]=$E749)/(TableDiv[[Agency]:[Agency]]=$E749)*(ROW(TableDiv[Agency])-ROW(TableDiv[[#Headers],[Agency]])),COLUMNS($F$7:AB$7))))</f>
        <v/>
      </c>
      <c r="AC749" s="2223" t="str" cm="1">
        <f t="array" ref="AC749">IF($D749&lt;COLUMNS($F$7:AC$7),"",INDEX(TableDiv[[GASB]:[GASB]],_xlfn.AGGREGATE(15,3,(TableDiv[[Agency]:[Agency]]=$E749)/(TableDiv[[Agency]:[Agency]]=$E749)*(ROW(TableDiv[Agency])-ROW(TableDiv[[#Headers],[Agency]])),COLUMNS($F$7:AC$7))))</f>
        <v/>
      </c>
      <c r="AD749" s="2223" t="str" cm="1">
        <f t="array" ref="AD749">IF($D749&lt;COLUMNS($F$7:AD$7),"",INDEX(TableDiv[[GASB]:[GASB]],_xlfn.AGGREGATE(15,3,(TableDiv[[Agency]:[Agency]]=$E749)/(TableDiv[[Agency]:[Agency]]=$E749)*(ROW(TableDiv[Agency])-ROW(TableDiv[[#Headers],[Agency]])),COLUMNS($F$7:AD$7))))</f>
        <v/>
      </c>
      <c r="AE749" s="2223" t="str" cm="1">
        <f t="array" ref="AE749">IF($D749&lt;COLUMNS($F$7:AE$7),"",INDEX(TableDiv[[GASB]:[GASB]],_xlfn.AGGREGATE(15,3,(TableDiv[[Agency]:[Agency]]=$E749)/(TableDiv[[Agency]:[Agency]]=$E749)*(ROW(TableDiv[Agency])-ROW(TableDiv[[#Headers],[Agency]])),COLUMNS($F$7:AE$7))))</f>
        <v/>
      </c>
      <c r="AF749" s="2223" t="str" cm="1">
        <f t="array" ref="AF749">IF($D749&lt;COLUMNS($F$7:AF$7),"",INDEX(TableDiv[[GASB]:[GASB]],_xlfn.AGGREGATE(15,3,(TableDiv[[Agency]:[Agency]]=$E749)/(TableDiv[[Agency]:[Agency]]=$E749)*(ROW(TableDiv[Agency])-ROW(TableDiv[[#Headers],[Agency]])),COLUMNS($F$7:AF$7))))</f>
        <v/>
      </c>
      <c r="AG749" s="2223" t="str" cm="1">
        <f t="array" ref="AG749">IF($D749&lt;COLUMNS($F$7:AG$7),"",INDEX(TableDiv[[GASB]:[GASB]],_xlfn.AGGREGATE(15,3,(TableDiv[[Agency]:[Agency]]=$E749)/(TableDiv[[Agency]:[Agency]]=$E749)*(ROW(TableDiv[Agency])-ROW(TableDiv[[#Headers],[Agency]])),COLUMNS($F$7:AG$7))))</f>
        <v/>
      </c>
      <c r="AH749" s="2223" t="str" cm="1">
        <f t="array" ref="AH749">IF($D749&lt;COLUMNS($F$7:AH$7),"",INDEX(TableDiv[[GASB]:[GASB]],_xlfn.AGGREGATE(15,3,(TableDiv[[Agency]:[Agency]]=$E749)/(TableDiv[[Agency]:[Agency]]=$E749)*(ROW(TableDiv[Agency])-ROW(TableDiv[[#Headers],[Agency]])),COLUMNS($F$7:AH$7))))</f>
        <v/>
      </c>
      <c r="AI749" s="2223" t="str" cm="1">
        <f t="array" ref="AI749">IF($D749&lt;COLUMNS($F$7:AI$7),"",INDEX(TableDiv[[GASB]:[GASB]],_xlfn.AGGREGATE(15,3,(TableDiv[[Agency]:[Agency]]=$E749)/(TableDiv[[Agency]:[Agency]]=$E749)*(ROW(TableDiv[Agency])-ROW(TableDiv[[#Headers],[Agency]])),COLUMNS($F$7:AI$7))))</f>
        <v/>
      </c>
      <c r="AJ749" s="2223" t="str" cm="1">
        <f t="array" ref="AJ749">IF($D749&lt;COLUMNS($F$7:AJ$7),"",INDEX(TableDiv[[GASB]:[GASB]],_xlfn.AGGREGATE(15,3,(TableDiv[[Agency]:[Agency]]=$E749)/(TableDiv[[Agency]:[Agency]]=$E749)*(ROW(TableDiv[Agency])-ROW(TableDiv[[#Headers],[Agency]])),COLUMNS($F$7:AJ$7))))</f>
        <v/>
      </c>
      <c r="AK749" s="2223" t="str" cm="1">
        <f t="array" ref="AK749">IF($D749&lt;COLUMNS($F$7:AK$7),"",INDEX(TableDiv[[GASB]:[GASB]],_xlfn.AGGREGATE(15,3,(TableDiv[[Agency]:[Agency]]=$E749)/(TableDiv[[Agency]:[Agency]]=$E749)*(ROW(TableDiv[Agency])-ROW(TableDiv[[#Headers],[Agency]])),COLUMNS($F$7:AK$7))))</f>
        <v/>
      </c>
      <c r="AL749" s="2223" t="str" cm="1">
        <f t="array" ref="AL749">IF($D749&lt;COLUMNS($F$7:AL$7),"",INDEX(TableDiv[[GASB]:[GASB]],_xlfn.AGGREGATE(15,3,(TableDiv[[Agency]:[Agency]]=$E749)/(TableDiv[[Agency]:[Agency]]=$E749)*(ROW(TableDiv[Agency])-ROW(TableDiv[[#Headers],[Agency]])),COLUMNS($F$7:AL$7))))</f>
        <v/>
      </c>
      <c r="AM749" s="2223" t="str" cm="1">
        <f t="array" ref="AM749">IF($D749&lt;COLUMNS($F$7:AM$7),"",INDEX(TableDiv[[GASB]:[GASB]],_xlfn.AGGREGATE(15,3,(TableDiv[[Agency]:[Agency]]=$E749)/(TableDiv[[Agency]:[Agency]]=$E749)*(ROW(TableDiv[Agency])-ROW(TableDiv[[#Headers],[Agency]])),COLUMNS($F$7:AM$7))))</f>
        <v/>
      </c>
      <c r="AN749" s="2223"/>
      <c r="AO749" s="2223"/>
      <c r="AP749" s="2223"/>
      <c r="AQ749" s="2223"/>
      <c r="AR749" s="2223"/>
      <c r="AS749" s="2223"/>
    </row>
    <row r="750" spans="1:45" x14ac:dyDescent="0.2">
      <c r="A750" s="2223"/>
      <c r="B750" s="2223"/>
      <c r="C750" s="2223"/>
      <c r="W750" s="2223" t="str" cm="1">
        <f t="array" ref="W750">IF($D750&lt;COLUMNS($F$7:W$7),"",INDEX(TableDiv[[GASB]:[GASB]],_xlfn.AGGREGATE(15,3,(TableDiv[[Agency]:[Agency]]=$E750)/(TableDiv[[Agency]:[Agency]]=$E750)*(ROW(TableDiv[Agency])-ROW(TableDiv[[#Headers],[Agency]])),COLUMNS($F$7:W$7))))</f>
        <v/>
      </c>
      <c r="X750" s="2223" t="str" cm="1">
        <f t="array" ref="X750">IF($D750&lt;COLUMNS($F$7:X$7),"",INDEX(TableDiv[[GASB]:[GASB]],_xlfn.AGGREGATE(15,3,(TableDiv[[Agency]:[Agency]]=$E750)/(TableDiv[[Agency]:[Agency]]=$E750)*(ROW(TableDiv[Agency])-ROW(TableDiv[[#Headers],[Agency]])),COLUMNS($F$7:X$7))))</f>
        <v/>
      </c>
      <c r="Y750" s="2223" t="str" cm="1">
        <f t="array" ref="Y750">IF($D750&lt;COLUMNS($F$7:Y$7),"",INDEX(TableDiv[[GASB]:[GASB]],_xlfn.AGGREGATE(15,3,(TableDiv[[Agency]:[Agency]]=$E750)/(TableDiv[[Agency]:[Agency]]=$E750)*(ROW(TableDiv[Agency])-ROW(TableDiv[[#Headers],[Agency]])),COLUMNS($F$7:Y$7))))</f>
        <v/>
      </c>
      <c r="Z750" s="2223" t="str" cm="1">
        <f t="array" ref="Z750">IF($D750&lt;COLUMNS($F$7:Z$7),"",INDEX(TableDiv[[GASB]:[GASB]],_xlfn.AGGREGATE(15,3,(TableDiv[[Agency]:[Agency]]=$E750)/(TableDiv[[Agency]:[Agency]]=$E750)*(ROW(TableDiv[Agency])-ROW(TableDiv[[#Headers],[Agency]])),COLUMNS($F$7:Z$7))))</f>
        <v/>
      </c>
      <c r="AA750" s="2223" t="str" cm="1">
        <f t="array" ref="AA750">IF($D750&lt;COLUMNS($F$7:AA$7),"",INDEX(TableDiv[[GASB]:[GASB]],_xlfn.AGGREGATE(15,3,(TableDiv[[Agency]:[Agency]]=$E750)/(TableDiv[[Agency]:[Agency]]=$E750)*(ROW(TableDiv[Agency])-ROW(TableDiv[[#Headers],[Agency]])),COLUMNS($F$7:AA$7))))</f>
        <v/>
      </c>
      <c r="AB750" s="2223" t="str" cm="1">
        <f t="array" ref="AB750">IF($D750&lt;COLUMNS($F$7:AB$7),"",INDEX(TableDiv[[GASB]:[GASB]],_xlfn.AGGREGATE(15,3,(TableDiv[[Agency]:[Agency]]=$E750)/(TableDiv[[Agency]:[Agency]]=$E750)*(ROW(TableDiv[Agency])-ROW(TableDiv[[#Headers],[Agency]])),COLUMNS($F$7:AB$7))))</f>
        <v/>
      </c>
      <c r="AC750" s="2223" t="str" cm="1">
        <f t="array" ref="AC750">IF($D750&lt;COLUMNS($F$7:AC$7),"",INDEX(TableDiv[[GASB]:[GASB]],_xlfn.AGGREGATE(15,3,(TableDiv[[Agency]:[Agency]]=$E750)/(TableDiv[[Agency]:[Agency]]=$E750)*(ROW(TableDiv[Agency])-ROW(TableDiv[[#Headers],[Agency]])),COLUMNS($F$7:AC$7))))</f>
        <v/>
      </c>
      <c r="AD750" s="2223" t="str" cm="1">
        <f t="array" ref="AD750">IF($D750&lt;COLUMNS($F$7:AD$7),"",INDEX(TableDiv[[GASB]:[GASB]],_xlfn.AGGREGATE(15,3,(TableDiv[[Agency]:[Agency]]=$E750)/(TableDiv[[Agency]:[Agency]]=$E750)*(ROW(TableDiv[Agency])-ROW(TableDiv[[#Headers],[Agency]])),COLUMNS($F$7:AD$7))))</f>
        <v/>
      </c>
      <c r="AE750" s="2223" t="str" cm="1">
        <f t="array" ref="AE750">IF($D750&lt;COLUMNS($F$7:AE$7),"",INDEX(TableDiv[[GASB]:[GASB]],_xlfn.AGGREGATE(15,3,(TableDiv[[Agency]:[Agency]]=$E750)/(TableDiv[[Agency]:[Agency]]=$E750)*(ROW(TableDiv[Agency])-ROW(TableDiv[[#Headers],[Agency]])),COLUMNS($F$7:AE$7))))</f>
        <v/>
      </c>
      <c r="AF750" s="2223" t="str" cm="1">
        <f t="array" ref="AF750">IF($D750&lt;COLUMNS($F$7:AF$7),"",INDEX(TableDiv[[GASB]:[GASB]],_xlfn.AGGREGATE(15,3,(TableDiv[[Agency]:[Agency]]=$E750)/(TableDiv[[Agency]:[Agency]]=$E750)*(ROW(TableDiv[Agency])-ROW(TableDiv[[#Headers],[Agency]])),COLUMNS($F$7:AF$7))))</f>
        <v/>
      </c>
      <c r="AG750" s="2223" t="str" cm="1">
        <f t="array" ref="AG750">IF($D750&lt;COLUMNS($F$7:AG$7),"",INDEX(TableDiv[[GASB]:[GASB]],_xlfn.AGGREGATE(15,3,(TableDiv[[Agency]:[Agency]]=$E750)/(TableDiv[[Agency]:[Agency]]=$E750)*(ROW(TableDiv[Agency])-ROW(TableDiv[[#Headers],[Agency]])),COLUMNS($F$7:AG$7))))</f>
        <v/>
      </c>
      <c r="AH750" s="2223" t="str" cm="1">
        <f t="array" ref="AH750">IF($D750&lt;COLUMNS($F$7:AH$7),"",INDEX(TableDiv[[GASB]:[GASB]],_xlfn.AGGREGATE(15,3,(TableDiv[[Agency]:[Agency]]=$E750)/(TableDiv[[Agency]:[Agency]]=$E750)*(ROW(TableDiv[Agency])-ROW(TableDiv[[#Headers],[Agency]])),COLUMNS($F$7:AH$7))))</f>
        <v/>
      </c>
      <c r="AI750" s="2223" t="str" cm="1">
        <f t="array" ref="AI750">IF($D750&lt;COLUMNS($F$7:AI$7),"",INDEX(TableDiv[[GASB]:[GASB]],_xlfn.AGGREGATE(15,3,(TableDiv[[Agency]:[Agency]]=$E750)/(TableDiv[[Agency]:[Agency]]=$E750)*(ROW(TableDiv[Agency])-ROW(TableDiv[[#Headers],[Agency]])),COLUMNS($F$7:AI$7))))</f>
        <v/>
      </c>
      <c r="AJ750" s="2223" t="str" cm="1">
        <f t="array" ref="AJ750">IF($D750&lt;COLUMNS($F$7:AJ$7),"",INDEX(TableDiv[[GASB]:[GASB]],_xlfn.AGGREGATE(15,3,(TableDiv[[Agency]:[Agency]]=$E750)/(TableDiv[[Agency]:[Agency]]=$E750)*(ROW(TableDiv[Agency])-ROW(TableDiv[[#Headers],[Agency]])),COLUMNS($F$7:AJ$7))))</f>
        <v/>
      </c>
      <c r="AK750" s="2223" t="str" cm="1">
        <f t="array" ref="AK750">IF($D750&lt;COLUMNS($F$7:AK$7),"",INDEX(TableDiv[[GASB]:[GASB]],_xlfn.AGGREGATE(15,3,(TableDiv[[Agency]:[Agency]]=$E750)/(TableDiv[[Agency]:[Agency]]=$E750)*(ROW(TableDiv[Agency])-ROW(TableDiv[[#Headers],[Agency]])),COLUMNS($F$7:AK$7))))</f>
        <v/>
      </c>
      <c r="AL750" s="2223" t="str" cm="1">
        <f t="array" ref="AL750">IF($D750&lt;COLUMNS($F$7:AL$7),"",INDEX(TableDiv[[GASB]:[GASB]],_xlfn.AGGREGATE(15,3,(TableDiv[[Agency]:[Agency]]=$E750)/(TableDiv[[Agency]:[Agency]]=$E750)*(ROW(TableDiv[Agency])-ROW(TableDiv[[#Headers],[Agency]])),COLUMNS($F$7:AL$7))))</f>
        <v/>
      </c>
      <c r="AM750" s="2223" t="str" cm="1">
        <f t="array" ref="AM750">IF($D750&lt;COLUMNS($F$7:AM$7),"",INDEX(TableDiv[[GASB]:[GASB]],_xlfn.AGGREGATE(15,3,(TableDiv[[Agency]:[Agency]]=$E750)/(TableDiv[[Agency]:[Agency]]=$E750)*(ROW(TableDiv[Agency])-ROW(TableDiv[[#Headers],[Agency]])),COLUMNS($F$7:AM$7))))</f>
        <v/>
      </c>
      <c r="AN750" s="2223"/>
      <c r="AO750" s="2223"/>
      <c r="AP750" s="2223"/>
      <c r="AQ750" s="2223"/>
      <c r="AR750" s="2223"/>
      <c r="AS750" s="2223"/>
    </row>
    <row r="751" spans="1:45" x14ac:dyDescent="0.2">
      <c r="A751" s="2223"/>
      <c r="B751" s="2223"/>
      <c r="C751" s="2223"/>
      <c r="W751" s="2223" t="str" cm="1">
        <f t="array" ref="W751">IF($D751&lt;COLUMNS($F$7:W$7),"",INDEX(TableDiv[[GASB]:[GASB]],_xlfn.AGGREGATE(15,3,(TableDiv[[Agency]:[Agency]]=$E751)/(TableDiv[[Agency]:[Agency]]=$E751)*(ROW(TableDiv[Agency])-ROW(TableDiv[[#Headers],[Agency]])),COLUMNS($F$7:W$7))))</f>
        <v/>
      </c>
      <c r="X751" s="2223" t="str" cm="1">
        <f t="array" ref="X751">IF($D751&lt;COLUMNS($F$7:X$7),"",INDEX(TableDiv[[GASB]:[GASB]],_xlfn.AGGREGATE(15,3,(TableDiv[[Agency]:[Agency]]=$E751)/(TableDiv[[Agency]:[Agency]]=$E751)*(ROW(TableDiv[Agency])-ROW(TableDiv[[#Headers],[Agency]])),COLUMNS($F$7:X$7))))</f>
        <v/>
      </c>
      <c r="Y751" s="2223" t="str" cm="1">
        <f t="array" ref="Y751">IF($D751&lt;COLUMNS($F$7:Y$7),"",INDEX(TableDiv[[GASB]:[GASB]],_xlfn.AGGREGATE(15,3,(TableDiv[[Agency]:[Agency]]=$E751)/(TableDiv[[Agency]:[Agency]]=$E751)*(ROW(TableDiv[Agency])-ROW(TableDiv[[#Headers],[Agency]])),COLUMNS($F$7:Y$7))))</f>
        <v/>
      </c>
      <c r="Z751" s="2223" t="str" cm="1">
        <f t="array" ref="Z751">IF($D751&lt;COLUMNS($F$7:Z$7),"",INDEX(TableDiv[[GASB]:[GASB]],_xlfn.AGGREGATE(15,3,(TableDiv[[Agency]:[Agency]]=$E751)/(TableDiv[[Agency]:[Agency]]=$E751)*(ROW(TableDiv[Agency])-ROW(TableDiv[[#Headers],[Agency]])),COLUMNS($F$7:Z$7))))</f>
        <v/>
      </c>
      <c r="AA751" s="2223" t="str" cm="1">
        <f t="array" ref="AA751">IF($D751&lt;COLUMNS($F$7:AA$7),"",INDEX(TableDiv[[GASB]:[GASB]],_xlfn.AGGREGATE(15,3,(TableDiv[[Agency]:[Agency]]=$E751)/(TableDiv[[Agency]:[Agency]]=$E751)*(ROW(TableDiv[Agency])-ROW(TableDiv[[#Headers],[Agency]])),COLUMNS($F$7:AA$7))))</f>
        <v/>
      </c>
      <c r="AB751" s="2223" t="str" cm="1">
        <f t="array" ref="AB751">IF($D751&lt;COLUMNS($F$7:AB$7),"",INDEX(TableDiv[[GASB]:[GASB]],_xlfn.AGGREGATE(15,3,(TableDiv[[Agency]:[Agency]]=$E751)/(TableDiv[[Agency]:[Agency]]=$E751)*(ROW(TableDiv[Agency])-ROW(TableDiv[[#Headers],[Agency]])),COLUMNS($F$7:AB$7))))</f>
        <v/>
      </c>
      <c r="AC751" s="2223" t="str" cm="1">
        <f t="array" ref="AC751">IF($D751&lt;COLUMNS($F$7:AC$7),"",INDEX(TableDiv[[GASB]:[GASB]],_xlfn.AGGREGATE(15,3,(TableDiv[[Agency]:[Agency]]=$E751)/(TableDiv[[Agency]:[Agency]]=$E751)*(ROW(TableDiv[Agency])-ROW(TableDiv[[#Headers],[Agency]])),COLUMNS($F$7:AC$7))))</f>
        <v/>
      </c>
      <c r="AD751" s="2223" t="str" cm="1">
        <f t="array" ref="AD751">IF($D751&lt;COLUMNS($F$7:AD$7),"",INDEX(TableDiv[[GASB]:[GASB]],_xlfn.AGGREGATE(15,3,(TableDiv[[Agency]:[Agency]]=$E751)/(TableDiv[[Agency]:[Agency]]=$E751)*(ROW(TableDiv[Agency])-ROW(TableDiv[[#Headers],[Agency]])),COLUMNS($F$7:AD$7))))</f>
        <v/>
      </c>
      <c r="AE751" s="2223" t="str" cm="1">
        <f t="array" ref="AE751">IF($D751&lt;COLUMNS($F$7:AE$7),"",INDEX(TableDiv[[GASB]:[GASB]],_xlfn.AGGREGATE(15,3,(TableDiv[[Agency]:[Agency]]=$E751)/(TableDiv[[Agency]:[Agency]]=$E751)*(ROW(TableDiv[Agency])-ROW(TableDiv[[#Headers],[Agency]])),COLUMNS($F$7:AE$7))))</f>
        <v/>
      </c>
      <c r="AF751" s="2223" t="str" cm="1">
        <f t="array" ref="AF751">IF($D751&lt;COLUMNS($F$7:AF$7),"",INDEX(TableDiv[[GASB]:[GASB]],_xlfn.AGGREGATE(15,3,(TableDiv[[Agency]:[Agency]]=$E751)/(TableDiv[[Agency]:[Agency]]=$E751)*(ROW(TableDiv[Agency])-ROW(TableDiv[[#Headers],[Agency]])),COLUMNS($F$7:AF$7))))</f>
        <v/>
      </c>
      <c r="AG751" s="2223" t="str" cm="1">
        <f t="array" ref="AG751">IF($D751&lt;COLUMNS($F$7:AG$7),"",INDEX(TableDiv[[GASB]:[GASB]],_xlfn.AGGREGATE(15,3,(TableDiv[[Agency]:[Agency]]=$E751)/(TableDiv[[Agency]:[Agency]]=$E751)*(ROW(TableDiv[Agency])-ROW(TableDiv[[#Headers],[Agency]])),COLUMNS($F$7:AG$7))))</f>
        <v/>
      </c>
      <c r="AH751" s="2223" t="str" cm="1">
        <f t="array" ref="AH751">IF($D751&lt;COLUMNS($F$7:AH$7),"",INDEX(TableDiv[[GASB]:[GASB]],_xlfn.AGGREGATE(15,3,(TableDiv[[Agency]:[Agency]]=$E751)/(TableDiv[[Agency]:[Agency]]=$E751)*(ROW(TableDiv[Agency])-ROW(TableDiv[[#Headers],[Agency]])),COLUMNS($F$7:AH$7))))</f>
        <v/>
      </c>
      <c r="AI751" s="2223" t="str" cm="1">
        <f t="array" ref="AI751">IF($D751&lt;COLUMNS($F$7:AI$7),"",INDEX(TableDiv[[GASB]:[GASB]],_xlfn.AGGREGATE(15,3,(TableDiv[[Agency]:[Agency]]=$E751)/(TableDiv[[Agency]:[Agency]]=$E751)*(ROW(TableDiv[Agency])-ROW(TableDiv[[#Headers],[Agency]])),COLUMNS($F$7:AI$7))))</f>
        <v/>
      </c>
      <c r="AJ751" s="2223" t="str" cm="1">
        <f t="array" ref="AJ751">IF($D751&lt;COLUMNS($F$7:AJ$7),"",INDEX(TableDiv[[GASB]:[GASB]],_xlfn.AGGREGATE(15,3,(TableDiv[[Agency]:[Agency]]=$E751)/(TableDiv[[Agency]:[Agency]]=$E751)*(ROW(TableDiv[Agency])-ROW(TableDiv[[#Headers],[Agency]])),COLUMNS($F$7:AJ$7))))</f>
        <v/>
      </c>
      <c r="AK751" s="2223" t="str" cm="1">
        <f t="array" ref="AK751">IF($D751&lt;COLUMNS($F$7:AK$7),"",INDEX(TableDiv[[GASB]:[GASB]],_xlfn.AGGREGATE(15,3,(TableDiv[[Agency]:[Agency]]=$E751)/(TableDiv[[Agency]:[Agency]]=$E751)*(ROW(TableDiv[Agency])-ROW(TableDiv[[#Headers],[Agency]])),COLUMNS($F$7:AK$7))))</f>
        <v/>
      </c>
      <c r="AL751" s="2223" t="str" cm="1">
        <f t="array" ref="AL751">IF($D751&lt;COLUMNS($F$7:AL$7),"",INDEX(TableDiv[[GASB]:[GASB]],_xlfn.AGGREGATE(15,3,(TableDiv[[Agency]:[Agency]]=$E751)/(TableDiv[[Agency]:[Agency]]=$E751)*(ROW(TableDiv[Agency])-ROW(TableDiv[[#Headers],[Agency]])),COLUMNS($F$7:AL$7))))</f>
        <v/>
      </c>
      <c r="AM751" s="2223" t="str" cm="1">
        <f t="array" ref="AM751">IF($D751&lt;COLUMNS($F$7:AM$7),"",INDEX(TableDiv[[GASB]:[GASB]],_xlfn.AGGREGATE(15,3,(TableDiv[[Agency]:[Agency]]=$E751)/(TableDiv[[Agency]:[Agency]]=$E751)*(ROW(TableDiv[Agency])-ROW(TableDiv[[#Headers],[Agency]])),COLUMNS($F$7:AM$7))))</f>
        <v/>
      </c>
      <c r="AN751" s="2223"/>
      <c r="AO751" s="2223"/>
      <c r="AP751" s="2223"/>
      <c r="AQ751" s="2223"/>
      <c r="AR751" s="2223"/>
      <c r="AS751" s="2223"/>
    </row>
    <row r="752" spans="1:45" x14ac:dyDescent="0.2">
      <c r="A752" s="2223"/>
      <c r="B752" s="2223"/>
      <c r="C752" s="2223"/>
      <c r="W752" s="2223" t="str" cm="1">
        <f t="array" ref="W752">IF($D752&lt;COLUMNS($F$7:W$7),"",INDEX(TableDiv[[GASB]:[GASB]],_xlfn.AGGREGATE(15,3,(TableDiv[[Agency]:[Agency]]=$E752)/(TableDiv[[Agency]:[Agency]]=$E752)*(ROW(TableDiv[Agency])-ROW(TableDiv[[#Headers],[Agency]])),COLUMNS($F$7:W$7))))</f>
        <v/>
      </c>
      <c r="X752" s="2223" t="str" cm="1">
        <f t="array" ref="X752">IF($D752&lt;COLUMNS($F$7:X$7),"",INDEX(TableDiv[[GASB]:[GASB]],_xlfn.AGGREGATE(15,3,(TableDiv[[Agency]:[Agency]]=$E752)/(TableDiv[[Agency]:[Agency]]=$E752)*(ROW(TableDiv[Agency])-ROW(TableDiv[[#Headers],[Agency]])),COLUMNS($F$7:X$7))))</f>
        <v/>
      </c>
      <c r="Y752" s="2223" t="str" cm="1">
        <f t="array" ref="Y752">IF($D752&lt;COLUMNS($F$7:Y$7),"",INDEX(TableDiv[[GASB]:[GASB]],_xlfn.AGGREGATE(15,3,(TableDiv[[Agency]:[Agency]]=$E752)/(TableDiv[[Agency]:[Agency]]=$E752)*(ROW(TableDiv[Agency])-ROW(TableDiv[[#Headers],[Agency]])),COLUMNS($F$7:Y$7))))</f>
        <v/>
      </c>
      <c r="Z752" s="2223" t="str" cm="1">
        <f t="array" ref="Z752">IF($D752&lt;COLUMNS($F$7:Z$7),"",INDEX(TableDiv[[GASB]:[GASB]],_xlfn.AGGREGATE(15,3,(TableDiv[[Agency]:[Agency]]=$E752)/(TableDiv[[Agency]:[Agency]]=$E752)*(ROW(TableDiv[Agency])-ROW(TableDiv[[#Headers],[Agency]])),COLUMNS($F$7:Z$7))))</f>
        <v/>
      </c>
      <c r="AA752" s="2223" t="str" cm="1">
        <f t="array" ref="AA752">IF($D752&lt;COLUMNS($F$7:AA$7),"",INDEX(TableDiv[[GASB]:[GASB]],_xlfn.AGGREGATE(15,3,(TableDiv[[Agency]:[Agency]]=$E752)/(TableDiv[[Agency]:[Agency]]=$E752)*(ROW(TableDiv[Agency])-ROW(TableDiv[[#Headers],[Agency]])),COLUMNS($F$7:AA$7))))</f>
        <v/>
      </c>
      <c r="AB752" s="2223" t="str" cm="1">
        <f t="array" ref="AB752">IF($D752&lt;COLUMNS($F$7:AB$7),"",INDEX(TableDiv[[GASB]:[GASB]],_xlfn.AGGREGATE(15,3,(TableDiv[[Agency]:[Agency]]=$E752)/(TableDiv[[Agency]:[Agency]]=$E752)*(ROW(TableDiv[Agency])-ROW(TableDiv[[#Headers],[Agency]])),COLUMNS($F$7:AB$7))))</f>
        <v/>
      </c>
      <c r="AC752" s="2223" t="str" cm="1">
        <f t="array" ref="AC752">IF($D752&lt;COLUMNS($F$7:AC$7),"",INDEX(TableDiv[[GASB]:[GASB]],_xlfn.AGGREGATE(15,3,(TableDiv[[Agency]:[Agency]]=$E752)/(TableDiv[[Agency]:[Agency]]=$E752)*(ROW(TableDiv[Agency])-ROW(TableDiv[[#Headers],[Agency]])),COLUMNS($F$7:AC$7))))</f>
        <v/>
      </c>
      <c r="AD752" s="2223" t="str" cm="1">
        <f t="array" ref="AD752">IF($D752&lt;COLUMNS($F$7:AD$7),"",INDEX(TableDiv[[GASB]:[GASB]],_xlfn.AGGREGATE(15,3,(TableDiv[[Agency]:[Agency]]=$E752)/(TableDiv[[Agency]:[Agency]]=$E752)*(ROW(TableDiv[Agency])-ROW(TableDiv[[#Headers],[Agency]])),COLUMNS($F$7:AD$7))))</f>
        <v/>
      </c>
      <c r="AE752" s="2223" t="str" cm="1">
        <f t="array" ref="AE752">IF($D752&lt;COLUMNS($F$7:AE$7),"",INDEX(TableDiv[[GASB]:[GASB]],_xlfn.AGGREGATE(15,3,(TableDiv[[Agency]:[Agency]]=$E752)/(TableDiv[[Agency]:[Agency]]=$E752)*(ROW(TableDiv[Agency])-ROW(TableDiv[[#Headers],[Agency]])),COLUMNS($F$7:AE$7))))</f>
        <v/>
      </c>
      <c r="AF752" s="2223" t="str" cm="1">
        <f t="array" ref="AF752">IF($D752&lt;COLUMNS($F$7:AF$7),"",INDEX(TableDiv[[GASB]:[GASB]],_xlfn.AGGREGATE(15,3,(TableDiv[[Agency]:[Agency]]=$E752)/(TableDiv[[Agency]:[Agency]]=$E752)*(ROW(TableDiv[Agency])-ROW(TableDiv[[#Headers],[Agency]])),COLUMNS($F$7:AF$7))))</f>
        <v/>
      </c>
      <c r="AG752" s="2223" t="str" cm="1">
        <f t="array" ref="AG752">IF($D752&lt;COLUMNS($F$7:AG$7),"",INDEX(TableDiv[[GASB]:[GASB]],_xlfn.AGGREGATE(15,3,(TableDiv[[Agency]:[Agency]]=$E752)/(TableDiv[[Agency]:[Agency]]=$E752)*(ROW(TableDiv[Agency])-ROW(TableDiv[[#Headers],[Agency]])),COLUMNS($F$7:AG$7))))</f>
        <v/>
      </c>
      <c r="AH752" s="2223" t="str" cm="1">
        <f t="array" ref="AH752">IF($D752&lt;COLUMNS($F$7:AH$7),"",INDEX(TableDiv[[GASB]:[GASB]],_xlfn.AGGREGATE(15,3,(TableDiv[[Agency]:[Agency]]=$E752)/(TableDiv[[Agency]:[Agency]]=$E752)*(ROW(TableDiv[Agency])-ROW(TableDiv[[#Headers],[Agency]])),COLUMNS($F$7:AH$7))))</f>
        <v/>
      </c>
      <c r="AI752" s="2223" t="str" cm="1">
        <f t="array" ref="AI752">IF($D752&lt;COLUMNS($F$7:AI$7),"",INDEX(TableDiv[[GASB]:[GASB]],_xlfn.AGGREGATE(15,3,(TableDiv[[Agency]:[Agency]]=$E752)/(TableDiv[[Agency]:[Agency]]=$E752)*(ROW(TableDiv[Agency])-ROW(TableDiv[[#Headers],[Agency]])),COLUMNS($F$7:AI$7))))</f>
        <v/>
      </c>
      <c r="AJ752" s="2223" t="str" cm="1">
        <f t="array" ref="AJ752">IF($D752&lt;COLUMNS($F$7:AJ$7),"",INDEX(TableDiv[[GASB]:[GASB]],_xlfn.AGGREGATE(15,3,(TableDiv[[Agency]:[Agency]]=$E752)/(TableDiv[[Agency]:[Agency]]=$E752)*(ROW(TableDiv[Agency])-ROW(TableDiv[[#Headers],[Agency]])),COLUMNS($F$7:AJ$7))))</f>
        <v/>
      </c>
      <c r="AK752" s="2223" t="str" cm="1">
        <f t="array" ref="AK752">IF($D752&lt;COLUMNS($F$7:AK$7),"",INDEX(TableDiv[[GASB]:[GASB]],_xlfn.AGGREGATE(15,3,(TableDiv[[Agency]:[Agency]]=$E752)/(TableDiv[[Agency]:[Agency]]=$E752)*(ROW(TableDiv[Agency])-ROW(TableDiv[[#Headers],[Agency]])),COLUMNS($F$7:AK$7))))</f>
        <v/>
      </c>
      <c r="AL752" s="2223" t="str" cm="1">
        <f t="array" ref="AL752">IF($D752&lt;COLUMNS($F$7:AL$7),"",INDEX(TableDiv[[GASB]:[GASB]],_xlfn.AGGREGATE(15,3,(TableDiv[[Agency]:[Agency]]=$E752)/(TableDiv[[Agency]:[Agency]]=$E752)*(ROW(TableDiv[Agency])-ROW(TableDiv[[#Headers],[Agency]])),COLUMNS($F$7:AL$7))))</f>
        <v/>
      </c>
      <c r="AM752" s="2223" t="str" cm="1">
        <f t="array" ref="AM752">IF($D752&lt;COLUMNS($F$7:AM$7),"",INDEX(TableDiv[[GASB]:[GASB]],_xlfn.AGGREGATE(15,3,(TableDiv[[Agency]:[Agency]]=$E752)/(TableDiv[[Agency]:[Agency]]=$E752)*(ROW(TableDiv[Agency])-ROW(TableDiv[[#Headers],[Agency]])),COLUMNS($F$7:AM$7))))</f>
        <v/>
      </c>
      <c r="AN752" s="2223"/>
      <c r="AO752" s="2223"/>
      <c r="AP752" s="2223"/>
      <c r="AQ752" s="2223"/>
      <c r="AR752" s="2223"/>
      <c r="AS752" s="2223"/>
    </row>
    <row r="753" spans="1:45" x14ac:dyDescent="0.2">
      <c r="A753" s="2223"/>
      <c r="B753" s="2223"/>
      <c r="C753" s="2223"/>
      <c r="W753" s="2223" t="str" cm="1">
        <f t="array" ref="W753">IF($D753&lt;COLUMNS($F$7:W$7),"",INDEX(TableDiv[[GASB]:[GASB]],_xlfn.AGGREGATE(15,3,(TableDiv[[Agency]:[Agency]]=$E753)/(TableDiv[[Agency]:[Agency]]=$E753)*(ROW(TableDiv[Agency])-ROW(TableDiv[[#Headers],[Agency]])),COLUMNS($F$7:W$7))))</f>
        <v/>
      </c>
      <c r="X753" s="2223" t="str" cm="1">
        <f t="array" ref="X753">IF($D753&lt;COLUMNS($F$7:X$7),"",INDEX(TableDiv[[GASB]:[GASB]],_xlfn.AGGREGATE(15,3,(TableDiv[[Agency]:[Agency]]=$E753)/(TableDiv[[Agency]:[Agency]]=$E753)*(ROW(TableDiv[Agency])-ROW(TableDiv[[#Headers],[Agency]])),COLUMNS($F$7:X$7))))</f>
        <v/>
      </c>
      <c r="Y753" s="2223" t="str" cm="1">
        <f t="array" ref="Y753">IF($D753&lt;COLUMNS($F$7:Y$7),"",INDEX(TableDiv[[GASB]:[GASB]],_xlfn.AGGREGATE(15,3,(TableDiv[[Agency]:[Agency]]=$E753)/(TableDiv[[Agency]:[Agency]]=$E753)*(ROW(TableDiv[Agency])-ROW(TableDiv[[#Headers],[Agency]])),COLUMNS($F$7:Y$7))))</f>
        <v/>
      </c>
      <c r="Z753" s="2223" t="str" cm="1">
        <f t="array" ref="Z753">IF($D753&lt;COLUMNS($F$7:Z$7),"",INDEX(TableDiv[[GASB]:[GASB]],_xlfn.AGGREGATE(15,3,(TableDiv[[Agency]:[Agency]]=$E753)/(TableDiv[[Agency]:[Agency]]=$E753)*(ROW(TableDiv[Agency])-ROW(TableDiv[[#Headers],[Agency]])),COLUMNS($F$7:Z$7))))</f>
        <v/>
      </c>
      <c r="AA753" s="2223" t="str" cm="1">
        <f t="array" ref="AA753">IF($D753&lt;COLUMNS($F$7:AA$7),"",INDEX(TableDiv[[GASB]:[GASB]],_xlfn.AGGREGATE(15,3,(TableDiv[[Agency]:[Agency]]=$E753)/(TableDiv[[Agency]:[Agency]]=$E753)*(ROW(TableDiv[Agency])-ROW(TableDiv[[#Headers],[Agency]])),COLUMNS($F$7:AA$7))))</f>
        <v/>
      </c>
      <c r="AB753" s="2223" t="str" cm="1">
        <f t="array" ref="AB753">IF($D753&lt;COLUMNS($F$7:AB$7),"",INDEX(TableDiv[[GASB]:[GASB]],_xlfn.AGGREGATE(15,3,(TableDiv[[Agency]:[Agency]]=$E753)/(TableDiv[[Agency]:[Agency]]=$E753)*(ROW(TableDiv[Agency])-ROW(TableDiv[[#Headers],[Agency]])),COLUMNS($F$7:AB$7))))</f>
        <v/>
      </c>
      <c r="AC753" s="2223" t="str" cm="1">
        <f t="array" ref="AC753">IF($D753&lt;COLUMNS($F$7:AC$7),"",INDEX(TableDiv[[GASB]:[GASB]],_xlfn.AGGREGATE(15,3,(TableDiv[[Agency]:[Agency]]=$E753)/(TableDiv[[Agency]:[Agency]]=$E753)*(ROW(TableDiv[Agency])-ROW(TableDiv[[#Headers],[Agency]])),COLUMNS($F$7:AC$7))))</f>
        <v/>
      </c>
      <c r="AD753" s="2223" t="str" cm="1">
        <f t="array" ref="AD753">IF($D753&lt;COLUMNS($F$7:AD$7),"",INDEX(TableDiv[[GASB]:[GASB]],_xlfn.AGGREGATE(15,3,(TableDiv[[Agency]:[Agency]]=$E753)/(TableDiv[[Agency]:[Agency]]=$E753)*(ROW(TableDiv[Agency])-ROW(TableDiv[[#Headers],[Agency]])),COLUMNS($F$7:AD$7))))</f>
        <v/>
      </c>
      <c r="AE753" s="2223" t="str" cm="1">
        <f t="array" ref="AE753">IF($D753&lt;COLUMNS($F$7:AE$7),"",INDEX(TableDiv[[GASB]:[GASB]],_xlfn.AGGREGATE(15,3,(TableDiv[[Agency]:[Agency]]=$E753)/(TableDiv[[Agency]:[Agency]]=$E753)*(ROW(TableDiv[Agency])-ROW(TableDiv[[#Headers],[Agency]])),COLUMNS($F$7:AE$7))))</f>
        <v/>
      </c>
      <c r="AF753" s="2223" t="str" cm="1">
        <f t="array" ref="AF753">IF($D753&lt;COLUMNS($F$7:AF$7),"",INDEX(TableDiv[[GASB]:[GASB]],_xlfn.AGGREGATE(15,3,(TableDiv[[Agency]:[Agency]]=$E753)/(TableDiv[[Agency]:[Agency]]=$E753)*(ROW(TableDiv[Agency])-ROW(TableDiv[[#Headers],[Agency]])),COLUMNS($F$7:AF$7))))</f>
        <v/>
      </c>
      <c r="AG753" s="2223" t="str" cm="1">
        <f t="array" ref="AG753">IF($D753&lt;COLUMNS($F$7:AG$7),"",INDEX(TableDiv[[GASB]:[GASB]],_xlfn.AGGREGATE(15,3,(TableDiv[[Agency]:[Agency]]=$E753)/(TableDiv[[Agency]:[Agency]]=$E753)*(ROW(TableDiv[Agency])-ROW(TableDiv[[#Headers],[Agency]])),COLUMNS($F$7:AG$7))))</f>
        <v/>
      </c>
      <c r="AH753" s="2223" t="str" cm="1">
        <f t="array" ref="AH753">IF($D753&lt;COLUMNS($F$7:AH$7),"",INDEX(TableDiv[[GASB]:[GASB]],_xlfn.AGGREGATE(15,3,(TableDiv[[Agency]:[Agency]]=$E753)/(TableDiv[[Agency]:[Agency]]=$E753)*(ROW(TableDiv[Agency])-ROW(TableDiv[[#Headers],[Agency]])),COLUMNS($F$7:AH$7))))</f>
        <v/>
      </c>
      <c r="AI753" s="2223" t="str" cm="1">
        <f t="array" ref="AI753">IF($D753&lt;COLUMNS($F$7:AI$7),"",INDEX(TableDiv[[GASB]:[GASB]],_xlfn.AGGREGATE(15,3,(TableDiv[[Agency]:[Agency]]=$E753)/(TableDiv[[Agency]:[Agency]]=$E753)*(ROW(TableDiv[Agency])-ROW(TableDiv[[#Headers],[Agency]])),COLUMNS($F$7:AI$7))))</f>
        <v/>
      </c>
      <c r="AJ753" s="2223" t="str" cm="1">
        <f t="array" ref="AJ753">IF($D753&lt;COLUMNS($F$7:AJ$7),"",INDEX(TableDiv[[GASB]:[GASB]],_xlfn.AGGREGATE(15,3,(TableDiv[[Agency]:[Agency]]=$E753)/(TableDiv[[Agency]:[Agency]]=$E753)*(ROW(TableDiv[Agency])-ROW(TableDiv[[#Headers],[Agency]])),COLUMNS($F$7:AJ$7))))</f>
        <v/>
      </c>
      <c r="AK753" s="2223" t="str" cm="1">
        <f t="array" ref="AK753">IF($D753&lt;COLUMNS($F$7:AK$7),"",INDEX(TableDiv[[GASB]:[GASB]],_xlfn.AGGREGATE(15,3,(TableDiv[[Agency]:[Agency]]=$E753)/(TableDiv[[Agency]:[Agency]]=$E753)*(ROW(TableDiv[Agency])-ROW(TableDiv[[#Headers],[Agency]])),COLUMNS($F$7:AK$7))))</f>
        <v/>
      </c>
      <c r="AL753" s="2223" t="str" cm="1">
        <f t="array" ref="AL753">IF($D753&lt;COLUMNS($F$7:AL$7),"",INDEX(TableDiv[[GASB]:[GASB]],_xlfn.AGGREGATE(15,3,(TableDiv[[Agency]:[Agency]]=$E753)/(TableDiv[[Agency]:[Agency]]=$E753)*(ROW(TableDiv[Agency])-ROW(TableDiv[[#Headers],[Agency]])),COLUMNS($F$7:AL$7))))</f>
        <v/>
      </c>
      <c r="AM753" s="2223" t="str" cm="1">
        <f t="array" ref="AM753">IF($D753&lt;COLUMNS($F$7:AM$7),"",INDEX(TableDiv[[GASB]:[GASB]],_xlfn.AGGREGATE(15,3,(TableDiv[[Agency]:[Agency]]=$E753)/(TableDiv[[Agency]:[Agency]]=$E753)*(ROW(TableDiv[Agency])-ROW(TableDiv[[#Headers],[Agency]])),COLUMNS($F$7:AM$7))))</f>
        <v/>
      </c>
      <c r="AN753" s="2223"/>
      <c r="AO753" s="2223"/>
      <c r="AP753" s="2223"/>
      <c r="AQ753" s="2223"/>
      <c r="AR753" s="2223"/>
      <c r="AS753" s="2223"/>
    </row>
    <row r="754" spans="1:45" x14ac:dyDescent="0.2">
      <c r="A754" s="2223"/>
      <c r="B754" s="2223"/>
      <c r="C754" s="2223"/>
      <c r="W754" s="2223" t="str" cm="1">
        <f t="array" ref="W754">IF($D754&lt;COLUMNS($F$7:W$7),"",INDEX(TableDiv[[GASB]:[GASB]],_xlfn.AGGREGATE(15,3,(TableDiv[[Agency]:[Agency]]=$E754)/(TableDiv[[Agency]:[Agency]]=$E754)*(ROW(TableDiv[Agency])-ROW(TableDiv[[#Headers],[Agency]])),COLUMNS($F$7:W$7))))</f>
        <v/>
      </c>
      <c r="X754" s="2223" t="str" cm="1">
        <f t="array" ref="X754">IF($D754&lt;COLUMNS($F$7:X$7),"",INDEX(TableDiv[[GASB]:[GASB]],_xlfn.AGGREGATE(15,3,(TableDiv[[Agency]:[Agency]]=$E754)/(TableDiv[[Agency]:[Agency]]=$E754)*(ROW(TableDiv[Agency])-ROW(TableDiv[[#Headers],[Agency]])),COLUMNS($F$7:X$7))))</f>
        <v/>
      </c>
      <c r="Y754" s="2223" t="str" cm="1">
        <f t="array" ref="Y754">IF($D754&lt;COLUMNS($F$7:Y$7),"",INDEX(TableDiv[[GASB]:[GASB]],_xlfn.AGGREGATE(15,3,(TableDiv[[Agency]:[Agency]]=$E754)/(TableDiv[[Agency]:[Agency]]=$E754)*(ROW(TableDiv[Agency])-ROW(TableDiv[[#Headers],[Agency]])),COLUMNS($F$7:Y$7))))</f>
        <v/>
      </c>
      <c r="Z754" s="2223" t="str" cm="1">
        <f t="array" ref="Z754">IF($D754&lt;COLUMNS($F$7:Z$7),"",INDEX(TableDiv[[GASB]:[GASB]],_xlfn.AGGREGATE(15,3,(TableDiv[[Agency]:[Agency]]=$E754)/(TableDiv[[Agency]:[Agency]]=$E754)*(ROW(TableDiv[Agency])-ROW(TableDiv[[#Headers],[Agency]])),COLUMNS($F$7:Z$7))))</f>
        <v/>
      </c>
      <c r="AA754" s="2223" t="str" cm="1">
        <f t="array" ref="AA754">IF($D754&lt;COLUMNS($F$7:AA$7),"",INDEX(TableDiv[[GASB]:[GASB]],_xlfn.AGGREGATE(15,3,(TableDiv[[Agency]:[Agency]]=$E754)/(TableDiv[[Agency]:[Agency]]=$E754)*(ROW(TableDiv[Agency])-ROW(TableDiv[[#Headers],[Agency]])),COLUMNS($F$7:AA$7))))</f>
        <v/>
      </c>
      <c r="AB754" s="2223" t="str" cm="1">
        <f t="array" ref="AB754">IF($D754&lt;COLUMNS($F$7:AB$7),"",INDEX(TableDiv[[GASB]:[GASB]],_xlfn.AGGREGATE(15,3,(TableDiv[[Agency]:[Agency]]=$E754)/(TableDiv[[Agency]:[Agency]]=$E754)*(ROW(TableDiv[Agency])-ROW(TableDiv[[#Headers],[Agency]])),COLUMNS($F$7:AB$7))))</f>
        <v/>
      </c>
      <c r="AC754" s="2223" t="str" cm="1">
        <f t="array" ref="AC754">IF($D754&lt;COLUMNS($F$7:AC$7),"",INDEX(TableDiv[[GASB]:[GASB]],_xlfn.AGGREGATE(15,3,(TableDiv[[Agency]:[Agency]]=$E754)/(TableDiv[[Agency]:[Agency]]=$E754)*(ROW(TableDiv[Agency])-ROW(TableDiv[[#Headers],[Agency]])),COLUMNS($F$7:AC$7))))</f>
        <v/>
      </c>
      <c r="AD754" s="2223" t="str" cm="1">
        <f t="array" ref="AD754">IF($D754&lt;COLUMNS($F$7:AD$7),"",INDEX(TableDiv[[GASB]:[GASB]],_xlfn.AGGREGATE(15,3,(TableDiv[[Agency]:[Agency]]=$E754)/(TableDiv[[Agency]:[Agency]]=$E754)*(ROW(TableDiv[Agency])-ROW(TableDiv[[#Headers],[Agency]])),COLUMNS($F$7:AD$7))))</f>
        <v/>
      </c>
      <c r="AE754" s="2223" t="str" cm="1">
        <f t="array" ref="AE754">IF($D754&lt;COLUMNS($F$7:AE$7),"",INDEX(TableDiv[[GASB]:[GASB]],_xlfn.AGGREGATE(15,3,(TableDiv[[Agency]:[Agency]]=$E754)/(TableDiv[[Agency]:[Agency]]=$E754)*(ROW(TableDiv[Agency])-ROW(TableDiv[[#Headers],[Agency]])),COLUMNS($F$7:AE$7))))</f>
        <v/>
      </c>
      <c r="AF754" s="2223" t="str" cm="1">
        <f t="array" ref="AF754">IF($D754&lt;COLUMNS($F$7:AF$7),"",INDEX(TableDiv[[GASB]:[GASB]],_xlfn.AGGREGATE(15,3,(TableDiv[[Agency]:[Agency]]=$E754)/(TableDiv[[Agency]:[Agency]]=$E754)*(ROW(TableDiv[Agency])-ROW(TableDiv[[#Headers],[Agency]])),COLUMNS($F$7:AF$7))))</f>
        <v/>
      </c>
      <c r="AG754" s="2223" t="str" cm="1">
        <f t="array" ref="AG754">IF($D754&lt;COLUMNS($F$7:AG$7),"",INDEX(TableDiv[[GASB]:[GASB]],_xlfn.AGGREGATE(15,3,(TableDiv[[Agency]:[Agency]]=$E754)/(TableDiv[[Agency]:[Agency]]=$E754)*(ROW(TableDiv[Agency])-ROW(TableDiv[[#Headers],[Agency]])),COLUMNS($F$7:AG$7))))</f>
        <v/>
      </c>
      <c r="AH754" s="2223" t="str" cm="1">
        <f t="array" ref="AH754">IF($D754&lt;COLUMNS($F$7:AH$7),"",INDEX(TableDiv[[GASB]:[GASB]],_xlfn.AGGREGATE(15,3,(TableDiv[[Agency]:[Agency]]=$E754)/(TableDiv[[Agency]:[Agency]]=$E754)*(ROW(TableDiv[Agency])-ROW(TableDiv[[#Headers],[Agency]])),COLUMNS($F$7:AH$7))))</f>
        <v/>
      </c>
      <c r="AI754" s="2223" t="str" cm="1">
        <f t="array" ref="AI754">IF($D754&lt;COLUMNS($F$7:AI$7),"",INDEX(TableDiv[[GASB]:[GASB]],_xlfn.AGGREGATE(15,3,(TableDiv[[Agency]:[Agency]]=$E754)/(TableDiv[[Agency]:[Agency]]=$E754)*(ROW(TableDiv[Agency])-ROW(TableDiv[[#Headers],[Agency]])),COLUMNS($F$7:AI$7))))</f>
        <v/>
      </c>
      <c r="AJ754" s="2223" t="str" cm="1">
        <f t="array" ref="AJ754">IF($D754&lt;COLUMNS($F$7:AJ$7),"",INDEX(TableDiv[[GASB]:[GASB]],_xlfn.AGGREGATE(15,3,(TableDiv[[Agency]:[Agency]]=$E754)/(TableDiv[[Agency]:[Agency]]=$E754)*(ROW(TableDiv[Agency])-ROW(TableDiv[[#Headers],[Agency]])),COLUMNS($F$7:AJ$7))))</f>
        <v/>
      </c>
      <c r="AK754" s="2223" t="str" cm="1">
        <f t="array" ref="AK754">IF($D754&lt;COLUMNS($F$7:AK$7),"",INDEX(TableDiv[[GASB]:[GASB]],_xlfn.AGGREGATE(15,3,(TableDiv[[Agency]:[Agency]]=$E754)/(TableDiv[[Agency]:[Agency]]=$E754)*(ROW(TableDiv[Agency])-ROW(TableDiv[[#Headers],[Agency]])),COLUMNS($F$7:AK$7))))</f>
        <v/>
      </c>
      <c r="AL754" s="2223" t="str" cm="1">
        <f t="array" ref="AL754">IF($D754&lt;COLUMNS($F$7:AL$7),"",INDEX(TableDiv[[GASB]:[GASB]],_xlfn.AGGREGATE(15,3,(TableDiv[[Agency]:[Agency]]=$E754)/(TableDiv[[Agency]:[Agency]]=$E754)*(ROW(TableDiv[Agency])-ROW(TableDiv[[#Headers],[Agency]])),COLUMNS($F$7:AL$7))))</f>
        <v/>
      </c>
      <c r="AM754" s="2223" t="str" cm="1">
        <f t="array" ref="AM754">IF($D754&lt;COLUMNS($F$7:AM$7),"",INDEX(TableDiv[[GASB]:[GASB]],_xlfn.AGGREGATE(15,3,(TableDiv[[Agency]:[Agency]]=$E754)/(TableDiv[[Agency]:[Agency]]=$E754)*(ROW(TableDiv[Agency])-ROW(TableDiv[[#Headers],[Agency]])),COLUMNS($F$7:AM$7))))</f>
        <v/>
      </c>
      <c r="AN754" s="2223"/>
      <c r="AO754" s="2223"/>
      <c r="AP754" s="2223"/>
      <c r="AQ754" s="2223"/>
      <c r="AR754" s="2223"/>
      <c r="AS754" s="2223"/>
    </row>
    <row r="755" spans="1:45" x14ac:dyDescent="0.2">
      <c r="A755" s="2223"/>
      <c r="B755" s="2223"/>
      <c r="C755" s="2223"/>
      <c r="W755" s="2223" t="str" cm="1">
        <f t="array" ref="W755">IF($D755&lt;COLUMNS($F$7:W$7),"",INDEX(TableDiv[[GASB]:[GASB]],_xlfn.AGGREGATE(15,3,(TableDiv[[Agency]:[Agency]]=$E755)/(TableDiv[[Agency]:[Agency]]=$E755)*(ROW(TableDiv[Agency])-ROW(TableDiv[[#Headers],[Agency]])),COLUMNS($F$7:W$7))))</f>
        <v/>
      </c>
      <c r="X755" s="2223" t="str" cm="1">
        <f t="array" ref="X755">IF($D755&lt;COLUMNS($F$7:X$7),"",INDEX(TableDiv[[GASB]:[GASB]],_xlfn.AGGREGATE(15,3,(TableDiv[[Agency]:[Agency]]=$E755)/(TableDiv[[Agency]:[Agency]]=$E755)*(ROW(TableDiv[Agency])-ROW(TableDiv[[#Headers],[Agency]])),COLUMNS($F$7:X$7))))</f>
        <v/>
      </c>
      <c r="Y755" s="2223" t="str" cm="1">
        <f t="array" ref="Y755">IF($D755&lt;COLUMNS($F$7:Y$7),"",INDEX(TableDiv[[GASB]:[GASB]],_xlfn.AGGREGATE(15,3,(TableDiv[[Agency]:[Agency]]=$E755)/(TableDiv[[Agency]:[Agency]]=$E755)*(ROW(TableDiv[Agency])-ROW(TableDiv[[#Headers],[Agency]])),COLUMNS($F$7:Y$7))))</f>
        <v/>
      </c>
      <c r="Z755" s="2223" t="str" cm="1">
        <f t="array" ref="Z755">IF($D755&lt;COLUMNS($F$7:Z$7),"",INDEX(TableDiv[[GASB]:[GASB]],_xlfn.AGGREGATE(15,3,(TableDiv[[Agency]:[Agency]]=$E755)/(TableDiv[[Agency]:[Agency]]=$E755)*(ROW(TableDiv[Agency])-ROW(TableDiv[[#Headers],[Agency]])),COLUMNS($F$7:Z$7))))</f>
        <v/>
      </c>
      <c r="AA755" s="2223" t="str" cm="1">
        <f t="array" ref="AA755">IF($D755&lt;COLUMNS($F$7:AA$7),"",INDEX(TableDiv[[GASB]:[GASB]],_xlfn.AGGREGATE(15,3,(TableDiv[[Agency]:[Agency]]=$E755)/(TableDiv[[Agency]:[Agency]]=$E755)*(ROW(TableDiv[Agency])-ROW(TableDiv[[#Headers],[Agency]])),COLUMNS($F$7:AA$7))))</f>
        <v/>
      </c>
      <c r="AB755" s="2223" t="str" cm="1">
        <f t="array" ref="AB755">IF($D755&lt;COLUMNS($F$7:AB$7),"",INDEX(TableDiv[[GASB]:[GASB]],_xlfn.AGGREGATE(15,3,(TableDiv[[Agency]:[Agency]]=$E755)/(TableDiv[[Agency]:[Agency]]=$E755)*(ROW(TableDiv[Agency])-ROW(TableDiv[[#Headers],[Agency]])),COLUMNS($F$7:AB$7))))</f>
        <v/>
      </c>
      <c r="AC755" s="2223" t="str" cm="1">
        <f t="array" ref="AC755">IF($D755&lt;COLUMNS($F$7:AC$7),"",INDEX(TableDiv[[GASB]:[GASB]],_xlfn.AGGREGATE(15,3,(TableDiv[[Agency]:[Agency]]=$E755)/(TableDiv[[Agency]:[Agency]]=$E755)*(ROW(TableDiv[Agency])-ROW(TableDiv[[#Headers],[Agency]])),COLUMNS($F$7:AC$7))))</f>
        <v/>
      </c>
      <c r="AD755" s="2223" t="str" cm="1">
        <f t="array" ref="AD755">IF($D755&lt;COLUMNS($F$7:AD$7),"",INDEX(TableDiv[[GASB]:[GASB]],_xlfn.AGGREGATE(15,3,(TableDiv[[Agency]:[Agency]]=$E755)/(TableDiv[[Agency]:[Agency]]=$E755)*(ROW(TableDiv[Agency])-ROW(TableDiv[[#Headers],[Agency]])),COLUMNS($F$7:AD$7))))</f>
        <v/>
      </c>
      <c r="AE755" s="2223" t="str" cm="1">
        <f t="array" ref="AE755">IF($D755&lt;COLUMNS($F$7:AE$7),"",INDEX(TableDiv[[GASB]:[GASB]],_xlfn.AGGREGATE(15,3,(TableDiv[[Agency]:[Agency]]=$E755)/(TableDiv[[Agency]:[Agency]]=$E755)*(ROW(TableDiv[Agency])-ROW(TableDiv[[#Headers],[Agency]])),COLUMNS($F$7:AE$7))))</f>
        <v/>
      </c>
      <c r="AF755" s="2223" t="str" cm="1">
        <f t="array" ref="AF755">IF($D755&lt;COLUMNS($F$7:AF$7),"",INDEX(TableDiv[[GASB]:[GASB]],_xlfn.AGGREGATE(15,3,(TableDiv[[Agency]:[Agency]]=$E755)/(TableDiv[[Agency]:[Agency]]=$E755)*(ROW(TableDiv[Agency])-ROW(TableDiv[[#Headers],[Agency]])),COLUMNS($F$7:AF$7))))</f>
        <v/>
      </c>
      <c r="AG755" s="2223" t="str" cm="1">
        <f t="array" ref="AG755">IF($D755&lt;COLUMNS($F$7:AG$7),"",INDEX(TableDiv[[GASB]:[GASB]],_xlfn.AGGREGATE(15,3,(TableDiv[[Agency]:[Agency]]=$E755)/(TableDiv[[Agency]:[Agency]]=$E755)*(ROW(TableDiv[Agency])-ROW(TableDiv[[#Headers],[Agency]])),COLUMNS($F$7:AG$7))))</f>
        <v/>
      </c>
      <c r="AH755" s="2223" t="str" cm="1">
        <f t="array" ref="AH755">IF($D755&lt;COLUMNS($F$7:AH$7),"",INDEX(TableDiv[[GASB]:[GASB]],_xlfn.AGGREGATE(15,3,(TableDiv[[Agency]:[Agency]]=$E755)/(TableDiv[[Agency]:[Agency]]=$E755)*(ROW(TableDiv[Agency])-ROW(TableDiv[[#Headers],[Agency]])),COLUMNS($F$7:AH$7))))</f>
        <v/>
      </c>
      <c r="AI755" s="2223" t="str" cm="1">
        <f t="array" ref="AI755">IF($D755&lt;COLUMNS($F$7:AI$7),"",INDEX(TableDiv[[GASB]:[GASB]],_xlfn.AGGREGATE(15,3,(TableDiv[[Agency]:[Agency]]=$E755)/(TableDiv[[Agency]:[Agency]]=$E755)*(ROW(TableDiv[Agency])-ROW(TableDiv[[#Headers],[Agency]])),COLUMNS($F$7:AI$7))))</f>
        <v/>
      </c>
      <c r="AJ755" s="2223" t="str" cm="1">
        <f t="array" ref="AJ755">IF($D755&lt;COLUMNS($F$7:AJ$7),"",INDEX(TableDiv[[GASB]:[GASB]],_xlfn.AGGREGATE(15,3,(TableDiv[[Agency]:[Agency]]=$E755)/(TableDiv[[Agency]:[Agency]]=$E755)*(ROW(TableDiv[Agency])-ROW(TableDiv[[#Headers],[Agency]])),COLUMNS($F$7:AJ$7))))</f>
        <v/>
      </c>
      <c r="AK755" s="2223" t="str" cm="1">
        <f t="array" ref="AK755">IF($D755&lt;COLUMNS($F$7:AK$7),"",INDEX(TableDiv[[GASB]:[GASB]],_xlfn.AGGREGATE(15,3,(TableDiv[[Agency]:[Agency]]=$E755)/(TableDiv[[Agency]:[Agency]]=$E755)*(ROW(TableDiv[Agency])-ROW(TableDiv[[#Headers],[Agency]])),COLUMNS($F$7:AK$7))))</f>
        <v/>
      </c>
      <c r="AL755" s="2223" t="str" cm="1">
        <f t="array" ref="AL755">IF($D755&lt;COLUMNS($F$7:AL$7),"",INDEX(TableDiv[[GASB]:[GASB]],_xlfn.AGGREGATE(15,3,(TableDiv[[Agency]:[Agency]]=$E755)/(TableDiv[[Agency]:[Agency]]=$E755)*(ROW(TableDiv[Agency])-ROW(TableDiv[[#Headers],[Agency]])),COLUMNS($F$7:AL$7))))</f>
        <v/>
      </c>
      <c r="AM755" s="2223" t="str" cm="1">
        <f t="array" ref="AM755">IF($D755&lt;COLUMNS($F$7:AM$7),"",INDEX(TableDiv[[GASB]:[GASB]],_xlfn.AGGREGATE(15,3,(TableDiv[[Agency]:[Agency]]=$E755)/(TableDiv[[Agency]:[Agency]]=$E755)*(ROW(TableDiv[Agency])-ROW(TableDiv[[#Headers],[Agency]])),COLUMNS($F$7:AM$7))))</f>
        <v/>
      </c>
      <c r="AN755" s="2223"/>
      <c r="AO755" s="2223"/>
      <c r="AP755" s="2223"/>
      <c r="AQ755" s="2223"/>
      <c r="AR755" s="2223"/>
      <c r="AS755" s="2223"/>
    </row>
    <row r="756" spans="1:45" x14ac:dyDescent="0.2">
      <c r="A756" s="2223"/>
      <c r="B756" s="2223"/>
      <c r="C756" s="2223"/>
      <c r="W756" s="2223" t="str" cm="1">
        <f t="array" ref="W756">IF($D756&lt;COLUMNS($F$7:W$7),"",INDEX(TableDiv[[GASB]:[GASB]],_xlfn.AGGREGATE(15,3,(TableDiv[[Agency]:[Agency]]=$E756)/(TableDiv[[Agency]:[Agency]]=$E756)*(ROW(TableDiv[Agency])-ROW(TableDiv[[#Headers],[Agency]])),COLUMNS($F$7:W$7))))</f>
        <v/>
      </c>
      <c r="X756" s="2223" t="str" cm="1">
        <f t="array" ref="X756">IF($D756&lt;COLUMNS($F$7:X$7),"",INDEX(TableDiv[[GASB]:[GASB]],_xlfn.AGGREGATE(15,3,(TableDiv[[Agency]:[Agency]]=$E756)/(TableDiv[[Agency]:[Agency]]=$E756)*(ROW(TableDiv[Agency])-ROW(TableDiv[[#Headers],[Agency]])),COLUMNS($F$7:X$7))))</f>
        <v/>
      </c>
      <c r="Y756" s="2223" t="str" cm="1">
        <f t="array" ref="Y756">IF($D756&lt;COLUMNS($F$7:Y$7),"",INDEX(TableDiv[[GASB]:[GASB]],_xlfn.AGGREGATE(15,3,(TableDiv[[Agency]:[Agency]]=$E756)/(TableDiv[[Agency]:[Agency]]=$E756)*(ROW(TableDiv[Agency])-ROW(TableDiv[[#Headers],[Agency]])),COLUMNS($F$7:Y$7))))</f>
        <v/>
      </c>
      <c r="Z756" s="2223" t="str" cm="1">
        <f t="array" ref="Z756">IF($D756&lt;COLUMNS($F$7:Z$7),"",INDEX(TableDiv[[GASB]:[GASB]],_xlfn.AGGREGATE(15,3,(TableDiv[[Agency]:[Agency]]=$E756)/(TableDiv[[Agency]:[Agency]]=$E756)*(ROW(TableDiv[Agency])-ROW(TableDiv[[#Headers],[Agency]])),COLUMNS($F$7:Z$7))))</f>
        <v/>
      </c>
      <c r="AA756" s="2223" t="str" cm="1">
        <f t="array" ref="AA756">IF($D756&lt;COLUMNS($F$7:AA$7),"",INDEX(TableDiv[[GASB]:[GASB]],_xlfn.AGGREGATE(15,3,(TableDiv[[Agency]:[Agency]]=$E756)/(TableDiv[[Agency]:[Agency]]=$E756)*(ROW(TableDiv[Agency])-ROW(TableDiv[[#Headers],[Agency]])),COLUMNS($F$7:AA$7))))</f>
        <v/>
      </c>
      <c r="AB756" s="2223" t="str" cm="1">
        <f t="array" ref="AB756">IF($D756&lt;COLUMNS($F$7:AB$7),"",INDEX(TableDiv[[GASB]:[GASB]],_xlfn.AGGREGATE(15,3,(TableDiv[[Agency]:[Agency]]=$E756)/(TableDiv[[Agency]:[Agency]]=$E756)*(ROW(TableDiv[Agency])-ROW(TableDiv[[#Headers],[Agency]])),COLUMNS($F$7:AB$7))))</f>
        <v/>
      </c>
      <c r="AC756" s="2223" t="str" cm="1">
        <f t="array" ref="AC756">IF($D756&lt;COLUMNS($F$7:AC$7),"",INDEX(TableDiv[[GASB]:[GASB]],_xlfn.AGGREGATE(15,3,(TableDiv[[Agency]:[Agency]]=$E756)/(TableDiv[[Agency]:[Agency]]=$E756)*(ROW(TableDiv[Agency])-ROW(TableDiv[[#Headers],[Agency]])),COLUMNS($F$7:AC$7))))</f>
        <v/>
      </c>
      <c r="AD756" s="2223" t="str" cm="1">
        <f t="array" ref="AD756">IF($D756&lt;COLUMNS($F$7:AD$7),"",INDEX(TableDiv[[GASB]:[GASB]],_xlfn.AGGREGATE(15,3,(TableDiv[[Agency]:[Agency]]=$E756)/(TableDiv[[Agency]:[Agency]]=$E756)*(ROW(TableDiv[Agency])-ROW(TableDiv[[#Headers],[Agency]])),COLUMNS($F$7:AD$7))))</f>
        <v/>
      </c>
      <c r="AE756" s="2223" t="str" cm="1">
        <f t="array" ref="AE756">IF($D756&lt;COLUMNS($F$7:AE$7),"",INDEX(TableDiv[[GASB]:[GASB]],_xlfn.AGGREGATE(15,3,(TableDiv[[Agency]:[Agency]]=$E756)/(TableDiv[[Agency]:[Agency]]=$E756)*(ROW(TableDiv[Agency])-ROW(TableDiv[[#Headers],[Agency]])),COLUMNS($F$7:AE$7))))</f>
        <v/>
      </c>
      <c r="AF756" s="2223" t="str" cm="1">
        <f t="array" ref="AF756">IF($D756&lt;COLUMNS($F$7:AF$7),"",INDEX(TableDiv[[GASB]:[GASB]],_xlfn.AGGREGATE(15,3,(TableDiv[[Agency]:[Agency]]=$E756)/(TableDiv[[Agency]:[Agency]]=$E756)*(ROW(TableDiv[Agency])-ROW(TableDiv[[#Headers],[Agency]])),COLUMNS($F$7:AF$7))))</f>
        <v/>
      </c>
      <c r="AG756" s="2223" t="str" cm="1">
        <f t="array" ref="AG756">IF($D756&lt;COLUMNS($F$7:AG$7),"",INDEX(TableDiv[[GASB]:[GASB]],_xlfn.AGGREGATE(15,3,(TableDiv[[Agency]:[Agency]]=$E756)/(TableDiv[[Agency]:[Agency]]=$E756)*(ROW(TableDiv[Agency])-ROW(TableDiv[[#Headers],[Agency]])),COLUMNS($F$7:AG$7))))</f>
        <v/>
      </c>
      <c r="AH756" s="2223" t="str" cm="1">
        <f t="array" ref="AH756">IF($D756&lt;COLUMNS($F$7:AH$7),"",INDEX(TableDiv[[GASB]:[GASB]],_xlfn.AGGREGATE(15,3,(TableDiv[[Agency]:[Agency]]=$E756)/(TableDiv[[Agency]:[Agency]]=$E756)*(ROW(TableDiv[Agency])-ROW(TableDiv[[#Headers],[Agency]])),COLUMNS($F$7:AH$7))))</f>
        <v/>
      </c>
      <c r="AI756" s="2223" t="str" cm="1">
        <f t="array" ref="AI756">IF($D756&lt;COLUMNS($F$7:AI$7),"",INDEX(TableDiv[[GASB]:[GASB]],_xlfn.AGGREGATE(15,3,(TableDiv[[Agency]:[Agency]]=$E756)/(TableDiv[[Agency]:[Agency]]=$E756)*(ROW(TableDiv[Agency])-ROW(TableDiv[[#Headers],[Agency]])),COLUMNS($F$7:AI$7))))</f>
        <v/>
      </c>
      <c r="AJ756" s="2223" t="str" cm="1">
        <f t="array" ref="AJ756">IF($D756&lt;COLUMNS($F$7:AJ$7),"",INDEX(TableDiv[[GASB]:[GASB]],_xlfn.AGGREGATE(15,3,(TableDiv[[Agency]:[Agency]]=$E756)/(TableDiv[[Agency]:[Agency]]=$E756)*(ROW(TableDiv[Agency])-ROW(TableDiv[[#Headers],[Agency]])),COLUMNS($F$7:AJ$7))))</f>
        <v/>
      </c>
      <c r="AK756" s="2223" t="str" cm="1">
        <f t="array" ref="AK756">IF($D756&lt;COLUMNS($F$7:AK$7),"",INDEX(TableDiv[[GASB]:[GASB]],_xlfn.AGGREGATE(15,3,(TableDiv[[Agency]:[Agency]]=$E756)/(TableDiv[[Agency]:[Agency]]=$E756)*(ROW(TableDiv[Agency])-ROW(TableDiv[[#Headers],[Agency]])),COLUMNS($F$7:AK$7))))</f>
        <v/>
      </c>
      <c r="AL756" s="2223" t="str" cm="1">
        <f t="array" ref="AL756">IF($D756&lt;COLUMNS($F$7:AL$7),"",INDEX(TableDiv[[GASB]:[GASB]],_xlfn.AGGREGATE(15,3,(TableDiv[[Agency]:[Agency]]=$E756)/(TableDiv[[Agency]:[Agency]]=$E756)*(ROW(TableDiv[Agency])-ROW(TableDiv[[#Headers],[Agency]])),COLUMNS($F$7:AL$7))))</f>
        <v/>
      </c>
      <c r="AM756" s="2223" t="str" cm="1">
        <f t="array" ref="AM756">IF($D756&lt;COLUMNS($F$7:AM$7),"",INDEX(TableDiv[[GASB]:[GASB]],_xlfn.AGGREGATE(15,3,(TableDiv[[Agency]:[Agency]]=$E756)/(TableDiv[[Agency]:[Agency]]=$E756)*(ROW(TableDiv[Agency])-ROW(TableDiv[[#Headers],[Agency]])),COLUMNS($F$7:AM$7))))</f>
        <v/>
      </c>
      <c r="AN756" s="2223"/>
      <c r="AO756" s="2223"/>
      <c r="AP756" s="2223"/>
      <c r="AQ756" s="2223"/>
      <c r="AR756" s="2223"/>
      <c r="AS756" s="2223"/>
    </row>
    <row r="757" spans="1:45" x14ac:dyDescent="0.2">
      <c r="A757" s="2223"/>
      <c r="B757" s="2223"/>
      <c r="C757" s="2223"/>
      <c r="W757" s="2223" t="str" cm="1">
        <f t="array" ref="W757">IF($D757&lt;COLUMNS($F$7:W$7),"",INDEX(TableDiv[[GASB]:[GASB]],_xlfn.AGGREGATE(15,3,(TableDiv[[Agency]:[Agency]]=$E757)/(TableDiv[[Agency]:[Agency]]=$E757)*(ROW(TableDiv[Agency])-ROW(TableDiv[[#Headers],[Agency]])),COLUMNS($F$7:W$7))))</f>
        <v/>
      </c>
      <c r="X757" s="2223" t="str" cm="1">
        <f t="array" ref="X757">IF($D757&lt;COLUMNS($F$7:X$7),"",INDEX(TableDiv[[GASB]:[GASB]],_xlfn.AGGREGATE(15,3,(TableDiv[[Agency]:[Agency]]=$E757)/(TableDiv[[Agency]:[Agency]]=$E757)*(ROW(TableDiv[Agency])-ROW(TableDiv[[#Headers],[Agency]])),COLUMNS($F$7:X$7))))</f>
        <v/>
      </c>
      <c r="Y757" s="2223" t="str" cm="1">
        <f t="array" ref="Y757">IF($D757&lt;COLUMNS($F$7:Y$7),"",INDEX(TableDiv[[GASB]:[GASB]],_xlfn.AGGREGATE(15,3,(TableDiv[[Agency]:[Agency]]=$E757)/(TableDiv[[Agency]:[Agency]]=$E757)*(ROW(TableDiv[Agency])-ROW(TableDiv[[#Headers],[Agency]])),COLUMNS($F$7:Y$7))))</f>
        <v/>
      </c>
      <c r="Z757" s="2223" t="str" cm="1">
        <f t="array" ref="Z757">IF($D757&lt;COLUMNS($F$7:Z$7),"",INDEX(TableDiv[[GASB]:[GASB]],_xlfn.AGGREGATE(15,3,(TableDiv[[Agency]:[Agency]]=$E757)/(TableDiv[[Agency]:[Agency]]=$E757)*(ROW(TableDiv[Agency])-ROW(TableDiv[[#Headers],[Agency]])),COLUMNS($F$7:Z$7))))</f>
        <v/>
      </c>
      <c r="AA757" s="2223" t="str" cm="1">
        <f t="array" ref="AA757">IF($D757&lt;COLUMNS($F$7:AA$7),"",INDEX(TableDiv[[GASB]:[GASB]],_xlfn.AGGREGATE(15,3,(TableDiv[[Agency]:[Agency]]=$E757)/(TableDiv[[Agency]:[Agency]]=$E757)*(ROW(TableDiv[Agency])-ROW(TableDiv[[#Headers],[Agency]])),COLUMNS($F$7:AA$7))))</f>
        <v/>
      </c>
      <c r="AB757" s="2223" t="str" cm="1">
        <f t="array" ref="AB757">IF($D757&lt;COLUMNS($F$7:AB$7),"",INDEX(TableDiv[[GASB]:[GASB]],_xlfn.AGGREGATE(15,3,(TableDiv[[Agency]:[Agency]]=$E757)/(TableDiv[[Agency]:[Agency]]=$E757)*(ROW(TableDiv[Agency])-ROW(TableDiv[[#Headers],[Agency]])),COLUMNS($F$7:AB$7))))</f>
        <v/>
      </c>
      <c r="AC757" s="2223" t="str" cm="1">
        <f t="array" ref="AC757">IF($D757&lt;COLUMNS($F$7:AC$7),"",INDEX(TableDiv[[GASB]:[GASB]],_xlfn.AGGREGATE(15,3,(TableDiv[[Agency]:[Agency]]=$E757)/(TableDiv[[Agency]:[Agency]]=$E757)*(ROW(TableDiv[Agency])-ROW(TableDiv[[#Headers],[Agency]])),COLUMNS($F$7:AC$7))))</f>
        <v/>
      </c>
      <c r="AD757" s="2223" t="str" cm="1">
        <f t="array" ref="AD757">IF($D757&lt;COLUMNS($F$7:AD$7),"",INDEX(TableDiv[[GASB]:[GASB]],_xlfn.AGGREGATE(15,3,(TableDiv[[Agency]:[Agency]]=$E757)/(TableDiv[[Agency]:[Agency]]=$E757)*(ROW(TableDiv[Agency])-ROW(TableDiv[[#Headers],[Agency]])),COLUMNS($F$7:AD$7))))</f>
        <v/>
      </c>
      <c r="AE757" s="2223" t="str" cm="1">
        <f t="array" ref="AE757">IF($D757&lt;COLUMNS($F$7:AE$7),"",INDEX(TableDiv[[GASB]:[GASB]],_xlfn.AGGREGATE(15,3,(TableDiv[[Agency]:[Agency]]=$E757)/(TableDiv[[Agency]:[Agency]]=$E757)*(ROW(TableDiv[Agency])-ROW(TableDiv[[#Headers],[Agency]])),COLUMNS($F$7:AE$7))))</f>
        <v/>
      </c>
      <c r="AF757" s="2223" t="str" cm="1">
        <f t="array" ref="AF757">IF($D757&lt;COLUMNS($F$7:AF$7),"",INDEX(TableDiv[[GASB]:[GASB]],_xlfn.AGGREGATE(15,3,(TableDiv[[Agency]:[Agency]]=$E757)/(TableDiv[[Agency]:[Agency]]=$E757)*(ROW(TableDiv[Agency])-ROW(TableDiv[[#Headers],[Agency]])),COLUMNS($F$7:AF$7))))</f>
        <v/>
      </c>
      <c r="AG757" s="2223" t="str" cm="1">
        <f t="array" ref="AG757">IF($D757&lt;COLUMNS($F$7:AG$7),"",INDEX(TableDiv[[GASB]:[GASB]],_xlfn.AGGREGATE(15,3,(TableDiv[[Agency]:[Agency]]=$E757)/(TableDiv[[Agency]:[Agency]]=$E757)*(ROW(TableDiv[Agency])-ROW(TableDiv[[#Headers],[Agency]])),COLUMNS($F$7:AG$7))))</f>
        <v/>
      </c>
      <c r="AH757" s="2223" t="str" cm="1">
        <f t="array" ref="AH757">IF($D757&lt;COLUMNS($F$7:AH$7),"",INDEX(TableDiv[[GASB]:[GASB]],_xlfn.AGGREGATE(15,3,(TableDiv[[Agency]:[Agency]]=$E757)/(TableDiv[[Agency]:[Agency]]=$E757)*(ROW(TableDiv[Agency])-ROW(TableDiv[[#Headers],[Agency]])),COLUMNS($F$7:AH$7))))</f>
        <v/>
      </c>
      <c r="AI757" s="2223" t="str" cm="1">
        <f t="array" ref="AI757">IF($D757&lt;COLUMNS($F$7:AI$7),"",INDEX(TableDiv[[GASB]:[GASB]],_xlfn.AGGREGATE(15,3,(TableDiv[[Agency]:[Agency]]=$E757)/(TableDiv[[Agency]:[Agency]]=$E757)*(ROW(TableDiv[Agency])-ROW(TableDiv[[#Headers],[Agency]])),COLUMNS($F$7:AI$7))))</f>
        <v/>
      </c>
      <c r="AJ757" s="2223" t="str" cm="1">
        <f t="array" ref="AJ757">IF($D757&lt;COLUMNS($F$7:AJ$7),"",INDEX(TableDiv[[GASB]:[GASB]],_xlfn.AGGREGATE(15,3,(TableDiv[[Agency]:[Agency]]=$E757)/(TableDiv[[Agency]:[Agency]]=$E757)*(ROW(TableDiv[Agency])-ROW(TableDiv[[#Headers],[Agency]])),COLUMNS($F$7:AJ$7))))</f>
        <v/>
      </c>
      <c r="AK757" s="2223" t="str" cm="1">
        <f t="array" ref="AK757">IF($D757&lt;COLUMNS($F$7:AK$7),"",INDEX(TableDiv[[GASB]:[GASB]],_xlfn.AGGREGATE(15,3,(TableDiv[[Agency]:[Agency]]=$E757)/(TableDiv[[Agency]:[Agency]]=$E757)*(ROW(TableDiv[Agency])-ROW(TableDiv[[#Headers],[Agency]])),COLUMNS($F$7:AK$7))))</f>
        <v/>
      </c>
      <c r="AL757" s="2223" t="str" cm="1">
        <f t="array" ref="AL757">IF($D757&lt;COLUMNS($F$7:AL$7),"",INDEX(TableDiv[[GASB]:[GASB]],_xlfn.AGGREGATE(15,3,(TableDiv[[Agency]:[Agency]]=$E757)/(TableDiv[[Agency]:[Agency]]=$E757)*(ROW(TableDiv[Agency])-ROW(TableDiv[[#Headers],[Agency]])),COLUMNS($F$7:AL$7))))</f>
        <v/>
      </c>
      <c r="AM757" s="2223" t="str" cm="1">
        <f t="array" ref="AM757">IF($D757&lt;COLUMNS($F$7:AM$7),"",INDEX(TableDiv[[GASB]:[GASB]],_xlfn.AGGREGATE(15,3,(TableDiv[[Agency]:[Agency]]=$E757)/(TableDiv[[Agency]:[Agency]]=$E757)*(ROW(TableDiv[Agency])-ROW(TableDiv[[#Headers],[Agency]])),COLUMNS($F$7:AM$7))))</f>
        <v/>
      </c>
      <c r="AN757" s="2223"/>
      <c r="AO757" s="2223"/>
      <c r="AP757" s="2223"/>
      <c r="AQ757" s="2223"/>
      <c r="AR757" s="2223"/>
      <c r="AS757" s="2223"/>
    </row>
    <row r="758" spans="1:45" x14ac:dyDescent="0.2">
      <c r="A758" s="2223"/>
      <c r="B758" s="2223"/>
      <c r="C758" s="2223"/>
      <c r="W758" s="2223" t="str" cm="1">
        <f t="array" ref="W758">IF($D758&lt;COLUMNS($F$7:W$7),"",INDEX(TableDiv[[GASB]:[GASB]],_xlfn.AGGREGATE(15,3,(TableDiv[[Agency]:[Agency]]=$E758)/(TableDiv[[Agency]:[Agency]]=$E758)*(ROW(TableDiv[Agency])-ROW(TableDiv[[#Headers],[Agency]])),COLUMNS($F$7:W$7))))</f>
        <v/>
      </c>
      <c r="X758" s="2223" t="str" cm="1">
        <f t="array" ref="X758">IF($D758&lt;COLUMNS($F$7:X$7),"",INDEX(TableDiv[[GASB]:[GASB]],_xlfn.AGGREGATE(15,3,(TableDiv[[Agency]:[Agency]]=$E758)/(TableDiv[[Agency]:[Agency]]=$E758)*(ROW(TableDiv[Agency])-ROW(TableDiv[[#Headers],[Agency]])),COLUMNS($F$7:X$7))))</f>
        <v/>
      </c>
      <c r="Y758" s="2223" t="str" cm="1">
        <f t="array" ref="Y758">IF($D758&lt;COLUMNS($F$7:Y$7),"",INDEX(TableDiv[[GASB]:[GASB]],_xlfn.AGGREGATE(15,3,(TableDiv[[Agency]:[Agency]]=$E758)/(TableDiv[[Agency]:[Agency]]=$E758)*(ROW(TableDiv[Agency])-ROW(TableDiv[[#Headers],[Agency]])),COLUMNS($F$7:Y$7))))</f>
        <v/>
      </c>
      <c r="Z758" s="2223" t="str" cm="1">
        <f t="array" ref="Z758">IF($D758&lt;COLUMNS($F$7:Z$7),"",INDEX(TableDiv[[GASB]:[GASB]],_xlfn.AGGREGATE(15,3,(TableDiv[[Agency]:[Agency]]=$E758)/(TableDiv[[Agency]:[Agency]]=$E758)*(ROW(TableDiv[Agency])-ROW(TableDiv[[#Headers],[Agency]])),COLUMNS($F$7:Z$7))))</f>
        <v/>
      </c>
      <c r="AA758" s="2223" t="str" cm="1">
        <f t="array" ref="AA758">IF($D758&lt;COLUMNS($F$7:AA$7),"",INDEX(TableDiv[[GASB]:[GASB]],_xlfn.AGGREGATE(15,3,(TableDiv[[Agency]:[Agency]]=$E758)/(TableDiv[[Agency]:[Agency]]=$E758)*(ROW(TableDiv[Agency])-ROW(TableDiv[[#Headers],[Agency]])),COLUMNS($F$7:AA$7))))</f>
        <v/>
      </c>
      <c r="AB758" s="2223" t="str" cm="1">
        <f t="array" ref="AB758">IF($D758&lt;COLUMNS($F$7:AB$7),"",INDEX(TableDiv[[GASB]:[GASB]],_xlfn.AGGREGATE(15,3,(TableDiv[[Agency]:[Agency]]=$E758)/(TableDiv[[Agency]:[Agency]]=$E758)*(ROW(TableDiv[Agency])-ROW(TableDiv[[#Headers],[Agency]])),COLUMNS($F$7:AB$7))))</f>
        <v/>
      </c>
      <c r="AC758" s="2223" t="str" cm="1">
        <f t="array" ref="AC758">IF($D758&lt;COLUMNS($F$7:AC$7),"",INDEX(TableDiv[[GASB]:[GASB]],_xlfn.AGGREGATE(15,3,(TableDiv[[Agency]:[Agency]]=$E758)/(TableDiv[[Agency]:[Agency]]=$E758)*(ROW(TableDiv[Agency])-ROW(TableDiv[[#Headers],[Agency]])),COLUMNS($F$7:AC$7))))</f>
        <v/>
      </c>
      <c r="AD758" s="2223" t="str" cm="1">
        <f t="array" ref="AD758">IF($D758&lt;COLUMNS($F$7:AD$7),"",INDEX(TableDiv[[GASB]:[GASB]],_xlfn.AGGREGATE(15,3,(TableDiv[[Agency]:[Agency]]=$E758)/(TableDiv[[Agency]:[Agency]]=$E758)*(ROW(TableDiv[Agency])-ROW(TableDiv[[#Headers],[Agency]])),COLUMNS($F$7:AD$7))))</f>
        <v/>
      </c>
      <c r="AE758" s="2223" t="str" cm="1">
        <f t="array" ref="AE758">IF($D758&lt;COLUMNS($F$7:AE$7),"",INDEX(TableDiv[[GASB]:[GASB]],_xlfn.AGGREGATE(15,3,(TableDiv[[Agency]:[Agency]]=$E758)/(TableDiv[[Agency]:[Agency]]=$E758)*(ROW(TableDiv[Agency])-ROW(TableDiv[[#Headers],[Agency]])),COLUMNS($F$7:AE$7))))</f>
        <v/>
      </c>
      <c r="AF758" s="2223" t="str" cm="1">
        <f t="array" ref="AF758">IF($D758&lt;COLUMNS($F$7:AF$7),"",INDEX(TableDiv[[GASB]:[GASB]],_xlfn.AGGREGATE(15,3,(TableDiv[[Agency]:[Agency]]=$E758)/(TableDiv[[Agency]:[Agency]]=$E758)*(ROW(TableDiv[Agency])-ROW(TableDiv[[#Headers],[Agency]])),COLUMNS($F$7:AF$7))))</f>
        <v/>
      </c>
      <c r="AG758" s="2223" t="str" cm="1">
        <f t="array" ref="AG758">IF($D758&lt;COLUMNS($F$7:AG$7),"",INDEX(TableDiv[[GASB]:[GASB]],_xlfn.AGGREGATE(15,3,(TableDiv[[Agency]:[Agency]]=$E758)/(TableDiv[[Agency]:[Agency]]=$E758)*(ROW(TableDiv[Agency])-ROW(TableDiv[[#Headers],[Agency]])),COLUMNS($F$7:AG$7))))</f>
        <v/>
      </c>
      <c r="AH758" s="2223" t="str" cm="1">
        <f t="array" ref="AH758">IF($D758&lt;COLUMNS($F$7:AH$7),"",INDEX(TableDiv[[GASB]:[GASB]],_xlfn.AGGREGATE(15,3,(TableDiv[[Agency]:[Agency]]=$E758)/(TableDiv[[Agency]:[Agency]]=$E758)*(ROW(TableDiv[Agency])-ROW(TableDiv[[#Headers],[Agency]])),COLUMNS($F$7:AH$7))))</f>
        <v/>
      </c>
      <c r="AI758" s="2223" t="str" cm="1">
        <f t="array" ref="AI758">IF($D758&lt;COLUMNS($F$7:AI$7),"",INDEX(TableDiv[[GASB]:[GASB]],_xlfn.AGGREGATE(15,3,(TableDiv[[Agency]:[Agency]]=$E758)/(TableDiv[[Agency]:[Agency]]=$E758)*(ROW(TableDiv[Agency])-ROW(TableDiv[[#Headers],[Agency]])),COLUMNS($F$7:AI$7))))</f>
        <v/>
      </c>
      <c r="AJ758" s="2223" t="str" cm="1">
        <f t="array" ref="AJ758">IF($D758&lt;COLUMNS($F$7:AJ$7),"",INDEX(TableDiv[[GASB]:[GASB]],_xlfn.AGGREGATE(15,3,(TableDiv[[Agency]:[Agency]]=$E758)/(TableDiv[[Agency]:[Agency]]=$E758)*(ROW(TableDiv[Agency])-ROW(TableDiv[[#Headers],[Agency]])),COLUMNS($F$7:AJ$7))))</f>
        <v/>
      </c>
      <c r="AK758" s="2223" t="str" cm="1">
        <f t="array" ref="AK758">IF($D758&lt;COLUMNS($F$7:AK$7),"",INDEX(TableDiv[[GASB]:[GASB]],_xlfn.AGGREGATE(15,3,(TableDiv[[Agency]:[Agency]]=$E758)/(TableDiv[[Agency]:[Agency]]=$E758)*(ROW(TableDiv[Agency])-ROW(TableDiv[[#Headers],[Agency]])),COLUMNS($F$7:AK$7))))</f>
        <v/>
      </c>
      <c r="AL758" s="2223" t="str" cm="1">
        <f t="array" ref="AL758">IF($D758&lt;COLUMNS($F$7:AL$7),"",INDEX(TableDiv[[GASB]:[GASB]],_xlfn.AGGREGATE(15,3,(TableDiv[[Agency]:[Agency]]=$E758)/(TableDiv[[Agency]:[Agency]]=$E758)*(ROW(TableDiv[Agency])-ROW(TableDiv[[#Headers],[Agency]])),COLUMNS($F$7:AL$7))))</f>
        <v/>
      </c>
      <c r="AM758" s="2223" t="str" cm="1">
        <f t="array" ref="AM758">IF($D758&lt;COLUMNS($F$7:AM$7),"",INDEX(TableDiv[[GASB]:[GASB]],_xlfn.AGGREGATE(15,3,(TableDiv[[Agency]:[Agency]]=$E758)/(TableDiv[[Agency]:[Agency]]=$E758)*(ROW(TableDiv[Agency])-ROW(TableDiv[[#Headers],[Agency]])),COLUMNS($F$7:AM$7))))</f>
        <v/>
      </c>
      <c r="AN758" s="2223"/>
      <c r="AO758" s="2223"/>
      <c r="AP758" s="2223"/>
      <c r="AQ758" s="2223"/>
      <c r="AR758" s="2223"/>
      <c r="AS758" s="2223"/>
    </row>
    <row r="759" spans="1:45" x14ac:dyDescent="0.2">
      <c r="A759" s="2223"/>
      <c r="B759" s="2223"/>
      <c r="C759" s="2223"/>
      <c r="W759" s="2223" t="str" cm="1">
        <f t="array" ref="W759">IF($D759&lt;COLUMNS($F$7:W$7),"",INDEX(TableDiv[[GASB]:[GASB]],_xlfn.AGGREGATE(15,3,(TableDiv[[Agency]:[Agency]]=$E759)/(TableDiv[[Agency]:[Agency]]=$E759)*(ROW(TableDiv[Agency])-ROW(TableDiv[[#Headers],[Agency]])),COLUMNS($F$7:W$7))))</f>
        <v/>
      </c>
      <c r="X759" s="2223" t="str" cm="1">
        <f t="array" ref="X759">IF($D759&lt;COLUMNS($F$7:X$7),"",INDEX(TableDiv[[GASB]:[GASB]],_xlfn.AGGREGATE(15,3,(TableDiv[[Agency]:[Agency]]=$E759)/(TableDiv[[Agency]:[Agency]]=$E759)*(ROW(TableDiv[Agency])-ROW(TableDiv[[#Headers],[Agency]])),COLUMNS($F$7:X$7))))</f>
        <v/>
      </c>
      <c r="Y759" s="2223" t="str" cm="1">
        <f t="array" ref="Y759">IF($D759&lt;COLUMNS($F$7:Y$7),"",INDEX(TableDiv[[GASB]:[GASB]],_xlfn.AGGREGATE(15,3,(TableDiv[[Agency]:[Agency]]=$E759)/(TableDiv[[Agency]:[Agency]]=$E759)*(ROW(TableDiv[Agency])-ROW(TableDiv[[#Headers],[Agency]])),COLUMNS($F$7:Y$7))))</f>
        <v/>
      </c>
      <c r="Z759" s="2223" t="str" cm="1">
        <f t="array" ref="Z759">IF($D759&lt;COLUMNS($F$7:Z$7),"",INDEX(TableDiv[[GASB]:[GASB]],_xlfn.AGGREGATE(15,3,(TableDiv[[Agency]:[Agency]]=$E759)/(TableDiv[[Agency]:[Agency]]=$E759)*(ROW(TableDiv[Agency])-ROW(TableDiv[[#Headers],[Agency]])),COLUMNS($F$7:Z$7))))</f>
        <v/>
      </c>
      <c r="AA759" s="2223" t="str" cm="1">
        <f t="array" ref="AA759">IF($D759&lt;COLUMNS($F$7:AA$7),"",INDEX(TableDiv[[GASB]:[GASB]],_xlfn.AGGREGATE(15,3,(TableDiv[[Agency]:[Agency]]=$E759)/(TableDiv[[Agency]:[Agency]]=$E759)*(ROW(TableDiv[Agency])-ROW(TableDiv[[#Headers],[Agency]])),COLUMNS($F$7:AA$7))))</f>
        <v/>
      </c>
      <c r="AB759" s="2223" t="str" cm="1">
        <f t="array" ref="AB759">IF($D759&lt;COLUMNS($F$7:AB$7),"",INDEX(TableDiv[[GASB]:[GASB]],_xlfn.AGGREGATE(15,3,(TableDiv[[Agency]:[Agency]]=$E759)/(TableDiv[[Agency]:[Agency]]=$E759)*(ROW(TableDiv[Agency])-ROW(TableDiv[[#Headers],[Agency]])),COLUMNS($F$7:AB$7))))</f>
        <v/>
      </c>
      <c r="AC759" s="2223" t="str" cm="1">
        <f t="array" ref="AC759">IF($D759&lt;COLUMNS($F$7:AC$7),"",INDEX(TableDiv[[GASB]:[GASB]],_xlfn.AGGREGATE(15,3,(TableDiv[[Agency]:[Agency]]=$E759)/(TableDiv[[Agency]:[Agency]]=$E759)*(ROW(TableDiv[Agency])-ROW(TableDiv[[#Headers],[Agency]])),COLUMNS($F$7:AC$7))))</f>
        <v/>
      </c>
      <c r="AD759" s="2223" t="str" cm="1">
        <f t="array" ref="AD759">IF($D759&lt;COLUMNS($F$7:AD$7),"",INDEX(TableDiv[[GASB]:[GASB]],_xlfn.AGGREGATE(15,3,(TableDiv[[Agency]:[Agency]]=$E759)/(TableDiv[[Agency]:[Agency]]=$E759)*(ROW(TableDiv[Agency])-ROW(TableDiv[[#Headers],[Agency]])),COLUMNS($F$7:AD$7))))</f>
        <v/>
      </c>
      <c r="AE759" s="2223" t="str" cm="1">
        <f t="array" ref="AE759">IF($D759&lt;COLUMNS($F$7:AE$7),"",INDEX(TableDiv[[GASB]:[GASB]],_xlfn.AGGREGATE(15,3,(TableDiv[[Agency]:[Agency]]=$E759)/(TableDiv[[Agency]:[Agency]]=$E759)*(ROW(TableDiv[Agency])-ROW(TableDiv[[#Headers],[Agency]])),COLUMNS($F$7:AE$7))))</f>
        <v/>
      </c>
      <c r="AF759" s="2223" t="str" cm="1">
        <f t="array" ref="AF759">IF($D759&lt;COLUMNS($F$7:AF$7),"",INDEX(TableDiv[[GASB]:[GASB]],_xlfn.AGGREGATE(15,3,(TableDiv[[Agency]:[Agency]]=$E759)/(TableDiv[[Agency]:[Agency]]=$E759)*(ROW(TableDiv[Agency])-ROW(TableDiv[[#Headers],[Agency]])),COLUMNS($F$7:AF$7))))</f>
        <v/>
      </c>
      <c r="AG759" s="2223" t="str" cm="1">
        <f t="array" ref="AG759">IF($D759&lt;COLUMNS($F$7:AG$7),"",INDEX(TableDiv[[GASB]:[GASB]],_xlfn.AGGREGATE(15,3,(TableDiv[[Agency]:[Agency]]=$E759)/(TableDiv[[Agency]:[Agency]]=$E759)*(ROW(TableDiv[Agency])-ROW(TableDiv[[#Headers],[Agency]])),COLUMNS($F$7:AG$7))))</f>
        <v/>
      </c>
      <c r="AH759" s="2223" t="str" cm="1">
        <f t="array" ref="AH759">IF($D759&lt;COLUMNS($F$7:AH$7),"",INDEX(TableDiv[[GASB]:[GASB]],_xlfn.AGGREGATE(15,3,(TableDiv[[Agency]:[Agency]]=$E759)/(TableDiv[[Agency]:[Agency]]=$E759)*(ROW(TableDiv[Agency])-ROW(TableDiv[[#Headers],[Agency]])),COLUMNS($F$7:AH$7))))</f>
        <v/>
      </c>
      <c r="AI759" s="2223" t="str" cm="1">
        <f t="array" ref="AI759">IF($D759&lt;COLUMNS($F$7:AI$7),"",INDEX(TableDiv[[GASB]:[GASB]],_xlfn.AGGREGATE(15,3,(TableDiv[[Agency]:[Agency]]=$E759)/(TableDiv[[Agency]:[Agency]]=$E759)*(ROW(TableDiv[Agency])-ROW(TableDiv[[#Headers],[Agency]])),COLUMNS($F$7:AI$7))))</f>
        <v/>
      </c>
      <c r="AJ759" s="2223" t="str" cm="1">
        <f t="array" ref="AJ759">IF($D759&lt;COLUMNS($F$7:AJ$7),"",INDEX(TableDiv[[GASB]:[GASB]],_xlfn.AGGREGATE(15,3,(TableDiv[[Agency]:[Agency]]=$E759)/(TableDiv[[Agency]:[Agency]]=$E759)*(ROW(TableDiv[Agency])-ROW(TableDiv[[#Headers],[Agency]])),COLUMNS($F$7:AJ$7))))</f>
        <v/>
      </c>
      <c r="AK759" s="2223" t="str" cm="1">
        <f t="array" ref="AK759">IF($D759&lt;COLUMNS($F$7:AK$7),"",INDEX(TableDiv[[GASB]:[GASB]],_xlfn.AGGREGATE(15,3,(TableDiv[[Agency]:[Agency]]=$E759)/(TableDiv[[Agency]:[Agency]]=$E759)*(ROW(TableDiv[Agency])-ROW(TableDiv[[#Headers],[Agency]])),COLUMNS($F$7:AK$7))))</f>
        <v/>
      </c>
      <c r="AL759" s="2223" t="str" cm="1">
        <f t="array" ref="AL759">IF($D759&lt;COLUMNS($F$7:AL$7),"",INDEX(TableDiv[[GASB]:[GASB]],_xlfn.AGGREGATE(15,3,(TableDiv[[Agency]:[Agency]]=$E759)/(TableDiv[[Agency]:[Agency]]=$E759)*(ROW(TableDiv[Agency])-ROW(TableDiv[[#Headers],[Agency]])),COLUMNS($F$7:AL$7))))</f>
        <v/>
      </c>
      <c r="AM759" s="2223" t="str" cm="1">
        <f t="array" ref="AM759">IF($D759&lt;COLUMNS($F$7:AM$7),"",INDEX(TableDiv[[GASB]:[GASB]],_xlfn.AGGREGATE(15,3,(TableDiv[[Agency]:[Agency]]=$E759)/(TableDiv[[Agency]:[Agency]]=$E759)*(ROW(TableDiv[Agency])-ROW(TableDiv[[#Headers],[Agency]])),COLUMNS($F$7:AM$7))))</f>
        <v/>
      </c>
      <c r="AN759" s="2223"/>
      <c r="AO759" s="2223"/>
      <c r="AP759" s="2223"/>
      <c r="AQ759" s="2223"/>
      <c r="AR759" s="2223"/>
      <c r="AS759" s="2223"/>
    </row>
    <row r="760" spans="1:45" x14ac:dyDescent="0.2">
      <c r="A760" s="2223"/>
      <c r="B760" s="2223"/>
      <c r="C760" s="2223"/>
      <c r="W760" s="2223" t="str" cm="1">
        <f t="array" ref="W760">IF($D760&lt;COLUMNS($F$7:W$7),"",INDEX(TableDiv[[GASB]:[GASB]],_xlfn.AGGREGATE(15,3,(TableDiv[[Agency]:[Agency]]=$E760)/(TableDiv[[Agency]:[Agency]]=$E760)*(ROW(TableDiv[Agency])-ROW(TableDiv[[#Headers],[Agency]])),COLUMNS($F$7:W$7))))</f>
        <v/>
      </c>
      <c r="X760" s="2223" t="str" cm="1">
        <f t="array" ref="X760">IF($D760&lt;COLUMNS($F$7:X$7),"",INDEX(TableDiv[[GASB]:[GASB]],_xlfn.AGGREGATE(15,3,(TableDiv[[Agency]:[Agency]]=$E760)/(TableDiv[[Agency]:[Agency]]=$E760)*(ROW(TableDiv[Agency])-ROW(TableDiv[[#Headers],[Agency]])),COLUMNS($F$7:X$7))))</f>
        <v/>
      </c>
      <c r="Y760" s="2223" t="str" cm="1">
        <f t="array" ref="Y760">IF($D760&lt;COLUMNS($F$7:Y$7),"",INDEX(TableDiv[[GASB]:[GASB]],_xlfn.AGGREGATE(15,3,(TableDiv[[Agency]:[Agency]]=$E760)/(TableDiv[[Agency]:[Agency]]=$E760)*(ROW(TableDiv[Agency])-ROW(TableDiv[[#Headers],[Agency]])),COLUMNS($F$7:Y$7))))</f>
        <v/>
      </c>
      <c r="Z760" s="2223" t="str" cm="1">
        <f t="array" ref="Z760">IF($D760&lt;COLUMNS($F$7:Z$7),"",INDEX(TableDiv[[GASB]:[GASB]],_xlfn.AGGREGATE(15,3,(TableDiv[[Agency]:[Agency]]=$E760)/(TableDiv[[Agency]:[Agency]]=$E760)*(ROW(TableDiv[Agency])-ROW(TableDiv[[#Headers],[Agency]])),COLUMNS($F$7:Z$7))))</f>
        <v/>
      </c>
      <c r="AA760" s="2223" t="str" cm="1">
        <f t="array" ref="AA760">IF($D760&lt;COLUMNS($F$7:AA$7),"",INDEX(TableDiv[[GASB]:[GASB]],_xlfn.AGGREGATE(15,3,(TableDiv[[Agency]:[Agency]]=$E760)/(TableDiv[[Agency]:[Agency]]=$E760)*(ROW(TableDiv[Agency])-ROW(TableDiv[[#Headers],[Agency]])),COLUMNS($F$7:AA$7))))</f>
        <v/>
      </c>
      <c r="AB760" s="2223" t="str" cm="1">
        <f t="array" ref="AB760">IF($D760&lt;COLUMNS($F$7:AB$7),"",INDEX(TableDiv[[GASB]:[GASB]],_xlfn.AGGREGATE(15,3,(TableDiv[[Agency]:[Agency]]=$E760)/(TableDiv[[Agency]:[Agency]]=$E760)*(ROW(TableDiv[Agency])-ROW(TableDiv[[#Headers],[Agency]])),COLUMNS($F$7:AB$7))))</f>
        <v/>
      </c>
      <c r="AC760" s="2223" t="str" cm="1">
        <f t="array" ref="AC760">IF($D760&lt;COLUMNS($F$7:AC$7),"",INDEX(TableDiv[[GASB]:[GASB]],_xlfn.AGGREGATE(15,3,(TableDiv[[Agency]:[Agency]]=$E760)/(TableDiv[[Agency]:[Agency]]=$E760)*(ROW(TableDiv[Agency])-ROW(TableDiv[[#Headers],[Agency]])),COLUMNS($F$7:AC$7))))</f>
        <v/>
      </c>
      <c r="AD760" s="2223" t="str" cm="1">
        <f t="array" ref="AD760">IF($D760&lt;COLUMNS($F$7:AD$7),"",INDEX(TableDiv[[GASB]:[GASB]],_xlfn.AGGREGATE(15,3,(TableDiv[[Agency]:[Agency]]=$E760)/(TableDiv[[Agency]:[Agency]]=$E760)*(ROW(TableDiv[Agency])-ROW(TableDiv[[#Headers],[Agency]])),COLUMNS($F$7:AD$7))))</f>
        <v/>
      </c>
      <c r="AE760" s="2223" t="str" cm="1">
        <f t="array" ref="AE760">IF($D760&lt;COLUMNS($F$7:AE$7),"",INDEX(TableDiv[[GASB]:[GASB]],_xlfn.AGGREGATE(15,3,(TableDiv[[Agency]:[Agency]]=$E760)/(TableDiv[[Agency]:[Agency]]=$E760)*(ROW(TableDiv[Agency])-ROW(TableDiv[[#Headers],[Agency]])),COLUMNS($F$7:AE$7))))</f>
        <v/>
      </c>
      <c r="AF760" s="2223" t="str" cm="1">
        <f t="array" ref="AF760">IF($D760&lt;COLUMNS($F$7:AF$7),"",INDEX(TableDiv[[GASB]:[GASB]],_xlfn.AGGREGATE(15,3,(TableDiv[[Agency]:[Agency]]=$E760)/(TableDiv[[Agency]:[Agency]]=$E760)*(ROW(TableDiv[Agency])-ROW(TableDiv[[#Headers],[Agency]])),COLUMNS($F$7:AF$7))))</f>
        <v/>
      </c>
      <c r="AG760" s="2223" t="str" cm="1">
        <f t="array" ref="AG760">IF($D760&lt;COLUMNS($F$7:AG$7),"",INDEX(TableDiv[[GASB]:[GASB]],_xlfn.AGGREGATE(15,3,(TableDiv[[Agency]:[Agency]]=$E760)/(TableDiv[[Agency]:[Agency]]=$E760)*(ROW(TableDiv[Agency])-ROW(TableDiv[[#Headers],[Agency]])),COLUMNS($F$7:AG$7))))</f>
        <v/>
      </c>
      <c r="AH760" s="2223" t="str" cm="1">
        <f t="array" ref="AH760">IF($D760&lt;COLUMNS($F$7:AH$7),"",INDEX(TableDiv[[GASB]:[GASB]],_xlfn.AGGREGATE(15,3,(TableDiv[[Agency]:[Agency]]=$E760)/(TableDiv[[Agency]:[Agency]]=$E760)*(ROW(TableDiv[Agency])-ROW(TableDiv[[#Headers],[Agency]])),COLUMNS($F$7:AH$7))))</f>
        <v/>
      </c>
      <c r="AI760" s="2223" t="str" cm="1">
        <f t="array" ref="AI760">IF($D760&lt;COLUMNS($F$7:AI$7),"",INDEX(TableDiv[[GASB]:[GASB]],_xlfn.AGGREGATE(15,3,(TableDiv[[Agency]:[Agency]]=$E760)/(TableDiv[[Agency]:[Agency]]=$E760)*(ROW(TableDiv[Agency])-ROW(TableDiv[[#Headers],[Agency]])),COLUMNS($F$7:AI$7))))</f>
        <v/>
      </c>
      <c r="AJ760" s="2223" t="str" cm="1">
        <f t="array" ref="AJ760">IF($D760&lt;COLUMNS($F$7:AJ$7),"",INDEX(TableDiv[[GASB]:[GASB]],_xlfn.AGGREGATE(15,3,(TableDiv[[Agency]:[Agency]]=$E760)/(TableDiv[[Agency]:[Agency]]=$E760)*(ROW(TableDiv[Agency])-ROW(TableDiv[[#Headers],[Agency]])),COLUMNS($F$7:AJ$7))))</f>
        <v/>
      </c>
      <c r="AK760" s="2223" t="str" cm="1">
        <f t="array" ref="AK760">IF($D760&lt;COLUMNS($F$7:AK$7),"",INDEX(TableDiv[[GASB]:[GASB]],_xlfn.AGGREGATE(15,3,(TableDiv[[Agency]:[Agency]]=$E760)/(TableDiv[[Agency]:[Agency]]=$E760)*(ROW(TableDiv[Agency])-ROW(TableDiv[[#Headers],[Agency]])),COLUMNS($F$7:AK$7))))</f>
        <v/>
      </c>
      <c r="AL760" s="2223" t="str" cm="1">
        <f t="array" ref="AL760">IF($D760&lt;COLUMNS($F$7:AL$7),"",INDEX(TableDiv[[GASB]:[GASB]],_xlfn.AGGREGATE(15,3,(TableDiv[[Agency]:[Agency]]=$E760)/(TableDiv[[Agency]:[Agency]]=$E760)*(ROW(TableDiv[Agency])-ROW(TableDiv[[#Headers],[Agency]])),COLUMNS($F$7:AL$7))))</f>
        <v/>
      </c>
      <c r="AM760" s="2223" t="str" cm="1">
        <f t="array" ref="AM760">IF($D760&lt;COLUMNS($F$7:AM$7),"",INDEX(TableDiv[[GASB]:[GASB]],_xlfn.AGGREGATE(15,3,(TableDiv[[Agency]:[Agency]]=$E760)/(TableDiv[[Agency]:[Agency]]=$E760)*(ROW(TableDiv[Agency])-ROW(TableDiv[[#Headers],[Agency]])),COLUMNS($F$7:AM$7))))</f>
        <v/>
      </c>
      <c r="AN760" s="2223"/>
      <c r="AO760" s="2223"/>
      <c r="AP760" s="2223"/>
      <c r="AQ760" s="2223"/>
      <c r="AR760" s="2223"/>
      <c r="AS760" s="2223"/>
    </row>
    <row r="761" spans="1:45" x14ac:dyDescent="0.2">
      <c r="A761" s="2223"/>
      <c r="B761" s="2223"/>
      <c r="C761" s="2223"/>
      <c r="W761" s="2223" t="str" cm="1">
        <f t="array" ref="W761">IF($D761&lt;COLUMNS($F$7:W$7),"",INDEX(TableDiv[[GASB]:[GASB]],_xlfn.AGGREGATE(15,3,(TableDiv[[Agency]:[Agency]]=$E761)/(TableDiv[[Agency]:[Agency]]=$E761)*(ROW(TableDiv[Agency])-ROW(TableDiv[[#Headers],[Agency]])),COLUMNS($F$7:W$7))))</f>
        <v/>
      </c>
      <c r="X761" s="2223" t="str" cm="1">
        <f t="array" ref="X761">IF($D761&lt;COLUMNS($F$7:X$7),"",INDEX(TableDiv[[GASB]:[GASB]],_xlfn.AGGREGATE(15,3,(TableDiv[[Agency]:[Agency]]=$E761)/(TableDiv[[Agency]:[Agency]]=$E761)*(ROW(TableDiv[Agency])-ROW(TableDiv[[#Headers],[Agency]])),COLUMNS($F$7:X$7))))</f>
        <v/>
      </c>
      <c r="Y761" s="2223" t="str" cm="1">
        <f t="array" ref="Y761">IF($D761&lt;COLUMNS($F$7:Y$7),"",INDEX(TableDiv[[GASB]:[GASB]],_xlfn.AGGREGATE(15,3,(TableDiv[[Agency]:[Agency]]=$E761)/(TableDiv[[Agency]:[Agency]]=$E761)*(ROW(TableDiv[Agency])-ROW(TableDiv[[#Headers],[Agency]])),COLUMNS($F$7:Y$7))))</f>
        <v/>
      </c>
      <c r="Z761" s="2223" t="str" cm="1">
        <f t="array" ref="Z761">IF($D761&lt;COLUMNS($F$7:Z$7),"",INDEX(TableDiv[[GASB]:[GASB]],_xlfn.AGGREGATE(15,3,(TableDiv[[Agency]:[Agency]]=$E761)/(TableDiv[[Agency]:[Agency]]=$E761)*(ROW(TableDiv[Agency])-ROW(TableDiv[[#Headers],[Agency]])),COLUMNS($F$7:Z$7))))</f>
        <v/>
      </c>
      <c r="AA761" s="2223" t="str" cm="1">
        <f t="array" ref="AA761">IF($D761&lt;COLUMNS($F$7:AA$7),"",INDEX(TableDiv[[GASB]:[GASB]],_xlfn.AGGREGATE(15,3,(TableDiv[[Agency]:[Agency]]=$E761)/(TableDiv[[Agency]:[Agency]]=$E761)*(ROW(TableDiv[Agency])-ROW(TableDiv[[#Headers],[Agency]])),COLUMNS($F$7:AA$7))))</f>
        <v/>
      </c>
      <c r="AB761" s="2223" t="str" cm="1">
        <f t="array" ref="AB761">IF($D761&lt;COLUMNS($F$7:AB$7),"",INDEX(TableDiv[[GASB]:[GASB]],_xlfn.AGGREGATE(15,3,(TableDiv[[Agency]:[Agency]]=$E761)/(TableDiv[[Agency]:[Agency]]=$E761)*(ROW(TableDiv[Agency])-ROW(TableDiv[[#Headers],[Agency]])),COLUMNS($F$7:AB$7))))</f>
        <v/>
      </c>
      <c r="AC761" s="2223" t="str" cm="1">
        <f t="array" ref="AC761">IF($D761&lt;COLUMNS($F$7:AC$7),"",INDEX(TableDiv[[GASB]:[GASB]],_xlfn.AGGREGATE(15,3,(TableDiv[[Agency]:[Agency]]=$E761)/(TableDiv[[Agency]:[Agency]]=$E761)*(ROW(TableDiv[Agency])-ROW(TableDiv[[#Headers],[Agency]])),COLUMNS($F$7:AC$7))))</f>
        <v/>
      </c>
      <c r="AD761" s="2223" t="str" cm="1">
        <f t="array" ref="AD761">IF($D761&lt;COLUMNS($F$7:AD$7),"",INDEX(TableDiv[[GASB]:[GASB]],_xlfn.AGGREGATE(15,3,(TableDiv[[Agency]:[Agency]]=$E761)/(TableDiv[[Agency]:[Agency]]=$E761)*(ROW(TableDiv[Agency])-ROW(TableDiv[[#Headers],[Agency]])),COLUMNS($F$7:AD$7))))</f>
        <v/>
      </c>
      <c r="AE761" s="2223" t="str" cm="1">
        <f t="array" ref="AE761">IF($D761&lt;COLUMNS($F$7:AE$7),"",INDEX(TableDiv[[GASB]:[GASB]],_xlfn.AGGREGATE(15,3,(TableDiv[[Agency]:[Agency]]=$E761)/(TableDiv[[Agency]:[Agency]]=$E761)*(ROW(TableDiv[Agency])-ROW(TableDiv[[#Headers],[Agency]])),COLUMNS($F$7:AE$7))))</f>
        <v/>
      </c>
      <c r="AF761" s="2223" t="str" cm="1">
        <f t="array" ref="AF761">IF($D761&lt;COLUMNS($F$7:AF$7),"",INDEX(TableDiv[[GASB]:[GASB]],_xlfn.AGGREGATE(15,3,(TableDiv[[Agency]:[Agency]]=$E761)/(TableDiv[[Agency]:[Agency]]=$E761)*(ROW(TableDiv[Agency])-ROW(TableDiv[[#Headers],[Agency]])),COLUMNS($F$7:AF$7))))</f>
        <v/>
      </c>
      <c r="AG761" s="2223" t="str" cm="1">
        <f t="array" ref="AG761">IF($D761&lt;COLUMNS($F$7:AG$7),"",INDEX(TableDiv[[GASB]:[GASB]],_xlfn.AGGREGATE(15,3,(TableDiv[[Agency]:[Agency]]=$E761)/(TableDiv[[Agency]:[Agency]]=$E761)*(ROW(TableDiv[Agency])-ROW(TableDiv[[#Headers],[Agency]])),COLUMNS($F$7:AG$7))))</f>
        <v/>
      </c>
      <c r="AH761" s="2223" t="str" cm="1">
        <f t="array" ref="AH761">IF($D761&lt;COLUMNS($F$7:AH$7),"",INDEX(TableDiv[[GASB]:[GASB]],_xlfn.AGGREGATE(15,3,(TableDiv[[Agency]:[Agency]]=$E761)/(TableDiv[[Agency]:[Agency]]=$E761)*(ROW(TableDiv[Agency])-ROW(TableDiv[[#Headers],[Agency]])),COLUMNS($F$7:AH$7))))</f>
        <v/>
      </c>
      <c r="AI761" s="2223" t="str" cm="1">
        <f t="array" ref="AI761">IF($D761&lt;COLUMNS($F$7:AI$7),"",INDEX(TableDiv[[GASB]:[GASB]],_xlfn.AGGREGATE(15,3,(TableDiv[[Agency]:[Agency]]=$E761)/(TableDiv[[Agency]:[Agency]]=$E761)*(ROW(TableDiv[Agency])-ROW(TableDiv[[#Headers],[Agency]])),COLUMNS($F$7:AI$7))))</f>
        <v/>
      </c>
      <c r="AJ761" s="2223" t="str" cm="1">
        <f t="array" ref="AJ761">IF($D761&lt;COLUMNS($F$7:AJ$7),"",INDEX(TableDiv[[GASB]:[GASB]],_xlfn.AGGREGATE(15,3,(TableDiv[[Agency]:[Agency]]=$E761)/(TableDiv[[Agency]:[Agency]]=$E761)*(ROW(TableDiv[Agency])-ROW(TableDiv[[#Headers],[Agency]])),COLUMNS($F$7:AJ$7))))</f>
        <v/>
      </c>
      <c r="AK761" s="2223" t="str" cm="1">
        <f t="array" ref="AK761">IF($D761&lt;COLUMNS($F$7:AK$7),"",INDEX(TableDiv[[GASB]:[GASB]],_xlfn.AGGREGATE(15,3,(TableDiv[[Agency]:[Agency]]=$E761)/(TableDiv[[Agency]:[Agency]]=$E761)*(ROW(TableDiv[Agency])-ROW(TableDiv[[#Headers],[Agency]])),COLUMNS($F$7:AK$7))))</f>
        <v/>
      </c>
      <c r="AL761" s="2223" t="str" cm="1">
        <f t="array" ref="AL761">IF($D761&lt;COLUMNS($F$7:AL$7),"",INDEX(TableDiv[[GASB]:[GASB]],_xlfn.AGGREGATE(15,3,(TableDiv[[Agency]:[Agency]]=$E761)/(TableDiv[[Agency]:[Agency]]=$E761)*(ROW(TableDiv[Agency])-ROW(TableDiv[[#Headers],[Agency]])),COLUMNS($F$7:AL$7))))</f>
        <v/>
      </c>
      <c r="AM761" s="2223" t="str" cm="1">
        <f t="array" ref="AM761">IF($D761&lt;COLUMNS($F$7:AM$7),"",INDEX(TableDiv[[GASB]:[GASB]],_xlfn.AGGREGATE(15,3,(TableDiv[[Agency]:[Agency]]=$E761)/(TableDiv[[Agency]:[Agency]]=$E761)*(ROW(TableDiv[Agency])-ROW(TableDiv[[#Headers],[Agency]])),COLUMNS($F$7:AM$7))))</f>
        <v/>
      </c>
      <c r="AN761" s="2223"/>
      <c r="AO761" s="2223"/>
      <c r="AP761" s="2223"/>
      <c r="AQ761" s="2223"/>
      <c r="AR761" s="2223"/>
      <c r="AS761" s="2223"/>
    </row>
    <row r="762" spans="1:45" x14ac:dyDescent="0.2">
      <c r="A762" s="2223"/>
      <c r="B762" s="2223"/>
      <c r="C762" s="2223"/>
      <c r="W762" s="2223" t="str" cm="1">
        <f t="array" ref="W762">IF($D762&lt;COLUMNS($F$7:W$7),"",INDEX(TableDiv[[GASB]:[GASB]],_xlfn.AGGREGATE(15,3,(TableDiv[[Agency]:[Agency]]=$E762)/(TableDiv[[Agency]:[Agency]]=$E762)*(ROW(TableDiv[Agency])-ROW(TableDiv[[#Headers],[Agency]])),COLUMNS($F$7:W$7))))</f>
        <v/>
      </c>
      <c r="X762" s="2223" t="str" cm="1">
        <f t="array" ref="X762">IF($D762&lt;COLUMNS($F$7:X$7),"",INDEX(TableDiv[[GASB]:[GASB]],_xlfn.AGGREGATE(15,3,(TableDiv[[Agency]:[Agency]]=$E762)/(TableDiv[[Agency]:[Agency]]=$E762)*(ROW(TableDiv[Agency])-ROW(TableDiv[[#Headers],[Agency]])),COLUMNS($F$7:X$7))))</f>
        <v/>
      </c>
      <c r="Y762" s="2223" t="str" cm="1">
        <f t="array" ref="Y762">IF($D762&lt;COLUMNS($F$7:Y$7),"",INDEX(TableDiv[[GASB]:[GASB]],_xlfn.AGGREGATE(15,3,(TableDiv[[Agency]:[Agency]]=$E762)/(TableDiv[[Agency]:[Agency]]=$E762)*(ROW(TableDiv[Agency])-ROW(TableDiv[[#Headers],[Agency]])),COLUMNS($F$7:Y$7))))</f>
        <v/>
      </c>
      <c r="Z762" s="2223" t="str" cm="1">
        <f t="array" ref="Z762">IF($D762&lt;COLUMNS($F$7:Z$7),"",INDEX(TableDiv[[GASB]:[GASB]],_xlfn.AGGREGATE(15,3,(TableDiv[[Agency]:[Agency]]=$E762)/(TableDiv[[Agency]:[Agency]]=$E762)*(ROW(TableDiv[Agency])-ROW(TableDiv[[#Headers],[Agency]])),COLUMNS($F$7:Z$7))))</f>
        <v/>
      </c>
      <c r="AA762" s="2223" t="str" cm="1">
        <f t="array" ref="AA762">IF($D762&lt;COLUMNS($F$7:AA$7),"",INDEX(TableDiv[[GASB]:[GASB]],_xlfn.AGGREGATE(15,3,(TableDiv[[Agency]:[Agency]]=$E762)/(TableDiv[[Agency]:[Agency]]=$E762)*(ROW(TableDiv[Agency])-ROW(TableDiv[[#Headers],[Agency]])),COLUMNS($F$7:AA$7))))</f>
        <v/>
      </c>
      <c r="AB762" s="2223" t="str" cm="1">
        <f t="array" ref="AB762">IF($D762&lt;COLUMNS($F$7:AB$7),"",INDEX(TableDiv[[GASB]:[GASB]],_xlfn.AGGREGATE(15,3,(TableDiv[[Agency]:[Agency]]=$E762)/(TableDiv[[Agency]:[Agency]]=$E762)*(ROW(TableDiv[Agency])-ROW(TableDiv[[#Headers],[Agency]])),COLUMNS($F$7:AB$7))))</f>
        <v/>
      </c>
      <c r="AC762" s="2223" t="str" cm="1">
        <f t="array" ref="AC762">IF($D762&lt;COLUMNS($F$7:AC$7),"",INDEX(TableDiv[[GASB]:[GASB]],_xlfn.AGGREGATE(15,3,(TableDiv[[Agency]:[Agency]]=$E762)/(TableDiv[[Agency]:[Agency]]=$E762)*(ROW(TableDiv[Agency])-ROW(TableDiv[[#Headers],[Agency]])),COLUMNS($F$7:AC$7))))</f>
        <v/>
      </c>
      <c r="AD762" s="2223" t="str" cm="1">
        <f t="array" ref="AD762">IF($D762&lt;COLUMNS($F$7:AD$7),"",INDEX(TableDiv[[GASB]:[GASB]],_xlfn.AGGREGATE(15,3,(TableDiv[[Agency]:[Agency]]=$E762)/(TableDiv[[Agency]:[Agency]]=$E762)*(ROW(TableDiv[Agency])-ROW(TableDiv[[#Headers],[Agency]])),COLUMNS($F$7:AD$7))))</f>
        <v/>
      </c>
      <c r="AE762" s="2223" t="str" cm="1">
        <f t="array" ref="AE762">IF($D762&lt;COLUMNS($F$7:AE$7),"",INDEX(TableDiv[[GASB]:[GASB]],_xlfn.AGGREGATE(15,3,(TableDiv[[Agency]:[Agency]]=$E762)/(TableDiv[[Agency]:[Agency]]=$E762)*(ROW(TableDiv[Agency])-ROW(TableDiv[[#Headers],[Agency]])),COLUMNS($F$7:AE$7))))</f>
        <v/>
      </c>
      <c r="AF762" s="2223" t="str" cm="1">
        <f t="array" ref="AF762">IF($D762&lt;COLUMNS($F$7:AF$7),"",INDEX(TableDiv[[GASB]:[GASB]],_xlfn.AGGREGATE(15,3,(TableDiv[[Agency]:[Agency]]=$E762)/(TableDiv[[Agency]:[Agency]]=$E762)*(ROW(TableDiv[Agency])-ROW(TableDiv[[#Headers],[Agency]])),COLUMNS($F$7:AF$7))))</f>
        <v/>
      </c>
      <c r="AG762" s="2223" t="str" cm="1">
        <f t="array" ref="AG762">IF($D762&lt;COLUMNS($F$7:AG$7),"",INDEX(TableDiv[[GASB]:[GASB]],_xlfn.AGGREGATE(15,3,(TableDiv[[Agency]:[Agency]]=$E762)/(TableDiv[[Agency]:[Agency]]=$E762)*(ROW(TableDiv[Agency])-ROW(TableDiv[[#Headers],[Agency]])),COLUMNS($F$7:AG$7))))</f>
        <v/>
      </c>
      <c r="AH762" s="2223" t="str" cm="1">
        <f t="array" ref="AH762">IF($D762&lt;COLUMNS($F$7:AH$7),"",INDEX(TableDiv[[GASB]:[GASB]],_xlfn.AGGREGATE(15,3,(TableDiv[[Agency]:[Agency]]=$E762)/(TableDiv[[Agency]:[Agency]]=$E762)*(ROW(TableDiv[Agency])-ROW(TableDiv[[#Headers],[Agency]])),COLUMNS($F$7:AH$7))))</f>
        <v/>
      </c>
      <c r="AI762" s="2223" t="str" cm="1">
        <f t="array" ref="AI762">IF($D762&lt;COLUMNS($F$7:AI$7),"",INDEX(TableDiv[[GASB]:[GASB]],_xlfn.AGGREGATE(15,3,(TableDiv[[Agency]:[Agency]]=$E762)/(TableDiv[[Agency]:[Agency]]=$E762)*(ROW(TableDiv[Agency])-ROW(TableDiv[[#Headers],[Agency]])),COLUMNS($F$7:AI$7))))</f>
        <v/>
      </c>
      <c r="AJ762" s="2223" t="str" cm="1">
        <f t="array" ref="AJ762">IF($D762&lt;COLUMNS($F$7:AJ$7),"",INDEX(TableDiv[[GASB]:[GASB]],_xlfn.AGGREGATE(15,3,(TableDiv[[Agency]:[Agency]]=$E762)/(TableDiv[[Agency]:[Agency]]=$E762)*(ROW(TableDiv[Agency])-ROW(TableDiv[[#Headers],[Agency]])),COLUMNS($F$7:AJ$7))))</f>
        <v/>
      </c>
      <c r="AK762" s="2223" t="str" cm="1">
        <f t="array" ref="AK762">IF($D762&lt;COLUMNS($F$7:AK$7),"",INDEX(TableDiv[[GASB]:[GASB]],_xlfn.AGGREGATE(15,3,(TableDiv[[Agency]:[Agency]]=$E762)/(TableDiv[[Agency]:[Agency]]=$E762)*(ROW(TableDiv[Agency])-ROW(TableDiv[[#Headers],[Agency]])),COLUMNS($F$7:AK$7))))</f>
        <v/>
      </c>
      <c r="AL762" s="2223" t="str" cm="1">
        <f t="array" ref="AL762">IF($D762&lt;COLUMNS($F$7:AL$7),"",INDEX(TableDiv[[GASB]:[GASB]],_xlfn.AGGREGATE(15,3,(TableDiv[[Agency]:[Agency]]=$E762)/(TableDiv[[Agency]:[Agency]]=$E762)*(ROW(TableDiv[Agency])-ROW(TableDiv[[#Headers],[Agency]])),COLUMNS($F$7:AL$7))))</f>
        <v/>
      </c>
      <c r="AM762" s="2223" t="str" cm="1">
        <f t="array" ref="AM762">IF($D762&lt;COLUMNS($F$7:AM$7),"",INDEX(TableDiv[[GASB]:[GASB]],_xlfn.AGGREGATE(15,3,(TableDiv[[Agency]:[Agency]]=$E762)/(TableDiv[[Agency]:[Agency]]=$E762)*(ROW(TableDiv[Agency])-ROW(TableDiv[[#Headers],[Agency]])),COLUMNS($F$7:AM$7))))</f>
        <v/>
      </c>
      <c r="AN762" s="2223"/>
      <c r="AO762" s="2223"/>
      <c r="AP762" s="2223"/>
      <c r="AQ762" s="2223"/>
      <c r="AR762" s="2223"/>
      <c r="AS762" s="2223"/>
    </row>
    <row r="763" spans="1:45" x14ac:dyDescent="0.2">
      <c r="A763" s="2223"/>
      <c r="B763" s="2223"/>
      <c r="C763" s="2223"/>
      <c r="W763" s="2223" t="str" cm="1">
        <f t="array" ref="W763">IF($D763&lt;COLUMNS($F$7:W$7),"",INDEX(TableDiv[[GASB]:[GASB]],_xlfn.AGGREGATE(15,3,(TableDiv[[Agency]:[Agency]]=$E763)/(TableDiv[[Agency]:[Agency]]=$E763)*(ROW(TableDiv[Agency])-ROW(TableDiv[[#Headers],[Agency]])),COLUMNS($F$7:W$7))))</f>
        <v/>
      </c>
      <c r="X763" s="2223" t="str" cm="1">
        <f t="array" ref="X763">IF($D763&lt;COLUMNS($F$7:X$7),"",INDEX(TableDiv[[GASB]:[GASB]],_xlfn.AGGREGATE(15,3,(TableDiv[[Agency]:[Agency]]=$E763)/(TableDiv[[Agency]:[Agency]]=$E763)*(ROW(TableDiv[Agency])-ROW(TableDiv[[#Headers],[Agency]])),COLUMNS($F$7:X$7))))</f>
        <v/>
      </c>
      <c r="Y763" s="2223" t="str" cm="1">
        <f t="array" ref="Y763">IF($D763&lt;COLUMNS($F$7:Y$7),"",INDEX(TableDiv[[GASB]:[GASB]],_xlfn.AGGREGATE(15,3,(TableDiv[[Agency]:[Agency]]=$E763)/(TableDiv[[Agency]:[Agency]]=$E763)*(ROW(TableDiv[Agency])-ROW(TableDiv[[#Headers],[Agency]])),COLUMNS($F$7:Y$7))))</f>
        <v/>
      </c>
      <c r="Z763" s="2223" t="str" cm="1">
        <f t="array" ref="Z763">IF($D763&lt;COLUMNS($F$7:Z$7),"",INDEX(TableDiv[[GASB]:[GASB]],_xlfn.AGGREGATE(15,3,(TableDiv[[Agency]:[Agency]]=$E763)/(TableDiv[[Agency]:[Agency]]=$E763)*(ROW(TableDiv[Agency])-ROW(TableDiv[[#Headers],[Agency]])),COLUMNS($F$7:Z$7))))</f>
        <v/>
      </c>
      <c r="AA763" s="2223" t="str" cm="1">
        <f t="array" ref="AA763">IF($D763&lt;COLUMNS($F$7:AA$7),"",INDEX(TableDiv[[GASB]:[GASB]],_xlfn.AGGREGATE(15,3,(TableDiv[[Agency]:[Agency]]=$E763)/(TableDiv[[Agency]:[Agency]]=$E763)*(ROW(TableDiv[Agency])-ROW(TableDiv[[#Headers],[Agency]])),COLUMNS($F$7:AA$7))))</f>
        <v/>
      </c>
      <c r="AB763" s="2223" t="str" cm="1">
        <f t="array" ref="AB763">IF($D763&lt;COLUMNS($F$7:AB$7),"",INDEX(TableDiv[[GASB]:[GASB]],_xlfn.AGGREGATE(15,3,(TableDiv[[Agency]:[Agency]]=$E763)/(TableDiv[[Agency]:[Agency]]=$E763)*(ROW(TableDiv[Agency])-ROW(TableDiv[[#Headers],[Agency]])),COLUMNS($F$7:AB$7))))</f>
        <v/>
      </c>
      <c r="AC763" s="2223" t="str" cm="1">
        <f t="array" ref="AC763">IF($D763&lt;COLUMNS($F$7:AC$7),"",INDEX(TableDiv[[GASB]:[GASB]],_xlfn.AGGREGATE(15,3,(TableDiv[[Agency]:[Agency]]=$E763)/(TableDiv[[Agency]:[Agency]]=$E763)*(ROW(TableDiv[Agency])-ROW(TableDiv[[#Headers],[Agency]])),COLUMNS($F$7:AC$7))))</f>
        <v/>
      </c>
      <c r="AD763" s="2223" t="str" cm="1">
        <f t="array" ref="AD763">IF($D763&lt;COLUMNS($F$7:AD$7),"",INDEX(TableDiv[[GASB]:[GASB]],_xlfn.AGGREGATE(15,3,(TableDiv[[Agency]:[Agency]]=$E763)/(TableDiv[[Agency]:[Agency]]=$E763)*(ROW(TableDiv[Agency])-ROW(TableDiv[[#Headers],[Agency]])),COLUMNS($F$7:AD$7))))</f>
        <v/>
      </c>
      <c r="AE763" s="2223" t="str" cm="1">
        <f t="array" ref="AE763">IF($D763&lt;COLUMNS($F$7:AE$7),"",INDEX(TableDiv[[GASB]:[GASB]],_xlfn.AGGREGATE(15,3,(TableDiv[[Agency]:[Agency]]=$E763)/(TableDiv[[Agency]:[Agency]]=$E763)*(ROW(TableDiv[Agency])-ROW(TableDiv[[#Headers],[Agency]])),COLUMNS($F$7:AE$7))))</f>
        <v/>
      </c>
      <c r="AF763" s="2223" t="str" cm="1">
        <f t="array" ref="AF763">IF($D763&lt;COLUMNS($F$7:AF$7),"",INDEX(TableDiv[[GASB]:[GASB]],_xlfn.AGGREGATE(15,3,(TableDiv[[Agency]:[Agency]]=$E763)/(TableDiv[[Agency]:[Agency]]=$E763)*(ROW(TableDiv[Agency])-ROW(TableDiv[[#Headers],[Agency]])),COLUMNS($F$7:AF$7))))</f>
        <v/>
      </c>
      <c r="AG763" s="2223" t="str" cm="1">
        <f t="array" ref="AG763">IF($D763&lt;COLUMNS($F$7:AG$7),"",INDEX(TableDiv[[GASB]:[GASB]],_xlfn.AGGREGATE(15,3,(TableDiv[[Agency]:[Agency]]=$E763)/(TableDiv[[Agency]:[Agency]]=$E763)*(ROW(TableDiv[Agency])-ROW(TableDiv[[#Headers],[Agency]])),COLUMNS($F$7:AG$7))))</f>
        <v/>
      </c>
      <c r="AH763" s="2223" t="str" cm="1">
        <f t="array" ref="AH763">IF($D763&lt;COLUMNS($F$7:AH$7),"",INDEX(TableDiv[[GASB]:[GASB]],_xlfn.AGGREGATE(15,3,(TableDiv[[Agency]:[Agency]]=$E763)/(TableDiv[[Agency]:[Agency]]=$E763)*(ROW(TableDiv[Agency])-ROW(TableDiv[[#Headers],[Agency]])),COLUMNS($F$7:AH$7))))</f>
        <v/>
      </c>
      <c r="AI763" s="2223" t="str" cm="1">
        <f t="array" ref="AI763">IF($D763&lt;COLUMNS($F$7:AI$7),"",INDEX(TableDiv[[GASB]:[GASB]],_xlfn.AGGREGATE(15,3,(TableDiv[[Agency]:[Agency]]=$E763)/(TableDiv[[Agency]:[Agency]]=$E763)*(ROW(TableDiv[Agency])-ROW(TableDiv[[#Headers],[Agency]])),COLUMNS($F$7:AI$7))))</f>
        <v/>
      </c>
      <c r="AJ763" s="2223" t="str" cm="1">
        <f t="array" ref="AJ763">IF($D763&lt;COLUMNS($F$7:AJ$7),"",INDEX(TableDiv[[GASB]:[GASB]],_xlfn.AGGREGATE(15,3,(TableDiv[[Agency]:[Agency]]=$E763)/(TableDiv[[Agency]:[Agency]]=$E763)*(ROW(TableDiv[Agency])-ROW(TableDiv[[#Headers],[Agency]])),COLUMNS($F$7:AJ$7))))</f>
        <v/>
      </c>
      <c r="AK763" s="2223" t="str" cm="1">
        <f t="array" ref="AK763">IF($D763&lt;COLUMNS($F$7:AK$7),"",INDEX(TableDiv[[GASB]:[GASB]],_xlfn.AGGREGATE(15,3,(TableDiv[[Agency]:[Agency]]=$E763)/(TableDiv[[Agency]:[Agency]]=$E763)*(ROW(TableDiv[Agency])-ROW(TableDiv[[#Headers],[Agency]])),COLUMNS($F$7:AK$7))))</f>
        <v/>
      </c>
      <c r="AL763" s="2223" t="str" cm="1">
        <f t="array" ref="AL763">IF($D763&lt;COLUMNS($F$7:AL$7),"",INDEX(TableDiv[[GASB]:[GASB]],_xlfn.AGGREGATE(15,3,(TableDiv[[Agency]:[Agency]]=$E763)/(TableDiv[[Agency]:[Agency]]=$E763)*(ROW(TableDiv[Agency])-ROW(TableDiv[[#Headers],[Agency]])),COLUMNS($F$7:AL$7))))</f>
        <v/>
      </c>
      <c r="AM763" s="2223" t="str" cm="1">
        <f t="array" ref="AM763">IF($D763&lt;COLUMNS($F$7:AM$7),"",INDEX(TableDiv[[GASB]:[GASB]],_xlfn.AGGREGATE(15,3,(TableDiv[[Agency]:[Agency]]=$E763)/(TableDiv[[Agency]:[Agency]]=$E763)*(ROW(TableDiv[Agency])-ROW(TableDiv[[#Headers],[Agency]])),COLUMNS($F$7:AM$7))))</f>
        <v/>
      </c>
      <c r="AN763" s="2223"/>
      <c r="AO763" s="2223"/>
      <c r="AP763" s="2223"/>
      <c r="AQ763" s="2223"/>
      <c r="AR763" s="2223"/>
      <c r="AS763" s="2223"/>
    </row>
    <row r="764" spans="1:45" x14ac:dyDescent="0.2">
      <c r="A764" s="2223"/>
      <c r="B764" s="2223"/>
      <c r="C764" s="2223"/>
      <c r="W764" s="2223" t="str" cm="1">
        <f t="array" ref="W764">IF($D764&lt;COLUMNS($F$7:W$7),"",INDEX(TableDiv[[GASB]:[GASB]],_xlfn.AGGREGATE(15,3,(TableDiv[[Agency]:[Agency]]=$E764)/(TableDiv[[Agency]:[Agency]]=$E764)*(ROW(TableDiv[Agency])-ROW(TableDiv[[#Headers],[Agency]])),COLUMNS($F$7:W$7))))</f>
        <v/>
      </c>
      <c r="X764" s="2223" t="str" cm="1">
        <f t="array" ref="X764">IF($D764&lt;COLUMNS($F$7:X$7),"",INDEX(TableDiv[[GASB]:[GASB]],_xlfn.AGGREGATE(15,3,(TableDiv[[Agency]:[Agency]]=$E764)/(TableDiv[[Agency]:[Agency]]=$E764)*(ROW(TableDiv[Agency])-ROW(TableDiv[[#Headers],[Agency]])),COLUMNS($F$7:X$7))))</f>
        <v/>
      </c>
      <c r="Y764" s="2223" t="str" cm="1">
        <f t="array" ref="Y764">IF($D764&lt;COLUMNS($F$7:Y$7),"",INDEX(TableDiv[[GASB]:[GASB]],_xlfn.AGGREGATE(15,3,(TableDiv[[Agency]:[Agency]]=$E764)/(TableDiv[[Agency]:[Agency]]=$E764)*(ROW(TableDiv[Agency])-ROW(TableDiv[[#Headers],[Agency]])),COLUMNS($F$7:Y$7))))</f>
        <v/>
      </c>
      <c r="Z764" s="2223" t="str" cm="1">
        <f t="array" ref="Z764">IF($D764&lt;COLUMNS($F$7:Z$7),"",INDEX(TableDiv[[GASB]:[GASB]],_xlfn.AGGREGATE(15,3,(TableDiv[[Agency]:[Agency]]=$E764)/(TableDiv[[Agency]:[Agency]]=$E764)*(ROW(TableDiv[Agency])-ROW(TableDiv[[#Headers],[Agency]])),COLUMNS($F$7:Z$7))))</f>
        <v/>
      </c>
      <c r="AA764" s="2223" t="str" cm="1">
        <f t="array" ref="AA764">IF($D764&lt;COLUMNS($F$7:AA$7),"",INDEX(TableDiv[[GASB]:[GASB]],_xlfn.AGGREGATE(15,3,(TableDiv[[Agency]:[Agency]]=$E764)/(TableDiv[[Agency]:[Agency]]=$E764)*(ROW(TableDiv[Agency])-ROW(TableDiv[[#Headers],[Agency]])),COLUMNS($F$7:AA$7))))</f>
        <v/>
      </c>
      <c r="AB764" s="2223" t="str" cm="1">
        <f t="array" ref="AB764">IF($D764&lt;COLUMNS($F$7:AB$7),"",INDEX(TableDiv[[GASB]:[GASB]],_xlfn.AGGREGATE(15,3,(TableDiv[[Agency]:[Agency]]=$E764)/(TableDiv[[Agency]:[Agency]]=$E764)*(ROW(TableDiv[Agency])-ROW(TableDiv[[#Headers],[Agency]])),COLUMNS($F$7:AB$7))))</f>
        <v/>
      </c>
      <c r="AC764" s="2223" t="str" cm="1">
        <f t="array" ref="AC764">IF($D764&lt;COLUMNS($F$7:AC$7),"",INDEX(TableDiv[[GASB]:[GASB]],_xlfn.AGGREGATE(15,3,(TableDiv[[Agency]:[Agency]]=$E764)/(TableDiv[[Agency]:[Agency]]=$E764)*(ROW(TableDiv[Agency])-ROW(TableDiv[[#Headers],[Agency]])),COLUMNS($F$7:AC$7))))</f>
        <v/>
      </c>
      <c r="AD764" s="2223" t="str" cm="1">
        <f t="array" ref="AD764">IF($D764&lt;COLUMNS($F$7:AD$7),"",INDEX(TableDiv[[GASB]:[GASB]],_xlfn.AGGREGATE(15,3,(TableDiv[[Agency]:[Agency]]=$E764)/(TableDiv[[Agency]:[Agency]]=$E764)*(ROW(TableDiv[Agency])-ROW(TableDiv[[#Headers],[Agency]])),COLUMNS($F$7:AD$7))))</f>
        <v/>
      </c>
      <c r="AE764" s="2223" t="str" cm="1">
        <f t="array" ref="AE764">IF($D764&lt;COLUMNS($F$7:AE$7),"",INDEX(TableDiv[[GASB]:[GASB]],_xlfn.AGGREGATE(15,3,(TableDiv[[Agency]:[Agency]]=$E764)/(TableDiv[[Agency]:[Agency]]=$E764)*(ROW(TableDiv[Agency])-ROW(TableDiv[[#Headers],[Agency]])),COLUMNS($F$7:AE$7))))</f>
        <v/>
      </c>
      <c r="AF764" s="2223" t="str" cm="1">
        <f t="array" ref="AF764">IF($D764&lt;COLUMNS($F$7:AF$7),"",INDEX(TableDiv[[GASB]:[GASB]],_xlfn.AGGREGATE(15,3,(TableDiv[[Agency]:[Agency]]=$E764)/(TableDiv[[Agency]:[Agency]]=$E764)*(ROW(TableDiv[Agency])-ROW(TableDiv[[#Headers],[Agency]])),COLUMNS($F$7:AF$7))))</f>
        <v/>
      </c>
      <c r="AG764" s="2223" t="str" cm="1">
        <f t="array" ref="AG764">IF($D764&lt;COLUMNS($F$7:AG$7),"",INDEX(TableDiv[[GASB]:[GASB]],_xlfn.AGGREGATE(15,3,(TableDiv[[Agency]:[Agency]]=$E764)/(TableDiv[[Agency]:[Agency]]=$E764)*(ROW(TableDiv[Agency])-ROW(TableDiv[[#Headers],[Agency]])),COLUMNS($F$7:AG$7))))</f>
        <v/>
      </c>
      <c r="AH764" s="2223" t="str" cm="1">
        <f t="array" ref="AH764">IF($D764&lt;COLUMNS($F$7:AH$7),"",INDEX(TableDiv[[GASB]:[GASB]],_xlfn.AGGREGATE(15,3,(TableDiv[[Agency]:[Agency]]=$E764)/(TableDiv[[Agency]:[Agency]]=$E764)*(ROW(TableDiv[Agency])-ROW(TableDiv[[#Headers],[Agency]])),COLUMNS($F$7:AH$7))))</f>
        <v/>
      </c>
      <c r="AI764" s="2223" t="str" cm="1">
        <f t="array" ref="AI764">IF($D764&lt;COLUMNS($F$7:AI$7),"",INDEX(TableDiv[[GASB]:[GASB]],_xlfn.AGGREGATE(15,3,(TableDiv[[Agency]:[Agency]]=$E764)/(TableDiv[[Agency]:[Agency]]=$E764)*(ROW(TableDiv[Agency])-ROW(TableDiv[[#Headers],[Agency]])),COLUMNS($F$7:AI$7))))</f>
        <v/>
      </c>
      <c r="AJ764" s="2223" t="str" cm="1">
        <f t="array" ref="AJ764">IF($D764&lt;COLUMNS($F$7:AJ$7),"",INDEX(TableDiv[[GASB]:[GASB]],_xlfn.AGGREGATE(15,3,(TableDiv[[Agency]:[Agency]]=$E764)/(TableDiv[[Agency]:[Agency]]=$E764)*(ROW(TableDiv[Agency])-ROW(TableDiv[[#Headers],[Agency]])),COLUMNS($F$7:AJ$7))))</f>
        <v/>
      </c>
      <c r="AK764" s="2223" t="str" cm="1">
        <f t="array" ref="AK764">IF($D764&lt;COLUMNS($F$7:AK$7),"",INDEX(TableDiv[[GASB]:[GASB]],_xlfn.AGGREGATE(15,3,(TableDiv[[Agency]:[Agency]]=$E764)/(TableDiv[[Agency]:[Agency]]=$E764)*(ROW(TableDiv[Agency])-ROW(TableDiv[[#Headers],[Agency]])),COLUMNS($F$7:AK$7))))</f>
        <v/>
      </c>
      <c r="AL764" s="2223" t="str" cm="1">
        <f t="array" ref="AL764">IF($D764&lt;COLUMNS($F$7:AL$7),"",INDEX(TableDiv[[GASB]:[GASB]],_xlfn.AGGREGATE(15,3,(TableDiv[[Agency]:[Agency]]=$E764)/(TableDiv[[Agency]:[Agency]]=$E764)*(ROW(TableDiv[Agency])-ROW(TableDiv[[#Headers],[Agency]])),COLUMNS($F$7:AL$7))))</f>
        <v/>
      </c>
      <c r="AM764" s="2223" t="str" cm="1">
        <f t="array" ref="AM764">IF($D764&lt;COLUMNS($F$7:AM$7),"",INDEX(TableDiv[[GASB]:[GASB]],_xlfn.AGGREGATE(15,3,(TableDiv[[Agency]:[Agency]]=$E764)/(TableDiv[[Agency]:[Agency]]=$E764)*(ROW(TableDiv[Agency])-ROW(TableDiv[[#Headers],[Agency]])),COLUMNS($F$7:AM$7))))</f>
        <v/>
      </c>
      <c r="AN764" s="2223"/>
      <c r="AO764" s="2223"/>
      <c r="AP764" s="2223"/>
      <c r="AQ764" s="2223"/>
      <c r="AR764" s="2223"/>
      <c r="AS764" s="2223"/>
    </row>
    <row r="765" spans="1:45" x14ac:dyDescent="0.2">
      <c r="A765" s="2223"/>
      <c r="B765" s="2223"/>
      <c r="C765" s="2223"/>
      <c r="W765" s="2223" t="str" cm="1">
        <f t="array" ref="W765">IF($D765&lt;COLUMNS($F$7:W$7),"",INDEX(TableDiv[[GASB]:[GASB]],_xlfn.AGGREGATE(15,3,(TableDiv[[Agency]:[Agency]]=$E765)/(TableDiv[[Agency]:[Agency]]=$E765)*(ROW(TableDiv[Agency])-ROW(TableDiv[[#Headers],[Agency]])),COLUMNS($F$7:W$7))))</f>
        <v/>
      </c>
      <c r="X765" s="2223" t="str" cm="1">
        <f t="array" ref="X765">IF($D765&lt;COLUMNS($F$7:X$7),"",INDEX(TableDiv[[GASB]:[GASB]],_xlfn.AGGREGATE(15,3,(TableDiv[[Agency]:[Agency]]=$E765)/(TableDiv[[Agency]:[Agency]]=$E765)*(ROW(TableDiv[Agency])-ROW(TableDiv[[#Headers],[Agency]])),COLUMNS($F$7:X$7))))</f>
        <v/>
      </c>
      <c r="Y765" s="2223" t="str" cm="1">
        <f t="array" ref="Y765">IF($D765&lt;COLUMNS($F$7:Y$7),"",INDEX(TableDiv[[GASB]:[GASB]],_xlfn.AGGREGATE(15,3,(TableDiv[[Agency]:[Agency]]=$E765)/(TableDiv[[Agency]:[Agency]]=$E765)*(ROW(TableDiv[Agency])-ROW(TableDiv[[#Headers],[Agency]])),COLUMNS($F$7:Y$7))))</f>
        <v/>
      </c>
      <c r="Z765" s="2223" t="str" cm="1">
        <f t="array" ref="Z765">IF($D765&lt;COLUMNS($F$7:Z$7),"",INDEX(TableDiv[[GASB]:[GASB]],_xlfn.AGGREGATE(15,3,(TableDiv[[Agency]:[Agency]]=$E765)/(TableDiv[[Agency]:[Agency]]=$E765)*(ROW(TableDiv[Agency])-ROW(TableDiv[[#Headers],[Agency]])),COLUMNS($F$7:Z$7))))</f>
        <v/>
      </c>
      <c r="AA765" s="2223" t="str" cm="1">
        <f t="array" ref="AA765">IF($D765&lt;COLUMNS($F$7:AA$7),"",INDEX(TableDiv[[GASB]:[GASB]],_xlfn.AGGREGATE(15,3,(TableDiv[[Agency]:[Agency]]=$E765)/(TableDiv[[Agency]:[Agency]]=$E765)*(ROW(TableDiv[Agency])-ROW(TableDiv[[#Headers],[Agency]])),COLUMNS($F$7:AA$7))))</f>
        <v/>
      </c>
      <c r="AB765" s="2223" t="str" cm="1">
        <f t="array" ref="AB765">IF($D765&lt;COLUMNS($F$7:AB$7),"",INDEX(TableDiv[[GASB]:[GASB]],_xlfn.AGGREGATE(15,3,(TableDiv[[Agency]:[Agency]]=$E765)/(TableDiv[[Agency]:[Agency]]=$E765)*(ROW(TableDiv[Agency])-ROW(TableDiv[[#Headers],[Agency]])),COLUMNS($F$7:AB$7))))</f>
        <v/>
      </c>
      <c r="AC765" s="2223" t="str" cm="1">
        <f t="array" ref="AC765">IF($D765&lt;COLUMNS($F$7:AC$7),"",INDEX(TableDiv[[GASB]:[GASB]],_xlfn.AGGREGATE(15,3,(TableDiv[[Agency]:[Agency]]=$E765)/(TableDiv[[Agency]:[Agency]]=$E765)*(ROW(TableDiv[Agency])-ROW(TableDiv[[#Headers],[Agency]])),COLUMNS($F$7:AC$7))))</f>
        <v/>
      </c>
      <c r="AD765" s="2223" t="str" cm="1">
        <f t="array" ref="AD765">IF($D765&lt;COLUMNS($F$7:AD$7),"",INDEX(TableDiv[[GASB]:[GASB]],_xlfn.AGGREGATE(15,3,(TableDiv[[Agency]:[Agency]]=$E765)/(TableDiv[[Agency]:[Agency]]=$E765)*(ROW(TableDiv[Agency])-ROW(TableDiv[[#Headers],[Agency]])),COLUMNS($F$7:AD$7))))</f>
        <v/>
      </c>
      <c r="AE765" s="2223" t="str" cm="1">
        <f t="array" ref="AE765">IF($D765&lt;COLUMNS($F$7:AE$7),"",INDEX(TableDiv[[GASB]:[GASB]],_xlfn.AGGREGATE(15,3,(TableDiv[[Agency]:[Agency]]=$E765)/(TableDiv[[Agency]:[Agency]]=$E765)*(ROW(TableDiv[Agency])-ROW(TableDiv[[#Headers],[Agency]])),COLUMNS($F$7:AE$7))))</f>
        <v/>
      </c>
      <c r="AF765" s="2223" t="str" cm="1">
        <f t="array" ref="AF765">IF($D765&lt;COLUMNS($F$7:AF$7),"",INDEX(TableDiv[[GASB]:[GASB]],_xlfn.AGGREGATE(15,3,(TableDiv[[Agency]:[Agency]]=$E765)/(TableDiv[[Agency]:[Agency]]=$E765)*(ROW(TableDiv[Agency])-ROW(TableDiv[[#Headers],[Agency]])),COLUMNS($F$7:AF$7))))</f>
        <v/>
      </c>
      <c r="AG765" s="2223" t="str" cm="1">
        <f t="array" ref="AG765">IF($D765&lt;COLUMNS($F$7:AG$7),"",INDEX(TableDiv[[GASB]:[GASB]],_xlfn.AGGREGATE(15,3,(TableDiv[[Agency]:[Agency]]=$E765)/(TableDiv[[Agency]:[Agency]]=$E765)*(ROW(TableDiv[Agency])-ROW(TableDiv[[#Headers],[Agency]])),COLUMNS($F$7:AG$7))))</f>
        <v/>
      </c>
      <c r="AH765" s="2223" t="str" cm="1">
        <f t="array" ref="AH765">IF($D765&lt;COLUMNS($F$7:AH$7),"",INDEX(TableDiv[[GASB]:[GASB]],_xlfn.AGGREGATE(15,3,(TableDiv[[Agency]:[Agency]]=$E765)/(TableDiv[[Agency]:[Agency]]=$E765)*(ROW(TableDiv[Agency])-ROW(TableDiv[[#Headers],[Agency]])),COLUMNS($F$7:AH$7))))</f>
        <v/>
      </c>
      <c r="AI765" s="2223" t="str" cm="1">
        <f t="array" ref="AI765">IF($D765&lt;COLUMNS($F$7:AI$7),"",INDEX(TableDiv[[GASB]:[GASB]],_xlfn.AGGREGATE(15,3,(TableDiv[[Agency]:[Agency]]=$E765)/(TableDiv[[Agency]:[Agency]]=$E765)*(ROW(TableDiv[Agency])-ROW(TableDiv[[#Headers],[Agency]])),COLUMNS($F$7:AI$7))))</f>
        <v/>
      </c>
      <c r="AJ765" s="2223" t="str" cm="1">
        <f t="array" ref="AJ765">IF($D765&lt;COLUMNS($F$7:AJ$7),"",INDEX(TableDiv[[GASB]:[GASB]],_xlfn.AGGREGATE(15,3,(TableDiv[[Agency]:[Agency]]=$E765)/(TableDiv[[Agency]:[Agency]]=$E765)*(ROW(TableDiv[Agency])-ROW(TableDiv[[#Headers],[Agency]])),COLUMNS($F$7:AJ$7))))</f>
        <v/>
      </c>
      <c r="AK765" s="2223" t="str" cm="1">
        <f t="array" ref="AK765">IF($D765&lt;COLUMNS($F$7:AK$7),"",INDEX(TableDiv[[GASB]:[GASB]],_xlfn.AGGREGATE(15,3,(TableDiv[[Agency]:[Agency]]=$E765)/(TableDiv[[Agency]:[Agency]]=$E765)*(ROW(TableDiv[Agency])-ROW(TableDiv[[#Headers],[Agency]])),COLUMNS($F$7:AK$7))))</f>
        <v/>
      </c>
      <c r="AL765" s="2223" t="str" cm="1">
        <f t="array" ref="AL765">IF($D765&lt;COLUMNS($F$7:AL$7),"",INDEX(TableDiv[[GASB]:[GASB]],_xlfn.AGGREGATE(15,3,(TableDiv[[Agency]:[Agency]]=$E765)/(TableDiv[[Agency]:[Agency]]=$E765)*(ROW(TableDiv[Agency])-ROW(TableDiv[[#Headers],[Agency]])),COLUMNS($F$7:AL$7))))</f>
        <v/>
      </c>
      <c r="AM765" s="2223" t="str" cm="1">
        <f t="array" ref="AM765">IF($D765&lt;COLUMNS($F$7:AM$7),"",INDEX(TableDiv[[GASB]:[GASB]],_xlfn.AGGREGATE(15,3,(TableDiv[[Agency]:[Agency]]=$E765)/(TableDiv[[Agency]:[Agency]]=$E765)*(ROW(TableDiv[Agency])-ROW(TableDiv[[#Headers],[Agency]])),COLUMNS($F$7:AM$7))))</f>
        <v/>
      </c>
      <c r="AN765" s="2223"/>
      <c r="AO765" s="2223"/>
      <c r="AP765" s="2223"/>
      <c r="AQ765" s="2223"/>
      <c r="AR765" s="2223"/>
      <c r="AS765" s="2223"/>
    </row>
    <row r="766" spans="1:45" x14ac:dyDescent="0.2">
      <c r="A766" s="2223"/>
      <c r="B766" s="2223"/>
      <c r="C766" s="2223"/>
      <c r="W766" s="2223" t="str" cm="1">
        <f t="array" ref="W766">IF($D766&lt;COLUMNS($F$7:W$7),"",INDEX(TableDiv[[GASB]:[GASB]],_xlfn.AGGREGATE(15,3,(TableDiv[[Agency]:[Agency]]=$E766)/(TableDiv[[Agency]:[Agency]]=$E766)*(ROW(TableDiv[Agency])-ROW(TableDiv[[#Headers],[Agency]])),COLUMNS($F$7:W$7))))</f>
        <v/>
      </c>
      <c r="X766" s="2223" t="str" cm="1">
        <f t="array" ref="X766">IF($D766&lt;COLUMNS($F$7:X$7),"",INDEX(TableDiv[[GASB]:[GASB]],_xlfn.AGGREGATE(15,3,(TableDiv[[Agency]:[Agency]]=$E766)/(TableDiv[[Agency]:[Agency]]=$E766)*(ROW(TableDiv[Agency])-ROW(TableDiv[[#Headers],[Agency]])),COLUMNS($F$7:X$7))))</f>
        <v/>
      </c>
      <c r="Y766" s="2223" t="str" cm="1">
        <f t="array" ref="Y766">IF($D766&lt;COLUMNS($F$7:Y$7),"",INDEX(TableDiv[[GASB]:[GASB]],_xlfn.AGGREGATE(15,3,(TableDiv[[Agency]:[Agency]]=$E766)/(TableDiv[[Agency]:[Agency]]=$E766)*(ROW(TableDiv[Agency])-ROW(TableDiv[[#Headers],[Agency]])),COLUMNS($F$7:Y$7))))</f>
        <v/>
      </c>
      <c r="Z766" s="2223" t="str" cm="1">
        <f t="array" ref="Z766">IF($D766&lt;COLUMNS($F$7:Z$7),"",INDEX(TableDiv[[GASB]:[GASB]],_xlfn.AGGREGATE(15,3,(TableDiv[[Agency]:[Agency]]=$E766)/(TableDiv[[Agency]:[Agency]]=$E766)*(ROW(TableDiv[Agency])-ROW(TableDiv[[#Headers],[Agency]])),COLUMNS($F$7:Z$7))))</f>
        <v/>
      </c>
      <c r="AA766" s="2223" t="str" cm="1">
        <f t="array" ref="AA766">IF($D766&lt;COLUMNS($F$7:AA$7),"",INDEX(TableDiv[[GASB]:[GASB]],_xlfn.AGGREGATE(15,3,(TableDiv[[Agency]:[Agency]]=$E766)/(TableDiv[[Agency]:[Agency]]=$E766)*(ROW(TableDiv[Agency])-ROW(TableDiv[[#Headers],[Agency]])),COLUMNS($F$7:AA$7))))</f>
        <v/>
      </c>
      <c r="AB766" s="2223" t="str" cm="1">
        <f t="array" ref="AB766">IF($D766&lt;COLUMNS($F$7:AB$7),"",INDEX(TableDiv[[GASB]:[GASB]],_xlfn.AGGREGATE(15,3,(TableDiv[[Agency]:[Agency]]=$E766)/(TableDiv[[Agency]:[Agency]]=$E766)*(ROW(TableDiv[Agency])-ROW(TableDiv[[#Headers],[Agency]])),COLUMNS($F$7:AB$7))))</f>
        <v/>
      </c>
      <c r="AC766" s="2223" t="str" cm="1">
        <f t="array" ref="AC766">IF($D766&lt;COLUMNS($F$7:AC$7),"",INDEX(TableDiv[[GASB]:[GASB]],_xlfn.AGGREGATE(15,3,(TableDiv[[Agency]:[Agency]]=$E766)/(TableDiv[[Agency]:[Agency]]=$E766)*(ROW(TableDiv[Agency])-ROW(TableDiv[[#Headers],[Agency]])),COLUMNS($F$7:AC$7))))</f>
        <v/>
      </c>
      <c r="AD766" s="2223" t="str" cm="1">
        <f t="array" ref="AD766">IF($D766&lt;COLUMNS($F$7:AD$7),"",INDEX(TableDiv[[GASB]:[GASB]],_xlfn.AGGREGATE(15,3,(TableDiv[[Agency]:[Agency]]=$E766)/(TableDiv[[Agency]:[Agency]]=$E766)*(ROW(TableDiv[Agency])-ROW(TableDiv[[#Headers],[Agency]])),COLUMNS($F$7:AD$7))))</f>
        <v/>
      </c>
      <c r="AE766" s="2223" t="str" cm="1">
        <f t="array" ref="AE766">IF($D766&lt;COLUMNS($F$7:AE$7),"",INDEX(TableDiv[[GASB]:[GASB]],_xlfn.AGGREGATE(15,3,(TableDiv[[Agency]:[Agency]]=$E766)/(TableDiv[[Agency]:[Agency]]=$E766)*(ROW(TableDiv[Agency])-ROW(TableDiv[[#Headers],[Agency]])),COLUMNS($F$7:AE$7))))</f>
        <v/>
      </c>
      <c r="AF766" s="2223" t="str" cm="1">
        <f t="array" ref="AF766">IF($D766&lt;COLUMNS($F$7:AF$7),"",INDEX(TableDiv[[GASB]:[GASB]],_xlfn.AGGREGATE(15,3,(TableDiv[[Agency]:[Agency]]=$E766)/(TableDiv[[Agency]:[Agency]]=$E766)*(ROW(TableDiv[Agency])-ROW(TableDiv[[#Headers],[Agency]])),COLUMNS($F$7:AF$7))))</f>
        <v/>
      </c>
      <c r="AG766" s="2223" t="str" cm="1">
        <f t="array" ref="AG766">IF($D766&lt;COLUMNS($F$7:AG$7),"",INDEX(TableDiv[[GASB]:[GASB]],_xlfn.AGGREGATE(15,3,(TableDiv[[Agency]:[Agency]]=$E766)/(TableDiv[[Agency]:[Agency]]=$E766)*(ROW(TableDiv[Agency])-ROW(TableDiv[[#Headers],[Agency]])),COLUMNS($F$7:AG$7))))</f>
        <v/>
      </c>
      <c r="AH766" s="2223" t="str" cm="1">
        <f t="array" ref="AH766">IF($D766&lt;COLUMNS($F$7:AH$7),"",INDEX(TableDiv[[GASB]:[GASB]],_xlfn.AGGREGATE(15,3,(TableDiv[[Agency]:[Agency]]=$E766)/(TableDiv[[Agency]:[Agency]]=$E766)*(ROW(TableDiv[Agency])-ROW(TableDiv[[#Headers],[Agency]])),COLUMNS($F$7:AH$7))))</f>
        <v/>
      </c>
      <c r="AI766" s="2223" t="str" cm="1">
        <f t="array" ref="AI766">IF($D766&lt;COLUMNS($F$7:AI$7),"",INDEX(TableDiv[[GASB]:[GASB]],_xlfn.AGGREGATE(15,3,(TableDiv[[Agency]:[Agency]]=$E766)/(TableDiv[[Agency]:[Agency]]=$E766)*(ROW(TableDiv[Agency])-ROW(TableDiv[[#Headers],[Agency]])),COLUMNS($F$7:AI$7))))</f>
        <v/>
      </c>
      <c r="AJ766" s="2223" t="str" cm="1">
        <f t="array" ref="AJ766">IF($D766&lt;COLUMNS($F$7:AJ$7),"",INDEX(TableDiv[[GASB]:[GASB]],_xlfn.AGGREGATE(15,3,(TableDiv[[Agency]:[Agency]]=$E766)/(TableDiv[[Agency]:[Agency]]=$E766)*(ROW(TableDiv[Agency])-ROW(TableDiv[[#Headers],[Agency]])),COLUMNS($F$7:AJ$7))))</f>
        <v/>
      </c>
      <c r="AK766" s="2223" t="str" cm="1">
        <f t="array" ref="AK766">IF($D766&lt;COLUMNS($F$7:AK$7),"",INDEX(TableDiv[[GASB]:[GASB]],_xlfn.AGGREGATE(15,3,(TableDiv[[Agency]:[Agency]]=$E766)/(TableDiv[[Agency]:[Agency]]=$E766)*(ROW(TableDiv[Agency])-ROW(TableDiv[[#Headers],[Agency]])),COLUMNS($F$7:AK$7))))</f>
        <v/>
      </c>
      <c r="AL766" s="2223" t="str" cm="1">
        <f t="array" ref="AL766">IF($D766&lt;COLUMNS($F$7:AL$7),"",INDEX(TableDiv[[GASB]:[GASB]],_xlfn.AGGREGATE(15,3,(TableDiv[[Agency]:[Agency]]=$E766)/(TableDiv[[Agency]:[Agency]]=$E766)*(ROW(TableDiv[Agency])-ROW(TableDiv[[#Headers],[Agency]])),COLUMNS($F$7:AL$7))))</f>
        <v/>
      </c>
      <c r="AM766" s="2223" t="str" cm="1">
        <f t="array" ref="AM766">IF($D766&lt;COLUMNS($F$7:AM$7),"",INDEX(TableDiv[[GASB]:[GASB]],_xlfn.AGGREGATE(15,3,(TableDiv[[Agency]:[Agency]]=$E766)/(TableDiv[[Agency]:[Agency]]=$E766)*(ROW(TableDiv[Agency])-ROW(TableDiv[[#Headers],[Agency]])),COLUMNS($F$7:AM$7))))</f>
        <v/>
      </c>
      <c r="AN766" s="2223"/>
      <c r="AO766" s="2223"/>
      <c r="AP766" s="2223"/>
      <c r="AQ766" s="2223"/>
      <c r="AR766" s="2223"/>
      <c r="AS766" s="2223"/>
    </row>
    <row r="767" spans="1:45" x14ac:dyDescent="0.2">
      <c r="A767" s="2223"/>
      <c r="B767" s="2223"/>
      <c r="C767" s="2223"/>
      <c r="W767" s="2223" t="str" cm="1">
        <f t="array" ref="W767">IF($D767&lt;COLUMNS($F$7:W$7),"",INDEX(TableDiv[[GASB]:[GASB]],_xlfn.AGGREGATE(15,3,(TableDiv[[Agency]:[Agency]]=$E767)/(TableDiv[[Agency]:[Agency]]=$E767)*(ROW(TableDiv[Agency])-ROW(TableDiv[[#Headers],[Agency]])),COLUMNS($F$7:W$7))))</f>
        <v/>
      </c>
      <c r="X767" s="2223" t="str" cm="1">
        <f t="array" ref="X767">IF($D767&lt;COLUMNS($F$7:X$7),"",INDEX(TableDiv[[GASB]:[GASB]],_xlfn.AGGREGATE(15,3,(TableDiv[[Agency]:[Agency]]=$E767)/(TableDiv[[Agency]:[Agency]]=$E767)*(ROW(TableDiv[Agency])-ROW(TableDiv[[#Headers],[Agency]])),COLUMNS($F$7:X$7))))</f>
        <v/>
      </c>
      <c r="Y767" s="2223" t="str" cm="1">
        <f t="array" ref="Y767">IF($D767&lt;COLUMNS($F$7:Y$7),"",INDEX(TableDiv[[GASB]:[GASB]],_xlfn.AGGREGATE(15,3,(TableDiv[[Agency]:[Agency]]=$E767)/(TableDiv[[Agency]:[Agency]]=$E767)*(ROW(TableDiv[Agency])-ROW(TableDiv[[#Headers],[Agency]])),COLUMNS($F$7:Y$7))))</f>
        <v/>
      </c>
      <c r="Z767" s="2223" t="str" cm="1">
        <f t="array" ref="Z767">IF($D767&lt;COLUMNS($F$7:Z$7),"",INDEX(TableDiv[[GASB]:[GASB]],_xlfn.AGGREGATE(15,3,(TableDiv[[Agency]:[Agency]]=$E767)/(TableDiv[[Agency]:[Agency]]=$E767)*(ROW(TableDiv[Agency])-ROW(TableDiv[[#Headers],[Agency]])),COLUMNS($F$7:Z$7))))</f>
        <v/>
      </c>
      <c r="AA767" s="2223" t="str" cm="1">
        <f t="array" ref="AA767">IF($D767&lt;COLUMNS($F$7:AA$7),"",INDEX(TableDiv[[GASB]:[GASB]],_xlfn.AGGREGATE(15,3,(TableDiv[[Agency]:[Agency]]=$E767)/(TableDiv[[Agency]:[Agency]]=$E767)*(ROW(TableDiv[Agency])-ROW(TableDiv[[#Headers],[Agency]])),COLUMNS($F$7:AA$7))))</f>
        <v/>
      </c>
      <c r="AB767" s="2223" t="str" cm="1">
        <f t="array" ref="AB767">IF($D767&lt;COLUMNS($F$7:AB$7),"",INDEX(TableDiv[[GASB]:[GASB]],_xlfn.AGGREGATE(15,3,(TableDiv[[Agency]:[Agency]]=$E767)/(TableDiv[[Agency]:[Agency]]=$E767)*(ROW(TableDiv[Agency])-ROW(TableDiv[[#Headers],[Agency]])),COLUMNS($F$7:AB$7))))</f>
        <v/>
      </c>
      <c r="AC767" s="2223" t="str" cm="1">
        <f t="array" ref="AC767">IF($D767&lt;COLUMNS($F$7:AC$7),"",INDEX(TableDiv[[GASB]:[GASB]],_xlfn.AGGREGATE(15,3,(TableDiv[[Agency]:[Agency]]=$E767)/(TableDiv[[Agency]:[Agency]]=$E767)*(ROW(TableDiv[Agency])-ROW(TableDiv[[#Headers],[Agency]])),COLUMNS($F$7:AC$7))))</f>
        <v/>
      </c>
      <c r="AD767" s="2223" t="str" cm="1">
        <f t="array" ref="AD767">IF($D767&lt;COLUMNS($F$7:AD$7),"",INDEX(TableDiv[[GASB]:[GASB]],_xlfn.AGGREGATE(15,3,(TableDiv[[Agency]:[Agency]]=$E767)/(TableDiv[[Agency]:[Agency]]=$E767)*(ROW(TableDiv[Agency])-ROW(TableDiv[[#Headers],[Agency]])),COLUMNS($F$7:AD$7))))</f>
        <v/>
      </c>
      <c r="AE767" s="2223" t="str" cm="1">
        <f t="array" ref="AE767">IF($D767&lt;COLUMNS($F$7:AE$7),"",INDEX(TableDiv[[GASB]:[GASB]],_xlfn.AGGREGATE(15,3,(TableDiv[[Agency]:[Agency]]=$E767)/(TableDiv[[Agency]:[Agency]]=$E767)*(ROW(TableDiv[Agency])-ROW(TableDiv[[#Headers],[Agency]])),COLUMNS($F$7:AE$7))))</f>
        <v/>
      </c>
      <c r="AF767" s="2223" t="str" cm="1">
        <f t="array" ref="AF767">IF($D767&lt;COLUMNS($F$7:AF$7),"",INDEX(TableDiv[[GASB]:[GASB]],_xlfn.AGGREGATE(15,3,(TableDiv[[Agency]:[Agency]]=$E767)/(TableDiv[[Agency]:[Agency]]=$E767)*(ROW(TableDiv[Agency])-ROW(TableDiv[[#Headers],[Agency]])),COLUMNS($F$7:AF$7))))</f>
        <v/>
      </c>
      <c r="AG767" s="2223" t="str" cm="1">
        <f t="array" ref="AG767">IF($D767&lt;COLUMNS($F$7:AG$7),"",INDEX(TableDiv[[GASB]:[GASB]],_xlfn.AGGREGATE(15,3,(TableDiv[[Agency]:[Agency]]=$E767)/(TableDiv[[Agency]:[Agency]]=$E767)*(ROW(TableDiv[Agency])-ROW(TableDiv[[#Headers],[Agency]])),COLUMNS($F$7:AG$7))))</f>
        <v/>
      </c>
      <c r="AH767" s="2223" t="str" cm="1">
        <f t="array" ref="AH767">IF($D767&lt;COLUMNS($F$7:AH$7),"",INDEX(TableDiv[[GASB]:[GASB]],_xlfn.AGGREGATE(15,3,(TableDiv[[Agency]:[Agency]]=$E767)/(TableDiv[[Agency]:[Agency]]=$E767)*(ROW(TableDiv[Agency])-ROW(TableDiv[[#Headers],[Agency]])),COLUMNS($F$7:AH$7))))</f>
        <v/>
      </c>
      <c r="AI767" s="2223" t="str" cm="1">
        <f t="array" ref="AI767">IF($D767&lt;COLUMNS($F$7:AI$7),"",INDEX(TableDiv[[GASB]:[GASB]],_xlfn.AGGREGATE(15,3,(TableDiv[[Agency]:[Agency]]=$E767)/(TableDiv[[Agency]:[Agency]]=$E767)*(ROW(TableDiv[Agency])-ROW(TableDiv[[#Headers],[Agency]])),COLUMNS($F$7:AI$7))))</f>
        <v/>
      </c>
      <c r="AJ767" s="2223" t="str" cm="1">
        <f t="array" ref="AJ767">IF($D767&lt;COLUMNS($F$7:AJ$7),"",INDEX(TableDiv[[GASB]:[GASB]],_xlfn.AGGREGATE(15,3,(TableDiv[[Agency]:[Agency]]=$E767)/(TableDiv[[Agency]:[Agency]]=$E767)*(ROW(TableDiv[Agency])-ROW(TableDiv[[#Headers],[Agency]])),COLUMNS($F$7:AJ$7))))</f>
        <v/>
      </c>
      <c r="AK767" s="2223" t="str" cm="1">
        <f t="array" ref="AK767">IF($D767&lt;COLUMNS($F$7:AK$7),"",INDEX(TableDiv[[GASB]:[GASB]],_xlfn.AGGREGATE(15,3,(TableDiv[[Agency]:[Agency]]=$E767)/(TableDiv[[Agency]:[Agency]]=$E767)*(ROW(TableDiv[Agency])-ROW(TableDiv[[#Headers],[Agency]])),COLUMNS($F$7:AK$7))))</f>
        <v/>
      </c>
      <c r="AL767" s="2223" t="str" cm="1">
        <f t="array" ref="AL767">IF($D767&lt;COLUMNS($F$7:AL$7),"",INDEX(TableDiv[[GASB]:[GASB]],_xlfn.AGGREGATE(15,3,(TableDiv[[Agency]:[Agency]]=$E767)/(TableDiv[[Agency]:[Agency]]=$E767)*(ROW(TableDiv[Agency])-ROW(TableDiv[[#Headers],[Agency]])),COLUMNS($F$7:AL$7))))</f>
        <v/>
      </c>
      <c r="AM767" s="2223" t="str" cm="1">
        <f t="array" ref="AM767">IF($D767&lt;COLUMNS($F$7:AM$7),"",INDEX(TableDiv[[GASB]:[GASB]],_xlfn.AGGREGATE(15,3,(TableDiv[[Agency]:[Agency]]=$E767)/(TableDiv[[Agency]:[Agency]]=$E767)*(ROW(TableDiv[Agency])-ROW(TableDiv[[#Headers],[Agency]])),COLUMNS($F$7:AM$7))))</f>
        <v/>
      </c>
      <c r="AN767" s="2223"/>
      <c r="AO767" s="2223"/>
      <c r="AP767" s="2223"/>
      <c r="AQ767" s="2223"/>
      <c r="AR767" s="2223"/>
      <c r="AS767" s="2223"/>
    </row>
    <row r="768" spans="1:45" x14ac:dyDescent="0.2">
      <c r="A768" s="2223"/>
      <c r="B768" s="2223"/>
      <c r="C768" s="2223"/>
      <c r="W768" s="2223" t="str" cm="1">
        <f t="array" ref="W768">IF($D768&lt;COLUMNS($F$7:W$7),"",INDEX(TableDiv[[GASB]:[GASB]],_xlfn.AGGREGATE(15,3,(TableDiv[[Agency]:[Agency]]=$E768)/(TableDiv[[Agency]:[Agency]]=$E768)*(ROW(TableDiv[Agency])-ROW(TableDiv[[#Headers],[Agency]])),COLUMNS($F$7:W$7))))</f>
        <v/>
      </c>
      <c r="X768" s="2223" t="str" cm="1">
        <f t="array" ref="X768">IF($D768&lt;COLUMNS($F$7:X$7),"",INDEX(TableDiv[[GASB]:[GASB]],_xlfn.AGGREGATE(15,3,(TableDiv[[Agency]:[Agency]]=$E768)/(TableDiv[[Agency]:[Agency]]=$E768)*(ROW(TableDiv[Agency])-ROW(TableDiv[[#Headers],[Agency]])),COLUMNS($F$7:X$7))))</f>
        <v/>
      </c>
      <c r="Y768" s="2223" t="str" cm="1">
        <f t="array" ref="Y768">IF($D768&lt;COLUMNS($F$7:Y$7),"",INDEX(TableDiv[[GASB]:[GASB]],_xlfn.AGGREGATE(15,3,(TableDiv[[Agency]:[Agency]]=$E768)/(TableDiv[[Agency]:[Agency]]=$E768)*(ROW(TableDiv[Agency])-ROW(TableDiv[[#Headers],[Agency]])),COLUMNS($F$7:Y$7))))</f>
        <v/>
      </c>
      <c r="Z768" s="2223" t="str" cm="1">
        <f t="array" ref="Z768">IF($D768&lt;COLUMNS($F$7:Z$7),"",INDEX(TableDiv[[GASB]:[GASB]],_xlfn.AGGREGATE(15,3,(TableDiv[[Agency]:[Agency]]=$E768)/(TableDiv[[Agency]:[Agency]]=$E768)*(ROW(TableDiv[Agency])-ROW(TableDiv[[#Headers],[Agency]])),COLUMNS($F$7:Z$7))))</f>
        <v/>
      </c>
      <c r="AA768" s="2223" t="str" cm="1">
        <f t="array" ref="AA768">IF($D768&lt;COLUMNS($F$7:AA$7),"",INDEX(TableDiv[[GASB]:[GASB]],_xlfn.AGGREGATE(15,3,(TableDiv[[Agency]:[Agency]]=$E768)/(TableDiv[[Agency]:[Agency]]=$E768)*(ROW(TableDiv[Agency])-ROW(TableDiv[[#Headers],[Agency]])),COLUMNS($F$7:AA$7))))</f>
        <v/>
      </c>
      <c r="AB768" s="2223" t="str" cm="1">
        <f t="array" ref="AB768">IF($D768&lt;COLUMNS($F$7:AB$7),"",INDEX(TableDiv[[GASB]:[GASB]],_xlfn.AGGREGATE(15,3,(TableDiv[[Agency]:[Agency]]=$E768)/(TableDiv[[Agency]:[Agency]]=$E768)*(ROW(TableDiv[Agency])-ROW(TableDiv[[#Headers],[Agency]])),COLUMNS($F$7:AB$7))))</f>
        <v/>
      </c>
      <c r="AC768" s="2223" t="str" cm="1">
        <f t="array" ref="AC768">IF($D768&lt;COLUMNS($F$7:AC$7),"",INDEX(TableDiv[[GASB]:[GASB]],_xlfn.AGGREGATE(15,3,(TableDiv[[Agency]:[Agency]]=$E768)/(TableDiv[[Agency]:[Agency]]=$E768)*(ROW(TableDiv[Agency])-ROW(TableDiv[[#Headers],[Agency]])),COLUMNS($F$7:AC$7))))</f>
        <v/>
      </c>
      <c r="AD768" s="2223" t="str" cm="1">
        <f t="array" ref="AD768">IF($D768&lt;COLUMNS($F$7:AD$7),"",INDEX(TableDiv[[GASB]:[GASB]],_xlfn.AGGREGATE(15,3,(TableDiv[[Agency]:[Agency]]=$E768)/(TableDiv[[Agency]:[Agency]]=$E768)*(ROW(TableDiv[Agency])-ROW(TableDiv[[#Headers],[Agency]])),COLUMNS($F$7:AD$7))))</f>
        <v/>
      </c>
      <c r="AE768" s="2223" t="str" cm="1">
        <f t="array" ref="AE768">IF($D768&lt;COLUMNS($F$7:AE$7),"",INDEX(TableDiv[[GASB]:[GASB]],_xlfn.AGGREGATE(15,3,(TableDiv[[Agency]:[Agency]]=$E768)/(TableDiv[[Agency]:[Agency]]=$E768)*(ROW(TableDiv[Agency])-ROW(TableDiv[[#Headers],[Agency]])),COLUMNS($F$7:AE$7))))</f>
        <v/>
      </c>
      <c r="AF768" s="2223" t="str" cm="1">
        <f t="array" ref="AF768">IF($D768&lt;COLUMNS($F$7:AF$7),"",INDEX(TableDiv[[GASB]:[GASB]],_xlfn.AGGREGATE(15,3,(TableDiv[[Agency]:[Agency]]=$E768)/(TableDiv[[Agency]:[Agency]]=$E768)*(ROW(TableDiv[Agency])-ROW(TableDiv[[#Headers],[Agency]])),COLUMNS($F$7:AF$7))))</f>
        <v/>
      </c>
      <c r="AG768" s="2223" t="str" cm="1">
        <f t="array" ref="AG768">IF($D768&lt;COLUMNS($F$7:AG$7),"",INDEX(TableDiv[[GASB]:[GASB]],_xlfn.AGGREGATE(15,3,(TableDiv[[Agency]:[Agency]]=$E768)/(TableDiv[[Agency]:[Agency]]=$E768)*(ROW(TableDiv[Agency])-ROW(TableDiv[[#Headers],[Agency]])),COLUMNS($F$7:AG$7))))</f>
        <v/>
      </c>
      <c r="AH768" s="2223" t="str" cm="1">
        <f t="array" ref="AH768">IF($D768&lt;COLUMNS($F$7:AH$7),"",INDEX(TableDiv[[GASB]:[GASB]],_xlfn.AGGREGATE(15,3,(TableDiv[[Agency]:[Agency]]=$E768)/(TableDiv[[Agency]:[Agency]]=$E768)*(ROW(TableDiv[Agency])-ROW(TableDiv[[#Headers],[Agency]])),COLUMNS($F$7:AH$7))))</f>
        <v/>
      </c>
      <c r="AI768" s="2223" t="str" cm="1">
        <f t="array" ref="AI768">IF($D768&lt;COLUMNS($F$7:AI$7),"",INDEX(TableDiv[[GASB]:[GASB]],_xlfn.AGGREGATE(15,3,(TableDiv[[Agency]:[Agency]]=$E768)/(TableDiv[[Agency]:[Agency]]=$E768)*(ROW(TableDiv[Agency])-ROW(TableDiv[[#Headers],[Agency]])),COLUMNS($F$7:AI$7))))</f>
        <v/>
      </c>
      <c r="AJ768" s="2223" t="str" cm="1">
        <f t="array" ref="AJ768">IF($D768&lt;COLUMNS($F$7:AJ$7),"",INDEX(TableDiv[[GASB]:[GASB]],_xlfn.AGGREGATE(15,3,(TableDiv[[Agency]:[Agency]]=$E768)/(TableDiv[[Agency]:[Agency]]=$E768)*(ROW(TableDiv[Agency])-ROW(TableDiv[[#Headers],[Agency]])),COLUMNS($F$7:AJ$7))))</f>
        <v/>
      </c>
      <c r="AK768" s="2223" t="str" cm="1">
        <f t="array" ref="AK768">IF($D768&lt;COLUMNS($F$7:AK$7),"",INDEX(TableDiv[[GASB]:[GASB]],_xlfn.AGGREGATE(15,3,(TableDiv[[Agency]:[Agency]]=$E768)/(TableDiv[[Agency]:[Agency]]=$E768)*(ROW(TableDiv[Agency])-ROW(TableDiv[[#Headers],[Agency]])),COLUMNS($F$7:AK$7))))</f>
        <v/>
      </c>
      <c r="AL768" s="2223" t="str" cm="1">
        <f t="array" ref="AL768">IF($D768&lt;COLUMNS($F$7:AL$7),"",INDEX(TableDiv[[GASB]:[GASB]],_xlfn.AGGREGATE(15,3,(TableDiv[[Agency]:[Agency]]=$E768)/(TableDiv[[Agency]:[Agency]]=$E768)*(ROW(TableDiv[Agency])-ROW(TableDiv[[#Headers],[Agency]])),COLUMNS($F$7:AL$7))))</f>
        <v/>
      </c>
      <c r="AM768" s="2223" t="str" cm="1">
        <f t="array" ref="AM768">IF($D768&lt;COLUMNS($F$7:AM$7),"",INDEX(TableDiv[[GASB]:[GASB]],_xlfn.AGGREGATE(15,3,(TableDiv[[Agency]:[Agency]]=$E768)/(TableDiv[[Agency]:[Agency]]=$E768)*(ROW(TableDiv[Agency])-ROW(TableDiv[[#Headers],[Agency]])),COLUMNS($F$7:AM$7))))</f>
        <v/>
      </c>
      <c r="AN768" s="2223"/>
      <c r="AO768" s="2223"/>
      <c r="AP768" s="2223"/>
      <c r="AQ768" s="2223"/>
      <c r="AR768" s="2223"/>
      <c r="AS768" s="2223"/>
    </row>
    <row r="769" spans="1:45" x14ac:dyDescent="0.2">
      <c r="A769" s="2223"/>
      <c r="B769" s="2223"/>
      <c r="C769" s="2223"/>
      <c r="W769" s="2223" t="str" cm="1">
        <f t="array" ref="W769">IF($D769&lt;COLUMNS($F$7:W$7),"",INDEX(TableDiv[[GASB]:[GASB]],_xlfn.AGGREGATE(15,3,(TableDiv[[Agency]:[Agency]]=$E769)/(TableDiv[[Agency]:[Agency]]=$E769)*(ROW(TableDiv[Agency])-ROW(TableDiv[[#Headers],[Agency]])),COLUMNS($F$7:W$7))))</f>
        <v/>
      </c>
      <c r="X769" s="2223" t="str" cm="1">
        <f t="array" ref="X769">IF($D769&lt;COLUMNS($F$7:X$7),"",INDEX(TableDiv[[GASB]:[GASB]],_xlfn.AGGREGATE(15,3,(TableDiv[[Agency]:[Agency]]=$E769)/(TableDiv[[Agency]:[Agency]]=$E769)*(ROW(TableDiv[Agency])-ROW(TableDiv[[#Headers],[Agency]])),COLUMNS($F$7:X$7))))</f>
        <v/>
      </c>
      <c r="Y769" s="2223" t="str" cm="1">
        <f t="array" ref="Y769">IF($D769&lt;COLUMNS($F$7:Y$7),"",INDEX(TableDiv[[GASB]:[GASB]],_xlfn.AGGREGATE(15,3,(TableDiv[[Agency]:[Agency]]=$E769)/(TableDiv[[Agency]:[Agency]]=$E769)*(ROW(TableDiv[Agency])-ROW(TableDiv[[#Headers],[Agency]])),COLUMNS($F$7:Y$7))))</f>
        <v/>
      </c>
      <c r="Z769" s="2223" t="str" cm="1">
        <f t="array" ref="Z769">IF($D769&lt;COLUMNS($F$7:Z$7),"",INDEX(TableDiv[[GASB]:[GASB]],_xlfn.AGGREGATE(15,3,(TableDiv[[Agency]:[Agency]]=$E769)/(TableDiv[[Agency]:[Agency]]=$E769)*(ROW(TableDiv[Agency])-ROW(TableDiv[[#Headers],[Agency]])),COLUMNS($F$7:Z$7))))</f>
        <v/>
      </c>
      <c r="AA769" s="2223" t="str" cm="1">
        <f t="array" ref="AA769">IF($D769&lt;COLUMNS($F$7:AA$7),"",INDEX(TableDiv[[GASB]:[GASB]],_xlfn.AGGREGATE(15,3,(TableDiv[[Agency]:[Agency]]=$E769)/(TableDiv[[Agency]:[Agency]]=$E769)*(ROW(TableDiv[Agency])-ROW(TableDiv[[#Headers],[Agency]])),COLUMNS($F$7:AA$7))))</f>
        <v/>
      </c>
      <c r="AB769" s="2223" t="str" cm="1">
        <f t="array" ref="AB769">IF($D769&lt;COLUMNS($F$7:AB$7),"",INDEX(TableDiv[[GASB]:[GASB]],_xlfn.AGGREGATE(15,3,(TableDiv[[Agency]:[Agency]]=$E769)/(TableDiv[[Agency]:[Agency]]=$E769)*(ROW(TableDiv[Agency])-ROW(TableDiv[[#Headers],[Agency]])),COLUMNS($F$7:AB$7))))</f>
        <v/>
      </c>
      <c r="AC769" s="2223" t="str" cm="1">
        <f t="array" ref="AC769">IF($D769&lt;COLUMNS($F$7:AC$7),"",INDEX(TableDiv[[GASB]:[GASB]],_xlfn.AGGREGATE(15,3,(TableDiv[[Agency]:[Agency]]=$E769)/(TableDiv[[Agency]:[Agency]]=$E769)*(ROW(TableDiv[Agency])-ROW(TableDiv[[#Headers],[Agency]])),COLUMNS($F$7:AC$7))))</f>
        <v/>
      </c>
      <c r="AD769" s="2223" t="str" cm="1">
        <f t="array" ref="AD769">IF($D769&lt;COLUMNS($F$7:AD$7),"",INDEX(TableDiv[[GASB]:[GASB]],_xlfn.AGGREGATE(15,3,(TableDiv[[Agency]:[Agency]]=$E769)/(TableDiv[[Agency]:[Agency]]=$E769)*(ROW(TableDiv[Agency])-ROW(TableDiv[[#Headers],[Agency]])),COLUMNS($F$7:AD$7))))</f>
        <v/>
      </c>
      <c r="AE769" s="2223" t="str" cm="1">
        <f t="array" ref="AE769">IF($D769&lt;COLUMNS($F$7:AE$7),"",INDEX(TableDiv[[GASB]:[GASB]],_xlfn.AGGREGATE(15,3,(TableDiv[[Agency]:[Agency]]=$E769)/(TableDiv[[Agency]:[Agency]]=$E769)*(ROW(TableDiv[Agency])-ROW(TableDiv[[#Headers],[Agency]])),COLUMNS($F$7:AE$7))))</f>
        <v/>
      </c>
      <c r="AF769" s="2223" t="str" cm="1">
        <f t="array" ref="AF769">IF($D769&lt;COLUMNS($F$7:AF$7),"",INDEX(TableDiv[[GASB]:[GASB]],_xlfn.AGGREGATE(15,3,(TableDiv[[Agency]:[Agency]]=$E769)/(TableDiv[[Agency]:[Agency]]=$E769)*(ROW(TableDiv[Agency])-ROW(TableDiv[[#Headers],[Agency]])),COLUMNS($F$7:AF$7))))</f>
        <v/>
      </c>
      <c r="AG769" s="2223" t="str" cm="1">
        <f t="array" ref="AG769">IF($D769&lt;COLUMNS($F$7:AG$7),"",INDEX(TableDiv[[GASB]:[GASB]],_xlfn.AGGREGATE(15,3,(TableDiv[[Agency]:[Agency]]=$E769)/(TableDiv[[Agency]:[Agency]]=$E769)*(ROW(TableDiv[Agency])-ROW(TableDiv[[#Headers],[Agency]])),COLUMNS($F$7:AG$7))))</f>
        <v/>
      </c>
      <c r="AH769" s="2223" t="str" cm="1">
        <f t="array" ref="AH769">IF($D769&lt;COLUMNS($F$7:AH$7),"",INDEX(TableDiv[[GASB]:[GASB]],_xlfn.AGGREGATE(15,3,(TableDiv[[Agency]:[Agency]]=$E769)/(TableDiv[[Agency]:[Agency]]=$E769)*(ROW(TableDiv[Agency])-ROW(TableDiv[[#Headers],[Agency]])),COLUMNS($F$7:AH$7))))</f>
        <v/>
      </c>
      <c r="AI769" s="2223" t="str" cm="1">
        <f t="array" ref="AI769">IF($D769&lt;COLUMNS($F$7:AI$7),"",INDEX(TableDiv[[GASB]:[GASB]],_xlfn.AGGREGATE(15,3,(TableDiv[[Agency]:[Agency]]=$E769)/(TableDiv[[Agency]:[Agency]]=$E769)*(ROW(TableDiv[Agency])-ROW(TableDiv[[#Headers],[Agency]])),COLUMNS($F$7:AI$7))))</f>
        <v/>
      </c>
      <c r="AJ769" s="2223" t="str" cm="1">
        <f t="array" ref="AJ769">IF($D769&lt;COLUMNS($F$7:AJ$7),"",INDEX(TableDiv[[GASB]:[GASB]],_xlfn.AGGREGATE(15,3,(TableDiv[[Agency]:[Agency]]=$E769)/(TableDiv[[Agency]:[Agency]]=$E769)*(ROW(TableDiv[Agency])-ROW(TableDiv[[#Headers],[Agency]])),COLUMNS($F$7:AJ$7))))</f>
        <v/>
      </c>
      <c r="AK769" s="2223" t="str" cm="1">
        <f t="array" ref="AK769">IF($D769&lt;COLUMNS($F$7:AK$7),"",INDEX(TableDiv[[GASB]:[GASB]],_xlfn.AGGREGATE(15,3,(TableDiv[[Agency]:[Agency]]=$E769)/(TableDiv[[Agency]:[Agency]]=$E769)*(ROW(TableDiv[Agency])-ROW(TableDiv[[#Headers],[Agency]])),COLUMNS($F$7:AK$7))))</f>
        <v/>
      </c>
      <c r="AL769" s="2223" t="str" cm="1">
        <f t="array" ref="AL769">IF($D769&lt;COLUMNS($F$7:AL$7),"",INDEX(TableDiv[[GASB]:[GASB]],_xlfn.AGGREGATE(15,3,(TableDiv[[Agency]:[Agency]]=$E769)/(TableDiv[[Agency]:[Agency]]=$E769)*(ROW(TableDiv[Agency])-ROW(TableDiv[[#Headers],[Agency]])),COLUMNS($F$7:AL$7))))</f>
        <v/>
      </c>
      <c r="AM769" s="2223" t="str" cm="1">
        <f t="array" ref="AM769">IF($D769&lt;COLUMNS($F$7:AM$7),"",INDEX(TableDiv[[GASB]:[GASB]],_xlfn.AGGREGATE(15,3,(TableDiv[[Agency]:[Agency]]=$E769)/(TableDiv[[Agency]:[Agency]]=$E769)*(ROW(TableDiv[Agency])-ROW(TableDiv[[#Headers],[Agency]])),COLUMNS($F$7:AM$7))))</f>
        <v/>
      </c>
      <c r="AN769" s="2223"/>
      <c r="AO769" s="2223"/>
      <c r="AP769" s="2223"/>
      <c r="AQ769" s="2223"/>
      <c r="AR769" s="2223"/>
      <c r="AS769" s="2223"/>
    </row>
    <row r="770" spans="1:45" x14ac:dyDescent="0.2">
      <c r="A770" s="2223"/>
      <c r="B770" s="2223"/>
      <c r="C770" s="2223"/>
      <c r="W770" s="2223" t="str" cm="1">
        <f t="array" ref="W770">IF($D770&lt;COLUMNS($F$7:W$7),"",INDEX(TableDiv[[GASB]:[GASB]],_xlfn.AGGREGATE(15,3,(TableDiv[[Agency]:[Agency]]=$E770)/(TableDiv[[Agency]:[Agency]]=$E770)*(ROW(TableDiv[Agency])-ROW(TableDiv[[#Headers],[Agency]])),COLUMNS($F$7:W$7))))</f>
        <v/>
      </c>
      <c r="X770" s="2223" t="str" cm="1">
        <f t="array" ref="X770">IF($D770&lt;COLUMNS($F$7:X$7),"",INDEX(TableDiv[[GASB]:[GASB]],_xlfn.AGGREGATE(15,3,(TableDiv[[Agency]:[Agency]]=$E770)/(TableDiv[[Agency]:[Agency]]=$E770)*(ROW(TableDiv[Agency])-ROW(TableDiv[[#Headers],[Agency]])),COLUMNS($F$7:X$7))))</f>
        <v/>
      </c>
      <c r="Y770" s="2223" t="str" cm="1">
        <f t="array" ref="Y770">IF($D770&lt;COLUMNS($F$7:Y$7),"",INDEX(TableDiv[[GASB]:[GASB]],_xlfn.AGGREGATE(15,3,(TableDiv[[Agency]:[Agency]]=$E770)/(TableDiv[[Agency]:[Agency]]=$E770)*(ROW(TableDiv[Agency])-ROW(TableDiv[[#Headers],[Agency]])),COLUMNS($F$7:Y$7))))</f>
        <v/>
      </c>
      <c r="Z770" s="2223" t="str" cm="1">
        <f t="array" ref="Z770">IF($D770&lt;COLUMNS($F$7:Z$7),"",INDEX(TableDiv[[GASB]:[GASB]],_xlfn.AGGREGATE(15,3,(TableDiv[[Agency]:[Agency]]=$E770)/(TableDiv[[Agency]:[Agency]]=$E770)*(ROW(TableDiv[Agency])-ROW(TableDiv[[#Headers],[Agency]])),COLUMNS($F$7:Z$7))))</f>
        <v/>
      </c>
      <c r="AA770" s="2223" t="str" cm="1">
        <f t="array" ref="AA770">IF($D770&lt;COLUMNS($F$7:AA$7),"",INDEX(TableDiv[[GASB]:[GASB]],_xlfn.AGGREGATE(15,3,(TableDiv[[Agency]:[Agency]]=$E770)/(TableDiv[[Agency]:[Agency]]=$E770)*(ROW(TableDiv[Agency])-ROW(TableDiv[[#Headers],[Agency]])),COLUMNS($F$7:AA$7))))</f>
        <v/>
      </c>
      <c r="AB770" s="2223" t="str" cm="1">
        <f t="array" ref="AB770">IF($D770&lt;COLUMNS($F$7:AB$7),"",INDEX(TableDiv[[GASB]:[GASB]],_xlfn.AGGREGATE(15,3,(TableDiv[[Agency]:[Agency]]=$E770)/(TableDiv[[Agency]:[Agency]]=$E770)*(ROW(TableDiv[Agency])-ROW(TableDiv[[#Headers],[Agency]])),COLUMNS($F$7:AB$7))))</f>
        <v/>
      </c>
      <c r="AC770" s="2223" t="str" cm="1">
        <f t="array" ref="AC770">IF($D770&lt;COLUMNS($F$7:AC$7),"",INDEX(TableDiv[[GASB]:[GASB]],_xlfn.AGGREGATE(15,3,(TableDiv[[Agency]:[Agency]]=$E770)/(TableDiv[[Agency]:[Agency]]=$E770)*(ROW(TableDiv[Agency])-ROW(TableDiv[[#Headers],[Agency]])),COLUMNS($F$7:AC$7))))</f>
        <v/>
      </c>
      <c r="AD770" s="2223" t="str" cm="1">
        <f t="array" ref="AD770">IF($D770&lt;COLUMNS($F$7:AD$7),"",INDEX(TableDiv[[GASB]:[GASB]],_xlfn.AGGREGATE(15,3,(TableDiv[[Agency]:[Agency]]=$E770)/(TableDiv[[Agency]:[Agency]]=$E770)*(ROW(TableDiv[Agency])-ROW(TableDiv[[#Headers],[Agency]])),COLUMNS($F$7:AD$7))))</f>
        <v/>
      </c>
      <c r="AE770" s="2223" t="str" cm="1">
        <f t="array" ref="AE770">IF($D770&lt;COLUMNS($F$7:AE$7),"",INDEX(TableDiv[[GASB]:[GASB]],_xlfn.AGGREGATE(15,3,(TableDiv[[Agency]:[Agency]]=$E770)/(TableDiv[[Agency]:[Agency]]=$E770)*(ROW(TableDiv[Agency])-ROW(TableDiv[[#Headers],[Agency]])),COLUMNS($F$7:AE$7))))</f>
        <v/>
      </c>
      <c r="AF770" s="2223" t="str" cm="1">
        <f t="array" ref="AF770">IF($D770&lt;COLUMNS($F$7:AF$7),"",INDEX(TableDiv[[GASB]:[GASB]],_xlfn.AGGREGATE(15,3,(TableDiv[[Agency]:[Agency]]=$E770)/(TableDiv[[Agency]:[Agency]]=$E770)*(ROW(TableDiv[Agency])-ROW(TableDiv[[#Headers],[Agency]])),COLUMNS($F$7:AF$7))))</f>
        <v/>
      </c>
      <c r="AG770" s="2223" t="str" cm="1">
        <f t="array" ref="AG770">IF($D770&lt;COLUMNS($F$7:AG$7),"",INDEX(TableDiv[[GASB]:[GASB]],_xlfn.AGGREGATE(15,3,(TableDiv[[Agency]:[Agency]]=$E770)/(TableDiv[[Agency]:[Agency]]=$E770)*(ROW(TableDiv[Agency])-ROW(TableDiv[[#Headers],[Agency]])),COLUMNS($F$7:AG$7))))</f>
        <v/>
      </c>
      <c r="AH770" s="2223" t="str" cm="1">
        <f t="array" ref="AH770">IF($D770&lt;COLUMNS($F$7:AH$7),"",INDEX(TableDiv[[GASB]:[GASB]],_xlfn.AGGREGATE(15,3,(TableDiv[[Agency]:[Agency]]=$E770)/(TableDiv[[Agency]:[Agency]]=$E770)*(ROW(TableDiv[Agency])-ROW(TableDiv[[#Headers],[Agency]])),COLUMNS($F$7:AH$7))))</f>
        <v/>
      </c>
      <c r="AI770" s="2223" t="str" cm="1">
        <f t="array" ref="AI770">IF($D770&lt;COLUMNS($F$7:AI$7),"",INDEX(TableDiv[[GASB]:[GASB]],_xlfn.AGGREGATE(15,3,(TableDiv[[Agency]:[Agency]]=$E770)/(TableDiv[[Agency]:[Agency]]=$E770)*(ROW(TableDiv[Agency])-ROW(TableDiv[[#Headers],[Agency]])),COLUMNS($F$7:AI$7))))</f>
        <v/>
      </c>
      <c r="AJ770" s="2223" t="str" cm="1">
        <f t="array" ref="AJ770">IF($D770&lt;COLUMNS($F$7:AJ$7),"",INDEX(TableDiv[[GASB]:[GASB]],_xlfn.AGGREGATE(15,3,(TableDiv[[Agency]:[Agency]]=$E770)/(TableDiv[[Agency]:[Agency]]=$E770)*(ROW(TableDiv[Agency])-ROW(TableDiv[[#Headers],[Agency]])),COLUMNS($F$7:AJ$7))))</f>
        <v/>
      </c>
      <c r="AK770" s="2223" t="str" cm="1">
        <f t="array" ref="AK770">IF($D770&lt;COLUMNS($F$7:AK$7),"",INDEX(TableDiv[[GASB]:[GASB]],_xlfn.AGGREGATE(15,3,(TableDiv[[Agency]:[Agency]]=$E770)/(TableDiv[[Agency]:[Agency]]=$E770)*(ROW(TableDiv[Agency])-ROW(TableDiv[[#Headers],[Agency]])),COLUMNS($F$7:AK$7))))</f>
        <v/>
      </c>
      <c r="AL770" s="2223" t="str" cm="1">
        <f t="array" ref="AL770">IF($D770&lt;COLUMNS($F$7:AL$7),"",INDEX(TableDiv[[GASB]:[GASB]],_xlfn.AGGREGATE(15,3,(TableDiv[[Agency]:[Agency]]=$E770)/(TableDiv[[Agency]:[Agency]]=$E770)*(ROW(TableDiv[Agency])-ROW(TableDiv[[#Headers],[Agency]])),COLUMNS($F$7:AL$7))))</f>
        <v/>
      </c>
      <c r="AM770" s="2223" t="str" cm="1">
        <f t="array" ref="AM770">IF($D770&lt;COLUMNS($F$7:AM$7),"",INDEX(TableDiv[[GASB]:[GASB]],_xlfn.AGGREGATE(15,3,(TableDiv[[Agency]:[Agency]]=$E770)/(TableDiv[[Agency]:[Agency]]=$E770)*(ROW(TableDiv[Agency])-ROW(TableDiv[[#Headers],[Agency]])),COLUMNS($F$7:AM$7))))</f>
        <v/>
      </c>
      <c r="AN770" s="2223"/>
      <c r="AO770" s="2223"/>
      <c r="AP770" s="2223"/>
      <c r="AQ770" s="2223"/>
      <c r="AR770" s="2223"/>
      <c r="AS770" s="2223"/>
    </row>
    <row r="771" spans="1:45" x14ac:dyDescent="0.2">
      <c r="A771" s="2223"/>
      <c r="B771" s="2223"/>
      <c r="C771" s="2223"/>
      <c r="W771" s="2223" t="str" cm="1">
        <f t="array" ref="W771">IF($D771&lt;COLUMNS($F$7:W$7),"",INDEX(TableDiv[[GASB]:[GASB]],_xlfn.AGGREGATE(15,3,(TableDiv[[Agency]:[Agency]]=$E771)/(TableDiv[[Agency]:[Agency]]=$E771)*(ROW(TableDiv[Agency])-ROW(TableDiv[[#Headers],[Agency]])),COLUMNS($F$7:W$7))))</f>
        <v/>
      </c>
      <c r="X771" s="2223" t="str" cm="1">
        <f t="array" ref="X771">IF($D771&lt;COLUMNS($F$7:X$7),"",INDEX(TableDiv[[GASB]:[GASB]],_xlfn.AGGREGATE(15,3,(TableDiv[[Agency]:[Agency]]=$E771)/(TableDiv[[Agency]:[Agency]]=$E771)*(ROW(TableDiv[Agency])-ROW(TableDiv[[#Headers],[Agency]])),COLUMNS($F$7:X$7))))</f>
        <v/>
      </c>
      <c r="Y771" s="2223" t="str" cm="1">
        <f t="array" ref="Y771">IF($D771&lt;COLUMNS($F$7:Y$7),"",INDEX(TableDiv[[GASB]:[GASB]],_xlfn.AGGREGATE(15,3,(TableDiv[[Agency]:[Agency]]=$E771)/(TableDiv[[Agency]:[Agency]]=$E771)*(ROW(TableDiv[Agency])-ROW(TableDiv[[#Headers],[Agency]])),COLUMNS($F$7:Y$7))))</f>
        <v/>
      </c>
      <c r="Z771" s="2223" t="str" cm="1">
        <f t="array" ref="Z771">IF($D771&lt;COLUMNS($F$7:Z$7),"",INDEX(TableDiv[[GASB]:[GASB]],_xlfn.AGGREGATE(15,3,(TableDiv[[Agency]:[Agency]]=$E771)/(TableDiv[[Agency]:[Agency]]=$E771)*(ROW(TableDiv[Agency])-ROW(TableDiv[[#Headers],[Agency]])),COLUMNS($F$7:Z$7))))</f>
        <v/>
      </c>
      <c r="AA771" s="2223" t="str" cm="1">
        <f t="array" ref="AA771">IF($D771&lt;COLUMNS($F$7:AA$7),"",INDEX(TableDiv[[GASB]:[GASB]],_xlfn.AGGREGATE(15,3,(TableDiv[[Agency]:[Agency]]=$E771)/(TableDiv[[Agency]:[Agency]]=$E771)*(ROW(TableDiv[Agency])-ROW(TableDiv[[#Headers],[Agency]])),COLUMNS($F$7:AA$7))))</f>
        <v/>
      </c>
      <c r="AB771" s="2223" t="str" cm="1">
        <f t="array" ref="AB771">IF($D771&lt;COLUMNS($F$7:AB$7),"",INDEX(TableDiv[[GASB]:[GASB]],_xlfn.AGGREGATE(15,3,(TableDiv[[Agency]:[Agency]]=$E771)/(TableDiv[[Agency]:[Agency]]=$E771)*(ROW(TableDiv[Agency])-ROW(TableDiv[[#Headers],[Agency]])),COLUMNS($F$7:AB$7))))</f>
        <v/>
      </c>
      <c r="AC771" s="2223" t="str" cm="1">
        <f t="array" ref="AC771">IF($D771&lt;COLUMNS($F$7:AC$7),"",INDEX(TableDiv[[GASB]:[GASB]],_xlfn.AGGREGATE(15,3,(TableDiv[[Agency]:[Agency]]=$E771)/(TableDiv[[Agency]:[Agency]]=$E771)*(ROW(TableDiv[Agency])-ROW(TableDiv[[#Headers],[Agency]])),COLUMNS($F$7:AC$7))))</f>
        <v/>
      </c>
      <c r="AD771" s="2223" t="str" cm="1">
        <f t="array" ref="AD771">IF($D771&lt;COLUMNS($F$7:AD$7),"",INDEX(TableDiv[[GASB]:[GASB]],_xlfn.AGGREGATE(15,3,(TableDiv[[Agency]:[Agency]]=$E771)/(TableDiv[[Agency]:[Agency]]=$E771)*(ROW(TableDiv[Agency])-ROW(TableDiv[[#Headers],[Agency]])),COLUMNS($F$7:AD$7))))</f>
        <v/>
      </c>
      <c r="AE771" s="2223" t="str" cm="1">
        <f t="array" ref="AE771">IF($D771&lt;COLUMNS($F$7:AE$7),"",INDEX(TableDiv[[GASB]:[GASB]],_xlfn.AGGREGATE(15,3,(TableDiv[[Agency]:[Agency]]=$E771)/(TableDiv[[Agency]:[Agency]]=$E771)*(ROW(TableDiv[Agency])-ROW(TableDiv[[#Headers],[Agency]])),COLUMNS($F$7:AE$7))))</f>
        <v/>
      </c>
      <c r="AF771" s="2223" t="str" cm="1">
        <f t="array" ref="AF771">IF($D771&lt;COLUMNS($F$7:AF$7),"",INDEX(TableDiv[[GASB]:[GASB]],_xlfn.AGGREGATE(15,3,(TableDiv[[Agency]:[Agency]]=$E771)/(TableDiv[[Agency]:[Agency]]=$E771)*(ROW(TableDiv[Agency])-ROW(TableDiv[[#Headers],[Agency]])),COLUMNS($F$7:AF$7))))</f>
        <v/>
      </c>
      <c r="AG771" s="2223" t="str" cm="1">
        <f t="array" ref="AG771">IF($D771&lt;COLUMNS($F$7:AG$7),"",INDEX(TableDiv[[GASB]:[GASB]],_xlfn.AGGREGATE(15,3,(TableDiv[[Agency]:[Agency]]=$E771)/(TableDiv[[Agency]:[Agency]]=$E771)*(ROW(TableDiv[Agency])-ROW(TableDiv[[#Headers],[Agency]])),COLUMNS($F$7:AG$7))))</f>
        <v/>
      </c>
      <c r="AH771" s="2223" t="str" cm="1">
        <f t="array" ref="AH771">IF($D771&lt;COLUMNS($F$7:AH$7),"",INDEX(TableDiv[[GASB]:[GASB]],_xlfn.AGGREGATE(15,3,(TableDiv[[Agency]:[Agency]]=$E771)/(TableDiv[[Agency]:[Agency]]=$E771)*(ROW(TableDiv[Agency])-ROW(TableDiv[[#Headers],[Agency]])),COLUMNS($F$7:AH$7))))</f>
        <v/>
      </c>
      <c r="AI771" s="2223" t="str" cm="1">
        <f t="array" ref="AI771">IF($D771&lt;COLUMNS($F$7:AI$7),"",INDEX(TableDiv[[GASB]:[GASB]],_xlfn.AGGREGATE(15,3,(TableDiv[[Agency]:[Agency]]=$E771)/(TableDiv[[Agency]:[Agency]]=$E771)*(ROW(TableDiv[Agency])-ROW(TableDiv[[#Headers],[Agency]])),COLUMNS($F$7:AI$7))))</f>
        <v/>
      </c>
      <c r="AJ771" s="2223" t="str" cm="1">
        <f t="array" ref="AJ771">IF($D771&lt;COLUMNS($F$7:AJ$7),"",INDEX(TableDiv[[GASB]:[GASB]],_xlfn.AGGREGATE(15,3,(TableDiv[[Agency]:[Agency]]=$E771)/(TableDiv[[Agency]:[Agency]]=$E771)*(ROW(TableDiv[Agency])-ROW(TableDiv[[#Headers],[Agency]])),COLUMNS($F$7:AJ$7))))</f>
        <v/>
      </c>
      <c r="AK771" s="2223" t="str" cm="1">
        <f t="array" ref="AK771">IF($D771&lt;COLUMNS($F$7:AK$7),"",INDEX(TableDiv[[GASB]:[GASB]],_xlfn.AGGREGATE(15,3,(TableDiv[[Agency]:[Agency]]=$E771)/(TableDiv[[Agency]:[Agency]]=$E771)*(ROW(TableDiv[Agency])-ROW(TableDiv[[#Headers],[Agency]])),COLUMNS($F$7:AK$7))))</f>
        <v/>
      </c>
      <c r="AL771" s="2223" t="str" cm="1">
        <f t="array" ref="AL771">IF($D771&lt;COLUMNS($F$7:AL$7),"",INDEX(TableDiv[[GASB]:[GASB]],_xlfn.AGGREGATE(15,3,(TableDiv[[Agency]:[Agency]]=$E771)/(TableDiv[[Agency]:[Agency]]=$E771)*(ROW(TableDiv[Agency])-ROW(TableDiv[[#Headers],[Agency]])),COLUMNS($F$7:AL$7))))</f>
        <v/>
      </c>
      <c r="AM771" s="2223" t="str" cm="1">
        <f t="array" ref="AM771">IF($D771&lt;COLUMNS($F$7:AM$7),"",INDEX(TableDiv[[GASB]:[GASB]],_xlfn.AGGREGATE(15,3,(TableDiv[[Agency]:[Agency]]=$E771)/(TableDiv[[Agency]:[Agency]]=$E771)*(ROW(TableDiv[Agency])-ROW(TableDiv[[#Headers],[Agency]])),COLUMNS($F$7:AM$7))))</f>
        <v/>
      </c>
      <c r="AN771" s="2223"/>
      <c r="AO771" s="2223"/>
      <c r="AP771" s="2223"/>
      <c r="AQ771" s="2223"/>
      <c r="AR771" s="2223"/>
      <c r="AS771" s="2223"/>
    </row>
    <row r="772" spans="1:45" x14ac:dyDescent="0.2">
      <c r="A772" s="2223"/>
      <c r="B772" s="2223"/>
      <c r="C772" s="2223"/>
      <c r="W772" s="2223" t="str" cm="1">
        <f t="array" ref="W772">IF($D772&lt;COLUMNS($F$7:W$7),"",INDEX(TableDiv[[GASB]:[GASB]],_xlfn.AGGREGATE(15,3,(TableDiv[[Agency]:[Agency]]=$E772)/(TableDiv[[Agency]:[Agency]]=$E772)*(ROW(TableDiv[Agency])-ROW(TableDiv[[#Headers],[Agency]])),COLUMNS($F$7:W$7))))</f>
        <v/>
      </c>
      <c r="X772" s="2223" t="str" cm="1">
        <f t="array" ref="X772">IF($D772&lt;COLUMNS($F$7:X$7),"",INDEX(TableDiv[[GASB]:[GASB]],_xlfn.AGGREGATE(15,3,(TableDiv[[Agency]:[Agency]]=$E772)/(TableDiv[[Agency]:[Agency]]=$E772)*(ROW(TableDiv[Agency])-ROW(TableDiv[[#Headers],[Agency]])),COLUMNS($F$7:X$7))))</f>
        <v/>
      </c>
      <c r="Y772" s="2223" t="str" cm="1">
        <f t="array" ref="Y772">IF($D772&lt;COLUMNS($F$7:Y$7),"",INDEX(TableDiv[[GASB]:[GASB]],_xlfn.AGGREGATE(15,3,(TableDiv[[Agency]:[Agency]]=$E772)/(TableDiv[[Agency]:[Agency]]=$E772)*(ROW(TableDiv[Agency])-ROW(TableDiv[[#Headers],[Agency]])),COLUMNS($F$7:Y$7))))</f>
        <v/>
      </c>
      <c r="Z772" s="2223" t="str" cm="1">
        <f t="array" ref="Z772">IF($D772&lt;COLUMNS($F$7:Z$7),"",INDEX(TableDiv[[GASB]:[GASB]],_xlfn.AGGREGATE(15,3,(TableDiv[[Agency]:[Agency]]=$E772)/(TableDiv[[Agency]:[Agency]]=$E772)*(ROW(TableDiv[Agency])-ROW(TableDiv[[#Headers],[Agency]])),COLUMNS($F$7:Z$7))))</f>
        <v/>
      </c>
      <c r="AA772" s="2223" t="str" cm="1">
        <f t="array" ref="AA772">IF($D772&lt;COLUMNS($F$7:AA$7),"",INDEX(TableDiv[[GASB]:[GASB]],_xlfn.AGGREGATE(15,3,(TableDiv[[Agency]:[Agency]]=$E772)/(TableDiv[[Agency]:[Agency]]=$E772)*(ROW(TableDiv[Agency])-ROW(TableDiv[[#Headers],[Agency]])),COLUMNS($F$7:AA$7))))</f>
        <v/>
      </c>
      <c r="AB772" s="2223" t="str" cm="1">
        <f t="array" ref="AB772">IF($D772&lt;COLUMNS($F$7:AB$7),"",INDEX(TableDiv[[GASB]:[GASB]],_xlfn.AGGREGATE(15,3,(TableDiv[[Agency]:[Agency]]=$E772)/(TableDiv[[Agency]:[Agency]]=$E772)*(ROW(TableDiv[Agency])-ROW(TableDiv[[#Headers],[Agency]])),COLUMNS($F$7:AB$7))))</f>
        <v/>
      </c>
      <c r="AC772" s="2223" t="str" cm="1">
        <f t="array" ref="AC772">IF($D772&lt;COLUMNS($F$7:AC$7),"",INDEX(TableDiv[[GASB]:[GASB]],_xlfn.AGGREGATE(15,3,(TableDiv[[Agency]:[Agency]]=$E772)/(TableDiv[[Agency]:[Agency]]=$E772)*(ROW(TableDiv[Agency])-ROW(TableDiv[[#Headers],[Agency]])),COLUMNS($F$7:AC$7))))</f>
        <v/>
      </c>
      <c r="AD772" s="2223" t="str" cm="1">
        <f t="array" ref="AD772">IF($D772&lt;COLUMNS($F$7:AD$7),"",INDEX(TableDiv[[GASB]:[GASB]],_xlfn.AGGREGATE(15,3,(TableDiv[[Agency]:[Agency]]=$E772)/(TableDiv[[Agency]:[Agency]]=$E772)*(ROW(TableDiv[Agency])-ROW(TableDiv[[#Headers],[Agency]])),COLUMNS($F$7:AD$7))))</f>
        <v/>
      </c>
      <c r="AE772" s="2223" t="str" cm="1">
        <f t="array" ref="AE772">IF($D772&lt;COLUMNS($F$7:AE$7),"",INDEX(TableDiv[[GASB]:[GASB]],_xlfn.AGGREGATE(15,3,(TableDiv[[Agency]:[Agency]]=$E772)/(TableDiv[[Agency]:[Agency]]=$E772)*(ROW(TableDiv[Agency])-ROW(TableDiv[[#Headers],[Agency]])),COLUMNS($F$7:AE$7))))</f>
        <v/>
      </c>
      <c r="AF772" s="2223" t="str" cm="1">
        <f t="array" ref="AF772">IF($D772&lt;COLUMNS($F$7:AF$7),"",INDEX(TableDiv[[GASB]:[GASB]],_xlfn.AGGREGATE(15,3,(TableDiv[[Agency]:[Agency]]=$E772)/(TableDiv[[Agency]:[Agency]]=$E772)*(ROW(TableDiv[Agency])-ROW(TableDiv[[#Headers],[Agency]])),COLUMNS($F$7:AF$7))))</f>
        <v/>
      </c>
      <c r="AG772" s="2223" t="str" cm="1">
        <f t="array" ref="AG772">IF($D772&lt;COLUMNS($F$7:AG$7),"",INDEX(TableDiv[[GASB]:[GASB]],_xlfn.AGGREGATE(15,3,(TableDiv[[Agency]:[Agency]]=$E772)/(TableDiv[[Agency]:[Agency]]=$E772)*(ROW(TableDiv[Agency])-ROW(TableDiv[[#Headers],[Agency]])),COLUMNS($F$7:AG$7))))</f>
        <v/>
      </c>
      <c r="AH772" s="2223" t="str" cm="1">
        <f t="array" ref="AH772">IF($D772&lt;COLUMNS($F$7:AH$7),"",INDEX(TableDiv[[GASB]:[GASB]],_xlfn.AGGREGATE(15,3,(TableDiv[[Agency]:[Agency]]=$E772)/(TableDiv[[Agency]:[Agency]]=$E772)*(ROW(TableDiv[Agency])-ROW(TableDiv[[#Headers],[Agency]])),COLUMNS($F$7:AH$7))))</f>
        <v/>
      </c>
      <c r="AI772" s="2223" t="str" cm="1">
        <f t="array" ref="AI772">IF($D772&lt;COLUMNS($F$7:AI$7),"",INDEX(TableDiv[[GASB]:[GASB]],_xlfn.AGGREGATE(15,3,(TableDiv[[Agency]:[Agency]]=$E772)/(TableDiv[[Agency]:[Agency]]=$E772)*(ROW(TableDiv[Agency])-ROW(TableDiv[[#Headers],[Agency]])),COLUMNS($F$7:AI$7))))</f>
        <v/>
      </c>
      <c r="AJ772" s="2223" t="str" cm="1">
        <f t="array" ref="AJ772">IF($D772&lt;COLUMNS($F$7:AJ$7),"",INDEX(TableDiv[[GASB]:[GASB]],_xlfn.AGGREGATE(15,3,(TableDiv[[Agency]:[Agency]]=$E772)/(TableDiv[[Agency]:[Agency]]=$E772)*(ROW(TableDiv[Agency])-ROW(TableDiv[[#Headers],[Agency]])),COLUMNS($F$7:AJ$7))))</f>
        <v/>
      </c>
      <c r="AK772" s="2223" t="str" cm="1">
        <f t="array" ref="AK772">IF($D772&lt;COLUMNS($F$7:AK$7),"",INDEX(TableDiv[[GASB]:[GASB]],_xlfn.AGGREGATE(15,3,(TableDiv[[Agency]:[Agency]]=$E772)/(TableDiv[[Agency]:[Agency]]=$E772)*(ROW(TableDiv[Agency])-ROW(TableDiv[[#Headers],[Agency]])),COLUMNS($F$7:AK$7))))</f>
        <v/>
      </c>
      <c r="AL772" s="2223" t="str" cm="1">
        <f t="array" ref="AL772">IF($D772&lt;COLUMNS($F$7:AL$7),"",INDEX(TableDiv[[GASB]:[GASB]],_xlfn.AGGREGATE(15,3,(TableDiv[[Agency]:[Agency]]=$E772)/(TableDiv[[Agency]:[Agency]]=$E772)*(ROW(TableDiv[Agency])-ROW(TableDiv[[#Headers],[Agency]])),COLUMNS($F$7:AL$7))))</f>
        <v/>
      </c>
      <c r="AM772" s="2223" t="str" cm="1">
        <f t="array" ref="AM772">IF($D772&lt;COLUMNS($F$7:AM$7),"",INDEX(TableDiv[[GASB]:[GASB]],_xlfn.AGGREGATE(15,3,(TableDiv[[Agency]:[Agency]]=$E772)/(TableDiv[[Agency]:[Agency]]=$E772)*(ROW(TableDiv[Agency])-ROW(TableDiv[[#Headers],[Agency]])),COLUMNS($F$7:AM$7))))</f>
        <v/>
      </c>
      <c r="AN772" s="2223"/>
      <c r="AO772" s="2223"/>
      <c r="AP772" s="2223"/>
      <c r="AQ772" s="2223"/>
      <c r="AR772" s="2223"/>
      <c r="AS772" s="2223"/>
    </row>
    <row r="773" spans="1:45" x14ac:dyDescent="0.2">
      <c r="A773" s="2223"/>
      <c r="B773" s="2223"/>
      <c r="C773" s="2223"/>
      <c r="W773" s="2223" t="str" cm="1">
        <f t="array" ref="W773">IF($D773&lt;COLUMNS($F$7:W$7),"",INDEX(TableDiv[[GASB]:[GASB]],_xlfn.AGGREGATE(15,3,(TableDiv[[Agency]:[Agency]]=$E773)/(TableDiv[[Agency]:[Agency]]=$E773)*(ROW(TableDiv[Agency])-ROW(TableDiv[[#Headers],[Agency]])),COLUMNS($F$7:W$7))))</f>
        <v/>
      </c>
      <c r="X773" s="2223" t="str" cm="1">
        <f t="array" ref="X773">IF($D773&lt;COLUMNS($F$7:X$7),"",INDEX(TableDiv[[GASB]:[GASB]],_xlfn.AGGREGATE(15,3,(TableDiv[[Agency]:[Agency]]=$E773)/(TableDiv[[Agency]:[Agency]]=$E773)*(ROW(TableDiv[Agency])-ROW(TableDiv[[#Headers],[Agency]])),COLUMNS($F$7:X$7))))</f>
        <v/>
      </c>
      <c r="Y773" s="2223" t="str" cm="1">
        <f t="array" ref="Y773">IF($D773&lt;COLUMNS($F$7:Y$7),"",INDEX(TableDiv[[GASB]:[GASB]],_xlfn.AGGREGATE(15,3,(TableDiv[[Agency]:[Agency]]=$E773)/(TableDiv[[Agency]:[Agency]]=$E773)*(ROW(TableDiv[Agency])-ROW(TableDiv[[#Headers],[Agency]])),COLUMNS($F$7:Y$7))))</f>
        <v/>
      </c>
      <c r="Z773" s="2223" t="str" cm="1">
        <f t="array" ref="Z773">IF($D773&lt;COLUMNS($F$7:Z$7),"",INDEX(TableDiv[[GASB]:[GASB]],_xlfn.AGGREGATE(15,3,(TableDiv[[Agency]:[Agency]]=$E773)/(TableDiv[[Agency]:[Agency]]=$E773)*(ROW(TableDiv[Agency])-ROW(TableDiv[[#Headers],[Agency]])),COLUMNS($F$7:Z$7))))</f>
        <v/>
      </c>
      <c r="AA773" s="2223" t="str" cm="1">
        <f t="array" ref="AA773">IF($D773&lt;COLUMNS($F$7:AA$7),"",INDEX(TableDiv[[GASB]:[GASB]],_xlfn.AGGREGATE(15,3,(TableDiv[[Agency]:[Agency]]=$E773)/(TableDiv[[Agency]:[Agency]]=$E773)*(ROW(TableDiv[Agency])-ROW(TableDiv[[#Headers],[Agency]])),COLUMNS($F$7:AA$7))))</f>
        <v/>
      </c>
      <c r="AB773" s="2223" t="str" cm="1">
        <f t="array" ref="AB773">IF($D773&lt;COLUMNS($F$7:AB$7),"",INDEX(TableDiv[[GASB]:[GASB]],_xlfn.AGGREGATE(15,3,(TableDiv[[Agency]:[Agency]]=$E773)/(TableDiv[[Agency]:[Agency]]=$E773)*(ROW(TableDiv[Agency])-ROW(TableDiv[[#Headers],[Agency]])),COLUMNS($F$7:AB$7))))</f>
        <v/>
      </c>
      <c r="AC773" s="2223" t="str" cm="1">
        <f t="array" ref="AC773">IF($D773&lt;COLUMNS($F$7:AC$7),"",INDEX(TableDiv[[GASB]:[GASB]],_xlfn.AGGREGATE(15,3,(TableDiv[[Agency]:[Agency]]=$E773)/(TableDiv[[Agency]:[Agency]]=$E773)*(ROW(TableDiv[Agency])-ROW(TableDiv[[#Headers],[Agency]])),COLUMNS($F$7:AC$7))))</f>
        <v/>
      </c>
      <c r="AD773" s="2223" t="str" cm="1">
        <f t="array" ref="AD773">IF($D773&lt;COLUMNS($F$7:AD$7),"",INDEX(TableDiv[[GASB]:[GASB]],_xlfn.AGGREGATE(15,3,(TableDiv[[Agency]:[Agency]]=$E773)/(TableDiv[[Agency]:[Agency]]=$E773)*(ROW(TableDiv[Agency])-ROW(TableDiv[[#Headers],[Agency]])),COLUMNS($F$7:AD$7))))</f>
        <v/>
      </c>
      <c r="AE773" s="2223" t="str" cm="1">
        <f t="array" ref="AE773">IF($D773&lt;COLUMNS($F$7:AE$7),"",INDEX(TableDiv[[GASB]:[GASB]],_xlfn.AGGREGATE(15,3,(TableDiv[[Agency]:[Agency]]=$E773)/(TableDiv[[Agency]:[Agency]]=$E773)*(ROW(TableDiv[Agency])-ROW(TableDiv[[#Headers],[Agency]])),COLUMNS($F$7:AE$7))))</f>
        <v/>
      </c>
      <c r="AF773" s="2223" t="str" cm="1">
        <f t="array" ref="AF773">IF($D773&lt;COLUMNS($F$7:AF$7),"",INDEX(TableDiv[[GASB]:[GASB]],_xlfn.AGGREGATE(15,3,(TableDiv[[Agency]:[Agency]]=$E773)/(TableDiv[[Agency]:[Agency]]=$E773)*(ROW(TableDiv[Agency])-ROW(TableDiv[[#Headers],[Agency]])),COLUMNS($F$7:AF$7))))</f>
        <v/>
      </c>
      <c r="AG773" s="2223" t="str" cm="1">
        <f t="array" ref="AG773">IF($D773&lt;COLUMNS($F$7:AG$7),"",INDEX(TableDiv[[GASB]:[GASB]],_xlfn.AGGREGATE(15,3,(TableDiv[[Agency]:[Agency]]=$E773)/(TableDiv[[Agency]:[Agency]]=$E773)*(ROW(TableDiv[Agency])-ROW(TableDiv[[#Headers],[Agency]])),COLUMNS($F$7:AG$7))))</f>
        <v/>
      </c>
      <c r="AH773" s="2223" t="str" cm="1">
        <f t="array" ref="AH773">IF($D773&lt;COLUMNS($F$7:AH$7),"",INDEX(TableDiv[[GASB]:[GASB]],_xlfn.AGGREGATE(15,3,(TableDiv[[Agency]:[Agency]]=$E773)/(TableDiv[[Agency]:[Agency]]=$E773)*(ROW(TableDiv[Agency])-ROW(TableDiv[[#Headers],[Agency]])),COLUMNS($F$7:AH$7))))</f>
        <v/>
      </c>
      <c r="AI773" s="2223" t="str" cm="1">
        <f t="array" ref="AI773">IF($D773&lt;COLUMNS($F$7:AI$7),"",INDEX(TableDiv[[GASB]:[GASB]],_xlfn.AGGREGATE(15,3,(TableDiv[[Agency]:[Agency]]=$E773)/(TableDiv[[Agency]:[Agency]]=$E773)*(ROW(TableDiv[Agency])-ROW(TableDiv[[#Headers],[Agency]])),COLUMNS($F$7:AI$7))))</f>
        <v/>
      </c>
      <c r="AJ773" s="2223" t="str" cm="1">
        <f t="array" ref="AJ773">IF($D773&lt;COLUMNS($F$7:AJ$7),"",INDEX(TableDiv[[GASB]:[GASB]],_xlfn.AGGREGATE(15,3,(TableDiv[[Agency]:[Agency]]=$E773)/(TableDiv[[Agency]:[Agency]]=$E773)*(ROW(TableDiv[Agency])-ROW(TableDiv[[#Headers],[Agency]])),COLUMNS($F$7:AJ$7))))</f>
        <v/>
      </c>
      <c r="AK773" s="2223" t="str" cm="1">
        <f t="array" ref="AK773">IF($D773&lt;COLUMNS($F$7:AK$7),"",INDEX(TableDiv[[GASB]:[GASB]],_xlfn.AGGREGATE(15,3,(TableDiv[[Agency]:[Agency]]=$E773)/(TableDiv[[Agency]:[Agency]]=$E773)*(ROW(TableDiv[Agency])-ROW(TableDiv[[#Headers],[Agency]])),COLUMNS($F$7:AK$7))))</f>
        <v/>
      </c>
      <c r="AL773" s="2223" t="str" cm="1">
        <f t="array" ref="AL773">IF($D773&lt;COLUMNS($F$7:AL$7),"",INDEX(TableDiv[[GASB]:[GASB]],_xlfn.AGGREGATE(15,3,(TableDiv[[Agency]:[Agency]]=$E773)/(TableDiv[[Agency]:[Agency]]=$E773)*(ROW(TableDiv[Agency])-ROW(TableDiv[[#Headers],[Agency]])),COLUMNS($F$7:AL$7))))</f>
        <v/>
      </c>
      <c r="AM773" s="2223" t="str" cm="1">
        <f t="array" ref="AM773">IF($D773&lt;COLUMNS($F$7:AM$7),"",INDEX(TableDiv[[GASB]:[GASB]],_xlfn.AGGREGATE(15,3,(TableDiv[[Agency]:[Agency]]=$E773)/(TableDiv[[Agency]:[Agency]]=$E773)*(ROW(TableDiv[Agency])-ROW(TableDiv[[#Headers],[Agency]])),COLUMNS($F$7:AM$7))))</f>
        <v/>
      </c>
      <c r="AN773" s="2223"/>
      <c r="AO773" s="2223"/>
      <c r="AP773" s="2223"/>
      <c r="AQ773" s="2223"/>
      <c r="AR773" s="2223"/>
      <c r="AS773" s="2223"/>
    </row>
    <row r="774" spans="1:45" x14ac:dyDescent="0.2">
      <c r="A774" s="2223"/>
      <c r="B774" s="2223"/>
      <c r="C774" s="2223"/>
      <c r="W774" s="2223" t="str" cm="1">
        <f t="array" ref="W774">IF($D774&lt;COLUMNS($F$7:W$7),"",INDEX(TableDiv[[GASB]:[GASB]],_xlfn.AGGREGATE(15,3,(TableDiv[[Agency]:[Agency]]=$E774)/(TableDiv[[Agency]:[Agency]]=$E774)*(ROW(TableDiv[Agency])-ROW(TableDiv[[#Headers],[Agency]])),COLUMNS($F$7:W$7))))</f>
        <v/>
      </c>
      <c r="X774" s="2223" t="str" cm="1">
        <f t="array" ref="X774">IF($D774&lt;COLUMNS($F$7:X$7),"",INDEX(TableDiv[[GASB]:[GASB]],_xlfn.AGGREGATE(15,3,(TableDiv[[Agency]:[Agency]]=$E774)/(TableDiv[[Agency]:[Agency]]=$E774)*(ROW(TableDiv[Agency])-ROW(TableDiv[[#Headers],[Agency]])),COLUMNS($F$7:X$7))))</f>
        <v/>
      </c>
      <c r="Y774" s="2223" t="str" cm="1">
        <f t="array" ref="Y774">IF($D774&lt;COLUMNS($F$7:Y$7),"",INDEX(TableDiv[[GASB]:[GASB]],_xlfn.AGGREGATE(15,3,(TableDiv[[Agency]:[Agency]]=$E774)/(TableDiv[[Agency]:[Agency]]=$E774)*(ROW(TableDiv[Agency])-ROW(TableDiv[[#Headers],[Agency]])),COLUMNS($F$7:Y$7))))</f>
        <v/>
      </c>
      <c r="Z774" s="2223" t="str" cm="1">
        <f t="array" ref="Z774">IF($D774&lt;COLUMNS($F$7:Z$7),"",INDEX(TableDiv[[GASB]:[GASB]],_xlfn.AGGREGATE(15,3,(TableDiv[[Agency]:[Agency]]=$E774)/(TableDiv[[Agency]:[Agency]]=$E774)*(ROW(TableDiv[Agency])-ROW(TableDiv[[#Headers],[Agency]])),COLUMNS($F$7:Z$7))))</f>
        <v/>
      </c>
      <c r="AA774" s="2223" t="str" cm="1">
        <f t="array" ref="AA774">IF($D774&lt;COLUMNS($F$7:AA$7),"",INDEX(TableDiv[[GASB]:[GASB]],_xlfn.AGGREGATE(15,3,(TableDiv[[Agency]:[Agency]]=$E774)/(TableDiv[[Agency]:[Agency]]=$E774)*(ROW(TableDiv[Agency])-ROW(TableDiv[[#Headers],[Agency]])),COLUMNS($F$7:AA$7))))</f>
        <v/>
      </c>
      <c r="AB774" s="2223" t="str" cm="1">
        <f t="array" ref="AB774">IF($D774&lt;COLUMNS($F$7:AB$7),"",INDEX(TableDiv[[GASB]:[GASB]],_xlfn.AGGREGATE(15,3,(TableDiv[[Agency]:[Agency]]=$E774)/(TableDiv[[Agency]:[Agency]]=$E774)*(ROW(TableDiv[Agency])-ROW(TableDiv[[#Headers],[Agency]])),COLUMNS($F$7:AB$7))))</f>
        <v/>
      </c>
      <c r="AC774" s="2223" t="str" cm="1">
        <f t="array" ref="AC774">IF($D774&lt;COLUMNS($F$7:AC$7),"",INDEX(TableDiv[[GASB]:[GASB]],_xlfn.AGGREGATE(15,3,(TableDiv[[Agency]:[Agency]]=$E774)/(TableDiv[[Agency]:[Agency]]=$E774)*(ROW(TableDiv[Agency])-ROW(TableDiv[[#Headers],[Agency]])),COLUMNS($F$7:AC$7))))</f>
        <v/>
      </c>
      <c r="AD774" s="2223" t="str" cm="1">
        <f t="array" ref="AD774">IF($D774&lt;COLUMNS($F$7:AD$7),"",INDEX(TableDiv[[GASB]:[GASB]],_xlfn.AGGREGATE(15,3,(TableDiv[[Agency]:[Agency]]=$E774)/(TableDiv[[Agency]:[Agency]]=$E774)*(ROW(TableDiv[Agency])-ROW(TableDiv[[#Headers],[Agency]])),COLUMNS($F$7:AD$7))))</f>
        <v/>
      </c>
      <c r="AE774" s="2223" t="str" cm="1">
        <f t="array" ref="AE774">IF($D774&lt;COLUMNS($F$7:AE$7),"",INDEX(TableDiv[[GASB]:[GASB]],_xlfn.AGGREGATE(15,3,(TableDiv[[Agency]:[Agency]]=$E774)/(TableDiv[[Agency]:[Agency]]=$E774)*(ROW(TableDiv[Agency])-ROW(TableDiv[[#Headers],[Agency]])),COLUMNS($F$7:AE$7))))</f>
        <v/>
      </c>
      <c r="AF774" s="2223" t="str" cm="1">
        <f t="array" ref="AF774">IF($D774&lt;COLUMNS($F$7:AF$7),"",INDEX(TableDiv[[GASB]:[GASB]],_xlfn.AGGREGATE(15,3,(TableDiv[[Agency]:[Agency]]=$E774)/(TableDiv[[Agency]:[Agency]]=$E774)*(ROW(TableDiv[Agency])-ROW(TableDiv[[#Headers],[Agency]])),COLUMNS($F$7:AF$7))))</f>
        <v/>
      </c>
      <c r="AG774" s="2223" t="str" cm="1">
        <f t="array" ref="AG774">IF($D774&lt;COLUMNS($F$7:AG$7),"",INDEX(TableDiv[[GASB]:[GASB]],_xlfn.AGGREGATE(15,3,(TableDiv[[Agency]:[Agency]]=$E774)/(TableDiv[[Agency]:[Agency]]=$E774)*(ROW(TableDiv[Agency])-ROW(TableDiv[[#Headers],[Agency]])),COLUMNS($F$7:AG$7))))</f>
        <v/>
      </c>
      <c r="AH774" s="2223" t="str" cm="1">
        <f t="array" ref="AH774">IF($D774&lt;COLUMNS($F$7:AH$7),"",INDEX(TableDiv[[GASB]:[GASB]],_xlfn.AGGREGATE(15,3,(TableDiv[[Agency]:[Agency]]=$E774)/(TableDiv[[Agency]:[Agency]]=$E774)*(ROW(TableDiv[Agency])-ROW(TableDiv[[#Headers],[Agency]])),COLUMNS($F$7:AH$7))))</f>
        <v/>
      </c>
      <c r="AI774" s="2223" t="str" cm="1">
        <f t="array" ref="AI774">IF($D774&lt;COLUMNS($F$7:AI$7),"",INDEX(TableDiv[[GASB]:[GASB]],_xlfn.AGGREGATE(15,3,(TableDiv[[Agency]:[Agency]]=$E774)/(TableDiv[[Agency]:[Agency]]=$E774)*(ROW(TableDiv[Agency])-ROW(TableDiv[[#Headers],[Agency]])),COLUMNS($F$7:AI$7))))</f>
        <v/>
      </c>
      <c r="AJ774" s="2223" t="str" cm="1">
        <f t="array" ref="AJ774">IF($D774&lt;COLUMNS($F$7:AJ$7),"",INDEX(TableDiv[[GASB]:[GASB]],_xlfn.AGGREGATE(15,3,(TableDiv[[Agency]:[Agency]]=$E774)/(TableDiv[[Agency]:[Agency]]=$E774)*(ROW(TableDiv[Agency])-ROW(TableDiv[[#Headers],[Agency]])),COLUMNS($F$7:AJ$7))))</f>
        <v/>
      </c>
      <c r="AK774" s="2223" t="str" cm="1">
        <f t="array" ref="AK774">IF($D774&lt;COLUMNS($F$7:AK$7),"",INDEX(TableDiv[[GASB]:[GASB]],_xlfn.AGGREGATE(15,3,(TableDiv[[Agency]:[Agency]]=$E774)/(TableDiv[[Agency]:[Agency]]=$E774)*(ROW(TableDiv[Agency])-ROW(TableDiv[[#Headers],[Agency]])),COLUMNS($F$7:AK$7))))</f>
        <v/>
      </c>
      <c r="AL774" s="2223" t="str" cm="1">
        <f t="array" ref="AL774">IF($D774&lt;COLUMNS($F$7:AL$7),"",INDEX(TableDiv[[GASB]:[GASB]],_xlfn.AGGREGATE(15,3,(TableDiv[[Agency]:[Agency]]=$E774)/(TableDiv[[Agency]:[Agency]]=$E774)*(ROW(TableDiv[Agency])-ROW(TableDiv[[#Headers],[Agency]])),COLUMNS($F$7:AL$7))))</f>
        <v/>
      </c>
      <c r="AM774" s="2223" t="str" cm="1">
        <f t="array" ref="AM774">IF($D774&lt;COLUMNS($F$7:AM$7),"",INDEX(TableDiv[[GASB]:[GASB]],_xlfn.AGGREGATE(15,3,(TableDiv[[Agency]:[Agency]]=$E774)/(TableDiv[[Agency]:[Agency]]=$E774)*(ROW(TableDiv[Agency])-ROW(TableDiv[[#Headers],[Agency]])),COLUMNS($F$7:AM$7))))</f>
        <v/>
      </c>
      <c r="AN774" s="2223"/>
      <c r="AO774" s="2223"/>
      <c r="AP774" s="2223"/>
      <c r="AQ774" s="2223"/>
      <c r="AR774" s="2223"/>
      <c r="AS774" s="2223"/>
    </row>
    <row r="775" spans="1:45" x14ac:dyDescent="0.2">
      <c r="A775" s="2223"/>
      <c r="B775" s="2223"/>
      <c r="C775" s="2223"/>
      <c r="W775" s="2223" t="str" cm="1">
        <f t="array" ref="W775">IF($D775&lt;COLUMNS($F$7:W$7),"",INDEX(TableDiv[[GASB]:[GASB]],_xlfn.AGGREGATE(15,3,(TableDiv[[Agency]:[Agency]]=$E775)/(TableDiv[[Agency]:[Agency]]=$E775)*(ROW(TableDiv[Agency])-ROW(TableDiv[[#Headers],[Agency]])),COLUMNS($F$7:W$7))))</f>
        <v/>
      </c>
      <c r="X775" s="2223" t="str" cm="1">
        <f t="array" ref="X775">IF($D775&lt;COLUMNS($F$7:X$7),"",INDEX(TableDiv[[GASB]:[GASB]],_xlfn.AGGREGATE(15,3,(TableDiv[[Agency]:[Agency]]=$E775)/(TableDiv[[Agency]:[Agency]]=$E775)*(ROW(TableDiv[Agency])-ROW(TableDiv[[#Headers],[Agency]])),COLUMNS($F$7:X$7))))</f>
        <v/>
      </c>
      <c r="Y775" s="2223" t="str" cm="1">
        <f t="array" ref="Y775">IF($D775&lt;COLUMNS($F$7:Y$7),"",INDEX(TableDiv[[GASB]:[GASB]],_xlfn.AGGREGATE(15,3,(TableDiv[[Agency]:[Agency]]=$E775)/(TableDiv[[Agency]:[Agency]]=$E775)*(ROW(TableDiv[Agency])-ROW(TableDiv[[#Headers],[Agency]])),COLUMNS($F$7:Y$7))))</f>
        <v/>
      </c>
      <c r="Z775" s="2223" t="str" cm="1">
        <f t="array" ref="Z775">IF($D775&lt;COLUMNS($F$7:Z$7),"",INDEX(TableDiv[[GASB]:[GASB]],_xlfn.AGGREGATE(15,3,(TableDiv[[Agency]:[Agency]]=$E775)/(TableDiv[[Agency]:[Agency]]=$E775)*(ROW(TableDiv[Agency])-ROW(TableDiv[[#Headers],[Agency]])),COLUMNS($F$7:Z$7))))</f>
        <v/>
      </c>
      <c r="AA775" s="2223" t="str" cm="1">
        <f t="array" ref="AA775">IF($D775&lt;COLUMNS($F$7:AA$7),"",INDEX(TableDiv[[GASB]:[GASB]],_xlfn.AGGREGATE(15,3,(TableDiv[[Agency]:[Agency]]=$E775)/(TableDiv[[Agency]:[Agency]]=$E775)*(ROW(TableDiv[Agency])-ROW(TableDiv[[#Headers],[Agency]])),COLUMNS($F$7:AA$7))))</f>
        <v/>
      </c>
      <c r="AB775" s="2223" t="str" cm="1">
        <f t="array" ref="AB775">IF($D775&lt;COLUMNS($F$7:AB$7),"",INDEX(TableDiv[[GASB]:[GASB]],_xlfn.AGGREGATE(15,3,(TableDiv[[Agency]:[Agency]]=$E775)/(TableDiv[[Agency]:[Agency]]=$E775)*(ROW(TableDiv[Agency])-ROW(TableDiv[[#Headers],[Agency]])),COLUMNS($F$7:AB$7))))</f>
        <v/>
      </c>
      <c r="AC775" s="2223" t="str" cm="1">
        <f t="array" ref="AC775">IF($D775&lt;COLUMNS($F$7:AC$7),"",INDEX(TableDiv[[GASB]:[GASB]],_xlfn.AGGREGATE(15,3,(TableDiv[[Agency]:[Agency]]=$E775)/(TableDiv[[Agency]:[Agency]]=$E775)*(ROW(TableDiv[Agency])-ROW(TableDiv[[#Headers],[Agency]])),COLUMNS($F$7:AC$7))))</f>
        <v/>
      </c>
      <c r="AD775" s="2223" t="str" cm="1">
        <f t="array" ref="AD775">IF($D775&lt;COLUMNS($F$7:AD$7),"",INDEX(TableDiv[[GASB]:[GASB]],_xlfn.AGGREGATE(15,3,(TableDiv[[Agency]:[Agency]]=$E775)/(TableDiv[[Agency]:[Agency]]=$E775)*(ROW(TableDiv[Agency])-ROW(TableDiv[[#Headers],[Agency]])),COLUMNS($F$7:AD$7))))</f>
        <v/>
      </c>
      <c r="AE775" s="2223" t="str" cm="1">
        <f t="array" ref="AE775">IF($D775&lt;COLUMNS($F$7:AE$7),"",INDEX(TableDiv[[GASB]:[GASB]],_xlfn.AGGREGATE(15,3,(TableDiv[[Agency]:[Agency]]=$E775)/(TableDiv[[Agency]:[Agency]]=$E775)*(ROW(TableDiv[Agency])-ROW(TableDiv[[#Headers],[Agency]])),COLUMNS($F$7:AE$7))))</f>
        <v/>
      </c>
      <c r="AF775" s="2223" t="str" cm="1">
        <f t="array" ref="AF775">IF($D775&lt;COLUMNS($F$7:AF$7),"",INDEX(TableDiv[[GASB]:[GASB]],_xlfn.AGGREGATE(15,3,(TableDiv[[Agency]:[Agency]]=$E775)/(TableDiv[[Agency]:[Agency]]=$E775)*(ROW(TableDiv[Agency])-ROW(TableDiv[[#Headers],[Agency]])),COLUMNS($F$7:AF$7))))</f>
        <v/>
      </c>
      <c r="AG775" s="2223" t="str" cm="1">
        <f t="array" ref="AG775">IF($D775&lt;COLUMNS($F$7:AG$7),"",INDEX(TableDiv[[GASB]:[GASB]],_xlfn.AGGREGATE(15,3,(TableDiv[[Agency]:[Agency]]=$E775)/(TableDiv[[Agency]:[Agency]]=$E775)*(ROW(TableDiv[Agency])-ROW(TableDiv[[#Headers],[Agency]])),COLUMNS($F$7:AG$7))))</f>
        <v/>
      </c>
      <c r="AH775" s="2223" t="str" cm="1">
        <f t="array" ref="AH775">IF($D775&lt;COLUMNS($F$7:AH$7),"",INDEX(TableDiv[[GASB]:[GASB]],_xlfn.AGGREGATE(15,3,(TableDiv[[Agency]:[Agency]]=$E775)/(TableDiv[[Agency]:[Agency]]=$E775)*(ROW(TableDiv[Agency])-ROW(TableDiv[[#Headers],[Agency]])),COLUMNS($F$7:AH$7))))</f>
        <v/>
      </c>
      <c r="AI775" s="2223" t="str" cm="1">
        <f t="array" ref="AI775">IF($D775&lt;COLUMNS($F$7:AI$7),"",INDEX(TableDiv[[GASB]:[GASB]],_xlfn.AGGREGATE(15,3,(TableDiv[[Agency]:[Agency]]=$E775)/(TableDiv[[Agency]:[Agency]]=$E775)*(ROW(TableDiv[Agency])-ROW(TableDiv[[#Headers],[Agency]])),COLUMNS($F$7:AI$7))))</f>
        <v/>
      </c>
      <c r="AJ775" s="2223" t="str" cm="1">
        <f t="array" ref="AJ775">IF($D775&lt;COLUMNS($F$7:AJ$7),"",INDEX(TableDiv[[GASB]:[GASB]],_xlfn.AGGREGATE(15,3,(TableDiv[[Agency]:[Agency]]=$E775)/(TableDiv[[Agency]:[Agency]]=$E775)*(ROW(TableDiv[Agency])-ROW(TableDiv[[#Headers],[Agency]])),COLUMNS($F$7:AJ$7))))</f>
        <v/>
      </c>
      <c r="AK775" s="2223" t="str" cm="1">
        <f t="array" ref="AK775">IF($D775&lt;COLUMNS($F$7:AK$7),"",INDEX(TableDiv[[GASB]:[GASB]],_xlfn.AGGREGATE(15,3,(TableDiv[[Agency]:[Agency]]=$E775)/(TableDiv[[Agency]:[Agency]]=$E775)*(ROW(TableDiv[Agency])-ROW(TableDiv[[#Headers],[Agency]])),COLUMNS($F$7:AK$7))))</f>
        <v/>
      </c>
      <c r="AL775" s="2223" t="str" cm="1">
        <f t="array" ref="AL775">IF($D775&lt;COLUMNS($F$7:AL$7),"",INDEX(TableDiv[[GASB]:[GASB]],_xlfn.AGGREGATE(15,3,(TableDiv[[Agency]:[Agency]]=$E775)/(TableDiv[[Agency]:[Agency]]=$E775)*(ROW(TableDiv[Agency])-ROW(TableDiv[[#Headers],[Agency]])),COLUMNS($F$7:AL$7))))</f>
        <v/>
      </c>
      <c r="AM775" s="2223" t="str" cm="1">
        <f t="array" ref="AM775">IF($D775&lt;COLUMNS($F$7:AM$7),"",INDEX(TableDiv[[GASB]:[GASB]],_xlfn.AGGREGATE(15,3,(TableDiv[[Agency]:[Agency]]=$E775)/(TableDiv[[Agency]:[Agency]]=$E775)*(ROW(TableDiv[Agency])-ROW(TableDiv[[#Headers],[Agency]])),COLUMNS($F$7:AM$7))))</f>
        <v/>
      </c>
      <c r="AN775" s="2223"/>
      <c r="AO775" s="2223"/>
      <c r="AP775" s="2223"/>
      <c r="AQ775" s="2223"/>
      <c r="AR775" s="2223"/>
      <c r="AS775" s="2223"/>
    </row>
    <row r="776" spans="1:45" x14ac:dyDescent="0.2">
      <c r="A776" s="2223"/>
      <c r="B776" s="2223"/>
      <c r="C776" s="2223"/>
      <c r="W776" s="2223" t="str" cm="1">
        <f t="array" ref="W776">IF($D776&lt;COLUMNS($F$7:W$7),"",INDEX(TableDiv[[GASB]:[GASB]],_xlfn.AGGREGATE(15,3,(TableDiv[[Agency]:[Agency]]=$E776)/(TableDiv[[Agency]:[Agency]]=$E776)*(ROW(TableDiv[Agency])-ROW(TableDiv[[#Headers],[Agency]])),COLUMNS($F$7:W$7))))</f>
        <v/>
      </c>
      <c r="X776" s="2223" t="str" cm="1">
        <f t="array" ref="X776">IF($D776&lt;COLUMNS($F$7:X$7),"",INDEX(TableDiv[[GASB]:[GASB]],_xlfn.AGGREGATE(15,3,(TableDiv[[Agency]:[Agency]]=$E776)/(TableDiv[[Agency]:[Agency]]=$E776)*(ROW(TableDiv[Agency])-ROW(TableDiv[[#Headers],[Agency]])),COLUMNS($F$7:X$7))))</f>
        <v/>
      </c>
      <c r="Y776" s="2223" t="str" cm="1">
        <f t="array" ref="Y776">IF($D776&lt;COLUMNS($F$7:Y$7),"",INDEX(TableDiv[[GASB]:[GASB]],_xlfn.AGGREGATE(15,3,(TableDiv[[Agency]:[Agency]]=$E776)/(TableDiv[[Agency]:[Agency]]=$E776)*(ROW(TableDiv[Agency])-ROW(TableDiv[[#Headers],[Agency]])),COLUMNS($F$7:Y$7))))</f>
        <v/>
      </c>
      <c r="Z776" s="2223" t="str" cm="1">
        <f t="array" ref="Z776">IF($D776&lt;COLUMNS($F$7:Z$7),"",INDEX(TableDiv[[GASB]:[GASB]],_xlfn.AGGREGATE(15,3,(TableDiv[[Agency]:[Agency]]=$E776)/(TableDiv[[Agency]:[Agency]]=$E776)*(ROW(TableDiv[Agency])-ROW(TableDiv[[#Headers],[Agency]])),COLUMNS($F$7:Z$7))))</f>
        <v/>
      </c>
      <c r="AA776" s="2223" t="str" cm="1">
        <f t="array" ref="AA776">IF($D776&lt;COLUMNS($F$7:AA$7),"",INDEX(TableDiv[[GASB]:[GASB]],_xlfn.AGGREGATE(15,3,(TableDiv[[Agency]:[Agency]]=$E776)/(TableDiv[[Agency]:[Agency]]=$E776)*(ROW(TableDiv[Agency])-ROW(TableDiv[[#Headers],[Agency]])),COLUMNS($F$7:AA$7))))</f>
        <v/>
      </c>
      <c r="AB776" s="2223" t="str" cm="1">
        <f t="array" ref="AB776">IF($D776&lt;COLUMNS($F$7:AB$7),"",INDEX(TableDiv[[GASB]:[GASB]],_xlfn.AGGREGATE(15,3,(TableDiv[[Agency]:[Agency]]=$E776)/(TableDiv[[Agency]:[Agency]]=$E776)*(ROW(TableDiv[Agency])-ROW(TableDiv[[#Headers],[Agency]])),COLUMNS($F$7:AB$7))))</f>
        <v/>
      </c>
      <c r="AC776" s="2223" t="str" cm="1">
        <f t="array" ref="AC776">IF($D776&lt;COLUMNS($F$7:AC$7),"",INDEX(TableDiv[[GASB]:[GASB]],_xlfn.AGGREGATE(15,3,(TableDiv[[Agency]:[Agency]]=$E776)/(TableDiv[[Agency]:[Agency]]=$E776)*(ROW(TableDiv[Agency])-ROW(TableDiv[[#Headers],[Agency]])),COLUMNS($F$7:AC$7))))</f>
        <v/>
      </c>
      <c r="AD776" s="2223" t="str" cm="1">
        <f t="array" ref="AD776">IF($D776&lt;COLUMNS($F$7:AD$7),"",INDEX(TableDiv[[GASB]:[GASB]],_xlfn.AGGREGATE(15,3,(TableDiv[[Agency]:[Agency]]=$E776)/(TableDiv[[Agency]:[Agency]]=$E776)*(ROW(TableDiv[Agency])-ROW(TableDiv[[#Headers],[Agency]])),COLUMNS($F$7:AD$7))))</f>
        <v/>
      </c>
      <c r="AE776" s="2223" t="str" cm="1">
        <f t="array" ref="AE776">IF($D776&lt;COLUMNS($F$7:AE$7),"",INDEX(TableDiv[[GASB]:[GASB]],_xlfn.AGGREGATE(15,3,(TableDiv[[Agency]:[Agency]]=$E776)/(TableDiv[[Agency]:[Agency]]=$E776)*(ROW(TableDiv[Agency])-ROW(TableDiv[[#Headers],[Agency]])),COLUMNS($F$7:AE$7))))</f>
        <v/>
      </c>
      <c r="AF776" s="2223" t="str" cm="1">
        <f t="array" ref="AF776">IF($D776&lt;COLUMNS($F$7:AF$7),"",INDEX(TableDiv[[GASB]:[GASB]],_xlfn.AGGREGATE(15,3,(TableDiv[[Agency]:[Agency]]=$E776)/(TableDiv[[Agency]:[Agency]]=$E776)*(ROW(TableDiv[Agency])-ROW(TableDiv[[#Headers],[Agency]])),COLUMNS($F$7:AF$7))))</f>
        <v/>
      </c>
      <c r="AG776" s="2223" t="str" cm="1">
        <f t="array" ref="AG776">IF($D776&lt;COLUMNS($F$7:AG$7),"",INDEX(TableDiv[[GASB]:[GASB]],_xlfn.AGGREGATE(15,3,(TableDiv[[Agency]:[Agency]]=$E776)/(TableDiv[[Agency]:[Agency]]=$E776)*(ROW(TableDiv[Agency])-ROW(TableDiv[[#Headers],[Agency]])),COLUMNS($F$7:AG$7))))</f>
        <v/>
      </c>
      <c r="AH776" s="2223" t="str" cm="1">
        <f t="array" ref="AH776">IF($D776&lt;COLUMNS($F$7:AH$7),"",INDEX(TableDiv[[GASB]:[GASB]],_xlfn.AGGREGATE(15,3,(TableDiv[[Agency]:[Agency]]=$E776)/(TableDiv[[Agency]:[Agency]]=$E776)*(ROW(TableDiv[Agency])-ROW(TableDiv[[#Headers],[Agency]])),COLUMNS($F$7:AH$7))))</f>
        <v/>
      </c>
      <c r="AI776" s="2223" t="str" cm="1">
        <f t="array" ref="AI776">IF($D776&lt;COLUMNS($F$7:AI$7),"",INDEX(TableDiv[[GASB]:[GASB]],_xlfn.AGGREGATE(15,3,(TableDiv[[Agency]:[Agency]]=$E776)/(TableDiv[[Agency]:[Agency]]=$E776)*(ROW(TableDiv[Agency])-ROW(TableDiv[[#Headers],[Agency]])),COLUMNS($F$7:AI$7))))</f>
        <v/>
      </c>
      <c r="AJ776" s="2223" t="str" cm="1">
        <f t="array" ref="AJ776">IF($D776&lt;COLUMNS($F$7:AJ$7),"",INDEX(TableDiv[[GASB]:[GASB]],_xlfn.AGGREGATE(15,3,(TableDiv[[Agency]:[Agency]]=$E776)/(TableDiv[[Agency]:[Agency]]=$E776)*(ROW(TableDiv[Agency])-ROW(TableDiv[[#Headers],[Agency]])),COLUMNS($F$7:AJ$7))))</f>
        <v/>
      </c>
      <c r="AK776" s="2223" t="str" cm="1">
        <f t="array" ref="AK776">IF($D776&lt;COLUMNS($F$7:AK$7),"",INDEX(TableDiv[[GASB]:[GASB]],_xlfn.AGGREGATE(15,3,(TableDiv[[Agency]:[Agency]]=$E776)/(TableDiv[[Agency]:[Agency]]=$E776)*(ROW(TableDiv[Agency])-ROW(TableDiv[[#Headers],[Agency]])),COLUMNS($F$7:AK$7))))</f>
        <v/>
      </c>
      <c r="AL776" s="2223" t="str" cm="1">
        <f t="array" ref="AL776">IF($D776&lt;COLUMNS($F$7:AL$7),"",INDEX(TableDiv[[GASB]:[GASB]],_xlfn.AGGREGATE(15,3,(TableDiv[[Agency]:[Agency]]=$E776)/(TableDiv[[Agency]:[Agency]]=$E776)*(ROW(TableDiv[Agency])-ROW(TableDiv[[#Headers],[Agency]])),COLUMNS($F$7:AL$7))))</f>
        <v/>
      </c>
      <c r="AM776" s="2223" t="str" cm="1">
        <f t="array" ref="AM776">IF($D776&lt;COLUMNS($F$7:AM$7),"",INDEX(TableDiv[[GASB]:[GASB]],_xlfn.AGGREGATE(15,3,(TableDiv[[Agency]:[Agency]]=$E776)/(TableDiv[[Agency]:[Agency]]=$E776)*(ROW(TableDiv[Agency])-ROW(TableDiv[[#Headers],[Agency]])),COLUMNS($F$7:AM$7))))</f>
        <v/>
      </c>
      <c r="AN776" s="2223"/>
      <c r="AO776" s="2223"/>
      <c r="AP776" s="2223"/>
      <c r="AQ776" s="2223"/>
      <c r="AR776" s="2223"/>
      <c r="AS776" s="2223"/>
    </row>
    <row r="777" spans="1:45" x14ac:dyDescent="0.2">
      <c r="A777" s="2223"/>
      <c r="B777" s="2223"/>
      <c r="C777" s="2223"/>
      <c r="W777" s="2223" t="str" cm="1">
        <f t="array" ref="W777">IF($D777&lt;COLUMNS($F$7:W$7),"",INDEX(TableDiv[[GASB]:[GASB]],_xlfn.AGGREGATE(15,3,(TableDiv[[Agency]:[Agency]]=$E777)/(TableDiv[[Agency]:[Agency]]=$E777)*(ROW(TableDiv[Agency])-ROW(TableDiv[[#Headers],[Agency]])),COLUMNS($F$7:W$7))))</f>
        <v/>
      </c>
      <c r="X777" s="2223" t="str" cm="1">
        <f t="array" ref="X777">IF($D777&lt;COLUMNS($F$7:X$7),"",INDEX(TableDiv[[GASB]:[GASB]],_xlfn.AGGREGATE(15,3,(TableDiv[[Agency]:[Agency]]=$E777)/(TableDiv[[Agency]:[Agency]]=$E777)*(ROW(TableDiv[Agency])-ROW(TableDiv[[#Headers],[Agency]])),COLUMNS($F$7:X$7))))</f>
        <v/>
      </c>
      <c r="Y777" s="2223" t="str" cm="1">
        <f t="array" ref="Y777">IF($D777&lt;COLUMNS($F$7:Y$7),"",INDEX(TableDiv[[GASB]:[GASB]],_xlfn.AGGREGATE(15,3,(TableDiv[[Agency]:[Agency]]=$E777)/(TableDiv[[Agency]:[Agency]]=$E777)*(ROW(TableDiv[Agency])-ROW(TableDiv[[#Headers],[Agency]])),COLUMNS($F$7:Y$7))))</f>
        <v/>
      </c>
      <c r="Z777" s="2223" t="str" cm="1">
        <f t="array" ref="Z777">IF($D777&lt;COLUMNS($F$7:Z$7),"",INDEX(TableDiv[[GASB]:[GASB]],_xlfn.AGGREGATE(15,3,(TableDiv[[Agency]:[Agency]]=$E777)/(TableDiv[[Agency]:[Agency]]=$E777)*(ROW(TableDiv[Agency])-ROW(TableDiv[[#Headers],[Agency]])),COLUMNS($F$7:Z$7))))</f>
        <v/>
      </c>
      <c r="AA777" s="2223" t="str" cm="1">
        <f t="array" ref="AA777">IF($D777&lt;COLUMNS($F$7:AA$7),"",INDEX(TableDiv[[GASB]:[GASB]],_xlfn.AGGREGATE(15,3,(TableDiv[[Agency]:[Agency]]=$E777)/(TableDiv[[Agency]:[Agency]]=$E777)*(ROW(TableDiv[Agency])-ROW(TableDiv[[#Headers],[Agency]])),COLUMNS($F$7:AA$7))))</f>
        <v/>
      </c>
      <c r="AB777" s="2223" t="str" cm="1">
        <f t="array" ref="AB777">IF($D777&lt;COLUMNS($F$7:AB$7),"",INDEX(TableDiv[[GASB]:[GASB]],_xlfn.AGGREGATE(15,3,(TableDiv[[Agency]:[Agency]]=$E777)/(TableDiv[[Agency]:[Agency]]=$E777)*(ROW(TableDiv[Agency])-ROW(TableDiv[[#Headers],[Agency]])),COLUMNS($F$7:AB$7))))</f>
        <v/>
      </c>
      <c r="AC777" s="2223" t="str" cm="1">
        <f t="array" ref="AC777">IF($D777&lt;COLUMNS($F$7:AC$7),"",INDEX(TableDiv[[GASB]:[GASB]],_xlfn.AGGREGATE(15,3,(TableDiv[[Agency]:[Agency]]=$E777)/(TableDiv[[Agency]:[Agency]]=$E777)*(ROW(TableDiv[Agency])-ROW(TableDiv[[#Headers],[Agency]])),COLUMNS($F$7:AC$7))))</f>
        <v/>
      </c>
      <c r="AD777" s="2223" t="str" cm="1">
        <f t="array" ref="AD777">IF($D777&lt;COLUMNS($F$7:AD$7),"",INDEX(TableDiv[[GASB]:[GASB]],_xlfn.AGGREGATE(15,3,(TableDiv[[Agency]:[Agency]]=$E777)/(TableDiv[[Agency]:[Agency]]=$E777)*(ROW(TableDiv[Agency])-ROW(TableDiv[[#Headers],[Agency]])),COLUMNS($F$7:AD$7))))</f>
        <v/>
      </c>
      <c r="AE777" s="2223" t="str" cm="1">
        <f t="array" ref="AE777">IF($D777&lt;COLUMNS($F$7:AE$7),"",INDEX(TableDiv[[GASB]:[GASB]],_xlfn.AGGREGATE(15,3,(TableDiv[[Agency]:[Agency]]=$E777)/(TableDiv[[Agency]:[Agency]]=$E777)*(ROW(TableDiv[Agency])-ROW(TableDiv[[#Headers],[Agency]])),COLUMNS($F$7:AE$7))))</f>
        <v/>
      </c>
      <c r="AF777" s="2223" t="str" cm="1">
        <f t="array" ref="AF777">IF($D777&lt;COLUMNS($F$7:AF$7),"",INDEX(TableDiv[[GASB]:[GASB]],_xlfn.AGGREGATE(15,3,(TableDiv[[Agency]:[Agency]]=$E777)/(TableDiv[[Agency]:[Agency]]=$E777)*(ROW(TableDiv[Agency])-ROW(TableDiv[[#Headers],[Agency]])),COLUMNS($F$7:AF$7))))</f>
        <v/>
      </c>
      <c r="AG777" s="2223" t="str" cm="1">
        <f t="array" ref="AG777">IF($D777&lt;COLUMNS($F$7:AG$7),"",INDEX(TableDiv[[GASB]:[GASB]],_xlfn.AGGREGATE(15,3,(TableDiv[[Agency]:[Agency]]=$E777)/(TableDiv[[Agency]:[Agency]]=$E777)*(ROW(TableDiv[Agency])-ROW(TableDiv[[#Headers],[Agency]])),COLUMNS($F$7:AG$7))))</f>
        <v/>
      </c>
      <c r="AH777" s="2223" t="str" cm="1">
        <f t="array" ref="AH777">IF($D777&lt;COLUMNS($F$7:AH$7),"",INDEX(TableDiv[[GASB]:[GASB]],_xlfn.AGGREGATE(15,3,(TableDiv[[Agency]:[Agency]]=$E777)/(TableDiv[[Agency]:[Agency]]=$E777)*(ROW(TableDiv[Agency])-ROW(TableDiv[[#Headers],[Agency]])),COLUMNS($F$7:AH$7))))</f>
        <v/>
      </c>
      <c r="AI777" s="2223" t="str" cm="1">
        <f t="array" ref="AI777">IF($D777&lt;COLUMNS($F$7:AI$7),"",INDEX(TableDiv[[GASB]:[GASB]],_xlfn.AGGREGATE(15,3,(TableDiv[[Agency]:[Agency]]=$E777)/(TableDiv[[Agency]:[Agency]]=$E777)*(ROW(TableDiv[Agency])-ROW(TableDiv[[#Headers],[Agency]])),COLUMNS($F$7:AI$7))))</f>
        <v/>
      </c>
      <c r="AJ777" s="2223" t="str" cm="1">
        <f t="array" ref="AJ777">IF($D777&lt;COLUMNS($F$7:AJ$7),"",INDEX(TableDiv[[GASB]:[GASB]],_xlfn.AGGREGATE(15,3,(TableDiv[[Agency]:[Agency]]=$E777)/(TableDiv[[Agency]:[Agency]]=$E777)*(ROW(TableDiv[Agency])-ROW(TableDiv[[#Headers],[Agency]])),COLUMNS($F$7:AJ$7))))</f>
        <v/>
      </c>
      <c r="AK777" s="2223" t="str" cm="1">
        <f t="array" ref="AK777">IF($D777&lt;COLUMNS($F$7:AK$7),"",INDEX(TableDiv[[GASB]:[GASB]],_xlfn.AGGREGATE(15,3,(TableDiv[[Agency]:[Agency]]=$E777)/(TableDiv[[Agency]:[Agency]]=$E777)*(ROW(TableDiv[Agency])-ROW(TableDiv[[#Headers],[Agency]])),COLUMNS($F$7:AK$7))))</f>
        <v/>
      </c>
      <c r="AL777" s="2223" t="str" cm="1">
        <f t="array" ref="AL777">IF($D777&lt;COLUMNS($F$7:AL$7),"",INDEX(TableDiv[[GASB]:[GASB]],_xlfn.AGGREGATE(15,3,(TableDiv[[Agency]:[Agency]]=$E777)/(TableDiv[[Agency]:[Agency]]=$E777)*(ROW(TableDiv[Agency])-ROW(TableDiv[[#Headers],[Agency]])),COLUMNS($F$7:AL$7))))</f>
        <v/>
      </c>
      <c r="AM777" s="2223" t="str" cm="1">
        <f t="array" ref="AM777">IF($D777&lt;COLUMNS($F$7:AM$7),"",INDEX(TableDiv[[GASB]:[GASB]],_xlfn.AGGREGATE(15,3,(TableDiv[[Agency]:[Agency]]=$E777)/(TableDiv[[Agency]:[Agency]]=$E777)*(ROW(TableDiv[Agency])-ROW(TableDiv[[#Headers],[Agency]])),COLUMNS($F$7:AM$7))))</f>
        <v/>
      </c>
      <c r="AN777" s="2223"/>
      <c r="AO777" s="2223"/>
      <c r="AP777" s="2223"/>
      <c r="AQ777" s="2223"/>
      <c r="AR777" s="2223"/>
      <c r="AS777" s="2223"/>
    </row>
    <row r="778" spans="1:45" x14ac:dyDescent="0.2">
      <c r="A778" s="2223"/>
      <c r="B778" s="2223"/>
      <c r="C778" s="2223"/>
      <c r="W778" s="2223" t="str" cm="1">
        <f t="array" ref="W778">IF($D778&lt;COLUMNS($F$7:W$7),"",INDEX(TableDiv[[GASB]:[GASB]],_xlfn.AGGREGATE(15,3,(TableDiv[[Agency]:[Agency]]=$E778)/(TableDiv[[Agency]:[Agency]]=$E778)*(ROW(TableDiv[Agency])-ROW(TableDiv[[#Headers],[Agency]])),COLUMNS($F$7:W$7))))</f>
        <v/>
      </c>
      <c r="X778" s="2223" t="str" cm="1">
        <f t="array" ref="X778">IF($D778&lt;COLUMNS($F$7:X$7),"",INDEX(TableDiv[[GASB]:[GASB]],_xlfn.AGGREGATE(15,3,(TableDiv[[Agency]:[Agency]]=$E778)/(TableDiv[[Agency]:[Agency]]=$E778)*(ROW(TableDiv[Agency])-ROW(TableDiv[[#Headers],[Agency]])),COLUMNS($F$7:X$7))))</f>
        <v/>
      </c>
      <c r="Y778" s="2223" t="str" cm="1">
        <f t="array" ref="Y778">IF($D778&lt;COLUMNS($F$7:Y$7),"",INDEX(TableDiv[[GASB]:[GASB]],_xlfn.AGGREGATE(15,3,(TableDiv[[Agency]:[Agency]]=$E778)/(TableDiv[[Agency]:[Agency]]=$E778)*(ROW(TableDiv[Agency])-ROW(TableDiv[[#Headers],[Agency]])),COLUMNS($F$7:Y$7))))</f>
        <v/>
      </c>
      <c r="Z778" s="2223" t="str" cm="1">
        <f t="array" ref="Z778">IF($D778&lt;COLUMNS($F$7:Z$7),"",INDEX(TableDiv[[GASB]:[GASB]],_xlfn.AGGREGATE(15,3,(TableDiv[[Agency]:[Agency]]=$E778)/(TableDiv[[Agency]:[Agency]]=$E778)*(ROW(TableDiv[Agency])-ROW(TableDiv[[#Headers],[Agency]])),COLUMNS($F$7:Z$7))))</f>
        <v/>
      </c>
      <c r="AA778" s="2223" t="str" cm="1">
        <f t="array" ref="AA778">IF($D778&lt;COLUMNS($F$7:AA$7),"",INDEX(TableDiv[[GASB]:[GASB]],_xlfn.AGGREGATE(15,3,(TableDiv[[Agency]:[Agency]]=$E778)/(TableDiv[[Agency]:[Agency]]=$E778)*(ROW(TableDiv[Agency])-ROW(TableDiv[[#Headers],[Agency]])),COLUMNS($F$7:AA$7))))</f>
        <v/>
      </c>
      <c r="AB778" s="2223" t="str" cm="1">
        <f t="array" ref="AB778">IF($D778&lt;COLUMNS($F$7:AB$7),"",INDEX(TableDiv[[GASB]:[GASB]],_xlfn.AGGREGATE(15,3,(TableDiv[[Agency]:[Agency]]=$E778)/(TableDiv[[Agency]:[Agency]]=$E778)*(ROW(TableDiv[Agency])-ROW(TableDiv[[#Headers],[Agency]])),COLUMNS($F$7:AB$7))))</f>
        <v/>
      </c>
      <c r="AC778" s="2223" t="str" cm="1">
        <f t="array" ref="AC778">IF($D778&lt;COLUMNS($F$7:AC$7),"",INDEX(TableDiv[[GASB]:[GASB]],_xlfn.AGGREGATE(15,3,(TableDiv[[Agency]:[Agency]]=$E778)/(TableDiv[[Agency]:[Agency]]=$E778)*(ROW(TableDiv[Agency])-ROW(TableDiv[[#Headers],[Agency]])),COLUMNS($F$7:AC$7))))</f>
        <v/>
      </c>
      <c r="AD778" s="2223" t="str" cm="1">
        <f t="array" ref="AD778">IF($D778&lt;COLUMNS($F$7:AD$7),"",INDEX(TableDiv[[GASB]:[GASB]],_xlfn.AGGREGATE(15,3,(TableDiv[[Agency]:[Agency]]=$E778)/(TableDiv[[Agency]:[Agency]]=$E778)*(ROW(TableDiv[Agency])-ROW(TableDiv[[#Headers],[Agency]])),COLUMNS($F$7:AD$7))))</f>
        <v/>
      </c>
      <c r="AE778" s="2223" t="str" cm="1">
        <f t="array" ref="AE778">IF($D778&lt;COLUMNS($F$7:AE$7),"",INDEX(TableDiv[[GASB]:[GASB]],_xlfn.AGGREGATE(15,3,(TableDiv[[Agency]:[Agency]]=$E778)/(TableDiv[[Agency]:[Agency]]=$E778)*(ROW(TableDiv[Agency])-ROW(TableDiv[[#Headers],[Agency]])),COLUMNS($F$7:AE$7))))</f>
        <v/>
      </c>
      <c r="AF778" s="2223" t="str" cm="1">
        <f t="array" ref="AF778">IF($D778&lt;COLUMNS($F$7:AF$7),"",INDEX(TableDiv[[GASB]:[GASB]],_xlfn.AGGREGATE(15,3,(TableDiv[[Agency]:[Agency]]=$E778)/(TableDiv[[Agency]:[Agency]]=$E778)*(ROW(TableDiv[Agency])-ROW(TableDiv[[#Headers],[Agency]])),COLUMNS($F$7:AF$7))))</f>
        <v/>
      </c>
      <c r="AG778" s="2223" t="str" cm="1">
        <f t="array" ref="AG778">IF($D778&lt;COLUMNS($F$7:AG$7),"",INDEX(TableDiv[[GASB]:[GASB]],_xlfn.AGGREGATE(15,3,(TableDiv[[Agency]:[Agency]]=$E778)/(TableDiv[[Agency]:[Agency]]=$E778)*(ROW(TableDiv[Agency])-ROW(TableDiv[[#Headers],[Agency]])),COLUMNS($F$7:AG$7))))</f>
        <v/>
      </c>
      <c r="AH778" s="2223" t="str" cm="1">
        <f t="array" ref="AH778">IF($D778&lt;COLUMNS($F$7:AH$7),"",INDEX(TableDiv[[GASB]:[GASB]],_xlfn.AGGREGATE(15,3,(TableDiv[[Agency]:[Agency]]=$E778)/(TableDiv[[Agency]:[Agency]]=$E778)*(ROW(TableDiv[Agency])-ROW(TableDiv[[#Headers],[Agency]])),COLUMNS($F$7:AH$7))))</f>
        <v/>
      </c>
      <c r="AI778" s="2223" t="str" cm="1">
        <f t="array" ref="AI778">IF($D778&lt;COLUMNS($F$7:AI$7),"",INDEX(TableDiv[[GASB]:[GASB]],_xlfn.AGGREGATE(15,3,(TableDiv[[Agency]:[Agency]]=$E778)/(TableDiv[[Agency]:[Agency]]=$E778)*(ROW(TableDiv[Agency])-ROW(TableDiv[[#Headers],[Agency]])),COLUMNS($F$7:AI$7))))</f>
        <v/>
      </c>
      <c r="AJ778" s="2223" t="str" cm="1">
        <f t="array" ref="AJ778">IF($D778&lt;COLUMNS($F$7:AJ$7),"",INDEX(TableDiv[[GASB]:[GASB]],_xlfn.AGGREGATE(15,3,(TableDiv[[Agency]:[Agency]]=$E778)/(TableDiv[[Agency]:[Agency]]=$E778)*(ROW(TableDiv[Agency])-ROW(TableDiv[[#Headers],[Agency]])),COLUMNS($F$7:AJ$7))))</f>
        <v/>
      </c>
      <c r="AK778" s="2223" t="str" cm="1">
        <f t="array" ref="AK778">IF($D778&lt;COLUMNS($F$7:AK$7),"",INDEX(TableDiv[[GASB]:[GASB]],_xlfn.AGGREGATE(15,3,(TableDiv[[Agency]:[Agency]]=$E778)/(TableDiv[[Agency]:[Agency]]=$E778)*(ROW(TableDiv[Agency])-ROW(TableDiv[[#Headers],[Agency]])),COLUMNS($F$7:AK$7))))</f>
        <v/>
      </c>
      <c r="AL778" s="2223" t="str" cm="1">
        <f t="array" ref="AL778">IF($D778&lt;COLUMNS($F$7:AL$7),"",INDEX(TableDiv[[GASB]:[GASB]],_xlfn.AGGREGATE(15,3,(TableDiv[[Agency]:[Agency]]=$E778)/(TableDiv[[Agency]:[Agency]]=$E778)*(ROW(TableDiv[Agency])-ROW(TableDiv[[#Headers],[Agency]])),COLUMNS($F$7:AL$7))))</f>
        <v/>
      </c>
      <c r="AM778" s="2223" t="str" cm="1">
        <f t="array" ref="AM778">IF($D778&lt;COLUMNS($F$7:AM$7),"",INDEX(TableDiv[[GASB]:[GASB]],_xlfn.AGGREGATE(15,3,(TableDiv[[Agency]:[Agency]]=$E778)/(TableDiv[[Agency]:[Agency]]=$E778)*(ROW(TableDiv[Agency])-ROW(TableDiv[[#Headers],[Agency]])),COLUMNS($F$7:AM$7))))</f>
        <v/>
      </c>
      <c r="AN778" s="2223"/>
      <c r="AO778" s="2223"/>
      <c r="AP778" s="2223"/>
      <c r="AQ778" s="2223"/>
      <c r="AR778" s="2223"/>
      <c r="AS778" s="2223"/>
    </row>
    <row r="779" spans="1:45" x14ac:dyDescent="0.2">
      <c r="A779" s="2223"/>
      <c r="B779" s="2223"/>
      <c r="C779" s="2223"/>
      <c r="W779" s="2223" t="str" cm="1">
        <f t="array" ref="W779">IF($D779&lt;COLUMNS($F$7:W$7),"",INDEX(TableDiv[[GASB]:[GASB]],_xlfn.AGGREGATE(15,3,(TableDiv[[Agency]:[Agency]]=$E779)/(TableDiv[[Agency]:[Agency]]=$E779)*(ROW(TableDiv[Agency])-ROW(TableDiv[[#Headers],[Agency]])),COLUMNS($F$7:W$7))))</f>
        <v/>
      </c>
      <c r="X779" s="2223" t="str" cm="1">
        <f t="array" ref="X779">IF($D779&lt;COLUMNS($F$7:X$7),"",INDEX(TableDiv[[GASB]:[GASB]],_xlfn.AGGREGATE(15,3,(TableDiv[[Agency]:[Agency]]=$E779)/(TableDiv[[Agency]:[Agency]]=$E779)*(ROW(TableDiv[Agency])-ROW(TableDiv[[#Headers],[Agency]])),COLUMNS($F$7:X$7))))</f>
        <v/>
      </c>
      <c r="Y779" s="2223" t="str" cm="1">
        <f t="array" ref="Y779">IF($D779&lt;COLUMNS($F$7:Y$7),"",INDEX(TableDiv[[GASB]:[GASB]],_xlfn.AGGREGATE(15,3,(TableDiv[[Agency]:[Agency]]=$E779)/(TableDiv[[Agency]:[Agency]]=$E779)*(ROW(TableDiv[Agency])-ROW(TableDiv[[#Headers],[Agency]])),COLUMNS($F$7:Y$7))))</f>
        <v/>
      </c>
      <c r="Z779" s="2223" t="str" cm="1">
        <f t="array" ref="Z779">IF($D779&lt;COLUMNS($F$7:Z$7),"",INDEX(TableDiv[[GASB]:[GASB]],_xlfn.AGGREGATE(15,3,(TableDiv[[Agency]:[Agency]]=$E779)/(TableDiv[[Agency]:[Agency]]=$E779)*(ROW(TableDiv[Agency])-ROW(TableDiv[[#Headers],[Agency]])),COLUMNS($F$7:Z$7))))</f>
        <v/>
      </c>
      <c r="AA779" s="2223" t="str" cm="1">
        <f t="array" ref="AA779">IF($D779&lt;COLUMNS($F$7:AA$7),"",INDEX(TableDiv[[GASB]:[GASB]],_xlfn.AGGREGATE(15,3,(TableDiv[[Agency]:[Agency]]=$E779)/(TableDiv[[Agency]:[Agency]]=$E779)*(ROW(TableDiv[Agency])-ROW(TableDiv[[#Headers],[Agency]])),COLUMNS($F$7:AA$7))))</f>
        <v/>
      </c>
      <c r="AB779" s="2223" t="str" cm="1">
        <f t="array" ref="AB779">IF($D779&lt;COLUMNS($F$7:AB$7),"",INDEX(TableDiv[[GASB]:[GASB]],_xlfn.AGGREGATE(15,3,(TableDiv[[Agency]:[Agency]]=$E779)/(TableDiv[[Agency]:[Agency]]=$E779)*(ROW(TableDiv[Agency])-ROW(TableDiv[[#Headers],[Agency]])),COLUMNS($F$7:AB$7))))</f>
        <v/>
      </c>
      <c r="AC779" s="2223" t="str" cm="1">
        <f t="array" ref="AC779">IF($D779&lt;COLUMNS($F$7:AC$7),"",INDEX(TableDiv[[GASB]:[GASB]],_xlfn.AGGREGATE(15,3,(TableDiv[[Agency]:[Agency]]=$E779)/(TableDiv[[Agency]:[Agency]]=$E779)*(ROW(TableDiv[Agency])-ROW(TableDiv[[#Headers],[Agency]])),COLUMNS($F$7:AC$7))))</f>
        <v/>
      </c>
      <c r="AD779" s="2223" t="str" cm="1">
        <f t="array" ref="AD779">IF($D779&lt;COLUMNS($F$7:AD$7),"",INDEX(TableDiv[[GASB]:[GASB]],_xlfn.AGGREGATE(15,3,(TableDiv[[Agency]:[Agency]]=$E779)/(TableDiv[[Agency]:[Agency]]=$E779)*(ROW(TableDiv[Agency])-ROW(TableDiv[[#Headers],[Agency]])),COLUMNS($F$7:AD$7))))</f>
        <v/>
      </c>
      <c r="AE779" s="2223" t="str" cm="1">
        <f t="array" ref="AE779">IF($D779&lt;COLUMNS($F$7:AE$7),"",INDEX(TableDiv[[GASB]:[GASB]],_xlfn.AGGREGATE(15,3,(TableDiv[[Agency]:[Agency]]=$E779)/(TableDiv[[Agency]:[Agency]]=$E779)*(ROW(TableDiv[Agency])-ROW(TableDiv[[#Headers],[Agency]])),COLUMNS($F$7:AE$7))))</f>
        <v/>
      </c>
      <c r="AF779" s="2223" t="str" cm="1">
        <f t="array" ref="AF779">IF($D779&lt;COLUMNS($F$7:AF$7),"",INDEX(TableDiv[[GASB]:[GASB]],_xlfn.AGGREGATE(15,3,(TableDiv[[Agency]:[Agency]]=$E779)/(TableDiv[[Agency]:[Agency]]=$E779)*(ROW(TableDiv[Agency])-ROW(TableDiv[[#Headers],[Agency]])),COLUMNS($F$7:AF$7))))</f>
        <v/>
      </c>
      <c r="AG779" s="2223" t="str" cm="1">
        <f t="array" ref="AG779">IF($D779&lt;COLUMNS($F$7:AG$7),"",INDEX(TableDiv[[GASB]:[GASB]],_xlfn.AGGREGATE(15,3,(TableDiv[[Agency]:[Agency]]=$E779)/(TableDiv[[Agency]:[Agency]]=$E779)*(ROW(TableDiv[Agency])-ROW(TableDiv[[#Headers],[Agency]])),COLUMNS($F$7:AG$7))))</f>
        <v/>
      </c>
      <c r="AH779" s="2223" t="str" cm="1">
        <f t="array" ref="AH779">IF($D779&lt;COLUMNS($F$7:AH$7),"",INDEX(TableDiv[[GASB]:[GASB]],_xlfn.AGGREGATE(15,3,(TableDiv[[Agency]:[Agency]]=$E779)/(TableDiv[[Agency]:[Agency]]=$E779)*(ROW(TableDiv[Agency])-ROW(TableDiv[[#Headers],[Agency]])),COLUMNS($F$7:AH$7))))</f>
        <v/>
      </c>
      <c r="AI779" s="2223" t="str" cm="1">
        <f t="array" ref="AI779">IF($D779&lt;COLUMNS($F$7:AI$7),"",INDEX(TableDiv[[GASB]:[GASB]],_xlfn.AGGREGATE(15,3,(TableDiv[[Agency]:[Agency]]=$E779)/(TableDiv[[Agency]:[Agency]]=$E779)*(ROW(TableDiv[Agency])-ROW(TableDiv[[#Headers],[Agency]])),COLUMNS($F$7:AI$7))))</f>
        <v/>
      </c>
      <c r="AJ779" s="2223" t="str" cm="1">
        <f t="array" ref="AJ779">IF($D779&lt;COLUMNS($F$7:AJ$7),"",INDEX(TableDiv[[GASB]:[GASB]],_xlfn.AGGREGATE(15,3,(TableDiv[[Agency]:[Agency]]=$E779)/(TableDiv[[Agency]:[Agency]]=$E779)*(ROW(TableDiv[Agency])-ROW(TableDiv[[#Headers],[Agency]])),COLUMNS($F$7:AJ$7))))</f>
        <v/>
      </c>
      <c r="AK779" s="2223" t="str" cm="1">
        <f t="array" ref="AK779">IF($D779&lt;COLUMNS($F$7:AK$7),"",INDEX(TableDiv[[GASB]:[GASB]],_xlfn.AGGREGATE(15,3,(TableDiv[[Agency]:[Agency]]=$E779)/(TableDiv[[Agency]:[Agency]]=$E779)*(ROW(TableDiv[Agency])-ROW(TableDiv[[#Headers],[Agency]])),COLUMNS($F$7:AK$7))))</f>
        <v/>
      </c>
      <c r="AL779" s="2223" t="str" cm="1">
        <f t="array" ref="AL779">IF($D779&lt;COLUMNS($F$7:AL$7),"",INDEX(TableDiv[[GASB]:[GASB]],_xlfn.AGGREGATE(15,3,(TableDiv[[Agency]:[Agency]]=$E779)/(TableDiv[[Agency]:[Agency]]=$E779)*(ROW(TableDiv[Agency])-ROW(TableDiv[[#Headers],[Agency]])),COLUMNS($F$7:AL$7))))</f>
        <v/>
      </c>
      <c r="AM779" s="2223" t="str" cm="1">
        <f t="array" ref="AM779">IF($D779&lt;COLUMNS($F$7:AM$7),"",INDEX(TableDiv[[GASB]:[GASB]],_xlfn.AGGREGATE(15,3,(TableDiv[[Agency]:[Agency]]=$E779)/(TableDiv[[Agency]:[Agency]]=$E779)*(ROW(TableDiv[Agency])-ROW(TableDiv[[#Headers],[Agency]])),COLUMNS($F$7:AM$7))))</f>
        <v/>
      </c>
      <c r="AN779" s="2223"/>
      <c r="AO779" s="2223"/>
      <c r="AP779" s="2223"/>
      <c r="AQ779" s="2223"/>
      <c r="AR779" s="2223"/>
      <c r="AS779" s="2223"/>
    </row>
    <row r="780" spans="1:45" x14ac:dyDescent="0.2">
      <c r="A780" s="2223"/>
      <c r="B780" s="2223"/>
      <c r="C780" s="2223"/>
      <c r="W780" s="2223" t="str" cm="1">
        <f t="array" ref="W780">IF($D780&lt;COLUMNS($F$7:W$7),"",INDEX(TableDiv[[GASB]:[GASB]],_xlfn.AGGREGATE(15,3,(TableDiv[[Agency]:[Agency]]=$E780)/(TableDiv[[Agency]:[Agency]]=$E780)*(ROW(TableDiv[Agency])-ROW(TableDiv[[#Headers],[Agency]])),COLUMNS($F$7:W$7))))</f>
        <v/>
      </c>
      <c r="X780" s="2223" t="str" cm="1">
        <f t="array" ref="X780">IF($D780&lt;COLUMNS($F$7:X$7),"",INDEX(TableDiv[[GASB]:[GASB]],_xlfn.AGGREGATE(15,3,(TableDiv[[Agency]:[Agency]]=$E780)/(TableDiv[[Agency]:[Agency]]=$E780)*(ROW(TableDiv[Agency])-ROW(TableDiv[[#Headers],[Agency]])),COLUMNS($F$7:X$7))))</f>
        <v/>
      </c>
      <c r="Y780" s="2223" t="str" cm="1">
        <f t="array" ref="Y780">IF($D780&lt;COLUMNS($F$7:Y$7),"",INDEX(TableDiv[[GASB]:[GASB]],_xlfn.AGGREGATE(15,3,(TableDiv[[Agency]:[Agency]]=$E780)/(TableDiv[[Agency]:[Agency]]=$E780)*(ROW(TableDiv[Agency])-ROW(TableDiv[[#Headers],[Agency]])),COLUMNS($F$7:Y$7))))</f>
        <v/>
      </c>
      <c r="Z780" s="2223" t="str" cm="1">
        <f t="array" ref="Z780">IF($D780&lt;COLUMNS($F$7:Z$7),"",INDEX(TableDiv[[GASB]:[GASB]],_xlfn.AGGREGATE(15,3,(TableDiv[[Agency]:[Agency]]=$E780)/(TableDiv[[Agency]:[Agency]]=$E780)*(ROW(TableDiv[Agency])-ROW(TableDiv[[#Headers],[Agency]])),COLUMNS($F$7:Z$7))))</f>
        <v/>
      </c>
      <c r="AA780" s="2223" t="str" cm="1">
        <f t="array" ref="AA780">IF($D780&lt;COLUMNS($F$7:AA$7),"",INDEX(TableDiv[[GASB]:[GASB]],_xlfn.AGGREGATE(15,3,(TableDiv[[Agency]:[Agency]]=$E780)/(TableDiv[[Agency]:[Agency]]=$E780)*(ROW(TableDiv[Agency])-ROW(TableDiv[[#Headers],[Agency]])),COLUMNS($F$7:AA$7))))</f>
        <v/>
      </c>
      <c r="AB780" s="2223" t="str" cm="1">
        <f t="array" ref="AB780">IF($D780&lt;COLUMNS($F$7:AB$7),"",INDEX(TableDiv[[GASB]:[GASB]],_xlfn.AGGREGATE(15,3,(TableDiv[[Agency]:[Agency]]=$E780)/(TableDiv[[Agency]:[Agency]]=$E780)*(ROW(TableDiv[Agency])-ROW(TableDiv[[#Headers],[Agency]])),COLUMNS($F$7:AB$7))))</f>
        <v/>
      </c>
      <c r="AC780" s="2223" t="str" cm="1">
        <f t="array" ref="AC780">IF($D780&lt;COLUMNS($F$7:AC$7),"",INDEX(TableDiv[[GASB]:[GASB]],_xlfn.AGGREGATE(15,3,(TableDiv[[Agency]:[Agency]]=$E780)/(TableDiv[[Agency]:[Agency]]=$E780)*(ROW(TableDiv[Agency])-ROW(TableDiv[[#Headers],[Agency]])),COLUMNS($F$7:AC$7))))</f>
        <v/>
      </c>
      <c r="AD780" s="2223" t="str" cm="1">
        <f t="array" ref="AD780">IF($D780&lt;COLUMNS($F$7:AD$7),"",INDEX(TableDiv[[GASB]:[GASB]],_xlfn.AGGREGATE(15,3,(TableDiv[[Agency]:[Agency]]=$E780)/(TableDiv[[Agency]:[Agency]]=$E780)*(ROW(TableDiv[Agency])-ROW(TableDiv[[#Headers],[Agency]])),COLUMNS($F$7:AD$7))))</f>
        <v/>
      </c>
      <c r="AE780" s="2223" t="str" cm="1">
        <f t="array" ref="AE780">IF($D780&lt;COLUMNS($F$7:AE$7),"",INDEX(TableDiv[[GASB]:[GASB]],_xlfn.AGGREGATE(15,3,(TableDiv[[Agency]:[Agency]]=$E780)/(TableDiv[[Agency]:[Agency]]=$E780)*(ROW(TableDiv[Agency])-ROW(TableDiv[[#Headers],[Agency]])),COLUMNS($F$7:AE$7))))</f>
        <v/>
      </c>
      <c r="AF780" s="2223" t="str" cm="1">
        <f t="array" ref="AF780">IF($D780&lt;COLUMNS($F$7:AF$7),"",INDEX(TableDiv[[GASB]:[GASB]],_xlfn.AGGREGATE(15,3,(TableDiv[[Agency]:[Agency]]=$E780)/(TableDiv[[Agency]:[Agency]]=$E780)*(ROW(TableDiv[Agency])-ROW(TableDiv[[#Headers],[Agency]])),COLUMNS($F$7:AF$7))))</f>
        <v/>
      </c>
      <c r="AG780" s="2223" t="str" cm="1">
        <f t="array" ref="AG780">IF($D780&lt;COLUMNS($F$7:AG$7),"",INDEX(TableDiv[[GASB]:[GASB]],_xlfn.AGGREGATE(15,3,(TableDiv[[Agency]:[Agency]]=$E780)/(TableDiv[[Agency]:[Agency]]=$E780)*(ROW(TableDiv[Agency])-ROW(TableDiv[[#Headers],[Agency]])),COLUMNS($F$7:AG$7))))</f>
        <v/>
      </c>
      <c r="AH780" s="2223" t="str" cm="1">
        <f t="array" ref="AH780">IF($D780&lt;COLUMNS($F$7:AH$7),"",INDEX(TableDiv[[GASB]:[GASB]],_xlfn.AGGREGATE(15,3,(TableDiv[[Agency]:[Agency]]=$E780)/(TableDiv[[Agency]:[Agency]]=$E780)*(ROW(TableDiv[Agency])-ROW(TableDiv[[#Headers],[Agency]])),COLUMNS($F$7:AH$7))))</f>
        <v/>
      </c>
      <c r="AI780" s="2223" t="str" cm="1">
        <f t="array" ref="AI780">IF($D780&lt;COLUMNS($F$7:AI$7),"",INDEX(TableDiv[[GASB]:[GASB]],_xlfn.AGGREGATE(15,3,(TableDiv[[Agency]:[Agency]]=$E780)/(TableDiv[[Agency]:[Agency]]=$E780)*(ROW(TableDiv[Agency])-ROW(TableDiv[[#Headers],[Agency]])),COLUMNS($F$7:AI$7))))</f>
        <v/>
      </c>
      <c r="AJ780" s="2223" t="str" cm="1">
        <f t="array" ref="AJ780">IF($D780&lt;COLUMNS($F$7:AJ$7),"",INDEX(TableDiv[[GASB]:[GASB]],_xlfn.AGGREGATE(15,3,(TableDiv[[Agency]:[Agency]]=$E780)/(TableDiv[[Agency]:[Agency]]=$E780)*(ROW(TableDiv[Agency])-ROW(TableDiv[[#Headers],[Agency]])),COLUMNS($F$7:AJ$7))))</f>
        <v/>
      </c>
      <c r="AK780" s="2223" t="str" cm="1">
        <f t="array" ref="AK780">IF($D780&lt;COLUMNS($F$7:AK$7),"",INDEX(TableDiv[[GASB]:[GASB]],_xlfn.AGGREGATE(15,3,(TableDiv[[Agency]:[Agency]]=$E780)/(TableDiv[[Agency]:[Agency]]=$E780)*(ROW(TableDiv[Agency])-ROW(TableDiv[[#Headers],[Agency]])),COLUMNS($F$7:AK$7))))</f>
        <v/>
      </c>
      <c r="AL780" s="2223" t="str" cm="1">
        <f t="array" ref="AL780">IF($D780&lt;COLUMNS($F$7:AL$7),"",INDEX(TableDiv[[GASB]:[GASB]],_xlfn.AGGREGATE(15,3,(TableDiv[[Agency]:[Agency]]=$E780)/(TableDiv[[Agency]:[Agency]]=$E780)*(ROW(TableDiv[Agency])-ROW(TableDiv[[#Headers],[Agency]])),COLUMNS($F$7:AL$7))))</f>
        <v/>
      </c>
      <c r="AM780" s="2223" t="str" cm="1">
        <f t="array" ref="AM780">IF($D780&lt;COLUMNS($F$7:AM$7),"",INDEX(TableDiv[[GASB]:[GASB]],_xlfn.AGGREGATE(15,3,(TableDiv[[Agency]:[Agency]]=$E780)/(TableDiv[[Agency]:[Agency]]=$E780)*(ROW(TableDiv[Agency])-ROW(TableDiv[[#Headers],[Agency]])),COLUMNS($F$7:AM$7))))</f>
        <v/>
      </c>
      <c r="AN780" s="2223"/>
      <c r="AO780" s="2223"/>
      <c r="AP780" s="2223"/>
      <c r="AQ780" s="2223"/>
      <c r="AR780" s="2223"/>
      <c r="AS780" s="2223"/>
    </row>
    <row r="781" spans="1:45" x14ac:dyDescent="0.2">
      <c r="A781" s="2223"/>
      <c r="B781" s="2223"/>
      <c r="C781" s="2223"/>
      <c r="W781" s="2223" t="str" cm="1">
        <f t="array" ref="W781">IF($D781&lt;COLUMNS($F$7:W$7),"",INDEX(TableDiv[[GASB]:[GASB]],_xlfn.AGGREGATE(15,3,(TableDiv[[Agency]:[Agency]]=$E781)/(TableDiv[[Agency]:[Agency]]=$E781)*(ROW(TableDiv[Agency])-ROW(TableDiv[[#Headers],[Agency]])),COLUMNS($F$7:W$7))))</f>
        <v/>
      </c>
      <c r="X781" s="2223" t="str" cm="1">
        <f t="array" ref="X781">IF($D781&lt;COLUMNS($F$7:X$7),"",INDEX(TableDiv[[GASB]:[GASB]],_xlfn.AGGREGATE(15,3,(TableDiv[[Agency]:[Agency]]=$E781)/(TableDiv[[Agency]:[Agency]]=$E781)*(ROW(TableDiv[Agency])-ROW(TableDiv[[#Headers],[Agency]])),COLUMNS($F$7:X$7))))</f>
        <v/>
      </c>
      <c r="Y781" s="2223" t="str" cm="1">
        <f t="array" ref="Y781">IF($D781&lt;COLUMNS($F$7:Y$7),"",INDEX(TableDiv[[GASB]:[GASB]],_xlfn.AGGREGATE(15,3,(TableDiv[[Agency]:[Agency]]=$E781)/(TableDiv[[Agency]:[Agency]]=$E781)*(ROW(TableDiv[Agency])-ROW(TableDiv[[#Headers],[Agency]])),COLUMNS($F$7:Y$7))))</f>
        <v/>
      </c>
      <c r="Z781" s="2223" t="str" cm="1">
        <f t="array" ref="Z781">IF($D781&lt;COLUMNS($F$7:Z$7),"",INDEX(TableDiv[[GASB]:[GASB]],_xlfn.AGGREGATE(15,3,(TableDiv[[Agency]:[Agency]]=$E781)/(TableDiv[[Agency]:[Agency]]=$E781)*(ROW(TableDiv[Agency])-ROW(TableDiv[[#Headers],[Agency]])),COLUMNS($F$7:Z$7))))</f>
        <v/>
      </c>
      <c r="AA781" s="2223" t="str" cm="1">
        <f t="array" ref="AA781">IF($D781&lt;COLUMNS($F$7:AA$7),"",INDEX(TableDiv[[GASB]:[GASB]],_xlfn.AGGREGATE(15,3,(TableDiv[[Agency]:[Agency]]=$E781)/(TableDiv[[Agency]:[Agency]]=$E781)*(ROW(TableDiv[Agency])-ROW(TableDiv[[#Headers],[Agency]])),COLUMNS($F$7:AA$7))))</f>
        <v/>
      </c>
      <c r="AB781" s="2223" t="str" cm="1">
        <f t="array" ref="AB781">IF($D781&lt;COLUMNS($F$7:AB$7),"",INDEX(TableDiv[[GASB]:[GASB]],_xlfn.AGGREGATE(15,3,(TableDiv[[Agency]:[Agency]]=$E781)/(TableDiv[[Agency]:[Agency]]=$E781)*(ROW(TableDiv[Agency])-ROW(TableDiv[[#Headers],[Agency]])),COLUMNS($F$7:AB$7))))</f>
        <v/>
      </c>
      <c r="AC781" s="2223" t="str" cm="1">
        <f t="array" ref="AC781">IF($D781&lt;COLUMNS($F$7:AC$7),"",INDEX(TableDiv[[GASB]:[GASB]],_xlfn.AGGREGATE(15,3,(TableDiv[[Agency]:[Agency]]=$E781)/(TableDiv[[Agency]:[Agency]]=$E781)*(ROW(TableDiv[Agency])-ROW(TableDiv[[#Headers],[Agency]])),COLUMNS($F$7:AC$7))))</f>
        <v/>
      </c>
      <c r="AD781" s="2223" t="str" cm="1">
        <f t="array" ref="AD781">IF($D781&lt;COLUMNS($F$7:AD$7),"",INDEX(TableDiv[[GASB]:[GASB]],_xlfn.AGGREGATE(15,3,(TableDiv[[Agency]:[Agency]]=$E781)/(TableDiv[[Agency]:[Agency]]=$E781)*(ROW(TableDiv[Agency])-ROW(TableDiv[[#Headers],[Agency]])),COLUMNS($F$7:AD$7))))</f>
        <v/>
      </c>
      <c r="AE781" s="2223" t="str" cm="1">
        <f t="array" ref="AE781">IF($D781&lt;COLUMNS($F$7:AE$7),"",INDEX(TableDiv[[GASB]:[GASB]],_xlfn.AGGREGATE(15,3,(TableDiv[[Agency]:[Agency]]=$E781)/(TableDiv[[Agency]:[Agency]]=$E781)*(ROW(TableDiv[Agency])-ROW(TableDiv[[#Headers],[Agency]])),COLUMNS($F$7:AE$7))))</f>
        <v/>
      </c>
      <c r="AF781" s="2223" t="str" cm="1">
        <f t="array" ref="AF781">IF($D781&lt;COLUMNS($F$7:AF$7),"",INDEX(TableDiv[[GASB]:[GASB]],_xlfn.AGGREGATE(15,3,(TableDiv[[Agency]:[Agency]]=$E781)/(TableDiv[[Agency]:[Agency]]=$E781)*(ROW(TableDiv[Agency])-ROW(TableDiv[[#Headers],[Agency]])),COLUMNS($F$7:AF$7))))</f>
        <v/>
      </c>
      <c r="AG781" s="2223" t="str" cm="1">
        <f t="array" ref="AG781">IF($D781&lt;COLUMNS($F$7:AG$7),"",INDEX(TableDiv[[GASB]:[GASB]],_xlfn.AGGREGATE(15,3,(TableDiv[[Agency]:[Agency]]=$E781)/(TableDiv[[Agency]:[Agency]]=$E781)*(ROW(TableDiv[Agency])-ROW(TableDiv[[#Headers],[Agency]])),COLUMNS($F$7:AG$7))))</f>
        <v/>
      </c>
      <c r="AH781" s="2223" t="str" cm="1">
        <f t="array" ref="AH781">IF($D781&lt;COLUMNS($F$7:AH$7),"",INDEX(TableDiv[[GASB]:[GASB]],_xlfn.AGGREGATE(15,3,(TableDiv[[Agency]:[Agency]]=$E781)/(TableDiv[[Agency]:[Agency]]=$E781)*(ROW(TableDiv[Agency])-ROW(TableDiv[[#Headers],[Agency]])),COLUMNS($F$7:AH$7))))</f>
        <v/>
      </c>
      <c r="AI781" s="2223" t="str" cm="1">
        <f t="array" ref="AI781">IF($D781&lt;COLUMNS($F$7:AI$7),"",INDEX(TableDiv[[GASB]:[GASB]],_xlfn.AGGREGATE(15,3,(TableDiv[[Agency]:[Agency]]=$E781)/(TableDiv[[Agency]:[Agency]]=$E781)*(ROW(TableDiv[Agency])-ROW(TableDiv[[#Headers],[Agency]])),COLUMNS($F$7:AI$7))))</f>
        <v/>
      </c>
      <c r="AJ781" s="2223" t="str" cm="1">
        <f t="array" ref="AJ781">IF($D781&lt;COLUMNS($F$7:AJ$7),"",INDEX(TableDiv[[GASB]:[GASB]],_xlfn.AGGREGATE(15,3,(TableDiv[[Agency]:[Agency]]=$E781)/(TableDiv[[Agency]:[Agency]]=$E781)*(ROW(TableDiv[Agency])-ROW(TableDiv[[#Headers],[Agency]])),COLUMNS($F$7:AJ$7))))</f>
        <v/>
      </c>
      <c r="AK781" s="2223" t="str" cm="1">
        <f t="array" ref="AK781">IF($D781&lt;COLUMNS($F$7:AK$7),"",INDEX(TableDiv[[GASB]:[GASB]],_xlfn.AGGREGATE(15,3,(TableDiv[[Agency]:[Agency]]=$E781)/(TableDiv[[Agency]:[Agency]]=$E781)*(ROW(TableDiv[Agency])-ROW(TableDiv[[#Headers],[Agency]])),COLUMNS($F$7:AK$7))))</f>
        <v/>
      </c>
      <c r="AL781" s="2223" t="str" cm="1">
        <f t="array" ref="AL781">IF($D781&lt;COLUMNS($F$7:AL$7),"",INDEX(TableDiv[[GASB]:[GASB]],_xlfn.AGGREGATE(15,3,(TableDiv[[Agency]:[Agency]]=$E781)/(TableDiv[[Agency]:[Agency]]=$E781)*(ROW(TableDiv[Agency])-ROW(TableDiv[[#Headers],[Agency]])),COLUMNS($F$7:AL$7))))</f>
        <v/>
      </c>
      <c r="AM781" s="2223" t="str" cm="1">
        <f t="array" ref="AM781">IF($D781&lt;COLUMNS($F$7:AM$7),"",INDEX(TableDiv[[GASB]:[GASB]],_xlfn.AGGREGATE(15,3,(TableDiv[[Agency]:[Agency]]=$E781)/(TableDiv[[Agency]:[Agency]]=$E781)*(ROW(TableDiv[Agency])-ROW(TableDiv[[#Headers],[Agency]])),COLUMNS($F$7:AM$7))))</f>
        <v/>
      </c>
      <c r="AN781" s="2223"/>
      <c r="AO781" s="2223"/>
      <c r="AP781" s="2223"/>
      <c r="AQ781" s="2223"/>
      <c r="AR781" s="2223"/>
      <c r="AS781" s="2223"/>
    </row>
    <row r="782" spans="1:45" x14ac:dyDescent="0.2">
      <c r="A782" s="2223"/>
      <c r="B782" s="2223"/>
      <c r="C782" s="2223"/>
      <c r="W782" s="2223" t="str" cm="1">
        <f t="array" ref="W782">IF($D782&lt;COLUMNS($F$7:W$7),"",INDEX(TableDiv[[GASB]:[GASB]],_xlfn.AGGREGATE(15,3,(TableDiv[[Agency]:[Agency]]=$E782)/(TableDiv[[Agency]:[Agency]]=$E782)*(ROW(TableDiv[Agency])-ROW(TableDiv[[#Headers],[Agency]])),COLUMNS($F$7:W$7))))</f>
        <v/>
      </c>
      <c r="X782" s="2223" t="str" cm="1">
        <f t="array" ref="X782">IF($D782&lt;COLUMNS($F$7:X$7),"",INDEX(TableDiv[[GASB]:[GASB]],_xlfn.AGGREGATE(15,3,(TableDiv[[Agency]:[Agency]]=$E782)/(TableDiv[[Agency]:[Agency]]=$E782)*(ROW(TableDiv[Agency])-ROW(TableDiv[[#Headers],[Agency]])),COLUMNS($F$7:X$7))))</f>
        <v/>
      </c>
      <c r="Y782" s="2223" t="str" cm="1">
        <f t="array" ref="Y782">IF($D782&lt;COLUMNS($F$7:Y$7),"",INDEX(TableDiv[[GASB]:[GASB]],_xlfn.AGGREGATE(15,3,(TableDiv[[Agency]:[Agency]]=$E782)/(TableDiv[[Agency]:[Agency]]=$E782)*(ROW(TableDiv[Agency])-ROW(TableDiv[[#Headers],[Agency]])),COLUMNS($F$7:Y$7))))</f>
        <v/>
      </c>
      <c r="Z782" s="2223" t="str" cm="1">
        <f t="array" ref="Z782">IF($D782&lt;COLUMNS($F$7:Z$7),"",INDEX(TableDiv[[GASB]:[GASB]],_xlfn.AGGREGATE(15,3,(TableDiv[[Agency]:[Agency]]=$E782)/(TableDiv[[Agency]:[Agency]]=$E782)*(ROW(TableDiv[Agency])-ROW(TableDiv[[#Headers],[Agency]])),COLUMNS($F$7:Z$7))))</f>
        <v/>
      </c>
      <c r="AA782" s="2223" t="str" cm="1">
        <f t="array" ref="AA782">IF($D782&lt;COLUMNS($F$7:AA$7),"",INDEX(TableDiv[[GASB]:[GASB]],_xlfn.AGGREGATE(15,3,(TableDiv[[Agency]:[Agency]]=$E782)/(TableDiv[[Agency]:[Agency]]=$E782)*(ROW(TableDiv[Agency])-ROW(TableDiv[[#Headers],[Agency]])),COLUMNS($F$7:AA$7))))</f>
        <v/>
      </c>
      <c r="AB782" s="2223" t="str" cm="1">
        <f t="array" ref="AB782">IF($D782&lt;COLUMNS($F$7:AB$7),"",INDEX(TableDiv[[GASB]:[GASB]],_xlfn.AGGREGATE(15,3,(TableDiv[[Agency]:[Agency]]=$E782)/(TableDiv[[Agency]:[Agency]]=$E782)*(ROW(TableDiv[Agency])-ROW(TableDiv[[#Headers],[Agency]])),COLUMNS($F$7:AB$7))))</f>
        <v/>
      </c>
      <c r="AC782" s="2223" t="str" cm="1">
        <f t="array" ref="AC782">IF($D782&lt;COLUMNS($F$7:AC$7),"",INDEX(TableDiv[[GASB]:[GASB]],_xlfn.AGGREGATE(15,3,(TableDiv[[Agency]:[Agency]]=$E782)/(TableDiv[[Agency]:[Agency]]=$E782)*(ROW(TableDiv[Agency])-ROW(TableDiv[[#Headers],[Agency]])),COLUMNS($F$7:AC$7))))</f>
        <v/>
      </c>
      <c r="AD782" s="2223" t="str" cm="1">
        <f t="array" ref="AD782">IF($D782&lt;COLUMNS($F$7:AD$7),"",INDEX(TableDiv[[GASB]:[GASB]],_xlfn.AGGREGATE(15,3,(TableDiv[[Agency]:[Agency]]=$E782)/(TableDiv[[Agency]:[Agency]]=$E782)*(ROW(TableDiv[Agency])-ROW(TableDiv[[#Headers],[Agency]])),COLUMNS($F$7:AD$7))))</f>
        <v/>
      </c>
      <c r="AE782" s="2223" t="str" cm="1">
        <f t="array" ref="AE782">IF($D782&lt;COLUMNS($F$7:AE$7),"",INDEX(TableDiv[[GASB]:[GASB]],_xlfn.AGGREGATE(15,3,(TableDiv[[Agency]:[Agency]]=$E782)/(TableDiv[[Agency]:[Agency]]=$E782)*(ROW(TableDiv[Agency])-ROW(TableDiv[[#Headers],[Agency]])),COLUMNS($F$7:AE$7))))</f>
        <v/>
      </c>
      <c r="AF782" s="2223" t="str" cm="1">
        <f t="array" ref="AF782">IF($D782&lt;COLUMNS($F$7:AF$7),"",INDEX(TableDiv[[GASB]:[GASB]],_xlfn.AGGREGATE(15,3,(TableDiv[[Agency]:[Agency]]=$E782)/(TableDiv[[Agency]:[Agency]]=$E782)*(ROW(TableDiv[Agency])-ROW(TableDiv[[#Headers],[Agency]])),COLUMNS($F$7:AF$7))))</f>
        <v/>
      </c>
      <c r="AG782" s="2223" t="str" cm="1">
        <f t="array" ref="AG782">IF($D782&lt;COLUMNS($F$7:AG$7),"",INDEX(TableDiv[[GASB]:[GASB]],_xlfn.AGGREGATE(15,3,(TableDiv[[Agency]:[Agency]]=$E782)/(TableDiv[[Agency]:[Agency]]=$E782)*(ROW(TableDiv[Agency])-ROW(TableDiv[[#Headers],[Agency]])),COLUMNS($F$7:AG$7))))</f>
        <v/>
      </c>
      <c r="AH782" s="2223" t="str" cm="1">
        <f t="array" ref="AH782">IF($D782&lt;COLUMNS($F$7:AH$7),"",INDEX(TableDiv[[GASB]:[GASB]],_xlfn.AGGREGATE(15,3,(TableDiv[[Agency]:[Agency]]=$E782)/(TableDiv[[Agency]:[Agency]]=$E782)*(ROW(TableDiv[Agency])-ROW(TableDiv[[#Headers],[Agency]])),COLUMNS($F$7:AH$7))))</f>
        <v/>
      </c>
      <c r="AI782" s="2223" t="str" cm="1">
        <f t="array" ref="AI782">IF($D782&lt;COLUMNS($F$7:AI$7),"",INDEX(TableDiv[[GASB]:[GASB]],_xlfn.AGGREGATE(15,3,(TableDiv[[Agency]:[Agency]]=$E782)/(TableDiv[[Agency]:[Agency]]=$E782)*(ROW(TableDiv[Agency])-ROW(TableDiv[[#Headers],[Agency]])),COLUMNS($F$7:AI$7))))</f>
        <v/>
      </c>
      <c r="AJ782" s="2223" t="str" cm="1">
        <f t="array" ref="AJ782">IF($D782&lt;COLUMNS($F$7:AJ$7),"",INDEX(TableDiv[[GASB]:[GASB]],_xlfn.AGGREGATE(15,3,(TableDiv[[Agency]:[Agency]]=$E782)/(TableDiv[[Agency]:[Agency]]=$E782)*(ROW(TableDiv[Agency])-ROW(TableDiv[[#Headers],[Agency]])),COLUMNS($F$7:AJ$7))))</f>
        <v/>
      </c>
      <c r="AK782" s="2223" t="str" cm="1">
        <f t="array" ref="AK782">IF($D782&lt;COLUMNS($F$7:AK$7),"",INDEX(TableDiv[[GASB]:[GASB]],_xlfn.AGGREGATE(15,3,(TableDiv[[Agency]:[Agency]]=$E782)/(TableDiv[[Agency]:[Agency]]=$E782)*(ROW(TableDiv[Agency])-ROW(TableDiv[[#Headers],[Agency]])),COLUMNS($F$7:AK$7))))</f>
        <v/>
      </c>
      <c r="AL782" s="2223" t="str" cm="1">
        <f t="array" ref="AL782">IF($D782&lt;COLUMNS($F$7:AL$7),"",INDEX(TableDiv[[GASB]:[GASB]],_xlfn.AGGREGATE(15,3,(TableDiv[[Agency]:[Agency]]=$E782)/(TableDiv[[Agency]:[Agency]]=$E782)*(ROW(TableDiv[Agency])-ROW(TableDiv[[#Headers],[Agency]])),COLUMNS($F$7:AL$7))))</f>
        <v/>
      </c>
      <c r="AM782" s="2223" t="str" cm="1">
        <f t="array" ref="AM782">IF($D782&lt;COLUMNS($F$7:AM$7),"",INDEX(TableDiv[[GASB]:[GASB]],_xlfn.AGGREGATE(15,3,(TableDiv[[Agency]:[Agency]]=$E782)/(TableDiv[[Agency]:[Agency]]=$E782)*(ROW(TableDiv[Agency])-ROW(TableDiv[[#Headers],[Agency]])),COLUMNS($F$7:AM$7))))</f>
        <v/>
      </c>
      <c r="AN782" s="2223"/>
      <c r="AO782" s="2223"/>
      <c r="AP782" s="2223"/>
      <c r="AQ782" s="2223"/>
      <c r="AR782" s="2223"/>
      <c r="AS782" s="2223"/>
    </row>
    <row r="783" spans="1:45" x14ac:dyDescent="0.2">
      <c r="A783" s="2223"/>
      <c r="B783" s="2223"/>
      <c r="C783" s="2223"/>
      <c r="W783" s="2223" t="str" cm="1">
        <f t="array" ref="W783">IF($D783&lt;COLUMNS($F$7:W$7),"",INDEX(TableDiv[[GASB]:[GASB]],_xlfn.AGGREGATE(15,3,(TableDiv[[Agency]:[Agency]]=$E783)/(TableDiv[[Agency]:[Agency]]=$E783)*(ROW(TableDiv[Agency])-ROW(TableDiv[[#Headers],[Agency]])),COLUMNS($F$7:W$7))))</f>
        <v/>
      </c>
      <c r="X783" s="2223" t="str" cm="1">
        <f t="array" ref="X783">IF($D783&lt;COLUMNS($F$7:X$7),"",INDEX(TableDiv[[GASB]:[GASB]],_xlfn.AGGREGATE(15,3,(TableDiv[[Agency]:[Agency]]=$E783)/(TableDiv[[Agency]:[Agency]]=$E783)*(ROW(TableDiv[Agency])-ROW(TableDiv[[#Headers],[Agency]])),COLUMNS($F$7:X$7))))</f>
        <v/>
      </c>
      <c r="Y783" s="2223" t="str" cm="1">
        <f t="array" ref="Y783">IF($D783&lt;COLUMNS($F$7:Y$7),"",INDEX(TableDiv[[GASB]:[GASB]],_xlfn.AGGREGATE(15,3,(TableDiv[[Agency]:[Agency]]=$E783)/(TableDiv[[Agency]:[Agency]]=$E783)*(ROW(TableDiv[Agency])-ROW(TableDiv[[#Headers],[Agency]])),COLUMNS($F$7:Y$7))))</f>
        <v/>
      </c>
      <c r="Z783" s="2223" t="str" cm="1">
        <f t="array" ref="Z783">IF($D783&lt;COLUMNS($F$7:Z$7),"",INDEX(TableDiv[[GASB]:[GASB]],_xlfn.AGGREGATE(15,3,(TableDiv[[Agency]:[Agency]]=$E783)/(TableDiv[[Agency]:[Agency]]=$E783)*(ROW(TableDiv[Agency])-ROW(TableDiv[[#Headers],[Agency]])),COLUMNS($F$7:Z$7))))</f>
        <v/>
      </c>
      <c r="AA783" s="2223" t="str" cm="1">
        <f t="array" ref="AA783">IF($D783&lt;COLUMNS($F$7:AA$7),"",INDEX(TableDiv[[GASB]:[GASB]],_xlfn.AGGREGATE(15,3,(TableDiv[[Agency]:[Agency]]=$E783)/(TableDiv[[Agency]:[Agency]]=$E783)*(ROW(TableDiv[Agency])-ROW(TableDiv[[#Headers],[Agency]])),COLUMNS($F$7:AA$7))))</f>
        <v/>
      </c>
      <c r="AB783" s="2223" t="str" cm="1">
        <f t="array" ref="AB783">IF($D783&lt;COLUMNS($F$7:AB$7),"",INDEX(TableDiv[[GASB]:[GASB]],_xlfn.AGGREGATE(15,3,(TableDiv[[Agency]:[Agency]]=$E783)/(TableDiv[[Agency]:[Agency]]=$E783)*(ROW(TableDiv[Agency])-ROW(TableDiv[[#Headers],[Agency]])),COLUMNS($F$7:AB$7))))</f>
        <v/>
      </c>
      <c r="AC783" s="2223" t="str" cm="1">
        <f t="array" ref="AC783">IF($D783&lt;COLUMNS($F$7:AC$7),"",INDEX(TableDiv[[GASB]:[GASB]],_xlfn.AGGREGATE(15,3,(TableDiv[[Agency]:[Agency]]=$E783)/(TableDiv[[Agency]:[Agency]]=$E783)*(ROW(TableDiv[Agency])-ROW(TableDiv[[#Headers],[Agency]])),COLUMNS($F$7:AC$7))))</f>
        <v/>
      </c>
      <c r="AD783" s="2223" t="str" cm="1">
        <f t="array" ref="AD783">IF($D783&lt;COLUMNS($F$7:AD$7),"",INDEX(TableDiv[[GASB]:[GASB]],_xlfn.AGGREGATE(15,3,(TableDiv[[Agency]:[Agency]]=$E783)/(TableDiv[[Agency]:[Agency]]=$E783)*(ROW(TableDiv[Agency])-ROW(TableDiv[[#Headers],[Agency]])),COLUMNS($F$7:AD$7))))</f>
        <v/>
      </c>
      <c r="AE783" s="2223" t="str" cm="1">
        <f t="array" ref="AE783">IF($D783&lt;COLUMNS($F$7:AE$7),"",INDEX(TableDiv[[GASB]:[GASB]],_xlfn.AGGREGATE(15,3,(TableDiv[[Agency]:[Agency]]=$E783)/(TableDiv[[Agency]:[Agency]]=$E783)*(ROW(TableDiv[Agency])-ROW(TableDiv[[#Headers],[Agency]])),COLUMNS($F$7:AE$7))))</f>
        <v/>
      </c>
      <c r="AF783" s="2223" t="str" cm="1">
        <f t="array" ref="AF783">IF($D783&lt;COLUMNS($F$7:AF$7),"",INDEX(TableDiv[[GASB]:[GASB]],_xlfn.AGGREGATE(15,3,(TableDiv[[Agency]:[Agency]]=$E783)/(TableDiv[[Agency]:[Agency]]=$E783)*(ROW(TableDiv[Agency])-ROW(TableDiv[[#Headers],[Agency]])),COLUMNS($F$7:AF$7))))</f>
        <v/>
      </c>
      <c r="AG783" s="2223" t="str" cm="1">
        <f t="array" ref="AG783">IF($D783&lt;COLUMNS($F$7:AG$7),"",INDEX(TableDiv[[GASB]:[GASB]],_xlfn.AGGREGATE(15,3,(TableDiv[[Agency]:[Agency]]=$E783)/(TableDiv[[Agency]:[Agency]]=$E783)*(ROW(TableDiv[Agency])-ROW(TableDiv[[#Headers],[Agency]])),COLUMNS($F$7:AG$7))))</f>
        <v/>
      </c>
      <c r="AH783" s="2223" t="str" cm="1">
        <f t="array" ref="AH783">IF($D783&lt;COLUMNS($F$7:AH$7),"",INDEX(TableDiv[[GASB]:[GASB]],_xlfn.AGGREGATE(15,3,(TableDiv[[Agency]:[Agency]]=$E783)/(TableDiv[[Agency]:[Agency]]=$E783)*(ROW(TableDiv[Agency])-ROW(TableDiv[[#Headers],[Agency]])),COLUMNS($F$7:AH$7))))</f>
        <v/>
      </c>
      <c r="AI783" s="2223" t="str" cm="1">
        <f t="array" ref="AI783">IF($D783&lt;COLUMNS($F$7:AI$7),"",INDEX(TableDiv[[GASB]:[GASB]],_xlfn.AGGREGATE(15,3,(TableDiv[[Agency]:[Agency]]=$E783)/(TableDiv[[Agency]:[Agency]]=$E783)*(ROW(TableDiv[Agency])-ROW(TableDiv[[#Headers],[Agency]])),COLUMNS($F$7:AI$7))))</f>
        <v/>
      </c>
      <c r="AJ783" s="2223" t="str" cm="1">
        <f t="array" ref="AJ783">IF($D783&lt;COLUMNS($F$7:AJ$7),"",INDEX(TableDiv[[GASB]:[GASB]],_xlfn.AGGREGATE(15,3,(TableDiv[[Agency]:[Agency]]=$E783)/(TableDiv[[Agency]:[Agency]]=$E783)*(ROW(TableDiv[Agency])-ROW(TableDiv[[#Headers],[Agency]])),COLUMNS($F$7:AJ$7))))</f>
        <v/>
      </c>
      <c r="AK783" s="2223" t="str" cm="1">
        <f t="array" ref="AK783">IF($D783&lt;COLUMNS($F$7:AK$7),"",INDEX(TableDiv[[GASB]:[GASB]],_xlfn.AGGREGATE(15,3,(TableDiv[[Agency]:[Agency]]=$E783)/(TableDiv[[Agency]:[Agency]]=$E783)*(ROW(TableDiv[Agency])-ROW(TableDiv[[#Headers],[Agency]])),COLUMNS($F$7:AK$7))))</f>
        <v/>
      </c>
      <c r="AL783" s="2223" t="str" cm="1">
        <f t="array" ref="AL783">IF($D783&lt;COLUMNS($F$7:AL$7),"",INDEX(TableDiv[[GASB]:[GASB]],_xlfn.AGGREGATE(15,3,(TableDiv[[Agency]:[Agency]]=$E783)/(TableDiv[[Agency]:[Agency]]=$E783)*(ROW(TableDiv[Agency])-ROW(TableDiv[[#Headers],[Agency]])),COLUMNS($F$7:AL$7))))</f>
        <v/>
      </c>
      <c r="AM783" s="2223" t="str" cm="1">
        <f t="array" ref="AM783">IF($D783&lt;COLUMNS($F$7:AM$7),"",INDEX(TableDiv[[GASB]:[GASB]],_xlfn.AGGREGATE(15,3,(TableDiv[[Agency]:[Agency]]=$E783)/(TableDiv[[Agency]:[Agency]]=$E783)*(ROW(TableDiv[Agency])-ROW(TableDiv[[#Headers],[Agency]])),COLUMNS($F$7:AM$7))))</f>
        <v/>
      </c>
      <c r="AN783" s="2223"/>
      <c r="AO783" s="2223"/>
      <c r="AP783" s="2223"/>
      <c r="AQ783" s="2223"/>
      <c r="AR783" s="2223"/>
      <c r="AS783" s="2223"/>
    </row>
    <row r="784" spans="1:45" x14ac:dyDescent="0.2">
      <c r="A784" s="2223"/>
      <c r="B784" s="2223"/>
      <c r="C784" s="2223"/>
      <c r="W784" s="2223" t="str" cm="1">
        <f t="array" ref="W784">IF($D784&lt;COLUMNS($F$7:W$7),"",INDEX(TableDiv[[GASB]:[GASB]],_xlfn.AGGREGATE(15,3,(TableDiv[[Agency]:[Agency]]=$E784)/(TableDiv[[Agency]:[Agency]]=$E784)*(ROW(TableDiv[Agency])-ROW(TableDiv[[#Headers],[Agency]])),COLUMNS($F$7:W$7))))</f>
        <v/>
      </c>
      <c r="X784" s="2223" t="str" cm="1">
        <f t="array" ref="X784">IF($D784&lt;COLUMNS($F$7:X$7),"",INDEX(TableDiv[[GASB]:[GASB]],_xlfn.AGGREGATE(15,3,(TableDiv[[Agency]:[Agency]]=$E784)/(TableDiv[[Agency]:[Agency]]=$E784)*(ROW(TableDiv[Agency])-ROW(TableDiv[[#Headers],[Agency]])),COLUMNS($F$7:X$7))))</f>
        <v/>
      </c>
      <c r="Y784" s="2223" t="str" cm="1">
        <f t="array" ref="Y784">IF($D784&lt;COLUMNS($F$7:Y$7),"",INDEX(TableDiv[[GASB]:[GASB]],_xlfn.AGGREGATE(15,3,(TableDiv[[Agency]:[Agency]]=$E784)/(TableDiv[[Agency]:[Agency]]=$E784)*(ROW(TableDiv[Agency])-ROW(TableDiv[[#Headers],[Agency]])),COLUMNS($F$7:Y$7))))</f>
        <v/>
      </c>
      <c r="Z784" s="2223" t="str" cm="1">
        <f t="array" ref="Z784">IF($D784&lt;COLUMNS($F$7:Z$7),"",INDEX(TableDiv[[GASB]:[GASB]],_xlfn.AGGREGATE(15,3,(TableDiv[[Agency]:[Agency]]=$E784)/(TableDiv[[Agency]:[Agency]]=$E784)*(ROW(TableDiv[Agency])-ROW(TableDiv[[#Headers],[Agency]])),COLUMNS($F$7:Z$7))))</f>
        <v/>
      </c>
      <c r="AA784" s="2223" t="str" cm="1">
        <f t="array" ref="AA784">IF($D784&lt;COLUMNS($F$7:AA$7),"",INDEX(TableDiv[[GASB]:[GASB]],_xlfn.AGGREGATE(15,3,(TableDiv[[Agency]:[Agency]]=$E784)/(TableDiv[[Agency]:[Agency]]=$E784)*(ROW(TableDiv[Agency])-ROW(TableDiv[[#Headers],[Agency]])),COLUMNS($F$7:AA$7))))</f>
        <v/>
      </c>
      <c r="AB784" s="2223" t="str" cm="1">
        <f t="array" ref="AB784">IF($D784&lt;COLUMNS($F$7:AB$7),"",INDEX(TableDiv[[GASB]:[GASB]],_xlfn.AGGREGATE(15,3,(TableDiv[[Agency]:[Agency]]=$E784)/(TableDiv[[Agency]:[Agency]]=$E784)*(ROW(TableDiv[Agency])-ROW(TableDiv[[#Headers],[Agency]])),COLUMNS($F$7:AB$7))))</f>
        <v/>
      </c>
      <c r="AC784" s="2223" t="str" cm="1">
        <f t="array" ref="AC784">IF($D784&lt;COLUMNS($F$7:AC$7),"",INDEX(TableDiv[[GASB]:[GASB]],_xlfn.AGGREGATE(15,3,(TableDiv[[Agency]:[Agency]]=$E784)/(TableDiv[[Agency]:[Agency]]=$E784)*(ROW(TableDiv[Agency])-ROW(TableDiv[[#Headers],[Agency]])),COLUMNS($F$7:AC$7))))</f>
        <v/>
      </c>
      <c r="AD784" s="2223" t="str" cm="1">
        <f t="array" ref="AD784">IF($D784&lt;COLUMNS($F$7:AD$7),"",INDEX(TableDiv[[GASB]:[GASB]],_xlfn.AGGREGATE(15,3,(TableDiv[[Agency]:[Agency]]=$E784)/(TableDiv[[Agency]:[Agency]]=$E784)*(ROW(TableDiv[Agency])-ROW(TableDiv[[#Headers],[Agency]])),COLUMNS($F$7:AD$7))))</f>
        <v/>
      </c>
      <c r="AE784" s="2223" t="str" cm="1">
        <f t="array" ref="AE784">IF($D784&lt;COLUMNS($F$7:AE$7),"",INDEX(TableDiv[[GASB]:[GASB]],_xlfn.AGGREGATE(15,3,(TableDiv[[Agency]:[Agency]]=$E784)/(TableDiv[[Agency]:[Agency]]=$E784)*(ROW(TableDiv[Agency])-ROW(TableDiv[[#Headers],[Agency]])),COLUMNS($F$7:AE$7))))</f>
        <v/>
      </c>
      <c r="AF784" s="2223" t="str" cm="1">
        <f t="array" ref="AF784">IF($D784&lt;COLUMNS($F$7:AF$7),"",INDEX(TableDiv[[GASB]:[GASB]],_xlfn.AGGREGATE(15,3,(TableDiv[[Agency]:[Agency]]=$E784)/(TableDiv[[Agency]:[Agency]]=$E784)*(ROW(TableDiv[Agency])-ROW(TableDiv[[#Headers],[Agency]])),COLUMNS($F$7:AF$7))))</f>
        <v/>
      </c>
      <c r="AG784" s="2223" t="str" cm="1">
        <f t="array" ref="AG784">IF($D784&lt;COLUMNS($F$7:AG$7),"",INDEX(TableDiv[[GASB]:[GASB]],_xlfn.AGGREGATE(15,3,(TableDiv[[Agency]:[Agency]]=$E784)/(TableDiv[[Agency]:[Agency]]=$E784)*(ROW(TableDiv[Agency])-ROW(TableDiv[[#Headers],[Agency]])),COLUMNS($F$7:AG$7))))</f>
        <v/>
      </c>
      <c r="AH784" s="2223" t="str" cm="1">
        <f t="array" ref="AH784">IF($D784&lt;COLUMNS($F$7:AH$7),"",INDEX(TableDiv[[GASB]:[GASB]],_xlfn.AGGREGATE(15,3,(TableDiv[[Agency]:[Agency]]=$E784)/(TableDiv[[Agency]:[Agency]]=$E784)*(ROW(TableDiv[Agency])-ROW(TableDiv[[#Headers],[Agency]])),COLUMNS($F$7:AH$7))))</f>
        <v/>
      </c>
      <c r="AI784" s="2223" t="str" cm="1">
        <f t="array" ref="AI784">IF($D784&lt;COLUMNS($F$7:AI$7),"",INDEX(TableDiv[[GASB]:[GASB]],_xlfn.AGGREGATE(15,3,(TableDiv[[Agency]:[Agency]]=$E784)/(TableDiv[[Agency]:[Agency]]=$E784)*(ROW(TableDiv[Agency])-ROW(TableDiv[[#Headers],[Agency]])),COLUMNS($F$7:AI$7))))</f>
        <v/>
      </c>
      <c r="AJ784" s="2223" t="str" cm="1">
        <f t="array" ref="AJ784">IF($D784&lt;COLUMNS($F$7:AJ$7),"",INDEX(TableDiv[[GASB]:[GASB]],_xlfn.AGGREGATE(15,3,(TableDiv[[Agency]:[Agency]]=$E784)/(TableDiv[[Agency]:[Agency]]=$E784)*(ROW(TableDiv[Agency])-ROW(TableDiv[[#Headers],[Agency]])),COLUMNS($F$7:AJ$7))))</f>
        <v/>
      </c>
      <c r="AK784" s="2223" t="str" cm="1">
        <f t="array" ref="AK784">IF($D784&lt;COLUMNS($F$7:AK$7),"",INDEX(TableDiv[[GASB]:[GASB]],_xlfn.AGGREGATE(15,3,(TableDiv[[Agency]:[Agency]]=$E784)/(TableDiv[[Agency]:[Agency]]=$E784)*(ROW(TableDiv[Agency])-ROW(TableDiv[[#Headers],[Agency]])),COLUMNS($F$7:AK$7))))</f>
        <v/>
      </c>
      <c r="AL784" s="2223" t="str" cm="1">
        <f t="array" ref="AL784">IF($D784&lt;COLUMNS($F$7:AL$7),"",INDEX(TableDiv[[GASB]:[GASB]],_xlfn.AGGREGATE(15,3,(TableDiv[[Agency]:[Agency]]=$E784)/(TableDiv[[Agency]:[Agency]]=$E784)*(ROW(TableDiv[Agency])-ROW(TableDiv[[#Headers],[Agency]])),COLUMNS($F$7:AL$7))))</f>
        <v/>
      </c>
      <c r="AM784" s="2223" t="str" cm="1">
        <f t="array" ref="AM784">IF($D784&lt;COLUMNS($F$7:AM$7),"",INDEX(TableDiv[[GASB]:[GASB]],_xlfn.AGGREGATE(15,3,(TableDiv[[Agency]:[Agency]]=$E784)/(TableDiv[[Agency]:[Agency]]=$E784)*(ROW(TableDiv[Agency])-ROW(TableDiv[[#Headers],[Agency]])),COLUMNS($F$7:AM$7))))</f>
        <v/>
      </c>
      <c r="AN784" s="2223"/>
      <c r="AO784" s="2223"/>
      <c r="AP784" s="2223"/>
      <c r="AQ784" s="2223"/>
      <c r="AR784" s="2223"/>
      <c r="AS784" s="2223"/>
    </row>
    <row r="785" spans="1:45" x14ac:dyDescent="0.2">
      <c r="A785" s="2223"/>
      <c r="B785" s="2223"/>
      <c r="C785" s="2223"/>
      <c r="W785" s="2223" t="str" cm="1">
        <f t="array" ref="W785">IF($D785&lt;COLUMNS($F$7:W$7),"",INDEX(TableDiv[[GASB]:[GASB]],_xlfn.AGGREGATE(15,3,(TableDiv[[Agency]:[Agency]]=$E785)/(TableDiv[[Agency]:[Agency]]=$E785)*(ROW(TableDiv[Agency])-ROW(TableDiv[[#Headers],[Agency]])),COLUMNS($F$7:W$7))))</f>
        <v/>
      </c>
      <c r="X785" s="2223" t="str" cm="1">
        <f t="array" ref="X785">IF($D785&lt;COLUMNS($F$7:X$7),"",INDEX(TableDiv[[GASB]:[GASB]],_xlfn.AGGREGATE(15,3,(TableDiv[[Agency]:[Agency]]=$E785)/(TableDiv[[Agency]:[Agency]]=$E785)*(ROW(TableDiv[Agency])-ROW(TableDiv[[#Headers],[Agency]])),COLUMNS($F$7:X$7))))</f>
        <v/>
      </c>
      <c r="Y785" s="2223" t="str" cm="1">
        <f t="array" ref="Y785">IF($D785&lt;COLUMNS($F$7:Y$7),"",INDEX(TableDiv[[GASB]:[GASB]],_xlfn.AGGREGATE(15,3,(TableDiv[[Agency]:[Agency]]=$E785)/(TableDiv[[Agency]:[Agency]]=$E785)*(ROW(TableDiv[Agency])-ROW(TableDiv[[#Headers],[Agency]])),COLUMNS($F$7:Y$7))))</f>
        <v/>
      </c>
      <c r="Z785" s="2223" t="str" cm="1">
        <f t="array" ref="Z785">IF($D785&lt;COLUMNS($F$7:Z$7),"",INDEX(TableDiv[[GASB]:[GASB]],_xlfn.AGGREGATE(15,3,(TableDiv[[Agency]:[Agency]]=$E785)/(TableDiv[[Agency]:[Agency]]=$E785)*(ROW(TableDiv[Agency])-ROW(TableDiv[[#Headers],[Agency]])),COLUMNS($F$7:Z$7))))</f>
        <v/>
      </c>
      <c r="AA785" s="2223" t="str" cm="1">
        <f t="array" ref="AA785">IF($D785&lt;COLUMNS($F$7:AA$7),"",INDEX(TableDiv[[GASB]:[GASB]],_xlfn.AGGREGATE(15,3,(TableDiv[[Agency]:[Agency]]=$E785)/(TableDiv[[Agency]:[Agency]]=$E785)*(ROW(TableDiv[Agency])-ROW(TableDiv[[#Headers],[Agency]])),COLUMNS($F$7:AA$7))))</f>
        <v/>
      </c>
      <c r="AB785" s="2223" t="str" cm="1">
        <f t="array" ref="AB785">IF($D785&lt;COLUMNS($F$7:AB$7),"",INDEX(TableDiv[[GASB]:[GASB]],_xlfn.AGGREGATE(15,3,(TableDiv[[Agency]:[Agency]]=$E785)/(TableDiv[[Agency]:[Agency]]=$E785)*(ROW(TableDiv[Agency])-ROW(TableDiv[[#Headers],[Agency]])),COLUMNS($F$7:AB$7))))</f>
        <v/>
      </c>
      <c r="AC785" s="2223" t="str" cm="1">
        <f t="array" ref="AC785">IF($D785&lt;COLUMNS($F$7:AC$7),"",INDEX(TableDiv[[GASB]:[GASB]],_xlfn.AGGREGATE(15,3,(TableDiv[[Agency]:[Agency]]=$E785)/(TableDiv[[Agency]:[Agency]]=$E785)*(ROW(TableDiv[Agency])-ROW(TableDiv[[#Headers],[Agency]])),COLUMNS($F$7:AC$7))))</f>
        <v/>
      </c>
      <c r="AD785" s="2223" t="str" cm="1">
        <f t="array" ref="AD785">IF($D785&lt;COLUMNS($F$7:AD$7),"",INDEX(TableDiv[[GASB]:[GASB]],_xlfn.AGGREGATE(15,3,(TableDiv[[Agency]:[Agency]]=$E785)/(TableDiv[[Agency]:[Agency]]=$E785)*(ROW(TableDiv[Agency])-ROW(TableDiv[[#Headers],[Agency]])),COLUMNS($F$7:AD$7))))</f>
        <v/>
      </c>
      <c r="AE785" s="2223" t="str" cm="1">
        <f t="array" ref="AE785">IF($D785&lt;COLUMNS($F$7:AE$7),"",INDEX(TableDiv[[GASB]:[GASB]],_xlfn.AGGREGATE(15,3,(TableDiv[[Agency]:[Agency]]=$E785)/(TableDiv[[Agency]:[Agency]]=$E785)*(ROW(TableDiv[Agency])-ROW(TableDiv[[#Headers],[Agency]])),COLUMNS($F$7:AE$7))))</f>
        <v/>
      </c>
      <c r="AF785" s="2223" t="str" cm="1">
        <f t="array" ref="AF785">IF($D785&lt;COLUMNS($F$7:AF$7),"",INDEX(TableDiv[[GASB]:[GASB]],_xlfn.AGGREGATE(15,3,(TableDiv[[Agency]:[Agency]]=$E785)/(TableDiv[[Agency]:[Agency]]=$E785)*(ROW(TableDiv[Agency])-ROW(TableDiv[[#Headers],[Agency]])),COLUMNS($F$7:AF$7))))</f>
        <v/>
      </c>
      <c r="AG785" s="2223" t="str" cm="1">
        <f t="array" ref="AG785">IF($D785&lt;COLUMNS($F$7:AG$7),"",INDEX(TableDiv[[GASB]:[GASB]],_xlfn.AGGREGATE(15,3,(TableDiv[[Agency]:[Agency]]=$E785)/(TableDiv[[Agency]:[Agency]]=$E785)*(ROW(TableDiv[Agency])-ROW(TableDiv[[#Headers],[Agency]])),COLUMNS($F$7:AG$7))))</f>
        <v/>
      </c>
      <c r="AH785" s="2223" t="str" cm="1">
        <f t="array" ref="AH785">IF($D785&lt;COLUMNS($F$7:AH$7),"",INDEX(TableDiv[[GASB]:[GASB]],_xlfn.AGGREGATE(15,3,(TableDiv[[Agency]:[Agency]]=$E785)/(TableDiv[[Agency]:[Agency]]=$E785)*(ROW(TableDiv[Agency])-ROW(TableDiv[[#Headers],[Agency]])),COLUMNS($F$7:AH$7))))</f>
        <v/>
      </c>
      <c r="AI785" s="2223" t="str" cm="1">
        <f t="array" ref="AI785">IF($D785&lt;COLUMNS($F$7:AI$7),"",INDEX(TableDiv[[GASB]:[GASB]],_xlfn.AGGREGATE(15,3,(TableDiv[[Agency]:[Agency]]=$E785)/(TableDiv[[Agency]:[Agency]]=$E785)*(ROW(TableDiv[Agency])-ROW(TableDiv[[#Headers],[Agency]])),COLUMNS($F$7:AI$7))))</f>
        <v/>
      </c>
      <c r="AJ785" s="2223" t="str" cm="1">
        <f t="array" ref="AJ785">IF($D785&lt;COLUMNS($F$7:AJ$7),"",INDEX(TableDiv[[GASB]:[GASB]],_xlfn.AGGREGATE(15,3,(TableDiv[[Agency]:[Agency]]=$E785)/(TableDiv[[Agency]:[Agency]]=$E785)*(ROW(TableDiv[Agency])-ROW(TableDiv[[#Headers],[Agency]])),COLUMNS($F$7:AJ$7))))</f>
        <v/>
      </c>
      <c r="AK785" s="2223" t="str" cm="1">
        <f t="array" ref="AK785">IF($D785&lt;COLUMNS($F$7:AK$7),"",INDEX(TableDiv[[GASB]:[GASB]],_xlfn.AGGREGATE(15,3,(TableDiv[[Agency]:[Agency]]=$E785)/(TableDiv[[Agency]:[Agency]]=$E785)*(ROW(TableDiv[Agency])-ROW(TableDiv[[#Headers],[Agency]])),COLUMNS($F$7:AK$7))))</f>
        <v/>
      </c>
      <c r="AL785" s="2223" t="str" cm="1">
        <f t="array" ref="AL785">IF($D785&lt;COLUMNS($F$7:AL$7),"",INDEX(TableDiv[[GASB]:[GASB]],_xlfn.AGGREGATE(15,3,(TableDiv[[Agency]:[Agency]]=$E785)/(TableDiv[[Agency]:[Agency]]=$E785)*(ROW(TableDiv[Agency])-ROW(TableDiv[[#Headers],[Agency]])),COLUMNS($F$7:AL$7))))</f>
        <v/>
      </c>
      <c r="AM785" s="2223" t="str" cm="1">
        <f t="array" ref="AM785">IF($D785&lt;COLUMNS($F$7:AM$7),"",INDEX(TableDiv[[GASB]:[GASB]],_xlfn.AGGREGATE(15,3,(TableDiv[[Agency]:[Agency]]=$E785)/(TableDiv[[Agency]:[Agency]]=$E785)*(ROW(TableDiv[Agency])-ROW(TableDiv[[#Headers],[Agency]])),COLUMNS($F$7:AM$7))))</f>
        <v/>
      </c>
      <c r="AN785" s="2223"/>
      <c r="AO785" s="2223"/>
      <c r="AP785" s="2223"/>
      <c r="AQ785" s="2223"/>
      <c r="AR785" s="2223"/>
      <c r="AS785" s="2223"/>
    </row>
    <row r="786" spans="1:45" x14ac:dyDescent="0.2">
      <c r="A786" s="2223"/>
      <c r="B786" s="2223"/>
      <c r="C786" s="2223"/>
      <c r="W786" s="2223" t="str" cm="1">
        <f t="array" ref="W786">IF($D786&lt;COLUMNS($F$7:W$7),"",INDEX(TableDiv[[GASB]:[GASB]],_xlfn.AGGREGATE(15,3,(TableDiv[[Agency]:[Agency]]=$E786)/(TableDiv[[Agency]:[Agency]]=$E786)*(ROW(TableDiv[Agency])-ROW(TableDiv[[#Headers],[Agency]])),COLUMNS($F$7:W$7))))</f>
        <v/>
      </c>
      <c r="X786" s="2223" t="str" cm="1">
        <f t="array" ref="X786">IF($D786&lt;COLUMNS($F$7:X$7),"",INDEX(TableDiv[[GASB]:[GASB]],_xlfn.AGGREGATE(15,3,(TableDiv[[Agency]:[Agency]]=$E786)/(TableDiv[[Agency]:[Agency]]=$E786)*(ROW(TableDiv[Agency])-ROW(TableDiv[[#Headers],[Agency]])),COLUMNS($F$7:X$7))))</f>
        <v/>
      </c>
      <c r="Y786" s="2223" t="str" cm="1">
        <f t="array" ref="Y786">IF($D786&lt;COLUMNS($F$7:Y$7),"",INDEX(TableDiv[[GASB]:[GASB]],_xlfn.AGGREGATE(15,3,(TableDiv[[Agency]:[Agency]]=$E786)/(TableDiv[[Agency]:[Agency]]=$E786)*(ROW(TableDiv[Agency])-ROW(TableDiv[[#Headers],[Agency]])),COLUMNS($F$7:Y$7))))</f>
        <v/>
      </c>
      <c r="Z786" s="2223" t="str" cm="1">
        <f t="array" ref="Z786">IF($D786&lt;COLUMNS($F$7:Z$7),"",INDEX(TableDiv[[GASB]:[GASB]],_xlfn.AGGREGATE(15,3,(TableDiv[[Agency]:[Agency]]=$E786)/(TableDiv[[Agency]:[Agency]]=$E786)*(ROW(TableDiv[Agency])-ROW(TableDiv[[#Headers],[Agency]])),COLUMNS($F$7:Z$7))))</f>
        <v/>
      </c>
      <c r="AA786" s="2223" t="str" cm="1">
        <f t="array" ref="AA786">IF($D786&lt;COLUMNS($F$7:AA$7),"",INDEX(TableDiv[[GASB]:[GASB]],_xlfn.AGGREGATE(15,3,(TableDiv[[Agency]:[Agency]]=$E786)/(TableDiv[[Agency]:[Agency]]=$E786)*(ROW(TableDiv[Agency])-ROW(TableDiv[[#Headers],[Agency]])),COLUMNS($F$7:AA$7))))</f>
        <v/>
      </c>
      <c r="AB786" s="2223" t="str" cm="1">
        <f t="array" ref="AB786">IF($D786&lt;COLUMNS($F$7:AB$7),"",INDEX(TableDiv[[GASB]:[GASB]],_xlfn.AGGREGATE(15,3,(TableDiv[[Agency]:[Agency]]=$E786)/(TableDiv[[Agency]:[Agency]]=$E786)*(ROW(TableDiv[Agency])-ROW(TableDiv[[#Headers],[Agency]])),COLUMNS($F$7:AB$7))))</f>
        <v/>
      </c>
      <c r="AC786" s="2223" t="str" cm="1">
        <f t="array" ref="AC786">IF($D786&lt;COLUMNS($F$7:AC$7),"",INDEX(TableDiv[[GASB]:[GASB]],_xlfn.AGGREGATE(15,3,(TableDiv[[Agency]:[Agency]]=$E786)/(TableDiv[[Agency]:[Agency]]=$E786)*(ROW(TableDiv[Agency])-ROW(TableDiv[[#Headers],[Agency]])),COLUMNS($F$7:AC$7))))</f>
        <v/>
      </c>
      <c r="AD786" s="2223" t="str" cm="1">
        <f t="array" ref="AD786">IF($D786&lt;COLUMNS($F$7:AD$7),"",INDEX(TableDiv[[GASB]:[GASB]],_xlfn.AGGREGATE(15,3,(TableDiv[[Agency]:[Agency]]=$E786)/(TableDiv[[Agency]:[Agency]]=$E786)*(ROW(TableDiv[Agency])-ROW(TableDiv[[#Headers],[Agency]])),COLUMNS($F$7:AD$7))))</f>
        <v/>
      </c>
      <c r="AE786" s="2223" t="str" cm="1">
        <f t="array" ref="AE786">IF($D786&lt;COLUMNS($F$7:AE$7),"",INDEX(TableDiv[[GASB]:[GASB]],_xlfn.AGGREGATE(15,3,(TableDiv[[Agency]:[Agency]]=$E786)/(TableDiv[[Agency]:[Agency]]=$E786)*(ROW(TableDiv[Agency])-ROW(TableDiv[[#Headers],[Agency]])),COLUMNS($F$7:AE$7))))</f>
        <v/>
      </c>
      <c r="AF786" s="2223" t="str" cm="1">
        <f t="array" ref="AF786">IF($D786&lt;COLUMNS($F$7:AF$7),"",INDEX(TableDiv[[GASB]:[GASB]],_xlfn.AGGREGATE(15,3,(TableDiv[[Agency]:[Agency]]=$E786)/(TableDiv[[Agency]:[Agency]]=$E786)*(ROW(TableDiv[Agency])-ROW(TableDiv[[#Headers],[Agency]])),COLUMNS($F$7:AF$7))))</f>
        <v/>
      </c>
      <c r="AG786" s="2223" t="str" cm="1">
        <f t="array" ref="AG786">IF($D786&lt;COLUMNS($F$7:AG$7),"",INDEX(TableDiv[[GASB]:[GASB]],_xlfn.AGGREGATE(15,3,(TableDiv[[Agency]:[Agency]]=$E786)/(TableDiv[[Agency]:[Agency]]=$E786)*(ROW(TableDiv[Agency])-ROW(TableDiv[[#Headers],[Agency]])),COLUMNS($F$7:AG$7))))</f>
        <v/>
      </c>
      <c r="AH786" s="2223" t="str" cm="1">
        <f t="array" ref="AH786">IF($D786&lt;COLUMNS($F$7:AH$7),"",INDEX(TableDiv[[GASB]:[GASB]],_xlfn.AGGREGATE(15,3,(TableDiv[[Agency]:[Agency]]=$E786)/(TableDiv[[Agency]:[Agency]]=$E786)*(ROW(TableDiv[Agency])-ROW(TableDiv[[#Headers],[Agency]])),COLUMNS($F$7:AH$7))))</f>
        <v/>
      </c>
      <c r="AI786" s="2223" t="str" cm="1">
        <f t="array" ref="AI786">IF($D786&lt;COLUMNS($F$7:AI$7),"",INDEX(TableDiv[[GASB]:[GASB]],_xlfn.AGGREGATE(15,3,(TableDiv[[Agency]:[Agency]]=$E786)/(TableDiv[[Agency]:[Agency]]=$E786)*(ROW(TableDiv[Agency])-ROW(TableDiv[[#Headers],[Agency]])),COLUMNS($F$7:AI$7))))</f>
        <v/>
      </c>
      <c r="AJ786" s="2223" t="str" cm="1">
        <f t="array" ref="AJ786">IF($D786&lt;COLUMNS($F$7:AJ$7),"",INDEX(TableDiv[[GASB]:[GASB]],_xlfn.AGGREGATE(15,3,(TableDiv[[Agency]:[Agency]]=$E786)/(TableDiv[[Agency]:[Agency]]=$E786)*(ROW(TableDiv[Agency])-ROW(TableDiv[[#Headers],[Agency]])),COLUMNS($F$7:AJ$7))))</f>
        <v/>
      </c>
      <c r="AK786" s="2223" t="str" cm="1">
        <f t="array" ref="AK786">IF($D786&lt;COLUMNS($F$7:AK$7),"",INDEX(TableDiv[[GASB]:[GASB]],_xlfn.AGGREGATE(15,3,(TableDiv[[Agency]:[Agency]]=$E786)/(TableDiv[[Agency]:[Agency]]=$E786)*(ROW(TableDiv[Agency])-ROW(TableDiv[[#Headers],[Agency]])),COLUMNS($F$7:AK$7))))</f>
        <v/>
      </c>
      <c r="AL786" s="2223" t="str" cm="1">
        <f t="array" ref="AL786">IF($D786&lt;COLUMNS($F$7:AL$7),"",INDEX(TableDiv[[GASB]:[GASB]],_xlfn.AGGREGATE(15,3,(TableDiv[[Agency]:[Agency]]=$E786)/(TableDiv[[Agency]:[Agency]]=$E786)*(ROW(TableDiv[Agency])-ROW(TableDiv[[#Headers],[Agency]])),COLUMNS($F$7:AL$7))))</f>
        <v/>
      </c>
      <c r="AM786" s="2223" t="str" cm="1">
        <f t="array" ref="AM786">IF($D786&lt;COLUMNS($F$7:AM$7),"",INDEX(TableDiv[[GASB]:[GASB]],_xlfn.AGGREGATE(15,3,(TableDiv[[Agency]:[Agency]]=$E786)/(TableDiv[[Agency]:[Agency]]=$E786)*(ROW(TableDiv[Agency])-ROW(TableDiv[[#Headers],[Agency]])),COLUMNS($F$7:AM$7))))</f>
        <v/>
      </c>
      <c r="AN786" s="2223"/>
      <c r="AO786" s="2223"/>
      <c r="AP786" s="2223"/>
      <c r="AQ786" s="2223"/>
      <c r="AR786" s="2223"/>
      <c r="AS786" s="2223"/>
    </row>
    <row r="787" spans="1:45" x14ac:dyDescent="0.2">
      <c r="A787" s="2223"/>
      <c r="B787" s="2223"/>
      <c r="C787" s="2223"/>
      <c r="W787" s="2223" t="str" cm="1">
        <f t="array" ref="W787">IF($D787&lt;COLUMNS($F$7:W$7),"",INDEX(TableDiv[[GASB]:[GASB]],_xlfn.AGGREGATE(15,3,(TableDiv[[Agency]:[Agency]]=$E787)/(TableDiv[[Agency]:[Agency]]=$E787)*(ROW(TableDiv[Agency])-ROW(TableDiv[[#Headers],[Agency]])),COLUMNS($F$7:W$7))))</f>
        <v/>
      </c>
      <c r="X787" s="2223" t="str" cm="1">
        <f t="array" ref="X787">IF($D787&lt;COLUMNS($F$7:X$7),"",INDEX(TableDiv[[GASB]:[GASB]],_xlfn.AGGREGATE(15,3,(TableDiv[[Agency]:[Agency]]=$E787)/(TableDiv[[Agency]:[Agency]]=$E787)*(ROW(TableDiv[Agency])-ROW(TableDiv[[#Headers],[Agency]])),COLUMNS($F$7:X$7))))</f>
        <v/>
      </c>
      <c r="Y787" s="2223" t="str" cm="1">
        <f t="array" ref="Y787">IF($D787&lt;COLUMNS($F$7:Y$7),"",INDEX(TableDiv[[GASB]:[GASB]],_xlfn.AGGREGATE(15,3,(TableDiv[[Agency]:[Agency]]=$E787)/(TableDiv[[Agency]:[Agency]]=$E787)*(ROW(TableDiv[Agency])-ROW(TableDiv[[#Headers],[Agency]])),COLUMNS($F$7:Y$7))))</f>
        <v/>
      </c>
      <c r="Z787" s="2223" t="str" cm="1">
        <f t="array" ref="Z787">IF($D787&lt;COLUMNS($F$7:Z$7),"",INDEX(TableDiv[[GASB]:[GASB]],_xlfn.AGGREGATE(15,3,(TableDiv[[Agency]:[Agency]]=$E787)/(TableDiv[[Agency]:[Agency]]=$E787)*(ROW(TableDiv[Agency])-ROW(TableDiv[[#Headers],[Agency]])),COLUMNS($F$7:Z$7))))</f>
        <v/>
      </c>
      <c r="AA787" s="2223" t="str" cm="1">
        <f t="array" ref="AA787">IF($D787&lt;COLUMNS($F$7:AA$7),"",INDEX(TableDiv[[GASB]:[GASB]],_xlfn.AGGREGATE(15,3,(TableDiv[[Agency]:[Agency]]=$E787)/(TableDiv[[Agency]:[Agency]]=$E787)*(ROW(TableDiv[Agency])-ROW(TableDiv[[#Headers],[Agency]])),COLUMNS($F$7:AA$7))))</f>
        <v/>
      </c>
      <c r="AB787" s="2223" t="str" cm="1">
        <f t="array" ref="AB787">IF($D787&lt;COLUMNS($F$7:AB$7),"",INDEX(TableDiv[[GASB]:[GASB]],_xlfn.AGGREGATE(15,3,(TableDiv[[Agency]:[Agency]]=$E787)/(TableDiv[[Agency]:[Agency]]=$E787)*(ROW(TableDiv[Agency])-ROW(TableDiv[[#Headers],[Agency]])),COLUMNS($F$7:AB$7))))</f>
        <v/>
      </c>
      <c r="AC787" s="2223" t="str" cm="1">
        <f t="array" ref="AC787">IF($D787&lt;COLUMNS($F$7:AC$7),"",INDEX(TableDiv[[GASB]:[GASB]],_xlfn.AGGREGATE(15,3,(TableDiv[[Agency]:[Agency]]=$E787)/(TableDiv[[Agency]:[Agency]]=$E787)*(ROW(TableDiv[Agency])-ROW(TableDiv[[#Headers],[Agency]])),COLUMNS($F$7:AC$7))))</f>
        <v/>
      </c>
      <c r="AD787" s="2223" t="str" cm="1">
        <f t="array" ref="AD787">IF($D787&lt;COLUMNS($F$7:AD$7),"",INDEX(TableDiv[[GASB]:[GASB]],_xlfn.AGGREGATE(15,3,(TableDiv[[Agency]:[Agency]]=$E787)/(TableDiv[[Agency]:[Agency]]=$E787)*(ROW(TableDiv[Agency])-ROW(TableDiv[[#Headers],[Agency]])),COLUMNS($F$7:AD$7))))</f>
        <v/>
      </c>
      <c r="AE787" s="2223" t="str" cm="1">
        <f t="array" ref="AE787">IF($D787&lt;COLUMNS($F$7:AE$7),"",INDEX(TableDiv[[GASB]:[GASB]],_xlfn.AGGREGATE(15,3,(TableDiv[[Agency]:[Agency]]=$E787)/(TableDiv[[Agency]:[Agency]]=$E787)*(ROW(TableDiv[Agency])-ROW(TableDiv[[#Headers],[Agency]])),COLUMNS($F$7:AE$7))))</f>
        <v/>
      </c>
      <c r="AF787" s="2223" t="str" cm="1">
        <f t="array" ref="AF787">IF($D787&lt;COLUMNS($F$7:AF$7),"",INDEX(TableDiv[[GASB]:[GASB]],_xlfn.AGGREGATE(15,3,(TableDiv[[Agency]:[Agency]]=$E787)/(TableDiv[[Agency]:[Agency]]=$E787)*(ROW(TableDiv[Agency])-ROW(TableDiv[[#Headers],[Agency]])),COLUMNS($F$7:AF$7))))</f>
        <v/>
      </c>
      <c r="AG787" s="2223" t="str" cm="1">
        <f t="array" ref="AG787">IF($D787&lt;COLUMNS($F$7:AG$7),"",INDEX(TableDiv[[GASB]:[GASB]],_xlfn.AGGREGATE(15,3,(TableDiv[[Agency]:[Agency]]=$E787)/(TableDiv[[Agency]:[Agency]]=$E787)*(ROW(TableDiv[Agency])-ROW(TableDiv[[#Headers],[Agency]])),COLUMNS($F$7:AG$7))))</f>
        <v/>
      </c>
      <c r="AH787" s="2223" t="str" cm="1">
        <f t="array" ref="AH787">IF($D787&lt;COLUMNS($F$7:AH$7),"",INDEX(TableDiv[[GASB]:[GASB]],_xlfn.AGGREGATE(15,3,(TableDiv[[Agency]:[Agency]]=$E787)/(TableDiv[[Agency]:[Agency]]=$E787)*(ROW(TableDiv[Agency])-ROW(TableDiv[[#Headers],[Agency]])),COLUMNS($F$7:AH$7))))</f>
        <v/>
      </c>
      <c r="AI787" s="2223" t="str" cm="1">
        <f t="array" ref="AI787">IF($D787&lt;COLUMNS($F$7:AI$7),"",INDEX(TableDiv[[GASB]:[GASB]],_xlfn.AGGREGATE(15,3,(TableDiv[[Agency]:[Agency]]=$E787)/(TableDiv[[Agency]:[Agency]]=$E787)*(ROW(TableDiv[Agency])-ROW(TableDiv[[#Headers],[Agency]])),COLUMNS($F$7:AI$7))))</f>
        <v/>
      </c>
      <c r="AJ787" s="2223" t="str" cm="1">
        <f t="array" ref="AJ787">IF($D787&lt;COLUMNS($F$7:AJ$7),"",INDEX(TableDiv[[GASB]:[GASB]],_xlfn.AGGREGATE(15,3,(TableDiv[[Agency]:[Agency]]=$E787)/(TableDiv[[Agency]:[Agency]]=$E787)*(ROW(TableDiv[Agency])-ROW(TableDiv[[#Headers],[Agency]])),COLUMNS($F$7:AJ$7))))</f>
        <v/>
      </c>
      <c r="AK787" s="2223" t="str" cm="1">
        <f t="array" ref="AK787">IF($D787&lt;COLUMNS($F$7:AK$7),"",INDEX(TableDiv[[GASB]:[GASB]],_xlfn.AGGREGATE(15,3,(TableDiv[[Agency]:[Agency]]=$E787)/(TableDiv[[Agency]:[Agency]]=$E787)*(ROW(TableDiv[Agency])-ROW(TableDiv[[#Headers],[Agency]])),COLUMNS($F$7:AK$7))))</f>
        <v/>
      </c>
      <c r="AL787" s="2223" t="str" cm="1">
        <f t="array" ref="AL787">IF($D787&lt;COLUMNS($F$7:AL$7),"",INDEX(TableDiv[[GASB]:[GASB]],_xlfn.AGGREGATE(15,3,(TableDiv[[Agency]:[Agency]]=$E787)/(TableDiv[[Agency]:[Agency]]=$E787)*(ROW(TableDiv[Agency])-ROW(TableDiv[[#Headers],[Agency]])),COLUMNS($F$7:AL$7))))</f>
        <v/>
      </c>
      <c r="AM787" s="2223" t="str" cm="1">
        <f t="array" ref="AM787">IF($D787&lt;COLUMNS($F$7:AM$7),"",INDEX(TableDiv[[GASB]:[GASB]],_xlfn.AGGREGATE(15,3,(TableDiv[[Agency]:[Agency]]=$E787)/(TableDiv[[Agency]:[Agency]]=$E787)*(ROW(TableDiv[Agency])-ROW(TableDiv[[#Headers],[Agency]])),COLUMNS($F$7:AM$7))))</f>
        <v/>
      </c>
      <c r="AN787" s="2223"/>
      <c r="AO787" s="2223"/>
      <c r="AP787" s="2223"/>
      <c r="AQ787" s="2223"/>
      <c r="AR787" s="2223"/>
      <c r="AS787" s="2223"/>
    </row>
    <row r="788" spans="1:45" x14ac:dyDescent="0.2">
      <c r="A788" s="2223"/>
      <c r="B788" s="2223"/>
      <c r="C788" s="2223"/>
      <c r="W788" s="2223" t="str" cm="1">
        <f t="array" ref="W788">IF($D788&lt;COLUMNS($F$7:W$7),"",INDEX(TableDiv[[GASB]:[GASB]],_xlfn.AGGREGATE(15,3,(TableDiv[[Agency]:[Agency]]=$E788)/(TableDiv[[Agency]:[Agency]]=$E788)*(ROW(TableDiv[Agency])-ROW(TableDiv[[#Headers],[Agency]])),COLUMNS($F$7:W$7))))</f>
        <v/>
      </c>
      <c r="X788" s="2223" t="str" cm="1">
        <f t="array" ref="X788">IF($D788&lt;COLUMNS($F$7:X$7),"",INDEX(TableDiv[[GASB]:[GASB]],_xlfn.AGGREGATE(15,3,(TableDiv[[Agency]:[Agency]]=$E788)/(TableDiv[[Agency]:[Agency]]=$E788)*(ROW(TableDiv[Agency])-ROW(TableDiv[[#Headers],[Agency]])),COLUMNS($F$7:X$7))))</f>
        <v/>
      </c>
      <c r="Y788" s="2223" t="str" cm="1">
        <f t="array" ref="Y788">IF($D788&lt;COLUMNS($F$7:Y$7),"",INDEX(TableDiv[[GASB]:[GASB]],_xlfn.AGGREGATE(15,3,(TableDiv[[Agency]:[Agency]]=$E788)/(TableDiv[[Agency]:[Agency]]=$E788)*(ROW(TableDiv[Agency])-ROW(TableDiv[[#Headers],[Agency]])),COLUMNS($F$7:Y$7))))</f>
        <v/>
      </c>
      <c r="Z788" s="2223" t="str" cm="1">
        <f t="array" ref="Z788">IF($D788&lt;COLUMNS($F$7:Z$7),"",INDEX(TableDiv[[GASB]:[GASB]],_xlfn.AGGREGATE(15,3,(TableDiv[[Agency]:[Agency]]=$E788)/(TableDiv[[Agency]:[Agency]]=$E788)*(ROW(TableDiv[Agency])-ROW(TableDiv[[#Headers],[Agency]])),COLUMNS($F$7:Z$7))))</f>
        <v/>
      </c>
      <c r="AA788" s="2223" t="str" cm="1">
        <f t="array" ref="AA788">IF($D788&lt;COLUMNS($F$7:AA$7),"",INDEX(TableDiv[[GASB]:[GASB]],_xlfn.AGGREGATE(15,3,(TableDiv[[Agency]:[Agency]]=$E788)/(TableDiv[[Agency]:[Agency]]=$E788)*(ROW(TableDiv[Agency])-ROW(TableDiv[[#Headers],[Agency]])),COLUMNS($F$7:AA$7))))</f>
        <v/>
      </c>
      <c r="AB788" s="2223" t="str" cm="1">
        <f t="array" ref="AB788">IF($D788&lt;COLUMNS($F$7:AB$7),"",INDEX(TableDiv[[GASB]:[GASB]],_xlfn.AGGREGATE(15,3,(TableDiv[[Agency]:[Agency]]=$E788)/(TableDiv[[Agency]:[Agency]]=$E788)*(ROW(TableDiv[Agency])-ROW(TableDiv[[#Headers],[Agency]])),COLUMNS($F$7:AB$7))))</f>
        <v/>
      </c>
      <c r="AC788" s="2223" t="str" cm="1">
        <f t="array" ref="AC788">IF($D788&lt;COLUMNS($F$7:AC$7),"",INDEX(TableDiv[[GASB]:[GASB]],_xlfn.AGGREGATE(15,3,(TableDiv[[Agency]:[Agency]]=$E788)/(TableDiv[[Agency]:[Agency]]=$E788)*(ROW(TableDiv[Agency])-ROW(TableDiv[[#Headers],[Agency]])),COLUMNS($F$7:AC$7))))</f>
        <v/>
      </c>
      <c r="AD788" s="2223" t="str" cm="1">
        <f t="array" ref="AD788">IF($D788&lt;COLUMNS($F$7:AD$7),"",INDEX(TableDiv[[GASB]:[GASB]],_xlfn.AGGREGATE(15,3,(TableDiv[[Agency]:[Agency]]=$E788)/(TableDiv[[Agency]:[Agency]]=$E788)*(ROW(TableDiv[Agency])-ROW(TableDiv[[#Headers],[Agency]])),COLUMNS($F$7:AD$7))))</f>
        <v/>
      </c>
      <c r="AE788" s="2223" t="str" cm="1">
        <f t="array" ref="AE788">IF($D788&lt;COLUMNS($F$7:AE$7),"",INDEX(TableDiv[[GASB]:[GASB]],_xlfn.AGGREGATE(15,3,(TableDiv[[Agency]:[Agency]]=$E788)/(TableDiv[[Agency]:[Agency]]=$E788)*(ROW(TableDiv[Agency])-ROW(TableDiv[[#Headers],[Agency]])),COLUMNS($F$7:AE$7))))</f>
        <v/>
      </c>
      <c r="AF788" s="2223" t="str" cm="1">
        <f t="array" ref="AF788">IF($D788&lt;COLUMNS($F$7:AF$7),"",INDEX(TableDiv[[GASB]:[GASB]],_xlfn.AGGREGATE(15,3,(TableDiv[[Agency]:[Agency]]=$E788)/(TableDiv[[Agency]:[Agency]]=$E788)*(ROW(TableDiv[Agency])-ROW(TableDiv[[#Headers],[Agency]])),COLUMNS($F$7:AF$7))))</f>
        <v/>
      </c>
      <c r="AG788" s="2223" t="str" cm="1">
        <f t="array" ref="AG788">IF($D788&lt;COLUMNS($F$7:AG$7),"",INDEX(TableDiv[[GASB]:[GASB]],_xlfn.AGGREGATE(15,3,(TableDiv[[Agency]:[Agency]]=$E788)/(TableDiv[[Agency]:[Agency]]=$E788)*(ROW(TableDiv[Agency])-ROW(TableDiv[[#Headers],[Agency]])),COLUMNS($F$7:AG$7))))</f>
        <v/>
      </c>
      <c r="AH788" s="2223" t="str" cm="1">
        <f t="array" ref="AH788">IF($D788&lt;COLUMNS($F$7:AH$7),"",INDEX(TableDiv[[GASB]:[GASB]],_xlfn.AGGREGATE(15,3,(TableDiv[[Agency]:[Agency]]=$E788)/(TableDiv[[Agency]:[Agency]]=$E788)*(ROW(TableDiv[Agency])-ROW(TableDiv[[#Headers],[Agency]])),COLUMNS($F$7:AH$7))))</f>
        <v/>
      </c>
      <c r="AI788" s="2223" t="str" cm="1">
        <f t="array" ref="AI788">IF($D788&lt;COLUMNS($F$7:AI$7),"",INDEX(TableDiv[[GASB]:[GASB]],_xlfn.AGGREGATE(15,3,(TableDiv[[Agency]:[Agency]]=$E788)/(TableDiv[[Agency]:[Agency]]=$E788)*(ROW(TableDiv[Agency])-ROW(TableDiv[[#Headers],[Agency]])),COLUMNS($F$7:AI$7))))</f>
        <v/>
      </c>
      <c r="AJ788" s="2223" t="str" cm="1">
        <f t="array" ref="AJ788">IF($D788&lt;COLUMNS($F$7:AJ$7),"",INDEX(TableDiv[[GASB]:[GASB]],_xlfn.AGGREGATE(15,3,(TableDiv[[Agency]:[Agency]]=$E788)/(TableDiv[[Agency]:[Agency]]=$E788)*(ROW(TableDiv[Agency])-ROW(TableDiv[[#Headers],[Agency]])),COLUMNS($F$7:AJ$7))))</f>
        <v/>
      </c>
      <c r="AK788" s="2223" t="str" cm="1">
        <f t="array" ref="AK788">IF($D788&lt;COLUMNS($F$7:AK$7),"",INDEX(TableDiv[[GASB]:[GASB]],_xlfn.AGGREGATE(15,3,(TableDiv[[Agency]:[Agency]]=$E788)/(TableDiv[[Agency]:[Agency]]=$E788)*(ROW(TableDiv[Agency])-ROW(TableDiv[[#Headers],[Agency]])),COLUMNS($F$7:AK$7))))</f>
        <v/>
      </c>
      <c r="AL788" s="2223" t="str" cm="1">
        <f t="array" ref="AL788">IF($D788&lt;COLUMNS($F$7:AL$7),"",INDEX(TableDiv[[GASB]:[GASB]],_xlfn.AGGREGATE(15,3,(TableDiv[[Agency]:[Agency]]=$E788)/(TableDiv[[Agency]:[Agency]]=$E788)*(ROW(TableDiv[Agency])-ROW(TableDiv[[#Headers],[Agency]])),COLUMNS($F$7:AL$7))))</f>
        <v/>
      </c>
      <c r="AM788" s="2223" t="str" cm="1">
        <f t="array" ref="AM788">IF($D788&lt;COLUMNS($F$7:AM$7),"",INDEX(TableDiv[[GASB]:[GASB]],_xlfn.AGGREGATE(15,3,(TableDiv[[Agency]:[Agency]]=$E788)/(TableDiv[[Agency]:[Agency]]=$E788)*(ROW(TableDiv[Agency])-ROW(TableDiv[[#Headers],[Agency]])),COLUMNS($F$7:AM$7))))</f>
        <v/>
      </c>
      <c r="AN788" s="2223"/>
      <c r="AO788" s="2223"/>
      <c r="AP788" s="2223"/>
      <c r="AQ788" s="2223"/>
      <c r="AR788" s="2223"/>
      <c r="AS788" s="2223"/>
    </row>
    <row r="789" spans="1:45" x14ac:dyDescent="0.2">
      <c r="A789" s="2223"/>
      <c r="B789" s="2223"/>
      <c r="C789" s="2223"/>
      <c r="W789" s="2223" t="str" cm="1">
        <f t="array" ref="W789">IF($D789&lt;COLUMNS($F$7:W$7),"",INDEX(TableDiv[[GASB]:[GASB]],_xlfn.AGGREGATE(15,3,(TableDiv[[Agency]:[Agency]]=$E789)/(TableDiv[[Agency]:[Agency]]=$E789)*(ROW(TableDiv[Agency])-ROW(TableDiv[[#Headers],[Agency]])),COLUMNS($F$7:W$7))))</f>
        <v/>
      </c>
      <c r="X789" s="2223" t="str" cm="1">
        <f t="array" ref="X789">IF($D789&lt;COLUMNS($F$7:X$7),"",INDEX(TableDiv[[GASB]:[GASB]],_xlfn.AGGREGATE(15,3,(TableDiv[[Agency]:[Agency]]=$E789)/(TableDiv[[Agency]:[Agency]]=$E789)*(ROW(TableDiv[Agency])-ROW(TableDiv[[#Headers],[Agency]])),COLUMNS($F$7:X$7))))</f>
        <v/>
      </c>
      <c r="Y789" s="2223" t="str" cm="1">
        <f t="array" ref="Y789">IF($D789&lt;COLUMNS($F$7:Y$7),"",INDEX(TableDiv[[GASB]:[GASB]],_xlfn.AGGREGATE(15,3,(TableDiv[[Agency]:[Agency]]=$E789)/(TableDiv[[Agency]:[Agency]]=$E789)*(ROW(TableDiv[Agency])-ROW(TableDiv[[#Headers],[Agency]])),COLUMNS($F$7:Y$7))))</f>
        <v/>
      </c>
      <c r="Z789" s="2223" t="str" cm="1">
        <f t="array" ref="Z789">IF($D789&lt;COLUMNS($F$7:Z$7),"",INDEX(TableDiv[[GASB]:[GASB]],_xlfn.AGGREGATE(15,3,(TableDiv[[Agency]:[Agency]]=$E789)/(TableDiv[[Agency]:[Agency]]=$E789)*(ROW(TableDiv[Agency])-ROW(TableDiv[[#Headers],[Agency]])),COLUMNS($F$7:Z$7))))</f>
        <v/>
      </c>
      <c r="AA789" s="2223" t="str" cm="1">
        <f t="array" ref="AA789">IF($D789&lt;COLUMNS($F$7:AA$7),"",INDEX(TableDiv[[GASB]:[GASB]],_xlfn.AGGREGATE(15,3,(TableDiv[[Agency]:[Agency]]=$E789)/(TableDiv[[Agency]:[Agency]]=$E789)*(ROW(TableDiv[Agency])-ROW(TableDiv[[#Headers],[Agency]])),COLUMNS($F$7:AA$7))))</f>
        <v/>
      </c>
      <c r="AB789" s="2223" t="str" cm="1">
        <f t="array" ref="AB789">IF($D789&lt;COLUMNS($F$7:AB$7),"",INDEX(TableDiv[[GASB]:[GASB]],_xlfn.AGGREGATE(15,3,(TableDiv[[Agency]:[Agency]]=$E789)/(TableDiv[[Agency]:[Agency]]=$E789)*(ROW(TableDiv[Agency])-ROW(TableDiv[[#Headers],[Agency]])),COLUMNS($F$7:AB$7))))</f>
        <v/>
      </c>
      <c r="AC789" s="2223" t="str" cm="1">
        <f t="array" ref="AC789">IF($D789&lt;COLUMNS($F$7:AC$7),"",INDEX(TableDiv[[GASB]:[GASB]],_xlfn.AGGREGATE(15,3,(TableDiv[[Agency]:[Agency]]=$E789)/(TableDiv[[Agency]:[Agency]]=$E789)*(ROW(TableDiv[Agency])-ROW(TableDiv[[#Headers],[Agency]])),COLUMNS($F$7:AC$7))))</f>
        <v/>
      </c>
      <c r="AD789" s="2223" t="str" cm="1">
        <f t="array" ref="AD789">IF($D789&lt;COLUMNS($F$7:AD$7),"",INDEX(TableDiv[[GASB]:[GASB]],_xlfn.AGGREGATE(15,3,(TableDiv[[Agency]:[Agency]]=$E789)/(TableDiv[[Agency]:[Agency]]=$E789)*(ROW(TableDiv[Agency])-ROW(TableDiv[[#Headers],[Agency]])),COLUMNS($F$7:AD$7))))</f>
        <v/>
      </c>
      <c r="AE789" s="2223" t="str" cm="1">
        <f t="array" ref="AE789">IF($D789&lt;COLUMNS($F$7:AE$7),"",INDEX(TableDiv[[GASB]:[GASB]],_xlfn.AGGREGATE(15,3,(TableDiv[[Agency]:[Agency]]=$E789)/(TableDiv[[Agency]:[Agency]]=$E789)*(ROW(TableDiv[Agency])-ROW(TableDiv[[#Headers],[Agency]])),COLUMNS($F$7:AE$7))))</f>
        <v/>
      </c>
      <c r="AF789" s="2223" t="str" cm="1">
        <f t="array" ref="AF789">IF($D789&lt;COLUMNS($F$7:AF$7),"",INDEX(TableDiv[[GASB]:[GASB]],_xlfn.AGGREGATE(15,3,(TableDiv[[Agency]:[Agency]]=$E789)/(TableDiv[[Agency]:[Agency]]=$E789)*(ROW(TableDiv[Agency])-ROW(TableDiv[[#Headers],[Agency]])),COLUMNS($F$7:AF$7))))</f>
        <v/>
      </c>
      <c r="AG789" s="2223" t="str" cm="1">
        <f t="array" ref="AG789">IF($D789&lt;COLUMNS($F$7:AG$7),"",INDEX(TableDiv[[GASB]:[GASB]],_xlfn.AGGREGATE(15,3,(TableDiv[[Agency]:[Agency]]=$E789)/(TableDiv[[Agency]:[Agency]]=$E789)*(ROW(TableDiv[Agency])-ROW(TableDiv[[#Headers],[Agency]])),COLUMNS($F$7:AG$7))))</f>
        <v/>
      </c>
      <c r="AH789" s="2223" t="str" cm="1">
        <f t="array" ref="AH789">IF($D789&lt;COLUMNS($F$7:AH$7),"",INDEX(TableDiv[[GASB]:[GASB]],_xlfn.AGGREGATE(15,3,(TableDiv[[Agency]:[Agency]]=$E789)/(TableDiv[[Agency]:[Agency]]=$E789)*(ROW(TableDiv[Agency])-ROW(TableDiv[[#Headers],[Agency]])),COLUMNS($F$7:AH$7))))</f>
        <v/>
      </c>
      <c r="AI789" s="2223" t="str" cm="1">
        <f t="array" ref="AI789">IF($D789&lt;COLUMNS($F$7:AI$7),"",INDEX(TableDiv[[GASB]:[GASB]],_xlfn.AGGREGATE(15,3,(TableDiv[[Agency]:[Agency]]=$E789)/(TableDiv[[Agency]:[Agency]]=$E789)*(ROW(TableDiv[Agency])-ROW(TableDiv[[#Headers],[Agency]])),COLUMNS($F$7:AI$7))))</f>
        <v/>
      </c>
      <c r="AJ789" s="2223" t="str" cm="1">
        <f t="array" ref="AJ789">IF($D789&lt;COLUMNS($F$7:AJ$7),"",INDEX(TableDiv[[GASB]:[GASB]],_xlfn.AGGREGATE(15,3,(TableDiv[[Agency]:[Agency]]=$E789)/(TableDiv[[Agency]:[Agency]]=$E789)*(ROW(TableDiv[Agency])-ROW(TableDiv[[#Headers],[Agency]])),COLUMNS($F$7:AJ$7))))</f>
        <v/>
      </c>
      <c r="AK789" s="2223" t="str" cm="1">
        <f t="array" ref="AK789">IF($D789&lt;COLUMNS($F$7:AK$7),"",INDEX(TableDiv[[GASB]:[GASB]],_xlfn.AGGREGATE(15,3,(TableDiv[[Agency]:[Agency]]=$E789)/(TableDiv[[Agency]:[Agency]]=$E789)*(ROW(TableDiv[Agency])-ROW(TableDiv[[#Headers],[Agency]])),COLUMNS($F$7:AK$7))))</f>
        <v/>
      </c>
      <c r="AL789" s="2223" t="str" cm="1">
        <f t="array" ref="AL789">IF($D789&lt;COLUMNS($F$7:AL$7),"",INDEX(TableDiv[[GASB]:[GASB]],_xlfn.AGGREGATE(15,3,(TableDiv[[Agency]:[Agency]]=$E789)/(TableDiv[[Agency]:[Agency]]=$E789)*(ROW(TableDiv[Agency])-ROW(TableDiv[[#Headers],[Agency]])),COLUMNS($F$7:AL$7))))</f>
        <v/>
      </c>
      <c r="AM789" s="2223" t="str" cm="1">
        <f t="array" ref="AM789">IF($D789&lt;COLUMNS($F$7:AM$7),"",INDEX(TableDiv[[GASB]:[GASB]],_xlfn.AGGREGATE(15,3,(TableDiv[[Agency]:[Agency]]=$E789)/(TableDiv[[Agency]:[Agency]]=$E789)*(ROW(TableDiv[Agency])-ROW(TableDiv[[#Headers],[Agency]])),COLUMNS($F$7:AM$7))))</f>
        <v/>
      </c>
      <c r="AN789" s="2223"/>
      <c r="AO789" s="2223"/>
      <c r="AP789" s="2223"/>
      <c r="AQ789" s="2223"/>
      <c r="AR789" s="2223"/>
      <c r="AS789" s="2223"/>
    </row>
    <row r="790" spans="1:45" x14ac:dyDescent="0.2">
      <c r="A790" s="2223"/>
      <c r="B790" s="2223"/>
      <c r="C790" s="2223"/>
      <c r="W790" s="2223" t="str" cm="1">
        <f t="array" ref="W790">IF($D790&lt;COLUMNS($F$7:W$7),"",INDEX(TableDiv[[GASB]:[GASB]],_xlfn.AGGREGATE(15,3,(TableDiv[[Agency]:[Agency]]=$E790)/(TableDiv[[Agency]:[Agency]]=$E790)*(ROW(TableDiv[Agency])-ROW(TableDiv[[#Headers],[Agency]])),COLUMNS($F$7:W$7))))</f>
        <v/>
      </c>
      <c r="X790" s="2223" t="str" cm="1">
        <f t="array" ref="X790">IF($D790&lt;COLUMNS($F$7:X$7),"",INDEX(TableDiv[[GASB]:[GASB]],_xlfn.AGGREGATE(15,3,(TableDiv[[Agency]:[Agency]]=$E790)/(TableDiv[[Agency]:[Agency]]=$E790)*(ROW(TableDiv[Agency])-ROW(TableDiv[[#Headers],[Agency]])),COLUMNS($F$7:X$7))))</f>
        <v/>
      </c>
      <c r="Y790" s="2223" t="str" cm="1">
        <f t="array" ref="Y790">IF($D790&lt;COLUMNS($F$7:Y$7),"",INDEX(TableDiv[[GASB]:[GASB]],_xlfn.AGGREGATE(15,3,(TableDiv[[Agency]:[Agency]]=$E790)/(TableDiv[[Agency]:[Agency]]=$E790)*(ROW(TableDiv[Agency])-ROW(TableDiv[[#Headers],[Agency]])),COLUMNS($F$7:Y$7))))</f>
        <v/>
      </c>
      <c r="Z790" s="2223" t="str" cm="1">
        <f t="array" ref="Z790">IF($D790&lt;COLUMNS($F$7:Z$7),"",INDEX(TableDiv[[GASB]:[GASB]],_xlfn.AGGREGATE(15,3,(TableDiv[[Agency]:[Agency]]=$E790)/(TableDiv[[Agency]:[Agency]]=$E790)*(ROW(TableDiv[Agency])-ROW(TableDiv[[#Headers],[Agency]])),COLUMNS($F$7:Z$7))))</f>
        <v/>
      </c>
      <c r="AA790" s="2223" t="str" cm="1">
        <f t="array" ref="AA790">IF($D790&lt;COLUMNS($F$7:AA$7),"",INDEX(TableDiv[[GASB]:[GASB]],_xlfn.AGGREGATE(15,3,(TableDiv[[Agency]:[Agency]]=$E790)/(TableDiv[[Agency]:[Agency]]=$E790)*(ROW(TableDiv[Agency])-ROW(TableDiv[[#Headers],[Agency]])),COLUMNS($F$7:AA$7))))</f>
        <v/>
      </c>
      <c r="AB790" s="2223" t="str" cm="1">
        <f t="array" ref="AB790">IF($D790&lt;COLUMNS($F$7:AB$7),"",INDEX(TableDiv[[GASB]:[GASB]],_xlfn.AGGREGATE(15,3,(TableDiv[[Agency]:[Agency]]=$E790)/(TableDiv[[Agency]:[Agency]]=$E790)*(ROW(TableDiv[Agency])-ROW(TableDiv[[#Headers],[Agency]])),COLUMNS($F$7:AB$7))))</f>
        <v/>
      </c>
      <c r="AC790" s="2223" t="str" cm="1">
        <f t="array" ref="AC790">IF($D790&lt;COLUMNS($F$7:AC$7),"",INDEX(TableDiv[[GASB]:[GASB]],_xlfn.AGGREGATE(15,3,(TableDiv[[Agency]:[Agency]]=$E790)/(TableDiv[[Agency]:[Agency]]=$E790)*(ROW(TableDiv[Agency])-ROW(TableDiv[[#Headers],[Agency]])),COLUMNS($F$7:AC$7))))</f>
        <v/>
      </c>
      <c r="AD790" s="2223" t="str" cm="1">
        <f t="array" ref="AD790">IF($D790&lt;COLUMNS($F$7:AD$7),"",INDEX(TableDiv[[GASB]:[GASB]],_xlfn.AGGREGATE(15,3,(TableDiv[[Agency]:[Agency]]=$E790)/(TableDiv[[Agency]:[Agency]]=$E790)*(ROW(TableDiv[Agency])-ROW(TableDiv[[#Headers],[Agency]])),COLUMNS($F$7:AD$7))))</f>
        <v/>
      </c>
      <c r="AE790" s="2223" t="str" cm="1">
        <f t="array" ref="AE790">IF($D790&lt;COLUMNS($F$7:AE$7),"",INDEX(TableDiv[[GASB]:[GASB]],_xlfn.AGGREGATE(15,3,(TableDiv[[Agency]:[Agency]]=$E790)/(TableDiv[[Agency]:[Agency]]=$E790)*(ROW(TableDiv[Agency])-ROW(TableDiv[[#Headers],[Agency]])),COLUMNS($F$7:AE$7))))</f>
        <v/>
      </c>
      <c r="AF790" s="2223" t="str" cm="1">
        <f t="array" ref="AF790">IF($D790&lt;COLUMNS($F$7:AF$7),"",INDEX(TableDiv[[GASB]:[GASB]],_xlfn.AGGREGATE(15,3,(TableDiv[[Agency]:[Agency]]=$E790)/(TableDiv[[Agency]:[Agency]]=$E790)*(ROW(TableDiv[Agency])-ROW(TableDiv[[#Headers],[Agency]])),COLUMNS($F$7:AF$7))))</f>
        <v/>
      </c>
      <c r="AG790" s="2223" t="str" cm="1">
        <f t="array" ref="AG790">IF($D790&lt;COLUMNS($F$7:AG$7),"",INDEX(TableDiv[[GASB]:[GASB]],_xlfn.AGGREGATE(15,3,(TableDiv[[Agency]:[Agency]]=$E790)/(TableDiv[[Agency]:[Agency]]=$E790)*(ROW(TableDiv[Agency])-ROW(TableDiv[[#Headers],[Agency]])),COLUMNS($F$7:AG$7))))</f>
        <v/>
      </c>
      <c r="AH790" s="2223" t="str" cm="1">
        <f t="array" ref="AH790">IF($D790&lt;COLUMNS($F$7:AH$7),"",INDEX(TableDiv[[GASB]:[GASB]],_xlfn.AGGREGATE(15,3,(TableDiv[[Agency]:[Agency]]=$E790)/(TableDiv[[Agency]:[Agency]]=$E790)*(ROW(TableDiv[Agency])-ROW(TableDiv[[#Headers],[Agency]])),COLUMNS($F$7:AH$7))))</f>
        <v/>
      </c>
      <c r="AI790" s="2223" t="str" cm="1">
        <f t="array" ref="AI790">IF($D790&lt;COLUMNS($F$7:AI$7),"",INDEX(TableDiv[[GASB]:[GASB]],_xlfn.AGGREGATE(15,3,(TableDiv[[Agency]:[Agency]]=$E790)/(TableDiv[[Agency]:[Agency]]=$E790)*(ROW(TableDiv[Agency])-ROW(TableDiv[[#Headers],[Agency]])),COLUMNS($F$7:AI$7))))</f>
        <v/>
      </c>
      <c r="AJ790" s="2223" t="str" cm="1">
        <f t="array" ref="AJ790">IF($D790&lt;COLUMNS($F$7:AJ$7),"",INDEX(TableDiv[[GASB]:[GASB]],_xlfn.AGGREGATE(15,3,(TableDiv[[Agency]:[Agency]]=$E790)/(TableDiv[[Agency]:[Agency]]=$E790)*(ROW(TableDiv[Agency])-ROW(TableDiv[[#Headers],[Agency]])),COLUMNS($F$7:AJ$7))))</f>
        <v/>
      </c>
      <c r="AK790" s="2223" t="str" cm="1">
        <f t="array" ref="AK790">IF($D790&lt;COLUMNS($F$7:AK$7),"",INDEX(TableDiv[[GASB]:[GASB]],_xlfn.AGGREGATE(15,3,(TableDiv[[Agency]:[Agency]]=$E790)/(TableDiv[[Agency]:[Agency]]=$E790)*(ROW(TableDiv[Agency])-ROW(TableDiv[[#Headers],[Agency]])),COLUMNS($F$7:AK$7))))</f>
        <v/>
      </c>
      <c r="AL790" s="2223" t="str" cm="1">
        <f t="array" ref="AL790">IF($D790&lt;COLUMNS($F$7:AL$7),"",INDEX(TableDiv[[GASB]:[GASB]],_xlfn.AGGREGATE(15,3,(TableDiv[[Agency]:[Agency]]=$E790)/(TableDiv[[Agency]:[Agency]]=$E790)*(ROW(TableDiv[Agency])-ROW(TableDiv[[#Headers],[Agency]])),COLUMNS($F$7:AL$7))))</f>
        <v/>
      </c>
      <c r="AM790" s="2223" t="str" cm="1">
        <f t="array" ref="AM790">IF($D790&lt;COLUMNS($F$7:AM$7),"",INDEX(TableDiv[[GASB]:[GASB]],_xlfn.AGGREGATE(15,3,(TableDiv[[Agency]:[Agency]]=$E790)/(TableDiv[[Agency]:[Agency]]=$E790)*(ROW(TableDiv[Agency])-ROW(TableDiv[[#Headers],[Agency]])),COLUMNS($F$7:AM$7))))</f>
        <v/>
      </c>
      <c r="AN790" s="2223"/>
      <c r="AO790" s="2223"/>
      <c r="AP790" s="2223"/>
      <c r="AQ790" s="2223"/>
      <c r="AR790" s="2223"/>
      <c r="AS790" s="2223"/>
    </row>
    <row r="791" spans="1:45" x14ac:dyDescent="0.2">
      <c r="A791" s="2223"/>
      <c r="B791" s="2223"/>
      <c r="C791" s="2223"/>
      <c r="W791" s="2223" t="str" cm="1">
        <f t="array" ref="W791">IF($D791&lt;COLUMNS($F$7:W$7),"",INDEX(TableDiv[[GASB]:[GASB]],_xlfn.AGGREGATE(15,3,(TableDiv[[Agency]:[Agency]]=$E791)/(TableDiv[[Agency]:[Agency]]=$E791)*(ROW(TableDiv[Agency])-ROW(TableDiv[[#Headers],[Agency]])),COLUMNS($F$7:W$7))))</f>
        <v/>
      </c>
      <c r="X791" s="2223" t="str" cm="1">
        <f t="array" ref="X791">IF($D791&lt;COLUMNS($F$7:X$7),"",INDEX(TableDiv[[GASB]:[GASB]],_xlfn.AGGREGATE(15,3,(TableDiv[[Agency]:[Agency]]=$E791)/(TableDiv[[Agency]:[Agency]]=$E791)*(ROW(TableDiv[Agency])-ROW(TableDiv[[#Headers],[Agency]])),COLUMNS($F$7:X$7))))</f>
        <v/>
      </c>
      <c r="Y791" s="2223" t="str" cm="1">
        <f t="array" ref="Y791">IF($D791&lt;COLUMNS($F$7:Y$7),"",INDEX(TableDiv[[GASB]:[GASB]],_xlfn.AGGREGATE(15,3,(TableDiv[[Agency]:[Agency]]=$E791)/(TableDiv[[Agency]:[Agency]]=$E791)*(ROW(TableDiv[Agency])-ROW(TableDiv[[#Headers],[Agency]])),COLUMNS($F$7:Y$7))))</f>
        <v/>
      </c>
      <c r="Z791" s="2223" t="str" cm="1">
        <f t="array" ref="Z791">IF($D791&lt;COLUMNS($F$7:Z$7),"",INDEX(TableDiv[[GASB]:[GASB]],_xlfn.AGGREGATE(15,3,(TableDiv[[Agency]:[Agency]]=$E791)/(TableDiv[[Agency]:[Agency]]=$E791)*(ROW(TableDiv[Agency])-ROW(TableDiv[[#Headers],[Agency]])),COLUMNS($F$7:Z$7))))</f>
        <v/>
      </c>
      <c r="AA791" s="2223" t="str" cm="1">
        <f t="array" ref="AA791">IF($D791&lt;COLUMNS($F$7:AA$7),"",INDEX(TableDiv[[GASB]:[GASB]],_xlfn.AGGREGATE(15,3,(TableDiv[[Agency]:[Agency]]=$E791)/(TableDiv[[Agency]:[Agency]]=$E791)*(ROW(TableDiv[Agency])-ROW(TableDiv[[#Headers],[Agency]])),COLUMNS($F$7:AA$7))))</f>
        <v/>
      </c>
      <c r="AB791" s="2223" t="str" cm="1">
        <f t="array" ref="AB791">IF($D791&lt;COLUMNS($F$7:AB$7),"",INDEX(TableDiv[[GASB]:[GASB]],_xlfn.AGGREGATE(15,3,(TableDiv[[Agency]:[Agency]]=$E791)/(TableDiv[[Agency]:[Agency]]=$E791)*(ROW(TableDiv[Agency])-ROW(TableDiv[[#Headers],[Agency]])),COLUMNS($F$7:AB$7))))</f>
        <v/>
      </c>
      <c r="AC791" s="2223" t="str" cm="1">
        <f t="array" ref="AC791">IF($D791&lt;COLUMNS($F$7:AC$7),"",INDEX(TableDiv[[GASB]:[GASB]],_xlfn.AGGREGATE(15,3,(TableDiv[[Agency]:[Agency]]=$E791)/(TableDiv[[Agency]:[Agency]]=$E791)*(ROW(TableDiv[Agency])-ROW(TableDiv[[#Headers],[Agency]])),COLUMNS($F$7:AC$7))))</f>
        <v/>
      </c>
      <c r="AD791" s="2223" t="str" cm="1">
        <f t="array" ref="AD791">IF($D791&lt;COLUMNS($F$7:AD$7),"",INDEX(TableDiv[[GASB]:[GASB]],_xlfn.AGGREGATE(15,3,(TableDiv[[Agency]:[Agency]]=$E791)/(TableDiv[[Agency]:[Agency]]=$E791)*(ROW(TableDiv[Agency])-ROW(TableDiv[[#Headers],[Agency]])),COLUMNS($F$7:AD$7))))</f>
        <v/>
      </c>
      <c r="AE791" s="2223" t="str" cm="1">
        <f t="array" ref="AE791">IF($D791&lt;COLUMNS($F$7:AE$7),"",INDEX(TableDiv[[GASB]:[GASB]],_xlfn.AGGREGATE(15,3,(TableDiv[[Agency]:[Agency]]=$E791)/(TableDiv[[Agency]:[Agency]]=$E791)*(ROW(TableDiv[Agency])-ROW(TableDiv[[#Headers],[Agency]])),COLUMNS($F$7:AE$7))))</f>
        <v/>
      </c>
      <c r="AF791" s="2223" t="str" cm="1">
        <f t="array" ref="AF791">IF($D791&lt;COLUMNS($F$7:AF$7),"",INDEX(TableDiv[[GASB]:[GASB]],_xlfn.AGGREGATE(15,3,(TableDiv[[Agency]:[Agency]]=$E791)/(TableDiv[[Agency]:[Agency]]=$E791)*(ROW(TableDiv[Agency])-ROW(TableDiv[[#Headers],[Agency]])),COLUMNS($F$7:AF$7))))</f>
        <v/>
      </c>
      <c r="AG791" s="2223" t="str" cm="1">
        <f t="array" ref="AG791">IF($D791&lt;COLUMNS($F$7:AG$7),"",INDEX(TableDiv[[GASB]:[GASB]],_xlfn.AGGREGATE(15,3,(TableDiv[[Agency]:[Agency]]=$E791)/(TableDiv[[Agency]:[Agency]]=$E791)*(ROW(TableDiv[Agency])-ROW(TableDiv[[#Headers],[Agency]])),COLUMNS($F$7:AG$7))))</f>
        <v/>
      </c>
      <c r="AH791" s="2223" t="str" cm="1">
        <f t="array" ref="AH791">IF($D791&lt;COLUMNS($F$7:AH$7),"",INDEX(TableDiv[[GASB]:[GASB]],_xlfn.AGGREGATE(15,3,(TableDiv[[Agency]:[Agency]]=$E791)/(TableDiv[[Agency]:[Agency]]=$E791)*(ROW(TableDiv[Agency])-ROW(TableDiv[[#Headers],[Agency]])),COLUMNS($F$7:AH$7))))</f>
        <v/>
      </c>
      <c r="AI791" s="2223" t="str" cm="1">
        <f t="array" ref="AI791">IF($D791&lt;COLUMNS($F$7:AI$7),"",INDEX(TableDiv[[GASB]:[GASB]],_xlfn.AGGREGATE(15,3,(TableDiv[[Agency]:[Agency]]=$E791)/(TableDiv[[Agency]:[Agency]]=$E791)*(ROW(TableDiv[Agency])-ROW(TableDiv[[#Headers],[Agency]])),COLUMNS($F$7:AI$7))))</f>
        <v/>
      </c>
      <c r="AJ791" s="2223" t="str" cm="1">
        <f t="array" ref="AJ791">IF($D791&lt;COLUMNS($F$7:AJ$7),"",INDEX(TableDiv[[GASB]:[GASB]],_xlfn.AGGREGATE(15,3,(TableDiv[[Agency]:[Agency]]=$E791)/(TableDiv[[Agency]:[Agency]]=$E791)*(ROW(TableDiv[Agency])-ROW(TableDiv[[#Headers],[Agency]])),COLUMNS($F$7:AJ$7))))</f>
        <v/>
      </c>
      <c r="AK791" s="2223" t="str" cm="1">
        <f t="array" ref="AK791">IF($D791&lt;COLUMNS($F$7:AK$7),"",INDEX(TableDiv[[GASB]:[GASB]],_xlfn.AGGREGATE(15,3,(TableDiv[[Agency]:[Agency]]=$E791)/(TableDiv[[Agency]:[Agency]]=$E791)*(ROW(TableDiv[Agency])-ROW(TableDiv[[#Headers],[Agency]])),COLUMNS($F$7:AK$7))))</f>
        <v/>
      </c>
      <c r="AL791" s="2223" t="str" cm="1">
        <f t="array" ref="AL791">IF($D791&lt;COLUMNS($F$7:AL$7),"",INDEX(TableDiv[[GASB]:[GASB]],_xlfn.AGGREGATE(15,3,(TableDiv[[Agency]:[Agency]]=$E791)/(TableDiv[[Agency]:[Agency]]=$E791)*(ROW(TableDiv[Agency])-ROW(TableDiv[[#Headers],[Agency]])),COLUMNS($F$7:AL$7))))</f>
        <v/>
      </c>
      <c r="AM791" s="2223" t="str" cm="1">
        <f t="array" ref="AM791">IF($D791&lt;COLUMNS($F$7:AM$7),"",INDEX(TableDiv[[GASB]:[GASB]],_xlfn.AGGREGATE(15,3,(TableDiv[[Agency]:[Agency]]=$E791)/(TableDiv[[Agency]:[Agency]]=$E791)*(ROW(TableDiv[Agency])-ROW(TableDiv[[#Headers],[Agency]])),COLUMNS($F$7:AM$7))))</f>
        <v/>
      </c>
      <c r="AN791" s="2223"/>
      <c r="AO791" s="2223"/>
      <c r="AP791" s="2223"/>
      <c r="AQ791" s="2223"/>
      <c r="AR791" s="2223"/>
      <c r="AS791" s="2223"/>
    </row>
    <row r="792" spans="1:45" x14ac:dyDescent="0.2">
      <c r="A792" s="2223"/>
      <c r="B792" s="2223"/>
      <c r="C792" s="2223"/>
      <c r="W792" s="2223" t="str" cm="1">
        <f t="array" ref="W792">IF($D792&lt;COLUMNS($F$7:W$7),"",INDEX(TableDiv[[GASB]:[GASB]],_xlfn.AGGREGATE(15,3,(TableDiv[[Agency]:[Agency]]=$E792)/(TableDiv[[Agency]:[Agency]]=$E792)*(ROW(TableDiv[Agency])-ROW(TableDiv[[#Headers],[Agency]])),COLUMNS($F$7:W$7))))</f>
        <v/>
      </c>
      <c r="X792" s="2223" t="str" cm="1">
        <f t="array" ref="X792">IF($D792&lt;COLUMNS($F$7:X$7),"",INDEX(TableDiv[[GASB]:[GASB]],_xlfn.AGGREGATE(15,3,(TableDiv[[Agency]:[Agency]]=$E792)/(TableDiv[[Agency]:[Agency]]=$E792)*(ROW(TableDiv[Agency])-ROW(TableDiv[[#Headers],[Agency]])),COLUMNS($F$7:X$7))))</f>
        <v/>
      </c>
      <c r="Y792" s="2223" t="str" cm="1">
        <f t="array" ref="Y792">IF($D792&lt;COLUMNS($F$7:Y$7),"",INDEX(TableDiv[[GASB]:[GASB]],_xlfn.AGGREGATE(15,3,(TableDiv[[Agency]:[Agency]]=$E792)/(TableDiv[[Agency]:[Agency]]=$E792)*(ROW(TableDiv[Agency])-ROW(TableDiv[[#Headers],[Agency]])),COLUMNS($F$7:Y$7))))</f>
        <v/>
      </c>
      <c r="Z792" s="2223" t="str" cm="1">
        <f t="array" ref="Z792">IF($D792&lt;COLUMNS($F$7:Z$7),"",INDEX(TableDiv[[GASB]:[GASB]],_xlfn.AGGREGATE(15,3,(TableDiv[[Agency]:[Agency]]=$E792)/(TableDiv[[Agency]:[Agency]]=$E792)*(ROW(TableDiv[Agency])-ROW(TableDiv[[#Headers],[Agency]])),COLUMNS($F$7:Z$7))))</f>
        <v/>
      </c>
      <c r="AA792" s="2223" t="str" cm="1">
        <f t="array" ref="AA792">IF($D792&lt;COLUMNS($F$7:AA$7),"",INDEX(TableDiv[[GASB]:[GASB]],_xlfn.AGGREGATE(15,3,(TableDiv[[Agency]:[Agency]]=$E792)/(TableDiv[[Agency]:[Agency]]=$E792)*(ROW(TableDiv[Agency])-ROW(TableDiv[[#Headers],[Agency]])),COLUMNS($F$7:AA$7))))</f>
        <v/>
      </c>
      <c r="AB792" s="2223" t="str" cm="1">
        <f t="array" ref="AB792">IF($D792&lt;COLUMNS($F$7:AB$7),"",INDEX(TableDiv[[GASB]:[GASB]],_xlfn.AGGREGATE(15,3,(TableDiv[[Agency]:[Agency]]=$E792)/(TableDiv[[Agency]:[Agency]]=$E792)*(ROW(TableDiv[Agency])-ROW(TableDiv[[#Headers],[Agency]])),COLUMNS($F$7:AB$7))))</f>
        <v/>
      </c>
      <c r="AC792" s="2223" t="str" cm="1">
        <f t="array" ref="AC792">IF($D792&lt;COLUMNS($F$7:AC$7),"",INDEX(TableDiv[[GASB]:[GASB]],_xlfn.AGGREGATE(15,3,(TableDiv[[Agency]:[Agency]]=$E792)/(TableDiv[[Agency]:[Agency]]=$E792)*(ROW(TableDiv[Agency])-ROW(TableDiv[[#Headers],[Agency]])),COLUMNS($F$7:AC$7))))</f>
        <v/>
      </c>
      <c r="AD792" s="2223" t="str" cm="1">
        <f t="array" ref="AD792">IF($D792&lt;COLUMNS($F$7:AD$7),"",INDEX(TableDiv[[GASB]:[GASB]],_xlfn.AGGREGATE(15,3,(TableDiv[[Agency]:[Agency]]=$E792)/(TableDiv[[Agency]:[Agency]]=$E792)*(ROW(TableDiv[Agency])-ROW(TableDiv[[#Headers],[Agency]])),COLUMNS($F$7:AD$7))))</f>
        <v/>
      </c>
      <c r="AE792" s="2223" t="str" cm="1">
        <f t="array" ref="AE792">IF($D792&lt;COLUMNS($F$7:AE$7),"",INDEX(TableDiv[[GASB]:[GASB]],_xlfn.AGGREGATE(15,3,(TableDiv[[Agency]:[Agency]]=$E792)/(TableDiv[[Agency]:[Agency]]=$E792)*(ROW(TableDiv[Agency])-ROW(TableDiv[[#Headers],[Agency]])),COLUMNS($F$7:AE$7))))</f>
        <v/>
      </c>
      <c r="AF792" s="2223" t="str" cm="1">
        <f t="array" ref="AF792">IF($D792&lt;COLUMNS($F$7:AF$7),"",INDEX(TableDiv[[GASB]:[GASB]],_xlfn.AGGREGATE(15,3,(TableDiv[[Agency]:[Agency]]=$E792)/(TableDiv[[Agency]:[Agency]]=$E792)*(ROW(TableDiv[Agency])-ROW(TableDiv[[#Headers],[Agency]])),COLUMNS($F$7:AF$7))))</f>
        <v/>
      </c>
      <c r="AG792" s="2223" t="str" cm="1">
        <f t="array" ref="AG792">IF($D792&lt;COLUMNS($F$7:AG$7),"",INDEX(TableDiv[[GASB]:[GASB]],_xlfn.AGGREGATE(15,3,(TableDiv[[Agency]:[Agency]]=$E792)/(TableDiv[[Agency]:[Agency]]=$E792)*(ROW(TableDiv[Agency])-ROW(TableDiv[[#Headers],[Agency]])),COLUMNS($F$7:AG$7))))</f>
        <v/>
      </c>
      <c r="AH792" s="2223" t="str" cm="1">
        <f t="array" ref="AH792">IF($D792&lt;COLUMNS($F$7:AH$7),"",INDEX(TableDiv[[GASB]:[GASB]],_xlfn.AGGREGATE(15,3,(TableDiv[[Agency]:[Agency]]=$E792)/(TableDiv[[Agency]:[Agency]]=$E792)*(ROW(TableDiv[Agency])-ROW(TableDiv[[#Headers],[Agency]])),COLUMNS($F$7:AH$7))))</f>
        <v/>
      </c>
      <c r="AI792" s="2223" t="str" cm="1">
        <f t="array" ref="AI792">IF($D792&lt;COLUMNS($F$7:AI$7),"",INDEX(TableDiv[[GASB]:[GASB]],_xlfn.AGGREGATE(15,3,(TableDiv[[Agency]:[Agency]]=$E792)/(TableDiv[[Agency]:[Agency]]=$E792)*(ROW(TableDiv[Agency])-ROW(TableDiv[[#Headers],[Agency]])),COLUMNS($F$7:AI$7))))</f>
        <v/>
      </c>
      <c r="AJ792" s="2223" t="str" cm="1">
        <f t="array" ref="AJ792">IF($D792&lt;COLUMNS($F$7:AJ$7),"",INDEX(TableDiv[[GASB]:[GASB]],_xlfn.AGGREGATE(15,3,(TableDiv[[Agency]:[Agency]]=$E792)/(TableDiv[[Agency]:[Agency]]=$E792)*(ROW(TableDiv[Agency])-ROW(TableDiv[[#Headers],[Agency]])),COLUMNS($F$7:AJ$7))))</f>
        <v/>
      </c>
      <c r="AK792" s="2223" t="str" cm="1">
        <f t="array" ref="AK792">IF($D792&lt;COLUMNS($F$7:AK$7),"",INDEX(TableDiv[[GASB]:[GASB]],_xlfn.AGGREGATE(15,3,(TableDiv[[Agency]:[Agency]]=$E792)/(TableDiv[[Agency]:[Agency]]=$E792)*(ROW(TableDiv[Agency])-ROW(TableDiv[[#Headers],[Agency]])),COLUMNS($F$7:AK$7))))</f>
        <v/>
      </c>
      <c r="AL792" s="2223" t="str" cm="1">
        <f t="array" ref="AL792">IF($D792&lt;COLUMNS($F$7:AL$7),"",INDEX(TableDiv[[GASB]:[GASB]],_xlfn.AGGREGATE(15,3,(TableDiv[[Agency]:[Agency]]=$E792)/(TableDiv[[Agency]:[Agency]]=$E792)*(ROW(TableDiv[Agency])-ROW(TableDiv[[#Headers],[Agency]])),COLUMNS($F$7:AL$7))))</f>
        <v/>
      </c>
      <c r="AM792" s="2223" t="str" cm="1">
        <f t="array" ref="AM792">IF($D792&lt;COLUMNS($F$7:AM$7),"",INDEX(TableDiv[[GASB]:[GASB]],_xlfn.AGGREGATE(15,3,(TableDiv[[Agency]:[Agency]]=$E792)/(TableDiv[[Agency]:[Agency]]=$E792)*(ROW(TableDiv[Agency])-ROW(TableDiv[[#Headers],[Agency]])),COLUMNS($F$7:AM$7))))</f>
        <v/>
      </c>
      <c r="AN792" s="2223"/>
      <c r="AO792" s="2223"/>
      <c r="AP792" s="2223"/>
      <c r="AQ792" s="2223"/>
      <c r="AR792" s="2223"/>
      <c r="AS792" s="2223"/>
    </row>
    <row r="793" spans="1:45" x14ac:dyDescent="0.2">
      <c r="A793" s="2223"/>
      <c r="B793" s="2223"/>
      <c r="C793" s="2223"/>
      <c r="W793" s="2223" t="str" cm="1">
        <f t="array" ref="W793">IF($D793&lt;COLUMNS($F$7:W$7),"",INDEX(TableDiv[[GASB]:[GASB]],_xlfn.AGGREGATE(15,3,(TableDiv[[Agency]:[Agency]]=$E793)/(TableDiv[[Agency]:[Agency]]=$E793)*(ROW(TableDiv[Agency])-ROW(TableDiv[[#Headers],[Agency]])),COLUMNS($F$7:W$7))))</f>
        <v/>
      </c>
      <c r="X793" s="2223" t="str" cm="1">
        <f t="array" ref="X793">IF($D793&lt;COLUMNS($F$7:X$7),"",INDEX(TableDiv[[GASB]:[GASB]],_xlfn.AGGREGATE(15,3,(TableDiv[[Agency]:[Agency]]=$E793)/(TableDiv[[Agency]:[Agency]]=$E793)*(ROW(TableDiv[Agency])-ROW(TableDiv[[#Headers],[Agency]])),COLUMNS($F$7:X$7))))</f>
        <v/>
      </c>
      <c r="Y793" s="2223" t="str" cm="1">
        <f t="array" ref="Y793">IF($D793&lt;COLUMNS($F$7:Y$7),"",INDEX(TableDiv[[GASB]:[GASB]],_xlfn.AGGREGATE(15,3,(TableDiv[[Agency]:[Agency]]=$E793)/(TableDiv[[Agency]:[Agency]]=$E793)*(ROW(TableDiv[Agency])-ROW(TableDiv[[#Headers],[Agency]])),COLUMNS($F$7:Y$7))))</f>
        <v/>
      </c>
      <c r="Z793" s="2223" t="str" cm="1">
        <f t="array" ref="Z793">IF($D793&lt;COLUMNS($F$7:Z$7),"",INDEX(TableDiv[[GASB]:[GASB]],_xlfn.AGGREGATE(15,3,(TableDiv[[Agency]:[Agency]]=$E793)/(TableDiv[[Agency]:[Agency]]=$E793)*(ROW(TableDiv[Agency])-ROW(TableDiv[[#Headers],[Agency]])),COLUMNS($F$7:Z$7))))</f>
        <v/>
      </c>
      <c r="AA793" s="2223" t="str" cm="1">
        <f t="array" ref="AA793">IF($D793&lt;COLUMNS($F$7:AA$7),"",INDEX(TableDiv[[GASB]:[GASB]],_xlfn.AGGREGATE(15,3,(TableDiv[[Agency]:[Agency]]=$E793)/(TableDiv[[Agency]:[Agency]]=$E793)*(ROW(TableDiv[Agency])-ROW(TableDiv[[#Headers],[Agency]])),COLUMNS($F$7:AA$7))))</f>
        <v/>
      </c>
      <c r="AB793" s="2223" t="str" cm="1">
        <f t="array" ref="AB793">IF($D793&lt;COLUMNS($F$7:AB$7),"",INDEX(TableDiv[[GASB]:[GASB]],_xlfn.AGGREGATE(15,3,(TableDiv[[Agency]:[Agency]]=$E793)/(TableDiv[[Agency]:[Agency]]=$E793)*(ROW(TableDiv[Agency])-ROW(TableDiv[[#Headers],[Agency]])),COLUMNS($F$7:AB$7))))</f>
        <v/>
      </c>
      <c r="AC793" s="2223" t="str" cm="1">
        <f t="array" ref="AC793">IF($D793&lt;COLUMNS($F$7:AC$7),"",INDEX(TableDiv[[GASB]:[GASB]],_xlfn.AGGREGATE(15,3,(TableDiv[[Agency]:[Agency]]=$E793)/(TableDiv[[Agency]:[Agency]]=$E793)*(ROW(TableDiv[Agency])-ROW(TableDiv[[#Headers],[Agency]])),COLUMNS($F$7:AC$7))))</f>
        <v/>
      </c>
      <c r="AD793" s="2223" t="str" cm="1">
        <f t="array" ref="AD793">IF($D793&lt;COLUMNS($F$7:AD$7),"",INDEX(TableDiv[[GASB]:[GASB]],_xlfn.AGGREGATE(15,3,(TableDiv[[Agency]:[Agency]]=$E793)/(TableDiv[[Agency]:[Agency]]=$E793)*(ROW(TableDiv[Agency])-ROW(TableDiv[[#Headers],[Agency]])),COLUMNS($F$7:AD$7))))</f>
        <v/>
      </c>
      <c r="AE793" s="2223" t="str" cm="1">
        <f t="array" ref="AE793">IF($D793&lt;COLUMNS($F$7:AE$7),"",INDEX(TableDiv[[GASB]:[GASB]],_xlfn.AGGREGATE(15,3,(TableDiv[[Agency]:[Agency]]=$E793)/(TableDiv[[Agency]:[Agency]]=$E793)*(ROW(TableDiv[Agency])-ROW(TableDiv[[#Headers],[Agency]])),COLUMNS($F$7:AE$7))))</f>
        <v/>
      </c>
      <c r="AF793" s="2223" t="str" cm="1">
        <f t="array" ref="AF793">IF($D793&lt;COLUMNS($F$7:AF$7),"",INDEX(TableDiv[[GASB]:[GASB]],_xlfn.AGGREGATE(15,3,(TableDiv[[Agency]:[Agency]]=$E793)/(TableDiv[[Agency]:[Agency]]=$E793)*(ROW(TableDiv[Agency])-ROW(TableDiv[[#Headers],[Agency]])),COLUMNS($F$7:AF$7))))</f>
        <v/>
      </c>
      <c r="AG793" s="2223" t="str" cm="1">
        <f t="array" ref="AG793">IF($D793&lt;COLUMNS($F$7:AG$7),"",INDEX(TableDiv[[GASB]:[GASB]],_xlfn.AGGREGATE(15,3,(TableDiv[[Agency]:[Agency]]=$E793)/(TableDiv[[Agency]:[Agency]]=$E793)*(ROW(TableDiv[Agency])-ROW(TableDiv[[#Headers],[Agency]])),COLUMNS($F$7:AG$7))))</f>
        <v/>
      </c>
      <c r="AH793" s="2223" t="str" cm="1">
        <f t="array" ref="AH793">IF($D793&lt;COLUMNS($F$7:AH$7),"",INDEX(TableDiv[[GASB]:[GASB]],_xlfn.AGGREGATE(15,3,(TableDiv[[Agency]:[Agency]]=$E793)/(TableDiv[[Agency]:[Agency]]=$E793)*(ROW(TableDiv[Agency])-ROW(TableDiv[[#Headers],[Agency]])),COLUMNS($F$7:AH$7))))</f>
        <v/>
      </c>
      <c r="AI793" s="2223" t="str" cm="1">
        <f t="array" ref="AI793">IF($D793&lt;COLUMNS($F$7:AI$7),"",INDEX(TableDiv[[GASB]:[GASB]],_xlfn.AGGREGATE(15,3,(TableDiv[[Agency]:[Agency]]=$E793)/(TableDiv[[Agency]:[Agency]]=$E793)*(ROW(TableDiv[Agency])-ROW(TableDiv[[#Headers],[Agency]])),COLUMNS($F$7:AI$7))))</f>
        <v/>
      </c>
      <c r="AJ793" s="2223" t="str" cm="1">
        <f t="array" ref="AJ793">IF($D793&lt;COLUMNS($F$7:AJ$7),"",INDEX(TableDiv[[GASB]:[GASB]],_xlfn.AGGREGATE(15,3,(TableDiv[[Agency]:[Agency]]=$E793)/(TableDiv[[Agency]:[Agency]]=$E793)*(ROW(TableDiv[Agency])-ROW(TableDiv[[#Headers],[Agency]])),COLUMNS($F$7:AJ$7))))</f>
        <v/>
      </c>
      <c r="AK793" s="2223" t="str" cm="1">
        <f t="array" ref="AK793">IF($D793&lt;COLUMNS($F$7:AK$7),"",INDEX(TableDiv[[GASB]:[GASB]],_xlfn.AGGREGATE(15,3,(TableDiv[[Agency]:[Agency]]=$E793)/(TableDiv[[Agency]:[Agency]]=$E793)*(ROW(TableDiv[Agency])-ROW(TableDiv[[#Headers],[Agency]])),COLUMNS($F$7:AK$7))))</f>
        <v/>
      </c>
      <c r="AL793" s="2223" t="str" cm="1">
        <f t="array" ref="AL793">IF($D793&lt;COLUMNS($F$7:AL$7),"",INDEX(TableDiv[[GASB]:[GASB]],_xlfn.AGGREGATE(15,3,(TableDiv[[Agency]:[Agency]]=$E793)/(TableDiv[[Agency]:[Agency]]=$E793)*(ROW(TableDiv[Agency])-ROW(TableDiv[[#Headers],[Agency]])),COLUMNS($F$7:AL$7))))</f>
        <v/>
      </c>
      <c r="AM793" s="2223" t="str" cm="1">
        <f t="array" ref="AM793">IF($D793&lt;COLUMNS($F$7:AM$7),"",INDEX(TableDiv[[GASB]:[GASB]],_xlfn.AGGREGATE(15,3,(TableDiv[[Agency]:[Agency]]=$E793)/(TableDiv[[Agency]:[Agency]]=$E793)*(ROW(TableDiv[Agency])-ROW(TableDiv[[#Headers],[Agency]])),COLUMNS($F$7:AM$7))))</f>
        <v/>
      </c>
      <c r="AN793" s="2223"/>
      <c r="AO793" s="2223"/>
      <c r="AP793" s="2223"/>
      <c r="AQ793" s="2223"/>
      <c r="AR793" s="2223"/>
      <c r="AS793" s="2223"/>
    </row>
    <row r="794" spans="1:45" x14ac:dyDescent="0.2">
      <c r="A794" s="2223"/>
      <c r="B794" s="2223"/>
      <c r="C794" s="2223"/>
      <c r="W794" s="2223" t="str" cm="1">
        <f t="array" ref="W794">IF($D794&lt;COLUMNS($F$7:W$7),"",INDEX(TableDiv[[GASB]:[GASB]],_xlfn.AGGREGATE(15,3,(TableDiv[[Agency]:[Agency]]=$E794)/(TableDiv[[Agency]:[Agency]]=$E794)*(ROW(TableDiv[Agency])-ROW(TableDiv[[#Headers],[Agency]])),COLUMNS($F$7:W$7))))</f>
        <v/>
      </c>
      <c r="X794" s="2223" t="str" cm="1">
        <f t="array" ref="X794">IF($D794&lt;COLUMNS($F$7:X$7),"",INDEX(TableDiv[[GASB]:[GASB]],_xlfn.AGGREGATE(15,3,(TableDiv[[Agency]:[Agency]]=$E794)/(TableDiv[[Agency]:[Agency]]=$E794)*(ROW(TableDiv[Agency])-ROW(TableDiv[[#Headers],[Agency]])),COLUMNS($F$7:X$7))))</f>
        <v/>
      </c>
      <c r="Y794" s="2223" t="str" cm="1">
        <f t="array" ref="Y794">IF($D794&lt;COLUMNS($F$7:Y$7),"",INDEX(TableDiv[[GASB]:[GASB]],_xlfn.AGGREGATE(15,3,(TableDiv[[Agency]:[Agency]]=$E794)/(TableDiv[[Agency]:[Agency]]=$E794)*(ROW(TableDiv[Agency])-ROW(TableDiv[[#Headers],[Agency]])),COLUMNS($F$7:Y$7))))</f>
        <v/>
      </c>
      <c r="Z794" s="2223" t="str" cm="1">
        <f t="array" ref="Z794">IF($D794&lt;COLUMNS($F$7:Z$7),"",INDEX(TableDiv[[GASB]:[GASB]],_xlfn.AGGREGATE(15,3,(TableDiv[[Agency]:[Agency]]=$E794)/(TableDiv[[Agency]:[Agency]]=$E794)*(ROW(TableDiv[Agency])-ROW(TableDiv[[#Headers],[Agency]])),COLUMNS($F$7:Z$7))))</f>
        <v/>
      </c>
      <c r="AA794" s="2223" t="str" cm="1">
        <f t="array" ref="AA794">IF($D794&lt;COLUMNS($F$7:AA$7),"",INDEX(TableDiv[[GASB]:[GASB]],_xlfn.AGGREGATE(15,3,(TableDiv[[Agency]:[Agency]]=$E794)/(TableDiv[[Agency]:[Agency]]=$E794)*(ROW(TableDiv[Agency])-ROW(TableDiv[[#Headers],[Agency]])),COLUMNS($F$7:AA$7))))</f>
        <v/>
      </c>
      <c r="AB794" s="2223" t="str" cm="1">
        <f t="array" ref="AB794">IF($D794&lt;COLUMNS($F$7:AB$7),"",INDEX(TableDiv[[GASB]:[GASB]],_xlfn.AGGREGATE(15,3,(TableDiv[[Agency]:[Agency]]=$E794)/(TableDiv[[Agency]:[Agency]]=$E794)*(ROW(TableDiv[Agency])-ROW(TableDiv[[#Headers],[Agency]])),COLUMNS($F$7:AB$7))))</f>
        <v/>
      </c>
      <c r="AC794" s="2223" t="str" cm="1">
        <f t="array" ref="AC794">IF($D794&lt;COLUMNS($F$7:AC$7),"",INDEX(TableDiv[[GASB]:[GASB]],_xlfn.AGGREGATE(15,3,(TableDiv[[Agency]:[Agency]]=$E794)/(TableDiv[[Agency]:[Agency]]=$E794)*(ROW(TableDiv[Agency])-ROW(TableDiv[[#Headers],[Agency]])),COLUMNS($F$7:AC$7))))</f>
        <v/>
      </c>
      <c r="AD794" s="2223" t="str" cm="1">
        <f t="array" ref="AD794">IF($D794&lt;COLUMNS($F$7:AD$7),"",INDEX(TableDiv[[GASB]:[GASB]],_xlfn.AGGREGATE(15,3,(TableDiv[[Agency]:[Agency]]=$E794)/(TableDiv[[Agency]:[Agency]]=$E794)*(ROW(TableDiv[Agency])-ROW(TableDiv[[#Headers],[Agency]])),COLUMNS($F$7:AD$7))))</f>
        <v/>
      </c>
      <c r="AE794" s="2223" t="str" cm="1">
        <f t="array" ref="AE794">IF($D794&lt;COLUMNS($F$7:AE$7),"",INDEX(TableDiv[[GASB]:[GASB]],_xlfn.AGGREGATE(15,3,(TableDiv[[Agency]:[Agency]]=$E794)/(TableDiv[[Agency]:[Agency]]=$E794)*(ROW(TableDiv[Agency])-ROW(TableDiv[[#Headers],[Agency]])),COLUMNS($F$7:AE$7))))</f>
        <v/>
      </c>
      <c r="AF794" s="2223" t="str" cm="1">
        <f t="array" ref="AF794">IF($D794&lt;COLUMNS($F$7:AF$7),"",INDEX(TableDiv[[GASB]:[GASB]],_xlfn.AGGREGATE(15,3,(TableDiv[[Agency]:[Agency]]=$E794)/(TableDiv[[Agency]:[Agency]]=$E794)*(ROW(TableDiv[Agency])-ROW(TableDiv[[#Headers],[Agency]])),COLUMNS($F$7:AF$7))))</f>
        <v/>
      </c>
      <c r="AG794" s="2223" t="str" cm="1">
        <f t="array" ref="AG794">IF($D794&lt;COLUMNS($F$7:AG$7),"",INDEX(TableDiv[[GASB]:[GASB]],_xlfn.AGGREGATE(15,3,(TableDiv[[Agency]:[Agency]]=$E794)/(TableDiv[[Agency]:[Agency]]=$E794)*(ROW(TableDiv[Agency])-ROW(TableDiv[[#Headers],[Agency]])),COLUMNS($F$7:AG$7))))</f>
        <v/>
      </c>
      <c r="AH794" s="2223" t="str" cm="1">
        <f t="array" ref="AH794">IF($D794&lt;COLUMNS($F$7:AH$7),"",INDEX(TableDiv[[GASB]:[GASB]],_xlfn.AGGREGATE(15,3,(TableDiv[[Agency]:[Agency]]=$E794)/(TableDiv[[Agency]:[Agency]]=$E794)*(ROW(TableDiv[Agency])-ROW(TableDiv[[#Headers],[Agency]])),COLUMNS($F$7:AH$7))))</f>
        <v/>
      </c>
      <c r="AI794" s="2223" t="str" cm="1">
        <f t="array" ref="AI794">IF($D794&lt;COLUMNS($F$7:AI$7),"",INDEX(TableDiv[[GASB]:[GASB]],_xlfn.AGGREGATE(15,3,(TableDiv[[Agency]:[Agency]]=$E794)/(TableDiv[[Agency]:[Agency]]=$E794)*(ROW(TableDiv[Agency])-ROW(TableDiv[[#Headers],[Agency]])),COLUMNS($F$7:AI$7))))</f>
        <v/>
      </c>
      <c r="AJ794" s="2223" t="str" cm="1">
        <f t="array" ref="AJ794">IF($D794&lt;COLUMNS($F$7:AJ$7),"",INDEX(TableDiv[[GASB]:[GASB]],_xlfn.AGGREGATE(15,3,(TableDiv[[Agency]:[Agency]]=$E794)/(TableDiv[[Agency]:[Agency]]=$E794)*(ROW(TableDiv[Agency])-ROW(TableDiv[[#Headers],[Agency]])),COLUMNS($F$7:AJ$7))))</f>
        <v/>
      </c>
      <c r="AK794" s="2223" t="str" cm="1">
        <f t="array" ref="AK794">IF($D794&lt;COLUMNS($F$7:AK$7),"",INDEX(TableDiv[[GASB]:[GASB]],_xlfn.AGGREGATE(15,3,(TableDiv[[Agency]:[Agency]]=$E794)/(TableDiv[[Agency]:[Agency]]=$E794)*(ROW(TableDiv[Agency])-ROW(TableDiv[[#Headers],[Agency]])),COLUMNS($F$7:AK$7))))</f>
        <v/>
      </c>
      <c r="AL794" s="2223" t="str" cm="1">
        <f t="array" ref="AL794">IF($D794&lt;COLUMNS($F$7:AL$7),"",INDEX(TableDiv[[GASB]:[GASB]],_xlfn.AGGREGATE(15,3,(TableDiv[[Agency]:[Agency]]=$E794)/(TableDiv[[Agency]:[Agency]]=$E794)*(ROW(TableDiv[Agency])-ROW(TableDiv[[#Headers],[Agency]])),COLUMNS($F$7:AL$7))))</f>
        <v/>
      </c>
      <c r="AM794" s="2223" t="str" cm="1">
        <f t="array" ref="AM794">IF($D794&lt;COLUMNS($F$7:AM$7),"",INDEX(TableDiv[[GASB]:[GASB]],_xlfn.AGGREGATE(15,3,(TableDiv[[Agency]:[Agency]]=$E794)/(TableDiv[[Agency]:[Agency]]=$E794)*(ROW(TableDiv[Agency])-ROW(TableDiv[[#Headers],[Agency]])),COLUMNS($F$7:AM$7))))</f>
        <v/>
      </c>
      <c r="AN794" s="2223"/>
      <c r="AO794" s="2223"/>
      <c r="AP794" s="2223"/>
      <c r="AQ794" s="2223"/>
      <c r="AR794" s="2223"/>
      <c r="AS794" s="2223"/>
    </row>
    <row r="795" spans="1:45" x14ac:dyDescent="0.2">
      <c r="A795" s="2223"/>
      <c r="B795" s="2223"/>
      <c r="C795" s="2223"/>
      <c r="W795" s="2223" t="str" cm="1">
        <f t="array" ref="W795">IF($D795&lt;COLUMNS($F$7:W$7),"",INDEX(TableDiv[[GASB]:[GASB]],_xlfn.AGGREGATE(15,3,(TableDiv[[Agency]:[Agency]]=$E795)/(TableDiv[[Agency]:[Agency]]=$E795)*(ROW(TableDiv[Agency])-ROW(TableDiv[[#Headers],[Agency]])),COLUMNS($F$7:W$7))))</f>
        <v/>
      </c>
      <c r="X795" s="2223" t="str" cm="1">
        <f t="array" ref="X795">IF($D795&lt;COLUMNS($F$7:X$7),"",INDEX(TableDiv[[GASB]:[GASB]],_xlfn.AGGREGATE(15,3,(TableDiv[[Agency]:[Agency]]=$E795)/(TableDiv[[Agency]:[Agency]]=$E795)*(ROW(TableDiv[Agency])-ROW(TableDiv[[#Headers],[Agency]])),COLUMNS($F$7:X$7))))</f>
        <v/>
      </c>
      <c r="Y795" s="2223" t="str" cm="1">
        <f t="array" ref="Y795">IF($D795&lt;COLUMNS($F$7:Y$7),"",INDEX(TableDiv[[GASB]:[GASB]],_xlfn.AGGREGATE(15,3,(TableDiv[[Agency]:[Agency]]=$E795)/(TableDiv[[Agency]:[Agency]]=$E795)*(ROW(TableDiv[Agency])-ROW(TableDiv[[#Headers],[Agency]])),COLUMNS($F$7:Y$7))))</f>
        <v/>
      </c>
      <c r="Z795" s="2223" t="str" cm="1">
        <f t="array" ref="Z795">IF($D795&lt;COLUMNS($F$7:Z$7),"",INDEX(TableDiv[[GASB]:[GASB]],_xlfn.AGGREGATE(15,3,(TableDiv[[Agency]:[Agency]]=$E795)/(TableDiv[[Agency]:[Agency]]=$E795)*(ROW(TableDiv[Agency])-ROW(TableDiv[[#Headers],[Agency]])),COLUMNS($F$7:Z$7))))</f>
        <v/>
      </c>
      <c r="AA795" s="2223" t="str" cm="1">
        <f t="array" ref="AA795">IF($D795&lt;COLUMNS($F$7:AA$7),"",INDEX(TableDiv[[GASB]:[GASB]],_xlfn.AGGREGATE(15,3,(TableDiv[[Agency]:[Agency]]=$E795)/(TableDiv[[Agency]:[Agency]]=$E795)*(ROW(TableDiv[Agency])-ROW(TableDiv[[#Headers],[Agency]])),COLUMNS($F$7:AA$7))))</f>
        <v/>
      </c>
      <c r="AB795" s="2223" t="str" cm="1">
        <f t="array" ref="AB795">IF($D795&lt;COLUMNS($F$7:AB$7),"",INDEX(TableDiv[[GASB]:[GASB]],_xlfn.AGGREGATE(15,3,(TableDiv[[Agency]:[Agency]]=$E795)/(TableDiv[[Agency]:[Agency]]=$E795)*(ROW(TableDiv[Agency])-ROW(TableDiv[[#Headers],[Agency]])),COLUMNS($F$7:AB$7))))</f>
        <v/>
      </c>
      <c r="AC795" s="2223" t="str" cm="1">
        <f t="array" ref="AC795">IF($D795&lt;COLUMNS($F$7:AC$7),"",INDEX(TableDiv[[GASB]:[GASB]],_xlfn.AGGREGATE(15,3,(TableDiv[[Agency]:[Agency]]=$E795)/(TableDiv[[Agency]:[Agency]]=$E795)*(ROW(TableDiv[Agency])-ROW(TableDiv[[#Headers],[Agency]])),COLUMNS($F$7:AC$7))))</f>
        <v/>
      </c>
      <c r="AD795" s="2223" t="str" cm="1">
        <f t="array" ref="AD795">IF($D795&lt;COLUMNS($F$7:AD$7),"",INDEX(TableDiv[[GASB]:[GASB]],_xlfn.AGGREGATE(15,3,(TableDiv[[Agency]:[Agency]]=$E795)/(TableDiv[[Agency]:[Agency]]=$E795)*(ROW(TableDiv[Agency])-ROW(TableDiv[[#Headers],[Agency]])),COLUMNS($F$7:AD$7))))</f>
        <v/>
      </c>
      <c r="AE795" s="2223" t="str" cm="1">
        <f t="array" ref="AE795">IF($D795&lt;COLUMNS($F$7:AE$7),"",INDEX(TableDiv[[GASB]:[GASB]],_xlfn.AGGREGATE(15,3,(TableDiv[[Agency]:[Agency]]=$E795)/(TableDiv[[Agency]:[Agency]]=$E795)*(ROW(TableDiv[Agency])-ROW(TableDiv[[#Headers],[Agency]])),COLUMNS($F$7:AE$7))))</f>
        <v/>
      </c>
      <c r="AF795" s="2223" t="str" cm="1">
        <f t="array" ref="AF795">IF($D795&lt;COLUMNS($F$7:AF$7),"",INDEX(TableDiv[[GASB]:[GASB]],_xlfn.AGGREGATE(15,3,(TableDiv[[Agency]:[Agency]]=$E795)/(TableDiv[[Agency]:[Agency]]=$E795)*(ROW(TableDiv[Agency])-ROW(TableDiv[[#Headers],[Agency]])),COLUMNS($F$7:AF$7))))</f>
        <v/>
      </c>
      <c r="AG795" s="2223" t="str" cm="1">
        <f t="array" ref="AG795">IF($D795&lt;COLUMNS($F$7:AG$7),"",INDEX(TableDiv[[GASB]:[GASB]],_xlfn.AGGREGATE(15,3,(TableDiv[[Agency]:[Agency]]=$E795)/(TableDiv[[Agency]:[Agency]]=$E795)*(ROW(TableDiv[Agency])-ROW(TableDiv[[#Headers],[Agency]])),COLUMNS($F$7:AG$7))))</f>
        <v/>
      </c>
      <c r="AH795" s="2223" t="str" cm="1">
        <f t="array" ref="AH795">IF($D795&lt;COLUMNS($F$7:AH$7),"",INDEX(TableDiv[[GASB]:[GASB]],_xlfn.AGGREGATE(15,3,(TableDiv[[Agency]:[Agency]]=$E795)/(TableDiv[[Agency]:[Agency]]=$E795)*(ROW(TableDiv[Agency])-ROW(TableDiv[[#Headers],[Agency]])),COLUMNS($F$7:AH$7))))</f>
        <v/>
      </c>
      <c r="AI795" s="2223" t="str" cm="1">
        <f t="array" ref="AI795">IF($D795&lt;COLUMNS($F$7:AI$7),"",INDEX(TableDiv[[GASB]:[GASB]],_xlfn.AGGREGATE(15,3,(TableDiv[[Agency]:[Agency]]=$E795)/(TableDiv[[Agency]:[Agency]]=$E795)*(ROW(TableDiv[Agency])-ROW(TableDiv[[#Headers],[Agency]])),COLUMNS($F$7:AI$7))))</f>
        <v/>
      </c>
      <c r="AJ795" s="2223" t="str" cm="1">
        <f t="array" ref="AJ795">IF($D795&lt;COLUMNS($F$7:AJ$7),"",INDEX(TableDiv[[GASB]:[GASB]],_xlfn.AGGREGATE(15,3,(TableDiv[[Agency]:[Agency]]=$E795)/(TableDiv[[Agency]:[Agency]]=$E795)*(ROW(TableDiv[Agency])-ROW(TableDiv[[#Headers],[Agency]])),COLUMNS($F$7:AJ$7))))</f>
        <v/>
      </c>
      <c r="AK795" s="2223" t="str" cm="1">
        <f t="array" ref="AK795">IF($D795&lt;COLUMNS($F$7:AK$7),"",INDEX(TableDiv[[GASB]:[GASB]],_xlfn.AGGREGATE(15,3,(TableDiv[[Agency]:[Agency]]=$E795)/(TableDiv[[Agency]:[Agency]]=$E795)*(ROW(TableDiv[Agency])-ROW(TableDiv[[#Headers],[Agency]])),COLUMNS($F$7:AK$7))))</f>
        <v/>
      </c>
      <c r="AL795" s="2223" t="str" cm="1">
        <f t="array" ref="AL795">IF($D795&lt;COLUMNS($F$7:AL$7),"",INDEX(TableDiv[[GASB]:[GASB]],_xlfn.AGGREGATE(15,3,(TableDiv[[Agency]:[Agency]]=$E795)/(TableDiv[[Agency]:[Agency]]=$E795)*(ROW(TableDiv[Agency])-ROW(TableDiv[[#Headers],[Agency]])),COLUMNS($F$7:AL$7))))</f>
        <v/>
      </c>
      <c r="AM795" s="2223" t="str" cm="1">
        <f t="array" ref="AM795">IF($D795&lt;COLUMNS($F$7:AM$7),"",INDEX(TableDiv[[GASB]:[GASB]],_xlfn.AGGREGATE(15,3,(TableDiv[[Agency]:[Agency]]=$E795)/(TableDiv[[Agency]:[Agency]]=$E795)*(ROW(TableDiv[Agency])-ROW(TableDiv[[#Headers],[Agency]])),COLUMNS($F$7:AM$7))))</f>
        <v/>
      </c>
      <c r="AN795" s="2223"/>
      <c r="AO795" s="2223"/>
      <c r="AP795" s="2223"/>
      <c r="AQ795" s="2223"/>
      <c r="AR795" s="2223"/>
      <c r="AS795" s="2223"/>
    </row>
    <row r="796" spans="1:45" x14ac:dyDescent="0.2">
      <c r="A796" s="2223"/>
      <c r="B796" s="2223"/>
      <c r="C796" s="2223"/>
      <c r="W796" s="2223" t="str" cm="1">
        <f t="array" ref="W796">IF($D796&lt;COLUMNS($F$7:W$7),"",INDEX(TableDiv[[GASB]:[GASB]],_xlfn.AGGREGATE(15,3,(TableDiv[[Agency]:[Agency]]=$E796)/(TableDiv[[Agency]:[Agency]]=$E796)*(ROW(TableDiv[Agency])-ROW(TableDiv[[#Headers],[Agency]])),COLUMNS($F$7:W$7))))</f>
        <v/>
      </c>
      <c r="X796" s="2223" t="str" cm="1">
        <f t="array" ref="X796">IF($D796&lt;COLUMNS($F$7:X$7),"",INDEX(TableDiv[[GASB]:[GASB]],_xlfn.AGGREGATE(15,3,(TableDiv[[Agency]:[Agency]]=$E796)/(TableDiv[[Agency]:[Agency]]=$E796)*(ROW(TableDiv[Agency])-ROW(TableDiv[[#Headers],[Agency]])),COLUMNS($F$7:X$7))))</f>
        <v/>
      </c>
      <c r="Y796" s="2223" t="str" cm="1">
        <f t="array" ref="Y796">IF($D796&lt;COLUMNS($F$7:Y$7),"",INDEX(TableDiv[[GASB]:[GASB]],_xlfn.AGGREGATE(15,3,(TableDiv[[Agency]:[Agency]]=$E796)/(TableDiv[[Agency]:[Agency]]=$E796)*(ROW(TableDiv[Agency])-ROW(TableDiv[[#Headers],[Agency]])),COLUMNS($F$7:Y$7))))</f>
        <v/>
      </c>
      <c r="Z796" s="2223" t="str" cm="1">
        <f t="array" ref="Z796">IF($D796&lt;COLUMNS($F$7:Z$7),"",INDEX(TableDiv[[GASB]:[GASB]],_xlfn.AGGREGATE(15,3,(TableDiv[[Agency]:[Agency]]=$E796)/(TableDiv[[Agency]:[Agency]]=$E796)*(ROW(TableDiv[Agency])-ROW(TableDiv[[#Headers],[Agency]])),COLUMNS($F$7:Z$7))))</f>
        <v/>
      </c>
      <c r="AA796" s="2223" t="str" cm="1">
        <f t="array" ref="AA796">IF($D796&lt;COLUMNS($F$7:AA$7),"",INDEX(TableDiv[[GASB]:[GASB]],_xlfn.AGGREGATE(15,3,(TableDiv[[Agency]:[Agency]]=$E796)/(TableDiv[[Agency]:[Agency]]=$E796)*(ROW(TableDiv[Agency])-ROW(TableDiv[[#Headers],[Agency]])),COLUMNS($F$7:AA$7))))</f>
        <v/>
      </c>
      <c r="AB796" s="2223" t="str" cm="1">
        <f t="array" ref="AB796">IF($D796&lt;COLUMNS($F$7:AB$7),"",INDEX(TableDiv[[GASB]:[GASB]],_xlfn.AGGREGATE(15,3,(TableDiv[[Agency]:[Agency]]=$E796)/(TableDiv[[Agency]:[Agency]]=$E796)*(ROW(TableDiv[Agency])-ROW(TableDiv[[#Headers],[Agency]])),COLUMNS($F$7:AB$7))))</f>
        <v/>
      </c>
      <c r="AC796" s="2223" t="str" cm="1">
        <f t="array" ref="AC796">IF($D796&lt;COLUMNS($F$7:AC$7),"",INDEX(TableDiv[[GASB]:[GASB]],_xlfn.AGGREGATE(15,3,(TableDiv[[Agency]:[Agency]]=$E796)/(TableDiv[[Agency]:[Agency]]=$E796)*(ROW(TableDiv[Agency])-ROW(TableDiv[[#Headers],[Agency]])),COLUMNS($F$7:AC$7))))</f>
        <v/>
      </c>
      <c r="AD796" s="2223" t="str" cm="1">
        <f t="array" ref="AD796">IF($D796&lt;COLUMNS($F$7:AD$7),"",INDEX(TableDiv[[GASB]:[GASB]],_xlfn.AGGREGATE(15,3,(TableDiv[[Agency]:[Agency]]=$E796)/(TableDiv[[Agency]:[Agency]]=$E796)*(ROW(TableDiv[Agency])-ROW(TableDiv[[#Headers],[Agency]])),COLUMNS($F$7:AD$7))))</f>
        <v/>
      </c>
      <c r="AE796" s="2223" t="str" cm="1">
        <f t="array" ref="AE796">IF($D796&lt;COLUMNS($F$7:AE$7),"",INDEX(TableDiv[[GASB]:[GASB]],_xlfn.AGGREGATE(15,3,(TableDiv[[Agency]:[Agency]]=$E796)/(TableDiv[[Agency]:[Agency]]=$E796)*(ROW(TableDiv[Agency])-ROW(TableDiv[[#Headers],[Agency]])),COLUMNS($F$7:AE$7))))</f>
        <v/>
      </c>
      <c r="AF796" s="2223" t="str" cm="1">
        <f t="array" ref="AF796">IF($D796&lt;COLUMNS($F$7:AF$7),"",INDEX(TableDiv[[GASB]:[GASB]],_xlfn.AGGREGATE(15,3,(TableDiv[[Agency]:[Agency]]=$E796)/(TableDiv[[Agency]:[Agency]]=$E796)*(ROW(TableDiv[Agency])-ROW(TableDiv[[#Headers],[Agency]])),COLUMNS($F$7:AF$7))))</f>
        <v/>
      </c>
      <c r="AG796" s="2223" t="str" cm="1">
        <f t="array" ref="AG796">IF($D796&lt;COLUMNS($F$7:AG$7),"",INDEX(TableDiv[[GASB]:[GASB]],_xlfn.AGGREGATE(15,3,(TableDiv[[Agency]:[Agency]]=$E796)/(TableDiv[[Agency]:[Agency]]=$E796)*(ROW(TableDiv[Agency])-ROW(TableDiv[[#Headers],[Agency]])),COLUMNS($F$7:AG$7))))</f>
        <v/>
      </c>
      <c r="AH796" s="2223" t="str" cm="1">
        <f t="array" ref="AH796">IF($D796&lt;COLUMNS($F$7:AH$7),"",INDEX(TableDiv[[GASB]:[GASB]],_xlfn.AGGREGATE(15,3,(TableDiv[[Agency]:[Agency]]=$E796)/(TableDiv[[Agency]:[Agency]]=$E796)*(ROW(TableDiv[Agency])-ROW(TableDiv[[#Headers],[Agency]])),COLUMNS($F$7:AH$7))))</f>
        <v/>
      </c>
      <c r="AI796" s="2223" t="str" cm="1">
        <f t="array" ref="AI796">IF($D796&lt;COLUMNS($F$7:AI$7),"",INDEX(TableDiv[[GASB]:[GASB]],_xlfn.AGGREGATE(15,3,(TableDiv[[Agency]:[Agency]]=$E796)/(TableDiv[[Agency]:[Agency]]=$E796)*(ROW(TableDiv[Agency])-ROW(TableDiv[[#Headers],[Agency]])),COLUMNS($F$7:AI$7))))</f>
        <v/>
      </c>
      <c r="AJ796" s="2223" t="str" cm="1">
        <f t="array" ref="AJ796">IF($D796&lt;COLUMNS($F$7:AJ$7),"",INDEX(TableDiv[[GASB]:[GASB]],_xlfn.AGGREGATE(15,3,(TableDiv[[Agency]:[Agency]]=$E796)/(TableDiv[[Agency]:[Agency]]=$E796)*(ROW(TableDiv[Agency])-ROW(TableDiv[[#Headers],[Agency]])),COLUMNS($F$7:AJ$7))))</f>
        <v/>
      </c>
      <c r="AK796" s="2223" t="str" cm="1">
        <f t="array" ref="AK796">IF($D796&lt;COLUMNS($F$7:AK$7),"",INDEX(TableDiv[[GASB]:[GASB]],_xlfn.AGGREGATE(15,3,(TableDiv[[Agency]:[Agency]]=$E796)/(TableDiv[[Agency]:[Agency]]=$E796)*(ROW(TableDiv[Agency])-ROW(TableDiv[[#Headers],[Agency]])),COLUMNS($F$7:AK$7))))</f>
        <v/>
      </c>
      <c r="AL796" s="2223" t="str" cm="1">
        <f t="array" ref="AL796">IF($D796&lt;COLUMNS($F$7:AL$7),"",INDEX(TableDiv[[GASB]:[GASB]],_xlfn.AGGREGATE(15,3,(TableDiv[[Agency]:[Agency]]=$E796)/(TableDiv[[Agency]:[Agency]]=$E796)*(ROW(TableDiv[Agency])-ROW(TableDiv[[#Headers],[Agency]])),COLUMNS($F$7:AL$7))))</f>
        <v/>
      </c>
      <c r="AM796" s="2223" t="str" cm="1">
        <f t="array" ref="AM796">IF($D796&lt;COLUMNS($F$7:AM$7),"",INDEX(TableDiv[[GASB]:[GASB]],_xlfn.AGGREGATE(15,3,(TableDiv[[Agency]:[Agency]]=$E796)/(TableDiv[[Agency]:[Agency]]=$E796)*(ROW(TableDiv[Agency])-ROW(TableDiv[[#Headers],[Agency]])),COLUMNS($F$7:AM$7))))</f>
        <v/>
      </c>
      <c r="AN796" s="2223"/>
      <c r="AO796" s="2223"/>
      <c r="AP796" s="2223"/>
      <c r="AQ796" s="2223"/>
      <c r="AR796" s="2223"/>
      <c r="AS796" s="2223"/>
    </row>
    <row r="797" spans="1:45" x14ac:dyDescent="0.2">
      <c r="A797" s="2223"/>
      <c r="B797" s="2223"/>
      <c r="C797" s="2223"/>
      <c r="W797" s="2223" t="str" cm="1">
        <f t="array" ref="W797">IF($D797&lt;COLUMNS($F$7:W$7),"",INDEX(TableDiv[[GASB]:[GASB]],_xlfn.AGGREGATE(15,3,(TableDiv[[Agency]:[Agency]]=$E797)/(TableDiv[[Agency]:[Agency]]=$E797)*(ROW(TableDiv[Agency])-ROW(TableDiv[[#Headers],[Agency]])),COLUMNS($F$7:W$7))))</f>
        <v/>
      </c>
      <c r="X797" s="2223" t="str" cm="1">
        <f t="array" ref="X797">IF($D797&lt;COLUMNS($F$7:X$7),"",INDEX(TableDiv[[GASB]:[GASB]],_xlfn.AGGREGATE(15,3,(TableDiv[[Agency]:[Agency]]=$E797)/(TableDiv[[Agency]:[Agency]]=$E797)*(ROW(TableDiv[Agency])-ROW(TableDiv[[#Headers],[Agency]])),COLUMNS($F$7:X$7))))</f>
        <v/>
      </c>
      <c r="Y797" s="2223" t="str" cm="1">
        <f t="array" ref="Y797">IF($D797&lt;COLUMNS($F$7:Y$7),"",INDEX(TableDiv[[GASB]:[GASB]],_xlfn.AGGREGATE(15,3,(TableDiv[[Agency]:[Agency]]=$E797)/(TableDiv[[Agency]:[Agency]]=$E797)*(ROW(TableDiv[Agency])-ROW(TableDiv[[#Headers],[Agency]])),COLUMNS($F$7:Y$7))))</f>
        <v/>
      </c>
      <c r="Z797" s="2223" t="str" cm="1">
        <f t="array" ref="Z797">IF($D797&lt;COLUMNS($F$7:Z$7),"",INDEX(TableDiv[[GASB]:[GASB]],_xlfn.AGGREGATE(15,3,(TableDiv[[Agency]:[Agency]]=$E797)/(TableDiv[[Agency]:[Agency]]=$E797)*(ROW(TableDiv[Agency])-ROW(TableDiv[[#Headers],[Agency]])),COLUMNS($F$7:Z$7))))</f>
        <v/>
      </c>
      <c r="AA797" s="2223" t="str" cm="1">
        <f t="array" ref="AA797">IF($D797&lt;COLUMNS($F$7:AA$7),"",INDEX(TableDiv[[GASB]:[GASB]],_xlfn.AGGREGATE(15,3,(TableDiv[[Agency]:[Agency]]=$E797)/(TableDiv[[Agency]:[Agency]]=$E797)*(ROW(TableDiv[Agency])-ROW(TableDiv[[#Headers],[Agency]])),COLUMNS($F$7:AA$7))))</f>
        <v/>
      </c>
      <c r="AB797" s="2223" t="str" cm="1">
        <f t="array" ref="AB797">IF($D797&lt;COLUMNS($F$7:AB$7),"",INDEX(TableDiv[[GASB]:[GASB]],_xlfn.AGGREGATE(15,3,(TableDiv[[Agency]:[Agency]]=$E797)/(TableDiv[[Agency]:[Agency]]=$E797)*(ROW(TableDiv[Agency])-ROW(TableDiv[[#Headers],[Agency]])),COLUMNS($F$7:AB$7))))</f>
        <v/>
      </c>
      <c r="AC797" s="2223" t="str" cm="1">
        <f t="array" ref="AC797">IF($D797&lt;COLUMNS($F$7:AC$7),"",INDEX(TableDiv[[GASB]:[GASB]],_xlfn.AGGREGATE(15,3,(TableDiv[[Agency]:[Agency]]=$E797)/(TableDiv[[Agency]:[Agency]]=$E797)*(ROW(TableDiv[Agency])-ROW(TableDiv[[#Headers],[Agency]])),COLUMNS($F$7:AC$7))))</f>
        <v/>
      </c>
      <c r="AD797" s="2223" t="str" cm="1">
        <f t="array" ref="AD797">IF($D797&lt;COLUMNS($F$7:AD$7),"",INDEX(TableDiv[[GASB]:[GASB]],_xlfn.AGGREGATE(15,3,(TableDiv[[Agency]:[Agency]]=$E797)/(TableDiv[[Agency]:[Agency]]=$E797)*(ROW(TableDiv[Agency])-ROW(TableDiv[[#Headers],[Agency]])),COLUMNS($F$7:AD$7))))</f>
        <v/>
      </c>
      <c r="AE797" s="2223" t="str" cm="1">
        <f t="array" ref="AE797">IF($D797&lt;COLUMNS($F$7:AE$7),"",INDEX(TableDiv[[GASB]:[GASB]],_xlfn.AGGREGATE(15,3,(TableDiv[[Agency]:[Agency]]=$E797)/(TableDiv[[Agency]:[Agency]]=$E797)*(ROW(TableDiv[Agency])-ROW(TableDiv[[#Headers],[Agency]])),COLUMNS($F$7:AE$7))))</f>
        <v/>
      </c>
      <c r="AF797" s="2223" t="str" cm="1">
        <f t="array" ref="AF797">IF($D797&lt;COLUMNS($F$7:AF$7),"",INDEX(TableDiv[[GASB]:[GASB]],_xlfn.AGGREGATE(15,3,(TableDiv[[Agency]:[Agency]]=$E797)/(TableDiv[[Agency]:[Agency]]=$E797)*(ROW(TableDiv[Agency])-ROW(TableDiv[[#Headers],[Agency]])),COLUMNS($F$7:AF$7))))</f>
        <v/>
      </c>
      <c r="AG797" s="2223" t="str" cm="1">
        <f t="array" ref="AG797">IF($D797&lt;COLUMNS($F$7:AG$7),"",INDEX(TableDiv[[GASB]:[GASB]],_xlfn.AGGREGATE(15,3,(TableDiv[[Agency]:[Agency]]=$E797)/(TableDiv[[Agency]:[Agency]]=$E797)*(ROW(TableDiv[Agency])-ROW(TableDiv[[#Headers],[Agency]])),COLUMNS($F$7:AG$7))))</f>
        <v/>
      </c>
      <c r="AH797" s="2223" t="str" cm="1">
        <f t="array" ref="AH797">IF($D797&lt;COLUMNS($F$7:AH$7),"",INDEX(TableDiv[[GASB]:[GASB]],_xlfn.AGGREGATE(15,3,(TableDiv[[Agency]:[Agency]]=$E797)/(TableDiv[[Agency]:[Agency]]=$E797)*(ROW(TableDiv[Agency])-ROW(TableDiv[[#Headers],[Agency]])),COLUMNS($F$7:AH$7))))</f>
        <v/>
      </c>
      <c r="AI797" s="2223" t="str" cm="1">
        <f t="array" ref="AI797">IF($D797&lt;COLUMNS($F$7:AI$7),"",INDEX(TableDiv[[GASB]:[GASB]],_xlfn.AGGREGATE(15,3,(TableDiv[[Agency]:[Agency]]=$E797)/(TableDiv[[Agency]:[Agency]]=$E797)*(ROW(TableDiv[Agency])-ROW(TableDiv[[#Headers],[Agency]])),COLUMNS($F$7:AI$7))))</f>
        <v/>
      </c>
      <c r="AJ797" s="2223" t="str" cm="1">
        <f t="array" ref="AJ797">IF($D797&lt;COLUMNS($F$7:AJ$7),"",INDEX(TableDiv[[GASB]:[GASB]],_xlfn.AGGREGATE(15,3,(TableDiv[[Agency]:[Agency]]=$E797)/(TableDiv[[Agency]:[Agency]]=$E797)*(ROW(TableDiv[Agency])-ROW(TableDiv[[#Headers],[Agency]])),COLUMNS($F$7:AJ$7))))</f>
        <v/>
      </c>
      <c r="AK797" s="2223" t="str" cm="1">
        <f t="array" ref="AK797">IF($D797&lt;COLUMNS($F$7:AK$7),"",INDEX(TableDiv[[GASB]:[GASB]],_xlfn.AGGREGATE(15,3,(TableDiv[[Agency]:[Agency]]=$E797)/(TableDiv[[Agency]:[Agency]]=$E797)*(ROW(TableDiv[Agency])-ROW(TableDiv[[#Headers],[Agency]])),COLUMNS($F$7:AK$7))))</f>
        <v/>
      </c>
      <c r="AL797" s="2223" t="str" cm="1">
        <f t="array" ref="AL797">IF($D797&lt;COLUMNS($F$7:AL$7),"",INDEX(TableDiv[[GASB]:[GASB]],_xlfn.AGGREGATE(15,3,(TableDiv[[Agency]:[Agency]]=$E797)/(TableDiv[[Agency]:[Agency]]=$E797)*(ROW(TableDiv[Agency])-ROW(TableDiv[[#Headers],[Agency]])),COLUMNS($F$7:AL$7))))</f>
        <v/>
      </c>
      <c r="AM797" s="2223" t="str" cm="1">
        <f t="array" ref="AM797">IF($D797&lt;COLUMNS($F$7:AM$7),"",INDEX(TableDiv[[GASB]:[GASB]],_xlfn.AGGREGATE(15,3,(TableDiv[[Agency]:[Agency]]=$E797)/(TableDiv[[Agency]:[Agency]]=$E797)*(ROW(TableDiv[Agency])-ROW(TableDiv[[#Headers],[Agency]])),COLUMNS($F$7:AM$7))))</f>
        <v/>
      </c>
      <c r="AN797" s="2223"/>
      <c r="AO797" s="2223"/>
      <c r="AP797" s="2223"/>
      <c r="AQ797" s="2223"/>
      <c r="AR797" s="2223"/>
      <c r="AS797" s="2223"/>
    </row>
    <row r="798" spans="1:45" x14ac:dyDescent="0.2">
      <c r="A798" s="2223"/>
      <c r="B798" s="2223"/>
      <c r="C798" s="2223"/>
      <c r="W798" s="2223" t="str" cm="1">
        <f t="array" ref="W798">IF($D798&lt;COLUMNS($F$7:W$7),"",INDEX(TableDiv[[GASB]:[GASB]],_xlfn.AGGREGATE(15,3,(TableDiv[[Agency]:[Agency]]=$E798)/(TableDiv[[Agency]:[Agency]]=$E798)*(ROW(TableDiv[Agency])-ROW(TableDiv[[#Headers],[Agency]])),COLUMNS($F$7:W$7))))</f>
        <v/>
      </c>
      <c r="X798" s="2223" t="str" cm="1">
        <f t="array" ref="X798">IF($D798&lt;COLUMNS($F$7:X$7),"",INDEX(TableDiv[[GASB]:[GASB]],_xlfn.AGGREGATE(15,3,(TableDiv[[Agency]:[Agency]]=$E798)/(TableDiv[[Agency]:[Agency]]=$E798)*(ROW(TableDiv[Agency])-ROW(TableDiv[[#Headers],[Agency]])),COLUMNS($F$7:X$7))))</f>
        <v/>
      </c>
      <c r="Y798" s="2223" t="str" cm="1">
        <f t="array" ref="Y798">IF($D798&lt;COLUMNS($F$7:Y$7),"",INDEX(TableDiv[[GASB]:[GASB]],_xlfn.AGGREGATE(15,3,(TableDiv[[Agency]:[Agency]]=$E798)/(TableDiv[[Agency]:[Agency]]=$E798)*(ROW(TableDiv[Agency])-ROW(TableDiv[[#Headers],[Agency]])),COLUMNS($F$7:Y$7))))</f>
        <v/>
      </c>
      <c r="Z798" s="2223" t="str" cm="1">
        <f t="array" ref="Z798">IF($D798&lt;COLUMNS($F$7:Z$7),"",INDEX(TableDiv[[GASB]:[GASB]],_xlfn.AGGREGATE(15,3,(TableDiv[[Agency]:[Agency]]=$E798)/(TableDiv[[Agency]:[Agency]]=$E798)*(ROW(TableDiv[Agency])-ROW(TableDiv[[#Headers],[Agency]])),COLUMNS($F$7:Z$7))))</f>
        <v/>
      </c>
      <c r="AA798" s="2223" t="str" cm="1">
        <f t="array" ref="AA798">IF($D798&lt;COLUMNS($F$7:AA$7),"",INDEX(TableDiv[[GASB]:[GASB]],_xlfn.AGGREGATE(15,3,(TableDiv[[Agency]:[Agency]]=$E798)/(TableDiv[[Agency]:[Agency]]=$E798)*(ROW(TableDiv[Agency])-ROW(TableDiv[[#Headers],[Agency]])),COLUMNS($F$7:AA$7))))</f>
        <v/>
      </c>
      <c r="AB798" s="2223" t="str" cm="1">
        <f t="array" ref="AB798">IF($D798&lt;COLUMNS($F$7:AB$7),"",INDEX(TableDiv[[GASB]:[GASB]],_xlfn.AGGREGATE(15,3,(TableDiv[[Agency]:[Agency]]=$E798)/(TableDiv[[Agency]:[Agency]]=$E798)*(ROW(TableDiv[Agency])-ROW(TableDiv[[#Headers],[Agency]])),COLUMNS($F$7:AB$7))))</f>
        <v/>
      </c>
      <c r="AC798" s="2223" t="str" cm="1">
        <f t="array" ref="AC798">IF($D798&lt;COLUMNS($F$7:AC$7),"",INDEX(TableDiv[[GASB]:[GASB]],_xlfn.AGGREGATE(15,3,(TableDiv[[Agency]:[Agency]]=$E798)/(TableDiv[[Agency]:[Agency]]=$E798)*(ROW(TableDiv[Agency])-ROW(TableDiv[[#Headers],[Agency]])),COLUMNS($F$7:AC$7))))</f>
        <v/>
      </c>
      <c r="AD798" s="2223" t="str" cm="1">
        <f t="array" ref="AD798">IF($D798&lt;COLUMNS($F$7:AD$7),"",INDEX(TableDiv[[GASB]:[GASB]],_xlfn.AGGREGATE(15,3,(TableDiv[[Agency]:[Agency]]=$E798)/(TableDiv[[Agency]:[Agency]]=$E798)*(ROW(TableDiv[Agency])-ROW(TableDiv[[#Headers],[Agency]])),COLUMNS($F$7:AD$7))))</f>
        <v/>
      </c>
      <c r="AE798" s="2223" t="str" cm="1">
        <f t="array" ref="AE798">IF($D798&lt;COLUMNS($F$7:AE$7),"",INDEX(TableDiv[[GASB]:[GASB]],_xlfn.AGGREGATE(15,3,(TableDiv[[Agency]:[Agency]]=$E798)/(TableDiv[[Agency]:[Agency]]=$E798)*(ROW(TableDiv[Agency])-ROW(TableDiv[[#Headers],[Agency]])),COLUMNS($F$7:AE$7))))</f>
        <v/>
      </c>
      <c r="AF798" s="2223" t="str" cm="1">
        <f t="array" ref="AF798">IF($D798&lt;COLUMNS($F$7:AF$7),"",INDEX(TableDiv[[GASB]:[GASB]],_xlfn.AGGREGATE(15,3,(TableDiv[[Agency]:[Agency]]=$E798)/(TableDiv[[Agency]:[Agency]]=$E798)*(ROW(TableDiv[Agency])-ROW(TableDiv[[#Headers],[Agency]])),COLUMNS($F$7:AF$7))))</f>
        <v/>
      </c>
      <c r="AG798" s="2223" t="str" cm="1">
        <f t="array" ref="AG798">IF($D798&lt;COLUMNS($F$7:AG$7),"",INDEX(TableDiv[[GASB]:[GASB]],_xlfn.AGGREGATE(15,3,(TableDiv[[Agency]:[Agency]]=$E798)/(TableDiv[[Agency]:[Agency]]=$E798)*(ROW(TableDiv[Agency])-ROW(TableDiv[[#Headers],[Agency]])),COLUMNS($F$7:AG$7))))</f>
        <v/>
      </c>
      <c r="AH798" s="2223" t="str" cm="1">
        <f t="array" ref="AH798">IF($D798&lt;COLUMNS($F$7:AH$7),"",INDEX(TableDiv[[GASB]:[GASB]],_xlfn.AGGREGATE(15,3,(TableDiv[[Agency]:[Agency]]=$E798)/(TableDiv[[Agency]:[Agency]]=$E798)*(ROW(TableDiv[Agency])-ROW(TableDiv[[#Headers],[Agency]])),COLUMNS($F$7:AH$7))))</f>
        <v/>
      </c>
      <c r="AI798" s="2223" t="str" cm="1">
        <f t="array" ref="AI798">IF($D798&lt;COLUMNS($F$7:AI$7),"",INDEX(TableDiv[[GASB]:[GASB]],_xlfn.AGGREGATE(15,3,(TableDiv[[Agency]:[Agency]]=$E798)/(TableDiv[[Agency]:[Agency]]=$E798)*(ROW(TableDiv[Agency])-ROW(TableDiv[[#Headers],[Agency]])),COLUMNS($F$7:AI$7))))</f>
        <v/>
      </c>
      <c r="AJ798" s="2223" t="str" cm="1">
        <f t="array" ref="AJ798">IF($D798&lt;COLUMNS($F$7:AJ$7),"",INDEX(TableDiv[[GASB]:[GASB]],_xlfn.AGGREGATE(15,3,(TableDiv[[Agency]:[Agency]]=$E798)/(TableDiv[[Agency]:[Agency]]=$E798)*(ROW(TableDiv[Agency])-ROW(TableDiv[[#Headers],[Agency]])),COLUMNS($F$7:AJ$7))))</f>
        <v/>
      </c>
      <c r="AK798" s="2223" t="str" cm="1">
        <f t="array" ref="AK798">IF($D798&lt;COLUMNS($F$7:AK$7),"",INDEX(TableDiv[[GASB]:[GASB]],_xlfn.AGGREGATE(15,3,(TableDiv[[Agency]:[Agency]]=$E798)/(TableDiv[[Agency]:[Agency]]=$E798)*(ROW(TableDiv[Agency])-ROW(TableDiv[[#Headers],[Agency]])),COLUMNS($F$7:AK$7))))</f>
        <v/>
      </c>
      <c r="AL798" s="2223" t="str" cm="1">
        <f t="array" ref="AL798">IF($D798&lt;COLUMNS($F$7:AL$7),"",INDEX(TableDiv[[GASB]:[GASB]],_xlfn.AGGREGATE(15,3,(TableDiv[[Agency]:[Agency]]=$E798)/(TableDiv[[Agency]:[Agency]]=$E798)*(ROW(TableDiv[Agency])-ROW(TableDiv[[#Headers],[Agency]])),COLUMNS($F$7:AL$7))))</f>
        <v/>
      </c>
      <c r="AM798" s="2223" t="str" cm="1">
        <f t="array" ref="AM798">IF($D798&lt;COLUMNS($F$7:AM$7),"",INDEX(TableDiv[[GASB]:[GASB]],_xlfn.AGGREGATE(15,3,(TableDiv[[Agency]:[Agency]]=$E798)/(TableDiv[[Agency]:[Agency]]=$E798)*(ROW(TableDiv[Agency])-ROW(TableDiv[[#Headers],[Agency]])),COLUMNS($F$7:AM$7))))</f>
        <v/>
      </c>
      <c r="AN798" s="2223"/>
      <c r="AO798" s="2223"/>
      <c r="AP798" s="2223"/>
      <c r="AQ798" s="2223"/>
      <c r="AR798" s="2223"/>
      <c r="AS798" s="2223"/>
    </row>
    <row r="799" spans="1:45" x14ac:dyDescent="0.2">
      <c r="A799" s="2223"/>
      <c r="B799" s="2223"/>
      <c r="C799" s="2223"/>
      <c r="W799" s="2223" t="str" cm="1">
        <f t="array" ref="W799">IF($D799&lt;COLUMNS($F$7:W$7),"",INDEX(TableDiv[[GASB]:[GASB]],_xlfn.AGGREGATE(15,3,(TableDiv[[Agency]:[Agency]]=$E799)/(TableDiv[[Agency]:[Agency]]=$E799)*(ROW(TableDiv[Agency])-ROW(TableDiv[[#Headers],[Agency]])),COLUMNS($F$7:W$7))))</f>
        <v/>
      </c>
      <c r="X799" s="2223" t="str" cm="1">
        <f t="array" ref="X799">IF($D799&lt;COLUMNS($F$7:X$7),"",INDEX(TableDiv[[GASB]:[GASB]],_xlfn.AGGREGATE(15,3,(TableDiv[[Agency]:[Agency]]=$E799)/(TableDiv[[Agency]:[Agency]]=$E799)*(ROW(TableDiv[Agency])-ROW(TableDiv[[#Headers],[Agency]])),COLUMNS($F$7:X$7))))</f>
        <v/>
      </c>
      <c r="Y799" s="2223" t="str" cm="1">
        <f t="array" ref="Y799">IF($D799&lt;COLUMNS($F$7:Y$7),"",INDEX(TableDiv[[GASB]:[GASB]],_xlfn.AGGREGATE(15,3,(TableDiv[[Agency]:[Agency]]=$E799)/(TableDiv[[Agency]:[Agency]]=$E799)*(ROW(TableDiv[Agency])-ROW(TableDiv[[#Headers],[Agency]])),COLUMNS($F$7:Y$7))))</f>
        <v/>
      </c>
      <c r="Z799" s="2223" t="str" cm="1">
        <f t="array" ref="Z799">IF($D799&lt;COLUMNS($F$7:Z$7),"",INDEX(TableDiv[[GASB]:[GASB]],_xlfn.AGGREGATE(15,3,(TableDiv[[Agency]:[Agency]]=$E799)/(TableDiv[[Agency]:[Agency]]=$E799)*(ROW(TableDiv[Agency])-ROW(TableDiv[[#Headers],[Agency]])),COLUMNS($F$7:Z$7))))</f>
        <v/>
      </c>
      <c r="AA799" s="2223" t="str" cm="1">
        <f t="array" ref="AA799">IF($D799&lt;COLUMNS($F$7:AA$7),"",INDEX(TableDiv[[GASB]:[GASB]],_xlfn.AGGREGATE(15,3,(TableDiv[[Agency]:[Agency]]=$E799)/(TableDiv[[Agency]:[Agency]]=$E799)*(ROW(TableDiv[Agency])-ROW(TableDiv[[#Headers],[Agency]])),COLUMNS($F$7:AA$7))))</f>
        <v/>
      </c>
      <c r="AB799" s="2223" t="str" cm="1">
        <f t="array" ref="AB799">IF($D799&lt;COLUMNS($F$7:AB$7),"",INDEX(TableDiv[[GASB]:[GASB]],_xlfn.AGGREGATE(15,3,(TableDiv[[Agency]:[Agency]]=$E799)/(TableDiv[[Agency]:[Agency]]=$E799)*(ROW(TableDiv[Agency])-ROW(TableDiv[[#Headers],[Agency]])),COLUMNS($F$7:AB$7))))</f>
        <v/>
      </c>
      <c r="AC799" s="2223" t="str" cm="1">
        <f t="array" ref="AC799">IF($D799&lt;COLUMNS($F$7:AC$7),"",INDEX(TableDiv[[GASB]:[GASB]],_xlfn.AGGREGATE(15,3,(TableDiv[[Agency]:[Agency]]=$E799)/(TableDiv[[Agency]:[Agency]]=$E799)*(ROW(TableDiv[Agency])-ROW(TableDiv[[#Headers],[Agency]])),COLUMNS($F$7:AC$7))))</f>
        <v/>
      </c>
      <c r="AD799" s="2223" t="str" cm="1">
        <f t="array" ref="AD799">IF($D799&lt;COLUMNS($F$7:AD$7),"",INDEX(TableDiv[[GASB]:[GASB]],_xlfn.AGGREGATE(15,3,(TableDiv[[Agency]:[Agency]]=$E799)/(TableDiv[[Agency]:[Agency]]=$E799)*(ROW(TableDiv[Agency])-ROW(TableDiv[[#Headers],[Agency]])),COLUMNS($F$7:AD$7))))</f>
        <v/>
      </c>
      <c r="AE799" s="2223" t="str" cm="1">
        <f t="array" ref="AE799">IF($D799&lt;COLUMNS($F$7:AE$7),"",INDEX(TableDiv[[GASB]:[GASB]],_xlfn.AGGREGATE(15,3,(TableDiv[[Agency]:[Agency]]=$E799)/(TableDiv[[Agency]:[Agency]]=$E799)*(ROW(TableDiv[Agency])-ROW(TableDiv[[#Headers],[Agency]])),COLUMNS($F$7:AE$7))))</f>
        <v/>
      </c>
      <c r="AF799" s="2223" t="str" cm="1">
        <f t="array" ref="AF799">IF($D799&lt;COLUMNS($F$7:AF$7),"",INDEX(TableDiv[[GASB]:[GASB]],_xlfn.AGGREGATE(15,3,(TableDiv[[Agency]:[Agency]]=$E799)/(TableDiv[[Agency]:[Agency]]=$E799)*(ROW(TableDiv[Agency])-ROW(TableDiv[[#Headers],[Agency]])),COLUMNS($F$7:AF$7))))</f>
        <v/>
      </c>
      <c r="AG799" s="2223" t="str" cm="1">
        <f t="array" ref="AG799">IF($D799&lt;COLUMNS($F$7:AG$7),"",INDEX(TableDiv[[GASB]:[GASB]],_xlfn.AGGREGATE(15,3,(TableDiv[[Agency]:[Agency]]=$E799)/(TableDiv[[Agency]:[Agency]]=$E799)*(ROW(TableDiv[Agency])-ROW(TableDiv[[#Headers],[Agency]])),COLUMNS($F$7:AG$7))))</f>
        <v/>
      </c>
      <c r="AH799" s="2223" t="str" cm="1">
        <f t="array" ref="AH799">IF($D799&lt;COLUMNS($F$7:AH$7),"",INDEX(TableDiv[[GASB]:[GASB]],_xlfn.AGGREGATE(15,3,(TableDiv[[Agency]:[Agency]]=$E799)/(TableDiv[[Agency]:[Agency]]=$E799)*(ROW(TableDiv[Agency])-ROW(TableDiv[[#Headers],[Agency]])),COLUMNS($F$7:AH$7))))</f>
        <v/>
      </c>
      <c r="AI799" s="2223" t="str" cm="1">
        <f t="array" ref="AI799">IF($D799&lt;COLUMNS($F$7:AI$7),"",INDEX(TableDiv[[GASB]:[GASB]],_xlfn.AGGREGATE(15,3,(TableDiv[[Agency]:[Agency]]=$E799)/(TableDiv[[Agency]:[Agency]]=$E799)*(ROW(TableDiv[Agency])-ROW(TableDiv[[#Headers],[Agency]])),COLUMNS($F$7:AI$7))))</f>
        <v/>
      </c>
      <c r="AJ799" s="2223" t="str" cm="1">
        <f t="array" ref="AJ799">IF($D799&lt;COLUMNS($F$7:AJ$7),"",INDEX(TableDiv[[GASB]:[GASB]],_xlfn.AGGREGATE(15,3,(TableDiv[[Agency]:[Agency]]=$E799)/(TableDiv[[Agency]:[Agency]]=$E799)*(ROW(TableDiv[Agency])-ROW(TableDiv[[#Headers],[Agency]])),COLUMNS($F$7:AJ$7))))</f>
        <v/>
      </c>
      <c r="AK799" s="2223" t="str" cm="1">
        <f t="array" ref="AK799">IF($D799&lt;COLUMNS($F$7:AK$7),"",INDEX(TableDiv[[GASB]:[GASB]],_xlfn.AGGREGATE(15,3,(TableDiv[[Agency]:[Agency]]=$E799)/(TableDiv[[Agency]:[Agency]]=$E799)*(ROW(TableDiv[Agency])-ROW(TableDiv[[#Headers],[Agency]])),COLUMNS($F$7:AK$7))))</f>
        <v/>
      </c>
      <c r="AL799" s="2223" t="str" cm="1">
        <f t="array" ref="AL799">IF($D799&lt;COLUMNS($F$7:AL$7),"",INDEX(TableDiv[[GASB]:[GASB]],_xlfn.AGGREGATE(15,3,(TableDiv[[Agency]:[Agency]]=$E799)/(TableDiv[[Agency]:[Agency]]=$E799)*(ROW(TableDiv[Agency])-ROW(TableDiv[[#Headers],[Agency]])),COLUMNS($F$7:AL$7))))</f>
        <v/>
      </c>
      <c r="AM799" s="2223" t="str" cm="1">
        <f t="array" ref="AM799">IF($D799&lt;COLUMNS($F$7:AM$7),"",INDEX(TableDiv[[GASB]:[GASB]],_xlfn.AGGREGATE(15,3,(TableDiv[[Agency]:[Agency]]=$E799)/(TableDiv[[Agency]:[Agency]]=$E799)*(ROW(TableDiv[Agency])-ROW(TableDiv[[#Headers],[Agency]])),COLUMNS($F$7:AM$7))))</f>
        <v/>
      </c>
      <c r="AN799" s="2223"/>
      <c r="AO799" s="2223"/>
      <c r="AP799" s="2223"/>
      <c r="AQ799" s="2223"/>
      <c r="AR799" s="2223"/>
      <c r="AS799" s="2223"/>
    </row>
    <row r="800" spans="1:45" x14ac:dyDescent="0.2">
      <c r="A800" s="2223"/>
      <c r="B800" s="2223"/>
      <c r="C800" s="2223"/>
      <c r="W800" s="2223" t="str" cm="1">
        <f t="array" ref="W800">IF($D800&lt;COLUMNS($F$7:W$7),"",INDEX(TableDiv[[GASB]:[GASB]],_xlfn.AGGREGATE(15,3,(TableDiv[[Agency]:[Agency]]=$E800)/(TableDiv[[Agency]:[Agency]]=$E800)*(ROW(TableDiv[Agency])-ROW(TableDiv[[#Headers],[Agency]])),COLUMNS($F$7:W$7))))</f>
        <v/>
      </c>
      <c r="X800" s="2223" t="str" cm="1">
        <f t="array" ref="X800">IF($D800&lt;COLUMNS($F$7:X$7),"",INDEX(TableDiv[[GASB]:[GASB]],_xlfn.AGGREGATE(15,3,(TableDiv[[Agency]:[Agency]]=$E800)/(TableDiv[[Agency]:[Agency]]=$E800)*(ROW(TableDiv[Agency])-ROW(TableDiv[[#Headers],[Agency]])),COLUMNS($F$7:X$7))))</f>
        <v/>
      </c>
      <c r="Y800" s="2223" t="str" cm="1">
        <f t="array" ref="Y800">IF($D800&lt;COLUMNS($F$7:Y$7),"",INDEX(TableDiv[[GASB]:[GASB]],_xlfn.AGGREGATE(15,3,(TableDiv[[Agency]:[Agency]]=$E800)/(TableDiv[[Agency]:[Agency]]=$E800)*(ROW(TableDiv[Agency])-ROW(TableDiv[[#Headers],[Agency]])),COLUMNS($F$7:Y$7))))</f>
        <v/>
      </c>
      <c r="Z800" s="2223" t="str" cm="1">
        <f t="array" ref="Z800">IF($D800&lt;COLUMNS($F$7:Z$7),"",INDEX(TableDiv[[GASB]:[GASB]],_xlfn.AGGREGATE(15,3,(TableDiv[[Agency]:[Agency]]=$E800)/(TableDiv[[Agency]:[Agency]]=$E800)*(ROW(TableDiv[Agency])-ROW(TableDiv[[#Headers],[Agency]])),COLUMNS($F$7:Z$7))))</f>
        <v/>
      </c>
      <c r="AA800" s="2223" t="str" cm="1">
        <f t="array" ref="AA800">IF($D800&lt;COLUMNS($F$7:AA$7),"",INDEX(TableDiv[[GASB]:[GASB]],_xlfn.AGGREGATE(15,3,(TableDiv[[Agency]:[Agency]]=$E800)/(TableDiv[[Agency]:[Agency]]=$E800)*(ROW(TableDiv[Agency])-ROW(TableDiv[[#Headers],[Agency]])),COLUMNS($F$7:AA$7))))</f>
        <v/>
      </c>
      <c r="AB800" s="2223" t="str" cm="1">
        <f t="array" ref="AB800">IF($D800&lt;COLUMNS($F$7:AB$7),"",INDEX(TableDiv[[GASB]:[GASB]],_xlfn.AGGREGATE(15,3,(TableDiv[[Agency]:[Agency]]=$E800)/(TableDiv[[Agency]:[Agency]]=$E800)*(ROW(TableDiv[Agency])-ROW(TableDiv[[#Headers],[Agency]])),COLUMNS($F$7:AB$7))))</f>
        <v/>
      </c>
      <c r="AC800" s="2223" t="str" cm="1">
        <f t="array" ref="AC800">IF($D800&lt;COLUMNS($F$7:AC$7),"",INDEX(TableDiv[[GASB]:[GASB]],_xlfn.AGGREGATE(15,3,(TableDiv[[Agency]:[Agency]]=$E800)/(TableDiv[[Agency]:[Agency]]=$E800)*(ROW(TableDiv[Agency])-ROW(TableDiv[[#Headers],[Agency]])),COLUMNS($F$7:AC$7))))</f>
        <v/>
      </c>
      <c r="AD800" s="2223" t="str" cm="1">
        <f t="array" ref="AD800">IF($D800&lt;COLUMNS($F$7:AD$7),"",INDEX(TableDiv[[GASB]:[GASB]],_xlfn.AGGREGATE(15,3,(TableDiv[[Agency]:[Agency]]=$E800)/(TableDiv[[Agency]:[Agency]]=$E800)*(ROW(TableDiv[Agency])-ROW(TableDiv[[#Headers],[Agency]])),COLUMNS($F$7:AD$7))))</f>
        <v/>
      </c>
      <c r="AE800" s="2223" t="str" cm="1">
        <f t="array" ref="AE800">IF($D800&lt;COLUMNS($F$7:AE$7),"",INDEX(TableDiv[[GASB]:[GASB]],_xlfn.AGGREGATE(15,3,(TableDiv[[Agency]:[Agency]]=$E800)/(TableDiv[[Agency]:[Agency]]=$E800)*(ROW(TableDiv[Agency])-ROW(TableDiv[[#Headers],[Agency]])),COLUMNS($F$7:AE$7))))</f>
        <v/>
      </c>
      <c r="AF800" s="2223" t="str" cm="1">
        <f t="array" ref="AF800">IF($D800&lt;COLUMNS($F$7:AF$7),"",INDEX(TableDiv[[GASB]:[GASB]],_xlfn.AGGREGATE(15,3,(TableDiv[[Agency]:[Agency]]=$E800)/(TableDiv[[Agency]:[Agency]]=$E800)*(ROW(TableDiv[Agency])-ROW(TableDiv[[#Headers],[Agency]])),COLUMNS($F$7:AF$7))))</f>
        <v/>
      </c>
      <c r="AG800" s="2223" t="str" cm="1">
        <f t="array" ref="AG800">IF($D800&lt;COLUMNS($F$7:AG$7),"",INDEX(TableDiv[[GASB]:[GASB]],_xlfn.AGGREGATE(15,3,(TableDiv[[Agency]:[Agency]]=$E800)/(TableDiv[[Agency]:[Agency]]=$E800)*(ROW(TableDiv[Agency])-ROW(TableDiv[[#Headers],[Agency]])),COLUMNS($F$7:AG$7))))</f>
        <v/>
      </c>
      <c r="AH800" s="2223" t="str" cm="1">
        <f t="array" ref="AH800">IF($D800&lt;COLUMNS($F$7:AH$7),"",INDEX(TableDiv[[GASB]:[GASB]],_xlfn.AGGREGATE(15,3,(TableDiv[[Agency]:[Agency]]=$E800)/(TableDiv[[Agency]:[Agency]]=$E800)*(ROW(TableDiv[Agency])-ROW(TableDiv[[#Headers],[Agency]])),COLUMNS($F$7:AH$7))))</f>
        <v/>
      </c>
      <c r="AI800" s="2223" t="str" cm="1">
        <f t="array" ref="AI800">IF($D800&lt;COLUMNS($F$7:AI$7),"",INDEX(TableDiv[[GASB]:[GASB]],_xlfn.AGGREGATE(15,3,(TableDiv[[Agency]:[Agency]]=$E800)/(TableDiv[[Agency]:[Agency]]=$E800)*(ROW(TableDiv[Agency])-ROW(TableDiv[[#Headers],[Agency]])),COLUMNS($F$7:AI$7))))</f>
        <v/>
      </c>
      <c r="AJ800" s="2223" t="str" cm="1">
        <f t="array" ref="AJ800">IF($D800&lt;COLUMNS($F$7:AJ$7),"",INDEX(TableDiv[[GASB]:[GASB]],_xlfn.AGGREGATE(15,3,(TableDiv[[Agency]:[Agency]]=$E800)/(TableDiv[[Agency]:[Agency]]=$E800)*(ROW(TableDiv[Agency])-ROW(TableDiv[[#Headers],[Agency]])),COLUMNS($F$7:AJ$7))))</f>
        <v/>
      </c>
      <c r="AK800" s="2223" t="str" cm="1">
        <f t="array" ref="AK800">IF($D800&lt;COLUMNS($F$7:AK$7),"",INDEX(TableDiv[[GASB]:[GASB]],_xlfn.AGGREGATE(15,3,(TableDiv[[Agency]:[Agency]]=$E800)/(TableDiv[[Agency]:[Agency]]=$E800)*(ROW(TableDiv[Agency])-ROW(TableDiv[[#Headers],[Agency]])),COLUMNS($F$7:AK$7))))</f>
        <v/>
      </c>
      <c r="AL800" s="2223" t="str" cm="1">
        <f t="array" ref="AL800">IF($D800&lt;COLUMNS($F$7:AL$7),"",INDEX(TableDiv[[GASB]:[GASB]],_xlfn.AGGREGATE(15,3,(TableDiv[[Agency]:[Agency]]=$E800)/(TableDiv[[Agency]:[Agency]]=$E800)*(ROW(TableDiv[Agency])-ROW(TableDiv[[#Headers],[Agency]])),COLUMNS($F$7:AL$7))))</f>
        <v/>
      </c>
      <c r="AM800" s="2223" t="str" cm="1">
        <f t="array" ref="AM800">IF($D800&lt;COLUMNS($F$7:AM$7),"",INDEX(TableDiv[[GASB]:[GASB]],_xlfn.AGGREGATE(15,3,(TableDiv[[Agency]:[Agency]]=$E800)/(TableDiv[[Agency]:[Agency]]=$E800)*(ROW(TableDiv[Agency])-ROW(TableDiv[[#Headers],[Agency]])),COLUMNS($F$7:AM$7))))</f>
        <v/>
      </c>
      <c r="AN800" s="2223"/>
      <c r="AO800" s="2223"/>
      <c r="AP800" s="2223"/>
      <c r="AQ800" s="2223"/>
      <c r="AR800" s="2223"/>
      <c r="AS800" s="2223"/>
    </row>
    <row r="801" spans="1:45" x14ac:dyDescent="0.2">
      <c r="A801" s="2223"/>
      <c r="B801" s="2223"/>
      <c r="C801" s="2223"/>
      <c r="W801" s="2223" t="str" cm="1">
        <f t="array" ref="W801">IF($D801&lt;COLUMNS($F$7:W$7),"",INDEX(TableDiv[[GASB]:[GASB]],_xlfn.AGGREGATE(15,3,(TableDiv[[Agency]:[Agency]]=$E801)/(TableDiv[[Agency]:[Agency]]=$E801)*(ROW(TableDiv[Agency])-ROW(TableDiv[[#Headers],[Agency]])),COLUMNS($F$7:W$7))))</f>
        <v/>
      </c>
      <c r="X801" s="2223" t="str" cm="1">
        <f t="array" ref="X801">IF($D801&lt;COLUMNS($F$7:X$7),"",INDEX(TableDiv[[GASB]:[GASB]],_xlfn.AGGREGATE(15,3,(TableDiv[[Agency]:[Agency]]=$E801)/(TableDiv[[Agency]:[Agency]]=$E801)*(ROW(TableDiv[Agency])-ROW(TableDiv[[#Headers],[Agency]])),COLUMNS($F$7:X$7))))</f>
        <v/>
      </c>
      <c r="Y801" s="2223" t="str" cm="1">
        <f t="array" ref="Y801">IF($D801&lt;COLUMNS($F$7:Y$7),"",INDEX(TableDiv[[GASB]:[GASB]],_xlfn.AGGREGATE(15,3,(TableDiv[[Agency]:[Agency]]=$E801)/(TableDiv[[Agency]:[Agency]]=$E801)*(ROW(TableDiv[Agency])-ROW(TableDiv[[#Headers],[Agency]])),COLUMNS($F$7:Y$7))))</f>
        <v/>
      </c>
      <c r="Z801" s="2223" t="str" cm="1">
        <f t="array" ref="Z801">IF($D801&lt;COLUMNS($F$7:Z$7),"",INDEX(TableDiv[[GASB]:[GASB]],_xlfn.AGGREGATE(15,3,(TableDiv[[Agency]:[Agency]]=$E801)/(TableDiv[[Agency]:[Agency]]=$E801)*(ROW(TableDiv[Agency])-ROW(TableDiv[[#Headers],[Agency]])),COLUMNS($F$7:Z$7))))</f>
        <v/>
      </c>
      <c r="AA801" s="2223" t="str" cm="1">
        <f t="array" ref="AA801">IF($D801&lt;COLUMNS($F$7:AA$7),"",INDEX(TableDiv[[GASB]:[GASB]],_xlfn.AGGREGATE(15,3,(TableDiv[[Agency]:[Agency]]=$E801)/(TableDiv[[Agency]:[Agency]]=$E801)*(ROW(TableDiv[Agency])-ROW(TableDiv[[#Headers],[Agency]])),COLUMNS($F$7:AA$7))))</f>
        <v/>
      </c>
      <c r="AB801" s="2223" t="str" cm="1">
        <f t="array" ref="AB801">IF($D801&lt;COLUMNS($F$7:AB$7),"",INDEX(TableDiv[[GASB]:[GASB]],_xlfn.AGGREGATE(15,3,(TableDiv[[Agency]:[Agency]]=$E801)/(TableDiv[[Agency]:[Agency]]=$E801)*(ROW(TableDiv[Agency])-ROW(TableDiv[[#Headers],[Agency]])),COLUMNS($F$7:AB$7))))</f>
        <v/>
      </c>
      <c r="AC801" s="2223" t="str" cm="1">
        <f t="array" ref="AC801">IF($D801&lt;COLUMNS($F$7:AC$7),"",INDEX(TableDiv[[GASB]:[GASB]],_xlfn.AGGREGATE(15,3,(TableDiv[[Agency]:[Agency]]=$E801)/(TableDiv[[Agency]:[Agency]]=$E801)*(ROW(TableDiv[Agency])-ROW(TableDiv[[#Headers],[Agency]])),COLUMNS($F$7:AC$7))))</f>
        <v/>
      </c>
      <c r="AD801" s="2223" t="str" cm="1">
        <f t="array" ref="AD801">IF($D801&lt;COLUMNS($F$7:AD$7),"",INDEX(TableDiv[[GASB]:[GASB]],_xlfn.AGGREGATE(15,3,(TableDiv[[Agency]:[Agency]]=$E801)/(TableDiv[[Agency]:[Agency]]=$E801)*(ROW(TableDiv[Agency])-ROW(TableDiv[[#Headers],[Agency]])),COLUMNS($F$7:AD$7))))</f>
        <v/>
      </c>
      <c r="AE801" s="2223" t="str" cm="1">
        <f t="array" ref="AE801">IF($D801&lt;COLUMNS($F$7:AE$7),"",INDEX(TableDiv[[GASB]:[GASB]],_xlfn.AGGREGATE(15,3,(TableDiv[[Agency]:[Agency]]=$E801)/(TableDiv[[Agency]:[Agency]]=$E801)*(ROW(TableDiv[Agency])-ROW(TableDiv[[#Headers],[Agency]])),COLUMNS($F$7:AE$7))))</f>
        <v/>
      </c>
      <c r="AF801" s="2223" t="str" cm="1">
        <f t="array" ref="AF801">IF($D801&lt;COLUMNS($F$7:AF$7),"",INDEX(TableDiv[[GASB]:[GASB]],_xlfn.AGGREGATE(15,3,(TableDiv[[Agency]:[Agency]]=$E801)/(TableDiv[[Agency]:[Agency]]=$E801)*(ROW(TableDiv[Agency])-ROW(TableDiv[[#Headers],[Agency]])),COLUMNS($F$7:AF$7))))</f>
        <v/>
      </c>
      <c r="AG801" s="2223" t="str" cm="1">
        <f t="array" ref="AG801">IF($D801&lt;COLUMNS($F$7:AG$7),"",INDEX(TableDiv[[GASB]:[GASB]],_xlfn.AGGREGATE(15,3,(TableDiv[[Agency]:[Agency]]=$E801)/(TableDiv[[Agency]:[Agency]]=$E801)*(ROW(TableDiv[Agency])-ROW(TableDiv[[#Headers],[Agency]])),COLUMNS($F$7:AG$7))))</f>
        <v/>
      </c>
      <c r="AH801" s="2223" t="str" cm="1">
        <f t="array" ref="AH801">IF($D801&lt;COLUMNS($F$7:AH$7),"",INDEX(TableDiv[[GASB]:[GASB]],_xlfn.AGGREGATE(15,3,(TableDiv[[Agency]:[Agency]]=$E801)/(TableDiv[[Agency]:[Agency]]=$E801)*(ROW(TableDiv[Agency])-ROW(TableDiv[[#Headers],[Agency]])),COLUMNS($F$7:AH$7))))</f>
        <v/>
      </c>
      <c r="AI801" s="2223" t="str" cm="1">
        <f t="array" ref="AI801">IF($D801&lt;COLUMNS($F$7:AI$7),"",INDEX(TableDiv[[GASB]:[GASB]],_xlfn.AGGREGATE(15,3,(TableDiv[[Agency]:[Agency]]=$E801)/(TableDiv[[Agency]:[Agency]]=$E801)*(ROW(TableDiv[Agency])-ROW(TableDiv[[#Headers],[Agency]])),COLUMNS($F$7:AI$7))))</f>
        <v/>
      </c>
      <c r="AJ801" s="2223" t="str" cm="1">
        <f t="array" ref="AJ801">IF($D801&lt;COLUMNS($F$7:AJ$7),"",INDEX(TableDiv[[GASB]:[GASB]],_xlfn.AGGREGATE(15,3,(TableDiv[[Agency]:[Agency]]=$E801)/(TableDiv[[Agency]:[Agency]]=$E801)*(ROW(TableDiv[Agency])-ROW(TableDiv[[#Headers],[Agency]])),COLUMNS($F$7:AJ$7))))</f>
        <v/>
      </c>
      <c r="AK801" s="2223" t="str" cm="1">
        <f t="array" ref="AK801">IF($D801&lt;COLUMNS($F$7:AK$7),"",INDEX(TableDiv[[GASB]:[GASB]],_xlfn.AGGREGATE(15,3,(TableDiv[[Agency]:[Agency]]=$E801)/(TableDiv[[Agency]:[Agency]]=$E801)*(ROW(TableDiv[Agency])-ROW(TableDiv[[#Headers],[Agency]])),COLUMNS($F$7:AK$7))))</f>
        <v/>
      </c>
      <c r="AL801" s="2223" t="str" cm="1">
        <f t="array" ref="AL801">IF($D801&lt;COLUMNS($F$7:AL$7),"",INDEX(TableDiv[[GASB]:[GASB]],_xlfn.AGGREGATE(15,3,(TableDiv[[Agency]:[Agency]]=$E801)/(TableDiv[[Agency]:[Agency]]=$E801)*(ROW(TableDiv[Agency])-ROW(TableDiv[[#Headers],[Agency]])),COLUMNS($F$7:AL$7))))</f>
        <v/>
      </c>
      <c r="AM801" s="2223" t="str" cm="1">
        <f t="array" ref="AM801">IF($D801&lt;COLUMNS($F$7:AM$7),"",INDEX(TableDiv[[GASB]:[GASB]],_xlfn.AGGREGATE(15,3,(TableDiv[[Agency]:[Agency]]=$E801)/(TableDiv[[Agency]:[Agency]]=$E801)*(ROW(TableDiv[Agency])-ROW(TableDiv[[#Headers],[Agency]])),COLUMNS($F$7:AM$7))))</f>
        <v/>
      </c>
      <c r="AN801" s="2223"/>
      <c r="AO801" s="2223"/>
      <c r="AP801" s="2223"/>
      <c r="AQ801" s="2223"/>
      <c r="AR801" s="2223"/>
      <c r="AS801" s="2223"/>
    </row>
    <row r="802" spans="1:45" x14ac:dyDescent="0.2">
      <c r="A802" s="2223"/>
      <c r="B802" s="2223"/>
      <c r="C802" s="2223"/>
      <c r="W802" s="2223" t="str" cm="1">
        <f t="array" ref="W802">IF($D802&lt;COLUMNS($F$7:W$7),"",INDEX(TableDiv[[GASB]:[GASB]],_xlfn.AGGREGATE(15,3,(TableDiv[[Agency]:[Agency]]=$E802)/(TableDiv[[Agency]:[Agency]]=$E802)*(ROW(TableDiv[Agency])-ROW(TableDiv[[#Headers],[Agency]])),COLUMNS($F$7:W$7))))</f>
        <v/>
      </c>
      <c r="X802" s="2223" t="str" cm="1">
        <f t="array" ref="X802">IF($D802&lt;COLUMNS($F$7:X$7),"",INDEX(TableDiv[[GASB]:[GASB]],_xlfn.AGGREGATE(15,3,(TableDiv[[Agency]:[Agency]]=$E802)/(TableDiv[[Agency]:[Agency]]=$E802)*(ROW(TableDiv[Agency])-ROW(TableDiv[[#Headers],[Agency]])),COLUMNS($F$7:X$7))))</f>
        <v/>
      </c>
      <c r="Y802" s="2223" t="str" cm="1">
        <f t="array" ref="Y802">IF($D802&lt;COLUMNS($F$7:Y$7),"",INDEX(TableDiv[[GASB]:[GASB]],_xlfn.AGGREGATE(15,3,(TableDiv[[Agency]:[Agency]]=$E802)/(TableDiv[[Agency]:[Agency]]=$E802)*(ROW(TableDiv[Agency])-ROW(TableDiv[[#Headers],[Agency]])),COLUMNS($F$7:Y$7))))</f>
        <v/>
      </c>
      <c r="Z802" s="2223" t="str" cm="1">
        <f t="array" ref="Z802">IF($D802&lt;COLUMNS($F$7:Z$7),"",INDEX(TableDiv[[GASB]:[GASB]],_xlfn.AGGREGATE(15,3,(TableDiv[[Agency]:[Agency]]=$E802)/(TableDiv[[Agency]:[Agency]]=$E802)*(ROW(TableDiv[Agency])-ROW(TableDiv[[#Headers],[Agency]])),COLUMNS($F$7:Z$7))))</f>
        <v/>
      </c>
      <c r="AA802" s="2223" t="str" cm="1">
        <f t="array" ref="AA802">IF($D802&lt;COLUMNS($F$7:AA$7),"",INDEX(TableDiv[[GASB]:[GASB]],_xlfn.AGGREGATE(15,3,(TableDiv[[Agency]:[Agency]]=$E802)/(TableDiv[[Agency]:[Agency]]=$E802)*(ROW(TableDiv[Agency])-ROW(TableDiv[[#Headers],[Agency]])),COLUMNS($F$7:AA$7))))</f>
        <v/>
      </c>
      <c r="AB802" s="2223" t="str" cm="1">
        <f t="array" ref="AB802">IF($D802&lt;COLUMNS($F$7:AB$7),"",INDEX(TableDiv[[GASB]:[GASB]],_xlfn.AGGREGATE(15,3,(TableDiv[[Agency]:[Agency]]=$E802)/(TableDiv[[Agency]:[Agency]]=$E802)*(ROW(TableDiv[Agency])-ROW(TableDiv[[#Headers],[Agency]])),COLUMNS($F$7:AB$7))))</f>
        <v/>
      </c>
      <c r="AC802" s="2223" t="str" cm="1">
        <f t="array" ref="AC802">IF($D802&lt;COLUMNS($F$7:AC$7),"",INDEX(TableDiv[[GASB]:[GASB]],_xlfn.AGGREGATE(15,3,(TableDiv[[Agency]:[Agency]]=$E802)/(TableDiv[[Agency]:[Agency]]=$E802)*(ROW(TableDiv[Agency])-ROW(TableDiv[[#Headers],[Agency]])),COLUMNS($F$7:AC$7))))</f>
        <v/>
      </c>
      <c r="AD802" s="2223" t="str" cm="1">
        <f t="array" ref="AD802">IF($D802&lt;COLUMNS($F$7:AD$7),"",INDEX(TableDiv[[GASB]:[GASB]],_xlfn.AGGREGATE(15,3,(TableDiv[[Agency]:[Agency]]=$E802)/(TableDiv[[Agency]:[Agency]]=$E802)*(ROW(TableDiv[Agency])-ROW(TableDiv[[#Headers],[Agency]])),COLUMNS($F$7:AD$7))))</f>
        <v/>
      </c>
      <c r="AE802" s="2223" t="str" cm="1">
        <f t="array" ref="AE802">IF($D802&lt;COLUMNS($F$7:AE$7),"",INDEX(TableDiv[[GASB]:[GASB]],_xlfn.AGGREGATE(15,3,(TableDiv[[Agency]:[Agency]]=$E802)/(TableDiv[[Agency]:[Agency]]=$E802)*(ROW(TableDiv[Agency])-ROW(TableDiv[[#Headers],[Agency]])),COLUMNS($F$7:AE$7))))</f>
        <v/>
      </c>
      <c r="AF802" s="2223" t="str" cm="1">
        <f t="array" ref="AF802">IF($D802&lt;COLUMNS($F$7:AF$7),"",INDEX(TableDiv[[GASB]:[GASB]],_xlfn.AGGREGATE(15,3,(TableDiv[[Agency]:[Agency]]=$E802)/(TableDiv[[Agency]:[Agency]]=$E802)*(ROW(TableDiv[Agency])-ROW(TableDiv[[#Headers],[Agency]])),COLUMNS($F$7:AF$7))))</f>
        <v/>
      </c>
      <c r="AG802" s="2223" t="str" cm="1">
        <f t="array" ref="AG802">IF($D802&lt;COLUMNS($F$7:AG$7),"",INDEX(TableDiv[[GASB]:[GASB]],_xlfn.AGGREGATE(15,3,(TableDiv[[Agency]:[Agency]]=$E802)/(TableDiv[[Agency]:[Agency]]=$E802)*(ROW(TableDiv[Agency])-ROW(TableDiv[[#Headers],[Agency]])),COLUMNS($F$7:AG$7))))</f>
        <v/>
      </c>
      <c r="AH802" s="2223" t="str" cm="1">
        <f t="array" ref="AH802">IF($D802&lt;COLUMNS($F$7:AH$7),"",INDEX(TableDiv[[GASB]:[GASB]],_xlfn.AGGREGATE(15,3,(TableDiv[[Agency]:[Agency]]=$E802)/(TableDiv[[Agency]:[Agency]]=$E802)*(ROW(TableDiv[Agency])-ROW(TableDiv[[#Headers],[Agency]])),COLUMNS($F$7:AH$7))))</f>
        <v/>
      </c>
      <c r="AI802" s="2223" t="str" cm="1">
        <f t="array" ref="AI802">IF($D802&lt;COLUMNS($F$7:AI$7),"",INDEX(TableDiv[[GASB]:[GASB]],_xlfn.AGGREGATE(15,3,(TableDiv[[Agency]:[Agency]]=$E802)/(TableDiv[[Agency]:[Agency]]=$E802)*(ROW(TableDiv[Agency])-ROW(TableDiv[[#Headers],[Agency]])),COLUMNS($F$7:AI$7))))</f>
        <v/>
      </c>
      <c r="AJ802" s="2223" t="str" cm="1">
        <f t="array" ref="AJ802">IF($D802&lt;COLUMNS($F$7:AJ$7),"",INDEX(TableDiv[[GASB]:[GASB]],_xlfn.AGGREGATE(15,3,(TableDiv[[Agency]:[Agency]]=$E802)/(TableDiv[[Agency]:[Agency]]=$E802)*(ROW(TableDiv[Agency])-ROW(TableDiv[[#Headers],[Agency]])),COLUMNS($F$7:AJ$7))))</f>
        <v/>
      </c>
      <c r="AK802" s="2223" t="str" cm="1">
        <f t="array" ref="AK802">IF($D802&lt;COLUMNS($F$7:AK$7),"",INDEX(TableDiv[[GASB]:[GASB]],_xlfn.AGGREGATE(15,3,(TableDiv[[Agency]:[Agency]]=$E802)/(TableDiv[[Agency]:[Agency]]=$E802)*(ROW(TableDiv[Agency])-ROW(TableDiv[[#Headers],[Agency]])),COLUMNS($F$7:AK$7))))</f>
        <v/>
      </c>
      <c r="AL802" s="2223" t="str" cm="1">
        <f t="array" ref="AL802">IF($D802&lt;COLUMNS($F$7:AL$7),"",INDEX(TableDiv[[GASB]:[GASB]],_xlfn.AGGREGATE(15,3,(TableDiv[[Agency]:[Agency]]=$E802)/(TableDiv[[Agency]:[Agency]]=$E802)*(ROW(TableDiv[Agency])-ROW(TableDiv[[#Headers],[Agency]])),COLUMNS($F$7:AL$7))))</f>
        <v/>
      </c>
      <c r="AM802" s="2223" t="str" cm="1">
        <f t="array" ref="AM802">IF($D802&lt;COLUMNS($F$7:AM$7),"",INDEX(TableDiv[[GASB]:[GASB]],_xlfn.AGGREGATE(15,3,(TableDiv[[Agency]:[Agency]]=$E802)/(TableDiv[[Agency]:[Agency]]=$E802)*(ROW(TableDiv[Agency])-ROW(TableDiv[[#Headers],[Agency]])),COLUMNS($F$7:AM$7))))</f>
        <v/>
      </c>
      <c r="AN802" s="2223"/>
      <c r="AO802" s="2223"/>
      <c r="AP802" s="2223"/>
      <c r="AQ802" s="2223"/>
      <c r="AR802" s="2223"/>
      <c r="AS802" s="2223"/>
    </row>
    <row r="803" spans="1:45" x14ac:dyDescent="0.2">
      <c r="A803" s="2223"/>
      <c r="B803" s="2223"/>
      <c r="C803" s="2223"/>
      <c r="W803" s="2223" t="str" cm="1">
        <f t="array" ref="W803">IF($D803&lt;COLUMNS($F$7:W$7),"",INDEX(TableDiv[[GASB]:[GASB]],_xlfn.AGGREGATE(15,3,(TableDiv[[Agency]:[Agency]]=$E803)/(TableDiv[[Agency]:[Agency]]=$E803)*(ROW(TableDiv[Agency])-ROW(TableDiv[[#Headers],[Agency]])),COLUMNS($F$7:W$7))))</f>
        <v/>
      </c>
      <c r="X803" s="2223" t="str" cm="1">
        <f t="array" ref="X803">IF($D803&lt;COLUMNS($F$7:X$7),"",INDEX(TableDiv[[GASB]:[GASB]],_xlfn.AGGREGATE(15,3,(TableDiv[[Agency]:[Agency]]=$E803)/(TableDiv[[Agency]:[Agency]]=$E803)*(ROW(TableDiv[Agency])-ROW(TableDiv[[#Headers],[Agency]])),COLUMNS($F$7:X$7))))</f>
        <v/>
      </c>
      <c r="Y803" s="2223" t="str" cm="1">
        <f t="array" ref="Y803">IF($D803&lt;COLUMNS($F$7:Y$7),"",INDEX(TableDiv[[GASB]:[GASB]],_xlfn.AGGREGATE(15,3,(TableDiv[[Agency]:[Agency]]=$E803)/(TableDiv[[Agency]:[Agency]]=$E803)*(ROW(TableDiv[Agency])-ROW(TableDiv[[#Headers],[Agency]])),COLUMNS($F$7:Y$7))))</f>
        <v/>
      </c>
      <c r="Z803" s="2223" t="str" cm="1">
        <f t="array" ref="Z803">IF($D803&lt;COLUMNS($F$7:Z$7),"",INDEX(TableDiv[[GASB]:[GASB]],_xlfn.AGGREGATE(15,3,(TableDiv[[Agency]:[Agency]]=$E803)/(TableDiv[[Agency]:[Agency]]=$E803)*(ROW(TableDiv[Agency])-ROW(TableDiv[[#Headers],[Agency]])),COLUMNS($F$7:Z$7))))</f>
        <v/>
      </c>
      <c r="AA803" s="2223" t="str" cm="1">
        <f t="array" ref="AA803">IF($D803&lt;COLUMNS($F$7:AA$7),"",INDEX(TableDiv[[GASB]:[GASB]],_xlfn.AGGREGATE(15,3,(TableDiv[[Agency]:[Agency]]=$E803)/(TableDiv[[Agency]:[Agency]]=$E803)*(ROW(TableDiv[Agency])-ROW(TableDiv[[#Headers],[Agency]])),COLUMNS($F$7:AA$7))))</f>
        <v/>
      </c>
      <c r="AB803" s="2223" t="str" cm="1">
        <f t="array" ref="AB803">IF($D803&lt;COLUMNS($F$7:AB$7),"",INDEX(TableDiv[[GASB]:[GASB]],_xlfn.AGGREGATE(15,3,(TableDiv[[Agency]:[Agency]]=$E803)/(TableDiv[[Agency]:[Agency]]=$E803)*(ROW(TableDiv[Agency])-ROW(TableDiv[[#Headers],[Agency]])),COLUMNS($F$7:AB$7))))</f>
        <v/>
      </c>
      <c r="AC803" s="2223" t="str" cm="1">
        <f t="array" ref="AC803">IF($D803&lt;COLUMNS($F$7:AC$7),"",INDEX(TableDiv[[GASB]:[GASB]],_xlfn.AGGREGATE(15,3,(TableDiv[[Agency]:[Agency]]=$E803)/(TableDiv[[Agency]:[Agency]]=$E803)*(ROW(TableDiv[Agency])-ROW(TableDiv[[#Headers],[Agency]])),COLUMNS($F$7:AC$7))))</f>
        <v/>
      </c>
      <c r="AD803" s="2223" t="str" cm="1">
        <f t="array" ref="AD803">IF($D803&lt;COLUMNS($F$7:AD$7),"",INDEX(TableDiv[[GASB]:[GASB]],_xlfn.AGGREGATE(15,3,(TableDiv[[Agency]:[Agency]]=$E803)/(TableDiv[[Agency]:[Agency]]=$E803)*(ROW(TableDiv[Agency])-ROW(TableDiv[[#Headers],[Agency]])),COLUMNS($F$7:AD$7))))</f>
        <v/>
      </c>
      <c r="AE803" s="2223" t="str" cm="1">
        <f t="array" ref="AE803">IF($D803&lt;COLUMNS($F$7:AE$7),"",INDEX(TableDiv[[GASB]:[GASB]],_xlfn.AGGREGATE(15,3,(TableDiv[[Agency]:[Agency]]=$E803)/(TableDiv[[Agency]:[Agency]]=$E803)*(ROW(TableDiv[Agency])-ROW(TableDiv[[#Headers],[Agency]])),COLUMNS($F$7:AE$7))))</f>
        <v/>
      </c>
      <c r="AF803" s="2223" t="str" cm="1">
        <f t="array" ref="AF803">IF($D803&lt;COLUMNS($F$7:AF$7),"",INDEX(TableDiv[[GASB]:[GASB]],_xlfn.AGGREGATE(15,3,(TableDiv[[Agency]:[Agency]]=$E803)/(TableDiv[[Agency]:[Agency]]=$E803)*(ROW(TableDiv[Agency])-ROW(TableDiv[[#Headers],[Agency]])),COLUMNS($F$7:AF$7))))</f>
        <v/>
      </c>
      <c r="AG803" s="2223" t="str" cm="1">
        <f t="array" ref="AG803">IF($D803&lt;COLUMNS($F$7:AG$7),"",INDEX(TableDiv[[GASB]:[GASB]],_xlfn.AGGREGATE(15,3,(TableDiv[[Agency]:[Agency]]=$E803)/(TableDiv[[Agency]:[Agency]]=$E803)*(ROW(TableDiv[Agency])-ROW(TableDiv[[#Headers],[Agency]])),COLUMNS($F$7:AG$7))))</f>
        <v/>
      </c>
      <c r="AH803" s="2223" t="str" cm="1">
        <f t="array" ref="AH803">IF($D803&lt;COLUMNS($F$7:AH$7),"",INDEX(TableDiv[[GASB]:[GASB]],_xlfn.AGGREGATE(15,3,(TableDiv[[Agency]:[Agency]]=$E803)/(TableDiv[[Agency]:[Agency]]=$E803)*(ROW(TableDiv[Agency])-ROW(TableDiv[[#Headers],[Agency]])),COLUMNS($F$7:AH$7))))</f>
        <v/>
      </c>
      <c r="AI803" s="2223" t="str" cm="1">
        <f t="array" ref="AI803">IF($D803&lt;COLUMNS($F$7:AI$7),"",INDEX(TableDiv[[GASB]:[GASB]],_xlfn.AGGREGATE(15,3,(TableDiv[[Agency]:[Agency]]=$E803)/(TableDiv[[Agency]:[Agency]]=$E803)*(ROW(TableDiv[Agency])-ROW(TableDiv[[#Headers],[Agency]])),COLUMNS($F$7:AI$7))))</f>
        <v/>
      </c>
      <c r="AJ803" s="2223" t="str" cm="1">
        <f t="array" ref="AJ803">IF($D803&lt;COLUMNS($F$7:AJ$7),"",INDEX(TableDiv[[GASB]:[GASB]],_xlfn.AGGREGATE(15,3,(TableDiv[[Agency]:[Agency]]=$E803)/(TableDiv[[Agency]:[Agency]]=$E803)*(ROW(TableDiv[Agency])-ROW(TableDiv[[#Headers],[Agency]])),COLUMNS($F$7:AJ$7))))</f>
        <v/>
      </c>
      <c r="AK803" s="2223" t="str" cm="1">
        <f t="array" ref="AK803">IF($D803&lt;COLUMNS($F$7:AK$7),"",INDEX(TableDiv[[GASB]:[GASB]],_xlfn.AGGREGATE(15,3,(TableDiv[[Agency]:[Agency]]=$E803)/(TableDiv[[Agency]:[Agency]]=$E803)*(ROW(TableDiv[Agency])-ROW(TableDiv[[#Headers],[Agency]])),COLUMNS($F$7:AK$7))))</f>
        <v/>
      </c>
      <c r="AL803" s="2223" t="str" cm="1">
        <f t="array" ref="AL803">IF($D803&lt;COLUMNS($F$7:AL$7),"",INDEX(TableDiv[[GASB]:[GASB]],_xlfn.AGGREGATE(15,3,(TableDiv[[Agency]:[Agency]]=$E803)/(TableDiv[[Agency]:[Agency]]=$E803)*(ROW(TableDiv[Agency])-ROW(TableDiv[[#Headers],[Agency]])),COLUMNS($F$7:AL$7))))</f>
        <v/>
      </c>
      <c r="AM803" s="2223" t="str" cm="1">
        <f t="array" ref="AM803">IF($D803&lt;COLUMNS($F$7:AM$7),"",INDEX(TableDiv[[GASB]:[GASB]],_xlfn.AGGREGATE(15,3,(TableDiv[[Agency]:[Agency]]=$E803)/(TableDiv[[Agency]:[Agency]]=$E803)*(ROW(TableDiv[Agency])-ROW(TableDiv[[#Headers],[Agency]])),COLUMNS($F$7:AM$7))))</f>
        <v/>
      </c>
      <c r="AN803" s="2223"/>
      <c r="AO803" s="2223"/>
      <c r="AP803" s="2223"/>
      <c r="AQ803" s="2223"/>
      <c r="AR803" s="2223"/>
      <c r="AS803" s="2223"/>
    </row>
    <row r="804" spans="1:45" x14ac:dyDescent="0.2">
      <c r="A804" s="2223"/>
      <c r="B804" s="2223"/>
      <c r="C804" s="2223"/>
      <c r="W804" s="2223" t="str" cm="1">
        <f t="array" ref="W804">IF($D804&lt;COLUMNS($F$7:W$7),"",INDEX(TableDiv[[GASB]:[GASB]],_xlfn.AGGREGATE(15,3,(TableDiv[[Agency]:[Agency]]=$E804)/(TableDiv[[Agency]:[Agency]]=$E804)*(ROW(TableDiv[Agency])-ROW(TableDiv[[#Headers],[Agency]])),COLUMNS($F$7:W$7))))</f>
        <v/>
      </c>
      <c r="X804" s="2223" t="str" cm="1">
        <f t="array" ref="X804">IF($D804&lt;COLUMNS($F$7:X$7),"",INDEX(TableDiv[[GASB]:[GASB]],_xlfn.AGGREGATE(15,3,(TableDiv[[Agency]:[Agency]]=$E804)/(TableDiv[[Agency]:[Agency]]=$E804)*(ROW(TableDiv[Agency])-ROW(TableDiv[[#Headers],[Agency]])),COLUMNS($F$7:X$7))))</f>
        <v/>
      </c>
      <c r="Y804" s="2223" t="str" cm="1">
        <f t="array" ref="Y804">IF($D804&lt;COLUMNS($F$7:Y$7),"",INDEX(TableDiv[[GASB]:[GASB]],_xlfn.AGGREGATE(15,3,(TableDiv[[Agency]:[Agency]]=$E804)/(TableDiv[[Agency]:[Agency]]=$E804)*(ROW(TableDiv[Agency])-ROW(TableDiv[[#Headers],[Agency]])),COLUMNS($F$7:Y$7))))</f>
        <v/>
      </c>
      <c r="Z804" s="2223" t="str" cm="1">
        <f t="array" ref="Z804">IF($D804&lt;COLUMNS($F$7:Z$7),"",INDEX(TableDiv[[GASB]:[GASB]],_xlfn.AGGREGATE(15,3,(TableDiv[[Agency]:[Agency]]=$E804)/(TableDiv[[Agency]:[Agency]]=$E804)*(ROW(TableDiv[Agency])-ROW(TableDiv[[#Headers],[Agency]])),COLUMNS($F$7:Z$7))))</f>
        <v/>
      </c>
      <c r="AA804" s="2223" t="str" cm="1">
        <f t="array" ref="AA804">IF($D804&lt;COLUMNS($F$7:AA$7),"",INDEX(TableDiv[[GASB]:[GASB]],_xlfn.AGGREGATE(15,3,(TableDiv[[Agency]:[Agency]]=$E804)/(TableDiv[[Agency]:[Agency]]=$E804)*(ROW(TableDiv[Agency])-ROW(TableDiv[[#Headers],[Agency]])),COLUMNS($F$7:AA$7))))</f>
        <v/>
      </c>
      <c r="AB804" s="2223" t="str" cm="1">
        <f t="array" ref="AB804">IF($D804&lt;COLUMNS($F$7:AB$7),"",INDEX(TableDiv[[GASB]:[GASB]],_xlfn.AGGREGATE(15,3,(TableDiv[[Agency]:[Agency]]=$E804)/(TableDiv[[Agency]:[Agency]]=$E804)*(ROW(TableDiv[Agency])-ROW(TableDiv[[#Headers],[Agency]])),COLUMNS($F$7:AB$7))))</f>
        <v/>
      </c>
      <c r="AC804" s="2223" t="str" cm="1">
        <f t="array" ref="AC804">IF($D804&lt;COLUMNS($F$7:AC$7),"",INDEX(TableDiv[[GASB]:[GASB]],_xlfn.AGGREGATE(15,3,(TableDiv[[Agency]:[Agency]]=$E804)/(TableDiv[[Agency]:[Agency]]=$E804)*(ROW(TableDiv[Agency])-ROW(TableDiv[[#Headers],[Agency]])),COLUMNS($F$7:AC$7))))</f>
        <v/>
      </c>
      <c r="AD804" s="2223" t="str" cm="1">
        <f t="array" ref="AD804">IF($D804&lt;COLUMNS($F$7:AD$7),"",INDEX(TableDiv[[GASB]:[GASB]],_xlfn.AGGREGATE(15,3,(TableDiv[[Agency]:[Agency]]=$E804)/(TableDiv[[Agency]:[Agency]]=$E804)*(ROW(TableDiv[Agency])-ROW(TableDiv[[#Headers],[Agency]])),COLUMNS($F$7:AD$7))))</f>
        <v/>
      </c>
      <c r="AE804" s="2223" t="str" cm="1">
        <f t="array" ref="AE804">IF($D804&lt;COLUMNS($F$7:AE$7),"",INDEX(TableDiv[[GASB]:[GASB]],_xlfn.AGGREGATE(15,3,(TableDiv[[Agency]:[Agency]]=$E804)/(TableDiv[[Agency]:[Agency]]=$E804)*(ROW(TableDiv[Agency])-ROW(TableDiv[[#Headers],[Agency]])),COLUMNS($F$7:AE$7))))</f>
        <v/>
      </c>
      <c r="AF804" s="2223" t="str" cm="1">
        <f t="array" ref="AF804">IF($D804&lt;COLUMNS($F$7:AF$7),"",INDEX(TableDiv[[GASB]:[GASB]],_xlfn.AGGREGATE(15,3,(TableDiv[[Agency]:[Agency]]=$E804)/(TableDiv[[Agency]:[Agency]]=$E804)*(ROW(TableDiv[Agency])-ROW(TableDiv[[#Headers],[Agency]])),COLUMNS($F$7:AF$7))))</f>
        <v/>
      </c>
      <c r="AG804" s="2223" t="str" cm="1">
        <f t="array" ref="AG804">IF($D804&lt;COLUMNS($F$7:AG$7),"",INDEX(TableDiv[[GASB]:[GASB]],_xlfn.AGGREGATE(15,3,(TableDiv[[Agency]:[Agency]]=$E804)/(TableDiv[[Agency]:[Agency]]=$E804)*(ROW(TableDiv[Agency])-ROW(TableDiv[[#Headers],[Agency]])),COLUMNS($F$7:AG$7))))</f>
        <v/>
      </c>
      <c r="AH804" s="2223" t="str" cm="1">
        <f t="array" ref="AH804">IF($D804&lt;COLUMNS($F$7:AH$7),"",INDEX(TableDiv[[GASB]:[GASB]],_xlfn.AGGREGATE(15,3,(TableDiv[[Agency]:[Agency]]=$E804)/(TableDiv[[Agency]:[Agency]]=$E804)*(ROW(TableDiv[Agency])-ROW(TableDiv[[#Headers],[Agency]])),COLUMNS($F$7:AH$7))))</f>
        <v/>
      </c>
      <c r="AI804" s="2223" t="str" cm="1">
        <f t="array" ref="AI804">IF($D804&lt;COLUMNS($F$7:AI$7),"",INDEX(TableDiv[[GASB]:[GASB]],_xlfn.AGGREGATE(15,3,(TableDiv[[Agency]:[Agency]]=$E804)/(TableDiv[[Agency]:[Agency]]=$E804)*(ROW(TableDiv[Agency])-ROW(TableDiv[[#Headers],[Agency]])),COLUMNS($F$7:AI$7))))</f>
        <v/>
      </c>
      <c r="AJ804" s="2223" t="str" cm="1">
        <f t="array" ref="AJ804">IF($D804&lt;COLUMNS($F$7:AJ$7),"",INDEX(TableDiv[[GASB]:[GASB]],_xlfn.AGGREGATE(15,3,(TableDiv[[Agency]:[Agency]]=$E804)/(TableDiv[[Agency]:[Agency]]=$E804)*(ROW(TableDiv[Agency])-ROW(TableDiv[[#Headers],[Agency]])),COLUMNS($F$7:AJ$7))))</f>
        <v/>
      </c>
      <c r="AK804" s="2223" t="str" cm="1">
        <f t="array" ref="AK804">IF($D804&lt;COLUMNS($F$7:AK$7),"",INDEX(TableDiv[[GASB]:[GASB]],_xlfn.AGGREGATE(15,3,(TableDiv[[Agency]:[Agency]]=$E804)/(TableDiv[[Agency]:[Agency]]=$E804)*(ROW(TableDiv[Agency])-ROW(TableDiv[[#Headers],[Agency]])),COLUMNS($F$7:AK$7))))</f>
        <v/>
      </c>
      <c r="AL804" s="2223" t="str" cm="1">
        <f t="array" ref="AL804">IF($D804&lt;COLUMNS($F$7:AL$7),"",INDEX(TableDiv[[GASB]:[GASB]],_xlfn.AGGREGATE(15,3,(TableDiv[[Agency]:[Agency]]=$E804)/(TableDiv[[Agency]:[Agency]]=$E804)*(ROW(TableDiv[Agency])-ROW(TableDiv[[#Headers],[Agency]])),COLUMNS($F$7:AL$7))))</f>
        <v/>
      </c>
      <c r="AM804" s="2223" t="str" cm="1">
        <f t="array" ref="AM804">IF($D804&lt;COLUMNS($F$7:AM$7),"",INDEX(TableDiv[[GASB]:[GASB]],_xlfn.AGGREGATE(15,3,(TableDiv[[Agency]:[Agency]]=$E804)/(TableDiv[[Agency]:[Agency]]=$E804)*(ROW(TableDiv[Agency])-ROW(TableDiv[[#Headers],[Agency]])),COLUMNS($F$7:AM$7))))</f>
        <v/>
      </c>
      <c r="AN804" s="2223"/>
      <c r="AO804" s="2223"/>
      <c r="AP804" s="2223"/>
      <c r="AQ804" s="2223"/>
      <c r="AR804" s="2223"/>
      <c r="AS804" s="2223"/>
    </row>
    <row r="805" spans="1:45" x14ac:dyDescent="0.2">
      <c r="A805" s="2223"/>
      <c r="B805" s="2223"/>
      <c r="C805" s="2223"/>
      <c r="W805" s="2223" t="str" cm="1">
        <f t="array" ref="W805">IF($D805&lt;COLUMNS($F$7:W$7),"",INDEX(TableDiv[[GASB]:[GASB]],_xlfn.AGGREGATE(15,3,(TableDiv[[Agency]:[Agency]]=$E805)/(TableDiv[[Agency]:[Agency]]=$E805)*(ROW(TableDiv[Agency])-ROW(TableDiv[[#Headers],[Agency]])),COLUMNS($F$7:W$7))))</f>
        <v/>
      </c>
      <c r="X805" s="2223" t="str" cm="1">
        <f t="array" ref="X805">IF($D805&lt;COLUMNS($F$7:X$7),"",INDEX(TableDiv[[GASB]:[GASB]],_xlfn.AGGREGATE(15,3,(TableDiv[[Agency]:[Agency]]=$E805)/(TableDiv[[Agency]:[Agency]]=$E805)*(ROW(TableDiv[Agency])-ROW(TableDiv[[#Headers],[Agency]])),COLUMNS($F$7:X$7))))</f>
        <v/>
      </c>
      <c r="Y805" s="2223" t="str" cm="1">
        <f t="array" ref="Y805">IF($D805&lt;COLUMNS($F$7:Y$7),"",INDEX(TableDiv[[GASB]:[GASB]],_xlfn.AGGREGATE(15,3,(TableDiv[[Agency]:[Agency]]=$E805)/(TableDiv[[Agency]:[Agency]]=$E805)*(ROW(TableDiv[Agency])-ROW(TableDiv[[#Headers],[Agency]])),COLUMNS($F$7:Y$7))))</f>
        <v/>
      </c>
      <c r="Z805" s="2223" t="str" cm="1">
        <f t="array" ref="Z805">IF($D805&lt;COLUMNS($F$7:Z$7),"",INDEX(TableDiv[[GASB]:[GASB]],_xlfn.AGGREGATE(15,3,(TableDiv[[Agency]:[Agency]]=$E805)/(TableDiv[[Agency]:[Agency]]=$E805)*(ROW(TableDiv[Agency])-ROW(TableDiv[[#Headers],[Agency]])),COLUMNS($F$7:Z$7))))</f>
        <v/>
      </c>
      <c r="AA805" s="2223" t="str" cm="1">
        <f t="array" ref="AA805">IF($D805&lt;COLUMNS($F$7:AA$7),"",INDEX(TableDiv[[GASB]:[GASB]],_xlfn.AGGREGATE(15,3,(TableDiv[[Agency]:[Agency]]=$E805)/(TableDiv[[Agency]:[Agency]]=$E805)*(ROW(TableDiv[Agency])-ROW(TableDiv[[#Headers],[Agency]])),COLUMNS($F$7:AA$7))))</f>
        <v/>
      </c>
      <c r="AB805" s="2223" t="str" cm="1">
        <f t="array" ref="AB805">IF($D805&lt;COLUMNS($F$7:AB$7),"",INDEX(TableDiv[[GASB]:[GASB]],_xlfn.AGGREGATE(15,3,(TableDiv[[Agency]:[Agency]]=$E805)/(TableDiv[[Agency]:[Agency]]=$E805)*(ROW(TableDiv[Agency])-ROW(TableDiv[[#Headers],[Agency]])),COLUMNS($F$7:AB$7))))</f>
        <v/>
      </c>
      <c r="AC805" s="2223" t="str" cm="1">
        <f t="array" ref="AC805">IF($D805&lt;COLUMNS($F$7:AC$7),"",INDEX(TableDiv[[GASB]:[GASB]],_xlfn.AGGREGATE(15,3,(TableDiv[[Agency]:[Agency]]=$E805)/(TableDiv[[Agency]:[Agency]]=$E805)*(ROW(TableDiv[Agency])-ROW(TableDiv[[#Headers],[Agency]])),COLUMNS($F$7:AC$7))))</f>
        <v/>
      </c>
      <c r="AD805" s="2223" t="str" cm="1">
        <f t="array" ref="AD805">IF($D805&lt;COLUMNS($F$7:AD$7),"",INDEX(TableDiv[[GASB]:[GASB]],_xlfn.AGGREGATE(15,3,(TableDiv[[Agency]:[Agency]]=$E805)/(TableDiv[[Agency]:[Agency]]=$E805)*(ROW(TableDiv[Agency])-ROW(TableDiv[[#Headers],[Agency]])),COLUMNS($F$7:AD$7))))</f>
        <v/>
      </c>
      <c r="AE805" s="2223" t="str" cm="1">
        <f t="array" ref="AE805">IF($D805&lt;COLUMNS($F$7:AE$7),"",INDEX(TableDiv[[GASB]:[GASB]],_xlfn.AGGREGATE(15,3,(TableDiv[[Agency]:[Agency]]=$E805)/(TableDiv[[Agency]:[Agency]]=$E805)*(ROW(TableDiv[Agency])-ROW(TableDiv[[#Headers],[Agency]])),COLUMNS($F$7:AE$7))))</f>
        <v/>
      </c>
      <c r="AF805" s="2223" t="str" cm="1">
        <f t="array" ref="AF805">IF($D805&lt;COLUMNS($F$7:AF$7),"",INDEX(TableDiv[[GASB]:[GASB]],_xlfn.AGGREGATE(15,3,(TableDiv[[Agency]:[Agency]]=$E805)/(TableDiv[[Agency]:[Agency]]=$E805)*(ROW(TableDiv[Agency])-ROW(TableDiv[[#Headers],[Agency]])),COLUMNS($F$7:AF$7))))</f>
        <v/>
      </c>
      <c r="AG805" s="2223" t="str" cm="1">
        <f t="array" ref="AG805">IF($D805&lt;COLUMNS($F$7:AG$7),"",INDEX(TableDiv[[GASB]:[GASB]],_xlfn.AGGREGATE(15,3,(TableDiv[[Agency]:[Agency]]=$E805)/(TableDiv[[Agency]:[Agency]]=$E805)*(ROW(TableDiv[Agency])-ROW(TableDiv[[#Headers],[Agency]])),COLUMNS($F$7:AG$7))))</f>
        <v/>
      </c>
      <c r="AH805" s="2223" t="str" cm="1">
        <f t="array" ref="AH805">IF($D805&lt;COLUMNS($F$7:AH$7),"",INDEX(TableDiv[[GASB]:[GASB]],_xlfn.AGGREGATE(15,3,(TableDiv[[Agency]:[Agency]]=$E805)/(TableDiv[[Agency]:[Agency]]=$E805)*(ROW(TableDiv[Agency])-ROW(TableDiv[[#Headers],[Agency]])),COLUMNS($F$7:AH$7))))</f>
        <v/>
      </c>
      <c r="AI805" s="2223" t="str" cm="1">
        <f t="array" ref="AI805">IF($D805&lt;COLUMNS($F$7:AI$7),"",INDEX(TableDiv[[GASB]:[GASB]],_xlfn.AGGREGATE(15,3,(TableDiv[[Agency]:[Agency]]=$E805)/(TableDiv[[Agency]:[Agency]]=$E805)*(ROW(TableDiv[Agency])-ROW(TableDiv[[#Headers],[Agency]])),COLUMNS($F$7:AI$7))))</f>
        <v/>
      </c>
      <c r="AJ805" s="2223" t="str" cm="1">
        <f t="array" ref="AJ805">IF($D805&lt;COLUMNS($F$7:AJ$7),"",INDEX(TableDiv[[GASB]:[GASB]],_xlfn.AGGREGATE(15,3,(TableDiv[[Agency]:[Agency]]=$E805)/(TableDiv[[Agency]:[Agency]]=$E805)*(ROW(TableDiv[Agency])-ROW(TableDiv[[#Headers],[Agency]])),COLUMNS($F$7:AJ$7))))</f>
        <v/>
      </c>
      <c r="AK805" s="2223" t="str" cm="1">
        <f t="array" ref="AK805">IF($D805&lt;COLUMNS($F$7:AK$7),"",INDEX(TableDiv[[GASB]:[GASB]],_xlfn.AGGREGATE(15,3,(TableDiv[[Agency]:[Agency]]=$E805)/(TableDiv[[Agency]:[Agency]]=$E805)*(ROW(TableDiv[Agency])-ROW(TableDiv[[#Headers],[Agency]])),COLUMNS($F$7:AK$7))))</f>
        <v/>
      </c>
      <c r="AL805" s="2223" t="str" cm="1">
        <f t="array" ref="AL805">IF($D805&lt;COLUMNS($F$7:AL$7),"",INDEX(TableDiv[[GASB]:[GASB]],_xlfn.AGGREGATE(15,3,(TableDiv[[Agency]:[Agency]]=$E805)/(TableDiv[[Agency]:[Agency]]=$E805)*(ROW(TableDiv[Agency])-ROW(TableDiv[[#Headers],[Agency]])),COLUMNS($F$7:AL$7))))</f>
        <v/>
      </c>
      <c r="AM805" s="2223" t="str" cm="1">
        <f t="array" ref="AM805">IF($D805&lt;COLUMNS($F$7:AM$7),"",INDEX(TableDiv[[GASB]:[GASB]],_xlfn.AGGREGATE(15,3,(TableDiv[[Agency]:[Agency]]=$E805)/(TableDiv[[Agency]:[Agency]]=$E805)*(ROW(TableDiv[Agency])-ROW(TableDiv[[#Headers],[Agency]])),COLUMNS($F$7:AM$7))))</f>
        <v/>
      </c>
      <c r="AN805" s="2223"/>
      <c r="AO805" s="2223"/>
      <c r="AP805" s="2223"/>
      <c r="AQ805" s="2223"/>
      <c r="AR805" s="2223"/>
      <c r="AS805" s="2223"/>
    </row>
    <row r="806" spans="1:45" x14ac:dyDescent="0.2">
      <c r="A806" s="2223"/>
      <c r="B806" s="2223"/>
      <c r="C806" s="2223"/>
      <c r="W806" s="2223" t="str" cm="1">
        <f t="array" ref="W806">IF($D806&lt;COLUMNS($F$7:W$7),"",INDEX(TableDiv[[GASB]:[GASB]],_xlfn.AGGREGATE(15,3,(TableDiv[[Agency]:[Agency]]=$E806)/(TableDiv[[Agency]:[Agency]]=$E806)*(ROW(TableDiv[Agency])-ROW(TableDiv[[#Headers],[Agency]])),COLUMNS($F$7:W$7))))</f>
        <v/>
      </c>
      <c r="X806" s="2223" t="str" cm="1">
        <f t="array" ref="X806">IF($D806&lt;COLUMNS($F$7:X$7),"",INDEX(TableDiv[[GASB]:[GASB]],_xlfn.AGGREGATE(15,3,(TableDiv[[Agency]:[Agency]]=$E806)/(TableDiv[[Agency]:[Agency]]=$E806)*(ROW(TableDiv[Agency])-ROW(TableDiv[[#Headers],[Agency]])),COLUMNS($F$7:X$7))))</f>
        <v/>
      </c>
      <c r="Y806" s="2223" t="str" cm="1">
        <f t="array" ref="Y806">IF($D806&lt;COLUMNS($F$7:Y$7),"",INDEX(TableDiv[[GASB]:[GASB]],_xlfn.AGGREGATE(15,3,(TableDiv[[Agency]:[Agency]]=$E806)/(TableDiv[[Agency]:[Agency]]=$E806)*(ROW(TableDiv[Agency])-ROW(TableDiv[[#Headers],[Agency]])),COLUMNS($F$7:Y$7))))</f>
        <v/>
      </c>
      <c r="Z806" s="2223" t="str" cm="1">
        <f t="array" ref="Z806">IF($D806&lt;COLUMNS($F$7:Z$7),"",INDEX(TableDiv[[GASB]:[GASB]],_xlfn.AGGREGATE(15,3,(TableDiv[[Agency]:[Agency]]=$E806)/(TableDiv[[Agency]:[Agency]]=$E806)*(ROW(TableDiv[Agency])-ROW(TableDiv[[#Headers],[Agency]])),COLUMNS($F$7:Z$7))))</f>
        <v/>
      </c>
      <c r="AA806" s="2223" t="str" cm="1">
        <f t="array" ref="AA806">IF($D806&lt;COLUMNS($F$7:AA$7),"",INDEX(TableDiv[[GASB]:[GASB]],_xlfn.AGGREGATE(15,3,(TableDiv[[Agency]:[Agency]]=$E806)/(TableDiv[[Agency]:[Agency]]=$E806)*(ROW(TableDiv[Agency])-ROW(TableDiv[[#Headers],[Agency]])),COLUMNS($F$7:AA$7))))</f>
        <v/>
      </c>
      <c r="AB806" s="2223" t="str" cm="1">
        <f t="array" ref="AB806">IF($D806&lt;COLUMNS($F$7:AB$7),"",INDEX(TableDiv[[GASB]:[GASB]],_xlfn.AGGREGATE(15,3,(TableDiv[[Agency]:[Agency]]=$E806)/(TableDiv[[Agency]:[Agency]]=$E806)*(ROW(TableDiv[Agency])-ROW(TableDiv[[#Headers],[Agency]])),COLUMNS($F$7:AB$7))))</f>
        <v/>
      </c>
      <c r="AC806" s="2223" t="str" cm="1">
        <f t="array" ref="AC806">IF($D806&lt;COLUMNS($F$7:AC$7),"",INDEX(TableDiv[[GASB]:[GASB]],_xlfn.AGGREGATE(15,3,(TableDiv[[Agency]:[Agency]]=$E806)/(TableDiv[[Agency]:[Agency]]=$E806)*(ROW(TableDiv[Agency])-ROW(TableDiv[[#Headers],[Agency]])),COLUMNS($F$7:AC$7))))</f>
        <v/>
      </c>
      <c r="AD806" s="2223" t="str" cm="1">
        <f t="array" ref="AD806">IF($D806&lt;COLUMNS($F$7:AD$7),"",INDEX(TableDiv[[GASB]:[GASB]],_xlfn.AGGREGATE(15,3,(TableDiv[[Agency]:[Agency]]=$E806)/(TableDiv[[Agency]:[Agency]]=$E806)*(ROW(TableDiv[Agency])-ROW(TableDiv[[#Headers],[Agency]])),COLUMNS($F$7:AD$7))))</f>
        <v/>
      </c>
      <c r="AE806" s="2223" t="str" cm="1">
        <f t="array" ref="AE806">IF($D806&lt;COLUMNS($F$7:AE$7),"",INDEX(TableDiv[[GASB]:[GASB]],_xlfn.AGGREGATE(15,3,(TableDiv[[Agency]:[Agency]]=$E806)/(TableDiv[[Agency]:[Agency]]=$E806)*(ROW(TableDiv[Agency])-ROW(TableDiv[[#Headers],[Agency]])),COLUMNS($F$7:AE$7))))</f>
        <v/>
      </c>
      <c r="AF806" s="2223" t="str" cm="1">
        <f t="array" ref="AF806">IF($D806&lt;COLUMNS($F$7:AF$7),"",INDEX(TableDiv[[GASB]:[GASB]],_xlfn.AGGREGATE(15,3,(TableDiv[[Agency]:[Agency]]=$E806)/(TableDiv[[Agency]:[Agency]]=$E806)*(ROW(TableDiv[Agency])-ROW(TableDiv[[#Headers],[Agency]])),COLUMNS($F$7:AF$7))))</f>
        <v/>
      </c>
      <c r="AG806" s="2223" t="str" cm="1">
        <f t="array" ref="AG806">IF($D806&lt;COLUMNS($F$7:AG$7),"",INDEX(TableDiv[[GASB]:[GASB]],_xlfn.AGGREGATE(15,3,(TableDiv[[Agency]:[Agency]]=$E806)/(TableDiv[[Agency]:[Agency]]=$E806)*(ROW(TableDiv[Agency])-ROW(TableDiv[[#Headers],[Agency]])),COLUMNS($F$7:AG$7))))</f>
        <v/>
      </c>
      <c r="AH806" s="2223" t="str" cm="1">
        <f t="array" ref="AH806">IF($D806&lt;COLUMNS($F$7:AH$7),"",INDEX(TableDiv[[GASB]:[GASB]],_xlfn.AGGREGATE(15,3,(TableDiv[[Agency]:[Agency]]=$E806)/(TableDiv[[Agency]:[Agency]]=$E806)*(ROW(TableDiv[Agency])-ROW(TableDiv[[#Headers],[Agency]])),COLUMNS($F$7:AH$7))))</f>
        <v/>
      </c>
      <c r="AI806" s="2223" t="str" cm="1">
        <f t="array" ref="AI806">IF($D806&lt;COLUMNS($F$7:AI$7),"",INDEX(TableDiv[[GASB]:[GASB]],_xlfn.AGGREGATE(15,3,(TableDiv[[Agency]:[Agency]]=$E806)/(TableDiv[[Agency]:[Agency]]=$E806)*(ROW(TableDiv[Agency])-ROW(TableDiv[[#Headers],[Agency]])),COLUMNS($F$7:AI$7))))</f>
        <v/>
      </c>
      <c r="AJ806" s="2223" t="str" cm="1">
        <f t="array" ref="AJ806">IF($D806&lt;COLUMNS($F$7:AJ$7),"",INDEX(TableDiv[[GASB]:[GASB]],_xlfn.AGGREGATE(15,3,(TableDiv[[Agency]:[Agency]]=$E806)/(TableDiv[[Agency]:[Agency]]=$E806)*(ROW(TableDiv[Agency])-ROW(TableDiv[[#Headers],[Agency]])),COLUMNS($F$7:AJ$7))))</f>
        <v/>
      </c>
      <c r="AK806" s="2223" t="str" cm="1">
        <f t="array" ref="AK806">IF($D806&lt;COLUMNS($F$7:AK$7),"",INDEX(TableDiv[[GASB]:[GASB]],_xlfn.AGGREGATE(15,3,(TableDiv[[Agency]:[Agency]]=$E806)/(TableDiv[[Agency]:[Agency]]=$E806)*(ROW(TableDiv[Agency])-ROW(TableDiv[[#Headers],[Agency]])),COLUMNS($F$7:AK$7))))</f>
        <v/>
      </c>
      <c r="AL806" s="2223" t="str" cm="1">
        <f t="array" ref="AL806">IF($D806&lt;COLUMNS($F$7:AL$7),"",INDEX(TableDiv[[GASB]:[GASB]],_xlfn.AGGREGATE(15,3,(TableDiv[[Agency]:[Agency]]=$E806)/(TableDiv[[Agency]:[Agency]]=$E806)*(ROW(TableDiv[Agency])-ROW(TableDiv[[#Headers],[Agency]])),COLUMNS($F$7:AL$7))))</f>
        <v/>
      </c>
      <c r="AM806" s="2223" t="str" cm="1">
        <f t="array" ref="AM806">IF($D806&lt;COLUMNS($F$7:AM$7),"",INDEX(TableDiv[[GASB]:[GASB]],_xlfn.AGGREGATE(15,3,(TableDiv[[Agency]:[Agency]]=$E806)/(TableDiv[[Agency]:[Agency]]=$E806)*(ROW(TableDiv[Agency])-ROW(TableDiv[[#Headers],[Agency]])),COLUMNS($F$7:AM$7))))</f>
        <v/>
      </c>
      <c r="AN806" s="2223"/>
      <c r="AO806" s="2223"/>
      <c r="AP806" s="2223"/>
      <c r="AQ806" s="2223"/>
      <c r="AR806" s="2223"/>
      <c r="AS806" s="2223"/>
    </row>
    <row r="807" spans="1:45" x14ac:dyDescent="0.2">
      <c r="A807" s="2223"/>
      <c r="B807" s="2223"/>
      <c r="C807" s="2223"/>
      <c r="W807" s="2223" t="str" cm="1">
        <f t="array" ref="W807">IF($D807&lt;COLUMNS($F$7:W$7),"",INDEX(TableDiv[[GASB]:[GASB]],_xlfn.AGGREGATE(15,3,(TableDiv[[Agency]:[Agency]]=$E807)/(TableDiv[[Agency]:[Agency]]=$E807)*(ROW(TableDiv[Agency])-ROW(TableDiv[[#Headers],[Agency]])),COLUMNS($F$7:W$7))))</f>
        <v/>
      </c>
      <c r="X807" s="2223" t="str" cm="1">
        <f t="array" ref="X807">IF($D807&lt;COLUMNS($F$7:X$7),"",INDEX(TableDiv[[GASB]:[GASB]],_xlfn.AGGREGATE(15,3,(TableDiv[[Agency]:[Agency]]=$E807)/(TableDiv[[Agency]:[Agency]]=$E807)*(ROW(TableDiv[Agency])-ROW(TableDiv[[#Headers],[Agency]])),COLUMNS($F$7:X$7))))</f>
        <v/>
      </c>
      <c r="Y807" s="2223" t="str" cm="1">
        <f t="array" ref="Y807">IF($D807&lt;COLUMNS($F$7:Y$7),"",INDEX(TableDiv[[GASB]:[GASB]],_xlfn.AGGREGATE(15,3,(TableDiv[[Agency]:[Agency]]=$E807)/(TableDiv[[Agency]:[Agency]]=$E807)*(ROW(TableDiv[Agency])-ROW(TableDiv[[#Headers],[Agency]])),COLUMNS($F$7:Y$7))))</f>
        <v/>
      </c>
      <c r="Z807" s="2223" t="str" cm="1">
        <f t="array" ref="Z807">IF($D807&lt;COLUMNS($F$7:Z$7),"",INDEX(TableDiv[[GASB]:[GASB]],_xlfn.AGGREGATE(15,3,(TableDiv[[Agency]:[Agency]]=$E807)/(TableDiv[[Agency]:[Agency]]=$E807)*(ROW(TableDiv[Agency])-ROW(TableDiv[[#Headers],[Agency]])),COLUMNS($F$7:Z$7))))</f>
        <v/>
      </c>
      <c r="AA807" s="2223" t="str" cm="1">
        <f t="array" ref="AA807">IF($D807&lt;COLUMNS($F$7:AA$7),"",INDEX(TableDiv[[GASB]:[GASB]],_xlfn.AGGREGATE(15,3,(TableDiv[[Agency]:[Agency]]=$E807)/(TableDiv[[Agency]:[Agency]]=$E807)*(ROW(TableDiv[Agency])-ROW(TableDiv[[#Headers],[Agency]])),COLUMNS($F$7:AA$7))))</f>
        <v/>
      </c>
      <c r="AB807" s="2223" t="str" cm="1">
        <f t="array" ref="AB807">IF($D807&lt;COLUMNS($F$7:AB$7),"",INDEX(TableDiv[[GASB]:[GASB]],_xlfn.AGGREGATE(15,3,(TableDiv[[Agency]:[Agency]]=$E807)/(TableDiv[[Agency]:[Agency]]=$E807)*(ROW(TableDiv[Agency])-ROW(TableDiv[[#Headers],[Agency]])),COLUMNS($F$7:AB$7))))</f>
        <v/>
      </c>
      <c r="AC807" s="2223" t="str" cm="1">
        <f t="array" ref="AC807">IF($D807&lt;COLUMNS($F$7:AC$7),"",INDEX(TableDiv[[GASB]:[GASB]],_xlfn.AGGREGATE(15,3,(TableDiv[[Agency]:[Agency]]=$E807)/(TableDiv[[Agency]:[Agency]]=$E807)*(ROW(TableDiv[Agency])-ROW(TableDiv[[#Headers],[Agency]])),COLUMNS($F$7:AC$7))))</f>
        <v/>
      </c>
      <c r="AD807" s="2223" t="str" cm="1">
        <f t="array" ref="AD807">IF($D807&lt;COLUMNS($F$7:AD$7),"",INDEX(TableDiv[[GASB]:[GASB]],_xlfn.AGGREGATE(15,3,(TableDiv[[Agency]:[Agency]]=$E807)/(TableDiv[[Agency]:[Agency]]=$E807)*(ROW(TableDiv[Agency])-ROW(TableDiv[[#Headers],[Agency]])),COLUMNS($F$7:AD$7))))</f>
        <v/>
      </c>
      <c r="AE807" s="2223" t="str" cm="1">
        <f t="array" ref="AE807">IF($D807&lt;COLUMNS($F$7:AE$7),"",INDEX(TableDiv[[GASB]:[GASB]],_xlfn.AGGREGATE(15,3,(TableDiv[[Agency]:[Agency]]=$E807)/(TableDiv[[Agency]:[Agency]]=$E807)*(ROW(TableDiv[Agency])-ROW(TableDiv[[#Headers],[Agency]])),COLUMNS($F$7:AE$7))))</f>
        <v/>
      </c>
      <c r="AF807" s="2223" t="str" cm="1">
        <f t="array" ref="AF807">IF($D807&lt;COLUMNS($F$7:AF$7),"",INDEX(TableDiv[[GASB]:[GASB]],_xlfn.AGGREGATE(15,3,(TableDiv[[Agency]:[Agency]]=$E807)/(TableDiv[[Agency]:[Agency]]=$E807)*(ROW(TableDiv[Agency])-ROW(TableDiv[[#Headers],[Agency]])),COLUMNS($F$7:AF$7))))</f>
        <v/>
      </c>
      <c r="AG807" s="2223" t="str" cm="1">
        <f t="array" ref="AG807">IF($D807&lt;COLUMNS($F$7:AG$7),"",INDEX(TableDiv[[GASB]:[GASB]],_xlfn.AGGREGATE(15,3,(TableDiv[[Agency]:[Agency]]=$E807)/(TableDiv[[Agency]:[Agency]]=$E807)*(ROW(TableDiv[Agency])-ROW(TableDiv[[#Headers],[Agency]])),COLUMNS($F$7:AG$7))))</f>
        <v/>
      </c>
      <c r="AH807" s="2223" t="str" cm="1">
        <f t="array" ref="AH807">IF($D807&lt;COLUMNS($F$7:AH$7),"",INDEX(TableDiv[[GASB]:[GASB]],_xlfn.AGGREGATE(15,3,(TableDiv[[Agency]:[Agency]]=$E807)/(TableDiv[[Agency]:[Agency]]=$E807)*(ROW(TableDiv[Agency])-ROW(TableDiv[[#Headers],[Agency]])),COLUMNS($F$7:AH$7))))</f>
        <v/>
      </c>
      <c r="AI807" s="2223" t="str" cm="1">
        <f t="array" ref="AI807">IF($D807&lt;COLUMNS($F$7:AI$7),"",INDEX(TableDiv[[GASB]:[GASB]],_xlfn.AGGREGATE(15,3,(TableDiv[[Agency]:[Agency]]=$E807)/(TableDiv[[Agency]:[Agency]]=$E807)*(ROW(TableDiv[Agency])-ROW(TableDiv[[#Headers],[Agency]])),COLUMNS($F$7:AI$7))))</f>
        <v/>
      </c>
      <c r="AJ807" s="2223" t="str" cm="1">
        <f t="array" ref="AJ807">IF($D807&lt;COLUMNS($F$7:AJ$7),"",INDEX(TableDiv[[GASB]:[GASB]],_xlfn.AGGREGATE(15,3,(TableDiv[[Agency]:[Agency]]=$E807)/(TableDiv[[Agency]:[Agency]]=$E807)*(ROW(TableDiv[Agency])-ROW(TableDiv[[#Headers],[Agency]])),COLUMNS($F$7:AJ$7))))</f>
        <v/>
      </c>
      <c r="AK807" s="2223" t="str" cm="1">
        <f t="array" ref="AK807">IF($D807&lt;COLUMNS($F$7:AK$7),"",INDEX(TableDiv[[GASB]:[GASB]],_xlfn.AGGREGATE(15,3,(TableDiv[[Agency]:[Agency]]=$E807)/(TableDiv[[Agency]:[Agency]]=$E807)*(ROW(TableDiv[Agency])-ROW(TableDiv[[#Headers],[Agency]])),COLUMNS($F$7:AK$7))))</f>
        <v/>
      </c>
      <c r="AL807" s="2223" t="str" cm="1">
        <f t="array" ref="AL807">IF($D807&lt;COLUMNS($F$7:AL$7),"",INDEX(TableDiv[[GASB]:[GASB]],_xlfn.AGGREGATE(15,3,(TableDiv[[Agency]:[Agency]]=$E807)/(TableDiv[[Agency]:[Agency]]=$E807)*(ROW(TableDiv[Agency])-ROW(TableDiv[[#Headers],[Agency]])),COLUMNS($F$7:AL$7))))</f>
        <v/>
      </c>
      <c r="AM807" s="2223" t="str" cm="1">
        <f t="array" ref="AM807">IF($D807&lt;COLUMNS($F$7:AM$7),"",INDEX(TableDiv[[GASB]:[GASB]],_xlfn.AGGREGATE(15,3,(TableDiv[[Agency]:[Agency]]=$E807)/(TableDiv[[Agency]:[Agency]]=$E807)*(ROW(TableDiv[Agency])-ROW(TableDiv[[#Headers],[Agency]])),COLUMNS($F$7:AM$7))))</f>
        <v/>
      </c>
      <c r="AN807" s="2223"/>
      <c r="AO807" s="2223"/>
      <c r="AP807" s="2223"/>
      <c r="AQ807" s="2223"/>
      <c r="AR807" s="2223"/>
      <c r="AS807" s="2223"/>
    </row>
    <row r="808" spans="1:45" x14ac:dyDescent="0.2">
      <c r="A808" s="2223"/>
      <c r="B808" s="2223"/>
      <c r="C808" s="2223"/>
      <c r="W808" s="2223" t="str" cm="1">
        <f t="array" ref="W808">IF($D808&lt;COLUMNS($F$7:W$7),"",INDEX(TableDiv[[GASB]:[GASB]],_xlfn.AGGREGATE(15,3,(TableDiv[[Agency]:[Agency]]=$E808)/(TableDiv[[Agency]:[Agency]]=$E808)*(ROW(TableDiv[Agency])-ROW(TableDiv[[#Headers],[Agency]])),COLUMNS($F$7:W$7))))</f>
        <v/>
      </c>
      <c r="X808" s="2223" t="str" cm="1">
        <f t="array" ref="X808">IF($D808&lt;COLUMNS($F$7:X$7),"",INDEX(TableDiv[[GASB]:[GASB]],_xlfn.AGGREGATE(15,3,(TableDiv[[Agency]:[Agency]]=$E808)/(TableDiv[[Agency]:[Agency]]=$E808)*(ROW(TableDiv[Agency])-ROW(TableDiv[[#Headers],[Agency]])),COLUMNS($F$7:X$7))))</f>
        <v/>
      </c>
      <c r="Y808" s="2223" t="str" cm="1">
        <f t="array" ref="Y808">IF($D808&lt;COLUMNS($F$7:Y$7),"",INDEX(TableDiv[[GASB]:[GASB]],_xlfn.AGGREGATE(15,3,(TableDiv[[Agency]:[Agency]]=$E808)/(TableDiv[[Agency]:[Agency]]=$E808)*(ROW(TableDiv[Agency])-ROW(TableDiv[[#Headers],[Agency]])),COLUMNS($F$7:Y$7))))</f>
        <v/>
      </c>
      <c r="Z808" s="2223" t="str" cm="1">
        <f t="array" ref="Z808">IF($D808&lt;COLUMNS($F$7:Z$7),"",INDEX(TableDiv[[GASB]:[GASB]],_xlfn.AGGREGATE(15,3,(TableDiv[[Agency]:[Agency]]=$E808)/(TableDiv[[Agency]:[Agency]]=$E808)*(ROW(TableDiv[Agency])-ROW(TableDiv[[#Headers],[Agency]])),COLUMNS($F$7:Z$7))))</f>
        <v/>
      </c>
      <c r="AA808" s="2223" t="str" cm="1">
        <f t="array" ref="AA808">IF($D808&lt;COLUMNS($F$7:AA$7),"",INDEX(TableDiv[[GASB]:[GASB]],_xlfn.AGGREGATE(15,3,(TableDiv[[Agency]:[Agency]]=$E808)/(TableDiv[[Agency]:[Agency]]=$E808)*(ROW(TableDiv[Agency])-ROW(TableDiv[[#Headers],[Agency]])),COLUMNS($F$7:AA$7))))</f>
        <v/>
      </c>
      <c r="AB808" s="2223" t="str" cm="1">
        <f t="array" ref="AB808">IF($D808&lt;COLUMNS($F$7:AB$7),"",INDEX(TableDiv[[GASB]:[GASB]],_xlfn.AGGREGATE(15,3,(TableDiv[[Agency]:[Agency]]=$E808)/(TableDiv[[Agency]:[Agency]]=$E808)*(ROW(TableDiv[Agency])-ROW(TableDiv[[#Headers],[Agency]])),COLUMNS($F$7:AB$7))))</f>
        <v/>
      </c>
      <c r="AC808" s="2223" t="str" cm="1">
        <f t="array" ref="AC808">IF($D808&lt;COLUMNS($F$7:AC$7),"",INDEX(TableDiv[[GASB]:[GASB]],_xlfn.AGGREGATE(15,3,(TableDiv[[Agency]:[Agency]]=$E808)/(TableDiv[[Agency]:[Agency]]=$E808)*(ROW(TableDiv[Agency])-ROW(TableDiv[[#Headers],[Agency]])),COLUMNS($F$7:AC$7))))</f>
        <v/>
      </c>
      <c r="AD808" s="2223" t="str" cm="1">
        <f t="array" ref="AD808">IF($D808&lt;COLUMNS($F$7:AD$7),"",INDEX(TableDiv[[GASB]:[GASB]],_xlfn.AGGREGATE(15,3,(TableDiv[[Agency]:[Agency]]=$E808)/(TableDiv[[Agency]:[Agency]]=$E808)*(ROW(TableDiv[Agency])-ROW(TableDiv[[#Headers],[Agency]])),COLUMNS($F$7:AD$7))))</f>
        <v/>
      </c>
      <c r="AE808" s="2223" t="str" cm="1">
        <f t="array" ref="AE808">IF($D808&lt;COLUMNS($F$7:AE$7),"",INDEX(TableDiv[[GASB]:[GASB]],_xlfn.AGGREGATE(15,3,(TableDiv[[Agency]:[Agency]]=$E808)/(TableDiv[[Agency]:[Agency]]=$E808)*(ROW(TableDiv[Agency])-ROW(TableDiv[[#Headers],[Agency]])),COLUMNS($F$7:AE$7))))</f>
        <v/>
      </c>
      <c r="AF808" s="2223" t="str" cm="1">
        <f t="array" ref="AF808">IF($D808&lt;COLUMNS($F$7:AF$7),"",INDEX(TableDiv[[GASB]:[GASB]],_xlfn.AGGREGATE(15,3,(TableDiv[[Agency]:[Agency]]=$E808)/(TableDiv[[Agency]:[Agency]]=$E808)*(ROW(TableDiv[Agency])-ROW(TableDiv[[#Headers],[Agency]])),COLUMNS($F$7:AF$7))))</f>
        <v/>
      </c>
      <c r="AG808" s="2223" t="str" cm="1">
        <f t="array" ref="AG808">IF($D808&lt;COLUMNS($F$7:AG$7),"",INDEX(TableDiv[[GASB]:[GASB]],_xlfn.AGGREGATE(15,3,(TableDiv[[Agency]:[Agency]]=$E808)/(TableDiv[[Agency]:[Agency]]=$E808)*(ROW(TableDiv[Agency])-ROW(TableDiv[[#Headers],[Agency]])),COLUMNS($F$7:AG$7))))</f>
        <v/>
      </c>
      <c r="AH808" s="2223" t="str" cm="1">
        <f t="array" ref="AH808">IF($D808&lt;COLUMNS($F$7:AH$7),"",INDEX(TableDiv[[GASB]:[GASB]],_xlfn.AGGREGATE(15,3,(TableDiv[[Agency]:[Agency]]=$E808)/(TableDiv[[Agency]:[Agency]]=$E808)*(ROW(TableDiv[Agency])-ROW(TableDiv[[#Headers],[Agency]])),COLUMNS($F$7:AH$7))))</f>
        <v/>
      </c>
      <c r="AI808" s="2223" t="str" cm="1">
        <f t="array" ref="AI808">IF($D808&lt;COLUMNS($F$7:AI$7),"",INDEX(TableDiv[[GASB]:[GASB]],_xlfn.AGGREGATE(15,3,(TableDiv[[Agency]:[Agency]]=$E808)/(TableDiv[[Agency]:[Agency]]=$E808)*(ROW(TableDiv[Agency])-ROW(TableDiv[[#Headers],[Agency]])),COLUMNS($F$7:AI$7))))</f>
        <v/>
      </c>
      <c r="AJ808" s="2223" t="str" cm="1">
        <f t="array" ref="AJ808">IF($D808&lt;COLUMNS($F$7:AJ$7),"",INDEX(TableDiv[[GASB]:[GASB]],_xlfn.AGGREGATE(15,3,(TableDiv[[Agency]:[Agency]]=$E808)/(TableDiv[[Agency]:[Agency]]=$E808)*(ROW(TableDiv[Agency])-ROW(TableDiv[[#Headers],[Agency]])),COLUMNS($F$7:AJ$7))))</f>
        <v/>
      </c>
      <c r="AK808" s="2223" t="str" cm="1">
        <f t="array" ref="AK808">IF($D808&lt;COLUMNS($F$7:AK$7),"",INDEX(TableDiv[[GASB]:[GASB]],_xlfn.AGGREGATE(15,3,(TableDiv[[Agency]:[Agency]]=$E808)/(TableDiv[[Agency]:[Agency]]=$E808)*(ROW(TableDiv[Agency])-ROW(TableDiv[[#Headers],[Agency]])),COLUMNS($F$7:AK$7))))</f>
        <v/>
      </c>
      <c r="AL808" s="2223" t="str" cm="1">
        <f t="array" ref="AL808">IF($D808&lt;COLUMNS($F$7:AL$7),"",INDEX(TableDiv[[GASB]:[GASB]],_xlfn.AGGREGATE(15,3,(TableDiv[[Agency]:[Agency]]=$E808)/(TableDiv[[Agency]:[Agency]]=$E808)*(ROW(TableDiv[Agency])-ROW(TableDiv[[#Headers],[Agency]])),COLUMNS($F$7:AL$7))))</f>
        <v/>
      </c>
      <c r="AM808" s="2223" t="str" cm="1">
        <f t="array" ref="AM808">IF($D808&lt;COLUMNS($F$7:AM$7),"",INDEX(TableDiv[[GASB]:[GASB]],_xlfn.AGGREGATE(15,3,(TableDiv[[Agency]:[Agency]]=$E808)/(TableDiv[[Agency]:[Agency]]=$E808)*(ROW(TableDiv[Agency])-ROW(TableDiv[[#Headers],[Agency]])),COLUMNS($F$7:AM$7))))</f>
        <v/>
      </c>
      <c r="AN808" s="2223"/>
      <c r="AO808" s="2223"/>
      <c r="AP808" s="2223"/>
      <c r="AQ808" s="2223"/>
      <c r="AR808" s="2223"/>
      <c r="AS808" s="2223"/>
    </row>
    <row r="809" spans="1:45" x14ac:dyDescent="0.2">
      <c r="A809" s="2223"/>
      <c r="B809" s="2223"/>
      <c r="C809" s="2223"/>
      <c r="W809" s="2223" t="str" cm="1">
        <f t="array" ref="W809">IF($D809&lt;COLUMNS($F$7:W$7),"",INDEX(TableDiv[[GASB]:[GASB]],_xlfn.AGGREGATE(15,3,(TableDiv[[Agency]:[Agency]]=$E809)/(TableDiv[[Agency]:[Agency]]=$E809)*(ROW(TableDiv[Agency])-ROW(TableDiv[[#Headers],[Agency]])),COLUMNS($F$7:W$7))))</f>
        <v/>
      </c>
      <c r="X809" s="2223" t="str" cm="1">
        <f t="array" ref="X809">IF($D809&lt;COLUMNS($F$7:X$7),"",INDEX(TableDiv[[GASB]:[GASB]],_xlfn.AGGREGATE(15,3,(TableDiv[[Agency]:[Agency]]=$E809)/(TableDiv[[Agency]:[Agency]]=$E809)*(ROW(TableDiv[Agency])-ROW(TableDiv[[#Headers],[Agency]])),COLUMNS($F$7:X$7))))</f>
        <v/>
      </c>
      <c r="Y809" s="2223" t="str" cm="1">
        <f t="array" ref="Y809">IF($D809&lt;COLUMNS($F$7:Y$7),"",INDEX(TableDiv[[GASB]:[GASB]],_xlfn.AGGREGATE(15,3,(TableDiv[[Agency]:[Agency]]=$E809)/(TableDiv[[Agency]:[Agency]]=$E809)*(ROW(TableDiv[Agency])-ROW(TableDiv[[#Headers],[Agency]])),COLUMNS($F$7:Y$7))))</f>
        <v/>
      </c>
      <c r="Z809" s="2223" t="str" cm="1">
        <f t="array" ref="Z809">IF($D809&lt;COLUMNS($F$7:Z$7),"",INDEX(TableDiv[[GASB]:[GASB]],_xlfn.AGGREGATE(15,3,(TableDiv[[Agency]:[Agency]]=$E809)/(TableDiv[[Agency]:[Agency]]=$E809)*(ROW(TableDiv[Agency])-ROW(TableDiv[[#Headers],[Agency]])),COLUMNS($F$7:Z$7))))</f>
        <v/>
      </c>
      <c r="AA809" s="2223" t="str" cm="1">
        <f t="array" ref="AA809">IF($D809&lt;COLUMNS($F$7:AA$7),"",INDEX(TableDiv[[GASB]:[GASB]],_xlfn.AGGREGATE(15,3,(TableDiv[[Agency]:[Agency]]=$E809)/(TableDiv[[Agency]:[Agency]]=$E809)*(ROW(TableDiv[Agency])-ROW(TableDiv[[#Headers],[Agency]])),COLUMNS($F$7:AA$7))))</f>
        <v/>
      </c>
      <c r="AB809" s="2223" t="str" cm="1">
        <f t="array" ref="AB809">IF($D809&lt;COLUMNS($F$7:AB$7),"",INDEX(TableDiv[[GASB]:[GASB]],_xlfn.AGGREGATE(15,3,(TableDiv[[Agency]:[Agency]]=$E809)/(TableDiv[[Agency]:[Agency]]=$E809)*(ROW(TableDiv[Agency])-ROW(TableDiv[[#Headers],[Agency]])),COLUMNS($F$7:AB$7))))</f>
        <v/>
      </c>
      <c r="AC809" s="2223" t="str" cm="1">
        <f t="array" ref="AC809">IF($D809&lt;COLUMNS($F$7:AC$7),"",INDEX(TableDiv[[GASB]:[GASB]],_xlfn.AGGREGATE(15,3,(TableDiv[[Agency]:[Agency]]=$E809)/(TableDiv[[Agency]:[Agency]]=$E809)*(ROW(TableDiv[Agency])-ROW(TableDiv[[#Headers],[Agency]])),COLUMNS($F$7:AC$7))))</f>
        <v/>
      </c>
      <c r="AD809" s="2223" t="str" cm="1">
        <f t="array" ref="AD809">IF($D809&lt;COLUMNS($F$7:AD$7),"",INDEX(TableDiv[[GASB]:[GASB]],_xlfn.AGGREGATE(15,3,(TableDiv[[Agency]:[Agency]]=$E809)/(TableDiv[[Agency]:[Agency]]=$E809)*(ROW(TableDiv[Agency])-ROW(TableDiv[[#Headers],[Agency]])),COLUMNS($F$7:AD$7))))</f>
        <v/>
      </c>
      <c r="AE809" s="2223" t="str" cm="1">
        <f t="array" ref="AE809">IF($D809&lt;COLUMNS($F$7:AE$7),"",INDEX(TableDiv[[GASB]:[GASB]],_xlfn.AGGREGATE(15,3,(TableDiv[[Agency]:[Agency]]=$E809)/(TableDiv[[Agency]:[Agency]]=$E809)*(ROW(TableDiv[Agency])-ROW(TableDiv[[#Headers],[Agency]])),COLUMNS($F$7:AE$7))))</f>
        <v/>
      </c>
      <c r="AF809" s="2223" t="str" cm="1">
        <f t="array" ref="AF809">IF($D809&lt;COLUMNS($F$7:AF$7),"",INDEX(TableDiv[[GASB]:[GASB]],_xlfn.AGGREGATE(15,3,(TableDiv[[Agency]:[Agency]]=$E809)/(TableDiv[[Agency]:[Agency]]=$E809)*(ROW(TableDiv[Agency])-ROW(TableDiv[[#Headers],[Agency]])),COLUMNS($F$7:AF$7))))</f>
        <v/>
      </c>
      <c r="AG809" s="2223" t="str" cm="1">
        <f t="array" ref="AG809">IF($D809&lt;COLUMNS($F$7:AG$7),"",INDEX(TableDiv[[GASB]:[GASB]],_xlfn.AGGREGATE(15,3,(TableDiv[[Agency]:[Agency]]=$E809)/(TableDiv[[Agency]:[Agency]]=$E809)*(ROW(TableDiv[Agency])-ROW(TableDiv[[#Headers],[Agency]])),COLUMNS($F$7:AG$7))))</f>
        <v/>
      </c>
      <c r="AH809" s="2223" t="str" cm="1">
        <f t="array" ref="AH809">IF($D809&lt;COLUMNS($F$7:AH$7),"",INDEX(TableDiv[[GASB]:[GASB]],_xlfn.AGGREGATE(15,3,(TableDiv[[Agency]:[Agency]]=$E809)/(TableDiv[[Agency]:[Agency]]=$E809)*(ROW(TableDiv[Agency])-ROW(TableDiv[[#Headers],[Agency]])),COLUMNS($F$7:AH$7))))</f>
        <v/>
      </c>
      <c r="AI809" s="2223" t="str" cm="1">
        <f t="array" ref="AI809">IF($D809&lt;COLUMNS($F$7:AI$7),"",INDEX(TableDiv[[GASB]:[GASB]],_xlfn.AGGREGATE(15,3,(TableDiv[[Agency]:[Agency]]=$E809)/(TableDiv[[Agency]:[Agency]]=$E809)*(ROW(TableDiv[Agency])-ROW(TableDiv[[#Headers],[Agency]])),COLUMNS($F$7:AI$7))))</f>
        <v/>
      </c>
      <c r="AJ809" s="2223" t="str" cm="1">
        <f t="array" ref="AJ809">IF($D809&lt;COLUMNS($F$7:AJ$7),"",INDEX(TableDiv[[GASB]:[GASB]],_xlfn.AGGREGATE(15,3,(TableDiv[[Agency]:[Agency]]=$E809)/(TableDiv[[Agency]:[Agency]]=$E809)*(ROW(TableDiv[Agency])-ROW(TableDiv[[#Headers],[Agency]])),COLUMNS($F$7:AJ$7))))</f>
        <v/>
      </c>
      <c r="AK809" s="2223" t="str" cm="1">
        <f t="array" ref="AK809">IF($D809&lt;COLUMNS($F$7:AK$7),"",INDEX(TableDiv[[GASB]:[GASB]],_xlfn.AGGREGATE(15,3,(TableDiv[[Agency]:[Agency]]=$E809)/(TableDiv[[Agency]:[Agency]]=$E809)*(ROW(TableDiv[Agency])-ROW(TableDiv[[#Headers],[Agency]])),COLUMNS($F$7:AK$7))))</f>
        <v/>
      </c>
      <c r="AL809" s="2223" t="str" cm="1">
        <f t="array" ref="AL809">IF($D809&lt;COLUMNS($F$7:AL$7),"",INDEX(TableDiv[[GASB]:[GASB]],_xlfn.AGGREGATE(15,3,(TableDiv[[Agency]:[Agency]]=$E809)/(TableDiv[[Agency]:[Agency]]=$E809)*(ROW(TableDiv[Agency])-ROW(TableDiv[[#Headers],[Agency]])),COLUMNS($F$7:AL$7))))</f>
        <v/>
      </c>
      <c r="AM809" s="2223" t="str" cm="1">
        <f t="array" ref="AM809">IF($D809&lt;COLUMNS($F$7:AM$7),"",INDEX(TableDiv[[GASB]:[GASB]],_xlfn.AGGREGATE(15,3,(TableDiv[[Agency]:[Agency]]=$E809)/(TableDiv[[Agency]:[Agency]]=$E809)*(ROW(TableDiv[Agency])-ROW(TableDiv[[#Headers],[Agency]])),COLUMNS($F$7:AM$7))))</f>
        <v/>
      </c>
      <c r="AN809" s="2223"/>
      <c r="AO809" s="2223"/>
      <c r="AP809" s="2223"/>
      <c r="AQ809" s="2223"/>
      <c r="AR809" s="2223"/>
      <c r="AS809" s="2223"/>
    </row>
    <row r="810" spans="1:45" x14ac:dyDescent="0.2">
      <c r="A810" s="2223"/>
      <c r="B810" s="2223"/>
      <c r="C810" s="2223"/>
      <c r="W810" s="2223" t="str" cm="1">
        <f t="array" ref="W810">IF($D810&lt;COLUMNS($F$7:W$7),"",INDEX(TableDiv[[GASB]:[GASB]],_xlfn.AGGREGATE(15,3,(TableDiv[[Agency]:[Agency]]=$E810)/(TableDiv[[Agency]:[Agency]]=$E810)*(ROW(TableDiv[Agency])-ROW(TableDiv[[#Headers],[Agency]])),COLUMNS($F$7:W$7))))</f>
        <v/>
      </c>
      <c r="X810" s="2223" t="str" cm="1">
        <f t="array" ref="X810">IF($D810&lt;COLUMNS($F$7:X$7),"",INDEX(TableDiv[[GASB]:[GASB]],_xlfn.AGGREGATE(15,3,(TableDiv[[Agency]:[Agency]]=$E810)/(TableDiv[[Agency]:[Agency]]=$E810)*(ROW(TableDiv[Agency])-ROW(TableDiv[[#Headers],[Agency]])),COLUMNS($F$7:X$7))))</f>
        <v/>
      </c>
      <c r="Y810" s="2223" t="str" cm="1">
        <f t="array" ref="Y810">IF($D810&lt;COLUMNS($F$7:Y$7),"",INDEX(TableDiv[[GASB]:[GASB]],_xlfn.AGGREGATE(15,3,(TableDiv[[Agency]:[Agency]]=$E810)/(TableDiv[[Agency]:[Agency]]=$E810)*(ROW(TableDiv[Agency])-ROW(TableDiv[[#Headers],[Agency]])),COLUMNS($F$7:Y$7))))</f>
        <v/>
      </c>
      <c r="Z810" s="2223" t="str" cm="1">
        <f t="array" ref="Z810">IF($D810&lt;COLUMNS($F$7:Z$7),"",INDEX(TableDiv[[GASB]:[GASB]],_xlfn.AGGREGATE(15,3,(TableDiv[[Agency]:[Agency]]=$E810)/(TableDiv[[Agency]:[Agency]]=$E810)*(ROW(TableDiv[Agency])-ROW(TableDiv[[#Headers],[Agency]])),COLUMNS($F$7:Z$7))))</f>
        <v/>
      </c>
      <c r="AA810" s="2223" t="str" cm="1">
        <f t="array" ref="AA810">IF($D810&lt;COLUMNS($F$7:AA$7),"",INDEX(TableDiv[[GASB]:[GASB]],_xlfn.AGGREGATE(15,3,(TableDiv[[Agency]:[Agency]]=$E810)/(TableDiv[[Agency]:[Agency]]=$E810)*(ROW(TableDiv[Agency])-ROW(TableDiv[[#Headers],[Agency]])),COLUMNS($F$7:AA$7))))</f>
        <v/>
      </c>
      <c r="AB810" s="2223" t="str" cm="1">
        <f t="array" ref="AB810">IF($D810&lt;COLUMNS($F$7:AB$7),"",INDEX(TableDiv[[GASB]:[GASB]],_xlfn.AGGREGATE(15,3,(TableDiv[[Agency]:[Agency]]=$E810)/(TableDiv[[Agency]:[Agency]]=$E810)*(ROW(TableDiv[Agency])-ROW(TableDiv[[#Headers],[Agency]])),COLUMNS($F$7:AB$7))))</f>
        <v/>
      </c>
      <c r="AC810" s="2223" t="str" cm="1">
        <f t="array" ref="AC810">IF($D810&lt;COLUMNS($F$7:AC$7),"",INDEX(TableDiv[[GASB]:[GASB]],_xlfn.AGGREGATE(15,3,(TableDiv[[Agency]:[Agency]]=$E810)/(TableDiv[[Agency]:[Agency]]=$E810)*(ROW(TableDiv[Agency])-ROW(TableDiv[[#Headers],[Agency]])),COLUMNS($F$7:AC$7))))</f>
        <v/>
      </c>
      <c r="AD810" s="2223" t="str" cm="1">
        <f t="array" ref="AD810">IF($D810&lt;COLUMNS($F$7:AD$7),"",INDEX(TableDiv[[GASB]:[GASB]],_xlfn.AGGREGATE(15,3,(TableDiv[[Agency]:[Agency]]=$E810)/(TableDiv[[Agency]:[Agency]]=$E810)*(ROW(TableDiv[Agency])-ROW(TableDiv[[#Headers],[Agency]])),COLUMNS($F$7:AD$7))))</f>
        <v/>
      </c>
      <c r="AE810" s="2223" t="str" cm="1">
        <f t="array" ref="AE810">IF($D810&lt;COLUMNS($F$7:AE$7),"",INDEX(TableDiv[[GASB]:[GASB]],_xlfn.AGGREGATE(15,3,(TableDiv[[Agency]:[Agency]]=$E810)/(TableDiv[[Agency]:[Agency]]=$E810)*(ROW(TableDiv[Agency])-ROW(TableDiv[[#Headers],[Agency]])),COLUMNS($F$7:AE$7))))</f>
        <v/>
      </c>
      <c r="AF810" s="2223" t="str" cm="1">
        <f t="array" ref="AF810">IF($D810&lt;COLUMNS($F$7:AF$7),"",INDEX(TableDiv[[GASB]:[GASB]],_xlfn.AGGREGATE(15,3,(TableDiv[[Agency]:[Agency]]=$E810)/(TableDiv[[Agency]:[Agency]]=$E810)*(ROW(TableDiv[Agency])-ROW(TableDiv[[#Headers],[Agency]])),COLUMNS($F$7:AF$7))))</f>
        <v/>
      </c>
      <c r="AG810" s="2223" t="str" cm="1">
        <f t="array" ref="AG810">IF($D810&lt;COLUMNS($F$7:AG$7),"",INDEX(TableDiv[[GASB]:[GASB]],_xlfn.AGGREGATE(15,3,(TableDiv[[Agency]:[Agency]]=$E810)/(TableDiv[[Agency]:[Agency]]=$E810)*(ROW(TableDiv[Agency])-ROW(TableDiv[[#Headers],[Agency]])),COLUMNS($F$7:AG$7))))</f>
        <v/>
      </c>
      <c r="AH810" s="2223" t="str" cm="1">
        <f t="array" ref="AH810">IF($D810&lt;COLUMNS($F$7:AH$7),"",INDEX(TableDiv[[GASB]:[GASB]],_xlfn.AGGREGATE(15,3,(TableDiv[[Agency]:[Agency]]=$E810)/(TableDiv[[Agency]:[Agency]]=$E810)*(ROW(TableDiv[Agency])-ROW(TableDiv[[#Headers],[Agency]])),COLUMNS($F$7:AH$7))))</f>
        <v/>
      </c>
      <c r="AI810" s="2223" t="str" cm="1">
        <f t="array" ref="AI810">IF($D810&lt;COLUMNS($F$7:AI$7),"",INDEX(TableDiv[[GASB]:[GASB]],_xlfn.AGGREGATE(15,3,(TableDiv[[Agency]:[Agency]]=$E810)/(TableDiv[[Agency]:[Agency]]=$E810)*(ROW(TableDiv[Agency])-ROW(TableDiv[[#Headers],[Agency]])),COLUMNS($F$7:AI$7))))</f>
        <v/>
      </c>
      <c r="AJ810" s="2223" t="str" cm="1">
        <f t="array" ref="AJ810">IF($D810&lt;COLUMNS($F$7:AJ$7),"",INDEX(TableDiv[[GASB]:[GASB]],_xlfn.AGGREGATE(15,3,(TableDiv[[Agency]:[Agency]]=$E810)/(TableDiv[[Agency]:[Agency]]=$E810)*(ROW(TableDiv[Agency])-ROW(TableDiv[[#Headers],[Agency]])),COLUMNS($F$7:AJ$7))))</f>
        <v/>
      </c>
      <c r="AK810" s="2223" t="str" cm="1">
        <f t="array" ref="AK810">IF($D810&lt;COLUMNS($F$7:AK$7),"",INDEX(TableDiv[[GASB]:[GASB]],_xlfn.AGGREGATE(15,3,(TableDiv[[Agency]:[Agency]]=$E810)/(TableDiv[[Agency]:[Agency]]=$E810)*(ROW(TableDiv[Agency])-ROW(TableDiv[[#Headers],[Agency]])),COLUMNS($F$7:AK$7))))</f>
        <v/>
      </c>
      <c r="AL810" s="2223" t="str" cm="1">
        <f t="array" ref="AL810">IF($D810&lt;COLUMNS($F$7:AL$7),"",INDEX(TableDiv[[GASB]:[GASB]],_xlfn.AGGREGATE(15,3,(TableDiv[[Agency]:[Agency]]=$E810)/(TableDiv[[Agency]:[Agency]]=$E810)*(ROW(TableDiv[Agency])-ROW(TableDiv[[#Headers],[Agency]])),COLUMNS($F$7:AL$7))))</f>
        <v/>
      </c>
      <c r="AM810" s="2223" t="str" cm="1">
        <f t="array" ref="AM810">IF($D810&lt;COLUMNS($F$7:AM$7),"",INDEX(TableDiv[[GASB]:[GASB]],_xlfn.AGGREGATE(15,3,(TableDiv[[Agency]:[Agency]]=$E810)/(TableDiv[[Agency]:[Agency]]=$E810)*(ROW(TableDiv[Agency])-ROW(TableDiv[[#Headers],[Agency]])),COLUMNS($F$7:AM$7))))</f>
        <v/>
      </c>
      <c r="AN810" s="2223"/>
      <c r="AO810" s="2223"/>
      <c r="AP810" s="2223"/>
      <c r="AQ810" s="2223"/>
      <c r="AR810" s="2223"/>
      <c r="AS810" s="2223"/>
    </row>
    <row r="811" spans="1:45" x14ac:dyDescent="0.2">
      <c r="A811" s="2223"/>
      <c r="B811" s="2223"/>
      <c r="C811" s="2223"/>
      <c r="W811" s="2223" t="str" cm="1">
        <f t="array" ref="W811">IF($D811&lt;COLUMNS($F$7:W$7),"",INDEX(TableDiv[[GASB]:[GASB]],_xlfn.AGGREGATE(15,3,(TableDiv[[Agency]:[Agency]]=$E811)/(TableDiv[[Agency]:[Agency]]=$E811)*(ROW(TableDiv[Agency])-ROW(TableDiv[[#Headers],[Agency]])),COLUMNS($F$7:W$7))))</f>
        <v/>
      </c>
      <c r="X811" s="2223" t="str" cm="1">
        <f t="array" ref="X811">IF($D811&lt;COLUMNS($F$7:X$7),"",INDEX(TableDiv[[GASB]:[GASB]],_xlfn.AGGREGATE(15,3,(TableDiv[[Agency]:[Agency]]=$E811)/(TableDiv[[Agency]:[Agency]]=$E811)*(ROW(TableDiv[Agency])-ROW(TableDiv[[#Headers],[Agency]])),COLUMNS($F$7:X$7))))</f>
        <v/>
      </c>
      <c r="Y811" s="2223" t="str" cm="1">
        <f t="array" ref="Y811">IF($D811&lt;COLUMNS($F$7:Y$7),"",INDEX(TableDiv[[GASB]:[GASB]],_xlfn.AGGREGATE(15,3,(TableDiv[[Agency]:[Agency]]=$E811)/(TableDiv[[Agency]:[Agency]]=$E811)*(ROW(TableDiv[Agency])-ROW(TableDiv[[#Headers],[Agency]])),COLUMNS($F$7:Y$7))))</f>
        <v/>
      </c>
      <c r="Z811" s="2223" t="str" cm="1">
        <f t="array" ref="Z811">IF($D811&lt;COLUMNS($F$7:Z$7),"",INDEX(TableDiv[[GASB]:[GASB]],_xlfn.AGGREGATE(15,3,(TableDiv[[Agency]:[Agency]]=$E811)/(TableDiv[[Agency]:[Agency]]=$E811)*(ROW(TableDiv[Agency])-ROW(TableDiv[[#Headers],[Agency]])),COLUMNS($F$7:Z$7))))</f>
        <v/>
      </c>
      <c r="AA811" s="2223" t="str" cm="1">
        <f t="array" ref="AA811">IF($D811&lt;COLUMNS($F$7:AA$7),"",INDEX(TableDiv[[GASB]:[GASB]],_xlfn.AGGREGATE(15,3,(TableDiv[[Agency]:[Agency]]=$E811)/(TableDiv[[Agency]:[Agency]]=$E811)*(ROW(TableDiv[Agency])-ROW(TableDiv[[#Headers],[Agency]])),COLUMNS($F$7:AA$7))))</f>
        <v/>
      </c>
      <c r="AB811" s="2223" t="str" cm="1">
        <f t="array" ref="AB811">IF($D811&lt;COLUMNS($F$7:AB$7),"",INDEX(TableDiv[[GASB]:[GASB]],_xlfn.AGGREGATE(15,3,(TableDiv[[Agency]:[Agency]]=$E811)/(TableDiv[[Agency]:[Agency]]=$E811)*(ROW(TableDiv[Agency])-ROW(TableDiv[[#Headers],[Agency]])),COLUMNS($F$7:AB$7))))</f>
        <v/>
      </c>
      <c r="AC811" s="2223" t="str" cm="1">
        <f t="array" ref="AC811">IF($D811&lt;COLUMNS($F$7:AC$7),"",INDEX(TableDiv[[GASB]:[GASB]],_xlfn.AGGREGATE(15,3,(TableDiv[[Agency]:[Agency]]=$E811)/(TableDiv[[Agency]:[Agency]]=$E811)*(ROW(TableDiv[Agency])-ROW(TableDiv[[#Headers],[Agency]])),COLUMNS($F$7:AC$7))))</f>
        <v/>
      </c>
      <c r="AD811" s="2223" t="str" cm="1">
        <f t="array" ref="AD811">IF($D811&lt;COLUMNS($F$7:AD$7),"",INDEX(TableDiv[[GASB]:[GASB]],_xlfn.AGGREGATE(15,3,(TableDiv[[Agency]:[Agency]]=$E811)/(TableDiv[[Agency]:[Agency]]=$E811)*(ROW(TableDiv[Agency])-ROW(TableDiv[[#Headers],[Agency]])),COLUMNS($F$7:AD$7))))</f>
        <v/>
      </c>
      <c r="AE811" s="2223" t="str" cm="1">
        <f t="array" ref="AE811">IF($D811&lt;COLUMNS($F$7:AE$7),"",INDEX(TableDiv[[GASB]:[GASB]],_xlfn.AGGREGATE(15,3,(TableDiv[[Agency]:[Agency]]=$E811)/(TableDiv[[Agency]:[Agency]]=$E811)*(ROW(TableDiv[Agency])-ROW(TableDiv[[#Headers],[Agency]])),COLUMNS($F$7:AE$7))))</f>
        <v/>
      </c>
      <c r="AF811" s="2223" t="str" cm="1">
        <f t="array" ref="AF811">IF($D811&lt;COLUMNS($F$7:AF$7),"",INDEX(TableDiv[[GASB]:[GASB]],_xlfn.AGGREGATE(15,3,(TableDiv[[Agency]:[Agency]]=$E811)/(TableDiv[[Agency]:[Agency]]=$E811)*(ROW(TableDiv[Agency])-ROW(TableDiv[[#Headers],[Agency]])),COLUMNS($F$7:AF$7))))</f>
        <v/>
      </c>
      <c r="AG811" s="2223" t="str" cm="1">
        <f t="array" ref="AG811">IF($D811&lt;COLUMNS($F$7:AG$7),"",INDEX(TableDiv[[GASB]:[GASB]],_xlfn.AGGREGATE(15,3,(TableDiv[[Agency]:[Agency]]=$E811)/(TableDiv[[Agency]:[Agency]]=$E811)*(ROW(TableDiv[Agency])-ROW(TableDiv[[#Headers],[Agency]])),COLUMNS($F$7:AG$7))))</f>
        <v/>
      </c>
      <c r="AH811" s="2223" t="str" cm="1">
        <f t="array" ref="AH811">IF($D811&lt;COLUMNS($F$7:AH$7),"",INDEX(TableDiv[[GASB]:[GASB]],_xlfn.AGGREGATE(15,3,(TableDiv[[Agency]:[Agency]]=$E811)/(TableDiv[[Agency]:[Agency]]=$E811)*(ROW(TableDiv[Agency])-ROW(TableDiv[[#Headers],[Agency]])),COLUMNS($F$7:AH$7))))</f>
        <v/>
      </c>
      <c r="AI811" s="2223" t="str" cm="1">
        <f t="array" ref="AI811">IF($D811&lt;COLUMNS($F$7:AI$7),"",INDEX(TableDiv[[GASB]:[GASB]],_xlfn.AGGREGATE(15,3,(TableDiv[[Agency]:[Agency]]=$E811)/(TableDiv[[Agency]:[Agency]]=$E811)*(ROW(TableDiv[Agency])-ROW(TableDiv[[#Headers],[Agency]])),COLUMNS($F$7:AI$7))))</f>
        <v/>
      </c>
      <c r="AJ811" s="2223" t="str" cm="1">
        <f t="array" ref="AJ811">IF($D811&lt;COLUMNS($F$7:AJ$7),"",INDEX(TableDiv[[GASB]:[GASB]],_xlfn.AGGREGATE(15,3,(TableDiv[[Agency]:[Agency]]=$E811)/(TableDiv[[Agency]:[Agency]]=$E811)*(ROW(TableDiv[Agency])-ROW(TableDiv[[#Headers],[Agency]])),COLUMNS($F$7:AJ$7))))</f>
        <v/>
      </c>
      <c r="AK811" s="2223" t="str" cm="1">
        <f t="array" ref="AK811">IF($D811&lt;COLUMNS($F$7:AK$7),"",INDEX(TableDiv[[GASB]:[GASB]],_xlfn.AGGREGATE(15,3,(TableDiv[[Agency]:[Agency]]=$E811)/(TableDiv[[Agency]:[Agency]]=$E811)*(ROW(TableDiv[Agency])-ROW(TableDiv[[#Headers],[Agency]])),COLUMNS($F$7:AK$7))))</f>
        <v/>
      </c>
      <c r="AL811" s="2223" t="str" cm="1">
        <f t="array" ref="AL811">IF($D811&lt;COLUMNS($F$7:AL$7),"",INDEX(TableDiv[[GASB]:[GASB]],_xlfn.AGGREGATE(15,3,(TableDiv[[Agency]:[Agency]]=$E811)/(TableDiv[[Agency]:[Agency]]=$E811)*(ROW(TableDiv[Agency])-ROW(TableDiv[[#Headers],[Agency]])),COLUMNS($F$7:AL$7))))</f>
        <v/>
      </c>
      <c r="AM811" s="2223" t="str" cm="1">
        <f t="array" ref="AM811">IF($D811&lt;COLUMNS($F$7:AM$7),"",INDEX(TableDiv[[GASB]:[GASB]],_xlfn.AGGREGATE(15,3,(TableDiv[[Agency]:[Agency]]=$E811)/(TableDiv[[Agency]:[Agency]]=$E811)*(ROW(TableDiv[Agency])-ROW(TableDiv[[#Headers],[Agency]])),COLUMNS($F$7:AM$7))))</f>
        <v/>
      </c>
      <c r="AN811" s="2223"/>
      <c r="AO811" s="2223"/>
      <c r="AP811" s="2223"/>
      <c r="AQ811" s="2223"/>
      <c r="AR811" s="2223"/>
      <c r="AS811" s="2223"/>
    </row>
    <row r="812" spans="1:45" x14ac:dyDescent="0.2">
      <c r="A812" s="2223"/>
      <c r="B812" s="2223"/>
      <c r="C812" s="2223"/>
      <c r="W812" s="2223" t="str" cm="1">
        <f t="array" ref="W812">IF($D812&lt;COLUMNS($F$7:W$7),"",INDEX(TableDiv[[GASB]:[GASB]],_xlfn.AGGREGATE(15,3,(TableDiv[[Agency]:[Agency]]=$E812)/(TableDiv[[Agency]:[Agency]]=$E812)*(ROW(TableDiv[Agency])-ROW(TableDiv[[#Headers],[Agency]])),COLUMNS($F$7:W$7))))</f>
        <v/>
      </c>
      <c r="X812" s="2223" t="str" cm="1">
        <f t="array" ref="X812">IF($D812&lt;COLUMNS($F$7:X$7),"",INDEX(TableDiv[[GASB]:[GASB]],_xlfn.AGGREGATE(15,3,(TableDiv[[Agency]:[Agency]]=$E812)/(TableDiv[[Agency]:[Agency]]=$E812)*(ROW(TableDiv[Agency])-ROW(TableDiv[[#Headers],[Agency]])),COLUMNS($F$7:X$7))))</f>
        <v/>
      </c>
      <c r="Y812" s="2223" t="str" cm="1">
        <f t="array" ref="Y812">IF($D812&lt;COLUMNS($F$7:Y$7),"",INDEX(TableDiv[[GASB]:[GASB]],_xlfn.AGGREGATE(15,3,(TableDiv[[Agency]:[Agency]]=$E812)/(TableDiv[[Agency]:[Agency]]=$E812)*(ROW(TableDiv[Agency])-ROW(TableDiv[[#Headers],[Agency]])),COLUMNS($F$7:Y$7))))</f>
        <v/>
      </c>
      <c r="Z812" s="2223" t="str" cm="1">
        <f t="array" ref="Z812">IF($D812&lt;COLUMNS($F$7:Z$7),"",INDEX(TableDiv[[GASB]:[GASB]],_xlfn.AGGREGATE(15,3,(TableDiv[[Agency]:[Agency]]=$E812)/(TableDiv[[Agency]:[Agency]]=$E812)*(ROW(TableDiv[Agency])-ROW(TableDiv[[#Headers],[Agency]])),COLUMNS($F$7:Z$7))))</f>
        <v/>
      </c>
      <c r="AA812" s="2223" t="str" cm="1">
        <f t="array" ref="AA812">IF($D812&lt;COLUMNS($F$7:AA$7),"",INDEX(TableDiv[[GASB]:[GASB]],_xlfn.AGGREGATE(15,3,(TableDiv[[Agency]:[Agency]]=$E812)/(TableDiv[[Agency]:[Agency]]=$E812)*(ROW(TableDiv[Agency])-ROW(TableDiv[[#Headers],[Agency]])),COLUMNS($F$7:AA$7))))</f>
        <v/>
      </c>
      <c r="AB812" s="2223" t="str" cm="1">
        <f t="array" ref="AB812">IF($D812&lt;COLUMNS($F$7:AB$7),"",INDEX(TableDiv[[GASB]:[GASB]],_xlfn.AGGREGATE(15,3,(TableDiv[[Agency]:[Agency]]=$E812)/(TableDiv[[Agency]:[Agency]]=$E812)*(ROW(TableDiv[Agency])-ROW(TableDiv[[#Headers],[Agency]])),COLUMNS($F$7:AB$7))))</f>
        <v/>
      </c>
      <c r="AC812" s="2223" t="str" cm="1">
        <f t="array" ref="AC812">IF($D812&lt;COLUMNS($F$7:AC$7),"",INDEX(TableDiv[[GASB]:[GASB]],_xlfn.AGGREGATE(15,3,(TableDiv[[Agency]:[Agency]]=$E812)/(TableDiv[[Agency]:[Agency]]=$E812)*(ROW(TableDiv[Agency])-ROW(TableDiv[[#Headers],[Agency]])),COLUMNS($F$7:AC$7))))</f>
        <v/>
      </c>
      <c r="AD812" s="2223" t="str" cm="1">
        <f t="array" ref="AD812">IF($D812&lt;COLUMNS($F$7:AD$7),"",INDEX(TableDiv[[GASB]:[GASB]],_xlfn.AGGREGATE(15,3,(TableDiv[[Agency]:[Agency]]=$E812)/(TableDiv[[Agency]:[Agency]]=$E812)*(ROW(TableDiv[Agency])-ROW(TableDiv[[#Headers],[Agency]])),COLUMNS($F$7:AD$7))))</f>
        <v/>
      </c>
      <c r="AE812" s="2223" t="str" cm="1">
        <f t="array" ref="AE812">IF($D812&lt;COLUMNS($F$7:AE$7),"",INDEX(TableDiv[[GASB]:[GASB]],_xlfn.AGGREGATE(15,3,(TableDiv[[Agency]:[Agency]]=$E812)/(TableDiv[[Agency]:[Agency]]=$E812)*(ROW(TableDiv[Agency])-ROW(TableDiv[[#Headers],[Agency]])),COLUMNS($F$7:AE$7))))</f>
        <v/>
      </c>
      <c r="AF812" s="2223" t="str" cm="1">
        <f t="array" ref="AF812">IF($D812&lt;COLUMNS($F$7:AF$7),"",INDEX(TableDiv[[GASB]:[GASB]],_xlfn.AGGREGATE(15,3,(TableDiv[[Agency]:[Agency]]=$E812)/(TableDiv[[Agency]:[Agency]]=$E812)*(ROW(TableDiv[Agency])-ROW(TableDiv[[#Headers],[Agency]])),COLUMNS($F$7:AF$7))))</f>
        <v/>
      </c>
      <c r="AG812" s="2223" t="str" cm="1">
        <f t="array" ref="AG812">IF($D812&lt;COLUMNS($F$7:AG$7),"",INDEX(TableDiv[[GASB]:[GASB]],_xlfn.AGGREGATE(15,3,(TableDiv[[Agency]:[Agency]]=$E812)/(TableDiv[[Agency]:[Agency]]=$E812)*(ROW(TableDiv[Agency])-ROW(TableDiv[[#Headers],[Agency]])),COLUMNS($F$7:AG$7))))</f>
        <v/>
      </c>
      <c r="AH812" s="2223" t="str" cm="1">
        <f t="array" ref="AH812">IF($D812&lt;COLUMNS($F$7:AH$7),"",INDEX(TableDiv[[GASB]:[GASB]],_xlfn.AGGREGATE(15,3,(TableDiv[[Agency]:[Agency]]=$E812)/(TableDiv[[Agency]:[Agency]]=$E812)*(ROW(TableDiv[Agency])-ROW(TableDiv[[#Headers],[Agency]])),COLUMNS($F$7:AH$7))))</f>
        <v/>
      </c>
      <c r="AI812" s="2223" t="str" cm="1">
        <f t="array" ref="AI812">IF($D812&lt;COLUMNS($F$7:AI$7),"",INDEX(TableDiv[[GASB]:[GASB]],_xlfn.AGGREGATE(15,3,(TableDiv[[Agency]:[Agency]]=$E812)/(TableDiv[[Agency]:[Agency]]=$E812)*(ROW(TableDiv[Agency])-ROW(TableDiv[[#Headers],[Agency]])),COLUMNS($F$7:AI$7))))</f>
        <v/>
      </c>
      <c r="AJ812" s="2223" t="str" cm="1">
        <f t="array" ref="AJ812">IF($D812&lt;COLUMNS($F$7:AJ$7),"",INDEX(TableDiv[[GASB]:[GASB]],_xlfn.AGGREGATE(15,3,(TableDiv[[Agency]:[Agency]]=$E812)/(TableDiv[[Agency]:[Agency]]=$E812)*(ROW(TableDiv[Agency])-ROW(TableDiv[[#Headers],[Agency]])),COLUMNS($F$7:AJ$7))))</f>
        <v/>
      </c>
      <c r="AK812" s="2223" t="str" cm="1">
        <f t="array" ref="AK812">IF($D812&lt;COLUMNS($F$7:AK$7),"",INDEX(TableDiv[[GASB]:[GASB]],_xlfn.AGGREGATE(15,3,(TableDiv[[Agency]:[Agency]]=$E812)/(TableDiv[[Agency]:[Agency]]=$E812)*(ROW(TableDiv[Agency])-ROW(TableDiv[[#Headers],[Agency]])),COLUMNS($F$7:AK$7))))</f>
        <v/>
      </c>
      <c r="AL812" s="2223" t="str" cm="1">
        <f t="array" ref="AL812">IF($D812&lt;COLUMNS($F$7:AL$7),"",INDEX(TableDiv[[GASB]:[GASB]],_xlfn.AGGREGATE(15,3,(TableDiv[[Agency]:[Agency]]=$E812)/(TableDiv[[Agency]:[Agency]]=$E812)*(ROW(TableDiv[Agency])-ROW(TableDiv[[#Headers],[Agency]])),COLUMNS($F$7:AL$7))))</f>
        <v/>
      </c>
      <c r="AM812" s="2223" t="str" cm="1">
        <f t="array" ref="AM812">IF($D812&lt;COLUMNS($F$7:AM$7),"",INDEX(TableDiv[[GASB]:[GASB]],_xlfn.AGGREGATE(15,3,(TableDiv[[Agency]:[Agency]]=$E812)/(TableDiv[[Agency]:[Agency]]=$E812)*(ROW(TableDiv[Agency])-ROW(TableDiv[[#Headers],[Agency]])),COLUMNS($F$7:AM$7))))</f>
        <v/>
      </c>
      <c r="AN812" s="2223"/>
      <c r="AO812" s="2223"/>
      <c r="AP812" s="2223"/>
      <c r="AQ812" s="2223"/>
      <c r="AR812" s="2223"/>
      <c r="AS812" s="2223"/>
    </row>
    <row r="813" spans="1:45" x14ac:dyDescent="0.2">
      <c r="A813" s="2223"/>
      <c r="B813" s="2223"/>
      <c r="C813" s="2223"/>
      <c r="W813" s="2223" t="str" cm="1">
        <f t="array" ref="W813">IF($D813&lt;COLUMNS($F$7:W$7),"",INDEX(TableDiv[[GASB]:[GASB]],_xlfn.AGGREGATE(15,3,(TableDiv[[Agency]:[Agency]]=$E813)/(TableDiv[[Agency]:[Agency]]=$E813)*(ROW(TableDiv[Agency])-ROW(TableDiv[[#Headers],[Agency]])),COLUMNS($F$7:W$7))))</f>
        <v/>
      </c>
      <c r="X813" s="2223" t="str" cm="1">
        <f t="array" ref="X813">IF($D813&lt;COLUMNS($F$7:X$7),"",INDEX(TableDiv[[GASB]:[GASB]],_xlfn.AGGREGATE(15,3,(TableDiv[[Agency]:[Agency]]=$E813)/(TableDiv[[Agency]:[Agency]]=$E813)*(ROW(TableDiv[Agency])-ROW(TableDiv[[#Headers],[Agency]])),COLUMNS($F$7:X$7))))</f>
        <v/>
      </c>
      <c r="Y813" s="2223" t="str" cm="1">
        <f t="array" ref="Y813">IF($D813&lt;COLUMNS($F$7:Y$7),"",INDEX(TableDiv[[GASB]:[GASB]],_xlfn.AGGREGATE(15,3,(TableDiv[[Agency]:[Agency]]=$E813)/(TableDiv[[Agency]:[Agency]]=$E813)*(ROW(TableDiv[Agency])-ROW(TableDiv[[#Headers],[Agency]])),COLUMNS($F$7:Y$7))))</f>
        <v/>
      </c>
      <c r="Z813" s="2223" t="str" cm="1">
        <f t="array" ref="Z813">IF($D813&lt;COLUMNS($F$7:Z$7),"",INDEX(TableDiv[[GASB]:[GASB]],_xlfn.AGGREGATE(15,3,(TableDiv[[Agency]:[Agency]]=$E813)/(TableDiv[[Agency]:[Agency]]=$E813)*(ROW(TableDiv[Agency])-ROW(TableDiv[[#Headers],[Agency]])),COLUMNS($F$7:Z$7))))</f>
        <v/>
      </c>
      <c r="AA813" s="2223" t="str" cm="1">
        <f t="array" ref="AA813">IF($D813&lt;COLUMNS($F$7:AA$7),"",INDEX(TableDiv[[GASB]:[GASB]],_xlfn.AGGREGATE(15,3,(TableDiv[[Agency]:[Agency]]=$E813)/(TableDiv[[Agency]:[Agency]]=$E813)*(ROW(TableDiv[Agency])-ROW(TableDiv[[#Headers],[Agency]])),COLUMNS($F$7:AA$7))))</f>
        <v/>
      </c>
      <c r="AB813" s="2223" t="str" cm="1">
        <f t="array" ref="AB813">IF($D813&lt;COLUMNS($F$7:AB$7),"",INDEX(TableDiv[[GASB]:[GASB]],_xlfn.AGGREGATE(15,3,(TableDiv[[Agency]:[Agency]]=$E813)/(TableDiv[[Agency]:[Agency]]=$E813)*(ROW(TableDiv[Agency])-ROW(TableDiv[[#Headers],[Agency]])),COLUMNS($F$7:AB$7))))</f>
        <v/>
      </c>
      <c r="AC813" s="2223" t="str" cm="1">
        <f t="array" ref="AC813">IF($D813&lt;COLUMNS($F$7:AC$7),"",INDEX(TableDiv[[GASB]:[GASB]],_xlfn.AGGREGATE(15,3,(TableDiv[[Agency]:[Agency]]=$E813)/(TableDiv[[Agency]:[Agency]]=$E813)*(ROW(TableDiv[Agency])-ROW(TableDiv[[#Headers],[Agency]])),COLUMNS($F$7:AC$7))))</f>
        <v/>
      </c>
      <c r="AD813" s="2223" t="str" cm="1">
        <f t="array" ref="AD813">IF($D813&lt;COLUMNS($F$7:AD$7),"",INDEX(TableDiv[[GASB]:[GASB]],_xlfn.AGGREGATE(15,3,(TableDiv[[Agency]:[Agency]]=$E813)/(TableDiv[[Agency]:[Agency]]=$E813)*(ROW(TableDiv[Agency])-ROW(TableDiv[[#Headers],[Agency]])),COLUMNS($F$7:AD$7))))</f>
        <v/>
      </c>
      <c r="AE813" s="2223" t="str" cm="1">
        <f t="array" ref="AE813">IF($D813&lt;COLUMNS($F$7:AE$7),"",INDEX(TableDiv[[GASB]:[GASB]],_xlfn.AGGREGATE(15,3,(TableDiv[[Agency]:[Agency]]=$E813)/(TableDiv[[Agency]:[Agency]]=$E813)*(ROW(TableDiv[Agency])-ROW(TableDiv[[#Headers],[Agency]])),COLUMNS($F$7:AE$7))))</f>
        <v/>
      </c>
      <c r="AF813" s="2223" t="str" cm="1">
        <f t="array" ref="AF813">IF($D813&lt;COLUMNS($F$7:AF$7),"",INDEX(TableDiv[[GASB]:[GASB]],_xlfn.AGGREGATE(15,3,(TableDiv[[Agency]:[Agency]]=$E813)/(TableDiv[[Agency]:[Agency]]=$E813)*(ROW(TableDiv[Agency])-ROW(TableDiv[[#Headers],[Agency]])),COLUMNS($F$7:AF$7))))</f>
        <v/>
      </c>
      <c r="AG813" s="2223" t="str" cm="1">
        <f t="array" ref="AG813">IF($D813&lt;COLUMNS($F$7:AG$7),"",INDEX(TableDiv[[GASB]:[GASB]],_xlfn.AGGREGATE(15,3,(TableDiv[[Agency]:[Agency]]=$E813)/(TableDiv[[Agency]:[Agency]]=$E813)*(ROW(TableDiv[Agency])-ROW(TableDiv[[#Headers],[Agency]])),COLUMNS($F$7:AG$7))))</f>
        <v/>
      </c>
      <c r="AH813" s="2223" t="str" cm="1">
        <f t="array" ref="AH813">IF($D813&lt;COLUMNS($F$7:AH$7),"",INDEX(TableDiv[[GASB]:[GASB]],_xlfn.AGGREGATE(15,3,(TableDiv[[Agency]:[Agency]]=$E813)/(TableDiv[[Agency]:[Agency]]=$E813)*(ROW(TableDiv[Agency])-ROW(TableDiv[[#Headers],[Agency]])),COLUMNS($F$7:AH$7))))</f>
        <v/>
      </c>
      <c r="AI813" s="2223" t="str" cm="1">
        <f t="array" ref="AI813">IF($D813&lt;COLUMNS($F$7:AI$7),"",INDEX(TableDiv[[GASB]:[GASB]],_xlfn.AGGREGATE(15,3,(TableDiv[[Agency]:[Agency]]=$E813)/(TableDiv[[Agency]:[Agency]]=$E813)*(ROW(TableDiv[Agency])-ROW(TableDiv[[#Headers],[Agency]])),COLUMNS($F$7:AI$7))))</f>
        <v/>
      </c>
      <c r="AJ813" s="2223" t="str" cm="1">
        <f t="array" ref="AJ813">IF($D813&lt;COLUMNS($F$7:AJ$7),"",INDEX(TableDiv[[GASB]:[GASB]],_xlfn.AGGREGATE(15,3,(TableDiv[[Agency]:[Agency]]=$E813)/(TableDiv[[Agency]:[Agency]]=$E813)*(ROW(TableDiv[Agency])-ROW(TableDiv[[#Headers],[Agency]])),COLUMNS($F$7:AJ$7))))</f>
        <v/>
      </c>
      <c r="AK813" s="2223" t="str" cm="1">
        <f t="array" ref="AK813">IF($D813&lt;COLUMNS($F$7:AK$7),"",INDEX(TableDiv[[GASB]:[GASB]],_xlfn.AGGREGATE(15,3,(TableDiv[[Agency]:[Agency]]=$E813)/(TableDiv[[Agency]:[Agency]]=$E813)*(ROW(TableDiv[Agency])-ROW(TableDiv[[#Headers],[Agency]])),COLUMNS($F$7:AK$7))))</f>
        <v/>
      </c>
      <c r="AL813" s="2223" t="str" cm="1">
        <f t="array" ref="AL813">IF($D813&lt;COLUMNS($F$7:AL$7),"",INDEX(TableDiv[[GASB]:[GASB]],_xlfn.AGGREGATE(15,3,(TableDiv[[Agency]:[Agency]]=$E813)/(TableDiv[[Agency]:[Agency]]=$E813)*(ROW(TableDiv[Agency])-ROW(TableDiv[[#Headers],[Agency]])),COLUMNS($F$7:AL$7))))</f>
        <v/>
      </c>
      <c r="AM813" s="2223" t="str" cm="1">
        <f t="array" ref="AM813">IF($D813&lt;COLUMNS($F$7:AM$7),"",INDEX(TableDiv[[GASB]:[GASB]],_xlfn.AGGREGATE(15,3,(TableDiv[[Agency]:[Agency]]=$E813)/(TableDiv[[Agency]:[Agency]]=$E813)*(ROW(TableDiv[Agency])-ROW(TableDiv[[#Headers],[Agency]])),COLUMNS($F$7:AM$7))))</f>
        <v/>
      </c>
      <c r="AN813" s="2223"/>
      <c r="AO813" s="2223"/>
      <c r="AP813" s="2223"/>
      <c r="AQ813" s="2223"/>
      <c r="AR813" s="2223"/>
      <c r="AS813" s="2223"/>
    </row>
    <row r="814" spans="1:45" x14ac:dyDescent="0.2">
      <c r="A814" s="2223"/>
      <c r="B814" s="2223"/>
      <c r="C814" s="2223"/>
      <c r="W814" s="2223" t="str" cm="1">
        <f t="array" ref="W814">IF($D814&lt;COLUMNS($F$7:W$7),"",INDEX(TableDiv[[GASB]:[GASB]],_xlfn.AGGREGATE(15,3,(TableDiv[[Agency]:[Agency]]=$E814)/(TableDiv[[Agency]:[Agency]]=$E814)*(ROW(TableDiv[Agency])-ROW(TableDiv[[#Headers],[Agency]])),COLUMNS($F$7:W$7))))</f>
        <v/>
      </c>
      <c r="X814" s="2223" t="str" cm="1">
        <f t="array" ref="X814">IF($D814&lt;COLUMNS($F$7:X$7),"",INDEX(TableDiv[[GASB]:[GASB]],_xlfn.AGGREGATE(15,3,(TableDiv[[Agency]:[Agency]]=$E814)/(TableDiv[[Agency]:[Agency]]=$E814)*(ROW(TableDiv[Agency])-ROW(TableDiv[[#Headers],[Agency]])),COLUMNS($F$7:X$7))))</f>
        <v/>
      </c>
      <c r="Y814" s="2223" t="str" cm="1">
        <f t="array" ref="Y814">IF($D814&lt;COLUMNS($F$7:Y$7),"",INDEX(TableDiv[[GASB]:[GASB]],_xlfn.AGGREGATE(15,3,(TableDiv[[Agency]:[Agency]]=$E814)/(TableDiv[[Agency]:[Agency]]=$E814)*(ROW(TableDiv[Agency])-ROW(TableDiv[[#Headers],[Agency]])),COLUMNS($F$7:Y$7))))</f>
        <v/>
      </c>
      <c r="Z814" s="2223" t="str" cm="1">
        <f t="array" ref="Z814">IF($D814&lt;COLUMNS($F$7:Z$7),"",INDEX(TableDiv[[GASB]:[GASB]],_xlfn.AGGREGATE(15,3,(TableDiv[[Agency]:[Agency]]=$E814)/(TableDiv[[Agency]:[Agency]]=$E814)*(ROW(TableDiv[Agency])-ROW(TableDiv[[#Headers],[Agency]])),COLUMNS($F$7:Z$7))))</f>
        <v/>
      </c>
      <c r="AA814" s="2223" t="str" cm="1">
        <f t="array" ref="AA814">IF($D814&lt;COLUMNS($F$7:AA$7),"",INDEX(TableDiv[[GASB]:[GASB]],_xlfn.AGGREGATE(15,3,(TableDiv[[Agency]:[Agency]]=$E814)/(TableDiv[[Agency]:[Agency]]=$E814)*(ROW(TableDiv[Agency])-ROW(TableDiv[[#Headers],[Agency]])),COLUMNS($F$7:AA$7))))</f>
        <v/>
      </c>
      <c r="AB814" s="2223" t="str" cm="1">
        <f t="array" ref="AB814">IF($D814&lt;COLUMNS($F$7:AB$7),"",INDEX(TableDiv[[GASB]:[GASB]],_xlfn.AGGREGATE(15,3,(TableDiv[[Agency]:[Agency]]=$E814)/(TableDiv[[Agency]:[Agency]]=$E814)*(ROW(TableDiv[Agency])-ROW(TableDiv[[#Headers],[Agency]])),COLUMNS($F$7:AB$7))))</f>
        <v/>
      </c>
      <c r="AC814" s="2223" t="str" cm="1">
        <f t="array" ref="AC814">IF($D814&lt;COLUMNS($F$7:AC$7),"",INDEX(TableDiv[[GASB]:[GASB]],_xlfn.AGGREGATE(15,3,(TableDiv[[Agency]:[Agency]]=$E814)/(TableDiv[[Agency]:[Agency]]=$E814)*(ROW(TableDiv[Agency])-ROW(TableDiv[[#Headers],[Agency]])),COLUMNS($F$7:AC$7))))</f>
        <v/>
      </c>
      <c r="AD814" s="2223" t="str" cm="1">
        <f t="array" ref="AD814">IF($D814&lt;COLUMNS($F$7:AD$7),"",INDEX(TableDiv[[GASB]:[GASB]],_xlfn.AGGREGATE(15,3,(TableDiv[[Agency]:[Agency]]=$E814)/(TableDiv[[Agency]:[Agency]]=$E814)*(ROW(TableDiv[Agency])-ROW(TableDiv[[#Headers],[Agency]])),COLUMNS($F$7:AD$7))))</f>
        <v/>
      </c>
      <c r="AE814" s="2223" t="str" cm="1">
        <f t="array" ref="AE814">IF($D814&lt;COLUMNS($F$7:AE$7),"",INDEX(TableDiv[[GASB]:[GASB]],_xlfn.AGGREGATE(15,3,(TableDiv[[Agency]:[Agency]]=$E814)/(TableDiv[[Agency]:[Agency]]=$E814)*(ROW(TableDiv[Agency])-ROW(TableDiv[[#Headers],[Agency]])),COLUMNS($F$7:AE$7))))</f>
        <v/>
      </c>
      <c r="AF814" s="2223" t="str" cm="1">
        <f t="array" ref="AF814">IF($D814&lt;COLUMNS($F$7:AF$7),"",INDEX(TableDiv[[GASB]:[GASB]],_xlfn.AGGREGATE(15,3,(TableDiv[[Agency]:[Agency]]=$E814)/(TableDiv[[Agency]:[Agency]]=$E814)*(ROW(TableDiv[Agency])-ROW(TableDiv[[#Headers],[Agency]])),COLUMNS($F$7:AF$7))))</f>
        <v/>
      </c>
      <c r="AG814" s="2223" t="str" cm="1">
        <f t="array" ref="AG814">IF($D814&lt;COLUMNS($F$7:AG$7),"",INDEX(TableDiv[[GASB]:[GASB]],_xlfn.AGGREGATE(15,3,(TableDiv[[Agency]:[Agency]]=$E814)/(TableDiv[[Agency]:[Agency]]=$E814)*(ROW(TableDiv[Agency])-ROW(TableDiv[[#Headers],[Agency]])),COLUMNS($F$7:AG$7))))</f>
        <v/>
      </c>
      <c r="AH814" s="2223" t="str" cm="1">
        <f t="array" ref="AH814">IF($D814&lt;COLUMNS($F$7:AH$7),"",INDEX(TableDiv[[GASB]:[GASB]],_xlfn.AGGREGATE(15,3,(TableDiv[[Agency]:[Agency]]=$E814)/(TableDiv[[Agency]:[Agency]]=$E814)*(ROW(TableDiv[Agency])-ROW(TableDiv[[#Headers],[Agency]])),COLUMNS($F$7:AH$7))))</f>
        <v/>
      </c>
      <c r="AI814" s="2223" t="str" cm="1">
        <f t="array" ref="AI814">IF($D814&lt;COLUMNS($F$7:AI$7),"",INDEX(TableDiv[[GASB]:[GASB]],_xlfn.AGGREGATE(15,3,(TableDiv[[Agency]:[Agency]]=$E814)/(TableDiv[[Agency]:[Agency]]=$E814)*(ROW(TableDiv[Agency])-ROW(TableDiv[[#Headers],[Agency]])),COLUMNS($F$7:AI$7))))</f>
        <v/>
      </c>
      <c r="AJ814" s="2223" t="str" cm="1">
        <f t="array" ref="AJ814">IF($D814&lt;COLUMNS($F$7:AJ$7),"",INDEX(TableDiv[[GASB]:[GASB]],_xlfn.AGGREGATE(15,3,(TableDiv[[Agency]:[Agency]]=$E814)/(TableDiv[[Agency]:[Agency]]=$E814)*(ROW(TableDiv[Agency])-ROW(TableDiv[[#Headers],[Agency]])),COLUMNS($F$7:AJ$7))))</f>
        <v/>
      </c>
      <c r="AK814" s="2223" t="str" cm="1">
        <f t="array" ref="AK814">IF($D814&lt;COLUMNS($F$7:AK$7),"",INDEX(TableDiv[[GASB]:[GASB]],_xlfn.AGGREGATE(15,3,(TableDiv[[Agency]:[Agency]]=$E814)/(TableDiv[[Agency]:[Agency]]=$E814)*(ROW(TableDiv[Agency])-ROW(TableDiv[[#Headers],[Agency]])),COLUMNS($F$7:AK$7))))</f>
        <v/>
      </c>
      <c r="AL814" s="2223" t="str" cm="1">
        <f t="array" ref="AL814">IF($D814&lt;COLUMNS($F$7:AL$7),"",INDEX(TableDiv[[GASB]:[GASB]],_xlfn.AGGREGATE(15,3,(TableDiv[[Agency]:[Agency]]=$E814)/(TableDiv[[Agency]:[Agency]]=$E814)*(ROW(TableDiv[Agency])-ROW(TableDiv[[#Headers],[Agency]])),COLUMNS($F$7:AL$7))))</f>
        <v/>
      </c>
      <c r="AM814" s="2223" t="str" cm="1">
        <f t="array" ref="AM814">IF($D814&lt;COLUMNS($F$7:AM$7),"",INDEX(TableDiv[[GASB]:[GASB]],_xlfn.AGGREGATE(15,3,(TableDiv[[Agency]:[Agency]]=$E814)/(TableDiv[[Agency]:[Agency]]=$E814)*(ROW(TableDiv[Agency])-ROW(TableDiv[[#Headers],[Agency]])),COLUMNS($F$7:AM$7))))</f>
        <v/>
      </c>
      <c r="AN814" s="2223"/>
      <c r="AO814" s="2223"/>
      <c r="AP814" s="2223"/>
      <c r="AQ814" s="2223"/>
      <c r="AR814" s="2223"/>
      <c r="AS814" s="2223"/>
    </row>
    <row r="815" spans="1:45" x14ac:dyDescent="0.2">
      <c r="A815" s="2223"/>
      <c r="B815" s="2223"/>
      <c r="C815" s="2223"/>
      <c r="W815" s="2223" t="str" cm="1">
        <f t="array" ref="W815">IF($D815&lt;COLUMNS($F$7:W$7),"",INDEX(TableDiv[[GASB]:[GASB]],_xlfn.AGGREGATE(15,3,(TableDiv[[Agency]:[Agency]]=$E815)/(TableDiv[[Agency]:[Agency]]=$E815)*(ROW(TableDiv[Agency])-ROW(TableDiv[[#Headers],[Agency]])),COLUMNS($F$7:W$7))))</f>
        <v/>
      </c>
      <c r="X815" s="2223" t="str" cm="1">
        <f t="array" ref="X815">IF($D815&lt;COLUMNS($F$7:X$7),"",INDEX(TableDiv[[GASB]:[GASB]],_xlfn.AGGREGATE(15,3,(TableDiv[[Agency]:[Agency]]=$E815)/(TableDiv[[Agency]:[Agency]]=$E815)*(ROW(TableDiv[Agency])-ROW(TableDiv[[#Headers],[Agency]])),COLUMNS($F$7:X$7))))</f>
        <v/>
      </c>
      <c r="Y815" s="2223" t="str" cm="1">
        <f t="array" ref="Y815">IF($D815&lt;COLUMNS($F$7:Y$7),"",INDEX(TableDiv[[GASB]:[GASB]],_xlfn.AGGREGATE(15,3,(TableDiv[[Agency]:[Agency]]=$E815)/(TableDiv[[Agency]:[Agency]]=$E815)*(ROW(TableDiv[Agency])-ROW(TableDiv[[#Headers],[Agency]])),COLUMNS($F$7:Y$7))))</f>
        <v/>
      </c>
      <c r="Z815" s="2223" t="str" cm="1">
        <f t="array" ref="Z815">IF($D815&lt;COLUMNS($F$7:Z$7),"",INDEX(TableDiv[[GASB]:[GASB]],_xlfn.AGGREGATE(15,3,(TableDiv[[Agency]:[Agency]]=$E815)/(TableDiv[[Agency]:[Agency]]=$E815)*(ROW(TableDiv[Agency])-ROW(TableDiv[[#Headers],[Agency]])),COLUMNS($F$7:Z$7))))</f>
        <v/>
      </c>
      <c r="AA815" s="2223" t="str" cm="1">
        <f t="array" ref="AA815">IF($D815&lt;COLUMNS($F$7:AA$7),"",INDEX(TableDiv[[GASB]:[GASB]],_xlfn.AGGREGATE(15,3,(TableDiv[[Agency]:[Agency]]=$E815)/(TableDiv[[Agency]:[Agency]]=$E815)*(ROW(TableDiv[Agency])-ROW(TableDiv[[#Headers],[Agency]])),COLUMNS($F$7:AA$7))))</f>
        <v/>
      </c>
      <c r="AB815" s="2223" t="str" cm="1">
        <f t="array" ref="AB815">IF($D815&lt;COLUMNS($F$7:AB$7),"",INDEX(TableDiv[[GASB]:[GASB]],_xlfn.AGGREGATE(15,3,(TableDiv[[Agency]:[Agency]]=$E815)/(TableDiv[[Agency]:[Agency]]=$E815)*(ROW(TableDiv[Agency])-ROW(TableDiv[[#Headers],[Agency]])),COLUMNS($F$7:AB$7))))</f>
        <v/>
      </c>
      <c r="AC815" s="2223" t="str" cm="1">
        <f t="array" ref="AC815">IF($D815&lt;COLUMNS($F$7:AC$7),"",INDEX(TableDiv[[GASB]:[GASB]],_xlfn.AGGREGATE(15,3,(TableDiv[[Agency]:[Agency]]=$E815)/(TableDiv[[Agency]:[Agency]]=$E815)*(ROW(TableDiv[Agency])-ROW(TableDiv[[#Headers],[Agency]])),COLUMNS($F$7:AC$7))))</f>
        <v/>
      </c>
      <c r="AD815" s="2223" t="str" cm="1">
        <f t="array" ref="AD815">IF($D815&lt;COLUMNS($F$7:AD$7),"",INDEX(TableDiv[[GASB]:[GASB]],_xlfn.AGGREGATE(15,3,(TableDiv[[Agency]:[Agency]]=$E815)/(TableDiv[[Agency]:[Agency]]=$E815)*(ROW(TableDiv[Agency])-ROW(TableDiv[[#Headers],[Agency]])),COLUMNS($F$7:AD$7))))</f>
        <v/>
      </c>
      <c r="AE815" s="2223" t="str" cm="1">
        <f t="array" ref="AE815">IF($D815&lt;COLUMNS($F$7:AE$7),"",INDEX(TableDiv[[GASB]:[GASB]],_xlfn.AGGREGATE(15,3,(TableDiv[[Agency]:[Agency]]=$E815)/(TableDiv[[Agency]:[Agency]]=$E815)*(ROW(TableDiv[Agency])-ROW(TableDiv[[#Headers],[Agency]])),COLUMNS($F$7:AE$7))))</f>
        <v/>
      </c>
      <c r="AF815" s="2223" t="str" cm="1">
        <f t="array" ref="AF815">IF($D815&lt;COLUMNS($F$7:AF$7),"",INDEX(TableDiv[[GASB]:[GASB]],_xlfn.AGGREGATE(15,3,(TableDiv[[Agency]:[Agency]]=$E815)/(TableDiv[[Agency]:[Agency]]=$E815)*(ROW(TableDiv[Agency])-ROW(TableDiv[[#Headers],[Agency]])),COLUMNS($F$7:AF$7))))</f>
        <v/>
      </c>
      <c r="AG815" s="2223" t="str" cm="1">
        <f t="array" ref="AG815">IF($D815&lt;COLUMNS($F$7:AG$7),"",INDEX(TableDiv[[GASB]:[GASB]],_xlfn.AGGREGATE(15,3,(TableDiv[[Agency]:[Agency]]=$E815)/(TableDiv[[Agency]:[Agency]]=$E815)*(ROW(TableDiv[Agency])-ROW(TableDiv[[#Headers],[Agency]])),COLUMNS($F$7:AG$7))))</f>
        <v/>
      </c>
      <c r="AH815" s="2223" t="str" cm="1">
        <f t="array" ref="AH815">IF($D815&lt;COLUMNS($F$7:AH$7),"",INDEX(TableDiv[[GASB]:[GASB]],_xlfn.AGGREGATE(15,3,(TableDiv[[Agency]:[Agency]]=$E815)/(TableDiv[[Agency]:[Agency]]=$E815)*(ROW(TableDiv[Agency])-ROW(TableDiv[[#Headers],[Agency]])),COLUMNS($F$7:AH$7))))</f>
        <v/>
      </c>
      <c r="AI815" s="2223" t="str" cm="1">
        <f t="array" ref="AI815">IF($D815&lt;COLUMNS($F$7:AI$7),"",INDEX(TableDiv[[GASB]:[GASB]],_xlfn.AGGREGATE(15,3,(TableDiv[[Agency]:[Agency]]=$E815)/(TableDiv[[Agency]:[Agency]]=$E815)*(ROW(TableDiv[Agency])-ROW(TableDiv[[#Headers],[Agency]])),COLUMNS($F$7:AI$7))))</f>
        <v/>
      </c>
      <c r="AJ815" s="2223" t="str" cm="1">
        <f t="array" ref="AJ815">IF($D815&lt;COLUMNS($F$7:AJ$7),"",INDEX(TableDiv[[GASB]:[GASB]],_xlfn.AGGREGATE(15,3,(TableDiv[[Agency]:[Agency]]=$E815)/(TableDiv[[Agency]:[Agency]]=$E815)*(ROW(TableDiv[Agency])-ROW(TableDiv[[#Headers],[Agency]])),COLUMNS($F$7:AJ$7))))</f>
        <v/>
      </c>
      <c r="AK815" s="2223" t="str" cm="1">
        <f t="array" ref="AK815">IF($D815&lt;COLUMNS($F$7:AK$7),"",INDEX(TableDiv[[GASB]:[GASB]],_xlfn.AGGREGATE(15,3,(TableDiv[[Agency]:[Agency]]=$E815)/(TableDiv[[Agency]:[Agency]]=$E815)*(ROW(TableDiv[Agency])-ROW(TableDiv[[#Headers],[Agency]])),COLUMNS($F$7:AK$7))))</f>
        <v/>
      </c>
      <c r="AL815" s="2223" t="str" cm="1">
        <f t="array" ref="AL815">IF($D815&lt;COLUMNS($F$7:AL$7),"",INDEX(TableDiv[[GASB]:[GASB]],_xlfn.AGGREGATE(15,3,(TableDiv[[Agency]:[Agency]]=$E815)/(TableDiv[[Agency]:[Agency]]=$E815)*(ROW(TableDiv[Agency])-ROW(TableDiv[[#Headers],[Agency]])),COLUMNS($F$7:AL$7))))</f>
        <v/>
      </c>
      <c r="AM815" s="2223" t="str" cm="1">
        <f t="array" ref="AM815">IF($D815&lt;COLUMNS($F$7:AM$7),"",INDEX(TableDiv[[GASB]:[GASB]],_xlfn.AGGREGATE(15,3,(TableDiv[[Agency]:[Agency]]=$E815)/(TableDiv[[Agency]:[Agency]]=$E815)*(ROW(TableDiv[Agency])-ROW(TableDiv[[#Headers],[Agency]])),COLUMNS($F$7:AM$7))))</f>
        <v/>
      </c>
      <c r="AN815" s="2223"/>
      <c r="AO815" s="2223"/>
      <c r="AP815" s="2223"/>
      <c r="AQ815" s="2223"/>
      <c r="AR815" s="2223"/>
      <c r="AS815" s="2223"/>
    </row>
    <row r="816" spans="1:45" x14ac:dyDescent="0.2">
      <c r="A816" s="2223"/>
      <c r="B816" s="2223"/>
      <c r="C816" s="2223"/>
      <c r="W816" s="2223" t="str" cm="1">
        <f t="array" ref="W816">IF($D816&lt;COLUMNS($F$7:W$7),"",INDEX(TableDiv[[GASB]:[GASB]],_xlfn.AGGREGATE(15,3,(TableDiv[[Agency]:[Agency]]=$E816)/(TableDiv[[Agency]:[Agency]]=$E816)*(ROW(TableDiv[Agency])-ROW(TableDiv[[#Headers],[Agency]])),COLUMNS($F$7:W$7))))</f>
        <v/>
      </c>
      <c r="X816" s="2223" t="str" cm="1">
        <f t="array" ref="X816">IF($D816&lt;COLUMNS($F$7:X$7),"",INDEX(TableDiv[[GASB]:[GASB]],_xlfn.AGGREGATE(15,3,(TableDiv[[Agency]:[Agency]]=$E816)/(TableDiv[[Agency]:[Agency]]=$E816)*(ROW(TableDiv[Agency])-ROW(TableDiv[[#Headers],[Agency]])),COLUMNS($F$7:X$7))))</f>
        <v/>
      </c>
      <c r="Y816" s="2223" t="str" cm="1">
        <f t="array" ref="Y816">IF($D816&lt;COLUMNS($F$7:Y$7),"",INDEX(TableDiv[[GASB]:[GASB]],_xlfn.AGGREGATE(15,3,(TableDiv[[Agency]:[Agency]]=$E816)/(TableDiv[[Agency]:[Agency]]=$E816)*(ROW(TableDiv[Agency])-ROW(TableDiv[[#Headers],[Agency]])),COLUMNS($F$7:Y$7))))</f>
        <v/>
      </c>
      <c r="Z816" s="2223" t="str" cm="1">
        <f t="array" ref="Z816">IF($D816&lt;COLUMNS($F$7:Z$7),"",INDEX(TableDiv[[GASB]:[GASB]],_xlfn.AGGREGATE(15,3,(TableDiv[[Agency]:[Agency]]=$E816)/(TableDiv[[Agency]:[Agency]]=$E816)*(ROW(TableDiv[Agency])-ROW(TableDiv[[#Headers],[Agency]])),COLUMNS($F$7:Z$7))))</f>
        <v/>
      </c>
      <c r="AA816" s="2223" t="str" cm="1">
        <f t="array" ref="AA816">IF($D816&lt;COLUMNS($F$7:AA$7),"",INDEX(TableDiv[[GASB]:[GASB]],_xlfn.AGGREGATE(15,3,(TableDiv[[Agency]:[Agency]]=$E816)/(TableDiv[[Agency]:[Agency]]=$E816)*(ROW(TableDiv[Agency])-ROW(TableDiv[[#Headers],[Agency]])),COLUMNS($F$7:AA$7))))</f>
        <v/>
      </c>
      <c r="AB816" s="2223" t="str" cm="1">
        <f t="array" ref="AB816">IF($D816&lt;COLUMNS($F$7:AB$7),"",INDEX(TableDiv[[GASB]:[GASB]],_xlfn.AGGREGATE(15,3,(TableDiv[[Agency]:[Agency]]=$E816)/(TableDiv[[Agency]:[Agency]]=$E816)*(ROW(TableDiv[Agency])-ROW(TableDiv[[#Headers],[Agency]])),COLUMNS($F$7:AB$7))))</f>
        <v/>
      </c>
      <c r="AC816" s="2223" t="str" cm="1">
        <f t="array" ref="AC816">IF($D816&lt;COLUMNS($F$7:AC$7),"",INDEX(TableDiv[[GASB]:[GASB]],_xlfn.AGGREGATE(15,3,(TableDiv[[Agency]:[Agency]]=$E816)/(TableDiv[[Agency]:[Agency]]=$E816)*(ROW(TableDiv[Agency])-ROW(TableDiv[[#Headers],[Agency]])),COLUMNS($F$7:AC$7))))</f>
        <v/>
      </c>
      <c r="AD816" s="2223" t="str" cm="1">
        <f t="array" ref="AD816">IF($D816&lt;COLUMNS($F$7:AD$7),"",INDEX(TableDiv[[GASB]:[GASB]],_xlfn.AGGREGATE(15,3,(TableDiv[[Agency]:[Agency]]=$E816)/(TableDiv[[Agency]:[Agency]]=$E816)*(ROW(TableDiv[Agency])-ROW(TableDiv[[#Headers],[Agency]])),COLUMNS($F$7:AD$7))))</f>
        <v/>
      </c>
      <c r="AE816" s="2223" t="str" cm="1">
        <f t="array" ref="AE816">IF($D816&lt;COLUMNS($F$7:AE$7),"",INDEX(TableDiv[[GASB]:[GASB]],_xlfn.AGGREGATE(15,3,(TableDiv[[Agency]:[Agency]]=$E816)/(TableDiv[[Agency]:[Agency]]=$E816)*(ROW(TableDiv[Agency])-ROW(TableDiv[[#Headers],[Agency]])),COLUMNS($F$7:AE$7))))</f>
        <v/>
      </c>
      <c r="AF816" s="2223" t="str" cm="1">
        <f t="array" ref="AF816">IF($D816&lt;COLUMNS($F$7:AF$7),"",INDEX(TableDiv[[GASB]:[GASB]],_xlfn.AGGREGATE(15,3,(TableDiv[[Agency]:[Agency]]=$E816)/(TableDiv[[Agency]:[Agency]]=$E816)*(ROW(TableDiv[Agency])-ROW(TableDiv[[#Headers],[Agency]])),COLUMNS($F$7:AF$7))))</f>
        <v/>
      </c>
      <c r="AG816" s="2223" t="str" cm="1">
        <f t="array" ref="AG816">IF($D816&lt;COLUMNS($F$7:AG$7),"",INDEX(TableDiv[[GASB]:[GASB]],_xlfn.AGGREGATE(15,3,(TableDiv[[Agency]:[Agency]]=$E816)/(TableDiv[[Agency]:[Agency]]=$E816)*(ROW(TableDiv[Agency])-ROW(TableDiv[[#Headers],[Agency]])),COLUMNS($F$7:AG$7))))</f>
        <v/>
      </c>
      <c r="AH816" s="2223" t="str" cm="1">
        <f t="array" ref="AH816">IF($D816&lt;COLUMNS($F$7:AH$7),"",INDEX(TableDiv[[GASB]:[GASB]],_xlfn.AGGREGATE(15,3,(TableDiv[[Agency]:[Agency]]=$E816)/(TableDiv[[Agency]:[Agency]]=$E816)*(ROW(TableDiv[Agency])-ROW(TableDiv[[#Headers],[Agency]])),COLUMNS($F$7:AH$7))))</f>
        <v/>
      </c>
      <c r="AI816" s="2223" t="str" cm="1">
        <f t="array" ref="AI816">IF($D816&lt;COLUMNS($F$7:AI$7),"",INDEX(TableDiv[[GASB]:[GASB]],_xlfn.AGGREGATE(15,3,(TableDiv[[Agency]:[Agency]]=$E816)/(TableDiv[[Agency]:[Agency]]=$E816)*(ROW(TableDiv[Agency])-ROW(TableDiv[[#Headers],[Agency]])),COLUMNS($F$7:AI$7))))</f>
        <v/>
      </c>
      <c r="AJ816" s="2223" t="str" cm="1">
        <f t="array" ref="AJ816">IF($D816&lt;COLUMNS($F$7:AJ$7),"",INDEX(TableDiv[[GASB]:[GASB]],_xlfn.AGGREGATE(15,3,(TableDiv[[Agency]:[Agency]]=$E816)/(TableDiv[[Agency]:[Agency]]=$E816)*(ROW(TableDiv[Agency])-ROW(TableDiv[[#Headers],[Agency]])),COLUMNS($F$7:AJ$7))))</f>
        <v/>
      </c>
      <c r="AK816" s="2223" t="str" cm="1">
        <f t="array" ref="AK816">IF($D816&lt;COLUMNS($F$7:AK$7),"",INDEX(TableDiv[[GASB]:[GASB]],_xlfn.AGGREGATE(15,3,(TableDiv[[Agency]:[Agency]]=$E816)/(TableDiv[[Agency]:[Agency]]=$E816)*(ROW(TableDiv[Agency])-ROW(TableDiv[[#Headers],[Agency]])),COLUMNS($F$7:AK$7))))</f>
        <v/>
      </c>
      <c r="AL816" s="2223" t="str" cm="1">
        <f t="array" ref="AL816">IF($D816&lt;COLUMNS($F$7:AL$7),"",INDEX(TableDiv[[GASB]:[GASB]],_xlfn.AGGREGATE(15,3,(TableDiv[[Agency]:[Agency]]=$E816)/(TableDiv[[Agency]:[Agency]]=$E816)*(ROW(TableDiv[Agency])-ROW(TableDiv[[#Headers],[Agency]])),COLUMNS($F$7:AL$7))))</f>
        <v/>
      </c>
      <c r="AM816" s="2223" t="str" cm="1">
        <f t="array" ref="AM816">IF($D816&lt;COLUMNS($F$7:AM$7),"",INDEX(TableDiv[[GASB]:[GASB]],_xlfn.AGGREGATE(15,3,(TableDiv[[Agency]:[Agency]]=$E816)/(TableDiv[[Agency]:[Agency]]=$E816)*(ROW(TableDiv[Agency])-ROW(TableDiv[[#Headers],[Agency]])),COLUMNS($F$7:AM$7))))</f>
        <v/>
      </c>
      <c r="AN816" s="2223"/>
      <c r="AO816" s="2223"/>
      <c r="AP816" s="2223"/>
      <c r="AQ816" s="2223"/>
      <c r="AR816" s="2223"/>
      <c r="AS816" s="2223"/>
    </row>
    <row r="817" spans="1:45" x14ac:dyDescent="0.2">
      <c r="A817" s="2223"/>
      <c r="B817" s="2223"/>
      <c r="C817" s="2223"/>
      <c r="W817" s="2223" t="str" cm="1">
        <f t="array" ref="W817">IF($D817&lt;COLUMNS($F$7:W$7),"",INDEX(TableDiv[[GASB]:[GASB]],_xlfn.AGGREGATE(15,3,(TableDiv[[Agency]:[Agency]]=$E817)/(TableDiv[[Agency]:[Agency]]=$E817)*(ROW(TableDiv[Agency])-ROW(TableDiv[[#Headers],[Agency]])),COLUMNS($F$7:W$7))))</f>
        <v/>
      </c>
      <c r="X817" s="2223" t="str" cm="1">
        <f t="array" ref="X817">IF($D817&lt;COLUMNS($F$7:X$7),"",INDEX(TableDiv[[GASB]:[GASB]],_xlfn.AGGREGATE(15,3,(TableDiv[[Agency]:[Agency]]=$E817)/(TableDiv[[Agency]:[Agency]]=$E817)*(ROW(TableDiv[Agency])-ROW(TableDiv[[#Headers],[Agency]])),COLUMNS($F$7:X$7))))</f>
        <v/>
      </c>
      <c r="Y817" s="2223" t="str" cm="1">
        <f t="array" ref="Y817">IF($D817&lt;COLUMNS($F$7:Y$7),"",INDEX(TableDiv[[GASB]:[GASB]],_xlfn.AGGREGATE(15,3,(TableDiv[[Agency]:[Agency]]=$E817)/(TableDiv[[Agency]:[Agency]]=$E817)*(ROW(TableDiv[Agency])-ROW(TableDiv[[#Headers],[Agency]])),COLUMNS($F$7:Y$7))))</f>
        <v/>
      </c>
      <c r="Z817" s="2223" t="str" cm="1">
        <f t="array" ref="Z817">IF($D817&lt;COLUMNS($F$7:Z$7),"",INDEX(TableDiv[[GASB]:[GASB]],_xlfn.AGGREGATE(15,3,(TableDiv[[Agency]:[Agency]]=$E817)/(TableDiv[[Agency]:[Agency]]=$E817)*(ROW(TableDiv[Agency])-ROW(TableDiv[[#Headers],[Agency]])),COLUMNS($F$7:Z$7))))</f>
        <v/>
      </c>
      <c r="AA817" s="2223" t="str" cm="1">
        <f t="array" ref="AA817">IF($D817&lt;COLUMNS($F$7:AA$7),"",INDEX(TableDiv[[GASB]:[GASB]],_xlfn.AGGREGATE(15,3,(TableDiv[[Agency]:[Agency]]=$E817)/(TableDiv[[Agency]:[Agency]]=$E817)*(ROW(TableDiv[Agency])-ROW(TableDiv[[#Headers],[Agency]])),COLUMNS($F$7:AA$7))))</f>
        <v/>
      </c>
      <c r="AB817" s="2223" t="str" cm="1">
        <f t="array" ref="AB817">IF($D817&lt;COLUMNS($F$7:AB$7),"",INDEX(TableDiv[[GASB]:[GASB]],_xlfn.AGGREGATE(15,3,(TableDiv[[Agency]:[Agency]]=$E817)/(TableDiv[[Agency]:[Agency]]=$E817)*(ROW(TableDiv[Agency])-ROW(TableDiv[[#Headers],[Agency]])),COLUMNS($F$7:AB$7))))</f>
        <v/>
      </c>
      <c r="AC817" s="2223" t="str" cm="1">
        <f t="array" ref="AC817">IF($D817&lt;COLUMNS($F$7:AC$7),"",INDEX(TableDiv[[GASB]:[GASB]],_xlfn.AGGREGATE(15,3,(TableDiv[[Agency]:[Agency]]=$E817)/(TableDiv[[Agency]:[Agency]]=$E817)*(ROW(TableDiv[Agency])-ROW(TableDiv[[#Headers],[Agency]])),COLUMNS($F$7:AC$7))))</f>
        <v/>
      </c>
      <c r="AD817" s="2223" t="str" cm="1">
        <f t="array" ref="AD817">IF($D817&lt;COLUMNS($F$7:AD$7),"",INDEX(TableDiv[[GASB]:[GASB]],_xlfn.AGGREGATE(15,3,(TableDiv[[Agency]:[Agency]]=$E817)/(TableDiv[[Agency]:[Agency]]=$E817)*(ROW(TableDiv[Agency])-ROW(TableDiv[[#Headers],[Agency]])),COLUMNS($F$7:AD$7))))</f>
        <v/>
      </c>
      <c r="AE817" s="2223" t="str" cm="1">
        <f t="array" ref="AE817">IF($D817&lt;COLUMNS($F$7:AE$7),"",INDEX(TableDiv[[GASB]:[GASB]],_xlfn.AGGREGATE(15,3,(TableDiv[[Agency]:[Agency]]=$E817)/(TableDiv[[Agency]:[Agency]]=$E817)*(ROW(TableDiv[Agency])-ROW(TableDiv[[#Headers],[Agency]])),COLUMNS($F$7:AE$7))))</f>
        <v/>
      </c>
      <c r="AF817" s="2223" t="str" cm="1">
        <f t="array" ref="AF817">IF($D817&lt;COLUMNS($F$7:AF$7),"",INDEX(TableDiv[[GASB]:[GASB]],_xlfn.AGGREGATE(15,3,(TableDiv[[Agency]:[Agency]]=$E817)/(TableDiv[[Agency]:[Agency]]=$E817)*(ROW(TableDiv[Agency])-ROW(TableDiv[[#Headers],[Agency]])),COLUMNS($F$7:AF$7))))</f>
        <v/>
      </c>
      <c r="AG817" s="2223" t="str" cm="1">
        <f t="array" ref="AG817">IF($D817&lt;COLUMNS($F$7:AG$7),"",INDEX(TableDiv[[GASB]:[GASB]],_xlfn.AGGREGATE(15,3,(TableDiv[[Agency]:[Agency]]=$E817)/(TableDiv[[Agency]:[Agency]]=$E817)*(ROW(TableDiv[Agency])-ROW(TableDiv[[#Headers],[Agency]])),COLUMNS($F$7:AG$7))))</f>
        <v/>
      </c>
      <c r="AH817" s="2223" t="str" cm="1">
        <f t="array" ref="AH817">IF($D817&lt;COLUMNS($F$7:AH$7),"",INDEX(TableDiv[[GASB]:[GASB]],_xlfn.AGGREGATE(15,3,(TableDiv[[Agency]:[Agency]]=$E817)/(TableDiv[[Agency]:[Agency]]=$E817)*(ROW(TableDiv[Agency])-ROW(TableDiv[[#Headers],[Agency]])),COLUMNS($F$7:AH$7))))</f>
        <v/>
      </c>
      <c r="AI817" s="2223" t="str" cm="1">
        <f t="array" ref="AI817">IF($D817&lt;COLUMNS($F$7:AI$7),"",INDEX(TableDiv[[GASB]:[GASB]],_xlfn.AGGREGATE(15,3,(TableDiv[[Agency]:[Agency]]=$E817)/(TableDiv[[Agency]:[Agency]]=$E817)*(ROW(TableDiv[Agency])-ROW(TableDiv[[#Headers],[Agency]])),COLUMNS($F$7:AI$7))))</f>
        <v/>
      </c>
      <c r="AJ817" s="2223" t="str" cm="1">
        <f t="array" ref="AJ817">IF($D817&lt;COLUMNS($F$7:AJ$7),"",INDEX(TableDiv[[GASB]:[GASB]],_xlfn.AGGREGATE(15,3,(TableDiv[[Agency]:[Agency]]=$E817)/(TableDiv[[Agency]:[Agency]]=$E817)*(ROW(TableDiv[Agency])-ROW(TableDiv[[#Headers],[Agency]])),COLUMNS($F$7:AJ$7))))</f>
        <v/>
      </c>
      <c r="AK817" s="2223" t="str" cm="1">
        <f t="array" ref="AK817">IF($D817&lt;COLUMNS($F$7:AK$7),"",INDEX(TableDiv[[GASB]:[GASB]],_xlfn.AGGREGATE(15,3,(TableDiv[[Agency]:[Agency]]=$E817)/(TableDiv[[Agency]:[Agency]]=$E817)*(ROW(TableDiv[Agency])-ROW(TableDiv[[#Headers],[Agency]])),COLUMNS($F$7:AK$7))))</f>
        <v/>
      </c>
      <c r="AL817" s="2223" t="str" cm="1">
        <f t="array" ref="AL817">IF($D817&lt;COLUMNS($F$7:AL$7),"",INDEX(TableDiv[[GASB]:[GASB]],_xlfn.AGGREGATE(15,3,(TableDiv[[Agency]:[Agency]]=$E817)/(TableDiv[[Agency]:[Agency]]=$E817)*(ROW(TableDiv[Agency])-ROW(TableDiv[[#Headers],[Agency]])),COLUMNS($F$7:AL$7))))</f>
        <v/>
      </c>
      <c r="AM817" s="2223" t="str" cm="1">
        <f t="array" ref="AM817">IF($D817&lt;COLUMNS($F$7:AM$7),"",INDEX(TableDiv[[GASB]:[GASB]],_xlfn.AGGREGATE(15,3,(TableDiv[[Agency]:[Agency]]=$E817)/(TableDiv[[Agency]:[Agency]]=$E817)*(ROW(TableDiv[Agency])-ROW(TableDiv[[#Headers],[Agency]])),COLUMNS($F$7:AM$7))))</f>
        <v/>
      </c>
      <c r="AN817" s="2223"/>
      <c r="AO817" s="2223"/>
      <c r="AP817" s="2223"/>
      <c r="AQ817" s="2223"/>
      <c r="AR817" s="2223"/>
      <c r="AS817" s="2223"/>
    </row>
    <row r="818" spans="1:45" x14ac:dyDescent="0.2">
      <c r="A818" s="2223"/>
      <c r="B818" s="2223"/>
      <c r="C818" s="2223"/>
      <c r="W818" s="2223" t="str" cm="1">
        <f t="array" ref="W818">IF($D818&lt;COLUMNS($F$7:W$7),"",INDEX(TableDiv[[GASB]:[GASB]],_xlfn.AGGREGATE(15,3,(TableDiv[[Agency]:[Agency]]=$E818)/(TableDiv[[Agency]:[Agency]]=$E818)*(ROW(TableDiv[Agency])-ROW(TableDiv[[#Headers],[Agency]])),COLUMNS($F$7:W$7))))</f>
        <v/>
      </c>
      <c r="X818" s="2223" t="str" cm="1">
        <f t="array" ref="X818">IF($D818&lt;COLUMNS($F$7:X$7),"",INDEX(TableDiv[[GASB]:[GASB]],_xlfn.AGGREGATE(15,3,(TableDiv[[Agency]:[Agency]]=$E818)/(TableDiv[[Agency]:[Agency]]=$E818)*(ROW(TableDiv[Agency])-ROW(TableDiv[[#Headers],[Agency]])),COLUMNS($F$7:X$7))))</f>
        <v/>
      </c>
      <c r="Y818" s="2223" t="str" cm="1">
        <f t="array" ref="Y818">IF($D818&lt;COLUMNS($F$7:Y$7),"",INDEX(TableDiv[[GASB]:[GASB]],_xlfn.AGGREGATE(15,3,(TableDiv[[Agency]:[Agency]]=$E818)/(TableDiv[[Agency]:[Agency]]=$E818)*(ROW(TableDiv[Agency])-ROW(TableDiv[[#Headers],[Agency]])),COLUMNS($F$7:Y$7))))</f>
        <v/>
      </c>
      <c r="Z818" s="2223" t="str" cm="1">
        <f t="array" ref="Z818">IF($D818&lt;COLUMNS($F$7:Z$7),"",INDEX(TableDiv[[GASB]:[GASB]],_xlfn.AGGREGATE(15,3,(TableDiv[[Agency]:[Agency]]=$E818)/(TableDiv[[Agency]:[Agency]]=$E818)*(ROW(TableDiv[Agency])-ROW(TableDiv[[#Headers],[Agency]])),COLUMNS($F$7:Z$7))))</f>
        <v/>
      </c>
      <c r="AA818" s="2223" t="str" cm="1">
        <f t="array" ref="AA818">IF($D818&lt;COLUMNS($F$7:AA$7),"",INDEX(TableDiv[[GASB]:[GASB]],_xlfn.AGGREGATE(15,3,(TableDiv[[Agency]:[Agency]]=$E818)/(TableDiv[[Agency]:[Agency]]=$E818)*(ROW(TableDiv[Agency])-ROW(TableDiv[[#Headers],[Agency]])),COLUMNS($F$7:AA$7))))</f>
        <v/>
      </c>
      <c r="AB818" s="2223" t="str" cm="1">
        <f t="array" ref="AB818">IF($D818&lt;COLUMNS($F$7:AB$7),"",INDEX(TableDiv[[GASB]:[GASB]],_xlfn.AGGREGATE(15,3,(TableDiv[[Agency]:[Agency]]=$E818)/(TableDiv[[Agency]:[Agency]]=$E818)*(ROW(TableDiv[Agency])-ROW(TableDiv[[#Headers],[Agency]])),COLUMNS($F$7:AB$7))))</f>
        <v/>
      </c>
      <c r="AC818" s="2223" t="str" cm="1">
        <f t="array" ref="AC818">IF($D818&lt;COLUMNS($F$7:AC$7),"",INDEX(TableDiv[[GASB]:[GASB]],_xlfn.AGGREGATE(15,3,(TableDiv[[Agency]:[Agency]]=$E818)/(TableDiv[[Agency]:[Agency]]=$E818)*(ROW(TableDiv[Agency])-ROW(TableDiv[[#Headers],[Agency]])),COLUMNS($F$7:AC$7))))</f>
        <v/>
      </c>
      <c r="AD818" s="2223" t="str" cm="1">
        <f t="array" ref="AD818">IF($D818&lt;COLUMNS($F$7:AD$7),"",INDEX(TableDiv[[GASB]:[GASB]],_xlfn.AGGREGATE(15,3,(TableDiv[[Agency]:[Agency]]=$E818)/(TableDiv[[Agency]:[Agency]]=$E818)*(ROW(TableDiv[Agency])-ROW(TableDiv[[#Headers],[Agency]])),COLUMNS($F$7:AD$7))))</f>
        <v/>
      </c>
      <c r="AE818" s="2223" t="str" cm="1">
        <f t="array" ref="AE818">IF($D818&lt;COLUMNS($F$7:AE$7),"",INDEX(TableDiv[[GASB]:[GASB]],_xlfn.AGGREGATE(15,3,(TableDiv[[Agency]:[Agency]]=$E818)/(TableDiv[[Agency]:[Agency]]=$E818)*(ROW(TableDiv[Agency])-ROW(TableDiv[[#Headers],[Agency]])),COLUMNS($F$7:AE$7))))</f>
        <v/>
      </c>
      <c r="AF818" s="2223" t="str" cm="1">
        <f t="array" ref="AF818">IF($D818&lt;COLUMNS($F$7:AF$7),"",INDEX(TableDiv[[GASB]:[GASB]],_xlfn.AGGREGATE(15,3,(TableDiv[[Agency]:[Agency]]=$E818)/(TableDiv[[Agency]:[Agency]]=$E818)*(ROW(TableDiv[Agency])-ROW(TableDiv[[#Headers],[Agency]])),COLUMNS($F$7:AF$7))))</f>
        <v/>
      </c>
      <c r="AG818" s="2223" t="str" cm="1">
        <f t="array" ref="AG818">IF($D818&lt;COLUMNS($F$7:AG$7),"",INDEX(TableDiv[[GASB]:[GASB]],_xlfn.AGGREGATE(15,3,(TableDiv[[Agency]:[Agency]]=$E818)/(TableDiv[[Agency]:[Agency]]=$E818)*(ROW(TableDiv[Agency])-ROW(TableDiv[[#Headers],[Agency]])),COLUMNS($F$7:AG$7))))</f>
        <v/>
      </c>
      <c r="AH818" s="2223" t="str" cm="1">
        <f t="array" ref="AH818">IF($D818&lt;COLUMNS($F$7:AH$7),"",INDEX(TableDiv[[GASB]:[GASB]],_xlfn.AGGREGATE(15,3,(TableDiv[[Agency]:[Agency]]=$E818)/(TableDiv[[Agency]:[Agency]]=$E818)*(ROW(TableDiv[Agency])-ROW(TableDiv[[#Headers],[Agency]])),COLUMNS($F$7:AH$7))))</f>
        <v/>
      </c>
      <c r="AI818" s="2223" t="str" cm="1">
        <f t="array" ref="AI818">IF($D818&lt;COLUMNS($F$7:AI$7),"",INDEX(TableDiv[[GASB]:[GASB]],_xlfn.AGGREGATE(15,3,(TableDiv[[Agency]:[Agency]]=$E818)/(TableDiv[[Agency]:[Agency]]=$E818)*(ROW(TableDiv[Agency])-ROW(TableDiv[[#Headers],[Agency]])),COLUMNS($F$7:AI$7))))</f>
        <v/>
      </c>
      <c r="AJ818" s="2223" t="str" cm="1">
        <f t="array" ref="AJ818">IF($D818&lt;COLUMNS($F$7:AJ$7),"",INDEX(TableDiv[[GASB]:[GASB]],_xlfn.AGGREGATE(15,3,(TableDiv[[Agency]:[Agency]]=$E818)/(TableDiv[[Agency]:[Agency]]=$E818)*(ROW(TableDiv[Agency])-ROW(TableDiv[[#Headers],[Agency]])),COLUMNS($F$7:AJ$7))))</f>
        <v/>
      </c>
      <c r="AK818" s="2223" t="str" cm="1">
        <f t="array" ref="AK818">IF($D818&lt;COLUMNS($F$7:AK$7),"",INDEX(TableDiv[[GASB]:[GASB]],_xlfn.AGGREGATE(15,3,(TableDiv[[Agency]:[Agency]]=$E818)/(TableDiv[[Agency]:[Agency]]=$E818)*(ROW(TableDiv[Agency])-ROW(TableDiv[[#Headers],[Agency]])),COLUMNS($F$7:AK$7))))</f>
        <v/>
      </c>
      <c r="AL818" s="2223" t="str" cm="1">
        <f t="array" ref="AL818">IF($D818&lt;COLUMNS($F$7:AL$7),"",INDEX(TableDiv[[GASB]:[GASB]],_xlfn.AGGREGATE(15,3,(TableDiv[[Agency]:[Agency]]=$E818)/(TableDiv[[Agency]:[Agency]]=$E818)*(ROW(TableDiv[Agency])-ROW(TableDiv[[#Headers],[Agency]])),COLUMNS($F$7:AL$7))))</f>
        <v/>
      </c>
      <c r="AM818" s="2223" t="str" cm="1">
        <f t="array" ref="AM818">IF($D818&lt;COLUMNS($F$7:AM$7),"",INDEX(TableDiv[[GASB]:[GASB]],_xlfn.AGGREGATE(15,3,(TableDiv[[Agency]:[Agency]]=$E818)/(TableDiv[[Agency]:[Agency]]=$E818)*(ROW(TableDiv[Agency])-ROW(TableDiv[[#Headers],[Agency]])),COLUMNS($F$7:AM$7))))</f>
        <v/>
      </c>
      <c r="AN818" s="2223"/>
      <c r="AO818" s="2223"/>
      <c r="AP818" s="2223"/>
      <c r="AQ818" s="2223"/>
      <c r="AR818" s="2223"/>
      <c r="AS818" s="2223"/>
    </row>
    <row r="819" spans="1:45" x14ac:dyDescent="0.2">
      <c r="A819" s="2223"/>
      <c r="B819" s="2223"/>
      <c r="C819" s="2223"/>
      <c r="W819" s="2223" t="str" cm="1">
        <f t="array" ref="W819">IF($D819&lt;COLUMNS($F$7:W$7),"",INDEX(TableDiv[[GASB]:[GASB]],_xlfn.AGGREGATE(15,3,(TableDiv[[Agency]:[Agency]]=$E819)/(TableDiv[[Agency]:[Agency]]=$E819)*(ROW(TableDiv[Agency])-ROW(TableDiv[[#Headers],[Agency]])),COLUMNS($F$7:W$7))))</f>
        <v/>
      </c>
      <c r="X819" s="2223" t="str" cm="1">
        <f t="array" ref="X819">IF($D819&lt;COLUMNS($F$7:X$7),"",INDEX(TableDiv[[GASB]:[GASB]],_xlfn.AGGREGATE(15,3,(TableDiv[[Agency]:[Agency]]=$E819)/(TableDiv[[Agency]:[Agency]]=$E819)*(ROW(TableDiv[Agency])-ROW(TableDiv[[#Headers],[Agency]])),COLUMNS($F$7:X$7))))</f>
        <v/>
      </c>
      <c r="Y819" s="2223" t="str" cm="1">
        <f t="array" ref="Y819">IF($D819&lt;COLUMNS($F$7:Y$7),"",INDEX(TableDiv[[GASB]:[GASB]],_xlfn.AGGREGATE(15,3,(TableDiv[[Agency]:[Agency]]=$E819)/(TableDiv[[Agency]:[Agency]]=$E819)*(ROW(TableDiv[Agency])-ROW(TableDiv[[#Headers],[Agency]])),COLUMNS($F$7:Y$7))))</f>
        <v/>
      </c>
      <c r="Z819" s="2223" t="str" cm="1">
        <f t="array" ref="Z819">IF($D819&lt;COLUMNS($F$7:Z$7),"",INDEX(TableDiv[[GASB]:[GASB]],_xlfn.AGGREGATE(15,3,(TableDiv[[Agency]:[Agency]]=$E819)/(TableDiv[[Agency]:[Agency]]=$E819)*(ROW(TableDiv[Agency])-ROW(TableDiv[[#Headers],[Agency]])),COLUMNS($F$7:Z$7))))</f>
        <v/>
      </c>
      <c r="AA819" s="2223" t="str" cm="1">
        <f t="array" ref="AA819">IF($D819&lt;COLUMNS($F$7:AA$7),"",INDEX(TableDiv[[GASB]:[GASB]],_xlfn.AGGREGATE(15,3,(TableDiv[[Agency]:[Agency]]=$E819)/(TableDiv[[Agency]:[Agency]]=$E819)*(ROW(TableDiv[Agency])-ROW(TableDiv[[#Headers],[Agency]])),COLUMNS($F$7:AA$7))))</f>
        <v/>
      </c>
      <c r="AB819" s="2223" t="str" cm="1">
        <f t="array" ref="AB819">IF($D819&lt;COLUMNS($F$7:AB$7),"",INDEX(TableDiv[[GASB]:[GASB]],_xlfn.AGGREGATE(15,3,(TableDiv[[Agency]:[Agency]]=$E819)/(TableDiv[[Agency]:[Agency]]=$E819)*(ROW(TableDiv[Agency])-ROW(TableDiv[[#Headers],[Agency]])),COLUMNS($F$7:AB$7))))</f>
        <v/>
      </c>
      <c r="AC819" s="2223" t="str" cm="1">
        <f t="array" ref="AC819">IF($D819&lt;COLUMNS($F$7:AC$7),"",INDEX(TableDiv[[GASB]:[GASB]],_xlfn.AGGREGATE(15,3,(TableDiv[[Agency]:[Agency]]=$E819)/(TableDiv[[Agency]:[Agency]]=$E819)*(ROW(TableDiv[Agency])-ROW(TableDiv[[#Headers],[Agency]])),COLUMNS($F$7:AC$7))))</f>
        <v/>
      </c>
      <c r="AD819" s="2223" t="str" cm="1">
        <f t="array" ref="AD819">IF($D819&lt;COLUMNS($F$7:AD$7),"",INDEX(TableDiv[[GASB]:[GASB]],_xlfn.AGGREGATE(15,3,(TableDiv[[Agency]:[Agency]]=$E819)/(TableDiv[[Agency]:[Agency]]=$E819)*(ROW(TableDiv[Agency])-ROW(TableDiv[[#Headers],[Agency]])),COLUMNS($F$7:AD$7))))</f>
        <v/>
      </c>
      <c r="AE819" s="2223" t="str" cm="1">
        <f t="array" ref="AE819">IF($D819&lt;COLUMNS($F$7:AE$7),"",INDEX(TableDiv[[GASB]:[GASB]],_xlfn.AGGREGATE(15,3,(TableDiv[[Agency]:[Agency]]=$E819)/(TableDiv[[Agency]:[Agency]]=$E819)*(ROW(TableDiv[Agency])-ROW(TableDiv[[#Headers],[Agency]])),COLUMNS($F$7:AE$7))))</f>
        <v/>
      </c>
      <c r="AF819" s="2223" t="str" cm="1">
        <f t="array" ref="AF819">IF($D819&lt;COLUMNS($F$7:AF$7),"",INDEX(TableDiv[[GASB]:[GASB]],_xlfn.AGGREGATE(15,3,(TableDiv[[Agency]:[Agency]]=$E819)/(TableDiv[[Agency]:[Agency]]=$E819)*(ROW(TableDiv[Agency])-ROW(TableDiv[[#Headers],[Agency]])),COLUMNS($F$7:AF$7))))</f>
        <v/>
      </c>
      <c r="AG819" s="2223" t="str" cm="1">
        <f t="array" ref="AG819">IF($D819&lt;COLUMNS($F$7:AG$7),"",INDEX(TableDiv[[GASB]:[GASB]],_xlfn.AGGREGATE(15,3,(TableDiv[[Agency]:[Agency]]=$E819)/(TableDiv[[Agency]:[Agency]]=$E819)*(ROW(TableDiv[Agency])-ROW(TableDiv[[#Headers],[Agency]])),COLUMNS($F$7:AG$7))))</f>
        <v/>
      </c>
      <c r="AH819" s="2223" t="str" cm="1">
        <f t="array" ref="AH819">IF($D819&lt;COLUMNS($F$7:AH$7),"",INDEX(TableDiv[[GASB]:[GASB]],_xlfn.AGGREGATE(15,3,(TableDiv[[Agency]:[Agency]]=$E819)/(TableDiv[[Agency]:[Agency]]=$E819)*(ROW(TableDiv[Agency])-ROW(TableDiv[[#Headers],[Agency]])),COLUMNS($F$7:AH$7))))</f>
        <v/>
      </c>
      <c r="AI819" s="2223" t="str" cm="1">
        <f t="array" ref="AI819">IF($D819&lt;COLUMNS($F$7:AI$7),"",INDEX(TableDiv[[GASB]:[GASB]],_xlfn.AGGREGATE(15,3,(TableDiv[[Agency]:[Agency]]=$E819)/(TableDiv[[Agency]:[Agency]]=$E819)*(ROW(TableDiv[Agency])-ROW(TableDiv[[#Headers],[Agency]])),COLUMNS($F$7:AI$7))))</f>
        <v/>
      </c>
      <c r="AJ819" s="2223" t="str" cm="1">
        <f t="array" ref="AJ819">IF($D819&lt;COLUMNS($F$7:AJ$7),"",INDEX(TableDiv[[GASB]:[GASB]],_xlfn.AGGREGATE(15,3,(TableDiv[[Agency]:[Agency]]=$E819)/(TableDiv[[Agency]:[Agency]]=$E819)*(ROW(TableDiv[Agency])-ROW(TableDiv[[#Headers],[Agency]])),COLUMNS($F$7:AJ$7))))</f>
        <v/>
      </c>
      <c r="AK819" s="2223" t="str" cm="1">
        <f t="array" ref="AK819">IF($D819&lt;COLUMNS($F$7:AK$7),"",INDEX(TableDiv[[GASB]:[GASB]],_xlfn.AGGREGATE(15,3,(TableDiv[[Agency]:[Agency]]=$E819)/(TableDiv[[Agency]:[Agency]]=$E819)*(ROW(TableDiv[Agency])-ROW(TableDiv[[#Headers],[Agency]])),COLUMNS($F$7:AK$7))))</f>
        <v/>
      </c>
      <c r="AL819" s="2223" t="str" cm="1">
        <f t="array" ref="AL819">IF($D819&lt;COLUMNS($F$7:AL$7),"",INDEX(TableDiv[[GASB]:[GASB]],_xlfn.AGGREGATE(15,3,(TableDiv[[Agency]:[Agency]]=$E819)/(TableDiv[[Agency]:[Agency]]=$E819)*(ROW(TableDiv[Agency])-ROW(TableDiv[[#Headers],[Agency]])),COLUMNS($F$7:AL$7))))</f>
        <v/>
      </c>
      <c r="AM819" s="2223" t="str" cm="1">
        <f t="array" ref="AM819">IF($D819&lt;COLUMNS($F$7:AM$7),"",INDEX(TableDiv[[GASB]:[GASB]],_xlfn.AGGREGATE(15,3,(TableDiv[[Agency]:[Agency]]=$E819)/(TableDiv[[Agency]:[Agency]]=$E819)*(ROW(TableDiv[Agency])-ROW(TableDiv[[#Headers],[Agency]])),COLUMNS($F$7:AM$7))))</f>
        <v/>
      </c>
      <c r="AN819" s="2223"/>
      <c r="AO819" s="2223"/>
      <c r="AP819" s="2223"/>
      <c r="AQ819" s="2223"/>
      <c r="AR819" s="2223"/>
      <c r="AS819" s="2223"/>
    </row>
    <row r="820" spans="1:45" x14ac:dyDescent="0.2">
      <c r="A820" s="2223"/>
      <c r="B820" s="2223"/>
      <c r="C820" s="2223"/>
      <c r="W820" s="2223" t="str" cm="1">
        <f t="array" ref="W820">IF($D820&lt;COLUMNS($F$7:W$7),"",INDEX(TableDiv[[GASB]:[GASB]],_xlfn.AGGREGATE(15,3,(TableDiv[[Agency]:[Agency]]=$E820)/(TableDiv[[Agency]:[Agency]]=$E820)*(ROW(TableDiv[Agency])-ROW(TableDiv[[#Headers],[Agency]])),COLUMNS($F$7:W$7))))</f>
        <v/>
      </c>
      <c r="X820" s="2223" t="str" cm="1">
        <f t="array" ref="X820">IF($D820&lt;COLUMNS($F$7:X$7),"",INDEX(TableDiv[[GASB]:[GASB]],_xlfn.AGGREGATE(15,3,(TableDiv[[Agency]:[Agency]]=$E820)/(TableDiv[[Agency]:[Agency]]=$E820)*(ROW(TableDiv[Agency])-ROW(TableDiv[[#Headers],[Agency]])),COLUMNS($F$7:X$7))))</f>
        <v/>
      </c>
      <c r="Y820" s="2223" t="str" cm="1">
        <f t="array" ref="Y820">IF($D820&lt;COLUMNS($F$7:Y$7),"",INDEX(TableDiv[[GASB]:[GASB]],_xlfn.AGGREGATE(15,3,(TableDiv[[Agency]:[Agency]]=$E820)/(TableDiv[[Agency]:[Agency]]=$E820)*(ROW(TableDiv[Agency])-ROW(TableDiv[[#Headers],[Agency]])),COLUMNS($F$7:Y$7))))</f>
        <v/>
      </c>
      <c r="Z820" s="2223" t="str" cm="1">
        <f t="array" ref="Z820">IF($D820&lt;COLUMNS($F$7:Z$7),"",INDEX(TableDiv[[GASB]:[GASB]],_xlfn.AGGREGATE(15,3,(TableDiv[[Agency]:[Agency]]=$E820)/(TableDiv[[Agency]:[Agency]]=$E820)*(ROW(TableDiv[Agency])-ROW(TableDiv[[#Headers],[Agency]])),COLUMNS($F$7:Z$7))))</f>
        <v/>
      </c>
      <c r="AA820" s="2223" t="str" cm="1">
        <f t="array" ref="AA820">IF($D820&lt;COLUMNS($F$7:AA$7),"",INDEX(TableDiv[[GASB]:[GASB]],_xlfn.AGGREGATE(15,3,(TableDiv[[Agency]:[Agency]]=$E820)/(TableDiv[[Agency]:[Agency]]=$E820)*(ROW(TableDiv[Agency])-ROW(TableDiv[[#Headers],[Agency]])),COLUMNS($F$7:AA$7))))</f>
        <v/>
      </c>
      <c r="AB820" s="2223" t="str" cm="1">
        <f t="array" ref="AB820">IF($D820&lt;COLUMNS($F$7:AB$7),"",INDEX(TableDiv[[GASB]:[GASB]],_xlfn.AGGREGATE(15,3,(TableDiv[[Agency]:[Agency]]=$E820)/(TableDiv[[Agency]:[Agency]]=$E820)*(ROW(TableDiv[Agency])-ROW(TableDiv[[#Headers],[Agency]])),COLUMNS($F$7:AB$7))))</f>
        <v/>
      </c>
      <c r="AC820" s="2223" t="str" cm="1">
        <f t="array" ref="AC820">IF($D820&lt;COLUMNS($F$7:AC$7),"",INDEX(TableDiv[[GASB]:[GASB]],_xlfn.AGGREGATE(15,3,(TableDiv[[Agency]:[Agency]]=$E820)/(TableDiv[[Agency]:[Agency]]=$E820)*(ROW(TableDiv[Agency])-ROW(TableDiv[[#Headers],[Agency]])),COLUMNS($F$7:AC$7))))</f>
        <v/>
      </c>
      <c r="AD820" s="2223" t="str" cm="1">
        <f t="array" ref="AD820">IF($D820&lt;COLUMNS($F$7:AD$7),"",INDEX(TableDiv[[GASB]:[GASB]],_xlfn.AGGREGATE(15,3,(TableDiv[[Agency]:[Agency]]=$E820)/(TableDiv[[Agency]:[Agency]]=$E820)*(ROW(TableDiv[Agency])-ROW(TableDiv[[#Headers],[Agency]])),COLUMNS($F$7:AD$7))))</f>
        <v/>
      </c>
      <c r="AE820" s="2223" t="str" cm="1">
        <f t="array" ref="AE820">IF($D820&lt;COLUMNS($F$7:AE$7),"",INDEX(TableDiv[[GASB]:[GASB]],_xlfn.AGGREGATE(15,3,(TableDiv[[Agency]:[Agency]]=$E820)/(TableDiv[[Agency]:[Agency]]=$E820)*(ROW(TableDiv[Agency])-ROW(TableDiv[[#Headers],[Agency]])),COLUMNS($F$7:AE$7))))</f>
        <v/>
      </c>
      <c r="AF820" s="2223" t="str" cm="1">
        <f t="array" ref="AF820">IF($D820&lt;COLUMNS($F$7:AF$7),"",INDEX(TableDiv[[GASB]:[GASB]],_xlfn.AGGREGATE(15,3,(TableDiv[[Agency]:[Agency]]=$E820)/(TableDiv[[Agency]:[Agency]]=$E820)*(ROW(TableDiv[Agency])-ROW(TableDiv[[#Headers],[Agency]])),COLUMNS($F$7:AF$7))))</f>
        <v/>
      </c>
      <c r="AG820" s="2223" t="str" cm="1">
        <f t="array" ref="AG820">IF($D820&lt;COLUMNS($F$7:AG$7),"",INDEX(TableDiv[[GASB]:[GASB]],_xlfn.AGGREGATE(15,3,(TableDiv[[Agency]:[Agency]]=$E820)/(TableDiv[[Agency]:[Agency]]=$E820)*(ROW(TableDiv[Agency])-ROW(TableDiv[[#Headers],[Agency]])),COLUMNS($F$7:AG$7))))</f>
        <v/>
      </c>
      <c r="AH820" s="2223" t="str" cm="1">
        <f t="array" ref="AH820">IF($D820&lt;COLUMNS($F$7:AH$7),"",INDEX(TableDiv[[GASB]:[GASB]],_xlfn.AGGREGATE(15,3,(TableDiv[[Agency]:[Agency]]=$E820)/(TableDiv[[Agency]:[Agency]]=$E820)*(ROW(TableDiv[Agency])-ROW(TableDiv[[#Headers],[Agency]])),COLUMNS($F$7:AH$7))))</f>
        <v/>
      </c>
      <c r="AI820" s="2223" t="str" cm="1">
        <f t="array" ref="AI820">IF($D820&lt;COLUMNS($F$7:AI$7),"",INDEX(TableDiv[[GASB]:[GASB]],_xlfn.AGGREGATE(15,3,(TableDiv[[Agency]:[Agency]]=$E820)/(TableDiv[[Agency]:[Agency]]=$E820)*(ROW(TableDiv[Agency])-ROW(TableDiv[[#Headers],[Agency]])),COLUMNS($F$7:AI$7))))</f>
        <v/>
      </c>
      <c r="AJ820" s="2223" t="str" cm="1">
        <f t="array" ref="AJ820">IF($D820&lt;COLUMNS($F$7:AJ$7),"",INDEX(TableDiv[[GASB]:[GASB]],_xlfn.AGGREGATE(15,3,(TableDiv[[Agency]:[Agency]]=$E820)/(TableDiv[[Agency]:[Agency]]=$E820)*(ROW(TableDiv[Agency])-ROW(TableDiv[[#Headers],[Agency]])),COLUMNS($F$7:AJ$7))))</f>
        <v/>
      </c>
      <c r="AK820" s="2223" t="str" cm="1">
        <f t="array" ref="AK820">IF($D820&lt;COLUMNS($F$7:AK$7),"",INDEX(TableDiv[[GASB]:[GASB]],_xlfn.AGGREGATE(15,3,(TableDiv[[Agency]:[Agency]]=$E820)/(TableDiv[[Agency]:[Agency]]=$E820)*(ROW(TableDiv[Agency])-ROW(TableDiv[[#Headers],[Agency]])),COLUMNS($F$7:AK$7))))</f>
        <v/>
      </c>
      <c r="AL820" s="2223" t="str" cm="1">
        <f t="array" ref="AL820">IF($D820&lt;COLUMNS($F$7:AL$7),"",INDEX(TableDiv[[GASB]:[GASB]],_xlfn.AGGREGATE(15,3,(TableDiv[[Agency]:[Agency]]=$E820)/(TableDiv[[Agency]:[Agency]]=$E820)*(ROW(TableDiv[Agency])-ROW(TableDiv[[#Headers],[Agency]])),COLUMNS($F$7:AL$7))))</f>
        <v/>
      </c>
      <c r="AM820" s="2223" t="str" cm="1">
        <f t="array" ref="AM820">IF($D820&lt;COLUMNS($F$7:AM$7),"",INDEX(TableDiv[[GASB]:[GASB]],_xlfn.AGGREGATE(15,3,(TableDiv[[Agency]:[Agency]]=$E820)/(TableDiv[[Agency]:[Agency]]=$E820)*(ROW(TableDiv[Agency])-ROW(TableDiv[[#Headers],[Agency]])),COLUMNS($F$7:AM$7))))</f>
        <v/>
      </c>
      <c r="AN820" s="2223"/>
      <c r="AO820" s="2223"/>
      <c r="AP820" s="2223"/>
      <c r="AQ820" s="2223"/>
      <c r="AR820" s="2223"/>
      <c r="AS820" s="2223"/>
    </row>
    <row r="821" spans="1:45" x14ac:dyDescent="0.2">
      <c r="A821" s="2223"/>
      <c r="B821" s="2223"/>
      <c r="C821" s="2223"/>
      <c r="W821" s="2223" t="str" cm="1">
        <f t="array" ref="W821">IF($D821&lt;COLUMNS($F$7:W$7),"",INDEX(TableDiv[[GASB]:[GASB]],_xlfn.AGGREGATE(15,3,(TableDiv[[Agency]:[Agency]]=$E821)/(TableDiv[[Agency]:[Agency]]=$E821)*(ROW(TableDiv[Agency])-ROW(TableDiv[[#Headers],[Agency]])),COLUMNS($F$7:W$7))))</f>
        <v/>
      </c>
      <c r="X821" s="2223" t="str" cm="1">
        <f t="array" ref="X821">IF($D821&lt;COLUMNS($F$7:X$7),"",INDEX(TableDiv[[GASB]:[GASB]],_xlfn.AGGREGATE(15,3,(TableDiv[[Agency]:[Agency]]=$E821)/(TableDiv[[Agency]:[Agency]]=$E821)*(ROW(TableDiv[Agency])-ROW(TableDiv[[#Headers],[Agency]])),COLUMNS($F$7:X$7))))</f>
        <v/>
      </c>
      <c r="Y821" s="2223" t="str" cm="1">
        <f t="array" ref="Y821">IF($D821&lt;COLUMNS($F$7:Y$7),"",INDEX(TableDiv[[GASB]:[GASB]],_xlfn.AGGREGATE(15,3,(TableDiv[[Agency]:[Agency]]=$E821)/(TableDiv[[Agency]:[Agency]]=$E821)*(ROW(TableDiv[Agency])-ROW(TableDiv[[#Headers],[Agency]])),COLUMNS($F$7:Y$7))))</f>
        <v/>
      </c>
      <c r="Z821" s="2223" t="str" cm="1">
        <f t="array" ref="Z821">IF($D821&lt;COLUMNS($F$7:Z$7),"",INDEX(TableDiv[[GASB]:[GASB]],_xlfn.AGGREGATE(15,3,(TableDiv[[Agency]:[Agency]]=$E821)/(TableDiv[[Agency]:[Agency]]=$E821)*(ROW(TableDiv[Agency])-ROW(TableDiv[[#Headers],[Agency]])),COLUMNS($F$7:Z$7))))</f>
        <v/>
      </c>
      <c r="AA821" s="2223" t="str" cm="1">
        <f t="array" ref="AA821">IF($D821&lt;COLUMNS($F$7:AA$7),"",INDEX(TableDiv[[GASB]:[GASB]],_xlfn.AGGREGATE(15,3,(TableDiv[[Agency]:[Agency]]=$E821)/(TableDiv[[Agency]:[Agency]]=$E821)*(ROW(TableDiv[Agency])-ROW(TableDiv[[#Headers],[Agency]])),COLUMNS($F$7:AA$7))))</f>
        <v/>
      </c>
      <c r="AB821" s="2223" t="str" cm="1">
        <f t="array" ref="AB821">IF($D821&lt;COLUMNS($F$7:AB$7),"",INDEX(TableDiv[[GASB]:[GASB]],_xlfn.AGGREGATE(15,3,(TableDiv[[Agency]:[Agency]]=$E821)/(TableDiv[[Agency]:[Agency]]=$E821)*(ROW(TableDiv[Agency])-ROW(TableDiv[[#Headers],[Agency]])),COLUMNS($F$7:AB$7))))</f>
        <v/>
      </c>
      <c r="AC821" s="2223" t="str" cm="1">
        <f t="array" ref="AC821">IF($D821&lt;COLUMNS($F$7:AC$7),"",INDEX(TableDiv[[GASB]:[GASB]],_xlfn.AGGREGATE(15,3,(TableDiv[[Agency]:[Agency]]=$E821)/(TableDiv[[Agency]:[Agency]]=$E821)*(ROW(TableDiv[Agency])-ROW(TableDiv[[#Headers],[Agency]])),COLUMNS($F$7:AC$7))))</f>
        <v/>
      </c>
      <c r="AD821" s="2223" t="str" cm="1">
        <f t="array" ref="AD821">IF($D821&lt;COLUMNS($F$7:AD$7),"",INDEX(TableDiv[[GASB]:[GASB]],_xlfn.AGGREGATE(15,3,(TableDiv[[Agency]:[Agency]]=$E821)/(TableDiv[[Agency]:[Agency]]=$E821)*(ROW(TableDiv[Agency])-ROW(TableDiv[[#Headers],[Agency]])),COLUMNS($F$7:AD$7))))</f>
        <v/>
      </c>
      <c r="AE821" s="2223" t="str" cm="1">
        <f t="array" ref="AE821">IF($D821&lt;COLUMNS($F$7:AE$7),"",INDEX(TableDiv[[GASB]:[GASB]],_xlfn.AGGREGATE(15,3,(TableDiv[[Agency]:[Agency]]=$E821)/(TableDiv[[Agency]:[Agency]]=$E821)*(ROW(TableDiv[Agency])-ROW(TableDiv[[#Headers],[Agency]])),COLUMNS($F$7:AE$7))))</f>
        <v/>
      </c>
      <c r="AF821" s="2223" t="str" cm="1">
        <f t="array" ref="AF821">IF($D821&lt;COLUMNS($F$7:AF$7),"",INDEX(TableDiv[[GASB]:[GASB]],_xlfn.AGGREGATE(15,3,(TableDiv[[Agency]:[Agency]]=$E821)/(TableDiv[[Agency]:[Agency]]=$E821)*(ROW(TableDiv[Agency])-ROW(TableDiv[[#Headers],[Agency]])),COLUMNS($F$7:AF$7))))</f>
        <v/>
      </c>
      <c r="AG821" s="2223" t="str" cm="1">
        <f t="array" ref="AG821">IF($D821&lt;COLUMNS($F$7:AG$7),"",INDEX(TableDiv[[GASB]:[GASB]],_xlfn.AGGREGATE(15,3,(TableDiv[[Agency]:[Agency]]=$E821)/(TableDiv[[Agency]:[Agency]]=$E821)*(ROW(TableDiv[Agency])-ROW(TableDiv[[#Headers],[Agency]])),COLUMNS($F$7:AG$7))))</f>
        <v/>
      </c>
      <c r="AH821" s="2223" t="str" cm="1">
        <f t="array" ref="AH821">IF($D821&lt;COLUMNS($F$7:AH$7),"",INDEX(TableDiv[[GASB]:[GASB]],_xlfn.AGGREGATE(15,3,(TableDiv[[Agency]:[Agency]]=$E821)/(TableDiv[[Agency]:[Agency]]=$E821)*(ROW(TableDiv[Agency])-ROW(TableDiv[[#Headers],[Agency]])),COLUMNS($F$7:AH$7))))</f>
        <v/>
      </c>
      <c r="AI821" s="2223" t="str" cm="1">
        <f t="array" ref="AI821">IF($D821&lt;COLUMNS($F$7:AI$7),"",INDEX(TableDiv[[GASB]:[GASB]],_xlfn.AGGREGATE(15,3,(TableDiv[[Agency]:[Agency]]=$E821)/(TableDiv[[Agency]:[Agency]]=$E821)*(ROW(TableDiv[Agency])-ROW(TableDiv[[#Headers],[Agency]])),COLUMNS($F$7:AI$7))))</f>
        <v/>
      </c>
      <c r="AJ821" s="2223" t="str" cm="1">
        <f t="array" ref="AJ821">IF($D821&lt;COLUMNS($F$7:AJ$7),"",INDEX(TableDiv[[GASB]:[GASB]],_xlfn.AGGREGATE(15,3,(TableDiv[[Agency]:[Agency]]=$E821)/(TableDiv[[Agency]:[Agency]]=$E821)*(ROW(TableDiv[Agency])-ROW(TableDiv[[#Headers],[Agency]])),COLUMNS($F$7:AJ$7))))</f>
        <v/>
      </c>
      <c r="AK821" s="2223" t="str" cm="1">
        <f t="array" ref="AK821">IF($D821&lt;COLUMNS($F$7:AK$7),"",INDEX(TableDiv[[GASB]:[GASB]],_xlfn.AGGREGATE(15,3,(TableDiv[[Agency]:[Agency]]=$E821)/(TableDiv[[Agency]:[Agency]]=$E821)*(ROW(TableDiv[Agency])-ROW(TableDiv[[#Headers],[Agency]])),COLUMNS($F$7:AK$7))))</f>
        <v/>
      </c>
      <c r="AL821" s="2223" t="str" cm="1">
        <f t="array" ref="AL821">IF($D821&lt;COLUMNS($F$7:AL$7),"",INDEX(TableDiv[[GASB]:[GASB]],_xlfn.AGGREGATE(15,3,(TableDiv[[Agency]:[Agency]]=$E821)/(TableDiv[[Agency]:[Agency]]=$E821)*(ROW(TableDiv[Agency])-ROW(TableDiv[[#Headers],[Agency]])),COLUMNS($F$7:AL$7))))</f>
        <v/>
      </c>
      <c r="AM821" s="2223" t="str" cm="1">
        <f t="array" ref="AM821">IF($D821&lt;COLUMNS($F$7:AM$7),"",INDEX(TableDiv[[GASB]:[GASB]],_xlfn.AGGREGATE(15,3,(TableDiv[[Agency]:[Agency]]=$E821)/(TableDiv[[Agency]:[Agency]]=$E821)*(ROW(TableDiv[Agency])-ROW(TableDiv[[#Headers],[Agency]])),COLUMNS($F$7:AM$7))))</f>
        <v/>
      </c>
      <c r="AN821" s="2223"/>
      <c r="AO821" s="2223"/>
      <c r="AP821" s="2223"/>
      <c r="AQ821" s="2223"/>
      <c r="AR821" s="2223"/>
      <c r="AS821" s="2223"/>
    </row>
    <row r="822" spans="1:45" x14ac:dyDescent="0.2">
      <c r="A822" s="2223"/>
      <c r="B822" s="2223"/>
      <c r="C822" s="2223"/>
      <c r="W822" s="2223" t="str" cm="1">
        <f t="array" ref="W822">IF($D822&lt;COLUMNS($F$7:W$7),"",INDEX(TableDiv[[GASB]:[GASB]],_xlfn.AGGREGATE(15,3,(TableDiv[[Agency]:[Agency]]=$E822)/(TableDiv[[Agency]:[Agency]]=$E822)*(ROW(TableDiv[Agency])-ROW(TableDiv[[#Headers],[Agency]])),COLUMNS($F$7:W$7))))</f>
        <v/>
      </c>
      <c r="X822" s="2223" t="str" cm="1">
        <f t="array" ref="X822">IF($D822&lt;COLUMNS($F$7:X$7),"",INDEX(TableDiv[[GASB]:[GASB]],_xlfn.AGGREGATE(15,3,(TableDiv[[Agency]:[Agency]]=$E822)/(TableDiv[[Agency]:[Agency]]=$E822)*(ROW(TableDiv[Agency])-ROW(TableDiv[[#Headers],[Agency]])),COLUMNS($F$7:X$7))))</f>
        <v/>
      </c>
      <c r="Y822" s="2223" t="str" cm="1">
        <f t="array" ref="Y822">IF($D822&lt;COLUMNS($F$7:Y$7),"",INDEX(TableDiv[[GASB]:[GASB]],_xlfn.AGGREGATE(15,3,(TableDiv[[Agency]:[Agency]]=$E822)/(TableDiv[[Agency]:[Agency]]=$E822)*(ROW(TableDiv[Agency])-ROW(TableDiv[[#Headers],[Agency]])),COLUMNS($F$7:Y$7))))</f>
        <v/>
      </c>
      <c r="Z822" s="2223" t="str" cm="1">
        <f t="array" ref="Z822">IF($D822&lt;COLUMNS($F$7:Z$7),"",INDEX(TableDiv[[GASB]:[GASB]],_xlfn.AGGREGATE(15,3,(TableDiv[[Agency]:[Agency]]=$E822)/(TableDiv[[Agency]:[Agency]]=$E822)*(ROW(TableDiv[Agency])-ROW(TableDiv[[#Headers],[Agency]])),COLUMNS($F$7:Z$7))))</f>
        <v/>
      </c>
      <c r="AA822" s="2223" t="str" cm="1">
        <f t="array" ref="AA822">IF($D822&lt;COLUMNS($F$7:AA$7),"",INDEX(TableDiv[[GASB]:[GASB]],_xlfn.AGGREGATE(15,3,(TableDiv[[Agency]:[Agency]]=$E822)/(TableDiv[[Agency]:[Agency]]=$E822)*(ROW(TableDiv[Agency])-ROW(TableDiv[[#Headers],[Agency]])),COLUMNS($F$7:AA$7))))</f>
        <v/>
      </c>
      <c r="AB822" s="2223" t="str" cm="1">
        <f t="array" ref="AB822">IF($D822&lt;COLUMNS($F$7:AB$7),"",INDEX(TableDiv[[GASB]:[GASB]],_xlfn.AGGREGATE(15,3,(TableDiv[[Agency]:[Agency]]=$E822)/(TableDiv[[Agency]:[Agency]]=$E822)*(ROW(TableDiv[Agency])-ROW(TableDiv[[#Headers],[Agency]])),COLUMNS($F$7:AB$7))))</f>
        <v/>
      </c>
      <c r="AC822" s="2223" t="str" cm="1">
        <f t="array" ref="AC822">IF($D822&lt;COLUMNS($F$7:AC$7),"",INDEX(TableDiv[[GASB]:[GASB]],_xlfn.AGGREGATE(15,3,(TableDiv[[Agency]:[Agency]]=$E822)/(TableDiv[[Agency]:[Agency]]=$E822)*(ROW(TableDiv[Agency])-ROW(TableDiv[[#Headers],[Agency]])),COLUMNS($F$7:AC$7))))</f>
        <v/>
      </c>
      <c r="AD822" s="2223" t="str" cm="1">
        <f t="array" ref="AD822">IF($D822&lt;COLUMNS($F$7:AD$7),"",INDEX(TableDiv[[GASB]:[GASB]],_xlfn.AGGREGATE(15,3,(TableDiv[[Agency]:[Agency]]=$E822)/(TableDiv[[Agency]:[Agency]]=$E822)*(ROW(TableDiv[Agency])-ROW(TableDiv[[#Headers],[Agency]])),COLUMNS($F$7:AD$7))))</f>
        <v/>
      </c>
      <c r="AE822" s="2223" t="str" cm="1">
        <f t="array" ref="AE822">IF($D822&lt;COLUMNS($F$7:AE$7),"",INDEX(TableDiv[[GASB]:[GASB]],_xlfn.AGGREGATE(15,3,(TableDiv[[Agency]:[Agency]]=$E822)/(TableDiv[[Agency]:[Agency]]=$E822)*(ROW(TableDiv[Agency])-ROW(TableDiv[[#Headers],[Agency]])),COLUMNS($F$7:AE$7))))</f>
        <v/>
      </c>
      <c r="AF822" s="2223" t="str" cm="1">
        <f t="array" ref="AF822">IF($D822&lt;COLUMNS($F$7:AF$7),"",INDEX(TableDiv[[GASB]:[GASB]],_xlfn.AGGREGATE(15,3,(TableDiv[[Agency]:[Agency]]=$E822)/(TableDiv[[Agency]:[Agency]]=$E822)*(ROW(TableDiv[Agency])-ROW(TableDiv[[#Headers],[Agency]])),COLUMNS($F$7:AF$7))))</f>
        <v/>
      </c>
      <c r="AG822" s="2223" t="str" cm="1">
        <f t="array" ref="AG822">IF($D822&lt;COLUMNS($F$7:AG$7),"",INDEX(TableDiv[[GASB]:[GASB]],_xlfn.AGGREGATE(15,3,(TableDiv[[Agency]:[Agency]]=$E822)/(TableDiv[[Agency]:[Agency]]=$E822)*(ROW(TableDiv[Agency])-ROW(TableDiv[[#Headers],[Agency]])),COLUMNS($F$7:AG$7))))</f>
        <v/>
      </c>
      <c r="AH822" s="2223" t="str" cm="1">
        <f t="array" ref="AH822">IF($D822&lt;COLUMNS($F$7:AH$7),"",INDEX(TableDiv[[GASB]:[GASB]],_xlfn.AGGREGATE(15,3,(TableDiv[[Agency]:[Agency]]=$E822)/(TableDiv[[Agency]:[Agency]]=$E822)*(ROW(TableDiv[Agency])-ROW(TableDiv[[#Headers],[Agency]])),COLUMNS($F$7:AH$7))))</f>
        <v/>
      </c>
      <c r="AI822" s="2223" t="str" cm="1">
        <f t="array" ref="AI822">IF($D822&lt;COLUMNS($F$7:AI$7),"",INDEX(TableDiv[[GASB]:[GASB]],_xlfn.AGGREGATE(15,3,(TableDiv[[Agency]:[Agency]]=$E822)/(TableDiv[[Agency]:[Agency]]=$E822)*(ROW(TableDiv[Agency])-ROW(TableDiv[[#Headers],[Agency]])),COLUMNS($F$7:AI$7))))</f>
        <v/>
      </c>
      <c r="AJ822" s="2223" t="str" cm="1">
        <f t="array" ref="AJ822">IF($D822&lt;COLUMNS($F$7:AJ$7),"",INDEX(TableDiv[[GASB]:[GASB]],_xlfn.AGGREGATE(15,3,(TableDiv[[Agency]:[Agency]]=$E822)/(TableDiv[[Agency]:[Agency]]=$E822)*(ROW(TableDiv[Agency])-ROW(TableDiv[[#Headers],[Agency]])),COLUMNS($F$7:AJ$7))))</f>
        <v/>
      </c>
      <c r="AK822" s="2223" t="str" cm="1">
        <f t="array" ref="AK822">IF($D822&lt;COLUMNS($F$7:AK$7),"",INDEX(TableDiv[[GASB]:[GASB]],_xlfn.AGGREGATE(15,3,(TableDiv[[Agency]:[Agency]]=$E822)/(TableDiv[[Agency]:[Agency]]=$E822)*(ROW(TableDiv[Agency])-ROW(TableDiv[[#Headers],[Agency]])),COLUMNS($F$7:AK$7))))</f>
        <v/>
      </c>
      <c r="AL822" s="2223" t="str" cm="1">
        <f t="array" ref="AL822">IF($D822&lt;COLUMNS($F$7:AL$7),"",INDEX(TableDiv[[GASB]:[GASB]],_xlfn.AGGREGATE(15,3,(TableDiv[[Agency]:[Agency]]=$E822)/(TableDiv[[Agency]:[Agency]]=$E822)*(ROW(TableDiv[Agency])-ROW(TableDiv[[#Headers],[Agency]])),COLUMNS($F$7:AL$7))))</f>
        <v/>
      </c>
      <c r="AM822" s="2223" t="str" cm="1">
        <f t="array" ref="AM822">IF($D822&lt;COLUMNS($F$7:AM$7),"",INDEX(TableDiv[[GASB]:[GASB]],_xlfn.AGGREGATE(15,3,(TableDiv[[Agency]:[Agency]]=$E822)/(TableDiv[[Agency]:[Agency]]=$E822)*(ROW(TableDiv[Agency])-ROW(TableDiv[[#Headers],[Agency]])),COLUMNS($F$7:AM$7))))</f>
        <v/>
      </c>
      <c r="AN822" s="2223"/>
      <c r="AO822" s="2223"/>
      <c r="AP822" s="2223"/>
      <c r="AQ822" s="2223"/>
      <c r="AR822" s="2223"/>
      <c r="AS822" s="2223"/>
    </row>
    <row r="823" spans="1:45" x14ac:dyDescent="0.2">
      <c r="A823" s="2223"/>
      <c r="B823" s="2223"/>
      <c r="C823" s="2223"/>
      <c r="W823" s="2223" t="str" cm="1">
        <f t="array" ref="W823">IF($D823&lt;COLUMNS($F$7:W$7),"",INDEX(TableDiv[[GASB]:[GASB]],_xlfn.AGGREGATE(15,3,(TableDiv[[Agency]:[Agency]]=$E823)/(TableDiv[[Agency]:[Agency]]=$E823)*(ROW(TableDiv[Agency])-ROW(TableDiv[[#Headers],[Agency]])),COLUMNS($F$7:W$7))))</f>
        <v/>
      </c>
      <c r="X823" s="2223" t="str" cm="1">
        <f t="array" ref="X823">IF($D823&lt;COLUMNS($F$7:X$7),"",INDEX(TableDiv[[GASB]:[GASB]],_xlfn.AGGREGATE(15,3,(TableDiv[[Agency]:[Agency]]=$E823)/(TableDiv[[Agency]:[Agency]]=$E823)*(ROW(TableDiv[Agency])-ROW(TableDiv[[#Headers],[Agency]])),COLUMNS($F$7:X$7))))</f>
        <v/>
      </c>
      <c r="Y823" s="2223" t="str" cm="1">
        <f t="array" ref="Y823">IF($D823&lt;COLUMNS($F$7:Y$7),"",INDEX(TableDiv[[GASB]:[GASB]],_xlfn.AGGREGATE(15,3,(TableDiv[[Agency]:[Agency]]=$E823)/(TableDiv[[Agency]:[Agency]]=$E823)*(ROW(TableDiv[Agency])-ROW(TableDiv[[#Headers],[Agency]])),COLUMNS($F$7:Y$7))))</f>
        <v/>
      </c>
      <c r="Z823" s="2223" t="str" cm="1">
        <f t="array" ref="Z823">IF($D823&lt;COLUMNS($F$7:Z$7),"",INDEX(TableDiv[[GASB]:[GASB]],_xlfn.AGGREGATE(15,3,(TableDiv[[Agency]:[Agency]]=$E823)/(TableDiv[[Agency]:[Agency]]=$E823)*(ROW(TableDiv[Agency])-ROW(TableDiv[[#Headers],[Agency]])),COLUMNS($F$7:Z$7))))</f>
        <v/>
      </c>
      <c r="AA823" s="2223" t="str" cm="1">
        <f t="array" ref="AA823">IF($D823&lt;COLUMNS($F$7:AA$7),"",INDEX(TableDiv[[GASB]:[GASB]],_xlfn.AGGREGATE(15,3,(TableDiv[[Agency]:[Agency]]=$E823)/(TableDiv[[Agency]:[Agency]]=$E823)*(ROW(TableDiv[Agency])-ROW(TableDiv[[#Headers],[Agency]])),COLUMNS($F$7:AA$7))))</f>
        <v/>
      </c>
      <c r="AB823" s="2223" t="str" cm="1">
        <f t="array" ref="AB823">IF($D823&lt;COLUMNS($F$7:AB$7),"",INDEX(TableDiv[[GASB]:[GASB]],_xlfn.AGGREGATE(15,3,(TableDiv[[Agency]:[Agency]]=$E823)/(TableDiv[[Agency]:[Agency]]=$E823)*(ROW(TableDiv[Agency])-ROW(TableDiv[[#Headers],[Agency]])),COLUMNS($F$7:AB$7))))</f>
        <v/>
      </c>
      <c r="AC823" s="2223" t="str" cm="1">
        <f t="array" ref="AC823">IF($D823&lt;COLUMNS($F$7:AC$7),"",INDEX(TableDiv[[GASB]:[GASB]],_xlfn.AGGREGATE(15,3,(TableDiv[[Agency]:[Agency]]=$E823)/(TableDiv[[Agency]:[Agency]]=$E823)*(ROW(TableDiv[Agency])-ROW(TableDiv[[#Headers],[Agency]])),COLUMNS($F$7:AC$7))))</f>
        <v/>
      </c>
      <c r="AD823" s="2223" t="str" cm="1">
        <f t="array" ref="AD823">IF($D823&lt;COLUMNS($F$7:AD$7),"",INDEX(TableDiv[[GASB]:[GASB]],_xlfn.AGGREGATE(15,3,(TableDiv[[Agency]:[Agency]]=$E823)/(TableDiv[[Agency]:[Agency]]=$E823)*(ROW(TableDiv[Agency])-ROW(TableDiv[[#Headers],[Agency]])),COLUMNS($F$7:AD$7))))</f>
        <v/>
      </c>
      <c r="AE823" s="2223" t="str" cm="1">
        <f t="array" ref="AE823">IF($D823&lt;COLUMNS($F$7:AE$7),"",INDEX(TableDiv[[GASB]:[GASB]],_xlfn.AGGREGATE(15,3,(TableDiv[[Agency]:[Agency]]=$E823)/(TableDiv[[Agency]:[Agency]]=$E823)*(ROW(TableDiv[Agency])-ROW(TableDiv[[#Headers],[Agency]])),COLUMNS($F$7:AE$7))))</f>
        <v/>
      </c>
      <c r="AF823" s="2223" t="str" cm="1">
        <f t="array" ref="AF823">IF($D823&lt;COLUMNS($F$7:AF$7),"",INDEX(TableDiv[[GASB]:[GASB]],_xlfn.AGGREGATE(15,3,(TableDiv[[Agency]:[Agency]]=$E823)/(TableDiv[[Agency]:[Agency]]=$E823)*(ROW(TableDiv[Agency])-ROW(TableDiv[[#Headers],[Agency]])),COLUMNS($F$7:AF$7))))</f>
        <v/>
      </c>
      <c r="AG823" s="2223" t="str" cm="1">
        <f t="array" ref="AG823">IF($D823&lt;COLUMNS($F$7:AG$7),"",INDEX(TableDiv[[GASB]:[GASB]],_xlfn.AGGREGATE(15,3,(TableDiv[[Agency]:[Agency]]=$E823)/(TableDiv[[Agency]:[Agency]]=$E823)*(ROW(TableDiv[Agency])-ROW(TableDiv[[#Headers],[Agency]])),COLUMNS($F$7:AG$7))))</f>
        <v/>
      </c>
      <c r="AH823" s="2223" t="str" cm="1">
        <f t="array" ref="AH823">IF($D823&lt;COLUMNS($F$7:AH$7),"",INDEX(TableDiv[[GASB]:[GASB]],_xlfn.AGGREGATE(15,3,(TableDiv[[Agency]:[Agency]]=$E823)/(TableDiv[[Agency]:[Agency]]=$E823)*(ROW(TableDiv[Agency])-ROW(TableDiv[[#Headers],[Agency]])),COLUMNS($F$7:AH$7))))</f>
        <v/>
      </c>
      <c r="AI823" s="2223" t="str" cm="1">
        <f t="array" ref="AI823">IF($D823&lt;COLUMNS($F$7:AI$7),"",INDEX(TableDiv[[GASB]:[GASB]],_xlfn.AGGREGATE(15,3,(TableDiv[[Agency]:[Agency]]=$E823)/(TableDiv[[Agency]:[Agency]]=$E823)*(ROW(TableDiv[Agency])-ROW(TableDiv[[#Headers],[Agency]])),COLUMNS($F$7:AI$7))))</f>
        <v/>
      </c>
      <c r="AJ823" s="2223" t="str" cm="1">
        <f t="array" ref="AJ823">IF($D823&lt;COLUMNS($F$7:AJ$7),"",INDEX(TableDiv[[GASB]:[GASB]],_xlfn.AGGREGATE(15,3,(TableDiv[[Agency]:[Agency]]=$E823)/(TableDiv[[Agency]:[Agency]]=$E823)*(ROW(TableDiv[Agency])-ROW(TableDiv[[#Headers],[Agency]])),COLUMNS($F$7:AJ$7))))</f>
        <v/>
      </c>
      <c r="AK823" s="2223" t="str" cm="1">
        <f t="array" ref="AK823">IF($D823&lt;COLUMNS($F$7:AK$7),"",INDEX(TableDiv[[GASB]:[GASB]],_xlfn.AGGREGATE(15,3,(TableDiv[[Agency]:[Agency]]=$E823)/(TableDiv[[Agency]:[Agency]]=$E823)*(ROW(TableDiv[Agency])-ROW(TableDiv[[#Headers],[Agency]])),COLUMNS($F$7:AK$7))))</f>
        <v/>
      </c>
      <c r="AL823" s="2223" t="str" cm="1">
        <f t="array" ref="AL823">IF($D823&lt;COLUMNS($F$7:AL$7),"",INDEX(TableDiv[[GASB]:[GASB]],_xlfn.AGGREGATE(15,3,(TableDiv[[Agency]:[Agency]]=$E823)/(TableDiv[[Agency]:[Agency]]=$E823)*(ROW(TableDiv[Agency])-ROW(TableDiv[[#Headers],[Agency]])),COLUMNS($F$7:AL$7))))</f>
        <v/>
      </c>
      <c r="AM823" s="2223" t="str" cm="1">
        <f t="array" ref="AM823">IF($D823&lt;COLUMNS($F$7:AM$7),"",INDEX(TableDiv[[GASB]:[GASB]],_xlfn.AGGREGATE(15,3,(TableDiv[[Agency]:[Agency]]=$E823)/(TableDiv[[Agency]:[Agency]]=$E823)*(ROW(TableDiv[Agency])-ROW(TableDiv[[#Headers],[Agency]])),COLUMNS($F$7:AM$7))))</f>
        <v/>
      </c>
      <c r="AN823" s="2223"/>
      <c r="AO823" s="2223"/>
      <c r="AP823" s="2223"/>
      <c r="AQ823" s="2223"/>
      <c r="AR823" s="2223"/>
      <c r="AS823" s="2223"/>
    </row>
    <row r="824" spans="1:45" x14ac:dyDescent="0.2">
      <c r="A824" s="2223"/>
      <c r="B824" s="2223"/>
      <c r="C824" s="2223"/>
      <c r="W824" s="2223" t="str" cm="1">
        <f t="array" ref="W824">IF($D824&lt;COLUMNS($F$7:W$7),"",INDEX(TableDiv[[GASB]:[GASB]],_xlfn.AGGREGATE(15,3,(TableDiv[[Agency]:[Agency]]=$E824)/(TableDiv[[Agency]:[Agency]]=$E824)*(ROW(TableDiv[Agency])-ROW(TableDiv[[#Headers],[Agency]])),COLUMNS($F$7:W$7))))</f>
        <v/>
      </c>
      <c r="X824" s="2223" t="str" cm="1">
        <f t="array" ref="X824">IF($D824&lt;COLUMNS($F$7:X$7),"",INDEX(TableDiv[[GASB]:[GASB]],_xlfn.AGGREGATE(15,3,(TableDiv[[Agency]:[Agency]]=$E824)/(TableDiv[[Agency]:[Agency]]=$E824)*(ROW(TableDiv[Agency])-ROW(TableDiv[[#Headers],[Agency]])),COLUMNS($F$7:X$7))))</f>
        <v/>
      </c>
      <c r="Y824" s="2223" t="str" cm="1">
        <f t="array" ref="Y824">IF($D824&lt;COLUMNS($F$7:Y$7),"",INDEX(TableDiv[[GASB]:[GASB]],_xlfn.AGGREGATE(15,3,(TableDiv[[Agency]:[Agency]]=$E824)/(TableDiv[[Agency]:[Agency]]=$E824)*(ROW(TableDiv[Agency])-ROW(TableDiv[[#Headers],[Agency]])),COLUMNS($F$7:Y$7))))</f>
        <v/>
      </c>
      <c r="Z824" s="2223" t="str" cm="1">
        <f t="array" ref="Z824">IF($D824&lt;COLUMNS($F$7:Z$7),"",INDEX(TableDiv[[GASB]:[GASB]],_xlfn.AGGREGATE(15,3,(TableDiv[[Agency]:[Agency]]=$E824)/(TableDiv[[Agency]:[Agency]]=$E824)*(ROW(TableDiv[Agency])-ROW(TableDiv[[#Headers],[Agency]])),COLUMNS($F$7:Z$7))))</f>
        <v/>
      </c>
      <c r="AA824" s="2223" t="str" cm="1">
        <f t="array" ref="AA824">IF($D824&lt;COLUMNS($F$7:AA$7),"",INDEX(TableDiv[[GASB]:[GASB]],_xlfn.AGGREGATE(15,3,(TableDiv[[Agency]:[Agency]]=$E824)/(TableDiv[[Agency]:[Agency]]=$E824)*(ROW(TableDiv[Agency])-ROW(TableDiv[[#Headers],[Agency]])),COLUMNS($F$7:AA$7))))</f>
        <v/>
      </c>
      <c r="AB824" s="2223" t="str" cm="1">
        <f t="array" ref="AB824">IF($D824&lt;COLUMNS($F$7:AB$7),"",INDEX(TableDiv[[GASB]:[GASB]],_xlfn.AGGREGATE(15,3,(TableDiv[[Agency]:[Agency]]=$E824)/(TableDiv[[Agency]:[Agency]]=$E824)*(ROW(TableDiv[Agency])-ROW(TableDiv[[#Headers],[Agency]])),COLUMNS($F$7:AB$7))))</f>
        <v/>
      </c>
      <c r="AC824" s="2223" t="str" cm="1">
        <f t="array" ref="AC824">IF($D824&lt;COLUMNS($F$7:AC$7),"",INDEX(TableDiv[[GASB]:[GASB]],_xlfn.AGGREGATE(15,3,(TableDiv[[Agency]:[Agency]]=$E824)/(TableDiv[[Agency]:[Agency]]=$E824)*(ROW(TableDiv[Agency])-ROW(TableDiv[[#Headers],[Agency]])),COLUMNS($F$7:AC$7))))</f>
        <v/>
      </c>
      <c r="AD824" s="2223" t="str" cm="1">
        <f t="array" ref="AD824">IF($D824&lt;COLUMNS($F$7:AD$7),"",INDEX(TableDiv[[GASB]:[GASB]],_xlfn.AGGREGATE(15,3,(TableDiv[[Agency]:[Agency]]=$E824)/(TableDiv[[Agency]:[Agency]]=$E824)*(ROW(TableDiv[Agency])-ROW(TableDiv[[#Headers],[Agency]])),COLUMNS($F$7:AD$7))))</f>
        <v/>
      </c>
      <c r="AE824" s="2223" t="str" cm="1">
        <f t="array" ref="AE824">IF($D824&lt;COLUMNS($F$7:AE$7),"",INDEX(TableDiv[[GASB]:[GASB]],_xlfn.AGGREGATE(15,3,(TableDiv[[Agency]:[Agency]]=$E824)/(TableDiv[[Agency]:[Agency]]=$E824)*(ROW(TableDiv[Agency])-ROW(TableDiv[[#Headers],[Agency]])),COLUMNS($F$7:AE$7))))</f>
        <v/>
      </c>
      <c r="AF824" s="2223" t="str" cm="1">
        <f t="array" ref="AF824">IF($D824&lt;COLUMNS($F$7:AF$7),"",INDEX(TableDiv[[GASB]:[GASB]],_xlfn.AGGREGATE(15,3,(TableDiv[[Agency]:[Agency]]=$E824)/(TableDiv[[Agency]:[Agency]]=$E824)*(ROW(TableDiv[Agency])-ROW(TableDiv[[#Headers],[Agency]])),COLUMNS($F$7:AF$7))))</f>
        <v/>
      </c>
      <c r="AG824" s="2223" t="str" cm="1">
        <f t="array" ref="AG824">IF($D824&lt;COLUMNS($F$7:AG$7),"",INDEX(TableDiv[[GASB]:[GASB]],_xlfn.AGGREGATE(15,3,(TableDiv[[Agency]:[Agency]]=$E824)/(TableDiv[[Agency]:[Agency]]=$E824)*(ROW(TableDiv[Agency])-ROW(TableDiv[[#Headers],[Agency]])),COLUMNS($F$7:AG$7))))</f>
        <v/>
      </c>
      <c r="AH824" s="2223" t="str" cm="1">
        <f t="array" ref="AH824">IF($D824&lt;COLUMNS($F$7:AH$7),"",INDEX(TableDiv[[GASB]:[GASB]],_xlfn.AGGREGATE(15,3,(TableDiv[[Agency]:[Agency]]=$E824)/(TableDiv[[Agency]:[Agency]]=$E824)*(ROW(TableDiv[Agency])-ROW(TableDiv[[#Headers],[Agency]])),COLUMNS($F$7:AH$7))))</f>
        <v/>
      </c>
      <c r="AI824" s="2223" t="str" cm="1">
        <f t="array" ref="AI824">IF($D824&lt;COLUMNS($F$7:AI$7),"",INDEX(TableDiv[[GASB]:[GASB]],_xlfn.AGGREGATE(15,3,(TableDiv[[Agency]:[Agency]]=$E824)/(TableDiv[[Agency]:[Agency]]=$E824)*(ROW(TableDiv[Agency])-ROW(TableDiv[[#Headers],[Agency]])),COLUMNS($F$7:AI$7))))</f>
        <v/>
      </c>
      <c r="AJ824" s="2223" t="str" cm="1">
        <f t="array" ref="AJ824">IF($D824&lt;COLUMNS($F$7:AJ$7),"",INDEX(TableDiv[[GASB]:[GASB]],_xlfn.AGGREGATE(15,3,(TableDiv[[Agency]:[Agency]]=$E824)/(TableDiv[[Agency]:[Agency]]=$E824)*(ROW(TableDiv[Agency])-ROW(TableDiv[[#Headers],[Agency]])),COLUMNS($F$7:AJ$7))))</f>
        <v/>
      </c>
      <c r="AK824" s="2223" t="str" cm="1">
        <f t="array" ref="AK824">IF($D824&lt;COLUMNS($F$7:AK$7),"",INDEX(TableDiv[[GASB]:[GASB]],_xlfn.AGGREGATE(15,3,(TableDiv[[Agency]:[Agency]]=$E824)/(TableDiv[[Agency]:[Agency]]=$E824)*(ROW(TableDiv[Agency])-ROW(TableDiv[[#Headers],[Agency]])),COLUMNS($F$7:AK$7))))</f>
        <v/>
      </c>
      <c r="AL824" s="2223" t="str" cm="1">
        <f t="array" ref="AL824">IF($D824&lt;COLUMNS($F$7:AL$7),"",INDEX(TableDiv[[GASB]:[GASB]],_xlfn.AGGREGATE(15,3,(TableDiv[[Agency]:[Agency]]=$E824)/(TableDiv[[Agency]:[Agency]]=$E824)*(ROW(TableDiv[Agency])-ROW(TableDiv[[#Headers],[Agency]])),COLUMNS($F$7:AL$7))))</f>
        <v/>
      </c>
      <c r="AM824" s="2223" t="str" cm="1">
        <f t="array" ref="AM824">IF($D824&lt;COLUMNS($F$7:AM$7),"",INDEX(TableDiv[[GASB]:[GASB]],_xlfn.AGGREGATE(15,3,(TableDiv[[Agency]:[Agency]]=$E824)/(TableDiv[[Agency]:[Agency]]=$E824)*(ROW(TableDiv[Agency])-ROW(TableDiv[[#Headers],[Agency]])),COLUMNS($F$7:AM$7))))</f>
        <v/>
      </c>
      <c r="AN824" s="2223"/>
      <c r="AO824" s="2223"/>
      <c r="AP824" s="2223"/>
      <c r="AQ824" s="2223"/>
      <c r="AR824" s="2223"/>
      <c r="AS824" s="2223"/>
    </row>
    <row r="825" spans="1:45" x14ac:dyDescent="0.2">
      <c r="A825" s="2223"/>
      <c r="B825" s="2223"/>
      <c r="C825" s="2223"/>
      <c r="W825" s="2223" t="str" cm="1">
        <f t="array" ref="W825">IF($D825&lt;COLUMNS($F$7:W$7),"",INDEX(TableDiv[[GASB]:[GASB]],_xlfn.AGGREGATE(15,3,(TableDiv[[Agency]:[Agency]]=$E825)/(TableDiv[[Agency]:[Agency]]=$E825)*(ROW(TableDiv[Agency])-ROW(TableDiv[[#Headers],[Agency]])),COLUMNS($F$7:W$7))))</f>
        <v/>
      </c>
      <c r="X825" s="2223" t="str" cm="1">
        <f t="array" ref="X825">IF($D825&lt;COLUMNS($F$7:X$7),"",INDEX(TableDiv[[GASB]:[GASB]],_xlfn.AGGREGATE(15,3,(TableDiv[[Agency]:[Agency]]=$E825)/(TableDiv[[Agency]:[Agency]]=$E825)*(ROW(TableDiv[Agency])-ROW(TableDiv[[#Headers],[Agency]])),COLUMNS($F$7:X$7))))</f>
        <v/>
      </c>
      <c r="Y825" s="2223" t="str" cm="1">
        <f t="array" ref="Y825">IF($D825&lt;COLUMNS($F$7:Y$7),"",INDEX(TableDiv[[GASB]:[GASB]],_xlfn.AGGREGATE(15,3,(TableDiv[[Agency]:[Agency]]=$E825)/(TableDiv[[Agency]:[Agency]]=$E825)*(ROW(TableDiv[Agency])-ROW(TableDiv[[#Headers],[Agency]])),COLUMNS($F$7:Y$7))))</f>
        <v/>
      </c>
      <c r="Z825" s="2223" t="str" cm="1">
        <f t="array" ref="Z825">IF($D825&lt;COLUMNS($F$7:Z$7),"",INDEX(TableDiv[[GASB]:[GASB]],_xlfn.AGGREGATE(15,3,(TableDiv[[Agency]:[Agency]]=$E825)/(TableDiv[[Agency]:[Agency]]=$E825)*(ROW(TableDiv[Agency])-ROW(TableDiv[[#Headers],[Agency]])),COLUMNS($F$7:Z$7))))</f>
        <v/>
      </c>
      <c r="AA825" s="2223" t="str" cm="1">
        <f t="array" ref="AA825">IF($D825&lt;COLUMNS($F$7:AA$7),"",INDEX(TableDiv[[GASB]:[GASB]],_xlfn.AGGREGATE(15,3,(TableDiv[[Agency]:[Agency]]=$E825)/(TableDiv[[Agency]:[Agency]]=$E825)*(ROW(TableDiv[Agency])-ROW(TableDiv[[#Headers],[Agency]])),COLUMNS($F$7:AA$7))))</f>
        <v/>
      </c>
      <c r="AB825" s="2223" t="str" cm="1">
        <f t="array" ref="AB825">IF($D825&lt;COLUMNS($F$7:AB$7),"",INDEX(TableDiv[[GASB]:[GASB]],_xlfn.AGGREGATE(15,3,(TableDiv[[Agency]:[Agency]]=$E825)/(TableDiv[[Agency]:[Agency]]=$E825)*(ROW(TableDiv[Agency])-ROW(TableDiv[[#Headers],[Agency]])),COLUMNS($F$7:AB$7))))</f>
        <v/>
      </c>
      <c r="AC825" s="2223" t="str" cm="1">
        <f t="array" ref="AC825">IF($D825&lt;COLUMNS($F$7:AC$7),"",INDEX(TableDiv[[GASB]:[GASB]],_xlfn.AGGREGATE(15,3,(TableDiv[[Agency]:[Agency]]=$E825)/(TableDiv[[Agency]:[Agency]]=$E825)*(ROW(TableDiv[Agency])-ROW(TableDiv[[#Headers],[Agency]])),COLUMNS($F$7:AC$7))))</f>
        <v/>
      </c>
      <c r="AD825" s="2223" t="str" cm="1">
        <f t="array" ref="AD825">IF($D825&lt;COLUMNS($F$7:AD$7),"",INDEX(TableDiv[[GASB]:[GASB]],_xlfn.AGGREGATE(15,3,(TableDiv[[Agency]:[Agency]]=$E825)/(TableDiv[[Agency]:[Agency]]=$E825)*(ROW(TableDiv[Agency])-ROW(TableDiv[[#Headers],[Agency]])),COLUMNS($F$7:AD$7))))</f>
        <v/>
      </c>
      <c r="AE825" s="2223" t="str" cm="1">
        <f t="array" ref="AE825">IF($D825&lt;COLUMNS($F$7:AE$7),"",INDEX(TableDiv[[GASB]:[GASB]],_xlfn.AGGREGATE(15,3,(TableDiv[[Agency]:[Agency]]=$E825)/(TableDiv[[Agency]:[Agency]]=$E825)*(ROW(TableDiv[Agency])-ROW(TableDiv[[#Headers],[Agency]])),COLUMNS($F$7:AE$7))))</f>
        <v/>
      </c>
      <c r="AF825" s="2223" t="str" cm="1">
        <f t="array" ref="AF825">IF($D825&lt;COLUMNS($F$7:AF$7),"",INDEX(TableDiv[[GASB]:[GASB]],_xlfn.AGGREGATE(15,3,(TableDiv[[Agency]:[Agency]]=$E825)/(TableDiv[[Agency]:[Agency]]=$E825)*(ROW(TableDiv[Agency])-ROW(TableDiv[[#Headers],[Agency]])),COLUMNS($F$7:AF$7))))</f>
        <v/>
      </c>
      <c r="AG825" s="2223" t="str" cm="1">
        <f t="array" ref="AG825">IF($D825&lt;COLUMNS($F$7:AG$7),"",INDEX(TableDiv[[GASB]:[GASB]],_xlfn.AGGREGATE(15,3,(TableDiv[[Agency]:[Agency]]=$E825)/(TableDiv[[Agency]:[Agency]]=$E825)*(ROW(TableDiv[Agency])-ROW(TableDiv[[#Headers],[Agency]])),COLUMNS($F$7:AG$7))))</f>
        <v/>
      </c>
      <c r="AH825" s="2223" t="str" cm="1">
        <f t="array" ref="AH825">IF($D825&lt;COLUMNS($F$7:AH$7),"",INDEX(TableDiv[[GASB]:[GASB]],_xlfn.AGGREGATE(15,3,(TableDiv[[Agency]:[Agency]]=$E825)/(TableDiv[[Agency]:[Agency]]=$E825)*(ROW(TableDiv[Agency])-ROW(TableDiv[[#Headers],[Agency]])),COLUMNS($F$7:AH$7))))</f>
        <v/>
      </c>
      <c r="AI825" s="2223" t="str" cm="1">
        <f t="array" ref="AI825">IF($D825&lt;COLUMNS($F$7:AI$7),"",INDEX(TableDiv[[GASB]:[GASB]],_xlfn.AGGREGATE(15,3,(TableDiv[[Agency]:[Agency]]=$E825)/(TableDiv[[Agency]:[Agency]]=$E825)*(ROW(TableDiv[Agency])-ROW(TableDiv[[#Headers],[Agency]])),COLUMNS($F$7:AI$7))))</f>
        <v/>
      </c>
      <c r="AJ825" s="2223" t="str" cm="1">
        <f t="array" ref="AJ825">IF($D825&lt;COLUMNS($F$7:AJ$7),"",INDEX(TableDiv[[GASB]:[GASB]],_xlfn.AGGREGATE(15,3,(TableDiv[[Agency]:[Agency]]=$E825)/(TableDiv[[Agency]:[Agency]]=$E825)*(ROW(TableDiv[Agency])-ROW(TableDiv[[#Headers],[Agency]])),COLUMNS($F$7:AJ$7))))</f>
        <v/>
      </c>
      <c r="AK825" s="2223" t="str" cm="1">
        <f t="array" ref="AK825">IF($D825&lt;COLUMNS($F$7:AK$7),"",INDEX(TableDiv[[GASB]:[GASB]],_xlfn.AGGREGATE(15,3,(TableDiv[[Agency]:[Agency]]=$E825)/(TableDiv[[Agency]:[Agency]]=$E825)*(ROW(TableDiv[Agency])-ROW(TableDiv[[#Headers],[Agency]])),COLUMNS($F$7:AK$7))))</f>
        <v/>
      </c>
      <c r="AL825" s="2223" t="str" cm="1">
        <f t="array" ref="AL825">IF($D825&lt;COLUMNS($F$7:AL$7),"",INDEX(TableDiv[[GASB]:[GASB]],_xlfn.AGGREGATE(15,3,(TableDiv[[Agency]:[Agency]]=$E825)/(TableDiv[[Agency]:[Agency]]=$E825)*(ROW(TableDiv[Agency])-ROW(TableDiv[[#Headers],[Agency]])),COLUMNS($F$7:AL$7))))</f>
        <v/>
      </c>
      <c r="AM825" s="2223" t="str" cm="1">
        <f t="array" ref="AM825">IF($D825&lt;COLUMNS($F$7:AM$7),"",INDEX(TableDiv[[GASB]:[GASB]],_xlfn.AGGREGATE(15,3,(TableDiv[[Agency]:[Agency]]=$E825)/(TableDiv[[Agency]:[Agency]]=$E825)*(ROW(TableDiv[Agency])-ROW(TableDiv[[#Headers],[Agency]])),COLUMNS($F$7:AM$7))))</f>
        <v/>
      </c>
      <c r="AN825" s="2223"/>
      <c r="AO825" s="2223"/>
      <c r="AP825" s="2223"/>
      <c r="AQ825" s="2223"/>
      <c r="AR825" s="2223"/>
      <c r="AS825" s="2223"/>
    </row>
    <row r="826" spans="1:45" x14ac:dyDescent="0.2">
      <c r="A826" s="2223"/>
      <c r="B826" s="2223"/>
      <c r="C826" s="2223"/>
      <c r="W826" s="2223" t="str" cm="1">
        <f t="array" ref="W826">IF($D826&lt;COLUMNS($F$7:W$7),"",INDEX(TableDiv[[GASB]:[GASB]],_xlfn.AGGREGATE(15,3,(TableDiv[[Agency]:[Agency]]=$E826)/(TableDiv[[Agency]:[Agency]]=$E826)*(ROW(TableDiv[Agency])-ROW(TableDiv[[#Headers],[Agency]])),COLUMNS($F$7:W$7))))</f>
        <v/>
      </c>
      <c r="X826" s="2223" t="str" cm="1">
        <f t="array" ref="X826">IF($D826&lt;COLUMNS($F$7:X$7),"",INDEX(TableDiv[[GASB]:[GASB]],_xlfn.AGGREGATE(15,3,(TableDiv[[Agency]:[Agency]]=$E826)/(TableDiv[[Agency]:[Agency]]=$E826)*(ROW(TableDiv[Agency])-ROW(TableDiv[[#Headers],[Agency]])),COLUMNS($F$7:X$7))))</f>
        <v/>
      </c>
      <c r="Y826" s="2223" t="str" cm="1">
        <f t="array" ref="Y826">IF($D826&lt;COLUMNS($F$7:Y$7),"",INDEX(TableDiv[[GASB]:[GASB]],_xlfn.AGGREGATE(15,3,(TableDiv[[Agency]:[Agency]]=$E826)/(TableDiv[[Agency]:[Agency]]=$E826)*(ROW(TableDiv[Agency])-ROW(TableDiv[[#Headers],[Agency]])),COLUMNS($F$7:Y$7))))</f>
        <v/>
      </c>
      <c r="Z826" s="2223" t="str" cm="1">
        <f t="array" ref="Z826">IF($D826&lt;COLUMNS($F$7:Z$7),"",INDEX(TableDiv[[GASB]:[GASB]],_xlfn.AGGREGATE(15,3,(TableDiv[[Agency]:[Agency]]=$E826)/(TableDiv[[Agency]:[Agency]]=$E826)*(ROW(TableDiv[Agency])-ROW(TableDiv[[#Headers],[Agency]])),COLUMNS($F$7:Z$7))))</f>
        <v/>
      </c>
      <c r="AA826" s="2223" t="str" cm="1">
        <f t="array" ref="AA826">IF($D826&lt;COLUMNS($F$7:AA$7),"",INDEX(TableDiv[[GASB]:[GASB]],_xlfn.AGGREGATE(15,3,(TableDiv[[Agency]:[Agency]]=$E826)/(TableDiv[[Agency]:[Agency]]=$E826)*(ROW(TableDiv[Agency])-ROW(TableDiv[[#Headers],[Agency]])),COLUMNS($F$7:AA$7))))</f>
        <v/>
      </c>
      <c r="AB826" s="2223" t="str" cm="1">
        <f t="array" ref="AB826">IF($D826&lt;COLUMNS($F$7:AB$7),"",INDEX(TableDiv[[GASB]:[GASB]],_xlfn.AGGREGATE(15,3,(TableDiv[[Agency]:[Agency]]=$E826)/(TableDiv[[Agency]:[Agency]]=$E826)*(ROW(TableDiv[Agency])-ROW(TableDiv[[#Headers],[Agency]])),COLUMNS($F$7:AB$7))))</f>
        <v/>
      </c>
      <c r="AC826" s="2223" t="str" cm="1">
        <f t="array" ref="AC826">IF($D826&lt;COLUMNS($F$7:AC$7),"",INDEX(TableDiv[[GASB]:[GASB]],_xlfn.AGGREGATE(15,3,(TableDiv[[Agency]:[Agency]]=$E826)/(TableDiv[[Agency]:[Agency]]=$E826)*(ROW(TableDiv[Agency])-ROW(TableDiv[[#Headers],[Agency]])),COLUMNS($F$7:AC$7))))</f>
        <v/>
      </c>
      <c r="AD826" s="2223" t="str" cm="1">
        <f t="array" ref="AD826">IF($D826&lt;COLUMNS($F$7:AD$7),"",INDEX(TableDiv[[GASB]:[GASB]],_xlfn.AGGREGATE(15,3,(TableDiv[[Agency]:[Agency]]=$E826)/(TableDiv[[Agency]:[Agency]]=$E826)*(ROW(TableDiv[Agency])-ROW(TableDiv[[#Headers],[Agency]])),COLUMNS($F$7:AD$7))))</f>
        <v/>
      </c>
      <c r="AE826" s="2223" t="str" cm="1">
        <f t="array" ref="AE826">IF($D826&lt;COLUMNS($F$7:AE$7),"",INDEX(TableDiv[[GASB]:[GASB]],_xlfn.AGGREGATE(15,3,(TableDiv[[Agency]:[Agency]]=$E826)/(TableDiv[[Agency]:[Agency]]=$E826)*(ROW(TableDiv[Agency])-ROW(TableDiv[[#Headers],[Agency]])),COLUMNS($F$7:AE$7))))</f>
        <v/>
      </c>
      <c r="AF826" s="2223" t="str" cm="1">
        <f t="array" ref="AF826">IF($D826&lt;COLUMNS($F$7:AF$7),"",INDEX(TableDiv[[GASB]:[GASB]],_xlfn.AGGREGATE(15,3,(TableDiv[[Agency]:[Agency]]=$E826)/(TableDiv[[Agency]:[Agency]]=$E826)*(ROW(TableDiv[Agency])-ROW(TableDiv[[#Headers],[Agency]])),COLUMNS($F$7:AF$7))))</f>
        <v/>
      </c>
      <c r="AG826" s="2223" t="str" cm="1">
        <f t="array" ref="AG826">IF($D826&lt;COLUMNS($F$7:AG$7),"",INDEX(TableDiv[[GASB]:[GASB]],_xlfn.AGGREGATE(15,3,(TableDiv[[Agency]:[Agency]]=$E826)/(TableDiv[[Agency]:[Agency]]=$E826)*(ROW(TableDiv[Agency])-ROW(TableDiv[[#Headers],[Agency]])),COLUMNS($F$7:AG$7))))</f>
        <v/>
      </c>
      <c r="AH826" s="2223" t="str" cm="1">
        <f t="array" ref="AH826">IF($D826&lt;COLUMNS($F$7:AH$7),"",INDEX(TableDiv[[GASB]:[GASB]],_xlfn.AGGREGATE(15,3,(TableDiv[[Agency]:[Agency]]=$E826)/(TableDiv[[Agency]:[Agency]]=$E826)*(ROW(TableDiv[Agency])-ROW(TableDiv[[#Headers],[Agency]])),COLUMNS($F$7:AH$7))))</f>
        <v/>
      </c>
      <c r="AI826" s="2223" t="str" cm="1">
        <f t="array" ref="AI826">IF($D826&lt;COLUMNS($F$7:AI$7),"",INDEX(TableDiv[[GASB]:[GASB]],_xlfn.AGGREGATE(15,3,(TableDiv[[Agency]:[Agency]]=$E826)/(TableDiv[[Agency]:[Agency]]=$E826)*(ROW(TableDiv[Agency])-ROW(TableDiv[[#Headers],[Agency]])),COLUMNS($F$7:AI$7))))</f>
        <v/>
      </c>
      <c r="AJ826" s="2223" t="str" cm="1">
        <f t="array" ref="AJ826">IF($D826&lt;COLUMNS($F$7:AJ$7),"",INDEX(TableDiv[[GASB]:[GASB]],_xlfn.AGGREGATE(15,3,(TableDiv[[Agency]:[Agency]]=$E826)/(TableDiv[[Agency]:[Agency]]=$E826)*(ROW(TableDiv[Agency])-ROW(TableDiv[[#Headers],[Agency]])),COLUMNS($F$7:AJ$7))))</f>
        <v/>
      </c>
      <c r="AK826" s="2223" t="str" cm="1">
        <f t="array" ref="AK826">IF($D826&lt;COLUMNS($F$7:AK$7),"",INDEX(TableDiv[[GASB]:[GASB]],_xlfn.AGGREGATE(15,3,(TableDiv[[Agency]:[Agency]]=$E826)/(TableDiv[[Agency]:[Agency]]=$E826)*(ROW(TableDiv[Agency])-ROW(TableDiv[[#Headers],[Agency]])),COLUMNS($F$7:AK$7))))</f>
        <v/>
      </c>
      <c r="AL826" s="2223" t="str" cm="1">
        <f t="array" ref="AL826">IF($D826&lt;COLUMNS($F$7:AL$7),"",INDEX(TableDiv[[GASB]:[GASB]],_xlfn.AGGREGATE(15,3,(TableDiv[[Agency]:[Agency]]=$E826)/(TableDiv[[Agency]:[Agency]]=$E826)*(ROW(TableDiv[Agency])-ROW(TableDiv[[#Headers],[Agency]])),COLUMNS($F$7:AL$7))))</f>
        <v/>
      </c>
      <c r="AM826" s="2223" t="str" cm="1">
        <f t="array" ref="AM826">IF($D826&lt;COLUMNS($F$7:AM$7),"",INDEX(TableDiv[[GASB]:[GASB]],_xlfn.AGGREGATE(15,3,(TableDiv[[Agency]:[Agency]]=$E826)/(TableDiv[[Agency]:[Agency]]=$E826)*(ROW(TableDiv[Agency])-ROW(TableDiv[[#Headers],[Agency]])),COLUMNS($F$7:AM$7))))</f>
        <v/>
      </c>
      <c r="AN826" s="2223"/>
      <c r="AO826" s="2223"/>
      <c r="AP826" s="2223"/>
      <c r="AQ826" s="2223"/>
      <c r="AR826" s="2223"/>
      <c r="AS826" s="2223"/>
    </row>
    <row r="827" spans="1:45" x14ac:dyDescent="0.2">
      <c r="A827" s="2223"/>
      <c r="B827" s="2223"/>
      <c r="C827" s="2223"/>
      <c r="W827" s="2223" t="str" cm="1">
        <f t="array" ref="W827">IF($D827&lt;COLUMNS($F$7:W$7),"",INDEX(TableDiv[[GASB]:[GASB]],_xlfn.AGGREGATE(15,3,(TableDiv[[Agency]:[Agency]]=$E827)/(TableDiv[[Agency]:[Agency]]=$E827)*(ROW(TableDiv[Agency])-ROW(TableDiv[[#Headers],[Agency]])),COLUMNS($F$7:W$7))))</f>
        <v/>
      </c>
      <c r="X827" s="2223" t="str" cm="1">
        <f t="array" ref="X827">IF($D827&lt;COLUMNS($F$7:X$7),"",INDEX(TableDiv[[GASB]:[GASB]],_xlfn.AGGREGATE(15,3,(TableDiv[[Agency]:[Agency]]=$E827)/(TableDiv[[Agency]:[Agency]]=$E827)*(ROW(TableDiv[Agency])-ROW(TableDiv[[#Headers],[Agency]])),COLUMNS($F$7:X$7))))</f>
        <v/>
      </c>
      <c r="Y827" s="2223" t="str" cm="1">
        <f t="array" ref="Y827">IF($D827&lt;COLUMNS($F$7:Y$7),"",INDEX(TableDiv[[GASB]:[GASB]],_xlfn.AGGREGATE(15,3,(TableDiv[[Agency]:[Agency]]=$E827)/(TableDiv[[Agency]:[Agency]]=$E827)*(ROW(TableDiv[Agency])-ROW(TableDiv[[#Headers],[Agency]])),COLUMNS($F$7:Y$7))))</f>
        <v/>
      </c>
      <c r="Z827" s="2223" t="str" cm="1">
        <f t="array" ref="Z827">IF($D827&lt;COLUMNS($F$7:Z$7),"",INDEX(TableDiv[[GASB]:[GASB]],_xlfn.AGGREGATE(15,3,(TableDiv[[Agency]:[Agency]]=$E827)/(TableDiv[[Agency]:[Agency]]=$E827)*(ROW(TableDiv[Agency])-ROW(TableDiv[[#Headers],[Agency]])),COLUMNS($F$7:Z$7))))</f>
        <v/>
      </c>
      <c r="AA827" s="2223" t="str" cm="1">
        <f t="array" ref="AA827">IF($D827&lt;COLUMNS($F$7:AA$7),"",INDEX(TableDiv[[GASB]:[GASB]],_xlfn.AGGREGATE(15,3,(TableDiv[[Agency]:[Agency]]=$E827)/(TableDiv[[Agency]:[Agency]]=$E827)*(ROW(TableDiv[Agency])-ROW(TableDiv[[#Headers],[Agency]])),COLUMNS($F$7:AA$7))))</f>
        <v/>
      </c>
      <c r="AB827" s="2223" t="str" cm="1">
        <f t="array" ref="AB827">IF($D827&lt;COLUMNS($F$7:AB$7),"",INDEX(TableDiv[[GASB]:[GASB]],_xlfn.AGGREGATE(15,3,(TableDiv[[Agency]:[Agency]]=$E827)/(TableDiv[[Agency]:[Agency]]=$E827)*(ROW(TableDiv[Agency])-ROW(TableDiv[[#Headers],[Agency]])),COLUMNS($F$7:AB$7))))</f>
        <v/>
      </c>
      <c r="AC827" s="2223" t="str" cm="1">
        <f t="array" ref="AC827">IF($D827&lt;COLUMNS($F$7:AC$7),"",INDEX(TableDiv[[GASB]:[GASB]],_xlfn.AGGREGATE(15,3,(TableDiv[[Agency]:[Agency]]=$E827)/(TableDiv[[Agency]:[Agency]]=$E827)*(ROW(TableDiv[Agency])-ROW(TableDiv[[#Headers],[Agency]])),COLUMNS($F$7:AC$7))))</f>
        <v/>
      </c>
      <c r="AD827" s="2223" t="str" cm="1">
        <f t="array" ref="AD827">IF($D827&lt;COLUMNS($F$7:AD$7),"",INDEX(TableDiv[[GASB]:[GASB]],_xlfn.AGGREGATE(15,3,(TableDiv[[Agency]:[Agency]]=$E827)/(TableDiv[[Agency]:[Agency]]=$E827)*(ROW(TableDiv[Agency])-ROW(TableDiv[[#Headers],[Agency]])),COLUMNS($F$7:AD$7))))</f>
        <v/>
      </c>
      <c r="AE827" s="2223" t="str" cm="1">
        <f t="array" ref="AE827">IF($D827&lt;COLUMNS($F$7:AE$7),"",INDEX(TableDiv[[GASB]:[GASB]],_xlfn.AGGREGATE(15,3,(TableDiv[[Agency]:[Agency]]=$E827)/(TableDiv[[Agency]:[Agency]]=$E827)*(ROW(TableDiv[Agency])-ROW(TableDiv[[#Headers],[Agency]])),COLUMNS($F$7:AE$7))))</f>
        <v/>
      </c>
      <c r="AF827" s="2223" t="str" cm="1">
        <f t="array" ref="AF827">IF($D827&lt;COLUMNS($F$7:AF$7),"",INDEX(TableDiv[[GASB]:[GASB]],_xlfn.AGGREGATE(15,3,(TableDiv[[Agency]:[Agency]]=$E827)/(TableDiv[[Agency]:[Agency]]=$E827)*(ROW(TableDiv[Agency])-ROW(TableDiv[[#Headers],[Agency]])),COLUMNS($F$7:AF$7))))</f>
        <v/>
      </c>
      <c r="AG827" s="2223" t="str" cm="1">
        <f t="array" ref="AG827">IF($D827&lt;COLUMNS($F$7:AG$7),"",INDEX(TableDiv[[GASB]:[GASB]],_xlfn.AGGREGATE(15,3,(TableDiv[[Agency]:[Agency]]=$E827)/(TableDiv[[Agency]:[Agency]]=$E827)*(ROW(TableDiv[Agency])-ROW(TableDiv[[#Headers],[Agency]])),COLUMNS($F$7:AG$7))))</f>
        <v/>
      </c>
      <c r="AH827" s="2223" t="str" cm="1">
        <f t="array" ref="AH827">IF($D827&lt;COLUMNS($F$7:AH$7),"",INDEX(TableDiv[[GASB]:[GASB]],_xlfn.AGGREGATE(15,3,(TableDiv[[Agency]:[Agency]]=$E827)/(TableDiv[[Agency]:[Agency]]=$E827)*(ROW(TableDiv[Agency])-ROW(TableDiv[[#Headers],[Agency]])),COLUMNS($F$7:AH$7))))</f>
        <v/>
      </c>
      <c r="AI827" s="2223" t="str" cm="1">
        <f t="array" ref="AI827">IF($D827&lt;COLUMNS($F$7:AI$7),"",INDEX(TableDiv[[GASB]:[GASB]],_xlfn.AGGREGATE(15,3,(TableDiv[[Agency]:[Agency]]=$E827)/(TableDiv[[Agency]:[Agency]]=$E827)*(ROW(TableDiv[Agency])-ROW(TableDiv[[#Headers],[Agency]])),COLUMNS($F$7:AI$7))))</f>
        <v/>
      </c>
      <c r="AJ827" s="2223" t="str" cm="1">
        <f t="array" ref="AJ827">IF($D827&lt;COLUMNS($F$7:AJ$7),"",INDEX(TableDiv[[GASB]:[GASB]],_xlfn.AGGREGATE(15,3,(TableDiv[[Agency]:[Agency]]=$E827)/(TableDiv[[Agency]:[Agency]]=$E827)*(ROW(TableDiv[Agency])-ROW(TableDiv[[#Headers],[Agency]])),COLUMNS($F$7:AJ$7))))</f>
        <v/>
      </c>
      <c r="AK827" s="2223" t="str" cm="1">
        <f t="array" ref="AK827">IF($D827&lt;COLUMNS($F$7:AK$7),"",INDEX(TableDiv[[GASB]:[GASB]],_xlfn.AGGREGATE(15,3,(TableDiv[[Agency]:[Agency]]=$E827)/(TableDiv[[Agency]:[Agency]]=$E827)*(ROW(TableDiv[Agency])-ROW(TableDiv[[#Headers],[Agency]])),COLUMNS($F$7:AK$7))))</f>
        <v/>
      </c>
      <c r="AL827" s="2223" t="str" cm="1">
        <f t="array" ref="AL827">IF($D827&lt;COLUMNS($F$7:AL$7),"",INDEX(TableDiv[[GASB]:[GASB]],_xlfn.AGGREGATE(15,3,(TableDiv[[Agency]:[Agency]]=$E827)/(TableDiv[[Agency]:[Agency]]=$E827)*(ROW(TableDiv[Agency])-ROW(TableDiv[[#Headers],[Agency]])),COLUMNS($F$7:AL$7))))</f>
        <v/>
      </c>
      <c r="AM827" s="2223" t="str" cm="1">
        <f t="array" ref="AM827">IF($D827&lt;COLUMNS($F$7:AM$7),"",INDEX(TableDiv[[GASB]:[GASB]],_xlfn.AGGREGATE(15,3,(TableDiv[[Agency]:[Agency]]=$E827)/(TableDiv[[Agency]:[Agency]]=$E827)*(ROW(TableDiv[Agency])-ROW(TableDiv[[#Headers],[Agency]])),COLUMNS($F$7:AM$7))))</f>
        <v/>
      </c>
      <c r="AN827" s="2223"/>
      <c r="AO827" s="2223"/>
      <c r="AP827" s="2223"/>
      <c r="AQ827" s="2223"/>
      <c r="AR827" s="2223"/>
      <c r="AS827" s="2223"/>
    </row>
    <row r="828" spans="1:45" x14ac:dyDescent="0.2">
      <c r="A828" s="2223"/>
      <c r="B828" s="2223"/>
      <c r="C828" s="2223"/>
      <c r="W828" s="2223" t="str" cm="1">
        <f t="array" ref="W828">IF($D828&lt;COLUMNS($F$7:W$7),"",INDEX(TableDiv[[GASB]:[GASB]],_xlfn.AGGREGATE(15,3,(TableDiv[[Agency]:[Agency]]=$E828)/(TableDiv[[Agency]:[Agency]]=$E828)*(ROW(TableDiv[Agency])-ROW(TableDiv[[#Headers],[Agency]])),COLUMNS($F$7:W$7))))</f>
        <v/>
      </c>
      <c r="X828" s="2223" t="str" cm="1">
        <f t="array" ref="X828">IF($D828&lt;COLUMNS($F$7:X$7),"",INDEX(TableDiv[[GASB]:[GASB]],_xlfn.AGGREGATE(15,3,(TableDiv[[Agency]:[Agency]]=$E828)/(TableDiv[[Agency]:[Agency]]=$E828)*(ROW(TableDiv[Agency])-ROW(TableDiv[[#Headers],[Agency]])),COLUMNS($F$7:X$7))))</f>
        <v/>
      </c>
      <c r="Y828" s="2223" t="str" cm="1">
        <f t="array" ref="Y828">IF($D828&lt;COLUMNS($F$7:Y$7),"",INDEX(TableDiv[[GASB]:[GASB]],_xlfn.AGGREGATE(15,3,(TableDiv[[Agency]:[Agency]]=$E828)/(TableDiv[[Agency]:[Agency]]=$E828)*(ROW(TableDiv[Agency])-ROW(TableDiv[[#Headers],[Agency]])),COLUMNS($F$7:Y$7))))</f>
        <v/>
      </c>
      <c r="Z828" s="2223" t="str" cm="1">
        <f t="array" ref="Z828">IF($D828&lt;COLUMNS($F$7:Z$7),"",INDEX(TableDiv[[GASB]:[GASB]],_xlfn.AGGREGATE(15,3,(TableDiv[[Agency]:[Agency]]=$E828)/(TableDiv[[Agency]:[Agency]]=$E828)*(ROW(TableDiv[Agency])-ROW(TableDiv[[#Headers],[Agency]])),COLUMNS($F$7:Z$7))))</f>
        <v/>
      </c>
      <c r="AA828" s="2223" t="str" cm="1">
        <f t="array" ref="AA828">IF($D828&lt;COLUMNS($F$7:AA$7),"",INDEX(TableDiv[[GASB]:[GASB]],_xlfn.AGGREGATE(15,3,(TableDiv[[Agency]:[Agency]]=$E828)/(TableDiv[[Agency]:[Agency]]=$E828)*(ROW(TableDiv[Agency])-ROW(TableDiv[[#Headers],[Agency]])),COLUMNS($F$7:AA$7))))</f>
        <v/>
      </c>
      <c r="AB828" s="2223" t="str" cm="1">
        <f t="array" ref="AB828">IF($D828&lt;COLUMNS($F$7:AB$7),"",INDEX(TableDiv[[GASB]:[GASB]],_xlfn.AGGREGATE(15,3,(TableDiv[[Agency]:[Agency]]=$E828)/(TableDiv[[Agency]:[Agency]]=$E828)*(ROW(TableDiv[Agency])-ROW(TableDiv[[#Headers],[Agency]])),COLUMNS($F$7:AB$7))))</f>
        <v/>
      </c>
      <c r="AC828" s="2223" t="str" cm="1">
        <f t="array" ref="AC828">IF($D828&lt;COLUMNS($F$7:AC$7),"",INDEX(TableDiv[[GASB]:[GASB]],_xlfn.AGGREGATE(15,3,(TableDiv[[Agency]:[Agency]]=$E828)/(TableDiv[[Agency]:[Agency]]=$E828)*(ROW(TableDiv[Agency])-ROW(TableDiv[[#Headers],[Agency]])),COLUMNS($F$7:AC$7))))</f>
        <v/>
      </c>
      <c r="AD828" s="2223" t="str" cm="1">
        <f t="array" ref="AD828">IF($D828&lt;COLUMNS($F$7:AD$7),"",INDEX(TableDiv[[GASB]:[GASB]],_xlfn.AGGREGATE(15,3,(TableDiv[[Agency]:[Agency]]=$E828)/(TableDiv[[Agency]:[Agency]]=$E828)*(ROW(TableDiv[Agency])-ROW(TableDiv[[#Headers],[Agency]])),COLUMNS($F$7:AD$7))))</f>
        <v/>
      </c>
      <c r="AE828" s="2223" t="str" cm="1">
        <f t="array" ref="AE828">IF($D828&lt;COLUMNS($F$7:AE$7),"",INDEX(TableDiv[[GASB]:[GASB]],_xlfn.AGGREGATE(15,3,(TableDiv[[Agency]:[Agency]]=$E828)/(TableDiv[[Agency]:[Agency]]=$E828)*(ROW(TableDiv[Agency])-ROW(TableDiv[[#Headers],[Agency]])),COLUMNS($F$7:AE$7))))</f>
        <v/>
      </c>
      <c r="AF828" s="2223" t="str" cm="1">
        <f t="array" ref="AF828">IF($D828&lt;COLUMNS($F$7:AF$7),"",INDEX(TableDiv[[GASB]:[GASB]],_xlfn.AGGREGATE(15,3,(TableDiv[[Agency]:[Agency]]=$E828)/(TableDiv[[Agency]:[Agency]]=$E828)*(ROW(TableDiv[Agency])-ROW(TableDiv[[#Headers],[Agency]])),COLUMNS($F$7:AF$7))))</f>
        <v/>
      </c>
      <c r="AG828" s="2223" t="str" cm="1">
        <f t="array" ref="AG828">IF($D828&lt;COLUMNS($F$7:AG$7),"",INDEX(TableDiv[[GASB]:[GASB]],_xlfn.AGGREGATE(15,3,(TableDiv[[Agency]:[Agency]]=$E828)/(TableDiv[[Agency]:[Agency]]=$E828)*(ROW(TableDiv[Agency])-ROW(TableDiv[[#Headers],[Agency]])),COLUMNS($F$7:AG$7))))</f>
        <v/>
      </c>
      <c r="AH828" s="2223" t="str" cm="1">
        <f t="array" ref="AH828">IF($D828&lt;COLUMNS($F$7:AH$7),"",INDEX(TableDiv[[GASB]:[GASB]],_xlfn.AGGREGATE(15,3,(TableDiv[[Agency]:[Agency]]=$E828)/(TableDiv[[Agency]:[Agency]]=$E828)*(ROW(TableDiv[Agency])-ROW(TableDiv[[#Headers],[Agency]])),COLUMNS($F$7:AH$7))))</f>
        <v/>
      </c>
      <c r="AI828" s="2223" t="str" cm="1">
        <f t="array" ref="AI828">IF($D828&lt;COLUMNS($F$7:AI$7),"",INDEX(TableDiv[[GASB]:[GASB]],_xlfn.AGGREGATE(15,3,(TableDiv[[Agency]:[Agency]]=$E828)/(TableDiv[[Agency]:[Agency]]=$E828)*(ROW(TableDiv[Agency])-ROW(TableDiv[[#Headers],[Agency]])),COLUMNS($F$7:AI$7))))</f>
        <v/>
      </c>
      <c r="AJ828" s="2223" t="str" cm="1">
        <f t="array" ref="AJ828">IF($D828&lt;COLUMNS($F$7:AJ$7),"",INDEX(TableDiv[[GASB]:[GASB]],_xlfn.AGGREGATE(15,3,(TableDiv[[Agency]:[Agency]]=$E828)/(TableDiv[[Agency]:[Agency]]=$E828)*(ROW(TableDiv[Agency])-ROW(TableDiv[[#Headers],[Agency]])),COLUMNS($F$7:AJ$7))))</f>
        <v/>
      </c>
      <c r="AK828" s="2223" t="str" cm="1">
        <f t="array" ref="AK828">IF($D828&lt;COLUMNS($F$7:AK$7),"",INDEX(TableDiv[[GASB]:[GASB]],_xlfn.AGGREGATE(15,3,(TableDiv[[Agency]:[Agency]]=$E828)/(TableDiv[[Agency]:[Agency]]=$E828)*(ROW(TableDiv[Agency])-ROW(TableDiv[[#Headers],[Agency]])),COLUMNS($F$7:AK$7))))</f>
        <v/>
      </c>
      <c r="AL828" s="2223" t="str" cm="1">
        <f t="array" ref="AL828">IF($D828&lt;COLUMNS($F$7:AL$7),"",INDEX(TableDiv[[GASB]:[GASB]],_xlfn.AGGREGATE(15,3,(TableDiv[[Agency]:[Agency]]=$E828)/(TableDiv[[Agency]:[Agency]]=$E828)*(ROW(TableDiv[Agency])-ROW(TableDiv[[#Headers],[Agency]])),COLUMNS($F$7:AL$7))))</f>
        <v/>
      </c>
      <c r="AM828" s="2223" t="str" cm="1">
        <f t="array" ref="AM828">IF($D828&lt;COLUMNS($F$7:AM$7),"",INDEX(TableDiv[[GASB]:[GASB]],_xlfn.AGGREGATE(15,3,(TableDiv[[Agency]:[Agency]]=$E828)/(TableDiv[[Agency]:[Agency]]=$E828)*(ROW(TableDiv[Agency])-ROW(TableDiv[[#Headers],[Agency]])),COLUMNS($F$7:AM$7))))</f>
        <v/>
      </c>
      <c r="AN828" s="2223"/>
      <c r="AO828" s="2223"/>
      <c r="AP828" s="2223"/>
      <c r="AQ828" s="2223"/>
      <c r="AR828" s="2223"/>
      <c r="AS828" s="2223"/>
    </row>
    <row r="829" spans="1:45" x14ac:dyDescent="0.2">
      <c r="A829" s="2223"/>
      <c r="B829" s="2223"/>
      <c r="C829" s="2223"/>
      <c r="W829" s="2223" t="str" cm="1">
        <f t="array" ref="W829">IF($D829&lt;COLUMNS($F$7:W$7),"",INDEX(TableDiv[[GASB]:[GASB]],_xlfn.AGGREGATE(15,3,(TableDiv[[Agency]:[Agency]]=$E829)/(TableDiv[[Agency]:[Agency]]=$E829)*(ROW(TableDiv[Agency])-ROW(TableDiv[[#Headers],[Agency]])),COLUMNS($F$7:W$7))))</f>
        <v/>
      </c>
      <c r="X829" s="2223" t="str" cm="1">
        <f t="array" ref="X829">IF($D829&lt;COLUMNS($F$7:X$7),"",INDEX(TableDiv[[GASB]:[GASB]],_xlfn.AGGREGATE(15,3,(TableDiv[[Agency]:[Agency]]=$E829)/(TableDiv[[Agency]:[Agency]]=$E829)*(ROW(TableDiv[Agency])-ROW(TableDiv[[#Headers],[Agency]])),COLUMNS($F$7:X$7))))</f>
        <v/>
      </c>
      <c r="Y829" s="2223" t="str" cm="1">
        <f t="array" ref="Y829">IF($D829&lt;COLUMNS($F$7:Y$7),"",INDEX(TableDiv[[GASB]:[GASB]],_xlfn.AGGREGATE(15,3,(TableDiv[[Agency]:[Agency]]=$E829)/(TableDiv[[Agency]:[Agency]]=$E829)*(ROW(TableDiv[Agency])-ROW(TableDiv[[#Headers],[Agency]])),COLUMNS($F$7:Y$7))))</f>
        <v/>
      </c>
      <c r="Z829" s="2223" t="str" cm="1">
        <f t="array" ref="Z829">IF($D829&lt;COLUMNS($F$7:Z$7),"",INDEX(TableDiv[[GASB]:[GASB]],_xlfn.AGGREGATE(15,3,(TableDiv[[Agency]:[Agency]]=$E829)/(TableDiv[[Agency]:[Agency]]=$E829)*(ROW(TableDiv[Agency])-ROW(TableDiv[[#Headers],[Agency]])),COLUMNS($F$7:Z$7))))</f>
        <v/>
      </c>
      <c r="AA829" s="2223" t="str" cm="1">
        <f t="array" ref="AA829">IF($D829&lt;COLUMNS($F$7:AA$7),"",INDEX(TableDiv[[GASB]:[GASB]],_xlfn.AGGREGATE(15,3,(TableDiv[[Agency]:[Agency]]=$E829)/(TableDiv[[Agency]:[Agency]]=$E829)*(ROW(TableDiv[Agency])-ROW(TableDiv[[#Headers],[Agency]])),COLUMNS($F$7:AA$7))))</f>
        <v/>
      </c>
      <c r="AB829" s="2223" t="str" cm="1">
        <f t="array" ref="AB829">IF($D829&lt;COLUMNS($F$7:AB$7),"",INDEX(TableDiv[[GASB]:[GASB]],_xlfn.AGGREGATE(15,3,(TableDiv[[Agency]:[Agency]]=$E829)/(TableDiv[[Agency]:[Agency]]=$E829)*(ROW(TableDiv[Agency])-ROW(TableDiv[[#Headers],[Agency]])),COLUMNS($F$7:AB$7))))</f>
        <v/>
      </c>
      <c r="AC829" s="2223" t="str" cm="1">
        <f t="array" ref="AC829">IF($D829&lt;COLUMNS($F$7:AC$7),"",INDEX(TableDiv[[GASB]:[GASB]],_xlfn.AGGREGATE(15,3,(TableDiv[[Agency]:[Agency]]=$E829)/(TableDiv[[Agency]:[Agency]]=$E829)*(ROW(TableDiv[Agency])-ROW(TableDiv[[#Headers],[Agency]])),COLUMNS($F$7:AC$7))))</f>
        <v/>
      </c>
      <c r="AD829" s="2223" t="str" cm="1">
        <f t="array" ref="AD829">IF($D829&lt;COLUMNS($F$7:AD$7),"",INDEX(TableDiv[[GASB]:[GASB]],_xlfn.AGGREGATE(15,3,(TableDiv[[Agency]:[Agency]]=$E829)/(TableDiv[[Agency]:[Agency]]=$E829)*(ROW(TableDiv[Agency])-ROW(TableDiv[[#Headers],[Agency]])),COLUMNS($F$7:AD$7))))</f>
        <v/>
      </c>
      <c r="AE829" s="2223" t="str" cm="1">
        <f t="array" ref="AE829">IF($D829&lt;COLUMNS($F$7:AE$7),"",INDEX(TableDiv[[GASB]:[GASB]],_xlfn.AGGREGATE(15,3,(TableDiv[[Agency]:[Agency]]=$E829)/(TableDiv[[Agency]:[Agency]]=$E829)*(ROW(TableDiv[Agency])-ROW(TableDiv[[#Headers],[Agency]])),COLUMNS($F$7:AE$7))))</f>
        <v/>
      </c>
      <c r="AF829" s="2223" t="str" cm="1">
        <f t="array" ref="AF829">IF($D829&lt;COLUMNS($F$7:AF$7),"",INDEX(TableDiv[[GASB]:[GASB]],_xlfn.AGGREGATE(15,3,(TableDiv[[Agency]:[Agency]]=$E829)/(TableDiv[[Agency]:[Agency]]=$E829)*(ROW(TableDiv[Agency])-ROW(TableDiv[[#Headers],[Agency]])),COLUMNS($F$7:AF$7))))</f>
        <v/>
      </c>
      <c r="AG829" s="2223" t="str" cm="1">
        <f t="array" ref="AG829">IF($D829&lt;COLUMNS($F$7:AG$7),"",INDEX(TableDiv[[GASB]:[GASB]],_xlfn.AGGREGATE(15,3,(TableDiv[[Agency]:[Agency]]=$E829)/(TableDiv[[Agency]:[Agency]]=$E829)*(ROW(TableDiv[Agency])-ROW(TableDiv[[#Headers],[Agency]])),COLUMNS($F$7:AG$7))))</f>
        <v/>
      </c>
      <c r="AH829" s="2223" t="str" cm="1">
        <f t="array" ref="AH829">IF($D829&lt;COLUMNS($F$7:AH$7),"",INDEX(TableDiv[[GASB]:[GASB]],_xlfn.AGGREGATE(15,3,(TableDiv[[Agency]:[Agency]]=$E829)/(TableDiv[[Agency]:[Agency]]=$E829)*(ROW(TableDiv[Agency])-ROW(TableDiv[[#Headers],[Agency]])),COLUMNS($F$7:AH$7))))</f>
        <v/>
      </c>
      <c r="AI829" s="2223" t="str" cm="1">
        <f t="array" ref="AI829">IF($D829&lt;COLUMNS($F$7:AI$7),"",INDEX(TableDiv[[GASB]:[GASB]],_xlfn.AGGREGATE(15,3,(TableDiv[[Agency]:[Agency]]=$E829)/(TableDiv[[Agency]:[Agency]]=$E829)*(ROW(TableDiv[Agency])-ROW(TableDiv[[#Headers],[Agency]])),COLUMNS($F$7:AI$7))))</f>
        <v/>
      </c>
      <c r="AJ829" s="2223" t="str" cm="1">
        <f t="array" ref="AJ829">IF($D829&lt;COLUMNS($F$7:AJ$7),"",INDEX(TableDiv[[GASB]:[GASB]],_xlfn.AGGREGATE(15,3,(TableDiv[[Agency]:[Agency]]=$E829)/(TableDiv[[Agency]:[Agency]]=$E829)*(ROW(TableDiv[Agency])-ROW(TableDiv[[#Headers],[Agency]])),COLUMNS($F$7:AJ$7))))</f>
        <v/>
      </c>
      <c r="AK829" s="2223" t="str" cm="1">
        <f t="array" ref="AK829">IF($D829&lt;COLUMNS($F$7:AK$7),"",INDEX(TableDiv[[GASB]:[GASB]],_xlfn.AGGREGATE(15,3,(TableDiv[[Agency]:[Agency]]=$E829)/(TableDiv[[Agency]:[Agency]]=$E829)*(ROW(TableDiv[Agency])-ROW(TableDiv[[#Headers],[Agency]])),COLUMNS($F$7:AK$7))))</f>
        <v/>
      </c>
      <c r="AL829" s="2223" t="str" cm="1">
        <f t="array" ref="AL829">IF($D829&lt;COLUMNS($F$7:AL$7),"",INDEX(TableDiv[[GASB]:[GASB]],_xlfn.AGGREGATE(15,3,(TableDiv[[Agency]:[Agency]]=$E829)/(TableDiv[[Agency]:[Agency]]=$E829)*(ROW(TableDiv[Agency])-ROW(TableDiv[[#Headers],[Agency]])),COLUMNS($F$7:AL$7))))</f>
        <v/>
      </c>
      <c r="AM829" s="2223" t="str" cm="1">
        <f t="array" ref="AM829">IF($D829&lt;COLUMNS($F$7:AM$7),"",INDEX(TableDiv[[GASB]:[GASB]],_xlfn.AGGREGATE(15,3,(TableDiv[[Agency]:[Agency]]=$E829)/(TableDiv[[Agency]:[Agency]]=$E829)*(ROW(TableDiv[Agency])-ROW(TableDiv[[#Headers],[Agency]])),COLUMNS($F$7:AM$7))))</f>
        <v/>
      </c>
      <c r="AN829" s="2223"/>
      <c r="AO829" s="2223"/>
      <c r="AP829" s="2223"/>
      <c r="AQ829" s="2223"/>
      <c r="AR829" s="2223"/>
      <c r="AS829" s="2223"/>
    </row>
    <row r="830" spans="1:45" x14ac:dyDescent="0.2">
      <c r="A830" s="2223"/>
      <c r="B830" s="2223"/>
      <c r="C830" s="2223"/>
      <c r="W830" s="2223" t="str" cm="1">
        <f t="array" ref="W830">IF($D830&lt;COLUMNS($F$7:W$7),"",INDEX(TableDiv[[GASB]:[GASB]],_xlfn.AGGREGATE(15,3,(TableDiv[[Agency]:[Agency]]=$E830)/(TableDiv[[Agency]:[Agency]]=$E830)*(ROW(TableDiv[Agency])-ROW(TableDiv[[#Headers],[Agency]])),COLUMNS($F$7:W$7))))</f>
        <v/>
      </c>
      <c r="X830" s="2223" t="str" cm="1">
        <f t="array" ref="X830">IF($D830&lt;COLUMNS($F$7:X$7),"",INDEX(TableDiv[[GASB]:[GASB]],_xlfn.AGGREGATE(15,3,(TableDiv[[Agency]:[Agency]]=$E830)/(TableDiv[[Agency]:[Agency]]=$E830)*(ROW(TableDiv[Agency])-ROW(TableDiv[[#Headers],[Agency]])),COLUMNS($F$7:X$7))))</f>
        <v/>
      </c>
      <c r="Y830" s="2223" t="str" cm="1">
        <f t="array" ref="Y830">IF($D830&lt;COLUMNS($F$7:Y$7),"",INDEX(TableDiv[[GASB]:[GASB]],_xlfn.AGGREGATE(15,3,(TableDiv[[Agency]:[Agency]]=$E830)/(TableDiv[[Agency]:[Agency]]=$E830)*(ROW(TableDiv[Agency])-ROW(TableDiv[[#Headers],[Agency]])),COLUMNS($F$7:Y$7))))</f>
        <v/>
      </c>
      <c r="Z830" s="2223" t="str" cm="1">
        <f t="array" ref="Z830">IF($D830&lt;COLUMNS($F$7:Z$7),"",INDEX(TableDiv[[GASB]:[GASB]],_xlfn.AGGREGATE(15,3,(TableDiv[[Agency]:[Agency]]=$E830)/(TableDiv[[Agency]:[Agency]]=$E830)*(ROW(TableDiv[Agency])-ROW(TableDiv[[#Headers],[Agency]])),COLUMNS($F$7:Z$7))))</f>
        <v/>
      </c>
      <c r="AA830" s="2223" t="str" cm="1">
        <f t="array" ref="AA830">IF($D830&lt;COLUMNS($F$7:AA$7),"",INDEX(TableDiv[[GASB]:[GASB]],_xlfn.AGGREGATE(15,3,(TableDiv[[Agency]:[Agency]]=$E830)/(TableDiv[[Agency]:[Agency]]=$E830)*(ROW(TableDiv[Agency])-ROW(TableDiv[[#Headers],[Agency]])),COLUMNS($F$7:AA$7))))</f>
        <v/>
      </c>
      <c r="AB830" s="2223" t="str" cm="1">
        <f t="array" ref="AB830">IF($D830&lt;COLUMNS($F$7:AB$7),"",INDEX(TableDiv[[GASB]:[GASB]],_xlfn.AGGREGATE(15,3,(TableDiv[[Agency]:[Agency]]=$E830)/(TableDiv[[Agency]:[Agency]]=$E830)*(ROW(TableDiv[Agency])-ROW(TableDiv[[#Headers],[Agency]])),COLUMNS($F$7:AB$7))))</f>
        <v/>
      </c>
      <c r="AC830" s="2223" t="str" cm="1">
        <f t="array" ref="AC830">IF($D830&lt;COLUMNS($F$7:AC$7),"",INDEX(TableDiv[[GASB]:[GASB]],_xlfn.AGGREGATE(15,3,(TableDiv[[Agency]:[Agency]]=$E830)/(TableDiv[[Agency]:[Agency]]=$E830)*(ROW(TableDiv[Agency])-ROW(TableDiv[[#Headers],[Agency]])),COLUMNS($F$7:AC$7))))</f>
        <v/>
      </c>
      <c r="AD830" s="2223" t="str" cm="1">
        <f t="array" ref="AD830">IF($D830&lt;COLUMNS($F$7:AD$7),"",INDEX(TableDiv[[GASB]:[GASB]],_xlfn.AGGREGATE(15,3,(TableDiv[[Agency]:[Agency]]=$E830)/(TableDiv[[Agency]:[Agency]]=$E830)*(ROW(TableDiv[Agency])-ROW(TableDiv[[#Headers],[Agency]])),COLUMNS($F$7:AD$7))))</f>
        <v/>
      </c>
      <c r="AE830" s="2223" t="str" cm="1">
        <f t="array" ref="AE830">IF($D830&lt;COLUMNS($F$7:AE$7),"",INDEX(TableDiv[[GASB]:[GASB]],_xlfn.AGGREGATE(15,3,(TableDiv[[Agency]:[Agency]]=$E830)/(TableDiv[[Agency]:[Agency]]=$E830)*(ROW(TableDiv[Agency])-ROW(TableDiv[[#Headers],[Agency]])),COLUMNS($F$7:AE$7))))</f>
        <v/>
      </c>
      <c r="AF830" s="2223" t="str" cm="1">
        <f t="array" ref="AF830">IF($D830&lt;COLUMNS($F$7:AF$7),"",INDEX(TableDiv[[GASB]:[GASB]],_xlfn.AGGREGATE(15,3,(TableDiv[[Agency]:[Agency]]=$E830)/(TableDiv[[Agency]:[Agency]]=$E830)*(ROW(TableDiv[Agency])-ROW(TableDiv[[#Headers],[Agency]])),COLUMNS($F$7:AF$7))))</f>
        <v/>
      </c>
      <c r="AG830" s="2223" t="str" cm="1">
        <f t="array" ref="AG830">IF($D830&lt;COLUMNS($F$7:AG$7),"",INDEX(TableDiv[[GASB]:[GASB]],_xlfn.AGGREGATE(15,3,(TableDiv[[Agency]:[Agency]]=$E830)/(TableDiv[[Agency]:[Agency]]=$E830)*(ROW(TableDiv[Agency])-ROW(TableDiv[[#Headers],[Agency]])),COLUMNS($F$7:AG$7))))</f>
        <v/>
      </c>
      <c r="AH830" s="2223" t="str" cm="1">
        <f t="array" ref="AH830">IF($D830&lt;COLUMNS($F$7:AH$7),"",INDEX(TableDiv[[GASB]:[GASB]],_xlfn.AGGREGATE(15,3,(TableDiv[[Agency]:[Agency]]=$E830)/(TableDiv[[Agency]:[Agency]]=$E830)*(ROW(TableDiv[Agency])-ROW(TableDiv[[#Headers],[Agency]])),COLUMNS($F$7:AH$7))))</f>
        <v/>
      </c>
      <c r="AI830" s="2223" t="str" cm="1">
        <f t="array" ref="AI830">IF($D830&lt;COLUMNS($F$7:AI$7),"",INDEX(TableDiv[[GASB]:[GASB]],_xlfn.AGGREGATE(15,3,(TableDiv[[Agency]:[Agency]]=$E830)/(TableDiv[[Agency]:[Agency]]=$E830)*(ROW(TableDiv[Agency])-ROW(TableDiv[[#Headers],[Agency]])),COLUMNS($F$7:AI$7))))</f>
        <v/>
      </c>
      <c r="AJ830" s="2223" t="str" cm="1">
        <f t="array" ref="AJ830">IF($D830&lt;COLUMNS($F$7:AJ$7),"",INDEX(TableDiv[[GASB]:[GASB]],_xlfn.AGGREGATE(15,3,(TableDiv[[Agency]:[Agency]]=$E830)/(TableDiv[[Agency]:[Agency]]=$E830)*(ROW(TableDiv[Agency])-ROW(TableDiv[[#Headers],[Agency]])),COLUMNS($F$7:AJ$7))))</f>
        <v/>
      </c>
      <c r="AK830" s="2223" t="str" cm="1">
        <f t="array" ref="AK830">IF($D830&lt;COLUMNS($F$7:AK$7),"",INDEX(TableDiv[[GASB]:[GASB]],_xlfn.AGGREGATE(15,3,(TableDiv[[Agency]:[Agency]]=$E830)/(TableDiv[[Agency]:[Agency]]=$E830)*(ROW(TableDiv[Agency])-ROW(TableDiv[[#Headers],[Agency]])),COLUMNS($F$7:AK$7))))</f>
        <v/>
      </c>
      <c r="AL830" s="2223" t="str" cm="1">
        <f t="array" ref="AL830">IF($D830&lt;COLUMNS($F$7:AL$7),"",INDEX(TableDiv[[GASB]:[GASB]],_xlfn.AGGREGATE(15,3,(TableDiv[[Agency]:[Agency]]=$E830)/(TableDiv[[Agency]:[Agency]]=$E830)*(ROW(TableDiv[Agency])-ROW(TableDiv[[#Headers],[Agency]])),COLUMNS($F$7:AL$7))))</f>
        <v/>
      </c>
      <c r="AM830" s="2223" t="str" cm="1">
        <f t="array" ref="AM830">IF($D830&lt;COLUMNS($F$7:AM$7),"",INDEX(TableDiv[[GASB]:[GASB]],_xlfn.AGGREGATE(15,3,(TableDiv[[Agency]:[Agency]]=$E830)/(TableDiv[[Agency]:[Agency]]=$E830)*(ROW(TableDiv[Agency])-ROW(TableDiv[[#Headers],[Agency]])),COLUMNS($F$7:AM$7))))</f>
        <v/>
      </c>
      <c r="AN830" s="2223"/>
      <c r="AO830" s="2223"/>
      <c r="AP830" s="2223"/>
      <c r="AQ830" s="2223"/>
      <c r="AR830" s="2223"/>
      <c r="AS830" s="2223"/>
    </row>
    <row r="831" spans="1:45" x14ac:dyDescent="0.2">
      <c r="A831" s="2223"/>
      <c r="B831" s="2223"/>
      <c r="C831" s="2223"/>
      <c r="W831" s="2223" t="str" cm="1">
        <f t="array" ref="W831">IF($D831&lt;COLUMNS($F$7:W$7),"",INDEX(TableDiv[[GASB]:[GASB]],_xlfn.AGGREGATE(15,3,(TableDiv[[Agency]:[Agency]]=$E831)/(TableDiv[[Agency]:[Agency]]=$E831)*(ROW(TableDiv[Agency])-ROW(TableDiv[[#Headers],[Agency]])),COLUMNS($F$7:W$7))))</f>
        <v/>
      </c>
      <c r="X831" s="2223" t="str" cm="1">
        <f t="array" ref="X831">IF($D831&lt;COLUMNS($F$7:X$7),"",INDEX(TableDiv[[GASB]:[GASB]],_xlfn.AGGREGATE(15,3,(TableDiv[[Agency]:[Agency]]=$E831)/(TableDiv[[Agency]:[Agency]]=$E831)*(ROW(TableDiv[Agency])-ROW(TableDiv[[#Headers],[Agency]])),COLUMNS($F$7:X$7))))</f>
        <v/>
      </c>
      <c r="Y831" s="2223" t="str" cm="1">
        <f t="array" ref="Y831">IF($D831&lt;COLUMNS($F$7:Y$7),"",INDEX(TableDiv[[GASB]:[GASB]],_xlfn.AGGREGATE(15,3,(TableDiv[[Agency]:[Agency]]=$E831)/(TableDiv[[Agency]:[Agency]]=$E831)*(ROW(TableDiv[Agency])-ROW(TableDiv[[#Headers],[Agency]])),COLUMNS($F$7:Y$7))))</f>
        <v/>
      </c>
      <c r="Z831" s="2223" t="str" cm="1">
        <f t="array" ref="Z831">IF($D831&lt;COLUMNS($F$7:Z$7),"",INDEX(TableDiv[[GASB]:[GASB]],_xlfn.AGGREGATE(15,3,(TableDiv[[Agency]:[Agency]]=$E831)/(TableDiv[[Agency]:[Agency]]=$E831)*(ROW(TableDiv[Agency])-ROW(TableDiv[[#Headers],[Agency]])),COLUMNS($F$7:Z$7))))</f>
        <v/>
      </c>
      <c r="AA831" s="2223" t="str" cm="1">
        <f t="array" ref="AA831">IF($D831&lt;COLUMNS($F$7:AA$7),"",INDEX(TableDiv[[GASB]:[GASB]],_xlfn.AGGREGATE(15,3,(TableDiv[[Agency]:[Agency]]=$E831)/(TableDiv[[Agency]:[Agency]]=$E831)*(ROW(TableDiv[Agency])-ROW(TableDiv[[#Headers],[Agency]])),COLUMNS($F$7:AA$7))))</f>
        <v/>
      </c>
      <c r="AB831" s="2223" t="str" cm="1">
        <f t="array" ref="AB831">IF($D831&lt;COLUMNS($F$7:AB$7),"",INDEX(TableDiv[[GASB]:[GASB]],_xlfn.AGGREGATE(15,3,(TableDiv[[Agency]:[Agency]]=$E831)/(TableDiv[[Agency]:[Agency]]=$E831)*(ROW(TableDiv[Agency])-ROW(TableDiv[[#Headers],[Agency]])),COLUMNS($F$7:AB$7))))</f>
        <v/>
      </c>
      <c r="AC831" s="2223" t="str" cm="1">
        <f t="array" ref="AC831">IF($D831&lt;COLUMNS($F$7:AC$7),"",INDEX(TableDiv[[GASB]:[GASB]],_xlfn.AGGREGATE(15,3,(TableDiv[[Agency]:[Agency]]=$E831)/(TableDiv[[Agency]:[Agency]]=$E831)*(ROW(TableDiv[Agency])-ROW(TableDiv[[#Headers],[Agency]])),COLUMNS($F$7:AC$7))))</f>
        <v/>
      </c>
      <c r="AD831" s="2223" t="str" cm="1">
        <f t="array" ref="AD831">IF($D831&lt;COLUMNS($F$7:AD$7),"",INDEX(TableDiv[[GASB]:[GASB]],_xlfn.AGGREGATE(15,3,(TableDiv[[Agency]:[Agency]]=$E831)/(TableDiv[[Agency]:[Agency]]=$E831)*(ROW(TableDiv[Agency])-ROW(TableDiv[[#Headers],[Agency]])),COLUMNS($F$7:AD$7))))</f>
        <v/>
      </c>
      <c r="AE831" s="2223" t="str" cm="1">
        <f t="array" ref="AE831">IF($D831&lt;COLUMNS($F$7:AE$7),"",INDEX(TableDiv[[GASB]:[GASB]],_xlfn.AGGREGATE(15,3,(TableDiv[[Agency]:[Agency]]=$E831)/(TableDiv[[Agency]:[Agency]]=$E831)*(ROW(TableDiv[Agency])-ROW(TableDiv[[#Headers],[Agency]])),COLUMNS($F$7:AE$7))))</f>
        <v/>
      </c>
      <c r="AF831" s="2223" t="str" cm="1">
        <f t="array" ref="AF831">IF($D831&lt;COLUMNS($F$7:AF$7),"",INDEX(TableDiv[[GASB]:[GASB]],_xlfn.AGGREGATE(15,3,(TableDiv[[Agency]:[Agency]]=$E831)/(TableDiv[[Agency]:[Agency]]=$E831)*(ROW(TableDiv[Agency])-ROW(TableDiv[[#Headers],[Agency]])),COLUMNS($F$7:AF$7))))</f>
        <v/>
      </c>
      <c r="AG831" s="2223" t="str" cm="1">
        <f t="array" ref="AG831">IF($D831&lt;COLUMNS($F$7:AG$7),"",INDEX(TableDiv[[GASB]:[GASB]],_xlfn.AGGREGATE(15,3,(TableDiv[[Agency]:[Agency]]=$E831)/(TableDiv[[Agency]:[Agency]]=$E831)*(ROW(TableDiv[Agency])-ROW(TableDiv[[#Headers],[Agency]])),COLUMNS($F$7:AG$7))))</f>
        <v/>
      </c>
      <c r="AH831" s="2223" t="str" cm="1">
        <f t="array" ref="AH831">IF($D831&lt;COLUMNS($F$7:AH$7),"",INDEX(TableDiv[[GASB]:[GASB]],_xlfn.AGGREGATE(15,3,(TableDiv[[Agency]:[Agency]]=$E831)/(TableDiv[[Agency]:[Agency]]=$E831)*(ROW(TableDiv[Agency])-ROW(TableDiv[[#Headers],[Agency]])),COLUMNS($F$7:AH$7))))</f>
        <v/>
      </c>
      <c r="AI831" s="2223" t="str" cm="1">
        <f t="array" ref="AI831">IF($D831&lt;COLUMNS($F$7:AI$7),"",INDEX(TableDiv[[GASB]:[GASB]],_xlfn.AGGREGATE(15,3,(TableDiv[[Agency]:[Agency]]=$E831)/(TableDiv[[Agency]:[Agency]]=$E831)*(ROW(TableDiv[Agency])-ROW(TableDiv[[#Headers],[Agency]])),COLUMNS($F$7:AI$7))))</f>
        <v/>
      </c>
      <c r="AJ831" s="2223" t="str" cm="1">
        <f t="array" ref="AJ831">IF($D831&lt;COLUMNS($F$7:AJ$7),"",INDEX(TableDiv[[GASB]:[GASB]],_xlfn.AGGREGATE(15,3,(TableDiv[[Agency]:[Agency]]=$E831)/(TableDiv[[Agency]:[Agency]]=$E831)*(ROW(TableDiv[Agency])-ROW(TableDiv[[#Headers],[Agency]])),COLUMNS($F$7:AJ$7))))</f>
        <v/>
      </c>
      <c r="AK831" s="2223" t="str" cm="1">
        <f t="array" ref="AK831">IF($D831&lt;COLUMNS($F$7:AK$7),"",INDEX(TableDiv[[GASB]:[GASB]],_xlfn.AGGREGATE(15,3,(TableDiv[[Agency]:[Agency]]=$E831)/(TableDiv[[Agency]:[Agency]]=$E831)*(ROW(TableDiv[Agency])-ROW(TableDiv[[#Headers],[Agency]])),COLUMNS($F$7:AK$7))))</f>
        <v/>
      </c>
      <c r="AL831" s="2223" t="str" cm="1">
        <f t="array" ref="AL831">IF($D831&lt;COLUMNS($F$7:AL$7),"",INDEX(TableDiv[[GASB]:[GASB]],_xlfn.AGGREGATE(15,3,(TableDiv[[Agency]:[Agency]]=$E831)/(TableDiv[[Agency]:[Agency]]=$E831)*(ROW(TableDiv[Agency])-ROW(TableDiv[[#Headers],[Agency]])),COLUMNS($F$7:AL$7))))</f>
        <v/>
      </c>
      <c r="AM831" s="2223" t="str" cm="1">
        <f t="array" ref="AM831">IF($D831&lt;COLUMNS($F$7:AM$7),"",INDEX(TableDiv[[GASB]:[GASB]],_xlfn.AGGREGATE(15,3,(TableDiv[[Agency]:[Agency]]=$E831)/(TableDiv[[Agency]:[Agency]]=$E831)*(ROW(TableDiv[Agency])-ROW(TableDiv[[#Headers],[Agency]])),COLUMNS($F$7:AM$7))))</f>
        <v/>
      </c>
      <c r="AN831" s="2223"/>
      <c r="AO831" s="2223"/>
      <c r="AP831" s="2223"/>
      <c r="AQ831" s="2223"/>
      <c r="AR831" s="2223"/>
      <c r="AS831" s="2223"/>
    </row>
    <row r="832" spans="1:45" x14ac:dyDescent="0.2">
      <c r="A832" s="2223"/>
      <c r="B832" s="2223"/>
      <c r="C832" s="2223"/>
      <c r="W832" s="2223" t="str" cm="1">
        <f t="array" ref="W832">IF($D832&lt;COLUMNS($F$7:W$7),"",INDEX(TableDiv[[GASB]:[GASB]],_xlfn.AGGREGATE(15,3,(TableDiv[[Agency]:[Agency]]=$E832)/(TableDiv[[Agency]:[Agency]]=$E832)*(ROW(TableDiv[Agency])-ROW(TableDiv[[#Headers],[Agency]])),COLUMNS($F$7:W$7))))</f>
        <v/>
      </c>
      <c r="X832" s="2223" t="str" cm="1">
        <f t="array" ref="X832">IF($D832&lt;COLUMNS($F$7:X$7),"",INDEX(TableDiv[[GASB]:[GASB]],_xlfn.AGGREGATE(15,3,(TableDiv[[Agency]:[Agency]]=$E832)/(TableDiv[[Agency]:[Agency]]=$E832)*(ROW(TableDiv[Agency])-ROW(TableDiv[[#Headers],[Agency]])),COLUMNS($F$7:X$7))))</f>
        <v/>
      </c>
      <c r="Y832" s="2223" t="str" cm="1">
        <f t="array" ref="Y832">IF($D832&lt;COLUMNS($F$7:Y$7),"",INDEX(TableDiv[[GASB]:[GASB]],_xlfn.AGGREGATE(15,3,(TableDiv[[Agency]:[Agency]]=$E832)/(TableDiv[[Agency]:[Agency]]=$E832)*(ROW(TableDiv[Agency])-ROW(TableDiv[[#Headers],[Agency]])),COLUMNS($F$7:Y$7))))</f>
        <v/>
      </c>
      <c r="Z832" s="2223" t="str" cm="1">
        <f t="array" ref="Z832">IF($D832&lt;COLUMNS($F$7:Z$7),"",INDEX(TableDiv[[GASB]:[GASB]],_xlfn.AGGREGATE(15,3,(TableDiv[[Agency]:[Agency]]=$E832)/(TableDiv[[Agency]:[Agency]]=$E832)*(ROW(TableDiv[Agency])-ROW(TableDiv[[#Headers],[Agency]])),COLUMNS($F$7:Z$7))))</f>
        <v/>
      </c>
      <c r="AA832" s="2223" t="str" cm="1">
        <f t="array" ref="AA832">IF($D832&lt;COLUMNS($F$7:AA$7),"",INDEX(TableDiv[[GASB]:[GASB]],_xlfn.AGGREGATE(15,3,(TableDiv[[Agency]:[Agency]]=$E832)/(TableDiv[[Agency]:[Agency]]=$E832)*(ROW(TableDiv[Agency])-ROW(TableDiv[[#Headers],[Agency]])),COLUMNS($F$7:AA$7))))</f>
        <v/>
      </c>
      <c r="AB832" s="2223" t="str" cm="1">
        <f t="array" ref="AB832">IF($D832&lt;COLUMNS($F$7:AB$7),"",INDEX(TableDiv[[GASB]:[GASB]],_xlfn.AGGREGATE(15,3,(TableDiv[[Agency]:[Agency]]=$E832)/(TableDiv[[Agency]:[Agency]]=$E832)*(ROW(TableDiv[Agency])-ROW(TableDiv[[#Headers],[Agency]])),COLUMNS($F$7:AB$7))))</f>
        <v/>
      </c>
      <c r="AC832" s="2223" t="str" cm="1">
        <f t="array" ref="AC832">IF($D832&lt;COLUMNS($F$7:AC$7),"",INDEX(TableDiv[[GASB]:[GASB]],_xlfn.AGGREGATE(15,3,(TableDiv[[Agency]:[Agency]]=$E832)/(TableDiv[[Agency]:[Agency]]=$E832)*(ROW(TableDiv[Agency])-ROW(TableDiv[[#Headers],[Agency]])),COLUMNS($F$7:AC$7))))</f>
        <v/>
      </c>
      <c r="AD832" s="2223" t="str" cm="1">
        <f t="array" ref="AD832">IF($D832&lt;COLUMNS($F$7:AD$7),"",INDEX(TableDiv[[GASB]:[GASB]],_xlfn.AGGREGATE(15,3,(TableDiv[[Agency]:[Agency]]=$E832)/(TableDiv[[Agency]:[Agency]]=$E832)*(ROW(TableDiv[Agency])-ROW(TableDiv[[#Headers],[Agency]])),COLUMNS($F$7:AD$7))))</f>
        <v/>
      </c>
      <c r="AE832" s="2223" t="str" cm="1">
        <f t="array" ref="AE832">IF($D832&lt;COLUMNS($F$7:AE$7),"",INDEX(TableDiv[[GASB]:[GASB]],_xlfn.AGGREGATE(15,3,(TableDiv[[Agency]:[Agency]]=$E832)/(TableDiv[[Agency]:[Agency]]=$E832)*(ROW(TableDiv[Agency])-ROW(TableDiv[[#Headers],[Agency]])),COLUMNS($F$7:AE$7))))</f>
        <v/>
      </c>
      <c r="AF832" s="2223" t="str" cm="1">
        <f t="array" ref="AF832">IF($D832&lt;COLUMNS($F$7:AF$7),"",INDEX(TableDiv[[GASB]:[GASB]],_xlfn.AGGREGATE(15,3,(TableDiv[[Agency]:[Agency]]=$E832)/(TableDiv[[Agency]:[Agency]]=$E832)*(ROW(TableDiv[Agency])-ROW(TableDiv[[#Headers],[Agency]])),COLUMNS($F$7:AF$7))))</f>
        <v/>
      </c>
      <c r="AG832" s="2223" t="str" cm="1">
        <f t="array" ref="AG832">IF($D832&lt;COLUMNS($F$7:AG$7),"",INDEX(TableDiv[[GASB]:[GASB]],_xlfn.AGGREGATE(15,3,(TableDiv[[Agency]:[Agency]]=$E832)/(TableDiv[[Agency]:[Agency]]=$E832)*(ROW(TableDiv[Agency])-ROW(TableDiv[[#Headers],[Agency]])),COLUMNS($F$7:AG$7))))</f>
        <v/>
      </c>
      <c r="AH832" s="2223" t="str" cm="1">
        <f t="array" ref="AH832">IF($D832&lt;COLUMNS($F$7:AH$7),"",INDEX(TableDiv[[GASB]:[GASB]],_xlfn.AGGREGATE(15,3,(TableDiv[[Agency]:[Agency]]=$E832)/(TableDiv[[Agency]:[Agency]]=$E832)*(ROW(TableDiv[Agency])-ROW(TableDiv[[#Headers],[Agency]])),COLUMNS($F$7:AH$7))))</f>
        <v/>
      </c>
      <c r="AI832" s="2223" t="str" cm="1">
        <f t="array" ref="AI832">IF($D832&lt;COLUMNS($F$7:AI$7),"",INDEX(TableDiv[[GASB]:[GASB]],_xlfn.AGGREGATE(15,3,(TableDiv[[Agency]:[Agency]]=$E832)/(TableDiv[[Agency]:[Agency]]=$E832)*(ROW(TableDiv[Agency])-ROW(TableDiv[[#Headers],[Agency]])),COLUMNS($F$7:AI$7))))</f>
        <v/>
      </c>
      <c r="AJ832" s="2223" t="str" cm="1">
        <f t="array" ref="AJ832">IF($D832&lt;COLUMNS($F$7:AJ$7),"",INDEX(TableDiv[[GASB]:[GASB]],_xlfn.AGGREGATE(15,3,(TableDiv[[Agency]:[Agency]]=$E832)/(TableDiv[[Agency]:[Agency]]=$E832)*(ROW(TableDiv[Agency])-ROW(TableDiv[[#Headers],[Agency]])),COLUMNS($F$7:AJ$7))))</f>
        <v/>
      </c>
      <c r="AK832" s="2223" t="str" cm="1">
        <f t="array" ref="AK832">IF($D832&lt;COLUMNS($F$7:AK$7),"",INDEX(TableDiv[[GASB]:[GASB]],_xlfn.AGGREGATE(15,3,(TableDiv[[Agency]:[Agency]]=$E832)/(TableDiv[[Agency]:[Agency]]=$E832)*(ROW(TableDiv[Agency])-ROW(TableDiv[[#Headers],[Agency]])),COLUMNS($F$7:AK$7))))</f>
        <v/>
      </c>
      <c r="AL832" s="2223" t="str" cm="1">
        <f t="array" ref="AL832">IF($D832&lt;COLUMNS($F$7:AL$7),"",INDEX(TableDiv[[GASB]:[GASB]],_xlfn.AGGREGATE(15,3,(TableDiv[[Agency]:[Agency]]=$E832)/(TableDiv[[Agency]:[Agency]]=$E832)*(ROW(TableDiv[Agency])-ROW(TableDiv[[#Headers],[Agency]])),COLUMNS($F$7:AL$7))))</f>
        <v/>
      </c>
      <c r="AM832" s="2223" t="str" cm="1">
        <f t="array" ref="AM832">IF($D832&lt;COLUMNS($F$7:AM$7),"",INDEX(TableDiv[[GASB]:[GASB]],_xlfn.AGGREGATE(15,3,(TableDiv[[Agency]:[Agency]]=$E832)/(TableDiv[[Agency]:[Agency]]=$E832)*(ROW(TableDiv[Agency])-ROW(TableDiv[[#Headers],[Agency]])),COLUMNS($F$7:AM$7))))</f>
        <v/>
      </c>
      <c r="AN832" s="2223"/>
      <c r="AO832" s="2223"/>
      <c r="AP832" s="2223"/>
      <c r="AQ832" s="2223"/>
      <c r="AR832" s="2223"/>
      <c r="AS832" s="2223"/>
    </row>
    <row r="833" spans="1:45" x14ac:dyDescent="0.2">
      <c r="A833" s="2223"/>
      <c r="B833" s="2223"/>
      <c r="C833" s="2223"/>
      <c r="W833" s="2223" t="str" cm="1">
        <f t="array" ref="W833">IF($D833&lt;COLUMNS($F$7:W$7),"",INDEX(TableDiv[[GASB]:[GASB]],_xlfn.AGGREGATE(15,3,(TableDiv[[Agency]:[Agency]]=$E833)/(TableDiv[[Agency]:[Agency]]=$E833)*(ROW(TableDiv[Agency])-ROW(TableDiv[[#Headers],[Agency]])),COLUMNS($F$7:W$7))))</f>
        <v/>
      </c>
      <c r="X833" s="2223" t="str" cm="1">
        <f t="array" ref="X833">IF($D833&lt;COLUMNS($F$7:X$7),"",INDEX(TableDiv[[GASB]:[GASB]],_xlfn.AGGREGATE(15,3,(TableDiv[[Agency]:[Agency]]=$E833)/(TableDiv[[Agency]:[Agency]]=$E833)*(ROW(TableDiv[Agency])-ROW(TableDiv[[#Headers],[Agency]])),COLUMNS($F$7:X$7))))</f>
        <v/>
      </c>
      <c r="Y833" s="2223" t="str" cm="1">
        <f t="array" ref="Y833">IF($D833&lt;COLUMNS($F$7:Y$7),"",INDEX(TableDiv[[GASB]:[GASB]],_xlfn.AGGREGATE(15,3,(TableDiv[[Agency]:[Agency]]=$E833)/(TableDiv[[Agency]:[Agency]]=$E833)*(ROW(TableDiv[Agency])-ROW(TableDiv[[#Headers],[Agency]])),COLUMNS($F$7:Y$7))))</f>
        <v/>
      </c>
      <c r="Z833" s="2223" t="str" cm="1">
        <f t="array" ref="Z833">IF($D833&lt;COLUMNS($F$7:Z$7),"",INDEX(TableDiv[[GASB]:[GASB]],_xlfn.AGGREGATE(15,3,(TableDiv[[Agency]:[Agency]]=$E833)/(TableDiv[[Agency]:[Agency]]=$E833)*(ROW(TableDiv[Agency])-ROW(TableDiv[[#Headers],[Agency]])),COLUMNS($F$7:Z$7))))</f>
        <v/>
      </c>
      <c r="AA833" s="2223" t="str" cm="1">
        <f t="array" ref="AA833">IF($D833&lt;COLUMNS($F$7:AA$7),"",INDEX(TableDiv[[GASB]:[GASB]],_xlfn.AGGREGATE(15,3,(TableDiv[[Agency]:[Agency]]=$E833)/(TableDiv[[Agency]:[Agency]]=$E833)*(ROW(TableDiv[Agency])-ROW(TableDiv[[#Headers],[Agency]])),COLUMNS($F$7:AA$7))))</f>
        <v/>
      </c>
      <c r="AB833" s="2223" t="str" cm="1">
        <f t="array" ref="AB833">IF($D833&lt;COLUMNS($F$7:AB$7),"",INDEX(TableDiv[[GASB]:[GASB]],_xlfn.AGGREGATE(15,3,(TableDiv[[Agency]:[Agency]]=$E833)/(TableDiv[[Agency]:[Agency]]=$E833)*(ROW(TableDiv[Agency])-ROW(TableDiv[[#Headers],[Agency]])),COLUMNS($F$7:AB$7))))</f>
        <v/>
      </c>
      <c r="AC833" s="2223" t="str" cm="1">
        <f t="array" ref="AC833">IF($D833&lt;COLUMNS($F$7:AC$7),"",INDEX(TableDiv[[GASB]:[GASB]],_xlfn.AGGREGATE(15,3,(TableDiv[[Agency]:[Agency]]=$E833)/(TableDiv[[Agency]:[Agency]]=$E833)*(ROW(TableDiv[Agency])-ROW(TableDiv[[#Headers],[Agency]])),COLUMNS($F$7:AC$7))))</f>
        <v/>
      </c>
      <c r="AD833" s="2223" t="str" cm="1">
        <f t="array" ref="AD833">IF($D833&lt;COLUMNS($F$7:AD$7),"",INDEX(TableDiv[[GASB]:[GASB]],_xlfn.AGGREGATE(15,3,(TableDiv[[Agency]:[Agency]]=$E833)/(TableDiv[[Agency]:[Agency]]=$E833)*(ROW(TableDiv[Agency])-ROW(TableDiv[[#Headers],[Agency]])),COLUMNS($F$7:AD$7))))</f>
        <v/>
      </c>
      <c r="AE833" s="2223" t="str" cm="1">
        <f t="array" ref="AE833">IF($D833&lt;COLUMNS($F$7:AE$7),"",INDEX(TableDiv[[GASB]:[GASB]],_xlfn.AGGREGATE(15,3,(TableDiv[[Agency]:[Agency]]=$E833)/(TableDiv[[Agency]:[Agency]]=$E833)*(ROW(TableDiv[Agency])-ROW(TableDiv[[#Headers],[Agency]])),COLUMNS($F$7:AE$7))))</f>
        <v/>
      </c>
      <c r="AF833" s="2223" t="str" cm="1">
        <f t="array" ref="AF833">IF($D833&lt;COLUMNS($F$7:AF$7),"",INDEX(TableDiv[[GASB]:[GASB]],_xlfn.AGGREGATE(15,3,(TableDiv[[Agency]:[Agency]]=$E833)/(TableDiv[[Agency]:[Agency]]=$E833)*(ROW(TableDiv[Agency])-ROW(TableDiv[[#Headers],[Agency]])),COLUMNS($F$7:AF$7))))</f>
        <v/>
      </c>
      <c r="AG833" s="2223" t="str" cm="1">
        <f t="array" ref="AG833">IF($D833&lt;COLUMNS($F$7:AG$7),"",INDEX(TableDiv[[GASB]:[GASB]],_xlfn.AGGREGATE(15,3,(TableDiv[[Agency]:[Agency]]=$E833)/(TableDiv[[Agency]:[Agency]]=$E833)*(ROW(TableDiv[Agency])-ROW(TableDiv[[#Headers],[Agency]])),COLUMNS($F$7:AG$7))))</f>
        <v/>
      </c>
      <c r="AH833" s="2223" t="str" cm="1">
        <f t="array" ref="AH833">IF($D833&lt;COLUMNS($F$7:AH$7),"",INDEX(TableDiv[[GASB]:[GASB]],_xlfn.AGGREGATE(15,3,(TableDiv[[Agency]:[Agency]]=$E833)/(TableDiv[[Agency]:[Agency]]=$E833)*(ROW(TableDiv[Agency])-ROW(TableDiv[[#Headers],[Agency]])),COLUMNS($F$7:AH$7))))</f>
        <v/>
      </c>
      <c r="AI833" s="2223" t="str" cm="1">
        <f t="array" ref="AI833">IF($D833&lt;COLUMNS($F$7:AI$7),"",INDEX(TableDiv[[GASB]:[GASB]],_xlfn.AGGREGATE(15,3,(TableDiv[[Agency]:[Agency]]=$E833)/(TableDiv[[Agency]:[Agency]]=$E833)*(ROW(TableDiv[Agency])-ROW(TableDiv[[#Headers],[Agency]])),COLUMNS($F$7:AI$7))))</f>
        <v/>
      </c>
      <c r="AJ833" s="2223" t="str" cm="1">
        <f t="array" ref="AJ833">IF($D833&lt;COLUMNS($F$7:AJ$7),"",INDEX(TableDiv[[GASB]:[GASB]],_xlfn.AGGREGATE(15,3,(TableDiv[[Agency]:[Agency]]=$E833)/(TableDiv[[Agency]:[Agency]]=$E833)*(ROW(TableDiv[Agency])-ROW(TableDiv[[#Headers],[Agency]])),COLUMNS($F$7:AJ$7))))</f>
        <v/>
      </c>
      <c r="AK833" s="2223" t="str" cm="1">
        <f t="array" ref="AK833">IF($D833&lt;COLUMNS($F$7:AK$7),"",INDEX(TableDiv[[GASB]:[GASB]],_xlfn.AGGREGATE(15,3,(TableDiv[[Agency]:[Agency]]=$E833)/(TableDiv[[Agency]:[Agency]]=$E833)*(ROW(TableDiv[Agency])-ROW(TableDiv[[#Headers],[Agency]])),COLUMNS($F$7:AK$7))))</f>
        <v/>
      </c>
      <c r="AL833" s="2223" t="str" cm="1">
        <f t="array" ref="AL833">IF($D833&lt;COLUMNS($F$7:AL$7),"",INDEX(TableDiv[[GASB]:[GASB]],_xlfn.AGGREGATE(15,3,(TableDiv[[Agency]:[Agency]]=$E833)/(TableDiv[[Agency]:[Agency]]=$E833)*(ROW(TableDiv[Agency])-ROW(TableDiv[[#Headers],[Agency]])),COLUMNS($F$7:AL$7))))</f>
        <v/>
      </c>
      <c r="AM833" s="2223" t="str" cm="1">
        <f t="array" ref="AM833">IF($D833&lt;COLUMNS($F$7:AM$7),"",INDEX(TableDiv[[GASB]:[GASB]],_xlfn.AGGREGATE(15,3,(TableDiv[[Agency]:[Agency]]=$E833)/(TableDiv[[Agency]:[Agency]]=$E833)*(ROW(TableDiv[Agency])-ROW(TableDiv[[#Headers],[Agency]])),COLUMNS($F$7:AM$7))))</f>
        <v/>
      </c>
      <c r="AN833" s="2223"/>
      <c r="AO833" s="2223"/>
      <c r="AP833" s="2223"/>
      <c r="AQ833" s="2223"/>
      <c r="AR833" s="2223"/>
      <c r="AS833" s="2223"/>
    </row>
    <row r="834" spans="1:45" x14ac:dyDescent="0.2">
      <c r="A834" s="2223"/>
      <c r="B834" s="2223"/>
      <c r="C834" s="2223"/>
      <c r="W834" s="2223" t="str" cm="1">
        <f t="array" ref="W834">IF($D834&lt;COLUMNS($F$7:W$7),"",INDEX(TableDiv[[GASB]:[GASB]],_xlfn.AGGREGATE(15,3,(TableDiv[[Agency]:[Agency]]=$E834)/(TableDiv[[Agency]:[Agency]]=$E834)*(ROW(TableDiv[Agency])-ROW(TableDiv[[#Headers],[Agency]])),COLUMNS($F$7:W$7))))</f>
        <v/>
      </c>
      <c r="X834" s="2223" t="str" cm="1">
        <f t="array" ref="X834">IF($D834&lt;COLUMNS($F$7:X$7),"",INDEX(TableDiv[[GASB]:[GASB]],_xlfn.AGGREGATE(15,3,(TableDiv[[Agency]:[Agency]]=$E834)/(TableDiv[[Agency]:[Agency]]=$E834)*(ROW(TableDiv[Agency])-ROW(TableDiv[[#Headers],[Agency]])),COLUMNS($F$7:X$7))))</f>
        <v/>
      </c>
      <c r="Y834" s="2223" t="str" cm="1">
        <f t="array" ref="Y834">IF($D834&lt;COLUMNS($F$7:Y$7),"",INDEX(TableDiv[[GASB]:[GASB]],_xlfn.AGGREGATE(15,3,(TableDiv[[Agency]:[Agency]]=$E834)/(TableDiv[[Agency]:[Agency]]=$E834)*(ROW(TableDiv[Agency])-ROW(TableDiv[[#Headers],[Agency]])),COLUMNS($F$7:Y$7))))</f>
        <v/>
      </c>
      <c r="Z834" s="2223" t="str" cm="1">
        <f t="array" ref="Z834">IF($D834&lt;COLUMNS($F$7:Z$7),"",INDEX(TableDiv[[GASB]:[GASB]],_xlfn.AGGREGATE(15,3,(TableDiv[[Agency]:[Agency]]=$E834)/(TableDiv[[Agency]:[Agency]]=$E834)*(ROW(TableDiv[Agency])-ROW(TableDiv[[#Headers],[Agency]])),COLUMNS($F$7:Z$7))))</f>
        <v/>
      </c>
      <c r="AA834" s="2223" t="str" cm="1">
        <f t="array" ref="AA834">IF($D834&lt;COLUMNS($F$7:AA$7),"",INDEX(TableDiv[[GASB]:[GASB]],_xlfn.AGGREGATE(15,3,(TableDiv[[Agency]:[Agency]]=$E834)/(TableDiv[[Agency]:[Agency]]=$E834)*(ROW(TableDiv[Agency])-ROW(TableDiv[[#Headers],[Agency]])),COLUMNS($F$7:AA$7))))</f>
        <v/>
      </c>
      <c r="AB834" s="2223" t="str" cm="1">
        <f t="array" ref="AB834">IF($D834&lt;COLUMNS($F$7:AB$7),"",INDEX(TableDiv[[GASB]:[GASB]],_xlfn.AGGREGATE(15,3,(TableDiv[[Agency]:[Agency]]=$E834)/(TableDiv[[Agency]:[Agency]]=$E834)*(ROW(TableDiv[Agency])-ROW(TableDiv[[#Headers],[Agency]])),COLUMNS($F$7:AB$7))))</f>
        <v/>
      </c>
      <c r="AC834" s="2223" t="str" cm="1">
        <f t="array" ref="AC834">IF($D834&lt;COLUMNS($F$7:AC$7),"",INDEX(TableDiv[[GASB]:[GASB]],_xlfn.AGGREGATE(15,3,(TableDiv[[Agency]:[Agency]]=$E834)/(TableDiv[[Agency]:[Agency]]=$E834)*(ROW(TableDiv[Agency])-ROW(TableDiv[[#Headers],[Agency]])),COLUMNS($F$7:AC$7))))</f>
        <v/>
      </c>
      <c r="AD834" s="2223" t="str" cm="1">
        <f t="array" ref="AD834">IF($D834&lt;COLUMNS($F$7:AD$7),"",INDEX(TableDiv[[GASB]:[GASB]],_xlfn.AGGREGATE(15,3,(TableDiv[[Agency]:[Agency]]=$E834)/(TableDiv[[Agency]:[Agency]]=$E834)*(ROW(TableDiv[Agency])-ROW(TableDiv[[#Headers],[Agency]])),COLUMNS($F$7:AD$7))))</f>
        <v/>
      </c>
      <c r="AE834" s="2223" t="str" cm="1">
        <f t="array" ref="AE834">IF($D834&lt;COLUMNS($F$7:AE$7),"",INDEX(TableDiv[[GASB]:[GASB]],_xlfn.AGGREGATE(15,3,(TableDiv[[Agency]:[Agency]]=$E834)/(TableDiv[[Agency]:[Agency]]=$E834)*(ROW(TableDiv[Agency])-ROW(TableDiv[[#Headers],[Agency]])),COLUMNS($F$7:AE$7))))</f>
        <v/>
      </c>
      <c r="AF834" s="2223" t="str" cm="1">
        <f t="array" ref="AF834">IF($D834&lt;COLUMNS($F$7:AF$7),"",INDEX(TableDiv[[GASB]:[GASB]],_xlfn.AGGREGATE(15,3,(TableDiv[[Agency]:[Agency]]=$E834)/(TableDiv[[Agency]:[Agency]]=$E834)*(ROW(TableDiv[Agency])-ROW(TableDiv[[#Headers],[Agency]])),COLUMNS($F$7:AF$7))))</f>
        <v/>
      </c>
      <c r="AG834" s="2223" t="str" cm="1">
        <f t="array" ref="AG834">IF($D834&lt;COLUMNS($F$7:AG$7),"",INDEX(TableDiv[[GASB]:[GASB]],_xlfn.AGGREGATE(15,3,(TableDiv[[Agency]:[Agency]]=$E834)/(TableDiv[[Agency]:[Agency]]=$E834)*(ROW(TableDiv[Agency])-ROW(TableDiv[[#Headers],[Agency]])),COLUMNS($F$7:AG$7))))</f>
        <v/>
      </c>
      <c r="AH834" s="2223" t="str" cm="1">
        <f t="array" ref="AH834">IF($D834&lt;COLUMNS($F$7:AH$7),"",INDEX(TableDiv[[GASB]:[GASB]],_xlfn.AGGREGATE(15,3,(TableDiv[[Agency]:[Agency]]=$E834)/(TableDiv[[Agency]:[Agency]]=$E834)*(ROW(TableDiv[Agency])-ROW(TableDiv[[#Headers],[Agency]])),COLUMNS($F$7:AH$7))))</f>
        <v/>
      </c>
      <c r="AI834" s="2223" t="str" cm="1">
        <f t="array" ref="AI834">IF($D834&lt;COLUMNS($F$7:AI$7),"",INDEX(TableDiv[[GASB]:[GASB]],_xlfn.AGGREGATE(15,3,(TableDiv[[Agency]:[Agency]]=$E834)/(TableDiv[[Agency]:[Agency]]=$E834)*(ROW(TableDiv[Agency])-ROW(TableDiv[[#Headers],[Agency]])),COLUMNS($F$7:AI$7))))</f>
        <v/>
      </c>
      <c r="AJ834" s="2223" t="str" cm="1">
        <f t="array" ref="AJ834">IF($D834&lt;COLUMNS($F$7:AJ$7),"",INDEX(TableDiv[[GASB]:[GASB]],_xlfn.AGGREGATE(15,3,(TableDiv[[Agency]:[Agency]]=$E834)/(TableDiv[[Agency]:[Agency]]=$E834)*(ROW(TableDiv[Agency])-ROW(TableDiv[[#Headers],[Agency]])),COLUMNS($F$7:AJ$7))))</f>
        <v/>
      </c>
      <c r="AK834" s="2223" t="str" cm="1">
        <f t="array" ref="AK834">IF($D834&lt;COLUMNS($F$7:AK$7),"",INDEX(TableDiv[[GASB]:[GASB]],_xlfn.AGGREGATE(15,3,(TableDiv[[Agency]:[Agency]]=$E834)/(TableDiv[[Agency]:[Agency]]=$E834)*(ROW(TableDiv[Agency])-ROW(TableDiv[[#Headers],[Agency]])),COLUMNS($F$7:AK$7))))</f>
        <v/>
      </c>
      <c r="AL834" s="2223" t="str" cm="1">
        <f t="array" ref="AL834">IF($D834&lt;COLUMNS($F$7:AL$7),"",INDEX(TableDiv[[GASB]:[GASB]],_xlfn.AGGREGATE(15,3,(TableDiv[[Agency]:[Agency]]=$E834)/(TableDiv[[Agency]:[Agency]]=$E834)*(ROW(TableDiv[Agency])-ROW(TableDiv[[#Headers],[Agency]])),COLUMNS($F$7:AL$7))))</f>
        <v/>
      </c>
      <c r="AM834" s="2223" t="str" cm="1">
        <f t="array" ref="AM834">IF($D834&lt;COLUMNS($F$7:AM$7),"",INDEX(TableDiv[[GASB]:[GASB]],_xlfn.AGGREGATE(15,3,(TableDiv[[Agency]:[Agency]]=$E834)/(TableDiv[[Agency]:[Agency]]=$E834)*(ROW(TableDiv[Agency])-ROW(TableDiv[[#Headers],[Agency]])),COLUMNS($F$7:AM$7))))</f>
        <v/>
      </c>
      <c r="AN834" s="2223"/>
      <c r="AO834" s="2223"/>
      <c r="AP834" s="2223"/>
      <c r="AQ834" s="2223"/>
      <c r="AR834" s="2223"/>
      <c r="AS834" s="2223"/>
    </row>
    <row r="835" spans="1:45" x14ac:dyDescent="0.2">
      <c r="A835" s="2223"/>
      <c r="B835" s="2223"/>
      <c r="C835" s="2223"/>
      <c r="W835" s="2223" t="str" cm="1">
        <f t="array" ref="W835">IF($D835&lt;COLUMNS($F$7:W$7),"",INDEX(TableDiv[[GASB]:[GASB]],_xlfn.AGGREGATE(15,3,(TableDiv[[Agency]:[Agency]]=$E835)/(TableDiv[[Agency]:[Agency]]=$E835)*(ROW(TableDiv[Agency])-ROW(TableDiv[[#Headers],[Agency]])),COLUMNS($F$7:W$7))))</f>
        <v/>
      </c>
      <c r="X835" s="2223" t="str" cm="1">
        <f t="array" ref="X835">IF($D835&lt;COLUMNS($F$7:X$7),"",INDEX(TableDiv[[GASB]:[GASB]],_xlfn.AGGREGATE(15,3,(TableDiv[[Agency]:[Agency]]=$E835)/(TableDiv[[Agency]:[Agency]]=$E835)*(ROW(TableDiv[Agency])-ROW(TableDiv[[#Headers],[Agency]])),COLUMNS($F$7:X$7))))</f>
        <v/>
      </c>
      <c r="Y835" s="2223" t="str" cm="1">
        <f t="array" ref="Y835">IF($D835&lt;COLUMNS($F$7:Y$7),"",INDEX(TableDiv[[GASB]:[GASB]],_xlfn.AGGREGATE(15,3,(TableDiv[[Agency]:[Agency]]=$E835)/(TableDiv[[Agency]:[Agency]]=$E835)*(ROW(TableDiv[Agency])-ROW(TableDiv[[#Headers],[Agency]])),COLUMNS($F$7:Y$7))))</f>
        <v/>
      </c>
      <c r="Z835" s="2223" t="str" cm="1">
        <f t="array" ref="Z835">IF($D835&lt;COLUMNS($F$7:Z$7),"",INDEX(TableDiv[[GASB]:[GASB]],_xlfn.AGGREGATE(15,3,(TableDiv[[Agency]:[Agency]]=$E835)/(TableDiv[[Agency]:[Agency]]=$E835)*(ROW(TableDiv[Agency])-ROW(TableDiv[[#Headers],[Agency]])),COLUMNS($F$7:Z$7))))</f>
        <v/>
      </c>
      <c r="AA835" s="2223" t="str" cm="1">
        <f t="array" ref="AA835">IF($D835&lt;COLUMNS($F$7:AA$7),"",INDEX(TableDiv[[GASB]:[GASB]],_xlfn.AGGREGATE(15,3,(TableDiv[[Agency]:[Agency]]=$E835)/(TableDiv[[Agency]:[Agency]]=$E835)*(ROW(TableDiv[Agency])-ROW(TableDiv[[#Headers],[Agency]])),COLUMNS($F$7:AA$7))))</f>
        <v/>
      </c>
      <c r="AB835" s="2223" t="str" cm="1">
        <f t="array" ref="AB835">IF($D835&lt;COLUMNS($F$7:AB$7),"",INDEX(TableDiv[[GASB]:[GASB]],_xlfn.AGGREGATE(15,3,(TableDiv[[Agency]:[Agency]]=$E835)/(TableDiv[[Agency]:[Agency]]=$E835)*(ROW(TableDiv[Agency])-ROW(TableDiv[[#Headers],[Agency]])),COLUMNS($F$7:AB$7))))</f>
        <v/>
      </c>
      <c r="AC835" s="2223" t="str" cm="1">
        <f t="array" ref="AC835">IF($D835&lt;COLUMNS($F$7:AC$7),"",INDEX(TableDiv[[GASB]:[GASB]],_xlfn.AGGREGATE(15,3,(TableDiv[[Agency]:[Agency]]=$E835)/(TableDiv[[Agency]:[Agency]]=$E835)*(ROW(TableDiv[Agency])-ROW(TableDiv[[#Headers],[Agency]])),COLUMNS($F$7:AC$7))))</f>
        <v/>
      </c>
      <c r="AD835" s="2223" t="str" cm="1">
        <f t="array" ref="AD835">IF($D835&lt;COLUMNS($F$7:AD$7),"",INDEX(TableDiv[[GASB]:[GASB]],_xlfn.AGGREGATE(15,3,(TableDiv[[Agency]:[Agency]]=$E835)/(TableDiv[[Agency]:[Agency]]=$E835)*(ROW(TableDiv[Agency])-ROW(TableDiv[[#Headers],[Agency]])),COLUMNS($F$7:AD$7))))</f>
        <v/>
      </c>
      <c r="AE835" s="2223" t="str" cm="1">
        <f t="array" ref="AE835">IF($D835&lt;COLUMNS($F$7:AE$7),"",INDEX(TableDiv[[GASB]:[GASB]],_xlfn.AGGREGATE(15,3,(TableDiv[[Agency]:[Agency]]=$E835)/(TableDiv[[Agency]:[Agency]]=$E835)*(ROW(TableDiv[Agency])-ROW(TableDiv[[#Headers],[Agency]])),COLUMNS($F$7:AE$7))))</f>
        <v/>
      </c>
      <c r="AF835" s="2223" t="str" cm="1">
        <f t="array" ref="AF835">IF($D835&lt;COLUMNS($F$7:AF$7),"",INDEX(TableDiv[[GASB]:[GASB]],_xlfn.AGGREGATE(15,3,(TableDiv[[Agency]:[Agency]]=$E835)/(TableDiv[[Agency]:[Agency]]=$E835)*(ROW(TableDiv[Agency])-ROW(TableDiv[[#Headers],[Agency]])),COLUMNS($F$7:AF$7))))</f>
        <v/>
      </c>
      <c r="AG835" s="2223" t="str" cm="1">
        <f t="array" ref="AG835">IF($D835&lt;COLUMNS($F$7:AG$7),"",INDEX(TableDiv[[GASB]:[GASB]],_xlfn.AGGREGATE(15,3,(TableDiv[[Agency]:[Agency]]=$E835)/(TableDiv[[Agency]:[Agency]]=$E835)*(ROW(TableDiv[Agency])-ROW(TableDiv[[#Headers],[Agency]])),COLUMNS($F$7:AG$7))))</f>
        <v/>
      </c>
      <c r="AH835" s="2223" t="str" cm="1">
        <f t="array" ref="AH835">IF($D835&lt;COLUMNS($F$7:AH$7),"",INDEX(TableDiv[[GASB]:[GASB]],_xlfn.AGGREGATE(15,3,(TableDiv[[Agency]:[Agency]]=$E835)/(TableDiv[[Agency]:[Agency]]=$E835)*(ROW(TableDiv[Agency])-ROW(TableDiv[[#Headers],[Agency]])),COLUMNS($F$7:AH$7))))</f>
        <v/>
      </c>
      <c r="AI835" s="2223" t="str" cm="1">
        <f t="array" ref="AI835">IF($D835&lt;COLUMNS($F$7:AI$7),"",INDEX(TableDiv[[GASB]:[GASB]],_xlfn.AGGREGATE(15,3,(TableDiv[[Agency]:[Agency]]=$E835)/(TableDiv[[Agency]:[Agency]]=$E835)*(ROW(TableDiv[Agency])-ROW(TableDiv[[#Headers],[Agency]])),COLUMNS($F$7:AI$7))))</f>
        <v/>
      </c>
      <c r="AJ835" s="2223" t="str" cm="1">
        <f t="array" ref="AJ835">IF($D835&lt;COLUMNS($F$7:AJ$7),"",INDEX(TableDiv[[GASB]:[GASB]],_xlfn.AGGREGATE(15,3,(TableDiv[[Agency]:[Agency]]=$E835)/(TableDiv[[Agency]:[Agency]]=$E835)*(ROW(TableDiv[Agency])-ROW(TableDiv[[#Headers],[Agency]])),COLUMNS($F$7:AJ$7))))</f>
        <v/>
      </c>
      <c r="AK835" s="2223" t="str" cm="1">
        <f t="array" ref="AK835">IF($D835&lt;COLUMNS($F$7:AK$7),"",INDEX(TableDiv[[GASB]:[GASB]],_xlfn.AGGREGATE(15,3,(TableDiv[[Agency]:[Agency]]=$E835)/(TableDiv[[Agency]:[Agency]]=$E835)*(ROW(TableDiv[Agency])-ROW(TableDiv[[#Headers],[Agency]])),COLUMNS($F$7:AK$7))))</f>
        <v/>
      </c>
      <c r="AL835" s="2223" t="str" cm="1">
        <f t="array" ref="AL835">IF($D835&lt;COLUMNS($F$7:AL$7),"",INDEX(TableDiv[[GASB]:[GASB]],_xlfn.AGGREGATE(15,3,(TableDiv[[Agency]:[Agency]]=$E835)/(TableDiv[[Agency]:[Agency]]=$E835)*(ROW(TableDiv[Agency])-ROW(TableDiv[[#Headers],[Agency]])),COLUMNS($F$7:AL$7))))</f>
        <v/>
      </c>
      <c r="AM835" s="2223" t="str" cm="1">
        <f t="array" ref="AM835">IF($D835&lt;COLUMNS($F$7:AM$7),"",INDEX(TableDiv[[GASB]:[GASB]],_xlfn.AGGREGATE(15,3,(TableDiv[[Agency]:[Agency]]=$E835)/(TableDiv[[Agency]:[Agency]]=$E835)*(ROW(TableDiv[Agency])-ROW(TableDiv[[#Headers],[Agency]])),COLUMNS($F$7:AM$7))))</f>
        <v/>
      </c>
      <c r="AN835" s="2223"/>
      <c r="AO835" s="2223"/>
      <c r="AP835" s="2223"/>
      <c r="AQ835" s="2223"/>
      <c r="AR835" s="2223"/>
      <c r="AS835" s="2223"/>
    </row>
    <row r="836" spans="1:45" x14ac:dyDescent="0.2">
      <c r="A836" s="2223"/>
      <c r="B836" s="2223"/>
      <c r="C836" s="2223"/>
      <c r="W836" s="2223" t="str" cm="1">
        <f t="array" ref="W836">IF($D836&lt;COLUMNS($F$7:W$7),"",INDEX(TableDiv[[GASB]:[GASB]],_xlfn.AGGREGATE(15,3,(TableDiv[[Agency]:[Agency]]=$E836)/(TableDiv[[Agency]:[Agency]]=$E836)*(ROW(TableDiv[Agency])-ROW(TableDiv[[#Headers],[Agency]])),COLUMNS($F$7:W$7))))</f>
        <v/>
      </c>
      <c r="X836" s="2223" t="str" cm="1">
        <f t="array" ref="X836">IF($D836&lt;COLUMNS($F$7:X$7),"",INDEX(TableDiv[[GASB]:[GASB]],_xlfn.AGGREGATE(15,3,(TableDiv[[Agency]:[Agency]]=$E836)/(TableDiv[[Agency]:[Agency]]=$E836)*(ROW(TableDiv[Agency])-ROW(TableDiv[[#Headers],[Agency]])),COLUMNS($F$7:X$7))))</f>
        <v/>
      </c>
      <c r="Y836" s="2223" t="str" cm="1">
        <f t="array" ref="Y836">IF($D836&lt;COLUMNS($F$7:Y$7),"",INDEX(TableDiv[[GASB]:[GASB]],_xlfn.AGGREGATE(15,3,(TableDiv[[Agency]:[Agency]]=$E836)/(TableDiv[[Agency]:[Agency]]=$E836)*(ROW(TableDiv[Agency])-ROW(TableDiv[[#Headers],[Agency]])),COLUMNS($F$7:Y$7))))</f>
        <v/>
      </c>
      <c r="Z836" s="2223" t="str" cm="1">
        <f t="array" ref="Z836">IF($D836&lt;COLUMNS($F$7:Z$7),"",INDEX(TableDiv[[GASB]:[GASB]],_xlfn.AGGREGATE(15,3,(TableDiv[[Agency]:[Agency]]=$E836)/(TableDiv[[Agency]:[Agency]]=$E836)*(ROW(TableDiv[Agency])-ROW(TableDiv[[#Headers],[Agency]])),COLUMNS($F$7:Z$7))))</f>
        <v/>
      </c>
      <c r="AA836" s="2223" t="str" cm="1">
        <f t="array" ref="AA836">IF($D836&lt;COLUMNS($F$7:AA$7),"",INDEX(TableDiv[[GASB]:[GASB]],_xlfn.AGGREGATE(15,3,(TableDiv[[Agency]:[Agency]]=$E836)/(TableDiv[[Agency]:[Agency]]=$E836)*(ROW(TableDiv[Agency])-ROW(TableDiv[[#Headers],[Agency]])),COLUMNS($F$7:AA$7))))</f>
        <v/>
      </c>
      <c r="AB836" s="2223" t="str" cm="1">
        <f t="array" ref="AB836">IF($D836&lt;COLUMNS($F$7:AB$7),"",INDEX(TableDiv[[GASB]:[GASB]],_xlfn.AGGREGATE(15,3,(TableDiv[[Agency]:[Agency]]=$E836)/(TableDiv[[Agency]:[Agency]]=$E836)*(ROW(TableDiv[Agency])-ROW(TableDiv[[#Headers],[Agency]])),COLUMNS($F$7:AB$7))))</f>
        <v/>
      </c>
      <c r="AC836" s="2223" t="str" cm="1">
        <f t="array" ref="AC836">IF($D836&lt;COLUMNS($F$7:AC$7),"",INDEX(TableDiv[[GASB]:[GASB]],_xlfn.AGGREGATE(15,3,(TableDiv[[Agency]:[Agency]]=$E836)/(TableDiv[[Agency]:[Agency]]=$E836)*(ROW(TableDiv[Agency])-ROW(TableDiv[[#Headers],[Agency]])),COLUMNS($F$7:AC$7))))</f>
        <v/>
      </c>
      <c r="AD836" s="2223" t="str" cm="1">
        <f t="array" ref="AD836">IF($D836&lt;COLUMNS($F$7:AD$7),"",INDEX(TableDiv[[GASB]:[GASB]],_xlfn.AGGREGATE(15,3,(TableDiv[[Agency]:[Agency]]=$E836)/(TableDiv[[Agency]:[Agency]]=$E836)*(ROW(TableDiv[Agency])-ROW(TableDiv[[#Headers],[Agency]])),COLUMNS($F$7:AD$7))))</f>
        <v/>
      </c>
      <c r="AE836" s="2223" t="str" cm="1">
        <f t="array" ref="AE836">IF($D836&lt;COLUMNS($F$7:AE$7),"",INDEX(TableDiv[[GASB]:[GASB]],_xlfn.AGGREGATE(15,3,(TableDiv[[Agency]:[Agency]]=$E836)/(TableDiv[[Agency]:[Agency]]=$E836)*(ROW(TableDiv[Agency])-ROW(TableDiv[[#Headers],[Agency]])),COLUMNS($F$7:AE$7))))</f>
        <v/>
      </c>
      <c r="AF836" s="2223" t="str" cm="1">
        <f t="array" ref="AF836">IF($D836&lt;COLUMNS($F$7:AF$7),"",INDEX(TableDiv[[GASB]:[GASB]],_xlfn.AGGREGATE(15,3,(TableDiv[[Agency]:[Agency]]=$E836)/(TableDiv[[Agency]:[Agency]]=$E836)*(ROW(TableDiv[Agency])-ROW(TableDiv[[#Headers],[Agency]])),COLUMNS($F$7:AF$7))))</f>
        <v/>
      </c>
      <c r="AG836" s="2223" t="str" cm="1">
        <f t="array" ref="AG836">IF($D836&lt;COLUMNS($F$7:AG$7),"",INDEX(TableDiv[[GASB]:[GASB]],_xlfn.AGGREGATE(15,3,(TableDiv[[Agency]:[Agency]]=$E836)/(TableDiv[[Agency]:[Agency]]=$E836)*(ROW(TableDiv[Agency])-ROW(TableDiv[[#Headers],[Agency]])),COLUMNS($F$7:AG$7))))</f>
        <v/>
      </c>
      <c r="AH836" s="2223" t="str" cm="1">
        <f t="array" ref="AH836">IF($D836&lt;COLUMNS($F$7:AH$7),"",INDEX(TableDiv[[GASB]:[GASB]],_xlfn.AGGREGATE(15,3,(TableDiv[[Agency]:[Agency]]=$E836)/(TableDiv[[Agency]:[Agency]]=$E836)*(ROW(TableDiv[Agency])-ROW(TableDiv[[#Headers],[Agency]])),COLUMNS($F$7:AH$7))))</f>
        <v/>
      </c>
      <c r="AI836" s="2223" t="str" cm="1">
        <f t="array" ref="AI836">IF($D836&lt;COLUMNS($F$7:AI$7),"",INDEX(TableDiv[[GASB]:[GASB]],_xlfn.AGGREGATE(15,3,(TableDiv[[Agency]:[Agency]]=$E836)/(TableDiv[[Agency]:[Agency]]=$E836)*(ROW(TableDiv[Agency])-ROW(TableDiv[[#Headers],[Agency]])),COLUMNS($F$7:AI$7))))</f>
        <v/>
      </c>
      <c r="AJ836" s="2223" t="str" cm="1">
        <f t="array" ref="AJ836">IF($D836&lt;COLUMNS($F$7:AJ$7),"",INDEX(TableDiv[[GASB]:[GASB]],_xlfn.AGGREGATE(15,3,(TableDiv[[Agency]:[Agency]]=$E836)/(TableDiv[[Agency]:[Agency]]=$E836)*(ROW(TableDiv[Agency])-ROW(TableDiv[[#Headers],[Agency]])),COLUMNS($F$7:AJ$7))))</f>
        <v/>
      </c>
      <c r="AK836" s="2223" t="str" cm="1">
        <f t="array" ref="AK836">IF($D836&lt;COLUMNS($F$7:AK$7),"",INDEX(TableDiv[[GASB]:[GASB]],_xlfn.AGGREGATE(15,3,(TableDiv[[Agency]:[Agency]]=$E836)/(TableDiv[[Agency]:[Agency]]=$E836)*(ROW(TableDiv[Agency])-ROW(TableDiv[[#Headers],[Agency]])),COLUMNS($F$7:AK$7))))</f>
        <v/>
      </c>
      <c r="AL836" s="2223" t="str" cm="1">
        <f t="array" ref="AL836">IF($D836&lt;COLUMNS($F$7:AL$7),"",INDEX(TableDiv[[GASB]:[GASB]],_xlfn.AGGREGATE(15,3,(TableDiv[[Agency]:[Agency]]=$E836)/(TableDiv[[Agency]:[Agency]]=$E836)*(ROW(TableDiv[Agency])-ROW(TableDiv[[#Headers],[Agency]])),COLUMNS($F$7:AL$7))))</f>
        <v/>
      </c>
      <c r="AM836" s="2223" t="str" cm="1">
        <f t="array" ref="AM836">IF($D836&lt;COLUMNS($F$7:AM$7),"",INDEX(TableDiv[[GASB]:[GASB]],_xlfn.AGGREGATE(15,3,(TableDiv[[Agency]:[Agency]]=$E836)/(TableDiv[[Agency]:[Agency]]=$E836)*(ROW(TableDiv[Agency])-ROW(TableDiv[[#Headers],[Agency]])),COLUMNS($F$7:AM$7))))</f>
        <v/>
      </c>
      <c r="AN836" s="2223"/>
      <c r="AO836" s="2223"/>
      <c r="AP836" s="2223"/>
      <c r="AQ836" s="2223"/>
      <c r="AR836" s="2223"/>
      <c r="AS836" s="2223"/>
    </row>
    <row r="837" spans="1:45" x14ac:dyDescent="0.2">
      <c r="A837" s="2223"/>
      <c r="B837" s="2223"/>
      <c r="C837" s="2223"/>
      <c r="W837" s="2223" t="str" cm="1">
        <f t="array" ref="W837">IF($D837&lt;COLUMNS($F$7:W$7),"",INDEX(TableDiv[[GASB]:[GASB]],_xlfn.AGGREGATE(15,3,(TableDiv[[Agency]:[Agency]]=$E837)/(TableDiv[[Agency]:[Agency]]=$E837)*(ROW(TableDiv[Agency])-ROW(TableDiv[[#Headers],[Agency]])),COLUMNS($F$7:W$7))))</f>
        <v/>
      </c>
      <c r="X837" s="2223" t="str" cm="1">
        <f t="array" ref="X837">IF($D837&lt;COLUMNS($F$7:X$7),"",INDEX(TableDiv[[GASB]:[GASB]],_xlfn.AGGREGATE(15,3,(TableDiv[[Agency]:[Agency]]=$E837)/(TableDiv[[Agency]:[Agency]]=$E837)*(ROW(TableDiv[Agency])-ROW(TableDiv[[#Headers],[Agency]])),COLUMNS($F$7:X$7))))</f>
        <v/>
      </c>
      <c r="Y837" s="2223" t="str" cm="1">
        <f t="array" ref="Y837">IF($D837&lt;COLUMNS($F$7:Y$7),"",INDEX(TableDiv[[GASB]:[GASB]],_xlfn.AGGREGATE(15,3,(TableDiv[[Agency]:[Agency]]=$E837)/(TableDiv[[Agency]:[Agency]]=$E837)*(ROW(TableDiv[Agency])-ROW(TableDiv[[#Headers],[Agency]])),COLUMNS($F$7:Y$7))))</f>
        <v/>
      </c>
      <c r="Z837" s="2223" t="str" cm="1">
        <f t="array" ref="Z837">IF($D837&lt;COLUMNS($F$7:Z$7),"",INDEX(TableDiv[[GASB]:[GASB]],_xlfn.AGGREGATE(15,3,(TableDiv[[Agency]:[Agency]]=$E837)/(TableDiv[[Agency]:[Agency]]=$E837)*(ROW(TableDiv[Agency])-ROW(TableDiv[[#Headers],[Agency]])),COLUMNS($F$7:Z$7))))</f>
        <v/>
      </c>
      <c r="AA837" s="2223" t="str" cm="1">
        <f t="array" ref="AA837">IF($D837&lt;COLUMNS($F$7:AA$7),"",INDEX(TableDiv[[GASB]:[GASB]],_xlfn.AGGREGATE(15,3,(TableDiv[[Agency]:[Agency]]=$E837)/(TableDiv[[Agency]:[Agency]]=$E837)*(ROW(TableDiv[Agency])-ROW(TableDiv[[#Headers],[Agency]])),COLUMNS($F$7:AA$7))))</f>
        <v/>
      </c>
      <c r="AB837" s="2223" t="str" cm="1">
        <f t="array" ref="AB837">IF($D837&lt;COLUMNS($F$7:AB$7),"",INDEX(TableDiv[[GASB]:[GASB]],_xlfn.AGGREGATE(15,3,(TableDiv[[Agency]:[Agency]]=$E837)/(TableDiv[[Agency]:[Agency]]=$E837)*(ROW(TableDiv[Agency])-ROW(TableDiv[[#Headers],[Agency]])),COLUMNS($F$7:AB$7))))</f>
        <v/>
      </c>
      <c r="AC837" s="2223" t="str" cm="1">
        <f t="array" ref="AC837">IF($D837&lt;COLUMNS($F$7:AC$7),"",INDEX(TableDiv[[GASB]:[GASB]],_xlfn.AGGREGATE(15,3,(TableDiv[[Agency]:[Agency]]=$E837)/(TableDiv[[Agency]:[Agency]]=$E837)*(ROW(TableDiv[Agency])-ROW(TableDiv[[#Headers],[Agency]])),COLUMNS($F$7:AC$7))))</f>
        <v/>
      </c>
      <c r="AD837" s="2223" t="str" cm="1">
        <f t="array" ref="AD837">IF($D837&lt;COLUMNS($F$7:AD$7),"",INDEX(TableDiv[[GASB]:[GASB]],_xlfn.AGGREGATE(15,3,(TableDiv[[Agency]:[Agency]]=$E837)/(TableDiv[[Agency]:[Agency]]=$E837)*(ROW(TableDiv[Agency])-ROW(TableDiv[[#Headers],[Agency]])),COLUMNS($F$7:AD$7))))</f>
        <v/>
      </c>
      <c r="AE837" s="2223" t="str" cm="1">
        <f t="array" ref="AE837">IF($D837&lt;COLUMNS($F$7:AE$7),"",INDEX(TableDiv[[GASB]:[GASB]],_xlfn.AGGREGATE(15,3,(TableDiv[[Agency]:[Agency]]=$E837)/(TableDiv[[Agency]:[Agency]]=$E837)*(ROW(TableDiv[Agency])-ROW(TableDiv[[#Headers],[Agency]])),COLUMNS($F$7:AE$7))))</f>
        <v/>
      </c>
      <c r="AF837" s="2223" t="str" cm="1">
        <f t="array" ref="AF837">IF($D837&lt;COLUMNS($F$7:AF$7),"",INDEX(TableDiv[[GASB]:[GASB]],_xlfn.AGGREGATE(15,3,(TableDiv[[Agency]:[Agency]]=$E837)/(TableDiv[[Agency]:[Agency]]=$E837)*(ROW(TableDiv[Agency])-ROW(TableDiv[[#Headers],[Agency]])),COLUMNS($F$7:AF$7))))</f>
        <v/>
      </c>
      <c r="AG837" s="2223" t="str" cm="1">
        <f t="array" ref="AG837">IF($D837&lt;COLUMNS($F$7:AG$7),"",INDEX(TableDiv[[GASB]:[GASB]],_xlfn.AGGREGATE(15,3,(TableDiv[[Agency]:[Agency]]=$E837)/(TableDiv[[Agency]:[Agency]]=$E837)*(ROW(TableDiv[Agency])-ROW(TableDiv[[#Headers],[Agency]])),COLUMNS($F$7:AG$7))))</f>
        <v/>
      </c>
      <c r="AH837" s="2223" t="str" cm="1">
        <f t="array" ref="AH837">IF($D837&lt;COLUMNS($F$7:AH$7),"",INDEX(TableDiv[[GASB]:[GASB]],_xlfn.AGGREGATE(15,3,(TableDiv[[Agency]:[Agency]]=$E837)/(TableDiv[[Agency]:[Agency]]=$E837)*(ROW(TableDiv[Agency])-ROW(TableDiv[[#Headers],[Agency]])),COLUMNS($F$7:AH$7))))</f>
        <v/>
      </c>
      <c r="AI837" s="2223" t="str" cm="1">
        <f t="array" ref="AI837">IF($D837&lt;COLUMNS($F$7:AI$7),"",INDEX(TableDiv[[GASB]:[GASB]],_xlfn.AGGREGATE(15,3,(TableDiv[[Agency]:[Agency]]=$E837)/(TableDiv[[Agency]:[Agency]]=$E837)*(ROW(TableDiv[Agency])-ROW(TableDiv[[#Headers],[Agency]])),COLUMNS($F$7:AI$7))))</f>
        <v/>
      </c>
      <c r="AJ837" s="2223" t="str" cm="1">
        <f t="array" ref="AJ837">IF($D837&lt;COLUMNS($F$7:AJ$7),"",INDEX(TableDiv[[GASB]:[GASB]],_xlfn.AGGREGATE(15,3,(TableDiv[[Agency]:[Agency]]=$E837)/(TableDiv[[Agency]:[Agency]]=$E837)*(ROW(TableDiv[Agency])-ROW(TableDiv[[#Headers],[Agency]])),COLUMNS($F$7:AJ$7))))</f>
        <v/>
      </c>
      <c r="AK837" s="2223" t="str" cm="1">
        <f t="array" ref="AK837">IF($D837&lt;COLUMNS($F$7:AK$7),"",INDEX(TableDiv[[GASB]:[GASB]],_xlfn.AGGREGATE(15,3,(TableDiv[[Agency]:[Agency]]=$E837)/(TableDiv[[Agency]:[Agency]]=$E837)*(ROW(TableDiv[Agency])-ROW(TableDiv[[#Headers],[Agency]])),COLUMNS($F$7:AK$7))))</f>
        <v/>
      </c>
      <c r="AL837" s="2223" t="str" cm="1">
        <f t="array" ref="AL837">IF($D837&lt;COLUMNS($F$7:AL$7),"",INDEX(TableDiv[[GASB]:[GASB]],_xlfn.AGGREGATE(15,3,(TableDiv[[Agency]:[Agency]]=$E837)/(TableDiv[[Agency]:[Agency]]=$E837)*(ROW(TableDiv[Agency])-ROW(TableDiv[[#Headers],[Agency]])),COLUMNS($F$7:AL$7))))</f>
        <v/>
      </c>
      <c r="AM837" s="2223" t="str" cm="1">
        <f t="array" ref="AM837">IF($D837&lt;COLUMNS($F$7:AM$7),"",INDEX(TableDiv[[GASB]:[GASB]],_xlfn.AGGREGATE(15,3,(TableDiv[[Agency]:[Agency]]=$E837)/(TableDiv[[Agency]:[Agency]]=$E837)*(ROW(TableDiv[Agency])-ROW(TableDiv[[#Headers],[Agency]])),COLUMNS($F$7:AM$7))))</f>
        <v/>
      </c>
      <c r="AN837" s="2223"/>
      <c r="AO837" s="2223"/>
      <c r="AP837" s="2223"/>
      <c r="AQ837" s="2223"/>
      <c r="AR837" s="2223"/>
      <c r="AS837" s="2223"/>
    </row>
    <row r="838" spans="1:45" x14ac:dyDescent="0.2">
      <c r="A838" s="2223"/>
      <c r="B838" s="2223"/>
      <c r="C838" s="2223"/>
      <c r="W838" s="2223" t="str" cm="1">
        <f t="array" ref="W838">IF($D838&lt;COLUMNS($F$7:W$7),"",INDEX(TableDiv[[GASB]:[GASB]],_xlfn.AGGREGATE(15,3,(TableDiv[[Agency]:[Agency]]=$E838)/(TableDiv[[Agency]:[Agency]]=$E838)*(ROW(TableDiv[Agency])-ROW(TableDiv[[#Headers],[Agency]])),COLUMNS($F$7:W$7))))</f>
        <v/>
      </c>
      <c r="X838" s="2223" t="str" cm="1">
        <f t="array" ref="X838">IF($D838&lt;COLUMNS($F$7:X$7),"",INDEX(TableDiv[[GASB]:[GASB]],_xlfn.AGGREGATE(15,3,(TableDiv[[Agency]:[Agency]]=$E838)/(TableDiv[[Agency]:[Agency]]=$E838)*(ROW(TableDiv[Agency])-ROW(TableDiv[[#Headers],[Agency]])),COLUMNS($F$7:X$7))))</f>
        <v/>
      </c>
      <c r="Y838" s="2223" t="str" cm="1">
        <f t="array" ref="Y838">IF($D838&lt;COLUMNS($F$7:Y$7),"",INDEX(TableDiv[[GASB]:[GASB]],_xlfn.AGGREGATE(15,3,(TableDiv[[Agency]:[Agency]]=$E838)/(TableDiv[[Agency]:[Agency]]=$E838)*(ROW(TableDiv[Agency])-ROW(TableDiv[[#Headers],[Agency]])),COLUMNS($F$7:Y$7))))</f>
        <v/>
      </c>
      <c r="Z838" s="2223" t="str" cm="1">
        <f t="array" ref="Z838">IF($D838&lt;COLUMNS($F$7:Z$7),"",INDEX(TableDiv[[GASB]:[GASB]],_xlfn.AGGREGATE(15,3,(TableDiv[[Agency]:[Agency]]=$E838)/(TableDiv[[Agency]:[Agency]]=$E838)*(ROW(TableDiv[Agency])-ROW(TableDiv[[#Headers],[Agency]])),COLUMNS($F$7:Z$7))))</f>
        <v/>
      </c>
      <c r="AA838" s="2223" t="str" cm="1">
        <f t="array" ref="AA838">IF($D838&lt;COLUMNS($F$7:AA$7),"",INDEX(TableDiv[[GASB]:[GASB]],_xlfn.AGGREGATE(15,3,(TableDiv[[Agency]:[Agency]]=$E838)/(TableDiv[[Agency]:[Agency]]=$E838)*(ROW(TableDiv[Agency])-ROW(TableDiv[[#Headers],[Agency]])),COLUMNS($F$7:AA$7))))</f>
        <v/>
      </c>
      <c r="AB838" s="2223" t="str" cm="1">
        <f t="array" ref="AB838">IF($D838&lt;COLUMNS($F$7:AB$7),"",INDEX(TableDiv[[GASB]:[GASB]],_xlfn.AGGREGATE(15,3,(TableDiv[[Agency]:[Agency]]=$E838)/(TableDiv[[Agency]:[Agency]]=$E838)*(ROW(TableDiv[Agency])-ROW(TableDiv[[#Headers],[Agency]])),COLUMNS($F$7:AB$7))))</f>
        <v/>
      </c>
      <c r="AC838" s="2223" t="str" cm="1">
        <f t="array" ref="AC838">IF($D838&lt;COLUMNS($F$7:AC$7),"",INDEX(TableDiv[[GASB]:[GASB]],_xlfn.AGGREGATE(15,3,(TableDiv[[Agency]:[Agency]]=$E838)/(TableDiv[[Agency]:[Agency]]=$E838)*(ROW(TableDiv[Agency])-ROW(TableDiv[[#Headers],[Agency]])),COLUMNS($F$7:AC$7))))</f>
        <v/>
      </c>
      <c r="AD838" s="2223" t="str" cm="1">
        <f t="array" ref="AD838">IF($D838&lt;COLUMNS($F$7:AD$7),"",INDEX(TableDiv[[GASB]:[GASB]],_xlfn.AGGREGATE(15,3,(TableDiv[[Agency]:[Agency]]=$E838)/(TableDiv[[Agency]:[Agency]]=$E838)*(ROW(TableDiv[Agency])-ROW(TableDiv[[#Headers],[Agency]])),COLUMNS($F$7:AD$7))))</f>
        <v/>
      </c>
      <c r="AE838" s="2223" t="str" cm="1">
        <f t="array" ref="AE838">IF($D838&lt;COLUMNS($F$7:AE$7),"",INDEX(TableDiv[[GASB]:[GASB]],_xlfn.AGGREGATE(15,3,(TableDiv[[Agency]:[Agency]]=$E838)/(TableDiv[[Agency]:[Agency]]=$E838)*(ROW(TableDiv[Agency])-ROW(TableDiv[[#Headers],[Agency]])),COLUMNS($F$7:AE$7))))</f>
        <v/>
      </c>
      <c r="AF838" s="2223" t="str" cm="1">
        <f t="array" ref="AF838">IF($D838&lt;COLUMNS($F$7:AF$7),"",INDEX(TableDiv[[GASB]:[GASB]],_xlfn.AGGREGATE(15,3,(TableDiv[[Agency]:[Agency]]=$E838)/(TableDiv[[Agency]:[Agency]]=$E838)*(ROW(TableDiv[Agency])-ROW(TableDiv[[#Headers],[Agency]])),COLUMNS($F$7:AF$7))))</f>
        <v/>
      </c>
      <c r="AG838" s="2223" t="str" cm="1">
        <f t="array" ref="AG838">IF($D838&lt;COLUMNS($F$7:AG$7),"",INDEX(TableDiv[[GASB]:[GASB]],_xlfn.AGGREGATE(15,3,(TableDiv[[Agency]:[Agency]]=$E838)/(TableDiv[[Agency]:[Agency]]=$E838)*(ROW(TableDiv[Agency])-ROW(TableDiv[[#Headers],[Agency]])),COLUMNS($F$7:AG$7))))</f>
        <v/>
      </c>
      <c r="AH838" s="2223" t="str" cm="1">
        <f t="array" ref="AH838">IF($D838&lt;COLUMNS($F$7:AH$7),"",INDEX(TableDiv[[GASB]:[GASB]],_xlfn.AGGREGATE(15,3,(TableDiv[[Agency]:[Agency]]=$E838)/(TableDiv[[Agency]:[Agency]]=$E838)*(ROW(TableDiv[Agency])-ROW(TableDiv[[#Headers],[Agency]])),COLUMNS($F$7:AH$7))))</f>
        <v/>
      </c>
      <c r="AI838" s="2223" t="str" cm="1">
        <f t="array" ref="AI838">IF($D838&lt;COLUMNS($F$7:AI$7),"",INDEX(TableDiv[[GASB]:[GASB]],_xlfn.AGGREGATE(15,3,(TableDiv[[Agency]:[Agency]]=$E838)/(TableDiv[[Agency]:[Agency]]=$E838)*(ROW(TableDiv[Agency])-ROW(TableDiv[[#Headers],[Agency]])),COLUMNS($F$7:AI$7))))</f>
        <v/>
      </c>
      <c r="AJ838" s="2223" t="str" cm="1">
        <f t="array" ref="AJ838">IF($D838&lt;COLUMNS($F$7:AJ$7),"",INDEX(TableDiv[[GASB]:[GASB]],_xlfn.AGGREGATE(15,3,(TableDiv[[Agency]:[Agency]]=$E838)/(TableDiv[[Agency]:[Agency]]=$E838)*(ROW(TableDiv[Agency])-ROW(TableDiv[[#Headers],[Agency]])),COLUMNS($F$7:AJ$7))))</f>
        <v/>
      </c>
      <c r="AK838" s="2223" t="str" cm="1">
        <f t="array" ref="AK838">IF($D838&lt;COLUMNS($F$7:AK$7),"",INDEX(TableDiv[[GASB]:[GASB]],_xlfn.AGGREGATE(15,3,(TableDiv[[Agency]:[Agency]]=$E838)/(TableDiv[[Agency]:[Agency]]=$E838)*(ROW(TableDiv[Agency])-ROW(TableDiv[[#Headers],[Agency]])),COLUMNS($F$7:AK$7))))</f>
        <v/>
      </c>
      <c r="AL838" s="2223" t="str" cm="1">
        <f t="array" ref="AL838">IF($D838&lt;COLUMNS($F$7:AL$7),"",INDEX(TableDiv[[GASB]:[GASB]],_xlfn.AGGREGATE(15,3,(TableDiv[[Agency]:[Agency]]=$E838)/(TableDiv[[Agency]:[Agency]]=$E838)*(ROW(TableDiv[Agency])-ROW(TableDiv[[#Headers],[Agency]])),COLUMNS($F$7:AL$7))))</f>
        <v/>
      </c>
      <c r="AM838" s="2223" t="str" cm="1">
        <f t="array" ref="AM838">IF($D838&lt;COLUMNS($F$7:AM$7),"",INDEX(TableDiv[[GASB]:[GASB]],_xlfn.AGGREGATE(15,3,(TableDiv[[Agency]:[Agency]]=$E838)/(TableDiv[[Agency]:[Agency]]=$E838)*(ROW(TableDiv[Agency])-ROW(TableDiv[[#Headers],[Agency]])),COLUMNS($F$7:AM$7))))</f>
        <v/>
      </c>
      <c r="AN838" s="2223"/>
      <c r="AO838" s="2223"/>
      <c r="AP838" s="2223"/>
      <c r="AQ838" s="2223"/>
      <c r="AR838" s="2223"/>
      <c r="AS838" s="2223"/>
    </row>
    <row r="839" spans="1:45" x14ac:dyDescent="0.2">
      <c r="A839" s="2223"/>
      <c r="B839" s="2223"/>
      <c r="C839" s="2223"/>
      <c r="W839" s="2223" t="str" cm="1">
        <f t="array" ref="W839">IF($D839&lt;COLUMNS($F$7:W$7),"",INDEX(TableDiv[[GASB]:[GASB]],_xlfn.AGGREGATE(15,3,(TableDiv[[Agency]:[Agency]]=$E839)/(TableDiv[[Agency]:[Agency]]=$E839)*(ROW(TableDiv[Agency])-ROW(TableDiv[[#Headers],[Agency]])),COLUMNS($F$7:W$7))))</f>
        <v/>
      </c>
      <c r="X839" s="2223" t="str" cm="1">
        <f t="array" ref="X839">IF($D839&lt;COLUMNS($F$7:X$7),"",INDEX(TableDiv[[GASB]:[GASB]],_xlfn.AGGREGATE(15,3,(TableDiv[[Agency]:[Agency]]=$E839)/(TableDiv[[Agency]:[Agency]]=$E839)*(ROW(TableDiv[Agency])-ROW(TableDiv[[#Headers],[Agency]])),COLUMNS($F$7:X$7))))</f>
        <v/>
      </c>
      <c r="Y839" s="2223" t="str" cm="1">
        <f t="array" ref="Y839">IF($D839&lt;COLUMNS($F$7:Y$7),"",INDEX(TableDiv[[GASB]:[GASB]],_xlfn.AGGREGATE(15,3,(TableDiv[[Agency]:[Agency]]=$E839)/(TableDiv[[Agency]:[Agency]]=$E839)*(ROW(TableDiv[Agency])-ROW(TableDiv[[#Headers],[Agency]])),COLUMNS($F$7:Y$7))))</f>
        <v/>
      </c>
      <c r="Z839" s="2223" t="str" cm="1">
        <f t="array" ref="Z839">IF($D839&lt;COLUMNS($F$7:Z$7),"",INDEX(TableDiv[[GASB]:[GASB]],_xlfn.AGGREGATE(15,3,(TableDiv[[Agency]:[Agency]]=$E839)/(TableDiv[[Agency]:[Agency]]=$E839)*(ROW(TableDiv[Agency])-ROW(TableDiv[[#Headers],[Agency]])),COLUMNS($F$7:Z$7))))</f>
        <v/>
      </c>
      <c r="AA839" s="2223" t="str" cm="1">
        <f t="array" ref="AA839">IF($D839&lt;COLUMNS($F$7:AA$7),"",INDEX(TableDiv[[GASB]:[GASB]],_xlfn.AGGREGATE(15,3,(TableDiv[[Agency]:[Agency]]=$E839)/(TableDiv[[Agency]:[Agency]]=$E839)*(ROW(TableDiv[Agency])-ROW(TableDiv[[#Headers],[Agency]])),COLUMNS($F$7:AA$7))))</f>
        <v/>
      </c>
      <c r="AB839" s="2223" t="str" cm="1">
        <f t="array" ref="AB839">IF($D839&lt;COLUMNS($F$7:AB$7),"",INDEX(TableDiv[[GASB]:[GASB]],_xlfn.AGGREGATE(15,3,(TableDiv[[Agency]:[Agency]]=$E839)/(TableDiv[[Agency]:[Agency]]=$E839)*(ROW(TableDiv[Agency])-ROW(TableDiv[[#Headers],[Agency]])),COLUMNS($F$7:AB$7))))</f>
        <v/>
      </c>
      <c r="AC839" s="2223" t="str" cm="1">
        <f t="array" ref="AC839">IF($D839&lt;COLUMNS($F$7:AC$7),"",INDEX(TableDiv[[GASB]:[GASB]],_xlfn.AGGREGATE(15,3,(TableDiv[[Agency]:[Agency]]=$E839)/(TableDiv[[Agency]:[Agency]]=$E839)*(ROW(TableDiv[Agency])-ROW(TableDiv[[#Headers],[Agency]])),COLUMNS($F$7:AC$7))))</f>
        <v/>
      </c>
      <c r="AD839" s="2223" t="str" cm="1">
        <f t="array" ref="AD839">IF($D839&lt;COLUMNS($F$7:AD$7),"",INDEX(TableDiv[[GASB]:[GASB]],_xlfn.AGGREGATE(15,3,(TableDiv[[Agency]:[Agency]]=$E839)/(TableDiv[[Agency]:[Agency]]=$E839)*(ROW(TableDiv[Agency])-ROW(TableDiv[[#Headers],[Agency]])),COLUMNS($F$7:AD$7))))</f>
        <v/>
      </c>
      <c r="AE839" s="2223" t="str" cm="1">
        <f t="array" ref="AE839">IF($D839&lt;COLUMNS($F$7:AE$7),"",INDEX(TableDiv[[GASB]:[GASB]],_xlfn.AGGREGATE(15,3,(TableDiv[[Agency]:[Agency]]=$E839)/(TableDiv[[Agency]:[Agency]]=$E839)*(ROW(TableDiv[Agency])-ROW(TableDiv[[#Headers],[Agency]])),COLUMNS($F$7:AE$7))))</f>
        <v/>
      </c>
      <c r="AF839" s="2223" t="str" cm="1">
        <f t="array" ref="AF839">IF($D839&lt;COLUMNS($F$7:AF$7),"",INDEX(TableDiv[[GASB]:[GASB]],_xlfn.AGGREGATE(15,3,(TableDiv[[Agency]:[Agency]]=$E839)/(TableDiv[[Agency]:[Agency]]=$E839)*(ROW(TableDiv[Agency])-ROW(TableDiv[[#Headers],[Agency]])),COLUMNS($F$7:AF$7))))</f>
        <v/>
      </c>
      <c r="AG839" s="2223" t="str" cm="1">
        <f t="array" ref="AG839">IF($D839&lt;COLUMNS($F$7:AG$7),"",INDEX(TableDiv[[GASB]:[GASB]],_xlfn.AGGREGATE(15,3,(TableDiv[[Agency]:[Agency]]=$E839)/(TableDiv[[Agency]:[Agency]]=$E839)*(ROW(TableDiv[Agency])-ROW(TableDiv[[#Headers],[Agency]])),COLUMNS($F$7:AG$7))))</f>
        <v/>
      </c>
      <c r="AH839" s="2223" t="str" cm="1">
        <f t="array" ref="AH839">IF($D839&lt;COLUMNS($F$7:AH$7),"",INDEX(TableDiv[[GASB]:[GASB]],_xlfn.AGGREGATE(15,3,(TableDiv[[Agency]:[Agency]]=$E839)/(TableDiv[[Agency]:[Agency]]=$E839)*(ROW(TableDiv[Agency])-ROW(TableDiv[[#Headers],[Agency]])),COLUMNS($F$7:AH$7))))</f>
        <v/>
      </c>
      <c r="AI839" s="2223" t="str" cm="1">
        <f t="array" ref="AI839">IF($D839&lt;COLUMNS($F$7:AI$7),"",INDEX(TableDiv[[GASB]:[GASB]],_xlfn.AGGREGATE(15,3,(TableDiv[[Agency]:[Agency]]=$E839)/(TableDiv[[Agency]:[Agency]]=$E839)*(ROW(TableDiv[Agency])-ROW(TableDiv[[#Headers],[Agency]])),COLUMNS($F$7:AI$7))))</f>
        <v/>
      </c>
      <c r="AJ839" s="2223" t="str" cm="1">
        <f t="array" ref="AJ839">IF($D839&lt;COLUMNS($F$7:AJ$7),"",INDEX(TableDiv[[GASB]:[GASB]],_xlfn.AGGREGATE(15,3,(TableDiv[[Agency]:[Agency]]=$E839)/(TableDiv[[Agency]:[Agency]]=$E839)*(ROW(TableDiv[Agency])-ROW(TableDiv[[#Headers],[Agency]])),COLUMNS($F$7:AJ$7))))</f>
        <v/>
      </c>
      <c r="AK839" s="2223" t="str" cm="1">
        <f t="array" ref="AK839">IF($D839&lt;COLUMNS($F$7:AK$7),"",INDEX(TableDiv[[GASB]:[GASB]],_xlfn.AGGREGATE(15,3,(TableDiv[[Agency]:[Agency]]=$E839)/(TableDiv[[Agency]:[Agency]]=$E839)*(ROW(TableDiv[Agency])-ROW(TableDiv[[#Headers],[Agency]])),COLUMNS($F$7:AK$7))))</f>
        <v/>
      </c>
      <c r="AL839" s="2223" t="str" cm="1">
        <f t="array" ref="AL839">IF($D839&lt;COLUMNS($F$7:AL$7),"",INDEX(TableDiv[[GASB]:[GASB]],_xlfn.AGGREGATE(15,3,(TableDiv[[Agency]:[Agency]]=$E839)/(TableDiv[[Agency]:[Agency]]=$E839)*(ROW(TableDiv[Agency])-ROW(TableDiv[[#Headers],[Agency]])),COLUMNS($F$7:AL$7))))</f>
        <v/>
      </c>
      <c r="AM839" s="2223" t="str" cm="1">
        <f t="array" ref="AM839">IF($D839&lt;COLUMNS($F$7:AM$7),"",INDEX(TableDiv[[GASB]:[GASB]],_xlfn.AGGREGATE(15,3,(TableDiv[[Agency]:[Agency]]=$E839)/(TableDiv[[Agency]:[Agency]]=$E839)*(ROW(TableDiv[Agency])-ROW(TableDiv[[#Headers],[Agency]])),COLUMNS($F$7:AM$7))))</f>
        <v/>
      </c>
      <c r="AN839" s="2223"/>
      <c r="AO839" s="2223"/>
      <c r="AP839" s="2223"/>
      <c r="AQ839" s="2223"/>
      <c r="AR839" s="2223"/>
      <c r="AS839" s="2223"/>
    </row>
    <row r="840" spans="1:45" x14ac:dyDescent="0.2">
      <c r="A840" s="2223"/>
      <c r="B840" s="2223"/>
      <c r="C840" s="2223"/>
      <c r="W840" s="2223" t="str" cm="1">
        <f t="array" ref="W840">IF($D840&lt;COLUMNS($F$7:W$7),"",INDEX(TableDiv[[GASB]:[GASB]],_xlfn.AGGREGATE(15,3,(TableDiv[[Agency]:[Agency]]=$E840)/(TableDiv[[Agency]:[Agency]]=$E840)*(ROW(TableDiv[Agency])-ROW(TableDiv[[#Headers],[Agency]])),COLUMNS($F$7:W$7))))</f>
        <v/>
      </c>
      <c r="X840" s="2223" t="str" cm="1">
        <f t="array" ref="X840">IF($D840&lt;COLUMNS($F$7:X$7),"",INDEX(TableDiv[[GASB]:[GASB]],_xlfn.AGGREGATE(15,3,(TableDiv[[Agency]:[Agency]]=$E840)/(TableDiv[[Agency]:[Agency]]=$E840)*(ROW(TableDiv[Agency])-ROW(TableDiv[[#Headers],[Agency]])),COLUMNS($F$7:X$7))))</f>
        <v/>
      </c>
      <c r="Y840" s="2223" t="str" cm="1">
        <f t="array" ref="Y840">IF($D840&lt;COLUMNS($F$7:Y$7),"",INDEX(TableDiv[[GASB]:[GASB]],_xlfn.AGGREGATE(15,3,(TableDiv[[Agency]:[Agency]]=$E840)/(TableDiv[[Agency]:[Agency]]=$E840)*(ROW(TableDiv[Agency])-ROW(TableDiv[[#Headers],[Agency]])),COLUMNS($F$7:Y$7))))</f>
        <v/>
      </c>
      <c r="Z840" s="2223" t="str" cm="1">
        <f t="array" ref="Z840">IF($D840&lt;COLUMNS($F$7:Z$7),"",INDEX(TableDiv[[GASB]:[GASB]],_xlfn.AGGREGATE(15,3,(TableDiv[[Agency]:[Agency]]=$E840)/(TableDiv[[Agency]:[Agency]]=$E840)*(ROW(TableDiv[Agency])-ROW(TableDiv[[#Headers],[Agency]])),COLUMNS($F$7:Z$7))))</f>
        <v/>
      </c>
      <c r="AA840" s="2223" t="str" cm="1">
        <f t="array" ref="AA840">IF($D840&lt;COLUMNS($F$7:AA$7),"",INDEX(TableDiv[[GASB]:[GASB]],_xlfn.AGGREGATE(15,3,(TableDiv[[Agency]:[Agency]]=$E840)/(TableDiv[[Agency]:[Agency]]=$E840)*(ROW(TableDiv[Agency])-ROW(TableDiv[[#Headers],[Agency]])),COLUMNS($F$7:AA$7))))</f>
        <v/>
      </c>
      <c r="AB840" s="2223" t="str" cm="1">
        <f t="array" ref="AB840">IF($D840&lt;COLUMNS($F$7:AB$7),"",INDEX(TableDiv[[GASB]:[GASB]],_xlfn.AGGREGATE(15,3,(TableDiv[[Agency]:[Agency]]=$E840)/(TableDiv[[Agency]:[Agency]]=$E840)*(ROW(TableDiv[Agency])-ROW(TableDiv[[#Headers],[Agency]])),COLUMNS($F$7:AB$7))))</f>
        <v/>
      </c>
      <c r="AC840" s="2223" t="str" cm="1">
        <f t="array" ref="AC840">IF($D840&lt;COLUMNS($F$7:AC$7),"",INDEX(TableDiv[[GASB]:[GASB]],_xlfn.AGGREGATE(15,3,(TableDiv[[Agency]:[Agency]]=$E840)/(TableDiv[[Agency]:[Agency]]=$E840)*(ROW(TableDiv[Agency])-ROW(TableDiv[[#Headers],[Agency]])),COLUMNS($F$7:AC$7))))</f>
        <v/>
      </c>
      <c r="AD840" s="2223" t="str" cm="1">
        <f t="array" ref="AD840">IF($D840&lt;COLUMNS($F$7:AD$7),"",INDEX(TableDiv[[GASB]:[GASB]],_xlfn.AGGREGATE(15,3,(TableDiv[[Agency]:[Agency]]=$E840)/(TableDiv[[Agency]:[Agency]]=$E840)*(ROW(TableDiv[Agency])-ROW(TableDiv[[#Headers],[Agency]])),COLUMNS($F$7:AD$7))))</f>
        <v/>
      </c>
      <c r="AE840" s="2223" t="str" cm="1">
        <f t="array" ref="AE840">IF($D840&lt;COLUMNS($F$7:AE$7),"",INDEX(TableDiv[[GASB]:[GASB]],_xlfn.AGGREGATE(15,3,(TableDiv[[Agency]:[Agency]]=$E840)/(TableDiv[[Agency]:[Agency]]=$E840)*(ROW(TableDiv[Agency])-ROW(TableDiv[[#Headers],[Agency]])),COLUMNS($F$7:AE$7))))</f>
        <v/>
      </c>
      <c r="AF840" s="2223" t="str" cm="1">
        <f t="array" ref="AF840">IF($D840&lt;COLUMNS($F$7:AF$7),"",INDEX(TableDiv[[GASB]:[GASB]],_xlfn.AGGREGATE(15,3,(TableDiv[[Agency]:[Agency]]=$E840)/(TableDiv[[Agency]:[Agency]]=$E840)*(ROW(TableDiv[Agency])-ROW(TableDiv[[#Headers],[Agency]])),COLUMNS($F$7:AF$7))))</f>
        <v/>
      </c>
      <c r="AG840" s="2223" t="str" cm="1">
        <f t="array" ref="AG840">IF($D840&lt;COLUMNS($F$7:AG$7),"",INDEX(TableDiv[[GASB]:[GASB]],_xlfn.AGGREGATE(15,3,(TableDiv[[Agency]:[Agency]]=$E840)/(TableDiv[[Agency]:[Agency]]=$E840)*(ROW(TableDiv[Agency])-ROW(TableDiv[[#Headers],[Agency]])),COLUMNS($F$7:AG$7))))</f>
        <v/>
      </c>
      <c r="AH840" s="2223" t="str" cm="1">
        <f t="array" ref="AH840">IF($D840&lt;COLUMNS($F$7:AH$7),"",INDEX(TableDiv[[GASB]:[GASB]],_xlfn.AGGREGATE(15,3,(TableDiv[[Agency]:[Agency]]=$E840)/(TableDiv[[Agency]:[Agency]]=$E840)*(ROW(TableDiv[Agency])-ROW(TableDiv[[#Headers],[Agency]])),COLUMNS($F$7:AH$7))))</f>
        <v/>
      </c>
      <c r="AI840" s="2223" t="str" cm="1">
        <f t="array" ref="AI840">IF($D840&lt;COLUMNS($F$7:AI$7),"",INDEX(TableDiv[[GASB]:[GASB]],_xlfn.AGGREGATE(15,3,(TableDiv[[Agency]:[Agency]]=$E840)/(TableDiv[[Agency]:[Agency]]=$E840)*(ROW(TableDiv[Agency])-ROW(TableDiv[[#Headers],[Agency]])),COLUMNS($F$7:AI$7))))</f>
        <v/>
      </c>
      <c r="AJ840" s="2223" t="str" cm="1">
        <f t="array" ref="AJ840">IF($D840&lt;COLUMNS($F$7:AJ$7),"",INDEX(TableDiv[[GASB]:[GASB]],_xlfn.AGGREGATE(15,3,(TableDiv[[Agency]:[Agency]]=$E840)/(TableDiv[[Agency]:[Agency]]=$E840)*(ROW(TableDiv[Agency])-ROW(TableDiv[[#Headers],[Agency]])),COLUMNS($F$7:AJ$7))))</f>
        <v/>
      </c>
      <c r="AK840" s="2223" t="str" cm="1">
        <f t="array" ref="AK840">IF($D840&lt;COLUMNS($F$7:AK$7),"",INDEX(TableDiv[[GASB]:[GASB]],_xlfn.AGGREGATE(15,3,(TableDiv[[Agency]:[Agency]]=$E840)/(TableDiv[[Agency]:[Agency]]=$E840)*(ROW(TableDiv[Agency])-ROW(TableDiv[[#Headers],[Agency]])),COLUMNS($F$7:AK$7))))</f>
        <v/>
      </c>
      <c r="AL840" s="2223" t="str" cm="1">
        <f t="array" ref="AL840">IF($D840&lt;COLUMNS($F$7:AL$7),"",INDEX(TableDiv[[GASB]:[GASB]],_xlfn.AGGREGATE(15,3,(TableDiv[[Agency]:[Agency]]=$E840)/(TableDiv[[Agency]:[Agency]]=$E840)*(ROW(TableDiv[Agency])-ROW(TableDiv[[#Headers],[Agency]])),COLUMNS($F$7:AL$7))))</f>
        <v/>
      </c>
      <c r="AM840" s="2223" t="str" cm="1">
        <f t="array" ref="AM840">IF($D840&lt;COLUMNS($F$7:AM$7),"",INDEX(TableDiv[[GASB]:[GASB]],_xlfn.AGGREGATE(15,3,(TableDiv[[Agency]:[Agency]]=$E840)/(TableDiv[[Agency]:[Agency]]=$E840)*(ROW(TableDiv[Agency])-ROW(TableDiv[[#Headers],[Agency]])),COLUMNS($F$7:AM$7))))</f>
        <v/>
      </c>
      <c r="AN840" s="2223"/>
      <c r="AO840" s="2223"/>
      <c r="AP840" s="2223"/>
      <c r="AQ840" s="2223"/>
      <c r="AR840" s="2223"/>
      <c r="AS840" s="2223"/>
    </row>
    <row r="841" spans="1:45" x14ac:dyDescent="0.2">
      <c r="A841" s="2223"/>
      <c r="B841" s="2223"/>
      <c r="C841" s="2223"/>
      <c r="W841" s="2223" t="str" cm="1">
        <f t="array" ref="W841">IF($D841&lt;COLUMNS($F$7:W$7),"",INDEX(TableDiv[[GASB]:[GASB]],_xlfn.AGGREGATE(15,3,(TableDiv[[Agency]:[Agency]]=$E841)/(TableDiv[[Agency]:[Agency]]=$E841)*(ROW(TableDiv[Agency])-ROW(TableDiv[[#Headers],[Agency]])),COLUMNS($F$7:W$7))))</f>
        <v/>
      </c>
      <c r="X841" s="2223" t="str" cm="1">
        <f t="array" ref="X841">IF($D841&lt;COLUMNS($F$7:X$7),"",INDEX(TableDiv[[GASB]:[GASB]],_xlfn.AGGREGATE(15,3,(TableDiv[[Agency]:[Agency]]=$E841)/(TableDiv[[Agency]:[Agency]]=$E841)*(ROW(TableDiv[Agency])-ROW(TableDiv[[#Headers],[Agency]])),COLUMNS($F$7:X$7))))</f>
        <v/>
      </c>
      <c r="Y841" s="2223" t="str" cm="1">
        <f t="array" ref="Y841">IF($D841&lt;COLUMNS($F$7:Y$7),"",INDEX(TableDiv[[GASB]:[GASB]],_xlfn.AGGREGATE(15,3,(TableDiv[[Agency]:[Agency]]=$E841)/(TableDiv[[Agency]:[Agency]]=$E841)*(ROW(TableDiv[Agency])-ROW(TableDiv[[#Headers],[Agency]])),COLUMNS($F$7:Y$7))))</f>
        <v/>
      </c>
      <c r="Z841" s="2223" t="str" cm="1">
        <f t="array" ref="Z841">IF($D841&lt;COLUMNS($F$7:Z$7),"",INDEX(TableDiv[[GASB]:[GASB]],_xlfn.AGGREGATE(15,3,(TableDiv[[Agency]:[Agency]]=$E841)/(TableDiv[[Agency]:[Agency]]=$E841)*(ROW(TableDiv[Agency])-ROW(TableDiv[[#Headers],[Agency]])),COLUMNS($F$7:Z$7))))</f>
        <v/>
      </c>
      <c r="AA841" s="2223" t="str" cm="1">
        <f t="array" ref="AA841">IF($D841&lt;COLUMNS($F$7:AA$7),"",INDEX(TableDiv[[GASB]:[GASB]],_xlfn.AGGREGATE(15,3,(TableDiv[[Agency]:[Agency]]=$E841)/(TableDiv[[Agency]:[Agency]]=$E841)*(ROW(TableDiv[Agency])-ROW(TableDiv[[#Headers],[Agency]])),COLUMNS($F$7:AA$7))))</f>
        <v/>
      </c>
      <c r="AB841" s="2223" t="str" cm="1">
        <f t="array" ref="AB841">IF($D841&lt;COLUMNS($F$7:AB$7),"",INDEX(TableDiv[[GASB]:[GASB]],_xlfn.AGGREGATE(15,3,(TableDiv[[Agency]:[Agency]]=$E841)/(TableDiv[[Agency]:[Agency]]=$E841)*(ROW(TableDiv[Agency])-ROW(TableDiv[[#Headers],[Agency]])),COLUMNS($F$7:AB$7))))</f>
        <v/>
      </c>
      <c r="AC841" s="2223" t="str" cm="1">
        <f t="array" ref="AC841">IF($D841&lt;COLUMNS($F$7:AC$7),"",INDEX(TableDiv[[GASB]:[GASB]],_xlfn.AGGREGATE(15,3,(TableDiv[[Agency]:[Agency]]=$E841)/(TableDiv[[Agency]:[Agency]]=$E841)*(ROW(TableDiv[Agency])-ROW(TableDiv[[#Headers],[Agency]])),COLUMNS($F$7:AC$7))))</f>
        <v/>
      </c>
      <c r="AD841" s="2223" t="str" cm="1">
        <f t="array" ref="AD841">IF($D841&lt;COLUMNS($F$7:AD$7),"",INDEX(TableDiv[[GASB]:[GASB]],_xlfn.AGGREGATE(15,3,(TableDiv[[Agency]:[Agency]]=$E841)/(TableDiv[[Agency]:[Agency]]=$E841)*(ROW(TableDiv[Agency])-ROW(TableDiv[[#Headers],[Agency]])),COLUMNS($F$7:AD$7))))</f>
        <v/>
      </c>
      <c r="AE841" s="2223" t="str" cm="1">
        <f t="array" ref="AE841">IF($D841&lt;COLUMNS($F$7:AE$7),"",INDEX(TableDiv[[GASB]:[GASB]],_xlfn.AGGREGATE(15,3,(TableDiv[[Agency]:[Agency]]=$E841)/(TableDiv[[Agency]:[Agency]]=$E841)*(ROW(TableDiv[Agency])-ROW(TableDiv[[#Headers],[Agency]])),COLUMNS($F$7:AE$7))))</f>
        <v/>
      </c>
      <c r="AF841" s="2223" t="str" cm="1">
        <f t="array" ref="AF841">IF($D841&lt;COLUMNS($F$7:AF$7),"",INDEX(TableDiv[[GASB]:[GASB]],_xlfn.AGGREGATE(15,3,(TableDiv[[Agency]:[Agency]]=$E841)/(TableDiv[[Agency]:[Agency]]=$E841)*(ROW(TableDiv[Agency])-ROW(TableDiv[[#Headers],[Agency]])),COLUMNS($F$7:AF$7))))</f>
        <v/>
      </c>
      <c r="AG841" s="2223" t="str" cm="1">
        <f t="array" ref="AG841">IF($D841&lt;COLUMNS($F$7:AG$7),"",INDEX(TableDiv[[GASB]:[GASB]],_xlfn.AGGREGATE(15,3,(TableDiv[[Agency]:[Agency]]=$E841)/(TableDiv[[Agency]:[Agency]]=$E841)*(ROW(TableDiv[Agency])-ROW(TableDiv[[#Headers],[Agency]])),COLUMNS($F$7:AG$7))))</f>
        <v/>
      </c>
      <c r="AH841" s="2223" t="str" cm="1">
        <f t="array" ref="AH841">IF($D841&lt;COLUMNS($F$7:AH$7),"",INDEX(TableDiv[[GASB]:[GASB]],_xlfn.AGGREGATE(15,3,(TableDiv[[Agency]:[Agency]]=$E841)/(TableDiv[[Agency]:[Agency]]=$E841)*(ROW(TableDiv[Agency])-ROW(TableDiv[[#Headers],[Agency]])),COLUMNS($F$7:AH$7))))</f>
        <v/>
      </c>
      <c r="AI841" s="2223" t="str" cm="1">
        <f t="array" ref="AI841">IF($D841&lt;COLUMNS($F$7:AI$7),"",INDEX(TableDiv[[GASB]:[GASB]],_xlfn.AGGREGATE(15,3,(TableDiv[[Agency]:[Agency]]=$E841)/(TableDiv[[Agency]:[Agency]]=$E841)*(ROW(TableDiv[Agency])-ROW(TableDiv[[#Headers],[Agency]])),COLUMNS($F$7:AI$7))))</f>
        <v/>
      </c>
      <c r="AJ841" s="2223" t="str" cm="1">
        <f t="array" ref="AJ841">IF($D841&lt;COLUMNS($F$7:AJ$7),"",INDEX(TableDiv[[GASB]:[GASB]],_xlfn.AGGREGATE(15,3,(TableDiv[[Agency]:[Agency]]=$E841)/(TableDiv[[Agency]:[Agency]]=$E841)*(ROW(TableDiv[Agency])-ROW(TableDiv[[#Headers],[Agency]])),COLUMNS($F$7:AJ$7))))</f>
        <v/>
      </c>
      <c r="AK841" s="2223" t="str" cm="1">
        <f t="array" ref="AK841">IF($D841&lt;COLUMNS($F$7:AK$7),"",INDEX(TableDiv[[GASB]:[GASB]],_xlfn.AGGREGATE(15,3,(TableDiv[[Agency]:[Agency]]=$E841)/(TableDiv[[Agency]:[Agency]]=$E841)*(ROW(TableDiv[Agency])-ROW(TableDiv[[#Headers],[Agency]])),COLUMNS($F$7:AK$7))))</f>
        <v/>
      </c>
      <c r="AL841" s="2223" t="str" cm="1">
        <f t="array" ref="AL841">IF($D841&lt;COLUMNS($F$7:AL$7),"",INDEX(TableDiv[[GASB]:[GASB]],_xlfn.AGGREGATE(15,3,(TableDiv[[Agency]:[Agency]]=$E841)/(TableDiv[[Agency]:[Agency]]=$E841)*(ROW(TableDiv[Agency])-ROW(TableDiv[[#Headers],[Agency]])),COLUMNS($F$7:AL$7))))</f>
        <v/>
      </c>
      <c r="AM841" s="2223" t="str" cm="1">
        <f t="array" ref="AM841">IF($D841&lt;COLUMNS($F$7:AM$7),"",INDEX(TableDiv[[GASB]:[GASB]],_xlfn.AGGREGATE(15,3,(TableDiv[[Agency]:[Agency]]=$E841)/(TableDiv[[Agency]:[Agency]]=$E841)*(ROW(TableDiv[Agency])-ROW(TableDiv[[#Headers],[Agency]])),COLUMNS($F$7:AM$7))))</f>
        <v/>
      </c>
      <c r="AN841" s="2223"/>
      <c r="AO841" s="2223"/>
      <c r="AP841" s="2223"/>
      <c r="AQ841" s="2223"/>
      <c r="AR841" s="2223"/>
      <c r="AS841" s="2223"/>
    </row>
    <row r="842" spans="1:45" x14ac:dyDescent="0.2">
      <c r="A842" s="2223"/>
      <c r="B842" s="2223"/>
      <c r="C842" s="2223"/>
      <c r="W842" s="2223" t="str" cm="1">
        <f t="array" ref="W842">IF($D842&lt;COLUMNS($F$7:W$7),"",INDEX(TableDiv[[GASB]:[GASB]],_xlfn.AGGREGATE(15,3,(TableDiv[[Agency]:[Agency]]=$E842)/(TableDiv[[Agency]:[Agency]]=$E842)*(ROW(TableDiv[Agency])-ROW(TableDiv[[#Headers],[Agency]])),COLUMNS($F$7:W$7))))</f>
        <v/>
      </c>
      <c r="X842" s="2223" t="str" cm="1">
        <f t="array" ref="X842">IF($D842&lt;COLUMNS($F$7:X$7),"",INDEX(TableDiv[[GASB]:[GASB]],_xlfn.AGGREGATE(15,3,(TableDiv[[Agency]:[Agency]]=$E842)/(TableDiv[[Agency]:[Agency]]=$E842)*(ROW(TableDiv[Agency])-ROW(TableDiv[[#Headers],[Agency]])),COLUMNS($F$7:X$7))))</f>
        <v/>
      </c>
      <c r="Y842" s="2223" t="str" cm="1">
        <f t="array" ref="Y842">IF($D842&lt;COLUMNS($F$7:Y$7),"",INDEX(TableDiv[[GASB]:[GASB]],_xlfn.AGGREGATE(15,3,(TableDiv[[Agency]:[Agency]]=$E842)/(TableDiv[[Agency]:[Agency]]=$E842)*(ROW(TableDiv[Agency])-ROW(TableDiv[[#Headers],[Agency]])),COLUMNS($F$7:Y$7))))</f>
        <v/>
      </c>
      <c r="Z842" s="2223" t="str" cm="1">
        <f t="array" ref="Z842">IF($D842&lt;COLUMNS($F$7:Z$7),"",INDEX(TableDiv[[GASB]:[GASB]],_xlfn.AGGREGATE(15,3,(TableDiv[[Agency]:[Agency]]=$E842)/(TableDiv[[Agency]:[Agency]]=$E842)*(ROW(TableDiv[Agency])-ROW(TableDiv[[#Headers],[Agency]])),COLUMNS($F$7:Z$7))))</f>
        <v/>
      </c>
      <c r="AA842" s="2223" t="str" cm="1">
        <f t="array" ref="AA842">IF($D842&lt;COLUMNS($F$7:AA$7),"",INDEX(TableDiv[[GASB]:[GASB]],_xlfn.AGGREGATE(15,3,(TableDiv[[Agency]:[Agency]]=$E842)/(TableDiv[[Agency]:[Agency]]=$E842)*(ROW(TableDiv[Agency])-ROW(TableDiv[[#Headers],[Agency]])),COLUMNS($F$7:AA$7))))</f>
        <v/>
      </c>
      <c r="AB842" s="2223" t="str" cm="1">
        <f t="array" ref="AB842">IF($D842&lt;COLUMNS($F$7:AB$7),"",INDEX(TableDiv[[GASB]:[GASB]],_xlfn.AGGREGATE(15,3,(TableDiv[[Agency]:[Agency]]=$E842)/(TableDiv[[Agency]:[Agency]]=$E842)*(ROW(TableDiv[Agency])-ROW(TableDiv[[#Headers],[Agency]])),COLUMNS($F$7:AB$7))))</f>
        <v/>
      </c>
      <c r="AC842" s="2223" t="str" cm="1">
        <f t="array" ref="AC842">IF($D842&lt;COLUMNS($F$7:AC$7),"",INDEX(TableDiv[[GASB]:[GASB]],_xlfn.AGGREGATE(15,3,(TableDiv[[Agency]:[Agency]]=$E842)/(TableDiv[[Agency]:[Agency]]=$E842)*(ROW(TableDiv[Agency])-ROW(TableDiv[[#Headers],[Agency]])),COLUMNS($F$7:AC$7))))</f>
        <v/>
      </c>
      <c r="AD842" s="2223" t="str" cm="1">
        <f t="array" ref="AD842">IF($D842&lt;COLUMNS($F$7:AD$7),"",INDEX(TableDiv[[GASB]:[GASB]],_xlfn.AGGREGATE(15,3,(TableDiv[[Agency]:[Agency]]=$E842)/(TableDiv[[Agency]:[Agency]]=$E842)*(ROW(TableDiv[Agency])-ROW(TableDiv[[#Headers],[Agency]])),COLUMNS($F$7:AD$7))))</f>
        <v/>
      </c>
      <c r="AE842" s="2223" t="str" cm="1">
        <f t="array" ref="AE842">IF($D842&lt;COLUMNS($F$7:AE$7),"",INDEX(TableDiv[[GASB]:[GASB]],_xlfn.AGGREGATE(15,3,(TableDiv[[Agency]:[Agency]]=$E842)/(TableDiv[[Agency]:[Agency]]=$E842)*(ROW(TableDiv[Agency])-ROW(TableDiv[[#Headers],[Agency]])),COLUMNS($F$7:AE$7))))</f>
        <v/>
      </c>
      <c r="AF842" s="2223" t="str" cm="1">
        <f t="array" ref="AF842">IF($D842&lt;COLUMNS($F$7:AF$7),"",INDEX(TableDiv[[GASB]:[GASB]],_xlfn.AGGREGATE(15,3,(TableDiv[[Agency]:[Agency]]=$E842)/(TableDiv[[Agency]:[Agency]]=$E842)*(ROW(TableDiv[Agency])-ROW(TableDiv[[#Headers],[Agency]])),COLUMNS($F$7:AF$7))))</f>
        <v/>
      </c>
      <c r="AG842" s="2223" t="str" cm="1">
        <f t="array" ref="AG842">IF($D842&lt;COLUMNS($F$7:AG$7),"",INDEX(TableDiv[[GASB]:[GASB]],_xlfn.AGGREGATE(15,3,(TableDiv[[Agency]:[Agency]]=$E842)/(TableDiv[[Agency]:[Agency]]=$E842)*(ROW(TableDiv[Agency])-ROW(TableDiv[[#Headers],[Agency]])),COLUMNS($F$7:AG$7))))</f>
        <v/>
      </c>
      <c r="AH842" s="2223" t="str" cm="1">
        <f t="array" ref="AH842">IF($D842&lt;COLUMNS($F$7:AH$7),"",INDEX(TableDiv[[GASB]:[GASB]],_xlfn.AGGREGATE(15,3,(TableDiv[[Agency]:[Agency]]=$E842)/(TableDiv[[Agency]:[Agency]]=$E842)*(ROW(TableDiv[Agency])-ROW(TableDiv[[#Headers],[Agency]])),COLUMNS($F$7:AH$7))))</f>
        <v/>
      </c>
      <c r="AI842" s="2223" t="str" cm="1">
        <f t="array" ref="AI842">IF($D842&lt;COLUMNS($F$7:AI$7),"",INDEX(TableDiv[[GASB]:[GASB]],_xlfn.AGGREGATE(15,3,(TableDiv[[Agency]:[Agency]]=$E842)/(TableDiv[[Agency]:[Agency]]=$E842)*(ROW(TableDiv[Agency])-ROW(TableDiv[[#Headers],[Agency]])),COLUMNS($F$7:AI$7))))</f>
        <v/>
      </c>
      <c r="AJ842" s="2223" t="str" cm="1">
        <f t="array" ref="AJ842">IF($D842&lt;COLUMNS($F$7:AJ$7),"",INDEX(TableDiv[[GASB]:[GASB]],_xlfn.AGGREGATE(15,3,(TableDiv[[Agency]:[Agency]]=$E842)/(TableDiv[[Agency]:[Agency]]=$E842)*(ROW(TableDiv[Agency])-ROW(TableDiv[[#Headers],[Agency]])),COLUMNS($F$7:AJ$7))))</f>
        <v/>
      </c>
      <c r="AK842" s="2223" t="str" cm="1">
        <f t="array" ref="AK842">IF($D842&lt;COLUMNS($F$7:AK$7),"",INDEX(TableDiv[[GASB]:[GASB]],_xlfn.AGGREGATE(15,3,(TableDiv[[Agency]:[Agency]]=$E842)/(TableDiv[[Agency]:[Agency]]=$E842)*(ROW(TableDiv[Agency])-ROW(TableDiv[[#Headers],[Agency]])),COLUMNS($F$7:AK$7))))</f>
        <v/>
      </c>
      <c r="AL842" s="2223" t="str" cm="1">
        <f t="array" ref="AL842">IF($D842&lt;COLUMNS($F$7:AL$7),"",INDEX(TableDiv[[GASB]:[GASB]],_xlfn.AGGREGATE(15,3,(TableDiv[[Agency]:[Agency]]=$E842)/(TableDiv[[Agency]:[Agency]]=$E842)*(ROW(TableDiv[Agency])-ROW(TableDiv[[#Headers],[Agency]])),COLUMNS($F$7:AL$7))))</f>
        <v/>
      </c>
      <c r="AM842" s="2223" t="str" cm="1">
        <f t="array" ref="AM842">IF($D842&lt;COLUMNS($F$7:AM$7),"",INDEX(TableDiv[[GASB]:[GASB]],_xlfn.AGGREGATE(15,3,(TableDiv[[Agency]:[Agency]]=$E842)/(TableDiv[[Agency]:[Agency]]=$E842)*(ROW(TableDiv[Agency])-ROW(TableDiv[[#Headers],[Agency]])),COLUMNS($F$7:AM$7))))</f>
        <v/>
      </c>
      <c r="AN842" s="2223"/>
      <c r="AO842" s="2223"/>
      <c r="AP842" s="2223"/>
      <c r="AQ842" s="2223"/>
      <c r="AR842" s="2223"/>
      <c r="AS842" s="2223"/>
    </row>
    <row r="843" spans="1:45" x14ac:dyDescent="0.2">
      <c r="A843" s="2223"/>
      <c r="B843" s="2223"/>
      <c r="C843" s="2223"/>
      <c r="W843" s="2223" t="str" cm="1">
        <f t="array" ref="W843">IF($D843&lt;COLUMNS($F$7:W$7),"",INDEX(TableDiv[[GASB]:[GASB]],_xlfn.AGGREGATE(15,3,(TableDiv[[Agency]:[Agency]]=$E843)/(TableDiv[[Agency]:[Agency]]=$E843)*(ROW(TableDiv[Agency])-ROW(TableDiv[[#Headers],[Agency]])),COLUMNS($F$7:W$7))))</f>
        <v/>
      </c>
      <c r="X843" s="2223" t="str" cm="1">
        <f t="array" ref="X843">IF($D843&lt;COLUMNS($F$7:X$7),"",INDEX(TableDiv[[GASB]:[GASB]],_xlfn.AGGREGATE(15,3,(TableDiv[[Agency]:[Agency]]=$E843)/(TableDiv[[Agency]:[Agency]]=$E843)*(ROW(TableDiv[Agency])-ROW(TableDiv[[#Headers],[Agency]])),COLUMNS($F$7:X$7))))</f>
        <v/>
      </c>
      <c r="Y843" s="2223" t="str" cm="1">
        <f t="array" ref="Y843">IF($D843&lt;COLUMNS($F$7:Y$7),"",INDEX(TableDiv[[GASB]:[GASB]],_xlfn.AGGREGATE(15,3,(TableDiv[[Agency]:[Agency]]=$E843)/(TableDiv[[Agency]:[Agency]]=$E843)*(ROW(TableDiv[Agency])-ROW(TableDiv[[#Headers],[Agency]])),COLUMNS($F$7:Y$7))))</f>
        <v/>
      </c>
      <c r="Z843" s="2223" t="str" cm="1">
        <f t="array" ref="Z843">IF($D843&lt;COLUMNS($F$7:Z$7),"",INDEX(TableDiv[[GASB]:[GASB]],_xlfn.AGGREGATE(15,3,(TableDiv[[Agency]:[Agency]]=$E843)/(TableDiv[[Agency]:[Agency]]=$E843)*(ROW(TableDiv[Agency])-ROW(TableDiv[[#Headers],[Agency]])),COLUMNS($F$7:Z$7))))</f>
        <v/>
      </c>
      <c r="AA843" s="2223" t="str" cm="1">
        <f t="array" ref="AA843">IF($D843&lt;COLUMNS($F$7:AA$7),"",INDEX(TableDiv[[GASB]:[GASB]],_xlfn.AGGREGATE(15,3,(TableDiv[[Agency]:[Agency]]=$E843)/(TableDiv[[Agency]:[Agency]]=$E843)*(ROW(TableDiv[Agency])-ROW(TableDiv[[#Headers],[Agency]])),COLUMNS($F$7:AA$7))))</f>
        <v/>
      </c>
      <c r="AB843" s="2223" t="str" cm="1">
        <f t="array" ref="AB843">IF($D843&lt;COLUMNS($F$7:AB$7),"",INDEX(TableDiv[[GASB]:[GASB]],_xlfn.AGGREGATE(15,3,(TableDiv[[Agency]:[Agency]]=$E843)/(TableDiv[[Agency]:[Agency]]=$E843)*(ROW(TableDiv[Agency])-ROW(TableDiv[[#Headers],[Agency]])),COLUMNS($F$7:AB$7))))</f>
        <v/>
      </c>
      <c r="AC843" s="2223" t="str" cm="1">
        <f t="array" ref="AC843">IF($D843&lt;COLUMNS($F$7:AC$7),"",INDEX(TableDiv[[GASB]:[GASB]],_xlfn.AGGREGATE(15,3,(TableDiv[[Agency]:[Agency]]=$E843)/(TableDiv[[Agency]:[Agency]]=$E843)*(ROW(TableDiv[Agency])-ROW(TableDiv[[#Headers],[Agency]])),COLUMNS($F$7:AC$7))))</f>
        <v/>
      </c>
      <c r="AD843" s="2223" t="str" cm="1">
        <f t="array" ref="AD843">IF($D843&lt;COLUMNS($F$7:AD$7),"",INDEX(TableDiv[[GASB]:[GASB]],_xlfn.AGGREGATE(15,3,(TableDiv[[Agency]:[Agency]]=$E843)/(TableDiv[[Agency]:[Agency]]=$E843)*(ROW(TableDiv[Agency])-ROW(TableDiv[[#Headers],[Agency]])),COLUMNS($F$7:AD$7))))</f>
        <v/>
      </c>
      <c r="AE843" s="2223" t="str" cm="1">
        <f t="array" ref="AE843">IF($D843&lt;COLUMNS($F$7:AE$7),"",INDEX(TableDiv[[GASB]:[GASB]],_xlfn.AGGREGATE(15,3,(TableDiv[[Agency]:[Agency]]=$E843)/(TableDiv[[Agency]:[Agency]]=$E843)*(ROW(TableDiv[Agency])-ROW(TableDiv[[#Headers],[Agency]])),COLUMNS($F$7:AE$7))))</f>
        <v/>
      </c>
      <c r="AF843" s="2223" t="str" cm="1">
        <f t="array" ref="AF843">IF($D843&lt;COLUMNS($F$7:AF$7),"",INDEX(TableDiv[[GASB]:[GASB]],_xlfn.AGGREGATE(15,3,(TableDiv[[Agency]:[Agency]]=$E843)/(TableDiv[[Agency]:[Agency]]=$E843)*(ROW(TableDiv[Agency])-ROW(TableDiv[[#Headers],[Agency]])),COLUMNS($F$7:AF$7))))</f>
        <v/>
      </c>
      <c r="AG843" s="2223" t="str" cm="1">
        <f t="array" ref="AG843">IF($D843&lt;COLUMNS($F$7:AG$7),"",INDEX(TableDiv[[GASB]:[GASB]],_xlfn.AGGREGATE(15,3,(TableDiv[[Agency]:[Agency]]=$E843)/(TableDiv[[Agency]:[Agency]]=$E843)*(ROW(TableDiv[Agency])-ROW(TableDiv[[#Headers],[Agency]])),COLUMNS($F$7:AG$7))))</f>
        <v/>
      </c>
      <c r="AH843" s="2223" t="str" cm="1">
        <f t="array" ref="AH843">IF($D843&lt;COLUMNS($F$7:AH$7),"",INDEX(TableDiv[[GASB]:[GASB]],_xlfn.AGGREGATE(15,3,(TableDiv[[Agency]:[Agency]]=$E843)/(TableDiv[[Agency]:[Agency]]=$E843)*(ROW(TableDiv[Agency])-ROW(TableDiv[[#Headers],[Agency]])),COLUMNS($F$7:AH$7))))</f>
        <v/>
      </c>
      <c r="AI843" s="2223" t="str" cm="1">
        <f t="array" ref="AI843">IF($D843&lt;COLUMNS($F$7:AI$7),"",INDEX(TableDiv[[GASB]:[GASB]],_xlfn.AGGREGATE(15,3,(TableDiv[[Agency]:[Agency]]=$E843)/(TableDiv[[Agency]:[Agency]]=$E843)*(ROW(TableDiv[Agency])-ROW(TableDiv[[#Headers],[Agency]])),COLUMNS($F$7:AI$7))))</f>
        <v/>
      </c>
      <c r="AJ843" s="2223" t="str" cm="1">
        <f t="array" ref="AJ843">IF($D843&lt;COLUMNS($F$7:AJ$7),"",INDEX(TableDiv[[GASB]:[GASB]],_xlfn.AGGREGATE(15,3,(TableDiv[[Agency]:[Agency]]=$E843)/(TableDiv[[Agency]:[Agency]]=$E843)*(ROW(TableDiv[Agency])-ROW(TableDiv[[#Headers],[Agency]])),COLUMNS($F$7:AJ$7))))</f>
        <v/>
      </c>
      <c r="AK843" s="2223" t="str" cm="1">
        <f t="array" ref="AK843">IF($D843&lt;COLUMNS($F$7:AK$7),"",INDEX(TableDiv[[GASB]:[GASB]],_xlfn.AGGREGATE(15,3,(TableDiv[[Agency]:[Agency]]=$E843)/(TableDiv[[Agency]:[Agency]]=$E843)*(ROW(TableDiv[Agency])-ROW(TableDiv[[#Headers],[Agency]])),COLUMNS($F$7:AK$7))))</f>
        <v/>
      </c>
      <c r="AL843" s="2223" t="str" cm="1">
        <f t="array" ref="AL843">IF($D843&lt;COLUMNS($F$7:AL$7),"",INDEX(TableDiv[[GASB]:[GASB]],_xlfn.AGGREGATE(15,3,(TableDiv[[Agency]:[Agency]]=$E843)/(TableDiv[[Agency]:[Agency]]=$E843)*(ROW(TableDiv[Agency])-ROW(TableDiv[[#Headers],[Agency]])),COLUMNS($F$7:AL$7))))</f>
        <v/>
      </c>
      <c r="AM843" s="2223" t="str" cm="1">
        <f t="array" ref="AM843">IF($D843&lt;COLUMNS($F$7:AM$7),"",INDEX(TableDiv[[GASB]:[GASB]],_xlfn.AGGREGATE(15,3,(TableDiv[[Agency]:[Agency]]=$E843)/(TableDiv[[Agency]:[Agency]]=$E843)*(ROW(TableDiv[Agency])-ROW(TableDiv[[#Headers],[Agency]])),COLUMNS($F$7:AM$7))))</f>
        <v/>
      </c>
      <c r="AN843" s="2223"/>
      <c r="AO843" s="2223"/>
      <c r="AP843" s="2223"/>
      <c r="AQ843" s="2223"/>
      <c r="AR843" s="2223"/>
      <c r="AS843" s="2223"/>
    </row>
    <row r="844" spans="1:45" x14ac:dyDescent="0.2">
      <c r="A844" s="2223"/>
      <c r="B844" s="2223"/>
      <c r="C844" s="2223"/>
      <c r="W844" s="2223" t="str" cm="1">
        <f t="array" ref="W844">IF($D844&lt;COLUMNS($F$7:W$7),"",INDEX(TableDiv[[GASB]:[GASB]],_xlfn.AGGREGATE(15,3,(TableDiv[[Agency]:[Agency]]=$E844)/(TableDiv[[Agency]:[Agency]]=$E844)*(ROW(TableDiv[Agency])-ROW(TableDiv[[#Headers],[Agency]])),COLUMNS($F$7:W$7))))</f>
        <v/>
      </c>
      <c r="X844" s="2223" t="str" cm="1">
        <f t="array" ref="X844">IF($D844&lt;COLUMNS($F$7:X$7),"",INDEX(TableDiv[[GASB]:[GASB]],_xlfn.AGGREGATE(15,3,(TableDiv[[Agency]:[Agency]]=$E844)/(TableDiv[[Agency]:[Agency]]=$E844)*(ROW(TableDiv[Agency])-ROW(TableDiv[[#Headers],[Agency]])),COLUMNS($F$7:X$7))))</f>
        <v/>
      </c>
      <c r="Y844" s="2223" t="str" cm="1">
        <f t="array" ref="Y844">IF($D844&lt;COLUMNS($F$7:Y$7),"",INDEX(TableDiv[[GASB]:[GASB]],_xlfn.AGGREGATE(15,3,(TableDiv[[Agency]:[Agency]]=$E844)/(TableDiv[[Agency]:[Agency]]=$E844)*(ROW(TableDiv[Agency])-ROW(TableDiv[[#Headers],[Agency]])),COLUMNS($F$7:Y$7))))</f>
        <v/>
      </c>
      <c r="Z844" s="2223" t="str" cm="1">
        <f t="array" ref="Z844">IF($D844&lt;COLUMNS($F$7:Z$7),"",INDEX(TableDiv[[GASB]:[GASB]],_xlfn.AGGREGATE(15,3,(TableDiv[[Agency]:[Agency]]=$E844)/(TableDiv[[Agency]:[Agency]]=$E844)*(ROW(TableDiv[Agency])-ROW(TableDiv[[#Headers],[Agency]])),COLUMNS($F$7:Z$7))))</f>
        <v/>
      </c>
      <c r="AA844" s="2223" t="str" cm="1">
        <f t="array" ref="AA844">IF($D844&lt;COLUMNS($F$7:AA$7),"",INDEX(TableDiv[[GASB]:[GASB]],_xlfn.AGGREGATE(15,3,(TableDiv[[Agency]:[Agency]]=$E844)/(TableDiv[[Agency]:[Agency]]=$E844)*(ROW(TableDiv[Agency])-ROW(TableDiv[[#Headers],[Agency]])),COLUMNS($F$7:AA$7))))</f>
        <v/>
      </c>
      <c r="AB844" s="2223" t="str" cm="1">
        <f t="array" ref="AB844">IF($D844&lt;COLUMNS($F$7:AB$7),"",INDEX(TableDiv[[GASB]:[GASB]],_xlfn.AGGREGATE(15,3,(TableDiv[[Agency]:[Agency]]=$E844)/(TableDiv[[Agency]:[Agency]]=$E844)*(ROW(TableDiv[Agency])-ROW(TableDiv[[#Headers],[Agency]])),COLUMNS($F$7:AB$7))))</f>
        <v/>
      </c>
      <c r="AC844" s="2223" t="str" cm="1">
        <f t="array" ref="AC844">IF($D844&lt;COLUMNS($F$7:AC$7),"",INDEX(TableDiv[[GASB]:[GASB]],_xlfn.AGGREGATE(15,3,(TableDiv[[Agency]:[Agency]]=$E844)/(TableDiv[[Agency]:[Agency]]=$E844)*(ROW(TableDiv[Agency])-ROW(TableDiv[[#Headers],[Agency]])),COLUMNS($F$7:AC$7))))</f>
        <v/>
      </c>
      <c r="AD844" s="2223" t="str" cm="1">
        <f t="array" ref="AD844">IF($D844&lt;COLUMNS($F$7:AD$7),"",INDEX(TableDiv[[GASB]:[GASB]],_xlfn.AGGREGATE(15,3,(TableDiv[[Agency]:[Agency]]=$E844)/(TableDiv[[Agency]:[Agency]]=$E844)*(ROW(TableDiv[Agency])-ROW(TableDiv[[#Headers],[Agency]])),COLUMNS($F$7:AD$7))))</f>
        <v/>
      </c>
      <c r="AE844" s="2223" t="str" cm="1">
        <f t="array" ref="AE844">IF($D844&lt;COLUMNS($F$7:AE$7),"",INDEX(TableDiv[[GASB]:[GASB]],_xlfn.AGGREGATE(15,3,(TableDiv[[Agency]:[Agency]]=$E844)/(TableDiv[[Agency]:[Agency]]=$E844)*(ROW(TableDiv[Agency])-ROW(TableDiv[[#Headers],[Agency]])),COLUMNS($F$7:AE$7))))</f>
        <v/>
      </c>
      <c r="AF844" s="2223" t="str" cm="1">
        <f t="array" ref="AF844">IF($D844&lt;COLUMNS($F$7:AF$7),"",INDEX(TableDiv[[GASB]:[GASB]],_xlfn.AGGREGATE(15,3,(TableDiv[[Agency]:[Agency]]=$E844)/(TableDiv[[Agency]:[Agency]]=$E844)*(ROW(TableDiv[Agency])-ROW(TableDiv[[#Headers],[Agency]])),COLUMNS($F$7:AF$7))))</f>
        <v/>
      </c>
      <c r="AG844" s="2223" t="str" cm="1">
        <f t="array" ref="AG844">IF($D844&lt;COLUMNS($F$7:AG$7),"",INDEX(TableDiv[[GASB]:[GASB]],_xlfn.AGGREGATE(15,3,(TableDiv[[Agency]:[Agency]]=$E844)/(TableDiv[[Agency]:[Agency]]=$E844)*(ROW(TableDiv[Agency])-ROW(TableDiv[[#Headers],[Agency]])),COLUMNS($F$7:AG$7))))</f>
        <v/>
      </c>
      <c r="AH844" s="2223" t="str" cm="1">
        <f t="array" ref="AH844">IF($D844&lt;COLUMNS($F$7:AH$7),"",INDEX(TableDiv[[GASB]:[GASB]],_xlfn.AGGREGATE(15,3,(TableDiv[[Agency]:[Agency]]=$E844)/(TableDiv[[Agency]:[Agency]]=$E844)*(ROW(TableDiv[Agency])-ROW(TableDiv[[#Headers],[Agency]])),COLUMNS($F$7:AH$7))))</f>
        <v/>
      </c>
      <c r="AI844" s="2223" t="str" cm="1">
        <f t="array" ref="AI844">IF($D844&lt;COLUMNS($F$7:AI$7),"",INDEX(TableDiv[[GASB]:[GASB]],_xlfn.AGGREGATE(15,3,(TableDiv[[Agency]:[Agency]]=$E844)/(TableDiv[[Agency]:[Agency]]=$E844)*(ROW(TableDiv[Agency])-ROW(TableDiv[[#Headers],[Agency]])),COLUMNS($F$7:AI$7))))</f>
        <v/>
      </c>
      <c r="AJ844" s="2223" t="str" cm="1">
        <f t="array" ref="AJ844">IF($D844&lt;COLUMNS($F$7:AJ$7),"",INDEX(TableDiv[[GASB]:[GASB]],_xlfn.AGGREGATE(15,3,(TableDiv[[Agency]:[Agency]]=$E844)/(TableDiv[[Agency]:[Agency]]=$E844)*(ROW(TableDiv[Agency])-ROW(TableDiv[[#Headers],[Agency]])),COLUMNS($F$7:AJ$7))))</f>
        <v/>
      </c>
      <c r="AK844" s="2223" t="str" cm="1">
        <f t="array" ref="AK844">IF($D844&lt;COLUMNS($F$7:AK$7),"",INDEX(TableDiv[[GASB]:[GASB]],_xlfn.AGGREGATE(15,3,(TableDiv[[Agency]:[Agency]]=$E844)/(TableDiv[[Agency]:[Agency]]=$E844)*(ROW(TableDiv[Agency])-ROW(TableDiv[[#Headers],[Agency]])),COLUMNS($F$7:AK$7))))</f>
        <v/>
      </c>
      <c r="AL844" s="2223" t="str" cm="1">
        <f t="array" ref="AL844">IF($D844&lt;COLUMNS($F$7:AL$7),"",INDEX(TableDiv[[GASB]:[GASB]],_xlfn.AGGREGATE(15,3,(TableDiv[[Agency]:[Agency]]=$E844)/(TableDiv[[Agency]:[Agency]]=$E844)*(ROW(TableDiv[Agency])-ROW(TableDiv[[#Headers],[Agency]])),COLUMNS($F$7:AL$7))))</f>
        <v/>
      </c>
      <c r="AM844" s="2223" t="str" cm="1">
        <f t="array" ref="AM844">IF($D844&lt;COLUMNS($F$7:AM$7),"",INDEX(TableDiv[[GASB]:[GASB]],_xlfn.AGGREGATE(15,3,(TableDiv[[Agency]:[Agency]]=$E844)/(TableDiv[[Agency]:[Agency]]=$E844)*(ROW(TableDiv[Agency])-ROW(TableDiv[[#Headers],[Agency]])),COLUMNS($F$7:AM$7))))</f>
        <v/>
      </c>
      <c r="AN844" s="2223"/>
      <c r="AO844" s="2223"/>
      <c r="AP844" s="2223"/>
      <c r="AQ844" s="2223"/>
      <c r="AR844" s="2223"/>
      <c r="AS844" s="2223"/>
    </row>
    <row r="845" spans="1:45" x14ac:dyDescent="0.2">
      <c r="A845" s="2223"/>
      <c r="B845" s="2223"/>
      <c r="C845" s="2223"/>
      <c r="W845" s="2223" t="str" cm="1">
        <f t="array" ref="W845">IF($D845&lt;COLUMNS($F$7:W$7),"",INDEX(TableDiv[[GASB]:[GASB]],_xlfn.AGGREGATE(15,3,(TableDiv[[Agency]:[Agency]]=$E845)/(TableDiv[[Agency]:[Agency]]=$E845)*(ROW(TableDiv[Agency])-ROW(TableDiv[[#Headers],[Agency]])),COLUMNS($F$7:W$7))))</f>
        <v/>
      </c>
      <c r="X845" s="2223" t="str" cm="1">
        <f t="array" ref="X845">IF($D845&lt;COLUMNS($F$7:X$7),"",INDEX(TableDiv[[GASB]:[GASB]],_xlfn.AGGREGATE(15,3,(TableDiv[[Agency]:[Agency]]=$E845)/(TableDiv[[Agency]:[Agency]]=$E845)*(ROW(TableDiv[Agency])-ROW(TableDiv[[#Headers],[Agency]])),COLUMNS($F$7:X$7))))</f>
        <v/>
      </c>
      <c r="Y845" s="2223" t="str" cm="1">
        <f t="array" ref="Y845">IF($D845&lt;COLUMNS($F$7:Y$7),"",INDEX(TableDiv[[GASB]:[GASB]],_xlfn.AGGREGATE(15,3,(TableDiv[[Agency]:[Agency]]=$E845)/(TableDiv[[Agency]:[Agency]]=$E845)*(ROW(TableDiv[Agency])-ROW(TableDiv[[#Headers],[Agency]])),COLUMNS($F$7:Y$7))))</f>
        <v/>
      </c>
      <c r="Z845" s="2223" t="str" cm="1">
        <f t="array" ref="Z845">IF($D845&lt;COLUMNS($F$7:Z$7),"",INDEX(TableDiv[[GASB]:[GASB]],_xlfn.AGGREGATE(15,3,(TableDiv[[Agency]:[Agency]]=$E845)/(TableDiv[[Agency]:[Agency]]=$E845)*(ROW(TableDiv[Agency])-ROW(TableDiv[[#Headers],[Agency]])),COLUMNS($F$7:Z$7))))</f>
        <v/>
      </c>
      <c r="AA845" s="2223" t="str" cm="1">
        <f t="array" ref="AA845">IF($D845&lt;COLUMNS($F$7:AA$7),"",INDEX(TableDiv[[GASB]:[GASB]],_xlfn.AGGREGATE(15,3,(TableDiv[[Agency]:[Agency]]=$E845)/(TableDiv[[Agency]:[Agency]]=$E845)*(ROW(TableDiv[Agency])-ROW(TableDiv[[#Headers],[Agency]])),COLUMNS($F$7:AA$7))))</f>
        <v/>
      </c>
      <c r="AB845" s="2223" t="str" cm="1">
        <f t="array" ref="AB845">IF($D845&lt;COLUMNS($F$7:AB$7),"",INDEX(TableDiv[[GASB]:[GASB]],_xlfn.AGGREGATE(15,3,(TableDiv[[Agency]:[Agency]]=$E845)/(TableDiv[[Agency]:[Agency]]=$E845)*(ROW(TableDiv[Agency])-ROW(TableDiv[[#Headers],[Agency]])),COLUMNS($F$7:AB$7))))</f>
        <v/>
      </c>
      <c r="AC845" s="2223" t="str" cm="1">
        <f t="array" ref="AC845">IF($D845&lt;COLUMNS($F$7:AC$7),"",INDEX(TableDiv[[GASB]:[GASB]],_xlfn.AGGREGATE(15,3,(TableDiv[[Agency]:[Agency]]=$E845)/(TableDiv[[Agency]:[Agency]]=$E845)*(ROW(TableDiv[Agency])-ROW(TableDiv[[#Headers],[Agency]])),COLUMNS($F$7:AC$7))))</f>
        <v/>
      </c>
      <c r="AD845" s="2223" t="str" cm="1">
        <f t="array" ref="AD845">IF($D845&lt;COLUMNS($F$7:AD$7),"",INDEX(TableDiv[[GASB]:[GASB]],_xlfn.AGGREGATE(15,3,(TableDiv[[Agency]:[Agency]]=$E845)/(TableDiv[[Agency]:[Agency]]=$E845)*(ROW(TableDiv[Agency])-ROW(TableDiv[[#Headers],[Agency]])),COLUMNS($F$7:AD$7))))</f>
        <v/>
      </c>
      <c r="AE845" s="2223" t="str" cm="1">
        <f t="array" ref="AE845">IF($D845&lt;COLUMNS($F$7:AE$7),"",INDEX(TableDiv[[GASB]:[GASB]],_xlfn.AGGREGATE(15,3,(TableDiv[[Agency]:[Agency]]=$E845)/(TableDiv[[Agency]:[Agency]]=$E845)*(ROW(TableDiv[Agency])-ROW(TableDiv[[#Headers],[Agency]])),COLUMNS($F$7:AE$7))))</f>
        <v/>
      </c>
      <c r="AF845" s="2223" t="str" cm="1">
        <f t="array" ref="AF845">IF($D845&lt;COLUMNS($F$7:AF$7),"",INDEX(TableDiv[[GASB]:[GASB]],_xlfn.AGGREGATE(15,3,(TableDiv[[Agency]:[Agency]]=$E845)/(TableDiv[[Agency]:[Agency]]=$E845)*(ROW(TableDiv[Agency])-ROW(TableDiv[[#Headers],[Agency]])),COLUMNS($F$7:AF$7))))</f>
        <v/>
      </c>
      <c r="AG845" s="2223" t="str" cm="1">
        <f t="array" ref="AG845">IF($D845&lt;COLUMNS($F$7:AG$7),"",INDEX(TableDiv[[GASB]:[GASB]],_xlfn.AGGREGATE(15,3,(TableDiv[[Agency]:[Agency]]=$E845)/(TableDiv[[Agency]:[Agency]]=$E845)*(ROW(TableDiv[Agency])-ROW(TableDiv[[#Headers],[Agency]])),COLUMNS($F$7:AG$7))))</f>
        <v/>
      </c>
      <c r="AH845" s="2223" t="str" cm="1">
        <f t="array" ref="AH845">IF($D845&lt;COLUMNS($F$7:AH$7),"",INDEX(TableDiv[[GASB]:[GASB]],_xlfn.AGGREGATE(15,3,(TableDiv[[Agency]:[Agency]]=$E845)/(TableDiv[[Agency]:[Agency]]=$E845)*(ROW(TableDiv[Agency])-ROW(TableDiv[[#Headers],[Agency]])),COLUMNS($F$7:AH$7))))</f>
        <v/>
      </c>
      <c r="AI845" s="2223" t="str" cm="1">
        <f t="array" ref="AI845">IF($D845&lt;COLUMNS($F$7:AI$7),"",INDEX(TableDiv[[GASB]:[GASB]],_xlfn.AGGREGATE(15,3,(TableDiv[[Agency]:[Agency]]=$E845)/(TableDiv[[Agency]:[Agency]]=$E845)*(ROW(TableDiv[Agency])-ROW(TableDiv[[#Headers],[Agency]])),COLUMNS($F$7:AI$7))))</f>
        <v/>
      </c>
      <c r="AJ845" s="2223" t="str" cm="1">
        <f t="array" ref="AJ845">IF($D845&lt;COLUMNS($F$7:AJ$7),"",INDEX(TableDiv[[GASB]:[GASB]],_xlfn.AGGREGATE(15,3,(TableDiv[[Agency]:[Agency]]=$E845)/(TableDiv[[Agency]:[Agency]]=$E845)*(ROW(TableDiv[Agency])-ROW(TableDiv[[#Headers],[Agency]])),COLUMNS($F$7:AJ$7))))</f>
        <v/>
      </c>
      <c r="AK845" s="2223" t="str" cm="1">
        <f t="array" ref="AK845">IF($D845&lt;COLUMNS($F$7:AK$7),"",INDEX(TableDiv[[GASB]:[GASB]],_xlfn.AGGREGATE(15,3,(TableDiv[[Agency]:[Agency]]=$E845)/(TableDiv[[Agency]:[Agency]]=$E845)*(ROW(TableDiv[Agency])-ROW(TableDiv[[#Headers],[Agency]])),COLUMNS($F$7:AK$7))))</f>
        <v/>
      </c>
      <c r="AL845" s="2223" t="str" cm="1">
        <f t="array" ref="AL845">IF($D845&lt;COLUMNS($F$7:AL$7),"",INDEX(TableDiv[[GASB]:[GASB]],_xlfn.AGGREGATE(15,3,(TableDiv[[Agency]:[Agency]]=$E845)/(TableDiv[[Agency]:[Agency]]=$E845)*(ROW(TableDiv[Agency])-ROW(TableDiv[[#Headers],[Agency]])),COLUMNS($F$7:AL$7))))</f>
        <v/>
      </c>
      <c r="AM845" s="2223" t="str" cm="1">
        <f t="array" ref="AM845">IF($D845&lt;COLUMNS($F$7:AM$7),"",INDEX(TableDiv[[GASB]:[GASB]],_xlfn.AGGREGATE(15,3,(TableDiv[[Agency]:[Agency]]=$E845)/(TableDiv[[Agency]:[Agency]]=$E845)*(ROW(TableDiv[Agency])-ROW(TableDiv[[#Headers],[Agency]])),COLUMNS($F$7:AM$7))))</f>
        <v/>
      </c>
      <c r="AN845" s="2223"/>
      <c r="AO845" s="2223"/>
      <c r="AP845" s="2223"/>
      <c r="AQ845" s="2223"/>
      <c r="AR845" s="2223"/>
      <c r="AS845" s="2223"/>
    </row>
    <row r="846" spans="1:45" x14ac:dyDescent="0.2">
      <c r="A846" s="2223"/>
      <c r="B846" s="2223"/>
      <c r="C846" s="2223"/>
      <c r="W846" s="2223" t="str" cm="1">
        <f t="array" ref="W846">IF($D846&lt;COLUMNS($F$7:W$7),"",INDEX(TableDiv[[GASB]:[GASB]],_xlfn.AGGREGATE(15,3,(TableDiv[[Agency]:[Agency]]=$E846)/(TableDiv[[Agency]:[Agency]]=$E846)*(ROW(TableDiv[Agency])-ROW(TableDiv[[#Headers],[Agency]])),COLUMNS($F$7:W$7))))</f>
        <v/>
      </c>
      <c r="X846" s="2223" t="str" cm="1">
        <f t="array" ref="X846">IF($D846&lt;COLUMNS($F$7:X$7),"",INDEX(TableDiv[[GASB]:[GASB]],_xlfn.AGGREGATE(15,3,(TableDiv[[Agency]:[Agency]]=$E846)/(TableDiv[[Agency]:[Agency]]=$E846)*(ROW(TableDiv[Agency])-ROW(TableDiv[[#Headers],[Agency]])),COLUMNS($F$7:X$7))))</f>
        <v/>
      </c>
      <c r="Y846" s="2223" t="str" cm="1">
        <f t="array" ref="Y846">IF($D846&lt;COLUMNS($F$7:Y$7),"",INDEX(TableDiv[[GASB]:[GASB]],_xlfn.AGGREGATE(15,3,(TableDiv[[Agency]:[Agency]]=$E846)/(TableDiv[[Agency]:[Agency]]=$E846)*(ROW(TableDiv[Agency])-ROW(TableDiv[[#Headers],[Agency]])),COLUMNS($F$7:Y$7))))</f>
        <v/>
      </c>
      <c r="Z846" s="2223" t="str" cm="1">
        <f t="array" ref="Z846">IF($D846&lt;COLUMNS($F$7:Z$7),"",INDEX(TableDiv[[GASB]:[GASB]],_xlfn.AGGREGATE(15,3,(TableDiv[[Agency]:[Agency]]=$E846)/(TableDiv[[Agency]:[Agency]]=$E846)*(ROW(TableDiv[Agency])-ROW(TableDiv[[#Headers],[Agency]])),COLUMNS($F$7:Z$7))))</f>
        <v/>
      </c>
      <c r="AA846" s="2223" t="str" cm="1">
        <f t="array" ref="AA846">IF($D846&lt;COLUMNS($F$7:AA$7),"",INDEX(TableDiv[[GASB]:[GASB]],_xlfn.AGGREGATE(15,3,(TableDiv[[Agency]:[Agency]]=$E846)/(TableDiv[[Agency]:[Agency]]=$E846)*(ROW(TableDiv[Agency])-ROW(TableDiv[[#Headers],[Agency]])),COLUMNS($F$7:AA$7))))</f>
        <v/>
      </c>
      <c r="AB846" s="2223" t="str" cm="1">
        <f t="array" ref="AB846">IF($D846&lt;COLUMNS($F$7:AB$7),"",INDEX(TableDiv[[GASB]:[GASB]],_xlfn.AGGREGATE(15,3,(TableDiv[[Agency]:[Agency]]=$E846)/(TableDiv[[Agency]:[Agency]]=$E846)*(ROW(TableDiv[Agency])-ROW(TableDiv[[#Headers],[Agency]])),COLUMNS($F$7:AB$7))))</f>
        <v/>
      </c>
      <c r="AC846" s="2223" t="str" cm="1">
        <f t="array" ref="AC846">IF($D846&lt;COLUMNS($F$7:AC$7),"",INDEX(TableDiv[[GASB]:[GASB]],_xlfn.AGGREGATE(15,3,(TableDiv[[Agency]:[Agency]]=$E846)/(TableDiv[[Agency]:[Agency]]=$E846)*(ROW(TableDiv[Agency])-ROW(TableDiv[[#Headers],[Agency]])),COLUMNS($F$7:AC$7))))</f>
        <v/>
      </c>
      <c r="AD846" s="2223" t="str" cm="1">
        <f t="array" ref="AD846">IF($D846&lt;COLUMNS($F$7:AD$7),"",INDEX(TableDiv[[GASB]:[GASB]],_xlfn.AGGREGATE(15,3,(TableDiv[[Agency]:[Agency]]=$E846)/(TableDiv[[Agency]:[Agency]]=$E846)*(ROW(TableDiv[Agency])-ROW(TableDiv[[#Headers],[Agency]])),COLUMNS($F$7:AD$7))))</f>
        <v/>
      </c>
      <c r="AE846" s="2223" t="str" cm="1">
        <f t="array" ref="AE846">IF($D846&lt;COLUMNS($F$7:AE$7),"",INDEX(TableDiv[[GASB]:[GASB]],_xlfn.AGGREGATE(15,3,(TableDiv[[Agency]:[Agency]]=$E846)/(TableDiv[[Agency]:[Agency]]=$E846)*(ROW(TableDiv[Agency])-ROW(TableDiv[[#Headers],[Agency]])),COLUMNS($F$7:AE$7))))</f>
        <v/>
      </c>
      <c r="AF846" s="2223" t="str" cm="1">
        <f t="array" ref="AF846">IF($D846&lt;COLUMNS($F$7:AF$7),"",INDEX(TableDiv[[GASB]:[GASB]],_xlfn.AGGREGATE(15,3,(TableDiv[[Agency]:[Agency]]=$E846)/(TableDiv[[Agency]:[Agency]]=$E846)*(ROW(TableDiv[Agency])-ROW(TableDiv[[#Headers],[Agency]])),COLUMNS($F$7:AF$7))))</f>
        <v/>
      </c>
      <c r="AG846" s="2223" t="str" cm="1">
        <f t="array" ref="AG846">IF($D846&lt;COLUMNS($F$7:AG$7),"",INDEX(TableDiv[[GASB]:[GASB]],_xlfn.AGGREGATE(15,3,(TableDiv[[Agency]:[Agency]]=$E846)/(TableDiv[[Agency]:[Agency]]=$E846)*(ROW(TableDiv[Agency])-ROW(TableDiv[[#Headers],[Agency]])),COLUMNS($F$7:AG$7))))</f>
        <v/>
      </c>
      <c r="AH846" s="2223" t="str" cm="1">
        <f t="array" ref="AH846">IF($D846&lt;COLUMNS($F$7:AH$7),"",INDEX(TableDiv[[GASB]:[GASB]],_xlfn.AGGREGATE(15,3,(TableDiv[[Agency]:[Agency]]=$E846)/(TableDiv[[Agency]:[Agency]]=$E846)*(ROW(TableDiv[Agency])-ROW(TableDiv[[#Headers],[Agency]])),COLUMNS($F$7:AH$7))))</f>
        <v/>
      </c>
      <c r="AI846" s="2223" t="str" cm="1">
        <f t="array" ref="AI846">IF($D846&lt;COLUMNS($F$7:AI$7),"",INDEX(TableDiv[[GASB]:[GASB]],_xlfn.AGGREGATE(15,3,(TableDiv[[Agency]:[Agency]]=$E846)/(TableDiv[[Agency]:[Agency]]=$E846)*(ROW(TableDiv[Agency])-ROW(TableDiv[[#Headers],[Agency]])),COLUMNS($F$7:AI$7))))</f>
        <v/>
      </c>
      <c r="AJ846" s="2223" t="str" cm="1">
        <f t="array" ref="AJ846">IF($D846&lt;COLUMNS($F$7:AJ$7),"",INDEX(TableDiv[[GASB]:[GASB]],_xlfn.AGGREGATE(15,3,(TableDiv[[Agency]:[Agency]]=$E846)/(TableDiv[[Agency]:[Agency]]=$E846)*(ROW(TableDiv[Agency])-ROW(TableDiv[[#Headers],[Agency]])),COLUMNS($F$7:AJ$7))))</f>
        <v/>
      </c>
      <c r="AK846" s="2223" t="str" cm="1">
        <f t="array" ref="AK846">IF($D846&lt;COLUMNS($F$7:AK$7),"",INDEX(TableDiv[[GASB]:[GASB]],_xlfn.AGGREGATE(15,3,(TableDiv[[Agency]:[Agency]]=$E846)/(TableDiv[[Agency]:[Agency]]=$E846)*(ROW(TableDiv[Agency])-ROW(TableDiv[[#Headers],[Agency]])),COLUMNS($F$7:AK$7))))</f>
        <v/>
      </c>
      <c r="AL846" s="2223" t="str" cm="1">
        <f t="array" ref="AL846">IF($D846&lt;COLUMNS($F$7:AL$7),"",INDEX(TableDiv[[GASB]:[GASB]],_xlfn.AGGREGATE(15,3,(TableDiv[[Agency]:[Agency]]=$E846)/(TableDiv[[Agency]:[Agency]]=$E846)*(ROW(TableDiv[Agency])-ROW(TableDiv[[#Headers],[Agency]])),COLUMNS($F$7:AL$7))))</f>
        <v/>
      </c>
      <c r="AM846" s="2223" t="str" cm="1">
        <f t="array" ref="AM846">IF($D846&lt;COLUMNS($F$7:AM$7),"",INDEX(TableDiv[[GASB]:[GASB]],_xlfn.AGGREGATE(15,3,(TableDiv[[Agency]:[Agency]]=$E846)/(TableDiv[[Agency]:[Agency]]=$E846)*(ROW(TableDiv[Agency])-ROW(TableDiv[[#Headers],[Agency]])),COLUMNS($F$7:AM$7))))</f>
        <v/>
      </c>
      <c r="AN846" s="2223"/>
      <c r="AO846" s="2223"/>
      <c r="AP846" s="2223"/>
      <c r="AQ846" s="2223"/>
      <c r="AR846" s="2223"/>
      <c r="AS846" s="2223"/>
    </row>
    <row r="847" spans="1:45" x14ac:dyDescent="0.2">
      <c r="A847" s="2223"/>
      <c r="B847" s="2223"/>
      <c r="C847" s="2223"/>
      <c r="W847" s="2223" t="str" cm="1">
        <f t="array" ref="W847">IF($D847&lt;COLUMNS($F$7:W$7),"",INDEX(TableDiv[[GASB]:[GASB]],_xlfn.AGGREGATE(15,3,(TableDiv[[Agency]:[Agency]]=$E847)/(TableDiv[[Agency]:[Agency]]=$E847)*(ROW(TableDiv[Agency])-ROW(TableDiv[[#Headers],[Agency]])),COLUMNS($F$7:W$7))))</f>
        <v/>
      </c>
      <c r="X847" s="2223" t="str" cm="1">
        <f t="array" ref="X847">IF($D847&lt;COLUMNS($F$7:X$7),"",INDEX(TableDiv[[GASB]:[GASB]],_xlfn.AGGREGATE(15,3,(TableDiv[[Agency]:[Agency]]=$E847)/(TableDiv[[Agency]:[Agency]]=$E847)*(ROW(TableDiv[Agency])-ROW(TableDiv[[#Headers],[Agency]])),COLUMNS($F$7:X$7))))</f>
        <v/>
      </c>
      <c r="Y847" s="2223" t="str" cm="1">
        <f t="array" ref="Y847">IF($D847&lt;COLUMNS($F$7:Y$7),"",INDEX(TableDiv[[GASB]:[GASB]],_xlfn.AGGREGATE(15,3,(TableDiv[[Agency]:[Agency]]=$E847)/(TableDiv[[Agency]:[Agency]]=$E847)*(ROW(TableDiv[Agency])-ROW(TableDiv[[#Headers],[Agency]])),COLUMNS($F$7:Y$7))))</f>
        <v/>
      </c>
      <c r="Z847" s="2223" t="str" cm="1">
        <f t="array" ref="Z847">IF($D847&lt;COLUMNS($F$7:Z$7),"",INDEX(TableDiv[[GASB]:[GASB]],_xlfn.AGGREGATE(15,3,(TableDiv[[Agency]:[Agency]]=$E847)/(TableDiv[[Agency]:[Agency]]=$E847)*(ROW(TableDiv[Agency])-ROW(TableDiv[[#Headers],[Agency]])),COLUMNS($F$7:Z$7))))</f>
        <v/>
      </c>
      <c r="AA847" s="2223" t="str" cm="1">
        <f t="array" ref="AA847">IF($D847&lt;COLUMNS($F$7:AA$7),"",INDEX(TableDiv[[GASB]:[GASB]],_xlfn.AGGREGATE(15,3,(TableDiv[[Agency]:[Agency]]=$E847)/(TableDiv[[Agency]:[Agency]]=$E847)*(ROW(TableDiv[Agency])-ROW(TableDiv[[#Headers],[Agency]])),COLUMNS($F$7:AA$7))))</f>
        <v/>
      </c>
      <c r="AB847" s="2223" t="str" cm="1">
        <f t="array" ref="AB847">IF($D847&lt;COLUMNS($F$7:AB$7),"",INDEX(TableDiv[[GASB]:[GASB]],_xlfn.AGGREGATE(15,3,(TableDiv[[Agency]:[Agency]]=$E847)/(TableDiv[[Agency]:[Agency]]=$E847)*(ROW(TableDiv[Agency])-ROW(TableDiv[[#Headers],[Agency]])),COLUMNS($F$7:AB$7))))</f>
        <v/>
      </c>
      <c r="AC847" s="2223" t="str" cm="1">
        <f t="array" ref="AC847">IF($D847&lt;COLUMNS($F$7:AC$7),"",INDEX(TableDiv[[GASB]:[GASB]],_xlfn.AGGREGATE(15,3,(TableDiv[[Agency]:[Agency]]=$E847)/(TableDiv[[Agency]:[Agency]]=$E847)*(ROW(TableDiv[Agency])-ROW(TableDiv[[#Headers],[Agency]])),COLUMNS($F$7:AC$7))))</f>
        <v/>
      </c>
      <c r="AD847" s="2223" t="str" cm="1">
        <f t="array" ref="AD847">IF($D847&lt;COLUMNS($F$7:AD$7),"",INDEX(TableDiv[[GASB]:[GASB]],_xlfn.AGGREGATE(15,3,(TableDiv[[Agency]:[Agency]]=$E847)/(TableDiv[[Agency]:[Agency]]=$E847)*(ROW(TableDiv[Agency])-ROW(TableDiv[[#Headers],[Agency]])),COLUMNS($F$7:AD$7))))</f>
        <v/>
      </c>
      <c r="AE847" s="2223" t="str" cm="1">
        <f t="array" ref="AE847">IF($D847&lt;COLUMNS($F$7:AE$7),"",INDEX(TableDiv[[GASB]:[GASB]],_xlfn.AGGREGATE(15,3,(TableDiv[[Agency]:[Agency]]=$E847)/(TableDiv[[Agency]:[Agency]]=$E847)*(ROW(TableDiv[Agency])-ROW(TableDiv[[#Headers],[Agency]])),COLUMNS($F$7:AE$7))))</f>
        <v/>
      </c>
      <c r="AF847" s="2223" t="str" cm="1">
        <f t="array" ref="AF847">IF($D847&lt;COLUMNS($F$7:AF$7),"",INDEX(TableDiv[[GASB]:[GASB]],_xlfn.AGGREGATE(15,3,(TableDiv[[Agency]:[Agency]]=$E847)/(TableDiv[[Agency]:[Agency]]=$E847)*(ROW(TableDiv[Agency])-ROW(TableDiv[[#Headers],[Agency]])),COLUMNS($F$7:AF$7))))</f>
        <v/>
      </c>
      <c r="AG847" s="2223" t="str" cm="1">
        <f t="array" ref="AG847">IF($D847&lt;COLUMNS($F$7:AG$7),"",INDEX(TableDiv[[GASB]:[GASB]],_xlfn.AGGREGATE(15,3,(TableDiv[[Agency]:[Agency]]=$E847)/(TableDiv[[Agency]:[Agency]]=$E847)*(ROW(TableDiv[Agency])-ROW(TableDiv[[#Headers],[Agency]])),COLUMNS($F$7:AG$7))))</f>
        <v/>
      </c>
      <c r="AH847" s="2223" t="str" cm="1">
        <f t="array" ref="AH847">IF($D847&lt;COLUMNS($F$7:AH$7),"",INDEX(TableDiv[[GASB]:[GASB]],_xlfn.AGGREGATE(15,3,(TableDiv[[Agency]:[Agency]]=$E847)/(TableDiv[[Agency]:[Agency]]=$E847)*(ROW(TableDiv[Agency])-ROW(TableDiv[[#Headers],[Agency]])),COLUMNS($F$7:AH$7))))</f>
        <v/>
      </c>
      <c r="AI847" s="2223" t="str" cm="1">
        <f t="array" ref="AI847">IF($D847&lt;COLUMNS($F$7:AI$7),"",INDEX(TableDiv[[GASB]:[GASB]],_xlfn.AGGREGATE(15,3,(TableDiv[[Agency]:[Agency]]=$E847)/(TableDiv[[Agency]:[Agency]]=$E847)*(ROW(TableDiv[Agency])-ROW(TableDiv[[#Headers],[Agency]])),COLUMNS($F$7:AI$7))))</f>
        <v/>
      </c>
      <c r="AJ847" s="2223" t="str" cm="1">
        <f t="array" ref="AJ847">IF($D847&lt;COLUMNS($F$7:AJ$7),"",INDEX(TableDiv[[GASB]:[GASB]],_xlfn.AGGREGATE(15,3,(TableDiv[[Agency]:[Agency]]=$E847)/(TableDiv[[Agency]:[Agency]]=$E847)*(ROW(TableDiv[Agency])-ROW(TableDiv[[#Headers],[Agency]])),COLUMNS($F$7:AJ$7))))</f>
        <v/>
      </c>
      <c r="AK847" s="2223" t="str" cm="1">
        <f t="array" ref="AK847">IF($D847&lt;COLUMNS($F$7:AK$7),"",INDEX(TableDiv[[GASB]:[GASB]],_xlfn.AGGREGATE(15,3,(TableDiv[[Agency]:[Agency]]=$E847)/(TableDiv[[Agency]:[Agency]]=$E847)*(ROW(TableDiv[Agency])-ROW(TableDiv[[#Headers],[Agency]])),COLUMNS($F$7:AK$7))))</f>
        <v/>
      </c>
      <c r="AL847" s="2223" t="str" cm="1">
        <f t="array" ref="AL847">IF($D847&lt;COLUMNS($F$7:AL$7),"",INDEX(TableDiv[[GASB]:[GASB]],_xlfn.AGGREGATE(15,3,(TableDiv[[Agency]:[Agency]]=$E847)/(TableDiv[[Agency]:[Agency]]=$E847)*(ROW(TableDiv[Agency])-ROW(TableDiv[[#Headers],[Agency]])),COLUMNS($F$7:AL$7))))</f>
        <v/>
      </c>
      <c r="AM847" s="2223" t="str" cm="1">
        <f t="array" ref="AM847">IF($D847&lt;COLUMNS($F$7:AM$7),"",INDEX(TableDiv[[GASB]:[GASB]],_xlfn.AGGREGATE(15,3,(TableDiv[[Agency]:[Agency]]=$E847)/(TableDiv[[Agency]:[Agency]]=$E847)*(ROW(TableDiv[Agency])-ROW(TableDiv[[#Headers],[Agency]])),COLUMNS($F$7:AM$7))))</f>
        <v/>
      </c>
      <c r="AN847" s="2223"/>
      <c r="AO847" s="2223"/>
      <c r="AP847" s="2223"/>
      <c r="AQ847" s="2223"/>
      <c r="AR847" s="2223"/>
      <c r="AS847" s="2223"/>
    </row>
    <row r="848" spans="1:45" x14ac:dyDescent="0.2">
      <c r="A848" s="2223"/>
      <c r="B848" s="2223"/>
      <c r="C848" s="2223"/>
      <c r="W848" s="2223" t="str" cm="1">
        <f t="array" ref="W848">IF($D848&lt;COLUMNS($F$7:W$7),"",INDEX(TableDiv[[GASB]:[GASB]],_xlfn.AGGREGATE(15,3,(TableDiv[[Agency]:[Agency]]=$E848)/(TableDiv[[Agency]:[Agency]]=$E848)*(ROW(TableDiv[Agency])-ROW(TableDiv[[#Headers],[Agency]])),COLUMNS($F$7:W$7))))</f>
        <v/>
      </c>
      <c r="X848" s="2223" t="str" cm="1">
        <f t="array" ref="X848">IF($D848&lt;COLUMNS($F$7:X$7),"",INDEX(TableDiv[[GASB]:[GASB]],_xlfn.AGGREGATE(15,3,(TableDiv[[Agency]:[Agency]]=$E848)/(TableDiv[[Agency]:[Agency]]=$E848)*(ROW(TableDiv[Agency])-ROW(TableDiv[[#Headers],[Agency]])),COLUMNS($F$7:X$7))))</f>
        <v/>
      </c>
      <c r="Y848" s="2223" t="str" cm="1">
        <f t="array" ref="Y848">IF($D848&lt;COLUMNS($F$7:Y$7),"",INDEX(TableDiv[[GASB]:[GASB]],_xlfn.AGGREGATE(15,3,(TableDiv[[Agency]:[Agency]]=$E848)/(TableDiv[[Agency]:[Agency]]=$E848)*(ROW(TableDiv[Agency])-ROW(TableDiv[[#Headers],[Agency]])),COLUMNS($F$7:Y$7))))</f>
        <v/>
      </c>
      <c r="Z848" s="2223" t="str" cm="1">
        <f t="array" ref="Z848">IF($D848&lt;COLUMNS($F$7:Z$7),"",INDEX(TableDiv[[GASB]:[GASB]],_xlfn.AGGREGATE(15,3,(TableDiv[[Agency]:[Agency]]=$E848)/(TableDiv[[Agency]:[Agency]]=$E848)*(ROW(TableDiv[Agency])-ROW(TableDiv[[#Headers],[Agency]])),COLUMNS($F$7:Z$7))))</f>
        <v/>
      </c>
      <c r="AA848" s="2223" t="str" cm="1">
        <f t="array" ref="AA848">IF($D848&lt;COLUMNS($F$7:AA$7),"",INDEX(TableDiv[[GASB]:[GASB]],_xlfn.AGGREGATE(15,3,(TableDiv[[Agency]:[Agency]]=$E848)/(TableDiv[[Agency]:[Agency]]=$E848)*(ROW(TableDiv[Agency])-ROW(TableDiv[[#Headers],[Agency]])),COLUMNS($F$7:AA$7))))</f>
        <v/>
      </c>
      <c r="AB848" s="2223" t="str" cm="1">
        <f t="array" ref="AB848">IF($D848&lt;COLUMNS($F$7:AB$7),"",INDEX(TableDiv[[GASB]:[GASB]],_xlfn.AGGREGATE(15,3,(TableDiv[[Agency]:[Agency]]=$E848)/(TableDiv[[Agency]:[Agency]]=$E848)*(ROW(TableDiv[Agency])-ROW(TableDiv[[#Headers],[Agency]])),COLUMNS($F$7:AB$7))))</f>
        <v/>
      </c>
      <c r="AC848" s="2223" t="str" cm="1">
        <f t="array" ref="AC848">IF($D848&lt;COLUMNS($F$7:AC$7),"",INDEX(TableDiv[[GASB]:[GASB]],_xlfn.AGGREGATE(15,3,(TableDiv[[Agency]:[Agency]]=$E848)/(TableDiv[[Agency]:[Agency]]=$E848)*(ROW(TableDiv[Agency])-ROW(TableDiv[[#Headers],[Agency]])),COLUMNS($F$7:AC$7))))</f>
        <v/>
      </c>
      <c r="AD848" s="2223" t="str" cm="1">
        <f t="array" ref="AD848">IF($D848&lt;COLUMNS($F$7:AD$7),"",INDEX(TableDiv[[GASB]:[GASB]],_xlfn.AGGREGATE(15,3,(TableDiv[[Agency]:[Agency]]=$E848)/(TableDiv[[Agency]:[Agency]]=$E848)*(ROW(TableDiv[Agency])-ROW(TableDiv[[#Headers],[Agency]])),COLUMNS($F$7:AD$7))))</f>
        <v/>
      </c>
      <c r="AE848" s="2223" t="str" cm="1">
        <f t="array" ref="AE848">IF($D848&lt;COLUMNS($F$7:AE$7),"",INDEX(TableDiv[[GASB]:[GASB]],_xlfn.AGGREGATE(15,3,(TableDiv[[Agency]:[Agency]]=$E848)/(TableDiv[[Agency]:[Agency]]=$E848)*(ROW(TableDiv[Agency])-ROW(TableDiv[[#Headers],[Agency]])),COLUMNS($F$7:AE$7))))</f>
        <v/>
      </c>
      <c r="AF848" s="2223" t="str" cm="1">
        <f t="array" ref="AF848">IF($D848&lt;COLUMNS($F$7:AF$7),"",INDEX(TableDiv[[GASB]:[GASB]],_xlfn.AGGREGATE(15,3,(TableDiv[[Agency]:[Agency]]=$E848)/(TableDiv[[Agency]:[Agency]]=$E848)*(ROW(TableDiv[Agency])-ROW(TableDiv[[#Headers],[Agency]])),COLUMNS($F$7:AF$7))))</f>
        <v/>
      </c>
      <c r="AG848" s="2223" t="str" cm="1">
        <f t="array" ref="AG848">IF($D848&lt;COLUMNS($F$7:AG$7),"",INDEX(TableDiv[[GASB]:[GASB]],_xlfn.AGGREGATE(15,3,(TableDiv[[Agency]:[Agency]]=$E848)/(TableDiv[[Agency]:[Agency]]=$E848)*(ROW(TableDiv[Agency])-ROW(TableDiv[[#Headers],[Agency]])),COLUMNS($F$7:AG$7))))</f>
        <v/>
      </c>
      <c r="AH848" s="2223" t="str" cm="1">
        <f t="array" ref="AH848">IF($D848&lt;COLUMNS($F$7:AH$7),"",INDEX(TableDiv[[GASB]:[GASB]],_xlfn.AGGREGATE(15,3,(TableDiv[[Agency]:[Agency]]=$E848)/(TableDiv[[Agency]:[Agency]]=$E848)*(ROW(TableDiv[Agency])-ROW(TableDiv[[#Headers],[Agency]])),COLUMNS($F$7:AH$7))))</f>
        <v/>
      </c>
      <c r="AI848" s="2223" t="str" cm="1">
        <f t="array" ref="AI848">IF($D848&lt;COLUMNS($F$7:AI$7),"",INDEX(TableDiv[[GASB]:[GASB]],_xlfn.AGGREGATE(15,3,(TableDiv[[Agency]:[Agency]]=$E848)/(TableDiv[[Agency]:[Agency]]=$E848)*(ROW(TableDiv[Agency])-ROW(TableDiv[[#Headers],[Agency]])),COLUMNS($F$7:AI$7))))</f>
        <v/>
      </c>
      <c r="AJ848" s="2223" t="str" cm="1">
        <f t="array" ref="AJ848">IF($D848&lt;COLUMNS($F$7:AJ$7),"",INDEX(TableDiv[[GASB]:[GASB]],_xlfn.AGGREGATE(15,3,(TableDiv[[Agency]:[Agency]]=$E848)/(TableDiv[[Agency]:[Agency]]=$E848)*(ROW(TableDiv[Agency])-ROW(TableDiv[[#Headers],[Agency]])),COLUMNS($F$7:AJ$7))))</f>
        <v/>
      </c>
      <c r="AK848" s="2223" t="str" cm="1">
        <f t="array" ref="AK848">IF($D848&lt;COLUMNS($F$7:AK$7),"",INDEX(TableDiv[[GASB]:[GASB]],_xlfn.AGGREGATE(15,3,(TableDiv[[Agency]:[Agency]]=$E848)/(TableDiv[[Agency]:[Agency]]=$E848)*(ROW(TableDiv[Agency])-ROW(TableDiv[[#Headers],[Agency]])),COLUMNS($F$7:AK$7))))</f>
        <v/>
      </c>
      <c r="AL848" s="2223" t="str" cm="1">
        <f t="array" ref="AL848">IF($D848&lt;COLUMNS($F$7:AL$7),"",INDEX(TableDiv[[GASB]:[GASB]],_xlfn.AGGREGATE(15,3,(TableDiv[[Agency]:[Agency]]=$E848)/(TableDiv[[Agency]:[Agency]]=$E848)*(ROW(TableDiv[Agency])-ROW(TableDiv[[#Headers],[Agency]])),COLUMNS($F$7:AL$7))))</f>
        <v/>
      </c>
      <c r="AM848" s="2223" t="str" cm="1">
        <f t="array" ref="AM848">IF($D848&lt;COLUMNS($F$7:AM$7),"",INDEX(TableDiv[[GASB]:[GASB]],_xlfn.AGGREGATE(15,3,(TableDiv[[Agency]:[Agency]]=$E848)/(TableDiv[[Agency]:[Agency]]=$E848)*(ROW(TableDiv[Agency])-ROW(TableDiv[[#Headers],[Agency]])),COLUMNS($F$7:AM$7))))</f>
        <v/>
      </c>
      <c r="AN848" s="2223"/>
      <c r="AO848" s="2223"/>
      <c r="AP848" s="2223"/>
      <c r="AQ848" s="2223"/>
      <c r="AR848" s="2223"/>
      <c r="AS848" s="2223"/>
    </row>
    <row r="849" spans="1:45" x14ac:dyDescent="0.2">
      <c r="A849" s="2223"/>
      <c r="B849" s="2223"/>
      <c r="C849" s="2223"/>
      <c r="W849" s="2223" t="str" cm="1">
        <f t="array" ref="W849">IF($D849&lt;COLUMNS($F$7:W$7),"",INDEX(TableDiv[[GASB]:[GASB]],_xlfn.AGGREGATE(15,3,(TableDiv[[Agency]:[Agency]]=$E849)/(TableDiv[[Agency]:[Agency]]=$E849)*(ROW(TableDiv[Agency])-ROW(TableDiv[[#Headers],[Agency]])),COLUMNS($F$7:W$7))))</f>
        <v/>
      </c>
      <c r="X849" s="2223" t="str" cm="1">
        <f t="array" ref="X849">IF($D849&lt;COLUMNS($F$7:X$7),"",INDEX(TableDiv[[GASB]:[GASB]],_xlfn.AGGREGATE(15,3,(TableDiv[[Agency]:[Agency]]=$E849)/(TableDiv[[Agency]:[Agency]]=$E849)*(ROW(TableDiv[Agency])-ROW(TableDiv[[#Headers],[Agency]])),COLUMNS($F$7:X$7))))</f>
        <v/>
      </c>
      <c r="Y849" s="2223" t="str" cm="1">
        <f t="array" ref="Y849">IF($D849&lt;COLUMNS($F$7:Y$7),"",INDEX(TableDiv[[GASB]:[GASB]],_xlfn.AGGREGATE(15,3,(TableDiv[[Agency]:[Agency]]=$E849)/(TableDiv[[Agency]:[Agency]]=$E849)*(ROW(TableDiv[Agency])-ROW(TableDiv[[#Headers],[Agency]])),COLUMNS($F$7:Y$7))))</f>
        <v/>
      </c>
      <c r="Z849" s="2223" t="str" cm="1">
        <f t="array" ref="Z849">IF($D849&lt;COLUMNS($F$7:Z$7),"",INDEX(TableDiv[[GASB]:[GASB]],_xlfn.AGGREGATE(15,3,(TableDiv[[Agency]:[Agency]]=$E849)/(TableDiv[[Agency]:[Agency]]=$E849)*(ROW(TableDiv[Agency])-ROW(TableDiv[[#Headers],[Agency]])),COLUMNS($F$7:Z$7))))</f>
        <v/>
      </c>
      <c r="AA849" s="2223" t="str" cm="1">
        <f t="array" ref="AA849">IF($D849&lt;COLUMNS($F$7:AA$7),"",INDEX(TableDiv[[GASB]:[GASB]],_xlfn.AGGREGATE(15,3,(TableDiv[[Agency]:[Agency]]=$E849)/(TableDiv[[Agency]:[Agency]]=$E849)*(ROW(TableDiv[Agency])-ROW(TableDiv[[#Headers],[Agency]])),COLUMNS($F$7:AA$7))))</f>
        <v/>
      </c>
      <c r="AB849" s="2223" t="str" cm="1">
        <f t="array" ref="AB849">IF($D849&lt;COLUMNS($F$7:AB$7),"",INDEX(TableDiv[[GASB]:[GASB]],_xlfn.AGGREGATE(15,3,(TableDiv[[Agency]:[Agency]]=$E849)/(TableDiv[[Agency]:[Agency]]=$E849)*(ROW(TableDiv[Agency])-ROW(TableDiv[[#Headers],[Agency]])),COLUMNS($F$7:AB$7))))</f>
        <v/>
      </c>
      <c r="AC849" s="2223" t="str" cm="1">
        <f t="array" ref="AC849">IF($D849&lt;COLUMNS($F$7:AC$7),"",INDEX(TableDiv[[GASB]:[GASB]],_xlfn.AGGREGATE(15,3,(TableDiv[[Agency]:[Agency]]=$E849)/(TableDiv[[Agency]:[Agency]]=$E849)*(ROW(TableDiv[Agency])-ROW(TableDiv[[#Headers],[Agency]])),COLUMNS($F$7:AC$7))))</f>
        <v/>
      </c>
      <c r="AD849" s="2223" t="str" cm="1">
        <f t="array" ref="AD849">IF($D849&lt;COLUMNS($F$7:AD$7),"",INDEX(TableDiv[[GASB]:[GASB]],_xlfn.AGGREGATE(15,3,(TableDiv[[Agency]:[Agency]]=$E849)/(TableDiv[[Agency]:[Agency]]=$E849)*(ROW(TableDiv[Agency])-ROW(TableDiv[[#Headers],[Agency]])),COLUMNS($F$7:AD$7))))</f>
        <v/>
      </c>
      <c r="AE849" s="2223" t="str" cm="1">
        <f t="array" ref="AE849">IF($D849&lt;COLUMNS($F$7:AE$7),"",INDEX(TableDiv[[GASB]:[GASB]],_xlfn.AGGREGATE(15,3,(TableDiv[[Agency]:[Agency]]=$E849)/(TableDiv[[Agency]:[Agency]]=$E849)*(ROW(TableDiv[Agency])-ROW(TableDiv[[#Headers],[Agency]])),COLUMNS($F$7:AE$7))))</f>
        <v/>
      </c>
      <c r="AF849" s="2223" t="str" cm="1">
        <f t="array" ref="AF849">IF($D849&lt;COLUMNS($F$7:AF$7),"",INDEX(TableDiv[[GASB]:[GASB]],_xlfn.AGGREGATE(15,3,(TableDiv[[Agency]:[Agency]]=$E849)/(TableDiv[[Agency]:[Agency]]=$E849)*(ROW(TableDiv[Agency])-ROW(TableDiv[[#Headers],[Agency]])),COLUMNS($F$7:AF$7))))</f>
        <v/>
      </c>
      <c r="AG849" s="2223" t="str" cm="1">
        <f t="array" ref="AG849">IF($D849&lt;COLUMNS($F$7:AG$7),"",INDEX(TableDiv[[GASB]:[GASB]],_xlfn.AGGREGATE(15,3,(TableDiv[[Agency]:[Agency]]=$E849)/(TableDiv[[Agency]:[Agency]]=$E849)*(ROW(TableDiv[Agency])-ROW(TableDiv[[#Headers],[Agency]])),COLUMNS($F$7:AG$7))))</f>
        <v/>
      </c>
      <c r="AH849" s="2223" t="str" cm="1">
        <f t="array" ref="AH849">IF($D849&lt;COLUMNS($F$7:AH$7),"",INDEX(TableDiv[[GASB]:[GASB]],_xlfn.AGGREGATE(15,3,(TableDiv[[Agency]:[Agency]]=$E849)/(TableDiv[[Agency]:[Agency]]=$E849)*(ROW(TableDiv[Agency])-ROW(TableDiv[[#Headers],[Agency]])),COLUMNS($F$7:AH$7))))</f>
        <v/>
      </c>
      <c r="AI849" s="2223" t="str" cm="1">
        <f t="array" ref="AI849">IF($D849&lt;COLUMNS($F$7:AI$7),"",INDEX(TableDiv[[GASB]:[GASB]],_xlfn.AGGREGATE(15,3,(TableDiv[[Agency]:[Agency]]=$E849)/(TableDiv[[Agency]:[Agency]]=$E849)*(ROW(TableDiv[Agency])-ROW(TableDiv[[#Headers],[Agency]])),COLUMNS($F$7:AI$7))))</f>
        <v/>
      </c>
      <c r="AJ849" s="2223" t="str" cm="1">
        <f t="array" ref="AJ849">IF($D849&lt;COLUMNS($F$7:AJ$7),"",INDEX(TableDiv[[GASB]:[GASB]],_xlfn.AGGREGATE(15,3,(TableDiv[[Agency]:[Agency]]=$E849)/(TableDiv[[Agency]:[Agency]]=$E849)*(ROW(TableDiv[Agency])-ROW(TableDiv[[#Headers],[Agency]])),COLUMNS($F$7:AJ$7))))</f>
        <v/>
      </c>
      <c r="AK849" s="2223" t="str" cm="1">
        <f t="array" ref="AK849">IF($D849&lt;COLUMNS($F$7:AK$7),"",INDEX(TableDiv[[GASB]:[GASB]],_xlfn.AGGREGATE(15,3,(TableDiv[[Agency]:[Agency]]=$E849)/(TableDiv[[Agency]:[Agency]]=$E849)*(ROW(TableDiv[Agency])-ROW(TableDiv[[#Headers],[Agency]])),COLUMNS($F$7:AK$7))))</f>
        <v/>
      </c>
      <c r="AL849" s="2223" t="str" cm="1">
        <f t="array" ref="AL849">IF($D849&lt;COLUMNS($F$7:AL$7),"",INDEX(TableDiv[[GASB]:[GASB]],_xlfn.AGGREGATE(15,3,(TableDiv[[Agency]:[Agency]]=$E849)/(TableDiv[[Agency]:[Agency]]=$E849)*(ROW(TableDiv[Agency])-ROW(TableDiv[[#Headers],[Agency]])),COLUMNS($F$7:AL$7))))</f>
        <v/>
      </c>
      <c r="AM849" s="2223" t="str" cm="1">
        <f t="array" ref="AM849">IF($D849&lt;COLUMNS($F$7:AM$7),"",INDEX(TableDiv[[GASB]:[GASB]],_xlfn.AGGREGATE(15,3,(TableDiv[[Agency]:[Agency]]=$E849)/(TableDiv[[Agency]:[Agency]]=$E849)*(ROW(TableDiv[Agency])-ROW(TableDiv[[#Headers],[Agency]])),COLUMNS($F$7:AM$7))))</f>
        <v/>
      </c>
      <c r="AN849" s="2223"/>
      <c r="AO849" s="2223"/>
      <c r="AP849" s="2223"/>
      <c r="AQ849" s="2223"/>
      <c r="AR849" s="2223"/>
      <c r="AS849" s="2223"/>
    </row>
    <row r="850" spans="1:45" x14ac:dyDescent="0.2">
      <c r="A850" s="2223"/>
      <c r="B850" s="2223"/>
      <c r="C850" s="2223"/>
      <c r="W850" s="2223" t="str" cm="1">
        <f t="array" ref="W850">IF($D850&lt;COLUMNS($F$7:W$7),"",INDEX(TableDiv[[GASB]:[GASB]],_xlfn.AGGREGATE(15,3,(TableDiv[[Agency]:[Agency]]=$E850)/(TableDiv[[Agency]:[Agency]]=$E850)*(ROW(TableDiv[Agency])-ROW(TableDiv[[#Headers],[Agency]])),COLUMNS($F$7:W$7))))</f>
        <v/>
      </c>
      <c r="X850" s="2223" t="str" cm="1">
        <f t="array" ref="X850">IF($D850&lt;COLUMNS($F$7:X$7),"",INDEX(TableDiv[[GASB]:[GASB]],_xlfn.AGGREGATE(15,3,(TableDiv[[Agency]:[Agency]]=$E850)/(TableDiv[[Agency]:[Agency]]=$E850)*(ROW(TableDiv[Agency])-ROW(TableDiv[[#Headers],[Agency]])),COLUMNS($F$7:X$7))))</f>
        <v/>
      </c>
      <c r="Y850" s="2223" t="str" cm="1">
        <f t="array" ref="Y850">IF($D850&lt;COLUMNS($F$7:Y$7),"",INDEX(TableDiv[[GASB]:[GASB]],_xlfn.AGGREGATE(15,3,(TableDiv[[Agency]:[Agency]]=$E850)/(TableDiv[[Agency]:[Agency]]=$E850)*(ROW(TableDiv[Agency])-ROW(TableDiv[[#Headers],[Agency]])),COLUMNS($F$7:Y$7))))</f>
        <v/>
      </c>
      <c r="Z850" s="2223" t="str" cm="1">
        <f t="array" ref="Z850">IF($D850&lt;COLUMNS($F$7:Z$7),"",INDEX(TableDiv[[GASB]:[GASB]],_xlfn.AGGREGATE(15,3,(TableDiv[[Agency]:[Agency]]=$E850)/(TableDiv[[Agency]:[Agency]]=$E850)*(ROW(TableDiv[Agency])-ROW(TableDiv[[#Headers],[Agency]])),COLUMNS($F$7:Z$7))))</f>
        <v/>
      </c>
      <c r="AA850" s="2223" t="str" cm="1">
        <f t="array" ref="AA850">IF($D850&lt;COLUMNS($F$7:AA$7),"",INDEX(TableDiv[[GASB]:[GASB]],_xlfn.AGGREGATE(15,3,(TableDiv[[Agency]:[Agency]]=$E850)/(TableDiv[[Agency]:[Agency]]=$E850)*(ROW(TableDiv[Agency])-ROW(TableDiv[[#Headers],[Agency]])),COLUMNS($F$7:AA$7))))</f>
        <v/>
      </c>
      <c r="AB850" s="2223" t="str" cm="1">
        <f t="array" ref="AB850">IF($D850&lt;COLUMNS($F$7:AB$7),"",INDEX(TableDiv[[GASB]:[GASB]],_xlfn.AGGREGATE(15,3,(TableDiv[[Agency]:[Agency]]=$E850)/(TableDiv[[Agency]:[Agency]]=$E850)*(ROW(TableDiv[Agency])-ROW(TableDiv[[#Headers],[Agency]])),COLUMNS($F$7:AB$7))))</f>
        <v/>
      </c>
      <c r="AC850" s="2223" t="str" cm="1">
        <f t="array" ref="AC850">IF($D850&lt;COLUMNS($F$7:AC$7),"",INDEX(TableDiv[[GASB]:[GASB]],_xlfn.AGGREGATE(15,3,(TableDiv[[Agency]:[Agency]]=$E850)/(TableDiv[[Agency]:[Agency]]=$E850)*(ROW(TableDiv[Agency])-ROW(TableDiv[[#Headers],[Agency]])),COLUMNS($F$7:AC$7))))</f>
        <v/>
      </c>
      <c r="AD850" s="2223" t="str" cm="1">
        <f t="array" ref="AD850">IF($D850&lt;COLUMNS($F$7:AD$7),"",INDEX(TableDiv[[GASB]:[GASB]],_xlfn.AGGREGATE(15,3,(TableDiv[[Agency]:[Agency]]=$E850)/(TableDiv[[Agency]:[Agency]]=$E850)*(ROW(TableDiv[Agency])-ROW(TableDiv[[#Headers],[Agency]])),COLUMNS($F$7:AD$7))))</f>
        <v/>
      </c>
      <c r="AE850" s="2223" t="str" cm="1">
        <f t="array" ref="AE850">IF($D850&lt;COLUMNS($F$7:AE$7),"",INDEX(TableDiv[[GASB]:[GASB]],_xlfn.AGGREGATE(15,3,(TableDiv[[Agency]:[Agency]]=$E850)/(TableDiv[[Agency]:[Agency]]=$E850)*(ROW(TableDiv[Agency])-ROW(TableDiv[[#Headers],[Agency]])),COLUMNS($F$7:AE$7))))</f>
        <v/>
      </c>
      <c r="AF850" s="2223" t="str" cm="1">
        <f t="array" ref="AF850">IF($D850&lt;COLUMNS($F$7:AF$7),"",INDEX(TableDiv[[GASB]:[GASB]],_xlfn.AGGREGATE(15,3,(TableDiv[[Agency]:[Agency]]=$E850)/(TableDiv[[Agency]:[Agency]]=$E850)*(ROW(TableDiv[Agency])-ROW(TableDiv[[#Headers],[Agency]])),COLUMNS($F$7:AF$7))))</f>
        <v/>
      </c>
      <c r="AG850" s="2223" t="str" cm="1">
        <f t="array" ref="AG850">IF($D850&lt;COLUMNS($F$7:AG$7),"",INDEX(TableDiv[[GASB]:[GASB]],_xlfn.AGGREGATE(15,3,(TableDiv[[Agency]:[Agency]]=$E850)/(TableDiv[[Agency]:[Agency]]=$E850)*(ROW(TableDiv[Agency])-ROW(TableDiv[[#Headers],[Agency]])),COLUMNS($F$7:AG$7))))</f>
        <v/>
      </c>
      <c r="AH850" s="2223" t="str" cm="1">
        <f t="array" ref="AH850">IF($D850&lt;COLUMNS($F$7:AH$7),"",INDEX(TableDiv[[GASB]:[GASB]],_xlfn.AGGREGATE(15,3,(TableDiv[[Agency]:[Agency]]=$E850)/(TableDiv[[Agency]:[Agency]]=$E850)*(ROW(TableDiv[Agency])-ROW(TableDiv[[#Headers],[Agency]])),COLUMNS($F$7:AH$7))))</f>
        <v/>
      </c>
      <c r="AI850" s="2223" t="str" cm="1">
        <f t="array" ref="AI850">IF($D850&lt;COLUMNS($F$7:AI$7),"",INDEX(TableDiv[[GASB]:[GASB]],_xlfn.AGGREGATE(15,3,(TableDiv[[Agency]:[Agency]]=$E850)/(TableDiv[[Agency]:[Agency]]=$E850)*(ROW(TableDiv[Agency])-ROW(TableDiv[[#Headers],[Agency]])),COLUMNS($F$7:AI$7))))</f>
        <v/>
      </c>
      <c r="AJ850" s="2223" t="str" cm="1">
        <f t="array" ref="AJ850">IF($D850&lt;COLUMNS($F$7:AJ$7),"",INDEX(TableDiv[[GASB]:[GASB]],_xlfn.AGGREGATE(15,3,(TableDiv[[Agency]:[Agency]]=$E850)/(TableDiv[[Agency]:[Agency]]=$E850)*(ROW(TableDiv[Agency])-ROW(TableDiv[[#Headers],[Agency]])),COLUMNS($F$7:AJ$7))))</f>
        <v/>
      </c>
      <c r="AK850" s="2223" t="str" cm="1">
        <f t="array" ref="AK850">IF($D850&lt;COLUMNS($F$7:AK$7),"",INDEX(TableDiv[[GASB]:[GASB]],_xlfn.AGGREGATE(15,3,(TableDiv[[Agency]:[Agency]]=$E850)/(TableDiv[[Agency]:[Agency]]=$E850)*(ROW(TableDiv[Agency])-ROW(TableDiv[[#Headers],[Agency]])),COLUMNS($F$7:AK$7))))</f>
        <v/>
      </c>
      <c r="AL850" s="2223" t="str" cm="1">
        <f t="array" ref="AL850">IF($D850&lt;COLUMNS($F$7:AL$7),"",INDEX(TableDiv[[GASB]:[GASB]],_xlfn.AGGREGATE(15,3,(TableDiv[[Agency]:[Agency]]=$E850)/(TableDiv[[Agency]:[Agency]]=$E850)*(ROW(TableDiv[Agency])-ROW(TableDiv[[#Headers],[Agency]])),COLUMNS($F$7:AL$7))))</f>
        <v/>
      </c>
      <c r="AM850" s="2223" t="str" cm="1">
        <f t="array" ref="AM850">IF($D850&lt;COLUMNS($F$7:AM$7),"",INDEX(TableDiv[[GASB]:[GASB]],_xlfn.AGGREGATE(15,3,(TableDiv[[Agency]:[Agency]]=$E850)/(TableDiv[[Agency]:[Agency]]=$E850)*(ROW(TableDiv[Agency])-ROW(TableDiv[[#Headers],[Agency]])),COLUMNS($F$7:AM$7))))</f>
        <v/>
      </c>
      <c r="AN850" s="2223"/>
      <c r="AO850" s="2223"/>
      <c r="AP850" s="2223"/>
      <c r="AQ850" s="2223"/>
      <c r="AR850" s="2223"/>
      <c r="AS850" s="2223"/>
    </row>
    <row r="851" spans="1:45" x14ac:dyDescent="0.2">
      <c r="A851" s="2223"/>
      <c r="B851" s="2223"/>
      <c r="C851" s="2223"/>
      <c r="W851" s="2223" t="str" cm="1">
        <f t="array" ref="W851">IF($D851&lt;COLUMNS($F$7:W$7),"",INDEX(TableDiv[[GASB]:[GASB]],_xlfn.AGGREGATE(15,3,(TableDiv[[Agency]:[Agency]]=$E851)/(TableDiv[[Agency]:[Agency]]=$E851)*(ROW(TableDiv[Agency])-ROW(TableDiv[[#Headers],[Agency]])),COLUMNS($F$7:W$7))))</f>
        <v/>
      </c>
      <c r="X851" s="2223" t="str" cm="1">
        <f t="array" ref="X851">IF($D851&lt;COLUMNS($F$7:X$7),"",INDEX(TableDiv[[GASB]:[GASB]],_xlfn.AGGREGATE(15,3,(TableDiv[[Agency]:[Agency]]=$E851)/(TableDiv[[Agency]:[Agency]]=$E851)*(ROW(TableDiv[Agency])-ROW(TableDiv[[#Headers],[Agency]])),COLUMNS($F$7:X$7))))</f>
        <v/>
      </c>
      <c r="Y851" s="2223" t="str" cm="1">
        <f t="array" ref="Y851">IF($D851&lt;COLUMNS($F$7:Y$7),"",INDEX(TableDiv[[GASB]:[GASB]],_xlfn.AGGREGATE(15,3,(TableDiv[[Agency]:[Agency]]=$E851)/(TableDiv[[Agency]:[Agency]]=$E851)*(ROW(TableDiv[Agency])-ROW(TableDiv[[#Headers],[Agency]])),COLUMNS($F$7:Y$7))))</f>
        <v/>
      </c>
      <c r="Z851" s="2223" t="str" cm="1">
        <f t="array" ref="Z851">IF($D851&lt;COLUMNS($F$7:Z$7),"",INDEX(TableDiv[[GASB]:[GASB]],_xlfn.AGGREGATE(15,3,(TableDiv[[Agency]:[Agency]]=$E851)/(TableDiv[[Agency]:[Agency]]=$E851)*(ROW(TableDiv[Agency])-ROW(TableDiv[[#Headers],[Agency]])),COLUMNS($F$7:Z$7))))</f>
        <v/>
      </c>
      <c r="AA851" s="2223" t="str" cm="1">
        <f t="array" ref="AA851">IF($D851&lt;COLUMNS($F$7:AA$7),"",INDEX(TableDiv[[GASB]:[GASB]],_xlfn.AGGREGATE(15,3,(TableDiv[[Agency]:[Agency]]=$E851)/(TableDiv[[Agency]:[Agency]]=$E851)*(ROW(TableDiv[Agency])-ROW(TableDiv[[#Headers],[Agency]])),COLUMNS($F$7:AA$7))))</f>
        <v/>
      </c>
      <c r="AB851" s="2223" t="str" cm="1">
        <f t="array" ref="AB851">IF($D851&lt;COLUMNS($F$7:AB$7),"",INDEX(TableDiv[[GASB]:[GASB]],_xlfn.AGGREGATE(15,3,(TableDiv[[Agency]:[Agency]]=$E851)/(TableDiv[[Agency]:[Agency]]=$E851)*(ROW(TableDiv[Agency])-ROW(TableDiv[[#Headers],[Agency]])),COLUMNS($F$7:AB$7))))</f>
        <v/>
      </c>
      <c r="AC851" s="2223" t="str" cm="1">
        <f t="array" ref="AC851">IF($D851&lt;COLUMNS($F$7:AC$7),"",INDEX(TableDiv[[GASB]:[GASB]],_xlfn.AGGREGATE(15,3,(TableDiv[[Agency]:[Agency]]=$E851)/(TableDiv[[Agency]:[Agency]]=$E851)*(ROW(TableDiv[Agency])-ROW(TableDiv[[#Headers],[Agency]])),COLUMNS($F$7:AC$7))))</f>
        <v/>
      </c>
      <c r="AD851" s="2223" t="str" cm="1">
        <f t="array" ref="AD851">IF($D851&lt;COLUMNS($F$7:AD$7),"",INDEX(TableDiv[[GASB]:[GASB]],_xlfn.AGGREGATE(15,3,(TableDiv[[Agency]:[Agency]]=$E851)/(TableDiv[[Agency]:[Agency]]=$E851)*(ROW(TableDiv[Agency])-ROW(TableDiv[[#Headers],[Agency]])),COLUMNS($F$7:AD$7))))</f>
        <v/>
      </c>
      <c r="AE851" s="2223" t="str" cm="1">
        <f t="array" ref="AE851">IF($D851&lt;COLUMNS($F$7:AE$7),"",INDEX(TableDiv[[GASB]:[GASB]],_xlfn.AGGREGATE(15,3,(TableDiv[[Agency]:[Agency]]=$E851)/(TableDiv[[Agency]:[Agency]]=$E851)*(ROW(TableDiv[Agency])-ROW(TableDiv[[#Headers],[Agency]])),COLUMNS($F$7:AE$7))))</f>
        <v/>
      </c>
      <c r="AF851" s="2223" t="str" cm="1">
        <f t="array" ref="AF851">IF($D851&lt;COLUMNS($F$7:AF$7),"",INDEX(TableDiv[[GASB]:[GASB]],_xlfn.AGGREGATE(15,3,(TableDiv[[Agency]:[Agency]]=$E851)/(TableDiv[[Agency]:[Agency]]=$E851)*(ROW(TableDiv[Agency])-ROW(TableDiv[[#Headers],[Agency]])),COLUMNS($F$7:AF$7))))</f>
        <v/>
      </c>
      <c r="AG851" s="2223" t="str" cm="1">
        <f t="array" ref="AG851">IF($D851&lt;COLUMNS($F$7:AG$7),"",INDEX(TableDiv[[GASB]:[GASB]],_xlfn.AGGREGATE(15,3,(TableDiv[[Agency]:[Agency]]=$E851)/(TableDiv[[Agency]:[Agency]]=$E851)*(ROW(TableDiv[Agency])-ROW(TableDiv[[#Headers],[Agency]])),COLUMNS($F$7:AG$7))))</f>
        <v/>
      </c>
      <c r="AH851" s="2223" t="str" cm="1">
        <f t="array" ref="AH851">IF($D851&lt;COLUMNS($F$7:AH$7),"",INDEX(TableDiv[[GASB]:[GASB]],_xlfn.AGGREGATE(15,3,(TableDiv[[Agency]:[Agency]]=$E851)/(TableDiv[[Agency]:[Agency]]=$E851)*(ROW(TableDiv[Agency])-ROW(TableDiv[[#Headers],[Agency]])),COLUMNS($F$7:AH$7))))</f>
        <v/>
      </c>
      <c r="AI851" s="2223" t="str" cm="1">
        <f t="array" ref="AI851">IF($D851&lt;COLUMNS($F$7:AI$7),"",INDEX(TableDiv[[GASB]:[GASB]],_xlfn.AGGREGATE(15,3,(TableDiv[[Agency]:[Agency]]=$E851)/(TableDiv[[Agency]:[Agency]]=$E851)*(ROW(TableDiv[Agency])-ROW(TableDiv[[#Headers],[Agency]])),COLUMNS($F$7:AI$7))))</f>
        <v/>
      </c>
      <c r="AJ851" s="2223" t="str" cm="1">
        <f t="array" ref="AJ851">IF($D851&lt;COLUMNS($F$7:AJ$7),"",INDEX(TableDiv[[GASB]:[GASB]],_xlfn.AGGREGATE(15,3,(TableDiv[[Agency]:[Agency]]=$E851)/(TableDiv[[Agency]:[Agency]]=$E851)*(ROW(TableDiv[Agency])-ROW(TableDiv[[#Headers],[Agency]])),COLUMNS($F$7:AJ$7))))</f>
        <v/>
      </c>
      <c r="AK851" s="2223" t="str" cm="1">
        <f t="array" ref="AK851">IF($D851&lt;COLUMNS($F$7:AK$7),"",INDEX(TableDiv[[GASB]:[GASB]],_xlfn.AGGREGATE(15,3,(TableDiv[[Agency]:[Agency]]=$E851)/(TableDiv[[Agency]:[Agency]]=$E851)*(ROW(TableDiv[Agency])-ROW(TableDiv[[#Headers],[Agency]])),COLUMNS($F$7:AK$7))))</f>
        <v/>
      </c>
      <c r="AL851" s="2223" t="str" cm="1">
        <f t="array" ref="AL851">IF($D851&lt;COLUMNS($F$7:AL$7),"",INDEX(TableDiv[[GASB]:[GASB]],_xlfn.AGGREGATE(15,3,(TableDiv[[Agency]:[Agency]]=$E851)/(TableDiv[[Agency]:[Agency]]=$E851)*(ROW(TableDiv[Agency])-ROW(TableDiv[[#Headers],[Agency]])),COLUMNS($F$7:AL$7))))</f>
        <v/>
      </c>
      <c r="AM851" s="2223" t="str" cm="1">
        <f t="array" ref="AM851">IF($D851&lt;COLUMNS($F$7:AM$7),"",INDEX(TableDiv[[GASB]:[GASB]],_xlfn.AGGREGATE(15,3,(TableDiv[[Agency]:[Agency]]=$E851)/(TableDiv[[Agency]:[Agency]]=$E851)*(ROW(TableDiv[Agency])-ROW(TableDiv[[#Headers],[Agency]])),COLUMNS($F$7:AM$7))))</f>
        <v/>
      </c>
      <c r="AN851" s="2223"/>
      <c r="AO851" s="2223"/>
      <c r="AP851" s="2223"/>
      <c r="AQ851" s="2223"/>
      <c r="AR851" s="2223"/>
      <c r="AS851" s="2223"/>
    </row>
    <row r="852" spans="1:45" x14ac:dyDescent="0.2">
      <c r="A852" s="2223"/>
      <c r="B852" s="2223"/>
      <c r="C852" s="2223"/>
      <c r="W852" s="2223" t="str" cm="1">
        <f t="array" ref="W852">IF($D852&lt;COLUMNS($F$7:W$7),"",INDEX(TableDiv[[GASB]:[GASB]],_xlfn.AGGREGATE(15,3,(TableDiv[[Agency]:[Agency]]=$E852)/(TableDiv[[Agency]:[Agency]]=$E852)*(ROW(TableDiv[Agency])-ROW(TableDiv[[#Headers],[Agency]])),COLUMNS($F$7:W$7))))</f>
        <v/>
      </c>
      <c r="X852" s="2223" t="str" cm="1">
        <f t="array" ref="X852">IF($D852&lt;COLUMNS($F$7:X$7),"",INDEX(TableDiv[[GASB]:[GASB]],_xlfn.AGGREGATE(15,3,(TableDiv[[Agency]:[Agency]]=$E852)/(TableDiv[[Agency]:[Agency]]=$E852)*(ROW(TableDiv[Agency])-ROW(TableDiv[[#Headers],[Agency]])),COLUMNS($F$7:X$7))))</f>
        <v/>
      </c>
      <c r="Y852" s="2223" t="str" cm="1">
        <f t="array" ref="Y852">IF($D852&lt;COLUMNS($F$7:Y$7),"",INDEX(TableDiv[[GASB]:[GASB]],_xlfn.AGGREGATE(15,3,(TableDiv[[Agency]:[Agency]]=$E852)/(TableDiv[[Agency]:[Agency]]=$E852)*(ROW(TableDiv[Agency])-ROW(TableDiv[[#Headers],[Agency]])),COLUMNS($F$7:Y$7))))</f>
        <v/>
      </c>
      <c r="Z852" s="2223" t="str" cm="1">
        <f t="array" ref="Z852">IF($D852&lt;COLUMNS($F$7:Z$7),"",INDEX(TableDiv[[GASB]:[GASB]],_xlfn.AGGREGATE(15,3,(TableDiv[[Agency]:[Agency]]=$E852)/(TableDiv[[Agency]:[Agency]]=$E852)*(ROW(TableDiv[Agency])-ROW(TableDiv[[#Headers],[Agency]])),COLUMNS($F$7:Z$7))))</f>
        <v/>
      </c>
      <c r="AA852" s="2223" t="str" cm="1">
        <f t="array" ref="AA852">IF($D852&lt;COLUMNS($F$7:AA$7),"",INDEX(TableDiv[[GASB]:[GASB]],_xlfn.AGGREGATE(15,3,(TableDiv[[Agency]:[Agency]]=$E852)/(TableDiv[[Agency]:[Agency]]=$E852)*(ROW(TableDiv[Agency])-ROW(TableDiv[[#Headers],[Agency]])),COLUMNS($F$7:AA$7))))</f>
        <v/>
      </c>
      <c r="AB852" s="2223" t="str" cm="1">
        <f t="array" ref="AB852">IF($D852&lt;COLUMNS($F$7:AB$7),"",INDEX(TableDiv[[GASB]:[GASB]],_xlfn.AGGREGATE(15,3,(TableDiv[[Agency]:[Agency]]=$E852)/(TableDiv[[Agency]:[Agency]]=$E852)*(ROW(TableDiv[Agency])-ROW(TableDiv[[#Headers],[Agency]])),COLUMNS($F$7:AB$7))))</f>
        <v/>
      </c>
      <c r="AC852" s="2223" t="str" cm="1">
        <f t="array" ref="AC852">IF($D852&lt;COLUMNS($F$7:AC$7),"",INDEX(TableDiv[[GASB]:[GASB]],_xlfn.AGGREGATE(15,3,(TableDiv[[Agency]:[Agency]]=$E852)/(TableDiv[[Agency]:[Agency]]=$E852)*(ROW(TableDiv[Agency])-ROW(TableDiv[[#Headers],[Agency]])),COLUMNS($F$7:AC$7))))</f>
        <v/>
      </c>
      <c r="AD852" s="2223" t="str" cm="1">
        <f t="array" ref="AD852">IF($D852&lt;COLUMNS($F$7:AD$7),"",INDEX(TableDiv[[GASB]:[GASB]],_xlfn.AGGREGATE(15,3,(TableDiv[[Agency]:[Agency]]=$E852)/(TableDiv[[Agency]:[Agency]]=$E852)*(ROW(TableDiv[Agency])-ROW(TableDiv[[#Headers],[Agency]])),COLUMNS($F$7:AD$7))))</f>
        <v/>
      </c>
      <c r="AE852" s="2223" t="str" cm="1">
        <f t="array" ref="AE852">IF($D852&lt;COLUMNS($F$7:AE$7),"",INDEX(TableDiv[[GASB]:[GASB]],_xlfn.AGGREGATE(15,3,(TableDiv[[Agency]:[Agency]]=$E852)/(TableDiv[[Agency]:[Agency]]=$E852)*(ROW(TableDiv[Agency])-ROW(TableDiv[[#Headers],[Agency]])),COLUMNS($F$7:AE$7))))</f>
        <v/>
      </c>
      <c r="AF852" s="2223" t="str" cm="1">
        <f t="array" ref="AF852">IF($D852&lt;COLUMNS($F$7:AF$7),"",INDEX(TableDiv[[GASB]:[GASB]],_xlfn.AGGREGATE(15,3,(TableDiv[[Agency]:[Agency]]=$E852)/(TableDiv[[Agency]:[Agency]]=$E852)*(ROW(TableDiv[Agency])-ROW(TableDiv[[#Headers],[Agency]])),COLUMNS($F$7:AF$7))))</f>
        <v/>
      </c>
      <c r="AG852" s="2223" t="str" cm="1">
        <f t="array" ref="AG852">IF($D852&lt;COLUMNS($F$7:AG$7),"",INDEX(TableDiv[[GASB]:[GASB]],_xlfn.AGGREGATE(15,3,(TableDiv[[Agency]:[Agency]]=$E852)/(TableDiv[[Agency]:[Agency]]=$E852)*(ROW(TableDiv[Agency])-ROW(TableDiv[[#Headers],[Agency]])),COLUMNS($F$7:AG$7))))</f>
        <v/>
      </c>
      <c r="AH852" s="2223" t="str" cm="1">
        <f t="array" ref="AH852">IF($D852&lt;COLUMNS($F$7:AH$7),"",INDEX(TableDiv[[GASB]:[GASB]],_xlfn.AGGREGATE(15,3,(TableDiv[[Agency]:[Agency]]=$E852)/(TableDiv[[Agency]:[Agency]]=$E852)*(ROW(TableDiv[Agency])-ROW(TableDiv[[#Headers],[Agency]])),COLUMNS($F$7:AH$7))))</f>
        <v/>
      </c>
      <c r="AI852" s="2223" t="str" cm="1">
        <f t="array" ref="AI852">IF($D852&lt;COLUMNS($F$7:AI$7),"",INDEX(TableDiv[[GASB]:[GASB]],_xlfn.AGGREGATE(15,3,(TableDiv[[Agency]:[Agency]]=$E852)/(TableDiv[[Agency]:[Agency]]=$E852)*(ROW(TableDiv[Agency])-ROW(TableDiv[[#Headers],[Agency]])),COLUMNS($F$7:AI$7))))</f>
        <v/>
      </c>
      <c r="AJ852" s="2223" t="str" cm="1">
        <f t="array" ref="AJ852">IF($D852&lt;COLUMNS($F$7:AJ$7),"",INDEX(TableDiv[[GASB]:[GASB]],_xlfn.AGGREGATE(15,3,(TableDiv[[Agency]:[Agency]]=$E852)/(TableDiv[[Agency]:[Agency]]=$E852)*(ROW(TableDiv[Agency])-ROW(TableDiv[[#Headers],[Agency]])),COLUMNS($F$7:AJ$7))))</f>
        <v/>
      </c>
      <c r="AK852" s="2223" t="str" cm="1">
        <f t="array" ref="AK852">IF($D852&lt;COLUMNS($F$7:AK$7),"",INDEX(TableDiv[[GASB]:[GASB]],_xlfn.AGGREGATE(15,3,(TableDiv[[Agency]:[Agency]]=$E852)/(TableDiv[[Agency]:[Agency]]=$E852)*(ROW(TableDiv[Agency])-ROW(TableDiv[[#Headers],[Agency]])),COLUMNS($F$7:AK$7))))</f>
        <v/>
      </c>
      <c r="AL852" s="2223" t="str" cm="1">
        <f t="array" ref="AL852">IF($D852&lt;COLUMNS($F$7:AL$7),"",INDEX(TableDiv[[GASB]:[GASB]],_xlfn.AGGREGATE(15,3,(TableDiv[[Agency]:[Agency]]=$E852)/(TableDiv[[Agency]:[Agency]]=$E852)*(ROW(TableDiv[Agency])-ROW(TableDiv[[#Headers],[Agency]])),COLUMNS($F$7:AL$7))))</f>
        <v/>
      </c>
      <c r="AM852" s="2223" t="str" cm="1">
        <f t="array" ref="AM852">IF($D852&lt;COLUMNS($F$7:AM$7),"",INDEX(TableDiv[[GASB]:[GASB]],_xlfn.AGGREGATE(15,3,(TableDiv[[Agency]:[Agency]]=$E852)/(TableDiv[[Agency]:[Agency]]=$E852)*(ROW(TableDiv[Agency])-ROW(TableDiv[[#Headers],[Agency]])),COLUMNS($F$7:AM$7))))</f>
        <v/>
      </c>
      <c r="AN852" s="2223"/>
      <c r="AO852" s="2223"/>
      <c r="AP852" s="2223"/>
      <c r="AQ852" s="2223"/>
      <c r="AR852" s="2223"/>
      <c r="AS852" s="2223"/>
    </row>
    <row r="853" spans="1:45" x14ac:dyDescent="0.2">
      <c r="A853" s="2223"/>
      <c r="B853" s="2223"/>
      <c r="C853" s="2223"/>
      <c r="W853" s="2223" t="str" cm="1">
        <f t="array" ref="W853">IF($D853&lt;COLUMNS($F$7:W$7),"",INDEX(TableDiv[[GASB]:[GASB]],_xlfn.AGGREGATE(15,3,(TableDiv[[Agency]:[Agency]]=$E853)/(TableDiv[[Agency]:[Agency]]=$E853)*(ROW(TableDiv[Agency])-ROW(TableDiv[[#Headers],[Agency]])),COLUMNS($F$7:W$7))))</f>
        <v/>
      </c>
      <c r="X853" s="2223" t="str" cm="1">
        <f t="array" ref="X853">IF($D853&lt;COLUMNS($F$7:X$7),"",INDEX(TableDiv[[GASB]:[GASB]],_xlfn.AGGREGATE(15,3,(TableDiv[[Agency]:[Agency]]=$E853)/(TableDiv[[Agency]:[Agency]]=$E853)*(ROW(TableDiv[Agency])-ROW(TableDiv[[#Headers],[Agency]])),COLUMNS($F$7:X$7))))</f>
        <v/>
      </c>
      <c r="Y853" s="2223" t="str" cm="1">
        <f t="array" ref="Y853">IF($D853&lt;COLUMNS($F$7:Y$7),"",INDEX(TableDiv[[GASB]:[GASB]],_xlfn.AGGREGATE(15,3,(TableDiv[[Agency]:[Agency]]=$E853)/(TableDiv[[Agency]:[Agency]]=$E853)*(ROW(TableDiv[Agency])-ROW(TableDiv[[#Headers],[Agency]])),COLUMNS($F$7:Y$7))))</f>
        <v/>
      </c>
      <c r="Z853" s="2223" t="str" cm="1">
        <f t="array" ref="Z853">IF($D853&lt;COLUMNS($F$7:Z$7),"",INDEX(TableDiv[[GASB]:[GASB]],_xlfn.AGGREGATE(15,3,(TableDiv[[Agency]:[Agency]]=$E853)/(TableDiv[[Agency]:[Agency]]=$E853)*(ROW(TableDiv[Agency])-ROW(TableDiv[[#Headers],[Agency]])),COLUMNS($F$7:Z$7))))</f>
        <v/>
      </c>
      <c r="AA853" s="2223" t="str" cm="1">
        <f t="array" ref="AA853">IF($D853&lt;COLUMNS($F$7:AA$7),"",INDEX(TableDiv[[GASB]:[GASB]],_xlfn.AGGREGATE(15,3,(TableDiv[[Agency]:[Agency]]=$E853)/(TableDiv[[Agency]:[Agency]]=$E853)*(ROW(TableDiv[Agency])-ROW(TableDiv[[#Headers],[Agency]])),COLUMNS($F$7:AA$7))))</f>
        <v/>
      </c>
      <c r="AB853" s="2223" t="str" cm="1">
        <f t="array" ref="AB853">IF($D853&lt;COLUMNS($F$7:AB$7),"",INDEX(TableDiv[[GASB]:[GASB]],_xlfn.AGGREGATE(15,3,(TableDiv[[Agency]:[Agency]]=$E853)/(TableDiv[[Agency]:[Agency]]=$E853)*(ROW(TableDiv[Agency])-ROW(TableDiv[[#Headers],[Agency]])),COLUMNS($F$7:AB$7))))</f>
        <v/>
      </c>
      <c r="AC853" s="2223" t="str" cm="1">
        <f t="array" ref="AC853">IF($D853&lt;COLUMNS($F$7:AC$7),"",INDEX(TableDiv[[GASB]:[GASB]],_xlfn.AGGREGATE(15,3,(TableDiv[[Agency]:[Agency]]=$E853)/(TableDiv[[Agency]:[Agency]]=$E853)*(ROW(TableDiv[Agency])-ROW(TableDiv[[#Headers],[Agency]])),COLUMNS($F$7:AC$7))))</f>
        <v/>
      </c>
      <c r="AD853" s="2223" t="str" cm="1">
        <f t="array" ref="AD853">IF($D853&lt;COLUMNS($F$7:AD$7),"",INDEX(TableDiv[[GASB]:[GASB]],_xlfn.AGGREGATE(15,3,(TableDiv[[Agency]:[Agency]]=$E853)/(TableDiv[[Agency]:[Agency]]=$E853)*(ROW(TableDiv[Agency])-ROW(TableDiv[[#Headers],[Agency]])),COLUMNS($F$7:AD$7))))</f>
        <v/>
      </c>
      <c r="AE853" s="2223" t="str" cm="1">
        <f t="array" ref="AE853">IF($D853&lt;COLUMNS($F$7:AE$7),"",INDEX(TableDiv[[GASB]:[GASB]],_xlfn.AGGREGATE(15,3,(TableDiv[[Agency]:[Agency]]=$E853)/(TableDiv[[Agency]:[Agency]]=$E853)*(ROW(TableDiv[Agency])-ROW(TableDiv[[#Headers],[Agency]])),COLUMNS($F$7:AE$7))))</f>
        <v/>
      </c>
      <c r="AF853" s="2223" t="str" cm="1">
        <f t="array" ref="AF853">IF($D853&lt;COLUMNS($F$7:AF$7),"",INDEX(TableDiv[[GASB]:[GASB]],_xlfn.AGGREGATE(15,3,(TableDiv[[Agency]:[Agency]]=$E853)/(TableDiv[[Agency]:[Agency]]=$E853)*(ROW(TableDiv[Agency])-ROW(TableDiv[[#Headers],[Agency]])),COLUMNS($F$7:AF$7))))</f>
        <v/>
      </c>
      <c r="AG853" s="2223" t="str" cm="1">
        <f t="array" ref="AG853">IF($D853&lt;COLUMNS($F$7:AG$7),"",INDEX(TableDiv[[GASB]:[GASB]],_xlfn.AGGREGATE(15,3,(TableDiv[[Agency]:[Agency]]=$E853)/(TableDiv[[Agency]:[Agency]]=$E853)*(ROW(TableDiv[Agency])-ROW(TableDiv[[#Headers],[Agency]])),COLUMNS($F$7:AG$7))))</f>
        <v/>
      </c>
      <c r="AH853" s="2223" t="str" cm="1">
        <f t="array" ref="AH853">IF($D853&lt;COLUMNS($F$7:AH$7),"",INDEX(TableDiv[[GASB]:[GASB]],_xlfn.AGGREGATE(15,3,(TableDiv[[Agency]:[Agency]]=$E853)/(TableDiv[[Agency]:[Agency]]=$E853)*(ROW(TableDiv[Agency])-ROW(TableDiv[[#Headers],[Agency]])),COLUMNS($F$7:AH$7))))</f>
        <v/>
      </c>
      <c r="AI853" s="2223" t="str" cm="1">
        <f t="array" ref="AI853">IF($D853&lt;COLUMNS($F$7:AI$7),"",INDEX(TableDiv[[GASB]:[GASB]],_xlfn.AGGREGATE(15,3,(TableDiv[[Agency]:[Agency]]=$E853)/(TableDiv[[Agency]:[Agency]]=$E853)*(ROW(TableDiv[Agency])-ROW(TableDiv[[#Headers],[Agency]])),COLUMNS($F$7:AI$7))))</f>
        <v/>
      </c>
      <c r="AJ853" s="2223" t="str" cm="1">
        <f t="array" ref="AJ853">IF($D853&lt;COLUMNS($F$7:AJ$7),"",INDEX(TableDiv[[GASB]:[GASB]],_xlfn.AGGREGATE(15,3,(TableDiv[[Agency]:[Agency]]=$E853)/(TableDiv[[Agency]:[Agency]]=$E853)*(ROW(TableDiv[Agency])-ROW(TableDiv[[#Headers],[Agency]])),COLUMNS($F$7:AJ$7))))</f>
        <v/>
      </c>
      <c r="AK853" s="2223" t="str" cm="1">
        <f t="array" ref="AK853">IF($D853&lt;COLUMNS($F$7:AK$7),"",INDEX(TableDiv[[GASB]:[GASB]],_xlfn.AGGREGATE(15,3,(TableDiv[[Agency]:[Agency]]=$E853)/(TableDiv[[Agency]:[Agency]]=$E853)*(ROW(TableDiv[Agency])-ROW(TableDiv[[#Headers],[Agency]])),COLUMNS($F$7:AK$7))))</f>
        <v/>
      </c>
      <c r="AL853" s="2223" t="str" cm="1">
        <f t="array" ref="AL853">IF($D853&lt;COLUMNS($F$7:AL$7),"",INDEX(TableDiv[[GASB]:[GASB]],_xlfn.AGGREGATE(15,3,(TableDiv[[Agency]:[Agency]]=$E853)/(TableDiv[[Agency]:[Agency]]=$E853)*(ROW(TableDiv[Agency])-ROW(TableDiv[[#Headers],[Agency]])),COLUMNS($F$7:AL$7))))</f>
        <v/>
      </c>
      <c r="AM853" s="2223" t="str" cm="1">
        <f t="array" ref="AM853">IF($D853&lt;COLUMNS($F$7:AM$7),"",INDEX(TableDiv[[GASB]:[GASB]],_xlfn.AGGREGATE(15,3,(TableDiv[[Agency]:[Agency]]=$E853)/(TableDiv[[Agency]:[Agency]]=$E853)*(ROW(TableDiv[Agency])-ROW(TableDiv[[#Headers],[Agency]])),COLUMNS($F$7:AM$7))))</f>
        <v/>
      </c>
      <c r="AN853" s="2223"/>
      <c r="AO853" s="2223"/>
      <c r="AP853" s="2223"/>
      <c r="AQ853" s="2223"/>
      <c r="AR853" s="2223"/>
      <c r="AS853" s="2223"/>
    </row>
    <row r="854" spans="1:45" x14ac:dyDescent="0.2">
      <c r="A854" s="2223"/>
      <c r="B854" s="2223"/>
      <c r="C854" s="2223"/>
      <c r="W854" s="2223" t="str" cm="1">
        <f t="array" ref="W854">IF($D854&lt;COLUMNS($F$7:W$7),"",INDEX(TableDiv[[GASB]:[GASB]],_xlfn.AGGREGATE(15,3,(TableDiv[[Agency]:[Agency]]=$E854)/(TableDiv[[Agency]:[Agency]]=$E854)*(ROW(TableDiv[Agency])-ROW(TableDiv[[#Headers],[Agency]])),COLUMNS($F$7:W$7))))</f>
        <v/>
      </c>
      <c r="X854" s="2223" t="str" cm="1">
        <f t="array" ref="X854">IF($D854&lt;COLUMNS($F$7:X$7),"",INDEX(TableDiv[[GASB]:[GASB]],_xlfn.AGGREGATE(15,3,(TableDiv[[Agency]:[Agency]]=$E854)/(TableDiv[[Agency]:[Agency]]=$E854)*(ROW(TableDiv[Agency])-ROW(TableDiv[[#Headers],[Agency]])),COLUMNS($F$7:X$7))))</f>
        <v/>
      </c>
      <c r="Y854" s="2223" t="str" cm="1">
        <f t="array" ref="Y854">IF($D854&lt;COLUMNS($F$7:Y$7),"",INDEX(TableDiv[[GASB]:[GASB]],_xlfn.AGGREGATE(15,3,(TableDiv[[Agency]:[Agency]]=$E854)/(TableDiv[[Agency]:[Agency]]=$E854)*(ROW(TableDiv[Agency])-ROW(TableDiv[[#Headers],[Agency]])),COLUMNS($F$7:Y$7))))</f>
        <v/>
      </c>
      <c r="Z854" s="2223" t="str" cm="1">
        <f t="array" ref="Z854">IF($D854&lt;COLUMNS($F$7:Z$7),"",INDEX(TableDiv[[GASB]:[GASB]],_xlfn.AGGREGATE(15,3,(TableDiv[[Agency]:[Agency]]=$E854)/(TableDiv[[Agency]:[Agency]]=$E854)*(ROW(TableDiv[Agency])-ROW(TableDiv[[#Headers],[Agency]])),COLUMNS($F$7:Z$7))))</f>
        <v/>
      </c>
      <c r="AA854" s="2223" t="str" cm="1">
        <f t="array" ref="AA854">IF($D854&lt;COLUMNS($F$7:AA$7),"",INDEX(TableDiv[[GASB]:[GASB]],_xlfn.AGGREGATE(15,3,(TableDiv[[Agency]:[Agency]]=$E854)/(TableDiv[[Agency]:[Agency]]=$E854)*(ROW(TableDiv[Agency])-ROW(TableDiv[[#Headers],[Agency]])),COLUMNS($F$7:AA$7))))</f>
        <v/>
      </c>
      <c r="AB854" s="2223" t="str" cm="1">
        <f t="array" ref="AB854">IF($D854&lt;COLUMNS($F$7:AB$7),"",INDEX(TableDiv[[GASB]:[GASB]],_xlfn.AGGREGATE(15,3,(TableDiv[[Agency]:[Agency]]=$E854)/(TableDiv[[Agency]:[Agency]]=$E854)*(ROW(TableDiv[Agency])-ROW(TableDiv[[#Headers],[Agency]])),COLUMNS($F$7:AB$7))))</f>
        <v/>
      </c>
      <c r="AC854" s="2223" t="str" cm="1">
        <f t="array" ref="AC854">IF($D854&lt;COLUMNS($F$7:AC$7),"",INDEX(TableDiv[[GASB]:[GASB]],_xlfn.AGGREGATE(15,3,(TableDiv[[Agency]:[Agency]]=$E854)/(TableDiv[[Agency]:[Agency]]=$E854)*(ROW(TableDiv[Agency])-ROW(TableDiv[[#Headers],[Agency]])),COLUMNS($F$7:AC$7))))</f>
        <v/>
      </c>
      <c r="AD854" s="2223" t="str" cm="1">
        <f t="array" ref="AD854">IF($D854&lt;COLUMNS($F$7:AD$7),"",INDEX(TableDiv[[GASB]:[GASB]],_xlfn.AGGREGATE(15,3,(TableDiv[[Agency]:[Agency]]=$E854)/(TableDiv[[Agency]:[Agency]]=$E854)*(ROW(TableDiv[Agency])-ROW(TableDiv[[#Headers],[Agency]])),COLUMNS($F$7:AD$7))))</f>
        <v/>
      </c>
      <c r="AE854" s="2223" t="str" cm="1">
        <f t="array" ref="AE854">IF($D854&lt;COLUMNS($F$7:AE$7),"",INDEX(TableDiv[[GASB]:[GASB]],_xlfn.AGGREGATE(15,3,(TableDiv[[Agency]:[Agency]]=$E854)/(TableDiv[[Agency]:[Agency]]=$E854)*(ROW(TableDiv[Agency])-ROW(TableDiv[[#Headers],[Agency]])),COLUMNS($F$7:AE$7))))</f>
        <v/>
      </c>
      <c r="AF854" s="2223" t="str" cm="1">
        <f t="array" ref="AF854">IF($D854&lt;COLUMNS($F$7:AF$7),"",INDEX(TableDiv[[GASB]:[GASB]],_xlfn.AGGREGATE(15,3,(TableDiv[[Agency]:[Agency]]=$E854)/(TableDiv[[Agency]:[Agency]]=$E854)*(ROW(TableDiv[Agency])-ROW(TableDiv[[#Headers],[Agency]])),COLUMNS($F$7:AF$7))))</f>
        <v/>
      </c>
      <c r="AG854" s="2223" t="str" cm="1">
        <f t="array" ref="AG854">IF($D854&lt;COLUMNS($F$7:AG$7),"",INDEX(TableDiv[[GASB]:[GASB]],_xlfn.AGGREGATE(15,3,(TableDiv[[Agency]:[Agency]]=$E854)/(TableDiv[[Agency]:[Agency]]=$E854)*(ROW(TableDiv[Agency])-ROW(TableDiv[[#Headers],[Agency]])),COLUMNS($F$7:AG$7))))</f>
        <v/>
      </c>
      <c r="AH854" s="2223" t="str" cm="1">
        <f t="array" ref="AH854">IF($D854&lt;COLUMNS($F$7:AH$7),"",INDEX(TableDiv[[GASB]:[GASB]],_xlfn.AGGREGATE(15,3,(TableDiv[[Agency]:[Agency]]=$E854)/(TableDiv[[Agency]:[Agency]]=$E854)*(ROW(TableDiv[Agency])-ROW(TableDiv[[#Headers],[Agency]])),COLUMNS($F$7:AH$7))))</f>
        <v/>
      </c>
      <c r="AI854" s="2223" t="str" cm="1">
        <f t="array" ref="AI854">IF($D854&lt;COLUMNS($F$7:AI$7),"",INDEX(TableDiv[[GASB]:[GASB]],_xlfn.AGGREGATE(15,3,(TableDiv[[Agency]:[Agency]]=$E854)/(TableDiv[[Agency]:[Agency]]=$E854)*(ROW(TableDiv[Agency])-ROW(TableDiv[[#Headers],[Agency]])),COLUMNS($F$7:AI$7))))</f>
        <v/>
      </c>
      <c r="AJ854" s="2223" t="str" cm="1">
        <f t="array" ref="AJ854">IF($D854&lt;COLUMNS($F$7:AJ$7),"",INDEX(TableDiv[[GASB]:[GASB]],_xlfn.AGGREGATE(15,3,(TableDiv[[Agency]:[Agency]]=$E854)/(TableDiv[[Agency]:[Agency]]=$E854)*(ROW(TableDiv[Agency])-ROW(TableDiv[[#Headers],[Agency]])),COLUMNS($F$7:AJ$7))))</f>
        <v/>
      </c>
      <c r="AK854" s="2223" t="str" cm="1">
        <f t="array" ref="AK854">IF($D854&lt;COLUMNS($F$7:AK$7),"",INDEX(TableDiv[[GASB]:[GASB]],_xlfn.AGGREGATE(15,3,(TableDiv[[Agency]:[Agency]]=$E854)/(TableDiv[[Agency]:[Agency]]=$E854)*(ROW(TableDiv[Agency])-ROW(TableDiv[[#Headers],[Agency]])),COLUMNS($F$7:AK$7))))</f>
        <v/>
      </c>
      <c r="AL854" s="2223" t="str" cm="1">
        <f t="array" ref="AL854">IF($D854&lt;COLUMNS($F$7:AL$7),"",INDEX(TableDiv[[GASB]:[GASB]],_xlfn.AGGREGATE(15,3,(TableDiv[[Agency]:[Agency]]=$E854)/(TableDiv[[Agency]:[Agency]]=$E854)*(ROW(TableDiv[Agency])-ROW(TableDiv[[#Headers],[Agency]])),COLUMNS($F$7:AL$7))))</f>
        <v/>
      </c>
      <c r="AM854" s="2223" t="str" cm="1">
        <f t="array" ref="AM854">IF($D854&lt;COLUMNS($F$7:AM$7),"",INDEX(TableDiv[[GASB]:[GASB]],_xlfn.AGGREGATE(15,3,(TableDiv[[Agency]:[Agency]]=$E854)/(TableDiv[[Agency]:[Agency]]=$E854)*(ROW(TableDiv[Agency])-ROW(TableDiv[[#Headers],[Agency]])),COLUMNS($F$7:AM$7))))</f>
        <v/>
      </c>
      <c r="AN854" s="2223"/>
      <c r="AO854" s="2223"/>
      <c r="AP854" s="2223"/>
      <c r="AQ854" s="2223"/>
      <c r="AR854" s="2223"/>
      <c r="AS854" s="2223"/>
    </row>
    <row r="855" spans="1:45" x14ac:dyDescent="0.2">
      <c r="A855" s="2223"/>
      <c r="B855" s="2223"/>
      <c r="C855" s="2223"/>
      <c r="W855" s="2223" t="str" cm="1">
        <f t="array" ref="W855">IF($D855&lt;COLUMNS($F$7:W$7),"",INDEX(TableDiv[[GASB]:[GASB]],_xlfn.AGGREGATE(15,3,(TableDiv[[Agency]:[Agency]]=$E855)/(TableDiv[[Agency]:[Agency]]=$E855)*(ROW(TableDiv[Agency])-ROW(TableDiv[[#Headers],[Agency]])),COLUMNS($F$7:W$7))))</f>
        <v/>
      </c>
      <c r="X855" s="2223" t="str" cm="1">
        <f t="array" ref="X855">IF($D855&lt;COLUMNS($F$7:X$7),"",INDEX(TableDiv[[GASB]:[GASB]],_xlfn.AGGREGATE(15,3,(TableDiv[[Agency]:[Agency]]=$E855)/(TableDiv[[Agency]:[Agency]]=$E855)*(ROW(TableDiv[Agency])-ROW(TableDiv[[#Headers],[Agency]])),COLUMNS($F$7:X$7))))</f>
        <v/>
      </c>
      <c r="Y855" s="2223" t="str" cm="1">
        <f t="array" ref="Y855">IF($D855&lt;COLUMNS($F$7:Y$7),"",INDEX(TableDiv[[GASB]:[GASB]],_xlfn.AGGREGATE(15,3,(TableDiv[[Agency]:[Agency]]=$E855)/(TableDiv[[Agency]:[Agency]]=$E855)*(ROW(TableDiv[Agency])-ROW(TableDiv[[#Headers],[Agency]])),COLUMNS($F$7:Y$7))))</f>
        <v/>
      </c>
      <c r="Z855" s="2223" t="str" cm="1">
        <f t="array" ref="Z855">IF($D855&lt;COLUMNS($F$7:Z$7),"",INDEX(TableDiv[[GASB]:[GASB]],_xlfn.AGGREGATE(15,3,(TableDiv[[Agency]:[Agency]]=$E855)/(TableDiv[[Agency]:[Agency]]=$E855)*(ROW(TableDiv[Agency])-ROW(TableDiv[[#Headers],[Agency]])),COLUMNS($F$7:Z$7))))</f>
        <v/>
      </c>
      <c r="AA855" s="2223" t="str" cm="1">
        <f t="array" ref="AA855">IF($D855&lt;COLUMNS($F$7:AA$7),"",INDEX(TableDiv[[GASB]:[GASB]],_xlfn.AGGREGATE(15,3,(TableDiv[[Agency]:[Agency]]=$E855)/(TableDiv[[Agency]:[Agency]]=$E855)*(ROW(TableDiv[Agency])-ROW(TableDiv[[#Headers],[Agency]])),COLUMNS($F$7:AA$7))))</f>
        <v/>
      </c>
      <c r="AB855" s="2223" t="str" cm="1">
        <f t="array" ref="AB855">IF($D855&lt;COLUMNS($F$7:AB$7),"",INDEX(TableDiv[[GASB]:[GASB]],_xlfn.AGGREGATE(15,3,(TableDiv[[Agency]:[Agency]]=$E855)/(TableDiv[[Agency]:[Agency]]=$E855)*(ROW(TableDiv[Agency])-ROW(TableDiv[[#Headers],[Agency]])),COLUMNS($F$7:AB$7))))</f>
        <v/>
      </c>
      <c r="AC855" s="2223" t="str" cm="1">
        <f t="array" ref="AC855">IF($D855&lt;COLUMNS($F$7:AC$7),"",INDEX(TableDiv[[GASB]:[GASB]],_xlfn.AGGREGATE(15,3,(TableDiv[[Agency]:[Agency]]=$E855)/(TableDiv[[Agency]:[Agency]]=$E855)*(ROW(TableDiv[Agency])-ROW(TableDiv[[#Headers],[Agency]])),COLUMNS($F$7:AC$7))))</f>
        <v/>
      </c>
      <c r="AD855" s="2223" t="str" cm="1">
        <f t="array" ref="AD855">IF($D855&lt;COLUMNS($F$7:AD$7),"",INDEX(TableDiv[[GASB]:[GASB]],_xlfn.AGGREGATE(15,3,(TableDiv[[Agency]:[Agency]]=$E855)/(TableDiv[[Agency]:[Agency]]=$E855)*(ROW(TableDiv[Agency])-ROW(TableDiv[[#Headers],[Agency]])),COLUMNS($F$7:AD$7))))</f>
        <v/>
      </c>
      <c r="AE855" s="2223" t="str" cm="1">
        <f t="array" ref="AE855">IF($D855&lt;COLUMNS($F$7:AE$7),"",INDEX(TableDiv[[GASB]:[GASB]],_xlfn.AGGREGATE(15,3,(TableDiv[[Agency]:[Agency]]=$E855)/(TableDiv[[Agency]:[Agency]]=$E855)*(ROW(TableDiv[Agency])-ROW(TableDiv[[#Headers],[Agency]])),COLUMNS($F$7:AE$7))))</f>
        <v/>
      </c>
      <c r="AF855" s="2223" t="str" cm="1">
        <f t="array" ref="AF855">IF($D855&lt;COLUMNS($F$7:AF$7),"",INDEX(TableDiv[[GASB]:[GASB]],_xlfn.AGGREGATE(15,3,(TableDiv[[Agency]:[Agency]]=$E855)/(TableDiv[[Agency]:[Agency]]=$E855)*(ROW(TableDiv[Agency])-ROW(TableDiv[[#Headers],[Agency]])),COLUMNS($F$7:AF$7))))</f>
        <v/>
      </c>
      <c r="AG855" s="2223" t="str" cm="1">
        <f t="array" ref="AG855">IF($D855&lt;COLUMNS($F$7:AG$7),"",INDEX(TableDiv[[GASB]:[GASB]],_xlfn.AGGREGATE(15,3,(TableDiv[[Agency]:[Agency]]=$E855)/(TableDiv[[Agency]:[Agency]]=$E855)*(ROW(TableDiv[Agency])-ROW(TableDiv[[#Headers],[Agency]])),COLUMNS($F$7:AG$7))))</f>
        <v/>
      </c>
      <c r="AH855" s="2223" t="str" cm="1">
        <f t="array" ref="AH855">IF($D855&lt;COLUMNS($F$7:AH$7),"",INDEX(TableDiv[[GASB]:[GASB]],_xlfn.AGGREGATE(15,3,(TableDiv[[Agency]:[Agency]]=$E855)/(TableDiv[[Agency]:[Agency]]=$E855)*(ROW(TableDiv[Agency])-ROW(TableDiv[[#Headers],[Agency]])),COLUMNS($F$7:AH$7))))</f>
        <v/>
      </c>
      <c r="AI855" s="2223" t="str" cm="1">
        <f t="array" ref="AI855">IF($D855&lt;COLUMNS($F$7:AI$7),"",INDEX(TableDiv[[GASB]:[GASB]],_xlfn.AGGREGATE(15,3,(TableDiv[[Agency]:[Agency]]=$E855)/(TableDiv[[Agency]:[Agency]]=$E855)*(ROW(TableDiv[Agency])-ROW(TableDiv[[#Headers],[Agency]])),COLUMNS($F$7:AI$7))))</f>
        <v/>
      </c>
      <c r="AJ855" s="2223" t="str" cm="1">
        <f t="array" ref="AJ855">IF($D855&lt;COLUMNS($F$7:AJ$7),"",INDEX(TableDiv[[GASB]:[GASB]],_xlfn.AGGREGATE(15,3,(TableDiv[[Agency]:[Agency]]=$E855)/(TableDiv[[Agency]:[Agency]]=$E855)*(ROW(TableDiv[Agency])-ROW(TableDiv[[#Headers],[Agency]])),COLUMNS($F$7:AJ$7))))</f>
        <v/>
      </c>
      <c r="AK855" s="2223" t="str" cm="1">
        <f t="array" ref="AK855">IF($D855&lt;COLUMNS($F$7:AK$7),"",INDEX(TableDiv[[GASB]:[GASB]],_xlfn.AGGREGATE(15,3,(TableDiv[[Agency]:[Agency]]=$E855)/(TableDiv[[Agency]:[Agency]]=$E855)*(ROW(TableDiv[Agency])-ROW(TableDiv[[#Headers],[Agency]])),COLUMNS($F$7:AK$7))))</f>
        <v/>
      </c>
      <c r="AL855" s="2223" t="str" cm="1">
        <f t="array" ref="AL855">IF($D855&lt;COLUMNS($F$7:AL$7),"",INDEX(TableDiv[[GASB]:[GASB]],_xlfn.AGGREGATE(15,3,(TableDiv[[Agency]:[Agency]]=$E855)/(TableDiv[[Agency]:[Agency]]=$E855)*(ROW(TableDiv[Agency])-ROW(TableDiv[[#Headers],[Agency]])),COLUMNS($F$7:AL$7))))</f>
        <v/>
      </c>
      <c r="AM855" s="2223" t="str" cm="1">
        <f t="array" ref="AM855">IF($D855&lt;COLUMNS($F$7:AM$7),"",INDEX(TableDiv[[GASB]:[GASB]],_xlfn.AGGREGATE(15,3,(TableDiv[[Agency]:[Agency]]=$E855)/(TableDiv[[Agency]:[Agency]]=$E855)*(ROW(TableDiv[Agency])-ROW(TableDiv[[#Headers],[Agency]])),COLUMNS($F$7:AM$7))))</f>
        <v/>
      </c>
      <c r="AN855" s="2223"/>
      <c r="AO855" s="2223"/>
      <c r="AP855" s="2223"/>
      <c r="AQ855" s="2223"/>
      <c r="AR855" s="2223"/>
      <c r="AS855" s="2223"/>
    </row>
    <row r="856" spans="1:45" x14ac:dyDescent="0.2">
      <c r="A856" s="2223"/>
      <c r="B856" s="2223"/>
      <c r="C856" s="2223"/>
      <c r="W856" s="2223" t="str" cm="1">
        <f t="array" ref="W856">IF($D856&lt;COLUMNS($F$7:W$7),"",INDEX(TableDiv[[GASB]:[GASB]],_xlfn.AGGREGATE(15,3,(TableDiv[[Agency]:[Agency]]=$E856)/(TableDiv[[Agency]:[Agency]]=$E856)*(ROW(TableDiv[Agency])-ROW(TableDiv[[#Headers],[Agency]])),COLUMNS($F$7:W$7))))</f>
        <v/>
      </c>
      <c r="X856" s="2223" t="str" cm="1">
        <f t="array" ref="X856">IF($D856&lt;COLUMNS($F$7:X$7),"",INDEX(TableDiv[[GASB]:[GASB]],_xlfn.AGGREGATE(15,3,(TableDiv[[Agency]:[Agency]]=$E856)/(TableDiv[[Agency]:[Agency]]=$E856)*(ROW(TableDiv[Agency])-ROW(TableDiv[[#Headers],[Agency]])),COLUMNS($F$7:X$7))))</f>
        <v/>
      </c>
      <c r="Y856" s="2223" t="str" cm="1">
        <f t="array" ref="Y856">IF($D856&lt;COLUMNS($F$7:Y$7),"",INDEX(TableDiv[[GASB]:[GASB]],_xlfn.AGGREGATE(15,3,(TableDiv[[Agency]:[Agency]]=$E856)/(TableDiv[[Agency]:[Agency]]=$E856)*(ROW(TableDiv[Agency])-ROW(TableDiv[[#Headers],[Agency]])),COLUMNS($F$7:Y$7))))</f>
        <v/>
      </c>
      <c r="Z856" s="2223" t="str" cm="1">
        <f t="array" ref="Z856">IF($D856&lt;COLUMNS($F$7:Z$7),"",INDEX(TableDiv[[GASB]:[GASB]],_xlfn.AGGREGATE(15,3,(TableDiv[[Agency]:[Agency]]=$E856)/(TableDiv[[Agency]:[Agency]]=$E856)*(ROW(TableDiv[Agency])-ROW(TableDiv[[#Headers],[Agency]])),COLUMNS($F$7:Z$7))))</f>
        <v/>
      </c>
      <c r="AA856" s="2223" t="str" cm="1">
        <f t="array" ref="AA856">IF($D856&lt;COLUMNS($F$7:AA$7),"",INDEX(TableDiv[[GASB]:[GASB]],_xlfn.AGGREGATE(15,3,(TableDiv[[Agency]:[Agency]]=$E856)/(TableDiv[[Agency]:[Agency]]=$E856)*(ROW(TableDiv[Agency])-ROW(TableDiv[[#Headers],[Agency]])),COLUMNS($F$7:AA$7))))</f>
        <v/>
      </c>
      <c r="AB856" s="2223" t="str" cm="1">
        <f t="array" ref="AB856">IF($D856&lt;COLUMNS($F$7:AB$7),"",INDEX(TableDiv[[GASB]:[GASB]],_xlfn.AGGREGATE(15,3,(TableDiv[[Agency]:[Agency]]=$E856)/(TableDiv[[Agency]:[Agency]]=$E856)*(ROW(TableDiv[Agency])-ROW(TableDiv[[#Headers],[Agency]])),COLUMNS($F$7:AB$7))))</f>
        <v/>
      </c>
      <c r="AC856" s="2223" t="str" cm="1">
        <f t="array" ref="AC856">IF($D856&lt;COLUMNS($F$7:AC$7),"",INDEX(TableDiv[[GASB]:[GASB]],_xlfn.AGGREGATE(15,3,(TableDiv[[Agency]:[Agency]]=$E856)/(TableDiv[[Agency]:[Agency]]=$E856)*(ROW(TableDiv[Agency])-ROW(TableDiv[[#Headers],[Agency]])),COLUMNS($F$7:AC$7))))</f>
        <v/>
      </c>
      <c r="AD856" s="2223" t="str" cm="1">
        <f t="array" ref="AD856">IF($D856&lt;COLUMNS($F$7:AD$7),"",INDEX(TableDiv[[GASB]:[GASB]],_xlfn.AGGREGATE(15,3,(TableDiv[[Agency]:[Agency]]=$E856)/(TableDiv[[Agency]:[Agency]]=$E856)*(ROW(TableDiv[Agency])-ROW(TableDiv[[#Headers],[Agency]])),COLUMNS($F$7:AD$7))))</f>
        <v/>
      </c>
      <c r="AE856" s="2223" t="str" cm="1">
        <f t="array" ref="AE856">IF($D856&lt;COLUMNS($F$7:AE$7),"",INDEX(TableDiv[[GASB]:[GASB]],_xlfn.AGGREGATE(15,3,(TableDiv[[Agency]:[Agency]]=$E856)/(TableDiv[[Agency]:[Agency]]=$E856)*(ROW(TableDiv[Agency])-ROW(TableDiv[[#Headers],[Agency]])),COLUMNS($F$7:AE$7))))</f>
        <v/>
      </c>
      <c r="AF856" s="2223" t="str" cm="1">
        <f t="array" ref="AF856">IF($D856&lt;COLUMNS($F$7:AF$7),"",INDEX(TableDiv[[GASB]:[GASB]],_xlfn.AGGREGATE(15,3,(TableDiv[[Agency]:[Agency]]=$E856)/(TableDiv[[Agency]:[Agency]]=$E856)*(ROW(TableDiv[Agency])-ROW(TableDiv[[#Headers],[Agency]])),COLUMNS($F$7:AF$7))))</f>
        <v/>
      </c>
      <c r="AG856" s="2223" t="str" cm="1">
        <f t="array" ref="AG856">IF($D856&lt;COLUMNS($F$7:AG$7),"",INDEX(TableDiv[[GASB]:[GASB]],_xlfn.AGGREGATE(15,3,(TableDiv[[Agency]:[Agency]]=$E856)/(TableDiv[[Agency]:[Agency]]=$E856)*(ROW(TableDiv[Agency])-ROW(TableDiv[[#Headers],[Agency]])),COLUMNS($F$7:AG$7))))</f>
        <v/>
      </c>
      <c r="AH856" s="2223" t="str" cm="1">
        <f t="array" ref="AH856">IF($D856&lt;COLUMNS($F$7:AH$7),"",INDEX(TableDiv[[GASB]:[GASB]],_xlfn.AGGREGATE(15,3,(TableDiv[[Agency]:[Agency]]=$E856)/(TableDiv[[Agency]:[Agency]]=$E856)*(ROW(TableDiv[Agency])-ROW(TableDiv[[#Headers],[Agency]])),COLUMNS($F$7:AH$7))))</f>
        <v/>
      </c>
      <c r="AI856" s="2223" t="str" cm="1">
        <f t="array" ref="AI856">IF($D856&lt;COLUMNS($F$7:AI$7),"",INDEX(TableDiv[[GASB]:[GASB]],_xlfn.AGGREGATE(15,3,(TableDiv[[Agency]:[Agency]]=$E856)/(TableDiv[[Agency]:[Agency]]=$E856)*(ROW(TableDiv[Agency])-ROW(TableDiv[[#Headers],[Agency]])),COLUMNS($F$7:AI$7))))</f>
        <v/>
      </c>
      <c r="AJ856" s="2223" t="str" cm="1">
        <f t="array" ref="AJ856">IF($D856&lt;COLUMNS($F$7:AJ$7),"",INDEX(TableDiv[[GASB]:[GASB]],_xlfn.AGGREGATE(15,3,(TableDiv[[Agency]:[Agency]]=$E856)/(TableDiv[[Agency]:[Agency]]=$E856)*(ROW(TableDiv[Agency])-ROW(TableDiv[[#Headers],[Agency]])),COLUMNS($F$7:AJ$7))))</f>
        <v/>
      </c>
      <c r="AK856" s="2223" t="str" cm="1">
        <f t="array" ref="AK856">IF($D856&lt;COLUMNS($F$7:AK$7),"",INDEX(TableDiv[[GASB]:[GASB]],_xlfn.AGGREGATE(15,3,(TableDiv[[Agency]:[Agency]]=$E856)/(TableDiv[[Agency]:[Agency]]=$E856)*(ROW(TableDiv[Agency])-ROW(TableDiv[[#Headers],[Agency]])),COLUMNS($F$7:AK$7))))</f>
        <v/>
      </c>
      <c r="AL856" s="2223" t="str" cm="1">
        <f t="array" ref="AL856">IF($D856&lt;COLUMNS($F$7:AL$7),"",INDEX(TableDiv[[GASB]:[GASB]],_xlfn.AGGREGATE(15,3,(TableDiv[[Agency]:[Agency]]=$E856)/(TableDiv[[Agency]:[Agency]]=$E856)*(ROW(TableDiv[Agency])-ROW(TableDiv[[#Headers],[Agency]])),COLUMNS($F$7:AL$7))))</f>
        <v/>
      </c>
      <c r="AM856" s="2223" t="str" cm="1">
        <f t="array" ref="AM856">IF($D856&lt;COLUMNS($F$7:AM$7),"",INDEX(TableDiv[[GASB]:[GASB]],_xlfn.AGGREGATE(15,3,(TableDiv[[Agency]:[Agency]]=$E856)/(TableDiv[[Agency]:[Agency]]=$E856)*(ROW(TableDiv[Agency])-ROW(TableDiv[[#Headers],[Agency]])),COLUMNS($F$7:AM$7))))</f>
        <v/>
      </c>
      <c r="AN856" s="2223"/>
      <c r="AO856" s="2223"/>
      <c r="AP856" s="2223"/>
      <c r="AQ856" s="2223"/>
      <c r="AR856" s="2223"/>
      <c r="AS856" s="2223"/>
    </row>
    <row r="857" spans="1:45" x14ac:dyDescent="0.2">
      <c r="A857" s="2223"/>
      <c r="B857" s="2223"/>
      <c r="C857" s="2223"/>
      <c r="W857" s="2223" t="str" cm="1">
        <f t="array" ref="W857">IF($D857&lt;COLUMNS($F$7:W$7),"",INDEX(TableDiv[[GASB]:[GASB]],_xlfn.AGGREGATE(15,3,(TableDiv[[Agency]:[Agency]]=$E857)/(TableDiv[[Agency]:[Agency]]=$E857)*(ROW(TableDiv[Agency])-ROW(TableDiv[[#Headers],[Agency]])),COLUMNS($F$7:W$7))))</f>
        <v/>
      </c>
      <c r="X857" s="2223" t="str" cm="1">
        <f t="array" ref="X857">IF($D857&lt;COLUMNS($F$7:X$7),"",INDEX(TableDiv[[GASB]:[GASB]],_xlfn.AGGREGATE(15,3,(TableDiv[[Agency]:[Agency]]=$E857)/(TableDiv[[Agency]:[Agency]]=$E857)*(ROW(TableDiv[Agency])-ROW(TableDiv[[#Headers],[Agency]])),COLUMNS($F$7:X$7))))</f>
        <v/>
      </c>
      <c r="Y857" s="2223" t="str" cm="1">
        <f t="array" ref="Y857">IF($D857&lt;COLUMNS($F$7:Y$7),"",INDEX(TableDiv[[GASB]:[GASB]],_xlfn.AGGREGATE(15,3,(TableDiv[[Agency]:[Agency]]=$E857)/(TableDiv[[Agency]:[Agency]]=$E857)*(ROW(TableDiv[Agency])-ROW(TableDiv[[#Headers],[Agency]])),COLUMNS($F$7:Y$7))))</f>
        <v/>
      </c>
      <c r="Z857" s="2223" t="str" cm="1">
        <f t="array" ref="Z857">IF($D857&lt;COLUMNS($F$7:Z$7),"",INDEX(TableDiv[[GASB]:[GASB]],_xlfn.AGGREGATE(15,3,(TableDiv[[Agency]:[Agency]]=$E857)/(TableDiv[[Agency]:[Agency]]=$E857)*(ROW(TableDiv[Agency])-ROW(TableDiv[[#Headers],[Agency]])),COLUMNS($F$7:Z$7))))</f>
        <v/>
      </c>
      <c r="AA857" s="2223" t="str" cm="1">
        <f t="array" ref="AA857">IF($D857&lt;COLUMNS($F$7:AA$7),"",INDEX(TableDiv[[GASB]:[GASB]],_xlfn.AGGREGATE(15,3,(TableDiv[[Agency]:[Agency]]=$E857)/(TableDiv[[Agency]:[Agency]]=$E857)*(ROW(TableDiv[Agency])-ROW(TableDiv[[#Headers],[Agency]])),COLUMNS($F$7:AA$7))))</f>
        <v/>
      </c>
      <c r="AB857" s="2223" t="str" cm="1">
        <f t="array" ref="AB857">IF($D857&lt;COLUMNS($F$7:AB$7),"",INDEX(TableDiv[[GASB]:[GASB]],_xlfn.AGGREGATE(15,3,(TableDiv[[Agency]:[Agency]]=$E857)/(TableDiv[[Agency]:[Agency]]=$E857)*(ROW(TableDiv[Agency])-ROW(TableDiv[[#Headers],[Agency]])),COLUMNS($F$7:AB$7))))</f>
        <v/>
      </c>
      <c r="AC857" s="2223" t="str" cm="1">
        <f t="array" ref="AC857">IF($D857&lt;COLUMNS($F$7:AC$7),"",INDEX(TableDiv[[GASB]:[GASB]],_xlfn.AGGREGATE(15,3,(TableDiv[[Agency]:[Agency]]=$E857)/(TableDiv[[Agency]:[Agency]]=$E857)*(ROW(TableDiv[Agency])-ROW(TableDiv[[#Headers],[Agency]])),COLUMNS($F$7:AC$7))))</f>
        <v/>
      </c>
      <c r="AD857" s="2223" t="str" cm="1">
        <f t="array" ref="AD857">IF($D857&lt;COLUMNS($F$7:AD$7),"",INDEX(TableDiv[[GASB]:[GASB]],_xlfn.AGGREGATE(15,3,(TableDiv[[Agency]:[Agency]]=$E857)/(TableDiv[[Agency]:[Agency]]=$E857)*(ROW(TableDiv[Agency])-ROW(TableDiv[[#Headers],[Agency]])),COLUMNS($F$7:AD$7))))</f>
        <v/>
      </c>
      <c r="AE857" s="2223" t="str" cm="1">
        <f t="array" ref="AE857">IF($D857&lt;COLUMNS($F$7:AE$7),"",INDEX(TableDiv[[GASB]:[GASB]],_xlfn.AGGREGATE(15,3,(TableDiv[[Agency]:[Agency]]=$E857)/(TableDiv[[Agency]:[Agency]]=$E857)*(ROW(TableDiv[Agency])-ROW(TableDiv[[#Headers],[Agency]])),COLUMNS($F$7:AE$7))))</f>
        <v/>
      </c>
      <c r="AF857" s="2223" t="str" cm="1">
        <f t="array" ref="AF857">IF($D857&lt;COLUMNS($F$7:AF$7),"",INDEX(TableDiv[[GASB]:[GASB]],_xlfn.AGGREGATE(15,3,(TableDiv[[Agency]:[Agency]]=$E857)/(TableDiv[[Agency]:[Agency]]=$E857)*(ROW(TableDiv[Agency])-ROW(TableDiv[[#Headers],[Agency]])),COLUMNS($F$7:AF$7))))</f>
        <v/>
      </c>
      <c r="AG857" s="2223" t="str" cm="1">
        <f t="array" ref="AG857">IF($D857&lt;COLUMNS($F$7:AG$7),"",INDEX(TableDiv[[GASB]:[GASB]],_xlfn.AGGREGATE(15,3,(TableDiv[[Agency]:[Agency]]=$E857)/(TableDiv[[Agency]:[Agency]]=$E857)*(ROW(TableDiv[Agency])-ROW(TableDiv[[#Headers],[Agency]])),COLUMNS($F$7:AG$7))))</f>
        <v/>
      </c>
      <c r="AH857" s="2223" t="str" cm="1">
        <f t="array" ref="AH857">IF($D857&lt;COLUMNS($F$7:AH$7),"",INDEX(TableDiv[[GASB]:[GASB]],_xlfn.AGGREGATE(15,3,(TableDiv[[Agency]:[Agency]]=$E857)/(TableDiv[[Agency]:[Agency]]=$E857)*(ROW(TableDiv[Agency])-ROW(TableDiv[[#Headers],[Agency]])),COLUMNS($F$7:AH$7))))</f>
        <v/>
      </c>
      <c r="AI857" s="2223" t="str" cm="1">
        <f t="array" ref="AI857">IF($D857&lt;COLUMNS($F$7:AI$7),"",INDEX(TableDiv[[GASB]:[GASB]],_xlfn.AGGREGATE(15,3,(TableDiv[[Agency]:[Agency]]=$E857)/(TableDiv[[Agency]:[Agency]]=$E857)*(ROW(TableDiv[Agency])-ROW(TableDiv[[#Headers],[Agency]])),COLUMNS($F$7:AI$7))))</f>
        <v/>
      </c>
      <c r="AJ857" s="2223" t="str" cm="1">
        <f t="array" ref="AJ857">IF($D857&lt;COLUMNS($F$7:AJ$7),"",INDEX(TableDiv[[GASB]:[GASB]],_xlfn.AGGREGATE(15,3,(TableDiv[[Agency]:[Agency]]=$E857)/(TableDiv[[Agency]:[Agency]]=$E857)*(ROW(TableDiv[Agency])-ROW(TableDiv[[#Headers],[Agency]])),COLUMNS($F$7:AJ$7))))</f>
        <v/>
      </c>
      <c r="AK857" s="2223" t="str" cm="1">
        <f t="array" ref="AK857">IF($D857&lt;COLUMNS($F$7:AK$7),"",INDEX(TableDiv[[GASB]:[GASB]],_xlfn.AGGREGATE(15,3,(TableDiv[[Agency]:[Agency]]=$E857)/(TableDiv[[Agency]:[Agency]]=$E857)*(ROW(TableDiv[Agency])-ROW(TableDiv[[#Headers],[Agency]])),COLUMNS($F$7:AK$7))))</f>
        <v/>
      </c>
      <c r="AL857" s="2223" t="str" cm="1">
        <f t="array" ref="AL857">IF($D857&lt;COLUMNS($F$7:AL$7),"",INDEX(TableDiv[[GASB]:[GASB]],_xlfn.AGGREGATE(15,3,(TableDiv[[Agency]:[Agency]]=$E857)/(TableDiv[[Agency]:[Agency]]=$E857)*(ROW(TableDiv[Agency])-ROW(TableDiv[[#Headers],[Agency]])),COLUMNS($F$7:AL$7))))</f>
        <v/>
      </c>
      <c r="AM857" s="2223" t="str" cm="1">
        <f t="array" ref="AM857">IF($D857&lt;COLUMNS($F$7:AM$7),"",INDEX(TableDiv[[GASB]:[GASB]],_xlfn.AGGREGATE(15,3,(TableDiv[[Agency]:[Agency]]=$E857)/(TableDiv[[Agency]:[Agency]]=$E857)*(ROW(TableDiv[Agency])-ROW(TableDiv[[#Headers],[Agency]])),COLUMNS($F$7:AM$7))))</f>
        <v/>
      </c>
      <c r="AN857" s="2223"/>
      <c r="AO857" s="2223"/>
      <c r="AP857" s="2223"/>
      <c r="AQ857" s="2223"/>
      <c r="AR857" s="2223"/>
      <c r="AS857" s="2223"/>
    </row>
    <row r="858" spans="1:45" x14ac:dyDescent="0.2">
      <c r="A858" s="2223"/>
      <c r="B858" s="2223"/>
      <c r="C858" s="2223"/>
      <c r="W858" s="2223" t="str" cm="1">
        <f t="array" ref="W858">IF($D858&lt;COLUMNS($F$7:W$7),"",INDEX(TableDiv[[GASB]:[GASB]],_xlfn.AGGREGATE(15,3,(TableDiv[[Agency]:[Agency]]=$E858)/(TableDiv[[Agency]:[Agency]]=$E858)*(ROW(TableDiv[Agency])-ROW(TableDiv[[#Headers],[Agency]])),COLUMNS($F$7:W$7))))</f>
        <v/>
      </c>
      <c r="X858" s="2223" t="str" cm="1">
        <f t="array" ref="X858">IF($D858&lt;COLUMNS($F$7:X$7),"",INDEX(TableDiv[[GASB]:[GASB]],_xlfn.AGGREGATE(15,3,(TableDiv[[Agency]:[Agency]]=$E858)/(TableDiv[[Agency]:[Agency]]=$E858)*(ROW(TableDiv[Agency])-ROW(TableDiv[[#Headers],[Agency]])),COLUMNS($F$7:X$7))))</f>
        <v/>
      </c>
      <c r="Y858" s="2223" t="str" cm="1">
        <f t="array" ref="Y858">IF($D858&lt;COLUMNS($F$7:Y$7),"",INDEX(TableDiv[[GASB]:[GASB]],_xlfn.AGGREGATE(15,3,(TableDiv[[Agency]:[Agency]]=$E858)/(TableDiv[[Agency]:[Agency]]=$E858)*(ROW(TableDiv[Agency])-ROW(TableDiv[[#Headers],[Agency]])),COLUMNS($F$7:Y$7))))</f>
        <v/>
      </c>
      <c r="Z858" s="2223" t="str" cm="1">
        <f t="array" ref="Z858">IF($D858&lt;COLUMNS($F$7:Z$7),"",INDEX(TableDiv[[GASB]:[GASB]],_xlfn.AGGREGATE(15,3,(TableDiv[[Agency]:[Agency]]=$E858)/(TableDiv[[Agency]:[Agency]]=$E858)*(ROW(TableDiv[Agency])-ROW(TableDiv[[#Headers],[Agency]])),COLUMNS($F$7:Z$7))))</f>
        <v/>
      </c>
      <c r="AA858" s="2223" t="str" cm="1">
        <f t="array" ref="AA858">IF($D858&lt;COLUMNS($F$7:AA$7),"",INDEX(TableDiv[[GASB]:[GASB]],_xlfn.AGGREGATE(15,3,(TableDiv[[Agency]:[Agency]]=$E858)/(TableDiv[[Agency]:[Agency]]=$E858)*(ROW(TableDiv[Agency])-ROW(TableDiv[[#Headers],[Agency]])),COLUMNS($F$7:AA$7))))</f>
        <v/>
      </c>
      <c r="AB858" s="2223" t="str" cm="1">
        <f t="array" ref="AB858">IF($D858&lt;COLUMNS($F$7:AB$7),"",INDEX(TableDiv[[GASB]:[GASB]],_xlfn.AGGREGATE(15,3,(TableDiv[[Agency]:[Agency]]=$E858)/(TableDiv[[Agency]:[Agency]]=$E858)*(ROW(TableDiv[Agency])-ROW(TableDiv[[#Headers],[Agency]])),COLUMNS($F$7:AB$7))))</f>
        <v/>
      </c>
      <c r="AC858" s="2223" t="str" cm="1">
        <f t="array" ref="AC858">IF($D858&lt;COLUMNS($F$7:AC$7),"",INDEX(TableDiv[[GASB]:[GASB]],_xlfn.AGGREGATE(15,3,(TableDiv[[Agency]:[Agency]]=$E858)/(TableDiv[[Agency]:[Agency]]=$E858)*(ROW(TableDiv[Agency])-ROW(TableDiv[[#Headers],[Agency]])),COLUMNS($F$7:AC$7))))</f>
        <v/>
      </c>
      <c r="AD858" s="2223" t="str" cm="1">
        <f t="array" ref="AD858">IF($D858&lt;COLUMNS($F$7:AD$7),"",INDEX(TableDiv[[GASB]:[GASB]],_xlfn.AGGREGATE(15,3,(TableDiv[[Agency]:[Agency]]=$E858)/(TableDiv[[Agency]:[Agency]]=$E858)*(ROW(TableDiv[Agency])-ROW(TableDiv[[#Headers],[Agency]])),COLUMNS($F$7:AD$7))))</f>
        <v/>
      </c>
      <c r="AE858" s="2223" t="str" cm="1">
        <f t="array" ref="AE858">IF($D858&lt;COLUMNS($F$7:AE$7),"",INDEX(TableDiv[[GASB]:[GASB]],_xlfn.AGGREGATE(15,3,(TableDiv[[Agency]:[Agency]]=$E858)/(TableDiv[[Agency]:[Agency]]=$E858)*(ROW(TableDiv[Agency])-ROW(TableDiv[[#Headers],[Agency]])),COLUMNS($F$7:AE$7))))</f>
        <v/>
      </c>
      <c r="AF858" s="2223" t="str" cm="1">
        <f t="array" ref="AF858">IF($D858&lt;COLUMNS($F$7:AF$7),"",INDEX(TableDiv[[GASB]:[GASB]],_xlfn.AGGREGATE(15,3,(TableDiv[[Agency]:[Agency]]=$E858)/(TableDiv[[Agency]:[Agency]]=$E858)*(ROW(TableDiv[Agency])-ROW(TableDiv[[#Headers],[Agency]])),COLUMNS($F$7:AF$7))))</f>
        <v/>
      </c>
      <c r="AG858" s="2223" t="str" cm="1">
        <f t="array" ref="AG858">IF($D858&lt;COLUMNS($F$7:AG$7),"",INDEX(TableDiv[[GASB]:[GASB]],_xlfn.AGGREGATE(15,3,(TableDiv[[Agency]:[Agency]]=$E858)/(TableDiv[[Agency]:[Agency]]=$E858)*(ROW(TableDiv[Agency])-ROW(TableDiv[[#Headers],[Agency]])),COLUMNS($F$7:AG$7))))</f>
        <v/>
      </c>
      <c r="AH858" s="2223" t="str" cm="1">
        <f t="array" ref="AH858">IF($D858&lt;COLUMNS($F$7:AH$7),"",INDEX(TableDiv[[GASB]:[GASB]],_xlfn.AGGREGATE(15,3,(TableDiv[[Agency]:[Agency]]=$E858)/(TableDiv[[Agency]:[Agency]]=$E858)*(ROW(TableDiv[Agency])-ROW(TableDiv[[#Headers],[Agency]])),COLUMNS($F$7:AH$7))))</f>
        <v/>
      </c>
      <c r="AI858" s="2223" t="str" cm="1">
        <f t="array" ref="AI858">IF($D858&lt;COLUMNS($F$7:AI$7),"",INDEX(TableDiv[[GASB]:[GASB]],_xlfn.AGGREGATE(15,3,(TableDiv[[Agency]:[Agency]]=$E858)/(TableDiv[[Agency]:[Agency]]=$E858)*(ROW(TableDiv[Agency])-ROW(TableDiv[[#Headers],[Agency]])),COLUMNS($F$7:AI$7))))</f>
        <v/>
      </c>
      <c r="AJ858" s="2223" t="str" cm="1">
        <f t="array" ref="AJ858">IF($D858&lt;COLUMNS($F$7:AJ$7),"",INDEX(TableDiv[[GASB]:[GASB]],_xlfn.AGGREGATE(15,3,(TableDiv[[Agency]:[Agency]]=$E858)/(TableDiv[[Agency]:[Agency]]=$E858)*(ROW(TableDiv[Agency])-ROW(TableDiv[[#Headers],[Agency]])),COLUMNS($F$7:AJ$7))))</f>
        <v/>
      </c>
      <c r="AK858" s="2223" t="str" cm="1">
        <f t="array" ref="AK858">IF($D858&lt;COLUMNS($F$7:AK$7),"",INDEX(TableDiv[[GASB]:[GASB]],_xlfn.AGGREGATE(15,3,(TableDiv[[Agency]:[Agency]]=$E858)/(TableDiv[[Agency]:[Agency]]=$E858)*(ROW(TableDiv[Agency])-ROW(TableDiv[[#Headers],[Agency]])),COLUMNS($F$7:AK$7))))</f>
        <v/>
      </c>
      <c r="AL858" s="2223" t="str" cm="1">
        <f t="array" ref="AL858">IF($D858&lt;COLUMNS($F$7:AL$7),"",INDEX(TableDiv[[GASB]:[GASB]],_xlfn.AGGREGATE(15,3,(TableDiv[[Agency]:[Agency]]=$E858)/(TableDiv[[Agency]:[Agency]]=$E858)*(ROW(TableDiv[Agency])-ROW(TableDiv[[#Headers],[Agency]])),COLUMNS($F$7:AL$7))))</f>
        <v/>
      </c>
      <c r="AM858" s="2223" t="str" cm="1">
        <f t="array" ref="AM858">IF($D858&lt;COLUMNS($F$7:AM$7),"",INDEX(TableDiv[[GASB]:[GASB]],_xlfn.AGGREGATE(15,3,(TableDiv[[Agency]:[Agency]]=$E858)/(TableDiv[[Agency]:[Agency]]=$E858)*(ROW(TableDiv[Agency])-ROW(TableDiv[[#Headers],[Agency]])),COLUMNS($F$7:AM$7))))</f>
        <v/>
      </c>
      <c r="AN858" s="2223"/>
      <c r="AO858" s="2223"/>
      <c r="AP858" s="2223"/>
      <c r="AQ858" s="2223"/>
      <c r="AR858" s="2223"/>
      <c r="AS858" s="2223"/>
    </row>
    <row r="859" spans="1:45" x14ac:dyDescent="0.2">
      <c r="A859" s="2223"/>
      <c r="B859" s="2223"/>
      <c r="C859" s="2223"/>
      <c r="W859" s="2223" t="str" cm="1">
        <f t="array" ref="W859">IF($D859&lt;COLUMNS($F$7:W$7),"",INDEX(TableDiv[[GASB]:[GASB]],_xlfn.AGGREGATE(15,3,(TableDiv[[Agency]:[Agency]]=$E859)/(TableDiv[[Agency]:[Agency]]=$E859)*(ROW(TableDiv[Agency])-ROW(TableDiv[[#Headers],[Agency]])),COLUMNS($F$7:W$7))))</f>
        <v/>
      </c>
      <c r="X859" s="2223" t="str" cm="1">
        <f t="array" ref="X859">IF($D859&lt;COLUMNS($F$7:X$7),"",INDEX(TableDiv[[GASB]:[GASB]],_xlfn.AGGREGATE(15,3,(TableDiv[[Agency]:[Agency]]=$E859)/(TableDiv[[Agency]:[Agency]]=$E859)*(ROW(TableDiv[Agency])-ROW(TableDiv[[#Headers],[Agency]])),COLUMNS($F$7:X$7))))</f>
        <v/>
      </c>
      <c r="Y859" s="2223" t="str" cm="1">
        <f t="array" ref="Y859">IF($D859&lt;COLUMNS($F$7:Y$7),"",INDEX(TableDiv[[GASB]:[GASB]],_xlfn.AGGREGATE(15,3,(TableDiv[[Agency]:[Agency]]=$E859)/(TableDiv[[Agency]:[Agency]]=$E859)*(ROW(TableDiv[Agency])-ROW(TableDiv[[#Headers],[Agency]])),COLUMNS($F$7:Y$7))))</f>
        <v/>
      </c>
      <c r="Z859" s="2223" t="str" cm="1">
        <f t="array" ref="Z859">IF($D859&lt;COLUMNS($F$7:Z$7),"",INDEX(TableDiv[[GASB]:[GASB]],_xlfn.AGGREGATE(15,3,(TableDiv[[Agency]:[Agency]]=$E859)/(TableDiv[[Agency]:[Agency]]=$E859)*(ROW(TableDiv[Agency])-ROW(TableDiv[[#Headers],[Agency]])),COLUMNS($F$7:Z$7))))</f>
        <v/>
      </c>
      <c r="AA859" s="2223" t="str" cm="1">
        <f t="array" ref="AA859">IF($D859&lt;COLUMNS($F$7:AA$7),"",INDEX(TableDiv[[GASB]:[GASB]],_xlfn.AGGREGATE(15,3,(TableDiv[[Agency]:[Agency]]=$E859)/(TableDiv[[Agency]:[Agency]]=$E859)*(ROW(TableDiv[Agency])-ROW(TableDiv[[#Headers],[Agency]])),COLUMNS($F$7:AA$7))))</f>
        <v/>
      </c>
      <c r="AB859" s="2223" t="str" cm="1">
        <f t="array" ref="AB859">IF($D859&lt;COLUMNS($F$7:AB$7),"",INDEX(TableDiv[[GASB]:[GASB]],_xlfn.AGGREGATE(15,3,(TableDiv[[Agency]:[Agency]]=$E859)/(TableDiv[[Agency]:[Agency]]=$E859)*(ROW(TableDiv[Agency])-ROW(TableDiv[[#Headers],[Agency]])),COLUMNS($F$7:AB$7))))</f>
        <v/>
      </c>
      <c r="AC859" s="2223" t="str" cm="1">
        <f t="array" ref="AC859">IF($D859&lt;COLUMNS($F$7:AC$7),"",INDEX(TableDiv[[GASB]:[GASB]],_xlfn.AGGREGATE(15,3,(TableDiv[[Agency]:[Agency]]=$E859)/(TableDiv[[Agency]:[Agency]]=$E859)*(ROW(TableDiv[Agency])-ROW(TableDiv[[#Headers],[Agency]])),COLUMNS($F$7:AC$7))))</f>
        <v/>
      </c>
      <c r="AD859" s="2223" t="str" cm="1">
        <f t="array" ref="AD859">IF($D859&lt;COLUMNS($F$7:AD$7),"",INDEX(TableDiv[[GASB]:[GASB]],_xlfn.AGGREGATE(15,3,(TableDiv[[Agency]:[Agency]]=$E859)/(TableDiv[[Agency]:[Agency]]=$E859)*(ROW(TableDiv[Agency])-ROW(TableDiv[[#Headers],[Agency]])),COLUMNS($F$7:AD$7))))</f>
        <v/>
      </c>
      <c r="AE859" s="2223" t="str" cm="1">
        <f t="array" ref="AE859">IF($D859&lt;COLUMNS($F$7:AE$7),"",INDEX(TableDiv[[GASB]:[GASB]],_xlfn.AGGREGATE(15,3,(TableDiv[[Agency]:[Agency]]=$E859)/(TableDiv[[Agency]:[Agency]]=$E859)*(ROW(TableDiv[Agency])-ROW(TableDiv[[#Headers],[Agency]])),COLUMNS($F$7:AE$7))))</f>
        <v/>
      </c>
      <c r="AF859" s="2223" t="str" cm="1">
        <f t="array" ref="AF859">IF($D859&lt;COLUMNS($F$7:AF$7),"",INDEX(TableDiv[[GASB]:[GASB]],_xlfn.AGGREGATE(15,3,(TableDiv[[Agency]:[Agency]]=$E859)/(TableDiv[[Agency]:[Agency]]=$E859)*(ROW(TableDiv[Agency])-ROW(TableDiv[[#Headers],[Agency]])),COLUMNS($F$7:AF$7))))</f>
        <v/>
      </c>
      <c r="AG859" s="2223" t="str" cm="1">
        <f t="array" ref="AG859">IF($D859&lt;COLUMNS($F$7:AG$7),"",INDEX(TableDiv[[GASB]:[GASB]],_xlfn.AGGREGATE(15,3,(TableDiv[[Agency]:[Agency]]=$E859)/(TableDiv[[Agency]:[Agency]]=$E859)*(ROW(TableDiv[Agency])-ROW(TableDiv[[#Headers],[Agency]])),COLUMNS($F$7:AG$7))))</f>
        <v/>
      </c>
      <c r="AH859" s="2223" t="str" cm="1">
        <f t="array" ref="AH859">IF($D859&lt;COLUMNS($F$7:AH$7),"",INDEX(TableDiv[[GASB]:[GASB]],_xlfn.AGGREGATE(15,3,(TableDiv[[Agency]:[Agency]]=$E859)/(TableDiv[[Agency]:[Agency]]=$E859)*(ROW(TableDiv[Agency])-ROW(TableDiv[[#Headers],[Agency]])),COLUMNS($F$7:AH$7))))</f>
        <v/>
      </c>
      <c r="AI859" s="2223" t="str" cm="1">
        <f t="array" ref="AI859">IF($D859&lt;COLUMNS($F$7:AI$7),"",INDEX(TableDiv[[GASB]:[GASB]],_xlfn.AGGREGATE(15,3,(TableDiv[[Agency]:[Agency]]=$E859)/(TableDiv[[Agency]:[Agency]]=$E859)*(ROW(TableDiv[Agency])-ROW(TableDiv[[#Headers],[Agency]])),COLUMNS($F$7:AI$7))))</f>
        <v/>
      </c>
      <c r="AJ859" s="2223" t="str" cm="1">
        <f t="array" ref="AJ859">IF($D859&lt;COLUMNS($F$7:AJ$7),"",INDEX(TableDiv[[GASB]:[GASB]],_xlfn.AGGREGATE(15,3,(TableDiv[[Agency]:[Agency]]=$E859)/(TableDiv[[Agency]:[Agency]]=$E859)*(ROW(TableDiv[Agency])-ROW(TableDiv[[#Headers],[Agency]])),COLUMNS($F$7:AJ$7))))</f>
        <v/>
      </c>
      <c r="AK859" s="2223" t="str" cm="1">
        <f t="array" ref="AK859">IF($D859&lt;COLUMNS($F$7:AK$7),"",INDEX(TableDiv[[GASB]:[GASB]],_xlfn.AGGREGATE(15,3,(TableDiv[[Agency]:[Agency]]=$E859)/(TableDiv[[Agency]:[Agency]]=$E859)*(ROW(TableDiv[Agency])-ROW(TableDiv[[#Headers],[Agency]])),COLUMNS($F$7:AK$7))))</f>
        <v/>
      </c>
      <c r="AL859" s="2223" t="str" cm="1">
        <f t="array" ref="AL859">IF($D859&lt;COLUMNS($F$7:AL$7),"",INDEX(TableDiv[[GASB]:[GASB]],_xlfn.AGGREGATE(15,3,(TableDiv[[Agency]:[Agency]]=$E859)/(TableDiv[[Agency]:[Agency]]=$E859)*(ROW(TableDiv[Agency])-ROW(TableDiv[[#Headers],[Agency]])),COLUMNS($F$7:AL$7))))</f>
        <v/>
      </c>
      <c r="AM859" s="2223" t="str" cm="1">
        <f t="array" ref="AM859">IF($D859&lt;COLUMNS($F$7:AM$7),"",INDEX(TableDiv[[GASB]:[GASB]],_xlfn.AGGREGATE(15,3,(TableDiv[[Agency]:[Agency]]=$E859)/(TableDiv[[Agency]:[Agency]]=$E859)*(ROW(TableDiv[Agency])-ROW(TableDiv[[#Headers],[Agency]])),COLUMNS($F$7:AM$7))))</f>
        <v/>
      </c>
      <c r="AN859" s="2223"/>
      <c r="AO859" s="2223"/>
      <c r="AP859" s="2223"/>
      <c r="AQ859" s="2223"/>
      <c r="AR859" s="2223"/>
      <c r="AS859" s="2223"/>
    </row>
    <row r="860" spans="1:45" x14ac:dyDescent="0.2">
      <c r="A860" s="2223"/>
      <c r="B860" s="2223"/>
      <c r="C860" s="2223"/>
      <c r="W860" s="2223" t="str" cm="1">
        <f t="array" ref="W860">IF($D860&lt;COLUMNS($F$7:W$7),"",INDEX(TableDiv[[GASB]:[GASB]],_xlfn.AGGREGATE(15,3,(TableDiv[[Agency]:[Agency]]=$E860)/(TableDiv[[Agency]:[Agency]]=$E860)*(ROW(TableDiv[Agency])-ROW(TableDiv[[#Headers],[Agency]])),COLUMNS($F$7:W$7))))</f>
        <v/>
      </c>
      <c r="X860" s="2223" t="str" cm="1">
        <f t="array" ref="X860">IF($D860&lt;COLUMNS($F$7:X$7),"",INDEX(TableDiv[[GASB]:[GASB]],_xlfn.AGGREGATE(15,3,(TableDiv[[Agency]:[Agency]]=$E860)/(TableDiv[[Agency]:[Agency]]=$E860)*(ROW(TableDiv[Agency])-ROW(TableDiv[[#Headers],[Agency]])),COLUMNS($F$7:X$7))))</f>
        <v/>
      </c>
      <c r="Y860" s="2223" t="str" cm="1">
        <f t="array" ref="Y860">IF($D860&lt;COLUMNS($F$7:Y$7),"",INDEX(TableDiv[[GASB]:[GASB]],_xlfn.AGGREGATE(15,3,(TableDiv[[Agency]:[Agency]]=$E860)/(TableDiv[[Agency]:[Agency]]=$E860)*(ROW(TableDiv[Agency])-ROW(TableDiv[[#Headers],[Agency]])),COLUMNS($F$7:Y$7))))</f>
        <v/>
      </c>
      <c r="Z860" s="2223" t="str" cm="1">
        <f t="array" ref="Z860">IF($D860&lt;COLUMNS($F$7:Z$7),"",INDEX(TableDiv[[GASB]:[GASB]],_xlfn.AGGREGATE(15,3,(TableDiv[[Agency]:[Agency]]=$E860)/(TableDiv[[Agency]:[Agency]]=$E860)*(ROW(TableDiv[Agency])-ROW(TableDiv[[#Headers],[Agency]])),COLUMNS($F$7:Z$7))))</f>
        <v/>
      </c>
      <c r="AA860" s="2223" t="str" cm="1">
        <f t="array" ref="AA860">IF($D860&lt;COLUMNS($F$7:AA$7),"",INDEX(TableDiv[[GASB]:[GASB]],_xlfn.AGGREGATE(15,3,(TableDiv[[Agency]:[Agency]]=$E860)/(TableDiv[[Agency]:[Agency]]=$E860)*(ROW(TableDiv[Agency])-ROW(TableDiv[[#Headers],[Agency]])),COLUMNS($F$7:AA$7))))</f>
        <v/>
      </c>
      <c r="AB860" s="2223" t="str" cm="1">
        <f t="array" ref="AB860">IF($D860&lt;COLUMNS($F$7:AB$7),"",INDEX(TableDiv[[GASB]:[GASB]],_xlfn.AGGREGATE(15,3,(TableDiv[[Agency]:[Agency]]=$E860)/(TableDiv[[Agency]:[Agency]]=$E860)*(ROW(TableDiv[Agency])-ROW(TableDiv[[#Headers],[Agency]])),COLUMNS($F$7:AB$7))))</f>
        <v/>
      </c>
      <c r="AC860" s="2223" t="str" cm="1">
        <f t="array" ref="AC860">IF($D860&lt;COLUMNS($F$7:AC$7),"",INDEX(TableDiv[[GASB]:[GASB]],_xlfn.AGGREGATE(15,3,(TableDiv[[Agency]:[Agency]]=$E860)/(TableDiv[[Agency]:[Agency]]=$E860)*(ROW(TableDiv[Agency])-ROW(TableDiv[[#Headers],[Agency]])),COLUMNS($F$7:AC$7))))</f>
        <v/>
      </c>
      <c r="AD860" s="2223" t="str" cm="1">
        <f t="array" ref="AD860">IF($D860&lt;COLUMNS($F$7:AD$7),"",INDEX(TableDiv[[GASB]:[GASB]],_xlfn.AGGREGATE(15,3,(TableDiv[[Agency]:[Agency]]=$E860)/(TableDiv[[Agency]:[Agency]]=$E860)*(ROW(TableDiv[Agency])-ROW(TableDiv[[#Headers],[Agency]])),COLUMNS($F$7:AD$7))))</f>
        <v/>
      </c>
      <c r="AE860" s="2223" t="str" cm="1">
        <f t="array" ref="AE860">IF($D860&lt;COLUMNS($F$7:AE$7),"",INDEX(TableDiv[[GASB]:[GASB]],_xlfn.AGGREGATE(15,3,(TableDiv[[Agency]:[Agency]]=$E860)/(TableDiv[[Agency]:[Agency]]=$E860)*(ROW(TableDiv[Agency])-ROW(TableDiv[[#Headers],[Agency]])),COLUMNS($F$7:AE$7))))</f>
        <v/>
      </c>
      <c r="AF860" s="2223" t="str" cm="1">
        <f t="array" ref="AF860">IF($D860&lt;COLUMNS($F$7:AF$7),"",INDEX(TableDiv[[GASB]:[GASB]],_xlfn.AGGREGATE(15,3,(TableDiv[[Agency]:[Agency]]=$E860)/(TableDiv[[Agency]:[Agency]]=$E860)*(ROW(TableDiv[Agency])-ROW(TableDiv[[#Headers],[Agency]])),COLUMNS($F$7:AF$7))))</f>
        <v/>
      </c>
      <c r="AG860" s="2223" t="str" cm="1">
        <f t="array" ref="AG860">IF($D860&lt;COLUMNS($F$7:AG$7),"",INDEX(TableDiv[[GASB]:[GASB]],_xlfn.AGGREGATE(15,3,(TableDiv[[Agency]:[Agency]]=$E860)/(TableDiv[[Agency]:[Agency]]=$E860)*(ROW(TableDiv[Agency])-ROW(TableDiv[[#Headers],[Agency]])),COLUMNS($F$7:AG$7))))</f>
        <v/>
      </c>
      <c r="AH860" s="2223" t="str" cm="1">
        <f t="array" ref="AH860">IF($D860&lt;COLUMNS($F$7:AH$7),"",INDEX(TableDiv[[GASB]:[GASB]],_xlfn.AGGREGATE(15,3,(TableDiv[[Agency]:[Agency]]=$E860)/(TableDiv[[Agency]:[Agency]]=$E860)*(ROW(TableDiv[Agency])-ROW(TableDiv[[#Headers],[Agency]])),COLUMNS($F$7:AH$7))))</f>
        <v/>
      </c>
      <c r="AI860" s="2223" t="str" cm="1">
        <f t="array" ref="AI860">IF($D860&lt;COLUMNS($F$7:AI$7),"",INDEX(TableDiv[[GASB]:[GASB]],_xlfn.AGGREGATE(15,3,(TableDiv[[Agency]:[Agency]]=$E860)/(TableDiv[[Agency]:[Agency]]=$E860)*(ROW(TableDiv[Agency])-ROW(TableDiv[[#Headers],[Agency]])),COLUMNS($F$7:AI$7))))</f>
        <v/>
      </c>
      <c r="AJ860" s="2223" t="str" cm="1">
        <f t="array" ref="AJ860">IF($D860&lt;COLUMNS($F$7:AJ$7),"",INDEX(TableDiv[[GASB]:[GASB]],_xlfn.AGGREGATE(15,3,(TableDiv[[Agency]:[Agency]]=$E860)/(TableDiv[[Agency]:[Agency]]=$E860)*(ROW(TableDiv[Agency])-ROW(TableDiv[[#Headers],[Agency]])),COLUMNS($F$7:AJ$7))))</f>
        <v/>
      </c>
      <c r="AK860" s="2223" t="str" cm="1">
        <f t="array" ref="AK860">IF($D860&lt;COLUMNS($F$7:AK$7),"",INDEX(TableDiv[[GASB]:[GASB]],_xlfn.AGGREGATE(15,3,(TableDiv[[Agency]:[Agency]]=$E860)/(TableDiv[[Agency]:[Agency]]=$E860)*(ROW(TableDiv[Agency])-ROW(TableDiv[[#Headers],[Agency]])),COLUMNS($F$7:AK$7))))</f>
        <v/>
      </c>
      <c r="AL860" s="2223" t="str" cm="1">
        <f t="array" ref="AL860">IF($D860&lt;COLUMNS($F$7:AL$7),"",INDEX(TableDiv[[GASB]:[GASB]],_xlfn.AGGREGATE(15,3,(TableDiv[[Agency]:[Agency]]=$E860)/(TableDiv[[Agency]:[Agency]]=$E860)*(ROW(TableDiv[Agency])-ROW(TableDiv[[#Headers],[Agency]])),COLUMNS($F$7:AL$7))))</f>
        <v/>
      </c>
      <c r="AM860" s="2223" t="str" cm="1">
        <f t="array" ref="AM860">IF($D860&lt;COLUMNS($F$7:AM$7),"",INDEX(TableDiv[[GASB]:[GASB]],_xlfn.AGGREGATE(15,3,(TableDiv[[Agency]:[Agency]]=$E860)/(TableDiv[[Agency]:[Agency]]=$E860)*(ROW(TableDiv[Agency])-ROW(TableDiv[[#Headers],[Agency]])),COLUMNS($F$7:AM$7))))</f>
        <v/>
      </c>
      <c r="AN860" s="2223"/>
      <c r="AO860" s="2223"/>
      <c r="AP860" s="2223"/>
      <c r="AQ860" s="2223"/>
      <c r="AR860" s="2223"/>
      <c r="AS860" s="2223"/>
    </row>
    <row r="861" spans="1:45" x14ac:dyDescent="0.2">
      <c r="A861" s="2223"/>
      <c r="B861" s="2223"/>
      <c r="C861" s="2223"/>
      <c r="W861" s="2223" t="str" cm="1">
        <f t="array" ref="W861">IF($D861&lt;COLUMNS($F$7:W$7),"",INDEX(TableDiv[[GASB]:[GASB]],_xlfn.AGGREGATE(15,3,(TableDiv[[Agency]:[Agency]]=$E861)/(TableDiv[[Agency]:[Agency]]=$E861)*(ROW(TableDiv[Agency])-ROW(TableDiv[[#Headers],[Agency]])),COLUMNS($F$7:W$7))))</f>
        <v/>
      </c>
      <c r="X861" s="2223" t="str" cm="1">
        <f t="array" ref="X861">IF($D861&lt;COLUMNS($F$7:X$7),"",INDEX(TableDiv[[GASB]:[GASB]],_xlfn.AGGREGATE(15,3,(TableDiv[[Agency]:[Agency]]=$E861)/(TableDiv[[Agency]:[Agency]]=$E861)*(ROW(TableDiv[Agency])-ROW(TableDiv[[#Headers],[Agency]])),COLUMNS($F$7:X$7))))</f>
        <v/>
      </c>
      <c r="Y861" s="2223" t="str" cm="1">
        <f t="array" ref="Y861">IF($D861&lt;COLUMNS($F$7:Y$7),"",INDEX(TableDiv[[GASB]:[GASB]],_xlfn.AGGREGATE(15,3,(TableDiv[[Agency]:[Agency]]=$E861)/(TableDiv[[Agency]:[Agency]]=$E861)*(ROW(TableDiv[Agency])-ROW(TableDiv[[#Headers],[Agency]])),COLUMNS($F$7:Y$7))))</f>
        <v/>
      </c>
      <c r="Z861" s="2223" t="str" cm="1">
        <f t="array" ref="Z861">IF($D861&lt;COLUMNS($F$7:Z$7),"",INDEX(TableDiv[[GASB]:[GASB]],_xlfn.AGGREGATE(15,3,(TableDiv[[Agency]:[Agency]]=$E861)/(TableDiv[[Agency]:[Agency]]=$E861)*(ROW(TableDiv[Agency])-ROW(TableDiv[[#Headers],[Agency]])),COLUMNS($F$7:Z$7))))</f>
        <v/>
      </c>
      <c r="AA861" s="2223" t="str" cm="1">
        <f t="array" ref="AA861">IF($D861&lt;COLUMNS($F$7:AA$7),"",INDEX(TableDiv[[GASB]:[GASB]],_xlfn.AGGREGATE(15,3,(TableDiv[[Agency]:[Agency]]=$E861)/(TableDiv[[Agency]:[Agency]]=$E861)*(ROW(TableDiv[Agency])-ROW(TableDiv[[#Headers],[Agency]])),COLUMNS($F$7:AA$7))))</f>
        <v/>
      </c>
      <c r="AB861" s="2223" t="str" cm="1">
        <f t="array" ref="AB861">IF($D861&lt;COLUMNS($F$7:AB$7),"",INDEX(TableDiv[[GASB]:[GASB]],_xlfn.AGGREGATE(15,3,(TableDiv[[Agency]:[Agency]]=$E861)/(TableDiv[[Agency]:[Agency]]=$E861)*(ROW(TableDiv[Agency])-ROW(TableDiv[[#Headers],[Agency]])),COLUMNS($F$7:AB$7))))</f>
        <v/>
      </c>
      <c r="AC861" s="2223" t="str" cm="1">
        <f t="array" ref="AC861">IF($D861&lt;COLUMNS($F$7:AC$7),"",INDEX(TableDiv[[GASB]:[GASB]],_xlfn.AGGREGATE(15,3,(TableDiv[[Agency]:[Agency]]=$E861)/(TableDiv[[Agency]:[Agency]]=$E861)*(ROW(TableDiv[Agency])-ROW(TableDiv[[#Headers],[Agency]])),COLUMNS($F$7:AC$7))))</f>
        <v/>
      </c>
      <c r="AD861" s="2223" t="str" cm="1">
        <f t="array" ref="AD861">IF($D861&lt;COLUMNS($F$7:AD$7),"",INDEX(TableDiv[[GASB]:[GASB]],_xlfn.AGGREGATE(15,3,(TableDiv[[Agency]:[Agency]]=$E861)/(TableDiv[[Agency]:[Agency]]=$E861)*(ROW(TableDiv[Agency])-ROW(TableDiv[[#Headers],[Agency]])),COLUMNS($F$7:AD$7))))</f>
        <v/>
      </c>
      <c r="AE861" s="2223" t="str" cm="1">
        <f t="array" ref="AE861">IF($D861&lt;COLUMNS($F$7:AE$7),"",INDEX(TableDiv[[GASB]:[GASB]],_xlfn.AGGREGATE(15,3,(TableDiv[[Agency]:[Agency]]=$E861)/(TableDiv[[Agency]:[Agency]]=$E861)*(ROW(TableDiv[Agency])-ROW(TableDiv[[#Headers],[Agency]])),COLUMNS($F$7:AE$7))))</f>
        <v/>
      </c>
      <c r="AF861" s="2223" t="str" cm="1">
        <f t="array" ref="AF861">IF($D861&lt;COLUMNS($F$7:AF$7),"",INDEX(TableDiv[[GASB]:[GASB]],_xlfn.AGGREGATE(15,3,(TableDiv[[Agency]:[Agency]]=$E861)/(TableDiv[[Agency]:[Agency]]=$E861)*(ROW(TableDiv[Agency])-ROW(TableDiv[[#Headers],[Agency]])),COLUMNS($F$7:AF$7))))</f>
        <v/>
      </c>
      <c r="AG861" s="2223" t="str" cm="1">
        <f t="array" ref="AG861">IF($D861&lt;COLUMNS($F$7:AG$7),"",INDEX(TableDiv[[GASB]:[GASB]],_xlfn.AGGREGATE(15,3,(TableDiv[[Agency]:[Agency]]=$E861)/(TableDiv[[Agency]:[Agency]]=$E861)*(ROW(TableDiv[Agency])-ROW(TableDiv[[#Headers],[Agency]])),COLUMNS($F$7:AG$7))))</f>
        <v/>
      </c>
      <c r="AH861" s="2223" t="str" cm="1">
        <f t="array" ref="AH861">IF($D861&lt;COLUMNS($F$7:AH$7),"",INDEX(TableDiv[[GASB]:[GASB]],_xlfn.AGGREGATE(15,3,(TableDiv[[Agency]:[Agency]]=$E861)/(TableDiv[[Agency]:[Agency]]=$E861)*(ROW(TableDiv[Agency])-ROW(TableDiv[[#Headers],[Agency]])),COLUMNS($F$7:AH$7))))</f>
        <v/>
      </c>
      <c r="AI861" s="2223" t="str" cm="1">
        <f t="array" ref="AI861">IF($D861&lt;COLUMNS($F$7:AI$7),"",INDEX(TableDiv[[GASB]:[GASB]],_xlfn.AGGREGATE(15,3,(TableDiv[[Agency]:[Agency]]=$E861)/(TableDiv[[Agency]:[Agency]]=$E861)*(ROW(TableDiv[Agency])-ROW(TableDiv[[#Headers],[Agency]])),COLUMNS($F$7:AI$7))))</f>
        <v/>
      </c>
      <c r="AJ861" s="2223" t="str" cm="1">
        <f t="array" ref="AJ861">IF($D861&lt;COLUMNS($F$7:AJ$7),"",INDEX(TableDiv[[GASB]:[GASB]],_xlfn.AGGREGATE(15,3,(TableDiv[[Agency]:[Agency]]=$E861)/(TableDiv[[Agency]:[Agency]]=$E861)*(ROW(TableDiv[Agency])-ROW(TableDiv[[#Headers],[Agency]])),COLUMNS($F$7:AJ$7))))</f>
        <v/>
      </c>
      <c r="AK861" s="2223" t="str" cm="1">
        <f t="array" ref="AK861">IF($D861&lt;COLUMNS($F$7:AK$7),"",INDEX(TableDiv[[GASB]:[GASB]],_xlfn.AGGREGATE(15,3,(TableDiv[[Agency]:[Agency]]=$E861)/(TableDiv[[Agency]:[Agency]]=$E861)*(ROW(TableDiv[Agency])-ROW(TableDiv[[#Headers],[Agency]])),COLUMNS($F$7:AK$7))))</f>
        <v/>
      </c>
      <c r="AL861" s="2223" t="str" cm="1">
        <f t="array" ref="AL861">IF($D861&lt;COLUMNS($F$7:AL$7),"",INDEX(TableDiv[[GASB]:[GASB]],_xlfn.AGGREGATE(15,3,(TableDiv[[Agency]:[Agency]]=$E861)/(TableDiv[[Agency]:[Agency]]=$E861)*(ROW(TableDiv[Agency])-ROW(TableDiv[[#Headers],[Agency]])),COLUMNS($F$7:AL$7))))</f>
        <v/>
      </c>
      <c r="AM861" s="2223" t="str" cm="1">
        <f t="array" ref="AM861">IF($D861&lt;COLUMNS($F$7:AM$7),"",INDEX(TableDiv[[GASB]:[GASB]],_xlfn.AGGREGATE(15,3,(TableDiv[[Agency]:[Agency]]=$E861)/(TableDiv[[Agency]:[Agency]]=$E861)*(ROW(TableDiv[Agency])-ROW(TableDiv[[#Headers],[Agency]])),COLUMNS($F$7:AM$7))))</f>
        <v/>
      </c>
      <c r="AN861" s="2223"/>
      <c r="AO861" s="2223"/>
      <c r="AP861" s="2223"/>
      <c r="AQ861" s="2223"/>
      <c r="AR861" s="2223"/>
      <c r="AS861" s="2223"/>
    </row>
    <row r="862" spans="1:45" x14ac:dyDescent="0.2">
      <c r="A862" s="2223"/>
      <c r="B862" s="2223"/>
      <c r="C862" s="2223"/>
      <c r="W862" s="2223" t="str" cm="1">
        <f t="array" ref="W862">IF($D862&lt;COLUMNS($F$7:W$7),"",INDEX(TableDiv[[GASB]:[GASB]],_xlfn.AGGREGATE(15,3,(TableDiv[[Agency]:[Agency]]=$E862)/(TableDiv[[Agency]:[Agency]]=$E862)*(ROW(TableDiv[Agency])-ROW(TableDiv[[#Headers],[Agency]])),COLUMNS($F$7:W$7))))</f>
        <v/>
      </c>
      <c r="X862" s="2223" t="str" cm="1">
        <f t="array" ref="X862">IF($D862&lt;COLUMNS($F$7:X$7),"",INDEX(TableDiv[[GASB]:[GASB]],_xlfn.AGGREGATE(15,3,(TableDiv[[Agency]:[Agency]]=$E862)/(TableDiv[[Agency]:[Agency]]=$E862)*(ROW(TableDiv[Agency])-ROW(TableDiv[[#Headers],[Agency]])),COLUMNS($F$7:X$7))))</f>
        <v/>
      </c>
      <c r="Y862" s="2223" t="str" cm="1">
        <f t="array" ref="Y862">IF($D862&lt;COLUMNS($F$7:Y$7),"",INDEX(TableDiv[[GASB]:[GASB]],_xlfn.AGGREGATE(15,3,(TableDiv[[Agency]:[Agency]]=$E862)/(TableDiv[[Agency]:[Agency]]=$E862)*(ROW(TableDiv[Agency])-ROW(TableDiv[[#Headers],[Agency]])),COLUMNS($F$7:Y$7))))</f>
        <v/>
      </c>
      <c r="Z862" s="2223" t="str" cm="1">
        <f t="array" ref="Z862">IF($D862&lt;COLUMNS($F$7:Z$7),"",INDEX(TableDiv[[GASB]:[GASB]],_xlfn.AGGREGATE(15,3,(TableDiv[[Agency]:[Agency]]=$E862)/(TableDiv[[Agency]:[Agency]]=$E862)*(ROW(TableDiv[Agency])-ROW(TableDiv[[#Headers],[Agency]])),COLUMNS($F$7:Z$7))))</f>
        <v/>
      </c>
      <c r="AA862" s="2223" t="str" cm="1">
        <f t="array" ref="AA862">IF($D862&lt;COLUMNS($F$7:AA$7),"",INDEX(TableDiv[[GASB]:[GASB]],_xlfn.AGGREGATE(15,3,(TableDiv[[Agency]:[Agency]]=$E862)/(TableDiv[[Agency]:[Agency]]=$E862)*(ROW(TableDiv[Agency])-ROW(TableDiv[[#Headers],[Agency]])),COLUMNS($F$7:AA$7))))</f>
        <v/>
      </c>
      <c r="AB862" s="2223" t="str" cm="1">
        <f t="array" ref="AB862">IF($D862&lt;COLUMNS($F$7:AB$7),"",INDEX(TableDiv[[GASB]:[GASB]],_xlfn.AGGREGATE(15,3,(TableDiv[[Agency]:[Agency]]=$E862)/(TableDiv[[Agency]:[Agency]]=$E862)*(ROW(TableDiv[Agency])-ROW(TableDiv[[#Headers],[Agency]])),COLUMNS($F$7:AB$7))))</f>
        <v/>
      </c>
      <c r="AC862" s="2223" t="str" cm="1">
        <f t="array" ref="AC862">IF($D862&lt;COLUMNS($F$7:AC$7),"",INDEX(TableDiv[[GASB]:[GASB]],_xlfn.AGGREGATE(15,3,(TableDiv[[Agency]:[Agency]]=$E862)/(TableDiv[[Agency]:[Agency]]=$E862)*(ROW(TableDiv[Agency])-ROW(TableDiv[[#Headers],[Agency]])),COLUMNS($F$7:AC$7))))</f>
        <v/>
      </c>
      <c r="AD862" s="2223" t="str" cm="1">
        <f t="array" ref="AD862">IF($D862&lt;COLUMNS($F$7:AD$7),"",INDEX(TableDiv[[GASB]:[GASB]],_xlfn.AGGREGATE(15,3,(TableDiv[[Agency]:[Agency]]=$E862)/(TableDiv[[Agency]:[Agency]]=$E862)*(ROW(TableDiv[Agency])-ROW(TableDiv[[#Headers],[Agency]])),COLUMNS($F$7:AD$7))))</f>
        <v/>
      </c>
      <c r="AE862" s="2223" t="str" cm="1">
        <f t="array" ref="AE862">IF($D862&lt;COLUMNS($F$7:AE$7),"",INDEX(TableDiv[[GASB]:[GASB]],_xlfn.AGGREGATE(15,3,(TableDiv[[Agency]:[Agency]]=$E862)/(TableDiv[[Agency]:[Agency]]=$E862)*(ROW(TableDiv[Agency])-ROW(TableDiv[[#Headers],[Agency]])),COLUMNS($F$7:AE$7))))</f>
        <v/>
      </c>
      <c r="AF862" s="2223" t="str" cm="1">
        <f t="array" ref="AF862">IF($D862&lt;COLUMNS($F$7:AF$7),"",INDEX(TableDiv[[GASB]:[GASB]],_xlfn.AGGREGATE(15,3,(TableDiv[[Agency]:[Agency]]=$E862)/(TableDiv[[Agency]:[Agency]]=$E862)*(ROW(TableDiv[Agency])-ROW(TableDiv[[#Headers],[Agency]])),COLUMNS($F$7:AF$7))))</f>
        <v/>
      </c>
      <c r="AG862" s="2223" t="str" cm="1">
        <f t="array" ref="AG862">IF($D862&lt;COLUMNS($F$7:AG$7),"",INDEX(TableDiv[[GASB]:[GASB]],_xlfn.AGGREGATE(15,3,(TableDiv[[Agency]:[Agency]]=$E862)/(TableDiv[[Agency]:[Agency]]=$E862)*(ROW(TableDiv[Agency])-ROW(TableDiv[[#Headers],[Agency]])),COLUMNS($F$7:AG$7))))</f>
        <v/>
      </c>
      <c r="AH862" s="2223" t="str" cm="1">
        <f t="array" ref="AH862">IF($D862&lt;COLUMNS($F$7:AH$7),"",INDEX(TableDiv[[GASB]:[GASB]],_xlfn.AGGREGATE(15,3,(TableDiv[[Agency]:[Agency]]=$E862)/(TableDiv[[Agency]:[Agency]]=$E862)*(ROW(TableDiv[Agency])-ROW(TableDiv[[#Headers],[Agency]])),COLUMNS($F$7:AH$7))))</f>
        <v/>
      </c>
      <c r="AI862" s="2223" t="str" cm="1">
        <f t="array" ref="AI862">IF($D862&lt;COLUMNS($F$7:AI$7),"",INDEX(TableDiv[[GASB]:[GASB]],_xlfn.AGGREGATE(15,3,(TableDiv[[Agency]:[Agency]]=$E862)/(TableDiv[[Agency]:[Agency]]=$E862)*(ROW(TableDiv[Agency])-ROW(TableDiv[[#Headers],[Agency]])),COLUMNS($F$7:AI$7))))</f>
        <v/>
      </c>
      <c r="AJ862" s="2223" t="str" cm="1">
        <f t="array" ref="AJ862">IF($D862&lt;COLUMNS($F$7:AJ$7),"",INDEX(TableDiv[[GASB]:[GASB]],_xlfn.AGGREGATE(15,3,(TableDiv[[Agency]:[Agency]]=$E862)/(TableDiv[[Agency]:[Agency]]=$E862)*(ROW(TableDiv[Agency])-ROW(TableDiv[[#Headers],[Agency]])),COLUMNS($F$7:AJ$7))))</f>
        <v/>
      </c>
      <c r="AK862" s="2223" t="str" cm="1">
        <f t="array" ref="AK862">IF($D862&lt;COLUMNS($F$7:AK$7),"",INDEX(TableDiv[[GASB]:[GASB]],_xlfn.AGGREGATE(15,3,(TableDiv[[Agency]:[Agency]]=$E862)/(TableDiv[[Agency]:[Agency]]=$E862)*(ROW(TableDiv[Agency])-ROW(TableDiv[[#Headers],[Agency]])),COLUMNS($F$7:AK$7))))</f>
        <v/>
      </c>
      <c r="AL862" s="2223" t="str" cm="1">
        <f t="array" ref="AL862">IF($D862&lt;COLUMNS($F$7:AL$7),"",INDEX(TableDiv[[GASB]:[GASB]],_xlfn.AGGREGATE(15,3,(TableDiv[[Agency]:[Agency]]=$E862)/(TableDiv[[Agency]:[Agency]]=$E862)*(ROW(TableDiv[Agency])-ROW(TableDiv[[#Headers],[Agency]])),COLUMNS($F$7:AL$7))))</f>
        <v/>
      </c>
      <c r="AM862" s="2223" t="str" cm="1">
        <f t="array" ref="AM862">IF($D862&lt;COLUMNS($F$7:AM$7),"",INDEX(TableDiv[[GASB]:[GASB]],_xlfn.AGGREGATE(15,3,(TableDiv[[Agency]:[Agency]]=$E862)/(TableDiv[[Agency]:[Agency]]=$E862)*(ROW(TableDiv[Agency])-ROW(TableDiv[[#Headers],[Agency]])),COLUMNS($F$7:AM$7))))</f>
        <v/>
      </c>
      <c r="AN862" s="2223"/>
      <c r="AO862" s="2223"/>
      <c r="AP862" s="2223"/>
      <c r="AQ862" s="2223"/>
      <c r="AR862" s="2223"/>
      <c r="AS862" s="2223"/>
    </row>
    <row r="863" spans="1:45" x14ac:dyDescent="0.2">
      <c r="A863" s="2223"/>
      <c r="B863" s="2223"/>
      <c r="C863" s="2223"/>
      <c r="W863" s="2223" t="str" cm="1">
        <f t="array" ref="W863">IF($D863&lt;COLUMNS($F$7:W$7),"",INDEX(TableDiv[[GASB]:[GASB]],_xlfn.AGGREGATE(15,3,(TableDiv[[Agency]:[Agency]]=$E863)/(TableDiv[[Agency]:[Agency]]=$E863)*(ROW(TableDiv[Agency])-ROW(TableDiv[[#Headers],[Agency]])),COLUMNS($F$7:W$7))))</f>
        <v/>
      </c>
      <c r="X863" s="2223" t="str" cm="1">
        <f t="array" ref="X863">IF($D863&lt;COLUMNS($F$7:X$7),"",INDEX(TableDiv[[GASB]:[GASB]],_xlfn.AGGREGATE(15,3,(TableDiv[[Agency]:[Agency]]=$E863)/(TableDiv[[Agency]:[Agency]]=$E863)*(ROW(TableDiv[Agency])-ROW(TableDiv[[#Headers],[Agency]])),COLUMNS($F$7:X$7))))</f>
        <v/>
      </c>
      <c r="Y863" s="2223" t="str" cm="1">
        <f t="array" ref="Y863">IF($D863&lt;COLUMNS($F$7:Y$7),"",INDEX(TableDiv[[GASB]:[GASB]],_xlfn.AGGREGATE(15,3,(TableDiv[[Agency]:[Agency]]=$E863)/(TableDiv[[Agency]:[Agency]]=$E863)*(ROW(TableDiv[Agency])-ROW(TableDiv[[#Headers],[Agency]])),COLUMNS($F$7:Y$7))))</f>
        <v/>
      </c>
      <c r="Z863" s="2223" t="str" cm="1">
        <f t="array" ref="Z863">IF($D863&lt;COLUMNS($F$7:Z$7),"",INDEX(TableDiv[[GASB]:[GASB]],_xlfn.AGGREGATE(15,3,(TableDiv[[Agency]:[Agency]]=$E863)/(TableDiv[[Agency]:[Agency]]=$E863)*(ROW(TableDiv[Agency])-ROW(TableDiv[[#Headers],[Agency]])),COLUMNS($F$7:Z$7))))</f>
        <v/>
      </c>
      <c r="AA863" s="2223" t="str" cm="1">
        <f t="array" ref="AA863">IF($D863&lt;COLUMNS($F$7:AA$7),"",INDEX(TableDiv[[GASB]:[GASB]],_xlfn.AGGREGATE(15,3,(TableDiv[[Agency]:[Agency]]=$E863)/(TableDiv[[Agency]:[Agency]]=$E863)*(ROW(TableDiv[Agency])-ROW(TableDiv[[#Headers],[Agency]])),COLUMNS($F$7:AA$7))))</f>
        <v/>
      </c>
      <c r="AB863" s="2223" t="str" cm="1">
        <f t="array" ref="AB863">IF($D863&lt;COLUMNS($F$7:AB$7),"",INDEX(TableDiv[[GASB]:[GASB]],_xlfn.AGGREGATE(15,3,(TableDiv[[Agency]:[Agency]]=$E863)/(TableDiv[[Agency]:[Agency]]=$E863)*(ROW(TableDiv[Agency])-ROW(TableDiv[[#Headers],[Agency]])),COLUMNS($F$7:AB$7))))</f>
        <v/>
      </c>
      <c r="AC863" s="2223" t="str" cm="1">
        <f t="array" ref="AC863">IF($D863&lt;COLUMNS($F$7:AC$7),"",INDEX(TableDiv[[GASB]:[GASB]],_xlfn.AGGREGATE(15,3,(TableDiv[[Agency]:[Agency]]=$E863)/(TableDiv[[Agency]:[Agency]]=$E863)*(ROW(TableDiv[Agency])-ROW(TableDiv[[#Headers],[Agency]])),COLUMNS($F$7:AC$7))))</f>
        <v/>
      </c>
      <c r="AD863" s="2223" t="str" cm="1">
        <f t="array" ref="AD863">IF($D863&lt;COLUMNS($F$7:AD$7),"",INDEX(TableDiv[[GASB]:[GASB]],_xlfn.AGGREGATE(15,3,(TableDiv[[Agency]:[Agency]]=$E863)/(TableDiv[[Agency]:[Agency]]=$E863)*(ROW(TableDiv[Agency])-ROW(TableDiv[[#Headers],[Agency]])),COLUMNS($F$7:AD$7))))</f>
        <v/>
      </c>
      <c r="AE863" s="2223" t="str" cm="1">
        <f t="array" ref="AE863">IF($D863&lt;COLUMNS($F$7:AE$7),"",INDEX(TableDiv[[GASB]:[GASB]],_xlfn.AGGREGATE(15,3,(TableDiv[[Agency]:[Agency]]=$E863)/(TableDiv[[Agency]:[Agency]]=$E863)*(ROW(TableDiv[Agency])-ROW(TableDiv[[#Headers],[Agency]])),COLUMNS($F$7:AE$7))))</f>
        <v/>
      </c>
      <c r="AF863" s="2223" t="str" cm="1">
        <f t="array" ref="AF863">IF($D863&lt;COLUMNS($F$7:AF$7),"",INDEX(TableDiv[[GASB]:[GASB]],_xlfn.AGGREGATE(15,3,(TableDiv[[Agency]:[Agency]]=$E863)/(TableDiv[[Agency]:[Agency]]=$E863)*(ROW(TableDiv[Agency])-ROW(TableDiv[[#Headers],[Agency]])),COLUMNS($F$7:AF$7))))</f>
        <v/>
      </c>
      <c r="AG863" s="2223" t="str" cm="1">
        <f t="array" ref="AG863">IF($D863&lt;COLUMNS($F$7:AG$7),"",INDEX(TableDiv[[GASB]:[GASB]],_xlfn.AGGREGATE(15,3,(TableDiv[[Agency]:[Agency]]=$E863)/(TableDiv[[Agency]:[Agency]]=$E863)*(ROW(TableDiv[Agency])-ROW(TableDiv[[#Headers],[Agency]])),COLUMNS($F$7:AG$7))))</f>
        <v/>
      </c>
      <c r="AH863" s="2223" t="str" cm="1">
        <f t="array" ref="AH863">IF($D863&lt;COLUMNS($F$7:AH$7),"",INDEX(TableDiv[[GASB]:[GASB]],_xlfn.AGGREGATE(15,3,(TableDiv[[Agency]:[Agency]]=$E863)/(TableDiv[[Agency]:[Agency]]=$E863)*(ROW(TableDiv[Agency])-ROW(TableDiv[[#Headers],[Agency]])),COLUMNS($F$7:AH$7))))</f>
        <v/>
      </c>
      <c r="AI863" s="2223" t="str" cm="1">
        <f t="array" ref="AI863">IF($D863&lt;COLUMNS($F$7:AI$7),"",INDEX(TableDiv[[GASB]:[GASB]],_xlfn.AGGREGATE(15,3,(TableDiv[[Agency]:[Agency]]=$E863)/(TableDiv[[Agency]:[Agency]]=$E863)*(ROW(TableDiv[Agency])-ROW(TableDiv[[#Headers],[Agency]])),COLUMNS($F$7:AI$7))))</f>
        <v/>
      </c>
      <c r="AJ863" s="2223" t="str" cm="1">
        <f t="array" ref="AJ863">IF($D863&lt;COLUMNS($F$7:AJ$7),"",INDEX(TableDiv[[GASB]:[GASB]],_xlfn.AGGREGATE(15,3,(TableDiv[[Agency]:[Agency]]=$E863)/(TableDiv[[Agency]:[Agency]]=$E863)*(ROW(TableDiv[Agency])-ROW(TableDiv[[#Headers],[Agency]])),COLUMNS($F$7:AJ$7))))</f>
        <v/>
      </c>
      <c r="AK863" s="2223" t="str" cm="1">
        <f t="array" ref="AK863">IF($D863&lt;COLUMNS($F$7:AK$7),"",INDEX(TableDiv[[GASB]:[GASB]],_xlfn.AGGREGATE(15,3,(TableDiv[[Agency]:[Agency]]=$E863)/(TableDiv[[Agency]:[Agency]]=$E863)*(ROW(TableDiv[Agency])-ROW(TableDiv[[#Headers],[Agency]])),COLUMNS($F$7:AK$7))))</f>
        <v/>
      </c>
      <c r="AL863" s="2223" t="str" cm="1">
        <f t="array" ref="AL863">IF($D863&lt;COLUMNS($F$7:AL$7),"",INDEX(TableDiv[[GASB]:[GASB]],_xlfn.AGGREGATE(15,3,(TableDiv[[Agency]:[Agency]]=$E863)/(TableDiv[[Agency]:[Agency]]=$E863)*(ROW(TableDiv[Agency])-ROW(TableDiv[[#Headers],[Agency]])),COLUMNS($F$7:AL$7))))</f>
        <v/>
      </c>
      <c r="AM863" s="2223" t="str" cm="1">
        <f t="array" ref="AM863">IF($D863&lt;COLUMNS($F$7:AM$7),"",INDEX(TableDiv[[GASB]:[GASB]],_xlfn.AGGREGATE(15,3,(TableDiv[[Agency]:[Agency]]=$E863)/(TableDiv[[Agency]:[Agency]]=$E863)*(ROW(TableDiv[Agency])-ROW(TableDiv[[#Headers],[Agency]])),COLUMNS($F$7:AM$7))))</f>
        <v/>
      </c>
      <c r="AN863" s="2223"/>
      <c r="AO863" s="2223"/>
      <c r="AP863" s="2223"/>
      <c r="AQ863" s="2223"/>
      <c r="AR863" s="2223"/>
      <c r="AS863" s="2223"/>
    </row>
    <row r="864" spans="1:45" x14ac:dyDescent="0.2">
      <c r="A864" s="2223"/>
      <c r="B864" s="2223"/>
      <c r="C864" s="2223"/>
      <c r="W864" s="2223" t="str" cm="1">
        <f t="array" ref="W864">IF($D864&lt;COLUMNS($F$7:W$7),"",INDEX(TableDiv[[GASB]:[GASB]],_xlfn.AGGREGATE(15,3,(TableDiv[[Agency]:[Agency]]=$E864)/(TableDiv[[Agency]:[Agency]]=$E864)*(ROW(TableDiv[Agency])-ROW(TableDiv[[#Headers],[Agency]])),COLUMNS($F$7:W$7))))</f>
        <v/>
      </c>
      <c r="X864" s="2223" t="str" cm="1">
        <f t="array" ref="X864">IF($D864&lt;COLUMNS($F$7:X$7),"",INDEX(TableDiv[[GASB]:[GASB]],_xlfn.AGGREGATE(15,3,(TableDiv[[Agency]:[Agency]]=$E864)/(TableDiv[[Agency]:[Agency]]=$E864)*(ROW(TableDiv[Agency])-ROW(TableDiv[[#Headers],[Agency]])),COLUMNS($F$7:X$7))))</f>
        <v/>
      </c>
      <c r="Y864" s="2223" t="str" cm="1">
        <f t="array" ref="Y864">IF($D864&lt;COLUMNS($F$7:Y$7),"",INDEX(TableDiv[[GASB]:[GASB]],_xlfn.AGGREGATE(15,3,(TableDiv[[Agency]:[Agency]]=$E864)/(TableDiv[[Agency]:[Agency]]=$E864)*(ROW(TableDiv[Agency])-ROW(TableDiv[[#Headers],[Agency]])),COLUMNS($F$7:Y$7))))</f>
        <v/>
      </c>
      <c r="Z864" s="2223" t="str" cm="1">
        <f t="array" ref="Z864">IF($D864&lt;COLUMNS($F$7:Z$7),"",INDEX(TableDiv[[GASB]:[GASB]],_xlfn.AGGREGATE(15,3,(TableDiv[[Agency]:[Agency]]=$E864)/(TableDiv[[Agency]:[Agency]]=$E864)*(ROW(TableDiv[Agency])-ROW(TableDiv[[#Headers],[Agency]])),COLUMNS($F$7:Z$7))))</f>
        <v/>
      </c>
      <c r="AA864" s="2223" t="str" cm="1">
        <f t="array" ref="AA864">IF($D864&lt;COLUMNS($F$7:AA$7),"",INDEX(TableDiv[[GASB]:[GASB]],_xlfn.AGGREGATE(15,3,(TableDiv[[Agency]:[Agency]]=$E864)/(TableDiv[[Agency]:[Agency]]=$E864)*(ROW(TableDiv[Agency])-ROW(TableDiv[[#Headers],[Agency]])),COLUMNS($F$7:AA$7))))</f>
        <v/>
      </c>
      <c r="AB864" s="2223" t="str" cm="1">
        <f t="array" ref="AB864">IF($D864&lt;COLUMNS($F$7:AB$7),"",INDEX(TableDiv[[GASB]:[GASB]],_xlfn.AGGREGATE(15,3,(TableDiv[[Agency]:[Agency]]=$E864)/(TableDiv[[Agency]:[Agency]]=$E864)*(ROW(TableDiv[Agency])-ROW(TableDiv[[#Headers],[Agency]])),COLUMNS($F$7:AB$7))))</f>
        <v/>
      </c>
      <c r="AC864" s="2223" t="str" cm="1">
        <f t="array" ref="AC864">IF($D864&lt;COLUMNS($F$7:AC$7),"",INDEX(TableDiv[[GASB]:[GASB]],_xlfn.AGGREGATE(15,3,(TableDiv[[Agency]:[Agency]]=$E864)/(TableDiv[[Agency]:[Agency]]=$E864)*(ROW(TableDiv[Agency])-ROW(TableDiv[[#Headers],[Agency]])),COLUMNS($F$7:AC$7))))</f>
        <v/>
      </c>
      <c r="AD864" s="2223" t="str" cm="1">
        <f t="array" ref="AD864">IF($D864&lt;COLUMNS($F$7:AD$7),"",INDEX(TableDiv[[GASB]:[GASB]],_xlfn.AGGREGATE(15,3,(TableDiv[[Agency]:[Agency]]=$E864)/(TableDiv[[Agency]:[Agency]]=$E864)*(ROW(TableDiv[Agency])-ROW(TableDiv[[#Headers],[Agency]])),COLUMNS($F$7:AD$7))))</f>
        <v/>
      </c>
      <c r="AE864" s="2223" t="str" cm="1">
        <f t="array" ref="AE864">IF($D864&lt;COLUMNS($F$7:AE$7),"",INDEX(TableDiv[[GASB]:[GASB]],_xlfn.AGGREGATE(15,3,(TableDiv[[Agency]:[Agency]]=$E864)/(TableDiv[[Agency]:[Agency]]=$E864)*(ROW(TableDiv[Agency])-ROW(TableDiv[[#Headers],[Agency]])),COLUMNS($F$7:AE$7))))</f>
        <v/>
      </c>
      <c r="AF864" s="2223" t="str" cm="1">
        <f t="array" ref="AF864">IF($D864&lt;COLUMNS($F$7:AF$7),"",INDEX(TableDiv[[GASB]:[GASB]],_xlfn.AGGREGATE(15,3,(TableDiv[[Agency]:[Agency]]=$E864)/(TableDiv[[Agency]:[Agency]]=$E864)*(ROW(TableDiv[Agency])-ROW(TableDiv[[#Headers],[Agency]])),COLUMNS($F$7:AF$7))))</f>
        <v/>
      </c>
      <c r="AG864" s="2223" t="str" cm="1">
        <f t="array" ref="AG864">IF($D864&lt;COLUMNS($F$7:AG$7),"",INDEX(TableDiv[[GASB]:[GASB]],_xlfn.AGGREGATE(15,3,(TableDiv[[Agency]:[Agency]]=$E864)/(TableDiv[[Agency]:[Agency]]=$E864)*(ROW(TableDiv[Agency])-ROW(TableDiv[[#Headers],[Agency]])),COLUMNS($F$7:AG$7))))</f>
        <v/>
      </c>
      <c r="AH864" s="2223" t="str" cm="1">
        <f t="array" ref="AH864">IF($D864&lt;COLUMNS($F$7:AH$7),"",INDEX(TableDiv[[GASB]:[GASB]],_xlfn.AGGREGATE(15,3,(TableDiv[[Agency]:[Agency]]=$E864)/(TableDiv[[Agency]:[Agency]]=$E864)*(ROW(TableDiv[Agency])-ROW(TableDiv[[#Headers],[Agency]])),COLUMNS($F$7:AH$7))))</f>
        <v/>
      </c>
      <c r="AI864" s="2223" t="str" cm="1">
        <f t="array" ref="AI864">IF($D864&lt;COLUMNS($F$7:AI$7),"",INDEX(TableDiv[[GASB]:[GASB]],_xlfn.AGGREGATE(15,3,(TableDiv[[Agency]:[Agency]]=$E864)/(TableDiv[[Agency]:[Agency]]=$E864)*(ROW(TableDiv[Agency])-ROW(TableDiv[[#Headers],[Agency]])),COLUMNS($F$7:AI$7))))</f>
        <v/>
      </c>
      <c r="AJ864" s="2223" t="str" cm="1">
        <f t="array" ref="AJ864">IF($D864&lt;COLUMNS($F$7:AJ$7),"",INDEX(TableDiv[[GASB]:[GASB]],_xlfn.AGGREGATE(15,3,(TableDiv[[Agency]:[Agency]]=$E864)/(TableDiv[[Agency]:[Agency]]=$E864)*(ROW(TableDiv[Agency])-ROW(TableDiv[[#Headers],[Agency]])),COLUMNS($F$7:AJ$7))))</f>
        <v/>
      </c>
      <c r="AK864" s="2223" t="str" cm="1">
        <f t="array" ref="AK864">IF($D864&lt;COLUMNS($F$7:AK$7),"",INDEX(TableDiv[[GASB]:[GASB]],_xlfn.AGGREGATE(15,3,(TableDiv[[Agency]:[Agency]]=$E864)/(TableDiv[[Agency]:[Agency]]=$E864)*(ROW(TableDiv[Agency])-ROW(TableDiv[[#Headers],[Agency]])),COLUMNS($F$7:AK$7))))</f>
        <v/>
      </c>
      <c r="AL864" s="2223" t="str" cm="1">
        <f t="array" ref="AL864">IF($D864&lt;COLUMNS($F$7:AL$7),"",INDEX(TableDiv[[GASB]:[GASB]],_xlfn.AGGREGATE(15,3,(TableDiv[[Agency]:[Agency]]=$E864)/(TableDiv[[Agency]:[Agency]]=$E864)*(ROW(TableDiv[Agency])-ROW(TableDiv[[#Headers],[Agency]])),COLUMNS($F$7:AL$7))))</f>
        <v/>
      </c>
      <c r="AM864" s="2223" t="str" cm="1">
        <f t="array" ref="AM864">IF($D864&lt;COLUMNS($F$7:AM$7),"",INDEX(TableDiv[[GASB]:[GASB]],_xlfn.AGGREGATE(15,3,(TableDiv[[Agency]:[Agency]]=$E864)/(TableDiv[[Agency]:[Agency]]=$E864)*(ROW(TableDiv[Agency])-ROW(TableDiv[[#Headers],[Agency]])),COLUMNS($F$7:AM$7))))</f>
        <v/>
      </c>
      <c r="AN864" s="2223"/>
      <c r="AO864" s="2223"/>
      <c r="AP864" s="2223"/>
      <c r="AQ864" s="2223"/>
      <c r="AR864" s="2223"/>
      <c r="AS864" s="2223"/>
    </row>
    <row r="865" spans="1:45" x14ac:dyDescent="0.2">
      <c r="A865" s="2223"/>
      <c r="B865" s="2223"/>
      <c r="C865" s="2223"/>
      <c r="W865" s="2223" t="str" cm="1">
        <f t="array" ref="W865">IF($D865&lt;COLUMNS($F$7:W$7),"",INDEX(TableDiv[[GASB]:[GASB]],_xlfn.AGGREGATE(15,3,(TableDiv[[Agency]:[Agency]]=$E865)/(TableDiv[[Agency]:[Agency]]=$E865)*(ROW(TableDiv[Agency])-ROW(TableDiv[[#Headers],[Agency]])),COLUMNS($F$7:W$7))))</f>
        <v/>
      </c>
      <c r="X865" s="2223" t="str" cm="1">
        <f t="array" ref="X865">IF($D865&lt;COLUMNS($F$7:X$7),"",INDEX(TableDiv[[GASB]:[GASB]],_xlfn.AGGREGATE(15,3,(TableDiv[[Agency]:[Agency]]=$E865)/(TableDiv[[Agency]:[Agency]]=$E865)*(ROW(TableDiv[Agency])-ROW(TableDiv[[#Headers],[Agency]])),COLUMNS($F$7:X$7))))</f>
        <v/>
      </c>
      <c r="Y865" s="2223" t="str" cm="1">
        <f t="array" ref="Y865">IF($D865&lt;COLUMNS($F$7:Y$7),"",INDEX(TableDiv[[GASB]:[GASB]],_xlfn.AGGREGATE(15,3,(TableDiv[[Agency]:[Agency]]=$E865)/(TableDiv[[Agency]:[Agency]]=$E865)*(ROW(TableDiv[Agency])-ROW(TableDiv[[#Headers],[Agency]])),COLUMNS($F$7:Y$7))))</f>
        <v/>
      </c>
      <c r="Z865" s="2223" t="str" cm="1">
        <f t="array" ref="Z865">IF($D865&lt;COLUMNS($F$7:Z$7),"",INDEX(TableDiv[[GASB]:[GASB]],_xlfn.AGGREGATE(15,3,(TableDiv[[Agency]:[Agency]]=$E865)/(TableDiv[[Agency]:[Agency]]=$E865)*(ROW(TableDiv[Agency])-ROW(TableDiv[[#Headers],[Agency]])),COLUMNS($F$7:Z$7))))</f>
        <v/>
      </c>
      <c r="AA865" s="2223" t="str" cm="1">
        <f t="array" ref="AA865">IF($D865&lt;COLUMNS($F$7:AA$7),"",INDEX(TableDiv[[GASB]:[GASB]],_xlfn.AGGREGATE(15,3,(TableDiv[[Agency]:[Agency]]=$E865)/(TableDiv[[Agency]:[Agency]]=$E865)*(ROW(TableDiv[Agency])-ROW(TableDiv[[#Headers],[Agency]])),COLUMNS($F$7:AA$7))))</f>
        <v/>
      </c>
      <c r="AB865" s="2223" t="str" cm="1">
        <f t="array" ref="AB865">IF($D865&lt;COLUMNS($F$7:AB$7),"",INDEX(TableDiv[[GASB]:[GASB]],_xlfn.AGGREGATE(15,3,(TableDiv[[Agency]:[Agency]]=$E865)/(TableDiv[[Agency]:[Agency]]=$E865)*(ROW(TableDiv[Agency])-ROW(TableDiv[[#Headers],[Agency]])),COLUMNS($F$7:AB$7))))</f>
        <v/>
      </c>
      <c r="AC865" s="2223" t="str" cm="1">
        <f t="array" ref="AC865">IF($D865&lt;COLUMNS($F$7:AC$7),"",INDEX(TableDiv[[GASB]:[GASB]],_xlfn.AGGREGATE(15,3,(TableDiv[[Agency]:[Agency]]=$E865)/(TableDiv[[Agency]:[Agency]]=$E865)*(ROW(TableDiv[Agency])-ROW(TableDiv[[#Headers],[Agency]])),COLUMNS($F$7:AC$7))))</f>
        <v/>
      </c>
      <c r="AD865" s="2223" t="str" cm="1">
        <f t="array" ref="AD865">IF($D865&lt;COLUMNS($F$7:AD$7),"",INDEX(TableDiv[[GASB]:[GASB]],_xlfn.AGGREGATE(15,3,(TableDiv[[Agency]:[Agency]]=$E865)/(TableDiv[[Agency]:[Agency]]=$E865)*(ROW(TableDiv[Agency])-ROW(TableDiv[[#Headers],[Agency]])),COLUMNS($F$7:AD$7))))</f>
        <v/>
      </c>
      <c r="AE865" s="2223" t="str" cm="1">
        <f t="array" ref="AE865">IF($D865&lt;COLUMNS($F$7:AE$7),"",INDEX(TableDiv[[GASB]:[GASB]],_xlfn.AGGREGATE(15,3,(TableDiv[[Agency]:[Agency]]=$E865)/(TableDiv[[Agency]:[Agency]]=$E865)*(ROW(TableDiv[Agency])-ROW(TableDiv[[#Headers],[Agency]])),COLUMNS($F$7:AE$7))))</f>
        <v/>
      </c>
      <c r="AF865" s="2223" t="str" cm="1">
        <f t="array" ref="AF865">IF($D865&lt;COLUMNS($F$7:AF$7),"",INDEX(TableDiv[[GASB]:[GASB]],_xlfn.AGGREGATE(15,3,(TableDiv[[Agency]:[Agency]]=$E865)/(TableDiv[[Agency]:[Agency]]=$E865)*(ROW(TableDiv[Agency])-ROW(TableDiv[[#Headers],[Agency]])),COLUMNS($F$7:AF$7))))</f>
        <v/>
      </c>
      <c r="AG865" s="2223" t="str" cm="1">
        <f t="array" ref="AG865">IF($D865&lt;COLUMNS($F$7:AG$7),"",INDEX(TableDiv[[GASB]:[GASB]],_xlfn.AGGREGATE(15,3,(TableDiv[[Agency]:[Agency]]=$E865)/(TableDiv[[Agency]:[Agency]]=$E865)*(ROW(TableDiv[Agency])-ROW(TableDiv[[#Headers],[Agency]])),COLUMNS($F$7:AG$7))))</f>
        <v/>
      </c>
      <c r="AH865" s="2223" t="str" cm="1">
        <f t="array" ref="AH865">IF($D865&lt;COLUMNS($F$7:AH$7),"",INDEX(TableDiv[[GASB]:[GASB]],_xlfn.AGGREGATE(15,3,(TableDiv[[Agency]:[Agency]]=$E865)/(TableDiv[[Agency]:[Agency]]=$E865)*(ROW(TableDiv[Agency])-ROW(TableDiv[[#Headers],[Agency]])),COLUMNS($F$7:AH$7))))</f>
        <v/>
      </c>
      <c r="AI865" s="2223" t="str" cm="1">
        <f t="array" ref="AI865">IF($D865&lt;COLUMNS($F$7:AI$7),"",INDEX(TableDiv[[GASB]:[GASB]],_xlfn.AGGREGATE(15,3,(TableDiv[[Agency]:[Agency]]=$E865)/(TableDiv[[Agency]:[Agency]]=$E865)*(ROW(TableDiv[Agency])-ROW(TableDiv[[#Headers],[Agency]])),COLUMNS($F$7:AI$7))))</f>
        <v/>
      </c>
      <c r="AJ865" s="2223" t="str" cm="1">
        <f t="array" ref="AJ865">IF($D865&lt;COLUMNS($F$7:AJ$7),"",INDEX(TableDiv[[GASB]:[GASB]],_xlfn.AGGREGATE(15,3,(TableDiv[[Agency]:[Agency]]=$E865)/(TableDiv[[Agency]:[Agency]]=$E865)*(ROW(TableDiv[Agency])-ROW(TableDiv[[#Headers],[Agency]])),COLUMNS($F$7:AJ$7))))</f>
        <v/>
      </c>
      <c r="AK865" s="2223" t="str" cm="1">
        <f t="array" ref="AK865">IF($D865&lt;COLUMNS($F$7:AK$7),"",INDEX(TableDiv[[GASB]:[GASB]],_xlfn.AGGREGATE(15,3,(TableDiv[[Agency]:[Agency]]=$E865)/(TableDiv[[Agency]:[Agency]]=$E865)*(ROW(TableDiv[Agency])-ROW(TableDiv[[#Headers],[Agency]])),COLUMNS($F$7:AK$7))))</f>
        <v/>
      </c>
      <c r="AL865" s="2223" t="str" cm="1">
        <f t="array" ref="AL865">IF($D865&lt;COLUMNS($F$7:AL$7),"",INDEX(TableDiv[[GASB]:[GASB]],_xlfn.AGGREGATE(15,3,(TableDiv[[Agency]:[Agency]]=$E865)/(TableDiv[[Agency]:[Agency]]=$E865)*(ROW(TableDiv[Agency])-ROW(TableDiv[[#Headers],[Agency]])),COLUMNS($F$7:AL$7))))</f>
        <v/>
      </c>
      <c r="AM865" s="2223" t="str" cm="1">
        <f t="array" ref="AM865">IF($D865&lt;COLUMNS($F$7:AM$7),"",INDEX(TableDiv[[GASB]:[GASB]],_xlfn.AGGREGATE(15,3,(TableDiv[[Agency]:[Agency]]=$E865)/(TableDiv[[Agency]:[Agency]]=$E865)*(ROW(TableDiv[Agency])-ROW(TableDiv[[#Headers],[Agency]])),COLUMNS($F$7:AM$7))))</f>
        <v/>
      </c>
      <c r="AN865" s="2223"/>
      <c r="AO865" s="2223"/>
      <c r="AP865" s="2223"/>
      <c r="AQ865" s="2223"/>
      <c r="AR865" s="2223"/>
      <c r="AS865" s="2223"/>
    </row>
    <row r="866" spans="1:45" x14ac:dyDescent="0.2">
      <c r="A866" s="2223"/>
      <c r="B866" s="2223"/>
      <c r="C866" s="2223"/>
      <c r="W866" s="2223" t="str" cm="1">
        <f t="array" ref="W866">IF($D866&lt;COLUMNS($F$7:W$7),"",INDEX(TableDiv[[GASB]:[GASB]],_xlfn.AGGREGATE(15,3,(TableDiv[[Agency]:[Agency]]=$E866)/(TableDiv[[Agency]:[Agency]]=$E866)*(ROW(TableDiv[Agency])-ROW(TableDiv[[#Headers],[Agency]])),COLUMNS($F$7:W$7))))</f>
        <v/>
      </c>
      <c r="X866" s="2223" t="str" cm="1">
        <f t="array" ref="X866">IF($D866&lt;COLUMNS($F$7:X$7),"",INDEX(TableDiv[[GASB]:[GASB]],_xlfn.AGGREGATE(15,3,(TableDiv[[Agency]:[Agency]]=$E866)/(TableDiv[[Agency]:[Agency]]=$E866)*(ROW(TableDiv[Agency])-ROW(TableDiv[[#Headers],[Agency]])),COLUMNS($F$7:X$7))))</f>
        <v/>
      </c>
      <c r="Y866" s="2223" t="str" cm="1">
        <f t="array" ref="Y866">IF($D866&lt;COLUMNS($F$7:Y$7),"",INDEX(TableDiv[[GASB]:[GASB]],_xlfn.AGGREGATE(15,3,(TableDiv[[Agency]:[Agency]]=$E866)/(TableDiv[[Agency]:[Agency]]=$E866)*(ROW(TableDiv[Agency])-ROW(TableDiv[[#Headers],[Agency]])),COLUMNS($F$7:Y$7))))</f>
        <v/>
      </c>
      <c r="Z866" s="2223" t="str" cm="1">
        <f t="array" ref="Z866">IF($D866&lt;COLUMNS($F$7:Z$7),"",INDEX(TableDiv[[GASB]:[GASB]],_xlfn.AGGREGATE(15,3,(TableDiv[[Agency]:[Agency]]=$E866)/(TableDiv[[Agency]:[Agency]]=$E866)*(ROW(TableDiv[Agency])-ROW(TableDiv[[#Headers],[Agency]])),COLUMNS($F$7:Z$7))))</f>
        <v/>
      </c>
      <c r="AA866" s="2223" t="str" cm="1">
        <f t="array" ref="AA866">IF($D866&lt;COLUMNS($F$7:AA$7),"",INDEX(TableDiv[[GASB]:[GASB]],_xlfn.AGGREGATE(15,3,(TableDiv[[Agency]:[Agency]]=$E866)/(TableDiv[[Agency]:[Agency]]=$E866)*(ROW(TableDiv[Agency])-ROW(TableDiv[[#Headers],[Agency]])),COLUMNS($F$7:AA$7))))</f>
        <v/>
      </c>
      <c r="AB866" s="2223" t="str" cm="1">
        <f t="array" ref="AB866">IF($D866&lt;COLUMNS($F$7:AB$7),"",INDEX(TableDiv[[GASB]:[GASB]],_xlfn.AGGREGATE(15,3,(TableDiv[[Agency]:[Agency]]=$E866)/(TableDiv[[Agency]:[Agency]]=$E866)*(ROW(TableDiv[Agency])-ROW(TableDiv[[#Headers],[Agency]])),COLUMNS($F$7:AB$7))))</f>
        <v/>
      </c>
      <c r="AC866" s="2223" t="str" cm="1">
        <f t="array" ref="AC866">IF($D866&lt;COLUMNS($F$7:AC$7),"",INDEX(TableDiv[[GASB]:[GASB]],_xlfn.AGGREGATE(15,3,(TableDiv[[Agency]:[Agency]]=$E866)/(TableDiv[[Agency]:[Agency]]=$E866)*(ROW(TableDiv[Agency])-ROW(TableDiv[[#Headers],[Agency]])),COLUMNS($F$7:AC$7))))</f>
        <v/>
      </c>
      <c r="AD866" s="2223" t="str" cm="1">
        <f t="array" ref="AD866">IF($D866&lt;COLUMNS($F$7:AD$7),"",INDEX(TableDiv[[GASB]:[GASB]],_xlfn.AGGREGATE(15,3,(TableDiv[[Agency]:[Agency]]=$E866)/(TableDiv[[Agency]:[Agency]]=$E866)*(ROW(TableDiv[Agency])-ROW(TableDiv[[#Headers],[Agency]])),COLUMNS($F$7:AD$7))))</f>
        <v/>
      </c>
      <c r="AE866" s="2223" t="str" cm="1">
        <f t="array" ref="AE866">IF($D866&lt;COLUMNS($F$7:AE$7),"",INDEX(TableDiv[[GASB]:[GASB]],_xlfn.AGGREGATE(15,3,(TableDiv[[Agency]:[Agency]]=$E866)/(TableDiv[[Agency]:[Agency]]=$E866)*(ROW(TableDiv[Agency])-ROW(TableDiv[[#Headers],[Agency]])),COLUMNS($F$7:AE$7))))</f>
        <v/>
      </c>
      <c r="AF866" s="2223" t="str" cm="1">
        <f t="array" ref="AF866">IF($D866&lt;COLUMNS($F$7:AF$7),"",INDEX(TableDiv[[GASB]:[GASB]],_xlfn.AGGREGATE(15,3,(TableDiv[[Agency]:[Agency]]=$E866)/(TableDiv[[Agency]:[Agency]]=$E866)*(ROW(TableDiv[Agency])-ROW(TableDiv[[#Headers],[Agency]])),COLUMNS($F$7:AF$7))))</f>
        <v/>
      </c>
      <c r="AG866" s="2223" t="str" cm="1">
        <f t="array" ref="AG866">IF($D866&lt;COLUMNS($F$7:AG$7),"",INDEX(TableDiv[[GASB]:[GASB]],_xlfn.AGGREGATE(15,3,(TableDiv[[Agency]:[Agency]]=$E866)/(TableDiv[[Agency]:[Agency]]=$E866)*(ROW(TableDiv[Agency])-ROW(TableDiv[[#Headers],[Agency]])),COLUMNS($F$7:AG$7))))</f>
        <v/>
      </c>
      <c r="AH866" s="2223" t="str" cm="1">
        <f t="array" ref="AH866">IF($D866&lt;COLUMNS($F$7:AH$7),"",INDEX(TableDiv[[GASB]:[GASB]],_xlfn.AGGREGATE(15,3,(TableDiv[[Agency]:[Agency]]=$E866)/(TableDiv[[Agency]:[Agency]]=$E866)*(ROW(TableDiv[Agency])-ROW(TableDiv[[#Headers],[Agency]])),COLUMNS($F$7:AH$7))))</f>
        <v/>
      </c>
      <c r="AI866" s="2223" t="str" cm="1">
        <f t="array" ref="AI866">IF($D866&lt;COLUMNS($F$7:AI$7),"",INDEX(TableDiv[[GASB]:[GASB]],_xlfn.AGGREGATE(15,3,(TableDiv[[Agency]:[Agency]]=$E866)/(TableDiv[[Agency]:[Agency]]=$E866)*(ROW(TableDiv[Agency])-ROW(TableDiv[[#Headers],[Agency]])),COLUMNS($F$7:AI$7))))</f>
        <v/>
      </c>
      <c r="AJ866" s="2223" t="str" cm="1">
        <f t="array" ref="AJ866">IF($D866&lt;COLUMNS($F$7:AJ$7),"",INDEX(TableDiv[[GASB]:[GASB]],_xlfn.AGGREGATE(15,3,(TableDiv[[Agency]:[Agency]]=$E866)/(TableDiv[[Agency]:[Agency]]=$E866)*(ROW(TableDiv[Agency])-ROW(TableDiv[[#Headers],[Agency]])),COLUMNS($F$7:AJ$7))))</f>
        <v/>
      </c>
      <c r="AK866" s="2223" t="str" cm="1">
        <f t="array" ref="AK866">IF($D866&lt;COLUMNS($F$7:AK$7),"",INDEX(TableDiv[[GASB]:[GASB]],_xlfn.AGGREGATE(15,3,(TableDiv[[Agency]:[Agency]]=$E866)/(TableDiv[[Agency]:[Agency]]=$E866)*(ROW(TableDiv[Agency])-ROW(TableDiv[[#Headers],[Agency]])),COLUMNS($F$7:AK$7))))</f>
        <v/>
      </c>
      <c r="AL866" s="2223" t="str" cm="1">
        <f t="array" ref="AL866">IF($D866&lt;COLUMNS($F$7:AL$7),"",INDEX(TableDiv[[GASB]:[GASB]],_xlfn.AGGREGATE(15,3,(TableDiv[[Agency]:[Agency]]=$E866)/(TableDiv[[Agency]:[Agency]]=$E866)*(ROW(TableDiv[Agency])-ROW(TableDiv[[#Headers],[Agency]])),COLUMNS($F$7:AL$7))))</f>
        <v/>
      </c>
      <c r="AM866" s="2223" t="str" cm="1">
        <f t="array" ref="AM866">IF($D866&lt;COLUMNS($F$7:AM$7),"",INDEX(TableDiv[[GASB]:[GASB]],_xlfn.AGGREGATE(15,3,(TableDiv[[Agency]:[Agency]]=$E866)/(TableDiv[[Agency]:[Agency]]=$E866)*(ROW(TableDiv[Agency])-ROW(TableDiv[[#Headers],[Agency]])),COLUMNS($F$7:AM$7))))</f>
        <v/>
      </c>
      <c r="AN866" s="2223"/>
      <c r="AO866" s="2223"/>
      <c r="AP866" s="2223"/>
      <c r="AQ866" s="2223"/>
      <c r="AR866" s="2223"/>
      <c r="AS866" s="2223"/>
    </row>
    <row r="867" spans="1:45" x14ac:dyDescent="0.2">
      <c r="A867" s="2223"/>
      <c r="B867" s="2223"/>
      <c r="C867" s="2223"/>
      <c r="W867" s="2223" t="str" cm="1">
        <f t="array" ref="W867">IF($D867&lt;COLUMNS($F$7:W$7),"",INDEX(TableDiv[[GASB]:[GASB]],_xlfn.AGGREGATE(15,3,(TableDiv[[Agency]:[Agency]]=$E867)/(TableDiv[[Agency]:[Agency]]=$E867)*(ROW(TableDiv[Agency])-ROW(TableDiv[[#Headers],[Agency]])),COLUMNS($F$7:W$7))))</f>
        <v/>
      </c>
      <c r="X867" s="2223" t="str" cm="1">
        <f t="array" ref="X867">IF($D867&lt;COLUMNS($F$7:X$7),"",INDEX(TableDiv[[GASB]:[GASB]],_xlfn.AGGREGATE(15,3,(TableDiv[[Agency]:[Agency]]=$E867)/(TableDiv[[Agency]:[Agency]]=$E867)*(ROW(TableDiv[Agency])-ROW(TableDiv[[#Headers],[Agency]])),COLUMNS($F$7:X$7))))</f>
        <v/>
      </c>
      <c r="Y867" s="2223" t="str" cm="1">
        <f t="array" ref="Y867">IF($D867&lt;COLUMNS($F$7:Y$7),"",INDEX(TableDiv[[GASB]:[GASB]],_xlfn.AGGREGATE(15,3,(TableDiv[[Agency]:[Agency]]=$E867)/(TableDiv[[Agency]:[Agency]]=$E867)*(ROW(TableDiv[Agency])-ROW(TableDiv[[#Headers],[Agency]])),COLUMNS($F$7:Y$7))))</f>
        <v/>
      </c>
      <c r="Z867" s="2223" t="str" cm="1">
        <f t="array" ref="Z867">IF($D867&lt;COLUMNS($F$7:Z$7),"",INDEX(TableDiv[[GASB]:[GASB]],_xlfn.AGGREGATE(15,3,(TableDiv[[Agency]:[Agency]]=$E867)/(TableDiv[[Agency]:[Agency]]=$E867)*(ROW(TableDiv[Agency])-ROW(TableDiv[[#Headers],[Agency]])),COLUMNS($F$7:Z$7))))</f>
        <v/>
      </c>
      <c r="AA867" s="2223" t="str" cm="1">
        <f t="array" ref="AA867">IF($D867&lt;COLUMNS($F$7:AA$7),"",INDEX(TableDiv[[GASB]:[GASB]],_xlfn.AGGREGATE(15,3,(TableDiv[[Agency]:[Agency]]=$E867)/(TableDiv[[Agency]:[Agency]]=$E867)*(ROW(TableDiv[Agency])-ROW(TableDiv[[#Headers],[Agency]])),COLUMNS($F$7:AA$7))))</f>
        <v/>
      </c>
      <c r="AB867" s="2223" t="str" cm="1">
        <f t="array" ref="AB867">IF($D867&lt;COLUMNS($F$7:AB$7),"",INDEX(TableDiv[[GASB]:[GASB]],_xlfn.AGGREGATE(15,3,(TableDiv[[Agency]:[Agency]]=$E867)/(TableDiv[[Agency]:[Agency]]=$E867)*(ROW(TableDiv[Agency])-ROW(TableDiv[[#Headers],[Agency]])),COLUMNS($F$7:AB$7))))</f>
        <v/>
      </c>
      <c r="AC867" s="2223" t="str" cm="1">
        <f t="array" ref="AC867">IF($D867&lt;COLUMNS($F$7:AC$7),"",INDEX(TableDiv[[GASB]:[GASB]],_xlfn.AGGREGATE(15,3,(TableDiv[[Agency]:[Agency]]=$E867)/(TableDiv[[Agency]:[Agency]]=$E867)*(ROW(TableDiv[Agency])-ROW(TableDiv[[#Headers],[Agency]])),COLUMNS($F$7:AC$7))))</f>
        <v/>
      </c>
      <c r="AD867" s="2223" t="str" cm="1">
        <f t="array" ref="AD867">IF($D867&lt;COLUMNS($F$7:AD$7),"",INDEX(TableDiv[[GASB]:[GASB]],_xlfn.AGGREGATE(15,3,(TableDiv[[Agency]:[Agency]]=$E867)/(TableDiv[[Agency]:[Agency]]=$E867)*(ROW(TableDiv[Agency])-ROW(TableDiv[[#Headers],[Agency]])),COLUMNS($F$7:AD$7))))</f>
        <v/>
      </c>
      <c r="AE867" s="2223" t="str" cm="1">
        <f t="array" ref="AE867">IF($D867&lt;COLUMNS($F$7:AE$7),"",INDEX(TableDiv[[GASB]:[GASB]],_xlfn.AGGREGATE(15,3,(TableDiv[[Agency]:[Agency]]=$E867)/(TableDiv[[Agency]:[Agency]]=$E867)*(ROW(TableDiv[Agency])-ROW(TableDiv[[#Headers],[Agency]])),COLUMNS($F$7:AE$7))))</f>
        <v/>
      </c>
      <c r="AF867" s="2223" t="str" cm="1">
        <f t="array" ref="AF867">IF($D867&lt;COLUMNS($F$7:AF$7),"",INDEX(TableDiv[[GASB]:[GASB]],_xlfn.AGGREGATE(15,3,(TableDiv[[Agency]:[Agency]]=$E867)/(TableDiv[[Agency]:[Agency]]=$E867)*(ROW(TableDiv[Agency])-ROW(TableDiv[[#Headers],[Agency]])),COLUMNS($F$7:AF$7))))</f>
        <v/>
      </c>
      <c r="AG867" s="2223" t="str" cm="1">
        <f t="array" ref="AG867">IF($D867&lt;COLUMNS($F$7:AG$7),"",INDEX(TableDiv[[GASB]:[GASB]],_xlfn.AGGREGATE(15,3,(TableDiv[[Agency]:[Agency]]=$E867)/(TableDiv[[Agency]:[Agency]]=$E867)*(ROW(TableDiv[Agency])-ROW(TableDiv[[#Headers],[Agency]])),COLUMNS($F$7:AG$7))))</f>
        <v/>
      </c>
      <c r="AH867" s="2223" t="str" cm="1">
        <f t="array" ref="AH867">IF($D867&lt;COLUMNS($F$7:AH$7),"",INDEX(TableDiv[[GASB]:[GASB]],_xlfn.AGGREGATE(15,3,(TableDiv[[Agency]:[Agency]]=$E867)/(TableDiv[[Agency]:[Agency]]=$E867)*(ROW(TableDiv[Agency])-ROW(TableDiv[[#Headers],[Agency]])),COLUMNS($F$7:AH$7))))</f>
        <v/>
      </c>
      <c r="AI867" s="2223" t="str" cm="1">
        <f t="array" ref="AI867">IF($D867&lt;COLUMNS($F$7:AI$7),"",INDEX(TableDiv[[GASB]:[GASB]],_xlfn.AGGREGATE(15,3,(TableDiv[[Agency]:[Agency]]=$E867)/(TableDiv[[Agency]:[Agency]]=$E867)*(ROW(TableDiv[Agency])-ROW(TableDiv[[#Headers],[Agency]])),COLUMNS($F$7:AI$7))))</f>
        <v/>
      </c>
      <c r="AJ867" s="2223" t="str" cm="1">
        <f t="array" ref="AJ867">IF($D867&lt;COLUMNS($F$7:AJ$7),"",INDEX(TableDiv[[GASB]:[GASB]],_xlfn.AGGREGATE(15,3,(TableDiv[[Agency]:[Agency]]=$E867)/(TableDiv[[Agency]:[Agency]]=$E867)*(ROW(TableDiv[Agency])-ROW(TableDiv[[#Headers],[Agency]])),COLUMNS($F$7:AJ$7))))</f>
        <v/>
      </c>
      <c r="AK867" s="2223" t="str" cm="1">
        <f t="array" ref="AK867">IF($D867&lt;COLUMNS($F$7:AK$7),"",INDEX(TableDiv[[GASB]:[GASB]],_xlfn.AGGREGATE(15,3,(TableDiv[[Agency]:[Agency]]=$E867)/(TableDiv[[Agency]:[Agency]]=$E867)*(ROW(TableDiv[Agency])-ROW(TableDiv[[#Headers],[Agency]])),COLUMNS($F$7:AK$7))))</f>
        <v/>
      </c>
      <c r="AL867" s="2223" t="str" cm="1">
        <f t="array" ref="AL867">IF($D867&lt;COLUMNS($F$7:AL$7),"",INDEX(TableDiv[[GASB]:[GASB]],_xlfn.AGGREGATE(15,3,(TableDiv[[Agency]:[Agency]]=$E867)/(TableDiv[[Agency]:[Agency]]=$E867)*(ROW(TableDiv[Agency])-ROW(TableDiv[[#Headers],[Agency]])),COLUMNS($F$7:AL$7))))</f>
        <v/>
      </c>
      <c r="AM867" s="2223" t="str" cm="1">
        <f t="array" ref="AM867">IF($D867&lt;COLUMNS($F$7:AM$7),"",INDEX(TableDiv[[GASB]:[GASB]],_xlfn.AGGREGATE(15,3,(TableDiv[[Agency]:[Agency]]=$E867)/(TableDiv[[Agency]:[Agency]]=$E867)*(ROW(TableDiv[Agency])-ROW(TableDiv[[#Headers],[Agency]])),COLUMNS($F$7:AM$7))))</f>
        <v/>
      </c>
      <c r="AN867" s="2223"/>
      <c r="AO867" s="2223"/>
      <c r="AP867" s="2223"/>
      <c r="AQ867" s="2223"/>
      <c r="AR867" s="2223"/>
      <c r="AS867" s="2223"/>
    </row>
    <row r="868" spans="1:45" x14ac:dyDescent="0.2">
      <c r="A868" s="2223"/>
      <c r="B868" s="2223"/>
      <c r="C868" s="2223"/>
      <c r="W868" s="2223" t="str" cm="1">
        <f t="array" ref="W868">IF($D868&lt;COLUMNS($F$7:W$7),"",INDEX(TableDiv[[GASB]:[GASB]],_xlfn.AGGREGATE(15,3,(TableDiv[[Agency]:[Agency]]=$E868)/(TableDiv[[Agency]:[Agency]]=$E868)*(ROW(TableDiv[Agency])-ROW(TableDiv[[#Headers],[Agency]])),COLUMNS($F$7:W$7))))</f>
        <v/>
      </c>
      <c r="X868" s="2223" t="str" cm="1">
        <f t="array" ref="X868">IF($D868&lt;COLUMNS($F$7:X$7),"",INDEX(TableDiv[[GASB]:[GASB]],_xlfn.AGGREGATE(15,3,(TableDiv[[Agency]:[Agency]]=$E868)/(TableDiv[[Agency]:[Agency]]=$E868)*(ROW(TableDiv[Agency])-ROW(TableDiv[[#Headers],[Agency]])),COLUMNS($F$7:X$7))))</f>
        <v/>
      </c>
      <c r="Y868" s="2223" t="str" cm="1">
        <f t="array" ref="Y868">IF($D868&lt;COLUMNS($F$7:Y$7),"",INDEX(TableDiv[[GASB]:[GASB]],_xlfn.AGGREGATE(15,3,(TableDiv[[Agency]:[Agency]]=$E868)/(TableDiv[[Agency]:[Agency]]=$E868)*(ROW(TableDiv[Agency])-ROW(TableDiv[[#Headers],[Agency]])),COLUMNS($F$7:Y$7))))</f>
        <v/>
      </c>
      <c r="Z868" s="2223" t="str" cm="1">
        <f t="array" ref="Z868">IF($D868&lt;COLUMNS($F$7:Z$7),"",INDEX(TableDiv[[GASB]:[GASB]],_xlfn.AGGREGATE(15,3,(TableDiv[[Agency]:[Agency]]=$E868)/(TableDiv[[Agency]:[Agency]]=$E868)*(ROW(TableDiv[Agency])-ROW(TableDiv[[#Headers],[Agency]])),COLUMNS($F$7:Z$7))))</f>
        <v/>
      </c>
      <c r="AA868" s="2223" t="str" cm="1">
        <f t="array" ref="AA868">IF($D868&lt;COLUMNS($F$7:AA$7),"",INDEX(TableDiv[[GASB]:[GASB]],_xlfn.AGGREGATE(15,3,(TableDiv[[Agency]:[Agency]]=$E868)/(TableDiv[[Agency]:[Agency]]=$E868)*(ROW(TableDiv[Agency])-ROW(TableDiv[[#Headers],[Agency]])),COLUMNS($F$7:AA$7))))</f>
        <v/>
      </c>
      <c r="AB868" s="2223" t="str" cm="1">
        <f t="array" ref="AB868">IF($D868&lt;COLUMNS($F$7:AB$7),"",INDEX(TableDiv[[GASB]:[GASB]],_xlfn.AGGREGATE(15,3,(TableDiv[[Agency]:[Agency]]=$E868)/(TableDiv[[Agency]:[Agency]]=$E868)*(ROW(TableDiv[Agency])-ROW(TableDiv[[#Headers],[Agency]])),COLUMNS($F$7:AB$7))))</f>
        <v/>
      </c>
      <c r="AC868" s="2223" t="str" cm="1">
        <f t="array" ref="AC868">IF($D868&lt;COLUMNS($F$7:AC$7),"",INDEX(TableDiv[[GASB]:[GASB]],_xlfn.AGGREGATE(15,3,(TableDiv[[Agency]:[Agency]]=$E868)/(TableDiv[[Agency]:[Agency]]=$E868)*(ROW(TableDiv[Agency])-ROW(TableDiv[[#Headers],[Agency]])),COLUMNS($F$7:AC$7))))</f>
        <v/>
      </c>
      <c r="AD868" s="2223" t="str" cm="1">
        <f t="array" ref="AD868">IF($D868&lt;COLUMNS($F$7:AD$7),"",INDEX(TableDiv[[GASB]:[GASB]],_xlfn.AGGREGATE(15,3,(TableDiv[[Agency]:[Agency]]=$E868)/(TableDiv[[Agency]:[Agency]]=$E868)*(ROW(TableDiv[Agency])-ROW(TableDiv[[#Headers],[Agency]])),COLUMNS($F$7:AD$7))))</f>
        <v/>
      </c>
      <c r="AE868" s="2223" t="str" cm="1">
        <f t="array" ref="AE868">IF($D868&lt;COLUMNS($F$7:AE$7),"",INDEX(TableDiv[[GASB]:[GASB]],_xlfn.AGGREGATE(15,3,(TableDiv[[Agency]:[Agency]]=$E868)/(TableDiv[[Agency]:[Agency]]=$E868)*(ROW(TableDiv[Agency])-ROW(TableDiv[[#Headers],[Agency]])),COLUMNS($F$7:AE$7))))</f>
        <v/>
      </c>
      <c r="AF868" s="2223" t="str" cm="1">
        <f t="array" ref="AF868">IF($D868&lt;COLUMNS($F$7:AF$7),"",INDEX(TableDiv[[GASB]:[GASB]],_xlfn.AGGREGATE(15,3,(TableDiv[[Agency]:[Agency]]=$E868)/(TableDiv[[Agency]:[Agency]]=$E868)*(ROW(TableDiv[Agency])-ROW(TableDiv[[#Headers],[Agency]])),COLUMNS($F$7:AF$7))))</f>
        <v/>
      </c>
      <c r="AG868" s="2223" t="str" cm="1">
        <f t="array" ref="AG868">IF($D868&lt;COLUMNS($F$7:AG$7),"",INDEX(TableDiv[[GASB]:[GASB]],_xlfn.AGGREGATE(15,3,(TableDiv[[Agency]:[Agency]]=$E868)/(TableDiv[[Agency]:[Agency]]=$E868)*(ROW(TableDiv[Agency])-ROW(TableDiv[[#Headers],[Agency]])),COLUMNS($F$7:AG$7))))</f>
        <v/>
      </c>
      <c r="AH868" s="2223" t="str" cm="1">
        <f t="array" ref="AH868">IF($D868&lt;COLUMNS($F$7:AH$7),"",INDEX(TableDiv[[GASB]:[GASB]],_xlfn.AGGREGATE(15,3,(TableDiv[[Agency]:[Agency]]=$E868)/(TableDiv[[Agency]:[Agency]]=$E868)*(ROW(TableDiv[Agency])-ROW(TableDiv[[#Headers],[Agency]])),COLUMNS($F$7:AH$7))))</f>
        <v/>
      </c>
      <c r="AI868" s="2223" t="str" cm="1">
        <f t="array" ref="AI868">IF($D868&lt;COLUMNS($F$7:AI$7),"",INDEX(TableDiv[[GASB]:[GASB]],_xlfn.AGGREGATE(15,3,(TableDiv[[Agency]:[Agency]]=$E868)/(TableDiv[[Agency]:[Agency]]=$E868)*(ROW(TableDiv[Agency])-ROW(TableDiv[[#Headers],[Agency]])),COLUMNS($F$7:AI$7))))</f>
        <v/>
      </c>
      <c r="AJ868" s="2223" t="str" cm="1">
        <f t="array" ref="AJ868">IF($D868&lt;COLUMNS($F$7:AJ$7),"",INDEX(TableDiv[[GASB]:[GASB]],_xlfn.AGGREGATE(15,3,(TableDiv[[Agency]:[Agency]]=$E868)/(TableDiv[[Agency]:[Agency]]=$E868)*(ROW(TableDiv[Agency])-ROW(TableDiv[[#Headers],[Agency]])),COLUMNS($F$7:AJ$7))))</f>
        <v/>
      </c>
      <c r="AK868" s="2223" t="str" cm="1">
        <f t="array" ref="AK868">IF($D868&lt;COLUMNS($F$7:AK$7),"",INDEX(TableDiv[[GASB]:[GASB]],_xlfn.AGGREGATE(15,3,(TableDiv[[Agency]:[Agency]]=$E868)/(TableDiv[[Agency]:[Agency]]=$E868)*(ROW(TableDiv[Agency])-ROW(TableDiv[[#Headers],[Agency]])),COLUMNS($F$7:AK$7))))</f>
        <v/>
      </c>
      <c r="AL868" s="2223" t="str" cm="1">
        <f t="array" ref="AL868">IF($D868&lt;COLUMNS($F$7:AL$7),"",INDEX(TableDiv[[GASB]:[GASB]],_xlfn.AGGREGATE(15,3,(TableDiv[[Agency]:[Agency]]=$E868)/(TableDiv[[Agency]:[Agency]]=$E868)*(ROW(TableDiv[Agency])-ROW(TableDiv[[#Headers],[Agency]])),COLUMNS($F$7:AL$7))))</f>
        <v/>
      </c>
      <c r="AM868" s="2223" t="str" cm="1">
        <f t="array" ref="AM868">IF($D868&lt;COLUMNS($F$7:AM$7),"",INDEX(TableDiv[[GASB]:[GASB]],_xlfn.AGGREGATE(15,3,(TableDiv[[Agency]:[Agency]]=$E868)/(TableDiv[[Agency]:[Agency]]=$E868)*(ROW(TableDiv[Agency])-ROW(TableDiv[[#Headers],[Agency]])),COLUMNS($F$7:AM$7))))</f>
        <v/>
      </c>
      <c r="AN868" s="2223"/>
      <c r="AO868" s="2223"/>
      <c r="AP868" s="2223"/>
      <c r="AQ868" s="2223"/>
      <c r="AR868" s="2223"/>
      <c r="AS868" s="2223"/>
    </row>
    <row r="869" spans="1:45" x14ac:dyDescent="0.2">
      <c r="A869" s="2223"/>
      <c r="B869" s="2223"/>
      <c r="C869" s="2223"/>
      <c r="W869" s="2223" t="str" cm="1">
        <f t="array" ref="W869">IF($D869&lt;COLUMNS($F$7:W$7),"",INDEX(TableDiv[[GASB]:[GASB]],_xlfn.AGGREGATE(15,3,(TableDiv[[Agency]:[Agency]]=$E869)/(TableDiv[[Agency]:[Agency]]=$E869)*(ROW(TableDiv[Agency])-ROW(TableDiv[[#Headers],[Agency]])),COLUMNS($F$7:W$7))))</f>
        <v/>
      </c>
      <c r="X869" s="2223" t="str" cm="1">
        <f t="array" ref="X869">IF($D869&lt;COLUMNS($F$7:X$7),"",INDEX(TableDiv[[GASB]:[GASB]],_xlfn.AGGREGATE(15,3,(TableDiv[[Agency]:[Agency]]=$E869)/(TableDiv[[Agency]:[Agency]]=$E869)*(ROW(TableDiv[Agency])-ROW(TableDiv[[#Headers],[Agency]])),COLUMNS($F$7:X$7))))</f>
        <v/>
      </c>
      <c r="Y869" s="2223" t="str" cm="1">
        <f t="array" ref="Y869">IF($D869&lt;COLUMNS($F$7:Y$7),"",INDEX(TableDiv[[GASB]:[GASB]],_xlfn.AGGREGATE(15,3,(TableDiv[[Agency]:[Agency]]=$E869)/(TableDiv[[Agency]:[Agency]]=$E869)*(ROW(TableDiv[Agency])-ROW(TableDiv[[#Headers],[Agency]])),COLUMNS($F$7:Y$7))))</f>
        <v/>
      </c>
      <c r="Z869" s="2223" t="str" cm="1">
        <f t="array" ref="Z869">IF($D869&lt;COLUMNS($F$7:Z$7),"",INDEX(TableDiv[[GASB]:[GASB]],_xlfn.AGGREGATE(15,3,(TableDiv[[Agency]:[Agency]]=$E869)/(TableDiv[[Agency]:[Agency]]=$E869)*(ROW(TableDiv[Agency])-ROW(TableDiv[[#Headers],[Agency]])),COLUMNS($F$7:Z$7))))</f>
        <v/>
      </c>
      <c r="AA869" s="2223" t="str" cm="1">
        <f t="array" ref="AA869">IF($D869&lt;COLUMNS($F$7:AA$7),"",INDEX(TableDiv[[GASB]:[GASB]],_xlfn.AGGREGATE(15,3,(TableDiv[[Agency]:[Agency]]=$E869)/(TableDiv[[Agency]:[Agency]]=$E869)*(ROW(TableDiv[Agency])-ROW(TableDiv[[#Headers],[Agency]])),COLUMNS($F$7:AA$7))))</f>
        <v/>
      </c>
      <c r="AB869" s="2223" t="str" cm="1">
        <f t="array" ref="AB869">IF($D869&lt;COLUMNS($F$7:AB$7),"",INDEX(TableDiv[[GASB]:[GASB]],_xlfn.AGGREGATE(15,3,(TableDiv[[Agency]:[Agency]]=$E869)/(TableDiv[[Agency]:[Agency]]=$E869)*(ROW(TableDiv[Agency])-ROW(TableDiv[[#Headers],[Agency]])),COLUMNS($F$7:AB$7))))</f>
        <v/>
      </c>
      <c r="AC869" s="2223" t="str" cm="1">
        <f t="array" ref="AC869">IF($D869&lt;COLUMNS($F$7:AC$7),"",INDEX(TableDiv[[GASB]:[GASB]],_xlfn.AGGREGATE(15,3,(TableDiv[[Agency]:[Agency]]=$E869)/(TableDiv[[Agency]:[Agency]]=$E869)*(ROW(TableDiv[Agency])-ROW(TableDiv[[#Headers],[Agency]])),COLUMNS($F$7:AC$7))))</f>
        <v/>
      </c>
      <c r="AD869" s="2223" t="str" cm="1">
        <f t="array" ref="AD869">IF($D869&lt;COLUMNS($F$7:AD$7),"",INDEX(TableDiv[[GASB]:[GASB]],_xlfn.AGGREGATE(15,3,(TableDiv[[Agency]:[Agency]]=$E869)/(TableDiv[[Agency]:[Agency]]=$E869)*(ROW(TableDiv[Agency])-ROW(TableDiv[[#Headers],[Agency]])),COLUMNS($F$7:AD$7))))</f>
        <v/>
      </c>
      <c r="AE869" s="2223" t="str" cm="1">
        <f t="array" ref="AE869">IF($D869&lt;COLUMNS($F$7:AE$7),"",INDEX(TableDiv[[GASB]:[GASB]],_xlfn.AGGREGATE(15,3,(TableDiv[[Agency]:[Agency]]=$E869)/(TableDiv[[Agency]:[Agency]]=$E869)*(ROW(TableDiv[Agency])-ROW(TableDiv[[#Headers],[Agency]])),COLUMNS($F$7:AE$7))))</f>
        <v/>
      </c>
      <c r="AF869" s="2223" t="str" cm="1">
        <f t="array" ref="AF869">IF($D869&lt;COLUMNS($F$7:AF$7),"",INDEX(TableDiv[[GASB]:[GASB]],_xlfn.AGGREGATE(15,3,(TableDiv[[Agency]:[Agency]]=$E869)/(TableDiv[[Agency]:[Agency]]=$E869)*(ROW(TableDiv[Agency])-ROW(TableDiv[[#Headers],[Agency]])),COLUMNS($F$7:AF$7))))</f>
        <v/>
      </c>
      <c r="AG869" s="2223" t="str" cm="1">
        <f t="array" ref="AG869">IF($D869&lt;COLUMNS($F$7:AG$7),"",INDEX(TableDiv[[GASB]:[GASB]],_xlfn.AGGREGATE(15,3,(TableDiv[[Agency]:[Agency]]=$E869)/(TableDiv[[Agency]:[Agency]]=$E869)*(ROW(TableDiv[Agency])-ROW(TableDiv[[#Headers],[Agency]])),COLUMNS($F$7:AG$7))))</f>
        <v/>
      </c>
      <c r="AH869" s="2223" t="str" cm="1">
        <f t="array" ref="AH869">IF($D869&lt;COLUMNS($F$7:AH$7),"",INDEX(TableDiv[[GASB]:[GASB]],_xlfn.AGGREGATE(15,3,(TableDiv[[Agency]:[Agency]]=$E869)/(TableDiv[[Agency]:[Agency]]=$E869)*(ROW(TableDiv[Agency])-ROW(TableDiv[[#Headers],[Agency]])),COLUMNS($F$7:AH$7))))</f>
        <v/>
      </c>
      <c r="AI869" s="2223" t="str" cm="1">
        <f t="array" ref="AI869">IF($D869&lt;COLUMNS($F$7:AI$7),"",INDEX(TableDiv[[GASB]:[GASB]],_xlfn.AGGREGATE(15,3,(TableDiv[[Agency]:[Agency]]=$E869)/(TableDiv[[Agency]:[Agency]]=$E869)*(ROW(TableDiv[Agency])-ROW(TableDiv[[#Headers],[Agency]])),COLUMNS($F$7:AI$7))))</f>
        <v/>
      </c>
      <c r="AJ869" s="2223" t="str" cm="1">
        <f t="array" ref="AJ869">IF($D869&lt;COLUMNS($F$7:AJ$7),"",INDEX(TableDiv[[GASB]:[GASB]],_xlfn.AGGREGATE(15,3,(TableDiv[[Agency]:[Agency]]=$E869)/(TableDiv[[Agency]:[Agency]]=$E869)*(ROW(TableDiv[Agency])-ROW(TableDiv[[#Headers],[Agency]])),COLUMNS($F$7:AJ$7))))</f>
        <v/>
      </c>
      <c r="AK869" s="2223" t="str" cm="1">
        <f t="array" ref="AK869">IF($D869&lt;COLUMNS($F$7:AK$7),"",INDEX(TableDiv[[GASB]:[GASB]],_xlfn.AGGREGATE(15,3,(TableDiv[[Agency]:[Agency]]=$E869)/(TableDiv[[Agency]:[Agency]]=$E869)*(ROW(TableDiv[Agency])-ROW(TableDiv[[#Headers],[Agency]])),COLUMNS($F$7:AK$7))))</f>
        <v/>
      </c>
      <c r="AL869" s="2223" t="str" cm="1">
        <f t="array" ref="AL869">IF($D869&lt;COLUMNS($F$7:AL$7),"",INDEX(TableDiv[[GASB]:[GASB]],_xlfn.AGGREGATE(15,3,(TableDiv[[Agency]:[Agency]]=$E869)/(TableDiv[[Agency]:[Agency]]=$E869)*(ROW(TableDiv[Agency])-ROW(TableDiv[[#Headers],[Agency]])),COLUMNS($F$7:AL$7))))</f>
        <v/>
      </c>
      <c r="AM869" s="2223" t="str" cm="1">
        <f t="array" ref="AM869">IF($D869&lt;COLUMNS($F$7:AM$7),"",INDEX(TableDiv[[GASB]:[GASB]],_xlfn.AGGREGATE(15,3,(TableDiv[[Agency]:[Agency]]=$E869)/(TableDiv[[Agency]:[Agency]]=$E869)*(ROW(TableDiv[Agency])-ROW(TableDiv[[#Headers],[Agency]])),COLUMNS($F$7:AM$7))))</f>
        <v/>
      </c>
      <c r="AN869" s="2223"/>
      <c r="AO869" s="2223"/>
      <c r="AP869" s="2223"/>
      <c r="AQ869" s="2223"/>
      <c r="AR869" s="2223"/>
      <c r="AS869" s="2223"/>
    </row>
    <row r="870" spans="1:45" x14ac:dyDescent="0.2">
      <c r="A870" s="2223"/>
      <c r="B870" s="2223"/>
      <c r="C870" s="2223"/>
      <c r="W870" s="2223" t="str" cm="1">
        <f t="array" ref="W870">IF($D870&lt;COLUMNS($F$7:W$7),"",INDEX(TableDiv[[GASB]:[GASB]],_xlfn.AGGREGATE(15,3,(TableDiv[[Agency]:[Agency]]=$E870)/(TableDiv[[Agency]:[Agency]]=$E870)*(ROW(TableDiv[Agency])-ROW(TableDiv[[#Headers],[Agency]])),COLUMNS($F$7:W$7))))</f>
        <v/>
      </c>
      <c r="X870" s="2223" t="str" cm="1">
        <f t="array" ref="X870">IF($D870&lt;COLUMNS($F$7:X$7),"",INDEX(TableDiv[[GASB]:[GASB]],_xlfn.AGGREGATE(15,3,(TableDiv[[Agency]:[Agency]]=$E870)/(TableDiv[[Agency]:[Agency]]=$E870)*(ROW(TableDiv[Agency])-ROW(TableDiv[[#Headers],[Agency]])),COLUMNS($F$7:X$7))))</f>
        <v/>
      </c>
      <c r="Y870" s="2223" t="str" cm="1">
        <f t="array" ref="Y870">IF($D870&lt;COLUMNS($F$7:Y$7),"",INDEX(TableDiv[[GASB]:[GASB]],_xlfn.AGGREGATE(15,3,(TableDiv[[Agency]:[Agency]]=$E870)/(TableDiv[[Agency]:[Agency]]=$E870)*(ROW(TableDiv[Agency])-ROW(TableDiv[[#Headers],[Agency]])),COLUMNS($F$7:Y$7))))</f>
        <v/>
      </c>
      <c r="Z870" s="2223" t="str" cm="1">
        <f t="array" ref="Z870">IF($D870&lt;COLUMNS($F$7:Z$7),"",INDEX(TableDiv[[GASB]:[GASB]],_xlfn.AGGREGATE(15,3,(TableDiv[[Agency]:[Agency]]=$E870)/(TableDiv[[Agency]:[Agency]]=$E870)*(ROW(TableDiv[Agency])-ROW(TableDiv[[#Headers],[Agency]])),COLUMNS($F$7:Z$7))))</f>
        <v/>
      </c>
      <c r="AA870" s="2223" t="str" cm="1">
        <f t="array" ref="AA870">IF($D870&lt;COLUMNS($F$7:AA$7),"",INDEX(TableDiv[[GASB]:[GASB]],_xlfn.AGGREGATE(15,3,(TableDiv[[Agency]:[Agency]]=$E870)/(TableDiv[[Agency]:[Agency]]=$E870)*(ROW(TableDiv[Agency])-ROW(TableDiv[[#Headers],[Agency]])),COLUMNS($F$7:AA$7))))</f>
        <v/>
      </c>
      <c r="AB870" s="2223" t="str" cm="1">
        <f t="array" ref="AB870">IF($D870&lt;COLUMNS($F$7:AB$7),"",INDEX(TableDiv[[GASB]:[GASB]],_xlfn.AGGREGATE(15,3,(TableDiv[[Agency]:[Agency]]=$E870)/(TableDiv[[Agency]:[Agency]]=$E870)*(ROW(TableDiv[Agency])-ROW(TableDiv[[#Headers],[Agency]])),COLUMNS($F$7:AB$7))))</f>
        <v/>
      </c>
      <c r="AC870" s="2223" t="str" cm="1">
        <f t="array" ref="AC870">IF($D870&lt;COLUMNS($F$7:AC$7),"",INDEX(TableDiv[[GASB]:[GASB]],_xlfn.AGGREGATE(15,3,(TableDiv[[Agency]:[Agency]]=$E870)/(TableDiv[[Agency]:[Agency]]=$E870)*(ROW(TableDiv[Agency])-ROW(TableDiv[[#Headers],[Agency]])),COLUMNS($F$7:AC$7))))</f>
        <v/>
      </c>
      <c r="AD870" s="2223" t="str" cm="1">
        <f t="array" ref="AD870">IF($D870&lt;COLUMNS($F$7:AD$7),"",INDEX(TableDiv[[GASB]:[GASB]],_xlfn.AGGREGATE(15,3,(TableDiv[[Agency]:[Agency]]=$E870)/(TableDiv[[Agency]:[Agency]]=$E870)*(ROW(TableDiv[Agency])-ROW(TableDiv[[#Headers],[Agency]])),COLUMNS($F$7:AD$7))))</f>
        <v/>
      </c>
      <c r="AE870" s="2223" t="str" cm="1">
        <f t="array" ref="AE870">IF($D870&lt;COLUMNS($F$7:AE$7),"",INDEX(TableDiv[[GASB]:[GASB]],_xlfn.AGGREGATE(15,3,(TableDiv[[Agency]:[Agency]]=$E870)/(TableDiv[[Agency]:[Agency]]=$E870)*(ROW(TableDiv[Agency])-ROW(TableDiv[[#Headers],[Agency]])),COLUMNS($F$7:AE$7))))</f>
        <v/>
      </c>
      <c r="AF870" s="2223" t="str" cm="1">
        <f t="array" ref="AF870">IF($D870&lt;COLUMNS($F$7:AF$7),"",INDEX(TableDiv[[GASB]:[GASB]],_xlfn.AGGREGATE(15,3,(TableDiv[[Agency]:[Agency]]=$E870)/(TableDiv[[Agency]:[Agency]]=$E870)*(ROW(TableDiv[Agency])-ROW(TableDiv[[#Headers],[Agency]])),COLUMNS($F$7:AF$7))))</f>
        <v/>
      </c>
      <c r="AG870" s="2223" t="str" cm="1">
        <f t="array" ref="AG870">IF($D870&lt;COLUMNS($F$7:AG$7),"",INDEX(TableDiv[[GASB]:[GASB]],_xlfn.AGGREGATE(15,3,(TableDiv[[Agency]:[Agency]]=$E870)/(TableDiv[[Agency]:[Agency]]=$E870)*(ROW(TableDiv[Agency])-ROW(TableDiv[[#Headers],[Agency]])),COLUMNS($F$7:AG$7))))</f>
        <v/>
      </c>
      <c r="AH870" s="2223" t="str" cm="1">
        <f t="array" ref="AH870">IF($D870&lt;COLUMNS($F$7:AH$7),"",INDEX(TableDiv[[GASB]:[GASB]],_xlfn.AGGREGATE(15,3,(TableDiv[[Agency]:[Agency]]=$E870)/(TableDiv[[Agency]:[Agency]]=$E870)*(ROW(TableDiv[Agency])-ROW(TableDiv[[#Headers],[Agency]])),COLUMNS($F$7:AH$7))))</f>
        <v/>
      </c>
      <c r="AI870" s="2223" t="str" cm="1">
        <f t="array" ref="AI870">IF($D870&lt;COLUMNS($F$7:AI$7),"",INDEX(TableDiv[[GASB]:[GASB]],_xlfn.AGGREGATE(15,3,(TableDiv[[Agency]:[Agency]]=$E870)/(TableDiv[[Agency]:[Agency]]=$E870)*(ROW(TableDiv[Agency])-ROW(TableDiv[[#Headers],[Agency]])),COLUMNS($F$7:AI$7))))</f>
        <v/>
      </c>
      <c r="AJ870" s="2223" t="str" cm="1">
        <f t="array" ref="AJ870">IF($D870&lt;COLUMNS($F$7:AJ$7),"",INDEX(TableDiv[[GASB]:[GASB]],_xlfn.AGGREGATE(15,3,(TableDiv[[Agency]:[Agency]]=$E870)/(TableDiv[[Agency]:[Agency]]=$E870)*(ROW(TableDiv[Agency])-ROW(TableDiv[[#Headers],[Agency]])),COLUMNS($F$7:AJ$7))))</f>
        <v/>
      </c>
      <c r="AK870" s="2223" t="str" cm="1">
        <f t="array" ref="AK870">IF($D870&lt;COLUMNS($F$7:AK$7),"",INDEX(TableDiv[[GASB]:[GASB]],_xlfn.AGGREGATE(15,3,(TableDiv[[Agency]:[Agency]]=$E870)/(TableDiv[[Agency]:[Agency]]=$E870)*(ROW(TableDiv[Agency])-ROW(TableDiv[[#Headers],[Agency]])),COLUMNS($F$7:AK$7))))</f>
        <v/>
      </c>
      <c r="AL870" s="2223" t="str" cm="1">
        <f t="array" ref="AL870">IF($D870&lt;COLUMNS($F$7:AL$7),"",INDEX(TableDiv[[GASB]:[GASB]],_xlfn.AGGREGATE(15,3,(TableDiv[[Agency]:[Agency]]=$E870)/(TableDiv[[Agency]:[Agency]]=$E870)*(ROW(TableDiv[Agency])-ROW(TableDiv[[#Headers],[Agency]])),COLUMNS($F$7:AL$7))))</f>
        <v/>
      </c>
      <c r="AM870" s="2223" t="str" cm="1">
        <f t="array" ref="AM870">IF($D870&lt;COLUMNS($F$7:AM$7),"",INDEX(TableDiv[[GASB]:[GASB]],_xlfn.AGGREGATE(15,3,(TableDiv[[Agency]:[Agency]]=$E870)/(TableDiv[[Agency]:[Agency]]=$E870)*(ROW(TableDiv[Agency])-ROW(TableDiv[[#Headers],[Agency]])),COLUMNS($F$7:AM$7))))</f>
        <v/>
      </c>
      <c r="AN870" s="2223"/>
      <c r="AO870" s="2223"/>
      <c r="AP870" s="2223"/>
      <c r="AQ870" s="2223"/>
      <c r="AR870" s="2223"/>
      <c r="AS870" s="2223"/>
    </row>
    <row r="871" spans="1:45" x14ac:dyDescent="0.2">
      <c r="A871" s="2223"/>
      <c r="B871" s="2223"/>
      <c r="C871" s="2223"/>
      <c r="W871" s="2223" t="str" cm="1">
        <f t="array" ref="W871">IF($D871&lt;COLUMNS($F$7:W$7),"",INDEX(TableDiv[[GASB]:[GASB]],_xlfn.AGGREGATE(15,3,(TableDiv[[Agency]:[Agency]]=$E871)/(TableDiv[[Agency]:[Agency]]=$E871)*(ROW(TableDiv[Agency])-ROW(TableDiv[[#Headers],[Agency]])),COLUMNS($F$7:W$7))))</f>
        <v/>
      </c>
      <c r="X871" s="2223" t="str" cm="1">
        <f t="array" ref="X871">IF($D871&lt;COLUMNS($F$7:X$7),"",INDEX(TableDiv[[GASB]:[GASB]],_xlfn.AGGREGATE(15,3,(TableDiv[[Agency]:[Agency]]=$E871)/(TableDiv[[Agency]:[Agency]]=$E871)*(ROW(TableDiv[Agency])-ROW(TableDiv[[#Headers],[Agency]])),COLUMNS($F$7:X$7))))</f>
        <v/>
      </c>
      <c r="Y871" s="2223" t="str" cm="1">
        <f t="array" ref="Y871">IF($D871&lt;COLUMNS($F$7:Y$7),"",INDEX(TableDiv[[GASB]:[GASB]],_xlfn.AGGREGATE(15,3,(TableDiv[[Agency]:[Agency]]=$E871)/(TableDiv[[Agency]:[Agency]]=$E871)*(ROW(TableDiv[Agency])-ROW(TableDiv[[#Headers],[Agency]])),COLUMNS($F$7:Y$7))))</f>
        <v/>
      </c>
      <c r="Z871" s="2223" t="str" cm="1">
        <f t="array" ref="Z871">IF($D871&lt;COLUMNS($F$7:Z$7),"",INDEX(TableDiv[[GASB]:[GASB]],_xlfn.AGGREGATE(15,3,(TableDiv[[Agency]:[Agency]]=$E871)/(TableDiv[[Agency]:[Agency]]=$E871)*(ROW(TableDiv[Agency])-ROW(TableDiv[[#Headers],[Agency]])),COLUMNS($F$7:Z$7))))</f>
        <v/>
      </c>
      <c r="AA871" s="2223" t="str" cm="1">
        <f t="array" ref="AA871">IF($D871&lt;COLUMNS($F$7:AA$7),"",INDEX(TableDiv[[GASB]:[GASB]],_xlfn.AGGREGATE(15,3,(TableDiv[[Agency]:[Agency]]=$E871)/(TableDiv[[Agency]:[Agency]]=$E871)*(ROW(TableDiv[Agency])-ROW(TableDiv[[#Headers],[Agency]])),COLUMNS($F$7:AA$7))))</f>
        <v/>
      </c>
      <c r="AB871" s="2223" t="str" cm="1">
        <f t="array" ref="AB871">IF($D871&lt;COLUMNS($F$7:AB$7),"",INDEX(TableDiv[[GASB]:[GASB]],_xlfn.AGGREGATE(15,3,(TableDiv[[Agency]:[Agency]]=$E871)/(TableDiv[[Agency]:[Agency]]=$E871)*(ROW(TableDiv[Agency])-ROW(TableDiv[[#Headers],[Agency]])),COLUMNS($F$7:AB$7))))</f>
        <v/>
      </c>
      <c r="AC871" s="2223" t="str" cm="1">
        <f t="array" ref="AC871">IF($D871&lt;COLUMNS($F$7:AC$7),"",INDEX(TableDiv[[GASB]:[GASB]],_xlfn.AGGREGATE(15,3,(TableDiv[[Agency]:[Agency]]=$E871)/(TableDiv[[Agency]:[Agency]]=$E871)*(ROW(TableDiv[Agency])-ROW(TableDiv[[#Headers],[Agency]])),COLUMNS($F$7:AC$7))))</f>
        <v/>
      </c>
      <c r="AD871" s="2223" t="str" cm="1">
        <f t="array" ref="AD871">IF($D871&lt;COLUMNS($F$7:AD$7),"",INDEX(TableDiv[[GASB]:[GASB]],_xlfn.AGGREGATE(15,3,(TableDiv[[Agency]:[Agency]]=$E871)/(TableDiv[[Agency]:[Agency]]=$E871)*(ROW(TableDiv[Agency])-ROW(TableDiv[[#Headers],[Agency]])),COLUMNS($F$7:AD$7))))</f>
        <v/>
      </c>
      <c r="AE871" s="2223" t="str" cm="1">
        <f t="array" ref="AE871">IF($D871&lt;COLUMNS($F$7:AE$7),"",INDEX(TableDiv[[GASB]:[GASB]],_xlfn.AGGREGATE(15,3,(TableDiv[[Agency]:[Agency]]=$E871)/(TableDiv[[Agency]:[Agency]]=$E871)*(ROW(TableDiv[Agency])-ROW(TableDiv[[#Headers],[Agency]])),COLUMNS($F$7:AE$7))))</f>
        <v/>
      </c>
      <c r="AF871" s="2223" t="str" cm="1">
        <f t="array" ref="AF871">IF($D871&lt;COLUMNS($F$7:AF$7),"",INDEX(TableDiv[[GASB]:[GASB]],_xlfn.AGGREGATE(15,3,(TableDiv[[Agency]:[Agency]]=$E871)/(TableDiv[[Agency]:[Agency]]=$E871)*(ROW(TableDiv[Agency])-ROW(TableDiv[[#Headers],[Agency]])),COLUMNS($F$7:AF$7))))</f>
        <v/>
      </c>
      <c r="AG871" s="2223" t="str" cm="1">
        <f t="array" ref="AG871">IF($D871&lt;COLUMNS($F$7:AG$7),"",INDEX(TableDiv[[GASB]:[GASB]],_xlfn.AGGREGATE(15,3,(TableDiv[[Agency]:[Agency]]=$E871)/(TableDiv[[Agency]:[Agency]]=$E871)*(ROW(TableDiv[Agency])-ROW(TableDiv[[#Headers],[Agency]])),COLUMNS($F$7:AG$7))))</f>
        <v/>
      </c>
      <c r="AH871" s="2223" t="str" cm="1">
        <f t="array" ref="AH871">IF($D871&lt;COLUMNS($F$7:AH$7),"",INDEX(TableDiv[[GASB]:[GASB]],_xlfn.AGGREGATE(15,3,(TableDiv[[Agency]:[Agency]]=$E871)/(TableDiv[[Agency]:[Agency]]=$E871)*(ROW(TableDiv[Agency])-ROW(TableDiv[[#Headers],[Agency]])),COLUMNS($F$7:AH$7))))</f>
        <v/>
      </c>
      <c r="AI871" s="2223" t="str" cm="1">
        <f t="array" ref="AI871">IF($D871&lt;COLUMNS($F$7:AI$7),"",INDEX(TableDiv[[GASB]:[GASB]],_xlfn.AGGREGATE(15,3,(TableDiv[[Agency]:[Agency]]=$E871)/(TableDiv[[Agency]:[Agency]]=$E871)*(ROW(TableDiv[Agency])-ROW(TableDiv[[#Headers],[Agency]])),COLUMNS($F$7:AI$7))))</f>
        <v/>
      </c>
      <c r="AJ871" s="2223" t="str" cm="1">
        <f t="array" ref="AJ871">IF($D871&lt;COLUMNS($F$7:AJ$7),"",INDEX(TableDiv[[GASB]:[GASB]],_xlfn.AGGREGATE(15,3,(TableDiv[[Agency]:[Agency]]=$E871)/(TableDiv[[Agency]:[Agency]]=$E871)*(ROW(TableDiv[Agency])-ROW(TableDiv[[#Headers],[Agency]])),COLUMNS($F$7:AJ$7))))</f>
        <v/>
      </c>
      <c r="AK871" s="2223" t="str" cm="1">
        <f t="array" ref="AK871">IF($D871&lt;COLUMNS($F$7:AK$7),"",INDEX(TableDiv[[GASB]:[GASB]],_xlfn.AGGREGATE(15,3,(TableDiv[[Agency]:[Agency]]=$E871)/(TableDiv[[Agency]:[Agency]]=$E871)*(ROW(TableDiv[Agency])-ROW(TableDiv[[#Headers],[Agency]])),COLUMNS($F$7:AK$7))))</f>
        <v/>
      </c>
      <c r="AL871" s="2223" t="str" cm="1">
        <f t="array" ref="AL871">IF($D871&lt;COLUMNS($F$7:AL$7),"",INDEX(TableDiv[[GASB]:[GASB]],_xlfn.AGGREGATE(15,3,(TableDiv[[Agency]:[Agency]]=$E871)/(TableDiv[[Agency]:[Agency]]=$E871)*(ROW(TableDiv[Agency])-ROW(TableDiv[[#Headers],[Agency]])),COLUMNS($F$7:AL$7))))</f>
        <v/>
      </c>
      <c r="AM871" s="2223" t="str" cm="1">
        <f t="array" ref="AM871">IF($D871&lt;COLUMNS($F$7:AM$7),"",INDEX(TableDiv[[GASB]:[GASB]],_xlfn.AGGREGATE(15,3,(TableDiv[[Agency]:[Agency]]=$E871)/(TableDiv[[Agency]:[Agency]]=$E871)*(ROW(TableDiv[Agency])-ROW(TableDiv[[#Headers],[Agency]])),COLUMNS($F$7:AM$7))))</f>
        <v/>
      </c>
      <c r="AN871" s="2223"/>
      <c r="AO871" s="2223"/>
      <c r="AP871" s="2223"/>
      <c r="AQ871" s="2223"/>
      <c r="AR871" s="2223"/>
      <c r="AS871" s="2223"/>
    </row>
    <row r="872" spans="1:45" x14ac:dyDescent="0.2">
      <c r="A872" s="2223"/>
      <c r="B872" s="2223"/>
      <c r="C872" s="2223"/>
      <c r="W872" s="2223" t="str" cm="1">
        <f t="array" ref="W872">IF($D872&lt;COLUMNS($F$7:W$7),"",INDEX(TableDiv[[GASB]:[GASB]],_xlfn.AGGREGATE(15,3,(TableDiv[[Agency]:[Agency]]=$E872)/(TableDiv[[Agency]:[Agency]]=$E872)*(ROW(TableDiv[Agency])-ROW(TableDiv[[#Headers],[Agency]])),COLUMNS($F$7:W$7))))</f>
        <v/>
      </c>
      <c r="X872" s="2223" t="str" cm="1">
        <f t="array" ref="X872">IF($D872&lt;COLUMNS($F$7:X$7),"",INDEX(TableDiv[[GASB]:[GASB]],_xlfn.AGGREGATE(15,3,(TableDiv[[Agency]:[Agency]]=$E872)/(TableDiv[[Agency]:[Agency]]=$E872)*(ROW(TableDiv[Agency])-ROW(TableDiv[[#Headers],[Agency]])),COLUMNS($F$7:X$7))))</f>
        <v/>
      </c>
      <c r="Y872" s="2223" t="str" cm="1">
        <f t="array" ref="Y872">IF($D872&lt;COLUMNS($F$7:Y$7),"",INDEX(TableDiv[[GASB]:[GASB]],_xlfn.AGGREGATE(15,3,(TableDiv[[Agency]:[Agency]]=$E872)/(TableDiv[[Agency]:[Agency]]=$E872)*(ROW(TableDiv[Agency])-ROW(TableDiv[[#Headers],[Agency]])),COLUMNS($F$7:Y$7))))</f>
        <v/>
      </c>
      <c r="Z872" s="2223" t="str" cm="1">
        <f t="array" ref="Z872">IF($D872&lt;COLUMNS($F$7:Z$7),"",INDEX(TableDiv[[GASB]:[GASB]],_xlfn.AGGREGATE(15,3,(TableDiv[[Agency]:[Agency]]=$E872)/(TableDiv[[Agency]:[Agency]]=$E872)*(ROW(TableDiv[Agency])-ROW(TableDiv[[#Headers],[Agency]])),COLUMNS($F$7:Z$7))))</f>
        <v/>
      </c>
      <c r="AA872" s="2223" t="str" cm="1">
        <f t="array" ref="AA872">IF($D872&lt;COLUMNS($F$7:AA$7),"",INDEX(TableDiv[[GASB]:[GASB]],_xlfn.AGGREGATE(15,3,(TableDiv[[Agency]:[Agency]]=$E872)/(TableDiv[[Agency]:[Agency]]=$E872)*(ROW(TableDiv[Agency])-ROW(TableDiv[[#Headers],[Agency]])),COLUMNS($F$7:AA$7))))</f>
        <v/>
      </c>
      <c r="AB872" s="2223" t="str" cm="1">
        <f t="array" ref="AB872">IF($D872&lt;COLUMNS($F$7:AB$7),"",INDEX(TableDiv[[GASB]:[GASB]],_xlfn.AGGREGATE(15,3,(TableDiv[[Agency]:[Agency]]=$E872)/(TableDiv[[Agency]:[Agency]]=$E872)*(ROW(TableDiv[Agency])-ROW(TableDiv[[#Headers],[Agency]])),COLUMNS($F$7:AB$7))))</f>
        <v/>
      </c>
      <c r="AC872" s="2223" t="str" cm="1">
        <f t="array" ref="AC872">IF($D872&lt;COLUMNS($F$7:AC$7),"",INDEX(TableDiv[[GASB]:[GASB]],_xlfn.AGGREGATE(15,3,(TableDiv[[Agency]:[Agency]]=$E872)/(TableDiv[[Agency]:[Agency]]=$E872)*(ROW(TableDiv[Agency])-ROW(TableDiv[[#Headers],[Agency]])),COLUMNS($F$7:AC$7))))</f>
        <v/>
      </c>
      <c r="AD872" s="2223" t="str" cm="1">
        <f t="array" ref="AD872">IF($D872&lt;COLUMNS($F$7:AD$7),"",INDEX(TableDiv[[GASB]:[GASB]],_xlfn.AGGREGATE(15,3,(TableDiv[[Agency]:[Agency]]=$E872)/(TableDiv[[Agency]:[Agency]]=$E872)*(ROW(TableDiv[Agency])-ROW(TableDiv[[#Headers],[Agency]])),COLUMNS($F$7:AD$7))))</f>
        <v/>
      </c>
      <c r="AE872" s="2223" t="str" cm="1">
        <f t="array" ref="AE872">IF($D872&lt;COLUMNS($F$7:AE$7),"",INDEX(TableDiv[[GASB]:[GASB]],_xlfn.AGGREGATE(15,3,(TableDiv[[Agency]:[Agency]]=$E872)/(TableDiv[[Agency]:[Agency]]=$E872)*(ROW(TableDiv[Agency])-ROW(TableDiv[[#Headers],[Agency]])),COLUMNS($F$7:AE$7))))</f>
        <v/>
      </c>
      <c r="AF872" s="2223" t="str" cm="1">
        <f t="array" ref="AF872">IF($D872&lt;COLUMNS($F$7:AF$7),"",INDEX(TableDiv[[GASB]:[GASB]],_xlfn.AGGREGATE(15,3,(TableDiv[[Agency]:[Agency]]=$E872)/(TableDiv[[Agency]:[Agency]]=$E872)*(ROW(TableDiv[Agency])-ROW(TableDiv[[#Headers],[Agency]])),COLUMNS($F$7:AF$7))))</f>
        <v/>
      </c>
      <c r="AG872" s="2223" t="str" cm="1">
        <f t="array" ref="AG872">IF($D872&lt;COLUMNS($F$7:AG$7),"",INDEX(TableDiv[[GASB]:[GASB]],_xlfn.AGGREGATE(15,3,(TableDiv[[Agency]:[Agency]]=$E872)/(TableDiv[[Agency]:[Agency]]=$E872)*(ROW(TableDiv[Agency])-ROW(TableDiv[[#Headers],[Agency]])),COLUMNS($F$7:AG$7))))</f>
        <v/>
      </c>
      <c r="AH872" s="2223" t="str" cm="1">
        <f t="array" ref="AH872">IF($D872&lt;COLUMNS($F$7:AH$7),"",INDEX(TableDiv[[GASB]:[GASB]],_xlfn.AGGREGATE(15,3,(TableDiv[[Agency]:[Agency]]=$E872)/(TableDiv[[Agency]:[Agency]]=$E872)*(ROW(TableDiv[Agency])-ROW(TableDiv[[#Headers],[Agency]])),COLUMNS($F$7:AH$7))))</f>
        <v/>
      </c>
      <c r="AI872" s="2223" t="str" cm="1">
        <f t="array" ref="AI872">IF($D872&lt;COLUMNS($F$7:AI$7),"",INDEX(TableDiv[[GASB]:[GASB]],_xlfn.AGGREGATE(15,3,(TableDiv[[Agency]:[Agency]]=$E872)/(TableDiv[[Agency]:[Agency]]=$E872)*(ROW(TableDiv[Agency])-ROW(TableDiv[[#Headers],[Agency]])),COLUMNS($F$7:AI$7))))</f>
        <v/>
      </c>
      <c r="AJ872" s="2223" t="str" cm="1">
        <f t="array" ref="AJ872">IF($D872&lt;COLUMNS($F$7:AJ$7),"",INDEX(TableDiv[[GASB]:[GASB]],_xlfn.AGGREGATE(15,3,(TableDiv[[Agency]:[Agency]]=$E872)/(TableDiv[[Agency]:[Agency]]=$E872)*(ROW(TableDiv[Agency])-ROW(TableDiv[[#Headers],[Agency]])),COLUMNS($F$7:AJ$7))))</f>
        <v/>
      </c>
      <c r="AK872" s="2223" t="str" cm="1">
        <f t="array" ref="AK872">IF($D872&lt;COLUMNS($F$7:AK$7),"",INDEX(TableDiv[[GASB]:[GASB]],_xlfn.AGGREGATE(15,3,(TableDiv[[Agency]:[Agency]]=$E872)/(TableDiv[[Agency]:[Agency]]=$E872)*(ROW(TableDiv[Agency])-ROW(TableDiv[[#Headers],[Agency]])),COLUMNS($F$7:AK$7))))</f>
        <v/>
      </c>
      <c r="AL872" s="2223" t="str" cm="1">
        <f t="array" ref="AL872">IF($D872&lt;COLUMNS($F$7:AL$7),"",INDEX(TableDiv[[GASB]:[GASB]],_xlfn.AGGREGATE(15,3,(TableDiv[[Agency]:[Agency]]=$E872)/(TableDiv[[Agency]:[Agency]]=$E872)*(ROW(TableDiv[Agency])-ROW(TableDiv[[#Headers],[Agency]])),COLUMNS($F$7:AL$7))))</f>
        <v/>
      </c>
      <c r="AM872" s="2223" t="str" cm="1">
        <f t="array" ref="AM872">IF($D872&lt;COLUMNS($F$7:AM$7),"",INDEX(TableDiv[[GASB]:[GASB]],_xlfn.AGGREGATE(15,3,(TableDiv[[Agency]:[Agency]]=$E872)/(TableDiv[[Agency]:[Agency]]=$E872)*(ROW(TableDiv[Agency])-ROW(TableDiv[[#Headers],[Agency]])),COLUMNS($F$7:AM$7))))</f>
        <v/>
      </c>
      <c r="AN872" s="2223"/>
      <c r="AO872" s="2223"/>
      <c r="AP872" s="2223"/>
      <c r="AQ872" s="2223"/>
      <c r="AR872" s="2223"/>
      <c r="AS872" s="2223"/>
    </row>
    <row r="873" spans="1:45" x14ac:dyDescent="0.2">
      <c r="A873" s="2223"/>
      <c r="B873" s="2223"/>
      <c r="C873" s="2223"/>
      <c r="W873" s="2223" t="str" cm="1">
        <f t="array" ref="W873">IF($D873&lt;COLUMNS($F$7:W$7),"",INDEX(TableDiv[[GASB]:[GASB]],_xlfn.AGGREGATE(15,3,(TableDiv[[Agency]:[Agency]]=$E873)/(TableDiv[[Agency]:[Agency]]=$E873)*(ROW(TableDiv[Agency])-ROW(TableDiv[[#Headers],[Agency]])),COLUMNS($F$7:W$7))))</f>
        <v/>
      </c>
      <c r="X873" s="2223" t="str" cm="1">
        <f t="array" ref="X873">IF($D873&lt;COLUMNS($F$7:X$7),"",INDEX(TableDiv[[GASB]:[GASB]],_xlfn.AGGREGATE(15,3,(TableDiv[[Agency]:[Agency]]=$E873)/(TableDiv[[Agency]:[Agency]]=$E873)*(ROW(TableDiv[Agency])-ROW(TableDiv[[#Headers],[Agency]])),COLUMNS($F$7:X$7))))</f>
        <v/>
      </c>
      <c r="Y873" s="2223" t="str" cm="1">
        <f t="array" ref="Y873">IF($D873&lt;COLUMNS($F$7:Y$7),"",INDEX(TableDiv[[GASB]:[GASB]],_xlfn.AGGREGATE(15,3,(TableDiv[[Agency]:[Agency]]=$E873)/(TableDiv[[Agency]:[Agency]]=$E873)*(ROW(TableDiv[Agency])-ROW(TableDiv[[#Headers],[Agency]])),COLUMNS($F$7:Y$7))))</f>
        <v/>
      </c>
      <c r="Z873" s="2223" t="str" cm="1">
        <f t="array" ref="Z873">IF($D873&lt;COLUMNS($F$7:Z$7),"",INDEX(TableDiv[[GASB]:[GASB]],_xlfn.AGGREGATE(15,3,(TableDiv[[Agency]:[Agency]]=$E873)/(TableDiv[[Agency]:[Agency]]=$E873)*(ROW(TableDiv[Agency])-ROW(TableDiv[[#Headers],[Agency]])),COLUMNS($F$7:Z$7))))</f>
        <v/>
      </c>
      <c r="AA873" s="2223" t="str" cm="1">
        <f t="array" ref="AA873">IF($D873&lt;COLUMNS($F$7:AA$7),"",INDEX(TableDiv[[GASB]:[GASB]],_xlfn.AGGREGATE(15,3,(TableDiv[[Agency]:[Agency]]=$E873)/(TableDiv[[Agency]:[Agency]]=$E873)*(ROW(TableDiv[Agency])-ROW(TableDiv[[#Headers],[Agency]])),COLUMNS($F$7:AA$7))))</f>
        <v/>
      </c>
      <c r="AB873" s="2223" t="str" cm="1">
        <f t="array" ref="AB873">IF($D873&lt;COLUMNS($F$7:AB$7),"",INDEX(TableDiv[[GASB]:[GASB]],_xlfn.AGGREGATE(15,3,(TableDiv[[Agency]:[Agency]]=$E873)/(TableDiv[[Agency]:[Agency]]=$E873)*(ROW(TableDiv[Agency])-ROW(TableDiv[[#Headers],[Agency]])),COLUMNS($F$7:AB$7))))</f>
        <v/>
      </c>
      <c r="AC873" s="2223" t="str" cm="1">
        <f t="array" ref="AC873">IF($D873&lt;COLUMNS($F$7:AC$7),"",INDEX(TableDiv[[GASB]:[GASB]],_xlfn.AGGREGATE(15,3,(TableDiv[[Agency]:[Agency]]=$E873)/(TableDiv[[Agency]:[Agency]]=$E873)*(ROW(TableDiv[Agency])-ROW(TableDiv[[#Headers],[Agency]])),COLUMNS($F$7:AC$7))))</f>
        <v/>
      </c>
      <c r="AD873" s="2223" t="str" cm="1">
        <f t="array" ref="AD873">IF($D873&lt;COLUMNS($F$7:AD$7),"",INDEX(TableDiv[[GASB]:[GASB]],_xlfn.AGGREGATE(15,3,(TableDiv[[Agency]:[Agency]]=$E873)/(TableDiv[[Agency]:[Agency]]=$E873)*(ROW(TableDiv[Agency])-ROW(TableDiv[[#Headers],[Agency]])),COLUMNS($F$7:AD$7))))</f>
        <v/>
      </c>
      <c r="AE873" s="2223" t="str" cm="1">
        <f t="array" ref="AE873">IF($D873&lt;COLUMNS($F$7:AE$7),"",INDEX(TableDiv[[GASB]:[GASB]],_xlfn.AGGREGATE(15,3,(TableDiv[[Agency]:[Agency]]=$E873)/(TableDiv[[Agency]:[Agency]]=$E873)*(ROW(TableDiv[Agency])-ROW(TableDiv[[#Headers],[Agency]])),COLUMNS($F$7:AE$7))))</f>
        <v/>
      </c>
      <c r="AF873" s="2223" t="str" cm="1">
        <f t="array" ref="AF873">IF($D873&lt;COLUMNS($F$7:AF$7),"",INDEX(TableDiv[[GASB]:[GASB]],_xlfn.AGGREGATE(15,3,(TableDiv[[Agency]:[Agency]]=$E873)/(TableDiv[[Agency]:[Agency]]=$E873)*(ROW(TableDiv[Agency])-ROW(TableDiv[[#Headers],[Agency]])),COLUMNS($F$7:AF$7))))</f>
        <v/>
      </c>
      <c r="AG873" s="2223" t="str" cm="1">
        <f t="array" ref="AG873">IF($D873&lt;COLUMNS($F$7:AG$7),"",INDEX(TableDiv[[GASB]:[GASB]],_xlfn.AGGREGATE(15,3,(TableDiv[[Agency]:[Agency]]=$E873)/(TableDiv[[Agency]:[Agency]]=$E873)*(ROW(TableDiv[Agency])-ROW(TableDiv[[#Headers],[Agency]])),COLUMNS($F$7:AG$7))))</f>
        <v/>
      </c>
      <c r="AH873" s="2223" t="str" cm="1">
        <f t="array" ref="AH873">IF($D873&lt;COLUMNS($F$7:AH$7),"",INDEX(TableDiv[[GASB]:[GASB]],_xlfn.AGGREGATE(15,3,(TableDiv[[Agency]:[Agency]]=$E873)/(TableDiv[[Agency]:[Agency]]=$E873)*(ROW(TableDiv[Agency])-ROW(TableDiv[[#Headers],[Agency]])),COLUMNS($F$7:AH$7))))</f>
        <v/>
      </c>
      <c r="AI873" s="2223" t="str" cm="1">
        <f t="array" ref="AI873">IF($D873&lt;COLUMNS($F$7:AI$7),"",INDEX(TableDiv[[GASB]:[GASB]],_xlfn.AGGREGATE(15,3,(TableDiv[[Agency]:[Agency]]=$E873)/(TableDiv[[Agency]:[Agency]]=$E873)*(ROW(TableDiv[Agency])-ROW(TableDiv[[#Headers],[Agency]])),COLUMNS($F$7:AI$7))))</f>
        <v/>
      </c>
      <c r="AJ873" s="2223" t="str" cm="1">
        <f t="array" ref="AJ873">IF($D873&lt;COLUMNS($F$7:AJ$7),"",INDEX(TableDiv[[GASB]:[GASB]],_xlfn.AGGREGATE(15,3,(TableDiv[[Agency]:[Agency]]=$E873)/(TableDiv[[Agency]:[Agency]]=$E873)*(ROW(TableDiv[Agency])-ROW(TableDiv[[#Headers],[Agency]])),COLUMNS($F$7:AJ$7))))</f>
        <v/>
      </c>
      <c r="AK873" s="2223" t="str" cm="1">
        <f t="array" ref="AK873">IF($D873&lt;COLUMNS($F$7:AK$7),"",INDEX(TableDiv[[GASB]:[GASB]],_xlfn.AGGREGATE(15,3,(TableDiv[[Agency]:[Agency]]=$E873)/(TableDiv[[Agency]:[Agency]]=$E873)*(ROW(TableDiv[Agency])-ROW(TableDiv[[#Headers],[Agency]])),COLUMNS($F$7:AK$7))))</f>
        <v/>
      </c>
      <c r="AL873" s="2223" t="str" cm="1">
        <f t="array" ref="AL873">IF($D873&lt;COLUMNS($F$7:AL$7),"",INDEX(TableDiv[[GASB]:[GASB]],_xlfn.AGGREGATE(15,3,(TableDiv[[Agency]:[Agency]]=$E873)/(TableDiv[[Agency]:[Agency]]=$E873)*(ROW(TableDiv[Agency])-ROW(TableDiv[[#Headers],[Agency]])),COLUMNS($F$7:AL$7))))</f>
        <v/>
      </c>
      <c r="AM873" s="2223" t="str" cm="1">
        <f t="array" ref="AM873">IF($D873&lt;COLUMNS($F$7:AM$7),"",INDEX(TableDiv[[GASB]:[GASB]],_xlfn.AGGREGATE(15,3,(TableDiv[[Agency]:[Agency]]=$E873)/(TableDiv[[Agency]:[Agency]]=$E873)*(ROW(TableDiv[Agency])-ROW(TableDiv[[#Headers],[Agency]])),COLUMNS($F$7:AM$7))))</f>
        <v/>
      </c>
      <c r="AN873" s="2223"/>
      <c r="AO873" s="2223"/>
      <c r="AP873" s="2223"/>
      <c r="AQ873" s="2223"/>
      <c r="AR873" s="2223"/>
      <c r="AS873" s="2223"/>
    </row>
    <row r="874" spans="1:45" x14ac:dyDescent="0.2">
      <c r="A874" s="2223"/>
      <c r="B874" s="2223"/>
      <c r="C874" s="2223"/>
      <c r="W874" s="2223" t="str" cm="1">
        <f t="array" ref="W874">IF($D874&lt;COLUMNS($F$7:W$7),"",INDEX(TableDiv[[GASB]:[GASB]],_xlfn.AGGREGATE(15,3,(TableDiv[[Agency]:[Agency]]=$E874)/(TableDiv[[Agency]:[Agency]]=$E874)*(ROW(TableDiv[Agency])-ROW(TableDiv[[#Headers],[Agency]])),COLUMNS($F$7:W$7))))</f>
        <v/>
      </c>
      <c r="X874" s="2223" t="str" cm="1">
        <f t="array" ref="X874">IF($D874&lt;COLUMNS($F$7:X$7),"",INDEX(TableDiv[[GASB]:[GASB]],_xlfn.AGGREGATE(15,3,(TableDiv[[Agency]:[Agency]]=$E874)/(TableDiv[[Agency]:[Agency]]=$E874)*(ROW(TableDiv[Agency])-ROW(TableDiv[[#Headers],[Agency]])),COLUMNS($F$7:X$7))))</f>
        <v/>
      </c>
      <c r="Y874" s="2223" t="str" cm="1">
        <f t="array" ref="Y874">IF($D874&lt;COLUMNS($F$7:Y$7),"",INDEX(TableDiv[[GASB]:[GASB]],_xlfn.AGGREGATE(15,3,(TableDiv[[Agency]:[Agency]]=$E874)/(TableDiv[[Agency]:[Agency]]=$E874)*(ROW(TableDiv[Agency])-ROW(TableDiv[[#Headers],[Agency]])),COLUMNS($F$7:Y$7))))</f>
        <v/>
      </c>
      <c r="Z874" s="2223" t="str" cm="1">
        <f t="array" ref="Z874">IF($D874&lt;COLUMNS($F$7:Z$7),"",INDEX(TableDiv[[GASB]:[GASB]],_xlfn.AGGREGATE(15,3,(TableDiv[[Agency]:[Agency]]=$E874)/(TableDiv[[Agency]:[Agency]]=$E874)*(ROW(TableDiv[Agency])-ROW(TableDiv[[#Headers],[Agency]])),COLUMNS($F$7:Z$7))))</f>
        <v/>
      </c>
      <c r="AA874" s="2223" t="str" cm="1">
        <f t="array" ref="AA874">IF($D874&lt;COLUMNS($F$7:AA$7),"",INDEX(TableDiv[[GASB]:[GASB]],_xlfn.AGGREGATE(15,3,(TableDiv[[Agency]:[Agency]]=$E874)/(TableDiv[[Agency]:[Agency]]=$E874)*(ROW(TableDiv[Agency])-ROW(TableDiv[[#Headers],[Agency]])),COLUMNS($F$7:AA$7))))</f>
        <v/>
      </c>
      <c r="AB874" s="2223" t="str" cm="1">
        <f t="array" ref="AB874">IF($D874&lt;COLUMNS($F$7:AB$7),"",INDEX(TableDiv[[GASB]:[GASB]],_xlfn.AGGREGATE(15,3,(TableDiv[[Agency]:[Agency]]=$E874)/(TableDiv[[Agency]:[Agency]]=$E874)*(ROW(TableDiv[Agency])-ROW(TableDiv[[#Headers],[Agency]])),COLUMNS($F$7:AB$7))))</f>
        <v/>
      </c>
      <c r="AC874" s="2223" t="str" cm="1">
        <f t="array" ref="AC874">IF($D874&lt;COLUMNS($F$7:AC$7),"",INDEX(TableDiv[[GASB]:[GASB]],_xlfn.AGGREGATE(15,3,(TableDiv[[Agency]:[Agency]]=$E874)/(TableDiv[[Agency]:[Agency]]=$E874)*(ROW(TableDiv[Agency])-ROW(TableDiv[[#Headers],[Agency]])),COLUMNS($F$7:AC$7))))</f>
        <v/>
      </c>
      <c r="AD874" s="2223" t="str" cm="1">
        <f t="array" ref="AD874">IF($D874&lt;COLUMNS($F$7:AD$7),"",INDEX(TableDiv[[GASB]:[GASB]],_xlfn.AGGREGATE(15,3,(TableDiv[[Agency]:[Agency]]=$E874)/(TableDiv[[Agency]:[Agency]]=$E874)*(ROW(TableDiv[Agency])-ROW(TableDiv[[#Headers],[Agency]])),COLUMNS($F$7:AD$7))))</f>
        <v/>
      </c>
      <c r="AE874" s="2223" t="str" cm="1">
        <f t="array" ref="AE874">IF($D874&lt;COLUMNS($F$7:AE$7),"",INDEX(TableDiv[[GASB]:[GASB]],_xlfn.AGGREGATE(15,3,(TableDiv[[Agency]:[Agency]]=$E874)/(TableDiv[[Agency]:[Agency]]=$E874)*(ROW(TableDiv[Agency])-ROW(TableDiv[[#Headers],[Agency]])),COLUMNS($F$7:AE$7))))</f>
        <v/>
      </c>
      <c r="AF874" s="2223" t="str" cm="1">
        <f t="array" ref="AF874">IF($D874&lt;COLUMNS($F$7:AF$7),"",INDEX(TableDiv[[GASB]:[GASB]],_xlfn.AGGREGATE(15,3,(TableDiv[[Agency]:[Agency]]=$E874)/(TableDiv[[Agency]:[Agency]]=$E874)*(ROW(TableDiv[Agency])-ROW(TableDiv[[#Headers],[Agency]])),COLUMNS($F$7:AF$7))))</f>
        <v/>
      </c>
      <c r="AG874" s="2223" t="str" cm="1">
        <f t="array" ref="AG874">IF($D874&lt;COLUMNS($F$7:AG$7),"",INDEX(TableDiv[[GASB]:[GASB]],_xlfn.AGGREGATE(15,3,(TableDiv[[Agency]:[Agency]]=$E874)/(TableDiv[[Agency]:[Agency]]=$E874)*(ROW(TableDiv[Agency])-ROW(TableDiv[[#Headers],[Agency]])),COLUMNS($F$7:AG$7))))</f>
        <v/>
      </c>
      <c r="AH874" s="2223" t="str" cm="1">
        <f t="array" ref="AH874">IF($D874&lt;COLUMNS($F$7:AH$7),"",INDEX(TableDiv[[GASB]:[GASB]],_xlfn.AGGREGATE(15,3,(TableDiv[[Agency]:[Agency]]=$E874)/(TableDiv[[Agency]:[Agency]]=$E874)*(ROW(TableDiv[Agency])-ROW(TableDiv[[#Headers],[Agency]])),COLUMNS($F$7:AH$7))))</f>
        <v/>
      </c>
      <c r="AI874" s="2223" t="str" cm="1">
        <f t="array" ref="AI874">IF($D874&lt;COLUMNS($F$7:AI$7),"",INDEX(TableDiv[[GASB]:[GASB]],_xlfn.AGGREGATE(15,3,(TableDiv[[Agency]:[Agency]]=$E874)/(TableDiv[[Agency]:[Agency]]=$E874)*(ROW(TableDiv[Agency])-ROW(TableDiv[[#Headers],[Agency]])),COLUMNS($F$7:AI$7))))</f>
        <v/>
      </c>
      <c r="AJ874" s="2223" t="str" cm="1">
        <f t="array" ref="AJ874">IF($D874&lt;COLUMNS($F$7:AJ$7),"",INDEX(TableDiv[[GASB]:[GASB]],_xlfn.AGGREGATE(15,3,(TableDiv[[Agency]:[Agency]]=$E874)/(TableDiv[[Agency]:[Agency]]=$E874)*(ROW(TableDiv[Agency])-ROW(TableDiv[[#Headers],[Agency]])),COLUMNS($F$7:AJ$7))))</f>
        <v/>
      </c>
      <c r="AK874" s="2223" t="str" cm="1">
        <f t="array" ref="AK874">IF($D874&lt;COLUMNS($F$7:AK$7),"",INDEX(TableDiv[[GASB]:[GASB]],_xlfn.AGGREGATE(15,3,(TableDiv[[Agency]:[Agency]]=$E874)/(TableDiv[[Agency]:[Agency]]=$E874)*(ROW(TableDiv[Agency])-ROW(TableDiv[[#Headers],[Agency]])),COLUMNS($F$7:AK$7))))</f>
        <v/>
      </c>
      <c r="AL874" s="2223" t="str" cm="1">
        <f t="array" ref="AL874">IF($D874&lt;COLUMNS($F$7:AL$7),"",INDEX(TableDiv[[GASB]:[GASB]],_xlfn.AGGREGATE(15,3,(TableDiv[[Agency]:[Agency]]=$E874)/(TableDiv[[Agency]:[Agency]]=$E874)*(ROW(TableDiv[Agency])-ROW(TableDiv[[#Headers],[Agency]])),COLUMNS($F$7:AL$7))))</f>
        <v/>
      </c>
      <c r="AM874" s="2223" t="str" cm="1">
        <f t="array" ref="AM874">IF($D874&lt;COLUMNS($F$7:AM$7),"",INDEX(TableDiv[[GASB]:[GASB]],_xlfn.AGGREGATE(15,3,(TableDiv[[Agency]:[Agency]]=$E874)/(TableDiv[[Agency]:[Agency]]=$E874)*(ROW(TableDiv[Agency])-ROW(TableDiv[[#Headers],[Agency]])),COLUMNS($F$7:AM$7))))</f>
        <v/>
      </c>
      <c r="AN874" s="2223"/>
      <c r="AO874" s="2223"/>
      <c r="AP874" s="2223"/>
      <c r="AQ874" s="2223"/>
      <c r="AR874" s="2223"/>
      <c r="AS874" s="2223"/>
    </row>
    <row r="875" spans="1:45" x14ac:dyDescent="0.2">
      <c r="A875" s="2223"/>
      <c r="B875" s="2223"/>
      <c r="C875" s="2223"/>
      <c r="W875" s="2223" t="str" cm="1">
        <f t="array" ref="W875">IF($D875&lt;COLUMNS($F$7:W$7),"",INDEX(TableDiv[[GASB]:[GASB]],_xlfn.AGGREGATE(15,3,(TableDiv[[Agency]:[Agency]]=$E875)/(TableDiv[[Agency]:[Agency]]=$E875)*(ROW(TableDiv[Agency])-ROW(TableDiv[[#Headers],[Agency]])),COLUMNS($F$7:W$7))))</f>
        <v/>
      </c>
      <c r="X875" s="2223" t="str" cm="1">
        <f t="array" ref="X875">IF($D875&lt;COLUMNS($F$7:X$7),"",INDEX(TableDiv[[GASB]:[GASB]],_xlfn.AGGREGATE(15,3,(TableDiv[[Agency]:[Agency]]=$E875)/(TableDiv[[Agency]:[Agency]]=$E875)*(ROW(TableDiv[Agency])-ROW(TableDiv[[#Headers],[Agency]])),COLUMNS($F$7:X$7))))</f>
        <v/>
      </c>
      <c r="Y875" s="2223" t="str" cm="1">
        <f t="array" ref="Y875">IF($D875&lt;COLUMNS($F$7:Y$7),"",INDEX(TableDiv[[GASB]:[GASB]],_xlfn.AGGREGATE(15,3,(TableDiv[[Agency]:[Agency]]=$E875)/(TableDiv[[Agency]:[Agency]]=$E875)*(ROW(TableDiv[Agency])-ROW(TableDiv[[#Headers],[Agency]])),COLUMNS($F$7:Y$7))))</f>
        <v/>
      </c>
      <c r="Z875" s="2223" t="str" cm="1">
        <f t="array" ref="Z875">IF($D875&lt;COLUMNS($F$7:Z$7),"",INDEX(TableDiv[[GASB]:[GASB]],_xlfn.AGGREGATE(15,3,(TableDiv[[Agency]:[Agency]]=$E875)/(TableDiv[[Agency]:[Agency]]=$E875)*(ROW(TableDiv[Agency])-ROW(TableDiv[[#Headers],[Agency]])),COLUMNS($F$7:Z$7))))</f>
        <v/>
      </c>
      <c r="AA875" s="2223" t="str" cm="1">
        <f t="array" ref="AA875">IF($D875&lt;COLUMNS($F$7:AA$7),"",INDEX(TableDiv[[GASB]:[GASB]],_xlfn.AGGREGATE(15,3,(TableDiv[[Agency]:[Agency]]=$E875)/(TableDiv[[Agency]:[Agency]]=$E875)*(ROW(TableDiv[Agency])-ROW(TableDiv[[#Headers],[Agency]])),COLUMNS($F$7:AA$7))))</f>
        <v/>
      </c>
      <c r="AB875" s="2223" t="str" cm="1">
        <f t="array" ref="AB875">IF($D875&lt;COLUMNS($F$7:AB$7),"",INDEX(TableDiv[[GASB]:[GASB]],_xlfn.AGGREGATE(15,3,(TableDiv[[Agency]:[Agency]]=$E875)/(TableDiv[[Agency]:[Agency]]=$E875)*(ROW(TableDiv[Agency])-ROW(TableDiv[[#Headers],[Agency]])),COLUMNS($F$7:AB$7))))</f>
        <v/>
      </c>
      <c r="AC875" s="2223" t="str" cm="1">
        <f t="array" ref="AC875">IF($D875&lt;COLUMNS($F$7:AC$7),"",INDEX(TableDiv[[GASB]:[GASB]],_xlfn.AGGREGATE(15,3,(TableDiv[[Agency]:[Agency]]=$E875)/(TableDiv[[Agency]:[Agency]]=$E875)*(ROW(TableDiv[Agency])-ROW(TableDiv[[#Headers],[Agency]])),COLUMNS($F$7:AC$7))))</f>
        <v/>
      </c>
      <c r="AD875" s="2223" t="str" cm="1">
        <f t="array" ref="AD875">IF($D875&lt;COLUMNS($F$7:AD$7),"",INDEX(TableDiv[[GASB]:[GASB]],_xlfn.AGGREGATE(15,3,(TableDiv[[Agency]:[Agency]]=$E875)/(TableDiv[[Agency]:[Agency]]=$E875)*(ROW(TableDiv[Agency])-ROW(TableDiv[[#Headers],[Agency]])),COLUMNS($F$7:AD$7))))</f>
        <v/>
      </c>
      <c r="AE875" s="2223" t="str" cm="1">
        <f t="array" ref="AE875">IF($D875&lt;COLUMNS($F$7:AE$7),"",INDEX(TableDiv[[GASB]:[GASB]],_xlfn.AGGREGATE(15,3,(TableDiv[[Agency]:[Agency]]=$E875)/(TableDiv[[Agency]:[Agency]]=$E875)*(ROW(TableDiv[Agency])-ROW(TableDiv[[#Headers],[Agency]])),COLUMNS($F$7:AE$7))))</f>
        <v/>
      </c>
      <c r="AF875" s="2223" t="str" cm="1">
        <f t="array" ref="AF875">IF($D875&lt;COLUMNS($F$7:AF$7),"",INDEX(TableDiv[[GASB]:[GASB]],_xlfn.AGGREGATE(15,3,(TableDiv[[Agency]:[Agency]]=$E875)/(TableDiv[[Agency]:[Agency]]=$E875)*(ROW(TableDiv[Agency])-ROW(TableDiv[[#Headers],[Agency]])),COLUMNS($F$7:AF$7))))</f>
        <v/>
      </c>
      <c r="AG875" s="2223" t="str" cm="1">
        <f t="array" ref="AG875">IF($D875&lt;COLUMNS($F$7:AG$7),"",INDEX(TableDiv[[GASB]:[GASB]],_xlfn.AGGREGATE(15,3,(TableDiv[[Agency]:[Agency]]=$E875)/(TableDiv[[Agency]:[Agency]]=$E875)*(ROW(TableDiv[Agency])-ROW(TableDiv[[#Headers],[Agency]])),COLUMNS($F$7:AG$7))))</f>
        <v/>
      </c>
      <c r="AH875" s="2223" t="str" cm="1">
        <f t="array" ref="AH875">IF($D875&lt;COLUMNS($F$7:AH$7),"",INDEX(TableDiv[[GASB]:[GASB]],_xlfn.AGGREGATE(15,3,(TableDiv[[Agency]:[Agency]]=$E875)/(TableDiv[[Agency]:[Agency]]=$E875)*(ROW(TableDiv[Agency])-ROW(TableDiv[[#Headers],[Agency]])),COLUMNS($F$7:AH$7))))</f>
        <v/>
      </c>
      <c r="AI875" s="2223" t="str" cm="1">
        <f t="array" ref="AI875">IF($D875&lt;COLUMNS($F$7:AI$7),"",INDEX(TableDiv[[GASB]:[GASB]],_xlfn.AGGREGATE(15,3,(TableDiv[[Agency]:[Agency]]=$E875)/(TableDiv[[Agency]:[Agency]]=$E875)*(ROW(TableDiv[Agency])-ROW(TableDiv[[#Headers],[Agency]])),COLUMNS($F$7:AI$7))))</f>
        <v/>
      </c>
      <c r="AJ875" s="2223" t="str" cm="1">
        <f t="array" ref="AJ875">IF($D875&lt;COLUMNS($F$7:AJ$7),"",INDEX(TableDiv[[GASB]:[GASB]],_xlfn.AGGREGATE(15,3,(TableDiv[[Agency]:[Agency]]=$E875)/(TableDiv[[Agency]:[Agency]]=$E875)*(ROW(TableDiv[Agency])-ROW(TableDiv[[#Headers],[Agency]])),COLUMNS($F$7:AJ$7))))</f>
        <v/>
      </c>
      <c r="AK875" s="2223" t="str" cm="1">
        <f t="array" ref="AK875">IF($D875&lt;COLUMNS($F$7:AK$7),"",INDEX(TableDiv[[GASB]:[GASB]],_xlfn.AGGREGATE(15,3,(TableDiv[[Agency]:[Agency]]=$E875)/(TableDiv[[Agency]:[Agency]]=$E875)*(ROW(TableDiv[Agency])-ROW(TableDiv[[#Headers],[Agency]])),COLUMNS($F$7:AK$7))))</f>
        <v/>
      </c>
      <c r="AL875" s="2223" t="str" cm="1">
        <f t="array" ref="AL875">IF($D875&lt;COLUMNS($F$7:AL$7),"",INDEX(TableDiv[[GASB]:[GASB]],_xlfn.AGGREGATE(15,3,(TableDiv[[Agency]:[Agency]]=$E875)/(TableDiv[[Agency]:[Agency]]=$E875)*(ROW(TableDiv[Agency])-ROW(TableDiv[[#Headers],[Agency]])),COLUMNS($F$7:AL$7))))</f>
        <v/>
      </c>
      <c r="AM875" s="2223" t="str" cm="1">
        <f t="array" ref="AM875">IF($D875&lt;COLUMNS($F$7:AM$7),"",INDEX(TableDiv[[GASB]:[GASB]],_xlfn.AGGREGATE(15,3,(TableDiv[[Agency]:[Agency]]=$E875)/(TableDiv[[Agency]:[Agency]]=$E875)*(ROW(TableDiv[Agency])-ROW(TableDiv[[#Headers],[Agency]])),COLUMNS($F$7:AM$7))))</f>
        <v/>
      </c>
      <c r="AN875" s="2223"/>
      <c r="AO875" s="2223"/>
      <c r="AP875" s="2223"/>
      <c r="AQ875" s="2223"/>
      <c r="AR875" s="2223"/>
      <c r="AS875" s="2223"/>
    </row>
    <row r="876" spans="1:45" x14ac:dyDescent="0.2">
      <c r="A876" s="2223"/>
      <c r="B876" s="2223"/>
      <c r="C876" s="2223"/>
      <c r="W876" s="2223" t="str" cm="1">
        <f t="array" ref="W876">IF($D876&lt;COLUMNS($F$7:W$7),"",INDEX(TableDiv[[GASB]:[GASB]],_xlfn.AGGREGATE(15,3,(TableDiv[[Agency]:[Agency]]=$E876)/(TableDiv[[Agency]:[Agency]]=$E876)*(ROW(TableDiv[Agency])-ROW(TableDiv[[#Headers],[Agency]])),COLUMNS($F$7:W$7))))</f>
        <v/>
      </c>
      <c r="X876" s="2223" t="str" cm="1">
        <f t="array" ref="X876">IF($D876&lt;COLUMNS($F$7:X$7),"",INDEX(TableDiv[[GASB]:[GASB]],_xlfn.AGGREGATE(15,3,(TableDiv[[Agency]:[Agency]]=$E876)/(TableDiv[[Agency]:[Agency]]=$E876)*(ROW(TableDiv[Agency])-ROW(TableDiv[[#Headers],[Agency]])),COLUMNS($F$7:X$7))))</f>
        <v/>
      </c>
      <c r="Y876" s="2223" t="str" cm="1">
        <f t="array" ref="Y876">IF($D876&lt;COLUMNS($F$7:Y$7),"",INDEX(TableDiv[[GASB]:[GASB]],_xlfn.AGGREGATE(15,3,(TableDiv[[Agency]:[Agency]]=$E876)/(TableDiv[[Agency]:[Agency]]=$E876)*(ROW(TableDiv[Agency])-ROW(TableDiv[[#Headers],[Agency]])),COLUMNS($F$7:Y$7))))</f>
        <v/>
      </c>
      <c r="Z876" s="2223" t="str" cm="1">
        <f t="array" ref="Z876">IF($D876&lt;COLUMNS($F$7:Z$7),"",INDEX(TableDiv[[GASB]:[GASB]],_xlfn.AGGREGATE(15,3,(TableDiv[[Agency]:[Agency]]=$E876)/(TableDiv[[Agency]:[Agency]]=$E876)*(ROW(TableDiv[Agency])-ROW(TableDiv[[#Headers],[Agency]])),COLUMNS($F$7:Z$7))))</f>
        <v/>
      </c>
      <c r="AA876" s="2223" t="str" cm="1">
        <f t="array" ref="AA876">IF($D876&lt;COLUMNS($F$7:AA$7),"",INDEX(TableDiv[[GASB]:[GASB]],_xlfn.AGGREGATE(15,3,(TableDiv[[Agency]:[Agency]]=$E876)/(TableDiv[[Agency]:[Agency]]=$E876)*(ROW(TableDiv[Agency])-ROW(TableDiv[[#Headers],[Agency]])),COLUMNS($F$7:AA$7))))</f>
        <v/>
      </c>
      <c r="AB876" s="2223" t="str" cm="1">
        <f t="array" ref="AB876">IF($D876&lt;COLUMNS($F$7:AB$7),"",INDEX(TableDiv[[GASB]:[GASB]],_xlfn.AGGREGATE(15,3,(TableDiv[[Agency]:[Agency]]=$E876)/(TableDiv[[Agency]:[Agency]]=$E876)*(ROW(TableDiv[Agency])-ROW(TableDiv[[#Headers],[Agency]])),COLUMNS($F$7:AB$7))))</f>
        <v/>
      </c>
      <c r="AC876" s="2223" t="str" cm="1">
        <f t="array" ref="AC876">IF($D876&lt;COLUMNS($F$7:AC$7),"",INDEX(TableDiv[[GASB]:[GASB]],_xlfn.AGGREGATE(15,3,(TableDiv[[Agency]:[Agency]]=$E876)/(TableDiv[[Agency]:[Agency]]=$E876)*(ROW(TableDiv[Agency])-ROW(TableDiv[[#Headers],[Agency]])),COLUMNS($F$7:AC$7))))</f>
        <v/>
      </c>
      <c r="AD876" s="2223" t="str" cm="1">
        <f t="array" ref="AD876">IF($D876&lt;COLUMNS($F$7:AD$7),"",INDEX(TableDiv[[GASB]:[GASB]],_xlfn.AGGREGATE(15,3,(TableDiv[[Agency]:[Agency]]=$E876)/(TableDiv[[Agency]:[Agency]]=$E876)*(ROW(TableDiv[Agency])-ROW(TableDiv[[#Headers],[Agency]])),COLUMNS($F$7:AD$7))))</f>
        <v/>
      </c>
      <c r="AE876" s="2223" t="str" cm="1">
        <f t="array" ref="AE876">IF($D876&lt;COLUMNS($F$7:AE$7),"",INDEX(TableDiv[[GASB]:[GASB]],_xlfn.AGGREGATE(15,3,(TableDiv[[Agency]:[Agency]]=$E876)/(TableDiv[[Agency]:[Agency]]=$E876)*(ROW(TableDiv[Agency])-ROW(TableDiv[[#Headers],[Agency]])),COLUMNS($F$7:AE$7))))</f>
        <v/>
      </c>
      <c r="AF876" s="2223" t="str" cm="1">
        <f t="array" ref="AF876">IF($D876&lt;COLUMNS($F$7:AF$7),"",INDEX(TableDiv[[GASB]:[GASB]],_xlfn.AGGREGATE(15,3,(TableDiv[[Agency]:[Agency]]=$E876)/(TableDiv[[Agency]:[Agency]]=$E876)*(ROW(TableDiv[Agency])-ROW(TableDiv[[#Headers],[Agency]])),COLUMNS($F$7:AF$7))))</f>
        <v/>
      </c>
      <c r="AG876" s="2223" t="str" cm="1">
        <f t="array" ref="AG876">IF($D876&lt;COLUMNS($F$7:AG$7),"",INDEX(TableDiv[[GASB]:[GASB]],_xlfn.AGGREGATE(15,3,(TableDiv[[Agency]:[Agency]]=$E876)/(TableDiv[[Agency]:[Agency]]=$E876)*(ROW(TableDiv[Agency])-ROW(TableDiv[[#Headers],[Agency]])),COLUMNS($F$7:AG$7))))</f>
        <v/>
      </c>
      <c r="AH876" s="2223" t="str" cm="1">
        <f t="array" ref="AH876">IF($D876&lt;COLUMNS($F$7:AH$7),"",INDEX(TableDiv[[GASB]:[GASB]],_xlfn.AGGREGATE(15,3,(TableDiv[[Agency]:[Agency]]=$E876)/(TableDiv[[Agency]:[Agency]]=$E876)*(ROW(TableDiv[Agency])-ROW(TableDiv[[#Headers],[Agency]])),COLUMNS($F$7:AH$7))))</f>
        <v/>
      </c>
      <c r="AI876" s="2223" t="str" cm="1">
        <f t="array" ref="AI876">IF($D876&lt;COLUMNS($F$7:AI$7),"",INDEX(TableDiv[[GASB]:[GASB]],_xlfn.AGGREGATE(15,3,(TableDiv[[Agency]:[Agency]]=$E876)/(TableDiv[[Agency]:[Agency]]=$E876)*(ROW(TableDiv[Agency])-ROW(TableDiv[[#Headers],[Agency]])),COLUMNS($F$7:AI$7))))</f>
        <v/>
      </c>
      <c r="AJ876" s="2223" t="str" cm="1">
        <f t="array" ref="AJ876">IF($D876&lt;COLUMNS($F$7:AJ$7),"",INDEX(TableDiv[[GASB]:[GASB]],_xlfn.AGGREGATE(15,3,(TableDiv[[Agency]:[Agency]]=$E876)/(TableDiv[[Agency]:[Agency]]=$E876)*(ROW(TableDiv[Agency])-ROW(TableDiv[[#Headers],[Agency]])),COLUMNS($F$7:AJ$7))))</f>
        <v/>
      </c>
      <c r="AK876" s="2223" t="str" cm="1">
        <f t="array" ref="AK876">IF($D876&lt;COLUMNS($F$7:AK$7),"",INDEX(TableDiv[[GASB]:[GASB]],_xlfn.AGGREGATE(15,3,(TableDiv[[Agency]:[Agency]]=$E876)/(TableDiv[[Agency]:[Agency]]=$E876)*(ROW(TableDiv[Agency])-ROW(TableDiv[[#Headers],[Agency]])),COLUMNS($F$7:AK$7))))</f>
        <v/>
      </c>
      <c r="AL876" s="2223" t="str" cm="1">
        <f t="array" ref="AL876">IF($D876&lt;COLUMNS($F$7:AL$7),"",INDEX(TableDiv[[GASB]:[GASB]],_xlfn.AGGREGATE(15,3,(TableDiv[[Agency]:[Agency]]=$E876)/(TableDiv[[Agency]:[Agency]]=$E876)*(ROW(TableDiv[Agency])-ROW(TableDiv[[#Headers],[Agency]])),COLUMNS($F$7:AL$7))))</f>
        <v/>
      </c>
      <c r="AM876" s="2223" t="str" cm="1">
        <f t="array" ref="AM876">IF($D876&lt;COLUMNS($F$7:AM$7),"",INDEX(TableDiv[[GASB]:[GASB]],_xlfn.AGGREGATE(15,3,(TableDiv[[Agency]:[Agency]]=$E876)/(TableDiv[[Agency]:[Agency]]=$E876)*(ROW(TableDiv[Agency])-ROW(TableDiv[[#Headers],[Agency]])),COLUMNS($F$7:AM$7))))</f>
        <v/>
      </c>
      <c r="AN876" s="2223"/>
      <c r="AO876" s="2223"/>
      <c r="AP876" s="2223"/>
      <c r="AQ876" s="2223"/>
      <c r="AR876" s="2223"/>
      <c r="AS876" s="2223"/>
    </row>
    <row r="877" spans="1:45" x14ac:dyDescent="0.2">
      <c r="A877" s="2223"/>
      <c r="B877" s="2223"/>
      <c r="C877" s="2223"/>
      <c r="W877" s="2223" t="str" cm="1">
        <f t="array" ref="W877">IF($D877&lt;COLUMNS($F$7:W$7),"",INDEX(TableDiv[[GASB]:[GASB]],_xlfn.AGGREGATE(15,3,(TableDiv[[Agency]:[Agency]]=$E877)/(TableDiv[[Agency]:[Agency]]=$E877)*(ROW(TableDiv[Agency])-ROW(TableDiv[[#Headers],[Agency]])),COLUMNS($F$7:W$7))))</f>
        <v/>
      </c>
      <c r="X877" s="2223" t="str" cm="1">
        <f t="array" ref="X877">IF($D877&lt;COLUMNS($F$7:X$7),"",INDEX(TableDiv[[GASB]:[GASB]],_xlfn.AGGREGATE(15,3,(TableDiv[[Agency]:[Agency]]=$E877)/(TableDiv[[Agency]:[Agency]]=$E877)*(ROW(TableDiv[Agency])-ROW(TableDiv[[#Headers],[Agency]])),COLUMNS($F$7:X$7))))</f>
        <v/>
      </c>
      <c r="Y877" s="2223" t="str" cm="1">
        <f t="array" ref="Y877">IF($D877&lt;COLUMNS($F$7:Y$7),"",INDEX(TableDiv[[GASB]:[GASB]],_xlfn.AGGREGATE(15,3,(TableDiv[[Agency]:[Agency]]=$E877)/(TableDiv[[Agency]:[Agency]]=$E877)*(ROW(TableDiv[Agency])-ROW(TableDiv[[#Headers],[Agency]])),COLUMNS($F$7:Y$7))))</f>
        <v/>
      </c>
      <c r="Z877" s="2223" t="str" cm="1">
        <f t="array" ref="Z877">IF($D877&lt;COLUMNS($F$7:Z$7),"",INDEX(TableDiv[[GASB]:[GASB]],_xlfn.AGGREGATE(15,3,(TableDiv[[Agency]:[Agency]]=$E877)/(TableDiv[[Agency]:[Agency]]=$E877)*(ROW(TableDiv[Agency])-ROW(TableDiv[[#Headers],[Agency]])),COLUMNS($F$7:Z$7))))</f>
        <v/>
      </c>
      <c r="AA877" s="2223" t="str" cm="1">
        <f t="array" ref="AA877">IF($D877&lt;COLUMNS($F$7:AA$7),"",INDEX(TableDiv[[GASB]:[GASB]],_xlfn.AGGREGATE(15,3,(TableDiv[[Agency]:[Agency]]=$E877)/(TableDiv[[Agency]:[Agency]]=$E877)*(ROW(TableDiv[Agency])-ROW(TableDiv[[#Headers],[Agency]])),COLUMNS($F$7:AA$7))))</f>
        <v/>
      </c>
      <c r="AB877" s="2223" t="str" cm="1">
        <f t="array" ref="AB877">IF($D877&lt;COLUMNS($F$7:AB$7),"",INDEX(TableDiv[[GASB]:[GASB]],_xlfn.AGGREGATE(15,3,(TableDiv[[Agency]:[Agency]]=$E877)/(TableDiv[[Agency]:[Agency]]=$E877)*(ROW(TableDiv[Agency])-ROW(TableDiv[[#Headers],[Agency]])),COLUMNS($F$7:AB$7))))</f>
        <v/>
      </c>
      <c r="AC877" s="2223" t="str" cm="1">
        <f t="array" ref="AC877">IF($D877&lt;COLUMNS($F$7:AC$7),"",INDEX(TableDiv[[GASB]:[GASB]],_xlfn.AGGREGATE(15,3,(TableDiv[[Agency]:[Agency]]=$E877)/(TableDiv[[Agency]:[Agency]]=$E877)*(ROW(TableDiv[Agency])-ROW(TableDiv[[#Headers],[Agency]])),COLUMNS($F$7:AC$7))))</f>
        <v/>
      </c>
      <c r="AD877" s="2223" t="str" cm="1">
        <f t="array" ref="AD877">IF($D877&lt;COLUMNS($F$7:AD$7),"",INDEX(TableDiv[[GASB]:[GASB]],_xlfn.AGGREGATE(15,3,(TableDiv[[Agency]:[Agency]]=$E877)/(TableDiv[[Agency]:[Agency]]=$E877)*(ROW(TableDiv[Agency])-ROW(TableDiv[[#Headers],[Agency]])),COLUMNS($F$7:AD$7))))</f>
        <v/>
      </c>
      <c r="AE877" s="2223" t="str" cm="1">
        <f t="array" ref="AE877">IF($D877&lt;COLUMNS($F$7:AE$7),"",INDEX(TableDiv[[GASB]:[GASB]],_xlfn.AGGREGATE(15,3,(TableDiv[[Agency]:[Agency]]=$E877)/(TableDiv[[Agency]:[Agency]]=$E877)*(ROW(TableDiv[Agency])-ROW(TableDiv[[#Headers],[Agency]])),COLUMNS($F$7:AE$7))))</f>
        <v/>
      </c>
      <c r="AF877" s="2223" t="str" cm="1">
        <f t="array" ref="AF877">IF($D877&lt;COLUMNS($F$7:AF$7),"",INDEX(TableDiv[[GASB]:[GASB]],_xlfn.AGGREGATE(15,3,(TableDiv[[Agency]:[Agency]]=$E877)/(TableDiv[[Agency]:[Agency]]=$E877)*(ROW(TableDiv[Agency])-ROW(TableDiv[[#Headers],[Agency]])),COLUMNS($F$7:AF$7))))</f>
        <v/>
      </c>
      <c r="AG877" s="2223" t="str" cm="1">
        <f t="array" ref="AG877">IF($D877&lt;COLUMNS($F$7:AG$7),"",INDEX(TableDiv[[GASB]:[GASB]],_xlfn.AGGREGATE(15,3,(TableDiv[[Agency]:[Agency]]=$E877)/(TableDiv[[Agency]:[Agency]]=$E877)*(ROW(TableDiv[Agency])-ROW(TableDiv[[#Headers],[Agency]])),COLUMNS($F$7:AG$7))))</f>
        <v/>
      </c>
      <c r="AH877" s="2223" t="str" cm="1">
        <f t="array" ref="AH877">IF($D877&lt;COLUMNS($F$7:AH$7),"",INDEX(TableDiv[[GASB]:[GASB]],_xlfn.AGGREGATE(15,3,(TableDiv[[Agency]:[Agency]]=$E877)/(TableDiv[[Agency]:[Agency]]=$E877)*(ROW(TableDiv[Agency])-ROW(TableDiv[[#Headers],[Agency]])),COLUMNS($F$7:AH$7))))</f>
        <v/>
      </c>
      <c r="AI877" s="2223" t="str" cm="1">
        <f t="array" ref="AI877">IF($D877&lt;COLUMNS($F$7:AI$7),"",INDEX(TableDiv[[GASB]:[GASB]],_xlfn.AGGREGATE(15,3,(TableDiv[[Agency]:[Agency]]=$E877)/(TableDiv[[Agency]:[Agency]]=$E877)*(ROW(TableDiv[Agency])-ROW(TableDiv[[#Headers],[Agency]])),COLUMNS($F$7:AI$7))))</f>
        <v/>
      </c>
      <c r="AJ877" s="2223" t="str" cm="1">
        <f t="array" ref="AJ877">IF($D877&lt;COLUMNS($F$7:AJ$7),"",INDEX(TableDiv[[GASB]:[GASB]],_xlfn.AGGREGATE(15,3,(TableDiv[[Agency]:[Agency]]=$E877)/(TableDiv[[Agency]:[Agency]]=$E877)*(ROW(TableDiv[Agency])-ROW(TableDiv[[#Headers],[Agency]])),COLUMNS($F$7:AJ$7))))</f>
        <v/>
      </c>
      <c r="AK877" s="2223" t="str" cm="1">
        <f t="array" ref="AK877">IF($D877&lt;COLUMNS($F$7:AK$7),"",INDEX(TableDiv[[GASB]:[GASB]],_xlfn.AGGREGATE(15,3,(TableDiv[[Agency]:[Agency]]=$E877)/(TableDiv[[Agency]:[Agency]]=$E877)*(ROW(TableDiv[Agency])-ROW(TableDiv[[#Headers],[Agency]])),COLUMNS($F$7:AK$7))))</f>
        <v/>
      </c>
      <c r="AL877" s="2223" t="str" cm="1">
        <f t="array" ref="AL877">IF($D877&lt;COLUMNS($F$7:AL$7),"",INDEX(TableDiv[[GASB]:[GASB]],_xlfn.AGGREGATE(15,3,(TableDiv[[Agency]:[Agency]]=$E877)/(TableDiv[[Agency]:[Agency]]=$E877)*(ROW(TableDiv[Agency])-ROW(TableDiv[[#Headers],[Agency]])),COLUMNS($F$7:AL$7))))</f>
        <v/>
      </c>
      <c r="AM877" s="2223" t="str" cm="1">
        <f t="array" ref="AM877">IF($D877&lt;COLUMNS($F$7:AM$7),"",INDEX(TableDiv[[GASB]:[GASB]],_xlfn.AGGREGATE(15,3,(TableDiv[[Agency]:[Agency]]=$E877)/(TableDiv[[Agency]:[Agency]]=$E877)*(ROW(TableDiv[Agency])-ROW(TableDiv[[#Headers],[Agency]])),COLUMNS($F$7:AM$7))))</f>
        <v/>
      </c>
      <c r="AN877" s="2223"/>
      <c r="AO877" s="2223"/>
      <c r="AP877" s="2223"/>
      <c r="AQ877" s="2223"/>
      <c r="AR877" s="2223"/>
      <c r="AS877" s="2223"/>
    </row>
    <row r="878" spans="1:45" x14ac:dyDescent="0.2">
      <c r="A878" s="2223"/>
      <c r="B878" s="2223"/>
      <c r="C878" s="2223"/>
      <c r="W878" s="2223" t="str" cm="1">
        <f t="array" ref="W878">IF($D878&lt;COLUMNS($F$7:W$7),"",INDEX(TableDiv[[GASB]:[GASB]],_xlfn.AGGREGATE(15,3,(TableDiv[[Agency]:[Agency]]=$E878)/(TableDiv[[Agency]:[Agency]]=$E878)*(ROW(TableDiv[Agency])-ROW(TableDiv[[#Headers],[Agency]])),COLUMNS($F$7:W$7))))</f>
        <v/>
      </c>
      <c r="X878" s="2223" t="str" cm="1">
        <f t="array" ref="X878">IF($D878&lt;COLUMNS($F$7:X$7),"",INDEX(TableDiv[[GASB]:[GASB]],_xlfn.AGGREGATE(15,3,(TableDiv[[Agency]:[Agency]]=$E878)/(TableDiv[[Agency]:[Agency]]=$E878)*(ROW(TableDiv[Agency])-ROW(TableDiv[[#Headers],[Agency]])),COLUMNS($F$7:X$7))))</f>
        <v/>
      </c>
      <c r="Y878" s="2223" t="str" cm="1">
        <f t="array" ref="Y878">IF($D878&lt;COLUMNS($F$7:Y$7),"",INDEX(TableDiv[[GASB]:[GASB]],_xlfn.AGGREGATE(15,3,(TableDiv[[Agency]:[Agency]]=$E878)/(TableDiv[[Agency]:[Agency]]=$E878)*(ROW(TableDiv[Agency])-ROW(TableDiv[[#Headers],[Agency]])),COLUMNS($F$7:Y$7))))</f>
        <v/>
      </c>
      <c r="Z878" s="2223" t="str" cm="1">
        <f t="array" ref="Z878">IF($D878&lt;COLUMNS($F$7:Z$7),"",INDEX(TableDiv[[GASB]:[GASB]],_xlfn.AGGREGATE(15,3,(TableDiv[[Agency]:[Agency]]=$E878)/(TableDiv[[Agency]:[Agency]]=$E878)*(ROW(TableDiv[Agency])-ROW(TableDiv[[#Headers],[Agency]])),COLUMNS($F$7:Z$7))))</f>
        <v/>
      </c>
      <c r="AA878" s="2223" t="str" cm="1">
        <f t="array" ref="AA878">IF($D878&lt;COLUMNS($F$7:AA$7),"",INDEX(TableDiv[[GASB]:[GASB]],_xlfn.AGGREGATE(15,3,(TableDiv[[Agency]:[Agency]]=$E878)/(TableDiv[[Agency]:[Agency]]=$E878)*(ROW(TableDiv[Agency])-ROW(TableDiv[[#Headers],[Agency]])),COLUMNS($F$7:AA$7))))</f>
        <v/>
      </c>
      <c r="AB878" s="2223" t="str" cm="1">
        <f t="array" ref="AB878">IF($D878&lt;COLUMNS($F$7:AB$7),"",INDEX(TableDiv[[GASB]:[GASB]],_xlfn.AGGREGATE(15,3,(TableDiv[[Agency]:[Agency]]=$E878)/(TableDiv[[Agency]:[Agency]]=$E878)*(ROW(TableDiv[Agency])-ROW(TableDiv[[#Headers],[Agency]])),COLUMNS($F$7:AB$7))))</f>
        <v/>
      </c>
      <c r="AC878" s="2223" t="str" cm="1">
        <f t="array" ref="AC878">IF($D878&lt;COLUMNS($F$7:AC$7),"",INDEX(TableDiv[[GASB]:[GASB]],_xlfn.AGGREGATE(15,3,(TableDiv[[Agency]:[Agency]]=$E878)/(TableDiv[[Agency]:[Agency]]=$E878)*(ROW(TableDiv[Agency])-ROW(TableDiv[[#Headers],[Agency]])),COLUMNS($F$7:AC$7))))</f>
        <v/>
      </c>
      <c r="AD878" s="2223" t="str" cm="1">
        <f t="array" ref="AD878">IF($D878&lt;COLUMNS($F$7:AD$7),"",INDEX(TableDiv[[GASB]:[GASB]],_xlfn.AGGREGATE(15,3,(TableDiv[[Agency]:[Agency]]=$E878)/(TableDiv[[Agency]:[Agency]]=$E878)*(ROW(TableDiv[Agency])-ROW(TableDiv[[#Headers],[Agency]])),COLUMNS($F$7:AD$7))))</f>
        <v/>
      </c>
      <c r="AE878" s="2223" t="str" cm="1">
        <f t="array" ref="AE878">IF($D878&lt;COLUMNS($F$7:AE$7),"",INDEX(TableDiv[[GASB]:[GASB]],_xlfn.AGGREGATE(15,3,(TableDiv[[Agency]:[Agency]]=$E878)/(TableDiv[[Agency]:[Agency]]=$E878)*(ROW(TableDiv[Agency])-ROW(TableDiv[[#Headers],[Agency]])),COLUMNS($F$7:AE$7))))</f>
        <v/>
      </c>
      <c r="AF878" s="2223" t="str" cm="1">
        <f t="array" ref="AF878">IF($D878&lt;COLUMNS($F$7:AF$7),"",INDEX(TableDiv[[GASB]:[GASB]],_xlfn.AGGREGATE(15,3,(TableDiv[[Agency]:[Agency]]=$E878)/(TableDiv[[Agency]:[Agency]]=$E878)*(ROW(TableDiv[Agency])-ROW(TableDiv[[#Headers],[Agency]])),COLUMNS($F$7:AF$7))))</f>
        <v/>
      </c>
      <c r="AG878" s="2223" t="str" cm="1">
        <f t="array" ref="AG878">IF($D878&lt;COLUMNS($F$7:AG$7),"",INDEX(TableDiv[[GASB]:[GASB]],_xlfn.AGGREGATE(15,3,(TableDiv[[Agency]:[Agency]]=$E878)/(TableDiv[[Agency]:[Agency]]=$E878)*(ROW(TableDiv[Agency])-ROW(TableDiv[[#Headers],[Agency]])),COLUMNS($F$7:AG$7))))</f>
        <v/>
      </c>
      <c r="AH878" s="2223" t="str" cm="1">
        <f t="array" ref="AH878">IF($D878&lt;COLUMNS($F$7:AH$7),"",INDEX(TableDiv[[GASB]:[GASB]],_xlfn.AGGREGATE(15,3,(TableDiv[[Agency]:[Agency]]=$E878)/(TableDiv[[Agency]:[Agency]]=$E878)*(ROW(TableDiv[Agency])-ROW(TableDiv[[#Headers],[Agency]])),COLUMNS($F$7:AH$7))))</f>
        <v/>
      </c>
      <c r="AI878" s="2223" t="str" cm="1">
        <f t="array" ref="AI878">IF($D878&lt;COLUMNS($F$7:AI$7),"",INDEX(TableDiv[[GASB]:[GASB]],_xlfn.AGGREGATE(15,3,(TableDiv[[Agency]:[Agency]]=$E878)/(TableDiv[[Agency]:[Agency]]=$E878)*(ROW(TableDiv[Agency])-ROW(TableDiv[[#Headers],[Agency]])),COLUMNS($F$7:AI$7))))</f>
        <v/>
      </c>
      <c r="AJ878" s="2223" t="str" cm="1">
        <f t="array" ref="AJ878">IF($D878&lt;COLUMNS($F$7:AJ$7),"",INDEX(TableDiv[[GASB]:[GASB]],_xlfn.AGGREGATE(15,3,(TableDiv[[Agency]:[Agency]]=$E878)/(TableDiv[[Agency]:[Agency]]=$E878)*(ROW(TableDiv[Agency])-ROW(TableDiv[[#Headers],[Agency]])),COLUMNS($F$7:AJ$7))))</f>
        <v/>
      </c>
      <c r="AK878" s="2223" t="str" cm="1">
        <f t="array" ref="AK878">IF($D878&lt;COLUMNS($F$7:AK$7),"",INDEX(TableDiv[[GASB]:[GASB]],_xlfn.AGGREGATE(15,3,(TableDiv[[Agency]:[Agency]]=$E878)/(TableDiv[[Agency]:[Agency]]=$E878)*(ROW(TableDiv[Agency])-ROW(TableDiv[[#Headers],[Agency]])),COLUMNS($F$7:AK$7))))</f>
        <v/>
      </c>
      <c r="AL878" s="2223" t="str" cm="1">
        <f t="array" ref="AL878">IF($D878&lt;COLUMNS($F$7:AL$7),"",INDEX(TableDiv[[GASB]:[GASB]],_xlfn.AGGREGATE(15,3,(TableDiv[[Agency]:[Agency]]=$E878)/(TableDiv[[Agency]:[Agency]]=$E878)*(ROW(TableDiv[Agency])-ROW(TableDiv[[#Headers],[Agency]])),COLUMNS($F$7:AL$7))))</f>
        <v/>
      </c>
      <c r="AM878" s="2223" t="str" cm="1">
        <f t="array" ref="AM878">IF($D878&lt;COLUMNS($F$7:AM$7),"",INDEX(TableDiv[[GASB]:[GASB]],_xlfn.AGGREGATE(15,3,(TableDiv[[Agency]:[Agency]]=$E878)/(TableDiv[[Agency]:[Agency]]=$E878)*(ROW(TableDiv[Agency])-ROW(TableDiv[[#Headers],[Agency]])),COLUMNS($F$7:AM$7))))</f>
        <v/>
      </c>
      <c r="AN878" s="2223"/>
      <c r="AO878" s="2223"/>
      <c r="AP878" s="2223"/>
      <c r="AQ878" s="2223"/>
      <c r="AR878" s="2223"/>
      <c r="AS878" s="2223"/>
    </row>
    <row r="879" spans="1:45" x14ac:dyDescent="0.2">
      <c r="A879" s="2223"/>
      <c r="B879" s="2223"/>
      <c r="C879" s="2223"/>
      <c r="W879" s="2223" t="str" cm="1">
        <f t="array" ref="W879">IF($D879&lt;COLUMNS($F$7:W$7),"",INDEX(TableDiv[[GASB]:[GASB]],_xlfn.AGGREGATE(15,3,(TableDiv[[Agency]:[Agency]]=$E879)/(TableDiv[[Agency]:[Agency]]=$E879)*(ROW(TableDiv[Agency])-ROW(TableDiv[[#Headers],[Agency]])),COLUMNS($F$7:W$7))))</f>
        <v/>
      </c>
      <c r="X879" s="2223" t="str" cm="1">
        <f t="array" ref="X879">IF($D879&lt;COLUMNS($F$7:X$7),"",INDEX(TableDiv[[GASB]:[GASB]],_xlfn.AGGREGATE(15,3,(TableDiv[[Agency]:[Agency]]=$E879)/(TableDiv[[Agency]:[Agency]]=$E879)*(ROW(TableDiv[Agency])-ROW(TableDiv[[#Headers],[Agency]])),COLUMNS($F$7:X$7))))</f>
        <v/>
      </c>
      <c r="Y879" s="2223" t="str" cm="1">
        <f t="array" ref="Y879">IF($D879&lt;COLUMNS($F$7:Y$7),"",INDEX(TableDiv[[GASB]:[GASB]],_xlfn.AGGREGATE(15,3,(TableDiv[[Agency]:[Agency]]=$E879)/(TableDiv[[Agency]:[Agency]]=$E879)*(ROW(TableDiv[Agency])-ROW(TableDiv[[#Headers],[Agency]])),COLUMNS($F$7:Y$7))))</f>
        <v/>
      </c>
      <c r="Z879" s="2223" t="str" cm="1">
        <f t="array" ref="Z879">IF($D879&lt;COLUMNS($F$7:Z$7),"",INDEX(TableDiv[[GASB]:[GASB]],_xlfn.AGGREGATE(15,3,(TableDiv[[Agency]:[Agency]]=$E879)/(TableDiv[[Agency]:[Agency]]=$E879)*(ROW(TableDiv[Agency])-ROW(TableDiv[[#Headers],[Agency]])),COLUMNS($F$7:Z$7))))</f>
        <v/>
      </c>
      <c r="AA879" s="2223" t="str" cm="1">
        <f t="array" ref="AA879">IF($D879&lt;COLUMNS($F$7:AA$7),"",INDEX(TableDiv[[GASB]:[GASB]],_xlfn.AGGREGATE(15,3,(TableDiv[[Agency]:[Agency]]=$E879)/(TableDiv[[Agency]:[Agency]]=$E879)*(ROW(TableDiv[Agency])-ROW(TableDiv[[#Headers],[Agency]])),COLUMNS($F$7:AA$7))))</f>
        <v/>
      </c>
      <c r="AB879" s="2223" t="str" cm="1">
        <f t="array" ref="AB879">IF($D879&lt;COLUMNS($F$7:AB$7),"",INDEX(TableDiv[[GASB]:[GASB]],_xlfn.AGGREGATE(15,3,(TableDiv[[Agency]:[Agency]]=$E879)/(TableDiv[[Agency]:[Agency]]=$E879)*(ROW(TableDiv[Agency])-ROW(TableDiv[[#Headers],[Agency]])),COLUMNS($F$7:AB$7))))</f>
        <v/>
      </c>
      <c r="AC879" s="2223" t="str" cm="1">
        <f t="array" ref="AC879">IF($D879&lt;COLUMNS($F$7:AC$7),"",INDEX(TableDiv[[GASB]:[GASB]],_xlfn.AGGREGATE(15,3,(TableDiv[[Agency]:[Agency]]=$E879)/(TableDiv[[Agency]:[Agency]]=$E879)*(ROW(TableDiv[Agency])-ROW(TableDiv[[#Headers],[Agency]])),COLUMNS($F$7:AC$7))))</f>
        <v/>
      </c>
      <c r="AD879" s="2223" t="str" cm="1">
        <f t="array" ref="AD879">IF($D879&lt;COLUMNS($F$7:AD$7),"",INDEX(TableDiv[[GASB]:[GASB]],_xlfn.AGGREGATE(15,3,(TableDiv[[Agency]:[Agency]]=$E879)/(TableDiv[[Agency]:[Agency]]=$E879)*(ROW(TableDiv[Agency])-ROW(TableDiv[[#Headers],[Agency]])),COLUMNS($F$7:AD$7))))</f>
        <v/>
      </c>
      <c r="AE879" s="2223" t="str" cm="1">
        <f t="array" ref="AE879">IF($D879&lt;COLUMNS($F$7:AE$7),"",INDEX(TableDiv[[GASB]:[GASB]],_xlfn.AGGREGATE(15,3,(TableDiv[[Agency]:[Agency]]=$E879)/(TableDiv[[Agency]:[Agency]]=$E879)*(ROW(TableDiv[Agency])-ROW(TableDiv[[#Headers],[Agency]])),COLUMNS($F$7:AE$7))))</f>
        <v/>
      </c>
      <c r="AF879" s="2223" t="str" cm="1">
        <f t="array" ref="AF879">IF($D879&lt;COLUMNS($F$7:AF$7),"",INDEX(TableDiv[[GASB]:[GASB]],_xlfn.AGGREGATE(15,3,(TableDiv[[Agency]:[Agency]]=$E879)/(TableDiv[[Agency]:[Agency]]=$E879)*(ROW(TableDiv[Agency])-ROW(TableDiv[[#Headers],[Agency]])),COLUMNS($F$7:AF$7))))</f>
        <v/>
      </c>
      <c r="AG879" s="2223" t="str" cm="1">
        <f t="array" ref="AG879">IF($D879&lt;COLUMNS($F$7:AG$7),"",INDEX(TableDiv[[GASB]:[GASB]],_xlfn.AGGREGATE(15,3,(TableDiv[[Agency]:[Agency]]=$E879)/(TableDiv[[Agency]:[Agency]]=$E879)*(ROW(TableDiv[Agency])-ROW(TableDiv[[#Headers],[Agency]])),COLUMNS($F$7:AG$7))))</f>
        <v/>
      </c>
      <c r="AH879" s="2223" t="str" cm="1">
        <f t="array" ref="AH879">IF($D879&lt;COLUMNS($F$7:AH$7),"",INDEX(TableDiv[[GASB]:[GASB]],_xlfn.AGGREGATE(15,3,(TableDiv[[Agency]:[Agency]]=$E879)/(TableDiv[[Agency]:[Agency]]=$E879)*(ROW(TableDiv[Agency])-ROW(TableDiv[[#Headers],[Agency]])),COLUMNS($F$7:AH$7))))</f>
        <v/>
      </c>
      <c r="AI879" s="2223" t="str" cm="1">
        <f t="array" ref="AI879">IF($D879&lt;COLUMNS($F$7:AI$7),"",INDEX(TableDiv[[GASB]:[GASB]],_xlfn.AGGREGATE(15,3,(TableDiv[[Agency]:[Agency]]=$E879)/(TableDiv[[Agency]:[Agency]]=$E879)*(ROW(TableDiv[Agency])-ROW(TableDiv[[#Headers],[Agency]])),COLUMNS($F$7:AI$7))))</f>
        <v/>
      </c>
      <c r="AJ879" s="2223" t="str" cm="1">
        <f t="array" ref="AJ879">IF($D879&lt;COLUMNS($F$7:AJ$7),"",INDEX(TableDiv[[GASB]:[GASB]],_xlfn.AGGREGATE(15,3,(TableDiv[[Agency]:[Agency]]=$E879)/(TableDiv[[Agency]:[Agency]]=$E879)*(ROW(TableDiv[Agency])-ROW(TableDiv[[#Headers],[Agency]])),COLUMNS($F$7:AJ$7))))</f>
        <v/>
      </c>
      <c r="AK879" s="2223" t="str" cm="1">
        <f t="array" ref="AK879">IF($D879&lt;COLUMNS($F$7:AK$7),"",INDEX(TableDiv[[GASB]:[GASB]],_xlfn.AGGREGATE(15,3,(TableDiv[[Agency]:[Agency]]=$E879)/(TableDiv[[Agency]:[Agency]]=$E879)*(ROW(TableDiv[Agency])-ROW(TableDiv[[#Headers],[Agency]])),COLUMNS($F$7:AK$7))))</f>
        <v/>
      </c>
      <c r="AL879" s="2223" t="str" cm="1">
        <f t="array" ref="AL879">IF($D879&lt;COLUMNS($F$7:AL$7),"",INDEX(TableDiv[[GASB]:[GASB]],_xlfn.AGGREGATE(15,3,(TableDiv[[Agency]:[Agency]]=$E879)/(TableDiv[[Agency]:[Agency]]=$E879)*(ROW(TableDiv[Agency])-ROW(TableDiv[[#Headers],[Agency]])),COLUMNS($F$7:AL$7))))</f>
        <v/>
      </c>
      <c r="AM879" s="2223" t="str" cm="1">
        <f t="array" ref="AM879">IF($D879&lt;COLUMNS($F$7:AM$7),"",INDEX(TableDiv[[GASB]:[GASB]],_xlfn.AGGREGATE(15,3,(TableDiv[[Agency]:[Agency]]=$E879)/(TableDiv[[Agency]:[Agency]]=$E879)*(ROW(TableDiv[Agency])-ROW(TableDiv[[#Headers],[Agency]])),COLUMNS($F$7:AM$7))))</f>
        <v/>
      </c>
      <c r="AN879" s="2223"/>
      <c r="AO879" s="2223"/>
      <c r="AP879" s="2223"/>
      <c r="AQ879" s="2223"/>
      <c r="AR879" s="2223"/>
      <c r="AS879" s="2223"/>
    </row>
    <row r="880" spans="1:45" x14ac:dyDescent="0.2">
      <c r="A880" s="2223"/>
      <c r="B880" s="2223"/>
      <c r="C880" s="2223"/>
      <c r="W880" s="2223" t="str" cm="1">
        <f t="array" ref="W880">IF($D880&lt;COLUMNS($F$7:W$7),"",INDEX(TableDiv[[GASB]:[GASB]],_xlfn.AGGREGATE(15,3,(TableDiv[[Agency]:[Agency]]=$E880)/(TableDiv[[Agency]:[Agency]]=$E880)*(ROW(TableDiv[Agency])-ROW(TableDiv[[#Headers],[Agency]])),COLUMNS($F$7:W$7))))</f>
        <v/>
      </c>
      <c r="X880" s="2223" t="str" cm="1">
        <f t="array" ref="X880">IF($D880&lt;COLUMNS($F$7:X$7),"",INDEX(TableDiv[[GASB]:[GASB]],_xlfn.AGGREGATE(15,3,(TableDiv[[Agency]:[Agency]]=$E880)/(TableDiv[[Agency]:[Agency]]=$E880)*(ROW(TableDiv[Agency])-ROW(TableDiv[[#Headers],[Agency]])),COLUMNS($F$7:X$7))))</f>
        <v/>
      </c>
      <c r="Y880" s="2223" t="str" cm="1">
        <f t="array" ref="Y880">IF($D880&lt;COLUMNS($F$7:Y$7),"",INDEX(TableDiv[[GASB]:[GASB]],_xlfn.AGGREGATE(15,3,(TableDiv[[Agency]:[Agency]]=$E880)/(TableDiv[[Agency]:[Agency]]=$E880)*(ROW(TableDiv[Agency])-ROW(TableDiv[[#Headers],[Agency]])),COLUMNS($F$7:Y$7))))</f>
        <v/>
      </c>
      <c r="Z880" s="2223" t="str" cm="1">
        <f t="array" ref="Z880">IF($D880&lt;COLUMNS($F$7:Z$7),"",INDEX(TableDiv[[GASB]:[GASB]],_xlfn.AGGREGATE(15,3,(TableDiv[[Agency]:[Agency]]=$E880)/(TableDiv[[Agency]:[Agency]]=$E880)*(ROW(TableDiv[Agency])-ROW(TableDiv[[#Headers],[Agency]])),COLUMNS($F$7:Z$7))))</f>
        <v/>
      </c>
      <c r="AA880" s="2223" t="str" cm="1">
        <f t="array" ref="AA880">IF($D880&lt;COLUMNS($F$7:AA$7),"",INDEX(TableDiv[[GASB]:[GASB]],_xlfn.AGGREGATE(15,3,(TableDiv[[Agency]:[Agency]]=$E880)/(TableDiv[[Agency]:[Agency]]=$E880)*(ROW(TableDiv[Agency])-ROW(TableDiv[[#Headers],[Agency]])),COLUMNS($F$7:AA$7))))</f>
        <v/>
      </c>
      <c r="AB880" s="2223" t="str" cm="1">
        <f t="array" ref="AB880">IF($D880&lt;COLUMNS($F$7:AB$7),"",INDEX(TableDiv[[GASB]:[GASB]],_xlfn.AGGREGATE(15,3,(TableDiv[[Agency]:[Agency]]=$E880)/(TableDiv[[Agency]:[Agency]]=$E880)*(ROW(TableDiv[Agency])-ROW(TableDiv[[#Headers],[Agency]])),COLUMNS($F$7:AB$7))))</f>
        <v/>
      </c>
      <c r="AC880" s="2223" t="str" cm="1">
        <f t="array" ref="AC880">IF($D880&lt;COLUMNS($F$7:AC$7),"",INDEX(TableDiv[[GASB]:[GASB]],_xlfn.AGGREGATE(15,3,(TableDiv[[Agency]:[Agency]]=$E880)/(TableDiv[[Agency]:[Agency]]=$E880)*(ROW(TableDiv[Agency])-ROW(TableDiv[[#Headers],[Agency]])),COLUMNS($F$7:AC$7))))</f>
        <v/>
      </c>
      <c r="AD880" s="2223" t="str" cm="1">
        <f t="array" ref="AD880">IF($D880&lt;COLUMNS($F$7:AD$7),"",INDEX(TableDiv[[GASB]:[GASB]],_xlfn.AGGREGATE(15,3,(TableDiv[[Agency]:[Agency]]=$E880)/(TableDiv[[Agency]:[Agency]]=$E880)*(ROW(TableDiv[Agency])-ROW(TableDiv[[#Headers],[Agency]])),COLUMNS($F$7:AD$7))))</f>
        <v/>
      </c>
      <c r="AE880" s="2223" t="str" cm="1">
        <f t="array" ref="AE880">IF($D880&lt;COLUMNS($F$7:AE$7),"",INDEX(TableDiv[[GASB]:[GASB]],_xlfn.AGGREGATE(15,3,(TableDiv[[Agency]:[Agency]]=$E880)/(TableDiv[[Agency]:[Agency]]=$E880)*(ROW(TableDiv[Agency])-ROW(TableDiv[[#Headers],[Agency]])),COLUMNS($F$7:AE$7))))</f>
        <v/>
      </c>
      <c r="AF880" s="2223" t="str" cm="1">
        <f t="array" ref="AF880">IF($D880&lt;COLUMNS($F$7:AF$7),"",INDEX(TableDiv[[GASB]:[GASB]],_xlfn.AGGREGATE(15,3,(TableDiv[[Agency]:[Agency]]=$E880)/(TableDiv[[Agency]:[Agency]]=$E880)*(ROW(TableDiv[Agency])-ROW(TableDiv[[#Headers],[Agency]])),COLUMNS($F$7:AF$7))))</f>
        <v/>
      </c>
      <c r="AG880" s="2223" t="str" cm="1">
        <f t="array" ref="AG880">IF($D880&lt;COLUMNS($F$7:AG$7),"",INDEX(TableDiv[[GASB]:[GASB]],_xlfn.AGGREGATE(15,3,(TableDiv[[Agency]:[Agency]]=$E880)/(TableDiv[[Agency]:[Agency]]=$E880)*(ROW(TableDiv[Agency])-ROW(TableDiv[[#Headers],[Agency]])),COLUMNS($F$7:AG$7))))</f>
        <v/>
      </c>
      <c r="AH880" s="2223" t="str" cm="1">
        <f t="array" ref="AH880">IF($D880&lt;COLUMNS($F$7:AH$7),"",INDEX(TableDiv[[GASB]:[GASB]],_xlfn.AGGREGATE(15,3,(TableDiv[[Agency]:[Agency]]=$E880)/(TableDiv[[Agency]:[Agency]]=$E880)*(ROW(TableDiv[Agency])-ROW(TableDiv[[#Headers],[Agency]])),COLUMNS($F$7:AH$7))))</f>
        <v/>
      </c>
      <c r="AI880" s="2223" t="str" cm="1">
        <f t="array" ref="AI880">IF($D880&lt;COLUMNS($F$7:AI$7),"",INDEX(TableDiv[[GASB]:[GASB]],_xlfn.AGGREGATE(15,3,(TableDiv[[Agency]:[Agency]]=$E880)/(TableDiv[[Agency]:[Agency]]=$E880)*(ROW(TableDiv[Agency])-ROW(TableDiv[[#Headers],[Agency]])),COLUMNS($F$7:AI$7))))</f>
        <v/>
      </c>
      <c r="AJ880" s="2223" t="str" cm="1">
        <f t="array" ref="AJ880">IF($D880&lt;COLUMNS($F$7:AJ$7),"",INDEX(TableDiv[[GASB]:[GASB]],_xlfn.AGGREGATE(15,3,(TableDiv[[Agency]:[Agency]]=$E880)/(TableDiv[[Agency]:[Agency]]=$E880)*(ROW(TableDiv[Agency])-ROW(TableDiv[[#Headers],[Agency]])),COLUMNS($F$7:AJ$7))))</f>
        <v/>
      </c>
      <c r="AK880" s="2223" t="str" cm="1">
        <f t="array" ref="AK880">IF($D880&lt;COLUMNS($F$7:AK$7),"",INDEX(TableDiv[[GASB]:[GASB]],_xlfn.AGGREGATE(15,3,(TableDiv[[Agency]:[Agency]]=$E880)/(TableDiv[[Agency]:[Agency]]=$E880)*(ROW(TableDiv[Agency])-ROW(TableDiv[[#Headers],[Agency]])),COLUMNS($F$7:AK$7))))</f>
        <v/>
      </c>
      <c r="AL880" s="2223" t="str" cm="1">
        <f t="array" ref="AL880">IF($D880&lt;COLUMNS($F$7:AL$7),"",INDEX(TableDiv[[GASB]:[GASB]],_xlfn.AGGREGATE(15,3,(TableDiv[[Agency]:[Agency]]=$E880)/(TableDiv[[Agency]:[Agency]]=$E880)*(ROW(TableDiv[Agency])-ROW(TableDiv[[#Headers],[Agency]])),COLUMNS($F$7:AL$7))))</f>
        <v/>
      </c>
      <c r="AM880" s="2223" t="str" cm="1">
        <f t="array" ref="AM880">IF($D880&lt;COLUMNS($F$7:AM$7),"",INDEX(TableDiv[[GASB]:[GASB]],_xlfn.AGGREGATE(15,3,(TableDiv[[Agency]:[Agency]]=$E880)/(TableDiv[[Agency]:[Agency]]=$E880)*(ROW(TableDiv[Agency])-ROW(TableDiv[[#Headers],[Agency]])),COLUMNS($F$7:AM$7))))</f>
        <v/>
      </c>
      <c r="AN880" s="2223"/>
      <c r="AO880" s="2223"/>
      <c r="AP880" s="2223"/>
      <c r="AQ880" s="2223"/>
      <c r="AR880" s="2223"/>
      <c r="AS880" s="2223"/>
    </row>
    <row r="881" spans="1:45" x14ac:dyDescent="0.2">
      <c r="A881" s="2223"/>
      <c r="B881" s="2223"/>
      <c r="C881" s="2223"/>
      <c r="W881" s="2223" t="str" cm="1">
        <f t="array" ref="W881">IF($D881&lt;COLUMNS($F$7:W$7),"",INDEX(TableDiv[[GASB]:[GASB]],_xlfn.AGGREGATE(15,3,(TableDiv[[Agency]:[Agency]]=$E881)/(TableDiv[[Agency]:[Agency]]=$E881)*(ROW(TableDiv[Agency])-ROW(TableDiv[[#Headers],[Agency]])),COLUMNS($F$7:W$7))))</f>
        <v/>
      </c>
      <c r="X881" s="2223" t="str" cm="1">
        <f t="array" ref="X881">IF($D881&lt;COLUMNS($F$7:X$7),"",INDEX(TableDiv[[GASB]:[GASB]],_xlfn.AGGREGATE(15,3,(TableDiv[[Agency]:[Agency]]=$E881)/(TableDiv[[Agency]:[Agency]]=$E881)*(ROW(TableDiv[Agency])-ROW(TableDiv[[#Headers],[Agency]])),COLUMNS($F$7:X$7))))</f>
        <v/>
      </c>
      <c r="Y881" s="2223" t="str" cm="1">
        <f t="array" ref="Y881">IF($D881&lt;COLUMNS($F$7:Y$7),"",INDEX(TableDiv[[GASB]:[GASB]],_xlfn.AGGREGATE(15,3,(TableDiv[[Agency]:[Agency]]=$E881)/(TableDiv[[Agency]:[Agency]]=$E881)*(ROW(TableDiv[Agency])-ROW(TableDiv[[#Headers],[Agency]])),COLUMNS($F$7:Y$7))))</f>
        <v/>
      </c>
      <c r="Z881" s="2223" t="str" cm="1">
        <f t="array" ref="Z881">IF($D881&lt;COLUMNS($F$7:Z$7),"",INDEX(TableDiv[[GASB]:[GASB]],_xlfn.AGGREGATE(15,3,(TableDiv[[Agency]:[Agency]]=$E881)/(TableDiv[[Agency]:[Agency]]=$E881)*(ROW(TableDiv[Agency])-ROW(TableDiv[[#Headers],[Agency]])),COLUMNS($F$7:Z$7))))</f>
        <v/>
      </c>
      <c r="AA881" s="2223" t="str" cm="1">
        <f t="array" ref="AA881">IF($D881&lt;COLUMNS($F$7:AA$7),"",INDEX(TableDiv[[GASB]:[GASB]],_xlfn.AGGREGATE(15,3,(TableDiv[[Agency]:[Agency]]=$E881)/(TableDiv[[Agency]:[Agency]]=$E881)*(ROW(TableDiv[Agency])-ROW(TableDiv[[#Headers],[Agency]])),COLUMNS($F$7:AA$7))))</f>
        <v/>
      </c>
      <c r="AB881" s="2223" t="str" cm="1">
        <f t="array" ref="AB881">IF($D881&lt;COLUMNS($F$7:AB$7),"",INDEX(TableDiv[[GASB]:[GASB]],_xlfn.AGGREGATE(15,3,(TableDiv[[Agency]:[Agency]]=$E881)/(TableDiv[[Agency]:[Agency]]=$E881)*(ROW(TableDiv[Agency])-ROW(TableDiv[[#Headers],[Agency]])),COLUMNS($F$7:AB$7))))</f>
        <v/>
      </c>
      <c r="AC881" s="2223" t="str" cm="1">
        <f t="array" ref="AC881">IF($D881&lt;COLUMNS($F$7:AC$7),"",INDEX(TableDiv[[GASB]:[GASB]],_xlfn.AGGREGATE(15,3,(TableDiv[[Agency]:[Agency]]=$E881)/(TableDiv[[Agency]:[Agency]]=$E881)*(ROW(TableDiv[Agency])-ROW(TableDiv[[#Headers],[Agency]])),COLUMNS($F$7:AC$7))))</f>
        <v/>
      </c>
      <c r="AD881" s="2223" t="str" cm="1">
        <f t="array" ref="AD881">IF($D881&lt;COLUMNS($F$7:AD$7),"",INDEX(TableDiv[[GASB]:[GASB]],_xlfn.AGGREGATE(15,3,(TableDiv[[Agency]:[Agency]]=$E881)/(TableDiv[[Agency]:[Agency]]=$E881)*(ROW(TableDiv[Agency])-ROW(TableDiv[[#Headers],[Agency]])),COLUMNS($F$7:AD$7))))</f>
        <v/>
      </c>
      <c r="AE881" s="2223" t="str" cm="1">
        <f t="array" ref="AE881">IF($D881&lt;COLUMNS($F$7:AE$7),"",INDEX(TableDiv[[GASB]:[GASB]],_xlfn.AGGREGATE(15,3,(TableDiv[[Agency]:[Agency]]=$E881)/(TableDiv[[Agency]:[Agency]]=$E881)*(ROW(TableDiv[Agency])-ROW(TableDiv[[#Headers],[Agency]])),COLUMNS($F$7:AE$7))))</f>
        <v/>
      </c>
      <c r="AF881" s="2223" t="str" cm="1">
        <f t="array" ref="AF881">IF($D881&lt;COLUMNS($F$7:AF$7),"",INDEX(TableDiv[[GASB]:[GASB]],_xlfn.AGGREGATE(15,3,(TableDiv[[Agency]:[Agency]]=$E881)/(TableDiv[[Agency]:[Agency]]=$E881)*(ROW(TableDiv[Agency])-ROW(TableDiv[[#Headers],[Agency]])),COLUMNS($F$7:AF$7))))</f>
        <v/>
      </c>
      <c r="AG881" s="2223" t="str" cm="1">
        <f t="array" ref="AG881">IF($D881&lt;COLUMNS($F$7:AG$7),"",INDEX(TableDiv[[GASB]:[GASB]],_xlfn.AGGREGATE(15,3,(TableDiv[[Agency]:[Agency]]=$E881)/(TableDiv[[Agency]:[Agency]]=$E881)*(ROW(TableDiv[Agency])-ROW(TableDiv[[#Headers],[Agency]])),COLUMNS($F$7:AG$7))))</f>
        <v/>
      </c>
      <c r="AH881" s="2223" t="str" cm="1">
        <f t="array" ref="AH881">IF($D881&lt;COLUMNS($F$7:AH$7),"",INDEX(TableDiv[[GASB]:[GASB]],_xlfn.AGGREGATE(15,3,(TableDiv[[Agency]:[Agency]]=$E881)/(TableDiv[[Agency]:[Agency]]=$E881)*(ROW(TableDiv[Agency])-ROW(TableDiv[[#Headers],[Agency]])),COLUMNS($F$7:AH$7))))</f>
        <v/>
      </c>
      <c r="AI881" s="2223" t="str" cm="1">
        <f t="array" ref="AI881">IF($D881&lt;COLUMNS($F$7:AI$7),"",INDEX(TableDiv[[GASB]:[GASB]],_xlfn.AGGREGATE(15,3,(TableDiv[[Agency]:[Agency]]=$E881)/(TableDiv[[Agency]:[Agency]]=$E881)*(ROW(TableDiv[Agency])-ROW(TableDiv[[#Headers],[Agency]])),COLUMNS($F$7:AI$7))))</f>
        <v/>
      </c>
      <c r="AJ881" s="2223" t="str" cm="1">
        <f t="array" ref="AJ881">IF($D881&lt;COLUMNS($F$7:AJ$7),"",INDEX(TableDiv[[GASB]:[GASB]],_xlfn.AGGREGATE(15,3,(TableDiv[[Agency]:[Agency]]=$E881)/(TableDiv[[Agency]:[Agency]]=$E881)*(ROW(TableDiv[Agency])-ROW(TableDiv[[#Headers],[Agency]])),COLUMNS($F$7:AJ$7))))</f>
        <v/>
      </c>
      <c r="AK881" s="2223" t="str" cm="1">
        <f t="array" ref="AK881">IF($D881&lt;COLUMNS($F$7:AK$7),"",INDEX(TableDiv[[GASB]:[GASB]],_xlfn.AGGREGATE(15,3,(TableDiv[[Agency]:[Agency]]=$E881)/(TableDiv[[Agency]:[Agency]]=$E881)*(ROW(TableDiv[Agency])-ROW(TableDiv[[#Headers],[Agency]])),COLUMNS($F$7:AK$7))))</f>
        <v/>
      </c>
      <c r="AL881" s="2223" t="str" cm="1">
        <f t="array" ref="AL881">IF($D881&lt;COLUMNS($F$7:AL$7),"",INDEX(TableDiv[[GASB]:[GASB]],_xlfn.AGGREGATE(15,3,(TableDiv[[Agency]:[Agency]]=$E881)/(TableDiv[[Agency]:[Agency]]=$E881)*(ROW(TableDiv[Agency])-ROW(TableDiv[[#Headers],[Agency]])),COLUMNS($F$7:AL$7))))</f>
        <v/>
      </c>
      <c r="AM881" s="2223" t="str" cm="1">
        <f t="array" ref="AM881">IF($D881&lt;COLUMNS($F$7:AM$7),"",INDEX(TableDiv[[GASB]:[GASB]],_xlfn.AGGREGATE(15,3,(TableDiv[[Agency]:[Agency]]=$E881)/(TableDiv[[Agency]:[Agency]]=$E881)*(ROW(TableDiv[Agency])-ROW(TableDiv[[#Headers],[Agency]])),COLUMNS($F$7:AM$7))))</f>
        <v/>
      </c>
      <c r="AN881" s="2223"/>
      <c r="AO881" s="2223"/>
      <c r="AP881" s="2223"/>
      <c r="AQ881" s="2223"/>
      <c r="AR881" s="2223"/>
      <c r="AS881" s="2223"/>
    </row>
    <row r="882" spans="1:45" x14ac:dyDescent="0.2">
      <c r="A882" s="2223"/>
      <c r="B882" s="2223"/>
      <c r="C882" s="2223"/>
      <c r="W882" s="2223" t="str" cm="1">
        <f t="array" ref="W882">IF($D882&lt;COLUMNS($F$7:W$7),"",INDEX(TableDiv[[GASB]:[GASB]],_xlfn.AGGREGATE(15,3,(TableDiv[[Agency]:[Agency]]=$E882)/(TableDiv[[Agency]:[Agency]]=$E882)*(ROW(TableDiv[Agency])-ROW(TableDiv[[#Headers],[Agency]])),COLUMNS($F$7:W$7))))</f>
        <v/>
      </c>
      <c r="X882" s="2223" t="str" cm="1">
        <f t="array" ref="X882">IF($D882&lt;COLUMNS($F$7:X$7),"",INDEX(TableDiv[[GASB]:[GASB]],_xlfn.AGGREGATE(15,3,(TableDiv[[Agency]:[Agency]]=$E882)/(TableDiv[[Agency]:[Agency]]=$E882)*(ROW(TableDiv[Agency])-ROW(TableDiv[[#Headers],[Agency]])),COLUMNS($F$7:X$7))))</f>
        <v/>
      </c>
      <c r="Y882" s="2223" t="str" cm="1">
        <f t="array" ref="Y882">IF($D882&lt;COLUMNS($F$7:Y$7),"",INDEX(TableDiv[[GASB]:[GASB]],_xlfn.AGGREGATE(15,3,(TableDiv[[Agency]:[Agency]]=$E882)/(TableDiv[[Agency]:[Agency]]=$E882)*(ROW(TableDiv[Agency])-ROW(TableDiv[[#Headers],[Agency]])),COLUMNS($F$7:Y$7))))</f>
        <v/>
      </c>
      <c r="Z882" s="2223" t="str" cm="1">
        <f t="array" ref="Z882">IF($D882&lt;COLUMNS($F$7:Z$7),"",INDEX(TableDiv[[GASB]:[GASB]],_xlfn.AGGREGATE(15,3,(TableDiv[[Agency]:[Agency]]=$E882)/(TableDiv[[Agency]:[Agency]]=$E882)*(ROW(TableDiv[Agency])-ROW(TableDiv[[#Headers],[Agency]])),COLUMNS($F$7:Z$7))))</f>
        <v/>
      </c>
      <c r="AA882" s="2223" t="str" cm="1">
        <f t="array" ref="AA882">IF($D882&lt;COLUMNS($F$7:AA$7),"",INDEX(TableDiv[[GASB]:[GASB]],_xlfn.AGGREGATE(15,3,(TableDiv[[Agency]:[Agency]]=$E882)/(TableDiv[[Agency]:[Agency]]=$E882)*(ROW(TableDiv[Agency])-ROW(TableDiv[[#Headers],[Agency]])),COLUMNS($F$7:AA$7))))</f>
        <v/>
      </c>
      <c r="AB882" s="2223" t="str" cm="1">
        <f t="array" ref="AB882">IF($D882&lt;COLUMNS($F$7:AB$7),"",INDEX(TableDiv[[GASB]:[GASB]],_xlfn.AGGREGATE(15,3,(TableDiv[[Agency]:[Agency]]=$E882)/(TableDiv[[Agency]:[Agency]]=$E882)*(ROW(TableDiv[Agency])-ROW(TableDiv[[#Headers],[Agency]])),COLUMNS($F$7:AB$7))))</f>
        <v/>
      </c>
      <c r="AC882" s="2223" t="str" cm="1">
        <f t="array" ref="AC882">IF($D882&lt;COLUMNS($F$7:AC$7),"",INDEX(TableDiv[[GASB]:[GASB]],_xlfn.AGGREGATE(15,3,(TableDiv[[Agency]:[Agency]]=$E882)/(TableDiv[[Agency]:[Agency]]=$E882)*(ROW(TableDiv[Agency])-ROW(TableDiv[[#Headers],[Agency]])),COLUMNS($F$7:AC$7))))</f>
        <v/>
      </c>
      <c r="AD882" s="2223" t="str" cm="1">
        <f t="array" ref="AD882">IF($D882&lt;COLUMNS($F$7:AD$7),"",INDEX(TableDiv[[GASB]:[GASB]],_xlfn.AGGREGATE(15,3,(TableDiv[[Agency]:[Agency]]=$E882)/(TableDiv[[Agency]:[Agency]]=$E882)*(ROW(TableDiv[Agency])-ROW(TableDiv[[#Headers],[Agency]])),COLUMNS($F$7:AD$7))))</f>
        <v/>
      </c>
      <c r="AE882" s="2223" t="str" cm="1">
        <f t="array" ref="AE882">IF($D882&lt;COLUMNS($F$7:AE$7),"",INDEX(TableDiv[[GASB]:[GASB]],_xlfn.AGGREGATE(15,3,(TableDiv[[Agency]:[Agency]]=$E882)/(TableDiv[[Agency]:[Agency]]=$E882)*(ROW(TableDiv[Agency])-ROW(TableDiv[[#Headers],[Agency]])),COLUMNS($F$7:AE$7))))</f>
        <v/>
      </c>
      <c r="AF882" s="2223" t="str" cm="1">
        <f t="array" ref="AF882">IF($D882&lt;COLUMNS($F$7:AF$7),"",INDEX(TableDiv[[GASB]:[GASB]],_xlfn.AGGREGATE(15,3,(TableDiv[[Agency]:[Agency]]=$E882)/(TableDiv[[Agency]:[Agency]]=$E882)*(ROW(TableDiv[Agency])-ROW(TableDiv[[#Headers],[Agency]])),COLUMNS($F$7:AF$7))))</f>
        <v/>
      </c>
      <c r="AG882" s="2223" t="str" cm="1">
        <f t="array" ref="AG882">IF($D882&lt;COLUMNS($F$7:AG$7),"",INDEX(TableDiv[[GASB]:[GASB]],_xlfn.AGGREGATE(15,3,(TableDiv[[Agency]:[Agency]]=$E882)/(TableDiv[[Agency]:[Agency]]=$E882)*(ROW(TableDiv[Agency])-ROW(TableDiv[[#Headers],[Agency]])),COLUMNS($F$7:AG$7))))</f>
        <v/>
      </c>
      <c r="AH882" s="2223" t="str" cm="1">
        <f t="array" ref="AH882">IF($D882&lt;COLUMNS($F$7:AH$7),"",INDEX(TableDiv[[GASB]:[GASB]],_xlfn.AGGREGATE(15,3,(TableDiv[[Agency]:[Agency]]=$E882)/(TableDiv[[Agency]:[Agency]]=$E882)*(ROW(TableDiv[Agency])-ROW(TableDiv[[#Headers],[Agency]])),COLUMNS($F$7:AH$7))))</f>
        <v/>
      </c>
      <c r="AI882" s="2223" t="str" cm="1">
        <f t="array" ref="AI882">IF($D882&lt;COLUMNS($F$7:AI$7),"",INDEX(TableDiv[[GASB]:[GASB]],_xlfn.AGGREGATE(15,3,(TableDiv[[Agency]:[Agency]]=$E882)/(TableDiv[[Agency]:[Agency]]=$E882)*(ROW(TableDiv[Agency])-ROW(TableDiv[[#Headers],[Agency]])),COLUMNS($F$7:AI$7))))</f>
        <v/>
      </c>
      <c r="AJ882" s="2223" t="str" cm="1">
        <f t="array" ref="AJ882">IF($D882&lt;COLUMNS($F$7:AJ$7),"",INDEX(TableDiv[[GASB]:[GASB]],_xlfn.AGGREGATE(15,3,(TableDiv[[Agency]:[Agency]]=$E882)/(TableDiv[[Agency]:[Agency]]=$E882)*(ROW(TableDiv[Agency])-ROW(TableDiv[[#Headers],[Agency]])),COLUMNS($F$7:AJ$7))))</f>
        <v/>
      </c>
      <c r="AK882" s="2223" t="str" cm="1">
        <f t="array" ref="AK882">IF($D882&lt;COLUMNS($F$7:AK$7),"",INDEX(TableDiv[[GASB]:[GASB]],_xlfn.AGGREGATE(15,3,(TableDiv[[Agency]:[Agency]]=$E882)/(TableDiv[[Agency]:[Agency]]=$E882)*(ROW(TableDiv[Agency])-ROW(TableDiv[[#Headers],[Agency]])),COLUMNS($F$7:AK$7))))</f>
        <v/>
      </c>
      <c r="AL882" s="2223" t="str" cm="1">
        <f t="array" ref="AL882">IF($D882&lt;COLUMNS($F$7:AL$7),"",INDEX(TableDiv[[GASB]:[GASB]],_xlfn.AGGREGATE(15,3,(TableDiv[[Agency]:[Agency]]=$E882)/(TableDiv[[Agency]:[Agency]]=$E882)*(ROW(TableDiv[Agency])-ROW(TableDiv[[#Headers],[Agency]])),COLUMNS($F$7:AL$7))))</f>
        <v/>
      </c>
      <c r="AM882" s="2223" t="str" cm="1">
        <f t="array" ref="AM882">IF($D882&lt;COLUMNS($F$7:AM$7),"",INDEX(TableDiv[[GASB]:[GASB]],_xlfn.AGGREGATE(15,3,(TableDiv[[Agency]:[Agency]]=$E882)/(TableDiv[[Agency]:[Agency]]=$E882)*(ROW(TableDiv[Agency])-ROW(TableDiv[[#Headers],[Agency]])),COLUMNS($F$7:AM$7))))</f>
        <v/>
      </c>
      <c r="AN882" s="2223"/>
      <c r="AO882" s="2223"/>
      <c r="AP882" s="2223"/>
      <c r="AQ882" s="2223"/>
      <c r="AR882" s="2223"/>
      <c r="AS882" s="2223"/>
    </row>
    <row r="883" spans="1:45" x14ac:dyDescent="0.2">
      <c r="A883" s="2223"/>
      <c r="B883" s="2223"/>
      <c r="C883" s="2223"/>
      <c r="W883" s="2223" t="str" cm="1">
        <f t="array" ref="W883">IF($D883&lt;COLUMNS($F$7:W$7),"",INDEX(TableDiv[[GASB]:[GASB]],_xlfn.AGGREGATE(15,3,(TableDiv[[Agency]:[Agency]]=$E883)/(TableDiv[[Agency]:[Agency]]=$E883)*(ROW(TableDiv[Agency])-ROW(TableDiv[[#Headers],[Agency]])),COLUMNS($F$7:W$7))))</f>
        <v/>
      </c>
      <c r="X883" s="2223" t="str" cm="1">
        <f t="array" ref="X883">IF($D883&lt;COLUMNS($F$7:X$7),"",INDEX(TableDiv[[GASB]:[GASB]],_xlfn.AGGREGATE(15,3,(TableDiv[[Agency]:[Agency]]=$E883)/(TableDiv[[Agency]:[Agency]]=$E883)*(ROW(TableDiv[Agency])-ROW(TableDiv[[#Headers],[Agency]])),COLUMNS($F$7:X$7))))</f>
        <v/>
      </c>
      <c r="Y883" s="2223" t="str" cm="1">
        <f t="array" ref="Y883">IF($D883&lt;COLUMNS($F$7:Y$7),"",INDEX(TableDiv[[GASB]:[GASB]],_xlfn.AGGREGATE(15,3,(TableDiv[[Agency]:[Agency]]=$E883)/(TableDiv[[Agency]:[Agency]]=$E883)*(ROW(TableDiv[Agency])-ROW(TableDiv[[#Headers],[Agency]])),COLUMNS($F$7:Y$7))))</f>
        <v/>
      </c>
      <c r="Z883" s="2223" t="str" cm="1">
        <f t="array" ref="Z883">IF($D883&lt;COLUMNS($F$7:Z$7),"",INDEX(TableDiv[[GASB]:[GASB]],_xlfn.AGGREGATE(15,3,(TableDiv[[Agency]:[Agency]]=$E883)/(TableDiv[[Agency]:[Agency]]=$E883)*(ROW(TableDiv[Agency])-ROW(TableDiv[[#Headers],[Agency]])),COLUMNS($F$7:Z$7))))</f>
        <v/>
      </c>
      <c r="AA883" s="2223" t="str" cm="1">
        <f t="array" ref="AA883">IF($D883&lt;COLUMNS($F$7:AA$7),"",INDEX(TableDiv[[GASB]:[GASB]],_xlfn.AGGREGATE(15,3,(TableDiv[[Agency]:[Agency]]=$E883)/(TableDiv[[Agency]:[Agency]]=$E883)*(ROW(TableDiv[Agency])-ROW(TableDiv[[#Headers],[Agency]])),COLUMNS($F$7:AA$7))))</f>
        <v/>
      </c>
      <c r="AB883" s="2223" t="str" cm="1">
        <f t="array" ref="AB883">IF($D883&lt;COLUMNS($F$7:AB$7),"",INDEX(TableDiv[[GASB]:[GASB]],_xlfn.AGGREGATE(15,3,(TableDiv[[Agency]:[Agency]]=$E883)/(TableDiv[[Agency]:[Agency]]=$E883)*(ROW(TableDiv[Agency])-ROW(TableDiv[[#Headers],[Agency]])),COLUMNS($F$7:AB$7))))</f>
        <v/>
      </c>
      <c r="AC883" s="2223" t="str" cm="1">
        <f t="array" ref="AC883">IF($D883&lt;COLUMNS($F$7:AC$7),"",INDEX(TableDiv[[GASB]:[GASB]],_xlfn.AGGREGATE(15,3,(TableDiv[[Agency]:[Agency]]=$E883)/(TableDiv[[Agency]:[Agency]]=$E883)*(ROW(TableDiv[Agency])-ROW(TableDiv[[#Headers],[Agency]])),COLUMNS($F$7:AC$7))))</f>
        <v/>
      </c>
      <c r="AD883" s="2223" t="str" cm="1">
        <f t="array" ref="AD883">IF($D883&lt;COLUMNS($F$7:AD$7),"",INDEX(TableDiv[[GASB]:[GASB]],_xlfn.AGGREGATE(15,3,(TableDiv[[Agency]:[Agency]]=$E883)/(TableDiv[[Agency]:[Agency]]=$E883)*(ROW(TableDiv[Agency])-ROW(TableDiv[[#Headers],[Agency]])),COLUMNS($F$7:AD$7))))</f>
        <v/>
      </c>
      <c r="AE883" s="2223" t="str" cm="1">
        <f t="array" ref="AE883">IF($D883&lt;COLUMNS($F$7:AE$7),"",INDEX(TableDiv[[GASB]:[GASB]],_xlfn.AGGREGATE(15,3,(TableDiv[[Agency]:[Agency]]=$E883)/(TableDiv[[Agency]:[Agency]]=$E883)*(ROW(TableDiv[Agency])-ROW(TableDiv[[#Headers],[Agency]])),COLUMNS($F$7:AE$7))))</f>
        <v/>
      </c>
      <c r="AF883" s="2223" t="str" cm="1">
        <f t="array" ref="AF883">IF($D883&lt;COLUMNS($F$7:AF$7),"",INDEX(TableDiv[[GASB]:[GASB]],_xlfn.AGGREGATE(15,3,(TableDiv[[Agency]:[Agency]]=$E883)/(TableDiv[[Agency]:[Agency]]=$E883)*(ROW(TableDiv[Agency])-ROW(TableDiv[[#Headers],[Agency]])),COLUMNS($F$7:AF$7))))</f>
        <v/>
      </c>
      <c r="AG883" s="2223" t="str" cm="1">
        <f t="array" ref="AG883">IF($D883&lt;COLUMNS($F$7:AG$7),"",INDEX(TableDiv[[GASB]:[GASB]],_xlfn.AGGREGATE(15,3,(TableDiv[[Agency]:[Agency]]=$E883)/(TableDiv[[Agency]:[Agency]]=$E883)*(ROW(TableDiv[Agency])-ROW(TableDiv[[#Headers],[Agency]])),COLUMNS($F$7:AG$7))))</f>
        <v/>
      </c>
      <c r="AH883" s="2223" t="str" cm="1">
        <f t="array" ref="AH883">IF($D883&lt;COLUMNS($F$7:AH$7),"",INDEX(TableDiv[[GASB]:[GASB]],_xlfn.AGGREGATE(15,3,(TableDiv[[Agency]:[Agency]]=$E883)/(TableDiv[[Agency]:[Agency]]=$E883)*(ROW(TableDiv[Agency])-ROW(TableDiv[[#Headers],[Agency]])),COLUMNS($F$7:AH$7))))</f>
        <v/>
      </c>
      <c r="AI883" s="2223" t="str" cm="1">
        <f t="array" ref="AI883">IF($D883&lt;COLUMNS($F$7:AI$7),"",INDEX(TableDiv[[GASB]:[GASB]],_xlfn.AGGREGATE(15,3,(TableDiv[[Agency]:[Agency]]=$E883)/(TableDiv[[Agency]:[Agency]]=$E883)*(ROW(TableDiv[Agency])-ROW(TableDiv[[#Headers],[Agency]])),COLUMNS($F$7:AI$7))))</f>
        <v/>
      </c>
      <c r="AJ883" s="2223" t="str" cm="1">
        <f t="array" ref="AJ883">IF($D883&lt;COLUMNS($F$7:AJ$7),"",INDEX(TableDiv[[GASB]:[GASB]],_xlfn.AGGREGATE(15,3,(TableDiv[[Agency]:[Agency]]=$E883)/(TableDiv[[Agency]:[Agency]]=$E883)*(ROW(TableDiv[Agency])-ROW(TableDiv[[#Headers],[Agency]])),COLUMNS($F$7:AJ$7))))</f>
        <v/>
      </c>
      <c r="AK883" s="2223" t="str" cm="1">
        <f t="array" ref="AK883">IF($D883&lt;COLUMNS($F$7:AK$7),"",INDEX(TableDiv[[GASB]:[GASB]],_xlfn.AGGREGATE(15,3,(TableDiv[[Agency]:[Agency]]=$E883)/(TableDiv[[Agency]:[Agency]]=$E883)*(ROW(TableDiv[Agency])-ROW(TableDiv[[#Headers],[Agency]])),COLUMNS($F$7:AK$7))))</f>
        <v/>
      </c>
      <c r="AL883" s="2223" t="str" cm="1">
        <f t="array" ref="AL883">IF($D883&lt;COLUMNS($F$7:AL$7),"",INDEX(TableDiv[[GASB]:[GASB]],_xlfn.AGGREGATE(15,3,(TableDiv[[Agency]:[Agency]]=$E883)/(TableDiv[[Agency]:[Agency]]=$E883)*(ROW(TableDiv[Agency])-ROW(TableDiv[[#Headers],[Agency]])),COLUMNS($F$7:AL$7))))</f>
        <v/>
      </c>
      <c r="AM883" s="2223" t="str" cm="1">
        <f t="array" ref="AM883">IF($D883&lt;COLUMNS($F$7:AM$7),"",INDEX(TableDiv[[GASB]:[GASB]],_xlfn.AGGREGATE(15,3,(TableDiv[[Agency]:[Agency]]=$E883)/(TableDiv[[Agency]:[Agency]]=$E883)*(ROW(TableDiv[Agency])-ROW(TableDiv[[#Headers],[Agency]])),COLUMNS($F$7:AM$7))))</f>
        <v/>
      </c>
      <c r="AN883" s="2223"/>
      <c r="AO883" s="2223"/>
      <c r="AP883" s="2223"/>
      <c r="AQ883" s="2223"/>
      <c r="AR883" s="2223"/>
      <c r="AS883" s="2223"/>
    </row>
    <row r="884" spans="1:45" x14ac:dyDescent="0.2">
      <c r="A884" s="2223"/>
      <c r="B884" s="2223"/>
      <c r="C884" s="2223"/>
      <c r="W884" s="2223" t="str" cm="1">
        <f t="array" ref="W884">IF($D884&lt;COLUMNS($F$7:W$7),"",INDEX(TableDiv[[GASB]:[GASB]],_xlfn.AGGREGATE(15,3,(TableDiv[[Agency]:[Agency]]=$E884)/(TableDiv[[Agency]:[Agency]]=$E884)*(ROW(TableDiv[Agency])-ROW(TableDiv[[#Headers],[Agency]])),COLUMNS($F$7:W$7))))</f>
        <v/>
      </c>
      <c r="X884" s="2223" t="str" cm="1">
        <f t="array" ref="X884">IF($D884&lt;COLUMNS($F$7:X$7),"",INDEX(TableDiv[[GASB]:[GASB]],_xlfn.AGGREGATE(15,3,(TableDiv[[Agency]:[Agency]]=$E884)/(TableDiv[[Agency]:[Agency]]=$E884)*(ROW(TableDiv[Agency])-ROW(TableDiv[[#Headers],[Agency]])),COLUMNS($F$7:X$7))))</f>
        <v/>
      </c>
      <c r="Y884" s="2223" t="str" cm="1">
        <f t="array" ref="Y884">IF($D884&lt;COLUMNS($F$7:Y$7),"",INDEX(TableDiv[[GASB]:[GASB]],_xlfn.AGGREGATE(15,3,(TableDiv[[Agency]:[Agency]]=$E884)/(TableDiv[[Agency]:[Agency]]=$E884)*(ROW(TableDiv[Agency])-ROW(TableDiv[[#Headers],[Agency]])),COLUMNS($F$7:Y$7))))</f>
        <v/>
      </c>
      <c r="Z884" s="2223" t="str" cm="1">
        <f t="array" ref="Z884">IF($D884&lt;COLUMNS($F$7:Z$7),"",INDEX(TableDiv[[GASB]:[GASB]],_xlfn.AGGREGATE(15,3,(TableDiv[[Agency]:[Agency]]=$E884)/(TableDiv[[Agency]:[Agency]]=$E884)*(ROW(TableDiv[Agency])-ROW(TableDiv[[#Headers],[Agency]])),COLUMNS($F$7:Z$7))))</f>
        <v/>
      </c>
      <c r="AA884" s="2223" t="str" cm="1">
        <f t="array" ref="AA884">IF($D884&lt;COLUMNS($F$7:AA$7),"",INDEX(TableDiv[[GASB]:[GASB]],_xlfn.AGGREGATE(15,3,(TableDiv[[Agency]:[Agency]]=$E884)/(TableDiv[[Agency]:[Agency]]=$E884)*(ROW(TableDiv[Agency])-ROW(TableDiv[[#Headers],[Agency]])),COLUMNS($F$7:AA$7))))</f>
        <v/>
      </c>
      <c r="AB884" s="2223" t="str" cm="1">
        <f t="array" ref="AB884">IF($D884&lt;COLUMNS($F$7:AB$7),"",INDEX(TableDiv[[GASB]:[GASB]],_xlfn.AGGREGATE(15,3,(TableDiv[[Agency]:[Agency]]=$E884)/(TableDiv[[Agency]:[Agency]]=$E884)*(ROW(TableDiv[Agency])-ROW(TableDiv[[#Headers],[Agency]])),COLUMNS($F$7:AB$7))))</f>
        <v/>
      </c>
      <c r="AC884" s="2223" t="str" cm="1">
        <f t="array" ref="AC884">IF($D884&lt;COLUMNS($F$7:AC$7),"",INDEX(TableDiv[[GASB]:[GASB]],_xlfn.AGGREGATE(15,3,(TableDiv[[Agency]:[Agency]]=$E884)/(TableDiv[[Agency]:[Agency]]=$E884)*(ROW(TableDiv[Agency])-ROW(TableDiv[[#Headers],[Agency]])),COLUMNS($F$7:AC$7))))</f>
        <v/>
      </c>
      <c r="AD884" s="2223" t="str" cm="1">
        <f t="array" ref="AD884">IF($D884&lt;COLUMNS($F$7:AD$7),"",INDEX(TableDiv[[GASB]:[GASB]],_xlfn.AGGREGATE(15,3,(TableDiv[[Agency]:[Agency]]=$E884)/(TableDiv[[Agency]:[Agency]]=$E884)*(ROW(TableDiv[Agency])-ROW(TableDiv[[#Headers],[Agency]])),COLUMNS($F$7:AD$7))))</f>
        <v/>
      </c>
      <c r="AE884" s="2223" t="str" cm="1">
        <f t="array" ref="AE884">IF($D884&lt;COLUMNS($F$7:AE$7),"",INDEX(TableDiv[[GASB]:[GASB]],_xlfn.AGGREGATE(15,3,(TableDiv[[Agency]:[Agency]]=$E884)/(TableDiv[[Agency]:[Agency]]=$E884)*(ROW(TableDiv[Agency])-ROW(TableDiv[[#Headers],[Agency]])),COLUMNS($F$7:AE$7))))</f>
        <v/>
      </c>
      <c r="AF884" s="2223" t="str" cm="1">
        <f t="array" ref="AF884">IF($D884&lt;COLUMNS($F$7:AF$7),"",INDEX(TableDiv[[GASB]:[GASB]],_xlfn.AGGREGATE(15,3,(TableDiv[[Agency]:[Agency]]=$E884)/(TableDiv[[Agency]:[Agency]]=$E884)*(ROW(TableDiv[Agency])-ROW(TableDiv[[#Headers],[Agency]])),COLUMNS($F$7:AF$7))))</f>
        <v/>
      </c>
      <c r="AG884" s="2223" t="str" cm="1">
        <f t="array" ref="AG884">IF($D884&lt;COLUMNS($F$7:AG$7),"",INDEX(TableDiv[[GASB]:[GASB]],_xlfn.AGGREGATE(15,3,(TableDiv[[Agency]:[Agency]]=$E884)/(TableDiv[[Agency]:[Agency]]=$E884)*(ROW(TableDiv[Agency])-ROW(TableDiv[[#Headers],[Agency]])),COLUMNS($F$7:AG$7))))</f>
        <v/>
      </c>
      <c r="AH884" s="2223" t="str" cm="1">
        <f t="array" ref="AH884">IF($D884&lt;COLUMNS($F$7:AH$7),"",INDEX(TableDiv[[GASB]:[GASB]],_xlfn.AGGREGATE(15,3,(TableDiv[[Agency]:[Agency]]=$E884)/(TableDiv[[Agency]:[Agency]]=$E884)*(ROW(TableDiv[Agency])-ROW(TableDiv[[#Headers],[Agency]])),COLUMNS($F$7:AH$7))))</f>
        <v/>
      </c>
      <c r="AI884" s="2223" t="str" cm="1">
        <f t="array" ref="AI884">IF($D884&lt;COLUMNS($F$7:AI$7),"",INDEX(TableDiv[[GASB]:[GASB]],_xlfn.AGGREGATE(15,3,(TableDiv[[Agency]:[Agency]]=$E884)/(TableDiv[[Agency]:[Agency]]=$E884)*(ROW(TableDiv[Agency])-ROW(TableDiv[[#Headers],[Agency]])),COLUMNS($F$7:AI$7))))</f>
        <v/>
      </c>
      <c r="AJ884" s="2223" t="str" cm="1">
        <f t="array" ref="AJ884">IF($D884&lt;COLUMNS($F$7:AJ$7),"",INDEX(TableDiv[[GASB]:[GASB]],_xlfn.AGGREGATE(15,3,(TableDiv[[Agency]:[Agency]]=$E884)/(TableDiv[[Agency]:[Agency]]=$E884)*(ROW(TableDiv[Agency])-ROW(TableDiv[[#Headers],[Agency]])),COLUMNS($F$7:AJ$7))))</f>
        <v/>
      </c>
      <c r="AK884" s="2223" t="str" cm="1">
        <f t="array" ref="AK884">IF($D884&lt;COLUMNS($F$7:AK$7),"",INDEX(TableDiv[[GASB]:[GASB]],_xlfn.AGGREGATE(15,3,(TableDiv[[Agency]:[Agency]]=$E884)/(TableDiv[[Agency]:[Agency]]=$E884)*(ROW(TableDiv[Agency])-ROW(TableDiv[[#Headers],[Agency]])),COLUMNS($F$7:AK$7))))</f>
        <v/>
      </c>
      <c r="AL884" s="2223" t="str" cm="1">
        <f t="array" ref="AL884">IF($D884&lt;COLUMNS($F$7:AL$7),"",INDEX(TableDiv[[GASB]:[GASB]],_xlfn.AGGREGATE(15,3,(TableDiv[[Agency]:[Agency]]=$E884)/(TableDiv[[Agency]:[Agency]]=$E884)*(ROW(TableDiv[Agency])-ROW(TableDiv[[#Headers],[Agency]])),COLUMNS($F$7:AL$7))))</f>
        <v/>
      </c>
      <c r="AM884" s="2223" t="str" cm="1">
        <f t="array" ref="AM884">IF($D884&lt;COLUMNS($F$7:AM$7),"",INDEX(TableDiv[[GASB]:[GASB]],_xlfn.AGGREGATE(15,3,(TableDiv[[Agency]:[Agency]]=$E884)/(TableDiv[[Agency]:[Agency]]=$E884)*(ROW(TableDiv[Agency])-ROW(TableDiv[[#Headers],[Agency]])),COLUMNS($F$7:AM$7))))</f>
        <v/>
      </c>
      <c r="AN884" s="2223"/>
      <c r="AO884" s="2223"/>
      <c r="AP884" s="2223"/>
      <c r="AQ884" s="2223"/>
      <c r="AR884" s="2223"/>
      <c r="AS884" s="2223"/>
    </row>
    <row r="885" spans="1:45" x14ac:dyDescent="0.2">
      <c r="A885" s="2223"/>
      <c r="B885" s="2223"/>
      <c r="C885" s="2223"/>
      <c r="W885" s="2223" t="str" cm="1">
        <f t="array" ref="W885">IF($D885&lt;COLUMNS($F$7:W$7),"",INDEX(TableDiv[[GASB]:[GASB]],_xlfn.AGGREGATE(15,3,(TableDiv[[Agency]:[Agency]]=$E885)/(TableDiv[[Agency]:[Agency]]=$E885)*(ROW(TableDiv[Agency])-ROW(TableDiv[[#Headers],[Agency]])),COLUMNS($F$7:W$7))))</f>
        <v/>
      </c>
      <c r="X885" s="2223" t="str" cm="1">
        <f t="array" ref="X885">IF($D885&lt;COLUMNS($F$7:X$7),"",INDEX(TableDiv[[GASB]:[GASB]],_xlfn.AGGREGATE(15,3,(TableDiv[[Agency]:[Agency]]=$E885)/(TableDiv[[Agency]:[Agency]]=$E885)*(ROW(TableDiv[Agency])-ROW(TableDiv[[#Headers],[Agency]])),COLUMNS($F$7:X$7))))</f>
        <v/>
      </c>
      <c r="Y885" s="2223" t="str" cm="1">
        <f t="array" ref="Y885">IF($D885&lt;COLUMNS($F$7:Y$7),"",INDEX(TableDiv[[GASB]:[GASB]],_xlfn.AGGREGATE(15,3,(TableDiv[[Agency]:[Agency]]=$E885)/(TableDiv[[Agency]:[Agency]]=$E885)*(ROW(TableDiv[Agency])-ROW(TableDiv[[#Headers],[Agency]])),COLUMNS($F$7:Y$7))))</f>
        <v/>
      </c>
      <c r="Z885" s="2223" t="str" cm="1">
        <f t="array" ref="Z885">IF($D885&lt;COLUMNS($F$7:Z$7),"",INDEX(TableDiv[[GASB]:[GASB]],_xlfn.AGGREGATE(15,3,(TableDiv[[Agency]:[Agency]]=$E885)/(TableDiv[[Agency]:[Agency]]=$E885)*(ROW(TableDiv[Agency])-ROW(TableDiv[[#Headers],[Agency]])),COLUMNS($F$7:Z$7))))</f>
        <v/>
      </c>
      <c r="AA885" s="2223" t="str" cm="1">
        <f t="array" ref="AA885">IF($D885&lt;COLUMNS($F$7:AA$7),"",INDEX(TableDiv[[GASB]:[GASB]],_xlfn.AGGREGATE(15,3,(TableDiv[[Agency]:[Agency]]=$E885)/(TableDiv[[Agency]:[Agency]]=$E885)*(ROW(TableDiv[Agency])-ROW(TableDiv[[#Headers],[Agency]])),COLUMNS($F$7:AA$7))))</f>
        <v/>
      </c>
      <c r="AB885" s="2223" t="str" cm="1">
        <f t="array" ref="AB885">IF($D885&lt;COLUMNS($F$7:AB$7),"",INDEX(TableDiv[[GASB]:[GASB]],_xlfn.AGGREGATE(15,3,(TableDiv[[Agency]:[Agency]]=$E885)/(TableDiv[[Agency]:[Agency]]=$E885)*(ROW(TableDiv[Agency])-ROW(TableDiv[[#Headers],[Agency]])),COLUMNS($F$7:AB$7))))</f>
        <v/>
      </c>
      <c r="AC885" s="2223" t="str" cm="1">
        <f t="array" ref="AC885">IF($D885&lt;COLUMNS($F$7:AC$7),"",INDEX(TableDiv[[GASB]:[GASB]],_xlfn.AGGREGATE(15,3,(TableDiv[[Agency]:[Agency]]=$E885)/(TableDiv[[Agency]:[Agency]]=$E885)*(ROW(TableDiv[Agency])-ROW(TableDiv[[#Headers],[Agency]])),COLUMNS($F$7:AC$7))))</f>
        <v/>
      </c>
      <c r="AD885" s="2223" t="str" cm="1">
        <f t="array" ref="AD885">IF($D885&lt;COLUMNS($F$7:AD$7),"",INDEX(TableDiv[[GASB]:[GASB]],_xlfn.AGGREGATE(15,3,(TableDiv[[Agency]:[Agency]]=$E885)/(TableDiv[[Agency]:[Agency]]=$E885)*(ROW(TableDiv[Agency])-ROW(TableDiv[[#Headers],[Agency]])),COLUMNS($F$7:AD$7))))</f>
        <v/>
      </c>
      <c r="AE885" s="2223" t="str" cm="1">
        <f t="array" ref="AE885">IF($D885&lt;COLUMNS($F$7:AE$7),"",INDEX(TableDiv[[GASB]:[GASB]],_xlfn.AGGREGATE(15,3,(TableDiv[[Agency]:[Agency]]=$E885)/(TableDiv[[Agency]:[Agency]]=$E885)*(ROW(TableDiv[Agency])-ROW(TableDiv[[#Headers],[Agency]])),COLUMNS($F$7:AE$7))))</f>
        <v/>
      </c>
      <c r="AF885" s="2223" t="str" cm="1">
        <f t="array" ref="AF885">IF($D885&lt;COLUMNS($F$7:AF$7),"",INDEX(TableDiv[[GASB]:[GASB]],_xlfn.AGGREGATE(15,3,(TableDiv[[Agency]:[Agency]]=$E885)/(TableDiv[[Agency]:[Agency]]=$E885)*(ROW(TableDiv[Agency])-ROW(TableDiv[[#Headers],[Agency]])),COLUMNS($F$7:AF$7))))</f>
        <v/>
      </c>
      <c r="AG885" s="2223" t="str" cm="1">
        <f t="array" ref="AG885">IF($D885&lt;COLUMNS($F$7:AG$7),"",INDEX(TableDiv[[GASB]:[GASB]],_xlfn.AGGREGATE(15,3,(TableDiv[[Agency]:[Agency]]=$E885)/(TableDiv[[Agency]:[Agency]]=$E885)*(ROW(TableDiv[Agency])-ROW(TableDiv[[#Headers],[Agency]])),COLUMNS($F$7:AG$7))))</f>
        <v/>
      </c>
      <c r="AH885" s="2223" t="str" cm="1">
        <f t="array" ref="AH885">IF($D885&lt;COLUMNS($F$7:AH$7),"",INDEX(TableDiv[[GASB]:[GASB]],_xlfn.AGGREGATE(15,3,(TableDiv[[Agency]:[Agency]]=$E885)/(TableDiv[[Agency]:[Agency]]=$E885)*(ROW(TableDiv[Agency])-ROW(TableDiv[[#Headers],[Agency]])),COLUMNS($F$7:AH$7))))</f>
        <v/>
      </c>
      <c r="AI885" s="2223" t="str" cm="1">
        <f t="array" ref="AI885">IF($D885&lt;COLUMNS($F$7:AI$7),"",INDEX(TableDiv[[GASB]:[GASB]],_xlfn.AGGREGATE(15,3,(TableDiv[[Agency]:[Agency]]=$E885)/(TableDiv[[Agency]:[Agency]]=$E885)*(ROW(TableDiv[Agency])-ROW(TableDiv[[#Headers],[Agency]])),COLUMNS($F$7:AI$7))))</f>
        <v/>
      </c>
      <c r="AJ885" s="2223" t="str" cm="1">
        <f t="array" ref="AJ885">IF($D885&lt;COLUMNS($F$7:AJ$7),"",INDEX(TableDiv[[GASB]:[GASB]],_xlfn.AGGREGATE(15,3,(TableDiv[[Agency]:[Agency]]=$E885)/(TableDiv[[Agency]:[Agency]]=$E885)*(ROW(TableDiv[Agency])-ROW(TableDiv[[#Headers],[Agency]])),COLUMNS($F$7:AJ$7))))</f>
        <v/>
      </c>
      <c r="AK885" s="2223" t="str" cm="1">
        <f t="array" ref="AK885">IF($D885&lt;COLUMNS($F$7:AK$7),"",INDEX(TableDiv[[GASB]:[GASB]],_xlfn.AGGREGATE(15,3,(TableDiv[[Agency]:[Agency]]=$E885)/(TableDiv[[Agency]:[Agency]]=$E885)*(ROW(TableDiv[Agency])-ROW(TableDiv[[#Headers],[Agency]])),COLUMNS($F$7:AK$7))))</f>
        <v/>
      </c>
      <c r="AL885" s="2223" t="str" cm="1">
        <f t="array" ref="AL885">IF($D885&lt;COLUMNS($F$7:AL$7),"",INDEX(TableDiv[[GASB]:[GASB]],_xlfn.AGGREGATE(15,3,(TableDiv[[Agency]:[Agency]]=$E885)/(TableDiv[[Agency]:[Agency]]=$E885)*(ROW(TableDiv[Agency])-ROW(TableDiv[[#Headers],[Agency]])),COLUMNS($F$7:AL$7))))</f>
        <v/>
      </c>
      <c r="AM885" s="2223" t="str" cm="1">
        <f t="array" ref="AM885">IF($D885&lt;COLUMNS($F$7:AM$7),"",INDEX(TableDiv[[GASB]:[GASB]],_xlfn.AGGREGATE(15,3,(TableDiv[[Agency]:[Agency]]=$E885)/(TableDiv[[Agency]:[Agency]]=$E885)*(ROW(TableDiv[Agency])-ROW(TableDiv[[#Headers],[Agency]])),COLUMNS($F$7:AM$7))))</f>
        <v/>
      </c>
      <c r="AN885" s="2223"/>
      <c r="AO885" s="2223"/>
      <c r="AP885" s="2223"/>
      <c r="AQ885" s="2223"/>
      <c r="AR885" s="2223"/>
      <c r="AS885" s="2223"/>
    </row>
    <row r="886" spans="1:45" x14ac:dyDescent="0.2">
      <c r="A886" s="2223"/>
      <c r="B886" s="2223"/>
      <c r="C886" s="2223"/>
      <c r="W886" s="2223" t="str" cm="1">
        <f t="array" ref="W886">IF($D886&lt;COLUMNS($F$7:W$7),"",INDEX(TableDiv[[GASB]:[GASB]],_xlfn.AGGREGATE(15,3,(TableDiv[[Agency]:[Agency]]=$E886)/(TableDiv[[Agency]:[Agency]]=$E886)*(ROW(TableDiv[Agency])-ROW(TableDiv[[#Headers],[Agency]])),COLUMNS($F$7:W$7))))</f>
        <v/>
      </c>
      <c r="X886" s="2223" t="str" cm="1">
        <f t="array" ref="X886">IF($D886&lt;COLUMNS($F$7:X$7),"",INDEX(TableDiv[[GASB]:[GASB]],_xlfn.AGGREGATE(15,3,(TableDiv[[Agency]:[Agency]]=$E886)/(TableDiv[[Agency]:[Agency]]=$E886)*(ROW(TableDiv[Agency])-ROW(TableDiv[[#Headers],[Agency]])),COLUMNS($F$7:X$7))))</f>
        <v/>
      </c>
      <c r="Y886" s="2223" t="str" cm="1">
        <f t="array" ref="Y886">IF($D886&lt;COLUMNS($F$7:Y$7),"",INDEX(TableDiv[[GASB]:[GASB]],_xlfn.AGGREGATE(15,3,(TableDiv[[Agency]:[Agency]]=$E886)/(TableDiv[[Agency]:[Agency]]=$E886)*(ROW(TableDiv[Agency])-ROW(TableDiv[[#Headers],[Agency]])),COLUMNS($F$7:Y$7))))</f>
        <v/>
      </c>
      <c r="Z886" s="2223" t="str" cm="1">
        <f t="array" ref="Z886">IF($D886&lt;COLUMNS($F$7:Z$7),"",INDEX(TableDiv[[GASB]:[GASB]],_xlfn.AGGREGATE(15,3,(TableDiv[[Agency]:[Agency]]=$E886)/(TableDiv[[Agency]:[Agency]]=$E886)*(ROW(TableDiv[Agency])-ROW(TableDiv[[#Headers],[Agency]])),COLUMNS($F$7:Z$7))))</f>
        <v/>
      </c>
      <c r="AA886" s="2223" t="str" cm="1">
        <f t="array" ref="AA886">IF($D886&lt;COLUMNS($F$7:AA$7),"",INDEX(TableDiv[[GASB]:[GASB]],_xlfn.AGGREGATE(15,3,(TableDiv[[Agency]:[Agency]]=$E886)/(TableDiv[[Agency]:[Agency]]=$E886)*(ROW(TableDiv[Agency])-ROW(TableDiv[[#Headers],[Agency]])),COLUMNS($F$7:AA$7))))</f>
        <v/>
      </c>
      <c r="AB886" s="2223" t="str" cm="1">
        <f t="array" ref="AB886">IF($D886&lt;COLUMNS($F$7:AB$7),"",INDEX(TableDiv[[GASB]:[GASB]],_xlfn.AGGREGATE(15,3,(TableDiv[[Agency]:[Agency]]=$E886)/(TableDiv[[Agency]:[Agency]]=$E886)*(ROW(TableDiv[Agency])-ROW(TableDiv[[#Headers],[Agency]])),COLUMNS($F$7:AB$7))))</f>
        <v/>
      </c>
      <c r="AC886" s="2223" t="str" cm="1">
        <f t="array" ref="AC886">IF($D886&lt;COLUMNS($F$7:AC$7),"",INDEX(TableDiv[[GASB]:[GASB]],_xlfn.AGGREGATE(15,3,(TableDiv[[Agency]:[Agency]]=$E886)/(TableDiv[[Agency]:[Agency]]=$E886)*(ROW(TableDiv[Agency])-ROW(TableDiv[[#Headers],[Agency]])),COLUMNS($F$7:AC$7))))</f>
        <v/>
      </c>
      <c r="AD886" s="2223" t="str" cm="1">
        <f t="array" ref="AD886">IF($D886&lt;COLUMNS($F$7:AD$7),"",INDEX(TableDiv[[GASB]:[GASB]],_xlfn.AGGREGATE(15,3,(TableDiv[[Agency]:[Agency]]=$E886)/(TableDiv[[Agency]:[Agency]]=$E886)*(ROW(TableDiv[Agency])-ROW(TableDiv[[#Headers],[Agency]])),COLUMNS($F$7:AD$7))))</f>
        <v/>
      </c>
      <c r="AE886" s="2223" t="str" cm="1">
        <f t="array" ref="AE886">IF($D886&lt;COLUMNS($F$7:AE$7),"",INDEX(TableDiv[[GASB]:[GASB]],_xlfn.AGGREGATE(15,3,(TableDiv[[Agency]:[Agency]]=$E886)/(TableDiv[[Agency]:[Agency]]=$E886)*(ROW(TableDiv[Agency])-ROW(TableDiv[[#Headers],[Agency]])),COLUMNS($F$7:AE$7))))</f>
        <v/>
      </c>
      <c r="AF886" s="2223" t="str" cm="1">
        <f t="array" ref="AF886">IF($D886&lt;COLUMNS($F$7:AF$7),"",INDEX(TableDiv[[GASB]:[GASB]],_xlfn.AGGREGATE(15,3,(TableDiv[[Agency]:[Agency]]=$E886)/(TableDiv[[Agency]:[Agency]]=$E886)*(ROW(TableDiv[Agency])-ROW(TableDiv[[#Headers],[Agency]])),COLUMNS($F$7:AF$7))))</f>
        <v/>
      </c>
      <c r="AG886" s="2223" t="str" cm="1">
        <f t="array" ref="AG886">IF($D886&lt;COLUMNS($F$7:AG$7),"",INDEX(TableDiv[[GASB]:[GASB]],_xlfn.AGGREGATE(15,3,(TableDiv[[Agency]:[Agency]]=$E886)/(TableDiv[[Agency]:[Agency]]=$E886)*(ROW(TableDiv[Agency])-ROW(TableDiv[[#Headers],[Agency]])),COLUMNS($F$7:AG$7))))</f>
        <v/>
      </c>
      <c r="AH886" s="2223" t="str" cm="1">
        <f t="array" ref="AH886">IF($D886&lt;COLUMNS($F$7:AH$7),"",INDEX(TableDiv[[GASB]:[GASB]],_xlfn.AGGREGATE(15,3,(TableDiv[[Agency]:[Agency]]=$E886)/(TableDiv[[Agency]:[Agency]]=$E886)*(ROW(TableDiv[Agency])-ROW(TableDiv[[#Headers],[Agency]])),COLUMNS($F$7:AH$7))))</f>
        <v/>
      </c>
      <c r="AI886" s="2223" t="str" cm="1">
        <f t="array" ref="AI886">IF($D886&lt;COLUMNS($F$7:AI$7),"",INDEX(TableDiv[[GASB]:[GASB]],_xlfn.AGGREGATE(15,3,(TableDiv[[Agency]:[Agency]]=$E886)/(TableDiv[[Agency]:[Agency]]=$E886)*(ROW(TableDiv[Agency])-ROW(TableDiv[[#Headers],[Agency]])),COLUMNS($F$7:AI$7))))</f>
        <v/>
      </c>
      <c r="AJ886" s="2223" t="str" cm="1">
        <f t="array" ref="AJ886">IF($D886&lt;COLUMNS($F$7:AJ$7),"",INDEX(TableDiv[[GASB]:[GASB]],_xlfn.AGGREGATE(15,3,(TableDiv[[Agency]:[Agency]]=$E886)/(TableDiv[[Agency]:[Agency]]=$E886)*(ROW(TableDiv[Agency])-ROW(TableDiv[[#Headers],[Agency]])),COLUMNS($F$7:AJ$7))))</f>
        <v/>
      </c>
      <c r="AK886" s="2223" t="str" cm="1">
        <f t="array" ref="AK886">IF($D886&lt;COLUMNS($F$7:AK$7),"",INDEX(TableDiv[[GASB]:[GASB]],_xlfn.AGGREGATE(15,3,(TableDiv[[Agency]:[Agency]]=$E886)/(TableDiv[[Agency]:[Agency]]=$E886)*(ROW(TableDiv[Agency])-ROW(TableDiv[[#Headers],[Agency]])),COLUMNS($F$7:AK$7))))</f>
        <v/>
      </c>
      <c r="AL886" s="2223" t="str" cm="1">
        <f t="array" ref="AL886">IF($D886&lt;COLUMNS($F$7:AL$7),"",INDEX(TableDiv[[GASB]:[GASB]],_xlfn.AGGREGATE(15,3,(TableDiv[[Agency]:[Agency]]=$E886)/(TableDiv[[Agency]:[Agency]]=$E886)*(ROW(TableDiv[Agency])-ROW(TableDiv[[#Headers],[Agency]])),COLUMNS($F$7:AL$7))))</f>
        <v/>
      </c>
      <c r="AM886" s="2223" t="str" cm="1">
        <f t="array" ref="AM886">IF($D886&lt;COLUMNS($F$7:AM$7),"",INDEX(TableDiv[[GASB]:[GASB]],_xlfn.AGGREGATE(15,3,(TableDiv[[Agency]:[Agency]]=$E886)/(TableDiv[[Agency]:[Agency]]=$E886)*(ROW(TableDiv[Agency])-ROW(TableDiv[[#Headers],[Agency]])),COLUMNS($F$7:AM$7))))</f>
        <v/>
      </c>
      <c r="AN886" s="2223"/>
      <c r="AO886" s="2223"/>
      <c r="AP886" s="2223"/>
      <c r="AQ886" s="2223"/>
      <c r="AR886" s="2223"/>
      <c r="AS886" s="2223"/>
    </row>
    <row r="887" spans="1:45" x14ac:dyDescent="0.2">
      <c r="A887" s="2223"/>
      <c r="B887" s="2223"/>
      <c r="C887" s="2223"/>
      <c r="W887" s="2223" t="str" cm="1">
        <f t="array" ref="W887">IF($D887&lt;COLUMNS($F$7:W$7),"",INDEX(TableDiv[[GASB]:[GASB]],_xlfn.AGGREGATE(15,3,(TableDiv[[Agency]:[Agency]]=$E887)/(TableDiv[[Agency]:[Agency]]=$E887)*(ROW(TableDiv[Agency])-ROW(TableDiv[[#Headers],[Agency]])),COLUMNS($F$7:W$7))))</f>
        <v/>
      </c>
      <c r="X887" s="2223" t="str" cm="1">
        <f t="array" ref="X887">IF($D887&lt;COLUMNS($F$7:X$7),"",INDEX(TableDiv[[GASB]:[GASB]],_xlfn.AGGREGATE(15,3,(TableDiv[[Agency]:[Agency]]=$E887)/(TableDiv[[Agency]:[Agency]]=$E887)*(ROW(TableDiv[Agency])-ROW(TableDiv[[#Headers],[Agency]])),COLUMNS($F$7:X$7))))</f>
        <v/>
      </c>
      <c r="Y887" s="2223" t="str" cm="1">
        <f t="array" ref="Y887">IF($D887&lt;COLUMNS($F$7:Y$7),"",INDEX(TableDiv[[GASB]:[GASB]],_xlfn.AGGREGATE(15,3,(TableDiv[[Agency]:[Agency]]=$E887)/(TableDiv[[Agency]:[Agency]]=$E887)*(ROW(TableDiv[Agency])-ROW(TableDiv[[#Headers],[Agency]])),COLUMNS($F$7:Y$7))))</f>
        <v/>
      </c>
      <c r="Z887" s="2223" t="str" cm="1">
        <f t="array" ref="Z887">IF($D887&lt;COLUMNS($F$7:Z$7),"",INDEX(TableDiv[[GASB]:[GASB]],_xlfn.AGGREGATE(15,3,(TableDiv[[Agency]:[Agency]]=$E887)/(TableDiv[[Agency]:[Agency]]=$E887)*(ROW(TableDiv[Agency])-ROW(TableDiv[[#Headers],[Agency]])),COLUMNS($F$7:Z$7))))</f>
        <v/>
      </c>
      <c r="AA887" s="2223" t="str" cm="1">
        <f t="array" ref="AA887">IF($D887&lt;COLUMNS($F$7:AA$7),"",INDEX(TableDiv[[GASB]:[GASB]],_xlfn.AGGREGATE(15,3,(TableDiv[[Agency]:[Agency]]=$E887)/(TableDiv[[Agency]:[Agency]]=$E887)*(ROW(TableDiv[Agency])-ROW(TableDiv[[#Headers],[Agency]])),COLUMNS($F$7:AA$7))))</f>
        <v/>
      </c>
      <c r="AB887" s="2223" t="str" cm="1">
        <f t="array" ref="AB887">IF($D887&lt;COLUMNS($F$7:AB$7),"",INDEX(TableDiv[[GASB]:[GASB]],_xlfn.AGGREGATE(15,3,(TableDiv[[Agency]:[Agency]]=$E887)/(TableDiv[[Agency]:[Agency]]=$E887)*(ROW(TableDiv[Agency])-ROW(TableDiv[[#Headers],[Agency]])),COLUMNS($F$7:AB$7))))</f>
        <v/>
      </c>
      <c r="AC887" s="2223" t="str" cm="1">
        <f t="array" ref="AC887">IF($D887&lt;COLUMNS($F$7:AC$7),"",INDEX(TableDiv[[GASB]:[GASB]],_xlfn.AGGREGATE(15,3,(TableDiv[[Agency]:[Agency]]=$E887)/(TableDiv[[Agency]:[Agency]]=$E887)*(ROW(TableDiv[Agency])-ROW(TableDiv[[#Headers],[Agency]])),COLUMNS($F$7:AC$7))))</f>
        <v/>
      </c>
      <c r="AD887" s="2223" t="str" cm="1">
        <f t="array" ref="AD887">IF($D887&lt;COLUMNS($F$7:AD$7),"",INDEX(TableDiv[[GASB]:[GASB]],_xlfn.AGGREGATE(15,3,(TableDiv[[Agency]:[Agency]]=$E887)/(TableDiv[[Agency]:[Agency]]=$E887)*(ROW(TableDiv[Agency])-ROW(TableDiv[[#Headers],[Agency]])),COLUMNS($F$7:AD$7))))</f>
        <v/>
      </c>
      <c r="AE887" s="2223" t="str" cm="1">
        <f t="array" ref="AE887">IF($D887&lt;COLUMNS($F$7:AE$7),"",INDEX(TableDiv[[GASB]:[GASB]],_xlfn.AGGREGATE(15,3,(TableDiv[[Agency]:[Agency]]=$E887)/(TableDiv[[Agency]:[Agency]]=$E887)*(ROW(TableDiv[Agency])-ROW(TableDiv[[#Headers],[Agency]])),COLUMNS($F$7:AE$7))))</f>
        <v/>
      </c>
      <c r="AF887" s="2223" t="str" cm="1">
        <f t="array" ref="AF887">IF($D887&lt;COLUMNS($F$7:AF$7),"",INDEX(TableDiv[[GASB]:[GASB]],_xlfn.AGGREGATE(15,3,(TableDiv[[Agency]:[Agency]]=$E887)/(TableDiv[[Agency]:[Agency]]=$E887)*(ROW(TableDiv[Agency])-ROW(TableDiv[[#Headers],[Agency]])),COLUMNS($F$7:AF$7))))</f>
        <v/>
      </c>
      <c r="AG887" s="2223" t="str" cm="1">
        <f t="array" ref="AG887">IF($D887&lt;COLUMNS($F$7:AG$7),"",INDEX(TableDiv[[GASB]:[GASB]],_xlfn.AGGREGATE(15,3,(TableDiv[[Agency]:[Agency]]=$E887)/(TableDiv[[Agency]:[Agency]]=$E887)*(ROW(TableDiv[Agency])-ROW(TableDiv[[#Headers],[Agency]])),COLUMNS($F$7:AG$7))))</f>
        <v/>
      </c>
      <c r="AH887" s="2223" t="str" cm="1">
        <f t="array" ref="AH887">IF($D887&lt;COLUMNS($F$7:AH$7),"",INDEX(TableDiv[[GASB]:[GASB]],_xlfn.AGGREGATE(15,3,(TableDiv[[Agency]:[Agency]]=$E887)/(TableDiv[[Agency]:[Agency]]=$E887)*(ROW(TableDiv[Agency])-ROW(TableDiv[[#Headers],[Agency]])),COLUMNS($F$7:AH$7))))</f>
        <v/>
      </c>
      <c r="AI887" s="2223" t="str" cm="1">
        <f t="array" ref="AI887">IF($D887&lt;COLUMNS($F$7:AI$7),"",INDEX(TableDiv[[GASB]:[GASB]],_xlfn.AGGREGATE(15,3,(TableDiv[[Agency]:[Agency]]=$E887)/(TableDiv[[Agency]:[Agency]]=$E887)*(ROW(TableDiv[Agency])-ROW(TableDiv[[#Headers],[Agency]])),COLUMNS($F$7:AI$7))))</f>
        <v/>
      </c>
      <c r="AJ887" s="2223" t="str" cm="1">
        <f t="array" ref="AJ887">IF($D887&lt;COLUMNS($F$7:AJ$7),"",INDEX(TableDiv[[GASB]:[GASB]],_xlfn.AGGREGATE(15,3,(TableDiv[[Agency]:[Agency]]=$E887)/(TableDiv[[Agency]:[Agency]]=$E887)*(ROW(TableDiv[Agency])-ROW(TableDiv[[#Headers],[Agency]])),COLUMNS($F$7:AJ$7))))</f>
        <v/>
      </c>
      <c r="AK887" s="2223" t="str" cm="1">
        <f t="array" ref="AK887">IF($D887&lt;COLUMNS($F$7:AK$7),"",INDEX(TableDiv[[GASB]:[GASB]],_xlfn.AGGREGATE(15,3,(TableDiv[[Agency]:[Agency]]=$E887)/(TableDiv[[Agency]:[Agency]]=$E887)*(ROW(TableDiv[Agency])-ROW(TableDiv[[#Headers],[Agency]])),COLUMNS($F$7:AK$7))))</f>
        <v/>
      </c>
      <c r="AL887" s="2223" t="str" cm="1">
        <f t="array" ref="AL887">IF($D887&lt;COLUMNS($F$7:AL$7),"",INDEX(TableDiv[[GASB]:[GASB]],_xlfn.AGGREGATE(15,3,(TableDiv[[Agency]:[Agency]]=$E887)/(TableDiv[[Agency]:[Agency]]=$E887)*(ROW(TableDiv[Agency])-ROW(TableDiv[[#Headers],[Agency]])),COLUMNS($F$7:AL$7))))</f>
        <v/>
      </c>
      <c r="AM887" s="2223" t="str" cm="1">
        <f t="array" ref="AM887">IF($D887&lt;COLUMNS($F$7:AM$7),"",INDEX(TableDiv[[GASB]:[GASB]],_xlfn.AGGREGATE(15,3,(TableDiv[[Agency]:[Agency]]=$E887)/(TableDiv[[Agency]:[Agency]]=$E887)*(ROW(TableDiv[Agency])-ROW(TableDiv[[#Headers],[Agency]])),COLUMNS($F$7:AM$7))))</f>
        <v/>
      </c>
      <c r="AN887" s="2223"/>
      <c r="AO887" s="2223"/>
      <c r="AP887" s="2223"/>
      <c r="AQ887" s="2223"/>
      <c r="AR887" s="2223"/>
      <c r="AS887" s="2223"/>
    </row>
    <row r="888" spans="1:45" x14ac:dyDescent="0.2">
      <c r="A888" s="2223"/>
      <c r="B888" s="2223"/>
      <c r="C888" s="2223"/>
      <c r="W888" s="2223" t="str" cm="1">
        <f t="array" ref="W888">IF($D888&lt;COLUMNS($F$7:W$7),"",INDEX(TableDiv[[GASB]:[GASB]],_xlfn.AGGREGATE(15,3,(TableDiv[[Agency]:[Agency]]=$E888)/(TableDiv[[Agency]:[Agency]]=$E888)*(ROW(TableDiv[Agency])-ROW(TableDiv[[#Headers],[Agency]])),COLUMNS($F$7:W$7))))</f>
        <v/>
      </c>
      <c r="X888" s="2223" t="str" cm="1">
        <f t="array" ref="X888">IF($D888&lt;COLUMNS($F$7:X$7),"",INDEX(TableDiv[[GASB]:[GASB]],_xlfn.AGGREGATE(15,3,(TableDiv[[Agency]:[Agency]]=$E888)/(TableDiv[[Agency]:[Agency]]=$E888)*(ROW(TableDiv[Agency])-ROW(TableDiv[[#Headers],[Agency]])),COLUMNS($F$7:X$7))))</f>
        <v/>
      </c>
      <c r="Y888" s="2223" t="str" cm="1">
        <f t="array" ref="Y888">IF($D888&lt;COLUMNS($F$7:Y$7),"",INDEX(TableDiv[[GASB]:[GASB]],_xlfn.AGGREGATE(15,3,(TableDiv[[Agency]:[Agency]]=$E888)/(TableDiv[[Agency]:[Agency]]=$E888)*(ROW(TableDiv[Agency])-ROW(TableDiv[[#Headers],[Agency]])),COLUMNS($F$7:Y$7))))</f>
        <v/>
      </c>
      <c r="Z888" s="2223" t="str" cm="1">
        <f t="array" ref="Z888">IF($D888&lt;COLUMNS($F$7:Z$7),"",INDEX(TableDiv[[GASB]:[GASB]],_xlfn.AGGREGATE(15,3,(TableDiv[[Agency]:[Agency]]=$E888)/(TableDiv[[Agency]:[Agency]]=$E888)*(ROW(TableDiv[Agency])-ROW(TableDiv[[#Headers],[Agency]])),COLUMNS($F$7:Z$7))))</f>
        <v/>
      </c>
      <c r="AA888" s="2223" t="str" cm="1">
        <f t="array" ref="AA888">IF($D888&lt;COLUMNS($F$7:AA$7),"",INDEX(TableDiv[[GASB]:[GASB]],_xlfn.AGGREGATE(15,3,(TableDiv[[Agency]:[Agency]]=$E888)/(TableDiv[[Agency]:[Agency]]=$E888)*(ROW(TableDiv[Agency])-ROW(TableDiv[[#Headers],[Agency]])),COLUMNS($F$7:AA$7))))</f>
        <v/>
      </c>
      <c r="AB888" s="2223" t="str" cm="1">
        <f t="array" ref="AB888">IF($D888&lt;COLUMNS($F$7:AB$7),"",INDEX(TableDiv[[GASB]:[GASB]],_xlfn.AGGREGATE(15,3,(TableDiv[[Agency]:[Agency]]=$E888)/(TableDiv[[Agency]:[Agency]]=$E888)*(ROW(TableDiv[Agency])-ROW(TableDiv[[#Headers],[Agency]])),COLUMNS($F$7:AB$7))))</f>
        <v/>
      </c>
      <c r="AC888" s="2223" t="str" cm="1">
        <f t="array" ref="AC888">IF($D888&lt;COLUMNS($F$7:AC$7),"",INDEX(TableDiv[[GASB]:[GASB]],_xlfn.AGGREGATE(15,3,(TableDiv[[Agency]:[Agency]]=$E888)/(TableDiv[[Agency]:[Agency]]=$E888)*(ROW(TableDiv[Agency])-ROW(TableDiv[[#Headers],[Agency]])),COLUMNS($F$7:AC$7))))</f>
        <v/>
      </c>
      <c r="AD888" s="2223" t="str" cm="1">
        <f t="array" ref="AD888">IF($D888&lt;COLUMNS($F$7:AD$7),"",INDEX(TableDiv[[GASB]:[GASB]],_xlfn.AGGREGATE(15,3,(TableDiv[[Agency]:[Agency]]=$E888)/(TableDiv[[Agency]:[Agency]]=$E888)*(ROW(TableDiv[Agency])-ROW(TableDiv[[#Headers],[Agency]])),COLUMNS($F$7:AD$7))))</f>
        <v/>
      </c>
      <c r="AE888" s="2223" t="str" cm="1">
        <f t="array" ref="AE888">IF($D888&lt;COLUMNS($F$7:AE$7),"",INDEX(TableDiv[[GASB]:[GASB]],_xlfn.AGGREGATE(15,3,(TableDiv[[Agency]:[Agency]]=$E888)/(TableDiv[[Agency]:[Agency]]=$E888)*(ROW(TableDiv[Agency])-ROW(TableDiv[[#Headers],[Agency]])),COLUMNS($F$7:AE$7))))</f>
        <v/>
      </c>
      <c r="AF888" s="2223" t="str" cm="1">
        <f t="array" ref="AF888">IF($D888&lt;COLUMNS($F$7:AF$7),"",INDEX(TableDiv[[GASB]:[GASB]],_xlfn.AGGREGATE(15,3,(TableDiv[[Agency]:[Agency]]=$E888)/(TableDiv[[Agency]:[Agency]]=$E888)*(ROW(TableDiv[Agency])-ROW(TableDiv[[#Headers],[Agency]])),COLUMNS($F$7:AF$7))))</f>
        <v/>
      </c>
      <c r="AG888" s="2223" t="str" cm="1">
        <f t="array" ref="AG888">IF($D888&lt;COLUMNS($F$7:AG$7),"",INDEX(TableDiv[[GASB]:[GASB]],_xlfn.AGGREGATE(15,3,(TableDiv[[Agency]:[Agency]]=$E888)/(TableDiv[[Agency]:[Agency]]=$E888)*(ROW(TableDiv[Agency])-ROW(TableDiv[[#Headers],[Agency]])),COLUMNS($F$7:AG$7))))</f>
        <v/>
      </c>
      <c r="AH888" s="2223" t="str" cm="1">
        <f t="array" ref="AH888">IF($D888&lt;COLUMNS($F$7:AH$7),"",INDEX(TableDiv[[GASB]:[GASB]],_xlfn.AGGREGATE(15,3,(TableDiv[[Agency]:[Agency]]=$E888)/(TableDiv[[Agency]:[Agency]]=$E888)*(ROW(TableDiv[Agency])-ROW(TableDiv[[#Headers],[Agency]])),COLUMNS($F$7:AH$7))))</f>
        <v/>
      </c>
      <c r="AI888" s="2223" t="str" cm="1">
        <f t="array" ref="AI888">IF($D888&lt;COLUMNS($F$7:AI$7),"",INDEX(TableDiv[[GASB]:[GASB]],_xlfn.AGGREGATE(15,3,(TableDiv[[Agency]:[Agency]]=$E888)/(TableDiv[[Agency]:[Agency]]=$E888)*(ROW(TableDiv[Agency])-ROW(TableDiv[[#Headers],[Agency]])),COLUMNS($F$7:AI$7))))</f>
        <v/>
      </c>
      <c r="AJ888" s="2223" t="str" cm="1">
        <f t="array" ref="AJ888">IF($D888&lt;COLUMNS($F$7:AJ$7),"",INDEX(TableDiv[[GASB]:[GASB]],_xlfn.AGGREGATE(15,3,(TableDiv[[Agency]:[Agency]]=$E888)/(TableDiv[[Agency]:[Agency]]=$E888)*(ROW(TableDiv[Agency])-ROW(TableDiv[[#Headers],[Agency]])),COLUMNS($F$7:AJ$7))))</f>
        <v/>
      </c>
      <c r="AK888" s="2223" t="str" cm="1">
        <f t="array" ref="AK888">IF($D888&lt;COLUMNS($F$7:AK$7),"",INDEX(TableDiv[[GASB]:[GASB]],_xlfn.AGGREGATE(15,3,(TableDiv[[Agency]:[Agency]]=$E888)/(TableDiv[[Agency]:[Agency]]=$E888)*(ROW(TableDiv[Agency])-ROW(TableDiv[[#Headers],[Agency]])),COLUMNS($F$7:AK$7))))</f>
        <v/>
      </c>
      <c r="AL888" s="2223" t="str" cm="1">
        <f t="array" ref="AL888">IF($D888&lt;COLUMNS($F$7:AL$7),"",INDEX(TableDiv[[GASB]:[GASB]],_xlfn.AGGREGATE(15,3,(TableDiv[[Agency]:[Agency]]=$E888)/(TableDiv[[Agency]:[Agency]]=$E888)*(ROW(TableDiv[Agency])-ROW(TableDiv[[#Headers],[Agency]])),COLUMNS($F$7:AL$7))))</f>
        <v/>
      </c>
      <c r="AM888" s="2223" t="str" cm="1">
        <f t="array" ref="AM888">IF($D888&lt;COLUMNS($F$7:AM$7),"",INDEX(TableDiv[[GASB]:[GASB]],_xlfn.AGGREGATE(15,3,(TableDiv[[Agency]:[Agency]]=$E888)/(TableDiv[[Agency]:[Agency]]=$E888)*(ROW(TableDiv[Agency])-ROW(TableDiv[[#Headers],[Agency]])),COLUMNS($F$7:AM$7))))</f>
        <v/>
      </c>
      <c r="AN888" s="2223"/>
      <c r="AO888" s="2223"/>
      <c r="AP888" s="2223"/>
      <c r="AQ888" s="2223"/>
      <c r="AR888" s="2223"/>
      <c r="AS888" s="2223"/>
    </row>
    <row r="889" spans="1:45" x14ac:dyDescent="0.2">
      <c r="A889" s="2223"/>
      <c r="B889" s="2223"/>
      <c r="C889" s="2223"/>
      <c r="W889" s="2223" t="str" cm="1">
        <f t="array" ref="W889">IF($D889&lt;COLUMNS($F$7:W$7),"",INDEX(TableDiv[[GASB]:[GASB]],_xlfn.AGGREGATE(15,3,(TableDiv[[Agency]:[Agency]]=$E889)/(TableDiv[[Agency]:[Agency]]=$E889)*(ROW(TableDiv[Agency])-ROW(TableDiv[[#Headers],[Agency]])),COLUMNS($F$7:W$7))))</f>
        <v/>
      </c>
      <c r="X889" s="2223" t="str" cm="1">
        <f t="array" ref="X889">IF($D889&lt;COLUMNS($F$7:X$7),"",INDEX(TableDiv[[GASB]:[GASB]],_xlfn.AGGREGATE(15,3,(TableDiv[[Agency]:[Agency]]=$E889)/(TableDiv[[Agency]:[Agency]]=$E889)*(ROW(TableDiv[Agency])-ROW(TableDiv[[#Headers],[Agency]])),COLUMNS($F$7:X$7))))</f>
        <v/>
      </c>
      <c r="Y889" s="2223" t="str" cm="1">
        <f t="array" ref="Y889">IF($D889&lt;COLUMNS($F$7:Y$7),"",INDEX(TableDiv[[GASB]:[GASB]],_xlfn.AGGREGATE(15,3,(TableDiv[[Agency]:[Agency]]=$E889)/(TableDiv[[Agency]:[Agency]]=$E889)*(ROW(TableDiv[Agency])-ROW(TableDiv[[#Headers],[Agency]])),COLUMNS($F$7:Y$7))))</f>
        <v/>
      </c>
      <c r="Z889" s="2223" t="str" cm="1">
        <f t="array" ref="Z889">IF($D889&lt;COLUMNS($F$7:Z$7),"",INDEX(TableDiv[[GASB]:[GASB]],_xlfn.AGGREGATE(15,3,(TableDiv[[Agency]:[Agency]]=$E889)/(TableDiv[[Agency]:[Agency]]=$E889)*(ROW(TableDiv[Agency])-ROW(TableDiv[[#Headers],[Agency]])),COLUMNS($F$7:Z$7))))</f>
        <v/>
      </c>
      <c r="AA889" s="2223" t="str" cm="1">
        <f t="array" ref="AA889">IF($D889&lt;COLUMNS($F$7:AA$7),"",INDEX(TableDiv[[GASB]:[GASB]],_xlfn.AGGREGATE(15,3,(TableDiv[[Agency]:[Agency]]=$E889)/(TableDiv[[Agency]:[Agency]]=$E889)*(ROW(TableDiv[Agency])-ROW(TableDiv[[#Headers],[Agency]])),COLUMNS($F$7:AA$7))))</f>
        <v/>
      </c>
      <c r="AB889" s="2223" t="str" cm="1">
        <f t="array" ref="AB889">IF($D889&lt;COLUMNS($F$7:AB$7),"",INDEX(TableDiv[[GASB]:[GASB]],_xlfn.AGGREGATE(15,3,(TableDiv[[Agency]:[Agency]]=$E889)/(TableDiv[[Agency]:[Agency]]=$E889)*(ROW(TableDiv[Agency])-ROW(TableDiv[[#Headers],[Agency]])),COLUMNS($F$7:AB$7))))</f>
        <v/>
      </c>
      <c r="AC889" s="2223" t="str" cm="1">
        <f t="array" ref="AC889">IF($D889&lt;COLUMNS($F$7:AC$7),"",INDEX(TableDiv[[GASB]:[GASB]],_xlfn.AGGREGATE(15,3,(TableDiv[[Agency]:[Agency]]=$E889)/(TableDiv[[Agency]:[Agency]]=$E889)*(ROW(TableDiv[Agency])-ROW(TableDiv[[#Headers],[Agency]])),COLUMNS($F$7:AC$7))))</f>
        <v/>
      </c>
      <c r="AD889" s="2223" t="str" cm="1">
        <f t="array" ref="AD889">IF($D889&lt;COLUMNS($F$7:AD$7),"",INDEX(TableDiv[[GASB]:[GASB]],_xlfn.AGGREGATE(15,3,(TableDiv[[Agency]:[Agency]]=$E889)/(TableDiv[[Agency]:[Agency]]=$E889)*(ROW(TableDiv[Agency])-ROW(TableDiv[[#Headers],[Agency]])),COLUMNS($F$7:AD$7))))</f>
        <v/>
      </c>
      <c r="AE889" s="2223" t="str" cm="1">
        <f t="array" ref="AE889">IF($D889&lt;COLUMNS($F$7:AE$7),"",INDEX(TableDiv[[GASB]:[GASB]],_xlfn.AGGREGATE(15,3,(TableDiv[[Agency]:[Agency]]=$E889)/(TableDiv[[Agency]:[Agency]]=$E889)*(ROW(TableDiv[Agency])-ROW(TableDiv[[#Headers],[Agency]])),COLUMNS($F$7:AE$7))))</f>
        <v/>
      </c>
      <c r="AF889" s="2223" t="str" cm="1">
        <f t="array" ref="AF889">IF($D889&lt;COLUMNS($F$7:AF$7),"",INDEX(TableDiv[[GASB]:[GASB]],_xlfn.AGGREGATE(15,3,(TableDiv[[Agency]:[Agency]]=$E889)/(TableDiv[[Agency]:[Agency]]=$E889)*(ROW(TableDiv[Agency])-ROW(TableDiv[[#Headers],[Agency]])),COLUMNS($F$7:AF$7))))</f>
        <v/>
      </c>
      <c r="AG889" s="2223" t="str" cm="1">
        <f t="array" ref="AG889">IF($D889&lt;COLUMNS($F$7:AG$7),"",INDEX(TableDiv[[GASB]:[GASB]],_xlfn.AGGREGATE(15,3,(TableDiv[[Agency]:[Agency]]=$E889)/(TableDiv[[Agency]:[Agency]]=$E889)*(ROW(TableDiv[Agency])-ROW(TableDiv[[#Headers],[Agency]])),COLUMNS($F$7:AG$7))))</f>
        <v/>
      </c>
      <c r="AH889" s="2223" t="str" cm="1">
        <f t="array" ref="AH889">IF($D889&lt;COLUMNS($F$7:AH$7),"",INDEX(TableDiv[[GASB]:[GASB]],_xlfn.AGGREGATE(15,3,(TableDiv[[Agency]:[Agency]]=$E889)/(TableDiv[[Agency]:[Agency]]=$E889)*(ROW(TableDiv[Agency])-ROW(TableDiv[[#Headers],[Agency]])),COLUMNS($F$7:AH$7))))</f>
        <v/>
      </c>
      <c r="AI889" s="2223" t="str" cm="1">
        <f t="array" ref="AI889">IF($D889&lt;COLUMNS($F$7:AI$7),"",INDEX(TableDiv[[GASB]:[GASB]],_xlfn.AGGREGATE(15,3,(TableDiv[[Agency]:[Agency]]=$E889)/(TableDiv[[Agency]:[Agency]]=$E889)*(ROW(TableDiv[Agency])-ROW(TableDiv[[#Headers],[Agency]])),COLUMNS($F$7:AI$7))))</f>
        <v/>
      </c>
      <c r="AJ889" s="2223" t="str" cm="1">
        <f t="array" ref="AJ889">IF($D889&lt;COLUMNS($F$7:AJ$7),"",INDEX(TableDiv[[GASB]:[GASB]],_xlfn.AGGREGATE(15,3,(TableDiv[[Agency]:[Agency]]=$E889)/(TableDiv[[Agency]:[Agency]]=$E889)*(ROW(TableDiv[Agency])-ROW(TableDiv[[#Headers],[Agency]])),COLUMNS($F$7:AJ$7))))</f>
        <v/>
      </c>
      <c r="AK889" s="2223" t="str" cm="1">
        <f t="array" ref="AK889">IF($D889&lt;COLUMNS($F$7:AK$7),"",INDEX(TableDiv[[GASB]:[GASB]],_xlfn.AGGREGATE(15,3,(TableDiv[[Agency]:[Agency]]=$E889)/(TableDiv[[Agency]:[Agency]]=$E889)*(ROW(TableDiv[Agency])-ROW(TableDiv[[#Headers],[Agency]])),COLUMNS($F$7:AK$7))))</f>
        <v/>
      </c>
      <c r="AL889" s="2223" t="str" cm="1">
        <f t="array" ref="AL889">IF($D889&lt;COLUMNS($F$7:AL$7),"",INDEX(TableDiv[[GASB]:[GASB]],_xlfn.AGGREGATE(15,3,(TableDiv[[Agency]:[Agency]]=$E889)/(TableDiv[[Agency]:[Agency]]=$E889)*(ROW(TableDiv[Agency])-ROW(TableDiv[[#Headers],[Agency]])),COLUMNS($F$7:AL$7))))</f>
        <v/>
      </c>
      <c r="AM889" s="2223" t="str" cm="1">
        <f t="array" ref="AM889">IF($D889&lt;COLUMNS($F$7:AM$7),"",INDEX(TableDiv[[GASB]:[GASB]],_xlfn.AGGREGATE(15,3,(TableDiv[[Agency]:[Agency]]=$E889)/(TableDiv[[Agency]:[Agency]]=$E889)*(ROW(TableDiv[Agency])-ROW(TableDiv[[#Headers],[Agency]])),COLUMNS($F$7:AM$7))))</f>
        <v/>
      </c>
      <c r="AN889" s="2223"/>
      <c r="AO889" s="2223"/>
      <c r="AP889" s="2223"/>
      <c r="AQ889" s="2223"/>
      <c r="AR889" s="2223"/>
      <c r="AS889" s="2223"/>
    </row>
    <row r="890" spans="1:45" x14ac:dyDescent="0.2">
      <c r="A890" s="2223"/>
      <c r="B890" s="2223"/>
      <c r="C890" s="2223"/>
      <c r="W890" s="2223" t="str" cm="1">
        <f t="array" ref="W890">IF($D890&lt;COLUMNS($F$7:W$7),"",INDEX(TableDiv[[GASB]:[GASB]],_xlfn.AGGREGATE(15,3,(TableDiv[[Agency]:[Agency]]=$E890)/(TableDiv[[Agency]:[Agency]]=$E890)*(ROW(TableDiv[Agency])-ROW(TableDiv[[#Headers],[Agency]])),COLUMNS($F$7:W$7))))</f>
        <v/>
      </c>
      <c r="X890" s="2223" t="str" cm="1">
        <f t="array" ref="X890">IF($D890&lt;COLUMNS($F$7:X$7),"",INDEX(TableDiv[[GASB]:[GASB]],_xlfn.AGGREGATE(15,3,(TableDiv[[Agency]:[Agency]]=$E890)/(TableDiv[[Agency]:[Agency]]=$E890)*(ROW(TableDiv[Agency])-ROW(TableDiv[[#Headers],[Agency]])),COLUMNS($F$7:X$7))))</f>
        <v/>
      </c>
      <c r="Y890" s="2223" t="str" cm="1">
        <f t="array" ref="Y890">IF($D890&lt;COLUMNS($F$7:Y$7),"",INDEX(TableDiv[[GASB]:[GASB]],_xlfn.AGGREGATE(15,3,(TableDiv[[Agency]:[Agency]]=$E890)/(TableDiv[[Agency]:[Agency]]=$E890)*(ROW(TableDiv[Agency])-ROW(TableDiv[[#Headers],[Agency]])),COLUMNS($F$7:Y$7))))</f>
        <v/>
      </c>
      <c r="Z890" s="2223" t="str" cm="1">
        <f t="array" ref="Z890">IF($D890&lt;COLUMNS($F$7:Z$7),"",INDEX(TableDiv[[GASB]:[GASB]],_xlfn.AGGREGATE(15,3,(TableDiv[[Agency]:[Agency]]=$E890)/(TableDiv[[Agency]:[Agency]]=$E890)*(ROW(TableDiv[Agency])-ROW(TableDiv[[#Headers],[Agency]])),COLUMNS($F$7:Z$7))))</f>
        <v/>
      </c>
      <c r="AA890" s="2223" t="str" cm="1">
        <f t="array" ref="AA890">IF($D890&lt;COLUMNS($F$7:AA$7),"",INDEX(TableDiv[[GASB]:[GASB]],_xlfn.AGGREGATE(15,3,(TableDiv[[Agency]:[Agency]]=$E890)/(TableDiv[[Agency]:[Agency]]=$E890)*(ROW(TableDiv[Agency])-ROW(TableDiv[[#Headers],[Agency]])),COLUMNS($F$7:AA$7))))</f>
        <v/>
      </c>
      <c r="AB890" s="2223" t="str" cm="1">
        <f t="array" ref="AB890">IF($D890&lt;COLUMNS($F$7:AB$7),"",INDEX(TableDiv[[GASB]:[GASB]],_xlfn.AGGREGATE(15,3,(TableDiv[[Agency]:[Agency]]=$E890)/(TableDiv[[Agency]:[Agency]]=$E890)*(ROW(TableDiv[Agency])-ROW(TableDiv[[#Headers],[Agency]])),COLUMNS($F$7:AB$7))))</f>
        <v/>
      </c>
      <c r="AC890" s="2223" t="str" cm="1">
        <f t="array" ref="AC890">IF($D890&lt;COLUMNS($F$7:AC$7),"",INDEX(TableDiv[[GASB]:[GASB]],_xlfn.AGGREGATE(15,3,(TableDiv[[Agency]:[Agency]]=$E890)/(TableDiv[[Agency]:[Agency]]=$E890)*(ROW(TableDiv[Agency])-ROW(TableDiv[[#Headers],[Agency]])),COLUMNS($F$7:AC$7))))</f>
        <v/>
      </c>
      <c r="AD890" s="2223" t="str" cm="1">
        <f t="array" ref="AD890">IF($D890&lt;COLUMNS($F$7:AD$7),"",INDEX(TableDiv[[GASB]:[GASB]],_xlfn.AGGREGATE(15,3,(TableDiv[[Agency]:[Agency]]=$E890)/(TableDiv[[Agency]:[Agency]]=$E890)*(ROW(TableDiv[Agency])-ROW(TableDiv[[#Headers],[Agency]])),COLUMNS($F$7:AD$7))))</f>
        <v/>
      </c>
      <c r="AE890" s="2223" t="str" cm="1">
        <f t="array" ref="AE890">IF($D890&lt;COLUMNS($F$7:AE$7),"",INDEX(TableDiv[[GASB]:[GASB]],_xlfn.AGGREGATE(15,3,(TableDiv[[Agency]:[Agency]]=$E890)/(TableDiv[[Agency]:[Agency]]=$E890)*(ROW(TableDiv[Agency])-ROW(TableDiv[[#Headers],[Agency]])),COLUMNS($F$7:AE$7))))</f>
        <v/>
      </c>
      <c r="AF890" s="2223" t="str" cm="1">
        <f t="array" ref="AF890">IF($D890&lt;COLUMNS($F$7:AF$7),"",INDEX(TableDiv[[GASB]:[GASB]],_xlfn.AGGREGATE(15,3,(TableDiv[[Agency]:[Agency]]=$E890)/(TableDiv[[Agency]:[Agency]]=$E890)*(ROW(TableDiv[Agency])-ROW(TableDiv[[#Headers],[Agency]])),COLUMNS($F$7:AF$7))))</f>
        <v/>
      </c>
      <c r="AG890" s="2223" t="str" cm="1">
        <f t="array" ref="AG890">IF($D890&lt;COLUMNS($F$7:AG$7),"",INDEX(TableDiv[[GASB]:[GASB]],_xlfn.AGGREGATE(15,3,(TableDiv[[Agency]:[Agency]]=$E890)/(TableDiv[[Agency]:[Agency]]=$E890)*(ROW(TableDiv[Agency])-ROW(TableDiv[[#Headers],[Agency]])),COLUMNS($F$7:AG$7))))</f>
        <v/>
      </c>
      <c r="AH890" s="2223" t="str" cm="1">
        <f t="array" ref="AH890">IF($D890&lt;COLUMNS($F$7:AH$7),"",INDEX(TableDiv[[GASB]:[GASB]],_xlfn.AGGREGATE(15,3,(TableDiv[[Agency]:[Agency]]=$E890)/(TableDiv[[Agency]:[Agency]]=$E890)*(ROW(TableDiv[Agency])-ROW(TableDiv[[#Headers],[Agency]])),COLUMNS($F$7:AH$7))))</f>
        <v/>
      </c>
      <c r="AI890" s="2223" t="str" cm="1">
        <f t="array" ref="AI890">IF($D890&lt;COLUMNS($F$7:AI$7),"",INDEX(TableDiv[[GASB]:[GASB]],_xlfn.AGGREGATE(15,3,(TableDiv[[Agency]:[Agency]]=$E890)/(TableDiv[[Agency]:[Agency]]=$E890)*(ROW(TableDiv[Agency])-ROW(TableDiv[[#Headers],[Agency]])),COLUMNS($F$7:AI$7))))</f>
        <v/>
      </c>
      <c r="AJ890" s="2223" t="str" cm="1">
        <f t="array" ref="AJ890">IF($D890&lt;COLUMNS($F$7:AJ$7),"",INDEX(TableDiv[[GASB]:[GASB]],_xlfn.AGGREGATE(15,3,(TableDiv[[Agency]:[Agency]]=$E890)/(TableDiv[[Agency]:[Agency]]=$E890)*(ROW(TableDiv[Agency])-ROW(TableDiv[[#Headers],[Agency]])),COLUMNS($F$7:AJ$7))))</f>
        <v/>
      </c>
      <c r="AK890" s="2223" t="str" cm="1">
        <f t="array" ref="AK890">IF($D890&lt;COLUMNS($F$7:AK$7),"",INDEX(TableDiv[[GASB]:[GASB]],_xlfn.AGGREGATE(15,3,(TableDiv[[Agency]:[Agency]]=$E890)/(TableDiv[[Agency]:[Agency]]=$E890)*(ROW(TableDiv[Agency])-ROW(TableDiv[[#Headers],[Agency]])),COLUMNS($F$7:AK$7))))</f>
        <v/>
      </c>
      <c r="AL890" s="2223" t="str" cm="1">
        <f t="array" ref="AL890">IF($D890&lt;COLUMNS($F$7:AL$7),"",INDEX(TableDiv[[GASB]:[GASB]],_xlfn.AGGREGATE(15,3,(TableDiv[[Agency]:[Agency]]=$E890)/(TableDiv[[Agency]:[Agency]]=$E890)*(ROW(TableDiv[Agency])-ROW(TableDiv[[#Headers],[Agency]])),COLUMNS($F$7:AL$7))))</f>
        <v/>
      </c>
      <c r="AM890" s="2223" t="str" cm="1">
        <f t="array" ref="AM890">IF($D890&lt;COLUMNS($F$7:AM$7),"",INDEX(TableDiv[[GASB]:[GASB]],_xlfn.AGGREGATE(15,3,(TableDiv[[Agency]:[Agency]]=$E890)/(TableDiv[[Agency]:[Agency]]=$E890)*(ROW(TableDiv[Agency])-ROW(TableDiv[[#Headers],[Agency]])),COLUMNS($F$7:AM$7))))</f>
        <v/>
      </c>
      <c r="AN890" s="2223"/>
      <c r="AO890" s="2223"/>
      <c r="AP890" s="2223"/>
      <c r="AQ890" s="2223"/>
      <c r="AR890" s="2223"/>
      <c r="AS890" s="2223"/>
    </row>
    <row r="891" spans="1:45" x14ac:dyDescent="0.2">
      <c r="A891" s="2223"/>
      <c r="B891" s="2223"/>
      <c r="C891" s="2223"/>
      <c r="W891" s="2223" t="str" cm="1">
        <f t="array" ref="W891">IF($D891&lt;COLUMNS($F$7:W$7),"",INDEX(TableDiv[[GASB]:[GASB]],_xlfn.AGGREGATE(15,3,(TableDiv[[Agency]:[Agency]]=$E891)/(TableDiv[[Agency]:[Agency]]=$E891)*(ROW(TableDiv[Agency])-ROW(TableDiv[[#Headers],[Agency]])),COLUMNS($F$7:W$7))))</f>
        <v/>
      </c>
      <c r="X891" s="2223" t="str" cm="1">
        <f t="array" ref="X891">IF($D891&lt;COLUMNS($F$7:X$7),"",INDEX(TableDiv[[GASB]:[GASB]],_xlfn.AGGREGATE(15,3,(TableDiv[[Agency]:[Agency]]=$E891)/(TableDiv[[Agency]:[Agency]]=$E891)*(ROW(TableDiv[Agency])-ROW(TableDiv[[#Headers],[Agency]])),COLUMNS($F$7:X$7))))</f>
        <v/>
      </c>
      <c r="Y891" s="2223" t="str" cm="1">
        <f t="array" ref="Y891">IF($D891&lt;COLUMNS($F$7:Y$7),"",INDEX(TableDiv[[GASB]:[GASB]],_xlfn.AGGREGATE(15,3,(TableDiv[[Agency]:[Agency]]=$E891)/(TableDiv[[Agency]:[Agency]]=$E891)*(ROW(TableDiv[Agency])-ROW(TableDiv[[#Headers],[Agency]])),COLUMNS($F$7:Y$7))))</f>
        <v/>
      </c>
      <c r="Z891" s="2223" t="str" cm="1">
        <f t="array" ref="Z891">IF($D891&lt;COLUMNS($F$7:Z$7),"",INDEX(TableDiv[[GASB]:[GASB]],_xlfn.AGGREGATE(15,3,(TableDiv[[Agency]:[Agency]]=$E891)/(TableDiv[[Agency]:[Agency]]=$E891)*(ROW(TableDiv[Agency])-ROW(TableDiv[[#Headers],[Agency]])),COLUMNS($F$7:Z$7))))</f>
        <v/>
      </c>
      <c r="AA891" s="2223" t="str" cm="1">
        <f t="array" ref="AA891">IF($D891&lt;COLUMNS($F$7:AA$7),"",INDEX(TableDiv[[GASB]:[GASB]],_xlfn.AGGREGATE(15,3,(TableDiv[[Agency]:[Agency]]=$E891)/(TableDiv[[Agency]:[Agency]]=$E891)*(ROW(TableDiv[Agency])-ROW(TableDiv[[#Headers],[Agency]])),COLUMNS($F$7:AA$7))))</f>
        <v/>
      </c>
      <c r="AB891" s="2223" t="str" cm="1">
        <f t="array" ref="AB891">IF($D891&lt;COLUMNS($F$7:AB$7),"",INDEX(TableDiv[[GASB]:[GASB]],_xlfn.AGGREGATE(15,3,(TableDiv[[Agency]:[Agency]]=$E891)/(TableDiv[[Agency]:[Agency]]=$E891)*(ROW(TableDiv[Agency])-ROW(TableDiv[[#Headers],[Agency]])),COLUMNS($F$7:AB$7))))</f>
        <v/>
      </c>
      <c r="AC891" s="2223" t="str" cm="1">
        <f t="array" ref="AC891">IF($D891&lt;COLUMNS($F$7:AC$7),"",INDEX(TableDiv[[GASB]:[GASB]],_xlfn.AGGREGATE(15,3,(TableDiv[[Agency]:[Agency]]=$E891)/(TableDiv[[Agency]:[Agency]]=$E891)*(ROW(TableDiv[Agency])-ROW(TableDiv[[#Headers],[Agency]])),COLUMNS($F$7:AC$7))))</f>
        <v/>
      </c>
      <c r="AD891" s="2223" t="str" cm="1">
        <f t="array" ref="AD891">IF($D891&lt;COLUMNS($F$7:AD$7),"",INDEX(TableDiv[[GASB]:[GASB]],_xlfn.AGGREGATE(15,3,(TableDiv[[Agency]:[Agency]]=$E891)/(TableDiv[[Agency]:[Agency]]=$E891)*(ROW(TableDiv[Agency])-ROW(TableDiv[[#Headers],[Agency]])),COLUMNS($F$7:AD$7))))</f>
        <v/>
      </c>
      <c r="AE891" s="2223" t="str" cm="1">
        <f t="array" ref="AE891">IF($D891&lt;COLUMNS($F$7:AE$7),"",INDEX(TableDiv[[GASB]:[GASB]],_xlfn.AGGREGATE(15,3,(TableDiv[[Agency]:[Agency]]=$E891)/(TableDiv[[Agency]:[Agency]]=$E891)*(ROW(TableDiv[Agency])-ROW(TableDiv[[#Headers],[Agency]])),COLUMNS($F$7:AE$7))))</f>
        <v/>
      </c>
      <c r="AF891" s="2223" t="str" cm="1">
        <f t="array" ref="AF891">IF($D891&lt;COLUMNS($F$7:AF$7),"",INDEX(TableDiv[[GASB]:[GASB]],_xlfn.AGGREGATE(15,3,(TableDiv[[Agency]:[Agency]]=$E891)/(TableDiv[[Agency]:[Agency]]=$E891)*(ROW(TableDiv[Agency])-ROW(TableDiv[[#Headers],[Agency]])),COLUMNS($F$7:AF$7))))</f>
        <v/>
      </c>
      <c r="AG891" s="2223" t="str" cm="1">
        <f t="array" ref="AG891">IF($D891&lt;COLUMNS($F$7:AG$7),"",INDEX(TableDiv[[GASB]:[GASB]],_xlfn.AGGREGATE(15,3,(TableDiv[[Agency]:[Agency]]=$E891)/(TableDiv[[Agency]:[Agency]]=$E891)*(ROW(TableDiv[Agency])-ROW(TableDiv[[#Headers],[Agency]])),COLUMNS($F$7:AG$7))))</f>
        <v/>
      </c>
      <c r="AH891" s="2223" t="str" cm="1">
        <f t="array" ref="AH891">IF($D891&lt;COLUMNS($F$7:AH$7),"",INDEX(TableDiv[[GASB]:[GASB]],_xlfn.AGGREGATE(15,3,(TableDiv[[Agency]:[Agency]]=$E891)/(TableDiv[[Agency]:[Agency]]=$E891)*(ROW(TableDiv[Agency])-ROW(TableDiv[[#Headers],[Agency]])),COLUMNS($F$7:AH$7))))</f>
        <v/>
      </c>
      <c r="AI891" s="2223" t="str" cm="1">
        <f t="array" ref="AI891">IF($D891&lt;COLUMNS($F$7:AI$7),"",INDEX(TableDiv[[GASB]:[GASB]],_xlfn.AGGREGATE(15,3,(TableDiv[[Agency]:[Agency]]=$E891)/(TableDiv[[Agency]:[Agency]]=$E891)*(ROW(TableDiv[Agency])-ROW(TableDiv[[#Headers],[Agency]])),COLUMNS($F$7:AI$7))))</f>
        <v/>
      </c>
      <c r="AJ891" s="2223" t="str" cm="1">
        <f t="array" ref="AJ891">IF($D891&lt;COLUMNS($F$7:AJ$7),"",INDEX(TableDiv[[GASB]:[GASB]],_xlfn.AGGREGATE(15,3,(TableDiv[[Agency]:[Agency]]=$E891)/(TableDiv[[Agency]:[Agency]]=$E891)*(ROW(TableDiv[Agency])-ROW(TableDiv[[#Headers],[Agency]])),COLUMNS($F$7:AJ$7))))</f>
        <v/>
      </c>
      <c r="AK891" s="2223" t="str" cm="1">
        <f t="array" ref="AK891">IF($D891&lt;COLUMNS($F$7:AK$7),"",INDEX(TableDiv[[GASB]:[GASB]],_xlfn.AGGREGATE(15,3,(TableDiv[[Agency]:[Agency]]=$E891)/(TableDiv[[Agency]:[Agency]]=$E891)*(ROW(TableDiv[Agency])-ROW(TableDiv[[#Headers],[Agency]])),COLUMNS($F$7:AK$7))))</f>
        <v/>
      </c>
      <c r="AL891" s="2223" t="str" cm="1">
        <f t="array" ref="AL891">IF($D891&lt;COLUMNS($F$7:AL$7),"",INDEX(TableDiv[[GASB]:[GASB]],_xlfn.AGGREGATE(15,3,(TableDiv[[Agency]:[Agency]]=$E891)/(TableDiv[[Agency]:[Agency]]=$E891)*(ROW(TableDiv[Agency])-ROW(TableDiv[[#Headers],[Agency]])),COLUMNS($F$7:AL$7))))</f>
        <v/>
      </c>
      <c r="AM891" s="2223" t="str" cm="1">
        <f t="array" ref="AM891">IF($D891&lt;COLUMNS($F$7:AM$7),"",INDEX(TableDiv[[GASB]:[GASB]],_xlfn.AGGREGATE(15,3,(TableDiv[[Agency]:[Agency]]=$E891)/(TableDiv[[Agency]:[Agency]]=$E891)*(ROW(TableDiv[Agency])-ROW(TableDiv[[#Headers],[Agency]])),COLUMNS($F$7:AM$7))))</f>
        <v/>
      </c>
      <c r="AN891" s="2223"/>
      <c r="AO891" s="2223"/>
      <c r="AP891" s="2223"/>
      <c r="AQ891" s="2223"/>
      <c r="AR891" s="2223"/>
      <c r="AS891" s="2223"/>
    </row>
    <row r="892" spans="1:45" x14ac:dyDescent="0.2">
      <c r="A892" s="2223"/>
      <c r="B892" s="2223"/>
      <c r="C892" s="2223"/>
      <c r="W892" s="2223" t="str" cm="1">
        <f t="array" ref="W892">IF($D892&lt;COLUMNS($F$7:W$7),"",INDEX(TableDiv[[GASB]:[GASB]],_xlfn.AGGREGATE(15,3,(TableDiv[[Agency]:[Agency]]=$E892)/(TableDiv[[Agency]:[Agency]]=$E892)*(ROW(TableDiv[Agency])-ROW(TableDiv[[#Headers],[Agency]])),COLUMNS($F$7:W$7))))</f>
        <v/>
      </c>
      <c r="X892" s="2223" t="str" cm="1">
        <f t="array" ref="X892">IF($D892&lt;COLUMNS($F$7:X$7),"",INDEX(TableDiv[[GASB]:[GASB]],_xlfn.AGGREGATE(15,3,(TableDiv[[Agency]:[Agency]]=$E892)/(TableDiv[[Agency]:[Agency]]=$E892)*(ROW(TableDiv[Agency])-ROW(TableDiv[[#Headers],[Agency]])),COLUMNS($F$7:X$7))))</f>
        <v/>
      </c>
      <c r="Y892" s="2223" t="str" cm="1">
        <f t="array" ref="Y892">IF($D892&lt;COLUMNS($F$7:Y$7),"",INDEX(TableDiv[[GASB]:[GASB]],_xlfn.AGGREGATE(15,3,(TableDiv[[Agency]:[Agency]]=$E892)/(TableDiv[[Agency]:[Agency]]=$E892)*(ROW(TableDiv[Agency])-ROW(TableDiv[[#Headers],[Agency]])),COLUMNS($F$7:Y$7))))</f>
        <v/>
      </c>
      <c r="Z892" s="2223" t="str" cm="1">
        <f t="array" ref="Z892">IF($D892&lt;COLUMNS($F$7:Z$7),"",INDEX(TableDiv[[GASB]:[GASB]],_xlfn.AGGREGATE(15,3,(TableDiv[[Agency]:[Agency]]=$E892)/(TableDiv[[Agency]:[Agency]]=$E892)*(ROW(TableDiv[Agency])-ROW(TableDiv[[#Headers],[Agency]])),COLUMNS($F$7:Z$7))))</f>
        <v/>
      </c>
      <c r="AA892" s="2223" t="str" cm="1">
        <f t="array" ref="AA892">IF($D892&lt;COLUMNS($F$7:AA$7),"",INDEX(TableDiv[[GASB]:[GASB]],_xlfn.AGGREGATE(15,3,(TableDiv[[Agency]:[Agency]]=$E892)/(TableDiv[[Agency]:[Agency]]=$E892)*(ROW(TableDiv[Agency])-ROW(TableDiv[[#Headers],[Agency]])),COLUMNS($F$7:AA$7))))</f>
        <v/>
      </c>
      <c r="AB892" s="2223" t="str" cm="1">
        <f t="array" ref="AB892">IF($D892&lt;COLUMNS($F$7:AB$7),"",INDEX(TableDiv[[GASB]:[GASB]],_xlfn.AGGREGATE(15,3,(TableDiv[[Agency]:[Agency]]=$E892)/(TableDiv[[Agency]:[Agency]]=$E892)*(ROW(TableDiv[Agency])-ROW(TableDiv[[#Headers],[Agency]])),COLUMNS($F$7:AB$7))))</f>
        <v/>
      </c>
      <c r="AC892" s="2223" t="str" cm="1">
        <f t="array" ref="AC892">IF($D892&lt;COLUMNS($F$7:AC$7),"",INDEX(TableDiv[[GASB]:[GASB]],_xlfn.AGGREGATE(15,3,(TableDiv[[Agency]:[Agency]]=$E892)/(TableDiv[[Agency]:[Agency]]=$E892)*(ROW(TableDiv[Agency])-ROW(TableDiv[[#Headers],[Agency]])),COLUMNS($F$7:AC$7))))</f>
        <v/>
      </c>
      <c r="AD892" s="2223" t="str" cm="1">
        <f t="array" ref="AD892">IF($D892&lt;COLUMNS($F$7:AD$7),"",INDEX(TableDiv[[GASB]:[GASB]],_xlfn.AGGREGATE(15,3,(TableDiv[[Agency]:[Agency]]=$E892)/(TableDiv[[Agency]:[Agency]]=$E892)*(ROW(TableDiv[Agency])-ROW(TableDiv[[#Headers],[Agency]])),COLUMNS($F$7:AD$7))))</f>
        <v/>
      </c>
      <c r="AE892" s="2223" t="str" cm="1">
        <f t="array" ref="AE892">IF($D892&lt;COLUMNS($F$7:AE$7),"",INDEX(TableDiv[[GASB]:[GASB]],_xlfn.AGGREGATE(15,3,(TableDiv[[Agency]:[Agency]]=$E892)/(TableDiv[[Agency]:[Agency]]=$E892)*(ROW(TableDiv[Agency])-ROW(TableDiv[[#Headers],[Agency]])),COLUMNS($F$7:AE$7))))</f>
        <v/>
      </c>
      <c r="AF892" s="2223" t="str" cm="1">
        <f t="array" ref="AF892">IF($D892&lt;COLUMNS($F$7:AF$7),"",INDEX(TableDiv[[GASB]:[GASB]],_xlfn.AGGREGATE(15,3,(TableDiv[[Agency]:[Agency]]=$E892)/(TableDiv[[Agency]:[Agency]]=$E892)*(ROW(TableDiv[Agency])-ROW(TableDiv[[#Headers],[Agency]])),COLUMNS($F$7:AF$7))))</f>
        <v/>
      </c>
      <c r="AG892" s="2223" t="str" cm="1">
        <f t="array" ref="AG892">IF($D892&lt;COLUMNS($F$7:AG$7),"",INDEX(TableDiv[[GASB]:[GASB]],_xlfn.AGGREGATE(15,3,(TableDiv[[Agency]:[Agency]]=$E892)/(TableDiv[[Agency]:[Agency]]=$E892)*(ROW(TableDiv[Agency])-ROW(TableDiv[[#Headers],[Agency]])),COLUMNS($F$7:AG$7))))</f>
        <v/>
      </c>
      <c r="AH892" s="2223" t="str" cm="1">
        <f t="array" ref="AH892">IF($D892&lt;COLUMNS($F$7:AH$7),"",INDEX(TableDiv[[GASB]:[GASB]],_xlfn.AGGREGATE(15,3,(TableDiv[[Agency]:[Agency]]=$E892)/(TableDiv[[Agency]:[Agency]]=$E892)*(ROW(TableDiv[Agency])-ROW(TableDiv[[#Headers],[Agency]])),COLUMNS($F$7:AH$7))))</f>
        <v/>
      </c>
      <c r="AI892" s="2223" t="str" cm="1">
        <f t="array" ref="AI892">IF($D892&lt;COLUMNS($F$7:AI$7),"",INDEX(TableDiv[[GASB]:[GASB]],_xlfn.AGGREGATE(15,3,(TableDiv[[Agency]:[Agency]]=$E892)/(TableDiv[[Agency]:[Agency]]=$E892)*(ROW(TableDiv[Agency])-ROW(TableDiv[[#Headers],[Agency]])),COLUMNS($F$7:AI$7))))</f>
        <v/>
      </c>
      <c r="AJ892" s="2223" t="str" cm="1">
        <f t="array" ref="AJ892">IF($D892&lt;COLUMNS($F$7:AJ$7),"",INDEX(TableDiv[[GASB]:[GASB]],_xlfn.AGGREGATE(15,3,(TableDiv[[Agency]:[Agency]]=$E892)/(TableDiv[[Agency]:[Agency]]=$E892)*(ROW(TableDiv[Agency])-ROW(TableDiv[[#Headers],[Agency]])),COLUMNS($F$7:AJ$7))))</f>
        <v/>
      </c>
      <c r="AK892" s="2223" t="str" cm="1">
        <f t="array" ref="AK892">IF($D892&lt;COLUMNS($F$7:AK$7),"",INDEX(TableDiv[[GASB]:[GASB]],_xlfn.AGGREGATE(15,3,(TableDiv[[Agency]:[Agency]]=$E892)/(TableDiv[[Agency]:[Agency]]=$E892)*(ROW(TableDiv[Agency])-ROW(TableDiv[[#Headers],[Agency]])),COLUMNS($F$7:AK$7))))</f>
        <v/>
      </c>
      <c r="AL892" s="2223" t="str" cm="1">
        <f t="array" ref="AL892">IF($D892&lt;COLUMNS($F$7:AL$7),"",INDEX(TableDiv[[GASB]:[GASB]],_xlfn.AGGREGATE(15,3,(TableDiv[[Agency]:[Agency]]=$E892)/(TableDiv[[Agency]:[Agency]]=$E892)*(ROW(TableDiv[Agency])-ROW(TableDiv[[#Headers],[Agency]])),COLUMNS($F$7:AL$7))))</f>
        <v/>
      </c>
      <c r="AM892" s="2223" t="str" cm="1">
        <f t="array" ref="AM892">IF($D892&lt;COLUMNS($F$7:AM$7),"",INDEX(TableDiv[[GASB]:[GASB]],_xlfn.AGGREGATE(15,3,(TableDiv[[Agency]:[Agency]]=$E892)/(TableDiv[[Agency]:[Agency]]=$E892)*(ROW(TableDiv[Agency])-ROW(TableDiv[[#Headers],[Agency]])),COLUMNS($F$7:AM$7))))</f>
        <v/>
      </c>
      <c r="AN892" s="2223"/>
      <c r="AO892" s="2223"/>
      <c r="AP892" s="2223"/>
      <c r="AQ892" s="2223"/>
      <c r="AR892" s="2223"/>
      <c r="AS892" s="2223"/>
    </row>
    <row r="893" spans="1:45" x14ac:dyDescent="0.2">
      <c r="A893" s="2223"/>
      <c r="B893" s="2223"/>
      <c r="C893" s="2223"/>
      <c r="W893" s="2223" t="str" cm="1">
        <f t="array" ref="W893">IF($D893&lt;COLUMNS($F$7:W$7),"",INDEX(TableDiv[[GASB]:[GASB]],_xlfn.AGGREGATE(15,3,(TableDiv[[Agency]:[Agency]]=$E893)/(TableDiv[[Agency]:[Agency]]=$E893)*(ROW(TableDiv[Agency])-ROW(TableDiv[[#Headers],[Agency]])),COLUMNS($F$7:W$7))))</f>
        <v/>
      </c>
      <c r="X893" s="2223" t="str" cm="1">
        <f t="array" ref="X893">IF($D893&lt;COLUMNS($F$7:X$7),"",INDEX(TableDiv[[GASB]:[GASB]],_xlfn.AGGREGATE(15,3,(TableDiv[[Agency]:[Agency]]=$E893)/(TableDiv[[Agency]:[Agency]]=$E893)*(ROW(TableDiv[Agency])-ROW(TableDiv[[#Headers],[Agency]])),COLUMNS($F$7:X$7))))</f>
        <v/>
      </c>
      <c r="Y893" s="2223" t="str" cm="1">
        <f t="array" ref="Y893">IF($D893&lt;COLUMNS($F$7:Y$7),"",INDEX(TableDiv[[GASB]:[GASB]],_xlfn.AGGREGATE(15,3,(TableDiv[[Agency]:[Agency]]=$E893)/(TableDiv[[Agency]:[Agency]]=$E893)*(ROW(TableDiv[Agency])-ROW(TableDiv[[#Headers],[Agency]])),COLUMNS($F$7:Y$7))))</f>
        <v/>
      </c>
      <c r="Z893" s="2223" t="str" cm="1">
        <f t="array" ref="Z893">IF($D893&lt;COLUMNS($F$7:Z$7),"",INDEX(TableDiv[[GASB]:[GASB]],_xlfn.AGGREGATE(15,3,(TableDiv[[Agency]:[Agency]]=$E893)/(TableDiv[[Agency]:[Agency]]=$E893)*(ROW(TableDiv[Agency])-ROW(TableDiv[[#Headers],[Agency]])),COLUMNS($F$7:Z$7))))</f>
        <v/>
      </c>
      <c r="AA893" s="2223" t="str" cm="1">
        <f t="array" ref="AA893">IF($D893&lt;COLUMNS($F$7:AA$7),"",INDEX(TableDiv[[GASB]:[GASB]],_xlfn.AGGREGATE(15,3,(TableDiv[[Agency]:[Agency]]=$E893)/(TableDiv[[Agency]:[Agency]]=$E893)*(ROW(TableDiv[Agency])-ROW(TableDiv[[#Headers],[Agency]])),COLUMNS($F$7:AA$7))))</f>
        <v/>
      </c>
      <c r="AB893" s="2223" t="str" cm="1">
        <f t="array" ref="AB893">IF($D893&lt;COLUMNS($F$7:AB$7),"",INDEX(TableDiv[[GASB]:[GASB]],_xlfn.AGGREGATE(15,3,(TableDiv[[Agency]:[Agency]]=$E893)/(TableDiv[[Agency]:[Agency]]=$E893)*(ROW(TableDiv[Agency])-ROW(TableDiv[[#Headers],[Agency]])),COLUMNS($F$7:AB$7))))</f>
        <v/>
      </c>
      <c r="AC893" s="2223" t="str" cm="1">
        <f t="array" ref="AC893">IF($D893&lt;COLUMNS($F$7:AC$7),"",INDEX(TableDiv[[GASB]:[GASB]],_xlfn.AGGREGATE(15,3,(TableDiv[[Agency]:[Agency]]=$E893)/(TableDiv[[Agency]:[Agency]]=$E893)*(ROW(TableDiv[Agency])-ROW(TableDiv[[#Headers],[Agency]])),COLUMNS($F$7:AC$7))))</f>
        <v/>
      </c>
      <c r="AD893" s="2223" t="str" cm="1">
        <f t="array" ref="AD893">IF($D893&lt;COLUMNS($F$7:AD$7),"",INDEX(TableDiv[[GASB]:[GASB]],_xlfn.AGGREGATE(15,3,(TableDiv[[Agency]:[Agency]]=$E893)/(TableDiv[[Agency]:[Agency]]=$E893)*(ROW(TableDiv[Agency])-ROW(TableDiv[[#Headers],[Agency]])),COLUMNS($F$7:AD$7))))</f>
        <v/>
      </c>
      <c r="AE893" s="2223" t="str" cm="1">
        <f t="array" ref="AE893">IF($D893&lt;COLUMNS($F$7:AE$7),"",INDEX(TableDiv[[GASB]:[GASB]],_xlfn.AGGREGATE(15,3,(TableDiv[[Agency]:[Agency]]=$E893)/(TableDiv[[Agency]:[Agency]]=$E893)*(ROW(TableDiv[Agency])-ROW(TableDiv[[#Headers],[Agency]])),COLUMNS($F$7:AE$7))))</f>
        <v/>
      </c>
      <c r="AF893" s="2223" t="str" cm="1">
        <f t="array" ref="AF893">IF($D893&lt;COLUMNS($F$7:AF$7),"",INDEX(TableDiv[[GASB]:[GASB]],_xlfn.AGGREGATE(15,3,(TableDiv[[Agency]:[Agency]]=$E893)/(TableDiv[[Agency]:[Agency]]=$E893)*(ROW(TableDiv[Agency])-ROW(TableDiv[[#Headers],[Agency]])),COLUMNS($F$7:AF$7))))</f>
        <v/>
      </c>
      <c r="AG893" s="2223" t="str" cm="1">
        <f t="array" ref="AG893">IF($D893&lt;COLUMNS($F$7:AG$7),"",INDEX(TableDiv[[GASB]:[GASB]],_xlfn.AGGREGATE(15,3,(TableDiv[[Agency]:[Agency]]=$E893)/(TableDiv[[Agency]:[Agency]]=$E893)*(ROW(TableDiv[Agency])-ROW(TableDiv[[#Headers],[Agency]])),COLUMNS($F$7:AG$7))))</f>
        <v/>
      </c>
      <c r="AH893" s="2223" t="str" cm="1">
        <f t="array" ref="AH893">IF($D893&lt;COLUMNS($F$7:AH$7),"",INDEX(TableDiv[[GASB]:[GASB]],_xlfn.AGGREGATE(15,3,(TableDiv[[Agency]:[Agency]]=$E893)/(TableDiv[[Agency]:[Agency]]=$E893)*(ROW(TableDiv[Agency])-ROW(TableDiv[[#Headers],[Agency]])),COLUMNS($F$7:AH$7))))</f>
        <v/>
      </c>
      <c r="AI893" s="2223" t="str" cm="1">
        <f t="array" ref="AI893">IF($D893&lt;COLUMNS($F$7:AI$7),"",INDEX(TableDiv[[GASB]:[GASB]],_xlfn.AGGREGATE(15,3,(TableDiv[[Agency]:[Agency]]=$E893)/(TableDiv[[Agency]:[Agency]]=$E893)*(ROW(TableDiv[Agency])-ROW(TableDiv[[#Headers],[Agency]])),COLUMNS($F$7:AI$7))))</f>
        <v/>
      </c>
      <c r="AJ893" s="2223" t="str" cm="1">
        <f t="array" ref="AJ893">IF($D893&lt;COLUMNS($F$7:AJ$7),"",INDEX(TableDiv[[GASB]:[GASB]],_xlfn.AGGREGATE(15,3,(TableDiv[[Agency]:[Agency]]=$E893)/(TableDiv[[Agency]:[Agency]]=$E893)*(ROW(TableDiv[Agency])-ROW(TableDiv[[#Headers],[Agency]])),COLUMNS($F$7:AJ$7))))</f>
        <v/>
      </c>
      <c r="AK893" s="2223" t="str" cm="1">
        <f t="array" ref="AK893">IF($D893&lt;COLUMNS($F$7:AK$7),"",INDEX(TableDiv[[GASB]:[GASB]],_xlfn.AGGREGATE(15,3,(TableDiv[[Agency]:[Agency]]=$E893)/(TableDiv[[Agency]:[Agency]]=$E893)*(ROW(TableDiv[Agency])-ROW(TableDiv[[#Headers],[Agency]])),COLUMNS($F$7:AK$7))))</f>
        <v/>
      </c>
      <c r="AL893" s="2223" t="str" cm="1">
        <f t="array" ref="AL893">IF($D893&lt;COLUMNS($F$7:AL$7),"",INDEX(TableDiv[[GASB]:[GASB]],_xlfn.AGGREGATE(15,3,(TableDiv[[Agency]:[Agency]]=$E893)/(TableDiv[[Agency]:[Agency]]=$E893)*(ROW(TableDiv[Agency])-ROW(TableDiv[[#Headers],[Agency]])),COLUMNS($F$7:AL$7))))</f>
        <v/>
      </c>
      <c r="AM893" s="2223" t="str" cm="1">
        <f t="array" ref="AM893">IF($D893&lt;COLUMNS($F$7:AM$7),"",INDEX(TableDiv[[GASB]:[GASB]],_xlfn.AGGREGATE(15,3,(TableDiv[[Agency]:[Agency]]=$E893)/(TableDiv[[Agency]:[Agency]]=$E893)*(ROW(TableDiv[Agency])-ROW(TableDiv[[#Headers],[Agency]])),COLUMNS($F$7:AM$7))))</f>
        <v/>
      </c>
      <c r="AN893" s="2223"/>
      <c r="AO893" s="2223"/>
      <c r="AP893" s="2223"/>
      <c r="AQ893" s="2223"/>
      <c r="AR893" s="2223"/>
      <c r="AS893" s="2223"/>
    </row>
    <row r="894" spans="1:45" x14ac:dyDescent="0.2">
      <c r="A894" s="2223"/>
      <c r="B894" s="2223"/>
      <c r="C894" s="2223"/>
      <c r="W894" s="2223" t="str" cm="1">
        <f t="array" ref="W894">IF($D894&lt;COLUMNS($F$7:W$7),"",INDEX(TableDiv[[GASB]:[GASB]],_xlfn.AGGREGATE(15,3,(TableDiv[[Agency]:[Agency]]=$E894)/(TableDiv[[Agency]:[Agency]]=$E894)*(ROW(TableDiv[Agency])-ROW(TableDiv[[#Headers],[Agency]])),COLUMNS($F$7:W$7))))</f>
        <v/>
      </c>
      <c r="X894" s="2223" t="str" cm="1">
        <f t="array" ref="X894">IF($D894&lt;COLUMNS($F$7:X$7),"",INDEX(TableDiv[[GASB]:[GASB]],_xlfn.AGGREGATE(15,3,(TableDiv[[Agency]:[Agency]]=$E894)/(TableDiv[[Agency]:[Agency]]=$E894)*(ROW(TableDiv[Agency])-ROW(TableDiv[[#Headers],[Agency]])),COLUMNS($F$7:X$7))))</f>
        <v/>
      </c>
      <c r="Y894" s="2223" t="str" cm="1">
        <f t="array" ref="Y894">IF($D894&lt;COLUMNS($F$7:Y$7),"",INDEX(TableDiv[[GASB]:[GASB]],_xlfn.AGGREGATE(15,3,(TableDiv[[Agency]:[Agency]]=$E894)/(TableDiv[[Agency]:[Agency]]=$E894)*(ROW(TableDiv[Agency])-ROW(TableDiv[[#Headers],[Agency]])),COLUMNS($F$7:Y$7))))</f>
        <v/>
      </c>
      <c r="Z894" s="2223" t="str" cm="1">
        <f t="array" ref="Z894">IF($D894&lt;COLUMNS($F$7:Z$7),"",INDEX(TableDiv[[GASB]:[GASB]],_xlfn.AGGREGATE(15,3,(TableDiv[[Agency]:[Agency]]=$E894)/(TableDiv[[Agency]:[Agency]]=$E894)*(ROW(TableDiv[Agency])-ROW(TableDiv[[#Headers],[Agency]])),COLUMNS($F$7:Z$7))))</f>
        <v/>
      </c>
      <c r="AA894" s="2223" t="str" cm="1">
        <f t="array" ref="AA894">IF($D894&lt;COLUMNS($F$7:AA$7),"",INDEX(TableDiv[[GASB]:[GASB]],_xlfn.AGGREGATE(15,3,(TableDiv[[Agency]:[Agency]]=$E894)/(TableDiv[[Agency]:[Agency]]=$E894)*(ROW(TableDiv[Agency])-ROW(TableDiv[[#Headers],[Agency]])),COLUMNS($F$7:AA$7))))</f>
        <v/>
      </c>
      <c r="AB894" s="2223" t="str" cm="1">
        <f t="array" ref="AB894">IF($D894&lt;COLUMNS($F$7:AB$7),"",INDEX(TableDiv[[GASB]:[GASB]],_xlfn.AGGREGATE(15,3,(TableDiv[[Agency]:[Agency]]=$E894)/(TableDiv[[Agency]:[Agency]]=$E894)*(ROW(TableDiv[Agency])-ROW(TableDiv[[#Headers],[Agency]])),COLUMNS($F$7:AB$7))))</f>
        <v/>
      </c>
      <c r="AC894" s="2223" t="str" cm="1">
        <f t="array" ref="AC894">IF($D894&lt;COLUMNS($F$7:AC$7),"",INDEX(TableDiv[[GASB]:[GASB]],_xlfn.AGGREGATE(15,3,(TableDiv[[Agency]:[Agency]]=$E894)/(TableDiv[[Agency]:[Agency]]=$E894)*(ROW(TableDiv[Agency])-ROW(TableDiv[[#Headers],[Agency]])),COLUMNS($F$7:AC$7))))</f>
        <v/>
      </c>
      <c r="AD894" s="2223" t="str" cm="1">
        <f t="array" ref="AD894">IF($D894&lt;COLUMNS($F$7:AD$7),"",INDEX(TableDiv[[GASB]:[GASB]],_xlfn.AGGREGATE(15,3,(TableDiv[[Agency]:[Agency]]=$E894)/(TableDiv[[Agency]:[Agency]]=$E894)*(ROW(TableDiv[Agency])-ROW(TableDiv[[#Headers],[Agency]])),COLUMNS($F$7:AD$7))))</f>
        <v/>
      </c>
      <c r="AE894" s="2223" t="str" cm="1">
        <f t="array" ref="AE894">IF($D894&lt;COLUMNS($F$7:AE$7),"",INDEX(TableDiv[[GASB]:[GASB]],_xlfn.AGGREGATE(15,3,(TableDiv[[Agency]:[Agency]]=$E894)/(TableDiv[[Agency]:[Agency]]=$E894)*(ROW(TableDiv[Agency])-ROW(TableDiv[[#Headers],[Agency]])),COLUMNS($F$7:AE$7))))</f>
        <v/>
      </c>
      <c r="AF894" s="2223" t="str" cm="1">
        <f t="array" ref="AF894">IF($D894&lt;COLUMNS($F$7:AF$7),"",INDEX(TableDiv[[GASB]:[GASB]],_xlfn.AGGREGATE(15,3,(TableDiv[[Agency]:[Agency]]=$E894)/(TableDiv[[Agency]:[Agency]]=$E894)*(ROW(TableDiv[Agency])-ROW(TableDiv[[#Headers],[Agency]])),COLUMNS($F$7:AF$7))))</f>
        <v/>
      </c>
      <c r="AG894" s="2223" t="str" cm="1">
        <f t="array" ref="AG894">IF($D894&lt;COLUMNS($F$7:AG$7),"",INDEX(TableDiv[[GASB]:[GASB]],_xlfn.AGGREGATE(15,3,(TableDiv[[Agency]:[Agency]]=$E894)/(TableDiv[[Agency]:[Agency]]=$E894)*(ROW(TableDiv[Agency])-ROW(TableDiv[[#Headers],[Agency]])),COLUMNS($F$7:AG$7))))</f>
        <v/>
      </c>
      <c r="AH894" s="2223" t="str" cm="1">
        <f t="array" ref="AH894">IF($D894&lt;COLUMNS($F$7:AH$7),"",INDEX(TableDiv[[GASB]:[GASB]],_xlfn.AGGREGATE(15,3,(TableDiv[[Agency]:[Agency]]=$E894)/(TableDiv[[Agency]:[Agency]]=$E894)*(ROW(TableDiv[Agency])-ROW(TableDiv[[#Headers],[Agency]])),COLUMNS($F$7:AH$7))))</f>
        <v/>
      </c>
      <c r="AI894" s="2223" t="str" cm="1">
        <f t="array" ref="AI894">IF($D894&lt;COLUMNS($F$7:AI$7),"",INDEX(TableDiv[[GASB]:[GASB]],_xlfn.AGGREGATE(15,3,(TableDiv[[Agency]:[Agency]]=$E894)/(TableDiv[[Agency]:[Agency]]=$E894)*(ROW(TableDiv[Agency])-ROW(TableDiv[[#Headers],[Agency]])),COLUMNS($F$7:AI$7))))</f>
        <v/>
      </c>
      <c r="AJ894" s="2223" t="str" cm="1">
        <f t="array" ref="AJ894">IF($D894&lt;COLUMNS($F$7:AJ$7),"",INDEX(TableDiv[[GASB]:[GASB]],_xlfn.AGGREGATE(15,3,(TableDiv[[Agency]:[Agency]]=$E894)/(TableDiv[[Agency]:[Agency]]=$E894)*(ROW(TableDiv[Agency])-ROW(TableDiv[[#Headers],[Agency]])),COLUMNS($F$7:AJ$7))))</f>
        <v/>
      </c>
      <c r="AK894" s="2223" t="str" cm="1">
        <f t="array" ref="AK894">IF($D894&lt;COLUMNS($F$7:AK$7),"",INDEX(TableDiv[[GASB]:[GASB]],_xlfn.AGGREGATE(15,3,(TableDiv[[Agency]:[Agency]]=$E894)/(TableDiv[[Agency]:[Agency]]=$E894)*(ROW(TableDiv[Agency])-ROW(TableDiv[[#Headers],[Agency]])),COLUMNS($F$7:AK$7))))</f>
        <v/>
      </c>
      <c r="AL894" s="2223" t="str" cm="1">
        <f t="array" ref="AL894">IF($D894&lt;COLUMNS($F$7:AL$7),"",INDEX(TableDiv[[GASB]:[GASB]],_xlfn.AGGREGATE(15,3,(TableDiv[[Agency]:[Agency]]=$E894)/(TableDiv[[Agency]:[Agency]]=$E894)*(ROW(TableDiv[Agency])-ROW(TableDiv[[#Headers],[Agency]])),COLUMNS($F$7:AL$7))))</f>
        <v/>
      </c>
      <c r="AM894" s="2223" t="str" cm="1">
        <f t="array" ref="AM894">IF($D894&lt;COLUMNS($F$7:AM$7),"",INDEX(TableDiv[[GASB]:[GASB]],_xlfn.AGGREGATE(15,3,(TableDiv[[Agency]:[Agency]]=$E894)/(TableDiv[[Agency]:[Agency]]=$E894)*(ROW(TableDiv[Agency])-ROW(TableDiv[[#Headers],[Agency]])),COLUMNS($F$7:AM$7))))</f>
        <v/>
      </c>
      <c r="AN894" s="2223"/>
      <c r="AO894" s="2223"/>
      <c r="AP894" s="2223"/>
      <c r="AQ894" s="2223"/>
      <c r="AR894" s="2223"/>
      <c r="AS894" s="2223"/>
    </row>
    <row r="895" spans="1:45" x14ac:dyDescent="0.2">
      <c r="A895" s="2223"/>
      <c r="B895" s="2223"/>
      <c r="C895" s="2223"/>
      <c r="W895" s="2223" t="str" cm="1">
        <f t="array" ref="W895">IF($D895&lt;COLUMNS($F$7:W$7),"",INDEX(TableDiv[[GASB]:[GASB]],_xlfn.AGGREGATE(15,3,(TableDiv[[Agency]:[Agency]]=$E895)/(TableDiv[[Agency]:[Agency]]=$E895)*(ROW(TableDiv[Agency])-ROW(TableDiv[[#Headers],[Agency]])),COLUMNS($F$7:W$7))))</f>
        <v/>
      </c>
      <c r="X895" s="2223" t="str" cm="1">
        <f t="array" ref="X895">IF($D895&lt;COLUMNS($F$7:X$7),"",INDEX(TableDiv[[GASB]:[GASB]],_xlfn.AGGREGATE(15,3,(TableDiv[[Agency]:[Agency]]=$E895)/(TableDiv[[Agency]:[Agency]]=$E895)*(ROW(TableDiv[Agency])-ROW(TableDiv[[#Headers],[Agency]])),COLUMNS($F$7:X$7))))</f>
        <v/>
      </c>
      <c r="Y895" s="2223" t="str" cm="1">
        <f t="array" ref="Y895">IF($D895&lt;COLUMNS($F$7:Y$7),"",INDEX(TableDiv[[GASB]:[GASB]],_xlfn.AGGREGATE(15,3,(TableDiv[[Agency]:[Agency]]=$E895)/(TableDiv[[Agency]:[Agency]]=$E895)*(ROW(TableDiv[Agency])-ROW(TableDiv[[#Headers],[Agency]])),COLUMNS($F$7:Y$7))))</f>
        <v/>
      </c>
      <c r="Z895" s="2223" t="str" cm="1">
        <f t="array" ref="Z895">IF($D895&lt;COLUMNS($F$7:Z$7),"",INDEX(TableDiv[[GASB]:[GASB]],_xlfn.AGGREGATE(15,3,(TableDiv[[Agency]:[Agency]]=$E895)/(TableDiv[[Agency]:[Agency]]=$E895)*(ROW(TableDiv[Agency])-ROW(TableDiv[[#Headers],[Agency]])),COLUMNS($F$7:Z$7))))</f>
        <v/>
      </c>
      <c r="AA895" s="2223" t="str" cm="1">
        <f t="array" ref="AA895">IF($D895&lt;COLUMNS($F$7:AA$7),"",INDEX(TableDiv[[GASB]:[GASB]],_xlfn.AGGREGATE(15,3,(TableDiv[[Agency]:[Agency]]=$E895)/(TableDiv[[Agency]:[Agency]]=$E895)*(ROW(TableDiv[Agency])-ROW(TableDiv[[#Headers],[Agency]])),COLUMNS($F$7:AA$7))))</f>
        <v/>
      </c>
      <c r="AB895" s="2223" t="str" cm="1">
        <f t="array" ref="AB895">IF($D895&lt;COLUMNS($F$7:AB$7),"",INDEX(TableDiv[[GASB]:[GASB]],_xlfn.AGGREGATE(15,3,(TableDiv[[Agency]:[Agency]]=$E895)/(TableDiv[[Agency]:[Agency]]=$E895)*(ROW(TableDiv[Agency])-ROW(TableDiv[[#Headers],[Agency]])),COLUMNS($F$7:AB$7))))</f>
        <v/>
      </c>
      <c r="AC895" s="2223" t="str" cm="1">
        <f t="array" ref="AC895">IF($D895&lt;COLUMNS($F$7:AC$7),"",INDEX(TableDiv[[GASB]:[GASB]],_xlfn.AGGREGATE(15,3,(TableDiv[[Agency]:[Agency]]=$E895)/(TableDiv[[Agency]:[Agency]]=$E895)*(ROW(TableDiv[Agency])-ROW(TableDiv[[#Headers],[Agency]])),COLUMNS($F$7:AC$7))))</f>
        <v/>
      </c>
      <c r="AD895" s="2223" t="str" cm="1">
        <f t="array" ref="AD895">IF($D895&lt;COLUMNS($F$7:AD$7),"",INDEX(TableDiv[[GASB]:[GASB]],_xlfn.AGGREGATE(15,3,(TableDiv[[Agency]:[Agency]]=$E895)/(TableDiv[[Agency]:[Agency]]=$E895)*(ROW(TableDiv[Agency])-ROW(TableDiv[[#Headers],[Agency]])),COLUMNS($F$7:AD$7))))</f>
        <v/>
      </c>
      <c r="AE895" s="2223" t="str" cm="1">
        <f t="array" ref="AE895">IF($D895&lt;COLUMNS($F$7:AE$7),"",INDEX(TableDiv[[GASB]:[GASB]],_xlfn.AGGREGATE(15,3,(TableDiv[[Agency]:[Agency]]=$E895)/(TableDiv[[Agency]:[Agency]]=$E895)*(ROW(TableDiv[Agency])-ROW(TableDiv[[#Headers],[Agency]])),COLUMNS($F$7:AE$7))))</f>
        <v/>
      </c>
      <c r="AF895" s="2223" t="str" cm="1">
        <f t="array" ref="AF895">IF($D895&lt;COLUMNS($F$7:AF$7),"",INDEX(TableDiv[[GASB]:[GASB]],_xlfn.AGGREGATE(15,3,(TableDiv[[Agency]:[Agency]]=$E895)/(TableDiv[[Agency]:[Agency]]=$E895)*(ROW(TableDiv[Agency])-ROW(TableDiv[[#Headers],[Agency]])),COLUMNS($F$7:AF$7))))</f>
        <v/>
      </c>
      <c r="AG895" s="2223" t="str" cm="1">
        <f t="array" ref="AG895">IF($D895&lt;COLUMNS($F$7:AG$7),"",INDEX(TableDiv[[GASB]:[GASB]],_xlfn.AGGREGATE(15,3,(TableDiv[[Agency]:[Agency]]=$E895)/(TableDiv[[Agency]:[Agency]]=$E895)*(ROW(TableDiv[Agency])-ROW(TableDiv[[#Headers],[Agency]])),COLUMNS($F$7:AG$7))))</f>
        <v/>
      </c>
      <c r="AH895" s="2223" t="str" cm="1">
        <f t="array" ref="AH895">IF($D895&lt;COLUMNS($F$7:AH$7),"",INDEX(TableDiv[[GASB]:[GASB]],_xlfn.AGGREGATE(15,3,(TableDiv[[Agency]:[Agency]]=$E895)/(TableDiv[[Agency]:[Agency]]=$E895)*(ROW(TableDiv[Agency])-ROW(TableDiv[[#Headers],[Agency]])),COLUMNS($F$7:AH$7))))</f>
        <v/>
      </c>
      <c r="AI895" s="2223" t="str" cm="1">
        <f t="array" ref="AI895">IF($D895&lt;COLUMNS($F$7:AI$7),"",INDEX(TableDiv[[GASB]:[GASB]],_xlfn.AGGREGATE(15,3,(TableDiv[[Agency]:[Agency]]=$E895)/(TableDiv[[Agency]:[Agency]]=$E895)*(ROW(TableDiv[Agency])-ROW(TableDiv[[#Headers],[Agency]])),COLUMNS($F$7:AI$7))))</f>
        <v/>
      </c>
      <c r="AJ895" s="2223" t="str" cm="1">
        <f t="array" ref="AJ895">IF($D895&lt;COLUMNS($F$7:AJ$7),"",INDEX(TableDiv[[GASB]:[GASB]],_xlfn.AGGREGATE(15,3,(TableDiv[[Agency]:[Agency]]=$E895)/(TableDiv[[Agency]:[Agency]]=$E895)*(ROW(TableDiv[Agency])-ROW(TableDiv[[#Headers],[Agency]])),COLUMNS($F$7:AJ$7))))</f>
        <v/>
      </c>
      <c r="AK895" s="2223" t="str" cm="1">
        <f t="array" ref="AK895">IF($D895&lt;COLUMNS($F$7:AK$7),"",INDEX(TableDiv[[GASB]:[GASB]],_xlfn.AGGREGATE(15,3,(TableDiv[[Agency]:[Agency]]=$E895)/(TableDiv[[Agency]:[Agency]]=$E895)*(ROW(TableDiv[Agency])-ROW(TableDiv[[#Headers],[Agency]])),COLUMNS($F$7:AK$7))))</f>
        <v/>
      </c>
      <c r="AL895" s="2223" t="str" cm="1">
        <f t="array" ref="AL895">IF($D895&lt;COLUMNS($F$7:AL$7),"",INDEX(TableDiv[[GASB]:[GASB]],_xlfn.AGGREGATE(15,3,(TableDiv[[Agency]:[Agency]]=$E895)/(TableDiv[[Agency]:[Agency]]=$E895)*(ROW(TableDiv[Agency])-ROW(TableDiv[[#Headers],[Agency]])),COLUMNS($F$7:AL$7))))</f>
        <v/>
      </c>
      <c r="AM895" s="2223" t="str" cm="1">
        <f t="array" ref="AM895">IF($D895&lt;COLUMNS($F$7:AM$7),"",INDEX(TableDiv[[GASB]:[GASB]],_xlfn.AGGREGATE(15,3,(TableDiv[[Agency]:[Agency]]=$E895)/(TableDiv[[Agency]:[Agency]]=$E895)*(ROW(TableDiv[Agency])-ROW(TableDiv[[#Headers],[Agency]])),COLUMNS($F$7:AM$7))))</f>
        <v/>
      </c>
      <c r="AN895" s="2223"/>
      <c r="AO895" s="2223"/>
      <c r="AP895" s="2223"/>
      <c r="AQ895" s="2223"/>
      <c r="AR895" s="2223"/>
      <c r="AS895" s="2223"/>
    </row>
    <row r="896" spans="1:45" x14ac:dyDescent="0.2">
      <c r="A896" s="2223"/>
      <c r="B896" s="2223"/>
      <c r="C896" s="2223"/>
      <c r="W896" s="2223" t="str" cm="1">
        <f t="array" ref="W896">IF($D896&lt;COLUMNS($F$7:W$7),"",INDEX(TableDiv[[GASB]:[GASB]],_xlfn.AGGREGATE(15,3,(TableDiv[[Agency]:[Agency]]=$E896)/(TableDiv[[Agency]:[Agency]]=$E896)*(ROW(TableDiv[Agency])-ROW(TableDiv[[#Headers],[Agency]])),COLUMNS($F$7:W$7))))</f>
        <v/>
      </c>
      <c r="X896" s="2223" t="str" cm="1">
        <f t="array" ref="X896">IF($D896&lt;COLUMNS($F$7:X$7),"",INDEX(TableDiv[[GASB]:[GASB]],_xlfn.AGGREGATE(15,3,(TableDiv[[Agency]:[Agency]]=$E896)/(TableDiv[[Agency]:[Agency]]=$E896)*(ROW(TableDiv[Agency])-ROW(TableDiv[[#Headers],[Agency]])),COLUMNS($F$7:X$7))))</f>
        <v/>
      </c>
      <c r="Y896" s="2223" t="str" cm="1">
        <f t="array" ref="Y896">IF($D896&lt;COLUMNS($F$7:Y$7),"",INDEX(TableDiv[[GASB]:[GASB]],_xlfn.AGGREGATE(15,3,(TableDiv[[Agency]:[Agency]]=$E896)/(TableDiv[[Agency]:[Agency]]=$E896)*(ROW(TableDiv[Agency])-ROW(TableDiv[[#Headers],[Agency]])),COLUMNS($F$7:Y$7))))</f>
        <v/>
      </c>
      <c r="Z896" s="2223" t="str" cm="1">
        <f t="array" ref="Z896">IF($D896&lt;COLUMNS($F$7:Z$7),"",INDEX(TableDiv[[GASB]:[GASB]],_xlfn.AGGREGATE(15,3,(TableDiv[[Agency]:[Agency]]=$E896)/(TableDiv[[Agency]:[Agency]]=$E896)*(ROW(TableDiv[Agency])-ROW(TableDiv[[#Headers],[Agency]])),COLUMNS($F$7:Z$7))))</f>
        <v/>
      </c>
      <c r="AA896" s="2223" t="str" cm="1">
        <f t="array" ref="AA896">IF($D896&lt;COLUMNS($F$7:AA$7),"",INDEX(TableDiv[[GASB]:[GASB]],_xlfn.AGGREGATE(15,3,(TableDiv[[Agency]:[Agency]]=$E896)/(TableDiv[[Agency]:[Agency]]=$E896)*(ROW(TableDiv[Agency])-ROW(TableDiv[[#Headers],[Agency]])),COLUMNS($F$7:AA$7))))</f>
        <v/>
      </c>
      <c r="AB896" s="2223" t="str" cm="1">
        <f t="array" ref="AB896">IF($D896&lt;COLUMNS($F$7:AB$7),"",INDEX(TableDiv[[GASB]:[GASB]],_xlfn.AGGREGATE(15,3,(TableDiv[[Agency]:[Agency]]=$E896)/(TableDiv[[Agency]:[Agency]]=$E896)*(ROW(TableDiv[Agency])-ROW(TableDiv[[#Headers],[Agency]])),COLUMNS($F$7:AB$7))))</f>
        <v/>
      </c>
      <c r="AC896" s="2223" t="str" cm="1">
        <f t="array" ref="AC896">IF($D896&lt;COLUMNS($F$7:AC$7),"",INDEX(TableDiv[[GASB]:[GASB]],_xlfn.AGGREGATE(15,3,(TableDiv[[Agency]:[Agency]]=$E896)/(TableDiv[[Agency]:[Agency]]=$E896)*(ROW(TableDiv[Agency])-ROW(TableDiv[[#Headers],[Agency]])),COLUMNS($F$7:AC$7))))</f>
        <v/>
      </c>
      <c r="AD896" s="2223" t="str" cm="1">
        <f t="array" ref="AD896">IF($D896&lt;COLUMNS($F$7:AD$7),"",INDEX(TableDiv[[GASB]:[GASB]],_xlfn.AGGREGATE(15,3,(TableDiv[[Agency]:[Agency]]=$E896)/(TableDiv[[Agency]:[Agency]]=$E896)*(ROW(TableDiv[Agency])-ROW(TableDiv[[#Headers],[Agency]])),COLUMNS($F$7:AD$7))))</f>
        <v/>
      </c>
      <c r="AE896" s="2223" t="str" cm="1">
        <f t="array" ref="AE896">IF($D896&lt;COLUMNS($F$7:AE$7),"",INDEX(TableDiv[[GASB]:[GASB]],_xlfn.AGGREGATE(15,3,(TableDiv[[Agency]:[Agency]]=$E896)/(TableDiv[[Agency]:[Agency]]=$E896)*(ROW(TableDiv[Agency])-ROW(TableDiv[[#Headers],[Agency]])),COLUMNS($F$7:AE$7))))</f>
        <v/>
      </c>
      <c r="AF896" s="2223" t="str" cm="1">
        <f t="array" ref="AF896">IF($D896&lt;COLUMNS($F$7:AF$7),"",INDEX(TableDiv[[GASB]:[GASB]],_xlfn.AGGREGATE(15,3,(TableDiv[[Agency]:[Agency]]=$E896)/(TableDiv[[Agency]:[Agency]]=$E896)*(ROW(TableDiv[Agency])-ROW(TableDiv[[#Headers],[Agency]])),COLUMNS($F$7:AF$7))))</f>
        <v/>
      </c>
      <c r="AG896" s="2223" t="str" cm="1">
        <f t="array" ref="AG896">IF($D896&lt;COLUMNS($F$7:AG$7),"",INDEX(TableDiv[[GASB]:[GASB]],_xlfn.AGGREGATE(15,3,(TableDiv[[Agency]:[Agency]]=$E896)/(TableDiv[[Agency]:[Agency]]=$E896)*(ROW(TableDiv[Agency])-ROW(TableDiv[[#Headers],[Agency]])),COLUMNS($F$7:AG$7))))</f>
        <v/>
      </c>
      <c r="AH896" s="2223" t="str" cm="1">
        <f t="array" ref="AH896">IF($D896&lt;COLUMNS($F$7:AH$7),"",INDEX(TableDiv[[GASB]:[GASB]],_xlfn.AGGREGATE(15,3,(TableDiv[[Agency]:[Agency]]=$E896)/(TableDiv[[Agency]:[Agency]]=$E896)*(ROW(TableDiv[Agency])-ROW(TableDiv[[#Headers],[Agency]])),COLUMNS($F$7:AH$7))))</f>
        <v/>
      </c>
      <c r="AI896" s="2223" t="str" cm="1">
        <f t="array" ref="AI896">IF($D896&lt;COLUMNS($F$7:AI$7),"",INDEX(TableDiv[[GASB]:[GASB]],_xlfn.AGGREGATE(15,3,(TableDiv[[Agency]:[Agency]]=$E896)/(TableDiv[[Agency]:[Agency]]=$E896)*(ROW(TableDiv[Agency])-ROW(TableDiv[[#Headers],[Agency]])),COLUMNS($F$7:AI$7))))</f>
        <v/>
      </c>
      <c r="AJ896" s="2223" t="str" cm="1">
        <f t="array" ref="AJ896">IF($D896&lt;COLUMNS($F$7:AJ$7),"",INDEX(TableDiv[[GASB]:[GASB]],_xlfn.AGGREGATE(15,3,(TableDiv[[Agency]:[Agency]]=$E896)/(TableDiv[[Agency]:[Agency]]=$E896)*(ROW(TableDiv[Agency])-ROW(TableDiv[[#Headers],[Agency]])),COLUMNS($F$7:AJ$7))))</f>
        <v/>
      </c>
      <c r="AK896" s="2223" t="str" cm="1">
        <f t="array" ref="AK896">IF($D896&lt;COLUMNS($F$7:AK$7),"",INDEX(TableDiv[[GASB]:[GASB]],_xlfn.AGGREGATE(15,3,(TableDiv[[Agency]:[Agency]]=$E896)/(TableDiv[[Agency]:[Agency]]=$E896)*(ROW(TableDiv[Agency])-ROW(TableDiv[[#Headers],[Agency]])),COLUMNS($F$7:AK$7))))</f>
        <v/>
      </c>
      <c r="AL896" s="2223" t="str" cm="1">
        <f t="array" ref="AL896">IF($D896&lt;COLUMNS($F$7:AL$7),"",INDEX(TableDiv[[GASB]:[GASB]],_xlfn.AGGREGATE(15,3,(TableDiv[[Agency]:[Agency]]=$E896)/(TableDiv[[Agency]:[Agency]]=$E896)*(ROW(TableDiv[Agency])-ROW(TableDiv[[#Headers],[Agency]])),COLUMNS($F$7:AL$7))))</f>
        <v/>
      </c>
      <c r="AM896" s="2223" t="str" cm="1">
        <f t="array" ref="AM896">IF($D896&lt;COLUMNS($F$7:AM$7),"",INDEX(TableDiv[[GASB]:[GASB]],_xlfn.AGGREGATE(15,3,(TableDiv[[Agency]:[Agency]]=$E896)/(TableDiv[[Agency]:[Agency]]=$E896)*(ROW(TableDiv[Agency])-ROW(TableDiv[[#Headers],[Agency]])),COLUMNS($F$7:AM$7))))</f>
        <v/>
      </c>
      <c r="AN896" s="2223"/>
      <c r="AO896" s="2223"/>
      <c r="AP896" s="2223"/>
      <c r="AQ896" s="2223"/>
      <c r="AR896" s="2223"/>
      <c r="AS896" s="2223"/>
    </row>
    <row r="897" spans="1:45" x14ac:dyDescent="0.2">
      <c r="A897" s="2223"/>
      <c r="B897" s="2223"/>
      <c r="C897" s="2223"/>
      <c r="W897" s="2223" t="str" cm="1">
        <f t="array" ref="W897">IF($D897&lt;COLUMNS($F$7:W$7),"",INDEX(TableDiv[[GASB]:[GASB]],_xlfn.AGGREGATE(15,3,(TableDiv[[Agency]:[Agency]]=$E897)/(TableDiv[[Agency]:[Agency]]=$E897)*(ROW(TableDiv[Agency])-ROW(TableDiv[[#Headers],[Agency]])),COLUMNS($F$7:W$7))))</f>
        <v/>
      </c>
      <c r="X897" s="2223" t="str" cm="1">
        <f t="array" ref="X897">IF($D897&lt;COLUMNS($F$7:X$7),"",INDEX(TableDiv[[GASB]:[GASB]],_xlfn.AGGREGATE(15,3,(TableDiv[[Agency]:[Agency]]=$E897)/(TableDiv[[Agency]:[Agency]]=$E897)*(ROW(TableDiv[Agency])-ROW(TableDiv[[#Headers],[Agency]])),COLUMNS($F$7:X$7))))</f>
        <v/>
      </c>
      <c r="Y897" s="2223" t="str" cm="1">
        <f t="array" ref="Y897">IF($D897&lt;COLUMNS($F$7:Y$7),"",INDEX(TableDiv[[GASB]:[GASB]],_xlfn.AGGREGATE(15,3,(TableDiv[[Agency]:[Agency]]=$E897)/(TableDiv[[Agency]:[Agency]]=$E897)*(ROW(TableDiv[Agency])-ROW(TableDiv[[#Headers],[Agency]])),COLUMNS($F$7:Y$7))))</f>
        <v/>
      </c>
      <c r="Z897" s="2223" t="str" cm="1">
        <f t="array" ref="Z897">IF($D897&lt;COLUMNS($F$7:Z$7),"",INDEX(TableDiv[[GASB]:[GASB]],_xlfn.AGGREGATE(15,3,(TableDiv[[Agency]:[Agency]]=$E897)/(TableDiv[[Agency]:[Agency]]=$E897)*(ROW(TableDiv[Agency])-ROW(TableDiv[[#Headers],[Agency]])),COLUMNS($F$7:Z$7))))</f>
        <v/>
      </c>
      <c r="AA897" s="2223" t="str" cm="1">
        <f t="array" ref="AA897">IF($D897&lt;COLUMNS($F$7:AA$7),"",INDEX(TableDiv[[GASB]:[GASB]],_xlfn.AGGREGATE(15,3,(TableDiv[[Agency]:[Agency]]=$E897)/(TableDiv[[Agency]:[Agency]]=$E897)*(ROW(TableDiv[Agency])-ROW(TableDiv[[#Headers],[Agency]])),COLUMNS($F$7:AA$7))))</f>
        <v/>
      </c>
      <c r="AB897" s="2223" t="str" cm="1">
        <f t="array" ref="AB897">IF($D897&lt;COLUMNS($F$7:AB$7),"",INDEX(TableDiv[[GASB]:[GASB]],_xlfn.AGGREGATE(15,3,(TableDiv[[Agency]:[Agency]]=$E897)/(TableDiv[[Agency]:[Agency]]=$E897)*(ROW(TableDiv[Agency])-ROW(TableDiv[[#Headers],[Agency]])),COLUMNS($F$7:AB$7))))</f>
        <v/>
      </c>
      <c r="AC897" s="2223" t="str" cm="1">
        <f t="array" ref="AC897">IF($D897&lt;COLUMNS($F$7:AC$7),"",INDEX(TableDiv[[GASB]:[GASB]],_xlfn.AGGREGATE(15,3,(TableDiv[[Agency]:[Agency]]=$E897)/(TableDiv[[Agency]:[Agency]]=$E897)*(ROW(TableDiv[Agency])-ROW(TableDiv[[#Headers],[Agency]])),COLUMNS($F$7:AC$7))))</f>
        <v/>
      </c>
      <c r="AD897" s="2223" t="str" cm="1">
        <f t="array" ref="AD897">IF($D897&lt;COLUMNS($F$7:AD$7),"",INDEX(TableDiv[[GASB]:[GASB]],_xlfn.AGGREGATE(15,3,(TableDiv[[Agency]:[Agency]]=$E897)/(TableDiv[[Agency]:[Agency]]=$E897)*(ROW(TableDiv[Agency])-ROW(TableDiv[[#Headers],[Agency]])),COLUMNS($F$7:AD$7))))</f>
        <v/>
      </c>
      <c r="AE897" s="2223" t="str" cm="1">
        <f t="array" ref="AE897">IF($D897&lt;COLUMNS($F$7:AE$7),"",INDEX(TableDiv[[GASB]:[GASB]],_xlfn.AGGREGATE(15,3,(TableDiv[[Agency]:[Agency]]=$E897)/(TableDiv[[Agency]:[Agency]]=$E897)*(ROW(TableDiv[Agency])-ROW(TableDiv[[#Headers],[Agency]])),COLUMNS($F$7:AE$7))))</f>
        <v/>
      </c>
      <c r="AF897" s="2223" t="str" cm="1">
        <f t="array" ref="AF897">IF($D897&lt;COLUMNS($F$7:AF$7),"",INDEX(TableDiv[[GASB]:[GASB]],_xlfn.AGGREGATE(15,3,(TableDiv[[Agency]:[Agency]]=$E897)/(TableDiv[[Agency]:[Agency]]=$E897)*(ROW(TableDiv[Agency])-ROW(TableDiv[[#Headers],[Agency]])),COLUMNS($F$7:AF$7))))</f>
        <v/>
      </c>
      <c r="AG897" s="2223" t="str" cm="1">
        <f t="array" ref="AG897">IF($D897&lt;COLUMNS($F$7:AG$7),"",INDEX(TableDiv[[GASB]:[GASB]],_xlfn.AGGREGATE(15,3,(TableDiv[[Agency]:[Agency]]=$E897)/(TableDiv[[Agency]:[Agency]]=$E897)*(ROW(TableDiv[Agency])-ROW(TableDiv[[#Headers],[Agency]])),COLUMNS($F$7:AG$7))))</f>
        <v/>
      </c>
      <c r="AH897" s="2223" t="str" cm="1">
        <f t="array" ref="AH897">IF($D897&lt;COLUMNS($F$7:AH$7),"",INDEX(TableDiv[[GASB]:[GASB]],_xlfn.AGGREGATE(15,3,(TableDiv[[Agency]:[Agency]]=$E897)/(TableDiv[[Agency]:[Agency]]=$E897)*(ROW(TableDiv[Agency])-ROW(TableDiv[[#Headers],[Agency]])),COLUMNS($F$7:AH$7))))</f>
        <v/>
      </c>
      <c r="AI897" s="2223" t="str" cm="1">
        <f t="array" ref="AI897">IF($D897&lt;COLUMNS($F$7:AI$7),"",INDEX(TableDiv[[GASB]:[GASB]],_xlfn.AGGREGATE(15,3,(TableDiv[[Agency]:[Agency]]=$E897)/(TableDiv[[Agency]:[Agency]]=$E897)*(ROW(TableDiv[Agency])-ROW(TableDiv[[#Headers],[Agency]])),COLUMNS($F$7:AI$7))))</f>
        <v/>
      </c>
      <c r="AJ897" s="2223" t="str" cm="1">
        <f t="array" ref="AJ897">IF($D897&lt;COLUMNS($F$7:AJ$7),"",INDEX(TableDiv[[GASB]:[GASB]],_xlfn.AGGREGATE(15,3,(TableDiv[[Agency]:[Agency]]=$E897)/(TableDiv[[Agency]:[Agency]]=$E897)*(ROW(TableDiv[Agency])-ROW(TableDiv[[#Headers],[Agency]])),COLUMNS($F$7:AJ$7))))</f>
        <v/>
      </c>
      <c r="AK897" s="2223" t="str" cm="1">
        <f t="array" ref="AK897">IF($D897&lt;COLUMNS($F$7:AK$7),"",INDEX(TableDiv[[GASB]:[GASB]],_xlfn.AGGREGATE(15,3,(TableDiv[[Agency]:[Agency]]=$E897)/(TableDiv[[Agency]:[Agency]]=$E897)*(ROW(TableDiv[Agency])-ROW(TableDiv[[#Headers],[Agency]])),COLUMNS($F$7:AK$7))))</f>
        <v/>
      </c>
      <c r="AL897" s="2223" t="str" cm="1">
        <f t="array" ref="AL897">IF($D897&lt;COLUMNS($F$7:AL$7),"",INDEX(TableDiv[[GASB]:[GASB]],_xlfn.AGGREGATE(15,3,(TableDiv[[Agency]:[Agency]]=$E897)/(TableDiv[[Agency]:[Agency]]=$E897)*(ROW(TableDiv[Agency])-ROW(TableDiv[[#Headers],[Agency]])),COLUMNS($F$7:AL$7))))</f>
        <v/>
      </c>
      <c r="AM897" s="2223" t="str" cm="1">
        <f t="array" ref="AM897">IF($D897&lt;COLUMNS($F$7:AM$7),"",INDEX(TableDiv[[GASB]:[GASB]],_xlfn.AGGREGATE(15,3,(TableDiv[[Agency]:[Agency]]=$E897)/(TableDiv[[Agency]:[Agency]]=$E897)*(ROW(TableDiv[Agency])-ROW(TableDiv[[#Headers],[Agency]])),COLUMNS($F$7:AM$7))))</f>
        <v/>
      </c>
      <c r="AN897" s="2223"/>
      <c r="AO897" s="2223"/>
      <c r="AP897" s="2223"/>
      <c r="AQ897" s="2223"/>
      <c r="AR897" s="2223"/>
      <c r="AS897" s="2223"/>
    </row>
    <row r="898" spans="1:45" x14ac:dyDescent="0.2">
      <c r="A898" s="2223"/>
      <c r="B898" s="2223"/>
      <c r="C898" s="2223"/>
      <c r="W898" s="2223" t="str" cm="1">
        <f t="array" ref="W898">IF($D898&lt;COLUMNS($F$7:W$7),"",INDEX(TableDiv[[GASB]:[GASB]],_xlfn.AGGREGATE(15,3,(TableDiv[[Agency]:[Agency]]=$E898)/(TableDiv[[Agency]:[Agency]]=$E898)*(ROW(TableDiv[Agency])-ROW(TableDiv[[#Headers],[Agency]])),COLUMNS($F$7:W$7))))</f>
        <v/>
      </c>
      <c r="X898" s="2223" t="str" cm="1">
        <f t="array" ref="X898">IF($D898&lt;COLUMNS($F$7:X$7),"",INDEX(TableDiv[[GASB]:[GASB]],_xlfn.AGGREGATE(15,3,(TableDiv[[Agency]:[Agency]]=$E898)/(TableDiv[[Agency]:[Agency]]=$E898)*(ROW(TableDiv[Agency])-ROW(TableDiv[[#Headers],[Agency]])),COLUMNS($F$7:X$7))))</f>
        <v/>
      </c>
      <c r="Y898" s="2223" t="str" cm="1">
        <f t="array" ref="Y898">IF($D898&lt;COLUMNS($F$7:Y$7),"",INDEX(TableDiv[[GASB]:[GASB]],_xlfn.AGGREGATE(15,3,(TableDiv[[Agency]:[Agency]]=$E898)/(TableDiv[[Agency]:[Agency]]=$E898)*(ROW(TableDiv[Agency])-ROW(TableDiv[[#Headers],[Agency]])),COLUMNS($F$7:Y$7))))</f>
        <v/>
      </c>
      <c r="Z898" s="2223" t="str" cm="1">
        <f t="array" ref="Z898">IF($D898&lt;COLUMNS($F$7:Z$7),"",INDEX(TableDiv[[GASB]:[GASB]],_xlfn.AGGREGATE(15,3,(TableDiv[[Agency]:[Agency]]=$E898)/(TableDiv[[Agency]:[Agency]]=$E898)*(ROW(TableDiv[Agency])-ROW(TableDiv[[#Headers],[Agency]])),COLUMNS($F$7:Z$7))))</f>
        <v/>
      </c>
      <c r="AA898" s="2223" t="str" cm="1">
        <f t="array" ref="AA898">IF($D898&lt;COLUMNS($F$7:AA$7),"",INDEX(TableDiv[[GASB]:[GASB]],_xlfn.AGGREGATE(15,3,(TableDiv[[Agency]:[Agency]]=$E898)/(TableDiv[[Agency]:[Agency]]=$E898)*(ROW(TableDiv[Agency])-ROW(TableDiv[[#Headers],[Agency]])),COLUMNS($F$7:AA$7))))</f>
        <v/>
      </c>
      <c r="AB898" s="2223" t="str" cm="1">
        <f t="array" ref="AB898">IF($D898&lt;COLUMNS($F$7:AB$7),"",INDEX(TableDiv[[GASB]:[GASB]],_xlfn.AGGREGATE(15,3,(TableDiv[[Agency]:[Agency]]=$E898)/(TableDiv[[Agency]:[Agency]]=$E898)*(ROW(TableDiv[Agency])-ROW(TableDiv[[#Headers],[Agency]])),COLUMNS($F$7:AB$7))))</f>
        <v/>
      </c>
      <c r="AC898" s="2223" t="str" cm="1">
        <f t="array" ref="AC898">IF($D898&lt;COLUMNS($F$7:AC$7),"",INDEX(TableDiv[[GASB]:[GASB]],_xlfn.AGGREGATE(15,3,(TableDiv[[Agency]:[Agency]]=$E898)/(TableDiv[[Agency]:[Agency]]=$E898)*(ROW(TableDiv[Agency])-ROW(TableDiv[[#Headers],[Agency]])),COLUMNS($F$7:AC$7))))</f>
        <v/>
      </c>
      <c r="AD898" s="2223" t="str" cm="1">
        <f t="array" ref="AD898">IF($D898&lt;COLUMNS($F$7:AD$7),"",INDEX(TableDiv[[GASB]:[GASB]],_xlfn.AGGREGATE(15,3,(TableDiv[[Agency]:[Agency]]=$E898)/(TableDiv[[Agency]:[Agency]]=$E898)*(ROW(TableDiv[Agency])-ROW(TableDiv[[#Headers],[Agency]])),COLUMNS($F$7:AD$7))))</f>
        <v/>
      </c>
      <c r="AE898" s="2223" t="str" cm="1">
        <f t="array" ref="AE898">IF($D898&lt;COLUMNS($F$7:AE$7),"",INDEX(TableDiv[[GASB]:[GASB]],_xlfn.AGGREGATE(15,3,(TableDiv[[Agency]:[Agency]]=$E898)/(TableDiv[[Agency]:[Agency]]=$E898)*(ROW(TableDiv[Agency])-ROW(TableDiv[[#Headers],[Agency]])),COLUMNS($F$7:AE$7))))</f>
        <v/>
      </c>
      <c r="AF898" s="2223" t="str" cm="1">
        <f t="array" ref="AF898">IF($D898&lt;COLUMNS($F$7:AF$7),"",INDEX(TableDiv[[GASB]:[GASB]],_xlfn.AGGREGATE(15,3,(TableDiv[[Agency]:[Agency]]=$E898)/(TableDiv[[Agency]:[Agency]]=$E898)*(ROW(TableDiv[Agency])-ROW(TableDiv[[#Headers],[Agency]])),COLUMNS($F$7:AF$7))))</f>
        <v/>
      </c>
      <c r="AG898" s="2223" t="str" cm="1">
        <f t="array" ref="AG898">IF($D898&lt;COLUMNS($F$7:AG$7),"",INDEX(TableDiv[[GASB]:[GASB]],_xlfn.AGGREGATE(15,3,(TableDiv[[Agency]:[Agency]]=$E898)/(TableDiv[[Agency]:[Agency]]=$E898)*(ROW(TableDiv[Agency])-ROW(TableDiv[[#Headers],[Agency]])),COLUMNS($F$7:AG$7))))</f>
        <v/>
      </c>
      <c r="AH898" s="2223" t="str" cm="1">
        <f t="array" ref="AH898">IF($D898&lt;COLUMNS($F$7:AH$7),"",INDEX(TableDiv[[GASB]:[GASB]],_xlfn.AGGREGATE(15,3,(TableDiv[[Agency]:[Agency]]=$E898)/(TableDiv[[Agency]:[Agency]]=$E898)*(ROW(TableDiv[Agency])-ROW(TableDiv[[#Headers],[Agency]])),COLUMNS($F$7:AH$7))))</f>
        <v/>
      </c>
      <c r="AI898" s="2223" t="str" cm="1">
        <f t="array" ref="AI898">IF($D898&lt;COLUMNS($F$7:AI$7),"",INDEX(TableDiv[[GASB]:[GASB]],_xlfn.AGGREGATE(15,3,(TableDiv[[Agency]:[Agency]]=$E898)/(TableDiv[[Agency]:[Agency]]=$E898)*(ROW(TableDiv[Agency])-ROW(TableDiv[[#Headers],[Agency]])),COLUMNS($F$7:AI$7))))</f>
        <v/>
      </c>
      <c r="AJ898" s="2223" t="str" cm="1">
        <f t="array" ref="AJ898">IF($D898&lt;COLUMNS($F$7:AJ$7),"",INDEX(TableDiv[[GASB]:[GASB]],_xlfn.AGGREGATE(15,3,(TableDiv[[Agency]:[Agency]]=$E898)/(TableDiv[[Agency]:[Agency]]=$E898)*(ROW(TableDiv[Agency])-ROW(TableDiv[[#Headers],[Agency]])),COLUMNS($F$7:AJ$7))))</f>
        <v/>
      </c>
      <c r="AK898" s="2223" t="str" cm="1">
        <f t="array" ref="AK898">IF($D898&lt;COLUMNS($F$7:AK$7),"",INDEX(TableDiv[[GASB]:[GASB]],_xlfn.AGGREGATE(15,3,(TableDiv[[Agency]:[Agency]]=$E898)/(TableDiv[[Agency]:[Agency]]=$E898)*(ROW(TableDiv[Agency])-ROW(TableDiv[[#Headers],[Agency]])),COLUMNS($F$7:AK$7))))</f>
        <v/>
      </c>
      <c r="AL898" s="2223" t="str" cm="1">
        <f t="array" ref="AL898">IF($D898&lt;COLUMNS($F$7:AL$7),"",INDEX(TableDiv[[GASB]:[GASB]],_xlfn.AGGREGATE(15,3,(TableDiv[[Agency]:[Agency]]=$E898)/(TableDiv[[Agency]:[Agency]]=$E898)*(ROW(TableDiv[Agency])-ROW(TableDiv[[#Headers],[Agency]])),COLUMNS($F$7:AL$7))))</f>
        <v/>
      </c>
      <c r="AM898" s="2223" t="str" cm="1">
        <f t="array" ref="AM898">IF($D898&lt;COLUMNS($F$7:AM$7),"",INDEX(TableDiv[[GASB]:[GASB]],_xlfn.AGGREGATE(15,3,(TableDiv[[Agency]:[Agency]]=$E898)/(TableDiv[[Agency]:[Agency]]=$E898)*(ROW(TableDiv[Agency])-ROW(TableDiv[[#Headers],[Agency]])),COLUMNS($F$7:AM$7))))</f>
        <v/>
      </c>
      <c r="AN898" s="2223"/>
      <c r="AO898" s="2223"/>
      <c r="AP898" s="2223"/>
      <c r="AQ898" s="2223"/>
      <c r="AR898" s="2223"/>
      <c r="AS898" s="2223"/>
    </row>
    <row r="899" spans="1:45" x14ac:dyDescent="0.2">
      <c r="A899" s="2223"/>
      <c r="B899" s="2223"/>
      <c r="C899" s="2223"/>
      <c r="W899" s="2223" t="str" cm="1">
        <f t="array" ref="W899">IF($D899&lt;COLUMNS($F$7:W$7),"",INDEX(TableDiv[[GASB]:[GASB]],_xlfn.AGGREGATE(15,3,(TableDiv[[Agency]:[Agency]]=$E899)/(TableDiv[[Agency]:[Agency]]=$E899)*(ROW(TableDiv[Agency])-ROW(TableDiv[[#Headers],[Agency]])),COLUMNS($F$7:W$7))))</f>
        <v/>
      </c>
      <c r="X899" s="2223" t="str" cm="1">
        <f t="array" ref="X899">IF($D899&lt;COLUMNS($F$7:X$7),"",INDEX(TableDiv[[GASB]:[GASB]],_xlfn.AGGREGATE(15,3,(TableDiv[[Agency]:[Agency]]=$E899)/(TableDiv[[Agency]:[Agency]]=$E899)*(ROW(TableDiv[Agency])-ROW(TableDiv[[#Headers],[Agency]])),COLUMNS($F$7:X$7))))</f>
        <v/>
      </c>
      <c r="Y899" s="2223" t="str" cm="1">
        <f t="array" ref="Y899">IF($D899&lt;COLUMNS($F$7:Y$7),"",INDEX(TableDiv[[GASB]:[GASB]],_xlfn.AGGREGATE(15,3,(TableDiv[[Agency]:[Agency]]=$E899)/(TableDiv[[Agency]:[Agency]]=$E899)*(ROW(TableDiv[Agency])-ROW(TableDiv[[#Headers],[Agency]])),COLUMNS($F$7:Y$7))))</f>
        <v/>
      </c>
      <c r="Z899" s="2223" t="str" cm="1">
        <f t="array" ref="Z899">IF($D899&lt;COLUMNS($F$7:Z$7),"",INDEX(TableDiv[[GASB]:[GASB]],_xlfn.AGGREGATE(15,3,(TableDiv[[Agency]:[Agency]]=$E899)/(TableDiv[[Agency]:[Agency]]=$E899)*(ROW(TableDiv[Agency])-ROW(TableDiv[[#Headers],[Agency]])),COLUMNS($F$7:Z$7))))</f>
        <v/>
      </c>
      <c r="AA899" s="2223" t="str" cm="1">
        <f t="array" ref="AA899">IF($D899&lt;COLUMNS($F$7:AA$7),"",INDEX(TableDiv[[GASB]:[GASB]],_xlfn.AGGREGATE(15,3,(TableDiv[[Agency]:[Agency]]=$E899)/(TableDiv[[Agency]:[Agency]]=$E899)*(ROW(TableDiv[Agency])-ROW(TableDiv[[#Headers],[Agency]])),COLUMNS($F$7:AA$7))))</f>
        <v/>
      </c>
      <c r="AB899" s="2223" t="str" cm="1">
        <f t="array" ref="AB899">IF($D899&lt;COLUMNS($F$7:AB$7),"",INDEX(TableDiv[[GASB]:[GASB]],_xlfn.AGGREGATE(15,3,(TableDiv[[Agency]:[Agency]]=$E899)/(TableDiv[[Agency]:[Agency]]=$E899)*(ROW(TableDiv[Agency])-ROW(TableDiv[[#Headers],[Agency]])),COLUMNS($F$7:AB$7))))</f>
        <v/>
      </c>
      <c r="AC899" s="2223" t="str" cm="1">
        <f t="array" ref="AC899">IF($D899&lt;COLUMNS($F$7:AC$7),"",INDEX(TableDiv[[GASB]:[GASB]],_xlfn.AGGREGATE(15,3,(TableDiv[[Agency]:[Agency]]=$E899)/(TableDiv[[Agency]:[Agency]]=$E899)*(ROW(TableDiv[Agency])-ROW(TableDiv[[#Headers],[Agency]])),COLUMNS($F$7:AC$7))))</f>
        <v/>
      </c>
      <c r="AD899" s="2223" t="str" cm="1">
        <f t="array" ref="AD899">IF($D899&lt;COLUMNS($F$7:AD$7),"",INDEX(TableDiv[[GASB]:[GASB]],_xlfn.AGGREGATE(15,3,(TableDiv[[Agency]:[Agency]]=$E899)/(TableDiv[[Agency]:[Agency]]=$E899)*(ROW(TableDiv[Agency])-ROW(TableDiv[[#Headers],[Agency]])),COLUMNS($F$7:AD$7))))</f>
        <v/>
      </c>
      <c r="AE899" s="2223" t="str" cm="1">
        <f t="array" ref="AE899">IF($D899&lt;COLUMNS($F$7:AE$7),"",INDEX(TableDiv[[GASB]:[GASB]],_xlfn.AGGREGATE(15,3,(TableDiv[[Agency]:[Agency]]=$E899)/(TableDiv[[Agency]:[Agency]]=$E899)*(ROW(TableDiv[Agency])-ROW(TableDiv[[#Headers],[Agency]])),COLUMNS($F$7:AE$7))))</f>
        <v/>
      </c>
      <c r="AF899" s="2223" t="str" cm="1">
        <f t="array" ref="AF899">IF($D899&lt;COLUMNS($F$7:AF$7),"",INDEX(TableDiv[[GASB]:[GASB]],_xlfn.AGGREGATE(15,3,(TableDiv[[Agency]:[Agency]]=$E899)/(TableDiv[[Agency]:[Agency]]=$E899)*(ROW(TableDiv[Agency])-ROW(TableDiv[[#Headers],[Agency]])),COLUMNS($F$7:AF$7))))</f>
        <v/>
      </c>
      <c r="AG899" s="2223" t="str" cm="1">
        <f t="array" ref="AG899">IF($D899&lt;COLUMNS($F$7:AG$7),"",INDEX(TableDiv[[GASB]:[GASB]],_xlfn.AGGREGATE(15,3,(TableDiv[[Agency]:[Agency]]=$E899)/(TableDiv[[Agency]:[Agency]]=$E899)*(ROW(TableDiv[Agency])-ROW(TableDiv[[#Headers],[Agency]])),COLUMNS($F$7:AG$7))))</f>
        <v/>
      </c>
      <c r="AH899" s="2223" t="str" cm="1">
        <f t="array" ref="AH899">IF($D899&lt;COLUMNS($F$7:AH$7),"",INDEX(TableDiv[[GASB]:[GASB]],_xlfn.AGGREGATE(15,3,(TableDiv[[Agency]:[Agency]]=$E899)/(TableDiv[[Agency]:[Agency]]=$E899)*(ROW(TableDiv[Agency])-ROW(TableDiv[[#Headers],[Agency]])),COLUMNS($F$7:AH$7))))</f>
        <v/>
      </c>
      <c r="AI899" s="2223" t="str" cm="1">
        <f t="array" ref="AI899">IF($D899&lt;COLUMNS($F$7:AI$7),"",INDEX(TableDiv[[GASB]:[GASB]],_xlfn.AGGREGATE(15,3,(TableDiv[[Agency]:[Agency]]=$E899)/(TableDiv[[Agency]:[Agency]]=$E899)*(ROW(TableDiv[Agency])-ROW(TableDiv[[#Headers],[Agency]])),COLUMNS($F$7:AI$7))))</f>
        <v/>
      </c>
      <c r="AJ899" s="2223" t="str" cm="1">
        <f t="array" ref="AJ899">IF($D899&lt;COLUMNS($F$7:AJ$7),"",INDEX(TableDiv[[GASB]:[GASB]],_xlfn.AGGREGATE(15,3,(TableDiv[[Agency]:[Agency]]=$E899)/(TableDiv[[Agency]:[Agency]]=$E899)*(ROW(TableDiv[Agency])-ROW(TableDiv[[#Headers],[Agency]])),COLUMNS($F$7:AJ$7))))</f>
        <v/>
      </c>
      <c r="AK899" s="2223" t="str" cm="1">
        <f t="array" ref="AK899">IF($D899&lt;COLUMNS($F$7:AK$7),"",INDEX(TableDiv[[GASB]:[GASB]],_xlfn.AGGREGATE(15,3,(TableDiv[[Agency]:[Agency]]=$E899)/(TableDiv[[Agency]:[Agency]]=$E899)*(ROW(TableDiv[Agency])-ROW(TableDiv[[#Headers],[Agency]])),COLUMNS($F$7:AK$7))))</f>
        <v/>
      </c>
      <c r="AL899" s="2223" t="str" cm="1">
        <f t="array" ref="AL899">IF($D899&lt;COLUMNS($F$7:AL$7),"",INDEX(TableDiv[[GASB]:[GASB]],_xlfn.AGGREGATE(15,3,(TableDiv[[Agency]:[Agency]]=$E899)/(TableDiv[[Agency]:[Agency]]=$E899)*(ROW(TableDiv[Agency])-ROW(TableDiv[[#Headers],[Agency]])),COLUMNS($F$7:AL$7))))</f>
        <v/>
      </c>
      <c r="AM899" s="2223" t="str" cm="1">
        <f t="array" ref="AM899">IF($D899&lt;COLUMNS($F$7:AM$7),"",INDEX(TableDiv[[GASB]:[GASB]],_xlfn.AGGREGATE(15,3,(TableDiv[[Agency]:[Agency]]=$E899)/(TableDiv[[Agency]:[Agency]]=$E899)*(ROW(TableDiv[Agency])-ROW(TableDiv[[#Headers],[Agency]])),COLUMNS($F$7:AM$7))))</f>
        <v/>
      </c>
      <c r="AN899" s="2223"/>
      <c r="AO899" s="2223"/>
      <c r="AP899" s="2223"/>
      <c r="AQ899" s="2223"/>
      <c r="AR899" s="2223"/>
      <c r="AS899" s="2223"/>
    </row>
    <row r="900" spans="1:45" x14ac:dyDescent="0.2">
      <c r="A900" s="2223"/>
      <c r="B900" s="2223"/>
      <c r="C900" s="2223"/>
      <c r="W900" s="2223" t="str" cm="1">
        <f t="array" ref="W900">IF($D900&lt;COLUMNS($F$7:W$7),"",INDEX(TableDiv[[GASB]:[GASB]],_xlfn.AGGREGATE(15,3,(TableDiv[[Agency]:[Agency]]=$E900)/(TableDiv[[Agency]:[Agency]]=$E900)*(ROW(TableDiv[Agency])-ROW(TableDiv[[#Headers],[Agency]])),COLUMNS($F$7:W$7))))</f>
        <v/>
      </c>
      <c r="X900" s="2223" t="str" cm="1">
        <f t="array" ref="X900">IF($D900&lt;COLUMNS($F$7:X$7),"",INDEX(TableDiv[[GASB]:[GASB]],_xlfn.AGGREGATE(15,3,(TableDiv[[Agency]:[Agency]]=$E900)/(TableDiv[[Agency]:[Agency]]=$E900)*(ROW(TableDiv[Agency])-ROW(TableDiv[[#Headers],[Agency]])),COLUMNS($F$7:X$7))))</f>
        <v/>
      </c>
      <c r="Y900" s="2223" t="str" cm="1">
        <f t="array" ref="Y900">IF($D900&lt;COLUMNS($F$7:Y$7),"",INDEX(TableDiv[[GASB]:[GASB]],_xlfn.AGGREGATE(15,3,(TableDiv[[Agency]:[Agency]]=$E900)/(TableDiv[[Agency]:[Agency]]=$E900)*(ROW(TableDiv[Agency])-ROW(TableDiv[[#Headers],[Agency]])),COLUMNS($F$7:Y$7))))</f>
        <v/>
      </c>
      <c r="Z900" s="2223" t="str" cm="1">
        <f t="array" ref="Z900">IF($D900&lt;COLUMNS($F$7:Z$7),"",INDEX(TableDiv[[GASB]:[GASB]],_xlfn.AGGREGATE(15,3,(TableDiv[[Agency]:[Agency]]=$E900)/(TableDiv[[Agency]:[Agency]]=$E900)*(ROW(TableDiv[Agency])-ROW(TableDiv[[#Headers],[Agency]])),COLUMNS($F$7:Z$7))))</f>
        <v/>
      </c>
      <c r="AA900" s="2223" t="str" cm="1">
        <f t="array" ref="AA900">IF($D900&lt;COLUMNS($F$7:AA$7),"",INDEX(TableDiv[[GASB]:[GASB]],_xlfn.AGGREGATE(15,3,(TableDiv[[Agency]:[Agency]]=$E900)/(TableDiv[[Agency]:[Agency]]=$E900)*(ROW(TableDiv[Agency])-ROW(TableDiv[[#Headers],[Agency]])),COLUMNS($F$7:AA$7))))</f>
        <v/>
      </c>
      <c r="AB900" s="2223" t="str" cm="1">
        <f t="array" ref="AB900">IF($D900&lt;COLUMNS($F$7:AB$7),"",INDEX(TableDiv[[GASB]:[GASB]],_xlfn.AGGREGATE(15,3,(TableDiv[[Agency]:[Agency]]=$E900)/(TableDiv[[Agency]:[Agency]]=$E900)*(ROW(TableDiv[Agency])-ROW(TableDiv[[#Headers],[Agency]])),COLUMNS($F$7:AB$7))))</f>
        <v/>
      </c>
      <c r="AC900" s="2223" t="str" cm="1">
        <f t="array" ref="AC900">IF($D900&lt;COLUMNS($F$7:AC$7),"",INDEX(TableDiv[[GASB]:[GASB]],_xlfn.AGGREGATE(15,3,(TableDiv[[Agency]:[Agency]]=$E900)/(TableDiv[[Agency]:[Agency]]=$E900)*(ROW(TableDiv[Agency])-ROW(TableDiv[[#Headers],[Agency]])),COLUMNS($F$7:AC$7))))</f>
        <v/>
      </c>
      <c r="AD900" s="2223" t="str" cm="1">
        <f t="array" ref="AD900">IF($D900&lt;COLUMNS($F$7:AD$7),"",INDEX(TableDiv[[GASB]:[GASB]],_xlfn.AGGREGATE(15,3,(TableDiv[[Agency]:[Agency]]=$E900)/(TableDiv[[Agency]:[Agency]]=$E900)*(ROW(TableDiv[Agency])-ROW(TableDiv[[#Headers],[Agency]])),COLUMNS($F$7:AD$7))))</f>
        <v/>
      </c>
      <c r="AE900" s="2223" t="str" cm="1">
        <f t="array" ref="AE900">IF($D900&lt;COLUMNS($F$7:AE$7),"",INDEX(TableDiv[[GASB]:[GASB]],_xlfn.AGGREGATE(15,3,(TableDiv[[Agency]:[Agency]]=$E900)/(TableDiv[[Agency]:[Agency]]=$E900)*(ROW(TableDiv[Agency])-ROW(TableDiv[[#Headers],[Agency]])),COLUMNS($F$7:AE$7))))</f>
        <v/>
      </c>
      <c r="AF900" s="2223" t="str" cm="1">
        <f t="array" ref="AF900">IF($D900&lt;COLUMNS($F$7:AF$7),"",INDEX(TableDiv[[GASB]:[GASB]],_xlfn.AGGREGATE(15,3,(TableDiv[[Agency]:[Agency]]=$E900)/(TableDiv[[Agency]:[Agency]]=$E900)*(ROW(TableDiv[Agency])-ROW(TableDiv[[#Headers],[Agency]])),COLUMNS($F$7:AF$7))))</f>
        <v/>
      </c>
      <c r="AG900" s="2223" t="str" cm="1">
        <f t="array" ref="AG900">IF($D900&lt;COLUMNS($F$7:AG$7),"",INDEX(TableDiv[[GASB]:[GASB]],_xlfn.AGGREGATE(15,3,(TableDiv[[Agency]:[Agency]]=$E900)/(TableDiv[[Agency]:[Agency]]=$E900)*(ROW(TableDiv[Agency])-ROW(TableDiv[[#Headers],[Agency]])),COLUMNS($F$7:AG$7))))</f>
        <v/>
      </c>
      <c r="AH900" s="2223" t="str" cm="1">
        <f t="array" ref="AH900">IF($D900&lt;COLUMNS($F$7:AH$7),"",INDEX(TableDiv[[GASB]:[GASB]],_xlfn.AGGREGATE(15,3,(TableDiv[[Agency]:[Agency]]=$E900)/(TableDiv[[Agency]:[Agency]]=$E900)*(ROW(TableDiv[Agency])-ROW(TableDiv[[#Headers],[Agency]])),COLUMNS($F$7:AH$7))))</f>
        <v/>
      </c>
      <c r="AI900" s="2223" t="str" cm="1">
        <f t="array" ref="AI900">IF($D900&lt;COLUMNS($F$7:AI$7),"",INDEX(TableDiv[[GASB]:[GASB]],_xlfn.AGGREGATE(15,3,(TableDiv[[Agency]:[Agency]]=$E900)/(TableDiv[[Agency]:[Agency]]=$E900)*(ROW(TableDiv[Agency])-ROW(TableDiv[[#Headers],[Agency]])),COLUMNS($F$7:AI$7))))</f>
        <v/>
      </c>
      <c r="AJ900" s="2223" t="str" cm="1">
        <f t="array" ref="AJ900">IF($D900&lt;COLUMNS($F$7:AJ$7),"",INDEX(TableDiv[[GASB]:[GASB]],_xlfn.AGGREGATE(15,3,(TableDiv[[Agency]:[Agency]]=$E900)/(TableDiv[[Agency]:[Agency]]=$E900)*(ROW(TableDiv[Agency])-ROW(TableDiv[[#Headers],[Agency]])),COLUMNS($F$7:AJ$7))))</f>
        <v/>
      </c>
      <c r="AK900" s="2223" t="str" cm="1">
        <f t="array" ref="AK900">IF($D900&lt;COLUMNS($F$7:AK$7),"",INDEX(TableDiv[[GASB]:[GASB]],_xlfn.AGGREGATE(15,3,(TableDiv[[Agency]:[Agency]]=$E900)/(TableDiv[[Agency]:[Agency]]=$E900)*(ROW(TableDiv[Agency])-ROW(TableDiv[[#Headers],[Agency]])),COLUMNS($F$7:AK$7))))</f>
        <v/>
      </c>
      <c r="AL900" s="2223" t="str" cm="1">
        <f t="array" ref="AL900">IF($D900&lt;COLUMNS($F$7:AL$7),"",INDEX(TableDiv[[GASB]:[GASB]],_xlfn.AGGREGATE(15,3,(TableDiv[[Agency]:[Agency]]=$E900)/(TableDiv[[Agency]:[Agency]]=$E900)*(ROW(TableDiv[Agency])-ROW(TableDiv[[#Headers],[Agency]])),COLUMNS($F$7:AL$7))))</f>
        <v/>
      </c>
      <c r="AM900" s="2223" t="str" cm="1">
        <f t="array" ref="AM900">IF($D900&lt;COLUMNS($F$7:AM$7),"",INDEX(TableDiv[[GASB]:[GASB]],_xlfn.AGGREGATE(15,3,(TableDiv[[Agency]:[Agency]]=$E900)/(TableDiv[[Agency]:[Agency]]=$E900)*(ROW(TableDiv[Agency])-ROW(TableDiv[[#Headers],[Agency]])),COLUMNS($F$7:AM$7))))</f>
        <v/>
      </c>
      <c r="AN900" s="2223"/>
      <c r="AO900" s="2223"/>
      <c r="AP900" s="2223"/>
      <c r="AQ900" s="2223"/>
      <c r="AR900" s="2223"/>
      <c r="AS900" s="2223"/>
    </row>
    <row r="901" spans="1:45" x14ac:dyDescent="0.2">
      <c r="A901" s="2223"/>
      <c r="B901" s="2223"/>
      <c r="C901" s="2223"/>
      <c r="W901" s="2223" t="str" cm="1">
        <f t="array" ref="W901">IF($D901&lt;COLUMNS($F$7:W$7),"",INDEX(TableDiv[[GASB]:[GASB]],_xlfn.AGGREGATE(15,3,(TableDiv[[Agency]:[Agency]]=$E901)/(TableDiv[[Agency]:[Agency]]=$E901)*(ROW(TableDiv[Agency])-ROW(TableDiv[[#Headers],[Agency]])),COLUMNS($F$7:W$7))))</f>
        <v/>
      </c>
      <c r="X901" s="2223" t="str" cm="1">
        <f t="array" ref="X901">IF($D901&lt;COLUMNS($F$7:X$7),"",INDEX(TableDiv[[GASB]:[GASB]],_xlfn.AGGREGATE(15,3,(TableDiv[[Agency]:[Agency]]=$E901)/(TableDiv[[Agency]:[Agency]]=$E901)*(ROW(TableDiv[Agency])-ROW(TableDiv[[#Headers],[Agency]])),COLUMNS($F$7:X$7))))</f>
        <v/>
      </c>
      <c r="Y901" s="2223" t="str" cm="1">
        <f t="array" ref="Y901">IF($D901&lt;COLUMNS($F$7:Y$7),"",INDEX(TableDiv[[GASB]:[GASB]],_xlfn.AGGREGATE(15,3,(TableDiv[[Agency]:[Agency]]=$E901)/(TableDiv[[Agency]:[Agency]]=$E901)*(ROW(TableDiv[Agency])-ROW(TableDiv[[#Headers],[Agency]])),COLUMNS($F$7:Y$7))))</f>
        <v/>
      </c>
      <c r="Z901" s="2223" t="str" cm="1">
        <f t="array" ref="Z901">IF($D901&lt;COLUMNS($F$7:Z$7),"",INDEX(TableDiv[[GASB]:[GASB]],_xlfn.AGGREGATE(15,3,(TableDiv[[Agency]:[Agency]]=$E901)/(TableDiv[[Agency]:[Agency]]=$E901)*(ROW(TableDiv[Agency])-ROW(TableDiv[[#Headers],[Agency]])),COLUMNS($F$7:Z$7))))</f>
        <v/>
      </c>
      <c r="AA901" s="2223" t="str" cm="1">
        <f t="array" ref="AA901">IF($D901&lt;COLUMNS($F$7:AA$7),"",INDEX(TableDiv[[GASB]:[GASB]],_xlfn.AGGREGATE(15,3,(TableDiv[[Agency]:[Agency]]=$E901)/(TableDiv[[Agency]:[Agency]]=$E901)*(ROW(TableDiv[Agency])-ROW(TableDiv[[#Headers],[Agency]])),COLUMNS($F$7:AA$7))))</f>
        <v/>
      </c>
      <c r="AB901" s="2223" t="str" cm="1">
        <f t="array" ref="AB901">IF($D901&lt;COLUMNS($F$7:AB$7),"",INDEX(TableDiv[[GASB]:[GASB]],_xlfn.AGGREGATE(15,3,(TableDiv[[Agency]:[Agency]]=$E901)/(TableDiv[[Agency]:[Agency]]=$E901)*(ROW(TableDiv[Agency])-ROW(TableDiv[[#Headers],[Agency]])),COLUMNS($F$7:AB$7))))</f>
        <v/>
      </c>
      <c r="AC901" s="2223" t="str" cm="1">
        <f t="array" ref="AC901">IF($D901&lt;COLUMNS($F$7:AC$7),"",INDEX(TableDiv[[GASB]:[GASB]],_xlfn.AGGREGATE(15,3,(TableDiv[[Agency]:[Agency]]=$E901)/(TableDiv[[Agency]:[Agency]]=$E901)*(ROW(TableDiv[Agency])-ROW(TableDiv[[#Headers],[Agency]])),COLUMNS($F$7:AC$7))))</f>
        <v/>
      </c>
      <c r="AD901" s="2223" t="str" cm="1">
        <f t="array" ref="AD901">IF($D901&lt;COLUMNS($F$7:AD$7),"",INDEX(TableDiv[[GASB]:[GASB]],_xlfn.AGGREGATE(15,3,(TableDiv[[Agency]:[Agency]]=$E901)/(TableDiv[[Agency]:[Agency]]=$E901)*(ROW(TableDiv[Agency])-ROW(TableDiv[[#Headers],[Agency]])),COLUMNS($F$7:AD$7))))</f>
        <v/>
      </c>
      <c r="AE901" s="2223" t="str" cm="1">
        <f t="array" ref="AE901">IF($D901&lt;COLUMNS($F$7:AE$7),"",INDEX(TableDiv[[GASB]:[GASB]],_xlfn.AGGREGATE(15,3,(TableDiv[[Agency]:[Agency]]=$E901)/(TableDiv[[Agency]:[Agency]]=$E901)*(ROW(TableDiv[Agency])-ROW(TableDiv[[#Headers],[Agency]])),COLUMNS($F$7:AE$7))))</f>
        <v/>
      </c>
      <c r="AF901" s="2223" t="str" cm="1">
        <f t="array" ref="AF901">IF($D901&lt;COLUMNS($F$7:AF$7),"",INDEX(TableDiv[[GASB]:[GASB]],_xlfn.AGGREGATE(15,3,(TableDiv[[Agency]:[Agency]]=$E901)/(TableDiv[[Agency]:[Agency]]=$E901)*(ROW(TableDiv[Agency])-ROW(TableDiv[[#Headers],[Agency]])),COLUMNS($F$7:AF$7))))</f>
        <v/>
      </c>
      <c r="AG901" s="2223" t="str" cm="1">
        <f t="array" ref="AG901">IF($D901&lt;COLUMNS($F$7:AG$7),"",INDEX(TableDiv[[GASB]:[GASB]],_xlfn.AGGREGATE(15,3,(TableDiv[[Agency]:[Agency]]=$E901)/(TableDiv[[Agency]:[Agency]]=$E901)*(ROW(TableDiv[Agency])-ROW(TableDiv[[#Headers],[Agency]])),COLUMNS($F$7:AG$7))))</f>
        <v/>
      </c>
      <c r="AH901" s="2223" t="str" cm="1">
        <f t="array" ref="AH901">IF($D901&lt;COLUMNS($F$7:AH$7),"",INDEX(TableDiv[[GASB]:[GASB]],_xlfn.AGGREGATE(15,3,(TableDiv[[Agency]:[Agency]]=$E901)/(TableDiv[[Agency]:[Agency]]=$E901)*(ROW(TableDiv[Agency])-ROW(TableDiv[[#Headers],[Agency]])),COLUMNS($F$7:AH$7))))</f>
        <v/>
      </c>
      <c r="AI901" s="2223" t="str" cm="1">
        <f t="array" ref="AI901">IF($D901&lt;COLUMNS($F$7:AI$7),"",INDEX(TableDiv[[GASB]:[GASB]],_xlfn.AGGREGATE(15,3,(TableDiv[[Agency]:[Agency]]=$E901)/(TableDiv[[Agency]:[Agency]]=$E901)*(ROW(TableDiv[Agency])-ROW(TableDiv[[#Headers],[Agency]])),COLUMNS($F$7:AI$7))))</f>
        <v/>
      </c>
      <c r="AJ901" s="2223" t="str" cm="1">
        <f t="array" ref="AJ901">IF($D901&lt;COLUMNS($F$7:AJ$7),"",INDEX(TableDiv[[GASB]:[GASB]],_xlfn.AGGREGATE(15,3,(TableDiv[[Agency]:[Agency]]=$E901)/(TableDiv[[Agency]:[Agency]]=$E901)*(ROW(TableDiv[Agency])-ROW(TableDiv[[#Headers],[Agency]])),COLUMNS($F$7:AJ$7))))</f>
        <v/>
      </c>
      <c r="AK901" s="2223" t="str" cm="1">
        <f t="array" ref="AK901">IF($D901&lt;COLUMNS($F$7:AK$7),"",INDEX(TableDiv[[GASB]:[GASB]],_xlfn.AGGREGATE(15,3,(TableDiv[[Agency]:[Agency]]=$E901)/(TableDiv[[Agency]:[Agency]]=$E901)*(ROW(TableDiv[Agency])-ROW(TableDiv[[#Headers],[Agency]])),COLUMNS($F$7:AK$7))))</f>
        <v/>
      </c>
      <c r="AL901" s="2223" t="str" cm="1">
        <f t="array" ref="AL901">IF($D901&lt;COLUMNS($F$7:AL$7),"",INDEX(TableDiv[[GASB]:[GASB]],_xlfn.AGGREGATE(15,3,(TableDiv[[Agency]:[Agency]]=$E901)/(TableDiv[[Agency]:[Agency]]=$E901)*(ROW(TableDiv[Agency])-ROW(TableDiv[[#Headers],[Agency]])),COLUMNS($F$7:AL$7))))</f>
        <v/>
      </c>
      <c r="AM901" s="2223" t="str" cm="1">
        <f t="array" ref="AM901">IF($D901&lt;COLUMNS($F$7:AM$7),"",INDEX(TableDiv[[GASB]:[GASB]],_xlfn.AGGREGATE(15,3,(TableDiv[[Agency]:[Agency]]=$E901)/(TableDiv[[Agency]:[Agency]]=$E901)*(ROW(TableDiv[Agency])-ROW(TableDiv[[#Headers],[Agency]])),COLUMNS($F$7:AM$7))))</f>
        <v/>
      </c>
      <c r="AN901" s="2223"/>
      <c r="AO901" s="2223"/>
      <c r="AP901" s="2223"/>
      <c r="AQ901" s="2223"/>
      <c r="AR901" s="2223"/>
      <c r="AS901" s="2223"/>
    </row>
    <row r="902" spans="1:45" x14ac:dyDescent="0.2">
      <c r="A902" s="2223"/>
      <c r="B902" s="2223"/>
      <c r="C902" s="2223"/>
      <c r="W902" s="2223" t="str" cm="1">
        <f t="array" ref="W902">IF($D902&lt;COLUMNS($F$7:W$7),"",INDEX(TableDiv[[GASB]:[GASB]],_xlfn.AGGREGATE(15,3,(TableDiv[[Agency]:[Agency]]=$E902)/(TableDiv[[Agency]:[Agency]]=$E902)*(ROW(TableDiv[Agency])-ROW(TableDiv[[#Headers],[Agency]])),COLUMNS($F$7:W$7))))</f>
        <v/>
      </c>
      <c r="X902" s="2223" t="str" cm="1">
        <f t="array" ref="X902">IF($D902&lt;COLUMNS($F$7:X$7),"",INDEX(TableDiv[[GASB]:[GASB]],_xlfn.AGGREGATE(15,3,(TableDiv[[Agency]:[Agency]]=$E902)/(TableDiv[[Agency]:[Agency]]=$E902)*(ROW(TableDiv[Agency])-ROW(TableDiv[[#Headers],[Agency]])),COLUMNS($F$7:X$7))))</f>
        <v/>
      </c>
      <c r="Y902" s="2223" t="str" cm="1">
        <f t="array" ref="Y902">IF($D902&lt;COLUMNS($F$7:Y$7),"",INDEX(TableDiv[[GASB]:[GASB]],_xlfn.AGGREGATE(15,3,(TableDiv[[Agency]:[Agency]]=$E902)/(TableDiv[[Agency]:[Agency]]=$E902)*(ROW(TableDiv[Agency])-ROW(TableDiv[[#Headers],[Agency]])),COLUMNS($F$7:Y$7))))</f>
        <v/>
      </c>
      <c r="Z902" s="2223" t="str" cm="1">
        <f t="array" ref="Z902">IF($D902&lt;COLUMNS($F$7:Z$7),"",INDEX(TableDiv[[GASB]:[GASB]],_xlfn.AGGREGATE(15,3,(TableDiv[[Agency]:[Agency]]=$E902)/(TableDiv[[Agency]:[Agency]]=$E902)*(ROW(TableDiv[Agency])-ROW(TableDiv[[#Headers],[Agency]])),COLUMNS($F$7:Z$7))))</f>
        <v/>
      </c>
      <c r="AA902" s="2223" t="str" cm="1">
        <f t="array" ref="AA902">IF($D902&lt;COLUMNS($F$7:AA$7),"",INDEX(TableDiv[[GASB]:[GASB]],_xlfn.AGGREGATE(15,3,(TableDiv[[Agency]:[Agency]]=$E902)/(TableDiv[[Agency]:[Agency]]=$E902)*(ROW(TableDiv[Agency])-ROW(TableDiv[[#Headers],[Agency]])),COLUMNS($F$7:AA$7))))</f>
        <v/>
      </c>
      <c r="AB902" s="2223" t="str" cm="1">
        <f t="array" ref="AB902">IF($D902&lt;COLUMNS($F$7:AB$7),"",INDEX(TableDiv[[GASB]:[GASB]],_xlfn.AGGREGATE(15,3,(TableDiv[[Agency]:[Agency]]=$E902)/(TableDiv[[Agency]:[Agency]]=$E902)*(ROW(TableDiv[Agency])-ROW(TableDiv[[#Headers],[Agency]])),COLUMNS($F$7:AB$7))))</f>
        <v/>
      </c>
      <c r="AC902" s="2223" t="str" cm="1">
        <f t="array" ref="AC902">IF($D902&lt;COLUMNS($F$7:AC$7),"",INDEX(TableDiv[[GASB]:[GASB]],_xlfn.AGGREGATE(15,3,(TableDiv[[Agency]:[Agency]]=$E902)/(TableDiv[[Agency]:[Agency]]=$E902)*(ROW(TableDiv[Agency])-ROW(TableDiv[[#Headers],[Agency]])),COLUMNS($F$7:AC$7))))</f>
        <v/>
      </c>
      <c r="AD902" s="2223" t="str" cm="1">
        <f t="array" ref="AD902">IF($D902&lt;COLUMNS($F$7:AD$7),"",INDEX(TableDiv[[GASB]:[GASB]],_xlfn.AGGREGATE(15,3,(TableDiv[[Agency]:[Agency]]=$E902)/(TableDiv[[Agency]:[Agency]]=$E902)*(ROW(TableDiv[Agency])-ROW(TableDiv[[#Headers],[Agency]])),COLUMNS($F$7:AD$7))))</f>
        <v/>
      </c>
      <c r="AE902" s="2223" t="str" cm="1">
        <f t="array" ref="AE902">IF($D902&lt;COLUMNS($F$7:AE$7),"",INDEX(TableDiv[[GASB]:[GASB]],_xlfn.AGGREGATE(15,3,(TableDiv[[Agency]:[Agency]]=$E902)/(TableDiv[[Agency]:[Agency]]=$E902)*(ROW(TableDiv[Agency])-ROW(TableDiv[[#Headers],[Agency]])),COLUMNS($F$7:AE$7))))</f>
        <v/>
      </c>
      <c r="AF902" s="2223" t="str" cm="1">
        <f t="array" ref="AF902">IF($D902&lt;COLUMNS($F$7:AF$7),"",INDEX(TableDiv[[GASB]:[GASB]],_xlfn.AGGREGATE(15,3,(TableDiv[[Agency]:[Agency]]=$E902)/(TableDiv[[Agency]:[Agency]]=$E902)*(ROW(TableDiv[Agency])-ROW(TableDiv[[#Headers],[Agency]])),COLUMNS($F$7:AF$7))))</f>
        <v/>
      </c>
      <c r="AG902" s="2223" t="str" cm="1">
        <f t="array" ref="AG902">IF($D902&lt;COLUMNS($F$7:AG$7),"",INDEX(TableDiv[[GASB]:[GASB]],_xlfn.AGGREGATE(15,3,(TableDiv[[Agency]:[Agency]]=$E902)/(TableDiv[[Agency]:[Agency]]=$E902)*(ROW(TableDiv[Agency])-ROW(TableDiv[[#Headers],[Agency]])),COLUMNS($F$7:AG$7))))</f>
        <v/>
      </c>
      <c r="AH902" s="2223" t="str" cm="1">
        <f t="array" ref="AH902">IF($D902&lt;COLUMNS($F$7:AH$7),"",INDEX(TableDiv[[GASB]:[GASB]],_xlfn.AGGREGATE(15,3,(TableDiv[[Agency]:[Agency]]=$E902)/(TableDiv[[Agency]:[Agency]]=$E902)*(ROW(TableDiv[Agency])-ROW(TableDiv[[#Headers],[Agency]])),COLUMNS($F$7:AH$7))))</f>
        <v/>
      </c>
      <c r="AI902" s="2223" t="str" cm="1">
        <f t="array" ref="AI902">IF($D902&lt;COLUMNS($F$7:AI$7),"",INDEX(TableDiv[[GASB]:[GASB]],_xlfn.AGGREGATE(15,3,(TableDiv[[Agency]:[Agency]]=$E902)/(TableDiv[[Agency]:[Agency]]=$E902)*(ROW(TableDiv[Agency])-ROW(TableDiv[[#Headers],[Agency]])),COLUMNS($F$7:AI$7))))</f>
        <v/>
      </c>
      <c r="AJ902" s="2223" t="str" cm="1">
        <f t="array" ref="AJ902">IF($D902&lt;COLUMNS($F$7:AJ$7),"",INDEX(TableDiv[[GASB]:[GASB]],_xlfn.AGGREGATE(15,3,(TableDiv[[Agency]:[Agency]]=$E902)/(TableDiv[[Agency]:[Agency]]=$E902)*(ROW(TableDiv[Agency])-ROW(TableDiv[[#Headers],[Agency]])),COLUMNS($F$7:AJ$7))))</f>
        <v/>
      </c>
      <c r="AK902" s="2223" t="str" cm="1">
        <f t="array" ref="AK902">IF($D902&lt;COLUMNS($F$7:AK$7),"",INDEX(TableDiv[[GASB]:[GASB]],_xlfn.AGGREGATE(15,3,(TableDiv[[Agency]:[Agency]]=$E902)/(TableDiv[[Agency]:[Agency]]=$E902)*(ROW(TableDiv[Agency])-ROW(TableDiv[[#Headers],[Agency]])),COLUMNS($F$7:AK$7))))</f>
        <v/>
      </c>
      <c r="AL902" s="2223" t="str" cm="1">
        <f t="array" ref="AL902">IF($D902&lt;COLUMNS($F$7:AL$7),"",INDEX(TableDiv[[GASB]:[GASB]],_xlfn.AGGREGATE(15,3,(TableDiv[[Agency]:[Agency]]=$E902)/(TableDiv[[Agency]:[Agency]]=$E902)*(ROW(TableDiv[Agency])-ROW(TableDiv[[#Headers],[Agency]])),COLUMNS($F$7:AL$7))))</f>
        <v/>
      </c>
      <c r="AM902" s="2223" t="str" cm="1">
        <f t="array" ref="AM902">IF($D902&lt;COLUMNS($F$7:AM$7),"",INDEX(TableDiv[[GASB]:[GASB]],_xlfn.AGGREGATE(15,3,(TableDiv[[Agency]:[Agency]]=$E902)/(TableDiv[[Agency]:[Agency]]=$E902)*(ROW(TableDiv[Agency])-ROW(TableDiv[[#Headers],[Agency]])),COLUMNS($F$7:AM$7))))</f>
        <v/>
      </c>
      <c r="AN902" s="2223"/>
      <c r="AO902" s="2223"/>
      <c r="AP902" s="2223"/>
      <c r="AQ902" s="2223"/>
      <c r="AR902" s="2223"/>
      <c r="AS902" s="2223"/>
    </row>
    <row r="903" spans="1:45" x14ac:dyDescent="0.2">
      <c r="A903" s="2223"/>
      <c r="B903" s="2223"/>
      <c r="C903" s="2223"/>
      <c r="W903" s="2223" t="str" cm="1">
        <f t="array" ref="W903">IF($D903&lt;COLUMNS($F$7:W$7),"",INDEX(TableDiv[[GASB]:[GASB]],_xlfn.AGGREGATE(15,3,(TableDiv[[Agency]:[Agency]]=$E903)/(TableDiv[[Agency]:[Agency]]=$E903)*(ROW(TableDiv[Agency])-ROW(TableDiv[[#Headers],[Agency]])),COLUMNS($F$7:W$7))))</f>
        <v/>
      </c>
      <c r="X903" s="2223" t="str" cm="1">
        <f t="array" ref="X903">IF($D903&lt;COLUMNS($F$7:X$7),"",INDEX(TableDiv[[GASB]:[GASB]],_xlfn.AGGREGATE(15,3,(TableDiv[[Agency]:[Agency]]=$E903)/(TableDiv[[Agency]:[Agency]]=$E903)*(ROW(TableDiv[Agency])-ROW(TableDiv[[#Headers],[Agency]])),COLUMNS($F$7:X$7))))</f>
        <v/>
      </c>
      <c r="Y903" s="2223" t="str" cm="1">
        <f t="array" ref="Y903">IF($D903&lt;COLUMNS($F$7:Y$7),"",INDEX(TableDiv[[GASB]:[GASB]],_xlfn.AGGREGATE(15,3,(TableDiv[[Agency]:[Agency]]=$E903)/(TableDiv[[Agency]:[Agency]]=$E903)*(ROW(TableDiv[Agency])-ROW(TableDiv[[#Headers],[Agency]])),COLUMNS($F$7:Y$7))))</f>
        <v/>
      </c>
      <c r="Z903" s="2223" t="str" cm="1">
        <f t="array" ref="Z903">IF($D903&lt;COLUMNS($F$7:Z$7),"",INDEX(TableDiv[[GASB]:[GASB]],_xlfn.AGGREGATE(15,3,(TableDiv[[Agency]:[Agency]]=$E903)/(TableDiv[[Agency]:[Agency]]=$E903)*(ROW(TableDiv[Agency])-ROW(TableDiv[[#Headers],[Agency]])),COLUMNS($F$7:Z$7))))</f>
        <v/>
      </c>
      <c r="AA903" s="2223" t="str" cm="1">
        <f t="array" ref="AA903">IF($D903&lt;COLUMNS($F$7:AA$7),"",INDEX(TableDiv[[GASB]:[GASB]],_xlfn.AGGREGATE(15,3,(TableDiv[[Agency]:[Agency]]=$E903)/(TableDiv[[Agency]:[Agency]]=$E903)*(ROW(TableDiv[Agency])-ROW(TableDiv[[#Headers],[Agency]])),COLUMNS($F$7:AA$7))))</f>
        <v/>
      </c>
      <c r="AB903" s="2223" t="str" cm="1">
        <f t="array" ref="AB903">IF($D903&lt;COLUMNS($F$7:AB$7),"",INDEX(TableDiv[[GASB]:[GASB]],_xlfn.AGGREGATE(15,3,(TableDiv[[Agency]:[Agency]]=$E903)/(TableDiv[[Agency]:[Agency]]=$E903)*(ROW(TableDiv[Agency])-ROW(TableDiv[[#Headers],[Agency]])),COLUMNS($F$7:AB$7))))</f>
        <v/>
      </c>
      <c r="AC903" s="2223" t="str" cm="1">
        <f t="array" ref="AC903">IF($D903&lt;COLUMNS($F$7:AC$7),"",INDEX(TableDiv[[GASB]:[GASB]],_xlfn.AGGREGATE(15,3,(TableDiv[[Agency]:[Agency]]=$E903)/(TableDiv[[Agency]:[Agency]]=$E903)*(ROW(TableDiv[Agency])-ROW(TableDiv[[#Headers],[Agency]])),COLUMNS($F$7:AC$7))))</f>
        <v/>
      </c>
      <c r="AD903" s="2223" t="str" cm="1">
        <f t="array" ref="AD903">IF($D903&lt;COLUMNS($F$7:AD$7),"",INDEX(TableDiv[[GASB]:[GASB]],_xlfn.AGGREGATE(15,3,(TableDiv[[Agency]:[Agency]]=$E903)/(TableDiv[[Agency]:[Agency]]=$E903)*(ROW(TableDiv[Agency])-ROW(TableDiv[[#Headers],[Agency]])),COLUMNS($F$7:AD$7))))</f>
        <v/>
      </c>
      <c r="AE903" s="2223" t="str" cm="1">
        <f t="array" ref="AE903">IF($D903&lt;COLUMNS($F$7:AE$7),"",INDEX(TableDiv[[GASB]:[GASB]],_xlfn.AGGREGATE(15,3,(TableDiv[[Agency]:[Agency]]=$E903)/(TableDiv[[Agency]:[Agency]]=$E903)*(ROW(TableDiv[Agency])-ROW(TableDiv[[#Headers],[Agency]])),COLUMNS($F$7:AE$7))))</f>
        <v/>
      </c>
      <c r="AF903" s="2223" t="str" cm="1">
        <f t="array" ref="AF903">IF($D903&lt;COLUMNS($F$7:AF$7),"",INDEX(TableDiv[[GASB]:[GASB]],_xlfn.AGGREGATE(15,3,(TableDiv[[Agency]:[Agency]]=$E903)/(TableDiv[[Agency]:[Agency]]=$E903)*(ROW(TableDiv[Agency])-ROW(TableDiv[[#Headers],[Agency]])),COLUMNS($F$7:AF$7))))</f>
        <v/>
      </c>
      <c r="AG903" s="2223" t="str" cm="1">
        <f t="array" ref="AG903">IF($D903&lt;COLUMNS($F$7:AG$7),"",INDEX(TableDiv[[GASB]:[GASB]],_xlfn.AGGREGATE(15,3,(TableDiv[[Agency]:[Agency]]=$E903)/(TableDiv[[Agency]:[Agency]]=$E903)*(ROW(TableDiv[Agency])-ROW(TableDiv[[#Headers],[Agency]])),COLUMNS($F$7:AG$7))))</f>
        <v/>
      </c>
      <c r="AH903" s="2223" t="str" cm="1">
        <f t="array" ref="AH903">IF($D903&lt;COLUMNS($F$7:AH$7),"",INDEX(TableDiv[[GASB]:[GASB]],_xlfn.AGGREGATE(15,3,(TableDiv[[Agency]:[Agency]]=$E903)/(TableDiv[[Agency]:[Agency]]=$E903)*(ROW(TableDiv[Agency])-ROW(TableDiv[[#Headers],[Agency]])),COLUMNS($F$7:AH$7))))</f>
        <v/>
      </c>
      <c r="AI903" s="2223" t="str" cm="1">
        <f t="array" ref="AI903">IF($D903&lt;COLUMNS($F$7:AI$7),"",INDEX(TableDiv[[GASB]:[GASB]],_xlfn.AGGREGATE(15,3,(TableDiv[[Agency]:[Agency]]=$E903)/(TableDiv[[Agency]:[Agency]]=$E903)*(ROW(TableDiv[Agency])-ROW(TableDiv[[#Headers],[Agency]])),COLUMNS($F$7:AI$7))))</f>
        <v/>
      </c>
      <c r="AJ903" s="2223" t="str" cm="1">
        <f t="array" ref="AJ903">IF($D903&lt;COLUMNS($F$7:AJ$7),"",INDEX(TableDiv[[GASB]:[GASB]],_xlfn.AGGREGATE(15,3,(TableDiv[[Agency]:[Agency]]=$E903)/(TableDiv[[Agency]:[Agency]]=$E903)*(ROW(TableDiv[Agency])-ROW(TableDiv[[#Headers],[Agency]])),COLUMNS($F$7:AJ$7))))</f>
        <v/>
      </c>
      <c r="AK903" s="2223" t="str" cm="1">
        <f t="array" ref="AK903">IF($D903&lt;COLUMNS($F$7:AK$7),"",INDEX(TableDiv[[GASB]:[GASB]],_xlfn.AGGREGATE(15,3,(TableDiv[[Agency]:[Agency]]=$E903)/(TableDiv[[Agency]:[Agency]]=$E903)*(ROW(TableDiv[Agency])-ROW(TableDiv[[#Headers],[Agency]])),COLUMNS($F$7:AK$7))))</f>
        <v/>
      </c>
      <c r="AL903" s="2223" t="str" cm="1">
        <f t="array" ref="AL903">IF($D903&lt;COLUMNS($F$7:AL$7),"",INDEX(TableDiv[[GASB]:[GASB]],_xlfn.AGGREGATE(15,3,(TableDiv[[Agency]:[Agency]]=$E903)/(TableDiv[[Agency]:[Agency]]=$E903)*(ROW(TableDiv[Agency])-ROW(TableDiv[[#Headers],[Agency]])),COLUMNS($F$7:AL$7))))</f>
        <v/>
      </c>
      <c r="AM903" s="2223" t="str" cm="1">
        <f t="array" ref="AM903">IF($D903&lt;COLUMNS($F$7:AM$7),"",INDEX(TableDiv[[GASB]:[GASB]],_xlfn.AGGREGATE(15,3,(TableDiv[[Agency]:[Agency]]=$E903)/(TableDiv[[Agency]:[Agency]]=$E903)*(ROW(TableDiv[Agency])-ROW(TableDiv[[#Headers],[Agency]])),COLUMNS($F$7:AM$7))))</f>
        <v/>
      </c>
      <c r="AN903" s="2223"/>
      <c r="AO903" s="2223"/>
      <c r="AP903" s="2223"/>
      <c r="AQ903" s="2223"/>
      <c r="AR903" s="2223"/>
      <c r="AS903" s="2223"/>
    </row>
    <row r="904" spans="1:45" x14ac:dyDescent="0.2">
      <c r="A904" s="2223"/>
      <c r="B904" s="2223"/>
      <c r="C904" s="2223"/>
      <c r="W904" s="2223" t="str" cm="1">
        <f t="array" ref="W904">IF($D904&lt;COLUMNS($F$7:W$7),"",INDEX(TableDiv[[GASB]:[GASB]],_xlfn.AGGREGATE(15,3,(TableDiv[[Agency]:[Agency]]=$E904)/(TableDiv[[Agency]:[Agency]]=$E904)*(ROW(TableDiv[Agency])-ROW(TableDiv[[#Headers],[Agency]])),COLUMNS($F$7:W$7))))</f>
        <v/>
      </c>
      <c r="X904" s="2223" t="str" cm="1">
        <f t="array" ref="X904">IF($D904&lt;COLUMNS($F$7:X$7),"",INDEX(TableDiv[[GASB]:[GASB]],_xlfn.AGGREGATE(15,3,(TableDiv[[Agency]:[Agency]]=$E904)/(TableDiv[[Agency]:[Agency]]=$E904)*(ROW(TableDiv[Agency])-ROW(TableDiv[[#Headers],[Agency]])),COLUMNS($F$7:X$7))))</f>
        <v/>
      </c>
      <c r="Y904" s="2223" t="str" cm="1">
        <f t="array" ref="Y904">IF($D904&lt;COLUMNS($F$7:Y$7),"",INDEX(TableDiv[[GASB]:[GASB]],_xlfn.AGGREGATE(15,3,(TableDiv[[Agency]:[Agency]]=$E904)/(TableDiv[[Agency]:[Agency]]=$E904)*(ROW(TableDiv[Agency])-ROW(TableDiv[[#Headers],[Agency]])),COLUMNS($F$7:Y$7))))</f>
        <v/>
      </c>
      <c r="Z904" s="2223" t="str" cm="1">
        <f t="array" ref="Z904">IF($D904&lt;COLUMNS($F$7:Z$7),"",INDEX(TableDiv[[GASB]:[GASB]],_xlfn.AGGREGATE(15,3,(TableDiv[[Agency]:[Agency]]=$E904)/(TableDiv[[Agency]:[Agency]]=$E904)*(ROW(TableDiv[Agency])-ROW(TableDiv[[#Headers],[Agency]])),COLUMNS($F$7:Z$7))))</f>
        <v/>
      </c>
      <c r="AA904" s="2223" t="str" cm="1">
        <f t="array" ref="AA904">IF($D904&lt;COLUMNS($F$7:AA$7),"",INDEX(TableDiv[[GASB]:[GASB]],_xlfn.AGGREGATE(15,3,(TableDiv[[Agency]:[Agency]]=$E904)/(TableDiv[[Agency]:[Agency]]=$E904)*(ROW(TableDiv[Agency])-ROW(TableDiv[[#Headers],[Agency]])),COLUMNS($F$7:AA$7))))</f>
        <v/>
      </c>
      <c r="AB904" s="2223" t="str" cm="1">
        <f t="array" ref="AB904">IF($D904&lt;COLUMNS($F$7:AB$7),"",INDEX(TableDiv[[GASB]:[GASB]],_xlfn.AGGREGATE(15,3,(TableDiv[[Agency]:[Agency]]=$E904)/(TableDiv[[Agency]:[Agency]]=$E904)*(ROW(TableDiv[Agency])-ROW(TableDiv[[#Headers],[Agency]])),COLUMNS($F$7:AB$7))))</f>
        <v/>
      </c>
      <c r="AC904" s="2223" t="str" cm="1">
        <f t="array" ref="AC904">IF($D904&lt;COLUMNS($F$7:AC$7),"",INDEX(TableDiv[[GASB]:[GASB]],_xlfn.AGGREGATE(15,3,(TableDiv[[Agency]:[Agency]]=$E904)/(TableDiv[[Agency]:[Agency]]=$E904)*(ROW(TableDiv[Agency])-ROW(TableDiv[[#Headers],[Agency]])),COLUMNS($F$7:AC$7))))</f>
        <v/>
      </c>
      <c r="AD904" s="2223" t="str" cm="1">
        <f t="array" ref="AD904">IF($D904&lt;COLUMNS($F$7:AD$7),"",INDEX(TableDiv[[GASB]:[GASB]],_xlfn.AGGREGATE(15,3,(TableDiv[[Agency]:[Agency]]=$E904)/(TableDiv[[Agency]:[Agency]]=$E904)*(ROW(TableDiv[Agency])-ROW(TableDiv[[#Headers],[Agency]])),COLUMNS($F$7:AD$7))))</f>
        <v/>
      </c>
      <c r="AE904" s="2223" t="str" cm="1">
        <f t="array" ref="AE904">IF($D904&lt;COLUMNS($F$7:AE$7),"",INDEX(TableDiv[[GASB]:[GASB]],_xlfn.AGGREGATE(15,3,(TableDiv[[Agency]:[Agency]]=$E904)/(TableDiv[[Agency]:[Agency]]=$E904)*(ROW(TableDiv[Agency])-ROW(TableDiv[[#Headers],[Agency]])),COLUMNS($F$7:AE$7))))</f>
        <v/>
      </c>
      <c r="AF904" s="2223" t="str" cm="1">
        <f t="array" ref="AF904">IF($D904&lt;COLUMNS($F$7:AF$7),"",INDEX(TableDiv[[GASB]:[GASB]],_xlfn.AGGREGATE(15,3,(TableDiv[[Agency]:[Agency]]=$E904)/(TableDiv[[Agency]:[Agency]]=$E904)*(ROW(TableDiv[Agency])-ROW(TableDiv[[#Headers],[Agency]])),COLUMNS($F$7:AF$7))))</f>
        <v/>
      </c>
      <c r="AG904" s="2223" t="str" cm="1">
        <f t="array" ref="AG904">IF($D904&lt;COLUMNS($F$7:AG$7),"",INDEX(TableDiv[[GASB]:[GASB]],_xlfn.AGGREGATE(15,3,(TableDiv[[Agency]:[Agency]]=$E904)/(TableDiv[[Agency]:[Agency]]=$E904)*(ROW(TableDiv[Agency])-ROW(TableDiv[[#Headers],[Agency]])),COLUMNS($F$7:AG$7))))</f>
        <v/>
      </c>
      <c r="AH904" s="2223" t="str" cm="1">
        <f t="array" ref="AH904">IF($D904&lt;COLUMNS($F$7:AH$7),"",INDEX(TableDiv[[GASB]:[GASB]],_xlfn.AGGREGATE(15,3,(TableDiv[[Agency]:[Agency]]=$E904)/(TableDiv[[Agency]:[Agency]]=$E904)*(ROW(TableDiv[Agency])-ROW(TableDiv[[#Headers],[Agency]])),COLUMNS($F$7:AH$7))))</f>
        <v/>
      </c>
      <c r="AI904" s="2223" t="str" cm="1">
        <f t="array" ref="AI904">IF($D904&lt;COLUMNS($F$7:AI$7),"",INDEX(TableDiv[[GASB]:[GASB]],_xlfn.AGGREGATE(15,3,(TableDiv[[Agency]:[Agency]]=$E904)/(TableDiv[[Agency]:[Agency]]=$E904)*(ROW(TableDiv[Agency])-ROW(TableDiv[[#Headers],[Agency]])),COLUMNS($F$7:AI$7))))</f>
        <v/>
      </c>
      <c r="AJ904" s="2223" t="str" cm="1">
        <f t="array" ref="AJ904">IF($D904&lt;COLUMNS($F$7:AJ$7),"",INDEX(TableDiv[[GASB]:[GASB]],_xlfn.AGGREGATE(15,3,(TableDiv[[Agency]:[Agency]]=$E904)/(TableDiv[[Agency]:[Agency]]=$E904)*(ROW(TableDiv[Agency])-ROW(TableDiv[[#Headers],[Agency]])),COLUMNS($F$7:AJ$7))))</f>
        <v/>
      </c>
      <c r="AK904" s="2223" t="str" cm="1">
        <f t="array" ref="AK904">IF($D904&lt;COLUMNS($F$7:AK$7),"",INDEX(TableDiv[[GASB]:[GASB]],_xlfn.AGGREGATE(15,3,(TableDiv[[Agency]:[Agency]]=$E904)/(TableDiv[[Agency]:[Agency]]=$E904)*(ROW(TableDiv[Agency])-ROW(TableDiv[[#Headers],[Agency]])),COLUMNS($F$7:AK$7))))</f>
        <v/>
      </c>
      <c r="AL904" s="2223" t="str" cm="1">
        <f t="array" ref="AL904">IF($D904&lt;COLUMNS($F$7:AL$7),"",INDEX(TableDiv[[GASB]:[GASB]],_xlfn.AGGREGATE(15,3,(TableDiv[[Agency]:[Agency]]=$E904)/(TableDiv[[Agency]:[Agency]]=$E904)*(ROW(TableDiv[Agency])-ROW(TableDiv[[#Headers],[Agency]])),COLUMNS($F$7:AL$7))))</f>
        <v/>
      </c>
      <c r="AM904" s="2223" t="str" cm="1">
        <f t="array" ref="AM904">IF($D904&lt;COLUMNS($F$7:AM$7),"",INDEX(TableDiv[[GASB]:[GASB]],_xlfn.AGGREGATE(15,3,(TableDiv[[Agency]:[Agency]]=$E904)/(TableDiv[[Agency]:[Agency]]=$E904)*(ROW(TableDiv[Agency])-ROW(TableDiv[[#Headers],[Agency]])),COLUMNS($F$7:AM$7))))</f>
        <v/>
      </c>
      <c r="AN904" s="2223"/>
      <c r="AO904" s="2223"/>
      <c r="AP904" s="2223"/>
      <c r="AQ904" s="2223"/>
      <c r="AR904" s="2223"/>
      <c r="AS904" s="2223"/>
    </row>
    <row r="905" spans="1:45" x14ac:dyDescent="0.2">
      <c r="A905" s="2223"/>
      <c r="B905" s="2223"/>
      <c r="C905" s="2223"/>
      <c r="W905" s="2223" t="str" cm="1">
        <f t="array" ref="W905">IF($D905&lt;COLUMNS($F$7:W$7),"",INDEX(TableDiv[[GASB]:[GASB]],_xlfn.AGGREGATE(15,3,(TableDiv[[Agency]:[Agency]]=$E905)/(TableDiv[[Agency]:[Agency]]=$E905)*(ROW(TableDiv[Agency])-ROW(TableDiv[[#Headers],[Agency]])),COLUMNS($F$7:W$7))))</f>
        <v/>
      </c>
      <c r="X905" s="2223" t="str" cm="1">
        <f t="array" ref="X905">IF($D905&lt;COLUMNS($F$7:X$7),"",INDEX(TableDiv[[GASB]:[GASB]],_xlfn.AGGREGATE(15,3,(TableDiv[[Agency]:[Agency]]=$E905)/(TableDiv[[Agency]:[Agency]]=$E905)*(ROW(TableDiv[Agency])-ROW(TableDiv[[#Headers],[Agency]])),COLUMNS($F$7:X$7))))</f>
        <v/>
      </c>
      <c r="Y905" s="2223" t="str" cm="1">
        <f t="array" ref="Y905">IF($D905&lt;COLUMNS($F$7:Y$7),"",INDEX(TableDiv[[GASB]:[GASB]],_xlfn.AGGREGATE(15,3,(TableDiv[[Agency]:[Agency]]=$E905)/(TableDiv[[Agency]:[Agency]]=$E905)*(ROW(TableDiv[Agency])-ROW(TableDiv[[#Headers],[Agency]])),COLUMNS($F$7:Y$7))))</f>
        <v/>
      </c>
      <c r="Z905" s="2223" t="str" cm="1">
        <f t="array" ref="Z905">IF($D905&lt;COLUMNS($F$7:Z$7),"",INDEX(TableDiv[[GASB]:[GASB]],_xlfn.AGGREGATE(15,3,(TableDiv[[Agency]:[Agency]]=$E905)/(TableDiv[[Agency]:[Agency]]=$E905)*(ROW(TableDiv[Agency])-ROW(TableDiv[[#Headers],[Agency]])),COLUMNS($F$7:Z$7))))</f>
        <v/>
      </c>
      <c r="AA905" s="2223" t="str" cm="1">
        <f t="array" ref="AA905">IF($D905&lt;COLUMNS($F$7:AA$7),"",INDEX(TableDiv[[GASB]:[GASB]],_xlfn.AGGREGATE(15,3,(TableDiv[[Agency]:[Agency]]=$E905)/(TableDiv[[Agency]:[Agency]]=$E905)*(ROW(TableDiv[Agency])-ROW(TableDiv[[#Headers],[Agency]])),COLUMNS($F$7:AA$7))))</f>
        <v/>
      </c>
      <c r="AB905" s="2223" t="str" cm="1">
        <f t="array" ref="AB905">IF($D905&lt;COLUMNS($F$7:AB$7),"",INDEX(TableDiv[[GASB]:[GASB]],_xlfn.AGGREGATE(15,3,(TableDiv[[Agency]:[Agency]]=$E905)/(TableDiv[[Agency]:[Agency]]=$E905)*(ROW(TableDiv[Agency])-ROW(TableDiv[[#Headers],[Agency]])),COLUMNS($F$7:AB$7))))</f>
        <v/>
      </c>
      <c r="AC905" s="2223" t="str" cm="1">
        <f t="array" ref="AC905">IF($D905&lt;COLUMNS($F$7:AC$7),"",INDEX(TableDiv[[GASB]:[GASB]],_xlfn.AGGREGATE(15,3,(TableDiv[[Agency]:[Agency]]=$E905)/(TableDiv[[Agency]:[Agency]]=$E905)*(ROW(TableDiv[Agency])-ROW(TableDiv[[#Headers],[Agency]])),COLUMNS($F$7:AC$7))))</f>
        <v/>
      </c>
      <c r="AD905" s="2223" t="str" cm="1">
        <f t="array" ref="AD905">IF($D905&lt;COLUMNS($F$7:AD$7),"",INDEX(TableDiv[[GASB]:[GASB]],_xlfn.AGGREGATE(15,3,(TableDiv[[Agency]:[Agency]]=$E905)/(TableDiv[[Agency]:[Agency]]=$E905)*(ROW(TableDiv[Agency])-ROW(TableDiv[[#Headers],[Agency]])),COLUMNS($F$7:AD$7))))</f>
        <v/>
      </c>
      <c r="AE905" s="2223" t="str" cm="1">
        <f t="array" ref="AE905">IF($D905&lt;COLUMNS($F$7:AE$7),"",INDEX(TableDiv[[GASB]:[GASB]],_xlfn.AGGREGATE(15,3,(TableDiv[[Agency]:[Agency]]=$E905)/(TableDiv[[Agency]:[Agency]]=$E905)*(ROW(TableDiv[Agency])-ROW(TableDiv[[#Headers],[Agency]])),COLUMNS($F$7:AE$7))))</f>
        <v/>
      </c>
      <c r="AF905" s="2223" t="str" cm="1">
        <f t="array" ref="AF905">IF($D905&lt;COLUMNS($F$7:AF$7),"",INDEX(TableDiv[[GASB]:[GASB]],_xlfn.AGGREGATE(15,3,(TableDiv[[Agency]:[Agency]]=$E905)/(TableDiv[[Agency]:[Agency]]=$E905)*(ROW(TableDiv[Agency])-ROW(TableDiv[[#Headers],[Agency]])),COLUMNS($F$7:AF$7))))</f>
        <v/>
      </c>
      <c r="AG905" s="2223" t="str" cm="1">
        <f t="array" ref="AG905">IF($D905&lt;COLUMNS($F$7:AG$7),"",INDEX(TableDiv[[GASB]:[GASB]],_xlfn.AGGREGATE(15,3,(TableDiv[[Agency]:[Agency]]=$E905)/(TableDiv[[Agency]:[Agency]]=$E905)*(ROW(TableDiv[Agency])-ROW(TableDiv[[#Headers],[Agency]])),COLUMNS($F$7:AG$7))))</f>
        <v/>
      </c>
      <c r="AH905" s="2223" t="str" cm="1">
        <f t="array" ref="AH905">IF($D905&lt;COLUMNS($F$7:AH$7),"",INDEX(TableDiv[[GASB]:[GASB]],_xlfn.AGGREGATE(15,3,(TableDiv[[Agency]:[Agency]]=$E905)/(TableDiv[[Agency]:[Agency]]=$E905)*(ROW(TableDiv[Agency])-ROW(TableDiv[[#Headers],[Agency]])),COLUMNS($F$7:AH$7))))</f>
        <v/>
      </c>
      <c r="AI905" s="2223" t="str" cm="1">
        <f t="array" ref="AI905">IF($D905&lt;COLUMNS($F$7:AI$7),"",INDEX(TableDiv[[GASB]:[GASB]],_xlfn.AGGREGATE(15,3,(TableDiv[[Agency]:[Agency]]=$E905)/(TableDiv[[Agency]:[Agency]]=$E905)*(ROW(TableDiv[Agency])-ROW(TableDiv[[#Headers],[Agency]])),COLUMNS($F$7:AI$7))))</f>
        <v/>
      </c>
      <c r="AJ905" s="2223" t="str" cm="1">
        <f t="array" ref="AJ905">IF($D905&lt;COLUMNS($F$7:AJ$7),"",INDEX(TableDiv[[GASB]:[GASB]],_xlfn.AGGREGATE(15,3,(TableDiv[[Agency]:[Agency]]=$E905)/(TableDiv[[Agency]:[Agency]]=$E905)*(ROW(TableDiv[Agency])-ROW(TableDiv[[#Headers],[Agency]])),COLUMNS($F$7:AJ$7))))</f>
        <v/>
      </c>
      <c r="AK905" s="2223" t="str" cm="1">
        <f t="array" ref="AK905">IF($D905&lt;COLUMNS($F$7:AK$7),"",INDEX(TableDiv[[GASB]:[GASB]],_xlfn.AGGREGATE(15,3,(TableDiv[[Agency]:[Agency]]=$E905)/(TableDiv[[Agency]:[Agency]]=$E905)*(ROW(TableDiv[Agency])-ROW(TableDiv[[#Headers],[Agency]])),COLUMNS($F$7:AK$7))))</f>
        <v/>
      </c>
      <c r="AL905" s="2223" t="str" cm="1">
        <f t="array" ref="AL905">IF($D905&lt;COLUMNS($F$7:AL$7),"",INDEX(TableDiv[[GASB]:[GASB]],_xlfn.AGGREGATE(15,3,(TableDiv[[Agency]:[Agency]]=$E905)/(TableDiv[[Agency]:[Agency]]=$E905)*(ROW(TableDiv[Agency])-ROW(TableDiv[[#Headers],[Agency]])),COLUMNS($F$7:AL$7))))</f>
        <v/>
      </c>
      <c r="AM905" s="2223" t="str" cm="1">
        <f t="array" ref="AM905">IF($D905&lt;COLUMNS($F$7:AM$7),"",INDEX(TableDiv[[GASB]:[GASB]],_xlfn.AGGREGATE(15,3,(TableDiv[[Agency]:[Agency]]=$E905)/(TableDiv[[Agency]:[Agency]]=$E905)*(ROW(TableDiv[Agency])-ROW(TableDiv[[#Headers],[Agency]])),COLUMNS($F$7:AM$7))))</f>
        <v/>
      </c>
      <c r="AN905" s="2223"/>
      <c r="AO905" s="2223"/>
      <c r="AP905" s="2223"/>
      <c r="AQ905" s="2223"/>
      <c r="AR905" s="2223"/>
      <c r="AS905" s="2223"/>
    </row>
    <row r="906" spans="1:45" x14ac:dyDescent="0.2">
      <c r="A906" s="2223"/>
      <c r="B906" s="2223"/>
      <c r="C906" s="2223"/>
      <c r="W906" s="2223" t="str" cm="1">
        <f t="array" ref="W906">IF($D906&lt;COLUMNS($F$7:W$7),"",INDEX(TableDiv[[GASB]:[GASB]],_xlfn.AGGREGATE(15,3,(TableDiv[[Agency]:[Agency]]=$E906)/(TableDiv[[Agency]:[Agency]]=$E906)*(ROW(TableDiv[Agency])-ROW(TableDiv[[#Headers],[Agency]])),COLUMNS($F$7:W$7))))</f>
        <v/>
      </c>
      <c r="X906" s="2223" t="str" cm="1">
        <f t="array" ref="X906">IF($D906&lt;COLUMNS($F$7:X$7),"",INDEX(TableDiv[[GASB]:[GASB]],_xlfn.AGGREGATE(15,3,(TableDiv[[Agency]:[Agency]]=$E906)/(TableDiv[[Agency]:[Agency]]=$E906)*(ROW(TableDiv[Agency])-ROW(TableDiv[[#Headers],[Agency]])),COLUMNS($F$7:X$7))))</f>
        <v/>
      </c>
      <c r="Y906" s="2223" t="str" cm="1">
        <f t="array" ref="Y906">IF($D906&lt;COLUMNS($F$7:Y$7),"",INDEX(TableDiv[[GASB]:[GASB]],_xlfn.AGGREGATE(15,3,(TableDiv[[Agency]:[Agency]]=$E906)/(TableDiv[[Agency]:[Agency]]=$E906)*(ROW(TableDiv[Agency])-ROW(TableDiv[[#Headers],[Agency]])),COLUMNS($F$7:Y$7))))</f>
        <v/>
      </c>
      <c r="Z906" s="2223" t="str" cm="1">
        <f t="array" ref="Z906">IF($D906&lt;COLUMNS($F$7:Z$7),"",INDEX(TableDiv[[GASB]:[GASB]],_xlfn.AGGREGATE(15,3,(TableDiv[[Agency]:[Agency]]=$E906)/(TableDiv[[Agency]:[Agency]]=$E906)*(ROW(TableDiv[Agency])-ROW(TableDiv[[#Headers],[Agency]])),COLUMNS($F$7:Z$7))))</f>
        <v/>
      </c>
      <c r="AA906" s="2223" t="str" cm="1">
        <f t="array" ref="AA906">IF($D906&lt;COLUMNS($F$7:AA$7),"",INDEX(TableDiv[[GASB]:[GASB]],_xlfn.AGGREGATE(15,3,(TableDiv[[Agency]:[Agency]]=$E906)/(TableDiv[[Agency]:[Agency]]=$E906)*(ROW(TableDiv[Agency])-ROW(TableDiv[[#Headers],[Agency]])),COLUMNS($F$7:AA$7))))</f>
        <v/>
      </c>
      <c r="AB906" s="2223" t="str" cm="1">
        <f t="array" ref="AB906">IF($D906&lt;COLUMNS($F$7:AB$7),"",INDEX(TableDiv[[GASB]:[GASB]],_xlfn.AGGREGATE(15,3,(TableDiv[[Agency]:[Agency]]=$E906)/(TableDiv[[Agency]:[Agency]]=$E906)*(ROW(TableDiv[Agency])-ROW(TableDiv[[#Headers],[Agency]])),COLUMNS($F$7:AB$7))))</f>
        <v/>
      </c>
      <c r="AC906" s="2223" t="str" cm="1">
        <f t="array" ref="AC906">IF($D906&lt;COLUMNS($F$7:AC$7),"",INDEX(TableDiv[[GASB]:[GASB]],_xlfn.AGGREGATE(15,3,(TableDiv[[Agency]:[Agency]]=$E906)/(TableDiv[[Agency]:[Agency]]=$E906)*(ROW(TableDiv[Agency])-ROW(TableDiv[[#Headers],[Agency]])),COLUMNS($F$7:AC$7))))</f>
        <v/>
      </c>
      <c r="AD906" s="2223" t="str" cm="1">
        <f t="array" ref="AD906">IF($D906&lt;COLUMNS($F$7:AD$7),"",INDEX(TableDiv[[GASB]:[GASB]],_xlfn.AGGREGATE(15,3,(TableDiv[[Agency]:[Agency]]=$E906)/(TableDiv[[Agency]:[Agency]]=$E906)*(ROW(TableDiv[Agency])-ROW(TableDiv[[#Headers],[Agency]])),COLUMNS($F$7:AD$7))))</f>
        <v/>
      </c>
      <c r="AE906" s="2223" t="str" cm="1">
        <f t="array" ref="AE906">IF($D906&lt;COLUMNS($F$7:AE$7),"",INDEX(TableDiv[[GASB]:[GASB]],_xlfn.AGGREGATE(15,3,(TableDiv[[Agency]:[Agency]]=$E906)/(TableDiv[[Agency]:[Agency]]=$E906)*(ROW(TableDiv[Agency])-ROW(TableDiv[[#Headers],[Agency]])),COLUMNS($F$7:AE$7))))</f>
        <v/>
      </c>
      <c r="AF906" s="2223" t="str" cm="1">
        <f t="array" ref="AF906">IF($D906&lt;COLUMNS($F$7:AF$7),"",INDEX(TableDiv[[GASB]:[GASB]],_xlfn.AGGREGATE(15,3,(TableDiv[[Agency]:[Agency]]=$E906)/(TableDiv[[Agency]:[Agency]]=$E906)*(ROW(TableDiv[Agency])-ROW(TableDiv[[#Headers],[Agency]])),COLUMNS($F$7:AF$7))))</f>
        <v/>
      </c>
      <c r="AG906" s="2223" t="str" cm="1">
        <f t="array" ref="AG906">IF($D906&lt;COLUMNS($F$7:AG$7),"",INDEX(TableDiv[[GASB]:[GASB]],_xlfn.AGGREGATE(15,3,(TableDiv[[Agency]:[Agency]]=$E906)/(TableDiv[[Agency]:[Agency]]=$E906)*(ROW(TableDiv[Agency])-ROW(TableDiv[[#Headers],[Agency]])),COLUMNS($F$7:AG$7))))</f>
        <v/>
      </c>
      <c r="AH906" s="2223" t="str" cm="1">
        <f t="array" ref="AH906">IF($D906&lt;COLUMNS($F$7:AH$7),"",INDEX(TableDiv[[GASB]:[GASB]],_xlfn.AGGREGATE(15,3,(TableDiv[[Agency]:[Agency]]=$E906)/(TableDiv[[Agency]:[Agency]]=$E906)*(ROW(TableDiv[Agency])-ROW(TableDiv[[#Headers],[Agency]])),COLUMNS($F$7:AH$7))))</f>
        <v/>
      </c>
      <c r="AI906" s="2223" t="str" cm="1">
        <f t="array" ref="AI906">IF($D906&lt;COLUMNS($F$7:AI$7),"",INDEX(TableDiv[[GASB]:[GASB]],_xlfn.AGGREGATE(15,3,(TableDiv[[Agency]:[Agency]]=$E906)/(TableDiv[[Agency]:[Agency]]=$E906)*(ROW(TableDiv[Agency])-ROW(TableDiv[[#Headers],[Agency]])),COLUMNS($F$7:AI$7))))</f>
        <v/>
      </c>
      <c r="AJ906" s="2223" t="str" cm="1">
        <f t="array" ref="AJ906">IF($D906&lt;COLUMNS($F$7:AJ$7),"",INDEX(TableDiv[[GASB]:[GASB]],_xlfn.AGGREGATE(15,3,(TableDiv[[Agency]:[Agency]]=$E906)/(TableDiv[[Agency]:[Agency]]=$E906)*(ROW(TableDiv[Agency])-ROW(TableDiv[[#Headers],[Agency]])),COLUMNS($F$7:AJ$7))))</f>
        <v/>
      </c>
      <c r="AK906" s="2223" t="str" cm="1">
        <f t="array" ref="AK906">IF($D906&lt;COLUMNS($F$7:AK$7),"",INDEX(TableDiv[[GASB]:[GASB]],_xlfn.AGGREGATE(15,3,(TableDiv[[Agency]:[Agency]]=$E906)/(TableDiv[[Agency]:[Agency]]=$E906)*(ROW(TableDiv[Agency])-ROW(TableDiv[[#Headers],[Agency]])),COLUMNS($F$7:AK$7))))</f>
        <v/>
      </c>
      <c r="AL906" s="2223" t="str" cm="1">
        <f t="array" ref="AL906">IF($D906&lt;COLUMNS($F$7:AL$7),"",INDEX(TableDiv[[GASB]:[GASB]],_xlfn.AGGREGATE(15,3,(TableDiv[[Agency]:[Agency]]=$E906)/(TableDiv[[Agency]:[Agency]]=$E906)*(ROW(TableDiv[Agency])-ROW(TableDiv[[#Headers],[Agency]])),COLUMNS($F$7:AL$7))))</f>
        <v/>
      </c>
      <c r="AM906" s="2223" t="str" cm="1">
        <f t="array" ref="AM906">IF($D906&lt;COLUMNS($F$7:AM$7),"",INDEX(TableDiv[[GASB]:[GASB]],_xlfn.AGGREGATE(15,3,(TableDiv[[Agency]:[Agency]]=$E906)/(TableDiv[[Agency]:[Agency]]=$E906)*(ROW(TableDiv[Agency])-ROW(TableDiv[[#Headers],[Agency]])),COLUMNS($F$7:AM$7))))</f>
        <v/>
      </c>
      <c r="AN906" s="2223"/>
      <c r="AO906" s="2223"/>
      <c r="AP906" s="2223"/>
      <c r="AQ906" s="2223"/>
      <c r="AR906" s="2223"/>
      <c r="AS906" s="2223"/>
    </row>
    <row r="907" spans="1:45" x14ac:dyDescent="0.2">
      <c r="A907" s="2223"/>
      <c r="B907" s="2223"/>
      <c r="C907" s="2223"/>
      <c r="W907" s="2223" t="str" cm="1">
        <f t="array" ref="W907">IF($D907&lt;COLUMNS($F$7:W$7),"",INDEX(TableDiv[[GASB]:[GASB]],_xlfn.AGGREGATE(15,3,(TableDiv[[Agency]:[Agency]]=$E907)/(TableDiv[[Agency]:[Agency]]=$E907)*(ROW(TableDiv[Agency])-ROW(TableDiv[[#Headers],[Agency]])),COLUMNS($F$7:W$7))))</f>
        <v/>
      </c>
      <c r="X907" s="2223" t="str" cm="1">
        <f t="array" ref="X907">IF($D907&lt;COLUMNS($F$7:X$7),"",INDEX(TableDiv[[GASB]:[GASB]],_xlfn.AGGREGATE(15,3,(TableDiv[[Agency]:[Agency]]=$E907)/(TableDiv[[Agency]:[Agency]]=$E907)*(ROW(TableDiv[Agency])-ROW(TableDiv[[#Headers],[Agency]])),COLUMNS($F$7:X$7))))</f>
        <v/>
      </c>
      <c r="Y907" s="2223" t="str" cm="1">
        <f t="array" ref="Y907">IF($D907&lt;COLUMNS($F$7:Y$7),"",INDEX(TableDiv[[GASB]:[GASB]],_xlfn.AGGREGATE(15,3,(TableDiv[[Agency]:[Agency]]=$E907)/(TableDiv[[Agency]:[Agency]]=$E907)*(ROW(TableDiv[Agency])-ROW(TableDiv[[#Headers],[Agency]])),COLUMNS($F$7:Y$7))))</f>
        <v/>
      </c>
      <c r="Z907" s="2223" t="str" cm="1">
        <f t="array" ref="Z907">IF($D907&lt;COLUMNS($F$7:Z$7),"",INDEX(TableDiv[[GASB]:[GASB]],_xlfn.AGGREGATE(15,3,(TableDiv[[Agency]:[Agency]]=$E907)/(TableDiv[[Agency]:[Agency]]=$E907)*(ROW(TableDiv[Agency])-ROW(TableDiv[[#Headers],[Agency]])),COLUMNS($F$7:Z$7))))</f>
        <v/>
      </c>
      <c r="AA907" s="2223" t="str" cm="1">
        <f t="array" ref="AA907">IF($D907&lt;COLUMNS($F$7:AA$7),"",INDEX(TableDiv[[GASB]:[GASB]],_xlfn.AGGREGATE(15,3,(TableDiv[[Agency]:[Agency]]=$E907)/(TableDiv[[Agency]:[Agency]]=$E907)*(ROW(TableDiv[Agency])-ROW(TableDiv[[#Headers],[Agency]])),COLUMNS($F$7:AA$7))))</f>
        <v/>
      </c>
      <c r="AB907" s="2223" t="str" cm="1">
        <f t="array" ref="AB907">IF($D907&lt;COLUMNS($F$7:AB$7),"",INDEX(TableDiv[[GASB]:[GASB]],_xlfn.AGGREGATE(15,3,(TableDiv[[Agency]:[Agency]]=$E907)/(TableDiv[[Agency]:[Agency]]=$E907)*(ROW(TableDiv[Agency])-ROW(TableDiv[[#Headers],[Agency]])),COLUMNS($F$7:AB$7))))</f>
        <v/>
      </c>
      <c r="AC907" s="2223" t="str" cm="1">
        <f t="array" ref="AC907">IF($D907&lt;COLUMNS($F$7:AC$7),"",INDEX(TableDiv[[GASB]:[GASB]],_xlfn.AGGREGATE(15,3,(TableDiv[[Agency]:[Agency]]=$E907)/(TableDiv[[Agency]:[Agency]]=$E907)*(ROW(TableDiv[Agency])-ROW(TableDiv[[#Headers],[Agency]])),COLUMNS($F$7:AC$7))))</f>
        <v/>
      </c>
      <c r="AD907" s="2223" t="str" cm="1">
        <f t="array" ref="AD907">IF($D907&lt;COLUMNS($F$7:AD$7),"",INDEX(TableDiv[[GASB]:[GASB]],_xlfn.AGGREGATE(15,3,(TableDiv[[Agency]:[Agency]]=$E907)/(TableDiv[[Agency]:[Agency]]=$E907)*(ROW(TableDiv[Agency])-ROW(TableDiv[[#Headers],[Agency]])),COLUMNS($F$7:AD$7))))</f>
        <v/>
      </c>
      <c r="AE907" s="2223" t="str" cm="1">
        <f t="array" ref="AE907">IF($D907&lt;COLUMNS($F$7:AE$7),"",INDEX(TableDiv[[GASB]:[GASB]],_xlfn.AGGREGATE(15,3,(TableDiv[[Agency]:[Agency]]=$E907)/(TableDiv[[Agency]:[Agency]]=$E907)*(ROW(TableDiv[Agency])-ROW(TableDiv[[#Headers],[Agency]])),COLUMNS($F$7:AE$7))))</f>
        <v/>
      </c>
      <c r="AF907" s="2223" t="str" cm="1">
        <f t="array" ref="AF907">IF($D907&lt;COLUMNS($F$7:AF$7),"",INDEX(TableDiv[[GASB]:[GASB]],_xlfn.AGGREGATE(15,3,(TableDiv[[Agency]:[Agency]]=$E907)/(TableDiv[[Agency]:[Agency]]=$E907)*(ROW(TableDiv[Agency])-ROW(TableDiv[[#Headers],[Agency]])),COLUMNS($F$7:AF$7))))</f>
        <v/>
      </c>
      <c r="AG907" s="2223" t="str" cm="1">
        <f t="array" ref="AG907">IF($D907&lt;COLUMNS($F$7:AG$7),"",INDEX(TableDiv[[GASB]:[GASB]],_xlfn.AGGREGATE(15,3,(TableDiv[[Agency]:[Agency]]=$E907)/(TableDiv[[Agency]:[Agency]]=$E907)*(ROW(TableDiv[Agency])-ROW(TableDiv[[#Headers],[Agency]])),COLUMNS($F$7:AG$7))))</f>
        <v/>
      </c>
      <c r="AH907" s="2223" t="str" cm="1">
        <f t="array" ref="AH907">IF($D907&lt;COLUMNS($F$7:AH$7),"",INDEX(TableDiv[[GASB]:[GASB]],_xlfn.AGGREGATE(15,3,(TableDiv[[Agency]:[Agency]]=$E907)/(TableDiv[[Agency]:[Agency]]=$E907)*(ROW(TableDiv[Agency])-ROW(TableDiv[[#Headers],[Agency]])),COLUMNS($F$7:AH$7))))</f>
        <v/>
      </c>
      <c r="AI907" s="2223" t="str" cm="1">
        <f t="array" ref="AI907">IF($D907&lt;COLUMNS($F$7:AI$7),"",INDEX(TableDiv[[GASB]:[GASB]],_xlfn.AGGREGATE(15,3,(TableDiv[[Agency]:[Agency]]=$E907)/(TableDiv[[Agency]:[Agency]]=$E907)*(ROW(TableDiv[Agency])-ROW(TableDiv[[#Headers],[Agency]])),COLUMNS($F$7:AI$7))))</f>
        <v/>
      </c>
      <c r="AJ907" s="2223" t="str" cm="1">
        <f t="array" ref="AJ907">IF($D907&lt;COLUMNS($F$7:AJ$7),"",INDEX(TableDiv[[GASB]:[GASB]],_xlfn.AGGREGATE(15,3,(TableDiv[[Agency]:[Agency]]=$E907)/(TableDiv[[Agency]:[Agency]]=$E907)*(ROW(TableDiv[Agency])-ROW(TableDiv[[#Headers],[Agency]])),COLUMNS($F$7:AJ$7))))</f>
        <v/>
      </c>
      <c r="AK907" s="2223" t="str" cm="1">
        <f t="array" ref="AK907">IF($D907&lt;COLUMNS($F$7:AK$7),"",INDEX(TableDiv[[GASB]:[GASB]],_xlfn.AGGREGATE(15,3,(TableDiv[[Agency]:[Agency]]=$E907)/(TableDiv[[Agency]:[Agency]]=$E907)*(ROW(TableDiv[Agency])-ROW(TableDiv[[#Headers],[Agency]])),COLUMNS($F$7:AK$7))))</f>
        <v/>
      </c>
      <c r="AL907" s="2223" t="str" cm="1">
        <f t="array" ref="AL907">IF($D907&lt;COLUMNS($F$7:AL$7),"",INDEX(TableDiv[[GASB]:[GASB]],_xlfn.AGGREGATE(15,3,(TableDiv[[Agency]:[Agency]]=$E907)/(TableDiv[[Agency]:[Agency]]=$E907)*(ROW(TableDiv[Agency])-ROW(TableDiv[[#Headers],[Agency]])),COLUMNS($F$7:AL$7))))</f>
        <v/>
      </c>
      <c r="AM907" s="2223" t="str" cm="1">
        <f t="array" ref="AM907">IF($D907&lt;COLUMNS($F$7:AM$7),"",INDEX(TableDiv[[GASB]:[GASB]],_xlfn.AGGREGATE(15,3,(TableDiv[[Agency]:[Agency]]=$E907)/(TableDiv[[Agency]:[Agency]]=$E907)*(ROW(TableDiv[Agency])-ROW(TableDiv[[#Headers],[Agency]])),COLUMNS($F$7:AM$7))))</f>
        <v/>
      </c>
      <c r="AN907" s="2223"/>
      <c r="AO907" s="2223"/>
      <c r="AP907" s="2223"/>
      <c r="AQ907" s="2223"/>
      <c r="AR907" s="2223"/>
      <c r="AS907" s="2223"/>
    </row>
    <row r="908" spans="1:45" x14ac:dyDescent="0.2">
      <c r="A908" s="2223"/>
      <c r="B908" s="2223"/>
      <c r="C908" s="2223"/>
      <c r="W908" s="2223" t="str" cm="1">
        <f t="array" ref="W908">IF($D908&lt;COLUMNS($F$7:W$7),"",INDEX(TableDiv[[GASB]:[GASB]],_xlfn.AGGREGATE(15,3,(TableDiv[[Agency]:[Agency]]=$E908)/(TableDiv[[Agency]:[Agency]]=$E908)*(ROW(TableDiv[Agency])-ROW(TableDiv[[#Headers],[Agency]])),COLUMNS($F$7:W$7))))</f>
        <v/>
      </c>
      <c r="X908" s="2223" t="str" cm="1">
        <f t="array" ref="X908">IF($D908&lt;COLUMNS($F$7:X$7),"",INDEX(TableDiv[[GASB]:[GASB]],_xlfn.AGGREGATE(15,3,(TableDiv[[Agency]:[Agency]]=$E908)/(TableDiv[[Agency]:[Agency]]=$E908)*(ROW(TableDiv[Agency])-ROW(TableDiv[[#Headers],[Agency]])),COLUMNS($F$7:X$7))))</f>
        <v/>
      </c>
      <c r="Y908" s="2223" t="str" cm="1">
        <f t="array" ref="Y908">IF($D908&lt;COLUMNS($F$7:Y$7),"",INDEX(TableDiv[[GASB]:[GASB]],_xlfn.AGGREGATE(15,3,(TableDiv[[Agency]:[Agency]]=$E908)/(TableDiv[[Agency]:[Agency]]=$E908)*(ROW(TableDiv[Agency])-ROW(TableDiv[[#Headers],[Agency]])),COLUMNS($F$7:Y$7))))</f>
        <v/>
      </c>
      <c r="Z908" s="2223" t="str" cm="1">
        <f t="array" ref="Z908">IF($D908&lt;COLUMNS($F$7:Z$7),"",INDEX(TableDiv[[GASB]:[GASB]],_xlfn.AGGREGATE(15,3,(TableDiv[[Agency]:[Agency]]=$E908)/(TableDiv[[Agency]:[Agency]]=$E908)*(ROW(TableDiv[Agency])-ROW(TableDiv[[#Headers],[Agency]])),COLUMNS($F$7:Z$7))))</f>
        <v/>
      </c>
      <c r="AA908" s="2223" t="str" cm="1">
        <f t="array" ref="AA908">IF($D908&lt;COLUMNS($F$7:AA$7),"",INDEX(TableDiv[[GASB]:[GASB]],_xlfn.AGGREGATE(15,3,(TableDiv[[Agency]:[Agency]]=$E908)/(TableDiv[[Agency]:[Agency]]=$E908)*(ROW(TableDiv[Agency])-ROW(TableDiv[[#Headers],[Agency]])),COLUMNS($F$7:AA$7))))</f>
        <v/>
      </c>
      <c r="AB908" s="2223" t="str" cm="1">
        <f t="array" ref="AB908">IF($D908&lt;COLUMNS($F$7:AB$7),"",INDEX(TableDiv[[GASB]:[GASB]],_xlfn.AGGREGATE(15,3,(TableDiv[[Agency]:[Agency]]=$E908)/(TableDiv[[Agency]:[Agency]]=$E908)*(ROW(TableDiv[Agency])-ROW(TableDiv[[#Headers],[Agency]])),COLUMNS($F$7:AB$7))))</f>
        <v/>
      </c>
      <c r="AC908" s="2223" t="str" cm="1">
        <f t="array" ref="AC908">IF($D908&lt;COLUMNS($F$7:AC$7),"",INDEX(TableDiv[[GASB]:[GASB]],_xlfn.AGGREGATE(15,3,(TableDiv[[Agency]:[Agency]]=$E908)/(TableDiv[[Agency]:[Agency]]=$E908)*(ROW(TableDiv[Agency])-ROW(TableDiv[[#Headers],[Agency]])),COLUMNS($F$7:AC$7))))</f>
        <v/>
      </c>
      <c r="AD908" s="2223" t="str" cm="1">
        <f t="array" ref="AD908">IF($D908&lt;COLUMNS($F$7:AD$7),"",INDEX(TableDiv[[GASB]:[GASB]],_xlfn.AGGREGATE(15,3,(TableDiv[[Agency]:[Agency]]=$E908)/(TableDiv[[Agency]:[Agency]]=$E908)*(ROW(TableDiv[Agency])-ROW(TableDiv[[#Headers],[Agency]])),COLUMNS($F$7:AD$7))))</f>
        <v/>
      </c>
      <c r="AE908" s="2223" t="str" cm="1">
        <f t="array" ref="AE908">IF($D908&lt;COLUMNS($F$7:AE$7),"",INDEX(TableDiv[[GASB]:[GASB]],_xlfn.AGGREGATE(15,3,(TableDiv[[Agency]:[Agency]]=$E908)/(TableDiv[[Agency]:[Agency]]=$E908)*(ROW(TableDiv[Agency])-ROW(TableDiv[[#Headers],[Agency]])),COLUMNS($F$7:AE$7))))</f>
        <v/>
      </c>
      <c r="AF908" s="2223" t="str" cm="1">
        <f t="array" ref="AF908">IF($D908&lt;COLUMNS($F$7:AF$7),"",INDEX(TableDiv[[GASB]:[GASB]],_xlfn.AGGREGATE(15,3,(TableDiv[[Agency]:[Agency]]=$E908)/(TableDiv[[Agency]:[Agency]]=$E908)*(ROW(TableDiv[Agency])-ROW(TableDiv[[#Headers],[Agency]])),COLUMNS($F$7:AF$7))))</f>
        <v/>
      </c>
      <c r="AG908" s="2223" t="str" cm="1">
        <f t="array" ref="AG908">IF($D908&lt;COLUMNS($F$7:AG$7),"",INDEX(TableDiv[[GASB]:[GASB]],_xlfn.AGGREGATE(15,3,(TableDiv[[Agency]:[Agency]]=$E908)/(TableDiv[[Agency]:[Agency]]=$E908)*(ROW(TableDiv[Agency])-ROW(TableDiv[[#Headers],[Agency]])),COLUMNS($F$7:AG$7))))</f>
        <v/>
      </c>
      <c r="AH908" s="2223" t="str" cm="1">
        <f t="array" ref="AH908">IF($D908&lt;COLUMNS($F$7:AH$7),"",INDEX(TableDiv[[GASB]:[GASB]],_xlfn.AGGREGATE(15,3,(TableDiv[[Agency]:[Agency]]=$E908)/(TableDiv[[Agency]:[Agency]]=$E908)*(ROW(TableDiv[Agency])-ROW(TableDiv[[#Headers],[Agency]])),COLUMNS($F$7:AH$7))))</f>
        <v/>
      </c>
      <c r="AI908" s="2223" t="str" cm="1">
        <f t="array" ref="AI908">IF($D908&lt;COLUMNS($F$7:AI$7),"",INDEX(TableDiv[[GASB]:[GASB]],_xlfn.AGGREGATE(15,3,(TableDiv[[Agency]:[Agency]]=$E908)/(TableDiv[[Agency]:[Agency]]=$E908)*(ROW(TableDiv[Agency])-ROW(TableDiv[[#Headers],[Agency]])),COLUMNS($F$7:AI$7))))</f>
        <v/>
      </c>
      <c r="AJ908" s="2223" t="str" cm="1">
        <f t="array" ref="AJ908">IF($D908&lt;COLUMNS($F$7:AJ$7),"",INDEX(TableDiv[[GASB]:[GASB]],_xlfn.AGGREGATE(15,3,(TableDiv[[Agency]:[Agency]]=$E908)/(TableDiv[[Agency]:[Agency]]=$E908)*(ROW(TableDiv[Agency])-ROW(TableDiv[[#Headers],[Agency]])),COLUMNS($F$7:AJ$7))))</f>
        <v/>
      </c>
      <c r="AK908" s="2223" t="str" cm="1">
        <f t="array" ref="AK908">IF($D908&lt;COLUMNS($F$7:AK$7),"",INDEX(TableDiv[[GASB]:[GASB]],_xlfn.AGGREGATE(15,3,(TableDiv[[Agency]:[Agency]]=$E908)/(TableDiv[[Agency]:[Agency]]=$E908)*(ROW(TableDiv[Agency])-ROW(TableDiv[[#Headers],[Agency]])),COLUMNS($F$7:AK$7))))</f>
        <v/>
      </c>
      <c r="AL908" s="2223" t="str" cm="1">
        <f t="array" ref="AL908">IF($D908&lt;COLUMNS($F$7:AL$7),"",INDEX(TableDiv[[GASB]:[GASB]],_xlfn.AGGREGATE(15,3,(TableDiv[[Agency]:[Agency]]=$E908)/(TableDiv[[Agency]:[Agency]]=$E908)*(ROW(TableDiv[Agency])-ROW(TableDiv[[#Headers],[Agency]])),COLUMNS($F$7:AL$7))))</f>
        <v/>
      </c>
      <c r="AM908" s="2223" t="str" cm="1">
        <f t="array" ref="AM908">IF($D908&lt;COLUMNS($F$7:AM$7),"",INDEX(TableDiv[[GASB]:[GASB]],_xlfn.AGGREGATE(15,3,(TableDiv[[Agency]:[Agency]]=$E908)/(TableDiv[[Agency]:[Agency]]=$E908)*(ROW(TableDiv[Agency])-ROW(TableDiv[[#Headers],[Agency]])),COLUMNS($F$7:AM$7))))</f>
        <v/>
      </c>
      <c r="AN908" s="2223"/>
      <c r="AO908" s="2223"/>
      <c r="AP908" s="2223"/>
      <c r="AQ908" s="2223"/>
      <c r="AR908" s="2223"/>
      <c r="AS908" s="2223"/>
    </row>
    <row r="909" spans="1:45" x14ac:dyDescent="0.2">
      <c r="A909" s="2223"/>
      <c r="B909" s="2223"/>
      <c r="C909" s="2223"/>
      <c r="W909" s="2223" t="str" cm="1">
        <f t="array" ref="W909">IF($D909&lt;COLUMNS($F$7:W$7),"",INDEX(TableDiv[[GASB]:[GASB]],_xlfn.AGGREGATE(15,3,(TableDiv[[Agency]:[Agency]]=$E909)/(TableDiv[[Agency]:[Agency]]=$E909)*(ROW(TableDiv[Agency])-ROW(TableDiv[[#Headers],[Agency]])),COLUMNS($F$7:W$7))))</f>
        <v/>
      </c>
      <c r="X909" s="2223" t="str" cm="1">
        <f t="array" ref="X909">IF($D909&lt;COLUMNS($F$7:X$7),"",INDEX(TableDiv[[GASB]:[GASB]],_xlfn.AGGREGATE(15,3,(TableDiv[[Agency]:[Agency]]=$E909)/(TableDiv[[Agency]:[Agency]]=$E909)*(ROW(TableDiv[Agency])-ROW(TableDiv[[#Headers],[Agency]])),COLUMNS($F$7:X$7))))</f>
        <v/>
      </c>
      <c r="Y909" s="2223" t="str" cm="1">
        <f t="array" ref="Y909">IF($D909&lt;COLUMNS($F$7:Y$7),"",INDEX(TableDiv[[GASB]:[GASB]],_xlfn.AGGREGATE(15,3,(TableDiv[[Agency]:[Agency]]=$E909)/(TableDiv[[Agency]:[Agency]]=$E909)*(ROW(TableDiv[Agency])-ROW(TableDiv[[#Headers],[Agency]])),COLUMNS($F$7:Y$7))))</f>
        <v/>
      </c>
      <c r="Z909" s="2223" t="str" cm="1">
        <f t="array" ref="Z909">IF($D909&lt;COLUMNS($F$7:Z$7),"",INDEX(TableDiv[[GASB]:[GASB]],_xlfn.AGGREGATE(15,3,(TableDiv[[Agency]:[Agency]]=$E909)/(TableDiv[[Agency]:[Agency]]=$E909)*(ROW(TableDiv[Agency])-ROW(TableDiv[[#Headers],[Agency]])),COLUMNS($F$7:Z$7))))</f>
        <v/>
      </c>
      <c r="AA909" s="2223" t="str" cm="1">
        <f t="array" ref="AA909">IF($D909&lt;COLUMNS($F$7:AA$7),"",INDEX(TableDiv[[GASB]:[GASB]],_xlfn.AGGREGATE(15,3,(TableDiv[[Agency]:[Agency]]=$E909)/(TableDiv[[Agency]:[Agency]]=$E909)*(ROW(TableDiv[Agency])-ROW(TableDiv[[#Headers],[Agency]])),COLUMNS($F$7:AA$7))))</f>
        <v/>
      </c>
      <c r="AB909" s="2223" t="str" cm="1">
        <f t="array" ref="AB909">IF($D909&lt;COLUMNS($F$7:AB$7),"",INDEX(TableDiv[[GASB]:[GASB]],_xlfn.AGGREGATE(15,3,(TableDiv[[Agency]:[Agency]]=$E909)/(TableDiv[[Agency]:[Agency]]=$E909)*(ROW(TableDiv[Agency])-ROW(TableDiv[[#Headers],[Agency]])),COLUMNS($F$7:AB$7))))</f>
        <v/>
      </c>
      <c r="AC909" s="2223" t="str" cm="1">
        <f t="array" ref="AC909">IF($D909&lt;COLUMNS($F$7:AC$7),"",INDEX(TableDiv[[GASB]:[GASB]],_xlfn.AGGREGATE(15,3,(TableDiv[[Agency]:[Agency]]=$E909)/(TableDiv[[Agency]:[Agency]]=$E909)*(ROW(TableDiv[Agency])-ROW(TableDiv[[#Headers],[Agency]])),COLUMNS($F$7:AC$7))))</f>
        <v/>
      </c>
      <c r="AD909" s="2223" t="str" cm="1">
        <f t="array" ref="AD909">IF($D909&lt;COLUMNS($F$7:AD$7),"",INDEX(TableDiv[[GASB]:[GASB]],_xlfn.AGGREGATE(15,3,(TableDiv[[Agency]:[Agency]]=$E909)/(TableDiv[[Agency]:[Agency]]=$E909)*(ROW(TableDiv[Agency])-ROW(TableDiv[[#Headers],[Agency]])),COLUMNS($F$7:AD$7))))</f>
        <v/>
      </c>
      <c r="AE909" s="2223" t="str" cm="1">
        <f t="array" ref="AE909">IF($D909&lt;COLUMNS($F$7:AE$7),"",INDEX(TableDiv[[GASB]:[GASB]],_xlfn.AGGREGATE(15,3,(TableDiv[[Agency]:[Agency]]=$E909)/(TableDiv[[Agency]:[Agency]]=$E909)*(ROW(TableDiv[Agency])-ROW(TableDiv[[#Headers],[Agency]])),COLUMNS($F$7:AE$7))))</f>
        <v/>
      </c>
      <c r="AF909" s="2223" t="str" cm="1">
        <f t="array" ref="AF909">IF($D909&lt;COLUMNS($F$7:AF$7),"",INDEX(TableDiv[[GASB]:[GASB]],_xlfn.AGGREGATE(15,3,(TableDiv[[Agency]:[Agency]]=$E909)/(TableDiv[[Agency]:[Agency]]=$E909)*(ROW(TableDiv[Agency])-ROW(TableDiv[[#Headers],[Agency]])),COLUMNS($F$7:AF$7))))</f>
        <v/>
      </c>
      <c r="AG909" s="2223" t="str" cm="1">
        <f t="array" ref="AG909">IF($D909&lt;COLUMNS($F$7:AG$7),"",INDEX(TableDiv[[GASB]:[GASB]],_xlfn.AGGREGATE(15,3,(TableDiv[[Agency]:[Agency]]=$E909)/(TableDiv[[Agency]:[Agency]]=$E909)*(ROW(TableDiv[Agency])-ROW(TableDiv[[#Headers],[Agency]])),COLUMNS($F$7:AG$7))))</f>
        <v/>
      </c>
      <c r="AH909" s="2223" t="str" cm="1">
        <f t="array" ref="AH909">IF($D909&lt;COLUMNS($F$7:AH$7),"",INDEX(TableDiv[[GASB]:[GASB]],_xlfn.AGGREGATE(15,3,(TableDiv[[Agency]:[Agency]]=$E909)/(TableDiv[[Agency]:[Agency]]=$E909)*(ROW(TableDiv[Agency])-ROW(TableDiv[[#Headers],[Agency]])),COLUMNS($F$7:AH$7))))</f>
        <v/>
      </c>
      <c r="AI909" s="2223" t="str" cm="1">
        <f t="array" ref="AI909">IF($D909&lt;COLUMNS($F$7:AI$7),"",INDEX(TableDiv[[GASB]:[GASB]],_xlfn.AGGREGATE(15,3,(TableDiv[[Agency]:[Agency]]=$E909)/(TableDiv[[Agency]:[Agency]]=$E909)*(ROW(TableDiv[Agency])-ROW(TableDiv[[#Headers],[Agency]])),COLUMNS($F$7:AI$7))))</f>
        <v/>
      </c>
      <c r="AJ909" s="2223" t="str" cm="1">
        <f t="array" ref="AJ909">IF($D909&lt;COLUMNS($F$7:AJ$7),"",INDEX(TableDiv[[GASB]:[GASB]],_xlfn.AGGREGATE(15,3,(TableDiv[[Agency]:[Agency]]=$E909)/(TableDiv[[Agency]:[Agency]]=$E909)*(ROW(TableDiv[Agency])-ROW(TableDiv[[#Headers],[Agency]])),COLUMNS($F$7:AJ$7))))</f>
        <v/>
      </c>
      <c r="AK909" s="2223" t="str" cm="1">
        <f t="array" ref="AK909">IF($D909&lt;COLUMNS($F$7:AK$7),"",INDEX(TableDiv[[GASB]:[GASB]],_xlfn.AGGREGATE(15,3,(TableDiv[[Agency]:[Agency]]=$E909)/(TableDiv[[Agency]:[Agency]]=$E909)*(ROW(TableDiv[Agency])-ROW(TableDiv[[#Headers],[Agency]])),COLUMNS($F$7:AK$7))))</f>
        <v/>
      </c>
      <c r="AL909" s="2223" t="str" cm="1">
        <f t="array" ref="AL909">IF($D909&lt;COLUMNS($F$7:AL$7),"",INDEX(TableDiv[[GASB]:[GASB]],_xlfn.AGGREGATE(15,3,(TableDiv[[Agency]:[Agency]]=$E909)/(TableDiv[[Agency]:[Agency]]=$E909)*(ROW(TableDiv[Agency])-ROW(TableDiv[[#Headers],[Agency]])),COLUMNS($F$7:AL$7))))</f>
        <v/>
      </c>
      <c r="AM909" s="2223" t="str" cm="1">
        <f t="array" ref="AM909">IF($D909&lt;COLUMNS($F$7:AM$7),"",INDEX(TableDiv[[GASB]:[GASB]],_xlfn.AGGREGATE(15,3,(TableDiv[[Agency]:[Agency]]=$E909)/(TableDiv[[Agency]:[Agency]]=$E909)*(ROW(TableDiv[Agency])-ROW(TableDiv[[#Headers],[Agency]])),COLUMNS($F$7:AM$7))))</f>
        <v/>
      </c>
      <c r="AN909" s="2223"/>
      <c r="AO909" s="2223"/>
      <c r="AP909" s="2223"/>
      <c r="AQ909" s="2223"/>
      <c r="AR909" s="2223"/>
      <c r="AS909" s="2223"/>
    </row>
    <row r="910" spans="1:45" x14ac:dyDescent="0.2">
      <c r="A910" s="2223"/>
      <c r="B910" s="2223"/>
      <c r="C910" s="2223"/>
      <c r="W910" s="2223" t="str" cm="1">
        <f t="array" ref="W910">IF($D910&lt;COLUMNS($F$7:W$7),"",INDEX(TableDiv[[GASB]:[GASB]],_xlfn.AGGREGATE(15,3,(TableDiv[[Agency]:[Agency]]=$E910)/(TableDiv[[Agency]:[Agency]]=$E910)*(ROW(TableDiv[Agency])-ROW(TableDiv[[#Headers],[Agency]])),COLUMNS($F$7:W$7))))</f>
        <v/>
      </c>
      <c r="X910" s="2223" t="str" cm="1">
        <f t="array" ref="X910">IF($D910&lt;COLUMNS($F$7:X$7),"",INDEX(TableDiv[[GASB]:[GASB]],_xlfn.AGGREGATE(15,3,(TableDiv[[Agency]:[Agency]]=$E910)/(TableDiv[[Agency]:[Agency]]=$E910)*(ROW(TableDiv[Agency])-ROW(TableDiv[[#Headers],[Agency]])),COLUMNS($F$7:X$7))))</f>
        <v/>
      </c>
      <c r="Y910" s="2223" t="str" cm="1">
        <f t="array" ref="Y910">IF($D910&lt;COLUMNS($F$7:Y$7),"",INDEX(TableDiv[[GASB]:[GASB]],_xlfn.AGGREGATE(15,3,(TableDiv[[Agency]:[Agency]]=$E910)/(TableDiv[[Agency]:[Agency]]=$E910)*(ROW(TableDiv[Agency])-ROW(TableDiv[[#Headers],[Agency]])),COLUMNS($F$7:Y$7))))</f>
        <v/>
      </c>
      <c r="Z910" s="2223" t="str" cm="1">
        <f t="array" ref="Z910">IF($D910&lt;COLUMNS($F$7:Z$7),"",INDEX(TableDiv[[GASB]:[GASB]],_xlfn.AGGREGATE(15,3,(TableDiv[[Agency]:[Agency]]=$E910)/(TableDiv[[Agency]:[Agency]]=$E910)*(ROW(TableDiv[Agency])-ROW(TableDiv[[#Headers],[Agency]])),COLUMNS($F$7:Z$7))))</f>
        <v/>
      </c>
      <c r="AA910" s="2223" t="str" cm="1">
        <f t="array" ref="AA910">IF($D910&lt;COLUMNS($F$7:AA$7),"",INDEX(TableDiv[[GASB]:[GASB]],_xlfn.AGGREGATE(15,3,(TableDiv[[Agency]:[Agency]]=$E910)/(TableDiv[[Agency]:[Agency]]=$E910)*(ROW(TableDiv[Agency])-ROW(TableDiv[[#Headers],[Agency]])),COLUMNS($F$7:AA$7))))</f>
        <v/>
      </c>
      <c r="AB910" s="2223" t="str" cm="1">
        <f t="array" ref="AB910">IF($D910&lt;COLUMNS($F$7:AB$7),"",INDEX(TableDiv[[GASB]:[GASB]],_xlfn.AGGREGATE(15,3,(TableDiv[[Agency]:[Agency]]=$E910)/(TableDiv[[Agency]:[Agency]]=$E910)*(ROW(TableDiv[Agency])-ROW(TableDiv[[#Headers],[Agency]])),COLUMNS($F$7:AB$7))))</f>
        <v/>
      </c>
      <c r="AC910" s="2223" t="str" cm="1">
        <f t="array" ref="AC910">IF($D910&lt;COLUMNS($F$7:AC$7),"",INDEX(TableDiv[[GASB]:[GASB]],_xlfn.AGGREGATE(15,3,(TableDiv[[Agency]:[Agency]]=$E910)/(TableDiv[[Agency]:[Agency]]=$E910)*(ROW(TableDiv[Agency])-ROW(TableDiv[[#Headers],[Agency]])),COLUMNS($F$7:AC$7))))</f>
        <v/>
      </c>
      <c r="AD910" s="2223" t="str" cm="1">
        <f t="array" ref="AD910">IF($D910&lt;COLUMNS($F$7:AD$7),"",INDEX(TableDiv[[GASB]:[GASB]],_xlfn.AGGREGATE(15,3,(TableDiv[[Agency]:[Agency]]=$E910)/(TableDiv[[Agency]:[Agency]]=$E910)*(ROW(TableDiv[Agency])-ROW(TableDiv[[#Headers],[Agency]])),COLUMNS($F$7:AD$7))))</f>
        <v/>
      </c>
      <c r="AE910" s="2223" t="str" cm="1">
        <f t="array" ref="AE910">IF($D910&lt;COLUMNS($F$7:AE$7),"",INDEX(TableDiv[[GASB]:[GASB]],_xlfn.AGGREGATE(15,3,(TableDiv[[Agency]:[Agency]]=$E910)/(TableDiv[[Agency]:[Agency]]=$E910)*(ROW(TableDiv[Agency])-ROW(TableDiv[[#Headers],[Agency]])),COLUMNS($F$7:AE$7))))</f>
        <v/>
      </c>
      <c r="AF910" s="2223" t="str" cm="1">
        <f t="array" ref="AF910">IF($D910&lt;COLUMNS($F$7:AF$7),"",INDEX(TableDiv[[GASB]:[GASB]],_xlfn.AGGREGATE(15,3,(TableDiv[[Agency]:[Agency]]=$E910)/(TableDiv[[Agency]:[Agency]]=$E910)*(ROW(TableDiv[Agency])-ROW(TableDiv[[#Headers],[Agency]])),COLUMNS($F$7:AF$7))))</f>
        <v/>
      </c>
      <c r="AG910" s="2223" t="str" cm="1">
        <f t="array" ref="AG910">IF($D910&lt;COLUMNS($F$7:AG$7),"",INDEX(TableDiv[[GASB]:[GASB]],_xlfn.AGGREGATE(15,3,(TableDiv[[Agency]:[Agency]]=$E910)/(TableDiv[[Agency]:[Agency]]=$E910)*(ROW(TableDiv[Agency])-ROW(TableDiv[[#Headers],[Agency]])),COLUMNS($F$7:AG$7))))</f>
        <v/>
      </c>
      <c r="AH910" s="2223" t="str" cm="1">
        <f t="array" ref="AH910">IF($D910&lt;COLUMNS($F$7:AH$7),"",INDEX(TableDiv[[GASB]:[GASB]],_xlfn.AGGREGATE(15,3,(TableDiv[[Agency]:[Agency]]=$E910)/(TableDiv[[Agency]:[Agency]]=$E910)*(ROW(TableDiv[Agency])-ROW(TableDiv[[#Headers],[Agency]])),COLUMNS($F$7:AH$7))))</f>
        <v/>
      </c>
      <c r="AI910" s="2223" t="str" cm="1">
        <f t="array" ref="AI910">IF($D910&lt;COLUMNS($F$7:AI$7),"",INDEX(TableDiv[[GASB]:[GASB]],_xlfn.AGGREGATE(15,3,(TableDiv[[Agency]:[Agency]]=$E910)/(TableDiv[[Agency]:[Agency]]=$E910)*(ROW(TableDiv[Agency])-ROW(TableDiv[[#Headers],[Agency]])),COLUMNS($F$7:AI$7))))</f>
        <v/>
      </c>
      <c r="AJ910" s="2223" t="str" cm="1">
        <f t="array" ref="AJ910">IF($D910&lt;COLUMNS($F$7:AJ$7),"",INDEX(TableDiv[[GASB]:[GASB]],_xlfn.AGGREGATE(15,3,(TableDiv[[Agency]:[Agency]]=$E910)/(TableDiv[[Agency]:[Agency]]=$E910)*(ROW(TableDiv[Agency])-ROW(TableDiv[[#Headers],[Agency]])),COLUMNS($F$7:AJ$7))))</f>
        <v/>
      </c>
      <c r="AK910" s="2223" t="str" cm="1">
        <f t="array" ref="AK910">IF($D910&lt;COLUMNS($F$7:AK$7),"",INDEX(TableDiv[[GASB]:[GASB]],_xlfn.AGGREGATE(15,3,(TableDiv[[Agency]:[Agency]]=$E910)/(TableDiv[[Agency]:[Agency]]=$E910)*(ROW(TableDiv[Agency])-ROW(TableDiv[[#Headers],[Agency]])),COLUMNS($F$7:AK$7))))</f>
        <v/>
      </c>
      <c r="AL910" s="2223" t="str" cm="1">
        <f t="array" ref="AL910">IF($D910&lt;COLUMNS($F$7:AL$7),"",INDEX(TableDiv[[GASB]:[GASB]],_xlfn.AGGREGATE(15,3,(TableDiv[[Agency]:[Agency]]=$E910)/(TableDiv[[Agency]:[Agency]]=$E910)*(ROW(TableDiv[Agency])-ROW(TableDiv[[#Headers],[Agency]])),COLUMNS($F$7:AL$7))))</f>
        <v/>
      </c>
      <c r="AM910" s="2223" t="str" cm="1">
        <f t="array" ref="AM910">IF($D910&lt;COLUMNS($F$7:AM$7),"",INDEX(TableDiv[[GASB]:[GASB]],_xlfn.AGGREGATE(15,3,(TableDiv[[Agency]:[Agency]]=$E910)/(TableDiv[[Agency]:[Agency]]=$E910)*(ROW(TableDiv[Agency])-ROW(TableDiv[[#Headers],[Agency]])),COLUMNS($F$7:AM$7))))</f>
        <v/>
      </c>
      <c r="AN910" s="2223"/>
      <c r="AO910" s="2223"/>
      <c r="AP910" s="2223"/>
      <c r="AQ910" s="2223"/>
      <c r="AR910" s="2223"/>
      <c r="AS910" s="2223"/>
    </row>
    <row r="911" spans="1:45" x14ac:dyDescent="0.2">
      <c r="A911" s="2223"/>
      <c r="B911" s="2223"/>
      <c r="C911" s="2223"/>
      <c r="W911" s="2223" t="str" cm="1">
        <f t="array" ref="W911">IF($D911&lt;COLUMNS($F$7:W$7),"",INDEX(TableDiv[[GASB]:[GASB]],_xlfn.AGGREGATE(15,3,(TableDiv[[Agency]:[Agency]]=$E911)/(TableDiv[[Agency]:[Agency]]=$E911)*(ROW(TableDiv[Agency])-ROW(TableDiv[[#Headers],[Agency]])),COLUMNS($F$7:W$7))))</f>
        <v/>
      </c>
      <c r="X911" s="2223" t="str" cm="1">
        <f t="array" ref="X911">IF($D911&lt;COLUMNS($F$7:X$7),"",INDEX(TableDiv[[GASB]:[GASB]],_xlfn.AGGREGATE(15,3,(TableDiv[[Agency]:[Agency]]=$E911)/(TableDiv[[Agency]:[Agency]]=$E911)*(ROW(TableDiv[Agency])-ROW(TableDiv[[#Headers],[Agency]])),COLUMNS($F$7:X$7))))</f>
        <v/>
      </c>
      <c r="Y911" s="2223" t="str" cm="1">
        <f t="array" ref="Y911">IF($D911&lt;COLUMNS($F$7:Y$7),"",INDEX(TableDiv[[GASB]:[GASB]],_xlfn.AGGREGATE(15,3,(TableDiv[[Agency]:[Agency]]=$E911)/(TableDiv[[Agency]:[Agency]]=$E911)*(ROW(TableDiv[Agency])-ROW(TableDiv[[#Headers],[Agency]])),COLUMNS($F$7:Y$7))))</f>
        <v/>
      </c>
      <c r="Z911" s="2223" t="str" cm="1">
        <f t="array" ref="Z911">IF($D911&lt;COLUMNS($F$7:Z$7),"",INDEX(TableDiv[[GASB]:[GASB]],_xlfn.AGGREGATE(15,3,(TableDiv[[Agency]:[Agency]]=$E911)/(TableDiv[[Agency]:[Agency]]=$E911)*(ROW(TableDiv[Agency])-ROW(TableDiv[[#Headers],[Agency]])),COLUMNS($F$7:Z$7))))</f>
        <v/>
      </c>
      <c r="AA911" s="2223" t="str" cm="1">
        <f t="array" ref="AA911">IF($D911&lt;COLUMNS($F$7:AA$7),"",INDEX(TableDiv[[GASB]:[GASB]],_xlfn.AGGREGATE(15,3,(TableDiv[[Agency]:[Agency]]=$E911)/(TableDiv[[Agency]:[Agency]]=$E911)*(ROW(TableDiv[Agency])-ROW(TableDiv[[#Headers],[Agency]])),COLUMNS($F$7:AA$7))))</f>
        <v/>
      </c>
      <c r="AB911" s="2223" t="str" cm="1">
        <f t="array" ref="AB911">IF($D911&lt;COLUMNS($F$7:AB$7),"",INDEX(TableDiv[[GASB]:[GASB]],_xlfn.AGGREGATE(15,3,(TableDiv[[Agency]:[Agency]]=$E911)/(TableDiv[[Agency]:[Agency]]=$E911)*(ROW(TableDiv[Agency])-ROW(TableDiv[[#Headers],[Agency]])),COLUMNS($F$7:AB$7))))</f>
        <v/>
      </c>
      <c r="AC911" s="2223" t="str" cm="1">
        <f t="array" ref="AC911">IF($D911&lt;COLUMNS($F$7:AC$7),"",INDEX(TableDiv[[GASB]:[GASB]],_xlfn.AGGREGATE(15,3,(TableDiv[[Agency]:[Agency]]=$E911)/(TableDiv[[Agency]:[Agency]]=$E911)*(ROW(TableDiv[Agency])-ROW(TableDiv[[#Headers],[Agency]])),COLUMNS($F$7:AC$7))))</f>
        <v/>
      </c>
      <c r="AD911" s="2223" t="str" cm="1">
        <f t="array" ref="AD911">IF($D911&lt;COLUMNS($F$7:AD$7),"",INDEX(TableDiv[[GASB]:[GASB]],_xlfn.AGGREGATE(15,3,(TableDiv[[Agency]:[Agency]]=$E911)/(TableDiv[[Agency]:[Agency]]=$E911)*(ROW(TableDiv[Agency])-ROW(TableDiv[[#Headers],[Agency]])),COLUMNS($F$7:AD$7))))</f>
        <v/>
      </c>
      <c r="AE911" s="2223" t="str" cm="1">
        <f t="array" ref="AE911">IF($D911&lt;COLUMNS($F$7:AE$7),"",INDEX(TableDiv[[GASB]:[GASB]],_xlfn.AGGREGATE(15,3,(TableDiv[[Agency]:[Agency]]=$E911)/(TableDiv[[Agency]:[Agency]]=$E911)*(ROW(TableDiv[Agency])-ROW(TableDiv[[#Headers],[Agency]])),COLUMNS($F$7:AE$7))))</f>
        <v/>
      </c>
      <c r="AF911" s="2223" t="str" cm="1">
        <f t="array" ref="AF911">IF($D911&lt;COLUMNS($F$7:AF$7),"",INDEX(TableDiv[[GASB]:[GASB]],_xlfn.AGGREGATE(15,3,(TableDiv[[Agency]:[Agency]]=$E911)/(TableDiv[[Agency]:[Agency]]=$E911)*(ROW(TableDiv[Agency])-ROW(TableDiv[[#Headers],[Agency]])),COLUMNS($F$7:AF$7))))</f>
        <v/>
      </c>
      <c r="AG911" s="2223" t="str" cm="1">
        <f t="array" ref="AG911">IF($D911&lt;COLUMNS($F$7:AG$7),"",INDEX(TableDiv[[GASB]:[GASB]],_xlfn.AGGREGATE(15,3,(TableDiv[[Agency]:[Agency]]=$E911)/(TableDiv[[Agency]:[Agency]]=$E911)*(ROW(TableDiv[Agency])-ROW(TableDiv[[#Headers],[Agency]])),COLUMNS($F$7:AG$7))))</f>
        <v/>
      </c>
      <c r="AH911" s="2223" t="str" cm="1">
        <f t="array" ref="AH911">IF($D911&lt;COLUMNS($F$7:AH$7),"",INDEX(TableDiv[[GASB]:[GASB]],_xlfn.AGGREGATE(15,3,(TableDiv[[Agency]:[Agency]]=$E911)/(TableDiv[[Agency]:[Agency]]=$E911)*(ROW(TableDiv[Agency])-ROW(TableDiv[[#Headers],[Agency]])),COLUMNS($F$7:AH$7))))</f>
        <v/>
      </c>
      <c r="AI911" s="2223" t="str" cm="1">
        <f t="array" ref="AI911">IF($D911&lt;COLUMNS($F$7:AI$7),"",INDEX(TableDiv[[GASB]:[GASB]],_xlfn.AGGREGATE(15,3,(TableDiv[[Agency]:[Agency]]=$E911)/(TableDiv[[Agency]:[Agency]]=$E911)*(ROW(TableDiv[Agency])-ROW(TableDiv[[#Headers],[Agency]])),COLUMNS($F$7:AI$7))))</f>
        <v/>
      </c>
      <c r="AJ911" s="2223" t="str" cm="1">
        <f t="array" ref="AJ911">IF($D911&lt;COLUMNS($F$7:AJ$7),"",INDEX(TableDiv[[GASB]:[GASB]],_xlfn.AGGREGATE(15,3,(TableDiv[[Agency]:[Agency]]=$E911)/(TableDiv[[Agency]:[Agency]]=$E911)*(ROW(TableDiv[Agency])-ROW(TableDiv[[#Headers],[Agency]])),COLUMNS($F$7:AJ$7))))</f>
        <v/>
      </c>
      <c r="AK911" s="2223" t="str" cm="1">
        <f t="array" ref="AK911">IF($D911&lt;COLUMNS($F$7:AK$7),"",INDEX(TableDiv[[GASB]:[GASB]],_xlfn.AGGREGATE(15,3,(TableDiv[[Agency]:[Agency]]=$E911)/(TableDiv[[Agency]:[Agency]]=$E911)*(ROW(TableDiv[Agency])-ROW(TableDiv[[#Headers],[Agency]])),COLUMNS($F$7:AK$7))))</f>
        <v/>
      </c>
      <c r="AL911" s="2223" t="str" cm="1">
        <f t="array" ref="AL911">IF($D911&lt;COLUMNS($F$7:AL$7),"",INDEX(TableDiv[[GASB]:[GASB]],_xlfn.AGGREGATE(15,3,(TableDiv[[Agency]:[Agency]]=$E911)/(TableDiv[[Agency]:[Agency]]=$E911)*(ROW(TableDiv[Agency])-ROW(TableDiv[[#Headers],[Agency]])),COLUMNS($F$7:AL$7))))</f>
        <v/>
      </c>
      <c r="AM911" s="2223" t="str" cm="1">
        <f t="array" ref="AM911">IF($D911&lt;COLUMNS($F$7:AM$7),"",INDEX(TableDiv[[GASB]:[GASB]],_xlfn.AGGREGATE(15,3,(TableDiv[[Agency]:[Agency]]=$E911)/(TableDiv[[Agency]:[Agency]]=$E911)*(ROW(TableDiv[Agency])-ROW(TableDiv[[#Headers],[Agency]])),COLUMNS($F$7:AM$7))))</f>
        <v/>
      </c>
      <c r="AN911" s="2223"/>
      <c r="AO911" s="2223"/>
      <c r="AP911" s="2223"/>
      <c r="AQ911" s="2223"/>
      <c r="AR911" s="2223"/>
      <c r="AS911" s="2223"/>
    </row>
    <row r="912" spans="1:45" x14ac:dyDescent="0.2">
      <c r="A912" s="2223"/>
      <c r="B912" s="2223"/>
      <c r="C912" s="2223"/>
      <c r="W912" s="2223" t="str" cm="1">
        <f t="array" ref="W912">IF($D912&lt;COLUMNS($F$7:W$7),"",INDEX(TableDiv[[GASB]:[GASB]],_xlfn.AGGREGATE(15,3,(TableDiv[[Agency]:[Agency]]=$E912)/(TableDiv[[Agency]:[Agency]]=$E912)*(ROW(TableDiv[Agency])-ROW(TableDiv[[#Headers],[Agency]])),COLUMNS($F$7:W$7))))</f>
        <v/>
      </c>
      <c r="X912" s="2223" t="str" cm="1">
        <f t="array" ref="X912">IF($D912&lt;COLUMNS($F$7:X$7),"",INDEX(TableDiv[[GASB]:[GASB]],_xlfn.AGGREGATE(15,3,(TableDiv[[Agency]:[Agency]]=$E912)/(TableDiv[[Agency]:[Agency]]=$E912)*(ROW(TableDiv[Agency])-ROW(TableDiv[[#Headers],[Agency]])),COLUMNS($F$7:X$7))))</f>
        <v/>
      </c>
      <c r="Y912" s="2223" t="str" cm="1">
        <f t="array" ref="Y912">IF($D912&lt;COLUMNS($F$7:Y$7),"",INDEX(TableDiv[[GASB]:[GASB]],_xlfn.AGGREGATE(15,3,(TableDiv[[Agency]:[Agency]]=$E912)/(TableDiv[[Agency]:[Agency]]=$E912)*(ROW(TableDiv[Agency])-ROW(TableDiv[[#Headers],[Agency]])),COLUMNS($F$7:Y$7))))</f>
        <v/>
      </c>
      <c r="Z912" s="2223" t="str" cm="1">
        <f t="array" ref="Z912">IF($D912&lt;COLUMNS($F$7:Z$7),"",INDEX(TableDiv[[GASB]:[GASB]],_xlfn.AGGREGATE(15,3,(TableDiv[[Agency]:[Agency]]=$E912)/(TableDiv[[Agency]:[Agency]]=$E912)*(ROW(TableDiv[Agency])-ROW(TableDiv[[#Headers],[Agency]])),COLUMNS($F$7:Z$7))))</f>
        <v/>
      </c>
      <c r="AA912" s="2223" t="str" cm="1">
        <f t="array" ref="AA912">IF($D912&lt;COLUMNS($F$7:AA$7),"",INDEX(TableDiv[[GASB]:[GASB]],_xlfn.AGGREGATE(15,3,(TableDiv[[Agency]:[Agency]]=$E912)/(TableDiv[[Agency]:[Agency]]=$E912)*(ROW(TableDiv[Agency])-ROW(TableDiv[[#Headers],[Agency]])),COLUMNS($F$7:AA$7))))</f>
        <v/>
      </c>
      <c r="AB912" s="2223" t="str" cm="1">
        <f t="array" ref="AB912">IF($D912&lt;COLUMNS($F$7:AB$7),"",INDEX(TableDiv[[GASB]:[GASB]],_xlfn.AGGREGATE(15,3,(TableDiv[[Agency]:[Agency]]=$E912)/(TableDiv[[Agency]:[Agency]]=$E912)*(ROW(TableDiv[Agency])-ROW(TableDiv[[#Headers],[Agency]])),COLUMNS($F$7:AB$7))))</f>
        <v/>
      </c>
      <c r="AC912" s="2223" t="str" cm="1">
        <f t="array" ref="AC912">IF($D912&lt;COLUMNS($F$7:AC$7),"",INDEX(TableDiv[[GASB]:[GASB]],_xlfn.AGGREGATE(15,3,(TableDiv[[Agency]:[Agency]]=$E912)/(TableDiv[[Agency]:[Agency]]=$E912)*(ROW(TableDiv[Agency])-ROW(TableDiv[[#Headers],[Agency]])),COLUMNS($F$7:AC$7))))</f>
        <v/>
      </c>
      <c r="AD912" s="2223" t="str" cm="1">
        <f t="array" ref="AD912">IF($D912&lt;COLUMNS($F$7:AD$7),"",INDEX(TableDiv[[GASB]:[GASB]],_xlfn.AGGREGATE(15,3,(TableDiv[[Agency]:[Agency]]=$E912)/(TableDiv[[Agency]:[Agency]]=$E912)*(ROW(TableDiv[Agency])-ROW(TableDiv[[#Headers],[Agency]])),COLUMNS($F$7:AD$7))))</f>
        <v/>
      </c>
      <c r="AE912" s="2223" t="str" cm="1">
        <f t="array" ref="AE912">IF($D912&lt;COLUMNS($F$7:AE$7),"",INDEX(TableDiv[[GASB]:[GASB]],_xlfn.AGGREGATE(15,3,(TableDiv[[Agency]:[Agency]]=$E912)/(TableDiv[[Agency]:[Agency]]=$E912)*(ROW(TableDiv[Agency])-ROW(TableDiv[[#Headers],[Agency]])),COLUMNS($F$7:AE$7))))</f>
        <v/>
      </c>
      <c r="AF912" s="2223" t="str" cm="1">
        <f t="array" ref="AF912">IF($D912&lt;COLUMNS($F$7:AF$7),"",INDEX(TableDiv[[GASB]:[GASB]],_xlfn.AGGREGATE(15,3,(TableDiv[[Agency]:[Agency]]=$E912)/(TableDiv[[Agency]:[Agency]]=$E912)*(ROW(TableDiv[Agency])-ROW(TableDiv[[#Headers],[Agency]])),COLUMNS($F$7:AF$7))))</f>
        <v/>
      </c>
      <c r="AG912" s="2223" t="str" cm="1">
        <f t="array" ref="AG912">IF($D912&lt;COLUMNS($F$7:AG$7),"",INDEX(TableDiv[[GASB]:[GASB]],_xlfn.AGGREGATE(15,3,(TableDiv[[Agency]:[Agency]]=$E912)/(TableDiv[[Agency]:[Agency]]=$E912)*(ROW(TableDiv[Agency])-ROW(TableDiv[[#Headers],[Agency]])),COLUMNS($F$7:AG$7))))</f>
        <v/>
      </c>
      <c r="AH912" s="2223" t="str" cm="1">
        <f t="array" ref="AH912">IF($D912&lt;COLUMNS($F$7:AH$7),"",INDEX(TableDiv[[GASB]:[GASB]],_xlfn.AGGREGATE(15,3,(TableDiv[[Agency]:[Agency]]=$E912)/(TableDiv[[Agency]:[Agency]]=$E912)*(ROW(TableDiv[Agency])-ROW(TableDiv[[#Headers],[Agency]])),COLUMNS($F$7:AH$7))))</f>
        <v/>
      </c>
      <c r="AI912" s="2223" t="str" cm="1">
        <f t="array" ref="AI912">IF($D912&lt;COLUMNS($F$7:AI$7),"",INDEX(TableDiv[[GASB]:[GASB]],_xlfn.AGGREGATE(15,3,(TableDiv[[Agency]:[Agency]]=$E912)/(TableDiv[[Agency]:[Agency]]=$E912)*(ROW(TableDiv[Agency])-ROW(TableDiv[[#Headers],[Agency]])),COLUMNS($F$7:AI$7))))</f>
        <v/>
      </c>
      <c r="AJ912" s="2223" t="str" cm="1">
        <f t="array" ref="AJ912">IF($D912&lt;COLUMNS($F$7:AJ$7),"",INDEX(TableDiv[[GASB]:[GASB]],_xlfn.AGGREGATE(15,3,(TableDiv[[Agency]:[Agency]]=$E912)/(TableDiv[[Agency]:[Agency]]=$E912)*(ROW(TableDiv[Agency])-ROW(TableDiv[[#Headers],[Agency]])),COLUMNS($F$7:AJ$7))))</f>
        <v/>
      </c>
      <c r="AK912" s="2223" t="str" cm="1">
        <f t="array" ref="AK912">IF($D912&lt;COLUMNS($F$7:AK$7),"",INDEX(TableDiv[[GASB]:[GASB]],_xlfn.AGGREGATE(15,3,(TableDiv[[Agency]:[Agency]]=$E912)/(TableDiv[[Agency]:[Agency]]=$E912)*(ROW(TableDiv[Agency])-ROW(TableDiv[[#Headers],[Agency]])),COLUMNS($F$7:AK$7))))</f>
        <v/>
      </c>
      <c r="AL912" s="2223" t="str" cm="1">
        <f t="array" ref="AL912">IF($D912&lt;COLUMNS($F$7:AL$7),"",INDEX(TableDiv[[GASB]:[GASB]],_xlfn.AGGREGATE(15,3,(TableDiv[[Agency]:[Agency]]=$E912)/(TableDiv[[Agency]:[Agency]]=$E912)*(ROW(TableDiv[Agency])-ROW(TableDiv[[#Headers],[Agency]])),COLUMNS($F$7:AL$7))))</f>
        <v/>
      </c>
      <c r="AM912" s="2223" t="str" cm="1">
        <f t="array" ref="AM912">IF($D912&lt;COLUMNS($F$7:AM$7),"",INDEX(TableDiv[[GASB]:[GASB]],_xlfn.AGGREGATE(15,3,(TableDiv[[Agency]:[Agency]]=$E912)/(TableDiv[[Agency]:[Agency]]=$E912)*(ROW(TableDiv[Agency])-ROW(TableDiv[[#Headers],[Agency]])),COLUMNS($F$7:AM$7))))</f>
        <v/>
      </c>
      <c r="AN912" s="2223"/>
      <c r="AO912" s="2223"/>
      <c r="AP912" s="2223"/>
      <c r="AQ912" s="2223"/>
      <c r="AR912" s="2223"/>
      <c r="AS912" s="2223"/>
    </row>
    <row r="913" spans="1:45" x14ac:dyDescent="0.2">
      <c r="A913" s="2223"/>
      <c r="B913" s="2223"/>
      <c r="C913" s="2223"/>
      <c r="W913" s="2223" t="str" cm="1">
        <f t="array" ref="W913">IF($D913&lt;COLUMNS($F$7:W$7),"",INDEX(TableDiv[[GASB]:[GASB]],_xlfn.AGGREGATE(15,3,(TableDiv[[Agency]:[Agency]]=$E913)/(TableDiv[[Agency]:[Agency]]=$E913)*(ROW(TableDiv[Agency])-ROW(TableDiv[[#Headers],[Agency]])),COLUMNS($F$7:W$7))))</f>
        <v/>
      </c>
      <c r="X913" s="2223" t="str" cm="1">
        <f t="array" ref="X913">IF($D913&lt;COLUMNS($F$7:X$7),"",INDEX(TableDiv[[GASB]:[GASB]],_xlfn.AGGREGATE(15,3,(TableDiv[[Agency]:[Agency]]=$E913)/(TableDiv[[Agency]:[Agency]]=$E913)*(ROW(TableDiv[Agency])-ROW(TableDiv[[#Headers],[Agency]])),COLUMNS($F$7:X$7))))</f>
        <v/>
      </c>
      <c r="Y913" s="2223" t="str" cm="1">
        <f t="array" ref="Y913">IF($D913&lt;COLUMNS($F$7:Y$7),"",INDEX(TableDiv[[GASB]:[GASB]],_xlfn.AGGREGATE(15,3,(TableDiv[[Agency]:[Agency]]=$E913)/(TableDiv[[Agency]:[Agency]]=$E913)*(ROW(TableDiv[Agency])-ROW(TableDiv[[#Headers],[Agency]])),COLUMNS($F$7:Y$7))))</f>
        <v/>
      </c>
      <c r="Z913" s="2223" t="str" cm="1">
        <f t="array" ref="Z913">IF($D913&lt;COLUMNS($F$7:Z$7),"",INDEX(TableDiv[[GASB]:[GASB]],_xlfn.AGGREGATE(15,3,(TableDiv[[Agency]:[Agency]]=$E913)/(TableDiv[[Agency]:[Agency]]=$E913)*(ROW(TableDiv[Agency])-ROW(TableDiv[[#Headers],[Agency]])),COLUMNS($F$7:Z$7))))</f>
        <v/>
      </c>
      <c r="AA913" s="2223" t="str" cm="1">
        <f t="array" ref="AA913">IF($D913&lt;COLUMNS($F$7:AA$7),"",INDEX(TableDiv[[GASB]:[GASB]],_xlfn.AGGREGATE(15,3,(TableDiv[[Agency]:[Agency]]=$E913)/(TableDiv[[Agency]:[Agency]]=$E913)*(ROW(TableDiv[Agency])-ROW(TableDiv[[#Headers],[Agency]])),COLUMNS($F$7:AA$7))))</f>
        <v/>
      </c>
      <c r="AB913" s="2223" t="str" cm="1">
        <f t="array" ref="AB913">IF($D913&lt;COLUMNS($F$7:AB$7),"",INDEX(TableDiv[[GASB]:[GASB]],_xlfn.AGGREGATE(15,3,(TableDiv[[Agency]:[Agency]]=$E913)/(TableDiv[[Agency]:[Agency]]=$E913)*(ROW(TableDiv[Agency])-ROW(TableDiv[[#Headers],[Agency]])),COLUMNS($F$7:AB$7))))</f>
        <v/>
      </c>
      <c r="AC913" s="2223" t="str" cm="1">
        <f t="array" ref="AC913">IF($D913&lt;COLUMNS($F$7:AC$7),"",INDEX(TableDiv[[GASB]:[GASB]],_xlfn.AGGREGATE(15,3,(TableDiv[[Agency]:[Agency]]=$E913)/(TableDiv[[Agency]:[Agency]]=$E913)*(ROW(TableDiv[Agency])-ROW(TableDiv[[#Headers],[Agency]])),COLUMNS($F$7:AC$7))))</f>
        <v/>
      </c>
      <c r="AD913" s="2223" t="str" cm="1">
        <f t="array" ref="AD913">IF($D913&lt;COLUMNS($F$7:AD$7),"",INDEX(TableDiv[[GASB]:[GASB]],_xlfn.AGGREGATE(15,3,(TableDiv[[Agency]:[Agency]]=$E913)/(TableDiv[[Agency]:[Agency]]=$E913)*(ROW(TableDiv[Agency])-ROW(TableDiv[[#Headers],[Agency]])),COLUMNS($F$7:AD$7))))</f>
        <v/>
      </c>
      <c r="AE913" s="2223" t="str" cm="1">
        <f t="array" ref="AE913">IF($D913&lt;COLUMNS($F$7:AE$7),"",INDEX(TableDiv[[GASB]:[GASB]],_xlfn.AGGREGATE(15,3,(TableDiv[[Agency]:[Agency]]=$E913)/(TableDiv[[Agency]:[Agency]]=$E913)*(ROW(TableDiv[Agency])-ROW(TableDiv[[#Headers],[Agency]])),COLUMNS($F$7:AE$7))))</f>
        <v/>
      </c>
      <c r="AF913" s="2223" t="str" cm="1">
        <f t="array" ref="AF913">IF($D913&lt;COLUMNS($F$7:AF$7),"",INDEX(TableDiv[[GASB]:[GASB]],_xlfn.AGGREGATE(15,3,(TableDiv[[Agency]:[Agency]]=$E913)/(TableDiv[[Agency]:[Agency]]=$E913)*(ROW(TableDiv[Agency])-ROW(TableDiv[[#Headers],[Agency]])),COLUMNS($F$7:AF$7))))</f>
        <v/>
      </c>
      <c r="AG913" s="2223" t="str" cm="1">
        <f t="array" ref="AG913">IF($D913&lt;COLUMNS($F$7:AG$7),"",INDEX(TableDiv[[GASB]:[GASB]],_xlfn.AGGREGATE(15,3,(TableDiv[[Agency]:[Agency]]=$E913)/(TableDiv[[Agency]:[Agency]]=$E913)*(ROW(TableDiv[Agency])-ROW(TableDiv[[#Headers],[Agency]])),COLUMNS($F$7:AG$7))))</f>
        <v/>
      </c>
      <c r="AH913" s="2223" t="str" cm="1">
        <f t="array" ref="AH913">IF($D913&lt;COLUMNS($F$7:AH$7),"",INDEX(TableDiv[[GASB]:[GASB]],_xlfn.AGGREGATE(15,3,(TableDiv[[Agency]:[Agency]]=$E913)/(TableDiv[[Agency]:[Agency]]=$E913)*(ROW(TableDiv[Agency])-ROW(TableDiv[[#Headers],[Agency]])),COLUMNS($F$7:AH$7))))</f>
        <v/>
      </c>
      <c r="AI913" s="2223" t="str" cm="1">
        <f t="array" ref="AI913">IF($D913&lt;COLUMNS($F$7:AI$7),"",INDEX(TableDiv[[GASB]:[GASB]],_xlfn.AGGREGATE(15,3,(TableDiv[[Agency]:[Agency]]=$E913)/(TableDiv[[Agency]:[Agency]]=$E913)*(ROW(TableDiv[Agency])-ROW(TableDiv[[#Headers],[Agency]])),COLUMNS($F$7:AI$7))))</f>
        <v/>
      </c>
      <c r="AJ913" s="2223" t="str" cm="1">
        <f t="array" ref="AJ913">IF($D913&lt;COLUMNS($F$7:AJ$7),"",INDEX(TableDiv[[GASB]:[GASB]],_xlfn.AGGREGATE(15,3,(TableDiv[[Agency]:[Agency]]=$E913)/(TableDiv[[Agency]:[Agency]]=$E913)*(ROW(TableDiv[Agency])-ROW(TableDiv[[#Headers],[Agency]])),COLUMNS($F$7:AJ$7))))</f>
        <v/>
      </c>
      <c r="AK913" s="2223" t="str" cm="1">
        <f t="array" ref="AK913">IF($D913&lt;COLUMNS($F$7:AK$7),"",INDEX(TableDiv[[GASB]:[GASB]],_xlfn.AGGREGATE(15,3,(TableDiv[[Agency]:[Agency]]=$E913)/(TableDiv[[Agency]:[Agency]]=$E913)*(ROW(TableDiv[Agency])-ROW(TableDiv[[#Headers],[Agency]])),COLUMNS($F$7:AK$7))))</f>
        <v/>
      </c>
      <c r="AL913" s="2223" t="str" cm="1">
        <f t="array" ref="AL913">IF($D913&lt;COLUMNS($F$7:AL$7),"",INDEX(TableDiv[[GASB]:[GASB]],_xlfn.AGGREGATE(15,3,(TableDiv[[Agency]:[Agency]]=$E913)/(TableDiv[[Agency]:[Agency]]=$E913)*(ROW(TableDiv[Agency])-ROW(TableDiv[[#Headers],[Agency]])),COLUMNS($F$7:AL$7))))</f>
        <v/>
      </c>
      <c r="AM913" s="2223" t="str" cm="1">
        <f t="array" ref="AM913">IF($D913&lt;COLUMNS($F$7:AM$7),"",INDEX(TableDiv[[GASB]:[GASB]],_xlfn.AGGREGATE(15,3,(TableDiv[[Agency]:[Agency]]=$E913)/(TableDiv[[Agency]:[Agency]]=$E913)*(ROW(TableDiv[Agency])-ROW(TableDiv[[#Headers],[Agency]])),COLUMNS($F$7:AM$7))))</f>
        <v/>
      </c>
      <c r="AN913" s="2223"/>
      <c r="AO913" s="2223"/>
      <c r="AP913" s="2223"/>
      <c r="AQ913" s="2223"/>
      <c r="AR913" s="2223"/>
      <c r="AS913" s="2223"/>
    </row>
    <row r="914" spans="1:45" x14ac:dyDescent="0.2">
      <c r="A914" s="2223"/>
      <c r="B914" s="2223"/>
      <c r="C914" s="2223"/>
      <c r="W914" s="2223" t="str" cm="1">
        <f t="array" ref="W914">IF($D914&lt;COLUMNS($F$7:W$7),"",INDEX(TableDiv[[GASB]:[GASB]],_xlfn.AGGREGATE(15,3,(TableDiv[[Agency]:[Agency]]=$E914)/(TableDiv[[Agency]:[Agency]]=$E914)*(ROW(TableDiv[Agency])-ROW(TableDiv[[#Headers],[Agency]])),COLUMNS($F$7:W$7))))</f>
        <v/>
      </c>
      <c r="X914" s="2223" t="str" cm="1">
        <f t="array" ref="X914">IF($D914&lt;COLUMNS($F$7:X$7),"",INDEX(TableDiv[[GASB]:[GASB]],_xlfn.AGGREGATE(15,3,(TableDiv[[Agency]:[Agency]]=$E914)/(TableDiv[[Agency]:[Agency]]=$E914)*(ROW(TableDiv[Agency])-ROW(TableDiv[[#Headers],[Agency]])),COLUMNS($F$7:X$7))))</f>
        <v/>
      </c>
      <c r="Y914" s="2223" t="str" cm="1">
        <f t="array" ref="Y914">IF($D914&lt;COLUMNS($F$7:Y$7),"",INDEX(TableDiv[[GASB]:[GASB]],_xlfn.AGGREGATE(15,3,(TableDiv[[Agency]:[Agency]]=$E914)/(TableDiv[[Agency]:[Agency]]=$E914)*(ROW(TableDiv[Agency])-ROW(TableDiv[[#Headers],[Agency]])),COLUMNS($F$7:Y$7))))</f>
        <v/>
      </c>
      <c r="Z914" s="2223" t="str" cm="1">
        <f t="array" ref="Z914">IF($D914&lt;COLUMNS($F$7:Z$7),"",INDEX(TableDiv[[GASB]:[GASB]],_xlfn.AGGREGATE(15,3,(TableDiv[[Agency]:[Agency]]=$E914)/(TableDiv[[Agency]:[Agency]]=$E914)*(ROW(TableDiv[Agency])-ROW(TableDiv[[#Headers],[Agency]])),COLUMNS($F$7:Z$7))))</f>
        <v/>
      </c>
      <c r="AA914" s="2223" t="str" cm="1">
        <f t="array" ref="AA914">IF($D914&lt;COLUMNS($F$7:AA$7),"",INDEX(TableDiv[[GASB]:[GASB]],_xlfn.AGGREGATE(15,3,(TableDiv[[Agency]:[Agency]]=$E914)/(TableDiv[[Agency]:[Agency]]=$E914)*(ROW(TableDiv[Agency])-ROW(TableDiv[[#Headers],[Agency]])),COLUMNS($F$7:AA$7))))</f>
        <v/>
      </c>
      <c r="AB914" s="2223" t="str" cm="1">
        <f t="array" ref="AB914">IF($D914&lt;COLUMNS($F$7:AB$7),"",INDEX(TableDiv[[GASB]:[GASB]],_xlfn.AGGREGATE(15,3,(TableDiv[[Agency]:[Agency]]=$E914)/(TableDiv[[Agency]:[Agency]]=$E914)*(ROW(TableDiv[Agency])-ROW(TableDiv[[#Headers],[Agency]])),COLUMNS($F$7:AB$7))))</f>
        <v/>
      </c>
      <c r="AC914" s="2223" t="str" cm="1">
        <f t="array" ref="AC914">IF($D914&lt;COLUMNS($F$7:AC$7),"",INDEX(TableDiv[[GASB]:[GASB]],_xlfn.AGGREGATE(15,3,(TableDiv[[Agency]:[Agency]]=$E914)/(TableDiv[[Agency]:[Agency]]=$E914)*(ROW(TableDiv[Agency])-ROW(TableDiv[[#Headers],[Agency]])),COLUMNS($F$7:AC$7))))</f>
        <v/>
      </c>
      <c r="AD914" s="2223" t="str" cm="1">
        <f t="array" ref="AD914">IF($D914&lt;COLUMNS($F$7:AD$7),"",INDEX(TableDiv[[GASB]:[GASB]],_xlfn.AGGREGATE(15,3,(TableDiv[[Agency]:[Agency]]=$E914)/(TableDiv[[Agency]:[Agency]]=$E914)*(ROW(TableDiv[Agency])-ROW(TableDiv[[#Headers],[Agency]])),COLUMNS($F$7:AD$7))))</f>
        <v/>
      </c>
      <c r="AE914" s="2223" t="str" cm="1">
        <f t="array" ref="AE914">IF($D914&lt;COLUMNS($F$7:AE$7),"",INDEX(TableDiv[[GASB]:[GASB]],_xlfn.AGGREGATE(15,3,(TableDiv[[Agency]:[Agency]]=$E914)/(TableDiv[[Agency]:[Agency]]=$E914)*(ROW(TableDiv[Agency])-ROW(TableDiv[[#Headers],[Agency]])),COLUMNS($F$7:AE$7))))</f>
        <v/>
      </c>
      <c r="AF914" s="2223" t="str" cm="1">
        <f t="array" ref="AF914">IF($D914&lt;COLUMNS($F$7:AF$7),"",INDEX(TableDiv[[GASB]:[GASB]],_xlfn.AGGREGATE(15,3,(TableDiv[[Agency]:[Agency]]=$E914)/(TableDiv[[Agency]:[Agency]]=$E914)*(ROW(TableDiv[Agency])-ROW(TableDiv[[#Headers],[Agency]])),COLUMNS($F$7:AF$7))))</f>
        <v/>
      </c>
      <c r="AG914" s="2223" t="str" cm="1">
        <f t="array" ref="AG914">IF($D914&lt;COLUMNS($F$7:AG$7),"",INDEX(TableDiv[[GASB]:[GASB]],_xlfn.AGGREGATE(15,3,(TableDiv[[Agency]:[Agency]]=$E914)/(TableDiv[[Agency]:[Agency]]=$E914)*(ROW(TableDiv[Agency])-ROW(TableDiv[[#Headers],[Agency]])),COLUMNS($F$7:AG$7))))</f>
        <v/>
      </c>
      <c r="AH914" s="2223" t="str" cm="1">
        <f t="array" ref="AH914">IF($D914&lt;COLUMNS($F$7:AH$7),"",INDEX(TableDiv[[GASB]:[GASB]],_xlfn.AGGREGATE(15,3,(TableDiv[[Agency]:[Agency]]=$E914)/(TableDiv[[Agency]:[Agency]]=$E914)*(ROW(TableDiv[Agency])-ROW(TableDiv[[#Headers],[Agency]])),COLUMNS($F$7:AH$7))))</f>
        <v/>
      </c>
      <c r="AI914" s="2223" t="str" cm="1">
        <f t="array" ref="AI914">IF($D914&lt;COLUMNS($F$7:AI$7),"",INDEX(TableDiv[[GASB]:[GASB]],_xlfn.AGGREGATE(15,3,(TableDiv[[Agency]:[Agency]]=$E914)/(TableDiv[[Agency]:[Agency]]=$E914)*(ROW(TableDiv[Agency])-ROW(TableDiv[[#Headers],[Agency]])),COLUMNS($F$7:AI$7))))</f>
        <v/>
      </c>
      <c r="AJ914" s="2223" t="str" cm="1">
        <f t="array" ref="AJ914">IF($D914&lt;COLUMNS($F$7:AJ$7),"",INDEX(TableDiv[[GASB]:[GASB]],_xlfn.AGGREGATE(15,3,(TableDiv[[Agency]:[Agency]]=$E914)/(TableDiv[[Agency]:[Agency]]=$E914)*(ROW(TableDiv[Agency])-ROW(TableDiv[[#Headers],[Agency]])),COLUMNS($F$7:AJ$7))))</f>
        <v/>
      </c>
      <c r="AK914" s="2223" t="str" cm="1">
        <f t="array" ref="AK914">IF($D914&lt;COLUMNS($F$7:AK$7),"",INDEX(TableDiv[[GASB]:[GASB]],_xlfn.AGGREGATE(15,3,(TableDiv[[Agency]:[Agency]]=$E914)/(TableDiv[[Agency]:[Agency]]=$E914)*(ROW(TableDiv[Agency])-ROW(TableDiv[[#Headers],[Agency]])),COLUMNS($F$7:AK$7))))</f>
        <v/>
      </c>
      <c r="AL914" s="2223" t="str" cm="1">
        <f t="array" ref="AL914">IF($D914&lt;COLUMNS($F$7:AL$7),"",INDEX(TableDiv[[GASB]:[GASB]],_xlfn.AGGREGATE(15,3,(TableDiv[[Agency]:[Agency]]=$E914)/(TableDiv[[Agency]:[Agency]]=$E914)*(ROW(TableDiv[Agency])-ROW(TableDiv[[#Headers],[Agency]])),COLUMNS($F$7:AL$7))))</f>
        <v/>
      </c>
      <c r="AM914" s="2223" t="str" cm="1">
        <f t="array" ref="AM914">IF($D914&lt;COLUMNS($F$7:AM$7),"",INDEX(TableDiv[[GASB]:[GASB]],_xlfn.AGGREGATE(15,3,(TableDiv[[Agency]:[Agency]]=$E914)/(TableDiv[[Agency]:[Agency]]=$E914)*(ROW(TableDiv[Agency])-ROW(TableDiv[[#Headers],[Agency]])),COLUMNS($F$7:AM$7))))</f>
        <v/>
      </c>
      <c r="AN914" s="2223"/>
      <c r="AO914" s="2223"/>
      <c r="AP914" s="2223"/>
      <c r="AQ914" s="2223"/>
      <c r="AR914" s="2223"/>
      <c r="AS914" s="2223"/>
    </row>
    <row r="915" spans="1:45" x14ac:dyDescent="0.2">
      <c r="A915" s="2223"/>
      <c r="B915" s="2223"/>
      <c r="C915" s="2223"/>
      <c r="W915" s="2223" t="str" cm="1">
        <f t="array" ref="W915">IF($D915&lt;COLUMNS($F$7:W$7),"",INDEX(TableDiv[[GASB]:[GASB]],_xlfn.AGGREGATE(15,3,(TableDiv[[Agency]:[Agency]]=$E915)/(TableDiv[[Agency]:[Agency]]=$E915)*(ROW(TableDiv[Agency])-ROW(TableDiv[[#Headers],[Agency]])),COLUMNS($F$7:W$7))))</f>
        <v/>
      </c>
      <c r="X915" s="2223" t="str" cm="1">
        <f t="array" ref="X915">IF($D915&lt;COLUMNS($F$7:X$7),"",INDEX(TableDiv[[GASB]:[GASB]],_xlfn.AGGREGATE(15,3,(TableDiv[[Agency]:[Agency]]=$E915)/(TableDiv[[Agency]:[Agency]]=$E915)*(ROW(TableDiv[Agency])-ROW(TableDiv[[#Headers],[Agency]])),COLUMNS($F$7:X$7))))</f>
        <v/>
      </c>
      <c r="Y915" s="2223" t="str" cm="1">
        <f t="array" ref="Y915">IF($D915&lt;COLUMNS($F$7:Y$7),"",INDEX(TableDiv[[GASB]:[GASB]],_xlfn.AGGREGATE(15,3,(TableDiv[[Agency]:[Agency]]=$E915)/(TableDiv[[Agency]:[Agency]]=$E915)*(ROW(TableDiv[Agency])-ROW(TableDiv[[#Headers],[Agency]])),COLUMNS($F$7:Y$7))))</f>
        <v/>
      </c>
      <c r="Z915" s="2223" t="str" cm="1">
        <f t="array" ref="Z915">IF($D915&lt;COLUMNS($F$7:Z$7),"",INDEX(TableDiv[[GASB]:[GASB]],_xlfn.AGGREGATE(15,3,(TableDiv[[Agency]:[Agency]]=$E915)/(TableDiv[[Agency]:[Agency]]=$E915)*(ROW(TableDiv[Agency])-ROW(TableDiv[[#Headers],[Agency]])),COLUMNS($F$7:Z$7))))</f>
        <v/>
      </c>
      <c r="AA915" s="2223" t="str" cm="1">
        <f t="array" ref="AA915">IF($D915&lt;COLUMNS($F$7:AA$7),"",INDEX(TableDiv[[GASB]:[GASB]],_xlfn.AGGREGATE(15,3,(TableDiv[[Agency]:[Agency]]=$E915)/(TableDiv[[Agency]:[Agency]]=$E915)*(ROW(TableDiv[Agency])-ROW(TableDiv[[#Headers],[Agency]])),COLUMNS($F$7:AA$7))))</f>
        <v/>
      </c>
      <c r="AB915" s="2223" t="str" cm="1">
        <f t="array" ref="AB915">IF($D915&lt;COLUMNS($F$7:AB$7),"",INDEX(TableDiv[[GASB]:[GASB]],_xlfn.AGGREGATE(15,3,(TableDiv[[Agency]:[Agency]]=$E915)/(TableDiv[[Agency]:[Agency]]=$E915)*(ROW(TableDiv[Agency])-ROW(TableDiv[[#Headers],[Agency]])),COLUMNS($F$7:AB$7))))</f>
        <v/>
      </c>
      <c r="AC915" s="2223" t="str" cm="1">
        <f t="array" ref="AC915">IF($D915&lt;COLUMNS($F$7:AC$7),"",INDEX(TableDiv[[GASB]:[GASB]],_xlfn.AGGREGATE(15,3,(TableDiv[[Agency]:[Agency]]=$E915)/(TableDiv[[Agency]:[Agency]]=$E915)*(ROW(TableDiv[Agency])-ROW(TableDiv[[#Headers],[Agency]])),COLUMNS($F$7:AC$7))))</f>
        <v/>
      </c>
      <c r="AD915" s="2223" t="str" cm="1">
        <f t="array" ref="AD915">IF($D915&lt;COLUMNS($F$7:AD$7),"",INDEX(TableDiv[[GASB]:[GASB]],_xlfn.AGGREGATE(15,3,(TableDiv[[Agency]:[Agency]]=$E915)/(TableDiv[[Agency]:[Agency]]=$E915)*(ROW(TableDiv[Agency])-ROW(TableDiv[[#Headers],[Agency]])),COLUMNS($F$7:AD$7))))</f>
        <v/>
      </c>
      <c r="AE915" s="2223" t="str" cm="1">
        <f t="array" ref="AE915">IF($D915&lt;COLUMNS($F$7:AE$7),"",INDEX(TableDiv[[GASB]:[GASB]],_xlfn.AGGREGATE(15,3,(TableDiv[[Agency]:[Agency]]=$E915)/(TableDiv[[Agency]:[Agency]]=$E915)*(ROW(TableDiv[Agency])-ROW(TableDiv[[#Headers],[Agency]])),COLUMNS($F$7:AE$7))))</f>
        <v/>
      </c>
      <c r="AF915" s="2223" t="str" cm="1">
        <f t="array" ref="AF915">IF($D915&lt;COLUMNS($F$7:AF$7),"",INDEX(TableDiv[[GASB]:[GASB]],_xlfn.AGGREGATE(15,3,(TableDiv[[Agency]:[Agency]]=$E915)/(TableDiv[[Agency]:[Agency]]=$E915)*(ROW(TableDiv[Agency])-ROW(TableDiv[[#Headers],[Agency]])),COLUMNS($F$7:AF$7))))</f>
        <v/>
      </c>
      <c r="AG915" s="2223" t="str" cm="1">
        <f t="array" ref="AG915">IF($D915&lt;COLUMNS($F$7:AG$7),"",INDEX(TableDiv[[GASB]:[GASB]],_xlfn.AGGREGATE(15,3,(TableDiv[[Agency]:[Agency]]=$E915)/(TableDiv[[Agency]:[Agency]]=$E915)*(ROW(TableDiv[Agency])-ROW(TableDiv[[#Headers],[Agency]])),COLUMNS($F$7:AG$7))))</f>
        <v/>
      </c>
      <c r="AH915" s="2223" t="str" cm="1">
        <f t="array" ref="AH915">IF($D915&lt;COLUMNS($F$7:AH$7),"",INDEX(TableDiv[[GASB]:[GASB]],_xlfn.AGGREGATE(15,3,(TableDiv[[Agency]:[Agency]]=$E915)/(TableDiv[[Agency]:[Agency]]=$E915)*(ROW(TableDiv[Agency])-ROW(TableDiv[[#Headers],[Agency]])),COLUMNS($F$7:AH$7))))</f>
        <v/>
      </c>
      <c r="AI915" s="2223" t="str" cm="1">
        <f t="array" ref="AI915">IF($D915&lt;COLUMNS($F$7:AI$7),"",INDEX(TableDiv[[GASB]:[GASB]],_xlfn.AGGREGATE(15,3,(TableDiv[[Agency]:[Agency]]=$E915)/(TableDiv[[Agency]:[Agency]]=$E915)*(ROW(TableDiv[Agency])-ROW(TableDiv[[#Headers],[Agency]])),COLUMNS($F$7:AI$7))))</f>
        <v/>
      </c>
      <c r="AJ915" s="2223" t="str" cm="1">
        <f t="array" ref="AJ915">IF($D915&lt;COLUMNS($F$7:AJ$7),"",INDEX(TableDiv[[GASB]:[GASB]],_xlfn.AGGREGATE(15,3,(TableDiv[[Agency]:[Agency]]=$E915)/(TableDiv[[Agency]:[Agency]]=$E915)*(ROW(TableDiv[Agency])-ROW(TableDiv[[#Headers],[Agency]])),COLUMNS($F$7:AJ$7))))</f>
        <v/>
      </c>
      <c r="AK915" s="2223" t="str" cm="1">
        <f t="array" ref="AK915">IF($D915&lt;COLUMNS($F$7:AK$7),"",INDEX(TableDiv[[GASB]:[GASB]],_xlfn.AGGREGATE(15,3,(TableDiv[[Agency]:[Agency]]=$E915)/(TableDiv[[Agency]:[Agency]]=$E915)*(ROW(TableDiv[Agency])-ROW(TableDiv[[#Headers],[Agency]])),COLUMNS($F$7:AK$7))))</f>
        <v/>
      </c>
      <c r="AL915" s="2223" t="str" cm="1">
        <f t="array" ref="AL915">IF($D915&lt;COLUMNS($F$7:AL$7),"",INDEX(TableDiv[[GASB]:[GASB]],_xlfn.AGGREGATE(15,3,(TableDiv[[Agency]:[Agency]]=$E915)/(TableDiv[[Agency]:[Agency]]=$E915)*(ROW(TableDiv[Agency])-ROW(TableDiv[[#Headers],[Agency]])),COLUMNS($F$7:AL$7))))</f>
        <v/>
      </c>
      <c r="AM915" s="2223" t="str" cm="1">
        <f t="array" ref="AM915">IF($D915&lt;COLUMNS($F$7:AM$7),"",INDEX(TableDiv[[GASB]:[GASB]],_xlfn.AGGREGATE(15,3,(TableDiv[[Agency]:[Agency]]=$E915)/(TableDiv[[Agency]:[Agency]]=$E915)*(ROW(TableDiv[Agency])-ROW(TableDiv[[#Headers],[Agency]])),COLUMNS($F$7:AM$7))))</f>
        <v/>
      </c>
      <c r="AN915" s="2223"/>
      <c r="AO915" s="2223"/>
      <c r="AP915" s="2223"/>
      <c r="AQ915" s="2223"/>
      <c r="AR915" s="2223"/>
      <c r="AS915" s="2223"/>
    </row>
    <row r="916" spans="1:45" x14ac:dyDescent="0.2">
      <c r="A916" s="2223"/>
      <c r="B916" s="2223"/>
      <c r="C916" s="2223"/>
      <c r="W916" s="2223" t="str" cm="1">
        <f t="array" ref="W916">IF($D916&lt;COLUMNS($F$7:W$7),"",INDEX(TableDiv[[GASB]:[GASB]],_xlfn.AGGREGATE(15,3,(TableDiv[[Agency]:[Agency]]=$E916)/(TableDiv[[Agency]:[Agency]]=$E916)*(ROW(TableDiv[Agency])-ROW(TableDiv[[#Headers],[Agency]])),COLUMNS($F$7:W$7))))</f>
        <v/>
      </c>
      <c r="X916" s="2223" t="str" cm="1">
        <f t="array" ref="X916">IF($D916&lt;COLUMNS($F$7:X$7),"",INDEX(TableDiv[[GASB]:[GASB]],_xlfn.AGGREGATE(15,3,(TableDiv[[Agency]:[Agency]]=$E916)/(TableDiv[[Agency]:[Agency]]=$E916)*(ROW(TableDiv[Agency])-ROW(TableDiv[[#Headers],[Agency]])),COLUMNS($F$7:X$7))))</f>
        <v/>
      </c>
      <c r="Y916" s="2223" t="str" cm="1">
        <f t="array" ref="Y916">IF($D916&lt;COLUMNS($F$7:Y$7),"",INDEX(TableDiv[[GASB]:[GASB]],_xlfn.AGGREGATE(15,3,(TableDiv[[Agency]:[Agency]]=$E916)/(TableDiv[[Agency]:[Agency]]=$E916)*(ROW(TableDiv[Agency])-ROW(TableDiv[[#Headers],[Agency]])),COLUMNS($F$7:Y$7))))</f>
        <v/>
      </c>
      <c r="Z916" s="2223" t="str" cm="1">
        <f t="array" ref="Z916">IF($D916&lt;COLUMNS($F$7:Z$7),"",INDEX(TableDiv[[GASB]:[GASB]],_xlfn.AGGREGATE(15,3,(TableDiv[[Agency]:[Agency]]=$E916)/(TableDiv[[Agency]:[Agency]]=$E916)*(ROW(TableDiv[Agency])-ROW(TableDiv[[#Headers],[Agency]])),COLUMNS($F$7:Z$7))))</f>
        <v/>
      </c>
      <c r="AA916" s="2223" t="str" cm="1">
        <f t="array" ref="AA916">IF($D916&lt;COLUMNS($F$7:AA$7),"",INDEX(TableDiv[[GASB]:[GASB]],_xlfn.AGGREGATE(15,3,(TableDiv[[Agency]:[Agency]]=$E916)/(TableDiv[[Agency]:[Agency]]=$E916)*(ROW(TableDiv[Agency])-ROW(TableDiv[[#Headers],[Agency]])),COLUMNS($F$7:AA$7))))</f>
        <v/>
      </c>
      <c r="AB916" s="2223" t="str" cm="1">
        <f t="array" ref="AB916">IF($D916&lt;COLUMNS($F$7:AB$7),"",INDEX(TableDiv[[GASB]:[GASB]],_xlfn.AGGREGATE(15,3,(TableDiv[[Agency]:[Agency]]=$E916)/(TableDiv[[Agency]:[Agency]]=$E916)*(ROW(TableDiv[Agency])-ROW(TableDiv[[#Headers],[Agency]])),COLUMNS($F$7:AB$7))))</f>
        <v/>
      </c>
      <c r="AC916" s="2223" t="str" cm="1">
        <f t="array" ref="AC916">IF($D916&lt;COLUMNS($F$7:AC$7),"",INDEX(TableDiv[[GASB]:[GASB]],_xlfn.AGGREGATE(15,3,(TableDiv[[Agency]:[Agency]]=$E916)/(TableDiv[[Agency]:[Agency]]=$E916)*(ROW(TableDiv[Agency])-ROW(TableDiv[[#Headers],[Agency]])),COLUMNS($F$7:AC$7))))</f>
        <v/>
      </c>
      <c r="AD916" s="2223" t="str" cm="1">
        <f t="array" ref="AD916">IF($D916&lt;COLUMNS($F$7:AD$7),"",INDEX(TableDiv[[GASB]:[GASB]],_xlfn.AGGREGATE(15,3,(TableDiv[[Agency]:[Agency]]=$E916)/(TableDiv[[Agency]:[Agency]]=$E916)*(ROW(TableDiv[Agency])-ROW(TableDiv[[#Headers],[Agency]])),COLUMNS($F$7:AD$7))))</f>
        <v/>
      </c>
      <c r="AE916" s="2223" t="str" cm="1">
        <f t="array" ref="AE916">IF($D916&lt;COLUMNS($F$7:AE$7),"",INDEX(TableDiv[[GASB]:[GASB]],_xlfn.AGGREGATE(15,3,(TableDiv[[Agency]:[Agency]]=$E916)/(TableDiv[[Agency]:[Agency]]=$E916)*(ROW(TableDiv[Agency])-ROW(TableDiv[[#Headers],[Agency]])),COLUMNS($F$7:AE$7))))</f>
        <v/>
      </c>
      <c r="AF916" s="2223" t="str" cm="1">
        <f t="array" ref="AF916">IF($D916&lt;COLUMNS($F$7:AF$7),"",INDEX(TableDiv[[GASB]:[GASB]],_xlfn.AGGREGATE(15,3,(TableDiv[[Agency]:[Agency]]=$E916)/(TableDiv[[Agency]:[Agency]]=$E916)*(ROW(TableDiv[Agency])-ROW(TableDiv[[#Headers],[Agency]])),COLUMNS($F$7:AF$7))))</f>
        <v/>
      </c>
      <c r="AG916" s="2223" t="str" cm="1">
        <f t="array" ref="AG916">IF($D916&lt;COLUMNS($F$7:AG$7),"",INDEX(TableDiv[[GASB]:[GASB]],_xlfn.AGGREGATE(15,3,(TableDiv[[Agency]:[Agency]]=$E916)/(TableDiv[[Agency]:[Agency]]=$E916)*(ROW(TableDiv[Agency])-ROW(TableDiv[[#Headers],[Agency]])),COLUMNS($F$7:AG$7))))</f>
        <v/>
      </c>
      <c r="AH916" s="2223" t="str" cm="1">
        <f t="array" ref="AH916">IF($D916&lt;COLUMNS($F$7:AH$7),"",INDEX(TableDiv[[GASB]:[GASB]],_xlfn.AGGREGATE(15,3,(TableDiv[[Agency]:[Agency]]=$E916)/(TableDiv[[Agency]:[Agency]]=$E916)*(ROW(TableDiv[Agency])-ROW(TableDiv[[#Headers],[Agency]])),COLUMNS($F$7:AH$7))))</f>
        <v/>
      </c>
      <c r="AI916" s="2223" t="str" cm="1">
        <f t="array" ref="AI916">IF($D916&lt;COLUMNS($F$7:AI$7),"",INDEX(TableDiv[[GASB]:[GASB]],_xlfn.AGGREGATE(15,3,(TableDiv[[Agency]:[Agency]]=$E916)/(TableDiv[[Agency]:[Agency]]=$E916)*(ROW(TableDiv[Agency])-ROW(TableDiv[[#Headers],[Agency]])),COLUMNS($F$7:AI$7))))</f>
        <v/>
      </c>
      <c r="AJ916" s="2223" t="str" cm="1">
        <f t="array" ref="AJ916">IF($D916&lt;COLUMNS($F$7:AJ$7),"",INDEX(TableDiv[[GASB]:[GASB]],_xlfn.AGGREGATE(15,3,(TableDiv[[Agency]:[Agency]]=$E916)/(TableDiv[[Agency]:[Agency]]=$E916)*(ROW(TableDiv[Agency])-ROW(TableDiv[[#Headers],[Agency]])),COLUMNS($F$7:AJ$7))))</f>
        <v/>
      </c>
      <c r="AK916" s="2223" t="str" cm="1">
        <f t="array" ref="AK916">IF($D916&lt;COLUMNS($F$7:AK$7),"",INDEX(TableDiv[[GASB]:[GASB]],_xlfn.AGGREGATE(15,3,(TableDiv[[Agency]:[Agency]]=$E916)/(TableDiv[[Agency]:[Agency]]=$E916)*(ROW(TableDiv[Agency])-ROW(TableDiv[[#Headers],[Agency]])),COLUMNS($F$7:AK$7))))</f>
        <v/>
      </c>
      <c r="AL916" s="2223" t="str" cm="1">
        <f t="array" ref="AL916">IF($D916&lt;COLUMNS($F$7:AL$7),"",INDEX(TableDiv[[GASB]:[GASB]],_xlfn.AGGREGATE(15,3,(TableDiv[[Agency]:[Agency]]=$E916)/(TableDiv[[Agency]:[Agency]]=$E916)*(ROW(TableDiv[Agency])-ROW(TableDiv[[#Headers],[Agency]])),COLUMNS($F$7:AL$7))))</f>
        <v/>
      </c>
      <c r="AM916" s="2223" t="str" cm="1">
        <f t="array" ref="AM916">IF($D916&lt;COLUMNS($F$7:AM$7),"",INDEX(TableDiv[[GASB]:[GASB]],_xlfn.AGGREGATE(15,3,(TableDiv[[Agency]:[Agency]]=$E916)/(TableDiv[[Agency]:[Agency]]=$E916)*(ROW(TableDiv[Agency])-ROW(TableDiv[[#Headers],[Agency]])),COLUMNS($F$7:AM$7))))</f>
        <v/>
      </c>
      <c r="AN916" s="2223"/>
      <c r="AO916" s="2223"/>
      <c r="AP916" s="2223"/>
      <c r="AQ916" s="2223"/>
      <c r="AR916" s="2223"/>
      <c r="AS916" s="2223"/>
    </row>
    <row r="917" spans="1:45" x14ac:dyDescent="0.2">
      <c r="A917" s="2223"/>
      <c r="B917" s="2223"/>
      <c r="C917" s="2223"/>
      <c r="W917" s="2223" t="str" cm="1">
        <f t="array" ref="W917">IF($D917&lt;COLUMNS($F$7:W$7),"",INDEX(TableDiv[[GASB]:[GASB]],_xlfn.AGGREGATE(15,3,(TableDiv[[Agency]:[Agency]]=$E917)/(TableDiv[[Agency]:[Agency]]=$E917)*(ROW(TableDiv[Agency])-ROW(TableDiv[[#Headers],[Agency]])),COLUMNS($F$7:W$7))))</f>
        <v/>
      </c>
      <c r="X917" s="2223" t="str" cm="1">
        <f t="array" ref="X917">IF($D917&lt;COLUMNS($F$7:X$7),"",INDEX(TableDiv[[GASB]:[GASB]],_xlfn.AGGREGATE(15,3,(TableDiv[[Agency]:[Agency]]=$E917)/(TableDiv[[Agency]:[Agency]]=$E917)*(ROW(TableDiv[Agency])-ROW(TableDiv[[#Headers],[Agency]])),COLUMNS($F$7:X$7))))</f>
        <v/>
      </c>
      <c r="Y917" s="2223" t="str" cm="1">
        <f t="array" ref="Y917">IF($D917&lt;COLUMNS($F$7:Y$7),"",INDEX(TableDiv[[GASB]:[GASB]],_xlfn.AGGREGATE(15,3,(TableDiv[[Agency]:[Agency]]=$E917)/(TableDiv[[Agency]:[Agency]]=$E917)*(ROW(TableDiv[Agency])-ROW(TableDiv[[#Headers],[Agency]])),COLUMNS($F$7:Y$7))))</f>
        <v/>
      </c>
      <c r="Z917" s="2223" t="str" cm="1">
        <f t="array" ref="Z917">IF($D917&lt;COLUMNS($F$7:Z$7),"",INDEX(TableDiv[[GASB]:[GASB]],_xlfn.AGGREGATE(15,3,(TableDiv[[Agency]:[Agency]]=$E917)/(TableDiv[[Agency]:[Agency]]=$E917)*(ROW(TableDiv[Agency])-ROW(TableDiv[[#Headers],[Agency]])),COLUMNS($F$7:Z$7))))</f>
        <v/>
      </c>
      <c r="AA917" s="2223" t="str" cm="1">
        <f t="array" ref="AA917">IF($D917&lt;COLUMNS($F$7:AA$7),"",INDEX(TableDiv[[GASB]:[GASB]],_xlfn.AGGREGATE(15,3,(TableDiv[[Agency]:[Agency]]=$E917)/(TableDiv[[Agency]:[Agency]]=$E917)*(ROW(TableDiv[Agency])-ROW(TableDiv[[#Headers],[Agency]])),COLUMNS($F$7:AA$7))))</f>
        <v/>
      </c>
      <c r="AB917" s="2223" t="str" cm="1">
        <f t="array" ref="AB917">IF($D917&lt;COLUMNS($F$7:AB$7),"",INDEX(TableDiv[[GASB]:[GASB]],_xlfn.AGGREGATE(15,3,(TableDiv[[Agency]:[Agency]]=$E917)/(TableDiv[[Agency]:[Agency]]=$E917)*(ROW(TableDiv[Agency])-ROW(TableDiv[[#Headers],[Agency]])),COLUMNS($F$7:AB$7))))</f>
        <v/>
      </c>
      <c r="AC917" s="2223" t="str" cm="1">
        <f t="array" ref="AC917">IF($D917&lt;COLUMNS($F$7:AC$7),"",INDEX(TableDiv[[GASB]:[GASB]],_xlfn.AGGREGATE(15,3,(TableDiv[[Agency]:[Agency]]=$E917)/(TableDiv[[Agency]:[Agency]]=$E917)*(ROW(TableDiv[Agency])-ROW(TableDiv[[#Headers],[Agency]])),COLUMNS($F$7:AC$7))))</f>
        <v/>
      </c>
      <c r="AD917" s="2223" t="str" cm="1">
        <f t="array" ref="AD917">IF($D917&lt;COLUMNS($F$7:AD$7),"",INDEX(TableDiv[[GASB]:[GASB]],_xlfn.AGGREGATE(15,3,(TableDiv[[Agency]:[Agency]]=$E917)/(TableDiv[[Agency]:[Agency]]=$E917)*(ROW(TableDiv[Agency])-ROW(TableDiv[[#Headers],[Agency]])),COLUMNS($F$7:AD$7))))</f>
        <v/>
      </c>
      <c r="AE917" s="2223" t="str" cm="1">
        <f t="array" ref="AE917">IF($D917&lt;COLUMNS($F$7:AE$7),"",INDEX(TableDiv[[GASB]:[GASB]],_xlfn.AGGREGATE(15,3,(TableDiv[[Agency]:[Agency]]=$E917)/(TableDiv[[Agency]:[Agency]]=$E917)*(ROW(TableDiv[Agency])-ROW(TableDiv[[#Headers],[Agency]])),COLUMNS($F$7:AE$7))))</f>
        <v/>
      </c>
      <c r="AF917" s="2223" t="str" cm="1">
        <f t="array" ref="AF917">IF($D917&lt;COLUMNS($F$7:AF$7),"",INDEX(TableDiv[[GASB]:[GASB]],_xlfn.AGGREGATE(15,3,(TableDiv[[Agency]:[Agency]]=$E917)/(TableDiv[[Agency]:[Agency]]=$E917)*(ROW(TableDiv[Agency])-ROW(TableDiv[[#Headers],[Agency]])),COLUMNS($F$7:AF$7))))</f>
        <v/>
      </c>
      <c r="AG917" s="2223" t="str" cm="1">
        <f t="array" ref="AG917">IF($D917&lt;COLUMNS($F$7:AG$7),"",INDEX(TableDiv[[GASB]:[GASB]],_xlfn.AGGREGATE(15,3,(TableDiv[[Agency]:[Agency]]=$E917)/(TableDiv[[Agency]:[Agency]]=$E917)*(ROW(TableDiv[Agency])-ROW(TableDiv[[#Headers],[Agency]])),COLUMNS($F$7:AG$7))))</f>
        <v/>
      </c>
      <c r="AH917" s="2223" t="str" cm="1">
        <f t="array" ref="AH917">IF($D917&lt;COLUMNS($F$7:AH$7),"",INDEX(TableDiv[[GASB]:[GASB]],_xlfn.AGGREGATE(15,3,(TableDiv[[Agency]:[Agency]]=$E917)/(TableDiv[[Agency]:[Agency]]=$E917)*(ROW(TableDiv[Agency])-ROW(TableDiv[[#Headers],[Agency]])),COLUMNS($F$7:AH$7))))</f>
        <v/>
      </c>
      <c r="AI917" s="2223" t="str" cm="1">
        <f t="array" ref="AI917">IF($D917&lt;COLUMNS($F$7:AI$7),"",INDEX(TableDiv[[GASB]:[GASB]],_xlfn.AGGREGATE(15,3,(TableDiv[[Agency]:[Agency]]=$E917)/(TableDiv[[Agency]:[Agency]]=$E917)*(ROW(TableDiv[Agency])-ROW(TableDiv[[#Headers],[Agency]])),COLUMNS($F$7:AI$7))))</f>
        <v/>
      </c>
      <c r="AJ917" s="2223" t="str" cm="1">
        <f t="array" ref="AJ917">IF($D917&lt;COLUMNS($F$7:AJ$7),"",INDEX(TableDiv[[GASB]:[GASB]],_xlfn.AGGREGATE(15,3,(TableDiv[[Agency]:[Agency]]=$E917)/(TableDiv[[Agency]:[Agency]]=$E917)*(ROW(TableDiv[Agency])-ROW(TableDiv[[#Headers],[Agency]])),COLUMNS($F$7:AJ$7))))</f>
        <v/>
      </c>
      <c r="AK917" s="2223" t="str" cm="1">
        <f t="array" ref="AK917">IF($D917&lt;COLUMNS($F$7:AK$7),"",INDEX(TableDiv[[GASB]:[GASB]],_xlfn.AGGREGATE(15,3,(TableDiv[[Agency]:[Agency]]=$E917)/(TableDiv[[Agency]:[Agency]]=$E917)*(ROW(TableDiv[Agency])-ROW(TableDiv[[#Headers],[Agency]])),COLUMNS($F$7:AK$7))))</f>
        <v/>
      </c>
      <c r="AL917" s="2223" t="str" cm="1">
        <f t="array" ref="AL917">IF($D917&lt;COLUMNS($F$7:AL$7),"",INDEX(TableDiv[[GASB]:[GASB]],_xlfn.AGGREGATE(15,3,(TableDiv[[Agency]:[Agency]]=$E917)/(TableDiv[[Agency]:[Agency]]=$E917)*(ROW(TableDiv[Agency])-ROW(TableDiv[[#Headers],[Agency]])),COLUMNS($F$7:AL$7))))</f>
        <v/>
      </c>
      <c r="AM917" s="2223" t="str" cm="1">
        <f t="array" ref="AM917">IF($D917&lt;COLUMNS($F$7:AM$7),"",INDEX(TableDiv[[GASB]:[GASB]],_xlfn.AGGREGATE(15,3,(TableDiv[[Agency]:[Agency]]=$E917)/(TableDiv[[Agency]:[Agency]]=$E917)*(ROW(TableDiv[Agency])-ROW(TableDiv[[#Headers],[Agency]])),COLUMNS($F$7:AM$7))))</f>
        <v/>
      </c>
      <c r="AN917" s="2223"/>
      <c r="AO917" s="2223"/>
      <c r="AP917" s="2223"/>
      <c r="AQ917" s="2223"/>
      <c r="AR917" s="2223"/>
      <c r="AS917" s="2223"/>
    </row>
    <row r="918" spans="1:45" x14ac:dyDescent="0.2">
      <c r="A918" s="2223"/>
      <c r="B918" s="2223"/>
      <c r="C918" s="2223"/>
      <c r="W918" s="2223" t="str" cm="1">
        <f t="array" ref="W918">IF($D918&lt;COLUMNS($F$7:W$7),"",INDEX(TableDiv[[GASB]:[GASB]],_xlfn.AGGREGATE(15,3,(TableDiv[[Agency]:[Agency]]=$E918)/(TableDiv[[Agency]:[Agency]]=$E918)*(ROW(TableDiv[Agency])-ROW(TableDiv[[#Headers],[Agency]])),COLUMNS($F$7:W$7))))</f>
        <v/>
      </c>
      <c r="X918" s="2223" t="str" cm="1">
        <f t="array" ref="X918">IF($D918&lt;COLUMNS($F$7:X$7),"",INDEX(TableDiv[[GASB]:[GASB]],_xlfn.AGGREGATE(15,3,(TableDiv[[Agency]:[Agency]]=$E918)/(TableDiv[[Agency]:[Agency]]=$E918)*(ROW(TableDiv[Agency])-ROW(TableDiv[[#Headers],[Agency]])),COLUMNS($F$7:X$7))))</f>
        <v/>
      </c>
      <c r="Y918" s="2223" t="str" cm="1">
        <f t="array" ref="Y918">IF($D918&lt;COLUMNS($F$7:Y$7),"",INDEX(TableDiv[[GASB]:[GASB]],_xlfn.AGGREGATE(15,3,(TableDiv[[Agency]:[Agency]]=$E918)/(TableDiv[[Agency]:[Agency]]=$E918)*(ROW(TableDiv[Agency])-ROW(TableDiv[[#Headers],[Agency]])),COLUMNS($F$7:Y$7))))</f>
        <v/>
      </c>
      <c r="Z918" s="2223" t="str" cm="1">
        <f t="array" ref="Z918">IF($D918&lt;COLUMNS($F$7:Z$7),"",INDEX(TableDiv[[GASB]:[GASB]],_xlfn.AGGREGATE(15,3,(TableDiv[[Agency]:[Agency]]=$E918)/(TableDiv[[Agency]:[Agency]]=$E918)*(ROW(TableDiv[Agency])-ROW(TableDiv[[#Headers],[Agency]])),COLUMNS($F$7:Z$7))))</f>
        <v/>
      </c>
      <c r="AA918" s="2223" t="str" cm="1">
        <f t="array" ref="AA918">IF($D918&lt;COLUMNS($F$7:AA$7),"",INDEX(TableDiv[[GASB]:[GASB]],_xlfn.AGGREGATE(15,3,(TableDiv[[Agency]:[Agency]]=$E918)/(TableDiv[[Agency]:[Agency]]=$E918)*(ROW(TableDiv[Agency])-ROW(TableDiv[[#Headers],[Agency]])),COLUMNS($F$7:AA$7))))</f>
        <v/>
      </c>
      <c r="AB918" s="2223" t="str" cm="1">
        <f t="array" ref="AB918">IF($D918&lt;COLUMNS($F$7:AB$7),"",INDEX(TableDiv[[GASB]:[GASB]],_xlfn.AGGREGATE(15,3,(TableDiv[[Agency]:[Agency]]=$E918)/(TableDiv[[Agency]:[Agency]]=$E918)*(ROW(TableDiv[Agency])-ROW(TableDiv[[#Headers],[Agency]])),COLUMNS($F$7:AB$7))))</f>
        <v/>
      </c>
      <c r="AC918" s="2223" t="str" cm="1">
        <f t="array" ref="AC918">IF($D918&lt;COLUMNS($F$7:AC$7),"",INDEX(TableDiv[[GASB]:[GASB]],_xlfn.AGGREGATE(15,3,(TableDiv[[Agency]:[Agency]]=$E918)/(TableDiv[[Agency]:[Agency]]=$E918)*(ROW(TableDiv[Agency])-ROW(TableDiv[[#Headers],[Agency]])),COLUMNS($F$7:AC$7))))</f>
        <v/>
      </c>
      <c r="AD918" s="2223" t="str" cm="1">
        <f t="array" ref="AD918">IF($D918&lt;COLUMNS($F$7:AD$7),"",INDEX(TableDiv[[GASB]:[GASB]],_xlfn.AGGREGATE(15,3,(TableDiv[[Agency]:[Agency]]=$E918)/(TableDiv[[Agency]:[Agency]]=$E918)*(ROW(TableDiv[Agency])-ROW(TableDiv[[#Headers],[Agency]])),COLUMNS($F$7:AD$7))))</f>
        <v/>
      </c>
      <c r="AE918" s="2223" t="str" cm="1">
        <f t="array" ref="AE918">IF($D918&lt;COLUMNS($F$7:AE$7),"",INDEX(TableDiv[[GASB]:[GASB]],_xlfn.AGGREGATE(15,3,(TableDiv[[Agency]:[Agency]]=$E918)/(TableDiv[[Agency]:[Agency]]=$E918)*(ROW(TableDiv[Agency])-ROW(TableDiv[[#Headers],[Agency]])),COLUMNS($F$7:AE$7))))</f>
        <v/>
      </c>
      <c r="AF918" s="2223" t="str" cm="1">
        <f t="array" ref="AF918">IF($D918&lt;COLUMNS($F$7:AF$7),"",INDEX(TableDiv[[GASB]:[GASB]],_xlfn.AGGREGATE(15,3,(TableDiv[[Agency]:[Agency]]=$E918)/(TableDiv[[Agency]:[Agency]]=$E918)*(ROW(TableDiv[Agency])-ROW(TableDiv[[#Headers],[Agency]])),COLUMNS($F$7:AF$7))))</f>
        <v/>
      </c>
      <c r="AG918" s="2223" t="str" cm="1">
        <f t="array" ref="AG918">IF($D918&lt;COLUMNS($F$7:AG$7),"",INDEX(TableDiv[[GASB]:[GASB]],_xlfn.AGGREGATE(15,3,(TableDiv[[Agency]:[Agency]]=$E918)/(TableDiv[[Agency]:[Agency]]=$E918)*(ROW(TableDiv[Agency])-ROW(TableDiv[[#Headers],[Agency]])),COLUMNS($F$7:AG$7))))</f>
        <v/>
      </c>
      <c r="AH918" s="2223" t="str" cm="1">
        <f t="array" ref="AH918">IF($D918&lt;COLUMNS($F$7:AH$7),"",INDEX(TableDiv[[GASB]:[GASB]],_xlfn.AGGREGATE(15,3,(TableDiv[[Agency]:[Agency]]=$E918)/(TableDiv[[Agency]:[Agency]]=$E918)*(ROW(TableDiv[Agency])-ROW(TableDiv[[#Headers],[Agency]])),COLUMNS($F$7:AH$7))))</f>
        <v/>
      </c>
      <c r="AI918" s="2223" t="str" cm="1">
        <f t="array" ref="AI918">IF($D918&lt;COLUMNS($F$7:AI$7),"",INDEX(TableDiv[[GASB]:[GASB]],_xlfn.AGGREGATE(15,3,(TableDiv[[Agency]:[Agency]]=$E918)/(TableDiv[[Agency]:[Agency]]=$E918)*(ROW(TableDiv[Agency])-ROW(TableDiv[[#Headers],[Agency]])),COLUMNS($F$7:AI$7))))</f>
        <v/>
      </c>
      <c r="AJ918" s="2223" t="str" cm="1">
        <f t="array" ref="AJ918">IF($D918&lt;COLUMNS($F$7:AJ$7),"",INDEX(TableDiv[[GASB]:[GASB]],_xlfn.AGGREGATE(15,3,(TableDiv[[Agency]:[Agency]]=$E918)/(TableDiv[[Agency]:[Agency]]=$E918)*(ROW(TableDiv[Agency])-ROW(TableDiv[[#Headers],[Agency]])),COLUMNS($F$7:AJ$7))))</f>
        <v/>
      </c>
      <c r="AK918" s="2223" t="str" cm="1">
        <f t="array" ref="AK918">IF($D918&lt;COLUMNS($F$7:AK$7),"",INDEX(TableDiv[[GASB]:[GASB]],_xlfn.AGGREGATE(15,3,(TableDiv[[Agency]:[Agency]]=$E918)/(TableDiv[[Agency]:[Agency]]=$E918)*(ROW(TableDiv[Agency])-ROW(TableDiv[[#Headers],[Agency]])),COLUMNS($F$7:AK$7))))</f>
        <v/>
      </c>
      <c r="AL918" s="2223" t="str" cm="1">
        <f t="array" ref="AL918">IF($D918&lt;COLUMNS($F$7:AL$7),"",INDEX(TableDiv[[GASB]:[GASB]],_xlfn.AGGREGATE(15,3,(TableDiv[[Agency]:[Agency]]=$E918)/(TableDiv[[Agency]:[Agency]]=$E918)*(ROW(TableDiv[Agency])-ROW(TableDiv[[#Headers],[Agency]])),COLUMNS($F$7:AL$7))))</f>
        <v/>
      </c>
      <c r="AM918" s="2223" t="str" cm="1">
        <f t="array" ref="AM918">IF($D918&lt;COLUMNS($F$7:AM$7),"",INDEX(TableDiv[[GASB]:[GASB]],_xlfn.AGGREGATE(15,3,(TableDiv[[Agency]:[Agency]]=$E918)/(TableDiv[[Agency]:[Agency]]=$E918)*(ROW(TableDiv[Agency])-ROW(TableDiv[[#Headers],[Agency]])),COLUMNS($F$7:AM$7))))</f>
        <v/>
      </c>
      <c r="AN918" s="2223"/>
      <c r="AO918" s="2223"/>
      <c r="AP918" s="2223"/>
      <c r="AQ918" s="2223"/>
      <c r="AR918" s="2223"/>
      <c r="AS918" s="2223"/>
    </row>
    <row r="919" spans="1:45" x14ac:dyDescent="0.2">
      <c r="A919" s="2223"/>
      <c r="B919" s="2223"/>
      <c r="C919" s="2223"/>
      <c r="W919" s="2223" t="str" cm="1">
        <f t="array" ref="W919">IF($D919&lt;COLUMNS($F$7:W$7),"",INDEX(TableDiv[[GASB]:[GASB]],_xlfn.AGGREGATE(15,3,(TableDiv[[Agency]:[Agency]]=$E919)/(TableDiv[[Agency]:[Agency]]=$E919)*(ROW(TableDiv[Agency])-ROW(TableDiv[[#Headers],[Agency]])),COLUMNS($F$7:W$7))))</f>
        <v/>
      </c>
      <c r="X919" s="2223" t="str" cm="1">
        <f t="array" ref="X919">IF($D919&lt;COLUMNS($F$7:X$7),"",INDEX(TableDiv[[GASB]:[GASB]],_xlfn.AGGREGATE(15,3,(TableDiv[[Agency]:[Agency]]=$E919)/(TableDiv[[Agency]:[Agency]]=$E919)*(ROW(TableDiv[Agency])-ROW(TableDiv[[#Headers],[Agency]])),COLUMNS($F$7:X$7))))</f>
        <v/>
      </c>
      <c r="Y919" s="2223" t="str" cm="1">
        <f t="array" ref="Y919">IF($D919&lt;COLUMNS($F$7:Y$7),"",INDEX(TableDiv[[GASB]:[GASB]],_xlfn.AGGREGATE(15,3,(TableDiv[[Agency]:[Agency]]=$E919)/(TableDiv[[Agency]:[Agency]]=$E919)*(ROW(TableDiv[Agency])-ROW(TableDiv[[#Headers],[Agency]])),COLUMNS($F$7:Y$7))))</f>
        <v/>
      </c>
      <c r="Z919" s="2223" t="str" cm="1">
        <f t="array" ref="Z919">IF($D919&lt;COLUMNS($F$7:Z$7),"",INDEX(TableDiv[[GASB]:[GASB]],_xlfn.AGGREGATE(15,3,(TableDiv[[Agency]:[Agency]]=$E919)/(TableDiv[[Agency]:[Agency]]=$E919)*(ROW(TableDiv[Agency])-ROW(TableDiv[[#Headers],[Agency]])),COLUMNS($F$7:Z$7))))</f>
        <v/>
      </c>
      <c r="AA919" s="2223" t="str" cm="1">
        <f t="array" ref="AA919">IF($D919&lt;COLUMNS($F$7:AA$7),"",INDEX(TableDiv[[GASB]:[GASB]],_xlfn.AGGREGATE(15,3,(TableDiv[[Agency]:[Agency]]=$E919)/(TableDiv[[Agency]:[Agency]]=$E919)*(ROW(TableDiv[Agency])-ROW(TableDiv[[#Headers],[Agency]])),COLUMNS($F$7:AA$7))))</f>
        <v/>
      </c>
      <c r="AB919" s="2223" t="str" cm="1">
        <f t="array" ref="AB919">IF($D919&lt;COLUMNS($F$7:AB$7),"",INDEX(TableDiv[[GASB]:[GASB]],_xlfn.AGGREGATE(15,3,(TableDiv[[Agency]:[Agency]]=$E919)/(TableDiv[[Agency]:[Agency]]=$E919)*(ROW(TableDiv[Agency])-ROW(TableDiv[[#Headers],[Agency]])),COLUMNS($F$7:AB$7))))</f>
        <v/>
      </c>
      <c r="AC919" s="2223" t="str" cm="1">
        <f t="array" ref="AC919">IF($D919&lt;COLUMNS($F$7:AC$7),"",INDEX(TableDiv[[GASB]:[GASB]],_xlfn.AGGREGATE(15,3,(TableDiv[[Agency]:[Agency]]=$E919)/(TableDiv[[Agency]:[Agency]]=$E919)*(ROW(TableDiv[Agency])-ROW(TableDiv[[#Headers],[Agency]])),COLUMNS($F$7:AC$7))))</f>
        <v/>
      </c>
      <c r="AD919" s="2223" t="str" cm="1">
        <f t="array" ref="AD919">IF($D919&lt;COLUMNS($F$7:AD$7),"",INDEX(TableDiv[[GASB]:[GASB]],_xlfn.AGGREGATE(15,3,(TableDiv[[Agency]:[Agency]]=$E919)/(TableDiv[[Agency]:[Agency]]=$E919)*(ROW(TableDiv[Agency])-ROW(TableDiv[[#Headers],[Agency]])),COLUMNS($F$7:AD$7))))</f>
        <v/>
      </c>
      <c r="AE919" s="2223" t="str" cm="1">
        <f t="array" ref="AE919">IF($D919&lt;COLUMNS($F$7:AE$7),"",INDEX(TableDiv[[GASB]:[GASB]],_xlfn.AGGREGATE(15,3,(TableDiv[[Agency]:[Agency]]=$E919)/(TableDiv[[Agency]:[Agency]]=$E919)*(ROW(TableDiv[Agency])-ROW(TableDiv[[#Headers],[Agency]])),COLUMNS($F$7:AE$7))))</f>
        <v/>
      </c>
      <c r="AF919" s="2223" t="str" cm="1">
        <f t="array" ref="AF919">IF($D919&lt;COLUMNS($F$7:AF$7),"",INDEX(TableDiv[[GASB]:[GASB]],_xlfn.AGGREGATE(15,3,(TableDiv[[Agency]:[Agency]]=$E919)/(TableDiv[[Agency]:[Agency]]=$E919)*(ROW(TableDiv[Agency])-ROW(TableDiv[[#Headers],[Agency]])),COLUMNS($F$7:AF$7))))</f>
        <v/>
      </c>
      <c r="AG919" s="2223" t="str" cm="1">
        <f t="array" ref="AG919">IF($D919&lt;COLUMNS($F$7:AG$7),"",INDEX(TableDiv[[GASB]:[GASB]],_xlfn.AGGREGATE(15,3,(TableDiv[[Agency]:[Agency]]=$E919)/(TableDiv[[Agency]:[Agency]]=$E919)*(ROW(TableDiv[Agency])-ROW(TableDiv[[#Headers],[Agency]])),COLUMNS($F$7:AG$7))))</f>
        <v/>
      </c>
      <c r="AH919" s="2223" t="str" cm="1">
        <f t="array" ref="AH919">IF($D919&lt;COLUMNS($F$7:AH$7),"",INDEX(TableDiv[[GASB]:[GASB]],_xlfn.AGGREGATE(15,3,(TableDiv[[Agency]:[Agency]]=$E919)/(TableDiv[[Agency]:[Agency]]=$E919)*(ROW(TableDiv[Agency])-ROW(TableDiv[[#Headers],[Agency]])),COLUMNS($F$7:AH$7))))</f>
        <v/>
      </c>
      <c r="AI919" s="2223" t="str" cm="1">
        <f t="array" ref="AI919">IF($D919&lt;COLUMNS($F$7:AI$7),"",INDEX(TableDiv[[GASB]:[GASB]],_xlfn.AGGREGATE(15,3,(TableDiv[[Agency]:[Agency]]=$E919)/(TableDiv[[Agency]:[Agency]]=$E919)*(ROW(TableDiv[Agency])-ROW(TableDiv[[#Headers],[Agency]])),COLUMNS($F$7:AI$7))))</f>
        <v/>
      </c>
      <c r="AJ919" s="2223" t="str" cm="1">
        <f t="array" ref="AJ919">IF($D919&lt;COLUMNS($F$7:AJ$7),"",INDEX(TableDiv[[GASB]:[GASB]],_xlfn.AGGREGATE(15,3,(TableDiv[[Agency]:[Agency]]=$E919)/(TableDiv[[Agency]:[Agency]]=$E919)*(ROW(TableDiv[Agency])-ROW(TableDiv[[#Headers],[Agency]])),COLUMNS($F$7:AJ$7))))</f>
        <v/>
      </c>
      <c r="AK919" s="2223" t="str" cm="1">
        <f t="array" ref="AK919">IF($D919&lt;COLUMNS($F$7:AK$7),"",INDEX(TableDiv[[GASB]:[GASB]],_xlfn.AGGREGATE(15,3,(TableDiv[[Agency]:[Agency]]=$E919)/(TableDiv[[Agency]:[Agency]]=$E919)*(ROW(TableDiv[Agency])-ROW(TableDiv[[#Headers],[Agency]])),COLUMNS($F$7:AK$7))))</f>
        <v/>
      </c>
      <c r="AL919" s="2223" t="str" cm="1">
        <f t="array" ref="AL919">IF($D919&lt;COLUMNS($F$7:AL$7),"",INDEX(TableDiv[[GASB]:[GASB]],_xlfn.AGGREGATE(15,3,(TableDiv[[Agency]:[Agency]]=$E919)/(TableDiv[[Agency]:[Agency]]=$E919)*(ROW(TableDiv[Agency])-ROW(TableDiv[[#Headers],[Agency]])),COLUMNS($F$7:AL$7))))</f>
        <v/>
      </c>
      <c r="AM919" s="2223" t="str" cm="1">
        <f t="array" ref="AM919">IF($D919&lt;COLUMNS($F$7:AM$7),"",INDEX(TableDiv[[GASB]:[GASB]],_xlfn.AGGREGATE(15,3,(TableDiv[[Agency]:[Agency]]=$E919)/(TableDiv[[Agency]:[Agency]]=$E919)*(ROW(TableDiv[Agency])-ROW(TableDiv[[#Headers],[Agency]])),COLUMNS($F$7:AM$7))))</f>
        <v/>
      </c>
      <c r="AN919" s="2223"/>
      <c r="AO919" s="2223"/>
      <c r="AP919" s="2223"/>
      <c r="AQ919" s="2223"/>
      <c r="AR919" s="2223"/>
      <c r="AS919" s="2223"/>
    </row>
    <row r="920" spans="1:45" x14ac:dyDescent="0.2">
      <c r="A920" s="2223"/>
      <c r="B920" s="2223"/>
      <c r="C920" s="2223"/>
      <c r="W920" s="2223" t="str" cm="1">
        <f t="array" ref="W920">IF($D920&lt;COLUMNS($F$7:W$7),"",INDEX(TableDiv[[GASB]:[GASB]],_xlfn.AGGREGATE(15,3,(TableDiv[[Agency]:[Agency]]=$E920)/(TableDiv[[Agency]:[Agency]]=$E920)*(ROW(TableDiv[Agency])-ROW(TableDiv[[#Headers],[Agency]])),COLUMNS($F$7:W$7))))</f>
        <v/>
      </c>
      <c r="X920" s="2223" t="str" cm="1">
        <f t="array" ref="X920">IF($D920&lt;COLUMNS($F$7:X$7),"",INDEX(TableDiv[[GASB]:[GASB]],_xlfn.AGGREGATE(15,3,(TableDiv[[Agency]:[Agency]]=$E920)/(TableDiv[[Agency]:[Agency]]=$E920)*(ROW(TableDiv[Agency])-ROW(TableDiv[[#Headers],[Agency]])),COLUMNS($F$7:X$7))))</f>
        <v/>
      </c>
      <c r="Y920" s="2223" t="str" cm="1">
        <f t="array" ref="Y920">IF($D920&lt;COLUMNS($F$7:Y$7),"",INDEX(TableDiv[[GASB]:[GASB]],_xlfn.AGGREGATE(15,3,(TableDiv[[Agency]:[Agency]]=$E920)/(TableDiv[[Agency]:[Agency]]=$E920)*(ROW(TableDiv[Agency])-ROW(TableDiv[[#Headers],[Agency]])),COLUMNS($F$7:Y$7))))</f>
        <v/>
      </c>
      <c r="Z920" s="2223" t="str" cm="1">
        <f t="array" ref="Z920">IF($D920&lt;COLUMNS($F$7:Z$7),"",INDEX(TableDiv[[GASB]:[GASB]],_xlfn.AGGREGATE(15,3,(TableDiv[[Agency]:[Agency]]=$E920)/(TableDiv[[Agency]:[Agency]]=$E920)*(ROW(TableDiv[Agency])-ROW(TableDiv[[#Headers],[Agency]])),COLUMNS($F$7:Z$7))))</f>
        <v/>
      </c>
      <c r="AA920" s="2223" t="str" cm="1">
        <f t="array" ref="AA920">IF($D920&lt;COLUMNS($F$7:AA$7),"",INDEX(TableDiv[[GASB]:[GASB]],_xlfn.AGGREGATE(15,3,(TableDiv[[Agency]:[Agency]]=$E920)/(TableDiv[[Agency]:[Agency]]=$E920)*(ROW(TableDiv[Agency])-ROW(TableDiv[[#Headers],[Agency]])),COLUMNS($F$7:AA$7))))</f>
        <v/>
      </c>
      <c r="AB920" s="2223" t="str" cm="1">
        <f t="array" ref="AB920">IF($D920&lt;COLUMNS($F$7:AB$7),"",INDEX(TableDiv[[GASB]:[GASB]],_xlfn.AGGREGATE(15,3,(TableDiv[[Agency]:[Agency]]=$E920)/(TableDiv[[Agency]:[Agency]]=$E920)*(ROW(TableDiv[Agency])-ROW(TableDiv[[#Headers],[Agency]])),COLUMNS($F$7:AB$7))))</f>
        <v/>
      </c>
      <c r="AC920" s="2223" t="str" cm="1">
        <f t="array" ref="AC920">IF($D920&lt;COLUMNS($F$7:AC$7),"",INDEX(TableDiv[[GASB]:[GASB]],_xlfn.AGGREGATE(15,3,(TableDiv[[Agency]:[Agency]]=$E920)/(TableDiv[[Agency]:[Agency]]=$E920)*(ROW(TableDiv[Agency])-ROW(TableDiv[[#Headers],[Agency]])),COLUMNS($F$7:AC$7))))</f>
        <v/>
      </c>
      <c r="AD920" s="2223" t="str" cm="1">
        <f t="array" ref="AD920">IF($D920&lt;COLUMNS($F$7:AD$7),"",INDEX(TableDiv[[GASB]:[GASB]],_xlfn.AGGREGATE(15,3,(TableDiv[[Agency]:[Agency]]=$E920)/(TableDiv[[Agency]:[Agency]]=$E920)*(ROW(TableDiv[Agency])-ROW(TableDiv[[#Headers],[Agency]])),COLUMNS($F$7:AD$7))))</f>
        <v/>
      </c>
      <c r="AE920" s="2223" t="str" cm="1">
        <f t="array" ref="AE920">IF($D920&lt;COLUMNS($F$7:AE$7),"",INDEX(TableDiv[[GASB]:[GASB]],_xlfn.AGGREGATE(15,3,(TableDiv[[Agency]:[Agency]]=$E920)/(TableDiv[[Agency]:[Agency]]=$E920)*(ROW(TableDiv[Agency])-ROW(TableDiv[[#Headers],[Agency]])),COLUMNS($F$7:AE$7))))</f>
        <v/>
      </c>
      <c r="AF920" s="2223" t="str" cm="1">
        <f t="array" ref="AF920">IF($D920&lt;COLUMNS($F$7:AF$7),"",INDEX(TableDiv[[GASB]:[GASB]],_xlfn.AGGREGATE(15,3,(TableDiv[[Agency]:[Agency]]=$E920)/(TableDiv[[Agency]:[Agency]]=$E920)*(ROW(TableDiv[Agency])-ROW(TableDiv[[#Headers],[Agency]])),COLUMNS($F$7:AF$7))))</f>
        <v/>
      </c>
      <c r="AG920" s="2223" t="str" cm="1">
        <f t="array" ref="AG920">IF($D920&lt;COLUMNS($F$7:AG$7),"",INDEX(TableDiv[[GASB]:[GASB]],_xlfn.AGGREGATE(15,3,(TableDiv[[Agency]:[Agency]]=$E920)/(TableDiv[[Agency]:[Agency]]=$E920)*(ROW(TableDiv[Agency])-ROW(TableDiv[[#Headers],[Agency]])),COLUMNS($F$7:AG$7))))</f>
        <v/>
      </c>
      <c r="AH920" s="2223" t="str" cm="1">
        <f t="array" ref="AH920">IF($D920&lt;COLUMNS($F$7:AH$7),"",INDEX(TableDiv[[GASB]:[GASB]],_xlfn.AGGREGATE(15,3,(TableDiv[[Agency]:[Agency]]=$E920)/(TableDiv[[Agency]:[Agency]]=$E920)*(ROW(TableDiv[Agency])-ROW(TableDiv[[#Headers],[Agency]])),COLUMNS($F$7:AH$7))))</f>
        <v/>
      </c>
      <c r="AI920" s="2223" t="str" cm="1">
        <f t="array" ref="AI920">IF($D920&lt;COLUMNS($F$7:AI$7),"",INDEX(TableDiv[[GASB]:[GASB]],_xlfn.AGGREGATE(15,3,(TableDiv[[Agency]:[Agency]]=$E920)/(TableDiv[[Agency]:[Agency]]=$E920)*(ROW(TableDiv[Agency])-ROW(TableDiv[[#Headers],[Agency]])),COLUMNS($F$7:AI$7))))</f>
        <v/>
      </c>
      <c r="AJ920" s="2223" t="str" cm="1">
        <f t="array" ref="AJ920">IF($D920&lt;COLUMNS($F$7:AJ$7),"",INDEX(TableDiv[[GASB]:[GASB]],_xlfn.AGGREGATE(15,3,(TableDiv[[Agency]:[Agency]]=$E920)/(TableDiv[[Agency]:[Agency]]=$E920)*(ROW(TableDiv[Agency])-ROW(TableDiv[[#Headers],[Agency]])),COLUMNS($F$7:AJ$7))))</f>
        <v/>
      </c>
      <c r="AK920" s="2223" t="str" cm="1">
        <f t="array" ref="AK920">IF($D920&lt;COLUMNS($F$7:AK$7),"",INDEX(TableDiv[[GASB]:[GASB]],_xlfn.AGGREGATE(15,3,(TableDiv[[Agency]:[Agency]]=$E920)/(TableDiv[[Agency]:[Agency]]=$E920)*(ROW(TableDiv[Agency])-ROW(TableDiv[[#Headers],[Agency]])),COLUMNS($F$7:AK$7))))</f>
        <v/>
      </c>
      <c r="AL920" s="2223" t="str" cm="1">
        <f t="array" ref="AL920">IF($D920&lt;COLUMNS($F$7:AL$7),"",INDEX(TableDiv[[GASB]:[GASB]],_xlfn.AGGREGATE(15,3,(TableDiv[[Agency]:[Agency]]=$E920)/(TableDiv[[Agency]:[Agency]]=$E920)*(ROW(TableDiv[Agency])-ROW(TableDiv[[#Headers],[Agency]])),COLUMNS($F$7:AL$7))))</f>
        <v/>
      </c>
      <c r="AM920" s="2223" t="str" cm="1">
        <f t="array" ref="AM920">IF($D920&lt;COLUMNS($F$7:AM$7),"",INDEX(TableDiv[[GASB]:[GASB]],_xlfn.AGGREGATE(15,3,(TableDiv[[Agency]:[Agency]]=$E920)/(TableDiv[[Agency]:[Agency]]=$E920)*(ROW(TableDiv[Agency])-ROW(TableDiv[[#Headers],[Agency]])),COLUMNS($F$7:AM$7))))</f>
        <v/>
      </c>
      <c r="AN920" s="2223"/>
      <c r="AO920" s="2223"/>
      <c r="AP920" s="2223"/>
      <c r="AQ920" s="2223"/>
      <c r="AR920" s="2223"/>
      <c r="AS920" s="2223"/>
    </row>
    <row r="921" spans="1:45" x14ac:dyDescent="0.2">
      <c r="A921" s="2223"/>
      <c r="B921" s="2223"/>
      <c r="C921" s="2223"/>
      <c r="W921" s="2223" t="str" cm="1">
        <f t="array" ref="W921">IF($D921&lt;COLUMNS($F$7:W$7),"",INDEX(TableDiv[[GASB]:[GASB]],_xlfn.AGGREGATE(15,3,(TableDiv[[Agency]:[Agency]]=$E921)/(TableDiv[[Agency]:[Agency]]=$E921)*(ROW(TableDiv[Agency])-ROW(TableDiv[[#Headers],[Agency]])),COLUMNS($F$7:W$7))))</f>
        <v/>
      </c>
      <c r="X921" s="2223" t="str" cm="1">
        <f t="array" ref="X921">IF($D921&lt;COLUMNS($F$7:X$7),"",INDEX(TableDiv[[GASB]:[GASB]],_xlfn.AGGREGATE(15,3,(TableDiv[[Agency]:[Agency]]=$E921)/(TableDiv[[Agency]:[Agency]]=$E921)*(ROW(TableDiv[Agency])-ROW(TableDiv[[#Headers],[Agency]])),COLUMNS($F$7:X$7))))</f>
        <v/>
      </c>
      <c r="Y921" s="2223" t="str" cm="1">
        <f t="array" ref="Y921">IF($D921&lt;COLUMNS($F$7:Y$7),"",INDEX(TableDiv[[GASB]:[GASB]],_xlfn.AGGREGATE(15,3,(TableDiv[[Agency]:[Agency]]=$E921)/(TableDiv[[Agency]:[Agency]]=$E921)*(ROW(TableDiv[Agency])-ROW(TableDiv[[#Headers],[Agency]])),COLUMNS($F$7:Y$7))))</f>
        <v/>
      </c>
      <c r="Z921" s="2223" t="str" cm="1">
        <f t="array" ref="Z921">IF($D921&lt;COLUMNS($F$7:Z$7),"",INDEX(TableDiv[[GASB]:[GASB]],_xlfn.AGGREGATE(15,3,(TableDiv[[Agency]:[Agency]]=$E921)/(TableDiv[[Agency]:[Agency]]=$E921)*(ROW(TableDiv[Agency])-ROW(TableDiv[[#Headers],[Agency]])),COLUMNS($F$7:Z$7))))</f>
        <v/>
      </c>
      <c r="AA921" s="2223" t="str" cm="1">
        <f t="array" ref="AA921">IF($D921&lt;COLUMNS($F$7:AA$7),"",INDEX(TableDiv[[GASB]:[GASB]],_xlfn.AGGREGATE(15,3,(TableDiv[[Agency]:[Agency]]=$E921)/(TableDiv[[Agency]:[Agency]]=$E921)*(ROW(TableDiv[Agency])-ROW(TableDiv[[#Headers],[Agency]])),COLUMNS($F$7:AA$7))))</f>
        <v/>
      </c>
      <c r="AB921" s="2223" t="str" cm="1">
        <f t="array" ref="AB921">IF($D921&lt;COLUMNS($F$7:AB$7),"",INDEX(TableDiv[[GASB]:[GASB]],_xlfn.AGGREGATE(15,3,(TableDiv[[Agency]:[Agency]]=$E921)/(TableDiv[[Agency]:[Agency]]=$E921)*(ROW(TableDiv[Agency])-ROW(TableDiv[[#Headers],[Agency]])),COLUMNS($F$7:AB$7))))</f>
        <v/>
      </c>
      <c r="AC921" s="2223" t="str" cm="1">
        <f t="array" ref="AC921">IF($D921&lt;COLUMNS($F$7:AC$7),"",INDEX(TableDiv[[GASB]:[GASB]],_xlfn.AGGREGATE(15,3,(TableDiv[[Agency]:[Agency]]=$E921)/(TableDiv[[Agency]:[Agency]]=$E921)*(ROW(TableDiv[Agency])-ROW(TableDiv[[#Headers],[Agency]])),COLUMNS($F$7:AC$7))))</f>
        <v/>
      </c>
      <c r="AD921" s="2223" t="str" cm="1">
        <f t="array" ref="AD921">IF($D921&lt;COLUMNS($F$7:AD$7),"",INDEX(TableDiv[[GASB]:[GASB]],_xlfn.AGGREGATE(15,3,(TableDiv[[Agency]:[Agency]]=$E921)/(TableDiv[[Agency]:[Agency]]=$E921)*(ROW(TableDiv[Agency])-ROW(TableDiv[[#Headers],[Agency]])),COLUMNS($F$7:AD$7))))</f>
        <v/>
      </c>
      <c r="AE921" s="2223" t="str" cm="1">
        <f t="array" ref="AE921">IF($D921&lt;COLUMNS($F$7:AE$7),"",INDEX(TableDiv[[GASB]:[GASB]],_xlfn.AGGREGATE(15,3,(TableDiv[[Agency]:[Agency]]=$E921)/(TableDiv[[Agency]:[Agency]]=$E921)*(ROW(TableDiv[Agency])-ROW(TableDiv[[#Headers],[Agency]])),COLUMNS($F$7:AE$7))))</f>
        <v/>
      </c>
      <c r="AF921" s="2223" t="str" cm="1">
        <f t="array" ref="AF921">IF($D921&lt;COLUMNS($F$7:AF$7),"",INDEX(TableDiv[[GASB]:[GASB]],_xlfn.AGGREGATE(15,3,(TableDiv[[Agency]:[Agency]]=$E921)/(TableDiv[[Agency]:[Agency]]=$E921)*(ROW(TableDiv[Agency])-ROW(TableDiv[[#Headers],[Agency]])),COLUMNS($F$7:AF$7))))</f>
        <v/>
      </c>
      <c r="AG921" s="2223" t="str" cm="1">
        <f t="array" ref="AG921">IF($D921&lt;COLUMNS($F$7:AG$7),"",INDEX(TableDiv[[GASB]:[GASB]],_xlfn.AGGREGATE(15,3,(TableDiv[[Agency]:[Agency]]=$E921)/(TableDiv[[Agency]:[Agency]]=$E921)*(ROW(TableDiv[Agency])-ROW(TableDiv[[#Headers],[Agency]])),COLUMNS($F$7:AG$7))))</f>
        <v/>
      </c>
      <c r="AH921" s="2223" t="str" cm="1">
        <f t="array" ref="AH921">IF($D921&lt;COLUMNS($F$7:AH$7),"",INDEX(TableDiv[[GASB]:[GASB]],_xlfn.AGGREGATE(15,3,(TableDiv[[Agency]:[Agency]]=$E921)/(TableDiv[[Agency]:[Agency]]=$E921)*(ROW(TableDiv[Agency])-ROW(TableDiv[[#Headers],[Agency]])),COLUMNS($F$7:AH$7))))</f>
        <v/>
      </c>
      <c r="AI921" s="2223" t="str" cm="1">
        <f t="array" ref="AI921">IF($D921&lt;COLUMNS($F$7:AI$7),"",INDEX(TableDiv[[GASB]:[GASB]],_xlfn.AGGREGATE(15,3,(TableDiv[[Agency]:[Agency]]=$E921)/(TableDiv[[Agency]:[Agency]]=$E921)*(ROW(TableDiv[Agency])-ROW(TableDiv[[#Headers],[Agency]])),COLUMNS($F$7:AI$7))))</f>
        <v/>
      </c>
      <c r="AJ921" s="2223" t="str" cm="1">
        <f t="array" ref="AJ921">IF($D921&lt;COLUMNS($F$7:AJ$7),"",INDEX(TableDiv[[GASB]:[GASB]],_xlfn.AGGREGATE(15,3,(TableDiv[[Agency]:[Agency]]=$E921)/(TableDiv[[Agency]:[Agency]]=$E921)*(ROW(TableDiv[Agency])-ROW(TableDiv[[#Headers],[Agency]])),COLUMNS($F$7:AJ$7))))</f>
        <v/>
      </c>
      <c r="AK921" s="2223" t="str" cm="1">
        <f t="array" ref="AK921">IF($D921&lt;COLUMNS($F$7:AK$7),"",INDEX(TableDiv[[GASB]:[GASB]],_xlfn.AGGREGATE(15,3,(TableDiv[[Agency]:[Agency]]=$E921)/(TableDiv[[Agency]:[Agency]]=$E921)*(ROW(TableDiv[Agency])-ROW(TableDiv[[#Headers],[Agency]])),COLUMNS($F$7:AK$7))))</f>
        <v/>
      </c>
      <c r="AL921" s="2223" t="str" cm="1">
        <f t="array" ref="AL921">IF($D921&lt;COLUMNS($F$7:AL$7),"",INDEX(TableDiv[[GASB]:[GASB]],_xlfn.AGGREGATE(15,3,(TableDiv[[Agency]:[Agency]]=$E921)/(TableDiv[[Agency]:[Agency]]=$E921)*(ROW(TableDiv[Agency])-ROW(TableDiv[[#Headers],[Agency]])),COLUMNS($F$7:AL$7))))</f>
        <v/>
      </c>
      <c r="AM921" s="2223" t="str" cm="1">
        <f t="array" ref="AM921">IF($D921&lt;COLUMNS($F$7:AM$7),"",INDEX(TableDiv[[GASB]:[GASB]],_xlfn.AGGREGATE(15,3,(TableDiv[[Agency]:[Agency]]=$E921)/(TableDiv[[Agency]:[Agency]]=$E921)*(ROW(TableDiv[Agency])-ROW(TableDiv[[#Headers],[Agency]])),COLUMNS($F$7:AM$7))))</f>
        <v/>
      </c>
      <c r="AN921" s="2223"/>
      <c r="AO921" s="2223"/>
      <c r="AP921" s="2223"/>
      <c r="AQ921" s="2223"/>
      <c r="AR921" s="2223"/>
      <c r="AS921" s="2223"/>
    </row>
    <row r="922" spans="1:45" x14ac:dyDescent="0.2">
      <c r="A922" s="2223"/>
      <c r="B922" s="2223"/>
      <c r="C922" s="2223"/>
      <c r="W922" s="2223" t="str" cm="1">
        <f t="array" ref="W922">IF($D922&lt;COLUMNS($F$7:W$7),"",INDEX(TableDiv[[GASB]:[GASB]],_xlfn.AGGREGATE(15,3,(TableDiv[[Agency]:[Agency]]=$E922)/(TableDiv[[Agency]:[Agency]]=$E922)*(ROW(TableDiv[Agency])-ROW(TableDiv[[#Headers],[Agency]])),COLUMNS($F$7:W$7))))</f>
        <v/>
      </c>
      <c r="X922" s="2223" t="str" cm="1">
        <f t="array" ref="X922">IF($D922&lt;COLUMNS($F$7:X$7),"",INDEX(TableDiv[[GASB]:[GASB]],_xlfn.AGGREGATE(15,3,(TableDiv[[Agency]:[Agency]]=$E922)/(TableDiv[[Agency]:[Agency]]=$E922)*(ROW(TableDiv[Agency])-ROW(TableDiv[[#Headers],[Agency]])),COLUMNS($F$7:X$7))))</f>
        <v/>
      </c>
      <c r="Y922" s="2223" t="str" cm="1">
        <f t="array" ref="Y922">IF($D922&lt;COLUMNS($F$7:Y$7),"",INDEX(TableDiv[[GASB]:[GASB]],_xlfn.AGGREGATE(15,3,(TableDiv[[Agency]:[Agency]]=$E922)/(TableDiv[[Agency]:[Agency]]=$E922)*(ROW(TableDiv[Agency])-ROW(TableDiv[[#Headers],[Agency]])),COLUMNS($F$7:Y$7))))</f>
        <v/>
      </c>
      <c r="Z922" s="2223" t="str" cm="1">
        <f t="array" ref="Z922">IF($D922&lt;COLUMNS($F$7:Z$7),"",INDEX(TableDiv[[GASB]:[GASB]],_xlfn.AGGREGATE(15,3,(TableDiv[[Agency]:[Agency]]=$E922)/(TableDiv[[Agency]:[Agency]]=$E922)*(ROW(TableDiv[Agency])-ROW(TableDiv[[#Headers],[Agency]])),COLUMNS($F$7:Z$7))))</f>
        <v/>
      </c>
      <c r="AA922" s="2223" t="str" cm="1">
        <f t="array" ref="AA922">IF($D922&lt;COLUMNS($F$7:AA$7),"",INDEX(TableDiv[[GASB]:[GASB]],_xlfn.AGGREGATE(15,3,(TableDiv[[Agency]:[Agency]]=$E922)/(TableDiv[[Agency]:[Agency]]=$E922)*(ROW(TableDiv[Agency])-ROW(TableDiv[[#Headers],[Agency]])),COLUMNS($F$7:AA$7))))</f>
        <v/>
      </c>
      <c r="AB922" s="2223" t="str" cm="1">
        <f t="array" ref="AB922">IF($D922&lt;COLUMNS($F$7:AB$7),"",INDEX(TableDiv[[GASB]:[GASB]],_xlfn.AGGREGATE(15,3,(TableDiv[[Agency]:[Agency]]=$E922)/(TableDiv[[Agency]:[Agency]]=$E922)*(ROW(TableDiv[Agency])-ROW(TableDiv[[#Headers],[Agency]])),COLUMNS($F$7:AB$7))))</f>
        <v/>
      </c>
      <c r="AC922" s="2223" t="str" cm="1">
        <f t="array" ref="AC922">IF($D922&lt;COLUMNS($F$7:AC$7),"",INDEX(TableDiv[[GASB]:[GASB]],_xlfn.AGGREGATE(15,3,(TableDiv[[Agency]:[Agency]]=$E922)/(TableDiv[[Agency]:[Agency]]=$E922)*(ROW(TableDiv[Agency])-ROW(TableDiv[[#Headers],[Agency]])),COLUMNS($F$7:AC$7))))</f>
        <v/>
      </c>
      <c r="AD922" s="2223" t="str" cm="1">
        <f t="array" ref="AD922">IF($D922&lt;COLUMNS($F$7:AD$7),"",INDEX(TableDiv[[GASB]:[GASB]],_xlfn.AGGREGATE(15,3,(TableDiv[[Agency]:[Agency]]=$E922)/(TableDiv[[Agency]:[Agency]]=$E922)*(ROW(TableDiv[Agency])-ROW(TableDiv[[#Headers],[Agency]])),COLUMNS($F$7:AD$7))))</f>
        <v/>
      </c>
      <c r="AE922" s="2223" t="str" cm="1">
        <f t="array" ref="AE922">IF($D922&lt;COLUMNS($F$7:AE$7),"",INDEX(TableDiv[[GASB]:[GASB]],_xlfn.AGGREGATE(15,3,(TableDiv[[Agency]:[Agency]]=$E922)/(TableDiv[[Agency]:[Agency]]=$E922)*(ROW(TableDiv[Agency])-ROW(TableDiv[[#Headers],[Agency]])),COLUMNS($F$7:AE$7))))</f>
        <v/>
      </c>
      <c r="AF922" s="2223" t="str" cm="1">
        <f t="array" ref="AF922">IF($D922&lt;COLUMNS($F$7:AF$7),"",INDEX(TableDiv[[GASB]:[GASB]],_xlfn.AGGREGATE(15,3,(TableDiv[[Agency]:[Agency]]=$E922)/(TableDiv[[Agency]:[Agency]]=$E922)*(ROW(TableDiv[Agency])-ROW(TableDiv[[#Headers],[Agency]])),COLUMNS($F$7:AF$7))))</f>
        <v/>
      </c>
      <c r="AG922" s="2223" t="str" cm="1">
        <f t="array" ref="AG922">IF($D922&lt;COLUMNS($F$7:AG$7),"",INDEX(TableDiv[[GASB]:[GASB]],_xlfn.AGGREGATE(15,3,(TableDiv[[Agency]:[Agency]]=$E922)/(TableDiv[[Agency]:[Agency]]=$E922)*(ROW(TableDiv[Agency])-ROW(TableDiv[[#Headers],[Agency]])),COLUMNS($F$7:AG$7))))</f>
        <v/>
      </c>
      <c r="AH922" s="2223" t="str" cm="1">
        <f t="array" ref="AH922">IF($D922&lt;COLUMNS($F$7:AH$7),"",INDEX(TableDiv[[GASB]:[GASB]],_xlfn.AGGREGATE(15,3,(TableDiv[[Agency]:[Agency]]=$E922)/(TableDiv[[Agency]:[Agency]]=$E922)*(ROW(TableDiv[Agency])-ROW(TableDiv[[#Headers],[Agency]])),COLUMNS($F$7:AH$7))))</f>
        <v/>
      </c>
      <c r="AI922" s="2223" t="str" cm="1">
        <f t="array" ref="AI922">IF($D922&lt;COLUMNS($F$7:AI$7),"",INDEX(TableDiv[[GASB]:[GASB]],_xlfn.AGGREGATE(15,3,(TableDiv[[Agency]:[Agency]]=$E922)/(TableDiv[[Agency]:[Agency]]=$E922)*(ROW(TableDiv[Agency])-ROW(TableDiv[[#Headers],[Agency]])),COLUMNS($F$7:AI$7))))</f>
        <v/>
      </c>
      <c r="AJ922" s="2223" t="str" cm="1">
        <f t="array" ref="AJ922">IF($D922&lt;COLUMNS($F$7:AJ$7),"",INDEX(TableDiv[[GASB]:[GASB]],_xlfn.AGGREGATE(15,3,(TableDiv[[Agency]:[Agency]]=$E922)/(TableDiv[[Agency]:[Agency]]=$E922)*(ROW(TableDiv[Agency])-ROW(TableDiv[[#Headers],[Agency]])),COLUMNS($F$7:AJ$7))))</f>
        <v/>
      </c>
      <c r="AK922" s="2223" t="str" cm="1">
        <f t="array" ref="AK922">IF($D922&lt;COLUMNS($F$7:AK$7),"",INDEX(TableDiv[[GASB]:[GASB]],_xlfn.AGGREGATE(15,3,(TableDiv[[Agency]:[Agency]]=$E922)/(TableDiv[[Agency]:[Agency]]=$E922)*(ROW(TableDiv[Agency])-ROW(TableDiv[[#Headers],[Agency]])),COLUMNS($F$7:AK$7))))</f>
        <v/>
      </c>
      <c r="AL922" s="2223" t="str" cm="1">
        <f t="array" ref="AL922">IF($D922&lt;COLUMNS($F$7:AL$7),"",INDEX(TableDiv[[GASB]:[GASB]],_xlfn.AGGREGATE(15,3,(TableDiv[[Agency]:[Agency]]=$E922)/(TableDiv[[Agency]:[Agency]]=$E922)*(ROW(TableDiv[Agency])-ROW(TableDiv[[#Headers],[Agency]])),COLUMNS($F$7:AL$7))))</f>
        <v/>
      </c>
      <c r="AM922" s="2223" t="str" cm="1">
        <f t="array" ref="AM922">IF($D922&lt;COLUMNS($F$7:AM$7),"",INDEX(TableDiv[[GASB]:[GASB]],_xlfn.AGGREGATE(15,3,(TableDiv[[Agency]:[Agency]]=$E922)/(TableDiv[[Agency]:[Agency]]=$E922)*(ROW(TableDiv[Agency])-ROW(TableDiv[[#Headers],[Agency]])),COLUMNS($F$7:AM$7))))</f>
        <v/>
      </c>
      <c r="AN922" s="2223"/>
      <c r="AO922" s="2223"/>
      <c r="AP922" s="2223"/>
      <c r="AQ922" s="2223"/>
      <c r="AR922" s="2223"/>
      <c r="AS922" s="2223"/>
    </row>
    <row r="923" spans="1:45" x14ac:dyDescent="0.2">
      <c r="A923" s="2223"/>
      <c r="B923" s="2223"/>
      <c r="C923" s="2223"/>
      <c r="W923" s="2223" t="str" cm="1">
        <f t="array" ref="W923">IF($D923&lt;COLUMNS($F$7:W$7),"",INDEX(TableDiv[[GASB]:[GASB]],_xlfn.AGGREGATE(15,3,(TableDiv[[Agency]:[Agency]]=$E923)/(TableDiv[[Agency]:[Agency]]=$E923)*(ROW(TableDiv[Agency])-ROW(TableDiv[[#Headers],[Agency]])),COLUMNS($F$7:W$7))))</f>
        <v/>
      </c>
      <c r="X923" s="2223" t="str" cm="1">
        <f t="array" ref="X923">IF($D923&lt;COLUMNS($F$7:X$7),"",INDEX(TableDiv[[GASB]:[GASB]],_xlfn.AGGREGATE(15,3,(TableDiv[[Agency]:[Agency]]=$E923)/(TableDiv[[Agency]:[Agency]]=$E923)*(ROW(TableDiv[Agency])-ROW(TableDiv[[#Headers],[Agency]])),COLUMNS($F$7:X$7))))</f>
        <v/>
      </c>
      <c r="Y923" s="2223" t="str" cm="1">
        <f t="array" ref="Y923">IF($D923&lt;COLUMNS($F$7:Y$7),"",INDEX(TableDiv[[GASB]:[GASB]],_xlfn.AGGREGATE(15,3,(TableDiv[[Agency]:[Agency]]=$E923)/(TableDiv[[Agency]:[Agency]]=$E923)*(ROW(TableDiv[Agency])-ROW(TableDiv[[#Headers],[Agency]])),COLUMNS($F$7:Y$7))))</f>
        <v/>
      </c>
      <c r="Z923" s="2223" t="str" cm="1">
        <f t="array" ref="Z923">IF($D923&lt;COLUMNS($F$7:Z$7),"",INDEX(TableDiv[[GASB]:[GASB]],_xlfn.AGGREGATE(15,3,(TableDiv[[Agency]:[Agency]]=$E923)/(TableDiv[[Agency]:[Agency]]=$E923)*(ROW(TableDiv[Agency])-ROW(TableDiv[[#Headers],[Agency]])),COLUMNS($F$7:Z$7))))</f>
        <v/>
      </c>
      <c r="AA923" s="2223" t="str" cm="1">
        <f t="array" ref="AA923">IF($D923&lt;COLUMNS($F$7:AA$7),"",INDEX(TableDiv[[GASB]:[GASB]],_xlfn.AGGREGATE(15,3,(TableDiv[[Agency]:[Agency]]=$E923)/(TableDiv[[Agency]:[Agency]]=$E923)*(ROW(TableDiv[Agency])-ROW(TableDiv[[#Headers],[Agency]])),COLUMNS($F$7:AA$7))))</f>
        <v/>
      </c>
      <c r="AB923" s="2223" t="str" cm="1">
        <f t="array" ref="AB923">IF($D923&lt;COLUMNS($F$7:AB$7),"",INDEX(TableDiv[[GASB]:[GASB]],_xlfn.AGGREGATE(15,3,(TableDiv[[Agency]:[Agency]]=$E923)/(TableDiv[[Agency]:[Agency]]=$E923)*(ROW(TableDiv[Agency])-ROW(TableDiv[[#Headers],[Agency]])),COLUMNS($F$7:AB$7))))</f>
        <v/>
      </c>
      <c r="AC923" s="2223" t="str" cm="1">
        <f t="array" ref="AC923">IF($D923&lt;COLUMNS($F$7:AC$7),"",INDEX(TableDiv[[GASB]:[GASB]],_xlfn.AGGREGATE(15,3,(TableDiv[[Agency]:[Agency]]=$E923)/(TableDiv[[Agency]:[Agency]]=$E923)*(ROW(TableDiv[Agency])-ROW(TableDiv[[#Headers],[Agency]])),COLUMNS($F$7:AC$7))))</f>
        <v/>
      </c>
      <c r="AD923" s="2223" t="str" cm="1">
        <f t="array" ref="AD923">IF($D923&lt;COLUMNS($F$7:AD$7),"",INDEX(TableDiv[[GASB]:[GASB]],_xlfn.AGGREGATE(15,3,(TableDiv[[Agency]:[Agency]]=$E923)/(TableDiv[[Agency]:[Agency]]=$E923)*(ROW(TableDiv[Agency])-ROW(TableDiv[[#Headers],[Agency]])),COLUMNS($F$7:AD$7))))</f>
        <v/>
      </c>
      <c r="AE923" s="2223" t="str" cm="1">
        <f t="array" ref="AE923">IF($D923&lt;COLUMNS($F$7:AE$7),"",INDEX(TableDiv[[GASB]:[GASB]],_xlfn.AGGREGATE(15,3,(TableDiv[[Agency]:[Agency]]=$E923)/(TableDiv[[Agency]:[Agency]]=$E923)*(ROW(TableDiv[Agency])-ROW(TableDiv[[#Headers],[Agency]])),COLUMNS($F$7:AE$7))))</f>
        <v/>
      </c>
      <c r="AF923" s="2223" t="str" cm="1">
        <f t="array" ref="AF923">IF($D923&lt;COLUMNS($F$7:AF$7),"",INDEX(TableDiv[[GASB]:[GASB]],_xlfn.AGGREGATE(15,3,(TableDiv[[Agency]:[Agency]]=$E923)/(TableDiv[[Agency]:[Agency]]=$E923)*(ROW(TableDiv[Agency])-ROW(TableDiv[[#Headers],[Agency]])),COLUMNS($F$7:AF$7))))</f>
        <v/>
      </c>
      <c r="AG923" s="2223" t="str" cm="1">
        <f t="array" ref="AG923">IF($D923&lt;COLUMNS($F$7:AG$7),"",INDEX(TableDiv[[GASB]:[GASB]],_xlfn.AGGREGATE(15,3,(TableDiv[[Agency]:[Agency]]=$E923)/(TableDiv[[Agency]:[Agency]]=$E923)*(ROW(TableDiv[Agency])-ROW(TableDiv[[#Headers],[Agency]])),COLUMNS($F$7:AG$7))))</f>
        <v/>
      </c>
      <c r="AH923" s="2223" t="str" cm="1">
        <f t="array" ref="AH923">IF($D923&lt;COLUMNS($F$7:AH$7),"",INDEX(TableDiv[[GASB]:[GASB]],_xlfn.AGGREGATE(15,3,(TableDiv[[Agency]:[Agency]]=$E923)/(TableDiv[[Agency]:[Agency]]=$E923)*(ROW(TableDiv[Agency])-ROW(TableDiv[[#Headers],[Agency]])),COLUMNS($F$7:AH$7))))</f>
        <v/>
      </c>
      <c r="AI923" s="2223" t="str" cm="1">
        <f t="array" ref="AI923">IF($D923&lt;COLUMNS($F$7:AI$7),"",INDEX(TableDiv[[GASB]:[GASB]],_xlfn.AGGREGATE(15,3,(TableDiv[[Agency]:[Agency]]=$E923)/(TableDiv[[Agency]:[Agency]]=$E923)*(ROW(TableDiv[Agency])-ROW(TableDiv[[#Headers],[Agency]])),COLUMNS($F$7:AI$7))))</f>
        <v/>
      </c>
      <c r="AJ923" s="2223" t="str" cm="1">
        <f t="array" ref="AJ923">IF($D923&lt;COLUMNS($F$7:AJ$7),"",INDEX(TableDiv[[GASB]:[GASB]],_xlfn.AGGREGATE(15,3,(TableDiv[[Agency]:[Agency]]=$E923)/(TableDiv[[Agency]:[Agency]]=$E923)*(ROW(TableDiv[Agency])-ROW(TableDiv[[#Headers],[Agency]])),COLUMNS($F$7:AJ$7))))</f>
        <v/>
      </c>
      <c r="AK923" s="2223" t="str" cm="1">
        <f t="array" ref="AK923">IF($D923&lt;COLUMNS($F$7:AK$7),"",INDEX(TableDiv[[GASB]:[GASB]],_xlfn.AGGREGATE(15,3,(TableDiv[[Agency]:[Agency]]=$E923)/(TableDiv[[Agency]:[Agency]]=$E923)*(ROW(TableDiv[Agency])-ROW(TableDiv[[#Headers],[Agency]])),COLUMNS($F$7:AK$7))))</f>
        <v/>
      </c>
      <c r="AL923" s="2223" t="str" cm="1">
        <f t="array" ref="AL923">IF($D923&lt;COLUMNS($F$7:AL$7),"",INDEX(TableDiv[[GASB]:[GASB]],_xlfn.AGGREGATE(15,3,(TableDiv[[Agency]:[Agency]]=$E923)/(TableDiv[[Agency]:[Agency]]=$E923)*(ROW(TableDiv[Agency])-ROW(TableDiv[[#Headers],[Agency]])),COLUMNS($F$7:AL$7))))</f>
        <v/>
      </c>
      <c r="AM923" s="2223" t="str" cm="1">
        <f t="array" ref="AM923">IF($D923&lt;COLUMNS($F$7:AM$7),"",INDEX(TableDiv[[GASB]:[GASB]],_xlfn.AGGREGATE(15,3,(TableDiv[[Agency]:[Agency]]=$E923)/(TableDiv[[Agency]:[Agency]]=$E923)*(ROW(TableDiv[Agency])-ROW(TableDiv[[#Headers],[Agency]])),COLUMNS($F$7:AM$7))))</f>
        <v/>
      </c>
      <c r="AN923" s="2223"/>
      <c r="AO923" s="2223"/>
      <c r="AP923" s="2223"/>
      <c r="AQ923" s="2223"/>
      <c r="AR923" s="2223"/>
      <c r="AS923" s="2223"/>
    </row>
    <row r="924" spans="1:45" x14ac:dyDescent="0.2">
      <c r="A924" s="2223"/>
      <c r="B924" s="2223"/>
      <c r="C924" s="2223"/>
      <c r="W924" s="2223" t="str" cm="1">
        <f t="array" ref="W924">IF($D924&lt;COLUMNS($F$7:W$7),"",INDEX(TableDiv[[GASB]:[GASB]],_xlfn.AGGREGATE(15,3,(TableDiv[[Agency]:[Agency]]=$E924)/(TableDiv[[Agency]:[Agency]]=$E924)*(ROW(TableDiv[Agency])-ROW(TableDiv[[#Headers],[Agency]])),COLUMNS($F$7:W$7))))</f>
        <v/>
      </c>
      <c r="X924" s="2223" t="str" cm="1">
        <f t="array" ref="X924">IF($D924&lt;COLUMNS($F$7:X$7),"",INDEX(TableDiv[[GASB]:[GASB]],_xlfn.AGGREGATE(15,3,(TableDiv[[Agency]:[Agency]]=$E924)/(TableDiv[[Agency]:[Agency]]=$E924)*(ROW(TableDiv[Agency])-ROW(TableDiv[[#Headers],[Agency]])),COLUMNS($F$7:X$7))))</f>
        <v/>
      </c>
      <c r="Y924" s="2223" t="str" cm="1">
        <f t="array" ref="Y924">IF($D924&lt;COLUMNS($F$7:Y$7),"",INDEX(TableDiv[[GASB]:[GASB]],_xlfn.AGGREGATE(15,3,(TableDiv[[Agency]:[Agency]]=$E924)/(TableDiv[[Agency]:[Agency]]=$E924)*(ROW(TableDiv[Agency])-ROW(TableDiv[[#Headers],[Agency]])),COLUMNS($F$7:Y$7))))</f>
        <v/>
      </c>
      <c r="Z924" s="2223" t="str" cm="1">
        <f t="array" ref="Z924">IF($D924&lt;COLUMNS($F$7:Z$7),"",INDEX(TableDiv[[GASB]:[GASB]],_xlfn.AGGREGATE(15,3,(TableDiv[[Agency]:[Agency]]=$E924)/(TableDiv[[Agency]:[Agency]]=$E924)*(ROW(TableDiv[Agency])-ROW(TableDiv[[#Headers],[Agency]])),COLUMNS($F$7:Z$7))))</f>
        <v/>
      </c>
      <c r="AA924" s="2223" t="str" cm="1">
        <f t="array" ref="AA924">IF($D924&lt;COLUMNS($F$7:AA$7),"",INDEX(TableDiv[[GASB]:[GASB]],_xlfn.AGGREGATE(15,3,(TableDiv[[Agency]:[Agency]]=$E924)/(TableDiv[[Agency]:[Agency]]=$E924)*(ROW(TableDiv[Agency])-ROW(TableDiv[[#Headers],[Agency]])),COLUMNS($F$7:AA$7))))</f>
        <v/>
      </c>
      <c r="AB924" s="2223" t="str" cm="1">
        <f t="array" ref="AB924">IF($D924&lt;COLUMNS($F$7:AB$7),"",INDEX(TableDiv[[GASB]:[GASB]],_xlfn.AGGREGATE(15,3,(TableDiv[[Agency]:[Agency]]=$E924)/(TableDiv[[Agency]:[Agency]]=$E924)*(ROW(TableDiv[Agency])-ROW(TableDiv[[#Headers],[Agency]])),COLUMNS($F$7:AB$7))))</f>
        <v/>
      </c>
      <c r="AC924" s="2223" t="str" cm="1">
        <f t="array" ref="AC924">IF($D924&lt;COLUMNS($F$7:AC$7),"",INDEX(TableDiv[[GASB]:[GASB]],_xlfn.AGGREGATE(15,3,(TableDiv[[Agency]:[Agency]]=$E924)/(TableDiv[[Agency]:[Agency]]=$E924)*(ROW(TableDiv[Agency])-ROW(TableDiv[[#Headers],[Agency]])),COLUMNS($F$7:AC$7))))</f>
        <v/>
      </c>
      <c r="AD924" s="2223" t="str" cm="1">
        <f t="array" ref="AD924">IF($D924&lt;COLUMNS($F$7:AD$7),"",INDEX(TableDiv[[GASB]:[GASB]],_xlfn.AGGREGATE(15,3,(TableDiv[[Agency]:[Agency]]=$E924)/(TableDiv[[Agency]:[Agency]]=$E924)*(ROW(TableDiv[Agency])-ROW(TableDiv[[#Headers],[Agency]])),COLUMNS($F$7:AD$7))))</f>
        <v/>
      </c>
      <c r="AE924" s="2223" t="str" cm="1">
        <f t="array" ref="AE924">IF($D924&lt;COLUMNS($F$7:AE$7),"",INDEX(TableDiv[[GASB]:[GASB]],_xlfn.AGGREGATE(15,3,(TableDiv[[Agency]:[Agency]]=$E924)/(TableDiv[[Agency]:[Agency]]=$E924)*(ROW(TableDiv[Agency])-ROW(TableDiv[[#Headers],[Agency]])),COLUMNS($F$7:AE$7))))</f>
        <v/>
      </c>
      <c r="AF924" s="2223" t="str" cm="1">
        <f t="array" ref="AF924">IF($D924&lt;COLUMNS($F$7:AF$7),"",INDEX(TableDiv[[GASB]:[GASB]],_xlfn.AGGREGATE(15,3,(TableDiv[[Agency]:[Agency]]=$E924)/(TableDiv[[Agency]:[Agency]]=$E924)*(ROW(TableDiv[Agency])-ROW(TableDiv[[#Headers],[Agency]])),COLUMNS($F$7:AF$7))))</f>
        <v/>
      </c>
      <c r="AG924" s="2223" t="str" cm="1">
        <f t="array" ref="AG924">IF($D924&lt;COLUMNS($F$7:AG$7),"",INDEX(TableDiv[[GASB]:[GASB]],_xlfn.AGGREGATE(15,3,(TableDiv[[Agency]:[Agency]]=$E924)/(TableDiv[[Agency]:[Agency]]=$E924)*(ROW(TableDiv[Agency])-ROW(TableDiv[[#Headers],[Agency]])),COLUMNS($F$7:AG$7))))</f>
        <v/>
      </c>
      <c r="AH924" s="2223" t="str" cm="1">
        <f t="array" ref="AH924">IF($D924&lt;COLUMNS($F$7:AH$7),"",INDEX(TableDiv[[GASB]:[GASB]],_xlfn.AGGREGATE(15,3,(TableDiv[[Agency]:[Agency]]=$E924)/(TableDiv[[Agency]:[Agency]]=$E924)*(ROW(TableDiv[Agency])-ROW(TableDiv[[#Headers],[Agency]])),COLUMNS($F$7:AH$7))))</f>
        <v/>
      </c>
      <c r="AI924" s="2223" t="str" cm="1">
        <f t="array" ref="AI924">IF($D924&lt;COLUMNS($F$7:AI$7),"",INDEX(TableDiv[[GASB]:[GASB]],_xlfn.AGGREGATE(15,3,(TableDiv[[Agency]:[Agency]]=$E924)/(TableDiv[[Agency]:[Agency]]=$E924)*(ROW(TableDiv[Agency])-ROW(TableDiv[[#Headers],[Agency]])),COLUMNS($F$7:AI$7))))</f>
        <v/>
      </c>
      <c r="AJ924" s="2223" t="str" cm="1">
        <f t="array" ref="AJ924">IF($D924&lt;COLUMNS($F$7:AJ$7),"",INDEX(TableDiv[[GASB]:[GASB]],_xlfn.AGGREGATE(15,3,(TableDiv[[Agency]:[Agency]]=$E924)/(TableDiv[[Agency]:[Agency]]=$E924)*(ROW(TableDiv[Agency])-ROW(TableDiv[[#Headers],[Agency]])),COLUMNS($F$7:AJ$7))))</f>
        <v/>
      </c>
      <c r="AK924" s="2223" t="str" cm="1">
        <f t="array" ref="AK924">IF($D924&lt;COLUMNS($F$7:AK$7),"",INDEX(TableDiv[[GASB]:[GASB]],_xlfn.AGGREGATE(15,3,(TableDiv[[Agency]:[Agency]]=$E924)/(TableDiv[[Agency]:[Agency]]=$E924)*(ROW(TableDiv[Agency])-ROW(TableDiv[[#Headers],[Agency]])),COLUMNS($F$7:AK$7))))</f>
        <v/>
      </c>
      <c r="AL924" s="2223" t="str" cm="1">
        <f t="array" ref="AL924">IF($D924&lt;COLUMNS($F$7:AL$7),"",INDEX(TableDiv[[GASB]:[GASB]],_xlfn.AGGREGATE(15,3,(TableDiv[[Agency]:[Agency]]=$E924)/(TableDiv[[Agency]:[Agency]]=$E924)*(ROW(TableDiv[Agency])-ROW(TableDiv[[#Headers],[Agency]])),COLUMNS($F$7:AL$7))))</f>
        <v/>
      </c>
      <c r="AM924" s="2223" t="str" cm="1">
        <f t="array" ref="AM924">IF($D924&lt;COLUMNS($F$7:AM$7),"",INDEX(TableDiv[[GASB]:[GASB]],_xlfn.AGGREGATE(15,3,(TableDiv[[Agency]:[Agency]]=$E924)/(TableDiv[[Agency]:[Agency]]=$E924)*(ROW(TableDiv[Agency])-ROW(TableDiv[[#Headers],[Agency]])),COLUMNS($F$7:AM$7))))</f>
        <v/>
      </c>
      <c r="AN924" s="2223"/>
      <c r="AO924" s="2223"/>
      <c r="AP924" s="2223"/>
      <c r="AQ924" s="2223"/>
      <c r="AR924" s="2223"/>
      <c r="AS924" s="2223"/>
    </row>
    <row r="925" spans="1:45" x14ac:dyDescent="0.2">
      <c r="A925" s="2223"/>
      <c r="B925" s="2223"/>
      <c r="C925" s="2223"/>
      <c r="W925" s="2223" t="str" cm="1">
        <f t="array" ref="W925">IF($D925&lt;COLUMNS($F$7:W$7),"",INDEX(TableDiv[[GASB]:[GASB]],_xlfn.AGGREGATE(15,3,(TableDiv[[Agency]:[Agency]]=$E925)/(TableDiv[[Agency]:[Agency]]=$E925)*(ROW(TableDiv[Agency])-ROW(TableDiv[[#Headers],[Agency]])),COLUMNS($F$7:W$7))))</f>
        <v/>
      </c>
      <c r="X925" s="2223" t="str" cm="1">
        <f t="array" ref="X925">IF($D925&lt;COLUMNS($F$7:X$7),"",INDEX(TableDiv[[GASB]:[GASB]],_xlfn.AGGREGATE(15,3,(TableDiv[[Agency]:[Agency]]=$E925)/(TableDiv[[Agency]:[Agency]]=$E925)*(ROW(TableDiv[Agency])-ROW(TableDiv[[#Headers],[Agency]])),COLUMNS($F$7:X$7))))</f>
        <v/>
      </c>
      <c r="Y925" s="2223" t="str" cm="1">
        <f t="array" ref="Y925">IF($D925&lt;COLUMNS($F$7:Y$7),"",INDEX(TableDiv[[GASB]:[GASB]],_xlfn.AGGREGATE(15,3,(TableDiv[[Agency]:[Agency]]=$E925)/(TableDiv[[Agency]:[Agency]]=$E925)*(ROW(TableDiv[Agency])-ROW(TableDiv[[#Headers],[Agency]])),COLUMNS($F$7:Y$7))))</f>
        <v/>
      </c>
      <c r="Z925" s="2223" t="str" cm="1">
        <f t="array" ref="Z925">IF($D925&lt;COLUMNS($F$7:Z$7),"",INDEX(TableDiv[[GASB]:[GASB]],_xlfn.AGGREGATE(15,3,(TableDiv[[Agency]:[Agency]]=$E925)/(TableDiv[[Agency]:[Agency]]=$E925)*(ROW(TableDiv[Agency])-ROW(TableDiv[[#Headers],[Agency]])),COLUMNS($F$7:Z$7))))</f>
        <v/>
      </c>
      <c r="AA925" s="2223" t="str" cm="1">
        <f t="array" ref="AA925">IF($D925&lt;COLUMNS($F$7:AA$7),"",INDEX(TableDiv[[GASB]:[GASB]],_xlfn.AGGREGATE(15,3,(TableDiv[[Agency]:[Agency]]=$E925)/(TableDiv[[Agency]:[Agency]]=$E925)*(ROW(TableDiv[Agency])-ROW(TableDiv[[#Headers],[Agency]])),COLUMNS($F$7:AA$7))))</f>
        <v/>
      </c>
      <c r="AB925" s="2223" t="str" cm="1">
        <f t="array" ref="AB925">IF($D925&lt;COLUMNS($F$7:AB$7),"",INDEX(TableDiv[[GASB]:[GASB]],_xlfn.AGGREGATE(15,3,(TableDiv[[Agency]:[Agency]]=$E925)/(TableDiv[[Agency]:[Agency]]=$E925)*(ROW(TableDiv[Agency])-ROW(TableDiv[[#Headers],[Agency]])),COLUMNS($F$7:AB$7))))</f>
        <v/>
      </c>
      <c r="AC925" s="2223" t="str" cm="1">
        <f t="array" ref="AC925">IF($D925&lt;COLUMNS($F$7:AC$7),"",INDEX(TableDiv[[GASB]:[GASB]],_xlfn.AGGREGATE(15,3,(TableDiv[[Agency]:[Agency]]=$E925)/(TableDiv[[Agency]:[Agency]]=$E925)*(ROW(TableDiv[Agency])-ROW(TableDiv[[#Headers],[Agency]])),COLUMNS($F$7:AC$7))))</f>
        <v/>
      </c>
      <c r="AD925" s="2223" t="str" cm="1">
        <f t="array" ref="AD925">IF($D925&lt;COLUMNS($F$7:AD$7),"",INDEX(TableDiv[[GASB]:[GASB]],_xlfn.AGGREGATE(15,3,(TableDiv[[Agency]:[Agency]]=$E925)/(TableDiv[[Agency]:[Agency]]=$E925)*(ROW(TableDiv[Agency])-ROW(TableDiv[[#Headers],[Agency]])),COLUMNS($F$7:AD$7))))</f>
        <v/>
      </c>
      <c r="AE925" s="2223" t="str" cm="1">
        <f t="array" ref="AE925">IF($D925&lt;COLUMNS($F$7:AE$7),"",INDEX(TableDiv[[GASB]:[GASB]],_xlfn.AGGREGATE(15,3,(TableDiv[[Agency]:[Agency]]=$E925)/(TableDiv[[Agency]:[Agency]]=$E925)*(ROW(TableDiv[Agency])-ROW(TableDiv[[#Headers],[Agency]])),COLUMNS($F$7:AE$7))))</f>
        <v/>
      </c>
      <c r="AF925" s="2223" t="str" cm="1">
        <f t="array" ref="AF925">IF($D925&lt;COLUMNS($F$7:AF$7),"",INDEX(TableDiv[[GASB]:[GASB]],_xlfn.AGGREGATE(15,3,(TableDiv[[Agency]:[Agency]]=$E925)/(TableDiv[[Agency]:[Agency]]=$E925)*(ROW(TableDiv[Agency])-ROW(TableDiv[[#Headers],[Agency]])),COLUMNS($F$7:AF$7))))</f>
        <v/>
      </c>
      <c r="AG925" s="2223" t="str" cm="1">
        <f t="array" ref="AG925">IF($D925&lt;COLUMNS($F$7:AG$7),"",INDEX(TableDiv[[GASB]:[GASB]],_xlfn.AGGREGATE(15,3,(TableDiv[[Agency]:[Agency]]=$E925)/(TableDiv[[Agency]:[Agency]]=$E925)*(ROW(TableDiv[Agency])-ROW(TableDiv[[#Headers],[Agency]])),COLUMNS($F$7:AG$7))))</f>
        <v/>
      </c>
      <c r="AH925" s="2223" t="str" cm="1">
        <f t="array" ref="AH925">IF($D925&lt;COLUMNS($F$7:AH$7),"",INDEX(TableDiv[[GASB]:[GASB]],_xlfn.AGGREGATE(15,3,(TableDiv[[Agency]:[Agency]]=$E925)/(TableDiv[[Agency]:[Agency]]=$E925)*(ROW(TableDiv[Agency])-ROW(TableDiv[[#Headers],[Agency]])),COLUMNS($F$7:AH$7))))</f>
        <v/>
      </c>
      <c r="AI925" s="2223" t="str" cm="1">
        <f t="array" ref="AI925">IF($D925&lt;COLUMNS($F$7:AI$7),"",INDEX(TableDiv[[GASB]:[GASB]],_xlfn.AGGREGATE(15,3,(TableDiv[[Agency]:[Agency]]=$E925)/(TableDiv[[Agency]:[Agency]]=$E925)*(ROW(TableDiv[Agency])-ROW(TableDiv[[#Headers],[Agency]])),COLUMNS($F$7:AI$7))))</f>
        <v/>
      </c>
      <c r="AJ925" s="2223" t="str" cm="1">
        <f t="array" ref="AJ925">IF($D925&lt;COLUMNS($F$7:AJ$7),"",INDEX(TableDiv[[GASB]:[GASB]],_xlfn.AGGREGATE(15,3,(TableDiv[[Agency]:[Agency]]=$E925)/(TableDiv[[Agency]:[Agency]]=$E925)*(ROW(TableDiv[Agency])-ROW(TableDiv[[#Headers],[Agency]])),COLUMNS($F$7:AJ$7))))</f>
        <v/>
      </c>
      <c r="AK925" s="2223" t="str" cm="1">
        <f t="array" ref="AK925">IF($D925&lt;COLUMNS($F$7:AK$7),"",INDEX(TableDiv[[GASB]:[GASB]],_xlfn.AGGREGATE(15,3,(TableDiv[[Agency]:[Agency]]=$E925)/(TableDiv[[Agency]:[Agency]]=$E925)*(ROW(TableDiv[Agency])-ROW(TableDiv[[#Headers],[Agency]])),COLUMNS($F$7:AK$7))))</f>
        <v/>
      </c>
      <c r="AL925" s="2223" t="str" cm="1">
        <f t="array" ref="AL925">IF($D925&lt;COLUMNS($F$7:AL$7),"",INDEX(TableDiv[[GASB]:[GASB]],_xlfn.AGGREGATE(15,3,(TableDiv[[Agency]:[Agency]]=$E925)/(TableDiv[[Agency]:[Agency]]=$E925)*(ROW(TableDiv[Agency])-ROW(TableDiv[[#Headers],[Agency]])),COLUMNS($F$7:AL$7))))</f>
        <v/>
      </c>
      <c r="AM925" s="2223" t="str" cm="1">
        <f t="array" ref="AM925">IF($D925&lt;COLUMNS($F$7:AM$7),"",INDEX(TableDiv[[GASB]:[GASB]],_xlfn.AGGREGATE(15,3,(TableDiv[[Agency]:[Agency]]=$E925)/(TableDiv[[Agency]:[Agency]]=$E925)*(ROW(TableDiv[Agency])-ROW(TableDiv[[#Headers],[Agency]])),COLUMNS($F$7:AM$7))))</f>
        <v/>
      </c>
      <c r="AN925" s="2223"/>
      <c r="AO925" s="2223"/>
      <c r="AP925" s="2223"/>
      <c r="AQ925" s="2223"/>
      <c r="AR925" s="2223"/>
      <c r="AS925" s="2223"/>
    </row>
    <row r="926" spans="1:45" x14ac:dyDescent="0.2">
      <c r="A926" s="2223"/>
      <c r="B926" s="2223"/>
      <c r="C926" s="2223"/>
      <c r="W926" s="2223" t="str" cm="1">
        <f t="array" ref="W926">IF($D926&lt;COLUMNS($F$7:W$7),"",INDEX(TableDiv[[GASB]:[GASB]],_xlfn.AGGREGATE(15,3,(TableDiv[[Agency]:[Agency]]=$E926)/(TableDiv[[Agency]:[Agency]]=$E926)*(ROW(TableDiv[Agency])-ROW(TableDiv[[#Headers],[Agency]])),COLUMNS($F$7:W$7))))</f>
        <v/>
      </c>
      <c r="X926" s="2223" t="str" cm="1">
        <f t="array" ref="X926">IF($D926&lt;COLUMNS($F$7:X$7),"",INDEX(TableDiv[[GASB]:[GASB]],_xlfn.AGGREGATE(15,3,(TableDiv[[Agency]:[Agency]]=$E926)/(TableDiv[[Agency]:[Agency]]=$E926)*(ROW(TableDiv[Agency])-ROW(TableDiv[[#Headers],[Agency]])),COLUMNS($F$7:X$7))))</f>
        <v/>
      </c>
      <c r="Y926" s="2223" t="str" cm="1">
        <f t="array" ref="Y926">IF($D926&lt;COLUMNS($F$7:Y$7),"",INDEX(TableDiv[[GASB]:[GASB]],_xlfn.AGGREGATE(15,3,(TableDiv[[Agency]:[Agency]]=$E926)/(TableDiv[[Agency]:[Agency]]=$E926)*(ROW(TableDiv[Agency])-ROW(TableDiv[[#Headers],[Agency]])),COLUMNS($F$7:Y$7))))</f>
        <v/>
      </c>
      <c r="Z926" s="2223" t="str" cm="1">
        <f t="array" ref="Z926">IF($D926&lt;COLUMNS($F$7:Z$7),"",INDEX(TableDiv[[GASB]:[GASB]],_xlfn.AGGREGATE(15,3,(TableDiv[[Agency]:[Agency]]=$E926)/(TableDiv[[Agency]:[Agency]]=$E926)*(ROW(TableDiv[Agency])-ROW(TableDiv[[#Headers],[Agency]])),COLUMNS($F$7:Z$7))))</f>
        <v/>
      </c>
      <c r="AA926" s="2223" t="str" cm="1">
        <f t="array" ref="AA926">IF($D926&lt;COLUMNS($F$7:AA$7),"",INDEX(TableDiv[[GASB]:[GASB]],_xlfn.AGGREGATE(15,3,(TableDiv[[Agency]:[Agency]]=$E926)/(TableDiv[[Agency]:[Agency]]=$E926)*(ROW(TableDiv[Agency])-ROW(TableDiv[[#Headers],[Agency]])),COLUMNS($F$7:AA$7))))</f>
        <v/>
      </c>
      <c r="AB926" s="2223" t="str" cm="1">
        <f t="array" ref="AB926">IF($D926&lt;COLUMNS($F$7:AB$7),"",INDEX(TableDiv[[GASB]:[GASB]],_xlfn.AGGREGATE(15,3,(TableDiv[[Agency]:[Agency]]=$E926)/(TableDiv[[Agency]:[Agency]]=$E926)*(ROW(TableDiv[Agency])-ROW(TableDiv[[#Headers],[Agency]])),COLUMNS($F$7:AB$7))))</f>
        <v/>
      </c>
      <c r="AC926" s="2223" t="str" cm="1">
        <f t="array" ref="AC926">IF($D926&lt;COLUMNS($F$7:AC$7),"",INDEX(TableDiv[[GASB]:[GASB]],_xlfn.AGGREGATE(15,3,(TableDiv[[Agency]:[Agency]]=$E926)/(TableDiv[[Agency]:[Agency]]=$E926)*(ROW(TableDiv[Agency])-ROW(TableDiv[[#Headers],[Agency]])),COLUMNS($F$7:AC$7))))</f>
        <v/>
      </c>
      <c r="AD926" s="2223" t="str" cm="1">
        <f t="array" ref="AD926">IF($D926&lt;COLUMNS($F$7:AD$7),"",INDEX(TableDiv[[GASB]:[GASB]],_xlfn.AGGREGATE(15,3,(TableDiv[[Agency]:[Agency]]=$E926)/(TableDiv[[Agency]:[Agency]]=$E926)*(ROW(TableDiv[Agency])-ROW(TableDiv[[#Headers],[Agency]])),COLUMNS($F$7:AD$7))))</f>
        <v/>
      </c>
      <c r="AE926" s="2223" t="str" cm="1">
        <f t="array" ref="AE926">IF($D926&lt;COLUMNS($F$7:AE$7),"",INDEX(TableDiv[[GASB]:[GASB]],_xlfn.AGGREGATE(15,3,(TableDiv[[Agency]:[Agency]]=$E926)/(TableDiv[[Agency]:[Agency]]=$E926)*(ROW(TableDiv[Agency])-ROW(TableDiv[[#Headers],[Agency]])),COLUMNS($F$7:AE$7))))</f>
        <v/>
      </c>
      <c r="AF926" s="2223" t="str" cm="1">
        <f t="array" ref="AF926">IF($D926&lt;COLUMNS($F$7:AF$7),"",INDEX(TableDiv[[GASB]:[GASB]],_xlfn.AGGREGATE(15,3,(TableDiv[[Agency]:[Agency]]=$E926)/(TableDiv[[Agency]:[Agency]]=$E926)*(ROW(TableDiv[Agency])-ROW(TableDiv[[#Headers],[Agency]])),COLUMNS($F$7:AF$7))))</f>
        <v/>
      </c>
      <c r="AG926" s="2223" t="str" cm="1">
        <f t="array" ref="AG926">IF($D926&lt;COLUMNS($F$7:AG$7),"",INDEX(TableDiv[[GASB]:[GASB]],_xlfn.AGGREGATE(15,3,(TableDiv[[Agency]:[Agency]]=$E926)/(TableDiv[[Agency]:[Agency]]=$E926)*(ROW(TableDiv[Agency])-ROW(TableDiv[[#Headers],[Agency]])),COLUMNS($F$7:AG$7))))</f>
        <v/>
      </c>
      <c r="AH926" s="2223" t="str" cm="1">
        <f t="array" ref="AH926">IF($D926&lt;COLUMNS($F$7:AH$7),"",INDEX(TableDiv[[GASB]:[GASB]],_xlfn.AGGREGATE(15,3,(TableDiv[[Agency]:[Agency]]=$E926)/(TableDiv[[Agency]:[Agency]]=$E926)*(ROW(TableDiv[Agency])-ROW(TableDiv[[#Headers],[Agency]])),COLUMNS($F$7:AH$7))))</f>
        <v/>
      </c>
      <c r="AI926" s="2223" t="str" cm="1">
        <f t="array" ref="AI926">IF($D926&lt;COLUMNS($F$7:AI$7),"",INDEX(TableDiv[[GASB]:[GASB]],_xlfn.AGGREGATE(15,3,(TableDiv[[Agency]:[Agency]]=$E926)/(TableDiv[[Agency]:[Agency]]=$E926)*(ROW(TableDiv[Agency])-ROW(TableDiv[[#Headers],[Agency]])),COLUMNS($F$7:AI$7))))</f>
        <v/>
      </c>
      <c r="AJ926" s="2223" t="str" cm="1">
        <f t="array" ref="AJ926">IF($D926&lt;COLUMNS($F$7:AJ$7),"",INDEX(TableDiv[[GASB]:[GASB]],_xlfn.AGGREGATE(15,3,(TableDiv[[Agency]:[Agency]]=$E926)/(TableDiv[[Agency]:[Agency]]=$E926)*(ROW(TableDiv[Agency])-ROW(TableDiv[[#Headers],[Agency]])),COLUMNS($F$7:AJ$7))))</f>
        <v/>
      </c>
      <c r="AK926" s="2223" t="str" cm="1">
        <f t="array" ref="AK926">IF($D926&lt;COLUMNS($F$7:AK$7),"",INDEX(TableDiv[[GASB]:[GASB]],_xlfn.AGGREGATE(15,3,(TableDiv[[Agency]:[Agency]]=$E926)/(TableDiv[[Agency]:[Agency]]=$E926)*(ROW(TableDiv[Agency])-ROW(TableDiv[[#Headers],[Agency]])),COLUMNS($F$7:AK$7))))</f>
        <v/>
      </c>
      <c r="AL926" s="2223" t="str" cm="1">
        <f t="array" ref="AL926">IF($D926&lt;COLUMNS($F$7:AL$7),"",INDEX(TableDiv[[GASB]:[GASB]],_xlfn.AGGREGATE(15,3,(TableDiv[[Agency]:[Agency]]=$E926)/(TableDiv[[Agency]:[Agency]]=$E926)*(ROW(TableDiv[Agency])-ROW(TableDiv[[#Headers],[Agency]])),COLUMNS($F$7:AL$7))))</f>
        <v/>
      </c>
      <c r="AM926" s="2223" t="str" cm="1">
        <f t="array" ref="AM926">IF($D926&lt;COLUMNS($F$7:AM$7),"",INDEX(TableDiv[[GASB]:[GASB]],_xlfn.AGGREGATE(15,3,(TableDiv[[Agency]:[Agency]]=$E926)/(TableDiv[[Agency]:[Agency]]=$E926)*(ROW(TableDiv[Agency])-ROW(TableDiv[[#Headers],[Agency]])),COLUMNS($F$7:AM$7))))</f>
        <v/>
      </c>
      <c r="AN926" s="2223"/>
      <c r="AO926" s="2223"/>
      <c r="AP926" s="2223"/>
      <c r="AQ926" s="2223"/>
      <c r="AR926" s="2223"/>
      <c r="AS926" s="2223"/>
    </row>
    <row r="927" spans="1:45" x14ac:dyDescent="0.2">
      <c r="A927" s="2223"/>
      <c r="B927" s="2223"/>
      <c r="C927" s="2223"/>
      <c r="W927" s="2223" t="str" cm="1">
        <f t="array" ref="W927">IF($D927&lt;COLUMNS($F$7:W$7),"",INDEX(TableDiv[[GASB]:[GASB]],_xlfn.AGGREGATE(15,3,(TableDiv[[Agency]:[Agency]]=$E927)/(TableDiv[[Agency]:[Agency]]=$E927)*(ROW(TableDiv[Agency])-ROW(TableDiv[[#Headers],[Agency]])),COLUMNS($F$7:W$7))))</f>
        <v/>
      </c>
      <c r="X927" s="2223" t="str" cm="1">
        <f t="array" ref="X927">IF($D927&lt;COLUMNS($F$7:X$7),"",INDEX(TableDiv[[GASB]:[GASB]],_xlfn.AGGREGATE(15,3,(TableDiv[[Agency]:[Agency]]=$E927)/(TableDiv[[Agency]:[Agency]]=$E927)*(ROW(TableDiv[Agency])-ROW(TableDiv[[#Headers],[Agency]])),COLUMNS($F$7:X$7))))</f>
        <v/>
      </c>
      <c r="Y927" s="2223" t="str" cm="1">
        <f t="array" ref="Y927">IF($D927&lt;COLUMNS($F$7:Y$7),"",INDEX(TableDiv[[GASB]:[GASB]],_xlfn.AGGREGATE(15,3,(TableDiv[[Agency]:[Agency]]=$E927)/(TableDiv[[Agency]:[Agency]]=$E927)*(ROW(TableDiv[Agency])-ROW(TableDiv[[#Headers],[Agency]])),COLUMNS($F$7:Y$7))))</f>
        <v/>
      </c>
      <c r="Z927" s="2223" t="str" cm="1">
        <f t="array" ref="Z927">IF($D927&lt;COLUMNS($F$7:Z$7),"",INDEX(TableDiv[[GASB]:[GASB]],_xlfn.AGGREGATE(15,3,(TableDiv[[Agency]:[Agency]]=$E927)/(TableDiv[[Agency]:[Agency]]=$E927)*(ROW(TableDiv[Agency])-ROW(TableDiv[[#Headers],[Agency]])),COLUMNS($F$7:Z$7))))</f>
        <v/>
      </c>
      <c r="AA927" s="2223" t="str" cm="1">
        <f t="array" ref="AA927">IF($D927&lt;COLUMNS($F$7:AA$7),"",INDEX(TableDiv[[GASB]:[GASB]],_xlfn.AGGREGATE(15,3,(TableDiv[[Agency]:[Agency]]=$E927)/(TableDiv[[Agency]:[Agency]]=$E927)*(ROW(TableDiv[Agency])-ROW(TableDiv[[#Headers],[Agency]])),COLUMNS($F$7:AA$7))))</f>
        <v/>
      </c>
      <c r="AB927" s="2223" t="str" cm="1">
        <f t="array" ref="AB927">IF($D927&lt;COLUMNS($F$7:AB$7),"",INDEX(TableDiv[[GASB]:[GASB]],_xlfn.AGGREGATE(15,3,(TableDiv[[Agency]:[Agency]]=$E927)/(TableDiv[[Agency]:[Agency]]=$E927)*(ROW(TableDiv[Agency])-ROW(TableDiv[[#Headers],[Agency]])),COLUMNS($F$7:AB$7))))</f>
        <v/>
      </c>
      <c r="AC927" s="2223" t="str" cm="1">
        <f t="array" ref="AC927">IF($D927&lt;COLUMNS($F$7:AC$7),"",INDEX(TableDiv[[GASB]:[GASB]],_xlfn.AGGREGATE(15,3,(TableDiv[[Agency]:[Agency]]=$E927)/(TableDiv[[Agency]:[Agency]]=$E927)*(ROW(TableDiv[Agency])-ROW(TableDiv[[#Headers],[Agency]])),COLUMNS($F$7:AC$7))))</f>
        <v/>
      </c>
      <c r="AD927" s="2223" t="str" cm="1">
        <f t="array" ref="AD927">IF($D927&lt;COLUMNS($F$7:AD$7),"",INDEX(TableDiv[[GASB]:[GASB]],_xlfn.AGGREGATE(15,3,(TableDiv[[Agency]:[Agency]]=$E927)/(TableDiv[[Agency]:[Agency]]=$E927)*(ROW(TableDiv[Agency])-ROW(TableDiv[[#Headers],[Agency]])),COLUMNS($F$7:AD$7))))</f>
        <v/>
      </c>
      <c r="AE927" s="2223" t="str" cm="1">
        <f t="array" ref="AE927">IF($D927&lt;COLUMNS($F$7:AE$7),"",INDEX(TableDiv[[GASB]:[GASB]],_xlfn.AGGREGATE(15,3,(TableDiv[[Agency]:[Agency]]=$E927)/(TableDiv[[Agency]:[Agency]]=$E927)*(ROW(TableDiv[Agency])-ROW(TableDiv[[#Headers],[Agency]])),COLUMNS($F$7:AE$7))))</f>
        <v/>
      </c>
      <c r="AF927" s="2223" t="str" cm="1">
        <f t="array" ref="AF927">IF($D927&lt;COLUMNS($F$7:AF$7),"",INDEX(TableDiv[[GASB]:[GASB]],_xlfn.AGGREGATE(15,3,(TableDiv[[Agency]:[Agency]]=$E927)/(TableDiv[[Agency]:[Agency]]=$E927)*(ROW(TableDiv[Agency])-ROW(TableDiv[[#Headers],[Agency]])),COLUMNS($F$7:AF$7))))</f>
        <v/>
      </c>
      <c r="AG927" s="2223" t="str" cm="1">
        <f t="array" ref="AG927">IF($D927&lt;COLUMNS($F$7:AG$7),"",INDEX(TableDiv[[GASB]:[GASB]],_xlfn.AGGREGATE(15,3,(TableDiv[[Agency]:[Agency]]=$E927)/(TableDiv[[Agency]:[Agency]]=$E927)*(ROW(TableDiv[Agency])-ROW(TableDiv[[#Headers],[Agency]])),COLUMNS($F$7:AG$7))))</f>
        <v/>
      </c>
      <c r="AH927" s="2223" t="str" cm="1">
        <f t="array" ref="AH927">IF($D927&lt;COLUMNS($F$7:AH$7),"",INDEX(TableDiv[[GASB]:[GASB]],_xlfn.AGGREGATE(15,3,(TableDiv[[Agency]:[Agency]]=$E927)/(TableDiv[[Agency]:[Agency]]=$E927)*(ROW(TableDiv[Agency])-ROW(TableDiv[[#Headers],[Agency]])),COLUMNS($F$7:AH$7))))</f>
        <v/>
      </c>
      <c r="AI927" s="2223" t="str" cm="1">
        <f t="array" ref="AI927">IF($D927&lt;COLUMNS($F$7:AI$7),"",INDEX(TableDiv[[GASB]:[GASB]],_xlfn.AGGREGATE(15,3,(TableDiv[[Agency]:[Agency]]=$E927)/(TableDiv[[Agency]:[Agency]]=$E927)*(ROW(TableDiv[Agency])-ROW(TableDiv[[#Headers],[Agency]])),COLUMNS($F$7:AI$7))))</f>
        <v/>
      </c>
      <c r="AJ927" s="2223" t="str" cm="1">
        <f t="array" ref="AJ927">IF($D927&lt;COLUMNS($F$7:AJ$7),"",INDEX(TableDiv[[GASB]:[GASB]],_xlfn.AGGREGATE(15,3,(TableDiv[[Agency]:[Agency]]=$E927)/(TableDiv[[Agency]:[Agency]]=$E927)*(ROW(TableDiv[Agency])-ROW(TableDiv[[#Headers],[Agency]])),COLUMNS($F$7:AJ$7))))</f>
        <v/>
      </c>
      <c r="AK927" s="2223" t="str" cm="1">
        <f t="array" ref="AK927">IF($D927&lt;COLUMNS($F$7:AK$7),"",INDEX(TableDiv[[GASB]:[GASB]],_xlfn.AGGREGATE(15,3,(TableDiv[[Agency]:[Agency]]=$E927)/(TableDiv[[Agency]:[Agency]]=$E927)*(ROW(TableDiv[Agency])-ROW(TableDiv[[#Headers],[Agency]])),COLUMNS($F$7:AK$7))))</f>
        <v/>
      </c>
      <c r="AL927" s="2223" t="str" cm="1">
        <f t="array" ref="AL927">IF($D927&lt;COLUMNS($F$7:AL$7),"",INDEX(TableDiv[[GASB]:[GASB]],_xlfn.AGGREGATE(15,3,(TableDiv[[Agency]:[Agency]]=$E927)/(TableDiv[[Agency]:[Agency]]=$E927)*(ROW(TableDiv[Agency])-ROW(TableDiv[[#Headers],[Agency]])),COLUMNS($F$7:AL$7))))</f>
        <v/>
      </c>
      <c r="AM927" s="2223" t="str" cm="1">
        <f t="array" ref="AM927">IF($D927&lt;COLUMNS($F$7:AM$7),"",INDEX(TableDiv[[GASB]:[GASB]],_xlfn.AGGREGATE(15,3,(TableDiv[[Agency]:[Agency]]=$E927)/(TableDiv[[Agency]:[Agency]]=$E927)*(ROW(TableDiv[Agency])-ROW(TableDiv[[#Headers],[Agency]])),COLUMNS($F$7:AM$7))))</f>
        <v/>
      </c>
      <c r="AN927" s="2223"/>
      <c r="AO927" s="2223"/>
      <c r="AP927" s="2223"/>
      <c r="AQ927" s="2223"/>
      <c r="AR927" s="2223"/>
      <c r="AS927" s="2223"/>
    </row>
    <row r="928" spans="1:45" x14ac:dyDescent="0.2">
      <c r="A928" s="2223"/>
      <c r="B928" s="2223"/>
      <c r="C928" s="2223"/>
      <c r="W928" s="2223" t="str" cm="1">
        <f t="array" ref="W928">IF($D928&lt;COLUMNS($F$7:W$7),"",INDEX(TableDiv[[GASB]:[GASB]],_xlfn.AGGREGATE(15,3,(TableDiv[[Agency]:[Agency]]=$E928)/(TableDiv[[Agency]:[Agency]]=$E928)*(ROW(TableDiv[Agency])-ROW(TableDiv[[#Headers],[Agency]])),COLUMNS($F$7:W$7))))</f>
        <v/>
      </c>
      <c r="X928" s="2223" t="str" cm="1">
        <f t="array" ref="X928">IF($D928&lt;COLUMNS($F$7:X$7),"",INDEX(TableDiv[[GASB]:[GASB]],_xlfn.AGGREGATE(15,3,(TableDiv[[Agency]:[Agency]]=$E928)/(TableDiv[[Agency]:[Agency]]=$E928)*(ROW(TableDiv[Agency])-ROW(TableDiv[[#Headers],[Agency]])),COLUMNS($F$7:X$7))))</f>
        <v/>
      </c>
      <c r="Y928" s="2223" t="str" cm="1">
        <f t="array" ref="Y928">IF($D928&lt;COLUMNS($F$7:Y$7),"",INDEX(TableDiv[[GASB]:[GASB]],_xlfn.AGGREGATE(15,3,(TableDiv[[Agency]:[Agency]]=$E928)/(TableDiv[[Agency]:[Agency]]=$E928)*(ROW(TableDiv[Agency])-ROW(TableDiv[[#Headers],[Agency]])),COLUMNS($F$7:Y$7))))</f>
        <v/>
      </c>
      <c r="Z928" s="2223" t="str" cm="1">
        <f t="array" ref="Z928">IF($D928&lt;COLUMNS($F$7:Z$7),"",INDEX(TableDiv[[GASB]:[GASB]],_xlfn.AGGREGATE(15,3,(TableDiv[[Agency]:[Agency]]=$E928)/(TableDiv[[Agency]:[Agency]]=$E928)*(ROW(TableDiv[Agency])-ROW(TableDiv[[#Headers],[Agency]])),COLUMNS($F$7:Z$7))))</f>
        <v/>
      </c>
      <c r="AA928" s="2223" t="str" cm="1">
        <f t="array" ref="AA928">IF($D928&lt;COLUMNS($F$7:AA$7),"",INDEX(TableDiv[[GASB]:[GASB]],_xlfn.AGGREGATE(15,3,(TableDiv[[Agency]:[Agency]]=$E928)/(TableDiv[[Agency]:[Agency]]=$E928)*(ROW(TableDiv[Agency])-ROW(TableDiv[[#Headers],[Agency]])),COLUMNS($F$7:AA$7))))</f>
        <v/>
      </c>
      <c r="AB928" s="2223" t="str" cm="1">
        <f t="array" ref="AB928">IF($D928&lt;COLUMNS($F$7:AB$7),"",INDEX(TableDiv[[GASB]:[GASB]],_xlfn.AGGREGATE(15,3,(TableDiv[[Agency]:[Agency]]=$E928)/(TableDiv[[Agency]:[Agency]]=$E928)*(ROW(TableDiv[Agency])-ROW(TableDiv[[#Headers],[Agency]])),COLUMNS($F$7:AB$7))))</f>
        <v/>
      </c>
      <c r="AC928" s="2223" t="str" cm="1">
        <f t="array" ref="AC928">IF($D928&lt;COLUMNS($F$7:AC$7),"",INDEX(TableDiv[[GASB]:[GASB]],_xlfn.AGGREGATE(15,3,(TableDiv[[Agency]:[Agency]]=$E928)/(TableDiv[[Agency]:[Agency]]=$E928)*(ROW(TableDiv[Agency])-ROW(TableDiv[[#Headers],[Agency]])),COLUMNS($F$7:AC$7))))</f>
        <v/>
      </c>
      <c r="AD928" s="2223" t="str" cm="1">
        <f t="array" ref="AD928">IF($D928&lt;COLUMNS($F$7:AD$7),"",INDEX(TableDiv[[GASB]:[GASB]],_xlfn.AGGREGATE(15,3,(TableDiv[[Agency]:[Agency]]=$E928)/(TableDiv[[Agency]:[Agency]]=$E928)*(ROW(TableDiv[Agency])-ROW(TableDiv[[#Headers],[Agency]])),COLUMNS($F$7:AD$7))))</f>
        <v/>
      </c>
      <c r="AE928" s="2223" t="str" cm="1">
        <f t="array" ref="AE928">IF($D928&lt;COLUMNS($F$7:AE$7),"",INDEX(TableDiv[[GASB]:[GASB]],_xlfn.AGGREGATE(15,3,(TableDiv[[Agency]:[Agency]]=$E928)/(TableDiv[[Agency]:[Agency]]=$E928)*(ROW(TableDiv[Agency])-ROW(TableDiv[[#Headers],[Agency]])),COLUMNS($F$7:AE$7))))</f>
        <v/>
      </c>
      <c r="AF928" s="2223" t="str" cm="1">
        <f t="array" ref="AF928">IF($D928&lt;COLUMNS($F$7:AF$7),"",INDEX(TableDiv[[GASB]:[GASB]],_xlfn.AGGREGATE(15,3,(TableDiv[[Agency]:[Agency]]=$E928)/(TableDiv[[Agency]:[Agency]]=$E928)*(ROW(TableDiv[Agency])-ROW(TableDiv[[#Headers],[Agency]])),COLUMNS($F$7:AF$7))))</f>
        <v/>
      </c>
      <c r="AG928" s="2223" t="str" cm="1">
        <f t="array" ref="AG928">IF($D928&lt;COLUMNS($F$7:AG$7),"",INDEX(TableDiv[[GASB]:[GASB]],_xlfn.AGGREGATE(15,3,(TableDiv[[Agency]:[Agency]]=$E928)/(TableDiv[[Agency]:[Agency]]=$E928)*(ROW(TableDiv[Agency])-ROW(TableDiv[[#Headers],[Agency]])),COLUMNS($F$7:AG$7))))</f>
        <v/>
      </c>
      <c r="AH928" s="2223" t="str" cm="1">
        <f t="array" ref="AH928">IF($D928&lt;COLUMNS($F$7:AH$7),"",INDEX(TableDiv[[GASB]:[GASB]],_xlfn.AGGREGATE(15,3,(TableDiv[[Agency]:[Agency]]=$E928)/(TableDiv[[Agency]:[Agency]]=$E928)*(ROW(TableDiv[Agency])-ROW(TableDiv[[#Headers],[Agency]])),COLUMNS($F$7:AH$7))))</f>
        <v/>
      </c>
      <c r="AI928" s="2223" t="str" cm="1">
        <f t="array" ref="AI928">IF($D928&lt;COLUMNS($F$7:AI$7),"",INDEX(TableDiv[[GASB]:[GASB]],_xlfn.AGGREGATE(15,3,(TableDiv[[Agency]:[Agency]]=$E928)/(TableDiv[[Agency]:[Agency]]=$E928)*(ROW(TableDiv[Agency])-ROW(TableDiv[[#Headers],[Agency]])),COLUMNS($F$7:AI$7))))</f>
        <v/>
      </c>
      <c r="AJ928" s="2223" t="str" cm="1">
        <f t="array" ref="AJ928">IF($D928&lt;COLUMNS($F$7:AJ$7),"",INDEX(TableDiv[[GASB]:[GASB]],_xlfn.AGGREGATE(15,3,(TableDiv[[Agency]:[Agency]]=$E928)/(TableDiv[[Agency]:[Agency]]=$E928)*(ROW(TableDiv[Agency])-ROW(TableDiv[[#Headers],[Agency]])),COLUMNS($F$7:AJ$7))))</f>
        <v/>
      </c>
      <c r="AK928" s="2223" t="str" cm="1">
        <f t="array" ref="AK928">IF($D928&lt;COLUMNS($F$7:AK$7),"",INDEX(TableDiv[[GASB]:[GASB]],_xlfn.AGGREGATE(15,3,(TableDiv[[Agency]:[Agency]]=$E928)/(TableDiv[[Agency]:[Agency]]=$E928)*(ROW(TableDiv[Agency])-ROW(TableDiv[[#Headers],[Agency]])),COLUMNS($F$7:AK$7))))</f>
        <v/>
      </c>
      <c r="AL928" s="2223" t="str" cm="1">
        <f t="array" ref="AL928">IF($D928&lt;COLUMNS($F$7:AL$7),"",INDEX(TableDiv[[GASB]:[GASB]],_xlfn.AGGREGATE(15,3,(TableDiv[[Agency]:[Agency]]=$E928)/(TableDiv[[Agency]:[Agency]]=$E928)*(ROW(TableDiv[Agency])-ROW(TableDiv[[#Headers],[Agency]])),COLUMNS($F$7:AL$7))))</f>
        <v/>
      </c>
      <c r="AM928" s="2223" t="str" cm="1">
        <f t="array" ref="AM928">IF($D928&lt;COLUMNS($F$7:AM$7),"",INDEX(TableDiv[[GASB]:[GASB]],_xlfn.AGGREGATE(15,3,(TableDiv[[Agency]:[Agency]]=$E928)/(TableDiv[[Agency]:[Agency]]=$E928)*(ROW(TableDiv[Agency])-ROW(TableDiv[[#Headers],[Agency]])),COLUMNS($F$7:AM$7))))</f>
        <v/>
      </c>
      <c r="AN928" s="2223"/>
      <c r="AO928" s="2223"/>
      <c r="AP928" s="2223"/>
      <c r="AQ928" s="2223"/>
      <c r="AR928" s="2223"/>
      <c r="AS928" s="2223"/>
    </row>
    <row r="929" spans="1:45" x14ac:dyDescent="0.2">
      <c r="A929" s="2223"/>
      <c r="B929" s="2223"/>
      <c r="C929" s="2223"/>
      <c r="W929" s="2223" t="str" cm="1">
        <f t="array" ref="W929">IF($D929&lt;COLUMNS($F$7:W$7),"",INDEX(TableDiv[[GASB]:[GASB]],_xlfn.AGGREGATE(15,3,(TableDiv[[Agency]:[Agency]]=$E929)/(TableDiv[[Agency]:[Agency]]=$E929)*(ROW(TableDiv[Agency])-ROW(TableDiv[[#Headers],[Agency]])),COLUMNS($F$7:W$7))))</f>
        <v/>
      </c>
      <c r="X929" s="2223" t="str" cm="1">
        <f t="array" ref="X929">IF($D929&lt;COLUMNS($F$7:X$7),"",INDEX(TableDiv[[GASB]:[GASB]],_xlfn.AGGREGATE(15,3,(TableDiv[[Agency]:[Agency]]=$E929)/(TableDiv[[Agency]:[Agency]]=$E929)*(ROW(TableDiv[Agency])-ROW(TableDiv[[#Headers],[Agency]])),COLUMNS($F$7:X$7))))</f>
        <v/>
      </c>
      <c r="Y929" s="2223" t="str" cm="1">
        <f t="array" ref="Y929">IF($D929&lt;COLUMNS($F$7:Y$7),"",INDEX(TableDiv[[GASB]:[GASB]],_xlfn.AGGREGATE(15,3,(TableDiv[[Agency]:[Agency]]=$E929)/(TableDiv[[Agency]:[Agency]]=$E929)*(ROW(TableDiv[Agency])-ROW(TableDiv[[#Headers],[Agency]])),COLUMNS($F$7:Y$7))))</f>
        <v/>
      </c>
      <c r="Z929" s="2223" t="str" cm="1">
        <f t="array" ref="Z929">IF($D929&lt;COLUMNS($F$7:Z$7),"",INDEX(TableDiv[[GASB]:[GASB]],_xlfn.AGGREGATE(15,3,(TableDiv[[Agency]:[Agency]]=$E929)/(TableDiv[[Agency]:[Agency]]=$E929)*(ROW(TableDiv[Agency])-ROW(TableDiv[[#Headers],[Agency]])),COLUMNS($F$7:Z$7))))</f>
        <v/>
      </c>
      <c r="AA929" s="2223" t="str" cm="1">
        <f t="array" ref="AA929">IF($D929&lt;COLUMNS($F$7:AA$7),"",INDEX(TableDiv[[GASB]:[GASB]],_xlfn.AGGREGATE(15,3,(TableDiv[[Agency]:[Agency]]=$E929)/(TableDiv[[Agency]:[Agency]]=$E929)*(ROW(TableDiv[Agency])-ROW(TableDiv[[#Headers],[Agency]])),COLUMNS($F$7:AA$7))))</f>
        <v/>
      </c>
      <c r="AB929" s="2223" t="str" cm="1">
        <f t="array" ref="AB929">IF($D929&lt;COLUMNS($F$7:AB$7),"",INDEX(TableDiv[[GASB]:[GASB]],_xlfn.AGGREGATE(15,3,(TableDiv[[Agency]:[Agency]]=$E929)/(TableDiv[[Agency]:[Agency]]=$E929)*(ROW(TableDiv[Agency])-ROW(TableDiv[[#Headers],[Agency]])),COLUMNS($F$7:AB$7))))</f>
        <v/>
      </c>
      <c r="AC929" s="2223" t="str" cm="1">
        <f t="array" ref="AC929">IF($D929&lt;COLUMNS($F$7:AC$7),"",INDEX(TableDiv[[GASB]:[GASB]],_xlfn.AGGREGATE(15,3,(TableDiv[[Agency]:[Agency]]=$E929)/(TableDiv[[Agency]:[Agency]]=$E929)*(ROW(TableDiv[Agency])-ROW(TableDiv[[#Headers],[Agency]])),COLUMNS($F$7:AC$7))))</f>
        <v/>
      </c>
      <c r="AD929" s="2223" t="str" cm="1">
        <f t="array" ref="AD929">IF($D929&lt;COLUMNS($F$7:AD$7),"",INDEX(TableDiv[[GASB]:[GASB]],_xlfn.AGGREGATE(15,3,(TableDiv[[Agency]:[Agency]]=$E929)/(TableDiv[[Agency]:[Agency]]=$E929)*(ROW(TableDiv[Agency])-ROW(TableDiv[[#Headers],[Agency]])),COLUMNS($F$7:AD$7))))</f>
        <v/>
      </c>
      <c r="AE929" s="2223" t="str" cm="1">
        <f t="array" ref="AE929">IF($D929&lt;COLUMNS($F$7:AE$7),"",INDEX(TableDiv[[GASB]:[GASB]],_xlfn.AGGREGATE(15,3,(TableDiv[[Agency]:[Agency]]=$E929)/(TableDiv[[Agency]:[Agency]]=$E929)*(ROW(TableDiv[Agency])-ROW(TableDiv[[#Headers],[Agency]])),COLUMNS($F$7:AE$7))))</f>
        <v/>
      </c>
      <c r="AF929" s="2223" t="str" cm="1">
        <f t="array" ref="AF929">IF($D929&lt;COLUMNS($F$7:AF$7),"",INDEX(TableDiv[[GASB]:[GASB]],_xlfn.AGGREGATE(15,3,(TableDiv[[Agency]:[Agency]]=$E929)/(TableDiv[[Agency]:[Agency]]=$E929)*(ROW(TableDiv[Agency])-ROW(TableDiv[[#Headers],[Agency]])),COLUMNS($F$7:AF$7))))</f>
        <v/>
      </c>
      <c r="AG929" s="2223" t="str" cm="1">
        <f t="array" ref="AG929">IF($D929&lt;COLUMNS($F$7:AG$7),"",INDEX(TableDiv[[GASB]:[GASB]],_xlfn.AGGREGATE(15,3,(TableDiv[[Agency]:[Agency]]=$E929)/(TableDiv[[Agency]:[Agency]]=$E929)*(ROW(TableDiv[Agency])-ROW(TableDiv[[#Headers],[Agency]])),COLUMNS($F$7:AG$7))))</f>
        <v/>
      </c>
      <c r="AH929" s="2223" t="str" cm="1">
        <f t="array" ref="AH929">IF($D929&lt;COLUMNS($F$7:AH$7),"",INDEX(TableDiv[[GASB]:[GASB]],_xlfn.AGGREGATE(15,3,(TableDiv[[Agency]:[Agency]]=$E929)/(TableDiv[[Agency]:[Agency]]=$E929)*(ROW(TableDiv[Agency])-ROW(TableDiv[[#Headers],[Agency]])),COLUMNS($F$7:AH$7))))</f>
        <v/>
      </c>
      <c r="AI929" s="2223" t="str" cm="1">
        <f t="array" ref="AI929">IF($D929&lt;COLUMNS($F$7:AI$7),"",INDEX(TableDiv[[GASB]:[GASB]],_xlfn.AGGREGATE(15,3,(TableDiv[[Agency]:[Agency]]=$E929)/(TableDiv[[Agency]:[Agency]]=$E929)*(ROW(TableDiv[Agency])-ROW(TableDiv[[#Headers],[Agency]])),COLUMNS($F$7:AI$7))))</f>
        <v/>
      </c>
      <c r="AJ929" s="2223" t="str" cm="1">
        <f t="array" ref="AJ929">IF($D929&lt;COLUMNS($F$7:AJ$7),"",INDEX(TableDiv[[GASB]:[GASB]],_xlfn.AGGREGATE(15,3,(TableDiv[[Agency]:[Agency]]=$E929)/(TableDiv[[Agency]:[Agency]]=$E929)*(ROW(TableDiv[Agency])-ROW(TableDiv[[#Headers],[Agency]])),COLUMNS($F$7:AJ$7))))</f>
        <v/>
      </c>
      <c r="AK929" s="2223" t="str" cm="1">
        <f t="array" ref="AK929">IF($D929&lt;COLUMNS($F$7:AK$7),"",INDEX(TableDiv[[GASB]:[GASB]],_xlfn.AGGREGATE(15,3,(TableDiv[[Agency]:[Agency]]=$E929)/(TableDiv[[Agency]:[Agency]]=$E929)*(ROW(TableDiv[Agency])-ROW(TableDiv[[#Headers],[Agency]])),COLUMNS($F$7:AK$7))))</f>
        <v/>
      </c>
      <c r="AL929" s="2223" t="str" cm="1">
        <f t="array" ref="AL929">IF($D929&lt;COLUMNS($F$7:AL$7),"",INDEX(TableDiv[[GASB]:[GASB]],_xlfn.AGGREGATE(15,3,(TableDiv[[Agency]:[Agency]]=$E929)/(TableDiv[[Agency]:[Agency]]=$E929)*(ROW(TableDiv[Agency])-ROW(TableDiv[[#Headers],[Agency]])),COLUMNS($F$7:AL$7))))</f>
        <v/>
      </c>
      <c r="AM929" s="2223" t="str" cm="1">
        <f t="array" ref="AM929">IF($D929&lt;COLUMNS($F$7:AM$7),"",INDEX(TableDiv[[GASB]:[GASB]],_xlfn.AGGREGATE(15,3,(TableDiv[[Agency]:[Agency]]=$E929)/(TableDiv[[Agency]:[Agency]]=$E929)*(ROW(TableDiv[Agency])-ROW(TableDiv[[#Headers],[Agency]])),COLUMNS($F$7:AM$7))))</f>
        <v/>
      </c>
      <c r="AN929" s="2223"/>
      <c r="AO929" s="2223"/>
      <c r="AP929" s="2223"/>
      <c r="AQ929" s="2223"/>
      <c r="AR929" s="2223"/>
      <c r="AS929" s="2223"/>
    </row>
    <row r="930" spans="1:45" x14ac:dyDescent="0.2">
      <c r="A930" s="2223"/>
      <c r="B930" s="2223"/>
      <c r="C930" s="2223"/>
      <c r="W930" s="2223" t="str" cm="1">
        <f t="array" ref="W930">IF($D930&lt;COLUMNS($F$7:W$7),"",INDEX(TableDiv[[GASB]:[GASB]],_xlfn.AGGREGATE(15,3,(TableDiv[[Agency]:[Agency]]=$E930)/(TableDiv[[Agency]:[Agency]]=$E930)*(ROW(TableDiv[Agency])-ROW(TableDiv[[#Headers],[Agency]])),COLUMNS($F$7:W$7))))</f>
        <v/>
      </c>
      <c r="X930" s="2223" t="str" cm="1">
        <f t="array" ref="X930">IF($D930&lt;COLUMNS($F$7:X$7),"",INDEX(TableDiv[[GASB]:[GASB]],_xlfn.AGGREGATE(15,3,(TableDiv[[Agency]:[Agency]]=$E930)/(TableDiv[[Agency]:[Agency]]=$E930)*(ROW(TableDiv[Agency])-ROW(TableDiv[[#Headers],[Agency]])),COLUMNS($F$7:X$7))))</f>
        <v/>
      </c>
      <c r="Y930" s="2223" t="str" cm="1">
        <f t="array" ref="Y930">IF($D930&lt;COLUMNS($F$7:Y$7),"",INDEX(TableDiv[[GASB]:[GASB]],_xlfn.AGGREGATE(15,3,(TableDiv[[Agency]:[Agency]]=$E930)/(TableDiv[[Agency]:[Agency]]=$E930)*(ROW(TableDiv[Agency])-ROW(TableDiv[[#Headers],[Agency]])),COLUMNS($F$7:Y$7))))</f>
        <v/>
      </c>
      <c r="Z930" s="2223" t="str" cm="1">
        <f t="array" ref="Z930">IF($D930&lt;COLUMNS($F$7:Z$7),"",INDEX(TableDiv[[GASB]:[GASB]],_xlfn.AGGREGATE(15,3,(TableDiv[[Agency]:[Agency]]=$E930)/(TableDiv[[Agency]:[Agency]]=$E930)*(ROW(TableDiv[Agency])-ROW(TableDiv[[#Headers],[Agency]])),COLUMNS($F$7:Z$7))))</f>
        <v/>
      </c>
      <c r="AA930" s="2223" t="str" cm="1">
        <f t="array" ref="AA930">IF($D930&lt;COLUMNS($F$7:AA$7),"",INDEX(TableDiv[[GASB]:[GASB]],_xlfn.AGGREGATE(15,3,(TableDiv[[Agency]:[Agency]]=$E930)/(TableDiv[[Agency]:[Agency]]=$E930)*(ROW(TableDiv[Agency])-ROW(TableDiv[[#Headers],[Agency]])),COLUMNS($F$7:AA$7))))</f>
        <v/>
      </c>
      <c r="AB930" s="2223" t="str" cm="1">
        <f t="array" ref="AB930">IF($D930&lt;COLUMNS($F$7:AB$7),"",INDEX(TableDiv[[GASB]:[GASB]],_xlfn.AGGREGATE(15,3,(TableDiv[[Agency]:[Agency]]=$E930)/(TableDiv[[Agency]:[Agency]]=$E930)*(ROW(TableDiv[Agency])-ROW(TableDiv[[#Headers],[Agency]])),COLUMNS($F$7:AB$7))))</f>
        <v/>
      </c>
      <c r="AC930" s="2223" t="str" cm="1">
        <f t="array" ref="AC930">IF($D930&lt;COLUMNS($F$7:AC$7),"",INDEX(TableDiv[[GASB]:[GASB]],_xlfn.AGGREGATE(15,3,(TableDiv[[Agency]:[Agency]]=$E930)/(TableDiv[[Agency]:[Agency]]=$E930)*(ROW(TableDiv[Agency])-ROW(TableDiv[[#Headers],[Agency]])),COLUMNS($F$7:AC$7))))</f>
        <v/>
      </c>
      <c r="AD930" s="2223" t="str" cm="1">
        <f t="array" ref="AD930">IF($D930&lt;COLUMNS($F$7:AD$7),"",INDEX(TableDiv[[GASB]:[GASB]],_xlfn.AGGREGATE(15,3,(TableDiv[[Agency]:[Agency]]=$E930)/(TableDiv[[Agency]:[Agency]]=$E930)*(ROW(TableDiv[Agency])-ROW(TableDiv[[#Headers],[Agency]])),COLUMNS($F$7:AD$7))))</f>
        <v/>
      </c>
      <c r="AE930" s="2223" t="str" cm="1">
        <f t="array" ref="AE930">IF($D930&lt;COLUMNS($F$7:AE$7),"",INDEX(TableDiv[[GASB]:[GASB]],_xlfn.AGGREGATE(15,3,(TableDiv[[Agency]:[Agency]]=$E930)/(TableDiv[[Agency]:[Agency]]=$E930)*(ROW(TableDiv[Agency])-ROW(TableDiv[[#Headers],[Agency]])),COLUMNS($F$7:AE$7))))</f>
        <v/>
      </c>
      <c r="AF930" s="2223" t="str" cm="1">
        <f t="array" ref="AF930">IF($D930&lt;COLUMNS($F$7:AF$7),"",INDEX(TableDiv[[GASB]:[GASB]],_xlfn.AGGREGATE(15,3,(TableDiv[[Agency]:[Agency]]=$E930)/(TableDiv[[Agency]:[Agency]]=$E930)*(ROW(TableDiv[Agency])-ROW(TableDiv[[#Headers],[Agency]])),COLUMNS($F$7:AF$7))))</f>
        <v/>
      </c>
      <c r="AG930" s="2223" t="str" cm="1">
        <f t="array" ref="AG930">IF($D930&lt;COLUMNS($F$7:AG$7),"",INDEX(TableDiv[[GASB]:[GASB]],_xlfn.AGGREGATE(15,3,(TableDiv[[Agency]:[Agency]]=$E930)/(TableDiv[[Agency]:[Agency]]=$E930)*(ROW(TableDiv[Agency])-ROW(TableDiv[[#Headers],[Agency]])),COLUMNS($F$7:AG$7))))</f>
        <v/>
      </c>
      <c r="AH930" s="2223" t="str" cm="1">
        <f t="array" ref="AH930">IF($D930&lt;COLUMNS($F$7:AH$7),"",INDEX(TableDiv[[GASB]:[GASB]],_xlfn.AGGREGATE(15,3,(TableDiv[[Agency]:[Agency]]=$E930)/(TableDiv[[Agency]:[Agency]]=$E930)*(ROW(TableDiv[Agency])-ROW(TableDiv[[#Headers],[Agency]])),COLUMNS($F$7:AH$7))))</f>
        <v/>
      </c>
      <c r="AI930" s="2223" t="str" cm="1">
        <f t="array" ref="AI930">IF($D930&lt;COLUMNS($F$7:AI$7),"",INDEX(TableDiv[[GASB]:[GASB]],_xlfn.AGGREGATE(15,3,(TableDiv[[Agency]:[Agency]]=$E930)/(TableDiv[[Agency]:[Agency]]=$E930)*(ROW(TableDiv[Agency])-ROW(TableDiv[[#Headers],[Agency]])),COLUMNS($F$7:AI$7))))</f>
        <v/>
      </c>
      <c r="AJ930" s="2223" t="str" cm="1">
        <f t="array" ref="AJ930">IF($D930&lt;COLUMNS($F$7:AJ$7),"",INDEX(TableDiv[[GASB]:[GASB]],_xlfn.AGGREGATE(15,3,(TableDiv[[Agency]:[Agency]]=$E930)/(TableDiv[[Agency]:[Agency]]=$E930)*(ROW(TableDiv[Agency])-ROW(TableDiv[[#Headers],[Agency]])),COLUMNS($F$7:AJ$7))))</f>
        <v/>
      </c>
      <c r="AK930" s="2223" t="str" cm="1">
        <f t="array" ref="AK930">IF($D930&lt;COLUMNS($F$7:AK$7),"",INDEX(TableDiv[[GASB]:[GASB]],_xlfn.AGGREGATE(15,3,(TableDiv[[Agency]:[Agency]]=$E930)/(TableDiv[[Agency]:[Agency]]=$E930)*(ROW(TableDiv[Agency])-ROW(TableDiv[[#Headers],[Agency]])),COLUMNS($F$7:AK$7))))</f>
        <v/>
      </c>
      <c r="AL930" s="2223" t="str" cm="1">
        <f t="array" ref="AL930">IF($D930&lt;COLUMNS($F$7:AL$7),"",INDEX(TableDiv[[GASB]:[GASB]],_xlfn.AGGREGATE(15,3,(TableDiv[[Agency]:[Agency]]=$E930)/(TableDiv[[Agency]:[Agency]]=$E930)*(ROW(TableDiv[Agency])-ROW(TableDiv[[#Headers],[Agency]])),COLUMNS($F$7:AL$7))))</f>
        <v/>
      </c>
      <c r="AM930" s="2223" t="str" cm="1">
        <f t="array" ref="AM930">IF($D930&lt;COLUMNS($F$7:AM$7),"",INDEX(TableDiv[[GASB]:[GASB]],_xlfn.AGGREGATE(15,3,(TableDiv[[Agency]:[Agency]]=$E930)/(TableDiv[[Agency]:[Agency]]=$E930)*(ROW(TableDiv[Agency])-ROW(TableDiv[[#Headers],[Agency]])),COLUMNS($F$7:AM$7))))</f>
        <v/>
      </c>
      <c r="AN930" s="2223"/>
      <c r="AO930" s="2223"/>
      <c r="AP930" s="2223"/>
      <c r="AQ930" s="2223"/>
      <c r="AR930" s="2223"/>
      <c r="AS930" s="2223"/>
    </row>
    <row r="931" spans="1:45" x14ac:dyDescent="0.2">
      <c r="A931" s="2223"/>
      <c r="B931" s="2223"/>
      <c r="C931" s="2223"/>
      <c r="W931" s="2223" t="str" cm="1">
        <f t="array" ref="W931">IF($D931&lt;COLUMNS($F$7:W$7),"",INDEX(TableDiv[[GASB]:[GASB]],_xlfn.AGGREGATE(15,3,(TableDiv[[Agency]:[Agency]]=$E931)/(TableDiv[[Agency]:[Agency]]=$E931)*(ROW(TableDiv[Agency])-ROW(TableDiv[[#Headers],[Agency]])),COLUMNS($F$7:W$7))))</f>
        <v/>
      </c>
      <c r="X931" s="2223" t="str" cm="1">
        <f t="array" ref="X931">IF($D931&lt;COLUMNS($F$7:X$7),"",INDEX(TableDiv[[GASB]:[GASB]],_xlfn.AGGREGATE(15,3,(TableDiv[[Agency]:[Agency]]=$E931)/(TableDiv[[Agency]:[Agency]]=$E931)*(ROW(TableDiv[Agency])-ROW(TableDiv[[#Headers],[Agency]])),COLUMNS($F$7:X$7))))</f>
        <v/>
      </c>
      <c r="Y931" s="2223" t="str" cm="1">
        <f t="array" ref="Y931">IF($D931&lt;COLUMNS($F$7:Y$7),"",INDEX(TableDiv[[GASB]:[GASB]],_xlfn.AGGREGATE(15,3,(TableDiv[[Agency]:[Agency]]=$E931)/(TableDiv[[Agency]:[Agency]]=$E931)*(ROW(TableDiv[Agency])-ROW(TableDiv[[#Headers],[Agency]])),COLUMNS($F$7:Y$7))))</f>
        <v/>
      </c>
      <c r="Z931" s="2223" t="str" cm="1">
        <f t="array" ref="Z931">IF($D931&lt;COLUMNS($F$7:Z$7),"",INDEX(TableDiv[[GASB]:[GASB]],_xlfn.AGGREGATE(15,3,(TableDiv[[Agency]:[Agency]]=$E931)/(TableDiv[[Agency]:[Agency]]=$E931)*(ROW(TableDiv[Agency])-ROW(TableDiv[[#Headers],[Agency]])),COLUMNS($F$7:Z$7))))</f>
        <v/>
      </c>
      <c r="AA931" s="2223" t="str" cm="1">
        <f t="array" ref="AA931">IF($D931&lt;COLUMNS($F$7:AA$7),"",INDEX(TableDiv[[GASB]:[GASB]],_xlfn.AGGREGATE(15,3,(TableDiv[[Agency]:[Agency]]=$E931)/(TableDiv[[Agency]:[Agency]]=$E931)*(ROW(TableDiv[Agency])-ROW(TableDiv[[#Headers],[Agency]])),COLUMNS($F$7:AA$7))))</f>
        <v/>
      </c>
      <c r="AB931" s="2223" t="str" cm="1">
        <f t="array" ref="AB931">IF($D931&lt;COLUMNS($F$7:AB$7),"",INDEX(TableDiv[[GASB]:[GASB]],_xlfn.AGGREGATE(15,3,(TableDiv[[Agency]:[Agency]]=$E931)/(TableDiv[[Agency]:[Agency]]=$E931)*(ROW(TableDiv[Agency])-ROW(TableDiv[[#Headers],[Agency]])),COLUMNS($F$7:AB$7))))</f>
        <v/>
      </c>
      <c r="AC931" s="2223" t="str" cm="1">
        <f t="array" ref="AC931">IF($D931&lt;COLUMNS($F$7:AC$7),"",INDEX(TableDiv[[GASB]:[GASB]],_xlfn.AGGREGATE(15,3,(TableDiv[[Agency]:[Agency]]=$E931)/(TableDiv[[Agency]:[Agency]]=$E931)*(ROW(TableDiv[Agency])-ROW(TableDiv[[#Headers],[Agency]])),COLUMNS($F$7:AC$7))))</f>
        <v/>
      </c>
      <c r="AD931" s="2223" t="str" cm="1">
        <f t="array" ref="AD931">IF($D931&lt;COLUMNS($F$7:AD$7),"",INDEX(TableDiv[[GASB]:[GASB]],_xlfn.AGGREGATE(15,3,(TableDiv[[Agency]:[Agency]]=$E931)/(TableDiv[[Agency]:[Agency]]=$E931)*(ROW(TableDiv[Agency])-ROW(TableDiv[[#Headers],[Agency]])),COLUMNS($F$7:AD$7))))</f>
        <v/>
      </c>
      <c r="AE931" s="2223" t="str" cm="1">
        <f t="array" ref="AE931">IF($D931&lt;COLUMNS($F$7:AE$7),"",INDEX(TableDiv[[GASB]:[GASB]],_xlfn.AGGREGATE(15,3,(TableDiv[[Agency]:[Agency]]=$E931)/(TableDiv[[Agency]:[Agency]]=$E931)*(ROW(TableDiv[Agency])-ROW(TableDiv[[#Headers],[Agency]])),COLUMNS($F$7:AE$7))))</f>
        <v/>
      </c>
      <c r="AF931" s="2223" t="str" cm="1">
        <f t="array" ref="AF931">IF($D931&lt;COLUMNS($F$7:AF$7),"",INDEX(TableDiv[[GASB]:[GASB]],_xlfn.AGGREGATE(15,3,(TableDiv[[Agency]:[Agency]]=$E931)/(TableDiv[[Agency]:[Agency]]=$E931)*(ROW(TableDiv[Agency])-ROW(TableDiv[[#Headers],[Agency]])),COLUMNS($F$7:AF$7))))</f>
        <v/>
      </c>
      <c r="AG931" s="2223" t="str" cm="1">
        <f t="array" ref="AG931">IF($D931&lt;COLUMNS($F$7:AG$7),"",INDEX(TableDiv[[GASB]:[GASB]],_xlfn.AGGREGATE(15,3,(TableDiv[[Agency]:[Agency]]=$E931)/(TableDiv[[Agency]:[Agency]]=$E931)*(ROW(TableDiv[Agency])-ROW(TableDiv[[#Headers],[Agency]])),COLUMNS($F$7:AG$7))))</f>
        <v/>
      </c>
      <c r="AH931" s="2223" t="str" cm="1">
        <f t="array" ref="AH931">IF($D931&lt;COLUMNS($F$7:AH$7),"",INDEX(TableDiv[[GASB]:[GASB]],_xlfn.AGGREGATE(15,3,(TableDiv[[Agency]:[Agency]]=$E931)/(TableDiv[[Agency]:[Agency]]=$E931)*(ROW(TableDiv[Agency])-ROW(TableDiv[[#Headers],[Agency]])),COLUMNS($F$7:AH$7))))</f>
        <v/>
      </c>
      <c r="AI931" s="2223" t="str" cm="1">
        <f t="array" ref="AI931">IF($D931&lt;COLUMNS($F$7:AI$7),"",INDEX(TableDiv[[GASB]:[GASB]],_xlfn.AGGREGATE(15,3,(TableDiv[[Agency]:[Agency]]=$E931)/(TableDiv[[Agency]:[Agency]]=$E931)*(ROW(TableDiv[Agency])-ROW(TableDiv[[#Headers],[Agency]])),COLUMNS($F$7:AI$7))))</f>
        <v/>
      </c>
      <c r="AJ931" s="2223" t="str" cm="1">
        <f t="array" ref="AJ931">IF($D931&lt;COLUMNS($F$7:AJ$7),"",INDEX(TableDiv[[GASB]:[GASB]],_xlfn.AGGREGATE(15,3,(TableDiv[[Agency]:[Agency]]=$E931)/(TableDiv[[Agency]:[Agency]]=$E931)*(ROW(TableDiv[Agency])-ROW(TableDiv[[#Headers],[Agency]])),COLUMNS($F$7:AJ$7))))</f>
        <v/>
      </c>
      <c r="AK931" s="2223" t="str" cm="1">
        <f t="array" ref="AK931">IF($D931&lt;COLUMNS($F$7:AK$7),"",INDEX(TableDiv[[GASB]:[GASB]],_xlfn.AGGREGATE(15,3,(TableDiv[[Agency]:[Agency]]=$E931)/(TableDiv[[Agency]:[Agency]]=$E931)*(ROW(TableDiv[Agency])-ROW(TableDiv[[#Headers],[Agency]])),COLUMNS($F$7:AK$7))))</f>
        <v/>
      </c>
      <c r="AL931" s="2223" t="str" cm="1">
        <f t="array" ref="AL931">IF($D931&lt;COLUMNS($F$7:AL$7),"",INDEX(TableDiv[[GASB]:[GASB]],_xlfn.AGGREGATE(15,3,(TableDiv[[Agency]:[Agency]]=$E931)/(TableDiv[[Agency]:[Agency]]=$E931)*(ROW(TableDiv[Agency])-ROW(TableDiv[[#Headers],[Agency]])),COLUMNS($F$7:AL$7))))</f>
        <v/>
      </c>
      <c r="AM931" s="2223" t="str" cm="1">
        <f t="array" ref="AM931">IF($D931&lt;COLUMNS($F$7:AM$7),"",INDEX(TableDiv[[GASB]:[GASB]],_xlfn.AGGREGATE(15,3,(TableDiv[[Agency]:[Agency]]=$E931)/(TableDiv[[Agency]:[Agency]]=$E931)*(ROW(TableDiv[Agency])-ROW(TableDiv[[#Headers],[Agency]])),COLUMNS($F$7:AM$7))))</f>
        <v/>
      </c>
      <c r="AN931" s="2223"/>
      <c r="AO931" s="2223"/>
      <c r="AP931" s="2223"/>
      <c r="AQ931" s="2223"/>
      <c r="AR931" s="2223"/>
      <c r="AS931" s="2223"/>
    </row>
    <row r="932" spans="1:45" x14ac:dyDescent="0.2">
      <c r="A932" s="2223"/>
      <c r="B932" s="2223"/>
      <c r="C932" s="2223"/>
      <c r="W932" s="2223" t="str" cm="1">
        <f t="array" ref="W932">IF($D932&lt;COLUMNS($F$7:W$7),"",INDEX(TableDiv[[GASB]:[GASB]],_xlfn.AGGREGATE(15,3,(TableDiv[[Agency]:[Agency]]=$E932)/(TableDiv[[Agency]:[Agency]]=$E932)*(ROW(TableDiv[Agency])-ROW(TableDiv[[#Headers],[Agency]])),COLUMNS($F$7:W$7))))</f>
        <v/>
      </c>
      <c r="X932" s="2223" t="str" cm="1">
        <f t="array" ref="X932">IF($D932&lt;COLUMNS($F$7:X$7),"",INDEX(TableDiv[[GASB]:[GASB]],_xlfn.AGGREGATE(15,3,(TableDiv[[Agency]:[Agency]]=$E932)/(TableDiv[[Agency]:[Agency]]=$E932)*(ROW(TableDiv[Agency])-ROW(TableDiv[[#Headers],[Agency]])),COLUMNS($F$7:X$7))))</f>
        <v/>
      </c>
      <c r="Y932" s="2223" t="str" cm="1">
        <f t="array" ref="Y932">IF($D932&lt;COLUMNS($F$7:Y$7),"",INDEX(TableDiv[[GASB]:[GASB]],_xlfn.AGGREGATE(15,3,(TableDiv[[Agency]:[Agency]]=$E932)/(TableDiv[[Agency]:[Agency]]=$E932)*(ROW(TableDiv[Agency])-ROW(TableDiv[[#Headers],[Agency]])),COLUMNS($F$7:Y$7))))</f>
        <v/>
      </c>
      <c r="Z932" s="2223" t="str" cm="1">
        <f t="array" ref="Z932">IF($D932&lt;COLUMNS($F$7:Z$7),"",INDEX(TableDiv[[GASB]:[GASB]],_xlfn.AGGREGATE(15,3,(TableDiv[[Agency]:[Agency]]=$E932)/(TableDiv[[Agency]:[Agency]]=$E932)*(ROW(TableDiv[Agency])-ROW(TableDiv[[#Headers],[Agency]])),COLUMNS($F$7:Z$7))))</f>
        <v/>
      </c>
      <c r="AA932" s="2223" t="str" cm="1">
        <f t="array" ref="AA932">IF($D932&lt;COLUMNS($F$7:AA$7),"",INDEX(TableDiv[[GASB]:[GASB]],_xlfn.AGGREGATE(15,3,(TableDiv[[Agency]:[Agency]]=$E932)/(TableDiv[[Agency]:[Agency]]=$E932)*(ROW(TableDiv[Agency])-ROW(TableDiv[[#Headers],[Agency]])),COLUMNS($F$7:AA$7))))</f>
        <v/>
      </c>
      <c r="AB932" s="2223" t="str" cm="1">
        <f t="array" ref="AB932">IF($D932&lt;COLUMNS($F$7:AB$7),"",INDEX(TableDiv[[GASB]:[GASB]],_xlfn.AGGREGATE(15,3,(TableDiv[[Agency]:[Agency]]=$E932)/(TableDiv[[Agency]:[Agency]]=$E932)*(ROW(TableDiv[Agency])-ROW(TableDiv[[#Headers],[Agency]])),COLUMNS($F$7:AB$7))))</f>
        <v/>
      </c>
      <c r="AC932" s="2223" t="str" cm="1">
        <f t="array" ref="AC932">IF($D932&lt;COLUMNS($F$7:AC$7),"",INDEX(TableDiv[[GASB]:[GASB]],_xlfn.AGGREGATE(15,3,(TableDiv[[Agency]:[Agency]]=$E932)/(TableDiv[[Agency]:[Agency]]=$E932)*(ROW(TableDiv[Agency])-ROW(TableDiv[[#Headers],[Agency]])),COLUMNS($F$7:AC$7))))</f>
        <v/>
      </c>
      <c r="AD932" s="2223" t="str" cm="1">
        <f t="array" ref="AD932">IF($D932&lt;COLUMNS($F$7:AD$7),"",INDEX(TableDiv[[GASB]:[GASB]],_xlfn.AGGREGATE(15,3,(TableDiv[[Agency]:[Agency]]=$E932)/(TableDiv[[Agency]:[Agency]]=$E932)*(ROW(TableDiv[Agency])-ROW(TableDiv[[#Headers],[Agency]])),COLUMNS($F$7:AD$7))))</f>
        <v/>
      </c>
      <c r="AE932" s="2223" t="str" cm="1">
        <f t="array" ref="AE932">IF($D932&lt;COLUMNS($F$7:AE$7),"",INDEX(TableDiv[[GASB]:[GASB]],_xlfn.AGGREGATE(15,3,(TableDiv[[Agency]:[Agency]]=$E932)/(TableDiv[[Agency]:[Agency]]=$E932)*(ROW(TableDiv[Agency])-ROW(TableDiv[[#Headers],[Agency]])),COLUMNS($F$7:AE$7))))</f>
        <v/>
      </c>
      <c r="AF932" s="2223" t="str" cm="1">
        <f t="array" ref="AF932">IF($D932&lt;COLUMNS($F$7:AF$7),"",INDEX(TableDiv[[GASB]:[GASB]],_xlfn.AGGREGATE(15,3,(TableDiv[[Agency]:[Agency]]=$E932)/(TableDiv[[Agency]:[Agency]]=$E932)*(ROW(TableDiv[Agency])-ROW(TableDiv[[#Headers],[Agency]])),COLUMNS($F$7:AF$7))))</f>
        <v/>
      </c>
      <c r="AG932" s="2223" t="str" cm="1">
        <f t="array" ref="AG932">IF($D932&lt;COLUMNS($F$7:AG$7),"",INDEX(TableDiv[[GASB]:[GASB]],_xlfn.AGGREGATE(15,3,(TableDiv[[Agency]:[Agency]]=$E932)/(TableDiv[[Agency]:[Agency]]=$E932)*(ROW(TableDiv[Agency])-ROW(TableDiv[[#Headers],[Agency]])),COLUMNS($F$7:AG$7))))</f>
        <v/>
      </c>
      <c r="AH932" s="2223" t="str" cm="1">
        <f t="array" ref="AH932">IF($D932&lt;COLUMNS($F$7:AH$7),"",INDEX(TableDiv[[GASB]:[GASB]],_xlfn.AGGREGATE(15,3,(TableDiv[[Agency]:[Agency]]=$E932)/(TableDiv[[Agency]:[Agency]]=$E932)*(ROW(TableDiv[Agency])-ROW(TableDiv[[#Headers],[Agency]])),COLUMNS($F$7:AH$7))))</f>
        <v/>
      </c>
      <c r="AI932" s="2223" t="str" cm="1">
        <f t="array" ref="AI932">IF($D932&lt;COLUMNS($F$7:AI$7),"",INDEX(TableDiv[[GASB]:[GASB]],_xlfn.AGGREGATE(15,3,(TableDiv[[Agency]:[Agency]]=$E932)/(TableDiv[[Agency]:[Agency]]=$E932)*(ROW(TableDiv[Agency])-ROW(TableDiv[[#Headers],[Agency]])),COLUMNS($F$7:AI$7))))</f>
        <v/>
      </c>
      <c r="AJ932" s="2223" t="str" cm="1">
        <f t="array" ref="AJ932">IF($D932&lt;COLUMNS($F$7:AJ$7),"",INDEX(TableDiv[[GASB]:[GASB]],_xlfn.AGGREGATE(15,3,(TableDiv[[Agency]:[Agency]]=$E932)/(TableDiv[[Agency]:[Agency]]=$E932)*(ROW(TableDiv[Agency])-ROW(TableDiv[[#Headers],[Agency]])),COLUMNS($F$7:AJ$7))))</f>
        <v/>
      </c>
      <c r="AK932" s="2223" t="str" cm="1">
        <f t="array" ref="AK932">IF($D932&lt;COLUMNS($F$7:AK$7),"",INDEX(TableDiv[[GASB]:[GASB]],_xlfn.AGGREGATE(15,3,(TableDiv[[Agency]:[Agency]]=$E932)/(TableDiv[[Agency]:[Agency]]=$E932)*(ROW(TableDiv[Agency])-ROW(TableDiv[[#Headers],[Agency]])),COLUMNS($F$7:AK$7))))</f>
        <v/>
      </c>
      <c r="AL932" s="2223" t="str" cm="1">
        <f t="array" ref="AL932">IF($D932&lt;COLUMNS($F$7:AL$7),"",INDEX(TableDiv[[GASB]:[GASB]],_xlfn.AGGREGATE(15,3,(TableDiv[[Agency]:[Agency]]=$E932)/(TableDiv[[Agency]:[Agency]]=$E932)*(ROW(TableDiv[Agency])-ROW(TableDiv[[#Headers],[Agency]])),COLUMNS($F$7:AL$7))))</f>
        <v/>
      </c>
      <c r="AM932" s="2223" t="str" cm="1">
        <f t="array" ref="AM932">IF($D932&lt;COLUMNS($F$7:AM$7),"",INDEX(TableDiv[[GASB]:[GASB]],_xlfn.AGGREGATE(15,3,(TableDiv[[Agency]:[Agency]]=$E932)/(TableDiv[[Agency]:[Agency]]=$E932)*(ROW(TableDiv[Agency])-ROW(TableDiv[[#Headers],[Agency]])),COLUMNS($F$7:AM$7))))</f>
        <v/>
      </c>
      <c r="AN932" s="2223"/>
      <c r="AO932" s="2223"/>
      <c r="AP932" s="2223"/>
      <c r="AQ932" s="2223"/>
      <c r="AR932" s="2223"/>
      <c r="AS932" s="2223"/>
    </row>
    <row r="933" spans="1:45" x14ac:dyDescent="0.2">
      <c r="A933" s="2223"/>
      <c r="B933" s="2223"/>
      <c r="C933" s="2223"/>
      <c r="W933" s="2223" t="str" cm="1">
        <f t="array" ref="W933">IF($D933&lt;COLUMNS($F$7:W$7),"",INDEX(TableDiv[[GASB]:[GASB]],_xlfn.AGGREGATE(15,3,(TableDiv[[Agency]:[Agency]]=$E933)/(TableDiv[[Agency]:[Agency]]=$E933)*(ROW(TableDiv[Agency])-ROW(TableDiv[[#Headers],[Agency]])),COLUMNS($F$7:W$7))))</f>
        <v/>
      </c>
      <c r="X933" s="2223" t="str" cm="1">
        <f t="array" ref="X933">IF($D933&lt;COLUMNS($F$7:X$7),"",INDEX(TableDiv[[GASB]:[GASB]],_xlfn.AGGREGATE(15,3,(TableDiv[[Agency]:[Agency]]=$E933)/(TableDiv[[Agency]:[Agency]]=$E933)*(ROW(TableDiv[Agency])-ROW(TableDiv[[#Headers],[Agency]])),COLUMNS($F$7:X$7))))</f>
        <v/>
      </c>
      <c r="Y933" s="2223" t="str" cm="1">
        <f t="array" ref="Y933">IF($D933&lt;COLUMNS($F$7:Y$7),"",INDEX(TableDiv[[GASB]:[GASB]],_xlfn.AGGREGATE(15,3,(TableDiv[[Agency]:[Agency]]=$E933)/(TableDiv[[Agency]:[Agency]]=$E933)*(ROW(TableDiv[Agency])-ROW(TableDiv[[#Headers],[Agency]])),COLUMNS($F$7:Y$7))))</f>
        <v/>
      </c>
      <c r="Z933" s="2223" t="str" cm="1">
        <f t="array" ref="Z933">IF($D933&lt;COLUMNS($F$7:Z$7),"",INDEX(TableDiv[[GASB]:[GASB]],_xlfn.AGGREGATE(15,3,(TableDiv[[Agency]:[Agency]]=$E933)/(TableDiv[[Agency]:[Agency]]=$E933)*(ROW(TableDiv[Agency])-ROW(TableDiv[[#Headers],[Agency]])),COLUMNS($F$7:Z$7))))</f>
        <v/>
      </c>
      <c r="AA933" s="2223" t="str" cm="1">
        <f t="array" ref="AA933">IF($D933&lt;COLUMNS($F$7:AA$7),"",INDEX(TableDiv[[GASB]:[GASB]],_xlfn.AGGREGATE(15,3,(TableDiv[[Agency]:[Agency]]=$E933)/(TableDiv[[Agency]:[Agency]]=$E933)*(ROW(TableDiv[Agency])-ROW(TableDiv[[#Headers],[Agency]])),COLUMNS($F$7:AA$7))))</f>
        <v/>
      </c>
      <c r="AB933" s="2223" t="str" cm="1">
        <f t="array" ref="AB933">IF($D933&lt;COLUMNS($F$7:AB$7),"",INDEX(TableDiv[[GASB]:[GASB]],_xlfn.AGGREGATE(15,3,(TableDiv[[Agency]:[Agency]]=$E933)/(TableDiv[[Agency]:[Agency]]=$E933)*(ROW(TableDiv[Agency])-ROW(TableDiv[[#Headers],[Agency]])),COLUMNS($F$7:AB$7))))</f>
        <v/>
      </c>
      <c r="AC933" s="2223" t="str" cm="1">
        <f t="array" ref="AC933">IF($D933&lt;COLUMNS($F$7:AC$7),"",INDEX(TableDiv[[GASB]:[GASB]],_xlfn.AGGREGATE(15,3,(TableDiv[[Agency]:[Agency]]=$E933)/(TableDiv[[Agency]:[Agency]]=$E933)*(ROW(TableDiv[Agency])-ROW(TableDiv[[#Headers],[Agency]])),COLUMNS($F$7:AC$7))))</f>
        <v/>
      </c>
      <c r="AD933" s="2223" t="str" cm="1">
        <f t="array" ref="AD933">IF($D933&lt;COLUMNS($F$7:AD$7),"",INDEX(TableDiv[[GASB]:[GASB]],_xlfn.AGGREGATE(15,3,(TableDiv[[Agency]:[Agency]]=$E933)/(TableDiv[[Agency]:[Agency]]=$E933)*(ROW(TableDiv[Agency])-ROW(TableDiv[[#Headers],[Agency]])),COLUMNS($F$7:AD$7))))</f>
        <v/>
      </c>
      <c r="AE933" s="2223" t="str" cm="1">
        <f t="array" ref="AE933">IF($D933&lt;COLUMNS($F$7:AE$7),"",INDEX(TableDiv[[GASB]:[GASB]],_xlfn.AGGREGATE(15,3,(TableDiv[[Agency]:[Agency]]=$E933)/(TableDiv[[Agency]:[Agency]]=$E933)*(ROW(TableDiv[Agency])-ROW(TableDiv[[#Headers],[Agency]])),COLUMNS($F$7:AE$7))))</f>
        <v/>
      </c>
      <c r="AF933" s="2223" t="str" cm="1">
        <f t="array" ref="AF933">IF($D933&lt;COLUMNS($F$7:AF$7),"",INDEX(TableDiv[[GASB]:[GASB]],_xlfn.AGGREGATE(15,3,(TableDiv[[Agency]:[Agency]]=$E933)/(TableDiv[[Agency]:[Agency]]=$E933)*(ROW(TableDiv[Agency])-ROW(TableDiv[[#Headers],[Agency]])),COLUMNS($F$7:AF$7))))</f>
        <v/>
      </c>
      <c r="AG933" s="2223" t="str" cm="1">
        <f t="array" ref="AG933">IF($D933&lt;COLUMNS($F$7:AG$7),"",INDEX(TableDiv[[GASB]:[GASB]],_xlfn.AGGREGATE(15,3,(TableDiv[[Agency]:[Agency]]=$E933)/(TableDiv[[Agency]:[Agency]]=$E933)*(ROW(TableDiv[Agency])-ROW(TableDiv[[#Headers],[Agency]])),COLUMNS($F$7:AG$7))))</f>
        <v/>
      </c>
      <c r="AH933" s="2223" t="str" cm="1">
        <f t="array" ref="AH933">IF($D933&lt;COLUMNS($F$7:AH$7),"",INDEX(TableDiv[[GASB]:[GASB]],_xlfn.AGGREGATE(15,3,(TableDiv[[Agency]:[Agency]]=$E933)/(TableDiv[[Agency]:[Agency]]=$E933)*(ROW(TableDiv[Agency])-ROW(TableDiv[[#Headers],[Agency]])),COLUMNS($F$7:AH$7))))</f>
        <v/>
      </c>
      <c r="AI933" s="2223" t="str" cm="1">
        <f t="array" ref="AI933">IF($D933&lt;COLUMNS($F$7:AI$7),"",INDEX(TableDiv[[GASB]:[GASB]],_xlfn.AGGREGATE(15,3,(TableDiv[[Agency]:[Agency]]=$E933)/(TableDiv[[Agency]:[Agency]]=$E933)*(ROW(TableDiv[Agency])-ROW(TableDiv[[#Headers],[Agency]])),COLUMNS($F$7:AI$7))))</f>
        <v/>
      </c>
      <c r="AJ933" s="2223" t="str" cm="1">
        <f t="array" ref="AJ933">IF($D933&lt;COLUMNS($F$7:AJ$7),"",INDEX(TableDiv[[GASB]:[GASB]],_xlfn.AGGREGATE(15,3,(TableDiv[[Agency]:[Agency]]=$E933)/(TableDiv[[Agency]:[Agency]]=$E933)*(ROW(TableDiv[Agency])-ROW(TableDiv[[#Headers],[Agency]])),COLUMNS($F$7:AJ$7))))</f>
        <v/>
      </c>
      <c r="AK933" s="2223" t="str" cm="1">
        <f t="array" ref="AK933">IF($D933&lt;COLUMNS($F$7:AK$7),"",INDEX(TableDiv[[GASB]:[GASB]],_xlfn.AGGREGATE(15,3,(TableDiv[[Agency]:[Agency]]=$E933)/(TableDiv[[Agency]:[Agency]]=$E933)*(ROW(TableDiv[Agency])-ROW(TableDiv[[#Headers],[Agency]])),COLUMNS($F$7:AK$7))))</f>
        <v/>
      </c>
      <c r="AL933" s="2223" t="str" cm="1">
        <f t="array" ref="AL933">IF($D933&lt;COLUMNS($F$7:AL$7),"",INDEX(TableDiv[[GASB]:[GASB]],_xlfn.AGGREGATE(15,3,(TableDiv[[Agency]:[Agency]]=$E933)/(TableDiv[[Agency]:[Agency]]=$E933)*(ROW(TableDiv[Agency])-ROW(TableDiv[[#Headers],[Agency]])),COLUMNS($F$7:AL$7))))</f>
        <v/>
      </c>
      <c r="AM933" s="2223" t="str" cm="1">
        <f t="array" ref="AM933">IF($D933&lt;COLUMNS($F$7:AM$7),"",INDEX(TableDiv[[GASB]:[GASB]],_xlfn.AGGREGATE(15,3,(TableDiv[[Agency]:[Agency]]=$E933)/(TableDiv[[Agency]:[Agency]]=$E933)*(ROW(TableDiv[Agency])-ROW(TableDiv[[#Headers],[Agency]])),COLUMNS($F$7:AM$7))))</f>
        <v/>
      </c>
      <c r="AN933" s="2223"/>
      <c r="AO933" s="2223"/>
      <c r="AP933" s="2223"/>
      <c r="AQ933" s="2223"/>
      <c r="AR933" s="2223"/>
      <c r="AS933" s="2223"/>
    </row>
    <row r="934" spans="1:45" x14ac:dyDescent="0.2">
      <c r="A934" s="2223"/>
      <c r="B934" s="2223"/>
      <c r="C934" s="2223"/>
      <c r="W934" s="2223" t="str" cm="1">
        <f t="array" ref="W934">IF($D934&lt;COLUMNS($F$7:W$7),"",INDEX(TableDiv[[GASB]:[GASB]],_xlfn.AGGREGATE(15,3,(TableDiv[[Agency]:[Agency]]=$E934)/(TableDiv[[Agency]:[Agency]]=$E934)*(ROW(TableDiv[Agency])-ROW(TableDiv[[#Headers],[Agency]])),COLUMNS($F$7:W$7))))</f>
        <v/>
      </c>
      <c r="X934" s="2223" t="str" cm="1">
        <f t="array" ref="X934">IF($D934&lt;COLUMNS($F$7:X$7),"",INDEX(TableDiv[[GASB]:[GASB]],_xlfn.AGGREGATE(15,3,(TableDiv[[Agency]:[Agency]]=$E934)/(TableDiv[[Agency]:[Agency]]=$E934)*(ROW(TableDiv[Agency])-ROW(TableDiv[[#Headers],[Agency]])),COLUMNS($F$7:X$7))))</f>
        <v/>
      </c>
      <c r="Y934" s="2223" t="str" cm="1">
        <f t="array" ref="Y934">IF($D934&lt;COLUMNS($F$7:Y$7),"",INDEX(TableDiv[[GASB]:[GASB]],_xlfn.AGGREGATE(15,3,(TableDiv[[Agency]:[Agency]]=$E934)/(TableDiv[[Agency]:[Agency]]=$E934)*(ROW(TableDiv[Agency])-ROW(TableDiv[[#Headers],[Agency]])),COLUMNS($F$7:Y$7))))</f>
        <v/>
      </c>
      <c r="Z934" s="2223" t="str" cm="1">
        <f t="array" ref="Z934">IF($D934&lt;COLUMNS($F$7:Z$7),"",INDEX(TableDiv[[GASB]:[GASB]],_xlfn.AGGREGATE(15,3,(TableDiv[[Agency]:[Agency]]=$E934)/(TableDiv[[Agency]:[Agency]]=$E934)*(ROW(TableDiv[Agency])-ROW(TableDiv[[#Headers],[Agency]])),COLUMNS($F$7:Z$7))))</f>
        <v/>
      </c>
      <c r="AA934" s="2223" t="str" cm="1">
        <f t="array" ref="AA934">IF($D934&lt;COLUMNS($F$7:AA$7),"",INDEX(TableDiv[[GASB]:[GASB]],_xlfn.AGGREGATE(15,3,(TableDiv[[Agency]:[Agency]]=$E934)/(TableDiv[[Agency]:[Agency]]=$E934)*(ROW(TableDiv[Agency])-ROW(TableDiv[[#Headers],[Agency]])),COLUMNS($F$7:AA$7))))</f>
        <v/>
      </c>
      <c r="AB934" s="2223" t="str" cm="1">
        <f t="array" ref="AB934">IF($D934&lt;COLUMNS($F$7:AB$7),"",INDEX(TableDiv[[GASB]:[GASB]],_xlfn.AGGREGATE(15,3,(TableDiv[[Agency]:[Agency]]=$E934)/(TableDiv[[Agency]:[Agency]]=$E934)*(ROW(TableDiv[Agency])-ROW(TableDiv[[#Headers],[Agency]])),COLUMNS($F$7:AB$7))))</f>
        <v/>
      </c>
      <c r="AC934" s="2223" t="str" cm="1">
        <f t="array" ref="AC934">IF($D934&lt;COLUMNS($F$7:AC$7),"",INDEX(TableDiv[[GASB]:[GASB]],_xlfn.AGGREGATE(15,3,(TableDiv[[Agency]:[Agency]]=$E934)/(TableDiv[[Agency]:[Agency]]=$E934)*(ROW(TableDiv[Agency])-ROW(TableDiv[[#Headers],[Agency]])),COLUMNS($F$7:AC$7))))</f>
        <v/>
      </c>
      <c r="AD934" s="2223" t="str" cm="1">
        <f t="array" ref="AD934">IF($D934&lt;COLUMNS($F$7:AD$7),"",INDEX(TableDiv[[GASB]:[GASB]],_xlfn.AGGREGATE(15,3,(TableDiv[[Agency]:[Agency]]=$E934)/(TableDiv[[Agency]:[Agency]]=$E934)*(ROW(TableDiv[Agency])-ROW(TableDiv[[#Headers],[Agency]])),COLUMNS($F$7:AD$7))))</f>
        <v/>
      </c>
      <c r="AE934" s="2223" t="str" cm="1">
        <f t="array" ref="AE934">IF($D934&lt;COLUMNS($F$7:AE$7),"",INDEX(TableDiv[[GASB]:[GASB]],_xlfn.AGGREGATE(15,3,(TableDiv[[Agency]:[Agency]]=$E934)/(TableDiv[[Agency]:[Agency]]=$E934)*(ROW(TableDiv[Agency])-ROW(TableDiv[[#Headers],[Agency]])),COLUMNS($F$7:AE$7))))</f>
        <v/>
      </c>
      <c r="AF934" s="2223" t="str" cm="1">
        <f t="array" ref="AF934">IF($D934&lt;COLUMNS($F$7:AF$7),"",INDEX(TableDiv[[GASB]:[GASB]],_xlfn.AGGREGATE(15,3,(TableDiv[[Agency]:[Agency]]=$E934)/(TableDiv[[Agency]:[Agency]]=$E934)*(ROW(TableDiv[Agency])-ROW(TableDiv[[#Headers],[Agency]])),COLUMNS($F$7:AF$7))))</f>
        <v/>
      </c>
      <c r="AG934" s="2223" t="str" cm="1">
        <f t="array" ref="AG934">IF($D934&lt;COLUMNS($F$7:AG$7),"",INDEX(TableDiv[[GASB]:[GASB]],_xlfn.AGGREGATE(15,3,(TableDiv[[Agency]:[Agency]]=$E934)/(TableDiv[[Agency]:[Agency]]=$E934)*(ROW(TableDiv[Agency])-ROW(TableDiv[[#Headers],[Agency]])),COLUMNS($F$7:AG$7))))</f>
        <v/>
      </c>
      <c r="AH934" s="2223" t="str" cm="1">
        <f t="array" ref="AH934">IF($D934&lt;COLUMNS($F$7:AH$7),"",INDEX(TableDiv[[GASB]:[GASB]],_xlfn.AGGREGATE(15,3,(TableDiv[[Agency]:[Agency]]=$E934)/(TableDiv[[Agency]:[Agency]]=$E934)*(ROW(TableDiv[Agency])-ROW(TableDiv[[#Headers],[Agency]])),COLUMNS($F$7:AH$7))))</f>
        <v/>
      </c>
      <c r="AI934" s="2223" t="str" cm="1">
        <f t="array" ref="AI934">IF($D934&lt;COLUMNS($F$7:AI$7),"",INDEX(TableDiv[[GASB]:[GASB]],_xlfn.AGGREGATE(15,3,(TableDiv[[Agency]:[Agency]]=$E934)/(TableDiv[[Agency]:[Agency]]=$E934)*(ROW(TableDiv[Agency])-ROW(TableDiv[[#Headers],[Agency]])),COLUMNS($F$7:AI$7))))</f>
        <v/>
      </c>
      <c r="AJ934" s="2223" t="str" cm="1">
        <f t="array" ref="AJ934">IF($D934&lt;COLUMNS($F$7:AJ$7),"",INDEX(TableDiv[[GASB]:[GASB]],_xlfn.AGGREGATE(15,3,(TableDiv[[Agency]:[Agency]]=$E934)/(TableDiv[[Agency]:[Agency]]=$E934)*(ROW(TableDiv[Agency])-ROW(TableDiv[[#Headers],[Agency]])),COLUMNS($F$7:AJ$7))))</f>
        <v/>
      </c>
      <c r="AK934" s="2223" t="str" cm="1">
        <f t="array" ref="AK934">IF($D934&lt;COLUMNS($F$7:AK$7),"",INDEX(TableDiv[[GASB]:[GASB]],_xlfn.AGGREGATE(15,3,(TableDiv[[Agency]:[Agency]]=$E934)/(TableDiv[[Agency]:[Agency]]=$E934)*(ROW(TableDiv[Agency])-ROW(TableDiv[[#Headers],[Agency]])),COLUMNS($F$7:AK$7))))</f>
        <v/>
      </c>
      <c r="AL934" s="2223" t="str" cm="1">
        <f t="array" ref="AL934">IF($D934&lt;COLUMNS($F$7:AL$7),"",INDEX(TableDiv[[GASB]:[GASB]],_xlfn.AGGREGATE(15,3,(TableDiv[[Agency]:[Agency]]=$E934)/(TableDiv[[Agency]:[Agency]]=$E934)*(ROW(TableDiv[Agency])-ROW(TableDiv[[#Headers],[Agency]])),COLUMNS($F$7:AL$7))))</f>
        <v/>
      </c>
      <c r="AM934" s="2223" t="str" cm="1">
        <f t="array" ref="AM934">IF($D934&lt;COLUMNS($F$7:AM$7),"",INDEX(TableDiv[[GASB]:[GASB]],_xlfn.AGGREGATE(15,3,(TableDiv[[Agency]:[Agency]]=$E934)/(TableDiv[[Agency]:[Agency]]=$E934)*(ROW(TableDiv[Agency])-ROW(TableDiv[[#Headers],[Agency]])),COLUMNS($F$7:AM$7))))</f>
        <v/>
      </c>
      <c r="AN934" s="2223"/>
      <c r="AO934" s="2223"/>
      <c r="AP934" s="2223"/>
      <c r="AQ934" s="2223"/>
      <c r="AR934" s="2223"/>
      <c r="AS934" s="2223"/>
    </row>
    <row r="935" spans="1:45" x14ac:dyDescent="0.2">
      <c r="A935" s="2223"/>
      <c r="B935" s="2223"/>
      <c r="C935" s="2223"/>
      <c r="W935" s="2223" t="str" cm="1">
        <f t="array" ref="W935">IF($D935&lt;COLUMNS($F$7:W$7),"",INDEX(TableDiv[[GASB]:[GASB]],_xlfn.AGGREGATE(15,3,(TableDiv[[Agency]:[Agency]]=$E935)/(TableDiv[[Agency]:[Agency]]=$E935)*(ROW(TableDiv[Agency])-ROW(TableDiv[[#Headers],[Agency]])),COLUMNS($F$7:W$7))))</f>
        <v/>
      </c>
      <c r="X935" s="2223" t="str" cm="1">
        <f t="array" ref="X935">IF($D935&lt;COLUMNS($F$7:X$7),"",INDEX(TableDiv[[GASB]:[GASB]],_xlfn.AGGREGATE(15,3,(TableDiv[[Agency]:[Agency]]=$E935)/(TableDiv[[Agency]:[Agency]]=$E935)*(ROW(TableDiv[Agency])-ROW(TableDiv[[#Headers],[Agency]])),COLUMNS($F$7:X$7))))</f>
        <v/>
      </c>
      <c r="Y935" s="2223" t="str" cm="1">
        <f t="array" ref="Y935">IF($D935&lt;COLUMNS($F$7:Y$7),"",INDEX(TableDiv[[GASB]:[GASB]],_xlfn.AGGREGATE(15,3,(TableDiv[[Agency]:[Agency]]=$E935)/(TableDiv[[Agency]:[Agency]]=$E935)*(ROW(TableDiv[Agency])-ROW(TableDiv[[#Headers],[Agency]])),COLUMNS($F$7:Y$7))))</f>
        <v/>
      </c>
      <c r="Z935" s="2223" t="str" cm="1">
        <f t="array" ref="Z935">IF($D935&lt;COLUMNS($F$7:Z$7),"",INDEX(TableDiv[[GASB]:[GASB]],_xlfn.AGGREGATE(15,3,(TableDiv[[Agency]:[Agency]]=$E935)/(TableDiv[[Agency]:[Agency]]=$E935)*(ROW(TableDiv[Agency])-ROW(TableDiv[[#Headers],[Agency]])),COLUMNS($F$7:Z$7))))</f>
        <v/>
      </c>
      <c r="AA935" s="2223" t="str" cm="1">
        <f t="array" ref="AA935">IF($D935&lt;COLUMNS($F$7:AA$7),"",INDEX(TableDiv[[GASB]:[GASB]],_xlfn.AGGREGATE(15,3,(TableDiv[[Agency]:[Agency]]=$E935)/(TableDiv[[Agency]:[Agency]]=$E935)*(ROW(TableDiv[Agency])-ROW(TableDiv[[#Headers],[Agency]])),COLUMNS($F$7:AA$7))))</f>
        <v/>
      </c>
      <c r="AB935" s="2223" t="str" cm="1">
        <f t="array" ref="AB935">IF($D935&lt;COLUMNS($F$7:AB$7),"",INDEX(TableDiv[[GASB]:[GASB]],_xlfn.AGGREGATE(15,3,(TableDiv[[Agency]:[Agency]]=$E935)/(TableDiv[[Agency]:[Agency]]=$E935)*(ROW(TableDiv[Agency])-ROW(TableDiv[[#Headers],[Agency]])),COLUMNS($F$7:AB$7))))</f>
        <v/>
      </c>
      <c r="AC935" s="2223" t="str" cm="1">
        <f t="array" ref="AC935">IF($D935&lt;COLUMNS($F$7:AC$7),"",INDEX(TableDiv[[GASB]:[GASB]],_xlfn.AGGREGATE(15,3,(TableDiv[[Agency]:[Agency]]=$E935)/(TableDiv[[Agency]:[Agency]]=$E935)*(ROW(TableDiv[Agency])-ROW(TableDiv[[#Headers],[Agency]])),COLUMNS($F$7:AC$7))))</f>
        <v/>
      </c>
      <c r="AD935" s="2223" t="str" cm="1">
        <f t="array" ref="AD935">IF($D935&lt;COLUMNS($F$7:AD$7),"",INDEX(TableDiv[[GASB]:[GASB]],_xlfn.AGGREGATE(15,3,(TableDiv[[Agency]:[Agency]]=$E935)/(TableDiv[[Agency]:[Agency]]=$E935)*(ROW(TableDiv[Agency])-ROW(TableDiv[[#Headers],[Agency]])),COLUMNS($F$7:AD$7))))</f>
        <v/>
      </c>
      <c r="AE935" s="2223" t="str" cm="1">
        <f t="array" ref="AE935">IF($D935&lt;COLUMNS($F$7:AE$7),"",INDEX(TableDiv[[GASB]:[GASB]],_xlfn.AGGREGATE(15,3,(TableDiv[[Agency]:[Agency]]=$E935)/(TableDiv[[Agency]:[Agency]]=$E935)*(ROW(TableDiv[Agency])-ROW(TableDiv[[#Headers],[Agency]])),COLUMNS($F$7:AE$7))))</f>
        <v/>
      </c>
      <c r="AF935" s="2223" t="str" cm="1">
        <f t="array" ref="AF935">IF($D935&lt;COLUMNS($F$7:AF$7),"",INDEX(TableDiv[[GASB]:[GASB]],_xlfn.AGGREGATE(15,3,(TableDiv[[Agency]:[Agency]]=$E935)/(TableDiv[[Agency]:[Agency]]=$E935)*(ROW(TableDiv[Agency])-ROW(TableDiv[[#Headers],[Agency]])),COLUMNS($F$7:AF$7))))</f>
        <v/>
      </c>
      <c r="AG935" s="2223" t="str" cm="1">
        <f t="array" ref="AG935">IF($D935&lt;COLUMNS($F$7:AG$7),"",INDEX(TableDiv[[GASB]:[GASB]],_xlfn.AGGREGATE(15,3,(TableDiv[[Agency]:[Agency]]=$E935)/(TableDiv[[Agency]:[Agency]]=$E935)*(ROW(TableDiv[Agency])-ROW(TableDiv[[#Headers],[Agency]])),COLUMNS($F$7:AG$7))))</f>
        <v/>
      </c>
      <c r="AH935" s="2223" t="str" cm="1">
        <f t="array" ref="AH935">IF($D935&lt;COLUMNS($F$7:AH$7),"",INDEX(TableDiv[[GASB]:[GASB]],_xlfn.AGGREGATE(15,3,(TableDiv[[Agency]:[Agency]]=$E935)/(TableDiv[[Agency]:[Agency]]=$E935)*(ROW(TableDiv[Agency])-ROW(TableDiv[[#Headers],[Agency]])),COLUMNS($F$7:AH$7))))</f>
        <v/>
      </c>
      <c r="AI935" s="2223" t="str" cm="1">
        <f t="array" ref="AI935">IF($D935&lt;COLUMNS($F$7:AI$7),"",INDEX(TableDiv[[GASB]:[GASB]],_xlfn.AGGREGATE(15,3,(TableDiv[[Agency]:[Agency]]=$E935)/(TableDiv[[Agency]:[Agency]]=$E935)*(ROW(TableDiv[Agency])-ROW(TableDiv[[#Headers],[Agency]])),COLUMNS($F$7:AI$7))))</f>
        <v/>
      </c>
      <c r="AJ935" s="2223" t="str" cm="1">
        <f t="array" ref="AJ935">IF($D935&lt;COLUMNS($F$7:AJ$7),"",INDEX(TableDiv[[GASB]:[GASB]],_xlfn.AGGREGATE(15,3,(TableDiv[[Agency]:[Agency]]=$E935)/(TableDiv[[Agency]:[Agency]]=$E935)*(ROW(TableDiv[Agency])-ROW(TableDiv[[#Headers],[Agency]])),COLUMNS($F$7:AJ$7))))</f>
        <v/>
      </c>
      <c r="AK935" s="2223" t="str" cm="1">
        <f t="array" ref="AK935">IF($D935&lt;COLUMNS($F$7:AK$7),"",INDEX(TableDiv[[GASB]:[GASB]],_xlfn.AGGREGATE(15,3,(TableDiv[[Agency]:[Agency]]=$E935)/(TableDiv[[Agency]:[Agency]]=$E935)*(ROW(TableDiv[Agency])-ROW(TableDiv[[#Headers],[Agency]])),COLUMNS($F$7:AK$7))))</f>
        <v/>
      </c>
      <c r="AL935" s="2223" t="str" cm="1">
        <f t="array" ref="AL935">IF($D935&lt;COLUMNS($F$7:AL$7),"",INDEX(TableDiv[[GASB]:[GASB]],_xlfn.AGGREGATE(15,3,(TableDiv[[Agency]:[Agency]]=$E935)/(TableDiv[[Agency]:[Agency]]=$E935)*(ROW(TableDiv[Agency])-ROW(TableDiv[[#Headers],[Agency]])),COLUMNS($F$7:AL$7))))</f>
        <v/>
      </c>
      <c r="AM935" s="2223" t="str" cm="1">
        <f t="array" ref="AM935">IF($D935&lt;COLUMNS($F$7:AM$7),"",INDEX(TableDiv[[GASB]:[GASB]],_xlfn.AGGREGATE(15,3,(TableDiv[[Agency]:[Agency]]=$E935)/(TableDiv[[Agency]:[Agency]]=$E935)*(ROW(TableDiv[Agency])-ROW(TableDiv[[#Headers],[Agency]])),COLUMNS($F$7:AM$7))))</f>
        <v/>
      </c>
      <c r="AN935" s="2223"/>
      <c r="AO935" s="2223"/>
      <c r="AP935" s="2223"/>
      <c r="AQ935" s="2223"/>
      <c r="AR935" s="2223"/>
      <c r="AS935" s="2223"/>
    </row>
    <row r="936" spans="1:45" x14ac:dyDescent="0.2">
      <c r="A936" s="2223"/>
      <c r="B936" s="2223"/>
      <c r="C936" s="2223"/>
      <c r="W936" s="2223" t="str" cm="1">
        <f t="array" ref="W936">IF($D936&lt;COLUMNS($F$7:W$7),"",INDEX(TableDiv[[GASB]:[GASB]],_xlfn.AGGREGATE(15,3,(TableDiv[[Agency]:[Agency]]=$E936)/(TableDiv[[Agency]:[Agency]]=$E936)*(ROW(TableDiv[Agency])-ROW(TableDiv[[#Headers],[Agency]])),COLUMNS($F$7:W$7))))</f>
        <v/>
      </c>
      <c r="X936" s="2223" t="str" cm="1">
        <f t="array" ref="X936">IF($D936&lt;COLUMNS($F$7:X$7),"",INDEX(TableDiv[[GASB]:[GASB]],_xlfn.AGGREGATE(15,3,(TableDiv[[Agency]:[Agency]]=$E936)/(TableDiv[[Agency]:[Agency]]=$E936)*(ROW(TableDiv[Agency])-ROW(TableDiv[[#Headers],[Agency]])),COLUMNS($F$7:X$7))))</f>
        <v/>
      </c>
      <c r="Y936" s="2223" t="str" cm="1">
        <f t="array" ref="Y936">IF($D936&lt;COLUMNS($F$7:Y$7),"",INDEX(TableDiv[[GASB]:[GASB]],_xlfn.AGGREGATE(15,3,(TableDiv[[Agency]:[Agency]]=$E936)/(TableDiv[[Agency]:[Agency]]=$E936)*(ROW(TableDiv[Agency])-ROW(TableDiv[[#Headers],[Agency]])),COLUMNS($F$7:Y$7))))</f>
        <v/>
      </c>
      <c r="Z936" s="2223" t="str" cm="1">
        <f t="array" ref="Z936">IF($D936&lt;COLUMNS($F$7:Z$7),"",INDEX(TableDiv[[GASB]:[GASB]],_xlfn.AGGREGATE(15,3,(TableDiv[[Agency]:[Agency]]=$E936)/(TableDiv[[Agency]:[Agency]]=$E936)*(ROW(TableDiv[Agency])-ROW(TableDiv[[#Headers],[Agency]])),COLUMNS($F$7:Z$7))))</f>
        <v/>
      </c>
      <c r="AA936" s="2223" t="str" cm="1">
        <f t="array" ref="AA936">IF($D936&lt;COLUMNS($F$7:AA$7),"",INDEX(TableDiv[[GASB]:[GASB]],_xlfn.AGGREGATE(15,3,(TableDiv[[Agency]:[Agency]]=$E936)/(TableDiv[[Agency]:[Agency]]=$E936)*(ROW(TableDiv[Agency])-ROW(TableDiv[[#Headers],[Agency]])),COLUMNS($F$7:AA$7))))</f>
        <v/>
      </c>
      <c r="AB936" s="2223" t="str" cm="1">
        <f t="array" ref="AB936">IF($D936&lt;COLUMNS($F$7:AB$7),"",INDEX(TableDiv[[GASB]:[GASB]],_xlfn.AGGREGATE(15,3,(TableDiv[[Agency]:[Agency]]=$E936)/(TableDiv[[Agency]:[Agency]]=$E936)*(ROW(TableDiv[Agency])-ROW(TableDiv[[#Headers],[Agency]])),COLUMNS($F$7:AB$7))))</f>
        <v/>
      </c>
      <c r="AC936" s="2223" t="str" cm="1">
        <f t="array" ref="AC936">IF($D936&lt;COLUMNS($F$7:AC$7),"",INDEX(TableDiv[[GASB]:[GASB]],_xlfn.AGGREGATE(15,3,(TableDiv[[Agency]:[Agency]]=$E936)/(TableDiv[[Agency]:[Agency]]=$E936)*(ROW(TableDiv[Agency])-ROW(TableDiv[[#Headers],[Agency]])),COLUMNS($F$7:AC$7))))</f>
        <v/>
      </c>
      <c r="AD936" s="2223" t="str" cm="1">
        <f t="array" ref="AD936">IF($D936&lt;COLUMNS($F$7:AD$7),"",INDEX(TableDiv[[GASB]:[GASB]],_xlfn.AGGREGATE(15,3,(TableDiv[[Agency]:[Agency]]=$E936)/(TableDiv[[Agency]:[Agency]]=$E936)*(ROW(TableDiv[Agency])-ROW(TableDiv[[#Headers],[Agency]])),COLUMNS($F$7:AD$7))))</f>
        <v/>
      </c>
      <c r="AE936" s="2223" t="str" cm="1">
        <f t="array" ref="AE936">IF($D936&lt;COLUMNS($F$7:AE$7),"",INDEX(TableDiv[[GASB]:[GASB]],_xlfn.AGGREGATE(15,3,(TableDiv[[Agency]:[Agency]]=$E936)/(TableDiv[[Agency]:[Agency]]=$E936)*(ROW(TableDiv[Agency])-ROW(TableDiv[[#Headers],[Agency]])),COLUMNS($F$7:AE$7))))</f>
        <v/>
      </c>
      <c r="AF936" s="2223" t="str" cm="1">
        <f t="array" ref="AF936">IF($D936&lt;COLUMNS($F$7:AF$7),"",INDEX(TableDiv[[GASB]:[GASB]],_xlfn.AGGREGATE(15,3,(TableDiv[[Agency]:[Agency]]=$E936)/(TableDiv[[Agency]:[Agency]]=$E936)*(ROW(TableDiv[Agency])-ROW(TableDiv[[#Headers],[Agency]])),COLUMNS($F$7:AF$7))))</f>
        <v/>
      </c>
      <c r="AG936" s="2223" t="str" cm="1">
        <f t="array" ref="AG936">IF($D936&lt;COLUMNS($F$7:AG$7),"",INDEX(TableDiv[[GASB]:[GASB]],_xlfn.AGGREGATE(15,3,(TableDiv[[Agency]:[Agency]]=$E936)/(TableDiv[[Agency]:[Agency]]=$E936)*(ROW(TableDiv[Agency])-ROW(TableDiv[[#Headers],[Agency]])),COLUMNS($F$7:AG$7))))</f>
        <v/>
      </c>
      <c r="AH936" s="2223" t="str" cm="1">
        <f t="array" ref="AH936">IF($D936&lt;COLUMNS($F$7:AH$7),"",INDEX(TableDiv[[GASB]:[GASB]],_xlfn.AGGREGATE(15,3,(TableDiv[[Agency]:[Agency]]=$E936)/(TableDiv[[Agency]:[Agency]]=$E936)*(ROW(TableDiv[Agency])-ROW(TableDiv[[#Headers],[Agency]])),COLUMNS($F$7:AH$7))))</f>
        <v/>
      </c>
      <c r="AI936" s="2223" t="str" cm="1">
        <f t="array" ref="AI936">IF($D936&lt;COLUMNS($F$7:AI$7),"",INDEX(TableDiv[[GASB]:[GASB]],_xlfn.AGGREGATE(15,3,(TableDiv[[Agency]:[Agency]]=$E936)/(TableDiv[[Agency]:[Agency]]=$E936)*(ROW(TableDiv[Agency])-ROW(TableDiv[[#Headers],[Agency]])),COLUMNS($F$7:AI$7))))</f>
        <v/>
      </c>
      <c r="AJ936" s="2223" t="str" cm="1">
        <f t="array" ref="AJ936">IF($D936&lt;COLUMNS($F$7:AJ$7),"",INDEX(TableDiv[[GASB]:[GASB]],_xlfn.AGGREGATE(15,3,(TableDiv[[Agency]:[Agency]]=$E936)/(TableDiv[[Agency]:[Agency]]=$E936)*(ROW(TableDiv[Agency])-ROW(TableDiv[[#Headers],[Agency]])),COLUMNS($F$7:AJ$7))))</f>
        <v/>
      </c>
      <c r="AK936" s="2223" t="str" cm="1">
        <f t="array" ref="AK936">IF($D936&lt;COLUMNS($F$7:AK$7),"",INDEX(TableDiv[[GASB]:[GASB]],_xlfn.AGGREGATE(15,3,(TableDiv[[Agency]:[Agency]]=$E936)/(TableDiv[[Agency]:[Agency]]=$E936)*(ROW(TableDiv[Agency])-ROW(TableDiv[[#Headers],[Agency]])),COLUMNS($F$7:AK$7))))</f>
        <v/>
      </c>
      <c r="AL936" s="2223" t="str" cm="1">
        <f t="array" ref="AL936">IF($D936&lt;COLUMNS($F$7:AL$7),"",INDEX(TableDiv[[GASB]:[GASB]],_xlfn.AGGREGATE(15,3,(TableDiv[[Agency]:[Agency]]=$E936)/(TableDiv[[Agency]:[Agency]]=$E936)*(ROW(TableDiv[Agency])-ROW(TableDiv[[#Headers],[Agency]])),COLUMNS($F$7:AL$7))))</f>
        <v/>
      </c>
      <c r="AM936" s="2223" t="str" cm="1">
        <f t="array" ref="AM936">IF($D936&lt;COLUMNS($F$7:AM$7),"",INDEX(TableDiv[[GASB]:[GASB]],_xlfn.AGGREGATE(15,3,(TableDiv[[Agency]:[Agency]]=$E936)/(TableDiv[[Agency]:[Agency]]=$E936)*(ROW(TableDiv[Agency])-ROW(TableDiv[[#Headers],[Agency]])),COLUMNS($F$7:AM$7))))</f>
        <v/>
      </c>
      <c r="AN936" s="2223"/>
      <c r="AO936" s="2223"/>
      <c r="AP936" s="2223"/>
      <c r="AQ936" s="2223"/>
      <c r="AR936" s="2223"/>
      <c r="AS936" s="2223"/>
    </row>
    <row r="937" spans="1:45" x14ac:dyDescent="0.2">
      <c r="A937" s="2223"/>
      <c r="B937" s="2223"/>
      <c r="C937" s="2223"/>
      <c r="W937" s="2223" t="str" cm="1">
        <f t="array" ref="W937">IF($D937&lt;COLUMNS($F$7:W$7),"",INDEX(TableDiv[[GASB]:[GASB]],_xlfn.AGGREGATE(15,3,(TableDiv[[Agency]:[Agency]]=$E937)/(TableDiv[[Agency]:[Agency]]=$E937)*(ROW(TableDiv[Agency])-ROW(TableDiv[[#Headers],[Agency]])),COLUMNS($F$7:W$7))))</f>
        <v/>
      </c>
      <c r="X937" s="2223" t="str" cm="1">
        <f t="array" ref="X937">IF($D937&lt;COLUMNS($F$7:X$7),"",INDEX(TableDiv[[GASB]:[GASB]],_xlfn.AGGREGATE(15,3,(TableDiv[[Agency]:[Agency]]=$E937)/(TableDiv[[Agency]:[Agency]]=$E937)*(ROW(TableDiv[Agency])-ROW(TableDiv[[#Headers],[Agency]])),COLUMNS($F$7:X$7))))</f>
        <v/>
      </c>
      <c r="Y937" s="2223" t="str" cm="1">
        <f t="array" ref="Y937">IF($D937&lt;COLUMNS($F$7:Y$7),"",INDEX(TableDiv[[GASB]:[GASB]],_xlfn.AGGREGATE(15,3,(TableDiv[[Agency]:[Agency]]=$E937)/(TableDiv[[Agency]:[Agency]]=$E937)*(ROW(TableDiv[Agency])-ROW(TableDiv[[#Headers],[Agency]])),COLUMNS($F$7:Y$7))))</f>
        <v/>
      </c>
      <c r="Z937" s="2223" t="str" cm="1">
        <f t="array" ref="Z937">IF($D937&lt;COLUMNS($F$7:Z$7),"",INDEX(TableDiv[[GASB]:[GASB]],_xlfn.AGGREGATE(15,3,(TableDiv[[Agency]:[Agency]]=$E937)/(TableDiv[[Agency]:[Agency]]=$E937)*(ROW(TableDiv[Agency])-ROW(TableDiv[[#Headers],[Agency]])),COLUMNS($F$7:Z$7))))</f>
        <v/>
      </c>
      <c r="AA937" s="2223" t="str" cm="1">
        <f t="array" ref="AA937">IF($D937&lt;COLUMNS($F$7:AA$7),"",INDEX(TableDiv[[GASB]:[GASB]],_xlfn.AGGREGATE(15,3,(TableDiv[[Agency]:[Agency]]=$E937)/(TableDiv[[Agency]:[Agency]]=$E937)*(ROW(TableDiv[Agency])-ROW(TableDiv[[#Headers],[Agency]])),COLUMNS($F$7:AA$7))))</f>
        <v/>
      </c>
      <c r="AB937" s="2223" t="str" cm="1">
        <f t="array" ref="AB937">IF($D937&lt;COLUMNS($F$7:AB$7),"",INDEX(TableDiv[[GASB]:[GASB]],_xlfn.AGGREGATE(15,3,(TableDiv[[Agency]:[Agency]]=$E937)/(TableDiv[[Agency]:[Agency]]=$E937)*(ROW(TableDiv[Agency])-ROW(TableDiv[[#Headers],[Agency]])),COLUMNS($F$7:AB$7))))</f>
        <v/>
      </c>
      <c r="AC937" s="2223" t="str" cm="1">
        <f t="array" ref="AC937">IF($D937&lt;COLUMNS($F$7:AC$7),"",INDEX(TableDiv[[GASB]:[GASB]],_xlfn.AGGREGATE(15,3,(TableDiv[[Agency]:[Agency]]=$E937)/(TableDiv[[Agency]:[Agency]]=$E937)*(ROW(TableDiv[Agency])-ROW(TableDiv[[#Headers],[Agency]])),COLUMNS($F$7:AC$7))))</f>
        <v/>
      </c>
      <c r="AD937" s="2223" t="str" cm="1">
        <f t="array" ref="AD937">IF($D937&lt;COLUMNS($F$7:AD$7),"",INDEX(TableDiv[[GASB]:[GASB]],_xlfn.AGGREGATE(15,3,(TableDiv[[Agency]:[Agency]]=$E937)/(TableDiv[[Agency]:[Agency]]=$E937)*(ROW(TableDiv[Agency])-ROW(TableDiv[[#Headers],[Agency]])),COLUMNS($F$7:AD$7))))</f>
        <v/>
      </c>
      <c r="AE937" s="2223" t="str" cm="1">
        <f t="array" ref="AE937">IF($D937&lt;COLUMNS($F$7:AE$7),"",INDEX(TableDiv[[GASB]:[GASB]],_xlfn.AGGREGATE(15,3,(TableDiv[[Agency]:[Agency]]=$E937)/(TableDiv[[Agency]:[Agency]]=$E937)*(ROW(TableDiv[Agency])-ROW(TableDiv[[#Headers],[Agency]])),COLUMNS($F$7:AE$7))))</f>
        <v/>
      </c>
      <c r="AF937" s="2223" t="str" cm="1">
        <f t="array" ref="AF937">IF($D937&lt;COLUMNS($F$7:AF$7),"",INDEX(TableDiv[[GASB]:[GASB]],_xlfn.AGGREGATE(15,3,(TableDiv[[Agency]:[Agency]]=$E937)/(TableDiv[[Agency]:[Agency]]=$E937)*(ROW(TableDiv[Agency])-ROW(TableDiv[[#Headers],[Agency]])),COLUMNS($F$7:AF$7))))</f>
        <v/>
      </c>
      <c r="AG937" s="2223" t="str" cm="1">
        <f t="array" ref="AG937">IF($D937&lt;COLUMNS($F$7:AG$7),"",INDEX(TableDiv[[GASB]:[GASB]],_xlfn.AGGREGATE(15,3,(TableDiv[[Agency]:[Agency]]=$E937)/(TableDiv[[Agency]:[Agency]]=$E937)*(ROW(TableDiv[Agency])-ROW(TableDiv[[#Headers],[Agency]])),COLUMNS($F$7:AG$7))))</f>
        <v/>
      </c>
      <c r="AH937" s="2223" t="str" cm="1">
        <f t="array" ref="AH937">IF($D937&lt;COLUMNS($F$7:AH$7),"",INDEX(TableDiv[[GASB]:[GASB]],_xlfn.AGGREGATE(15,3,(TableDiv[[Agency]:[Agency]]=$E937)/(TableDiv[[Agency]:[Agency]]=$E937)*(ROW(TableDiv[Agency])-ROW(TableDiv[[#Headers],[Agency]])),COLUMNS($F$7:AH$7))))</f>
        <v/>
      </c>
      <c r="AI937" s="2223" t="str" cm="1">
        <f t="array" ref="AI937">IF($D937&lt;COLUMNS($F$7:AI$7),"",INDEX(TableDiv[[GASB]:[GASB]],_xlfn.AGGREGATE(15,3,(TableDiv[[Agency]:[Agency]]=$E937)/(TableDiv[[Agency]:[Agency]]=$E937)*(ROW(TableDiv[Agency])-ROW(TableDiv[[#Headers],[Agency]])),COLUMNS($F$7:AI$7))))</f>
        <v/>
      </c>
      <c r="AJ937" s="2223" t="str" cm="1">
        <f t="array" ref="AJ937">IF($D937&lt;COLUMNS($F$7:AJ$7),"",INDEX(TableDiv[[GASB]:[GASB]],_xlfn.AGGREGATE(15,3,(TableDiv[[Agency]:[Agency]]=$E937)/(TableDiv[[Agency]:[Agency]]=$E937)*(ROW(TableDiv[Agency])-ROW(TableDiv[[#Headers],[Agency]])),COLUMNS($F$7:AJ$7))))</f>
        <v/>
      </c>
      <c r="AK937" s="2223" t="str" cm="1">
        <f t="array" ref="AK937">IF($D937&lt;COLUMNS($F$7:AK$7),"",INDEX(TableDiv[[GASB]:[GASB]],_xlfn.AGGREGATE(15,3,(TableDiv[[Agency]:[Agency]]=$E937)/(TableDiv[[Agency]:[Agency]]=$E937)*(ROW(TableDiv[Agency])-ROW(TableDiv[[#Headers],[Agency]])),COLUMNS($F$7:AK$7))))</f>
        <v/>
      </c>
      <c r="AL937" s="2223" t="str" cm="1">
        <f t="array" ref="AL937">IF($D937&lt;COLUMNS($F$7:AL$7),"",INDEX(TableDiv[[GASB]:[GASB]],_xlfn.AGGREGATE(15,3,(TableDiv[[Agency]:[Agency]]=$E937)/(TableDiv[[Agency]:[Agency]]=$E937)*(ROW(TableDiv[Agency])-ROW(TableDiv[[#Headers],[Agency]])),COLUMNS($F$7:AL$7))))</f>
        <v/>
      </c>
      <c r="AM937" s="2223" t="str" cm="1">
        <f t="array" ref="AM937">IF($D937&lt;COLUMNS($F$7:AM$7),"",INDEX(TableDiv[[GASB]:[GASB]],_xlfn.AGGREGATE(15,3,(TableDiv[[Agency]:[Agency]]=$E937)/(TableDiv[[Agency]:[Agency]]=$E937)*(ROW(TableDiv[Agency])-ROW(TableDiv[[#Headers],[Agency]])),COLUMNS($F$7:AM$7))))</f>
        <v/>
      </c>
      <c r="AN937" s="2223"/>
      <c r="AO937" s="2223"/>
      <c r="AP937" s="2223"/>
      <c r="AQ937" s="2223"/>
      <c r="AR937" s="2223"/>
      <c r="AS937" s="2223"/>
    </row>
    <row r="938" spans="1:45" x14ac:dyDescent="0.2">
      <c r="A938" s="2223"/>
      <c r="B938" s="2223"/>
      <c r="C938" s="2223"/>
      <c r="W938" s="2223" t="str" cm="1">
        <f t="array" ref="W938">IF($D938&lt;COLUMNS($F$7:W$7),"",INDEX(TableDiv[[GASB]:[GASB]],_xlfn.AGGREGATE(15,3,(TableDiv[[Agency]:[Agency]]=$E938)/(TableDiv[[Agency]:[Agency]]=$E938)*(ROW(TableDiv[Agency])-ROW(TableDiv[[#Headers],[Agency]])),COLUMNS($F$7:W$7))))</f>
        <v/>
      </c>
      <c r="X938" s="2223" t="str" cm="1">
        <f t="array" ref="X938">IF($D938&lt;COLUMNS($F$7:X$7),"",INDEX(TableDiv[[GASB]:[GASB]],_xlfn.AGGREGATE(15,3,(TableDiv[[Agency]:[Agency]]=$E938)/(TableDiv[[Agency]:[Agency]]=$E938)*(ROW(TableDiv[Agency])-ROW(TableDiv[[#Headers],[Agency]])),COLUMNS($F$7:X$7))))</f>
        <v/>
      </c>
      <c r="Y938" s="2223" t="str" cm="1">
        <f t="array" ref="Y938">IF($D938&lt;COLUMNS($F$7:Y$7),"",INDEX(TableDiv[[GASB]:[GASB]],_xlfn.AGGREGATE(15,3,(TableDiv[[Agency]:[Agency]]=$E938)/(TableDiv[[Agency]:[Agency]]=$E938)*(ROW(TableDiv[Agency])-ROW(TableDiv[[#Headers],[Agency]])),COLUMNS($F$7:Y$7))))</f>
        <v/>
      </c>
      <c r="Z938" s="2223" t="str" cm="1">
        <f t="array" ref="Z938">IF($D938&lt;COLUMNS($F$7:Z$7),"",INDEX(TableDiv[[GASB]:[GASB]],_xlfn.AGGREGATE(15,3,(TableDiv[[Agency]:[Agency]]=$E938)/(TableDiv[[Agency]:[Agency]]=$E938)*(ROW(TableDiv[Agency])-ROW(TableDiv[[#Headers],[Agency]])),COLUMNS($F$7:Z$7))))</f>
        <v/>
      </c>
      <c r="AA938" s="2223" t="str" cm="1">
        <f t="array" ref="AA938">IF($D938&lt;COLUMNS($F$7:AA$7),"",INDEX(TableDiv[[GASB]:[GASB]],_xlfn.AGGREGATE(15,3,(TableDiv[[Agency]:[Agency]]=$E938)/(TableDiv[[Agency]:[Agency]]=$E938)*(ROW(TableDiv[Agency])-ROW(TableDiv[[#Headers],[Agency]])),COLUMNS($F$7:AA$7))))</f>
        <v/>
      </c>
      <c r="AB938" s="2223" t="str" cm="1">
        <f t="array" ref="AB938">IF($D938&lt;COLUMNS($F$7:AB$7),"",INDEX(TableDiv[[GASB]:[GASB]],_xlfn.AGGREGATE(15,3,(TableDiv[[Agency]:[Agency]]=$E938)/(TableDiv[[Agency]:[Agency]]=$E938)*(ROW(TableDiv[Agency])-ROW(TableDiv[[#Headers],[Agency]])),COLUMNS($F$7:AB$7))))</f>
        <v/>
      </c>
      <c r="AC938" s="2223" t="str" cm="1">
        <f t="array" ref="AC938">IF($D938&lt;COLUMNS($F$7:AC$7),"",INDEX(TableDiv[[GASB]:[GASB]],_xlfn.AGGREGATE(15,3,(TableDiv[[Agency]:[Agency]]=$E938)/(TableDiv[[Agency]:[Agency]]=$E938)*(ROW(TableDiv[Agency])-ROW(TableDiv[[#Headers],[Agency]])),COLUMNS($F$7:AC$7))))</f>
        <v/>
      </c>
      <c r="AD938" s="2223" t="str" cm="1">
        <f t="array" ref="AD938">IF($D938&lt;COLUMNS($F$7:AD$7),"",INDEX(TableDiv[[GASB]:[GASB]],_xlfn.AGGREGATE(15,3,(TableDiv[[Agency]:[Agency]]=$E938)/(TableDiv[[Agency]:[Agency]]=$E938)*(ROW(TableDiv[Agency])-ROW(TableDiv[[#Headers],[Agency]])),COLUMNS($F$7:AD$7))))</f>
        <v/>
      </c>
      <c r="AE938" s="2223" t="str" cm="1">
        <f t="array" ref="AE938">IF($D938&lt;COLUMNS($F$7:AE$7),"",INDEX(TableDiv[[GASB]:[GASB]],_xlfn.AGGREGATE(15,3,(TableDiv[[Agency]:[Agency]]=$E938)/(TableDiv[[Agency]:[Agency]]=$E938)*(ROW(TableDiv[Agency])-ROW(TableDiv[[#Headers],[Agency]])),COLUMNS($F$7:AE$7))))</f>
        <v/>
      </c>
      <c r="AF938" s="2223" t="str" cm="1">
        <f t="array" ref="AF938">IF($D938&lt;COLUMNS($F$7:AF$7),"",INDEX(TableDiv[[GASB]:[GASB]],_xlfn.AGGREGATE(15,3,(TableDiv[[Agency]:[Agency]]=$E938)/(TableDiv[[Agency]:[Agency]]=$E938)*(ROW(TableDiv[Agency])-ROW(TableDiv[[#Headers],[Agency]])),COLUMNS($F$7:AF$7))))</f>
        <v/>
      </c>
      <c r="AG938" s="2223" t="str" cm="1">
        <f t="array" ref="AG938">IF($D938&lt;COLUMNS($F$7:AG$7),"",INDEX(TableDiv[[GASB]:[GASB]],_xlfn.AGGREGATE(15,3,(TableDiv[[Agency]:[Agency]]=$E938)/(TableDiv[[Agency]:[Agency]]=$E938)*(ROW(TableDiv[Agency])-ROW(TableDiv[[#Headers],[Agency]])),COLUMNS($F$7:AG$7))))</f>
        <v/>
      </c>
      <c r="AH938" s="2223" t="str" cm="1">
        <f t="array" ref="AH938">IF($D938&lt;COLUMNS($F$7:AH$7),"",INDEX(TableDiv[[GASB]:[GASB]],_xlfn.AGGREGATE(15,3,(TableDiv[[Agency]:[Agency]]=$E938)/(TableDiv[[Agency]:[Agency]]=$E938)*(ROW(TableDiv[Agency])-ROW(TableDiv[[#Headers],[Agency]])),COLUMNS($F$7:AH$7))))</f>
        <v/>
      </c>
      <c r="AI938" s="2223" t="str" cm="1">
        <f t="array" ref="AI938">IF($D938&lt;COLUMNS($F$7:AI$7),"",INDEX(TableDiv[[GASB]:[GASB]],_xlfn.AGGREGATE(15,3,(TableDiv[[Agency]:[Agency]]=$E938)/(TableDiv[[Agency]:[Agency]]=$E938)*(ROW(TableDiv[Agency])-ROW(TableDiv[[#Headers],[Agency]])),COLUMNS($F$7:AI$7))))</f>
        <v/>
      </c>
      <c r="AJ938" s="2223" t="str" cm="1">
        <f t="array" ref="AJ938">IF($D938&lt;COLUMNS($F$7:AJ$7),"",INDEX(TableDiv[[GASB]:[GASB]],_xlfn.AGGREGATE(15,3,(TableDiv[[Agency]:[Agency]]=$E938)/(TableDiv[[Agency]:[Agency]]=$E938)*(ROW(TableDiv[Agency])-ROW(TableDiv[[#Headers],[Agency]])),COLUMNS($F$7:AJ$7))))</f>
        <v/>
      </c>
      <c r="AK938" s="2223" t="str" cm="1">
        <f t="array" ref="AK938">IF($D938&lt;COLUMNS($F$7:AK$7),"",INDEX(TableDiv[[GASB]:[GASB]],_xlfn.AGGREGATE(15,3,(TableDiv[[Agency]:[Agency]]=$E938)/(TableDiv[[Agency]:[Agency]]=$E938)*(ROW(TableDiv[Agency])-ROW(TableDiv[[#Headers],[Agency]])),COLUMNS($F$7:AK$7))))</f>
        <v/>
      </c>
      <c r="AL938" s="2223" t="str" cm="1">
        <f t="array" ref="AL938">IF($D938&lt;COLUMNS($F$7:AL$7),"",INDEX(TableDiv[[GASB]:[GASB]],_xlfn.AGGREGATE(15,3,(TableDiv[[Agency]:[Agency]]=$E938)/(TableDiv[[Agency]:[Agency]]=$E938)*(ROW(TableDiv[Agency])-ROW(TableDiv[[#Headers],[Agency]])),COLUMNS($F$7:AL$7))))</f>
        <v/>
      </c>
      <c r="AM938" s="2223" t="str" cm="1">
        <f t="array" ref="AM938">IF($D938&lt;COLUMNS($F$7:AM$7),"",INDEX(TableDiv[[GASB]:[GASB]],_xlfn.AGGREGATE(15,3,(TableDiv[[Agency]:[Agency]]=$E938)/(TableDiv[[Agency]:[Agency]]=$E938)*(ROW(TableDiv[Agency])-ROW(TableDiv[[#Headers],[Agency]])),COLUMNS($F$7:AM$7))))</f>
        <v/>
      </c>
      <c r="AN938" s="2223"/>
      <c r="AO938" s="2223"/>
      <c r="AP938" s="2223"/>
      <c r="AQ938" s="2223"/>
      <c r="AR938" s="2223"/>
      <c r="AS938" s="2223"/>
    </row>
    <row r="939" spans="1:45" x14ac:dyDescent="0.2">
      <c r="A939" s="2223"/>
      <c r="B939" s="2223"/>
      <c r="C939" s="2223"/>
      <c r="W939" s="2223" t="str" cm="1">
        <f t="array" ref="W939">IF($D939&lt;COLUMNS($F$7:W$7),"",INDEX(TableDiv[[GASB]:[GASB]],_xlfn.AGGREGATE(15,3,(TableDiv[[Agency]:[Agency]]=$E939)/(TableDiv[[Agency]:[Agency]]=$E939)*(ROW(TableDiv[Agency])-ROW(TableDiv[[#Headers],[Agency]])),COLUMNS($F$7:W$7))))</f>
        <v/>
      </c>
      <c r="X939" s="2223" t="str" cm="1">
        <f t="array" ref="X939">IF($D939&lt;COLUMNS($F$7:X$7),"",INDEX(TableDiv[[GASB]:[GASB]],_xlfn.AGGREGATE(15,3,(TableDiv[[Agency]:[Agency]]=$E939)/(TableDiv[[Agency]:[Agency]]=$E939)*(ROW(TableDiv[Agency])-ROW(TableDiv[[#Headers],[Agency]])),COLUMNS($F$7:X$7))))</f>
        <v/>
      </c>
      <c r="Y939" s="2223" t="str" cm="1">
        <f t="array" ref="Y939">IF($D939&lt;COLUMNS($F$7:Y$7),"",INDEX(TableDiv[[GASB]:[GASB]],_xlfn.AGGREGATE(15,3,(TableDiv[[Agency]:[Agency]]=$E939)/(TableDiv[[Agency]:[Agency]]=$E939)*(ROW(TableDiv[Agency])-ROW(TableDiv[[#Headers],[Agency]])),COLUMNS($F$7:Y$7))))</f>
        <v/>
      </c>
      <c r="Z939" s="2223" t="str" cm="1">
        <f t="array" ref="Z939">IF($D939&lt;COLUMNS($F$7:Z$7),"",INDEX(TableDiv[[GASB]:[GASB]],_xlfn.AGGREGATE(15,3,(TableDiv[[Agency]:[Agency]]=$E939)/(TableDiv[[Agency]:[Agency]]=$E939)*(ROW(TableDiv[Agency])-ROW(TableDiv[[#Headers],[Agency]])),COLUMNS($F$7:Z$7))))</f>
        <v/>
      </c>
      <c r="AA939" s="2223" t="str" cm="1">
        <f t="array" ref="AA939">IF($D939&lt;COLUMNS($F$7:AA$7),"",INDEX(TableDiv[[GASB]:[GASB]],_xlfn.AGGREGATE(15,3,(TableDiv[[Agency]:[Agency]]=$E939)/(TableDiv[[Agency]:[Agency]]=$E939)*(ROW(TableDiv[Agency])-ROW(TableDiv[[#Headers],[Agency]])),COLUMNS($F$7:AA$7))))</f>
        <v/>
      </c>
      <c r="AB939" s="2223" t="str" cm="1">
        <f t="array" ref="AB939">IF($D939&lt;COLUMNS($F$7:AB$7),"",INDEX(TableDiv[[GASB]:[GASB]],_xlfn.AGGREGATE(15,3,(TableDiv[[Agency]:[Agency]]=$E939)/(TableDiv[[Agency]:[Agency]]=$E939)*(ROW(TableDiv[Agency])-ROW(TableDiv[[#Headers],[Agency]])),COLUMNS($F$7:AB$7))))</f>
        <v/>
      </c>
      <c r="AC939" s="2223" t="str" cm="1">
        <f t="array" ref="AC939">IF($D939&lt;COLUMNS($F$7:AC$7),"",INDEX(TableDiv[[GASB]:[GASB]],_xlfn.AGGREGATE(15,3,(TableDiv[[Agency]:[Agency]]=$E939)/(TableDiv[[Agency]:[Agency]]=$E939)*(ROW(TableDiv[Agency])-ROW(TableDiv[[#Headers],[Agency]])),COLUMNS($F$7:AC$7))))</f>
        <v/>
      </c>
      <c r="AD939" s="2223" t="str" cm="1">
        <f t="array" ref="AD939">IF($D939&lt;COLUMNS($F$7:AD$7),"",INDEX(TableDiv[[GASB]:[GASB]],_xlfn.AGGREGATE(15,3,(TableDiv[[Agency]:[Agency]]=$E939)/(TableDiv[[Agency]:[Agency]]=$E939)*(ROW(TableDiv[Agency])-ROW(TableDiv[[#Headers],[Agency]])),COLUMNS($F$7:AD$7))))</f>
        <v/>
      </c>
      <c r="AE939" s="2223" t="str" cm="1">
        <f t="array" ref="AE939">IF($D939&lt;COLUMNS($F$7:AE$7),"",INDEX(TableDiv[[GASB]:[GASB]],_xlfn.AGGREGATE(15,3,(TableDiv[[Agency]:[Agency]]=$E939)/(TableDiv[[Agency]:[Agency]]=$E939)*(ROW(TableDiv[Agency])-ROW(TableDiv[[#Headers],[Agency]])),COLUMNS($F$7:AE$7))))</f>
        <v/>
      </c>
      <c r="AF939" s="2223" t="str" cm="1">
        <f t="array" ref="AF939">IF($D939&lt;COLUMNS($F$7:AF$7),"",INDEX(TableDiv[[GASB]:[GASB]],_xlfn.AGGREGATE(15,3,(TableDiv[[Agency]:[Agency]]=$E939)/(TableDiv[[Agency]:[Agency]]=$E939)*(ROW(TableDiv[Agency])-ROW(TableDiv[[#Headers],[Agency]])),COLUMNS($F$7:AF$7))))</f>
        <v/>
      </c>
      <c r="AG939" s="2223" t="str" cm="1">
        <f t="array" ref="AG939">IF($D939&lt;COLUMNS($F$7:AG$7),"",INDEX(TableDiv[[GASB]:[GASB]],_xlfn.AGGREGATE(15,3,(TableDiv[[Agency]:[Agency]]=$E939)/(TableDiv[[Agency]:[Agency]]=$E939)*(ROW(TableDiv[Agency])-ROW(TableDiv[[#Headers],[Agency]])),COLUMNS($F$7:AG$7))))</f>
        <v/>
      </c>
      <c r="AH939" s="2223" t="str" cm="1">
        <f t="array" ref="AH939">IF($D939&lt;COLUMNS($F$7:AH$7),"",INDEX(TableDiv[[GASB]:[GASB]],_xlfn.AGGREGATE(15,3,(TableDiv[[Agency]:[Agency]]=$E939)/(TableDiv[[Agency]:[Agency]]=$E939)*(ROW(TableDiv[Agency])-ROW(TableDiv[[#Headers],[Agency]])),COLUMNS($F$7:AH$7))))</f>
        <v/>
      </c>
      <c r="AI939" s="2223" t="str" cm="1">
        <f t="array" ref="AI939">IF($D939&lt;COLUMNS($F$7:AI$7),"",INDEX(TableDiv[[GASB]:[GASB]],_xlfn.AGGREGATE(15,3,(TableDiv[[Agency]:[Agency]]=$E939)/(TableDiv[[Agency]:[Agency]]=$E939)*(ROW(TableDiv[Agency])-ROW(TableDiv[[#Headers],[Agency]])),COLUMNS($F$7:AI$7))))</f>
        <v/>
      </c>
      <c r="AJ939" s="2223" t="str" cm="1">
        <f t="array" ref="AJ939">IF($D939&lt;COLUMNS($F$7:AJ$7),"",INDEX(TableDiv[[GASB]:[GASB]],_xlfn.AGGREGATE(15,3,(TableDiv[[Agency]:[Agency]]=$E939)/(TableDiv[[Agency]:[Agency]]=$E939)*(ROW(TableDiv[Agency])-ROW(TableDiv[[#Headers],[Agency]])),COLUMNS($F$7:AJ$7))))</f>
        <v/>
      </c>
      <c r="AK939" s="2223" t="str" cm="1">
        <f t="array" ref="AK939">IF($D939&lt;COLUMNS($F$7:AK$7),"",INDEX(TableDiv[[GASB]:[GASB]],_xlfn.AGGREGATE(15,3,(TableDiv[[Agency]:[Agency]]=$E939)/(TableDiv[[Agency]:[Agency]]=$E939)*(ROW(TableDiv[Agency])-ROW(TableDiv[[#Headers],[Agency]])),COLUMNS($F$7:AK$7))))</f>
        <v/>
      </c>
      <c r="AL939" s="2223" t="str" cm="1">
        <f t="array" ref="AL939">IF($D939&lt;COLUMNS($F$7:AL$7),"",INDEX(TableDiv[[GASB]:[GASB]],_xlfn.AGGREGATE(15,3,(TableDiv[[Agency]:[Agency]]=$E939)/(TableDiv[[Agency]:[Agency]]=$E939)*(ROW(TableDiv[Agency])-ROW(TableDiv[[#Headers],[Agency]])),COLUMNS($F$7:AL$7))))</f>
        <v/>
      </c>
      <c r="AM939" s="2223" t="str" cm="1">
        <f t="array" ref="AM939">IF($D939&lt;COLUMNS($F$7:AM$7),"",INDEX(TableDiv[[GASB]:[GASB]],_xlfn.AGGREGATE(15,3,(TableDiv[[Agency]:[Agency]]=$E939)/(TableDiv[[Agency]:[Agency]]=$E939)*(ROW(TableDiv[Agency])-ROW(TableDiv[[#Headers],[Agency]])),COLUMNS($F$7:AM$7))))</f>
        <v/>
      </c>
      <c r="AN939" s="2223"/>
      <c r="AO939" s="2223"/>
      <c r="AP939" s="2223"/>
      <c r="AQ939" s="2223"/>
      <c r="AR939" s="2223"/>
      <c r="AS939" s="2223"/>
    </row>
    <row r="940" spans="1:45" x14ac:dyDescent="0.2">
      <c r="A940" s="2223"/>
      <c r="B940" s="2223"/>
      <c r="C940" s="2223"/>
      <c r="W940" s="2223" t="str" cm="1">
        <f t="array" ref="W940">IF($D940&lt;COLUMNS($F$7:W$7),"",INDEX(TableDiv[[GASB]:[GASB]],_xlfn.AGGREGATE(15,3,(TableDiv[[Agency]:[Agency]]=$E940)/(TableDiv[[Agency]:[Agency]]=$E940)*(ROW(TableDiv[Agency])-ROW(TableDiv[[#Headers],[Agency]])),COLUMNS($F$7:W$7))))</f>
        <v/>
      </c>
      <c r="X940" s="2223" t="str" cm="1">
        <f t="array" ref="X940">IF($D940&lt;COLUMNS($F$7:X$7),"",INDEX(TableDiv[[GASB]:[GASB]],_xlfn.AGGREGATE(15,3,(TableDiv[[Agency]:[Agency]]=$E940)/(TableDiv[[Agency]:[Agency]]=$E940)*(ROW(TableDiv[Agency])-ROW(TableDiv[[#Headers],[Agency]])),COLUMNS($F$7:X$7))))</f>
        <v/>
      </c>
      <c r="Y940" s="2223" t="str" cm="1">
        <f t="array" ref="Y940">IF($D940&lt;COLUMNS($F$7:Y$7),"",INDEX(TableDiv[[GASB]:[GASB]],_xlfn.AGGREGATE(15,3,(TableDiv[[Agency]:[Agency]]=$E940)/(TableDiv[[Agency]:[Agency]]=$E940)*(ROW(TableDiv[Agency])-ROW(TableDiv[[#Headers],[Agency]])),COLUMNS($F$7:Y$7))))</f>
        <v/>
      </c>
      <c r="Z940" s="2223" t="str" cm="1">
        <f t="array" ref="Z940">IF($D940&lt;COLUMNS($F$7:Z$7),"",INDEX(TableDiv[[GASB]:[GASB]],_xlfn.AGGREGATE(15,3,(TableDiv[[Agency]:[Agency]]=$E940)/(TableDiv[[Agency]:[Agency]]=$E940)*(ROW(TableDiv[Agency])-ROW(TableDiv[[#Headers],[Agency]])),COLUMNS($F$7:Z$7))))</f>
        <v/>
      </c>
      <c r="AA940" s="2223" t="str" cm="1">
        <f t="array" ref="AA940">IF($D940&lt;COLUMNS($F$7:AA$7),"",INDEX(TableDiv[[GASB]:[GASB]],_xlfn.AGGREGATE(15,3,(TableDiv[[Agency]:[Agency]]=$E940)/(TableDiv[[Agency]:[Agency]]=$E940)*(ROW(TableDiv[Agency])-ROW(TableDiv[[#Headers],[Agency]])),COLUMNS($F$7:AA$7))))</f>
        <v/>
      </c>
      <c r="AB940" s="2223" t="str" cm="1">
        <f t="array" ref="AB940">IF($D940&lt;COLUMNS($F$7:AB$7),"",INDEX(TableDiv[[GASB]:[GASB]],_xlfn.AGGREGATE(15,3,(TableDiv[[Agency]:[Agency]]=$E940)/(TableDiv[[Agency]:[Agency]]=$E940)*(ROW(TableDiv[Agency])-ROW(TableDiv[[#Headers],[Agency]])),COLUMNS($F$7:AB$7))))</f>
        <v/>
      </c>
      <c r="AC940" s="2223" t="str" cm="1">
        <f t="array" ref="AC940">IF($D940&lt;COLUMNS($F$7:AC$7),"",INDEX(TableDiv[[GASB]:[GASB]],_xlfn.AGGREGATE(15,3,(TableDiv[[Agency]:[Agency]]=$E940)/(TableDiv[[Agency]:[Agency]]=$E940)*(ROW(TableDiv[Agency])-ROW(TableDiv[[#Headers],[Agency]])),COLUMNS($F$7:AC$7))))</f>
        <v/>
      </c>
      <c r="AD940" s="2223" t="str" cm="1">
        <f t="array" ref="AD940">IF($D940&lt;COLUMNS($F$7:AD$7),"",INDEX(TableDiv[[GASB]:[GASB]],_xlfn.AGGREGATE(15,3,(TableDiv[[Agency]:[Agency]]=$E940)/(TableDiv[[Agency]:[Agency]]=$E940)*(ROW(TableDiv[Agency])-ROW(TableDiv[[#Headers],[Agency]])),COLUMNS($F$7:AD$7))))</f>
        <v/>
      </c>
      <c r="AE940" s="2223" t="str" cm="1">
        <f t="array" ref="AE940">IF($D940&lt;COLUMNS($F$7:AE$7),"",INDEX(TableDiv[[GASB]:[GASB]],_xlfn.AGGREGATE(15,3,(TableDiv[[Agency]:[Agency]]=$E940)/(TableDiv[[Agency]:[Agency]]=$E940)*(ROW(TableDiv[Agency])-ROW(TableDiv[[#Headers],[Agency]])),COLUMNS($F$7:AE$7))))</f>
        <v/>
      </c>
      <c r="AF940" s="2223" t="str" cm="1">
        <f t="array" ref="AF940">IF($D940&lt;COLUMNS($F$7:AF$7),"",INDEX(TableDiv[[GASB]:[GASB]],_xlfn.AGGREGATE(15,3,(TableDiv[[Agency]:[Agency]]=$E940)/(TableDiv[[Agency]:[Agency]]=$E940)*(ROW(TableDiv[Agency])-ROW(TableDiv[[#Headers],[Agency]])),COLUMNS($F$7:AF$7))))</f>
        <v/>
      </c>
      <c r="AG940" s="2223" t="str" cm="1">
        <f t="array" ref="AG940">IF($D940&lt;COLUMNS($F$7:AG$7),"",INDEX(TableDiv[[GASB]:[GASB]],_xlfn.AGGREGATE(15,3,(TableDiv[[Agency]:[Agency]]=$E940)/(TableDiv[[Agency]:[Agency]]=$E940)*(ROW(TableDiv[Agency])-ROW(TableDiv[[#Headers],[Agency]])),COLUMNS($F$7:AG$7))))</f>
        <v/>
      </c>
      <c r="AH940" s="2223" t="str" cm="1">
        <f t="array" ref="AH940">IF($D940&lt;COLUMNS($F$7:AH$7),"",INDEX(TableDiv[[GASB]:[GASB]],_xlfn.AGGREGATE(15,3,(TableDiv[[Agency]:[Agency]]=$E940)/(TableDiv[[Agency]:[Agency]]=$E940)*(ROW(TableDiv[Agency])-ROW(TableDiv[[#Headers],[Agency]])),COLUMNS($F$7:AH$7))))</f>
        <v/>
      </c>
      <c r="AI940" s="2223" t="str" cm="1">
        <f t="array" ref="AI940">IF($D940&lt;COLUMNS($F$7:AI$7),"",INDEX(TableDiv[[GASB]:[GASB]],_xlfn.AGGREGATE(15,3,(TableDiv[[Agency]:[Agency]]=$E940)/(TableDiv[[Agency]:[Agency]]=$E940)*(ROW(TableDiv[Agency])-ROW(TableDiv[[#Headers],[Agency]])),COLUMNS($F$7:AI$7))))</f>
        <v/>
      </c>
      <c r="AJ940" s="2223" t="str" cm="1">
        <f t="array" ref="AJ940">IF($D940&lt;COLUMNS($F$7:AJ$7),"",INDEX(TableDiv[[GASB]:[GASB]],_xlfn.AGGREGATE(15,3,(TableDiv[[Agency]:[Agency]]=$E940)/(TableDiv[[Agency]:[Agency]]=$E940)*(ROW(TableDiv[Agency])-ROW(TableDiv[[#Headers],[Agency]])),COLUMNS($F$7:AJ$7))))</f>
        <v/>
      </c>
      <c r="AK940" s="2223" t="str" cm="1">
        <f t="array" ref="AK940">IF($D940&lt;COLUMNS($F$7:AK$7),"",INDEX(TableDiv[[GASB]:[GASB]],_xlfn.AGGREGATE(15,3,(TableDiv[[Agency]:[Agency]]=$E940)/(TableDiv[[Agency]:[Agency]]=$E940)*(ROW(TableDiv[Agency])-ROW(TableDiv[[#Headers],[Agency]])),COLUMNS($F$7:AK$7))))</f>
        <v/>
      </c>
      <c r="AL940" s="2223" t="str" cm="1">
        <f t="array" ref="AL940">IF($D940&lt;COLUMNS($F$7:AL$7),"",INDEX(TableDiv[[GASB]:[GASB]],_xlfn.AGGREGATE(15,3,(TableDiv[[Agency]:[Agency]]=$E940)/(TableDiv[[Agency]:[Agency]]=$E940)*(ROW(TableDiv[Agency])-ROW(TableDiv[[#Headers],[Agency]])),COLUMNS($F$7:AL$7))))</f>
        <v/>
      </c>
      <c r="AM940" s="2223" t="str" cm="1">
        <f t="array" ref="AM940">IF($D940&lt;COLUMNS($F$7:AM$7),"",INDEX(TableDiv[[GASB]:[GASB]],_xlfn.AGGREGATE(15,3,(TableDiv[[Agency]:[Agency]]=$E940)/(TableDiv[[Agency]:[Agency]]=$E940)*(ROW(TableDiv[Agency])-ROW(TableDiv[[#Headers],[Agency]])),COLUMNS($F$7:AM$7))))</f>
        <v/>
      </c>
      <c r="AN940" s="2223"/>
      <c r="AO940" s="2223"/>
      <c r="AP940" s="2223"/>
      <c r="AQ940" s="2223"/>
      <c r="AR940" s="2223"/>
      <c r="AS940" s="2223"/>
    </row>
    <row r="941" spans="1:45" x14ac:dyDescent="0.2">
      <c r="A941" s="2223"/>
      <c r="B941" s="2223"/>
      <c r="C941" s="2223"/>
      <c r="W941" s="2223" t="str" cm="1">
        <f t="array" ref="W941">IF($D941&lt;COLUMNS($F$7:W$7),"",INDEX(TableDiv[[GASB]:[GASB]],_xlfn.AGGREGATE(15,3,(TableDiv[[Agency]:[Agency]]=$E941)/(TableDiv[[Agency]:[Agency]]=$E941)*(ROW(TableDiv[Agency])-ROW(TableDiv[[#Headers],[Agency]])),COLUMNS($F$7:W$7))))</f>
        <v/>
      </c>
      <c r="X941" s="2223" t="str" cm="1">
        <f t="array" ref="X941">IF($D941&lt;COLUMNS($F$7:X$7),"",INDEX(TableDiv[[GASB]:[GASB]],_xlfn.AGGREGATE(15,3,(TableDiv[[Agency]:[Agency]]=$E941)/(TableDiv[[Agency]:[Agency]]=$E941)*(ROW(TableDiv[Agency])-ROW(TableDiv[[#Headers],[Agency]])),COLUMNS($F$7:X$7))))</f>
        <v/>
      </c>
      <c r="Y941" s="2223" t="str" cm="1">
        <f t="array" ref="Y941">IF($D941&lt;COLUMNS($F$7:Y$7),"",INDEX(TableDiv[[GASB]:[GASB]],_xlfn.AGGREGATE(15,3,(TableDiv[[Agency]:[Agency]]=$E941)/(TableDiv[[Agency]:[Agency]]=$E941)*(ROW(TableDiv[Agency])-ROW(TableDiv[[#Headers],[Agency]])),COLUMNS($F$7:Y$7))))</f>
        <v/>
      </c>
      <c r="Z941" s="2223" t="str" cm="1">
        <f t="array" ref="Z941">IF($D941&lt;COLUMNS($F$7:Z$7),"",INDEX(TableDiv[[GASB]:[GASB]],_xlfn.AGGREGATE(15,3,(TableDiv[[Agency]:[Agency]]=$E941)/(TableDiv[[Agency]:[Agency]]=$E941)*(ROW(TableDiv[Agency])-ROW(TableDiv[[#Headers],[Agency]])),COLUMNS($F$7:Z$7))))</f>
        <v/>
      </c>
      <c r="AA941" s="2223" t="str" cm="1">
        <f t="array" ref="AA941">IF($D941&lt;COLUMNS($F$7:AA$7),"",INDEX(TableDiv[[GASB]:[GASB]],_xlfn.AGGREGATE(15,3,(TableDiv[[Agency]:[Agency]]=$E941)/(TableDiv[[Agency]:[Agency]]=$E941)*(ROW(TableDiv[Agency])-ROW(TableDiv[[#Headers],[Agency]])),COLUMNS($F$7:AA$7))))</f>
        <v/>
      </c>
      <c r="AB941" s="2223" t="str" cm="1">
        <f t="array" ref="AB941">IF($D941&lt;COLUMNS($F$7:AB$7),"",INDEX(TableDiv[[GASB]:[GASB]],_xlfn.AGGREGATE(15,3,(TableDiv[[Agency]:[Agency]]=$E941)/(TableDiv[[Agency]:[Agency]]=$E941)*(ROW(TableDiv[Agency])-ROW(TableDiv[[#Headers],[Agency]])),COLUMNS($F$7:AB$7))))</f>
        <v/>
      </c>
      <c r="AC941" s="2223" t="str" cm="1">
        <f t="array" ref="AC941">IF($D941&lt;COLUMNS($F$7:AC$7),"",INDEX(TableDiv[[GASB]:[GASB]],_xlfn.AGGREGATE(15,3,(TableDiv[[Agency]:[Agency]]=$E941)/(TableDiv[[Agency]:[Agency]]=$E941)*(ROW(TableDiv[Agency])-ROW(TableDiv[[#Headers],[Agency]])),COLUMNS($F$7:AC$7))))</f>
        <v/>
      </c>
      <c r="AD941" s="2223" t="str" cm="1">
        <f t="array" ref="AD941">IF($D941&lt;COLUMNS($F$7:AD$7),"",INDEX(TableDiv[[GASB]:[GASB]],_xlfn.AGGREGATE(15,3,(TableDiv[[Agency]:[Agency]]=$E941)/(TableDiv[[Agency]:[Agency]]=$E941)*(ROW(TableDiv[Agency])-ROW(TableDiv[[#Headers],[Agency]])),COLUMNS($F$7:AD$7))))</f>
        <v/>
      </c>
      <c r="AE941" s="2223" t="str" cm="1">
        <f t="array" ref="AE941">IF($D941&lt;COLUMNS($F$7:AE$7),"",INDEX(TableDiv[[GASB]:[GASB]],_xlfn.AGGREGATE(15,3,(TableDiv[[Agency]:[Agency]]=$E941)/(TableDiv[[Agency]:[Agency]]=$E941)*(ROW(TableDiv[Agency])-ROW(TableDiv[[#Headers],[Agency]])),COLUMNS($F$7:AE$7))))</f>
        <v/>
      </c>
      <c r="AF941" s="2223" t="str" cm="1">
        <f t="array" ref="AF941">IF($D941&lt;COLUMNS($F$7:AF$7),"",INDEX(TableDiv[[GASB]:[GASB]],_xlfn.AGGREGATE(15,3,(TableDiv[[Agency]:[Agency]]=$E941)/(TableDiv[[Agency]:[Agency]]=$E941)*(ROW(TableDiv[Agency])-ROW(TableDiv[[#Headers],[Agency]])),COLUMNS($F$7:AF$7))))</f>
        <v/>
      </c>
      <c r="AG941" s="2223" t="str" cm="1">
        <f t="array" ref="AG941">IF($D941&lt;COLUMNS($F$7:AG$7),"",INDEX(TableDiv[[GASB]:[GASB]],_xlfn.AGGREGATE(15,3,(TableDiv[[Agency]:[Agency]]=$E941)/(TableDiv[[Agency]:[Agency]]=$E941)*(ROW(TableDiv[Agency])-ROW(TableDiv[[#Headers],[Agency]])),COLUMNS($F$7:AG$7))))</f>
        <v/>
      </c>
      <c r="AH941" s="2223" t="str" cm="1">
        <f t="array" ref="AH941">IF($D941&lt;COLUMNS($F$7:AH$7),"",INDEX(TableDiv[[GASB]:[GASB]],_xlfn.AGGREGATE(15,3,(TableDiv[[Agency]:[Agency]]=$E941)/(TableDiv[[Agency]:[Agency]]=$E941)*(ROW(TableDiv[Agency])-ROW(TableDiv[[#Headers],[Agency]])),COLUMNS($F$7:AH$7))))</f>
        <v/>
      </c>
      <c r="AI941" s="2223" t="str" cm="1">
        <f t="array" ref="AI941">IF($D941&lt;COLUMNS($F$7:AI$7),"",INDEX(TableDiv[[GASB]:[GASB]],_xlfn.AGGREGATE(15,3,(TableDiv[[Agency]:[Agency]]=$E941)/(TableDiv[[Agency]:[Agency]]=$E941)*(ROW(TableDiv[Agency])-ROW(TableDiv[[#Headers],[Agency]])),COLUMNS($F$7:AI$7))))</f>
        <v/>
      </c>
      <c r="AJ941" s="2223" t="str" cm="1">
        <f t="array" ref="AJ941">IF($D941&lt;COLUMNS($F$7:AJ$7),"",INDEX(TableDiv[[GASB]:[GASB]],_xlfn.AGGREGATE(15,3,(TableDiv[[Agency]:[Agency]]=$E941)/(TableDiv[[Agency]:[Agency]]=$E941)*(ROW(TableDiv[Agency])-ROW(TableDiv[[#Headers],[Agency]])),COLUMNS($F$7:AJ$7))))</f>
        <v/>
      </c>
      <c r="AK941" s="2223" t="str" cm="1">
        <f t="array" ref="AK941">IF($D941&lt;COLUMNS($F$7:AK$7),"",INDEX(TableDiv[[GASB]:[GASB]],_xlfn.AGGREGATE(15,3,(TableDiv[[Agency]:[Agency]]=$E941)/(TableDiv[[Agency]:[Agency]]=$E941)*(ROW(TableDiv[Agency])-ROW(TableDiv[[#Headers],[Agency]])),COLUMNS($F$7:AK$7))))</f>
        <v/>
      </c>
      <c r="AL941" s="2223" t="str" cm="1">
        <f t="array" ref="AL941">IF($D941&lt;COLUMNS($F$7:AL$7),"",INDEX(TableDiv[[GASB]:[GASB]],_xlfn.AGGREGATE(15,3,(TableDiv[[Agency]:[Agency]]=$E941)/(TableDiv[[Agency]:[Agency]]=$E941)*(ROW(TableDiv[Agency])-ROW(TableDiv[[#Headers],[Agency]])),COLUMNS($F$7:AL$7))))</f>
        <v/>
      </c>
      <c r="AM941" s="2223" t="str" cm="1">
        <f t="array" ref="AM941">IF($D941&lt;COLUMNS($F$7:AM$7),"",INDEX(TableDiv[[GASB]:[GASB]],_xlfn.AGGREGATE(15,3,(TableDiv[[Agency]:[Agency]]=$E941)/(TableDiv[[Agency]:[Agency]]=$E941)*(ROW(TableDiv[Agency])-ROW(TableDiv[[#Headers],[Agency]])),COLUMNS($F$7:AM$7))))</f>
        <v/>
      </c>
      <c r="AN941" s="2223"/>
      <c r="AO941" s="2223"/>
      <c r="AP941" s="2223"/>
      <c r="AQ941" s="2223"/>
      <c r="AR941" s="2223"/>
      <c r="AS941" s="2223"/>
    </row>
    <row r="942" spans="1:45" x14ac:dyDescent="0.2">
      <c r="A942" s="2223"/>
      <c r="B942" s="2223"/>
      <c r="C942" s="2223"/>
      <c r="W942" s="2223" t="str" cm="1">
        <f t="array" ref="W942">IF($D942&lt;COLUMNS($F$7:W$7),"",INDEX(TableDiv[[GASB]:[GASB]],_xlfn.AGGREGATE(15,3,(TableDiv[[Agency]:[Agency]]=$E942)/(TableDiv[[Agency]:[Agency]]=$E942)*(ROW(TableDiv[Agency])-ROW(TableDiv[[#Headers],[Agency]])),COLUMNS($F$7:W$7))))</f>
        <v/>
      </c>
      <c r="X942" s="2223" t="str" cm="1">
        <f t="array" ref="X942">IF($D942&lt;COLUMNS($F$7:X$7),"",INDEX(TableDiv[[GASB]:[GASB]],_xlfn.AGGREGATE(15,3,(TableDiv[[Agency]:[Agency]]=$E942)/(TableDiv[[Agency]:[Agency]]=$E942)*(ROW(TableDiv[Agency])-ROW(TableDiv[[#Headers],[Agency]])),COLUMNS($F$7:X$7))))</f>
        <v/>
      </c>
      <c r="Y942" s="2223" t="str" cm="1">
        <f t="array" ref="Y942">IF($D942&lt;COLUMNS($F$7:Y$7),"",INDEX(TableDiv[[GASB]:[GASB]],_xlfn.AGGREGATE(15,3,(TableDiv[[Agency]:[Agency]]=$E942)/(TableDiv[[Agency]:[Agency]]=$E942)*(ROW(TableDiv[Agency])-ROW(TableDiv[[#Headers],[Agency]])),COLUMNS($F$7:Y$7))))</f>
        <v/>
      </c>
      <c r="Z942" s="2223" t="str" cm="1">
        <f t="array" ref="Z942">IF($D942&lt;COLUMNS($F$7:Z$7),"",INDEX(TableDiv[[GASB]:[GASB]],_xlfn.AGGREGATE(15,3,(TableDiv[[Agency]:[Agency]]=$E942)/(TableDiv[[Agency]:[Agency]]=$E942)*(ROW(TableDiv[Agency])-ROW(TableDiv[[#Headers],[Agency]])),COLUMNS($F$7:Z$7))))</f>
        <v/>
      </c>
      <c r="AA942" s="2223" t="str" cm="1">
        <f t="array" ref="AA942">IF($D942&lt;COLUMNS($F$7:AA$7),"",INDEX(TableDiv[[GASB]:[GASB]],_xlfn.AGGREGATE(15,3,(TableDiv[[Agency]:[Agency]]=$E942)/(TableDiv[[Agency]:[Agency]]=$E942)*(ROW(TableDiv[Agency])-ROW(TableDiv[[#Headers],[Agency]])),COLUMNS($F$7:AA$7))))</f>
        <v/>
      </c>
      <c r="AB942" s="2223" t="str" cm="1">
        <f t="array" ref="AB942">IF($D942&lt;COLUMNS($F$7:AB$7),"",INDEX(TableDiv[[GASB]:[GASB]],_xlfn.AGGREGATE(15,3,(TableDiv[[Agency]:[Agency]]=$E942)/(TableDiv[[Agency]:[Agency]]=$E942)*(ROW(TableDiv[Agency])-ROW(TableDiv[[#Headers],[Agency]])),COLUMNS($F$7:AB$7))))</f>
        <v/>
      </c>
      <c r="AC942" s="2223" t="str" cm="1">
        <f t="array" ref="AC942">IF($D942&lt;COLUMNS($F$7:AC$7),"",INDEX(TableDiv[[GASB]:[GASB]],_xlfn.AGGREGATE(15,3,(TableDiv[[Agency]:[Agency]]=$E942)/(TableDiv[[Agency]:[Agency]]=$E942)*(ROW(TableDiv[Agency])-ROW(TableDiv[[#Headers],[Agency]])),COLUMNS($F$7:AC$7))))</f>
        <v/>
      </c>
      <c r="AD942" s="2223" t="str" cm="1">
        <f t="array" ref="AD942">IF($D942&lt;COLUMNS($F$7:AD$7),"",INDEX(TableDiv[[GASB]:[GASB]],_xlfn.AGGREGATE(15,3,(TableDiv[[Agency]:[Agency]]=$E942)/(TableDiv[[Agency]:[Agency]]=$E942)*(ROW(TableDiv[Agency])-ROW(TableDiv[[#Headers],[Agency]])),COLUMNS($F$7:AD$7))))</f>
        <v/>
      </c>
      <c r="AE942" s="2223" t="str" cm="1">
        <f t="array" ref="AE942">IF($D942&lt;COLUMNS($F$7:AE$7),"",INDEX(TableDiv[[GASB]:[GASB]],_xlfn.AGGREGATE(15,3,(TableDiv[[Agency]:[Agency]]=$E942)/(TableDiv[[Agency]:[Agency]]=$E942)*(ROW(TableDiv[Agency])-ROW(TableDiv[[#Headers],[Agency]])),COLUMNS($F$7:AE$7))))</f>
        <v/>
      </c>
      <c r="AF942" s="2223" t="str" cm="1">
        <f t="array" ref="AF942">IF($D942&lt;COLUMNS($F$7:AF$7),"",INDEX(TableDiv[[GASB]:[GASB]],_xlfn.AGGREGATE(15,3,(TableDiv[[Agency]:[Agency]]=$E942)/(TableDiv[[Agency]:[Agency]]=$E942)*(ROW(TableDiv[Agency])-ROW(TableDiv[[#Headers],[Agency]])),COLUMNS($F$7:AF$7))))</f>
        <v/>
      </c>
      <c r="AG942" s="2223" t="str" cm="1">
        <f t="array" ref="AG942">IF($D942&lt;COLUMNS($F$7:AG$7),"",INDEX(TableDiv[[GASB]:[GASB]],_xlfn.AGGREGATE(15,3,(TableDiv[[Agency]:[Agency]]=$E942)/(TableDiv[[Agency]:[Agency]]=$E942)*(ROW(TableDiv[Agency])-ROW(TableDiv[[#Headers],[Agency]])),COLUMNS($F$7:AG$7))))</f>
        <v/>
      </c>
      <c r="AH942" s="2223" t="str" cm="1">
        <f t="array" ref="AH942">IF($D942&lt;COLUMNS($F$7:AH$7),"",INDEX(TableDiv[[GASB]:[GASB]],_xlfn.AGGREGATE(15,3,(TableDiv[[Agency]:[Agency]]=$E942)/(TableDiv[[Agency]:[Agency]]=$E942)*(ROW(TableDiv[Agency])-ROW(TableDiv[[#Headers],[Agency]])),COLUMNS($F$7:AH$7))))</f>
        <v/>
      </c>
      <c r="AI942" s="2223" t="str" cm="1">
        <f t="array" ref="AI942">IF($D942&lt;COLUMNS($F$7:AI$7),"",INDEX(TableDiv[[GASB]:[GASB]],_xlfn.AGGREGATE(15,3,(TableDiv[[Agency]:[Agency]]=$E942)/(TableDiv[[Agency]:[Agency]]=$E942)*(ROW(TableDiv[Agency])-ROW(TableDiv[[#Headers],[Agency]])),COLUMNS($F$7:AI$7))))</f>
        <v/>
      </c>
      <c r="AJ942" s="2223" t="str" cm="1">
        <f t="array" ref="AJ942">IF($D942&lt;COLUMNS($F$7:AJ$7),"",INDEX(TableDiv[[GASB]:[GASB]],_xlfn.AGGREGATE(15,3,(TableDiv[[Agency]:[Agency]]=$E942)/(TableDiv[[Agency]:[Agency]]=$E942)*(ROW(TableDiv[Agency])-ROW(TableDiv[[#Headers],[Agency]])),COLUMNS($F$7:AJ$7))))</f>
        <v/>
      </c>
      <c r="AK942" s="2223" t="str" cm="1">
        <f t="array" ref="AK942">IF($D942&lt;COLUMNS($F$7:AK$7),"",INDEX(TableDiv[[GASB]:[GASB]],_xlfn.AGGREGATE(15,3,(TableDiv[[Agency]:[Agency]]=$E942)/(TableDiv[[Agency]:[Agency]]=$E942)*(ROW(TableDiv[Agency])-ROW(TableDiv[[#Headers],[Agency]])),COLUMNS($F$7:AK$7))))</f>
        <v/>
      </c>
      <c r="AL942" s="2223" t="str" cm="1">
        <f t="array" ref="AL942">IF($D942&lt;COLUMNS($F$7:AL$7),"",INDEX(TableDiv[[GASB]:[GASB]],_xlfn.AGGREGATE(15,3,(TableDiv[[Agency]:[Agency]]=$E942)/(TableDiv[[Agency]:[Agency]]=$E942)*(ROW(TableDiv[Agency])-ROW(TableDiv[[#Headers],[Agency]])),COLUMNS($F$7:AL$7))))</f>
        <v/>
      </c>
      <c r="AM942" s="2223" t="str" cm="1">
        <f t="array" ref="AM942">IF($D942&lt;COLUMNS($F$7:AM$7),"",INDEX(TableDiv[[GASB]:[GASB]],_xlfn.AGGREGATE(15,3,(TableDiv[[Agency]:[Agency]]=$E942)/(TableDiv[[Agency]:[Agency]]=$E942)*(ROW(TableDiv[Agency])-ROW(TableDiv[[#Headers],[Agency]])),COLUMNS($F$7:AM$7))))</f>
        <v/>
      </c>
      <c r="AN942" s="2223"/>
      <c r="AO942" s="2223"/>
      <c r="AP942" s="2223"/>
      <c r="AQ942" s="2223"/>
      <c r="AR942" s="2223"/>
      <c r="AS942" s="2223"/>
    </row>
    <row r="943" spans="1:45" x14ac:dyDescent="0.2">
      <c r="A943" s="2223"/>
      <c r="B943" s="2223"/>
      <c r="C943" s="2223"/>
      <c r="W943" s="2223" t="str" cm="1">
        <f t="array" ref="W943">IF($D943&lt;COLUMNS($F$7:W$7),"",INDEX(TableDiv[[GASB]:[GASB]],_xlfn.AGGREGATE(15,3,(TableDiv[[Agency]:[Agency]]=$E943)/(TableDiv[[Agency]:[Agency]]=$E943)*(ROW(TableDiv[Agency])-ROW(TableDiv[[#Headers],[Agency]])),COLUMNS($F$7:W$7))))</f>
        <v/>
      </c>
      <c r="X943" s="2223" t="str" cm="1">
        <f t="array" ref="X943">IF($D943&lt;COLUMNS($F$7:X$7),"",INDEX(TableDiv[[GASB]:[GASB]],_xlfn.AGGREGATE(15,3,(TableDiv[[Agency]:[Agency]]=$E943)/(TableDiv[[Agency]:[Agency]]=$E943)*(ROW(TableDiv[Agency])-ROW(TableDiv[[#Headers],[Agency]])),COLUMNS($F$7:X$7))))</f>
        <v/>
      </c>
      <c r="Y943" s="2223" t="str" cm="1">
        <f t="array" ref="Y943">IF($D943&lt;COLUMNS($F$7:Y$7),"",INDEX(TableDiv[[GASB]:[GASB]],_xlfn.AGGREGATE(15,3,(TableDiv[[Agency]:[Agency]]=$E943)/(TableDiv[[Agency]:[Agency]]=$E943)*(ROW(TableDiv[Agency])-ROW(TableDiv[[#Headers],[Agency]])),COLUMNS($F$7:Y$7))))</f>
        <v/>
      </c>
      <c r="Z943" s="2223" t="str" cm="1">
        <f t="array" ref="Z943">IF($D943&lt;COLUMNS($F$7:Z$7),"",INDEX(TableDiv[[GASB]:[GASB]],_xlfn.AGGREGATE(15,3,(TableDiv[[Agency]:[Agency]]=$E943)/(TableDiv[[Agency]:[Agency]]=$E943)*(ROW(TableDiv[Agency])-ROW(TableDiv[[#Headers],[Agency]])),COLUMNS($F$7:Z$7))))</f>
        <v/>
      </c>
      <c r="AA943" s="2223" t="str" cm="1">
        <f t="array" ref="AA943">IF($D943&lt;COLUMNS($F$7:AA$7),"",INDEX(TableDiv[[GASB]:[GASB]],_xlfn.AGGREGATE(15,3,(TableDiv[[Agency]:[Agency]]=$E943)/(TableDiv[[Agency]:[Agency]]=$E943)*(ROW(TableDiv[Agency])-ROW(TableDiv[[#Headers],[Agency]])),COLUMNS($F$7:AA$7))))</f>
        <v/>
      </c>
      <c r="AB943" s="2223" t="str" cm="1">
        <f t="array" ref="AB943">IF($D943&lt;COLUMNS($F$7:AB$7),"",INDEX(TableDiv[[GASB]:[GASB]],_xlfn.AGGREGATE(15,3,(TableDiv[[Agency]:[Agency]]=$E943)/(TableDiv[[Agency]:[Agency]]=$E943)*(ROW(TableDiv[Agency])-ROW(TableDiv[[#Headers],[Agency]])),COLUMNS($F$7:AB$7))))</f>
        <v/>
      </c>
      <c r="AC943" s="2223" t="str" cm="1">
        <f t="array" ref="AC943">IF($D943&lt;COLUMNS($F$7:AC$7),"",INDEX(TableDiv[[GASB]:[GASB]],_xlfn.AGGREGATE(15,3,(TableDiv[[Agency]:[Agency]]=$E943)/(TableDiv[[Agency]:[Agency]]=$E943)*(ROW(TableDiv[Agency])-ROW(TableDiv[[#Headers],[Agency]])),COLUMNS($F$7:AC$7))))</f>
        <v/>
      </c>
      <c r="AD943" s="2223" t="str" cm="1">
        <f t="array" ref="AD943">IF($D943&lt;COLUMNS($F$7:AD$7),"",INDEX(TableDiv[[GASB]:[GASB]],_xlfn.AGGREGATE(15,3,(TableDiv[[Agency]:[Agency]]=$E943)/(TableDiv[[Agency]:[Agency]]=$E943)*(ROW(TableDiv[Agency])-ROW(TableDiv[[#Headers],[Agency]])),COLUMNS($F$7:AD$7))))</f>
        <v/>
      </c>
      <c r="AE943" s="2223" t="str" cm="1">
        <f t="array" ref="AE943">IF($D943&lt;COLUMNS($F$7:AE$7),"",INDEX(TableDiv[[GASB]:[GASB]],_xlfn.AGGREGATE(15,3,(TableDiv[[Agency]:[Agency]]=$E943)/(TableDiv[[Agency]:[Agency]]=$E943)*(ROW(TableDiv[Agency])-ROW(TableDiv[[#Headers],[Agency]])),COLUMNS($F$7:AE$7))))</f>
        <v/>
      </c>
      <c r="AF943" s="2223" t="str" cm="1">
        <f t="array" ref="AF943">IF($D943&lt;COLUMNS($F$7:AF$7),"",INDEX(TableDiv[[GASB]:[GASB]],_xlfn.AGGREGATE(15,3,(TableDiv[[Agency]:[Agency]]=$E943)/(TableDiv[[Agency]:[Agency]]=$E943)*(ROW(TableDiv[Agency])-ROW(TableDiv[[#Headers],[Agency]])),COLUMNS($F$7:AF$7))))</f>
        <v/>
      </c>
      <c r="AG943" s="2223" t="str" cm="1">
        <f t="array" ref="AG943">IF($D943&lt;COLUMNS($F$7:AG$7),"",INDEX(TableDiv[[GASB]:[GASB]],_xlfn.AGGREGATE(15,3,(TableDiv[[Agency]:[Agency]]=$E943)/(TableDiv[[Agency]:[Agency]]=$E943)*(ROW(TableDiv[Agency])-ROW(TableDiv[[#Headers],[Agency]])),COLUMNS($F$7:AG$7))))</f>
        <v/>
      </c>
      <c r="AH943" s="2223" t="str" cm="1">
        <f t="array" ref="AH943">IF($D943&lt;COLUMNS($F$7:AH$7),"",INDEX(TableDiv[[GASB]:[GASB]],_xlfn.AGGREGATE(15,3,(TableDiv[[Agency]:[Agency]]=$E943)/(TableDiv[[Agency]:[Agency]]=$E943)*(ROW(TableDiv[Agency])-ROW(TableDiv[[#Headers],[Agency]])),COLUMNS($F$7:AH$7))))</f>
        <v/>
      </c>
      <c r="AI943" s="2223" t="str" cm="1">
        <f t="array" ref="AI943">IF($D943&lt;COLUMNS($F$7:AI$7),"",INDEX(TableDiv[[GASB]:[GASB]],_xlfn.AGGREGATE(15,3,(TableDiv[[Agency]:[Agency]]=$E943)/(TableDiv[[Agency]:[Agency]]=$E943)*(ROW(TableDiv[Agency])-ROW(TableDiv[[#Headers],[Agency]])),COLUMNS($F$7:AI$7))))</f>
        <v/>
      </c>
      <c r="AJ943" s="2223" t="str" cm="1">
        <f t="array" ref="AJ943">IF($D943&lt;COLUMNS($F$7:AJ$7),"",INDEX(TableDiv[[GASB]:[GASB]],_xlfn.AGGREGATE(15,3,(TableDiv[[Agency]:[Agency]]=$E943)/(TableDiv[[Agency]:[Agency]]=$E943)*(ROW(TableDiv[Agency])-ROW(TableDiv[[#Headers],[Agency]])),COLUMNS($F$7:AJ$7))))</f>
        <v/>
      </c>
      <c r="AK943" s="2223" t="str" cm="1">
        <f t="array" ref="AK943">IF($D943&lt;COLUMNS($F$7:AK$7),"",INDEX(TableDiv[[GASB]:[GASB]],_xlfn.AGGREGATE(15,3,(TableDiv[[Agency]:[Agency]]=$E943)/(TableDiv[[Agency]:[Agency]]=$E943)*(ROW(TableDiv[Agency])-ROW(TableDiv[[#Headers],[Agency]])),COLUMNS($F$7:AK$7))))</f>
        <v/>
      </c>
      <c r="AL943" s="2223" t="str" cm="1">
        <f t="array" ref="AL943">IF($D943&lt;COLUMNS($F$7:AL$7),"",INDEX(TableDiv[[GASB]:[GASB]],_xlfn.AGGREGATE(15,3,(TableDiv[[Agency]:[Agency]]=$E943)/(TableDiv[[Agency]:[Agency]]=$E943)*(ROW(TableDiv[Agency])-ROW(TableDiv[[#Headers],[Agency]])),COLUMNS($F$7:AL$7))))</f>
        <v/>
      </c>
      <c r="AM943" s="2223" t="str" cm="1">
        <f t="array" ref="AM943">IF($D943&lt;COLUMNS($F$7:AM$7),"",INDEX(TableDiv[[GASB]:[GASB]],_xlfn.AGGREGATE(15,3,(TableDiv[[Agency]:[Agency]]=$E943)/(TableDiv[[Agency]:[Agency]]=$E943)*(ROW(TableDiv[Agency])-ROW(TableDiv[[#Headers],[Agency]])),COLUMNS($F$7:AM$7))))</f>
        <v/>
      </c>
      <c r="AN943" s="2223"/>
      <c r="AO943" s="2223"/>
      <c r="AP943" s="2223"/>
      <c r="AQ943" s="2223"/>
      <c r="AR943" s="2223"/>
      <c r="AS943" s="2223"/>
    </row>
    <row r="944" spans="1:45" x14ac:dyDescent="0.2">
      <c r="A944" s="2223"/>
      <c r="B944" s="2223"/>
      <c r="C944" s="2223"/>
      <c r="W944" s="2223" t="str" cm="1">
        <f t="array" ref="W944">IF($D944&lt;COLUMNS($F$7:W$7),"",INDEX(TableDiv[[GASB]:[GASB]],_xlfn.AGGREGATE(15,3,(TableDiv[[Agency]:[Agency]]=$E944)/(TableDiv[[Agency]:[Agency]]=$E944)*(ROW(TableDiv[Agency])-ROW(TableDiv[[#Headers],[Agency]])),COLUMNS($F$7:W$7))))</f>
        <v/>
      </c>
      <c r="X944" s="2223" t="str" cm="1">
        <f t="array" ref="X944">IF($D944&lt;COLUMNS($F$7:X$7),"",INDEX(TableDiv[[GASB]:[GASB]],_xlfn.AGGREGATE(15,3,(TableDiv[[Agency]:[Agency]]=$E944)/(TableDiv[[Agency]:[Agency]]=$E944)*(ROW(TableDiv[Agency])-ROW(TableDiv[[#Headers],[Agency]])),COLUMNS($F$7:X$7))))</f>
        <v/>
      </c>
      <c r="Y944" s="2223" t="str" cm="1">
        <f t="array" ref="Y944">IF($D944&lt;COLUMNS($F$7:Y$7),"",INDEX(TableDiv[[GASB]:[GASB]],_xlfn.AGGREGATE(15,3,(TableDiv[[Agency]:[Agency]]=$E944)/(TableDiv[[Agency]:[Agency]]=$E944)*(ROW(TableDiv[Agency])-ROW(TableDiv[[#Headers],[Agency]])),COLUMNS($F$7:Y$7))))</f>
        <v/>
      </c>
      <c r="Z944" s="2223" t="str" cm="1">
        <f t="array" ref="Z944">IF($D944&lt;COLUMNS($F$7:Z$7),"",INDEX(TableDiv[[GASB]:[GASB]],_xlfn.AGGREGATE(15,3,(TableDiv[[Agency]:[Agency]]=$E944)/(TableDiv[[Agency]:[Agency]]=$E944)*(ROW(TableDiv[Agency])-ROW(TableDiv[[#Headers],[Agency]])),COLUMNS($F$7:Z$7))))</f>
        <v/>
      </c>
      <c r="AA944" s="2223" t="str" cm="1">
        <f t="array" ref="AA944">IF($D944&lt;COLUMNS($F$7:AA$7),"",INDEX(TableDiv[[GASB]:[GASB]],_xlfn.AGGREGATE(15,3,(TableDiv[[Agency]:[Agency]]=$E944)/(TableDiv[[Agency]:[Agency]]=$E944)*(ROW(TableDiv[Agency])-ROW(TableDiv[[#Headers],[Agency]])),COLUMNS($F$7:AA$7))))</f>
        <v/>
      </c>
      <c r="AB944" s="2223" t="str" cm="1">
        <f t="array" ref="AB944">IF($D944&lt;COLUMNS($F$7:AB$7),"",INDEX(TableDiv[[GASB]:[GASB]],_xlfn.AGGREGATE(15,3,(TableDiv[[Agency]:[Agency]]=$E944)/(TableDiv[[Agency]:[Agency]]=$E944)*(ROW(TableDiv[Agency])-ROW(TableDiv[[#Headers],[Agency]])),COLUMNS($F$7:AB$7))))</f>
        <v/>
      </c>
      <c r="AC944" s="2223" t="str" cm="1">
        <f t="array" ref="AC944">IF($D944&lt;COLUMNS($F$7:AC$7),"",INDEX(TableDiv[[GASB]:[GASB]],_xlfn.AGGREGATE(15,3,(TableDiv[[Agency]:[Agency]]=$E944)/(TableDiv[[Agency]:[Agency]]=$E944)*(ROW(TableDiv[Agency])-ROW(TableDiv[[#Headers],[Agency]])),COLUMNS($F$7:AC$7))))</f>
        <v/>
      </c>
      <c r="AD944" s="2223" t="str" cm="1">
        <f t="array" ref="AD944">IF($D944&lt;COLUMNS($F$7:AD$7),"",INDEX(TableDiv[[GASB]:[GASB]],_xlfn.AGGREGATE(15,3,(TableDiv[[Agency]:[Agency]]=$E944)/(TableDiv[[Agency]:[Agency]]=$E944)*(ROW(TableDiv[Agency])-ROW(TableDiv[[#Headers],[Agency]])),COLUMNS($F$7:AD$7))))</f>
        <v/>
      </c>
      <c r="AE944" s="2223" t="str" cm="1">
        <f t="array" ref="AE944">IF($D944&lt;COLUMNS($F$7:AE$7),"",INDEX(TableDiv[[GASB]:[GASB]],_xlfn.AGGREGATE(15,3,(TableDiv[[Agency]:[Agency]]=$E944)/(TableDiv[[Agency]:[Agency]]=$E944)*(ROW(TableDiv[Agency])-ROW(TableDiv[[#Headers],[Agency]])),COLUMNS($F$7:AE$7))))</f>
        <v/>
      </c>
      <c r="AF944" s="2223" t="str" cm="1">
        <f t="array" ref="AF944">IF($D944&lt;COLUMNS($F$7:AF$7),"",INDEX(TableDiv[[GASB]:[GASB]],_xlfn.AGGREGATE(15,3,(TableDiv[[Agency]:[Agency]]=$E944)/(TableDiv[[Agency]:[Agency]]=$E944)*(ROW(TableDiv[Agency])-ROW(TableDiv[[#Headers],[Agency]])),COLUMNS($F$7:AF$7))))</f>
        <v/>
      </c>
      <c r="AG944" s="2223" t="str" cm="1">
        <f t="array" ref="AG944">IF($D944&lt;COLUMNS($F$7:AG$7),"",INDEX(TableDiv[[GASB]:[GASB]],_xlfn.AGGREGATE(15,3,(TableDiv[[Agency]:[Agency]]=$E944)/(TableDiv[[Agency]:[Agency]]=$E944)*(ROW(TableDiv[Agency])-ROW(TableDiv[[#Headers],[Agency]])),COLUMNS($F$7:AG$7))))</f>
        <v/>
      </c>
      <c r="AH944" s="2223" t="str" cm="1">
        <f t="array" ref="AH944">IF($D944&lt;COLUMNS($F$7:AH$7),"",INDEX(TableDiv[[GASB]:[GASB]],_xlfn.AGGREGATE(15,3,(TableDiv[[Agency]:[Agency]]=$E944)/(TableDiv[[Agency]:[Agency]]=$E944)*(ROW(TableDiv[Agency])-ROW(TableDiv[[#Headers],[Agency]])),COLUMNS($F$7:AH$7))))</f>
        <v/>
      </c>
      <c r="AI944" s="2223" t="str" cm="1">
        <f t="array" ref="AI944">IF($D944&lt;COLUMNS($F$7:AI$7),"",INDEX(TableDiv[[GASB]:[GASB]],_xlfn.AGGREGATE(15,3,(TableDiv[[Agency]:[Agency]]=$E944)/(TableDiv[[Agency]:[Agency]]=$E944)*(ROW(TableDiv[Agency])-ROW(TableDiv[[#Headers],[Agency]])),COLUMNS($F$7:AI$7))))</f>
        <v/>
      </c>
      <c r="AJ944" s="2223" t="str" cm="1">
        <f t="array" ref="AJ944">IF($D944&lt;COLUMNS($F$7:AJ$7),"",INDEX(TableDiv[[GASB]:[GASB]],_xlfn.AGGREGATE(15,3,(TableDiv[[Agency]:[Agency]]=$E944)/(TableDiv[[Agency]:[Agency]]=$E944)*(ROW(TableDiv[Agency])-ROW(TableDiv[[#Headers],[Agency]])),COLUMNS($F$7:AJ$7))))</f>
        <v/>
      </c>
      <c r="AK944" s="2223" t="str" cm="1">
        <f t="array" ref="AK944">IF($D944&lt;COLUMNS($F$7:AK$7),"",INDEX(TableDiv[[GASB]:[GASB]],_xlfn.AGGREGATE(15,3,(TableDiv[[Agency]:[Agency]]=$E944)/(TableDiv[[Agency]:[Agency]]=$E944)*(ROW(TableDiv[Agency])-ROW(TableDiv[[#Headers],[Agency]])),COLUMNS($F$7:AK$7))))</f>
        <v/>
      </c>
      <c r="AL944" s="2223" t="str" cm="1">
        <f t="array" ref="AL944">IF($D944&lt;COLUMNS($F$7:AL$7),"",INDEX(TableDiv[[GASB]:[GASB]],_xlfn.AGGREGATE(15,3,(TableDiv[[Agency]:[Agency]]=$E944)/(TableDiv[[Agency]:[Agency]]=$E944)*(ROW(TableDiv[Agency])-ROW(TableDiv[[#Headers],[Agency]])),COLUMNS($F$7:AL$7))))</f>
        <v/>
      </c>
      <c r="AM944" s="2223" t="str" cm="1">
        <f t="array" ref="AM944">IF($D944&lt;COLUMNS($F$7:AM$7),"",INDEX(TableDiv[[GASB]:[GASB]],_xlfn.AGGREGATE(15,3,(TableDiv[[Agency]:[Agency]]=$E944)/(TableDiv[[Agency]:[Agency]]=$E944)*(ROW(TableDiv[Agency])-ROW(TableDiv[[#Headers],[Agency]])),COLUMNS($F$7:AM$7))))</f>
        <v/>
      </c>
      <c r="AN944" s="2223"/>
      <c r="AO944" s="2223"/>
      <c r="AP944" s="2223"/>
      <c r="AQ944" s="2223"/>
      <c r="AR944" s="2223"/>
      <c r="AS944" s="2223"/>
    </row>
    <row r="945" spans="1:45" x14ac:dyDescent="0.2">
      <c r="A945" s="2223"/>
      <c r="B945" s="2223"/>
      <c r="C945" s="2223"/>
      <c r="W945" s="2223" t="str" cm="1">
        <f t="array" ref="W945">IF($D945&lt;COLUMNS($F$7:W$7),"",INDEX(TableDiv[[GASB]:[GASB]],_xlfn.AGGREGATE(15,3,(TableDiv[[Agency]:[Agency]]=$E945)/(TableDiv[[Agency]:[Agency]]=$E945)*(ROW(TableDiv[Agency])-ROW(TableDiv[[#Headers],[Agency]])),COLUMNS($F$7:W$7))))</f>
        <v/>
      </c>
      <c r="X945" s="2223" t="str" cm="1">
        <f t="array" ref="X945">IF($D945&lt;COLUMNS($F$7:X$7),"",INDEX(TableDiv[[GASB]:[GASB]],_xlfn.AGGREGATE(15,3,(TableDiv[[Agency]:[Agency]]=$E945)/(TableDiv[[Agency]:[Agency]]=$E945)*(ROW(TableDiv[Agency])-ROW(TableDiv[[#Headers],[Agency]])),COLUMNS($F$7:X$7))))</f>
        <v/>
      </c>
      <c r="Y945" s="2223" t="str" cm="1">
        <f t="array" ref="Y945">IF($D945&lt;COLUMNS($F$7:Y$7),"",INDEX(TableDiv[[GASB]:[GASB]],_xlfn.AGGREGATE(15,3,(TableDiv[[Agency]:[Agency]]=$E945)/(TableDiv[[Agency]:[Agency]]=$E945)*(ROW(TableDiv[Agency])-ROW(TableDiv[[#Headers],[Agency]])),COLUMNS($F$7:Y$7))))</f>
        <v/>
      </c>
      <c r="Z945" s="2223" t="str" cm="1">
        <f t="array" ref="Z945">IF($D945&lt;COLUMNS($F$7:Z$7),"",INDEX(TableDiv[[GASB]:[GASB]],_xlfn.AGGREGATE(15,3,(TableDiv[[Agency]:[Agency]]=$E945)/(TableDiv[[Agency]:[Agency]]=$E945)*(ROW(TableDiv[Agency])-ROW(TableDiv[[#Headers],[Agency]])),COLUMNS($F$7:Z$7))))</f>
        <v/>
      </c>
      <c r="AA945" s="2223" t="str" cm="1">
        <f t="array" ref="AA945">IF($D945&lt;COLUMNS($F$7:AA$7),"",INDEX(TableDiv[[GASB]:[GASB]],_xlfn.AGGREGATE(15,3,(TableDiv[[Agency]:[Agency]]=$E945)/(TableDiv[[Agency]:[Agency]]=$E945)*(ROW(TableDiv[Agency])-ROW(TableDiv[[#Headers],[Agency]])),COLUMNS($F$7:AA$7))))</f>
        <v/>
      </c>
      <c r="AB945" s="2223" t="str" cm="1">
        <f t="array" ref="AB945">IF($D945&lt;COLUMNS($F$7:AB$7),"",INDEX(TableDiv[[GASB]:[GASB]],_xlfn.AGGREGATE(15,3,(TableDiv[[Agency]:[Agency]]=$E945)/(TableDiv[[Agency]:[Agency]]=$E945)*(ROW(TableDiv[Agency])-ROW(TableDiv[[#Headers],[Agency]])),COLUMNS($F$7:AB$7))))</f>
        <v/>
      </c>
      <c r="AC945" s="2223" t="str" cm="1">
        <f t="array" ref="AC945">IF($D945&lt;COLUMNS($F$7:AC$7),"",INDEX(TableDiv[[GASB]:[GASB]],_xlfn.AGGREGATE(15,3,(TableDiv[[Agency]:[Agency]]=$E945)/(TableDiv[[Agency]:[Agency]]=$E945)*(ROW(TableDiv[Agency])-ROW(TableDiv[[#Headers],[Agency]])),COLUMNS($F$7:AC$7))))</f>
        <v/>
      </c>
      <c r="AD945" s="2223" t="str" cm="1">
        <f t="array" ref="AD945">IF($D945&lt;COLUMNS($F$7:AD$7),"",INDEX(TableDiv[[GASB]:[GASB]],_xlfn.AGGREGATE(15,3,(TableDiv[[Agency]:[Agency]]=$E945)/(TableDiv[[Agency]:[Agency]]=$E945)*(ROW(TableDiv[Agency])-ROW(TableDiv[[#Headers],[Agency]])),COLUMNS($F$7:AD$7))))</f>
        <v/>
      </c>
      <c r="AE945" s="2223" t="str" cm="1">
        <f t="array" ref="AE945">IF($D945&lt;COLUMNS($F$7:AE$7),"",INDEX(TableDiv[[GASB]:[GASB]],_xlfn.AGGREGATE(15,3,(TableDiv[[Agency]:[Agency]]=$E945)/(TableDiv[[Agency]:[Agency]]=$E945)*(ROW(TableDiv[Agency])-ROW(TableDiv[[#Headers],[Agency]])),COLUMNS($F$7:AE$7))))</f>
        <v/>
      </c>
      <c r="AF945" s="2223" t="str" cm="1">
        <f t="array" ref="AF945">IF($D945&lt;COLUMNS($F$7:AF$7),"",INDEX(TableDiv[[GASB]:[GASB]],_xlfn.AGGREGATE(15,3,(TableDiv[[Agency]:[Agency]]=$E945)/(TableDiv[[Agency]:[Agency]]=$E945)*(ROW(TableDiv[Agency])-ROW(TableDiv[[#Headers],[Agency]])),COLUMNS($F$7:AF$7))))</f>
        <v/>
      </c>
      <c r="AG945" s="2223" t="str" cm="1">
        <f t="array" ref="AG945">IF($D945&lt;COLUMNS($F$7:AG$7),"",INDEX(TableDiv[[GASB]:[GASB]],_xlfn.AGGREGATE(15,3,(TableDiv[[Agency]:[Agency]]=$E945)/(TableDiv[[Agency]:[Agency]]=$E945)*(ROW(TableDiv[Agency])-ROW(TableDiv[[#Headers],[Agency]])),COLUMNS($F$7:AG$7))))</f>
        <v/>
      </c>
      <c r="AH945" s="2223" t="str" cm="1">
        <f t="array" ref="AH945">IF($D945&lt;COLUMNS($F$7:AH$7),"",INDEX(TableDiv[[GASB]:[GASB]],_xlfn.AGGREGATE(15,3,(TableDiv[[Agency]:[Agency]]=$E945)/(TableDiv[[Agency]:[Agency]]=$E945)*(ROW(TableDiv[Agency])-ROW(TableDiv[[#Headers],[Agency]])),COLUMNS($F$7:AH$7))))</f>
        <v/>
      </c>
      <c r="AI945" s="2223" t="str" cm="1">
        <f t="array" ref="AI945">IF($D945&lt;COLUMNS($F$7:AI$7),"",INDEX(TableDiv[[GASB]:[GASB]],_xlfn.AGGREGATE(15,3,(TableDiv[[Agency]:[Agency]]=$E945)/(TableDiv[[Agency]:[Agency]]=$E945)*(ROW(TableDiv[Agency])-ROW(TableDiv[[#Headers],[Agency]])),COLUMNS($F$7:AI$7))))</f>
        <v/>
      </c>
      <c r="AJ945" s="2223" t="str" cm="1">
        <f t="array" ref="AJ945">IF($D945&lt;COLUMNS($F$7:AJ$7),"",INDEX(TableDiv[[GASB]:[GASB]],_xlfn.AGGREGATE(15,3,(TableDiv[[Agency]:[Agency]]=$E945)/(TableDiv[[Agency]:[Agency]]=$E945)*(ROW(TableDiv[Agency])-ROW(TableDiv[[#Headers],[Agency]])),COLUMNS($F$7:AJ$7))))</f>
        <v/>
      </c>
      <c r="AK945" s="2223" t="str" cm="1">
        <f t="array" ref="AK945">IF($D945&lt;COLUMNS($F$7:AK$7),"",INDEX(TableDiv[[GASB]:[GASB]],_xlfn.AGGREGATE(15,3,(TableDiv[[Agency]:[Agency]]=$E945)/(TableDiv[[Agency]:[Agency]]=$E945)*(ROW(TableDiv[Agency])-ROW(TableDiv[[#Headers],[Agency]])),COLUMNS($F$7:AK$7))))</f>
        <v/>
      </c>
      <c r="AL945" s="2223" t="str" cm="1">
        <f t="array" ref="AL945">IF($D945&lt;COLUMNS($F$7:AL$7),"",INDEX(TableDiv[[GASB]:[GASB]],_xlfn.AGGREGATE(15,3,(TableDiv[[Agency]:[Agency]]=$E945)/(TableDiv[[Agency]:[Agency]]=$E945)*(ROW(TableDiv[Agency])-ROW(TableDiv[[#Headers],[Agency]])),COLUMNS($F$7:AL$7))))</f>
        <v/>
      </c>
      <c r="AM945" s="2223" t="str" cm="1">
        <f t="array" ref="AM945">IF($D945&lt;COLUMNS($F$7:AM$7),"",INDEX(TableDiv[[GASB]:[GASB]],_xlfn.AGGREGATE(15,3,(TableDiv[[Agency]:[Agency]]=$E945)/(TableDiv[[Agency]:[Agency]]=$E945)*(ROW(TableDiv[Agency])-ROW(TableDiv[[#Headers],[Agency]])),COLUMNS($F$7:AM$7))))</f>
        <v/>
      </c>
      <c r="AN945" s="2223"/>
      <c r="AO945" s="2223"/>
      <c r="AP945" s="2223"/>
      <c r="AQ945" s="2223"/>
      <c r="AR945" s="2223"/>
      <c r="AS945" s="2223"/>
    </row>
    <row r="946" spans="1:45" x14ac:dyDescent="0.2">
      <c r="A946" s="2223"/>
      <c r="B946" s="2223"/>
      <c r="C946" s="2223"/>
      <c r="W946" s="2223" t="str" cm="1">
        <f t="array" ref="W946">IF($D946&lt;COLUMNS($F$7:W$7),"",INDEX(TableDiv[[GASB]:[GASB]],_xlfn.AGGREGATE(15,3,(TableDiv[[Agency]:[Agency]]=$E946)/(TableDiv[[Agency]:[Agency]]=$E946)*(ROW(TableDiv[Agency])-ROW(TableDiv[[#Headers],[Agency]])),COLUMNS($F$7:W$7))))</f>
        <v/>
      </c>
      <c r="X946" s="2223" t="str" cm="1">
        <f t="array" ref="X946">IF($D946&lt;COLUMNS($F$7:X$7),"",INDEX(TableDiv[[GASB]:[GASB]],_xlfn.AGGREGATE(15,3,(TableDiv[[Agency]:[Agency]]=$E946)/(TableDiv[[Agency]:[Agency]]=$E946)*(ROW(TableDiv[Agency])-ROW(TableDiv[[#Headers],[Agency]])),COLUMNS($F$7:X$7))))</f>
        <v/>
      </c>
      <c r="Y946" s="2223" t="str" cm="1">
        <f t="array" ref="Y946">IF($D946&lt;COLUMNS($F$7:Y$7),"",INDEX(TableDiv[[GASB]:[GASB]],_xlfn.AGGREGATE(15,3,(TableDiv[[Agency]:[Agency]]=$E946)/(TableDiv[[Agency]:[Agency]]=$E946)*(ROW(TableDiv[Agency])-ROW(TableDiv[[#Headers],[Agency]])),COLUMNS($F$7:Y$7))))</f>
        <v/>
      </c>
      <c r="Z946" s="2223" t="str" cm="1">
        <f t="array" ref="Z946">IF($D946&lt;COLUMNS($F$7:Z$7),"",INDEX(TableDiv[[GASB]:[GASB]],_xlfn.AGGREGATE(15,3,(TableDiv[[Agency]:[Agency]]=$E946)/(TableDiv[[Agency]:[Agency]]=$E946)*(ROW(TableDiv[Agency])-ROW(TableDiv[[#Headers],[Agency]])),COLUMNS($F$7:Z$7))))</f>
        <v/>
      </c>
      <c r="AA946" s="2223" t="str" cm="1">
        <f t="array" ref="AA946">IF($D946&lt;COLUMNS($F$7:AA$7),"",INDEX(TableDiv[[GASB]:[GASB]],_xlfn.AGGREGATE(15,3,(TableDiv[[Agency]:[Agency]]=$E946)/(TableDiv[[Agency]:[Agency]]=$E946)*(ROW(TableDiv[Agency])-ROW(TableDiv[[#Headers],[Agency]])),COLUMNS($F$7:AA$7))))</f>
        <v/>
      </c>
      <c r="AB946" s="2223" t="str" cm="1">
        <f t="array" ref="AB946">IF($D946&lt;COLUMNS($F$7:AB$7),"",INDEX(TableDiv[[GASB]:[GASB]],_xlfn.AGGREGATE(15,3,(TableDiv[[Agency]:[Agency]]=$E946)/(TableDiv[[Agency]:[Agency]]=$E946)*(ROW(TableDiv[Agency])-ROW(TableDiv[[#Headers],[Agency]])),COLUMNS($F$7:AB$7))))</f>
        <v/>
      </c>
      <c r="AC946" s="2223" t="str" cm="1">
        <f t="array" ref="AC946">IF($D946&lt;COLUMNS($F$7:AC$7),"",INDEX(TableDiv[[GASB]:[GASB]],_xlfn.AGGREGATE(15,3,(TableDiv[[Agency]:[Agency]]=$E946)/(TableDiv[[Agency]:[Agency]]=$E946)*(ROW(TableDiv[Agency])-ROW(TableDiv[[#Headers],[Agency]])),COLUMNS($F$7:AC$7))))</f>
        <v/>
      </c>
      <c r="AD946" s="2223" t="str" cm="1">
        <f t="array" ref="AD946">IF($D946&lt;COLUMNS($F$7:AD$7),"",INDEX(TableDiv[[GASB]:[GASB]],_xlfn.AGGREGATE(15,3,(TableDiv[[Agency]:[Agency]]=$E946)/(TableDiv[[Agency]:[Agency]]=$E946)*(ROW(TableDiv[Agency])-ROW(TableDiv[[#Headers],[Agency]])),COLUMNS($F$7:AD$7))))</f>
        <v/>
      </c>
      <c r="AE946" s="2223" t="str" cm="1">
        <f t="array" ref="AE946">IF($D946&lt;COLUMNS($F$7:AE$7),"",INDEX(TableDiv[[GASB]:[GASB]],_xlfn.AGGREGATE(15,3,(TableDiv[[Agency]:[Agency]]=$E946)/(TableDiv[[Agency]:[Agency]]=$E946)*(ROW(TableDiv[Agency])-ROW(TableDiv[[#Headers],[Agency]])),COLUMNS($F$7:AE$7))))</f>
        <v/>
      </c>
      <c r="AF946" s="2223" t="str" cm="1">
        <f t="array" ref="AF946">IF($D946&lt;COLUMNS($F$7:AF$7),"",INDEX(TableDiv[[GASB]:[GASB]],_xlfn.AGGREGATE(15,3,(TableDiv[[Agency]:[Agency]]=$E946)/(TableDiv[[Agency]:[Agency]]=$E946)*(ROW(TableDiv[Agency])-ROW(TableDiv[[#Headers],[Agency]])),COLUMNS($F$7:AF$7))))</f>
        <v/>
      </c>
      <c r="AG946" s="2223" t="str" cm="1">
        <f t="array" ref="AG946">IF($D946&lt;COLUMNS($F$7:AG$7),"",INDEX(TableDiv[[GASB]:[GASB]],_xlfn.AGGREGATE(15,3,(TableDiv[[Agency]:[Agency]]=$E946)/(TableDiv[[Agency]:[Agency]]=$E946)*(ROW(TableDiv[Agency])-ROW(TableDiv[[#Headers],[Agency]])),COLUMNS($F$7:AG$7))))</f>
        <v/>
      </c>
      <c r="AH946" s="2223" t="str" cm="1">
        <f t="array" ref="AH946">IF($D946&lt;COLUMNS($F$7:AH$7),"",INDEX(TableDiv[[GASB]:[GASB]],_xlfn.AGGREGATE(15,3,(TableDiv[[Agency]:[Agency]]=$E946)/(TableDiv[[Agency]:[Agency]]=$E946)*(ROW(TableDiv[Agency])-ROW(TableDiv[[#Headers],[Agency]])),COLUMNS($F$7:AH$7))))</f>
        <v/>
      </c>
      <c r="AI946" s="2223" t="str" cm="1">
        <f t="array" ref="AI946">IF($D946&lt;COLUMNS($F$7:AI$7),"",INDEX(TableDiv[[GASB]:[GASB]],_xlfn.AGGREGATE(15,3,(TableDiv[[Agency]:[Agency]]=$E946)/(TableDiv[[Agency]:[Agency]]=$E946)*(ROW(TableDiv[Agency])-ROW(TableDiv[[#Headers],[Agency]])),COLUMNS($F$7:AI$7))))</f>
        <v/>
      </c>
      <c r="AJ946" s="2223" t="str" cm="1">
        <f t="array" ref="AJ946">IF($D946&lt;COLUMNS($F$7:AJ$7),"",INDEX(TableDiv[[GASB]:[GASB]],_xlfn.AGGREGATE(15,3,(TableDiv[[Agency]:[Agency]]=$E946)/(TableDiv[[Agency]:[Agency]]=$E946)*(ROW(TableDiv[Agency])-ROW(TableDiv[[#Headers],[Agency]])),COLUMNS($F$7:AJ$7))))</f>
        <v/>
      </c>
      <c r="AK946" s="2223" t="str" cm="1">
        <f t="array" ref="AK946">IF($D946&lt;COLUMNS($F$7:AK$7),"",INDEX(TableDiv[[GASB]:[GASB]],_xlfn.AGGREGATE(15,3,(TableDiv[[Agency]:[Agency]]=$E946)/(TableDiv[[Agency]:[Agency]]=$E946)*(ROW(TableDiv[Agency])-ROW(TableDiv[[#Headers],[Agency]])),COLUMNS($F$7:AK$7))))</f>
        <v/>
      </c>
      <c r="AL946" s="2223" t="str" cm="1">
        <f t="array" ref="AL946">IF($D946&lt;COLUMNS($F$7:AL$7),"",INDEX(TableDiv[[GASB]:[GASB]],_xlfn.AGGREGATE(15,3,(TableDiv[[Agency]:[Agency]]=$E946)/(TableDiv[[Agency]:[Agency]]=$E946)*(ROW(TableDiv[Agency])-ROW(TableDiv[[#Headers],[Agency]])),COLUMNS($F$7:AL$7))))</f>
        <v/>
      </c>
      <c r="AM946" s="2223" t="str" cm="1">
        <f t="array" ref="AM946">IF($D946&lt;COLUMNS($F$7:AM$7),"",INDEX(TableDiv[[GASB]:[GASB]],_xlfn.AGGREGATE(15,3,(TableDiv[[Agency]:[Agency]]=$E946)/(TableDiv[[Agency]:[Agency]]=$E946)*(ROW(TableDiv[Agency])-ROW(TableDiv[[#Headers],[Agency]])),COLUMNS($F$7:AM$7))))</f>
        <v/>
      </c>
      <c r="AN946" s="2223"/>
      <c r="AO946" s="2223"/>
      <c r="AP946" s="2223"/>
      <c r="AQ946" s="2223"/>
      <c r="AR946" s="2223"/>
      <c r="AS946" s="2223"/>
    </row>
    <row r="947" spans="1:45" x14ac:dyDescent="0.2">
      <c r="A947" s="2223"/>
      <c r="B947" s="2223"/>
      <c r="C947" s="2223"/>
      <c r="W947" s="2223" t="str" cm="1">
        <f t="array" ref="W947">IF($D947&lt;COLUMNS($F$7:W$7),"",INDEX(TableDiv[[GASB]:[GASB]],_xlfn.AGGREGATE(15,3,(TableDiv[[Agency]:[Agency]]=$E947)/(TableDiv[[Agency]:[Agency]]=$E947)*(ROW(TableDiv[Agency])-ROW(TableDiv[[#Headers],[Agency]])),COLUMNS($F$7:W$7))))</f>
        <v/>
      </c>
      <c r="X947" s="2223" t="str" cm="1">
        <f t="array" ref="X947">IF($D947&lt;COLUMNS($F$7:X$7),"",INDEX(TableDiv[[GASB]:[GASB]],_xlfn.AGGREGATE(15,3,(TableDiv[[Agency]:[Agency]]=$E947)/(TableDiv[[Agency]:[Agency]]=$E947)*(ROW(TableDiv[Agency])-ROW(TableDiv[[#Headers],[Agency]])),COLUMNS($F$7:X$7))))</f>
        <v/>
      </c>
      <c r="Y947" s="2223" t="str" cm="1">
        <f t="array" ref="Y947">IF($D947&lt;COLUMNS($F$7:Y$7),"",INDEX(TableDiv[[GASB]:[GASB]],_xlfn.AGGREGATE(15,3,(TableDiv[[Agency]:[Agency]]=$E947)/(TableDiv[[Agency]:[Agency]]=$E947)*(ROW(TableDiv[Agency])-ROW(TableDiv[[#Headers],[Agency]])),COLUMNS($F$7:Y$7))))</f>
        <v/>
      </c>
      <c r="Z947" s="2223" t="str" cm="1">
        <f t="array" ref="Z947">IF($D947&lt;COLUMNS($F$7:Z$7),"",INDEX(TableDiv[[GASB]:[GASB]],_xlfn.AGGREGATE(15,3,(TableDiv[[Agency]:[Agency]]=$E947)/(TableDiv[[Agency]:[Agency]]=$E947)*(ROW(TableDiv[Agency])-ROW(TableDiv[[#Headers],[Agency]])),COLUMNS($F$7:Z$7))))</f>
        <v/>
      </c>
      <c r="AA947" s="2223" t="str" cm="1">
        <f t="array" ref="AA947">IF($D947&lt;COLUMNS($F$7:AA$7),"",INDEX(TableDiv[[GASB]:[GASB]],_xlfn.AGGREGATE(15,3,(TableDiv[[Agency]:[Agency]]=$E947)/(TableDiv[[Agency]:[Agency]]=$E947)*(ROW(TableDiv[Agency])-ROW(TableDiv[[#Headers],[Agency]])),COLUMNS($F$7:AA$7))))</f>
        <v/>
      </c>
      <c r="AB947" s="2223" t="str" cm="1">
        <f t="array" ref="AB947">IF($D947&lt;COLUMNS($F$7:AB$7),"",INDEX(TableDiv[[GASB]:[GASB]],_xlfn.AGGREGATE(15,3,(TableDiv[[Agency]:[Agency]]=$E947)/(TableDiv[[Agency]:[Agency]]=$E947)*(ROW(TableDiv[Agency])-ROW(TableDiv[[#Headers],[Agency]])),COLUMNS($F$7:AB$7))))</f>
        <v/>
      </c>
      <c r="AC947" s="2223" t="str" cm="1">
        <f t="array" ref="AC947">IF($D947&lt;COLUMNS($F$7:AC$7),"",INDEX(TableDiv[[GASB]:[GASB]],_xlfn.AGGREGATE(15,3,(TableDiv[[Agency]:[Agency]]=$E947)/(TableDiv[[Agency]:[Agency]]=$E947)*(ROW(TableDiv[Agency])-ROW(TableDiv[[#Headers],[Agency]])),COLUMNS($F$7:AC$7))))</f>
        <v/>
      </c>
      <c r="AD947" s="2223" t="str" cm="1">
        <f t="array" ref="AD947">IF($D947&lt;COLUMNS($F$7:AD$7),"",INDEX(TableDiv[[GASB]:[GASB]],_xlfn.AGGREGATE(15,3,(TableDiv[[Agency]:[Agency]]=$E947)/(TableDiv[[Agency]:[Agency]]=$E947)*(ROW(TableDiv[Agency])-ROW(TableDiv[[#Headers],[Agency]])),COLUMNS($F$7:AD$7))))</f>
        <v/>
      </c>
      <c r="AE947" s="2223" t="str" cm="1">
        <f t="array" ref="AE947">IF($D947&lt;COLUMNS($F$7:AE$7),"",INDEX(TableDiv[[GASB]:[GASB]],_xlfn.AGGREGATE(15,3,(TableDiv[[Agency]:[Agency]]=$E947)/(TableDiv[[Agency]:[Agency]]=$E947)*(ROW(TableDiv[Agency])-ROW(TableDiv[[#Headers],[Agency]])),COLUMNS($F$7:AE$7))))</f>
        <v/>
      </c>
      <c r="AF947" s="2223" t="str" cm="1">
        <f t="array" ref="AF947">IF($D947&lt;COLUMNS($F$7:AF$7),"",INDEX(TableDiv[[GASB]:[GASB]],_xlfn.AGGREGATE(15,3,(TableDiv[[Agency]:[Agency]]=$E947)/(TableDiv[[Agency]:[Agency]]=$E947)*(ROW(TableDiv[Agency])-ROW(TableDiv[[#Headers],[Agency]])),COLUMNS($F$7:AF$7))))</f>
        <v/>
      </c>
      <c r="AG947" s="2223" t="str" cm="1">
        <f t="array" ref="AG947">IF($D947&lt;COLUMNS($F$7:AG$7),"",INDEX(TableDiv[[GASB]:[GASB]],_xlfn.AGGREGATE(15,3,(TableDiv[[Agency]:[Agency]]=$E947)/(TableDiv[[Agency]:[Agency]]=$E947)*(ROW(TableDiv[Agency])-ROW(TableDiv[[#Headers],[Agency]])),COLUMNS($F$7:AG$7))))</f>
        <v/>
      </c>
      <c r="AH947" s="2223" t="str" cm="1">
        <f t="array" ref="AH947">IF($D947&lt;COLUMNS($F$7:AH$7),"",INDEX(TableDiv[[GASB]:[GASB]],_xlfn.AGGREGATE(15,3,(TableDiv[[Agency]:[Agency]]=$E947)/(TableDiv[[Agency]:[Agency]]=$E947)*(ROW(TableDiv[Agency])-ROW(TableDiv[[#Headers],[Agency]])),COLUMNS($F$7:AH$7))))</f>
        <v/>
      </c>
      <c r="AI947" s="2223" t="str" cm="1">
        <f t="array" ref="AI947">IF($D947&lt;COLUMNS($F$7:AI$7),"",INDEX(TableDiv[[GASB]:[GASB]],_xlfn.AGGREGATE(15,3,(TableDiv[[Agency]:[Agency]]=$E947)/(TableDiv[[Agency]:[Agency]]=$E947)*(ROW(TableDiv[Agency])-ROW(TableDiv[[#Headers],[Agency]])),COLUMNS($F$7:AI$7))))</f>
        <v/>
      </c>
      <c r="AJ947" s="2223" t="str" cm="1">
        <f t="array" ref="AJ947">IF($D947&lt;COLUMNS($F$7:AJ$7),"",INDEX(TableDiv[[GASB]:[GASB]],_xlfn.AGGREGATE(15,3,(TableDiv[[Agency]:[Agency]]=$E947)/(TableDiv[[Agency]:[Agency]]=$E947)*(ROW(TableDiv[Agency])-ROW(TableDiv[[#Headers],[Agency]])),COLUMNS($F$7:AJ$7))))</f>
        <v/>
      </c>
      <c r="AK947" s="2223" t="str" cm="1">
        <f t="array" ref="AK947">IF($D947&lt;COLUMNS($F$7:AK$7),"",INDEX(TableDiv[[GASB]:[GASB]],_xlfn.AGGREGATE(15,3,(TableDiv[[Agency]:[Agency]]=$E947)/(TableDiv[[Agency]:[Agency]]=$E947)*(ROW(TableDiv[Agency])-ROW(TableDiv[[#Headers],[Agency]])),COLUMNS($F$7:AK$7))))</f>
        <v/>
      </c>
      <c r="AL947" s="2223" t="str" cm="1">
        <f t="array" ref="AL947">IF($D947&lt;COLUMNS($F$7:AL$7),"",INDEX(TableDiv[[GASB]:[GASB]],_xlfn.AGGREGATE(15,3,(TableDiv[[Agency]:[Agency]]=$E947)/(TableDiv[[Agency]:[Agency]]=$E947)*(ROW(TableDiv[Agency])-ROW(TableDiv[[#Headers],[Agency]])),COLUMNS($F$7:AL$7))))</f>
        <v/>
      </c>
      <c r="AM947" s="2223" t="str" cm="1">
        <f t="array" ref="AM947">IF($D947&lt;COLUMNS($F$7:AM$7),"",INDEX(TableDiv[[GASB]:[GASB]],_xlfn.AGGREGATE(15,3,(TableDiv[[Agency]:[Agency]]=$E947)/(TableDiv[[Agency]:[Agency]]=$E947)*(ROW(TableDiv[Agency])-ROW(TableDiv[[#Headers],[Agency]])),COLUMNS($F$7:AM$7))))</f>
        <v/>
      </c>
      <c r="AN947" s="2223"/>
      <c r="AO947" s="2223"/>
      <c r="AP947" s="2223"/>
      <c r="AQ947" s="2223"/>
      <c r="AR947" s="2223"/>
      <c r="AS947" s="2223"/>
    </row>
    <row r="948" spans="1:45" x14ac:dyDescent="0.2">
      <c r="A948" s="2223"/>
      <c r="B948" s="2223"/>
      <c r="C948" s="2223"/>
      <c r="W948" s="2223" t="str" cm="1">
        <f t="array" ref="W948">IF($D948&lt;COLUMNS($F$7:W$7),"",INDEX(TableDiv[[GASB]:[GASB]],_xlfn.AGGREGATE(15,3,(TableDiv[[Agency]:[Agency]]=$E948)/(TableDiv[[Agency]:[Agency]]=$E948)*(ROW(TableDiv[Agency])-ROW(TableDiv[[#Headers],[Agency]])),COLUMNS($F$7:W$7))))</f>
        <v/>
      </c>
      <c r="X948" s="2223" t="str" cm="1">
        <f t="array" ref="X948">IF($D948&lt;COLUMNS($F$7:X$7),"",INDEX(TableDiv[[GASB]:[GASB]],_xlfn.AGGREGATE(15,3,(TableDiv[[Agency]:[Agency]]=$E948)/(TableDiv[[Agency]:[Agency]]=$E948)*(ROW(TableDiv[Agency])-ROW(TableDiv[[#Headers],[Agency]])),COLUMNS($F$7:X$7))))</f>
        <v/>
      </c>
      <c r="Y948" s="2223" t="str" cm="1">
        <f t="array" ref="Y948">IF($D948&lt;COLUMNS($F$7:Y$7),"",INDEX(TableDiv[[GASB]:[GASB]],_xlfn.AGGREGATE(15,3,(TableDiv[[Agency]:[Agency]]=$E948)/(TableDiv[[Agency]:[Agency]]=$E948)*(ROW(TableDiv[Agency])-ROW(TableDiv[[#Headers],[Agency]])),COLUMNS($F$7:Y$7))))</f>
        <v/>
      </c>
      <c r="Z948" s="2223" t="str" cm="1">
        <f t="array" ref="Z948">IF($D948&lt;COLUMNS($F$7:Z$7),"",INDEX(TableDiv[[GASB]:[GASB]],_xlfn.AGGREGATE(15,3,(TableDiv[[Agency]:[Agency]]=$E948)/(TableDiv[[Agency]:[Agency]]=$E948)*(ROW(TableDiv[Agency])-ROW(TableDiv[[#Headers],[Agency]])),COLUMNS($F$7:Z$7))))</f>
        <v/>
      </c>
      <c r="AA948" s="2223" t="str" cm="1">
        <f t="array" ref="AA948">IF($D948&lt;COLUMNS($F$7:AA$7),"",INDEX(TableDiv[[GASB]:[GASB]],_xlfn.AGGREGATE(15,3,(TableDiv[[Agency]:[Agency]]=$E948)/(TableDiv[[Agency]:[Agency]]=$E948)*(ROW(TableDiv[Agency])-ROW(TableDiv[[#Headers],[Agency]])),COLUMNS($F$7:AA$7))))</f>
        <v/>
      </c>
      <c r="AB948" s="2223" t="str" cm="1">
        <f t="array" ref="AB948">IF($D948&lt;COLUMNS($F$7:AB$7),"",INDEX(TableDiv[[GASB]:[GASB]],_xlfn.AGGREGATE(15,3,(TableDiv[[Agency]:[Agency]]=$E948)/(TableDiv[[Agency]:[Agency]]=$E948)*(ROW(TableDiv[Agency])-ROW(TableDiv[[#Headers],[Agency]])),COLUMNS($F$7:AB$7))))</f>
        <v/>
      </c>
      <c r="AC948" s="2223" t="str" cm="1">
        <f t="array" ref="AC948">IF($D948&lt;COLUMNS($F$7:AC$7),"",INDEX(TableDiv[[GASB]:[GASB]],_xlfn.AGGREGATE(15,3,(TableDiv[[Agency]:[Agency]]=$E948)/(TableDiv[[Agency]:[Agency]]=$E948)*(ROW(TableDiv[Agency])-ROW(TableDiv[[#Headers],[Agency]])),COLUMNS($F$7:AC$7))))</f>
        <v/>
      </c>
      <c r="AD948" s="2223" t="str" cm="1">
        <f t="array" ref="AD948">IF($D948&lt;COLUMNS($F$7:AD$7),"",INDEX(TableDiv[[GASB]:[GASB]],_xlfn.AGGREGATE(15,3,(TableDiv[[Agency]:[Agency]]=$E948)/(TableDiv[[Agency]:[Agency]]=$E948)*(ROW(TableDiv[Agency])-ROW(TableDiv[[#Headers],[Agency]])),COLUMNS($F$7:AD$7))))</f>
        <v/>
      </c>
      <c r="AE948" s="2223" t="str" cm="1">
        <f t="array" ref="AE948">IF($D948&lt;COLUMNS($F$7:AE$7),"",INDEX(TableDiv[[GASB]:[GASB]],_xlfn.AGGREGATE(15,3,(TableDiv[[Agency]:[Agency]]=$E948)/(TableDiv[[Agency]:[Agency]]=$E948)*(ROW(TableDiv[Agency])-ROW(TableDiv[[#Headers],[Agency]])),COLUMNS($F$7:AE$7))))</f>
        <v/>
      </c>
      <c r="AF948" s="2223" t="str" cm="1">
        <f t="array" ref="AF948">IF($D948&lt;COLUMNS($F$7:AF$7),"",INDEX(TableDiv[[GASB]:[GASB]],_xlfn.AGGREGATE(15,3,(TableDiv[[Agency]:[Agency]]=$E948)/(TableDiv[[Agency]:[Agency]]=$E948)*(ROW(TableDiv[Agency])-ROW(TableDiv[[#Headers],[Agency]])),COLUMNS($F$7:AF$7))))</f>
        <v/>
      </c>
      <c r="AG948" s="2223" t="str" cm="1">
        <f t="array" ref="AG948">IF($D948&lt;COLUMNS($F$7:AG$7),"",INDEX(TableDiv[[GASB]:[GASB]],_xlfn.AGGREGATE(15,3,(TableDiv[[Agency]:[Agency]]=$E948)/(TableDiv[[Agency]:[Agency]]=$E948)*(ROW(TableDiv[Agency])-ROW(TableDiv[[#Headers],[Agency]])),COLUMNS($F$7:AG$7))))</f>
        <v/>
      </c>
      <c r="AH948" s="2223" t="str" cm="1">
        <f t="array" ref="AH948">IF($D948&lt;COLUMNS($F$7:AH$7),"",INDEX(TableDiv[[GASB]:[GASB]],_xlfn.AGGREGATE(15,3,(TableDiv[[Agency]:[Agency]]=$E948)/(TableDiv[[Agency]:[Agency]]=$E948)*(ROW(TableDiv[Agency])-ROW(TableDiv[[#Headers],[Agency]])),COLUMNS($F$7:AH$7))))</f>
        <v/>
      </c>
      <c r="AI948" s="2223" t="str" cm="1">
        <f t="array" ref="AI948">IF($D948&lt;COLUMNS($F$7:AI$7),"",INDEX(TableDiv[[GASB]:[GASB]],_xlfn.AGGREGATE(15,3,(TableDiv[[Agency]:[Agency]]=$E948)/(TableDiv[[Agency]:[Agency]]=$E948)*(ROW(TableDiv[Agency])-ROW(TableDiv[[#Headers],[Agency]])),COLUMNS($F$7:AI$7))))</f>
        <v/>
      </c>
      <c r="AJ948" s="2223" t="str" cm="1">
        <f t="array" ref="AJ948">IF($D948&lt;COLUMNS($F$7:AJ$7),"",INDEX(TableDiv[[GASB]:[GASB]],_xlfn.AGGREGATE(15,3,(TableDiv[[Agency]:[Agency]]=$E948)/(TableDiv[[Agency]:[Agency]]=$E948)*(ROW(TableDiv[Agency])-ROW(TableDiv[[#Headers],[Agency]])),COLUMNS($F$7:AJ$7))))</f>
        <v/>
      </c>
      <c r="AK948" s="2223" t="str" cm="1">
        <f t="array" ref="AK948">IF($D948&lt;COLUMNS($F$7:AK$7),"",INDEX(TableDiv[[GASB]:[GASB]],_xlfn.AGGREGATE(15,3,(TableDiv[[Agency]:[Agency]]=$E948)/(TableDiv[[Agency]:[Agency]]=$E948)*(ROW(TableDiv[Agency])-ROW(TableDiv[[#Headers],[Agency]])),COLUMNS($F$7:AK$7))))</f>
        <v/>
      </c>
      <c r="AL948" s="2223" t="str" cm="1">
        <f t="array" ref="AL948">IF($D948&lt;COLUMNS($F$7:AL$7),"",INDEX(TableDiv[[GASB]:[GASB]],_xlfn.AGGREGATE(15,3,(TableDiv[[Agency]:[Agency]]=$E948)/(TableDiv[[Agency]:[Agency]]=$E948)*(ROW(TableDiv[Agency])-ROW(TableDiv[[#Headers],[Agency]])),COLUMNS($F$7:AL$7))))</f>
        <v/>
      </c>
      <c r="AM948" s="2223" t="str" cm="1">
        <f t="array" ref="AM948">IF($D948&lt;COLUMNS($F$7:AM$7),"",INDEX(TableDiv[[GASB]:[GASB]],_xlfn.AGGREGATE(15,3,(TableDiv[[Agency]:[Agency]]=$E948)/(TableDiv[[Agency]:[Agency]]=$E948)*(ROW(TableDiv[Agency])-ROW(TableDiv[[#Headers],[Agency]])),COLUMNS($F$7:AM$7))))</f>
        <v/>
      </c>
      <c r="AN948" s="2223"/>
      <c r="AO948" s="2223"/>
      <c r="AP948" s="2223"/>
      <c r="AQ948" s="2223"/>
      <c r="AR948" s="2223"/>
      <c r="AS948" s="2223"/>
    </row>
    <row r="949" spans="1:45" x14ac:dyDescent="0.2">
      <c r="A949" s="2223"/>
      <c r="B949" s="2223"/>
      <c r="C949" s="2223"/>
      <c r="W949" s="2223" t="str" cm="1">
        <f t="array" ref="W949">IF($D949&lt;COLUMNS($F$7:W$7),"",INDEX(TableDiv[[GASB]:[GASB]],_xlfn.AGGREGATE(15,3,(TableDiv[[Agency]:[Agency]]=$E949)/(TableDiv[[Agency]:[Agency]]=$E949)*(ROW(TableDiv[Agency])-ROW(TableDiv[[#Headers],[Agency]])),COLUMNS($F$7:W$7))))</f>
        <v/>
      </c>
      <c r="X949" s="2223" t="str" cm="1">
        <f t="array" ref="X949">IF($D949&lt;COLUMNS($F$7:X$7),"",INDEX(TableDiv[[GASB]:[GASB]],_xlfn.AGGREGATE(15,3,(TableDiv[[Agency]:[Agency]]=$E949)/(TableDiv[[Agency]:[Agency]]=$E949)*(ROW(TableDiv[Agency])-ROW(TableDiv[[#Headers],[Agency]])),COLUMNS($F$7:X$7))))</f>
        <v/>
      </c>
      <c r="Y949" s="2223" t="str" cm="1">
        <f t="array" ref="Y949">IF($D949&lt;COLUMNS($F$7:Y$7),"",INDEX(TableDiv[[GASB]:[GASB]],_xlfn.AGGREGATE(15,3,(TableDiv[[Agency]:[Agency]]=$E949)/(TableDiv[[Agency]:[Agency]]=$E949)*(ROW(TableDiv[Agency])-ROW(TableDiv[[#Headers],[Agency]])),COLUMNS($F$7:Y$7))))</f>
        <v/>
      </c>
      <c r="Z949" s="2223" t="str" cm="1">
        <f t="array" ref="Z949">IF($D949&lt;COLUMNS($F$7:Z$7),"",INDEX(TableDiv[[GASB]:[GASB]],_xlfn.AGGREGATE(15,3,(TableDiv[[Agency]:[Agency]]=$E949)/(TableDiv[[Agency]:[Agency]]=$E949)*(ROW(TableDiv[Agency])-ROW(TableDiv[[#Headers],[Agency]])),COLUMNS($F$7:Z$7))))</f>
        <v/>
      </c>
      <c r="AA949" s="2223" t="str" cm="1">
        <f t="array" ref="AA949">IF($D949&lt;COLUMNS($F$7:AA$7),"",INDEX(TableDiv[[GASB]:[GASB]],_xlfn.AGGREGATE(15,3,(TableDiv[[Agency]:[Agency]]=$E949)/(TableDiv[[Agency]:[Agency]]=$E949)*(ROW(TableDiv[Agency])-ROW(TableDiv[[#Headers],[Agency]])),COLUMNS($F$7:AA$7))))</f>
        <v/>
      </c>
      <c r="AB949" s="2223" t="str" cm="1">
        <f t="array" ref="AB949">IF($D949&lt;COLUMNS($F$7:AB$7),"",INDEX(TableDiv[[GASB]:[GASB]],_xlfn.AGGREGATE(15,3,(TableDiv[[Agency]:[Agency]]=$E949)/(TableDiv[[Agency]:[Agency]]=$E949)*(ROW(TableDiv[Agency])-ROW(TableDiv[[#Headers],[Agency]])),COLUMNS($F$7:AB$7))))</f>
        <v/>
      </c>
      <c r="AC949" s="2223" t="str" cm="1">
        <f t="array" ref="AC949">IF($D949&lt;COLUMNS($F$7:AC$7),"",INDEX(TableDiv[[GASB]:[GASB]],_xlfn.AGGREGATE(15,3,(TableDiv[[Agency]:[Agency]]=$E949)/(TableDiv[[Agency]:[Agency]]=$E949)*(ROW(TableDiv[Agency])-ROW(TableDiv[[#Headers],[Agency]])),COLUMNS($F$7:AC$7))))</f>
        <v/>
      </c>
      <c r="AD949" s="2223" t="str" cm="1">
        <f t="array" ref="AD949">IF($D949&lt;COLUMNS($F$7:AD$7),"",INDEX(TableDiv[[GASB]:[GASB]],_xlfn.AGGREGATE(15,3,(TableDiv[[Agency]:[Agency]]=$E949)/(TableDiv[[Agency]:[Agency]]=$E949)*(ROW(TableDiv[Agency])-ROW(TableDiv[[#Headers],[Agency]])),COLUMNS($F$7:AD$7))))</f>
        <v/>
      </c>
      <c r="AE949" s="2223" t="str" cm="1">
        <f t="array" ref="AE949">IF($D949&lt;COLUMNS($F$7:AE$7),"",INDEX(TableDiv[[GASB]:[GASB]],_xlfn.AGGREGATE(15,3,(TableDiv[[Agency]:[Agency]]=$E949)/(TableDiv[[Agency]:[Agency]]=$E949)*(ROW(TableDiv[Agency])-ROW(TableDiv[[#Headers],[Agency]])),COLUMNS($F$7:AE$7))))</f>
        <v/>
      </c>
      <c r="AF949" s="2223" t="str" cm="1">
        <f t="array" ref="AF949">IF($D949&lt;COLUMNS($F$7:AF$7),"",INDEX(TableDiv[[GASB]:[GASB]],_xlfn.AGGREGATE(15,3,(TableDiv[[Agency]:[Agency]]=$E949)/(TableDiv[[Agency]:[Agency]]=$E949)*(ROW(TableDiv[Agency])-ROW(TableDiv[[#Headers],[Agency]])),COLUMNS($F$7:AF$7))))</f>
        <v/>
      </c>
      <c r="AG949" s="2223" t="str" cm="1">
        <f t="array" ref="AG949">IF($D949&lt;COLUMNS($F$7:AG$7),"",INDEX(TableDiv[[GASB]:[GASB]],_xlfn.AGGREGATE(15,3,(TableDiv[[Agency]:[Agency]]=$E949)/(TableDiv[[Agency]:[Agency]]=$E949)*(ROW(TableDiv[Agency])-ROW(TableDiv[[#Headers],[Agency]])),COLUMNS($F$7:AG$7))))</f>
        <v/>
      </c>
      <c r="AH949" s="2223" t="str" cm="1">
        <f t="array" ref="AH949">IF($D949&lt;COLUMNS($F$7:AH$7),"",INDEX(TableDiv[[GASB]:[GASB]],_xlfn.AGGREGATE(15,3,(TableDiv[[Agency]:[Agency]]=$E949)/(TableDiv[[Agency]:[Agency]]=$E949)*(ROW(TableDiv[Agency])-ROW(TableDiv[[#Headers],[Agency]])),COLUMNS($F$7:AH$7))))</f>
        <v/>
      </c>
      <c r="AI949" s="2223" t="str" cm="1">
        <f t="array" ref="AI949">IF($D949&lt;COLUMNS($F$7:AI$7),"",INDEX(TableDiv[[GASB]:[GASB]],_xlfn.AGGREGATE(15,3,(TableDiv[[Agency]:[Agency]]=$E949)/(TableDiv[[Agency]:[Agency]]=$E949)*(ROW(TableDiv[Agency])-ROW(TableDiv[[#Headers],[Agency]])),COLUMNS($F$7:AI$7))))</f>
        <v/>
      </c>
      <c r="AJ949" s="2223" t="str" cm="1">
        <f t="array" ref="AJ949">IF($D949&lt;COLUMNS($F$7:AJ$7),"",INDEX(TableDiv[[GASB]:[GASB]],_xlfn.AGGREGATE(15,3,(TableDiv[[Agency]:[Agency]]=$E949)/(TableDiv[[Agency]:[Agency]]=$E949)*(ROW(TableDiv[Agency])-ROW(TableDiv[[#Headers],[Agency]])),COLUMNS($F$7:AJ$7))))</f>
        <v/>
      </c>
      <c r="AK949" s="2223" t="str" cm="1">
        <f t="array" ref="AK949">IF($D949&lt;COLUMNS($F$7:AK$7),"",INDEX(TableDiv[[GASB]:[GASB]],_xlfn.AGGREGATE(15,3,(TableDiv[[Agency]:[Agency]]=$E949)/(TableDiv[[Agency]:[Agency]]=$E949)*(ROW(TableDiv[Agency])-ROW(TableDiv[[#Headers],[Agency]])),COLUMNS($F$7:AK$7))))</f>
        <v/>
      </c>
      <c r="AL949" s="2223" t="str" cm="1">
        <f t="array" ref="AL949">IF($D949&lt;COLUMNS($F$7:AL$7),"",INDEX(TableDiv[[GASB]:[GASB]],_xlfn.AGGREGATE(15,3,(TableDiv[[Agency]:[Agency]]=$E949)/(TableDiv[[Agency]:[Agency]]=$E949)*(ROW(TableDiv[Agency])-ROW(TableDiv[[#Headers],[Agency]])),COLUMNS($F$7:AL$7))))</f>
        <v/>
      </c>
      <c r="AM949" s="2223" t="str" cm="1">
        <f t="array" ref="AM949">IF($D949&lt;COLUMNS($F$7:AM$7),"",INDEX(TableDiv[[GASB]:[GASB]],_xlfn.AGGREGATE(15,3,(TableDiv[[Agency]:[Agency]]=$E949)/(TableDiv[[Agency]:[Agency]]=$E949)*(ROW(TableDiv[Agency])-ROW(TableDiv[[#Headers],[Agency]])),COLUMNS($F$7:AM$7))))</f>
        <v/>
      </c>
      <c r="AN949" s="2223"/>
      <c r="AO949" s="2223"/>
      <c r="AP949" s="2223"/>
      <c r="AQ949" s="2223"/>
      <c r="AR949" s="2223"/>
      <c r="AS949" s="2223"/>
    </row>
    <row r="950" spans="1:45" x14ac:dyDescent="0.2">
      <c r="A950" s="2223"/>
      <c r="B950" s="2223"/>
      <c r="C950" s="2223"/>
      <c r="W950" s="2223" t="str" cm="1">
        <f t="array" ref="W950">IF($D950&lt;COLUMNS($F$7:W$7),"",INDEX(TableDiv[[GASB]:[GASB]],_xlfn.AGGREGATE(15,3,(TableDiv[[Agency]:[Agency]]=$E950)/(TableDiv[[Agency]:[Agency]]=$E950)*(ROW(TableDiv[Agency])-ROW(TableDiv[[#Headers],[Agency]])),COLUMNS($F$7:W$7))))</f>
        <v/>
      </c>
      <c r="X950" s="2223" t="str" cm="1">
        <f t="array" ref="X950">IF($D950&lt;COLUMNS($F$7:X$7),"",INDEX(TableDiv[[GASB]:[GASB]],_xlfn.AGGREGATE(15,3,(TableDiv[[Agency]:[Agency]]=$E950)/(TableDiv[[Agency]:[Agency]]=$E950)*(ROW(TableDiv[Agency])-ROW(TableDiv[[#Headers],[Agency]])),COLUMNS($F$7:X$7))))</f>
        <v/>
      </c>
      <c r="Y950" s="2223" t="str" cm="1">
        <f t="array" ref="Y950">IF($D950&lt;COLUMNS($F$7:Y$7),"",INDEX(TableDiv[[GASB]:[GASB]],_xlfn.AGGREGATE(15,3,(TableDiv[[Agency]:[Agency]]=$E950)/(TableDiv[[Agency]:[Agency]]=$E950)*(ROW(TableDiv[Agency])-ROW(TableDiv[[#Headers],[Agency]])),COLUMNS($F$7:Y$7))))</f>
        <v/>
      </c>
      <c r="Z950" s="2223" t="str" cm="1">
        <f t="array" ref="Z950">IF($D950&lt;COLUMNS($F$7:Z$7),"",INDEX(TableDiv[[GASB]:[GASB]],_xlfn.AGGREGATE(15,3,(TableDiv[[Agency]:[Agency]]=$E950)/(TableDiv[[Agency]:[Agency]]=$E950)*(ROW(TableDiv[Agency])-ROW(TableDiv[[#Headers],[Agency]])),COLUMNS($F$7:Z$7))))</f>
        <v/>
      </c>
      <c r="AA950" s="2223" t="str" cm="1">
        <f t="array" ref="AA950">IF($D950&lt;COLUMNS($F$7:AA$7),"",INDEX(TableDiv[[GASB]:[GASB]],_xlfn.AGGREGATE(15,3,(TableDiv[[Agency]:[Agency]]=$E950)/(TableDiv[[Agency]:[Agency]]=$E950)*(ROW(TableDiv[Agency])-ROW(TableDiv[[#Headers],[Agency]])),COLUMNS($F$7:AA$7))))</f>
        <v/>
      </c>
      <c r="AB950" s="2223" t="str" cm="1">
        <f t="array" ref="AB950">IF($D950&lt;COLUMNS($F$7:AB$7),"",INDEX(TableDiv[[GASB]:[GASB]],_xlfn.AGGREGATE(15,3,(TableDiv[[Agency]:[Agency]]=$E950)/(TableDiv[[Agency]:[Agency]]=$E950)*(ROW(TableDiv[Agency])-ROW(TableDiv[[#Headers],[Agency]])),COLUMNS($F$7:AB$7))))</f>
        <v/>
      </c>
      <c r="AC950" s="2223" t="str" cm="1">
        <f t="array" ref="AC950">IF($D950&lt;COLUMNS($F$7:AC$7),"",INDEX(TableDiv[[GASB]:[GASB]],_xlfn.AGGREGATE(15,3,(TableDiv[[Agency]:[Agency]]=$E950)/(TableDiv[[Agency]:[Agency]]=$E950)*(ROW(TableDiv[Agency])-ROW(TableDiv[[#Headers],[Agency]])),COLUMNS($F$7:AC$7))))</f>
        <v/>
      </c>
      <c r="AD950" s="2223" t="str" cm="1">
        <f t="array" ref="AD950">IF($D950&lt;COLUMNS($F$7:AD$7),"",INDEX(TableDiv[[GASB]:[GASB]],_xlfn.AGGREGATE(15,3,(TableDiv[[Agency]:[Agency]]=$E950)/(TableDiv[[Agency]:[Agency]]=$E950)*(ROW(TableDiv[Agency])-ROW(TableDiv[[#Headers],[Agency]])),COLUMNS($F$7:AD$7))))</f>
        <v/>
      </c>
      <c r="AE950" s="2223" t="str" cm="1">
        <f t="array" ref="AE950">IF($D950&lt;COLUMNS($F$7:AE$7),"",INDEX(TableDiv[[GASB]:[GASB]],_xlfn.AGGREGATE(15,3,(TableDiv[[Agency]:[Agency]]=$E950)/(TableDiv[[Agency]:[Agency]]=$E950)*(ROW(TableDiv[Agency])-ROW(TableDiv[[#Headers],[Agency]])),COLUMNS($F$7:AE$7))))</f>
        <v/>
      </c>
      <c r="AF950" s="2223" t="str" cm="1">
        <f t="array" ref="AF950">IF($D950&lt;COLUMNS($F$7:AF$7),"",INDEX(TableDiv[[GASB]:[GASB]],_xlfn.AGGREGATE(15,3,(TableDiv[[Agency]:[Agency]]=$E950)/(TableDiv[[Agency]:[Agency]]=$E950)*(ROW(TableDiv[Agency])-ROW(TableDiv[[#Headers],[Agency]])),COLUMNS($F$7:AF$7))))</f>
        <v/>
      </c>
      <c r="AG950" s="2223" t="str" cm="1">
        <f t="array" ref="AG950">IF($D950&lt;COLUMNS($F$7:AG$7),"",INDEX(TableDiv[[GASB]:[GASB]],_xlfn.AGGREGATE(15,3,(TableDiv[[Agency]:[Agency]]=$E950)/(TableDiv[[Agency]:[Agency]]=$E950)*(ROW(TableDiv[Agency])-ROW(TableDiv[[#Headers],[Agency]])),COLUMNS($F$7:AG$7))))</f>
        <v/>
      </c>
      <c r="AH950" s="2223" t="str" cm="1">
        <f t="array" ref="AH950">IF($D950&lt;COLUMNS($F$7:AH$7),"",INDEX(TableDiv[[GASB]:[GASB]],_xlfn.AGGREGATE(15,3,(TableDiv[[Agency]:[Agency]]=$E950)/(TableDiv[[Agency]:[Agency]]=$E950)*(ROW(TableDiv[Agency])-ROW(TableDiv[[#Headers],[Agency]])),COLUMNS($F$7:AH$7))))</f>
        <v/>
      </c>
      <c r="AI950" s="2223" t="str" cm="1">
        <f t="array" ref="AI950">IF($D950&lt;COLUMNS($F$7:AI$7),"",INDEX(TableDiv[[GASB]:[GASB]],_xlfn.AGGREGATE(15,3,(TableDiv[[Agency]:[Agency]]=$E950)/(TableDiv[[Agency]:[Agency]]=$E950)*(ROW(TableDiv[Agency])-ROW(TableDiv[[#Headers],[Agency]])),COLUMNS($F$7:AI$7))))</f>
        <v/>
      </c>
      <c r="AJ950" s="2223" t="str" cm="1">
        <f t="array" ref="AJ950">IF($D950&lt;COLUMNS($F$7:AJ$7),"",INDEX(TableDiv[[GASB]:[GASB]],_xlfn.AGGREGATE(15,3,(TableDiv[[Agency]:[Agency]]=$E950)/(TableDiv[[Agency]:[Agency]]=$E950)*(ROW(TableDiv[Agency])-ROW(TableDiv[[#Headers],[Agency]])),COLUMNS($F$7:AJ$7))))</f>
        <v/>
      </c>
      <c r="AK950" s="2223" t="str" cm="1">
        <f t="array" ref="AK950">IF($D950&lt;COLUMNS($F$7:AK$7),"",INDEX(TableDiv[[GASB]:[GASB]],_xlfn.AGGREGATE(15,3,(TableDiv[[Agency]:[Agency]]=$E950)/(TableDiv[[Agency]:[Agency]]=$E950)*(ROW(TableDiv[Agency])-ROW(TableDiv[[#Headers],[Agency]])),COLUMNS($F$7:AK$7))))</f>
        <v/>
      </c>
      <c r="AL950" s="2223" t="str" cm="1">
        <f t="array" ref="AL950">IF($D950&lt;COLUMNS($F$7:AL$7),"",INDEX(TableDiv[[GASB]:[GASB]],_xlfn.AGGREGATE(15,3,(TableDiv[[Agency]:[Agency]]=$E950)/(TableDiv[[Agency]:[Agency]]=$E950)*(ROW(TableDiv[Agency])-ROW(TableDiv[[#Headers],[Agency]])),COLUMNS($F$7:AL$7))))</f>
        <v/>
      </c>
      <c r="AM950" s="2223" t="str" cm="1">
        <f t="array" ref="AM950">IF($D950&lt;COLUMNS($F$7:AM$7),"",INDEX(TableDiv[[GASB]:[GASB]],_xlfn.AGGREGATE(15,3,(TableDiv[[Agency]:[Agency]]=$E950)/(TableDiv[[Agency]:[Agency]]=$E950)*(ROW(TableDiv[Agency])-ROW(TableDiv[[#Headers],[Agency]])),COLUMNS($F$7:AM$7))))</f>
        <v/>
      </c>
      <c r="AN950" s="2223"/>
      <c r="AO950" s="2223"/>
      <c r="AP950" s="2223"/>
      <c r="AQ950" s="2223"/>
      <c r="AR950" s="2223"/>
      <c r="AS950" s="2223"/>
    </row>
    <row r="951" spans="1:45" x14ac:dyDescent="0.2">
      <c r="A951" s="2223"/>
      <c r="B951" s="2223"/>
      <c r="C951" s="2223"/>
      <c r="W951" s="2223" t="str" cm="1">
        <f t="array" ref="W951">IF($D951&lt;COLUMNS($F$7:W$7),"",INDEX(TableDiv[[GASB]:[GASB]],_xlfn.AGGREGATE(15,3,(TableDiv[[Agency]:[Agency]]=$E951)/(TableDiv[[Agency]:[Agency]]=$E951)*(ROW(TableDiv[Agency])-ROW(TableDiv[[#Headers],[Agency]])),COLUMNS($F$7:W$7))))</f>
        <v/>
      </c>
      <c r="X951" s="2223" t="str" cm="1">
        <f t="array" ref="X951">IF($D951&lt;COLUMNS($F$7:X$7),"",INDEX(TableDiv[[GASB]:[GASB]],_xlfn.AGGREGATE(15,3,(TableDiv[[Agency]:[Agency]]=$E951)/(TableDiv[[Agency]:[Agency]]=$E951)*(ROW(TableDiv[Agency])-ROW(TableDiv[[#Headers],[Agency]])),COLUMNS($F$7:X$7))))</f>
        <v/>
      </c>
      <c r="Y951" s="2223" t="str" cm="1">
        <f t="array" ref="Y951">IF($D951&lt;COLUMNS($F$7:Y$7),"",INDEX(TableDiv[[GASB]:[GASB]],_xlfn.AGGREGATE(15,3,(TableDiv[[Agency]:[Agency]]=$E951)/(TableDiv[[Agency]:[Agency]]=$E951)*(ROW(TableDiv[Agency])-ROW(TableDiv[[#Headers],[Agency]])),COLUMNS($F$7:Y$7))))</f>
        <v/>
      </c>
      <c r="Z951" s="2223" t="str" cm="1">
        <f t="array" ref="Z951">IF($D951&lt;COLUMNS($F$7:Z$7),"",INDEX(TableDiv[[GASB]:[GASB]],_xlfn.AGGREGATE(15,3,(TableDiv[[Agency]:[Agency]]=$E951)/(TableDiv[[Agency]:[Agency]]=$E951)*(ROW(TableDiv[Agency])-ROW(TableDiv[[#Headers],[Agency]])),COLUMNS($F$7:Z$7))))</f>
        <v/>
      </c>
      <c r="AA951" s="2223" t="str" cm="1">
        <f t="array" ref="AA951">IF($D951&lt;COLUMNS($F$7:AA$7),"",INDEX(TableDiv[[GASB]:[GASB]],_xlfn.AGGREGATE(15,3,(TableDiv[[Agency]:[Agency]]=$E951)/(TableDiv[[Agency]:[Agency]]=$E951)*(ROW(TableDiv[Agency])-ROW(TableDiv[[#Headers],[Agency]])),COLUMNS($F$7:AA$7))))</f>
        <v/>
      </c>
      <c r="AB951" s="2223" t="str" cm="1">
        <f t="array" ref="AB951">IF($D951&lt;COLUMNS($F$7:AB$7),"",INDEX(TableDiv[[GASB]:[GASB]],_xlfn.AGGREGATE(15,3,(TableDiv[[Agency]:[Agency]]=$E951)/(TableDiv[[Agency]:[Agency]]=$E951)*(ROW(TableDiv[Agency])-ROW(TableDiv[[#Headers],[Agency]])),COLUMNS($F$7:AB$7))))</f>
        <v/>
      </c>
      <c r="AC951" s="2223" t="str" cm="1">
        <f t="array" ref="AC951">IF($D951&lt;COLUMNS($F$7:AC$7),"",INDEX(TableDiv[[GASB]:[GASB]],_xlfn.AGGREGATE(15,3,(TableDiv[[Agency]:[Agency]]=$E951)/(TableDiv[[Agency]:[Agency]]=$E951)*(ROW(TableDiv[Agency])-ROW(TableDiv[[#Headers],[Agency]])),COLUMNS($F$7:AC$7))))</f>
        <v/>
      </c>
      <c r="AD951" s="2223" t="str" cm="1">
        <f t="array" ref="AD951">IF($D951&lt;COLUMNS($F$7:AD$7),"",INDEX(TableDiv[[GASB]:[GASB]],_xlfn.AGGREGATE(15,3,(TableDiv[[Agency]:[Agency]]=$E951)/(TableDiv[[Agency]:[Agency]]=$E951)*(ROW(TableDiv[Agency])-ROW(TableDiv[[#Headers],[Agency]])),COLUMNS($F$7:AD$7))))</f>
        <v/>
      </c>
      <c r="AE951" s="2223" t="str" cm="1">
        <f t="array" ref="AE951">IF($D951&lt;COLUMNS($F$7:AE$7),"",INDEX(TableDiv[[GASB]:[GASB]],_xlfn.AGGREGATE(15,3,(TableDiv[[Agency]:[Agency]]=$E951)/(TableDiv[[Agency]:[Agency]]=$E951)*(ROW(TableDiv[Agency])-ROW(TableDiv[[#Headers],[Agency]])),COLUMNS($F$7:AE$7))))</f>
        <v/>
      </c>
      <c r="AF951" s="2223" t="str" cm="1">
        <f t="array" ref="AF951">IF($D951&lt;COLUMNS($F$7:AF$7),"",INDEX(TableDiv[[GASB]:[GASB]],_xlfn.AGGREGATE(15,3,(TableDiv[[Agency]:[Agency]]=$E951)/(TableDiv[[Agency]:[Agency]]=$E951)*(ROW(TableDiv[Agency])-ROW(TableDiv[[#Headers],[Agency]])),COLUMNS($F$7:AF$7))))</f>
        <v/>
      </c>
      <c r="AG951" s="2223" t="str" cm="1">
        <f t="array" ref="AG951">IF($D951&lt;COLUMNS($F$7:AG$7),"",INDEX(TableDiv[[GASB]:[GASB]],_xlfn.AGGREGATE(15,3,(TableDiv[[Agency]:[Agency]]=$E951)/(TableDiv[[Agency]:[Agency]]=$E951)*(ROW(TableDiv[Agency])-ROW(TableDiv[[#Headers],[Agency]])),COLUMNS($F$7:AG$7))))</f>
        <v/>
      </c>
      <c r="AH951" s="2223" t="str" cm="1">
        <f t="array" ref="AH951">IF($D951&lt;COLUMNS($F$7:AH$7),"",INDEX(TableDiv[[GASB]:[GASB]],_xlfn.AGGREGATE(15,3,(TableDiv[[Agency]:[Agency]]=$E951)/(TableDiv[[Agency]:[Agency]]=$E951)*(ROW(TableDiv[Agency])-ROW(TableDiv[[#Headers],[Agency]])),COLUMNS($F$7:AH$7))))</f>
        <v/>
      </c>
      <c r="AI951" s="2223" t="str" cm="1">
        <f t="array" ref="AI951">IF($D951&lt;COLUMNS($F$7:AI$7),"",INDEX(TableDiv[[GASB]:[GASB]],_xlfn.AGGREGATE(15,3,(TableDiv[[Agency]:[Agency]]=$E951)/(TableDiv[[Agency]:[Agency]]=$E951)*(ROW(TableDiv[Agency])-ROW(TableDiv[[#Headers],[Agency]])),COLUMNS($F$7:AI$7))))</f>
        <v/>
      </c>
      <c r="AJ951" s="2223" t="str" cm="1">
        <f t="array" ref="AJ951">IF($D951&lt;COLUMNS($F$7:AJ$7),"",INDEX(TableDiv[[GASB]:[GASB]],_xlfn.AGGREGATE(15,3,(TableDiv[[Agency]:[Agency]]=$E951)/(TableDiv[[Agency]:[Agency]]=$E951)*(ROW(TableDiv[Agency])-ROW(TableDiv[[#Headers],[Agency]])),COLUMNS($F$7:AJ$7))))</f>
        <v/>
      </c>
      <c r="AK951" s="2223" t="str" cm="1">
        <f t="array" ref="AK951">IF($D951&lt;COLUMNS($F$7:AK$7),"",INDEX(TableDiv[[GASB]:[GASB]],_xlfn.AGGREGATE(15,3,(TableDiv[[Agency]:[Agency]]=$E951)/(TableDiv[[Agency]:[Agency]]=$E951)*(ROW(TableDiv[Agency])-ROW(TableDiv[[#Headers],[Agency]])),COLUMNS($F$7:AK$7))))</f>
        <v/>
      </c>
      <c r="AL951" s="2223" t="str" cm="1">
        <f t="array" ref="AL951">IF($D951&lt;COLUMNS($F$7:AL$7),"",INDEX(TableDiv[[GASB]:[GASB]],_xlfn.AGGREGATE(15,3,(TableDiv[[Agency]:[Agency]]=$E951)/(TableDiv[[Agency]:[Agency]]=$E951)*(ROW(TableDiv[Agency])-ROW(TableDiv[[#Headers],[Agency]])),COLUMNS($F$7:AL$7))))</f>
        <v/>
      </c>
      <c r="AM951" s="2223" t="str" cm="1">
        <f t="array" ref="AM951">IF($D951&lt;COLUMNS($F$7:AM$7),"",INDEX(TableDiv[[GASB]:[GASB]],_xlfn.AGGREGATE(15,3,(TableDiv[[Agency]:[Agency]]=$E951)/(TableDiv[[Agency]:[Agency]]=$E951)*(ROW(TableDiv[Agency])-ROW(TableDiv[[#Headers],[Agency]])),COLUMNS($F$7:AM$7))))</f>
        <v/>
      </c>
      <c r="AN951" s="2223"/>
      <c r="AO951" s="2223"/>
      <c r="AP951" s="2223"/>
      <c r="AQ951" s="2223"/>
      <c r="AR951" s="2223"/>
      <c r="AS951" s="2223"/>
    </row>
    <row r="952" spans="1:45" x14ac:dyDescent="0.2">
      <c r="A952" s="2223"/>
      <c r="B952" s="2223"/>
      <c r="C952" s="2223"/>
      <c r="W952" s="2223" t="str" cm="1">
        <f t="array" ref="W952">IF($D952&lt;COLUMNS($F$7:W$7),"",INDEX(TableDiv[[GASB]:[GASB]],_xlfn.AGGREGATE(15,3,(TableDiv[[Agency]:[Agency]]=$E952)/(TableDiv[[Agency]:[Agency]]=$E952)*(ROW(TableDiv[Agency])-ROW(TableDiv[[#Headers],[Agency]])),COLUMNS($F$7:W$7))))</f>
        <v/>
      </c>
      <c r="X952" s="2223" t="str" cm="1">
        <f t="array" ref="X952">IF($D952&lt;COLUMNS($F$7:X$7),"",INDEX(TableDiv[[GASB]:[GASB]],_xlfn.AGGREGATE(15,3,(TableDiv[[Agency]:[Agency]]=$E952)/(TableDiv[[Agency]:[Agency]]=$E952)*(ROW(TableDiv[Agency])-ROW(TableDiv[[#Headers],[Agency]])),COLUMNS($F$7:X$7))))</f>
        <v/>
      </c>
      <c r="Y952" s="2223" t="str" cm="1">
        <f t="array" ref="Y952">IF($D952&lt;COLUMNS($F$7:Y$7),"",INDEX(TableDiv[[GASB]:[GASB]],_xlfn.AGGREGATE(15,3,(TableDiv[[Agency]:[Agency]]=$E952)/(TableDiv[[Agency]:[Agency]]=$E952)*(ROW(TableDiv[Agency])-ROW(TableDiv[[#Headers],[Agency]])),COLUMNS($F$7:Y$7))))</f>
        <v/>
      </c>
      <c r="Z952" s="2223" t="str" cm="1">
        <f t="array" ref="Z952">IF($D952&lt;COLUMNS($F$7:Z$7),"",INDEX(TableDiv[[GASB]:[GASB]],_xlfn.AGGREGATE(15,3,(TableDiv[[Agency]:[Agency]]=$E952)/(TableDiv[[Agency]:[Agency]]=$E952)*(ROW(TableDiv[Agency])-ROW(TableDiv[[#Headers],[Agency]])),COLUMNS($F$7:Z$7))))</f>
        <v/>
      </c>
      <c r="AA952" s="2223" t="str" cm="1">
        <f t="array" ref="AA952">IF($D952&lt;COLUMNS($F$7:AA$7),"",INDEX(TableDiv[[GASB]:[GASB]],_xlfn.AGGREGATE(15,3,(TableDiv[[Agency]:[Agency]]=$E952)/(TableDiv[[Agency]:[Agency]]=$E952)*(ROW(TableDiv[Agency])-ROW(TableDiv[[#Headers],[Agency]])),COLUMNS($F$7:AA$7))))</f>
        <v/>
      </c>
      <c r="AB952" s="2223" t="str" cm="1">
        <f t="array" ref="AB952">IF($D952&lt;COLUMNS($F$7:AB$7),"",INDEX(TableDiv[[GASB]:[GASB]],_xlfn.AGGREGATE(15,3,(TableDiv[[Agency]:[Agency]]=$E952)/(TableDiv[[Agency]:[Agency]]=$E952)*(ROW(TableDiv[Agency])-ROW(TableDiv[[#Headers],[Agency]])),COLUMNS($F$7:AB$7))))</f>
        <v/>
      </c>
      <c r="AC952" s="2223" t="str" cm="1">
        <f t="array" ref="AC952">IF($D952&lt;COLUMNS($F$7:AC$7),"",INDEX(TableDiv[[GASB]:[GASB]],_xlfn.AGGREGATE(15,3,(TableDiv[[Agency]:[Agency]]=$E952)/(TableDiv[[Agency]:[Agency]]=$E952)*(ROW(TableDiv[Agency])-ROW(TableDiv[[#Headers],[Agency]])),COLUMNS($F$7:AC$7))))</f>
        <v/>
      </c>
      <c r="AD952" s="2223" t="str" cm="1">
        <f t="array" ref="AD952">IF($D952&lt;COLUMNS($F$7:AD$7),"",INDEX(TableDiv[[GASB]:[GASB]],_xlfn.AGGREGATE(15,3,(TableDiv[[Agency]:[Agency]]=$E952)/(TableDiv[[Agency]:[Agency]]=$E952)*(ROW(TableDiv[Agency])-ROW(TableDiv[[#Headers],[Agency]])),COLUMNS($F$7:AD$7))))</f>
        <v/>
      </c>
      <c r="AE952" s="2223" t="str" cm="1">
        <f t="array" ref="AE952">IF($D952&lt;COLUMNS($F$7:AE$7),"",INDEX(TableDiv[[GASB]:[GASB]],_xlfn.AGGREGATE(15,3,(TableDiv[[Agency]:[Agency]]=$E952)/(TableDiv[[Agency]:[Agency]]=$E952)*(ROW(TableDiv[Agency])-ROW(TableDiv[[#Headers],[Agency]])),COLUMNS($F$7:AE$7))))</f>
        <v/>
      </c>
      <c r="AF952" s="2223" t="str" cm="1">
        <f t="array" ref="AF952">IF($D952&lt;COLUMNS($F$7:AF$7),"",INDEX(TableDiv[[GASB]:[GASB]],_xlfn.AGGREGATE(15,3,(TableDiv[[Agency]:[Agency]]=$E952)/(TableDiv[[Agency]:[Agency]]=$E952)*(ROW(TableDiv[Agency])-ROW(TableDiv[[#Headers],[Agency]])),COLUMNS($F$7:AF$7))))</f>
        <v/>
      </c>
      <c r="AG952" s="2223" t="str" cm="1">
        <f t="array" ref="AG952">IF($D952&lt;COLUMNS($F$7:AG$7),"",INDEX(TableDiv[[GASB]:[GASB]],_xlfn.AGGREGATE(15,3,(TableDiv[[Agency]:[Agency]]=$E952)/(TableDiv[[Agency]:[Agency]]=$E952)*(ROW(TableDiv[Agency])-ROW(TableDiv[[#Headers],[Agency]])),COLUMNS($F$7:AG$7))))</f>
        <v/>
      </c>
      <c r="AH952" s="2223" t="str" cm="1">
        <f t="array" ref="AH952">IF($D952&lt;COLUMNS($F$7:AH$7),"",INDEX(TableDiv[[GASB]:[GASB]],_xlfn.AGGREGATE(15,3,(TableDiv[[Agency]:[Agency]]=$E952)/(TableDiv[[Agency]:[Agency]]=$E952)*(ROW(TableDiv[Agency])-ROW(TableDiv[[#Headers],[Agency]])),COLUMNS($F$7:AH$7))))</f>
        <v/>
      </c>
      <c r="AI952" s="2223" t="str" cm="1">
        <f t="array" ref="AI952">IF($D952&lt;COLUMNS($F$7:AI$7),"",INDEX(TableDiv[[GASB]:[GASB]],_xlfn.AGGREGATE(15,3,(TableDiv[[Agency]:[Agency]]=$E952)/(TableDiv[[Agency]:[Agency]]=$E952)*(ROW(TableDiv[Agency])-ROW(TableDiv[[#Headers],[Agency]])),COLUMNS($F$7:AI$7))))</f>
        <v/>
      </c>
      <c r="AJ952" s="2223" t="str" cm="1">
        <f t="array" ref="AJ952">IF($D952&lt;COLUMNS($F$7:AJ$7),"",INDEX(TableDiv[[GASB]:[GASB]],_xlfn.AGGREGATE(15,3,(TableDiv[[Agency]:[Agency]]=$E952)/(TableDiv[[Agency]:[Agency]]=$E952)*(ROW(TableDiv[Agency])-ROW(TableDiv[[#Headers],[Agency]])),COLUMNS($F$7:AJ$7))))</f>
        <v/>
      </c>
      <c r="AK952" s="2223" t="str" cm="1">
        <f t="array" ref="AK952">IF($D952&lt;COLUMNS($F$7:AK$7),"",INDEX(TableDiv[[GASB]:[GASB]],_xlfn.AGGREGATE(15,3,(TableDiv[[Agency]:[Agency]]=$E952)/(TableDiv[[Agency]:[Agency]]=$E952)*(ROW(TableDiv[Agency])-ROW(TableDiv[[#Headers],[Agency]])),COLUMNS($F$7:AK$7))))</f>
        <v/>
      </c>
      <c r="AL952" s="2223" t="str" cm="1">
        <f t="array" ref="AL952">IF($D952&lt;COLUMNS($F$7:AL$7),"",INDEX(TableDiv[[GASB]:[GASB]],_xlfn.AGGREGATE(15,3,(TableDiv[[Agency]:[Agency]]=$E952)/(TableDiv[[Agency]:[Agency]]=$E952)*(ROW(TableDiv[Agency])-ROW(TableDiv[[#Headers],[Agency]])),COLUMNS($F$7:AL$7))))</f>
        <v/>
      </c>
      <c r="AM952" s="2223" t="str" cm="1">
        <f t="array" ref="AM952">IF($D952&lt;COLUMNS($F$7:AM$7),"",INDEX(TableDiv[[GASB]:[GASB]],_xlfn.AGGREGATE(15,3,(TableDiv[[Agency]:[Agency]]=$E952)/(TableDiv[[Agency]:[Agency]]=$E952)*(ROW(TableDiv[Agency])-ROW(TableDiv[[#Headers],[Agency]])),COLUMNS($F$7:AM$7))))</f>
        <v/>
      </c>
      <c r="AN952" s="2223"/>
      <c r="AO952" s="2223"/>
      <c r="AP952" s="2223"/>
      <c r="AQ952" s="2223"/>
      <c r="AR952" s="2223"/>
      <c r="AS952" s="2223"/>
    </row>
    <row r="953" spans="1:45" x14ac:dyDescent="0.2">
      <c r="A953" s="2223"/>
      <c r="B953" s="2223"/>
      <c r="C953" s="2223"/>
      <c r="W953" s="2223" t="str" cm="1">
        <f t="array" ref="W953">IF($D953&lt;COLUMNS($F$7:W$7),"",INDEX(TableDiv[[GASB]:[GASB]],_xlfn.AGGREGATE(15,3,(TableDiv[[Agency]:[Agency]]=$E953)/(TableDiv[[Agency]:[Agency]]=$E953)*(ROW(TableDiv[Agency])-ROW(TableDiv[[#Headers],[Agency]])),COLUMNS($F$7:W$7))))</f>
        <v/>
      </c>
      <c r="X953" s="2223" t="str" cm="1">
        <f t="array" ref="X953">IF($D953&lt;COLUMNS($F$7:X$7),"",INDEX(TableDiv[[GASB]:[GASB]],_xlfn.AGGREGATE(15,3,(TableDiv[[Agency]:[Agency]]=$E953)/(TableDiv[[Agency]:[Agency]]=$E953)*(ROW(TableDiv[Agency])-ROW(TableDiv[[#Headers],[Agency]])),COLUMNS($F$7:X$7))))</f>
        <v/>
      </c>
      <c r="Y953" s="2223" t="str" cm="1">
        <f t="array" ref="Y953">IF($D953&lt;COLUMNS($F$7:Y$7),"",INDEX(TableDiv[[GASB]:[GASB]],_xlfn.AGGREGATE(15,3,(TableDiv[[Agency]:[Agency]]=$E953)/(TableDiv[[Agency]:[Agency]]=$E953)*(ROW(TableDiv[Agency])-ROW(TableDiv[[#Headers],[Agency]])),COLUMNS($F$7:Y$7))))</f>
        <v/>
      </c>
      <c r="Z953" s="2223" t="str" cm="1">
        <f t="array" ref="Z953">IF($D953&lt;COLUMNS($F$7:Z$7),"",INDEX(TableDiv[[GASB]:[GASB]],_xlfn.AGGREGATE(15,3,(TableDiv[[Agency]:[Agency]]=$E953)/(TableDiv[[Agency]:[Agency]]=$E953)*(ROW(TableDiv[Agency])-ROW(TableDiv[[#Headers],[Agency]])),COLUMNS($F$7:Z$7))))</f>
        <v/>
      </c>
      <c r="AA953" s="2223" t="str" cm="1">
        <f t="array" ref="AA953">IF($D953&lt;COLUMNS($F$7:AA$7),"",INDEX(TableDiv[[GASB]:[GASB]],_xlfn.AGGREGATE(15,3,(TableDiv[[Agency]:[Agency]]=$E953)/(TableDiv[[Agency]:[Agency]]=$E953)*(ROW(TableDiv[Agency])-ROW(TableDiv[[#Headers],[Agency]])),COLUMNS($F$7:AA$7))))</f>
        <v/>
      </c>
      <c r="AB953" s="2223" t="str" cm="1">
        <f t="array" ref="AB953">IF($D953&lt;COLUMNS($F$7:AB$7),"",INDEX(TableDiv[[GASB]:[GASB]],_xlfn.AGGREGATE(15,3,(TableDiv[[Agency]:[Agency]]=$E953)/(TableDiv[[Agency]:[Agency]]=$E953)*(ROW(TableDiv[Agency])-ROW(TableDiv[[#Headers],[Agency]])),COLUMNS($F$7:AB$7))))</f>
        <v/>
      </c>
      <c r="AC953" s="2223" t="str" cm="1">
        <f t="array" ref="AC953">IF($D953&lt;COLUMNS($F$7:AC$7),"",INDEX(TableDiv[[GASB]:[GASB]],_xlfn.AGGREGATE(15,3,(TableDiv[[Agency]:[Agency]]=$E953)/(TableDiv[[Agency]:[Agency]]=$E953)*(ROW(TableDiv[Agency])-ROW(TableDiv[[#Headers],[Agency]])),COLUMNS($F$7:AC$7))))</f>
        <v/>
      </c>
      <c r="AD953" s="2223" t="str" cm="1">
        <f t="array" ref="AD953">IF($D953&lt;COLUMNS($F$7:AD$7),"",INDEX(TableDiv[[GASB]:[GASB]],_xlfn.AGGREGATE(15,3,(TableDiv[[Agency]:[Agency]]=$E953)/(TableDiv[[Agency]:[Agency]]=$E953)*(ROW(TableDiv[Agency])-ROW(TableDiv[[#Headers],[Agency]])),COLUMNS($F$7:AD$7))))</f>
        <v/>
      </c>
      <c r="AE953" s="2223" t="str" cm="1">
        <f t="array" ref="AE953">IF($D953&lt;COLUMNS($F$7:AE$7),"",INDEX(TableDiv[[GASB]:[GASB]],_xlfn.AGGREGATE(15,3,(TableDiv[[Agency]:[Agency]]=$E953)/(TableDiv[[Agency]:[Agency]]=$E953)*(ROW(TableDiv[Agency])-ROW(TableDiv[[#Headers],[Agency]])),COLUMNS($F$7:AE$7))))</f>
        <v/>
      </c>
      <c r="AF953" s="2223" t="str" cm="1">
        <f t="array" ref="AF953">IF($D953&lt;COLUMNS($F$7:AF$7),"",INDEX(TableDiv[[GASB]:[GASB]],_xlfn.AGGREGATE(15,3,(TableDiv[[Agency]:[Agency]]=$E953)/(TableDiv[[Agency]:[Agency]]=$E953)*(ROW(TableDiv[Agency])-ROW(TableDiv[[#Headers],[Agency]])),COLUMNS($F$7:AF$7))))</f>
        <v/>
      </c>
      <c r="AG953" s="2223" t="str" cm="1">
        <f t="array" ref="AG953">IF($D953&lt;COLUMNS($F$7:AG$7),"",INDEX(TableDiv[[GASB]:[GASB]],_xlfn.AGGREGATE(15,3,(TableDiv[[Agency]:[Agency]]=$E953)/(TableDiv[[Agency]:[Agency]]=$E953)*(ROW(TableDiv[Agency])-ROW(TableDiv[[#Headers],[Agency]])),COLUMNS($F$7:AG$7))))</f>
        <v/>
      </c>
      <c r="AH953" s="2223" t="str" cm="1">
        <f t="array" ref="AH953">IF($D953&lt;COLUMNS($F$7:AH$7),"",INDEX(TableDiv[[GASB]:[GASB]],_xlfn.AGGREGATE(15,3,(TableDiv[[Agency]:[Agency]]=$E953)/(TableDiv[[Agency]:[Agency]]=$E953)*(ROW(TableDiv[Agency])-ROW(TableDiv[[#Headers],[Agency]])),COLUMNS($F$7:AH$7))))</f>
        <v/>
      </c>
      <c r="AI953" s="2223" t="str" cm="1">
        <f t="array" ref="AI953">IF($D953&lt;COLUMNS($F$7:AI$7),"",INDEX(TableDiv[[GASB]:[GASB]],_xlfn.AGGREGATE(15,3,(TableDiv[[Agency]:[Agency]]=$E953)/(TableDiv[[Agency]:[Agency]]=$E953)*(ROW(TableDiv[Agency])-ROW(TableDiv[[#Headers],[Agency]])),COLUMNS($F$7:AI$7))))</f>
        <v/>
      </c>
      <c r="AJ953" s="2223" t="str" cm="1">
        <f t="array" ref="AJ953">IF($D953&lt;COLUMNS($F$7:AJ$7),"",INDEX(TableDiv[[GASB]:[GASB]],_xlfn.AGGREGATE(15,3,(TableDiv[[Agency]:[Agency]]=$E953)/(TableDiv[[Agency]:[Agency]]=$E953)*(ROW(TableDiv[Agency])-ROW(TableDiv[[#Headers],[Agency]])),COLUMNS($F$7:AJ$7))))</f>
        <v/>
      </c>
      <c r="AK953" s="2223" t="str" cm="1">
        <f t="array" ref="AK953">IF($D953&lt;COLUMNS($F$7:AK$7),"",INDEX(TableDiv[[GASB]:[GASB]],_xlfn.AGGREGATE(15,3,(TableDiv[[Agency]:[Agency]]=$E953)/(TableDiv[[Agency]:[Agency]]=$E953)*(ROW(TableDiv[Agency])-ROW(TableDiv[[#Headers],[Agency]])),COLUMNS($F$7:AK$7))))</f>
        <v/>
      </c>
      <c r="AL953" s="2223" t="str" cm="1">
        <f t="array" ref="AL953">IF($D953&lt;COLUMNS($F$7:AL$7),"",INDEX(TableDiv[[GASB]:[GASB]],_xlfn.AGGREGATE(15,3,(TableDiv[[Agency]:[Agency]]=$E953)/(TableDiv[[Agency]:[Agency]]=$E953)*(ROW(TableDiv[Agency])-ROW(TableDiv[[#Headers],[Agency]])),COLUMNS($F$7:AL$7))))</f>
        <v/>
      </c>
      <c r="AM953" s="2223" t="str" cm="1">
        <f t="array" ref="AM953">IF($D953&lt;COLUMNS($F$7:AM$7),"",INDEX(TableDiv[[GASB]:[GASB]],_xlfn.AGGREGATE(15,3,(TableDiv[[Agency]:[Agency]]=$E953)/(TableDiv[[Agency]:[Agency]]=$E953)*(ROW(TableDiv[Agency])-ROW(TableDiv[[#Headers],[Agency]])),COLUMNS($F$7:AM$7))))</f>
        <v/>
      </c>
      <c r="AN953" s="2223"/>
      <c r="AO953" s="2223"/>
      <c r="AP953" s="2223"/>
      <c r="AQ953" s="2223"/>
      <c r="AR953" s="2223"/>
      <c r="AS953" s="2223"/>
    </row>
    <row r="954" spans="1:45" x14ac:dyDescent="0.2">
      <c r="A954" s="2223"/>
      <c r="B954" s="2223"/>
      <c r="C954" s="2223"/>
      <c r="W954" s="2223" t="str" cm="1">
        <f t="array" ref="W954">IF($D954&lt;COLUMNS($F$7:W$7),"",INDEX(TableDiv[[GASB]:[GASB]],_xlfn.AGGREGATE(15,3,(TableDiv[[Agency]:[Agency]]=$E954)/(TableDiv[[Agency]:[Agency]]=$E954)*(ROW(TableDiv[Agency])-ROW(TableDiv[[#Headers],[Agency]])),COLUMNS($F$7:W$7))))</f>
        <v/>
      </c>
      <c r="X954" s="2223" t="str" cm="1">
        <f t="array" ref="X954">IF($D954&lt;COLUMNS($F$7:X$7),"",INDEX(TableDiv[[GASB]:[GASB]],_xlfn.AGGREGATE(15,3,(TableDiv[[Agency]:[Agency]]=$E954)/(TableDiv[[Agency]:[Agency]]=$E954)*(ROW(TableDiv[Agency])-ROW(TableDiv[[#Headers],[Agency]])),COLUMNS($F$7:X$7))))</f>
        <v/>
      </c>
      <c r="Y954" s="2223" t="str" cm="1">
        <f t="array" ref="Y954">IF($D954&lt;COLUMNS($F$7:Y$7),"",INDEX(TableDiv[[GASB]:[GASB]],_xlfn.AGGREGATE(15,3,(TableDiv[[Agency]:[Agency]]=$E954)/(TableDiv[[Agency]:[Agency]]=$E954)*(ROW(TableDiv[Agency])-ROW(TableDiv[[#Headers],[Agency]])),COLUMNS($F$7:Y$7))))</f>
        <v/>
      </c>
      <c r="Z954" s="2223" t="str" cm="1">
        <f t="array" ref="Z954">IF($D954&lt;COLUMNS($F$7:Z$7),"",INDEX(TableDiv[[GASB]:[GASB]],_xlfn.AGGREGATE(15,3,(TableDiv[[Agency]:[Agency]]=$E954)/(TableDiv[[Agency]:[Agency]]=$E954)*(ROW(TableDiv[Agency])-ROW(TableDiv[[#Headers],[Agency]])),COLUMNS($F$7:Z$7))))</f>
        <v/>
      </c>
      <c r="AA954" s="2223" t="str" cm="1">
        <f t="array" ref="AA954">IF($D954&lt;COLUMNS($F$7:AA$7),"",INDEX(TableDiv[[GASB]:[GASB]],_xlfn.AGGREGATE(15,3,(TableDiv[[Agency]:[Agency]]=$E954)/(TableDiv[[Agency]:[Agency]]=$E954)*(ROW(TableDiv[Agency])-ROW(TableDiv[[#Headers],[Agency]])),COLUMNS($F$7:AA$7))))</f>
        <v/>
      </c>
      <c r="AB954" s="2223" t="str" cm="1">
        <f t="array" ref="AB954">IF($D954&lt;COLUMNS($F$7:AB$7),"",INDEX(TableDiv[[GASB]:[GASB]],_xlfn.AGGREGATE(15,3,(TableDiv[[Agency]:[Agency]]=$E954)/(TableDiv[[Agency]:[Agency]]=$E954)*(ROW(TableDiv[Agency])-ROW(TableDiv[[#Headers],[Agency]])),COLUMNS($F$7:AB$7))))</f>
        <v/>
      </c>
      <c r="AC954" s="2223" t="str" cm="1">
        <f t="array" ref="AC954">IF($D954&lt;COLUMNS($F$7:AC$7),"",INDEX(TableDiv[[GASB]:[GASB]],_xlfn.AGGREGATE(15,3,(TableDiv[[Agency]:[Agency]]=$E954)/(TableDiv[[Agency]:[Agency]]=$E954)*(ROW(TableDiv[Agency])-ROW(TableDiv[[#Headers],[Agency]])),COLUMNS($F$7:AC$7))))</f>
        <v/>
      </c>
      <c r="AD954" s="2223" t="str" cm="1">
        <f t="array" ref="AD954">IF($D954&lt;COLUMNS($F$7:AD$7),"",INDEX(TableDiv[[GASB]:[GASB]],_xlfn.AGGREGATE(15,3,(TableDiv[[Agency]:[Agency]]=$E954)/(TableDiv[[Agency]:[Agency]]=$E954)*(ROW(TableDiv[Agency])-ROW(TableDiv[[#Headers],[Agency]])),COLUMNS($F$7:AD$7))))</f>
        <v/>
      </c>
      <c r="AE954" s="2223" t="str" cm="1">
        <f t="array" ref="AE954">IF($D954&lt;COLUMNS($F$7:AE$7),"",INDEX(TableDiv[[GASB]:[GASB]],_xlfn.AGGREGATE(15,3,(TableDiv[[Agency]:[Agency]]=$E954)/(TableDiv[[Agency]:[Agency]]=$E954)*(ROW(TableDiv[Agency])-ROW(TableDiv[[#Headers],[Agency]])),COLUMNS($F$7:AE$7))))</f>
        <v/>
      </c>
      <c r="AF954" s="2223" t="str" cm="1">
        <f t="array" ref="AF954">IF($D954&lt;COLUMNS($F$7:AF$7),"",INDEX(TableDiv[[GASB]:[GASB]],_xlfn.AGGREGATE(15,3,(TableDiv[[Agency]:[Agency]]=$E954)/(TableDiv[[Agency]:[Agency]]=$E954)*(ROW(TableDiv[Agency])-ROW(TableDiv[[#Headers],[Agency]])),COLUMNS($F$7:AF$7))))</f>
        <v/>
      </c>
      <c r="AG954" s="2223" t="str" cm="1">
        <f t="array" ref="AG954">IF($D954&lt;COLUMNS($F$7:AG$7),"",INDEX(TableDiv[[GASB]:[GASB]],_xlfn.AGGREGATE(15,3,(TableDiv[[Agency]:[Agency]]=$E954)/(TableDiv[[Agency]:[Agency]]=$E954)*(ROW(TableDiv[Agency])-ROW(TableDiv[[#Headers],[Agency]])),COLUMNS($F$7:AG$7))))</f>
        <v/>
      </c>
      <c r="AH954" s="2223" t="str" cm="1">
        <f t="array" ref="AH954">IF($D954&lt;COLUMNS($F$7:AH$7),"",INDEX(TableDiv[[GASB]:[GASB]],_xlfn.AGGREGATE(15,3,(TableDiv[[Agency]:[Agency]]=$E954)/(TableDiv[[Agency]:[Agency]]=$E954)*(ROW(TableDiv[Agency])-ROW(TableDiv[[#Headers],[Agency]])),COLUMNS($F$7:AH$7))))</f>
        <v/>
      </c>
      <c r="AI954" s="2223" t="str" cm="1">
        <f t="array" ref="AI954">IF($D954&lt;COLUMNS($F$7:AI$7),"",INDEX(TableDiv[[GASB]:[GASB]],_xlfn.AGGREGATE(15,3,(TableDiv[[Agency]:[Agency]]=$E954)/(TableDiv[[Agency]:[Agency]]=$E954)*(ROW(TableDiv[Agency])-ROW(TableDiv[[#Headers],[Agency]])),COLUMNS($F$7:AI$7))))</f>
        <v/>
      </c>
      <c r="AJ954" s="2223" t="str" cm="1">
        <f t="array" ref="AJ954">IF($D954&lt;COLUMNS($F$7:AJ$7),"",INDEX(TableDiv[[GASB]:[GASB]],_xlfn.AGGREGATE(15,3,(TableDiv[[Agency]:[Agency]]=$E954)/(TableDiv[[Agency]:[Agency]]=$E954)*(ROW(TableDiv[Agency])-ROW(TableDiv[[#Headers],[Agency]])),COLUMNS($F$7:AJ$7))))</f>
        <v/>
      </c>
      <c r="AK954" s="2223" t="str" cm="1">
        <f t="array" ref="AK954">IF($D954&lt;COLUMNS($F$7:AK$7),"",INDEX(TableDiv[[GASB]:[GASB]],_xlfn.AGGREGATE(15,3,(TableDiv[[Agency]:[Agency]]=$E954)/(TableDiv[[Agency]:[Agency]]=$E954)*(ROW(TableDiv[Agency])-ROW(TableDiv[[#Headers],[Agency]])),COLUMNS($F$7:AK$7))))</f>
        <v/>
      </c>
      <c r="AL954" s="2223" t="str" cm="1">
        <f t="array" ref="AL954">IF($D954&lt;COLUMNS($F$7:AL$7),"",INDEX(TableDiv[[GASB]:[GASB]],_xlfn.AGGREGATE(15,3,(TableDiv[[Agency]:[Agency]]=$E954)/(TableDiv[[Agency]:[Agency]]=$E954)*(ROW(TableDiv[Agency])-ROW(TableDiv[[#Headers],[Agency]])),COLUMNS($F$7:AL$7))))</f>
        <v/>
      </c>
      <c r="AM954" s="2223" t="str" cm="1">
        <f t="array" ref="AM954">IF($D954&lt;COLUMNS($F$7:AM$7),"",INDEX(TableDiv[[GASB]:[GASB]],_xlfn.AGGREGATE(15,3,(TableDiv[[Agency]:[Agency]]=$E954)/(TableDiv[[Agency]:[Agency]]=$E954)*(ROW(TableDiv[Agency])-ROW(TableDiv[[#Headers],[Agency]])),COLUMNS($F$7:AM$7))))</f>
        <v/>
      </c>
      <c r="AN954" s="2223"/>
      <c r="AO954" s="2223"/>
      <c r="AP954" s="2223"/>
      <c r="AQ954" s="2223"/>
      <c r="AR954" s="2223"/>
      <c r="AS954" s="2223"/>
    </row>
    <row r="955" spans="1:45" x14ac:dyDescent="0.2">
      <c r="A955" s="2223"/>
      <c r="B955" s="2223"/>
      <c r="C955" s="2223"/>
      <c r="W955" s="2223" t="str" cm="1">
        <f t="array" ref="W955">IF($D955&lt;COLUMNS($F$7:W$7),"",INDEX(TableDiv[[GASB]:[GASB]],_xlfn.AGGREGATE(15,3,(TableDiv[[Agency]:[Agency]]=$E955)/(TableDiv[[Agency]:[Agency]]=$E955)*(ROW(TableDiv[Agency])-ROW(TableDiv[[#Headers],[Agency]])),COLUMNS($F$7:W$7))))</f>
        <v/>
      </c>
      <c r="X955" s="2223" t="str" cm="1">
        <f t="array" ref="X955">IF($D955&lt;COLUMNS($F$7:X$7),"",INDEX(TableDiv[[GASB]:[GASB]],_xlfn.AGGREGATE(15,3,(TableDiv[[Agency]:[Agency]]=$E955)/(TableDiv[[Agency]:[Agency]]=$E955)*(ROW(TableDiv[Agency])-ROW(TableDiv[[#Headers],[Agency]])),COLUMNS($F$7:X$7))))</f>
        <v/>
      </c>
      <c r="Y955" s="2223" t="str" cm="1">
        <f t="array" ref="Y955">IF($D955&lt;COLUMNS($F$7:Y$7),"",INDEX(TableDiv[[GASB]:[GASB]],_xlfn.AGGREGATE(15,3,(TableDiv[[Agency]:[Agency]]=$E955)/(TableDiv[[Agency]:[Agency]]=$E955)*(ROW(TableDiv[Agency])-ROW(TableDiv[[#Headers],[Agency]])),COLUMNS($F$7:Y$7))))</f>
        <v/>
      </c>
      <c r="Z955" s="2223" t="str" cm="1">
        <f t="array" ref="Z955">IF($D955&lt;COLUMNS($F$7:Z$7),"",INDEX(TableDiv[[GASB]:[GASB]],_xlfn.AGGREGATE(15,3,(TableDiv[[Agency]:[Agency]]=$E955)/(TableDiv[[Agency]:[Agency]]=$E955)*(ROW(TableDiv[Agency])-ROW(TableDiv[[#Headers],[Agency]])),COLUMNS($F$7:Z$7))))</f>
        <v/>
      </c>
      <c r="AA955" s="2223" t="str" cm="1">
        <f t="array" ref="AA955">IF($D955&lt;COLUMNS($F$7:AA$7),"",INDEX(TableDiv[[GASB]:[GASB]],_xlfn.AGGREGATE(15,3,(TableDiv[[Agency]:[Agency]]=$E955)/(TableDiv[[Agency]:[Agency]]=$E955)*(ROW(TableDiv[Agency])-ROW(TableDiv[[#Headers],[Agency]])),COLUMNS($F$7:AA$7))))</f>
        <v/>
      </c>
      <c r="AB955" s="2223" t="str" cm="1">
        <f t="array" ref="AB955">IF($D955&lt;COLUMNS($F$7:AB$7),"",INDEX(TableDiv[[GASB]:[GASB]],_xlfn.AGGREGATE(15,3,(TableDiv[[Agency]:[Agency]]=$E955)/(TableDiv[[Agency]:[Agency]]=$E955)*(ROW(TableDiv[Agency])-ROW(TableDiv[[#Headers],[Agency]])),COLUMNS($F$7:AB$7))))</f>
        <v/>
      </c>
      <c r="AC955" s="2223" t="str" cm="1">
        <f t="array" ref="AC955">IF($D955&lt;COLUMNS($F$7:AC$7),"",INDEX(TableDiv[[GASB]:[GASB]],_xlfn.AGGREGATE(15,3,(TableDiv[[Agency]:[Agency]]=$E955)/(TableDiv[[Agency]:[Agency]]=$E955)*(ROW(TableDiv[Agency])-ROW(TableDiv[[#Headers],[Agency]])),COLUMNS($F$7:AC$7))))</f>
        <v/>
      </c>
      <c r="AD955" s="2223" t="str" cm="1">
        <f t="array" ref="AD955">IF($D955&lt;COLUMNS($F$7:AD$7),"",INDEX(TableDiv[[GASB]:[GASB]],_xlfn.AGGREGATE(15,3,(TableDiv[[Agency]:[Agency]]=$E955)/(TableDiv[[Agency]:[Agency]]=$E955)*(ROW(TableDiv[Agency])-ROW(TableDiv[[#Headers],[Agency]])),COLUMNS($F$7:AD$7))))</f>
        <v/>
      </c>
      <c r="AE955" s="2223" t="str" cm="1">
        <f t="array" ref="AE955">IF($D955&lt;COLUMNS($F$7:AE$7),"",INDEX(TableDiv[[GASB]:[GASB]],_xlfn.AGGREGATE(15,3,(TableDiv[[Agency]:[Agency]]=$E955)/(TableDiv[[Agency]:[Agency]]=$E955)*(ROW(TableDiv[Agency])-ROW(TableDiv[[#Headers],[Agency]])),COLUMNS($F$7:AE$7))))</f>
        <v/>
      </c>
      <c r="AF955" s="2223" t="str" cm="1">
        <f t="array" ref="AF955">IF($D955&lt;COLUMNS($F$7:AF$7),"",INDEX(TableDiv[[GASB]:[GASB]],_xlfn.AGGREGATE(15,3,(TableDiv[[Agency]:[Agency]]=$E955)/(TableDiv[[Agency]:[Agency]]=$E955)*(ROW(TableDiv[Agency])-ROW(TableDiv[[#Headers],[Agency]])),COLUMNS($F$7:AF$7))))</f>
        <v/>
      </c>
      <c r="AG955" s="2223" t="str" cm="1">
        <f t="array" ref="AG955">IF($D955&lt;COLUMNS($F$7:AG$7),"",INDEX(TableDiv[[GASB]:[GASB]],_xlfn.AGGREGATE(15,3,(TableDiv[[Agency]:[Agency]]=$E955)/(TableDiv[[Agency]:[Agency]]=$E955)*(ROW(TableDiv[Agency])-ROW(TableDiv[[#Headers],[Agency]])),COLUMNS($F$7:AG$7))))</f>
        <v/>
      </c>
      <c r="AH955" s="2223" t="str" cm="1">
        <f t="array" ref="AH955">IF($D955&lt;COLUMNS($F$7:AH$7),"",INDEX(TableDiv[[GASB]:[GASB]],_xlfn.AGGREGATE(15,3,(TableDiv[[Agency]:[Agency]]=$E955)/(TableDiv[[Agency]:[Agency]]=$E955)*(ROW(TableDiv[Agency])-ROW(TableDiv[[#Headers],[Agency]])),COLUMNS($F$7:AH$7))))</f>
        <v/>
      </c>
      <c r="AI955" s="2223" t="str" cm="1">
        <f t="array" ref="AI955">IF($D955&lt;COLUMNS($F$7:AI$7),"",INDEX(TableDiv[[GASB]:[GASB]],_xlfn.AGGREGATE(15,3,(TableDiv[[Agency]:[Agency]]=$E955)/(TableDiv[[Agency]:[Agency]]=$E955)*(ROW(TableDiv[Agency])-ROW(TableDiv[[#Headers],[Agency]])),COLUMNS($F$7:AI$7))))</f>
        <v/>
      </c>
      <c r="AJ955" s="2223" t="str" cm="1">
        <f t="array" ref="AJ955">IF($D955&lt;COLUMNS($F$7:AJ$7),"",INDEX(TableDiv[[GASB]:[GASB]],_xlfn.AGGREGATE(15,3,(TableDiv[[Agency]:[Agency]]=$E955)/(TableDiv[[Agency]:[Agency]]=$E955)*(ROW(TableDiv[Agency])-ROW(TableDiv[[#Headers],[Agency]])),COLUMNS($F$7:AJ$7))))</f>
        <v/>
      </c>
      <c r="AK955" s="2223" t="str" cm="1">
        <f t="array" ref="AK955">IF($D955&lt;COLUMNS($F$7:AK$7),"",INDEX(TableDiv[[GASB]:[GASB]],_xlfn.AGGREGATE(15,3,(TableDiv[[Agency]:[Agency]]=$E955)/(TableDiv[[Agency]:[Agency]]=$E955)*(ROW(TableDiv[Agency])-ROW(TableDiv[[#Headers],[Agency]])),COLUMNS($F$7:AK$7))))</f>
        <v/>
      </c>
      <c r="AL955" s="2223" t="str" cm="1">
        <f t="array" ref="AL955">IF($D955&lt;COLUMNS($F$7:AL$7),"",INDEX(TableDiv[[GASB]:[GASB]],_xlfn.AGGREGATE(15,3,(TableDiv[[Agency]:[Agency]]=$E955)/(TableDiv[[Agency]:[Agency]]=$E955)*(ROW(TableDiv[Agency])-ROW(TableDiv[[#Headers],[Agency]])),COLUMNS($F$7:AL$7))))</f>
        <v/>
      </c>
      <c r="AM955" s="2223" t="str" cm="1">
        <f t="array" ref="AM955">IF($D955&lt;COLUMNS($F$7:AM$7),"",INDEX(TableDiv[[GASB]:[GASB]],_xlfn.AGGREGATE(15,3,(TableDiv[[Agency]:[Agency]]=$E955)/(TableDiv[[Agency]:[Agency]]=$E955)*(ROW(TableDiv[Agency])-ROW(TableDiv[[#Headers],[Agency]])),COLUMNS($F$7:AM$7))))</f>
        <v/>
      </c>
      <c r="AN955" s="2223"/>
      <c r="AO955" s="2223"/>
      <c r="AP955" s="2223"/>
      <c r="AQ955" s="2223"/>
      <c r="AR955" s="2223"/>
      <c r="AS955" s="2223"/>
    </row>
    <row r="956" spans="1:45" x14ac:dyDescent="0.2">
      <c r="A956" s="2223"/>
      <c r="B956" s="2223"/>
      <c r="C956" s="2223"/>
      <c r="W956" s="2223" t="str" cm="1">
        <f t="array" ref="W956">IF($D956&lt;COLUMNS($F$7:W$7),"",INDEX(TableDiv[[GASB]:[GASB]],_xlfn.AGGREGATE(15,3,(TableDiv[[Agency]:[Agency]]=$E956)/(TableDiv[[Agency]:[Agency]]=$E956)*(ROW(TableDiv[Agency])-ROW(TableDiv[[#Headers],[Agency]])),COLUMNS($F$7:W$7))))</f>
        <v/>
      </c>
      <c r="X956" s="2223" t="str" cm="1">
        <f t="array" ref="X956">IF($D956&lt;COLUMNS($F$7:X$7),"",INDEX(TableDiv[[GASB]:[GASB]],_xlfn.AGGREGATE(15,3,(TableDiv[[Agency]:[Agency]]=$E956)/(TableDiv[[Agency]:[Agency]]=$E956)*(ROW(TableDiv[Agency])-ROW(TableDiv[[#Headers],[Agency]])),COLUMNS($F$7:X$7))))</f>
        <v/>
      </c>
      <c r="Y956" s="2223" t="str" cm="1">
        <f t="array" ref="Y956">IF($D956&lt;COLUMNS($F$7:Y$7),"",INDEX(TableDiv[[GASB]:[GASB]],_xlfn.AGGREGATE(15,3,(TableDiv[[Agency]:[Agency]]=$E956)/(TableDiv[[Agency]:[Agency]]=$E956)*(ROW(TableDiv[Agency])-ROW(TableDiv[[#Headers],[Agency]])),COLUMNS($F$7:Y$7))))</f>
        <v/>
      </c>
      <c r="Z956" s="2223" t="str" cm="1">
        <f t="array" ref="Z956">IF($D956&lt;COLUMNS($F$7:Z$7),"",INDEX(TableDiv[[GASB]:[GASB]],_xlfn.AGGREGATE(15,3,(TableDiv[[Agency]:[Agency]]=$E956)/(TableDiv[[Agency]:[Agency]]=$E956)*(ROW(TableDiv[Agency])-ROW(TableDiv[[#Headers],[Agency]])),COLUMNS($F$7:Z$7))))</f>
        <v/>
      </c>
      <c r="AA956" s="2223" t="str" cm="1">
        <f t="array" ref="AA956">IF($D956&lt;COLUMNS($F$7:AA$7),"",INDEX(TableDiv[[GASB]:[GASB]],_xlfn.AGGREGATE(15,3,(TableDiv[[Agency]:[Agency]]=$E956)/(TableDiv[[Agency]:[Agency]]=$E956)*(ROW(TableDiv[Agency])-ROW(TableDiv[[#Headers],[Agency]])),COLUMNS($F$7:AA$7))))</f>
        <v/>
      </c>
      <c r="AB956" s="2223" t="str" cm="1">
        <f t="array" ref="AB956">IF($D956&lt;COLUMNS($F$7:AB$7),"",INDEX(TableDiv[[GASB]:[GASB]],_xlfn.AGGREGATE(15,3,(TableDiv[[Agency]:[Agency]]=$E956)/(TableDiv[[Agency]:[Agency]]=$E956)*(ROW(TableDiv[Agency])-ROW(TableDiv[[#Headers],[Agency]])),COLUMNS($F$7:AB$7))))</f>
        <v/>
      </c>
      <c r="AC956" s="2223" t="str" cm="1">
        <f t="array" ref="AC956">IF($D956&lt;COLUMNS($F$7:AC$7),"",INDEX(TableDiv[[GASB]:[GASB]],_xlfn.AGGREGATE(15,3,(TableDiv[[Agency]:[Agency]]=$E956)/(TableDiv[[Agency]:[Agency]]=$E956)*(ROW(TableDiv[Agency])-ROW(TableDiv[[#Headers],[Agency]])),COLUMNS($F$7:AC$7))))</f>
        <v/>
      </c>
      <c r="AD956" s="2223" t="str" cm="1">
        <f t="array" ref="AD956">IF($D956&lt;COLUMNS($F$7:AD$7),"",INDEX(TableDiv[[GASB]:[GASB]],_xlfn.AGGREGATE(15,3,(TableDiv[[Agency]:[Agency]]=$E956)/(TableDiv[[Agency]:[Agency]]=$E956)*(ROW(TableDiv[Agency])-ROW(TableDiv[[#Headers],[Agency]])),COLUMNS($F$7:AD$7))))</f>
        <v/>
      </c>
      <c r="AE956" s="2223" t="str" cm="1">
        <f t="array" ref="AE956">IF($D956&lt;COLUMNS($F$7:AE$7),"",INDEX(TableDiv[[GASB]:[GASB]],_xlfn.AGGREGATE(15,3,(TableDiv[[Agency]:[Agency]]=$E956)/(TableDiv[[Agency]:[Agency]]=$E956)*(ROW(TableDiv[Agency])-ROW(TableDiv[[#Headers],[Agency]])),COLUMNS($F$7:AE$7))))</f>
        <v/>
      </c>
      <c r="AF956" s="2223" t="str" cm="1">
        <f t="array" ref="AF956">IF($D956&lt;COLUMNS($F$7:AF$7),"",INDEX(TableDiv[[GASB]:[GASB]],_xlfn.AGGREGATE(15,3,(TableDiv[[Agency]:[Agency]]=$E956)/(TableDiv[[Agency]:[Agency]]=$E956)*(ROW(TableDiv[Agency])-ROW(TableDiv[[#Headers],[Agency]])),COLUMNS($F$7:AF$7))))</f>
        <v/>
      </c>
      <c r="AG956" s="2223" t="str" cm="1">
        <f t="array" ref="AG956">IF($D956&lt;COLUMNS($F$7:AG$7),"",INDEX(TableDiv[[GASB]:[GASB]],_xlfn.AGGREGATE(15,3,(TableDiv[[Agency]:[Agency]]=$E956)/(TableDiv[[Agency]:[Agency]]=$E956)*(ROW(TableDiv[Agency])-ROW(TableDiv[[#Headers],[Agency]])),COLUMNS($F$7:AG$7))))</f>
        <v/>
      </c>
      <c r="AH956" s="2223" t="str" cm="1">
        <f t="array" ref="AH956">IF($D956&lt;COLUMNS($F$7:AH$7),"",INDEX(TableDiv[[GASB]:[GASB]],_xlfn.AGGREGATE(15,3,(TableDiv[[Agency]:[Agency]]=$E956)/(TableDiv[[Agency]:[Agency]]=$E956)*(ROW(TableDiv[Agency])-ROW(TableDiv[[#Headers],[Agency]])),COLUMNS($F$7:AH$7))))</f>
        <v/>
      </c>
      <c r="AI956" s="2223" t="str" cm="1">
        <f t="array" ref="AI956">IF($D956&lt;COLUMNS($F$7:AI$7),"",INDEX(TableDiv[[GASB]:[GASB]],_xlfn.AGGREGATE(15,3,(TableDiv[[Agency]:[Agency]]=$E956)/(TableDiv[[Agency]:[Agency]]=$E956)*(ROW(TableDiv[Agency])-ROW(TableDiv[[#Headers],[Agency]])),COLUMNS($F$7:AI$7))))</f>
        <v/>
      </c>
      <c r="AJ956" s="2223" t="str" cm="1">
        <f t="array" ref="AJ956">IF($D956&lt;COLUMNS($F$7:AJ$7),"",INDEX(TableDiv[[GASB]:[GASB]],_xlfn.AGGREGATE(15,3,(TableDiv[[Agency]:[Agency]]=$E956)/(TableDiv[[Agency]:[Agency]]=$E956)*(ROW(TableDiv[Agency])-ROW(TableDiv[[#Headers],[Agency]])),COLUMNS($F$7:AJ$7))))</f>
        <v/>
      </c>
      <c r="AK956" s="2223" t="str" cm="1">
        <f t="array" ref="AK956">IF($D956&lt;COLUMNS($F$7:AK$7),"",INDEX(TableDiv[[GASB]:[GASB]],_xlfn.AGGREGATE(15,3,(TableDiv[[Agency]:[Agency]]=$E956)/(TableDiv[[Agency]:[Agency]]=$E956)*(ROW(TableDiv[Agency])-ROW(TableDiv[[#Headers],[Agency]])),COLUMNS($F$7:AK$7))))</f>
        <v/>
      </c>
      <c r="AL956" s="2223" t="str" cm="1">
        <f t="array" ref="AL956">IF($D956&lt;COLUMNS($F$7:AL$7),"",INDEX(TableDiv[[GASB]:[GASB]],_xlfn.AGGREGATE(15,3,(TableDiv[[Agency]:[Agency]]=$E956)/(TableDiv[[Agency]:[Agency]]=$E956)*(ROW(TableDiv[Agency])-ROW(TableDiv[[#Headers],[Agency]])),COLUMNS($F$7:AL$7))))</f>
        <v/>
      </c>
      <c r="AM956" s="2223" t="str" cm="1">
        <f t="array" ref="AM956">IF($D956&lt;COLUMNS($F$7:AM$7),"",INDEX(TableDiv[[GASB]:[GASB]],_xlfn.AGGREGATE(15,3,(TableDiv[[Agency]:[Agency]]=$E956)/(TableDiv[[Agency]:[Agency]]=$E956)*(ROW(TableDiv[Agency])-ROW(TableDiv[[#Headers],[Agency]])),COLUMNS($F$7:AM$7))))</f>
        <v/>
      </c>
      <c r="AN956" s="2223"/>
      <c r="AO956" s="2223"/>
      <c r="AP956" s="2223"/>
      <c r="AQ956" s="2223"/>
      <c r="AR956" s="2223"/>
      <c r="AS956" s="2223"/>
    </row>
    <row r="957" spans="1:45" x14ac:dyDescent="0.2">
      <c r="A957" s="2223"/>
      <c r="B957" s="2223"/>
      <c r="C957" s="2223"/>
      <c r="W957" s="2223" t="str" cm="1">
        <f t="array" ref="W957">IF($D957&lt;COLUMNS($F$7:W$7),"",INDEX(TableDiv[[GASB]:[GASB]],_xlfn.AGGREGATE(15,3,(TableDiv[[Agency]:[Agency]]=$E957)/(TableDiv[[Agency]:[Agency]]=$E957)*(ROW(TableDiv[Agency])-ROW(TableDiv[[#Headers],[Agency]])),COLUMNS($F$7:W$7))))</f>
        <v/>
      </c>
      <c r="X957" s="2223" t="str" cm="1">
        <f t="array" ref="X957">IF($D957&lt;COLUMNS($F$7:X$7),"",INDEX(TableDiv[[GASB]:[GASB]],_xlfn.AGGREGATE(15,3,(TableDiv[[Agency]:[Agency]]=$E957)/(TableDiv[[Agency]:[Agency]]=$E957)*(ROW(TableDiv[Agency])-ROW(TableDiv[[#Headers],[Agency]])),COLUMNS($F$7:X$7))))</f>
        <v/>
      </c>
      <c r="Y957" s="2223" t="str" cm="1">
        <f t="array" ref="Y957">IF($D957&lt;COLUMNS($F$7:Y$7),"",INDEX(TableDiv[[GASB]:[GASB]],_xlfn.AGGREGATE(15,3,(TableDiv[[Agency]:[Agency]]=$E957)/(TableDiv[[Agency]:[Agency]]=$E957)*(ROW(TableDiv[Agency])-ROW(TableDiv[[#Headers],[Agency]])),COLUMNS($F$7:Y$7))))</f>
        <v/>
      </c>
      <c r="Z957" s="2223" t="str" cm="1">
        <f t="array" ref="Z957">IF($D957&lt;COLUMNS($F$7:Z$7),"",INDEX(TableDiv[[GASB]:[GASB]],_xlfn.AGGREGATE(15,3,(TableDiv[[Agency]:[Agency]]=$E957)/(TableDiv[[Agency]:[Agency]]=$E957)*(ROW(TableDiv[Agency])-ROW(TableDiv[[#Headers],[Agency]])),COLUMNS($F$7:Z$7))))</f>
        <v/>
      </c>
      <c r="AA957" s="2223" t="str" cm="1">
        <f t="array" ref="AA957">IF($D957&lt;COLUMNS($F$7:AA$7),"",INDEX(TableDiv[[GASB]:[GASB]],_xlfn.AGGREGATE(15,3,(TableDiv[[Agency]:[Agency]]=$E957)/(TableDiv[[Agency]:[Agency]]=$E957)*(ROW(TableDiv[Agency])-ROW(TableDiv[[#Headers],[Agency]])),COLUMNS($F$7:AA$7))))</f>
        <v/>
      </c>
      <c r="AB957" s="2223" t="str" cm="1">
        <f t="array" ref="AB957">IF($D957&lt;COLUMNS($F$7:AB$7),"",INDEX(TableDiv[[GASB]:[GASB]],_xlfn.AGGREGATE(15,3,(TableDiv[[Agency]:[Agency]]=$E957)/(TableDiv[[Agency]:[Agency]]=$E957)*(ROW(TableDiv[Agency])-ROW(TableDiv[[#Headers],[Agency]])),COLUMNS($F$7:AB$7))))</f>
        <v/>
      </c>
      <c r="AC957" s="2223" t="str" cm="1">
        <f t="array" ref="AC957">IF($D957&lt;COLUMNS($F$7:AC$7),"",INDEX(TableDiv[[GASB]:[GASB]],_xlfn.AGGREGATE(15,3,(TableDiv[[Agency]:[Agency]]=$E957)/(TableDiv[[Agency]:[Agency]]=$E957)*(ROW(TableDiv[Agency])-ROW(TableDiv[[#Headers],[Agency]])),COLUMNS($F$7:AC$7))))</f>
        <v/>
      </c>
      <c r="AD957" s="2223" t="str" cm="1">
        <f t="array" ref="AD957">IF($D957&lt;COLUMNS($F$7:AD$7),"",INDEX(TableDiv[[GASB]:[GASB]],_xlfn.AGGREGATE(15,3,(TableDiv[[Agency]:[Agency]]=$E957)/(TableDiv[[Agency]:[Agency]]=$E957)*(ROW(TableDiv[Agency])-ROW(TableDiv[[#Headers],[Agency]])),COLUMNS($F$7:AD$7))))</f>
        <v/>
      </c>
      <c r="AE957" s="2223" t="str" cm="1">
        <f t="array" ref="AE957">IF($D957&lt;COLUMNS($F$7:AE$7),"",INDEX(TableDiv[[GASB]:[GASB]],_xlfn.AGGREGATE(15,3,(TableDiv[[Agency]:[Agency]]=$E957)/(TableDiv[[Agency]:[Agency]]=$E957)*(ROW(TableDiv[Agency])-ROW(TableDiv[[#Headers],[Agency]])),COLUMNS($F$7:AE$7))))</f>
        <v/>
      </c>
      <c r="AF957" s="2223" t="str" cm="1">
        <f t="array" ref="AF957">IF($D957&lt;COLUMNS($F$7:AF$7),"",INDEX(TableDiv[[GASB]:[GASB]],_xlfn.AGGREGATE(15,3,(TableDiv[[Agency]:[Agency]]=$E957)/(TableDiv[[Agency]:[Agency]]=$E957)*(ROW(TableDiv[Agency])-ROW(TableDiv[[#Headers],[Agency]])),COLUMNS($F$7:AF$7))))</f>
        <v/>
      </c>
      <c r="AG957" s="2223" t="str" cm="1">
        <f t="array" ref="AG957">IF($D957&lt;COLUMNS($F$7:AG$7),"",INDEX(TableDiv[[GASB]:[GASB]],_xlfn.AGGREGATE(15,3,(TableDiv[[Agency]:[Agency]]=$E957)/(TableDiv[[Agency]:[Agency]]=$E957)*(ROW(TableDiv[Agency])-ROW(TableDiv[[#Headers],[Agency]])),COLUMNS($F$7:AG$7))))</f>
        <v/>
      </c>
      <c r="AH957" s="2223" t="str" cm="1">
        <f t="array" ref="AH957">IF($D957&lt;COLUMNS($F$7:AH$7),"",INDEX(TableDiv[[GASB]:[GASB]],_xlfn.AGGREGATE(15,3,(TableDiv[[Agency]:[Agency]]=$E957)/(TableDiv[[Agency]:[Agency]]=$E957)*(ROW(TableDiv[Agency])-ROW(TableDiv[[#Headers],[Agency]])),COLUMNS($F$7:AH$7))))</f>
        <v/>
      </c>
      <c r="AI957" s="2223" t="str" cm="1">
        <f t="array" ref="AI957">IF($D957&lt;COLUMNS($F$7:AI$7),"",INDEX(TableDiv[[GASB]:[GASB]],_xlfn.AGGREGATE(15,3,(TableDiv[[Agency]:[Agency]]=$E957)/(TableDiv[[Agency]:[Agency]]=$E957)*(ROW(TableDiv[Agency])-ROW(TableDiv[[#Headers],[Agency]])),COLUMNS($F$7:AI$7))))</f>
        <v/>
      </c>
      <c r="AJ957" s="2223" t="str" cm="1">
        <f t="array" ref="AJ957">IF($D957&lt;COLUMNS($F$7:AJ$7),"",INDEX(TableDiv[[GASB]:[GASB]],_xlfn.AGGREGATE(15,3,(TableDiv[[Agency]:[Agency]]=$E957)/(TableDiv[[Agency]:[Agency]]=$E957)*(ROW(TableDiv[Agency])-ROW(TableDiv[[#Headers],[Agency]])),COLUMNS($F$7:AJ$7))))</f>
        <v/>
      </c>
      <c r="AK957" s="2223" t="str" cm="1">
        <f t="array" ref="AK957">IF($D957&lt;COLUMNS($F$7:AK$7),"",INDEX(TableDiv[[GASB]:[GASB]],_xlfn.AGGREGATE(15,3,(TableDiv[[Agency]:[Agency]]=$E957)/(TableDiv[[Agency]:[Agency]]=$E957)*(ROW(TableDiv[Agency])-ROW(TableDiv[[#Headers],[Agency]])),COLUMNS($F$7:AK$7))))</f>
        <v/>
      </c>
      <c r="AL957" s="2223" t="str" cm="1">
        <f t="array" ref="AL957">IF($D957&lt;COLUMNS($F$7:AL$7),"",INDEX(TableDiv[[GASB]:[GASB]],_xlfn.AGGREGATE(15,3,(TableDiv[[Agency]:[Agency]]=$E957)/(TableDiv[[Agency]:[Agency]]=$E957)*(ROW(TableDiv[Agency])-ROW(TableDiv[[#Headers],[Agency]])),COLUMNS($F$7:AL$7))))</f>
        <v/>
      </c>
      <c r="AM957" s="2223" t="str" cm="1">
        <f t="array" ref="AM957">IF($D957&lt;COLUMNS($F$7:AM$7),"",INDEX(TableDiv[[GASB]:[GASB]],_xlfn.AGGREGATE(15,3,(TableDiv[[Agency]:[Agency]]=$E957)/(TableDiv[[Agency]:[Agency]]=$E957)*(ROW(TableDiv[Agency])-ROW(TableDiv[[#Headers],[Agency]])),COLUMNS($F$7:AM$7))))</f>
        <v/>
      </c>
      <c r="AN957" s="2223"/>
      <c r="AO957" s="2223"/>
      <c r="AP957" s="2223"/>
      <c r="AQ957" s="2223"/>
      <c r="AR957" s="2223"/>
      <c r="AS957" s="2223"/>
    </row>
    <row r="958" spans="1:45" x14ac:dyDescent="0.2">
      <c r="A958" s="2223"/>
      <c r="B958" s="2223"/>
      <c r="C958" s="2223"/>
      <c r="W958" s="2223" t="str" cm="1">
        <f t="array" ref="W958">IF($D958&lt;COLUMNS($F$7:W$7),"",INDEX(TableDiv[[GASB]:[GASB]],_xlfn.AGGREGATE(15,3,(TableDiv[[Agency]:[Agency]]=$E958)/(TableDiv[[Agency]:[Agency]]=$E958)*(ROW(TableDiv[Agency])-ROW(TableDiv[[#Headers],[Agency]])),COLUMNS($F$7:W$7))))</f>
        <v/>
      </c>
      <c r="X958" s="2223" t="str" cm="1">
        <f t="array" ref="X958">IF($D958&lt;COLUMNS($F$7:X$7),"",INDEX(TableDiv[[GASB]:[GASB]],_xlfn.AGGREGATE(15,3,(TableDiv[[Agency]:[Agency]]=$E958)/(TableDiv[[Agency]:[Agency]]=$E958)*(ROW(TableDiv[Agency])-ROW(TableDiv[[#Headers],[Agency]])),COLUMNS($F$7:X$7))))</f>
        <v/>
      </c>
      <c r="Y958" s="2223" t="str" cm="1">
        <f t="array" ref="Y958">IF($D958&lt;COLUMNS($F$7:Y$7),"",INDEX(TableDiv[[GASB]:[GASB]],_xlfn.AGGREGATE(15,3,(TableDiv[[Agency]:[Agency]]=$E958)/(TableDiv[[Agency]:[Agency]]=$E958)*(ROW(TableDiv[Agency])-ROW(TableDiv[[#Headers],[Agency]])),COLUMNS($F$7:Y$7))))</f>
        <v/>
      </c>
      <c r="Z958" s="2223" t="str" cm="1">
        <f t="array" ref="Z958">IF($D958&lt;COLUMNS($F$7:Z$7),"",INDEX(TableDiv[[GASB]:[GASB]],_xlfn.AGGREGATE(15,3,(TableDiv[[Agency]:[Agency]]=$E958)/(TableDiv[[Agency]:[Agency]]=$E958)*(ROW(TableDiv[Agency])-ROW(TableDiv[[#Headers],[Agency]])),COLUMNS($F$7:Z$7))))</f>
        <v/>
      </c>
      <c r="AA958" s="2223" t="str" cm="1">
        <f t="array" ref="AA958">IF($D958&lt;COLUMNS($F$7:AA$7),"",INDEX(TableDiv[[GASB]:[GASB]],_xlfn.AGGREGATE(15,3,(TableDiv[[Agency]:[Agency]]=$E958)/(TableDiv[[Agency]:[Agency]]=$E958)*(ROW(TableDiv[Agency])-ROW(TableDiv[[#Headers],[Agency]])),COLUMNS($F$7:AA$7))))</f>
        <v/>
      </c>
      <c r="AB958" s="2223" t="str" cm="1">
        <f t="array" ref="AB958">IF($D958&lt;COLUMNS($F$7:AB$7),"",INDEX(TableDiv[[GASB]:[GASB]],_xlfn.AGGREGATE(15,3,(TableDiv[[Agency]:[Agency]]=$E958)/(TableDiv[[Agency]:[Agency]]=$E958)*(ROW(TableDiv[Agency])-ROW(TableDiv[[#Headers],[Agency]])),COLUMNS($F$7:AB$7))))</f>
        <v/>
      </c>
      <c r="AC958" s="2223" t="str" cm="1">
        <f t="array" ref="AC958">IF($D958&lt;COLUMNS($F$7:AC$7),"",INDEX(TableDiv[[GASB]:[GASB]],_xlfn.AGGREGATE(15,3,(TableDiv[[Agency]:[Agency]]=$E958)/(TableDiv[[Agency]:[Agency]]=$E958)*(ROW(TableDiv[Agency])-ROW(TableDiv[[#Headers],[Agency]])),COLUMNS($F$7:AC$7))))</f>
        <v/>
      </c>
      <c r="AD958" s="2223" t="str" cm="1">
        <f t="array" ref="AD958">IF($D958&lt;COLUMNS($F$7:AD$7),"",INDEX(TableDiv[[GASB]:[GASB]],_xlfn.AGGREGATE(15,3,(TableDiv[[Agency]:[Agency]]=$E958)/(TableDiv[[Agency]:[Agency]]=$E958)*(ROW(TableDiv[Agency])-ROW(TableDiv[[#Headers],[Agency]])),COLUMNS($F$7:AD$7))))</f>
        <v/>
      </c>
      <c r="AE958" s="2223" t="str" cm="1">
        <f t="array" ref="AE958">IF($D958&lt;COLUMNS($F$7:AE$7),"",INDEX(TableDiv[[GASB]:[GASB]],_xlfn.AGGREGATE(15,3,(TableDiv[[Agency]:[Agency]]=$E958)/(TableDiv[[Agency]:[Agency]]=$E958)*(ROW(TableDiv[Agency])-ROW(TableDiv[[#Headers],[Agency]])),COLUMNS($F$7:AE$7))))</f>
        <v/>
      </c>
      <c r="AF958" s="2223" t="str" cm="1">
        <f t="array" ref="AF958">IF($D958&lt;COLUMNS($F$7:AF$7),"",INDEX(TableDiv[[GASB]:[GASB]],_xlfn.AGGREGATE(15,3,(TableDiv[[Agency]:[Agency]]=$E958)/(TableDiv[[Agency]:[Agency]]=$E958)*(ROW(TableDiv[Agency])-ROW(TableDiv[[#Headers],[Agency]])),COLUMNS($F$7:AF$7))))</f>
        <v/>
      </c>
      <c r="AG958" s="2223" t="str" cm="1">
        <f t="array" ref="AG958">IF($D958&lt;COLUMNS($F$7:AG$7),"",INDEX(TableDiv[[GASB]:[GASB]],_xlfn.AGGREGATE(15,3,(TableDiv[[Agency]:[Agency]]=$E958)/(TableDiv[[Agency]:[Agency]]=$E958)*(ROW(TableDiv[Agency])-ROW(TableDiv[[#Headers],[Agency]])),COLUMNS($F$7:AG$7))))</f>
        <v/>
      </c>
      <c r="AH958" s="2223" t="str" cm="1">
        <f t="array" ref="AH958">IF($D958&lt;COLUMNS($F$7:AH$7),"",INDEX(TableDiv[[GASB]:[GASB]],_xlfn.AGGREGATE(15,3,(TableDiv[[Agency]:[Agency]]=$E958)/(TableDiv[[Agency]:[Agency]]=$E958)*(ROW(TableDiv[Agency])-ROW(TableDiv[[#Headers],[Agency]])),COLUMNS($F$7:AH$7))))</f>
        <v/>
      </c>
      <c r="AI958" s="2223" t="str" cm="1">
        <f t="array" ref="AI958">IF($D958&lt;COLUMNS($F$7:AI$7),"",INDEX(TableDiv[[GASB]:[GASB]],_xlfn.AGGREGATE(15,3,(TableDiv[[Agency]:[Agency]]=$E958)/(TableDiv[[Agency]:[Agency]]=$E958)*(ROW(TableDiv[Agency])-ROW(TableDiv[[#Headers],[Agency]])),COLUMNS($F$7:AI$7))))</f>
        <v/>
      </c>
      <c r="AJ958" s="2223" t="str" cm="1">
        <f t="array" ref="AJ958">IF($D958&lt;COLUMNS($F$7:AJ$7),"",INDEX(TableDiv[[GASB]:[GASB]],_xlfn.AGGREGATE(15,3,(TableDiv[[Agency]:[Agency]]=$E958)/(TableDiv[[Agency]:[Agency]]=$E958)*(ROW(TableDiv[Agency])-ROW(TableDiv[[#Headers],[Agency]])),COLUMNS($F$7:AJ$7))))</f>
        <v/>
      </c>
      <c r="AK958" s="2223" t="str" cm="1">
        <f t="array" ref="AK958">IF($D958&lt;COLUMNS($F$7:AK$7),"",INDEX(TableDiv[[GASB]:[GASB]],_xlfn.AGGREGATE(15,3,(TableDiv[[Agency]:[Agency]]=$E958)/(TableDiv[[Agency]:[Agency]]=$E958)*(ROW(TableDiv[Agency])-ROW(TableDiv[[#Headers],[Agency]])),COLUMNS($F$7:AK$7))))</f>
        <v/>
      </c>
      <c r="AL958" s="2223" t="str" cm="1">
        <f t="array" ref="AL958">IF($D958&lt;COLUMNS($F$7:AL$7),"",INDEX(TableDiv[[GASB]:[GASB]],_xlfn.AGGREGATE(15,3,(TableDiv[[Agency]:[Agency]]=$E958)/(TableDiv[[Agency]:[Agency]]=$E958)*(ROW(TableDiv[Agency])-ROW(TableDiv[[#Headers],[Agency]])),COLUMNS($F$7:AL$7))))</f>
        <v/>
      </c>
      <c r="AM958" s="2223" t="str" cm="1">
        <f t="array" ref="AM958">IF($D958&lt;COLUMNS($F$7:AM$7),"",INDEX(TableDiv[[GASB]:[GASB]],_xlfn.AGGREGATE(15,3,(TableDiv[[Agency]:[Agency]]=$E958)/(TableDiv[[Agency]:[Agency]]=$E958)*(ROW(TableDiv[Agency])-ROW(TableDiv[[#Headers],[Agency]])),COLUMNS($F$7:AM$7))))</f>
        <v/>
      </c>
      <c r="AN958" s="2223"/>
      <c r="AO958" s="2223"/>
      <c r="AP958" s="2223"/>
      <c r="AQ958" s="2223"/>
      <c r="AR958" s="2223"/>
      <c r="AS958" s="2223"/>
    </row>
    <row r="959" spans="1:45" x14ac:dyDescent="0.2">
      <c r="A959" s="2223"/>
      <c r="B959" s="2223"/>
      <c r="C959" s="2223"/>
      <c r="W959" s="2223" t="str" cm="1">
        <f t="array" ref="W959">IF($D959&lt;COLUMNS($F$7:W$7),"",INDEX(TableDiv[[GASB]:[GASB]],_xlfn.AGGREGATE(15,3,(TableDiv[[Agency]:[Agency]]=$E959)/(TableDiv[[Agency]:[Agency]]=$E959)*(ROW(TableDiv[Agency])-ROW(TableDiv[[#Headers],[Agency]])),COLUMNS($F$7:W$7))))</f>
        <v/>
      </c>
      <c r="X959" s="2223" t="str" cm="1">
        <f t="array" ref="X959">IF($D959&lt;COLUMNS($F$7:X$7),"",INDEX(TableDiv[[GASB]:[GASB]],_xlfn.AGGREGATE(15,3,(TableDiv[[Agency]:[Agency]]=$E959)/(TableDiv[[Agency]:[Agency]]=$E959)*(ROW(TableDiv[Agency])-ROW(TableDiv[[#Headers],[Agency]])),COLUMNS($F$7:X$7))))</f>
        <v/>
      </c>
      <c r="Y959" s="2223" t="str" cm="1">
        <f t="array" ref="Y959">IF($D959&lt;COLUMNS($F$7:Y$7),"",INDEX(TableDiv[[GASB]:[GASB]],_xlfn.AGGREGATE(15,3,(TableDiv[[Agency]:[Agency]]=$E959)/(TableDiv[[Agency]:[Agency]]=$E959)*(ROW(TableDiv[Agency])-ROW(TableDiv[[#Headers],[Agency]])),COLUMNS($F$7:Y$7))))</f>
        <v/>
      </c>
      <c r="Z959" s="2223" t="str" cm="1">
        <f t="array" ref="Z959">IF($D959&lt;COLUMNS($F$7:Z$7),"",INDEX(TableDiv[[GASB]:[GASB]],_xlfn.AGGREGATE(15,3,(TableDiv[[Agency]:[Agency]]=$E959)/(TableDiv[[Agency]:[Agency]]=$E959)*(ROW(TableDiv[Agency])-ROW(TableDiv[[#Headers],[Agency]])),COLUMNS($F$7:Z$7))))</f>
        <v/>
      </c>
      <c r="AA959" s="2223" t="str" cm="1">
        <f t="array" ref="AA959">IF($D959&lt;COLUMNS($F$7:AA$7),"",INDEX(TableDiv[[GASB]:[GASB]],_xlfn.AGGREGATE(15,3,(TableDiv[[Agency]:[Agency]]=$E959)/(TableDiv[[Agency]:[Agency]]=$E959)*(ROW(TableDiv[Agency])-ROW(TableDiv[[#Headers],[Agency]])),COLUMNS($F$7:AA$7))))</f>
        <v/>
      </c>
      <c r="AB959" s="2223" t="str" cm="1">
        <f t="array" ref="AB959">IF($D959&lt;COLUMNS($F$7:AB$7),"",INDEX(TableDiv[[GASB]:[GASB]],_xlfn.AGGREGATE(15,3,(TableDiv[[Agency]:[Agency]]=$E959)/(TableDiv[[Agency]:[Agency]]=$E959)*(ROW(TableDiv[Agency])-ROW(TableDiv[[#Headers],[Agency]])),COLUMNS($F$7:AB$7))))</f>
        <v/>
      </c>
      <c r="AC959" s="2223" t="str" cm="1">
        <f t="array" ref="AC959">IF($D959&lt;COLUMNS($F$7:AC$7),"",INDEX(TableDiv[[GASB]:[GASB]],_xlfn.AGGREGATE(15,3,(TableDiv[[Agency]:[Agency]]=$E959)/(TableDiv[[Agency]:[Agency]]=$E959)*(ROW(TableDiv[Agency])-ROW(TableDiv[[#Headers],[Agency]])),COLUMNS($F$7:AC$7))))</f>
        <v/>
      </c>
      <c r="AD959" s="2223" t="str" cm="1">
        <f t="array" ref="AD959">IF($D959&lt;COLUMNS($F$7:AD$7),"",INDEX(TableDiv[[GASB]:[GASB]],_xlfn.AGGREGATE(15,3,(TableDiv[[Agency]:[Agency]]=$E959)/(TableDiv[[Agency]:[Agency]]=$E959)*(ROW(TableDiv[Agency])-ROW(TableDiv[[#Headers],[Agency]])),COLUMNS($F$7:AD$7))))</f>
        <v/>
      </c>
      <c r="AE959" s="2223" t="str" cm="1">
        <f t="array" ref="AE959">IF($D959&lt;COLUMNS($F$7:AE$7),"",INDEX(TableDiv[[GASB]:[GASB]],_xlfn.AGGREGATE(15,3,(TableDiv[[Agency]:[Agency]]=$E959)/(TableDiv[[Agency]:[Agency]]=$E959)*(ROW(TableDiv[Agency])-ROW(TableDiv[[#Headers],[Agency]])),COLUMNS($F$7:AE$7))))</f>
        <v/>
      </c>
      <c r="AF959" s="2223" t="str" cm="1">
        <f t="array" ref="AF959">IF($D959&lt;COLUMNS($F$7:AF$7),"",INDEX(TableDiv[[GASB]:[GASB]],_xlfn.AGGREGATE(15,3,(TableDiv[[Agency]:[Agency]]=$E959)/(TableDiv[[Agency]:[Agency]]=$E959)*(ROW(TableDiv[Agency])-ROW(TableDiv[[#Headers],[Agency]])),COLUMNS($F$7:AF$7))))</f>
        <v/>
      </c>
      <c r="AG959" s="2223" t="str" cm="1">
        <f t="array" ref="AG959">IF($D959&lt;COLUMNS($F$7:AG$7),"",INDEX(TableDiv[[GASB]:[GASB]],_xlfn.AGGREGATE(15,3,(TableDiv[[Agency]:[Agency]]=$E959)/(TableDiv[[Agency]:[Agency]]=$E959)*(ROW(TableDiv[Agency])-ROW(TableDiv[[#Headers],[Agency]])),COLUMNS($F$7:AG$7))))</f>
        <v/>
      </c>
      <c r="AH959" s="2223" t="str" cm="1">
        <f t="array" ref="AH959">IF($D959&lt;COLUMNS($F$7:AH$7),"",INDEX(TableDiv[[GASB]:[GASB]],_xlfn.AGGREGATE(15,3,(TableDiv[[Agency]:[Agency]]=$E959)/(TableDiv[[Agency]:[Agency]]=$E959)*(ROW(TableDiv[Agency])-ROW(TableDiv[[#Headers],[Agency]])),COLUMNS($F$7:AH$7))))</f>
        <v/>
      </c>
      <c r="AI959" s="2223" t="str" cm="1">
        <f t="array" ref="AI959">IF($D959&lt;COLUMNS($F$7:AI$7),"",INDEX(TableDiv[[GASB]:[GASB]],_xlfn.AGGREGATE(15,3,(TableDiv[[Agency]:[Agency]]=$E959)/(TableDiv[[Agency]:[Agency]]=$E959)*(ROW(TableDiv[Agency])-ROW(TableDiv[[#Headers],[Agency]])),COLUMNS($F$7:AI$7))))</f>
        <v/>
      </c>
      <c r="AJ959" s="2223" t="str" cm="1">
        <f t="array" ref="AJ959">IF($D959&lt;COLUMNS($F$7:AJ$7),"",INDEX(TableDiv[[GASB]:[GASB]],_xlfn.AGGREGATE(15,3,(TableDiv[[Agency]:[Agency]]=$E959)/(TableDiv[[Agency]:[Agency]]=$E959)*(ROW(TableDiv[Agency])-ROW(TableDiv[[#Headers],[Agency]])),COLUMNS($F$7:AJ$7))))</f>
        <v/>
      </c>
      <c r="AK959" s="2223" t="str" cm="1">
        <f t="array" ref="AK959">IF($D959&lt;COLUMNS($F$7:AK$7),"",INDEX(TableDiv[[GASB]:[GASB]],_xlfn.AGGREGATE(15,3,(TableDiv[[Agency]:[Agency]]=$E959)/(TableDiv[[Agency]:[Agency]]=$E959)*(ROW(TableDiv[Agency])-ROW(TableDiv[[#Headers],[Agency]])),COLUMNS($F$7:AK$7))))</f>
        <v/>
      </c>
      <c r="AL959" s="2223" t="str" cm="1">
        <f t="array" ref="AL959">IF($D959&lt;COLUMNS($F$7:AL$7),"",INDEX(TableDiv[[GASB]:[GASB]],_xlfn.AGGREGATE(15,3,(TableDiv[[Agency]:[Agency]]=$E959)/(TableDiv[[Agency]:[Agency]]=$E959)*(ROW(TableDiv[Agency])-ROW(TableDiv[[#Headers],[Agency]])),COLUMNS($F$7:AL$7))))</f>
        <v/>
      </c>
      <c r="AM959" s="2223" t="str" cm="1">
        <f t="array" ref="AM959">IF($D959&lt;COLUMNS($F$7:AM$7),"",INDEX(TableDiv[[GASB]:[GASB]],_xlfn.AGGREGATE(15,3,(TableDiv[[Agency]:[Agency]]=$E959)/(TableDiv[[Agency]:[Agency]]=$E959)*(ROW(TableDiv[Agency])-ROW(TableDiv[[#Headers],[Agency]])),COLUMNS($F$7:AM$7))))</f>
        <v/>
      </c>
      <c r="AN959" s="2223"/>
      <c r="AO959" s="2223"/>
      <c r="AP959" s="2223"/>
      <c r="AQ959" s="2223"/>
      <c r="AR959" s="2223"/>
      <c r="AS959" s="2223"/>
    </row>
    <row r="960" spans="1:45" x14ac:dyDescent="0.2">
      <c r="A960" s="2223"/>
      <c r="B960" s="2223"/>
      <c r="C960" s="2223"/>
      <c r="W960" s="2223" t="str" cm="1">
        <f t="array" ref="W960">IF($D960&lt;COLUMNS($F$7:W$7),"",INDEX(TableDiv[[GASB]:[GASB]],_xlfn.AGGREGATE(15,3,(TableDiv[[Agency]:[Agency]]=$E960)/(TableDiv[[Agency]:[Agency]]=$E960)*(ROW(TableDiv[Agency])-ROW(TableDiv[[#Headers],[Agency]])),COLUMNS($F$7:W$7))))</f>
        <v/>
      </c>
      <c r="X960" s="2223" t="str" cm="1">
        <f t="array" ref="X960">IF($D960&lt;COLUMNS($F$7:X$7),"",INDEX(TableDiv[[GASB]:[GASB]],_xlfn.AGGREGATE(15,3,(TableDiv[[Agency]:[Agency]]=$E960)/(TableDiv[[Agency]:[Agency]]=$E960)*(ROW(TableDiv[Agency])-ROW(TableDiv[[#Headers],[Agency]])),COLUMNS($F$7:X$7))))</f>
        <v/>
      </c>
      <c r="Y960" s="2223" t="str" cm="1">
        <f t="array" ref="Y960">IF($D960&lt;COLUMNS($F$7:Y$7),"",INDEX(TableDiv[[GASB]:[GASB]],_xlfn.AGGREGATE(15,3,(TableDiv[[Agency]:[Agency]]=$E960)/(TableDiv[[Agency]:[Agency]]=$E960)*(ROW(TableDiv[Agency])-ROW(TableDiv[[#Headers],[Agency]])),COLUMNS($F$7:Y$7))))</f>
        <v/>
      </c>
      <c r="Z960" s="2223" t="str" cm="1">
        <f t="array" ref="Z960">IF($D960&lt;COLUMNS($F$7:Z$7),"",INDEX(TableDiv[[GASB]:[GASB]],_xlfn.AGGREGATE(15,3,(TableDiv[[Agency]:[Agency]]=$E960)/(TableDiv[[Agency]:[Agency]]=$E960)*(ROW(TableDiv[Agency])-ROW(TableDiv[[#Headers],[Agency]])),COLUMNS($F$7:Z$7))))</f>
        <v/>
      </c>
      <c r="AA960" s="2223" t="str" cm="1">
        <f t="array" ref="AA960">IF($D960&lt;COLUMNS($F$7:AA$7),"",INDEX(TableDiv[[GASB]:[GASB]],_xlfn.AGGREGATE(15,3,(TableDiv[[Agency]:[Agency]]=$E960)/(TableDiv[[Agency]:[Agency]]=$E960)*(ROW(TableDiv[Agency])-ROW(TableDiv[[#Headers],[Agency]])),COLUMNS($F$7:AA$7))))</f>
        <v/>
      </c>
      <c r="AB960" s="2223" t="str" cm="1">
        <f t="array" ref="AB960">IF($D960&lt;COLUMNS($F$7:AB$7),"",INDEX(TableDiv[[GASB]:[GASB]],_xlfn.AGGREGATE(15,3,(TableDiv[[Agency]:[Agency]]=$E960)/(TableDiv[[Agency]:[Agency]]=$E960)*(ROW(TableDiv[Agency])-ROW(TableDiv[[#Headers],[Agency]])),COLUMNS($F$7:AB$7))))</f>
        <v/>
      </c>
      <c r="AC960" s="2223" t="str" cm="1">
        <f t="array" ref="AC960">IF($D960&lt;COLUMNS($F$7:AC$7),"",INDEX(TableDiv[[GASB]:[GASB]],_xlfn.AGGREGATE(15,3,(TableDiv[[Agency]:[Agency]]=$E960)/(TableDiv[[Agency]:[Agency]]=$E960)*(ROW(TableDiv[Agency])-ROW(TableDiv[[#Headers],[Agency]])),COLUMNS($F$7:AC$7))))</f>
        <v/>
      </c>
      <c r="AD960" s="2223" t="str" cm="1">
        <f t="array" ref="AD960">IF($D960&lt;COLUMNS($F$7:AD$7),"",INDEX(TableDiv[[GASB]:[GASB]],_xlfn.AGGREGATE(15,3,(TableDiv[[Agency]:[Agency]]=$E960)/(TableDiv[[Agency]:[Agency]]=$E960)*(ROW(TableDiv[Agency])-ROW(TableDiv[[#Headers],[Agency]])),COLUMNS($F$7:AD$7))))</f>
        <v/>
      </c>
      <c r="AE960" s="2223" t="str" cm="1">
        <f t="array" ref="AE960">IF($D960&lt;COLUMNS($F$7:AE$7),"",INDEX(TableDiv[[GASB]:[GASB]],_xlfn.AGGREGATE(15,3,(TableDiv[[Agency]:[Agency]]=$E960)/(TableDiv[[Agency]:[Agency]]=$E960)*(ROW(TableDiv[Agency])-ROW(TableDiv[[#Headers],[Agency]])),COLUMNS($F$7:AE$7))))</f>
        <v/>
      </c>
      <c r="AF960" s="2223" t="str" cm="1">
        <f t="array" ref="AF960">IF($D960&lt;COLUMNS($F$7:AF$7),"",INDEX(TableDiv[[GASB]:[GASB]],_xlfn.AGGREGATE(15,3,(TableDiv[[Agency]:[Agency]]=$E960)/(TableDiv[[Agency]:[Agency]]=$E960)*(ROW(TableDiv[Agency])-ROW(TableDiv[[#Headers],[Agency]])),COLUMNS($F$7:AF$7))))</f>
        <v/>
      </c>
      <c r="AG960" s="2223" t="str" cm="1">
        <f t="array" ref="AG960">IF($D960&lt;COLUMNS($F$7:AG$7),"",INDEX(TableDiv[[GASB]:[GASB]],_xlfn.AGGREGATE(15,3,(TableDiv[[Agency]:[Agency]]=$E960)/(TableDiv[[Agency]:[Agency]]=$E960)*(ROW(TableDiv[Agency])-ROW(TableDiv[[#Headers],[Agency]])),COLUMNS($F$7:AG$7))))</f>
        <v/>
      </c>
      <c r="AH960" s="2223" t="str" cm="1">
        <f t="array" ref="AH960">IF($D960&lt;COLUMNS($F$7:AH$7),"",INDEX(TableDiv[[GASB]:[GASB]],_xlfn.AGGREGATE(15,3,(TableDiv[[Agency]:[Agency]]=$E960)/(TableDiv[[Agency]:[Agency]]=$E960)*(ROW(TableDiv[Agency])-ROW(TableDiv[[#Headers],[Agency]])),COLUMNS($F$7:AH$7))))</f>
        <v/>
      </c>
      <c r="AI960" s="2223" t="str" cm="1">
        <f t="array" ref="AI960">IF($D960&lt;COLUMNS($F$7:AI$7),"",INDEX(TableDiv[[GASB]:[GASB]],_xlfn.AGGREGATE(15,3,(TableDiv[[Agency]:[Agency]]=$E960)/(TableDiv[[Agency]:[Agency]]=$E960)*(ROW(TableDiv[Agency])-ROW(TableDiv[[#Headers],[Agency]])),COLUMNS($F$7:AI$7))))</f>
        <v/>
      </c>
      <c r="AJ960" s="2223" t="str" cm="1">
        <f t="array" ref="AJ960">IF($D960&lt;COLUMNS($F$7:AJ$7),"",INDEX(TableDiv[[GASB]:[GASB]],_xlfn.AGGREGATE(15,3,(TableDiv[[Agency]:[Agency]]=$E960)/(TableDiv[[Agency]:[Agency]]=$E960)*(ROW(TableDiv[Agency])-ROW(TableDiv[[#Headers],[Agency]])),COLUMNS($F$7:AJ$7))))</f>
        <v/>
      </c>
      <c r="AK960" s="2223" t="str" cm="1">
        <f t="array" ref="AK960">IF($D960&lt;COLUMNS($F$7:AK$7),"",INDEX(TableDiv[[GASB]:[GASB]],_xlfn.AGGREGATE(15,3,(TableDiv[[Agency]:[Agency]]=$E960)/(TableDiv[[Agency]:[Agency]]=$E960)*(ROW(TableDiv[Agency])-ROW(TableDiv[[#Headers],[Agency]])),COLUMNS($F$7:AK$7))))</f>
        <v/>
      </c>
      <c r="AL960" s="2223" t="str" cm="1">
        <f t="array" ref="AL960">IF($D960&lt;COLUMNS($F$7:AL$7),"",INDEX(TableDiv[[GASB]:[GASB]],_xlfn.AGGREGATE(15,3,(TableDiv[[Agency]:[Agency]]=$E960)/(TableDiv[[Agency]:[Agency]]=$E960)*(ROW(TableDiv[Agency])-ROW(TableDiv[[#Headers],[Agency]])),COLUMNS($F$7:AL$7))))</f>
        <v/>
      </c>
      <c r="AM960" s="2223" t="str" cm="1">
        <f t="array" ref="AM960">IF($D960&lt;COLUMNS($F$7:AM$7),"",INDEX(TableDiv[[GASB]:[GASB]],_xlfn.AGGREGATE(15,3,(TableDiv[[Agency]:[Agency]]=$E960)/(TableDiv[[Agency]:[Agency]]=$E960)*(ROW(TableDiv[Agency])-ROW(TableDiv[[#Headers],[Agency]])),COLUMNS($F$7:AM$7))))</f>
        <v/>
      </c>
      <c r="AN960" s="2223"/>
      <c r="AO960" s="2223"/>
      <c r="AP960" s="2223"/>
      <c r="AQ960" s="2223"/>
      <c r="AR960" s="2223"/>
      <c r="AS960" s="2223"/>
    </row>
    <row r="961" spans="1:45" x14ac:dyDescent="0.2">
      <c r="A961" s="2223"/>
      <c r="B961" s="2223"/>
      <c r="C961" s="2223"/>
      <c r="W961" s="2223" t="str" cm="1">
        <f t="array" ref="W961">IF($D961&lt;COLUMNS($F$7:W$7),"",INDEX(TableDiv[[GASB]:[GASB]],_xlfn.AGGREGATE(15,3,(TableDiv[[Agency]:[Agency]]=$E961)/(TableDiv[[Agency]:[Agency]]=$E961)*(ROW(TableDiv[Agency])-ROW(TableDiv[[#Headers],[Agency]])),COLUMNS($F$7:W$7))))</f>
        <v/>
      </c>
      <c r="X961" s="2223" t="str" cm="1">
        <f t="array" ref="X961">IF($D961&lt;COLUMNS($F$7:X$7),"",INDEX(TableDiv[[GASB]:[GASB]],_xlfn.AGGREGATE(15,3,(TableDiv[[Agency]:[Agency]]=$E961)/(TableDiv[[Agency]:[Agency]]=$E961)*(ROW(TableDiv[Agency])-ROW(TableDiv[[#Headers],[Agency]])),COLUMNS($F$7:X$7))))</f>
        <v/>
      </c>
      <c r="Y961" s="2223" t="str" cm="1">
        <f t="array" ref="Y961">IF($D961&lt;COLUMNS($F$7:Y$7),"",INDEX(TableDiv[[GASB]:[GASB]],_xlfn.AGGREGATE(15,3,(TableDiv[[Agency]:[Agency]]=$E961)/(TableDiv[[Agency]:[Agency]]=$E961)*(ROW(TableDiv[Agency])-ROW(TableDiv[[#Headers],[Agency]])),COLUMNS($F$7:Y$7))))</f>
        <v/>
      </c>
      <c r="Z961" s="2223" t="str" cm="1">
        <f t="array" ref="Z961">IF($D961&lt;COLUMNS($F$7:Z$7),"",INDEX(TableDiv[[GASB]:[GASB]],_xlfn.AGGREGATE(15,3,(TableDiv[[Agency]:[Agency]]=$E961)/(TableDiv[[Agency]:[Agency]]=$E961)*(ROW(TableDiv[Agency])-ROW(TableDiv[[#Headers],[Agency]])),COLUMNS($F$7:Z$7))))</f>
        <v/>
      </c>
      <c r="AA961" s="2223" t="str" cm="1">
        <f t="array" ref="AA961">IF($D961&lt;COLUMNS($F$7:AA$7),"",INDEX(TableDiv[[GASB]:[GASB]],_xlfn.AGGREGATE(15,3,(TableDiv[[Agency]:[Agency]]=$E961)/(TableDiv[[Agency]:[Agency]]=$E961)*(ROW(TableDiv[Agency])-ROW(TableDiv[[#Headers],[Agency]])),COLUMNS($F$7:AA$7))))</f>
        <v/>
      </c>
      <c r="AB961" s="2223" t="str" cm="1">
        <f t="array" ref="AB961">IF($D961&lt;COLUMNS($F$7:AB$7),"",INDEX(TableDiv[[GASB]:[GASB]],_xlfn.AGGREGATE(15,3,(TableDiv[[Agency]:[Agency]]=$E961)/(TableDiv[[Agency]:[Agency]]=$E961)*(ROW(TableDiv[Agency])-ROW(TableDiv[[#Headers],[Agency]])),COLUMNS($F$7:AB$7))))</f>
        <v/>
      </c>
      <c r="AC961" s="2223" t="str" cm="1">
        <f t="array" ref="AC961">IF($D961&lt;COLUMNS($F$7:AC$7),"",INDEX(TableDiv[[GASB]:[GASB]],_xlfn.AGGREGATE(15,3,(TableDiv[[Agency]:[Agency]]=$E961)/(TableDiv[[Agency]:[Agency]]=$E961)*(ROW(TableDiv[Agency])-ROW(TableDiv[[#Headers],[Agency]])),COLUMNS($F$7:AC$7))))</f>
        <v/>
      </c>
      <c r="AD961" s="2223" t="str" cm="1">
        <f t="array" ref="AD961">IF($D961&lt;COLUMNS($F$7:AD$7),"",INDEX(TableDiv[[GASB]:[GASB]],_xlfn.AGGREGATE(15,3,(TableDiv[[Agency]:[Agency]]=$E961)/(TableDiv[[Agency]:[Agency]]=$E961)*(ROW(TableDiv[Agency])-ROW(TableDiv[[#Headers],[Agency]])),COLUMNS($F$7:AD$7))))</f>
        <v/>
      </c>
      <c r="AE961" s="2223" t="str" cm="1">
        <f t="array" ref="AE961">IF($D961&lt;COLUMNS($F$7:AE$7),"",INDEX(TableDiv[[GASB]:[GASB]],_xlfn.AGGREGATE(15,3,(TableDiv[[Agency]:[Agency]]=$E961)/(TableDiv[[Agency]:[Agency]]=$E961)*(ROW(TableDiv[Agency])-ROW(TableDiv[[#Headers],[Agency]])),COLUMNS($F$7:AE$7))))</f>
        <v/>
      </c>
      <c r="AF961" s="2223" t="str" cm="1">
        <f t="array" ref="AF961">IF($D961&lt;COLUMNS($F$7:AF$7),"",INDEX(TableDiv[[GASB]:[GASB]],_xlfn.AGGREGATE(15,3,(TableDiv[[Agency]:[Agency]]=$E961)/(TableDiv[[Agency]:[Agency]]=$E961)*(ROW(TableDiv[Agency])-ROW(TableDiv[[#Headers],[Agency]])),COLUMNS($F$7:AF$7))))</f>
        <v/>
      </c>
      <c r="AG961" s="2223" t="str" cm="1">
        <f t="array" ref="AG961">IF($D961&lt;COLUMNS($F$7:AG$7),"",INDEX(TableDiv[[GASB]:[GASB]],_xlfn.AGGREGATE(15,3,(TableDiv[[Agency]:[Agency]]=$E961)/(TableDiv[[Agency]:[Agency]]=$E961)*(ROW(TableDiv[Agency])-ROW(TableDiv[[#Headers],[Agency]])),COLUMNS($F$7:AG$7))))</f>
        <v/>
      </c>
      <c r="AH961" s="2223" t="str" cm="1">
        <f t="array" ref="AH961">IF($D961&lt;COLUMNS($F$7:AH$7),"",INDEX(TableDiv[[GASB]:[GASB]],_xlfn.AGGREGATE(15,3,(TableDiv[[Agency]:[Agency]]=$E961)/(TableDiv[[Agency]:[Agency]]=$E961)*(ROW(TableDiv[Agency])-ROW(TableDiv[[#Headers],[Agency]])),COLUMNS($F$7:AH$7))))</f>
        <v/>
      </c>
      <c r="AI961" s="2223" t="str" cm="1">
        <f t="array" ref="AI961">IF($D961&lt;COLUMNS($F$7:AI$7),"",INDEX(TableDiv[[GASB]:[GASB]],_xlfn.AGGREGATE(15,3,(TableDiv[[Agency]:[Agency]]=$E961)/(TableDiv[[Agency]:[Agency]]=$E961)*(ROW(TableDiv[Agency])-ROW(TableDiv[[#Headers],[Agency]])),COLUMNS($F$7:AI$7))))</f>
        <v/>
      </c>
      <c r="AJ961" s="2223" t="str" cm="1">
        <f t="array" ref="AJ961">IF($D961&lt;COLUMNS($F$7:AJ$7),"",INDEX(TableDiv[[GASB]:[GASB]],_xlfn.AGGREGATE(15,3,(TableDiv[[Agency]:[Agency]]=$E961)/(TableDiv[[Agency]:[Agency]]=$E961)*(ROW(TableDiv[Agency])-ROW(TableDiv[[#Headers],[Agency]])),COLUMNS($F$7:AJ$7))))</f>
        <v/>
      </c>
      <c r="AK961" s="2223" t="str" cm="1">
        <f t="array" ref="AK961">IF($D961&lt;COLUMNS($F$7:AK$7),"",INDEX(TableDiv[[GASB]:[GASB]],_xlfn.AGGREGATE(15,3,(TableDiv[[Agency]:[Agency]]=$E961)/(TableDiv[[Agency]:[Agency]]=$E961)*(ROW(TableDiv[Agency])-ROW(TableDiv[[#Headers],[Agency]])),COLUMNS($F$7:AK$7))))</f>
        <v/>
      </c>
      <c r="AL961" s="2223" t="str" cm="1">
        <f t="array" ref="AL961">IF($D961&lt;COLUMNS($F$7:AL$7),"",INDEX(TableDiv[[GASB]:[GASB]],_xlfn.AGGREGATE(15,3,(TableDiv[[Agency]:[Agency]]=$E961)/(TableDiv[[Agency]:[Agency]]=$E961)*(ROW(TableDiv[Agency])-ROW(TableDiv[[#Headers],[Agency]])),COLUMNS($F$7:AL$7))))</f>
        <v/>
      </c>
      <c r="AM961" s="2223" t="str" cm="1">
        <f t="array" ref="AM961">IF($D961&lt;COLUMNS($F$7:AM$7),"",INDEX(TableDiv[[GASB]:[GASB]],_xlfn.AGGREGATE(15,3,(TableDiv[[Agency]:[Agency]]=$E961)/(TableDiv[[Agency]:[Agency]]=$E961)*(ROW(TableDiv[Agency])-ROW(TableDiv[[#Headers],[Agency]])),COLUMNS($F$7:AM$7))))</f>
        <v/>
      </c>
      <c r="AN961" s="2223"/>
      <c r="AO961" s="2223"/>
      <c r="AP961" s="2223"/>
      <c r="AQ961" s="2223"/>
      <c r="AR961" s="2223"/>
      <c r="AS961" s="2223"/>
    </row>
    <row r="962" spans="1:45" x14ac:dyDescent="0.2">
      <c r="A962" s="2223"/>
      <c r="B962" s="2223"/>
      <c r="C962" s="2223"/>
      <c r="W962" s="2223" t="str" cm="1">
        <f t="array" ref="W962">IF($D962&lt;COLUMNS($F$7:W$7),"",INDEX(TableDiv[[GASB]:[GASB]],_xlfn.AGGREGATE(15,3,(TableDiv[[Agency]:[Agency]]=$E962)/(TableDiv[[Agency]:[Agency]]=$E962)*(ROW(TableDiv[Agency])-ROW(TableDiv[[#Headers],[Agency]])),COLUMNS($F$7:W$7))))</f>
        <v/>
      </c>
      <c r="X962" s="2223" t="str" cm="1">
        <f t="array" ref="X962">IF($D962&lt;COLUMNS($F$7:X$7),"",INDEX(TableDiv[[GASB]:[GASB]],_xlfn.AGGREGATE(15,3,(TableDiv[[Agency]:[Agency]]=$E962)/(TableDiv[[Agency]:[Agency]]=$E962)*(ROW(TableDiv[Agency])-ROW(TableDiv[[#Headers],[Agency]])),COLUMNS($F$7:X$7))))</f>
        <v/>
      </c>
      <c r="Y962" s="2223" t="str" cm="1">
        <f t="array" ref="Y962">IF($D962&lt;COLUMNS($F$7:Y$7),"",INDEX(TableDiv[[GASB]:[GASB]],_xlfn.AGGREGATE(15,3,(TableDiv[[Agency]:[Agency]]=$E962)/(TableDiv[[Agency]:[Agency]]=$E962)*(ROW(TableDiv[Agency])-ROW(TableDiv[[#Headers],[Agency]])),COLUMNS($F$7:Y$7))))</f>
        <v/>
      </c>
      <c r="Z962" s="2223" t="str" cm="1">
        <f t="array" ref="Z962">IF($D962&lt;COLUMNS($F$7:Z$7),"",INDEX(TableDiv[[GASB]:[GASB]],_xlfn.AGGREGATE(15,3,(TableDiv[[Agency]:[Agency]]=$E962)/(TableDiv[[Agency]:[Agency]]=$E962)*(ROW(TableDiv[Agency])-ROW(TableDiv[[#Headers],[Agency]])),COLUMNS($F$7:Z$7))))</f>
        <v/>
      </c>
      <c r="AA962" s="2223" t="str" cm="1">
        <f t="array" ref="AA962">IF($D962&lt;COLUMNS($F$7:AA$7),"",INDEX(TableDiv[[GASB]:[GASB]],_xlfn.AGGREGATE(15,3,(TableDiv[[Agency]:[Agency]]=$E962)/(TableDiv[[Agency]:[Agency]]=$E962)*(ROW(TableDiv[Agency])-ROW(TableDiv[[#Headers],[Agency]])),COLUMNS($F$7:AA$7))))</f>
        <v/>
      </c>
      <c r="AB962" s="2223" t="str" cm="1">
        <f t="array" ref="AB962">IF($D962&lt;COLUMNS($F$7:AB$7),"",INDEX(TableDiv[[GASB]:[GASB]],_xlfn.AGGREGATE(15,3,(TableDiv[[Agency]:[Agency]]=$E962)/(TableDiv[[Agency]:[Agency]]=$E962)*(ROW(TableDiv[Agency])-ROW(TableDiv[[#Headers],[Agency]])),COLUMNS($F$7:AB$7))))</f>
        <v/>
      </c>
      <c r="AC962" s="2223" t="str" cm="1">
        <f t="array" ref="AC962">IF($D962&lt;COLUMNS($F$7:AC$7),"",INDEX(TableDiv[[GASB]:[GASB]],_xlfn.AGGREGATE(15,3,(TableDiv[[Agency]:[Agency]]=$E962)/(TableDiv[[Agency]:[Agency]]=$E962)*(ROW(TableDiv[Agency])-ROW(TableDiv[[#Headers],[Agency]])),COLUMNS($F$7:AC$7))))</f>
        <v/>
      </c>
      <c r="AD962" s="2223" t="str" cm="1">
        <f t="array" ref="AD962">IF($D962&lt;COLUMNS($F$7:AD$7),"",INDEX(TableDiv[[GASB]:[GASB]],_xlfn.AGGREGATE(15,3,(TableDiv[[Agency]:[Agency]]=$E962)/(TableDiv[[Agency]:[Agency]]=$E962)*(ROW(TableDiv[Agency])-ROW(TableDiv[[#Headers],[Agency]])),COLUMNS($F$7:AD$7))))</f>
        <v/>
      </c>
      <c r="AE962" s="2223" t="str" cm="1">
        <f t="array" ref="AE962">IF($D962&lt;COLUMNS($F$7:AE$7),"",INDEX(TableDiv[[GASB]:[GASB]],_xlfn.AGGREGATE(15,3,(TableDiv[[Agency]:[Agency]]=$E962)/(TableDiv[[Agency]:[Agency]]=$E962)*(ROW(TableDiv[Agency])-ROW(TableDiv[[#Headers],[Agency]])),COLUMNS($F$7:AE$7))))</f>
        <v/>
      </c>
      <c r="AF962" s="2223" t="str" cm="1">
        <f t="array" ref="AF962">IF($D962&lt;COLUMNS($F$7:AF$7),"",INDEX(TableDiv[[GASB]:[GASB]],_xlfn.AGGREGATE(15,3,(TableDiv[[Agency]:[Agency]]=$E962)/(TableDiv[[Agency]:[Agency]]=$E962)*(ROW(TableDiv[Agency])-ROW(TableDiv[[#Headers],[Agency]])),COLUMNS($F$7:AF$7))))</f>
        <v/>
      </c>
      <c r="AG962" s="2223" t="str" cm="1">
        <f t="array" ref="AG962">IF($D962&lt;COLUMNS($F$7:AG$7),"",INDEX(TableDiv[[GASB]:[GASB]],_xlfn.AGGREGATE(15,3,(TableDiv[[Agency]:[Agency]]=$E962)/(TableDiv[[Agency]:[Agency]]=$E962)*(ROW(TableDiv[Agency])-ROW(TableDiv[[#Headers],[Agency]])),COLUMNS($F$7:AG$7))))</f>
        <v/>
      </c>
      <c r="AH962" s="2223" t="str" cm="1">
        <f t="array" ref="AH962">IF($D962&lt;COLUMNS($F$7:AH$7),"",INDEX(TableDiv[[GASB]:[GASB]],_xlfn.AGGREGATE(15,3,(TableDiv[[Agency]:[Agency]]=$E962)/(TableDiv[[Agency]:[Agency]]=$E962)*(ROW(TableDiv[Agency])-ROW(TableDiv[[#Headers],[Agency]])),COLUMNS($F$7:AH$7))))</f>
        <v/>
      </c>
      <c r="AI962" s="2223" t="str" cm="1">
        <f t="array" ref="AI962">IF($D962&lt;COLUMNS($F$7:AI$7),"",INDEX(TableDiv[[GASB]:[GASB]],_xlfn.AGGREGATE(15,3,(TableDiv[[Agency]:[Agency]]=$E962)/(TableDiv[[Agency]:[Agency]]=$E962)*(ROW(TableDiv[Agency])-ROW(TableDiv[[#Headers],[Agency]])),COLUMNS($F$7:AI$7))))</f>
        <v/>
      </c>
      <c r="AJ962" s="2223" t="str" cm="1">
        <f t="array" ref="AJ962">IF($D962&lt;COLUMNS($F$7:AJ$7),"",INDEX(TableDiv[[GASB]:[GASB]],_xlfn.AGGREGATE(15,3,(TableDiv[[Agency]:[Agency]]=$E962)/(TableDiv[[Agency]:[Agency]]=$E962)*(ROW(TableDiv[Agency])-ROW(TableDiv[[#Headers],[Agency]])),COLUMNS($F$7:AJ$7))))</f>
        <v/>
      </c>
      <c r="AK962" s="2223" t="str" cm="1">
        <f t="array" ref="AK962">IF($D962&lt;COLUMNS($F$7:AK$7),"",INDEX(TableDiv[[GASB]:[GASB]],_xlfn.AGGREGATE(15,3,(TableDiv[[Agency]:[Agency]]=$E962)/(TableDiv[[Agency]:[Agency]]=$E962)*(ROW(TableDiv[Agency])-ROW(TableDiv[[#Headers],[Agency]])),COLUMNS($F$7:AK$7))))</f>
        <v/>
      </c>
      <c r="AL962" s="2223" t="str" cm="1">
        <f t="array" ref="AL962">IF($D962&lt;COLUMNS($F$7:AL$7),"",INDEX(TableDiv[[GASB]:[GASB]],_xlfn.AGGREGATE(15,3,(TableDiv[[Agency]:[Agency]]=$E962)/(TableDiv[[Agency]:[Agency]]=$E962)*(ROW(TableDiv[Agency])-ROW(TableDiv[[#Headers],[Agency]])),COLUMNS($F$7:AL$7))))</f>
        <v/>
      </c>
      <c r="AM962" s="2223" t="str" cm="1">
        <f t="array" ref="AM962">IF($D962&lt;COLUMNS($F$7:AM$7),"",INDEX(TableDiv[[GASB]:[GASB]],_xlfn.AGGREGATE(15,3,(TableDiv[[Agency]:[Agency]]=$E962)/(TableDiv[[Agency]:[Agency]]=$E962)*(ROW(TableDiv[Agency])-ROW(TableDiv[[#Headers],[Agency]])),COLUMNS($F$7:AM$7))))</f>
        <v/>
      </c>
      <c r="AN962" s="2223"/>
      <c r="AO962" s="2223"/>
      <c r="AP962" s="2223"/>
      <c r="AQ962" s="2223"/>
      <c r="AR962" s="2223"/>
      <c r="AS962" s="2223"/>
    </row>
    <row r="963" spans="1:45" x14ac:dyDescent="0.2">
      <c r="A963" s="2223"/>
      <c r="B963" s="2223"/>
      <c r="C963" s="2223"/>
      <c r="W963" s="2223" t="str" cm="1">
        <f t="array" ref="W963">IF($D963&lt;COLUMNS($F$7:W$7),"",INDEX(TableDiv[[GASB]:[GASB]],_xlfn.AGGREGATE(15,3,(TableDiv[[Agency]:[Agency]]=$E963)/(TableDiv[[Agency]:[Agency]]=$E963)*(ROW(TableDiv[Agency])-ROW(TableDiv[[#Headers],[Agency]])),COLUMNS($F$7:W$7))))</f>
        <v/>
      </c>
      <c r="X963" s="2223" t="str" cm="1">
        <f t="array" ref="X963">IF($D963&lt;COLUMNS($F$7:X$7),"",INDEX(TableDiv[[GASB]:[GASB]],_xlfn.AGGREGATE(15,3,(TableDiv[[Agency]:[Agency]]=$E963)/(TableDiv[[Agency]:[Agency]]=$E963)*(ROW(TableDiv[Agency])-ROW(TableDiv[[#Headers],[Agency]])),COLUMNS($F$7:X$7))))</f>
        <v/>
      </c>
      <c r="Y963" s="2223" t="str" cm="1">
        <f t="array" ref="Y963">IF($D963&lt;COLUMNS($F$7:Y$7),"",INDEX(TableDiv[[GASB]:[GASB]],_xlfn.AGGREGATE(15,3,(TableDiv[[Agency]:[Agency]]=$E963)/(TableDiv[[Agency]:[Agency]]=$E963)*(ROW(TableDiv[Agency])-ROW(TableDiv[[#Headers],[Agency]])),COLUMNS($F$7:Y$7))))</f>
        <v/>
      </c>
      <c r="Z963" s="2223" t="str" cm="1">
        <f t="array" ref="Z963">IF($D963&lt;COLUMNS($F$7:Z$7),"",INDEX(TableDiv[[GASB]:[GASB]],_xlfn.AGGREGATE(15,3,(TableDiv[[Agency]:[Agency]]=$E963)/(TableDiv[[Agency]:[Agency]]=$E963)*(ROW(TableDiv[Agency])-ROW(TableDiv[[#Headers],[Agency]])),COLUMNS($F$7:Z$7))))</f>
        <v/>
      </c>
      <c r="AA963" s="2223" t="str" cm="1">
        <f t="array" ref="AA963">IF($D963&lt;COLUMNS($F$7:AA$7),"",INDEX(TableDiv[[GASB]:[GASB]],_xlfn.AGGREGATE(15,3,(TableDiv[[Agency]:[Agency]]=$E963)/(TableDiv[[Agency]:[Agency]]=$E963)*(ROW(TableDiv[Agency])-ROW(TableDiv[[#Headers],[Agency]])),COLUMNS($F$7:AA$7))))</f>
        <v/>
      </c>
      <c r="AB963" s="2223" t="str" cm="1">
        <f t="array" ref="AB963">IF($D963&lt;COLUMNS($F$7:AB$7),"",INDEX(TableDiv[[GASB]:[GASB]],_xlfn.AGGREGATE(15,3,(TableDiv[[Agency]:[Agency]]=$E963)/(TableDiv[[Agency]:[Agency]]=$E963)*(ROW(TableDiv[Agency])-ROW(TableDiv[[#Headers],[Agency]])),COLUMNS($F$7:AB$7))))</f>
        <v/>
      </c>
      <c r="AC963" s="2223" t="str" cm="1">
        <f t="array" ref="AC963">IF($D963&lt;COLUMNS($F$7:AC$7),"",INDEX(TableDiv[[GASB]:[GASB]],_xlfn.AGGREGATE(15,3,(TableDiv[[Agency]:[Agency]]=$E963)/(TableDiv[[Agency]:[Agency]]=$E963)*(ROW(TableDiv[Agency])-ROW(TableDiv[[#Headers],[Agency]])),COLUMNS($F$7:AC$7))))</f>
        <v/>
      </c>
      <c r="AD963" s="2223" t="str" cm="1">
        <f t="array" ref="AD963">IF($D963&lt;COLUMNS($F$7:AD$7),"",INDEX(TableDiv[[GASB]:[GASB]],_xlfn.AGGREGATE(15,3,(TableDiv[[Agency]:[Agency]]=$E963)/(TableDiv[[Agency]:[Agency]]=$E963)*(ROW(TableDiv[Agency])-ROW(TableDiv[[#Headers],[Agency]])),COLUMNS($F$7:AD$7))))</f>
        <v/>
      </c>
      <c r="AE963" s="2223" t="str" cm="1">
        <f t="array" ref="AE963">IF($D963&lt;COLUMNS($F$7:AE$7),"",INDEX(TableDiv[[GASB]:[GASB]],_xlfn.AGGREGATE(15,3,(TableDiv[[Agency]:[Agency]]=$E963)/(TableDiv[[Agency]:[Agency]]=$E963)*(ROW(TableDiv[Agency])-ROW(TableDiv[[#Headers],[Agency]])),COLUMNS($F$7:AE$7))))</f>
        <v/>
      </c>
      <c r="AF963" s="2223" t="str" cm="1">
        <f t="array" ref="AF963">IF($D963&lt;COLUMNS($F$7:AF$7),"",INDEX(TableDiv[[GASB]:[GASB]],_xlfn.AGGREGATE(15,3,(TableDiv[[Agency]:[Agency]]=$E963)/(TableDiv[[Agency]:[Agency]]=$E963)*(ROW(TableDiv[Agency])-ROW(TableDiv[[#Headers],[Agency]])),COLUMNS($F$7:AF$7))))</f>
        <v/>
      </c>
      <c r="AG963" s="2223" t="str" cm="1">
        <f t="array" ref="AG963">IF($D963&lt;COLUMNS($F$7:AG$7),"",INDEX(TableDiv[[GASB]:[GASB]],_xlfn.AGGREGATE(15,3,(TableDiv[[Agency]:[Agency]]=$E963)/(TableDiv[[Agency]:[Agency]]=$E963)*(ROW(TableDiv[Agency])-ROW(TableDiv[[#Headers],[Agency]])),COLUMNS($F$7:AG$7))))</f>
        <v/>
      </c>
      <c r="AH963" s="2223" t="str" cm="1">
        <f t="array" ref="AH963">IF($D963&lt;COLUMNS($F$7:AH$7),"",INDEX(TableDiv[[GASB]:[GASB]],_xlfn.AGGREGATE(15,3,(TableDiv[[Agency]:[Agency]]=$E963)/(TableDiv[[Agency]:[Agency]]=$E963)*(ROW(TableDiv[Agency])-ROW(TableDiv[[#Headers],[Agency]])),COLUMNS($F$7:AH$7))))</f>
        <v/>
      </c>
      <c r="AI963" s="2223" t="str" cm="1">
        <f t="array" ref="AI963">IF($D963&lt;COLUMNS($F$7:AI$7),"",INDEX(TableDiv[[GASB]:[GASB]],_xlfn.AGGREGATE(15,3,(TableDiv[[Agency]:[Agency]]=$E963)/(TableDiv[[Agency]:[Agency]]=$E963)*(ROW(TableDiv[Agency])-ROW(TableDiv[[#Headers],[Agency]])),COLUMNS($F$7:AI$7))))</f>
        <v/>
      </c>
      <c r="AJ963" s="2223" t="str" cm="1">
        <f t="array" ref="AJ963">IF($D963&lt;COLUMNS($F$7:AJ$7),"",INDEX(TableDiv[[GASB]:[GASB]],_xlfn.AGGREGATE(15,3,(TableDiv[[Agency]:[Agency]]=$E963)/(TableDiv[[Agency]:[Agency]]=$E963)*(ROW(TableDiv[Agency])-ROW(TableDiv[[#Headers],[Agency]])),COLUMNS($F$7:AJ$7))))</f>
        <v/>
      </c>
      <c r="AK963" s="2223" t="str" cm="1">
        <f t="array" ref="AK963">IF($D963&lt;COLUMNS($F$7:AK$7),"",INDEX(TableDiv[[GASB]:[GASB]],_xlfn.AGGREGATE(15,3,(TableDiv[[Agency]:[Agency]]=$E963)/(TableDiv[[Agency]:[Agency]]=$E963)*(ROW(TableDiv[Agency])-ROW(TableDiv[[#Headers],[Agency]])),COLUMNS($F$7:AK$7))))</f>
        <v/>
      </c>
      <c r="AL963" s="2223" t="str" cm="1">
        <f t="array" ref="AL963">IF($D963&lt;COLUMNS($F$7:AL$7),"",INDEX(TableDiv[[GASB]:[GASB]],_xlfn.AGGREGATE(15,3,(TableDiv[[Agency]:[Agency]]=$E963)/(TableDiv[[Agency]:[Agency]]=$E963)*(ROW(TableDiv[Agency])-ROW(TableDiv[[#Headers],[Agency]])),COLUMNS($F$7:AL$7))))</f>
        <v/>
      </c>
      <c r="AM963" s="2223" t="str" cm="1">
        <f t="array" ref="AM963">IF($D963&lt;COLUMNS($F$7:AM$7),"",INDEX(TableDiv[[GASB]:[GASB]],_xlfn.AGGREGATE(15,3,(TableDiv[[Agency]:[Agency]]=$E963)/(TableDiv[[Agency]:[Agency]]=$E963)*(ROW(TableDiv[Agency])-ROW(TableDiv[[#Headers],[Agency]])),COLUMNS($F$7:AM$7))))</f>
        <v/>
      </c>
      <c r="AN963" s="2223"/>
      <c r="AO963" s="2223"/>
      <c r="AP963" s="2223"/>
      <c r="AQ963" s="2223"/>
      <c r="AR963" s="2223"/>
      <c r="AS963" s="2223"/>
    </row>
    <row r="964" spans="1:45" x14ac:dyDescent="0.2">
      <c r="A964" s="2223"/>
      <c r="B964" s="2223"/>
      <c r="C964" s="2223"/>
      <c r="W964" s="2223" t="str" cm="1">
        <f t="array" ref="W964">IF($D964&lt;COLUMNS($F$7:W$7),"",INDEX(TableDiv[[GASB]:[GASB]],_xlfn.AGGREGATE(15,3,(TableDiv[[Agency]:[Agency]]=$E964)/(TableDiv[[Agency]:[Agency]]=$E964)*(ROW(TableDiv[Agency])-ROW(TableDiv[[#Headers],[Agency]])),COLUMNS($F$7:W$7))))</f>
        <v/>
      </c>
      <c r="X964" s="2223" t="str" cm="1">
        <f t="array" ref="X964">IF($D964&lt;COLUMNS($F$7:X$7),"",INDEX(TableDiv[[GASB]:[GASB]],_xlfn.AGGREGATE(15,3,(TableDiv[[Agency]:[Agency]]=$E964)/(TableDiv[[Agency]:[Agency]]=$E964)*(ROW(TableDiv[Agency])-ROW(TableDiv[[#Headers],[Agency]])),COLUMNS($F$7:X$7))))</f>
        <v/>
      </c>
      <c r="Y964" s="2223" t="str" cm="1">
        <f t="array" ref="Y964">IF($D964&lt;COLUMNS($F$7:Y$7),"",INDEX(TableDiv[[GASB]:[GASB]],_xlfn.AGGREGATE(15,3,(TableDiv[[Agency]:[Agency]]=$E964)/(TableDiv[[Agency]:[Agency]]=$E964)*(ROW(TableDiv[Agency])-ROW(TableDiv[[#Headers],[Agency]])),COLUMNS($F$7:Y$7))))</f>
        <v/>
      </c>
      <c r="Z964" s="2223" t="str" cm="1">
        <f t="array" ref="Z964">IF($D964&lt;COLUMNS($F$7:Z$7),"",INDEX(TableDiv[[GASB]:[GASB]],_xlfn.AGGREGATE(15,3,(TableDiv[[Agency]:[Agency]]=$E964)/(TableDiv[[Agency]:[Agency]]=$E964)*(ROW(TableDiv[Agency])-ROW(TableDiv[[#Headers],[Agency]])),COLUMNS($F$7:Z$7))))</f>
        <v/>
      </c>
      <c r="AA964" s="2223" t="str" cm="1">
        <f t="array" ref="AA964">IF($D964&lt;COLUMNS($F$7:AA$7),"",INDEX(TableDiv[[GASB]:[GASB]],_xlfn.AGGREGATE(15,3,(TableDiv[[Agency]:[Agency]]=$E964)/(TableDiv[[Agency]:[Agency]]=$E964)*(ROW(TableDiv[Agency])-ROW(TableDiv[[#Headers],[Agency]])),COLUMNS($F$7:AA$7))))</f>
        <v/>
      </c>
      <c r="AB964" s="2223" t="str" cm="1">
        <f t="array" ref="AB964">IF($D964&lt;COLUMNS($F$7:AB$7),"",INDEX(TableDiv[[GASB]:[GASB]],_xlfn.AGGREGATE(15,3,(TableDiv[[Agency]:[Agency]]=$E964)/(TableDiv[[Agency]:[Agency]]=$E964)*(ROW(TableDiv[Agency])-ROW(TableDiv[[#Headers],[Agency]])),COLUMNS($F$7:AB$7))))</f>
        <v/>
      </c>
      <c r="AC964" s="2223" t="str" cm="1">
        <f t="array" ref="AC964">IF($D964&lt;COLUMNS($F$7:AC$7),"",INDEX(TableDiv[[GASB]:[GASB]],_xlfn.AGGREGATE(15,3,(TableDiv[[Agency]:[Agency]]=$E964)/(TableDiv[[Agency]:[Agency]]=$E964)*(ROW(TableDiv[Agency])-ROW(TableDiv[[#Headers],[Agency]])),COLUMNS($F$7:AC$7))))</f>
        <v/>
      </c>
      <c r="AD964" s="2223" t="str" cm="1">
        <f t="array" ref="AD964">IF($D964&lt;COLUMNS($F$7:AD$7),"",INDEX(TableDiv[[GASB]:[GASB]],_xlfn.AGGREGATE(15,3,(TableDiv[[Agency]:[Agency]]=$E964)/(TableDiv[[Agency]:[Agency]]=$E964)*(ROW(TableDiv[Agency])-ROW(TableDiv[[#Headers],[Agency]])),COLUMNS($F$7:AD$7))))</f>
        <v/>
      </c>
      <c r="AE964" s="2223" t="str" cm="1">
        <f t="array" ref="AE964">IF($D964&lt;COLUMNS($F$7:AE$7),"",INDEX(TableDiv[[GASB]:[GASB]],_xlfn.AGGREGATE(15,3,(TableDiv[[Agency]:[Agency]]=$E964)/(TableDiv[[Agency]:[Agency]]=$E964)*(ROW(TableDiv[Agency])-ROW(TableDiv[[#Headers],[Agency]])),COLUMNS($F$7:AE$7))))</f>
        <v/>
      </c>
      <c r="AF964" s="2223" t="str" cm="1">
        <f t="array" ref="AF964">IF($D964&lt;COLUMNS($F$7:AF$7),"",INDEX(TableDiv[[GASB]:[GASB]],_xlfn.AGGREGATE(15,3,(TableDiv[[Agency]:[Agency]]=$E964)/(TableDiv[[Agency]:[Agency]]=$E964)*(ROW(TableDiv[Agency])-ROW(TableDiv[[#Headers],[Agency]])),COLUMNS($F$7:AF$7))))</f>
        <v/>
      </c>
      <c r="AG964" s="2223" t="str" cm="1">
        <f t="array" ref="AG964">IF($D964&lt;COLUMNS($F$7:AG$7),"",INDEX(TableDiv[[GASB]:[GASB]],_xlfn.AGGREGATE(15,3,(TableDiv[[Agency]:[Agency]]=$E964)/(TableDiv[[Agency]:[Agency]]=$E964)*(ROW(TableDiv[Agency])-ROW(TableDiv[[#Headers],[Agency]])),COLUMNS($F$7:AG$7))))</f>
        <v/>
      </c>
      <c r="AH964" s="2223" t="str" cm="1">
        <f t="array" ref="AH964">IF($D964&lt;COLUMNS($F$7:AH$7),"",INDEX(TableDiv[[GASB]:[GASB]],_xlfn.AGGREGATE(15,3,(TableDiv[[Agency]:[Agency]]=$E964)/(TableDiv[[Agency]:[Agency]]=$E964)*(ROW(TableDiv[Agency])-ROW(TableDiv[[#Headers],[Agency]])),COLUMNS($F$7:AH$7))))</f>
        <v/>
      </c>
      <c r="AI964" s="2223" t="str" cm="1">
        <f t="array" ref="AI964">IF($D964&lt;COLUMNS($F$7:AI$7),"",INDEX(TableDiv[[GASB]:[GASB]],_xlfn.AGGREGATE(15,3,(TableDiv[[Agency]:[Agency]]=$E964)/(TableDiv[[Agency]:[Agency]]=$E964)*(ROW(TableDiv[Agency])-ROW(TableDiv[[#Headers],[Agency]])),COLUMNS($F$7:AI$7))))</f>
        <v/>
      </c>
      <c r="AJ964" s="2223" t="str" cm="1">
        <f t="array" ref="AJ964">IF($D964&lt;COLUMNS($F$7:AJ$7),"",INDEX(TableDiv[[GASB]:[GASB]],_xlfn.AGGREGATE(15,3,(TableDiv[[Agency]:[Agency]]=$E964)/(TableDiv[[Agency]:[Agency]]=$E964)*(ROW(TableDiv[Agency])-ROW(TableDiv[[#Headers],[Agency]])),COLUMNS($F$7:AJ$7))))</f>
        <v/>
      </c>
      <c r="AK964" s="2223" t="str" cm="1">
        <f t="array" ref="AK964">IF($D964&lt;COLUMNS($F$7:AK$7),"",INDEX(TableDiv[[GASB]:[GASB]],_xlfn.AGGREGATE(15,3,(TableDiv[[Agency]:[Agency]]=$E964)/(TableDiv[[Agency]:[Agency]]=$E964)*(ROW(TableDiv[Agency])-ROW(TableDiv[[#Headers],[Agency]])),COLUMNS($F$7:AK$7))))</f>
        <v/>
      </c>
      <c r="AL964" s="2223" t="str" cm="1">
        <f t="array" ref="AL964">IF($D964&lt;COLUMNS($F$7:AL$7),"",INDEX(TableDiv[[GASB]:[GASB]],_xlfn.AGGREGATE(15,3,(TableDiv[[Agency]:[Agency]]=$E964)/(TableDiv[[Agency]:[Agency]]=$E964)*(ROW(TableDiv[Agency])-ROW(TableDiv[[#Headers],[Agency]])),COLUMNS($F$7:AL$7))))</f>
        <v/>
      </c>
      <c r="AM964" s="2223" t="str" cm="1">
        <f t="array" ref="AM964">IF($D964&lt;COLUMNS($F$7:AM$7),"",INDEX(TableDiv[[GASB]:[GASB]],_xlfn.AGGREGATE(15,3,(TableDiv[[Agency]:[Agency]]=$E964)/(TableDiv[[Agency]:[Agency]]=$E964)*(ROW(TableDiv[Agency])-ROW(TableDiv[[#Headers],[Agency]])),COLUMNS($F$7:AM$7))))</f>
        <v/>
      </c>
      <c r="AN964" s="2223"/>
      <c r="AO964" s="2223"/>
      <c r="AP964" s="2223"/>
      <c r="AQ964" s="2223"/>
      <c r="AR964" s="2223"/>
      <c r="AS964" s="2223"/>
    </row>
    <row r="965" spans="1:45" x14ac:dyDescent="0.2">
      <c r="A965" s="2223"/>
      <c r="B965" s="2223"/>
      <c r="C965" s="2223"/>
      <c r="W965" s="2223" t="str" cm="1">
        <f t="array" ref="W965">IF($D965&lt;COLUMNS($F$7:W$7),"",INDEX(TableDiv[[GASB]:[GASB]],_xlfn.AGGREGATE(15,3,(TableDiv[[Agency]:[Agency]]=$E965)/(TableDiv[[Agency]:[Agency]]=$E965)*(ROW(TableDiv[Agency])-ROW(TableDiv[[#Headers],[Agency]])),COLUMNS($F$7:W$7))))</f>
        <v/>
      </c>
      <c r="X965" s="2223" t="str" cm="1">
        <f t="array" ref="X965">IF($D965&lt;COLUMNS($F$7:X$7),"",INDEX(TableDiv[[GASB]:[GASB]],_xlfn.AGGREGATE(15,3,(TableDiv[[Agency]:[Agency]]=$E965)/(TableDiv[[Agency]:[Agency]]=$E965)*(ROW(TableDiv[Agency])-ROW(TableDiv[[#Headers],[Agency]])),COLUMNS($F$7:X$7))))</f>
        <v/>
      </c>
      <c r="Y965" s="2223" t="str" cm="1">
        <f t="array" ref="Y965">IF($D965&lt;COLUMNS($F$7:Y$7),"",INDEX(TableDiv[[GASB]:[GASB]],_xlfn.AGGREGATE(15,3,(TableDiv[[Agency]:[Agency]]=$E965)/(TableDiv[[Agency]:[Agency]]=$E965)*(ROW(TableDiv[Agency])-ROW(TableDiv[[#Headers],[Agency]])),COLUMNS($F$7:Y$7))))</f>
        <v/>
      </c>
      <c r="Z965" s="2223" t="str" cm="1">
        <f t="array" ref="Z965">IF($D965&lt;COLUMNS($F$7:Z$7),"",INDEX(TableDiv[[GASB]:[GASB]],_xlfn.AGGREGATE(15,3,(TableDiv[[Agency]:[Agency]]=$E965)/(TableDiv[[Agency]:[Agency]]=$E965)*(ROW(TableDiv[Agency])-ROW(TableDiv[[#Headers],[Agency]])),COLUMNS($F$7:Z$7))))</f>
        <v/>
      </c>
      <c r="AA965" s="2223" t="str" cm="1">
        <f t="array" ref="AA965">IF($D965&lt;COLUMNS($F$7:AA$7),"",INDEX(TableDiv[[GASB]:[GASB]],_xlfn.AGGREGATE(15,3,(TableDiv[[Agency]:[Agency]]=$E965)/(TableDiv[[Agency]:[Agency]]=$E965)*(ROW(TableDiv[Agency])-ROW(TableDiv[[#Headers],[Agency]])),COLUMNS($F$7:AA$7))))</f>
        <v/>
      </c>
      <c r="AB965" s="2223" t="str" cm="1">
        <f t="array" ref="AB965">IF($D965&lt;COLUMNS($F$7:AB$7),"",INDEX(TableDiv[[GASB]:[GASB]],_xlfn.AGGREGATE(15,3,(TableDiv[[Agency]:[Agency]]=$E965)/(TableDiv[[Agency]:[Agency]]=$E965)*(ROW(TableDiv[Agency])-ROW(TableDiv[[#Headers],[Agency]])),COLUMNS($F$7:AB$7))))</f>
        <v/>
      </c>
      <c r="AC965" s="2223" t="str" cm="1">
        <f t="array" ref="AC965">IF($D965&lt;COLUMNS($F$7:AC$7),"",INDEX(TableDiv[[GASB]:[GASB]],_xlfn.AGGREGATE(15,3,(TableDiv[[Agency]:[Agency]]=$E965)/(TableDiv[[Agency]:[Agency]]=$E965)*(ROW(TableDiv[Agency])-ROW(TableDiv[[#Headers],[Agency]])),COLUMNS($F$7:AC$7))))</f>
        <v/>
      </c>
      <c r="AD965" s="2223" t="str" cm="1">
        <f t="array" ref="AD965">IF($D965&lt;COLUMNS($F$7:AD$7),"",INDEX(TableDiv[[GASB]:[GASB]],_xlfn.AGGREGATE(15,3,(TableDiv[[Agency]:[Agency]]=$E965)/(TableDiv[[Agency]:[Agency]]=$E965)*(ROW(TableDiv[Agency])-ROW(TableDiv[[#Headers],[Agency]])),COLUMNS($F$7:AD$7))))</f>
        <v/>
      </c>
      <c r="AE965" s="2223" t="str" cm="1">
        <f t="array" ref="AE965">IF($D965&lt;COLUMNS($F$7:AE$7),"",INDEX(TableDiv[[GASB]:[GASB]],_xlfn.AGGREGATE(15,3,(TableDiv[[Agency]:[Agency]]=$E965)/(TableDiv[[Agency]:[Agency]]=$E965)*(ROW(TableDiv[Agency])-ROW(TableDiv[[#Headers],[Agency]])),COLUMNS($F$7:AE$7))))</f>
        <v/>
      </c>
      <c r="AF965" s="2223" t="str" cm="1">
        <f t="array" ref="AF965">IF($D965&lt;COLUMNS($F$7:AF$7),"",INDEX(TableDiv[[GASB]:[GASB]],_xlfn.AGGREGATE(15,3,(TableDiv[[Agency]:[Agency]]=$E965)/(TableDiv[[Agency]:[Agency]]=$E965)*(ROW(TableDiv[Agency])-ROW(TableDiv[[#Headers],[Agency]])),COLUMNS($F$7:AF$7))))</f>
        <v/>
      </c>
      <c r="AG965" s="2223" t="str" cm="1">
        <f t="array" ref="AG965">IF($D965&lt;COLUMNS($F$7:AG$7),"",INDEX(TableDiv[[GASB]:[GASB]],_xlfn.AGGREGATE(15,3,(TableDiv[[Agency]:[Agency]]=$E965)/(TableDiv[[Agency]:[Agency]]=$E965)*(ROW(TableDiv[Agency])-ROW(TableDiv[[#Headers],[Agency]])),COLUMNS($F$7:AG$7))))</f>
        <v/>
      </c>
      <c r="AH965" s="2223" t="str" cm="1">
        <f t="array" ref="AH965">IF($D965&lt;COLUMNS($F$7:AH$7),"",INDEX(TableDiv[[GASB]:[GASB]],_xlfn.AGGREGATE(15,3,(TableDiv[[Agency]:[Agency]]=$E965)/(TableDiv[[Agency]:[Agency]]=$E965)*(ROW(TableDiv[Agency])-ROW(TableDiv[[#Headers],[Agency]])),COLUMNS($F$7:AH$7))))</f>
        <v/>
      </c>
      <c r="AI965" s="2223" t="str" cm="1">
        <f t="array" ref="AI965">IF($D965&lt;COLUMNS($F$7:AI$7),"",INDEX(TableDiv[[GASB]:[GASB]],_xlfn.AGGREGATE(15,3,(TableDiv[[Agency]:[Agency]]=$E965)/(TableDiv[[Agency]:[Agency]]=$E965)*(ROW(TableDiv[Agency])-ROW(TableDiv[[#Headers],[Agency]])),COLUMNS($F$7:AI$7))))</f>
        <v/>
      </c>
      <c r="AJ965" s="2223" t="str" cm="1">
        <f t="array" ref="AJ965">IF($D965&lt;COLUMNS($F$7:AJ$7),"",INDEX(TableDiv[[GASB]:[GASB]],_xlfn.AGGREGATE(15,3,(TableDiv[[Agency]:[Agency]]=$E965)/(TableDiv[[Agency]:[Agency]]=$E965)*(ROW(TableDiv[Agency])-ROW(TableDiv[[#Headers],[Agency]])),COLUMNS($F$7:AJ$7))))</f>
        <v/>
      </c>
      <c r="AK965" s="2223" t="str" cm="1">
        <f t="array" ref="AK965">IF($D965&lt;COLUMNS($F$7:AK$7),"",INDEX(TableDiv[[GASB]:[GASB]],_xlfn.AGGREGATE(15,3,(TableDiv[[Agency]:[Agency]]=$E965)/(TableDiv[[Agency]:[Agency]]=$E965)*(ROW(TableDiv[Agency])-ROW(TableDiv[[#Headers],[Agency]])),COLUMNS($F$7:AK$7))))</f>
        <v/>
      </c>
      <c r="AL965" s="2223" t="str" cm="1">
        <f t="array" ref="AL965">IF($D965&lt;COLUMNS($F$7:AL$7),"",INDEX(TableDiv[[GASB]:[GASB]],_xlfn.AGGREGATE(15,3,(TableDiv[[Agency]:[Agency]]=$E965)/(TableDiv[[Agency]:[Agency]]=$E965)*(ROW(TableDiv[Agency])-ROW(TableDiv[[#Headers],[Agency]])),COLUMNS($F$7:AL$7))))</f>
        <v/>
      </c>
      <c r="AM965" s="2223" t="str" cm="1">
        <f t="array" ref="AM965">IF($D965&lt;COLUMNS($F$7:AM$7),"",INDEX(TableDiv[[GASB]:[GASB]],_xlfn.AGGREGATE(15,3,(TableDiv[[Agency]:[Agency]]=$E965)/(TableDiv[[Agency]:[Agency]]=$E965)*(ROW(TableDiv[Agency])-ROW(TableDiv[[#Headers],[Agency]])),COLUMNS($F$7:AM$7))))</f>
        <v/>
      </c>
      <c r="AN965" s="2223"/>
      <c r="AO965" s="2223"/>
      <c r="AP965" s="2223"/>
      <c r="AQ965" s="2223"/>
      <c r="AR965" s="2223"/>
      <c r="AS965" s="2223"/>
    </row>
    <row r="966" spans="1:45" x14ac:dyDescent="0.2">
      <c r="A966" s="2223"/>
      <c r="B966" s="2223"/>
      <c r="C966" s="2223"/>
      <c r="W966" s="2223" t="str" cm="1">
        <f t="array" ref="W966">IF($D966&lt;COLUMNS($F$7:W$7),"",INDEX(TableDiv[[GASB]:[GASB]],_xlfn.AGGREGATE(15,3,(TableDiv[[Agency]:[Agency]]=$E966)/(TableDiv[[Agency]:[Agency]]=$E966)*(ROW(TableDiv[Agency])-ROW(TableDiv[[#Headers],[Agency]])),COLUMNS($F$7:W$7))))</f>
        <v/>
      </c>
      <c r="X966" s="2223" t="str" cm="1">
        <f t="array" ref="X966">IF($D966&lt;COLUMNS($F$7:X$7),"",INDEX(TableDiv[[GASB]:[GASB]],_xlfn.AGGREGATE(15,3,(TableDiv[[Agency]:[Agency]]=$E966)/(TableDiv[[Agency]:[Agency]]=$E966)*(ROW(TableDiv[Agency])-ROW(TableDiv[[#Headers],[Agency]])),COLUMNS($F$7:X$7))))</f>
        <v/>
      </c>
      <c r="Y966" s="2223" t="str" cm="1">
        <f t="array" ref="Y966">IF($D966&lt;COLUMNS($F$7:Y$7),"",INDEX(TableDiv[[GASB]:[GASB]],_xlfn.AGGREGATE(15,3,(TableDiv[[Agency]:[Agency]]=$E966)/(TableDiv[[Agency]:[Agency]]=$E966)*(ROW(TableDiv[Agency])-ROW(TableDiv[[#Headers],[Agency]])),COLUMNS($F$7:Y$7))))</f>
        <v/>
      </c>
      <c r="Z966" s="2223" t="str" cm="1">
        <f t="array" ref="Z966">IF($D966&lt;COLUMNS($F$7:Z$7),"",INDEX(TableDiv[[GASB]:[GASB]],_xlfn.AGGREGATE(15,3,(TableDiv[[Agency]:[Agency]]=$E966)/(TableDiv[[Agency]:[Agency]]=$E966)*(ROW(TableDiv[Agency])-ROW(TableDiv[[#Headers],[Agency]])),COLUMNS($F$7:Z$7))))</f>
        <v/>
      </c>
      <c r="AA966" s="2223" t="str" cm="1">
        <f t="array" ref="AA966">IF($D966&lt;COLUMNS($F$7:AA$7),"",INDEX(TableDiv[[GASB]:[GASB]],_xlfn.AGGREGATE(15,3,(TableDiv[[Agency]:[Agency]]=$E966)/(TableDiv[[Agency]:[Agency]]=$E966)*(ROW(TableDiv[Agency])-ROW(TableDiv[[#Headers],[Agency]])),COLUMNS($F$7:AA$7))))</f>
        <v/>
      </c>
      <c r="AB966" s="2223" t="str" cm="1">
        <f t="array" ref="AB966">IF($D966&lt;COLUMNS($F$7:AB$7),"",INDEX(TableDiv[[GASB]:[GASB]],_xlfn.AGGREGATE(15,3,(TableDiv[[Agency]:[Agency]]=$E966)/(TableDiv[[Agency]:[Agency]]=$E966)*(ROW(TableDiv[Agency])-ROW(TableDiv[[#Headers],[Agency]])),COLUMNS($F$7:AB$7))))</f>
        <v/>
      </c>
      <c r="AC966" s="2223" t="str" cm="1">
        <f t="array" ref="AC966">IF($D966&lt;COLUMNS($F$7:AC$7),"",INDEX(TableDiv[[GASB]:[GASB]],_xlfn.AGGREGATE(15,3,(TableDiv[[Agency]:[Agency]]=$E966)/(TableDiv[[Agency]:[Agency]]=$E966)*(ROW(TableDiv[Agency])-ROW(TableDiv[[#Headers],[Agency]])),COLUMNS($F$7:AC$7))))</f>
        <v/>
      </c>
      <c r="AD966" s="2223" t="str" cm="1">
        <f t="array" ref="AD966">IF($D966&lt;COLUMNS($F$7:AD$7),"",INDEX(TableDiv[[GASB]:[GASB]],_xlfn.AGGREGATE(15,3,(TableDiv[[Agency]:[Agency]]=$E966)/(TableDiv[[Agency]:[Agency]]=$E966)*(ROW(TableDiv[Agency])-ROW(TableDiv[[#Headers],[Agency]])),COLUMNS($F$7:AD$7))))</f>
        <v/>
      </c>
      <c r="AE966" s="2223" t="str" cm="1">
        <f t="array" ref="AE966">IF($D966&lt;COLUMNS($F$7:AE$7),"",INDEX(TableDiv[[GASB]:[GASB]],_xlfn.AGGREGATE(15,3,(TableDiv[[Agency]:[Agency]]=$E966)/(TableDiv[[Agency]:[Agency]]=$E966)*(ROW(TableDiv[Agency])-ROW(TableDiv[[#Headers],[Agency]])),COLUMNS($F$7:AE$7))))</f>
        <v/>
      </c>
      <c r="AF966" s="2223" t="str" cm="1">
        <f t="array" ref="AF966">IF($D966&lt;COLUMNS($F$7:AF$7),"",INDEX(TableDiv[[GASB]:[GASB]],_xlfn.AGGREGATE(15,3,(TableDiv[[Agency]:[Agency]]=$E966)/(TableDiv[[Agency]:[Agency]]=$E966)*(ROW(TableDiv[Agency])-ROW(TableDiv[[#Headers],[Agency]])),COLUMNS($F$7:AF$7))))</f>
        <v/>
      </c>
      <c r="AG966" s="2223" t="str" cm="1">
        <f t="array" ref="AG966">IF($D966&lt;COLUMNS($F$7:AG$7),"",INDEX(TableDiv[[GASB]:[GASB]],_xlfn.AGGREGATE(15,3,(TableDiv[[Agency]:[Agency]]=$E966)/(TableDiv[[Agency]:[Agency]]=$E966)*(ROW(TableDiv[Agency])-ROW(TableDiv[[#Headers],[Agency]])),COLUMNS($F$7:AG$7))))</f>
        <v/>
      </c>
      <c r="AH966" s="2223" t="str" cm="1">
        <f t="array" ref="AH966">IF($D966&lt;COLUMNS($F$7:AH$7),"",INDEX(TableDiv[[GASB]:[GASB]],_xlfn.AGGREGATE(15,3,(TableDiv[[Agency]:[Agency]]=$E966)/(TableDiv[[Agency]:[Agency]]=$E966)*(ROW(TableDiv[Agency])-ROW(TableDiv[[#Headers],[Agency]])),COLUMNS($F$7:AH$7))))</f>
        <v/>
      </c>
      <c r="AI966" s="2223" t="str" cm="1">
        <f t="array" ref="AI966">IF($D966&lt;COLUMNS($F$7:AI$7),"",INDEX(TableDiv[[GASB]:[GASB]],_xlfn.AGGREGATE(15,3,(TableDiv[[Agency]:[Agency]]=$E966)/(TableDiv[[Agency]:[Agency]]=$E966)*(ROW(TableDiv[Agency])-ROW(TableDiv[[#Headers],[Agency]])),COLUMNS($F$7:AI$7))))</f>
        <v/>
      </c>
      <c r="AJ966" s="2223" t="str" cm="1">
        <f t="array" ref="AJ966">IF($D966&lt;COLUMNS($F$7:AJ$7),"",INDEX(TableDiv[[GASB]:[GASB]],_xlfn.AGGREGATE(15,3,(TableDiv[[Agency]:[Agency]]=$E966)/(TableDiv[[Agency]:[Agency]]=$E966)*(ROW(TableDiv[Agency])-ROW(TableDiv[[#Headers],[Agency]])),COLUMNS($F$7:AJ$7))))</f>
        <v/>
      </c>
      <c r="AK966" s="2223" t="str" cm="1">
        <f t="array" ref="AK966">IF($D966&lt;COLUMNS($F$7:AK$7),"",INDEX(TableDiv[[GASB]:[GASB]],_xlfn.AGGREGATE(15,3,(TableDiv[[Agency]:[Agency]]=$E966)/(TableDiv[[Agency]:[Agency]]=$E966)*(ROW(TableDiv[Agency])-ROW(TableDiv[[#Headers],[Agency]])),COLUMNS($F$7:AK$7))))</f>
        <v/>
      </c>
      <c r="AL966" s="2223" t="str" cm="1">
        <f t="array" ref="AL966">IF($D966&lt;COLUMNS($F$7:AL$7),"",INDEX(TableDiv[[GASB]:[GASB]],_xlfn.AGGREGATE(15,3,(TableDiv[[Agency]:[Agency]]=$E966)/(TableDiv[[Agency]:[Agency]]=$E966)*(ROW(TableDiv[Agency])-ROW(TableDiv[[#Headers],[Agency]])),COLUMNS($F$7:AL$7))))</f>
        <v/>
      </c>
      <c r="AM966" s="2223" t="str" cm="1">
        <f t="array" ref="AM966">IF($D966&lt;COLUMNS($F$7:AM$7),"",INDEX(TableDiv[[GASB]:[GASB]],_xlfn.AGGREGATE(15,3,(TableDiv[[Agency]:[Agency]]=$E966)/(TableDiv[[Agency]:[Agency]]=$E966)*(ROW(TableDiv[Agency])-ROW(TableDiv[[#Headers],[Agency]])),COLUMNS($F$7:AM$7))))</f>
        <v/>
      </c>
      <c r="AN966" s="2223"/>
      <c r="AO966" s="2223"/>
      <c r="AP966" s="2223"/>
      <c r="AQ966" s="2223"/>
      <c r="AR966" s="2223"/>
      <c r="AS966" s="2223"/>
    </row>
    <row r="967" spans="1:45" x14ac:dyDescent="0.2">
      <c r="A967" s="2223"/>
      <c r="B967" s="2223"/>
      <c r="C967" s="2223"/>
      <c r="W967" s="2223" t="str" cm="1">
        <f t="array" ref="W967">IF($D967&lt;COLUMNS($F$7:W$7),"",INDEX(TableDiv[[GASB]:[GASB]],_xlfn.AGGREGATE(15,3,(TableDiv[[Agency]:[Agency]]=$E967)/(TableDiv[[Agency]:[Agency]]=$E967)*(ROW(TableDiv[Agency])-ROW(TableDiv[[#Headers],[Agency]])),COLUMNS($F$7:W$7))))</f>
        <v/>
      </c>
      <c r="X967" s="2223" t="str" cm="1">
        <f t="array" ref="X967">IF($D967&lt;COLUMNS($F$7:X$7),"",INDEX(TableDiv[[GASB]:[GASB]],_xlfn.AGGREGATE(15,3,(TableDiv[[Agency]:[Agency]]=$E967)/(TableDiv[[Agency]:[Agency]]=$E967)*(ROW(TableDiv[Agency])-ROW(TableDiv[[#Headers],[Agency]])),COLUMNS($F$7:X$7))))</f>
        <v/>
      </c>
      <c r="Y967" s="2223" t="str" cm="1">
        <f t="array" ref="Y967">IF($D967&lt;COLUMNS($F$7:Y$7),"",INDEX(TableDiv[[GASB]:[GASB]],_xlfn.AGGREGATE(15,3,(TableDiv[[Agency]:[Agency]]=$E967)/(TableDiv[[Agency]:[Agency]]=$E967)*(ROW(TableDiv[Agency])-ROW(TableDiv[[#Headers],[Agency]])),COLUMNS($F$7:Y$7))))</f>
        <v/>
      </c>
      <c r="Z967" s="2223" t="str" cm="1">
        <f t="array" ref="Z967">IF($D967&lt;COLUMNS($F$7:Z$7),"",INDEX(TableDiv[[GASB]:[GASB]],_xlfn.AGGREGATE(15,3,(TableDiv[[Agency]:[Agency]]=$E967)/(TableDiv[[Agency]:[Agency]]=$E967)*(ROW(TableDiv[Agency])-ROW(TableDiv[[#Headers],[Agency]])),COLUMNS($F$7:Z$7))))</f>
        <v/>
      </c>
      <c r="AA967" s="2223" t="str" cm="1">
        <f t="array" ref="AA967">IF($D967&lt;COLUMNS($F$7:AA$7),"",INDEX(TableDiv[[GASB]:[GASB]],_xlfn.AGGREGATE(15,3,(TableDiv[[Agency]:[Agency]]=$E967)/(TableDiv[[Agency]:[Agency]]=$E967)*(ROW(TableDiv[Agency])-ROW(TableDiv[[#Headers],[Agency]])),COLUMNS($F$7:AA$7))))</f>
        <v/>
      </c>
      <c r="AB967" s="2223" t="str" cm="1">
        <f t="array" ref="AB967">IF($D967&lt;COLUMNS($F$7:AB$7),"",INDEX(TableDiv[[GASB]:[GASB]],_xlfn.AGGREGATE(15,3,(TableDiv[[Agency]:[Agency]]=$E967)/(TableDiv[[Agency]:[Agency]]=$E967)*(ROW(TableDiv[Agency])-ROW(TableDiv[[#Headers],[Agency]])),COLUMNS($F$7:AB$7))))</f>
        <v/>
      </c>
      <c r="AC967" s="2223" t="str" cm="1">
        <f t="array" ref="AC967">IF($D967&lt;COLUMNS($F$7:AC$7),"",INDEX(TableDiv[[GASB]:[GASB]],_xlfn.AGGREGATE(15,3,(TableDiv[[Agency]:[Agency]]=$E967)/(TableDiv[[Agency]:[Agency]]=$E967)*(ROW(TableDiv[Agency])-ROW(TableDiv[[#Headers],[Agency]])),COLUMNS($F$7:AC$7))))</f>
        <v/>
      </c>
      <c r="AD967" s="2223" t="str" cm="1">
        <f t="array" ref="AD967">IF($D967&lt;COLUMNS($F$7:AD$7),"",INDEX(TableDiv[[GASB]:[GASB]],_xlfn.AGGREGATE(15,3,(TableDiv[[Agency]:[Agency]]=$E967)/(TableDiv[[Agency]:[Agency]]=$E967)*(ROW(TableDiv[Agency])-ROW(TableDiv[[#Headers],[Agency]])),COLUMNS($F$7:AD$7))))</f>
        <v/>
      </c>
      <c r="AE967" s="2223" t="str" cm="1">
        <f t="array" ref="AE967">IF($D967&lt;COLUMNS($F$7:AE$7),"",INDEX(TableDiv[[GASB]:[GASB]],_xlfn.AGGREGATE(15,3,(TableDiv[[Agency]:[Agency]]=$E967)/(TableDiv[[Agency]:[Agency]]=$E967)*(ROW(TableDiv[Agency])-ROW(TableDiv[[#Headers],[Agency]])),COLUMNS($F$7:AE$7))))</f>
        <v/>
      </c>
      <c r="AF967" s="2223" t="str" cm="1">
        <f t="array" ref="AF967">IF($D967&lt;COLUMNS($F$7:AF$7),"",INDEX(TableDiv[[GASB]:[GASB]],_xlfn.AGGREGATE(15,3,(TableDiv[[Agency]:[Agency]]=$E967)/(TableDiv[[Agency]:[Agency]]=$E967)*(ROW(TableDiv[Agency])-ROW(TableDiv[[#Headers],[Agency]])),COLUMNS($F$7:AF$7))))</f>
        <v/>
      </c>
      <c r="AG967" s="2223" t="str" cm="1">
        <f t="array" ref="AG967">IF($D967&lt;COLUMNS($F$7:AG$7),"",INDEX(TableDiv[[GASB]:[GASB]],_xlfn.AGGREGATE(15,3,(TableDiv[[Agency]:[Agency]]=$E967)/(TableDiv[[Agency]:[Agency]]=$E967)*(ROW(TableDiv[Agency])-ROW(TableDiv[[#Headers],[Agency]])),COLUMNS($F$7:AG$7))))</f>
        <v/>
      </c>
      <c r="AH967" s="2223" t="str" cm="1">
        <f t="array" ref="AH967">IF($D967&lt;COLUMNS($F$7:AH$7),"",INDEX(TableDiv[[GASB]:[GASB]],_xlfn.AGGREGATE(15,3,(TableDiv[[Agency]:[Agency]]=$E967)/(TableDiv[[Agency]:[Agency]]=$E967)*(ROW(TableDiv[Agency])-ROW(TableDiv[[#Headers],[Agency]])),COLUMNS($F$7:AH$7))))</f>
        <v/>
      </c>
      <c r="AI967" s="2223" t="str" cm="1">
        <f t="array" ref="AI967">IF($D967&lt;COLUMNS($F$7:AI$7),"",INDEX(TableDiv[[GASB]:[GASB]],_xlfn.AGGREGATE(15,3,(TableDiv[[Agency]:[Agency]]=$E967)/(TableDiv[[Agency]:[Agency]]=$E967)*(ROW(TableDiv[Agency])-ROW(TableDiv[[#Headers],[Agency]])),COLUMNS($F$7:AI$7))))</f>
        <v/>
      </c>
      <c r="AJ967" s="2223" t="str" cm="1">
        <f t="array" ref="AJ967">IF($D967&lt;COLUMNS($F$7:AJ$7),"",INDEX(TableDiv[[GASB]:[GASB]],_xlfn.AGGREGATE(15,3,(TableDiv[[Agency]:[Agency]]=$E967)/(TableDiv[[Agency]:[Agency]]=$E967)*(ROW(TableDiv[Agency])-ROW(TableDiv[[#Headers],[Agency]])),COLUMNS($F$7:AJ$7))))</f>
        <v/>
      </c>
      <c r="AK967" s="2223" t="str" cm="1">
        <f t="array" ref="AK967">IF($D967&lt;COLUMNS($F$7:AK$7),"",INDEX(TableDiv[[GASB]:[GASB]],_xlfn.AGGREGATE(15,3,(TableDiv[[Agency]:[Agency]]=$E967)/(TableDiv[[Agency]:[Agency]]=$E967)*(ROW(TableDiv[Agency])-ROW(TableDiv[[#Headers],[Agency]])),COLUMNS($F$7:AK$7))))</f>
        <v/>
      </c>
      <c r="AL967" s="2223" t="str" cm="1">
        <f t="array" ref="AL967">IF($D967&lt;COLUMNS($F$7:AL$7),"",INDEX(TableDiv[[GASB]:[GASB]],_xlfn.AGGREGATE(15,3,(TableDiv[[Agency]:[Agency]]=$E967)/(TableDiv[[Agency]:[Agency]]=$E967)*(ROW(TableDiv[Agency])-ROW(TableDiv[[#Headers],[Agency]])),COLUMNS($F$7:AL$7))))</f>
        <v/>
      </c>
      <c r="AM967" s="2223" t="str" cm="1">
        <f t="array" ref="AM967">IF($D967&lt;COLUMNS($F$7:AM$7),"",INDEX(TableDiv[[GASB]:[GASB]],_xlfn.AGGREGATE(15,3,(TableDiv[[Agency]:[Agency]]=$E967)/(TableDiv[[Agency]:[Agency]]=$E967)*(ROW(TableDiv[Agency])-ROW(TableDiv[[#Headers],[Agency]])),COLUMNS($F$7:AM$7))))</f>
        <v/>
      </c>
      <c r="AN967" s="2223"/>
      <c r="AO967" s="2223"/>
      <c r="AP967" s="2223"/>
      <c r="AQ967" s="2223"/>
      <c r="AR967" s="2223"/>
      <c r="AS967" s="2223"/>
    </row>
    <row r="968" spans="1:45" x14ac:dyDescent="0.2">
      <c r="A968" s="2223"/>
      <c r="B968" s="2223"/>
      <c r="C968" s="2223"/>
      <c r="W968" s="2223" t="str" cm="1">
        <f t="array" ref="W968">IF($D968&lt;COLUMNS($F$7:W$7),"",INDEX(TableDiv[[GASB]:[GASB]],_xlfn.AGGREGATE(15,3,(TableDiv[[Agency]:[Agency]]=$E968)/(TableDiv[[Agency]:[Agency]]=$E968)*(ROW(TableDiv[Agency])-ROW(TableDiv[[#Headers],[Agency]])),COLUMNS($F$7:W$7))))</f>
        <v/>
      </c>
      <c r="X968" s="2223" t="str" cm="1">
        <f t="array" ref="X968">IF($D968&lt;COLUMNS($F$7:X$7),"",INDEX(TableDiv[[GASB]:[GASB]],_xlfn.AGGREGATE(15,3,(TableDiv[[Agency]:[Agency]]=$E968)/(TableDiv[[Agency]:[Agency]]=$E968)*(ROW(TableDiv[Agency])-ROW(TableDiv[[#Headers],[Agency]])),COLUMNS($F$7:X$7))))</f>
        <v/>
      </c>
      <c r="Y968" s="2223" t="str" cm="1">
        <f t="array" ref="Y968">IF($D968&lt;COLUMNS($F$7:Y$7),"",INDEX(TableDiv[[GASB]:[GASB]],_xlfn.AGGREGATE(15,3,(TableDiv[[Agency]:[Agency]]=$E968)/(TableDiv[[Agency]:[Agency]]=$E968)*(ROW(TableDiv[Agency])-ROW(TableDiv[[#Headers],[Agency]])),COLUMNS($F$7:Y$7))))</f>
        <v/>
      </c>
      <c r="Z968" s="2223" t="str" cm="1">
        <f t="array" ref="Z968">IF($D968&lt;COLUMNS($F$7:Z$7),"",INDEX(TableDiv[[GASB]:[GASB]],_xlfn.AGGREGATE(15,3,(TableDiv[[Agency]:[Agency]]=$E968)/(TableDiv[[Agency]:[Agency]]=$E968)*(ROW(TableDiv[Agency])-ROW(TableDiv[[#Headers],[Agency]])),COLUMNS($F$7:Z$7))))</f>
        <v/>
      </c>
      <c r="AA968" s="2223" t="str" cm="1">
        <f t="array" ref="AA968">IF($D968&lt;COLUMNS($F$7:AA$7),"",INDEX(TableDiv[[GASB]:[GASB]],_xlfn.AGGREGATE(15,3,(TableDiv[[Agency]:[Agency]]=$E968)/(TableDiv[[Agency]:[Agency]]=$E968)*(ROW(TableDiv[Agency])-ROW(TableDiv[[#Headers],[Agency]])),COLUMNS($F$7:AA$7))))</f>
        <v/>
      </c>
      <c r="AB968" s="2223" t="str" cm="1">
        <f t="array" ref="AB968">IF($D968&lt;COLUMNS($F$7:AB$7),"",INDEX(TableDiv[[GASB]:[GASB]],_xlfn.AGGREGATE(15,3,(TableDiv[[Agency]:[Agency]]=$E968)/(TableDiv[[Agency]:[Agency]]=$E968)*(ROW(TableDiv[Agency])-ROW(TableDiv[[#Headers],[Agency]])),COLUMNS($F$7:AB$7))))</f>
        <v/>
      </c>
      <c r="AC968" s="2223" t="str" cm="1">
        <f t="array" ref="AC968">IF($D968&lt;COLUMNS($F$7:AC$7),"",INDEX(TableDiv[[GASB]:[GASB]],_xlfn.AGGREGATE(15,3,(TableDiv[[Agency]:[Agency]]=$E968)/(TableDiv[[Agency]:[Agency]]=$E968)*(ROW(TableDiv[Agency])-ROW(TableDiv[[#Headers],[Agency]])),COLUMNS($F$7:AC$7))))</f>
        <v/>
      </c>
      <c r="AD968" s="2223" t="str" cm="1">
        <f t="array" ref="AD968">IF($D968&lt;COLUMNS($F$7:AD$7),"",INDEX(TableDiv[[GASB]:[GASB]],_xlfn.AGGREGATE(15,3,(TableDiv[[Agency]:[Agency]]=$E968)/(TableDiv[[Agency]:[Agency]]=$E968)*(ROW(TableDiv[Agency])-ROW(TableDiv[[#Headers],[Agency]])),COLUMNS($F$7:AD$7))))</f>
        <v/>
      </c>
      <c r="AE968" s="2223" t="str" cm="1">
        <f t="array" ref="AE968">IF($D968&lt;COLUMNS($F$7:AE$7),"",INDEX(TableDiv[[GASB]:[GASB]],_xlfn.AGGREGATE(15,3,(TableDiv[[Agency]:[Agency]]=$E968)/(TableDiv[[Agency]:[Agency]]=$E968)*(ROW(TableDiv[Agency])-ROW(TableDiv[[#Headers],[Agency]])),COLUMNS($F$7:AE$7))))</f>
        <v/>
      </c>
      <c r="AF968" s="2223" t="str" cm="1">
        <f t="array" ref="AF968">IF($D968&lt;COLUMNS($F$7:AF$7),"",INDEX(TableDiv[[GASB]:[GASB]],_xlfn.AGGREGATE(15,3,(TableDiv[[Agency]:[Agency]]=$E968)/(TableDiv[[Agency]:[Agency]]=$E968)*(ROW(TableDiv[Agency])-ROW(TableDiv[[#Headers],[Agency]])),COLUMNS($F$7:AF$7))))</f>
        <v/>
      </c>
      <c r="AG968" s="2223" t="str" cm="1">
        <f t="array" ref="AG968">IF($D968&lt;COLUMNS($F$7:AG$7),"",INDEX(TableDiv[[GASB]:[GASB]],_xlfn.AGGREGATE(15,3,(TableDiv[[Agency]:[Agency]]=$E968)/(TableDiv[[Agency]:[Agency]]=$E968)*(ROW(TableDiv[Agency])-ROW(TableDiv[[#Headers],[Agency]])),COLUMNS($F$7:AG$7))))</f>
        <v/>
      </c>
      <c r="AH968" s="2223" t="str" cm="1">
        <f t="array" ref="AH968">IF($D968&lt;COLUMNS($F$7:AH$7),"",INDEX(TableDiv[[GASB]:[GASB]],_xlfn.AGGREGATE(15,3,(TableDiv[[Agency]:[Agency]]=$E968)/(TableDiv[[Agency]:[Agency]]=$E968)*(ROW(TableDiv[Agency])-ROW(TableDiv[[#Headers],[Agency]])),COLUMNS($F$7:AH$7))))</f>
        <v/>
      </c>
      <c r="AI968" s="2223" t="str" cm="1">
        <f t="array" ref="AI968">IF($D968&lt;COLUMNS($F$7:AI$7),"",INDEX(TableDiv[[GASB]:[GASB]],_xlfn.AGGREGATE(15,3,(TableDiv[[Agency]:[Agency]]=$E968)/(TableDiv[[Agency]:[Agency]]=$E968)*(ROW(TableDiv[Agency])-ROW(TableDiv[[#Headers],[Agency]])),COLUMNS($F$7:AI$7))))</f>
        <v/>
      </c>
      <c r="AJ968" s="2223" t="str" cm="1">
        <f t="array" ref="AJ968">IF($D968&lt;COLUMNS($F$7:AJ$7),"",INDEX(TableDiv[[GASB]:[GASB]],_xlfn.AGGREGATE(15,3,(TableDiv[[Agency]:[Agency]]=$E968)/(TableDiv[[Agency]:[Agency]]=$E968)*(ROW(TableDiv[Agency])-ROW(TableDiv[[#Headers],[Agency]])),COLUMNS($F$7:AJ$7))))</f>
        <v/>
      </c>
      <c r="AK968" s="2223" t="str" cm="1">
        <f t="array" ref="AK968">IF($D968&lt;COLUMNS($F$7:AK$7),"",INDEX(TableDiv[[GASB]:[GASB]],_xlfn.AGGREGATE(15,3,(TableDiv[[Agency]:[Agency]]=$E968)/(TableDiv[[Agency]:[Agency]]=$E968)*(ROW(TableDiv[Agency])-ROW(TableDiv[[#Headers],[Agency]])),COLUMNS($F$7:AK$7))))</f>
        <v/>
      </c>
      <c r="AL968" s="2223" t="str" cm="1">
        <f t="array" ref="AL968">IF($D968&lt;COLUMNS($F$7:AL$7),"",INDEX(TableDiv[[GASB]:[GASB]],_xlfn.AGGREGATE(15,3,(TableDiv[[Agency]:[Agency]]=$E968)/(TableDiv[[Agency]:[Agency]]=$E968)*(ROW(TableDiv[Agency])-ROW(TableDiv[[#Headers],[Agency]])),COLUMNS($F$7:AL$7))))</f>
        <v/>
      </c>
      <c r="AM968" s="2223" t="str" cm="1">
        <f t="array" ref="AM968">IF($D968&lt;COLUMNS($F$7:AM$7),"",INDEX(TableDiv[[GASB]:[GASB]],_xlfn.AGGREGATE(15,3,(TableDiv[[Agency]:[Agency]]=$E968)/(TableDiv[[Agency]:[Agency]]=$E968)*(ROW(TableDiv[Agency])-ROW(TableDiv[[#Headers],[Agency]])),COLUMNS($F$7:AM$7))))</f>
        <v/>
      </c>
      <c r="AN968" s="2223"/>
      <c r="AO968" s="2223"/>
      <c r="AP968" s="2223"/>
      <c r="AQ968" s="2223"/>
      <c r="AR968" s="2223"/>
      <c r="AS968" s="2223"/>
    </row>
    <row r="969" spans="1:45" x14ac:dyDescent="0.2">
      <c r="A969" s="2223"/>
      <c r="B969" s="2223"/>
      <c r="C969" s="2223"/>
      <c r="W969" s="2223" t="str" cm="1">
        <f t="array" ref="W969">IF($D969&lt;COLUMNS($F$7:W$7),"",INDEX(TableDiv[[GASB]:[GASB]],_xlfn.AGGREGATE(15,3,(TableDiv[[Agency]:[Agency]]=$E969)/(TableDiv[[Agency]:[Agency]]=$E969)*(ROW(TableDiv[Agency])-ROW(TableDiv[[#Headers],[Agency]])),COLUMNS($F$7:W$7))))</f>
        <v/>
      </c>
      <c r="X969" s="2223" t="str" cm="1">
        <f t="array" ref="X969">IF($D969&lt;COLUMNS($F$7:X$7),"",INDEX(TableDiv[[GASB]:[GASB]],_xlfn.AGGREGATE(15,3,(TableDiv[[Agency]:[Agency]]=$E969)/(TableDiv[[Agency]:[Agency]]=$E969)*(ROW(TableDiv[Agency])-ROW(TableDiv[[#Headers],[Agency]])),COLUMNS($F$7:X$7))))</f>
        <v/>
      </c>
      <c r="Y969" s="2223" t="str" cm="1">
        <f t="array" ref="Y969">IF($D969&lt;COLUMNS($F$7:Y$7),"",INDEX(TableDiv[[GASB]:[GASB]],_xlfn.AGGREGATE(15,3,(TableDiv[[Agency]:[Agency]]=$E969)/(TableDiv[[Agency]:[Agency]]=$E969)*(ROW(TableDiv[Agency])-ROW(TableDiv[[#Headers],[Agency]])),COLUMNS($F$7:Y$7))))</f>
        <v/>
      </c>
      <c r="Z969" s="2223" t="str" cm="1">
        <f t="array" ref="Z969">IF($D969&lt;COLUMNS($F$7:Z$7),"",INDEX(TableDiv[[GASB]:[GASB]],_xlfn.AGGREGATE(15,3,(TableDiv[[Agency]:[Agency]]=$E969)/(TableDiv[[Agency]:[Agency]]=$E969)*(ROW(TableDiv[Agency])-ROW(TableDiv[[#Headers],[Agency]])),COLUMNS($F$7:Z$7))))</f>
        <v/>
      </c>
      <c r="AA969" s="2223" t="str" cm="1">
        <f t="array" ref="AA969">IF($D969&lt;COLUMNS($F$7:AA$7),"",INDEX(TableDiv[[GASB]:[GASB]],_xlfn.AGGREGATE(15,3,(TableDiv[[Agency]:[Agency]]=$E969)/(TableDiv[[Agency]:[Agency]]=$E969)*(ROW(TableDiv[Agency])-ROW(TableDiv[[#Headers],[Agency]])),COLUMNS($F$7:AA$7))))</f>
        <v/>
      </c>
      <c r="AB969" s="2223" t="str" cm="1">
        <f t="array" ref="AB969">IF($D969&lt;COLUMNS($F$7:AB$7),"",INDEX(TableDiv[[GASB]:[GASB]],_xlfn.AGGREGATE(15,3,(TableDiv[[Agency]:[Agency]]=$E969)/(TableDiv[[Agency]:[Agency]]=$E969)*(ROW(TableDiv[Agency])-ROW(TableDiv[[#Headers],[Agency]])),COLUMNS($F$7:AB$7))))</f>
        <v/>
      </c>
      <c r="AC969" s="2223" t="str" cm="1">
        <f t="array" ref="AC969">IF($D969&lt;COLUMNS($F$7:AC$7),"",INDEX(TableDiv[[GASB]:[GASB]],_xlfn.AGGREGATE(15,3,(TableDiv[[Agency]:[Agency]]=$E969)/(TableDiv[[Agency]:[Agency]]=$E969)*(ROW(TableDiv[Agency])-ROW(TableDiv[[#Headers],[Agency]])),COLUMNS($F$7:AC$7))))</f>
        <v/>
      </c>
      <c r="AD969" s="2223" t="str" cm="1">
        <f t="array" ref="AD969">IF($D969&lt;COLUMNS($F$7:AD$7),"",INDEX(TableDiv[[GASB]:[GASB]],_xlfn.AGGREGATE(15,3,(TableDiv[[Agency]:[Agency]]=$E969)/(TableDiv[[Agency]:[Agency]]=$E969)*(ROW(TableDiv[Agency])-ROW(TableDiv[[#Headers],[Agency]])),COLUMNS($F$7:AD$7))))</f>
        <v/>
      </c>
      <c r="AE969" s="2223" t="str" cm="1">
        <f t="array" ref="AE969">IF($D969&lt;COLUMNS($F$7:AE$7),"",INDEX(TableDiv[[GASB]:[GASB]],_xlfn.AGGREGATE(15,3,(TableDiv[[Agency]:[Agency]]=$E969)/(TableDiv[[Agency]:[Agency]]=$E969)*(ROW(TableDiv[Agency])-ROW(TableDiv[[#Headers],[Agency]])),COLUMNS($F$7:AE$7))))</f>
        <v/>
      </c>
      <c r="AF969" s="2223" t="str" cm="1">
        <f t="array" ref="AF969">IF($D969&lt;COLUMNS($F$7:AF$7),"",INDEX(TableDiv[[GASB]:[GASB]],_xlfn.AGGREGATE(15,3,(TableDiv[[Agency]:[Agency]]=$E969)/(TableDiv[[Agency]:[Agency]]=$E969)*(ROW(TableDiv[Agency])-ROW(TableDiv[[#Headers],[Agency]])),COLUMNS($F$7:AF$7))))</f>
        <v/>
      </c>
      <c r="AG969" s="2223" t="str" cm="1">
        <f t="array" ref="AG969">IF($D969&lt;COLUMNS($F$7:AG$7),"",INDEX(TableDiv[[GASB]:[GASB]],_xlfn.AGGREGATE(15,3,(TableDiv[[Agency]:[Agency]]=$E969)/(TableDiv[[Agency]:[Agency]]=$E969)*(ROW(TableDiv[Agency])-ROW(TableDiv[[#Headers],[Agency]])),COLUMNS($F$7:AG$7))))</f>
        <v/>
      </c>
      <c r="AH969" s="2223" t="str" cm="1">
        <f t="array" ref="AH969">IF($D969&lt;COLUMNS($F$7:AH$7),"",INDEX(TableDiv[[GASB]:[GASB]],_xlfn.AGGREGATE(15,3,(TableDiv[[Agency]:[Agency]]=$E969)/(TableDiv[[Agency]:[Agency]]=$E969)*(ROW(TableDiv[Agency])-ROW(TableDiv[[#Headers],[Agency]])),COLUMNS($F$7:AH$7))))</f>
        <v/>
      </c>
      <c r="AI969" s="2223" t="str" cm="1">
        <f t="array" ref="AI969">IF($D969&lt;COLUMNS($F$7:AI$7),"",INDEX(TableDiv[[GASB]:[GASB]],_xlfn.AGGREGATE(15,3,(TableDiv[[Agency]:[Agency]]=$E969)/(TableDiv[[Agency]:[Agency]]=$E969)*(ROW(TableDiv[Agency])-ROW(TableDiv[[#Headers],[Agency]])),COLUMNS($F$7:AI$7))))</f>
        <v/>
      </c>
      <c r="AJ969" s="2223" t="str" cm="1">
        <f t="array" ref="AJ969">IF($D969&lt;COLUMNS($F$7:AJ$7),"",INDEX(TableDiv[[GASB]:[GASB]],_xlfn.AGGREGATE(15,3,(TableDiv[[Agency]:[Agency]]=$E969)/(TableDiv[[Agency]:[Agency]]=$E969)*(ROW(TableDiv[Agency])-ROW(TableDiv[[#Headers],[Agency]])),COLUMNS($F$7:AJ$7))))</f>
        <v/>
      </c>
      <c r="AK969" s="2223" t="str" cm="1">
        <f t="array" ref="AK969">IF($D969&lt;COLUMNS($F$7:AK$7),"",INDEX(TableDiv[[GASB]:[GASB]],_xlfn.AGGREGATE(15,3,(TableDiv[[Agency]:[Agency]]=$E969)/(TableDiv[[Agency]:[Agency]]=$E969)*(ROW(TableDiv[Agency])-ROW(TableDiv[[#Headers],[Agency]])),COLUMNS($F$7:AK$7))))</f>
        <v/>
      </c>
      <c r="AL969" s="2223" t="str" cm="1">
        <f t="array" ref="AL969">IF($D969&lt;COLUMNS($F$7:AL$7),"",INDEX(TableDiv[[GASB]:[GASB]],_xlfn.AGGREGATE(15,3,(TableDiv[[Agency]:[Agency]]=$E969)/(TableDiv[[Agency]:[Agency]]=$E969)*(ROW(TableDiv[Agency])-ROW(TableDiv[[#Headers],[Agency]])),COLUMNS($F$7:AL$7))))</f>
        <v/>
      </c>
      <c r="AM969" s="2223" t="str" cm="1">
        <f t="array" ref="AM969">IF($D969&lt;COLUMNS($F$7:AM$7),"",INDEX(TableDiv[[GASB]:[GASB]],_xlfn.AGGREGATE(15,3,(TableDiv[[Agency]:[Agency]]=$E969)/(TableDiv[[Agency]:[Agency]]=$E969)*(ROW(TableDiv[Agency])-ROW(TableDiv[[#Headers],[Agency]])),COLUMNS($F$7:AM$7))))</f>
        <v/>
      </c>
      <c r="AN969" s="2223"/>
      <c r="AO969" s="2223"/>
      <c r="AP969" s="2223"/>
      <c r="AQ969" s="2223"/>
      <c r="AR969" s="2223"/>
      <c r="AS969" s="2223"/>
    </row>
    <row r="970" spans="1:45" x14ac:dyDescent="0.2">
      <c r="A970" s="2223"/>
      <c r="B970" s="2223"/>
      <c r="C970" s="2223"/>
      <c r="W970" s="2223" t="str" cm="1">
        <f t="array" ref="W970">IF($D970&lt;COLUMNS($F$7:W$7),"",INDEX(TableDiv[[GASB]:[GASB]],_xlfn.AGGREGATE(15,3,(TableDiv[[Agency]:[Agency]]=$E970)/(TableDiv[[Agency]:[Agency]]=$E970)*(ROW(TableDiv[Agency])-ROW(TableDiv[[#Headers],[Agency]])),COLUMNS($F$7:W$7))))</f>
        <v/>
      </c>
      <c r="X970" s="2223" t="str" cm="1">
        <f t="array" ref="X970">IF($D970&lt;COLUMNS($F$7:X$7),"",INDEX(TableDiv[[GASB]:[GASB]],_xlfn.AGGREGATE(15,3,(TableDiv[[Agency]:[Agency]]=$E970)/(TableDiv[[Agency]:[Agency]]=$E970)*(ROW(TableDiv[Agency])-ROW(TableDiv[[#Headers],[Agency]])),COLUMNS($F$7:X$7))))</f>
        <v/>
      </c>
      <c r="Y970" s="2223" t="str" cm="1">
        <f t="array" ref="Y970">IF($D970&lt;COLUMNS($F$7:Y$7),"",INDEX(TableDiv[[GASB]:[GASB]],_xlfn.AGGREGATE(15,3,(TableDiv[[Agency]:[Agency]]=$E970)/(TableDiv[[Agency]:[Agency]]=$E970)*(ROW(TableDiv[Agency])-ROW(TableDiv[[#Headers],[Agency]])),COLUMNS($F$7:Y$7))))</f>
        <v/>
      </c>
      <c r="Z970" s="2223" t="str" cm="1">
        <f t="array" ref="Z970">IF($D970&lt;COLUMNS($F$7:Z$7),"",INDEX(TableDiv[[GASB]:[GASB]],_xlfn.AGGREGATE(15,3,(TableDiv[[Agency]:[Agency]]=$E970)/(TableDiv[[Agency]:[Agency]]=$E970)*(ROW(TableDiv[Agency])-ROW(TableDiv[[#Headers],[Agency]])),COLUMNS($F$7:Z$7))))</f>
        <v/>
      </c>
      <c r="AA970" s="2223" t="str" cm="1">
        <f t="array" ref="AA970">IF($D970&lt;COLUMNS($F$7:AA$7),"",INDEX(TableDiv[[GASB]:[GASB]],_xlfn.AGGREGATE(15,3,(TableDiv[[Agency]:[Agency]]=$E970)/(TableDiv[[Agency]:[Agency]]=$E970)*(ROW(TableDiv[Agency])-ROW(TableDiv[[#Headers],[Agency]])),COLUMNS($F$7:AA$7))))</f>
        <v/>
      </c>
      <c r="AB970" s="2223" t="str" cm="1">
        <f t="array" ref="AB970">IF($D970&lt;COLUMNS($F$7:AB$7),"",INDEX(TableDiv[[GASB]:[GASB]],_xlfn.AGGREGATE(15,3,(TableDiv[[Agency]:[Agency]]=$E970)/(TableDiv[[Agency]:[Agency]]=$E970)*(ROW(TableDiv[Agency])-ROW(TableDiv[[#Headers],[Agency]])),COLUMNS($F$7:AB$7))))</f>
        <v/>
      </c>
      <c r="AC970" s="2223" t="str" cm="1">
        <f t="array" ref="AC970">IF($D970&lt;COLUMNS($F$7:AC$7),"",INDEX(TableDiv[[GASB]:[GASB]],_xlfn.AGGREGATE(15,3,(TableDiv[[Agency]:[Agency]]=$E970)/(TableDiv[[Agency]:[Agency]]=$E970)*(ROW(TableDiv[Agency])-ROW(TableDiv[[#Headers],[Agency]])),COLUMNS($F$7:AC$7))))</f>
        <v/>
      </c>
      <c r="AD970" s="2223" t="str" cm="1">
        <f t="array" ref="AD970">IF($D970&lt;COLUMNS($F$7:AD$7),"",INDEX(TableDiv[[GASB]:[GASB]],_xlfn.AGGREGATE(15,3,(TableDiv[[Agency]:[Agency]]=$E970)/(TableDiv[[Agency]:[Agency]]=$E970)*(ROW(TableDiv[Agency])-ROW(TableDiv[[#Headers],[Agency]])),COLUMNS($F$7:AD$7))))</f>
        <v/>
      </c>
      <c r="AE970" s="2223" t="str" cm="1">
        <f t="array" ref="AE970">IF($D970&lt;COLUMNS($F$7:AE$7),"",INDEX(TableDiv[[GASB]:[GASB]],_xlfn.AGGREGATE(15,3,(TableDiv[[Agency]:[Agency]]=$E970)/(TableDiv[[Agency]:[Agency]]=$E970)*(ROW(TableDiv[Agency])-ROW(TableDiv[[#Headers],[Agency]])),COLUMNS($F$7:AE$7))))</f>
        <v/>
      </c>
      <c r="AF970" s="2223" t="str" cm="1">
        <f t="array" ref="AF970">IF($D970&lt;COLUMNS($F$7:AF$7),"",INDEX(TableDiv[[GASB]:[GASB]],_xlfn.AGGREGATE(15,3,(TableDiv[[Agency]:[Agency]]=$E970)/(TableDiv[[Agency]:[Agency]]=$E970)*(ROW(TableDiv[Agency])-ROW(TableDiv[[#Headers],[Agency]])),COLUMNS($F$7:AF$7))))</f>
        <v/>
      </c>
      <c r="AG970" s="2223" t="str" cm="1">
        <f t="array" ref="AG970">IF($D970&lt;COLUMNS($F$7:AG$7),"",INDEX(TableDiv[[GASB]:[GASB]],_xlfn.AGGREGATE(15,3,(TableDiv[[Agency]:[Agency]]=$E970)/(TableDiv[[Agency]:[Agency]]=$E970)*(ROW(TableDiv[Agency])-ROW(TableDiv[[#Headers],[Agency]])),COLUMNS($F$7:AG$7))))</f>
        <v/>
      </c>
      <c r="AH970" s="2223" t="str" cm="1">
        <f t="array" ref="AH970">IF($D970&lt;COLUMNS($F$7:AH$7),"",INDEX(TableDiv[[GASB]:[GASB]],_xlfn.AGGREGATE(15,3,(TableDiv[[Agency]:[Agency]]=$E970)/(TableDiv[[Agency]:[Agency]]=$E970)*(ROW(TableDiv[Agency])-ROW(TableDiv[[#Headers],[Agency]])),COLUMNS($F$7:AH$7))))</f>
        <v/>
      </c>
      <c r="AI970" s="2223" t="str" cm="1">
        <f t="array" ref="AI970">IF($D970&lt;COLUMNS($F$7:AI$7),"",INDEX(TableDiv[[GASB]:[GASB]],_xlfn.AGGREGATE(15,3,(TableDiv[[Agency]:[Agency]]=$E970)/(TableDiv[[Agency]:[Agency]]=$E970)*(ROW(TableDiv[Agency])-ROW(TableDiv[[#Headers],[Agency]])),COLUMNS($F$7:AI$7))))</f>
        <v/>
      </c>
      <c r="AJ970" s="2223" t="str" cm="1">
        <f t="array" ref="AJ970">IF($D970&lt;COLUMNS($F$7:AJ$7),"",INDEX(TableDiv[[GASB]:[GASB]],_xlfn.AGGREGATE(15,3,(TableDiv[[Agency]:[Agency]]=$E970)/(TableDiv[[Agency]:[Agency]]=$E970)*(ROW(TableDiv[Agency])-ROW(TableDiv[[#Headers],[Agency]])),COLUMNS($F$7:AJ$7))))</f>
        <v/>
      </c>
      <c r="AK970" s="2223" t="str" cm="1">
        <f t="array" ref="AK970">IF($D970&lt;COLUMNS($F$7:AK$7),"",INDEX(TableDiv[[GASB]:[GASB]],_xlfn.AGGREGATE(15,3,(TableDiv[[Agency]:[Agency]]=$E970)/(TableDiv[[Agency]:[Agency]]=$E970)*(ROW(TableDiv[Agency])-ROW(TableDiv[[#Headers],[Agency]])),COLUMNS($F$7:AK$7))))</f>
        <v/>
      </c>
      <c r="AL970" s="2223" t="str" cm="1">
        <f t="array" ref="AL970">IF($D970&lt;COLUMNS($F$7:AL$7),"",INDEX(TableDiv[[GASB]:[GASB]],_xlfn.AGGREGATE(15,3,(TableDiv[[Agency]:[Agency]]=$E970)/(TableDiv[[Agency]:[Agency]]=$E970)*(ROW(TableDiv[Agency])-ROW(TableDiv[[#Headers],[Agency]])),COLUMNS($F$7:AL$7))))</f>
        <v/>
      </c>
      <c r="AM970" s="2223" t="str" cm="1">
        <f t="array" ref="AM970">IF($D970&lt;COLUMNS($F$7:AM$7),"",INDEX(TableDiv[[GASB]:[GASB]],_xlfn.AGGREGATE(15,3,(TableDiv[[Agency]:[Agency]]=$E970)/(TableDiv[[Agency]:[Agency]]=$E970)*(ROW(TableDiv[Agency])-ROW(TableDiv[[#Headers],[Agency]])),COLUMNS($F$7:AM$7))))</f>
        <v/>
      </c>
      <c r="AN970" s="2223"/>
      <c r="AO970" s="2223"/>
      <c r="AP970" s="2223"/>
      <c r="AQ970" s="2223"/>
      <c r="AR970" s="2223"/>
      <c r="AS970" s="2223"/>
    </row>
    <row r="971" spans="1:45" x14ac:dyDescent="0.2">
      <c r="A971" s="2223"/>
      <c r="B971" s="2223"/>
      <c r="C971" s="2223"/>
      <c r="W971" s="2223" t="str" cm="1">
        <f t="array" ref="W971">IF($D971&lt;COLUMNS($F$7:W$7),"",INDEX(TableDiv[[GASB]:[GASB]],_xlfn.AGGREGATE(15,3,(TableDiv[[Agency]:[Agency]]=$E971)/(TableDiv[[Agency]:[Agency]]=$E971)*(ROW(TableDiv[Agency])-ROW(TableDiv[[#Headers],[Agency]])),COLUMNS($F$7:W$7))))</f>
        <v/>
      </c>
      <c r="X971" s="2223" t="str" cm="1">
        <f t="array" ref="X971">IF($D971&lt;COLUMNS($F$7:X$7),"",INDEX(TableDiv[[GASB]:[GASB]],_xlfn.AGGREGATE(15,3,(TableDiv[[Agency]:[Agency]]=$E971)/(TableDiv[[Agency]:[Agency]]=$E971)*(ROW(TableDiv[Agency])-ROW(TableDiv[[#Headers],[Agency]])),COLUMNS($F$7:X$7))))</f>
        <v/>
      </c>
      <c r="Y971" s="2223" t="str" cm="1">
        <f t="array" ref="Y971">IF($D971&lt;COLUMNS($F$7:Y$7),"",INDEX(TableDiv[[GASB]:[GASB]],_xlfn.AGGREGATE(15,3,(TableDiv[[Agency]:[Agency]]=$E971)/(TableDiv[[Agency]:[Agency]]=$E971)*(ROW(TableDiv[Agency])-ROW(TableDiv[[#Headers],[Agency]])),COLUMNS($F$7:Y$7))))</f>
        <v/>
      </c>
      <c r="Z971" s="2223" t="str" cm="1">
        <f t="array" ref="Z971">IF($D971&lt;COLUMNS($F$7:Z$7),"",INDEX(TableDiv[[GASB]:[GASB]],_xlfn.AGGREGATE(15,3,(TableDiv[[Agency]:[Agency]]=$E971)/(TableDiv[[Agency]:[Agency]]=$E971)*(ROW(TableDiv[Agency])-ROW(TableDiv[[#Headers],[Agency]])),COLUMNS($F$7:Z$7))))</f>
        <v/>
      </c>
      <c r="AA971" s="2223" t="str" cm="1">
        <f t="array" ref="AA971">IF($D971&lt;COLUMNS($F$7:AA$7),"",INDEX(TableDiv[[GASB]:[GASB]],_xlfn.AGGREGATE(15,3,(TableDiv[[Agency]:[Agency]]=$E971)/(TableDiv[[Agency]:[Agency]]=$E971)*(ROW(TableDiv[Agency])-ROW(TableDiv[[#Headers],[Agency]])),COLUMNS($F$7:AA$7))))</f>
        <v/>
      </c>
      <c r="AB971" s="2223" t="str" cm="1">
        <f t="array" ref="AB971">IF($D971&lt;COLUMNS($F$7:AB$7),"",INDEX(TableDiv[[GASB]:[GASB]],_xlfn.AGGREGATE(15,3,(TableDiv[[Agency]:[Agency]]=$E971)/(TableDiv[[Agency]:[Agency]]=$E971)*(ROW(TableDiv[Agency])-ROW(TableDiv[[#Headers],[Agency]])),COLUMNS($F$7:AB$7))))</f>
        <v/>
      </c>
      <c r="AC971" s="2223" t="str" cm="1">
        <f t="array" ref="AC971">IF($D971&lt;COLUMNS($F$7:AC$7),"",INDEX(TableDiv[[GASB]:[GASB]],_xlfn.AGGREGATE(15,3,(TableDiv[[Agency]:[Agency]]=$E971)/(TableDiv[[Agency]:[Agency]]=$E971)*(ROW(TableDiv[Agency])-ROW(TableDiv[[#Headers],[Agency]])),COLUMNS($F$7:AC$7))))</f>
        <v/>
      </c>
      <c r="AD971" s="2223" t="str" cm="1">
        <f t="array" ref="AD971">IF($D971&lt;COLUMNS($F$7:AD$7),"",INDEX(TableDiv[[GASB]:[GASB]],_xlfn.AGGREGATE(15,3,(TableDiv[[Agency]:[Agency]]=$E971)/(TableDiv[[Agency]:[Agency]]=$E971)*(ROW(TableDiv[Agency])-ROW(TableDiv[[#Headers],[Agency]])),COLUMNS($F$7:AD$7))))</f>
        <v/>
      </c>
      <c r="AE971" s="2223" t="str" cm="1">
        <f t="array" ref="AE971">IF($D971&lt;COLUMNS($F$7:AE$7),"",INDEX(TableDiv[[GASB]:[GASB]],_xlfn.AGGREGATE(15,3,(TableDiv[[Agency]:[Agency]]=$E971)/(TableDiv[[Agency]:[Agency]]=$E971)*(ROW(TableDiv[Agency])-ROW(TableDiv[[#Headers],[Agency]])),COLUMNS($F$7:AE$7))))</f>
        <v/>
      </c>
      <c r="AF971" s="2223" t="str" cm="1">
        <f t="array" ref="AF971">IF($D971&lt;COLUMNS($F$7:AF$7),"",INDEX(TableDiv[[GASB]:[GASB]],_xlfn.AGGREGATE(15,3,(TableDiv[[Agency]:[Agency]]=$E971)/(TableDiv[[Agency]:[Agency]]=$E971)*(ROW(TableDiv[Agency])-ROW(TableDiv[[#Headers],[Agency]])),COLUMNS($F$7:AF$7))))</f>
        <v/>
      </c>
      <c r="AG971" s="2223" t="str" cm="1">
        <f t="array" ref="AG971">IF($D971&lt;COLUMNS($F$7:AG$7),"",INDEX(TableDiv[[GASB]:[GASB]],_xlfn.AGGREGATE(15,3,(TableDiv[[Agency]:[Agency]]=$E971)/(TableDiv[[Agency]:[Agency]]=$E971)*(ROW(TableDiv[Agency])-ROW(TableDiv[[#Headers],[Agency]])),COLUMNS($F$7:AG$7))))</f>
        <v/>
      </c>
      <c r="AH971" s="2223" t="str" cm="1">
        <f t="array" ref="AH971">IF($D971&lt;COLUMNS($F$7:AH$7),"",INDEX(TableDiv[[GASB]:[GASB]],_xlfn.AGGREGATE(15,3,(TableDiv[[Agency]:[Agency]]=$E971)/(TableDiv[[Agency]:[Agency]]=$E971)*(ROW(TableDiv[Agency])-ROW(TableDiv[[#Headers],[Agency]])),COLUMNS($F$7:AH$7))))</f>
        <v/>
      </c>
      <c r="AI971" s="2223" t="str" cm="1">
        <f t="array" ref="AI971">IF($D971&lt;COLUMNS($F$7:AI$7),"",INDEX(TableDiv[[GASB]:[GASB]],_xlfn.AGGREGATE(15,3,(TableDiv[[Agency]:[Agency]]=$E971)/(TableDiv[[Agency]:[Agency]]=$E971)*(ROW(TableDiv[Agency])-ROW(TableDiv[[#Headers],[Agency]])),COLUMNS($F$7:AI$7))))</f>
        <v/>
      </c>
      <c r="AJ971" s="2223" t="str" cm="1">
        <f t="array" ref="AJ971">IF($D971&lt;COLUMNS($F$7:AJ$7),"",INDEX(TableDiv[[GASB]:[GASB]],_xlfn.AGGREGATE(15,3,(TableDiv[[Agency]:[Agency]]=$E971)/(TableDiv[[Agency]:[Agency]]=$E971)*(ROW(TableDiv[Agency])-ROW(TableDiv[[#Headers],[Agency]])),COLUMNS($F$7:AJ$7))))</f>
        <v/>
      </c>
      <c r="AK971" s="2223" t="str" cm="1">
        <f t="array" ref="AK971">IF($D971&lt;COLUMNS($F$7:AK$7),"",INDEX(TableDiv[[GASB]:[GASB]],_xlfn.AGGREGATE(15,3,(TableDiv[[Agency]:[Agency]]=$E971)/(TableDiv[[Agency]:[Agency]]=$E971)*(ROW(TableDiv[Agency])-ROW(TableDiv[[#Headers],[Agency]])),COLUMNS($F$7:AK$7))))</f>
        <v/>
      </c>
      <c r="AL971" s="2223" t="str" cm="1">
        <f t="array" ref="AL971">IF($D971&lt;COLUMNS($F$7:AL$7),"",INDEX(TableDiv[[GASB]:[GASB]],_xlfn.AGGREGATE(15,3,(TableDiv[[Agency]:[Agency]]=$E971)/(TableDiv[[Agency]:[Agency]]=$E971)*(ROW(TableDiv[Agency])-ROW(TableDiv[[#Headers],[Agency]])),COLUMNS($F$7:AL$7))))</f>
        <v/>
      </c>
      <c r="AM971" s="2223" t="str" cm="1">
        <f t="array" ref="AM971">IF($D971&lt;COLUMNS($F$7:AM$7),"",INDEX(TableDiv[[GASB]:[GASB]],_xlfn.AGGREGATE(15,3,(TableDiv[[Agency]:[Agency]]=$E971)/(TableDiv[[Agency]:[Agency]]=$E971)*(ROW(TableDiv[Agency])-ROW(TableDiv[[#Headers],[Agency]])),COLUMNS($F$7:AM$7))))</f>
        <v/>
      </c>
      <c r="AN971" s="2223"/>
      <c r="AO971" s="2223"/>
      <c r="AP971" s="2223"/>
      <c r="AQ971" s="2223"/>
      <c r="AR971" s="2223"/>
      <c r="AS971" s="2223"/>
    </row>
    <row r="972" spans="1:45" x14ac:dyDescent="0.2">
      <c r="A972" s="2223"/>
      <c r="B972" s="2223"/>
      <c r="C972" s="2223"/>
      <c r="W972" s="2223" t="str" cm="1">
        <f t="array" ref="W972">IF($D972&lt;COLUMNS($F$7:W$7),"",INDEX(TableDiv[[GASB]:[GASB]],_xlfn.AGGREGATE(15,3,(TableDiv[[Agency]:[Agency]]=$E972)/(TableDiv[[Agency]:[Agency]]=$E972)*(ROW(TableDiv[Agency])-ROW(TableDiv[[#Headers],[Agency]])),COLUMNS($F$7:W$7))))</f>
        <v/>
      </c>
      <c r="X972" s="2223" t="str" cm="1">
        <f t="array" ref="X972">IF($D972&lt;COLUMNS($F$7:X$7),"",INDEX(TableDiv[[GASB]:[GASB]],_xlfn.AGGREGATE(15,3,(TableDiv[[Agency]:[Agency]]=$E972)/(TableDiv[[Agency]:[Agency]]=$E972)*(ROW(TableDiv[Agency])-ROW(TableDiv[[#Headers],[Agency]])),COLUMNS($F$7:X$7))))</f>
        <v/>
      </c>
      <c r="Y972" s="2223" t="str" cm="1">
        <f t="array" ref="Y972">IF($D972&lt;COLUMNS($F$7:Y$7),"",INDEX(TableDiv[[GASB]:[GASB]],_xlfn.AGGREGATE(15,3,(TableDiv[[Agency]:[Agency]]=$E972)/(TableDiv[[Agency]:[Agency]]=$E972)*(ROW(TableDiv[Agency])-ROW(TableDiv[[#Headers],[Agency]])),COLUMNS($F$7:Y$7))))</f>
        <v/>
      </c>
      <c r="Z972" s="2223" t="str" cm="1">
        <f t="array" ref="Z972">IF($D972&lt;COLUMNS($F$7:Z$7),"",INDEX(TableDiv[[GASB]:[GASB]],_xlfn.AGGREGATE(15,3,(TableDiv[[Agency]:[Agency]]=$E972)/(TableDiv[[Agency]:[Agency]]=$E972)*(ROW(TableDiv[Agency])-ROW(TableDiv[[#Headers],[Agency]])),COLUMNS($F$7:Z$7))))</f>
        <v/>
      </c>
      <c r="AA972" s="2223" t="str" cm="1">
        <f t="array" ref="AA972">IF($D972&lt;COLUMNS($F$7:AA$7),"",INDEX(TableDiv[[GASB]:[GASB]],_xlfn.AGGREGATE(15,3,(TableDiv[[Agency]:[Agency]]=$E972)/(TableDiv[[Agency]:[Agency]]=$E972)*(ROW(TableDiv[Agency])-ROW(TableDiv[[#Headers],[Agency]])),COLUMNS($F$7:AA$7))))</f>
        <v/>
      </c>
      <c r="AB972" s="2223" t="str" cm="1">
        <f t="array" ref="AB972">IF($D972&lt;COLUMNS($F$7:AB$7),"",INDEX(TableDiv[[GASB]:[GASB]],_xlfn.AGGREGATE(15,3,(TableDiv[[Agency]:[Agency]]=$E972)/(TableDiv[[Agency]:[Agency]]=$E972)*(ROW(TableDiv[Agency])-ROW(TableDiv[[#Headers],[Agency]])),COLUMNS($F$7:AB$7))))</f>
        <v/>
      </c>
      <c r="AC972" s="2223" t="str" cm="1">
        <f t="array" ref="AC972">IF($D972&lt;COLUMNS($F$7:AC$7),"",INDEX(TableDiv[[GASB]:[GASB]],_xlfn.AGGREGATE(15,3,(TableDiv[[Agency]:[Agency]]=$E972)/(TableDiv[[Agency]:[Agency]]=$E972)*(ROW(TableDiv[Agency])-ROW(TableDiv[[#Headers],[Agency]])),COLUMNS($F$7:AC$7))))</f>
        <v/>
      </c>
      <c r="AD972" s="2223" t="str" cm="1">
        <f t="array" ref="AD972">IF($D972&lt;COLUMNS($F$7:AD$7),"",INDEX(TableDiv[[GASB]:[GASB]],_xlfn.AGGREGATE(15,3,(TableDiv[[Agency]:[Agency]]=$E972)/(TableDiv[[Agency]:[Agency]]=$E972)*(ROW(TableDiv[Agency])-ROW(TableDiv[[#Headers],[Agency]])),COLUMNS($F$7:AD$7))))</f>
        <v/>
      </c>
      <c r="AE972" s="2223" t="str" cm="1">
        <f t="array" ref="AE972">IF($D972&lt;COLUMNS($F$7:AE$7),"",INDEX(TableDiv[[GASB]:[GASB]],_xlfn.AGGREGATE(15,3,(TableDiv[[Agency]:[Agency]]=$E972)/(TableDiv[[Agency]:[Agency]]=$E972)*(ROW(TableDiv[Agency])-ROW(TableDiv[[#Headers],[Agency]])),COLUMNS($F$7:AE$7))))</f>
        <v/>
      </c>
      <c r="AF972" s="2223" t="str" cm="1">
        <f t="array" ref="AF972">IF($D972&lt;COLUMNS($F$7:AF$7),"",INDEX(TableDiv[[GASB]:[GASB]],_xlfn.AGGREGATE(15,3,(TableDiv[[Agency]:[Agency]]=$E972)/(TableDiv[[Agency]:[Agency]]=$E972)*(ROW(TableDiv[Agency])-ROW(TableDiv[[#Headers],[Agency]])),COLUMNS($F$7:AF$7))))</f>
        <v/>
      </c>
      <c r="AG972" s="2223" t="str" cm="1">
        <f t="array" ref="AG972">IF($D972&lt;COLUMNS($F$7:AG$7),"",INDEX(TableDiv[[GASB]:[GASB]],_xlfn.AGGREGATE(15,3,(TableDiv[[Agency]:[Agency]]=$E972)/(TableDiv[[Agency]:[Agency]]=$E972)*(ROW(TableDiv[Agency])-ROW(TableDiv[[#Headers],[Agency]])),COLUMNS($F$7:AG$7))))</f>
        <v/>
      </c>
      <c r="AH972" s="2223" t="str" cm="1">
        <f t="array" ref="AH972">IF($D972&lt;COLUMNS($F$7:AH$7),"",INDEX(TableDiv[[GASB]:[GASB]],_xlfn.AGGREGATE(15,3,(TableDiv[[Agency]:[Agency]]=$E972)/(TableDiv[[Agency]:[Agency]]=$E972)*(ROW(TableDiv[Agency])-ROW(TableDiv[[#Headers],[Agency]])),COLUMNS($F$7:AH$7))))</f>
        <v/>
      </c>
      <c r="AI972" s="2223" t="str" cm="1">
        <f t="array" ref="AI972">IF($D972&lt;COLUMNS($F$7:AI$7),"",INDEX(TableDiv[[GASB]:[GASB]],_xlfn.AGGREGATE(15,3,(TableDiv[[Agency]:[Agency]]=$E972)/(TableDiv[[Agency]:[Agency]]=$E972)*(ROW(TableDiv[Agency])-ROW(TableDiv[[#Headers],[Agency]])),COLUMNS($F$7:AI$7))))</f>
        <v/>
      </c>
      <c r="AJ972" s="2223" t="str" cm="1">
        <f t="array" ref="AJ972">IF($D972&lt;COLUMNS($F$7:AJ$7),"",INDEX(TableDiv[[GASB]:[GASB]],_xlfn.AGGREGATE(15,3,(TableDiv[[Agency]:[Agency]]=$E972)/(TableDiv[[Agency]:[Agency]]=$E972)*(ROW(TableDiv[Agency])-ROW(TableDiv[[#Headers],[Agency]])),COLUMNS($F$7:AJ$7))))</f>
        <v/>
      </c>
      <c r="AK972" s="2223" t="str" cm="1">
        <f t="array" ref="AK972">IF($D972&lt;COLUMNS($F$7:AK$7),"",INDEX(TableDiv[[GASB]:[GASB]],_xlfn.AGGREGATE(15,3,(TableDiv[[Agency]:[Agency]]=$E972)/(TableDiv[[Agency]:[Agency]]=$E972)*(ROW(TableDiv[Agency])-ROW(TableDiv[[#Headers],[Agency]])),COLUMNS($F$7:AK$7))))</f>
        <v/>
      </c>
      <c r="AL972" s="2223" t="str" cm="1">
        <f t="array" ref="AL972">IF($D972&lt;COLUMNS($F$7:AL$7),"",INDEX(TableDiv[[GASB]:[GASB]],_xlfn.AGGREGATE(15,3,(TableDiv[[Agency]:[Agency]]=$E972)/(TableDiv[[Agency]:[Agency]]=$E972)*(ROW(TableDiv[Agency])-ROW(TableDiv[[#Headers],[Agency]])),COLUMNS($F$7:AL$7))))</f>
        <v/>
      </c>
      <c r="AM972" s="2223" t="str" cm="1">
        <f t="array" ref="AM972">IF($D972&lt;COLUMNS($F$7:AM$7),"",INDEX(TableDiv[[GASB]:[GASB]],_xlfn.AGGREGATE(15,3,(TableDiv[[Agency]:[Agency]]=$E972)/(TableDiv[[Agency]:[Agency]]=$E972)*(ROW(TableDiv[Agency])-ROW(TableDiv[[#Headers],[Agency]])),COLUMNS($F$7:AM$7))))</f>
        <v/>
      </c>
      <c r="AN972" s="2223"/>
      <c r="AO972" s="2223"/>
      <c r="AP972" s="2223"/>
      <c r="AQ972" s="2223"/>
      <c r="AR972" s="2223"/>
      <c r="AS972" s="2223"/>
    </row>
    <row r="973" spans="1:45" x14ac:dyDescent="0.2">
      <c r="A973" s="2223"/>
      <c r="B973" s="2223"/>
      <c r="C973" s="2223"/>
      <c r="W973" s="2223" t="str" cm="1">
        <f t="array" ref="W973">IF($D973&lt;COLUMNS($F$7:W$7),"",INDEX(TableDiv[[GASB]:[GASB]],_xlfn.AGGREGATE(15,3,(TableDiv[[Agency]:[Agency]]=$E973)/(TableDiv[[Agency]:[Agency]]=$E973)*(ROW(TableDiv[Agency])-ROW(TableDiv[[#Headers],[Agency]])),COLUMNS($F$7:W$7))))</f>
        <v/>
      </c>
      <c r="X973" s="2223" t="str" cm="1">
        <f t="array" ref="X973">IF($D973&lt;COLUMNS($F$7:X$7),"",INDEX(TableDiv[[GASB]:[GASB]],_xlfn.AGGREGATE(15,3,(TableDiv[[Agency]:[Agency]]=$E973)/(TableDiv[[Agency]:[Agency]]=$E973)*(ROW(TableDiv[Agency])-ROW(TableDiv[[#Headers],[Agency]])),COLUMNS($F$7:X$7))))</f>
        <v/>
      </c>
      <c r="Y973" s="2223" t="str" cm="1">
        <f t="array" ref="Y973">IF($D973&lt;COLUMNS($F$7:Y$7),"",INDEX(TableDiv[[GASB]:[GASB]],_xlfn.AGGREGATE(15,3,(TableDiv[[Agency]:[Agency]]=$E973)/(TableDiv[[Agency]:[Agency]]=$E973)*(ROW(TableDiv[Agency])-ROW(TableDiv[[#Headers],[Agency]])),COLUMNS($F$7:Y$7))))</f>
        <v/>
      </c>
      <c r="Z973" s="2223" t="str" cm="1">
        <f t="array" ref="Z973">IF($D973&lt;COLUMNS($F$7:Z$7),"",INDEX(TableDiv[[GASB]:[GASB]],_xlfn.AGGREGATE(15,3,(TableDiv[[Agency]:[Agency]]=$E973)/(TableDiv[[Agency]:[Agency]]=$E973)*(ROW(TableDiv[Agency])-ROW(TableDiv[[#Headers],[Agency]])),COLUMNS($F$7:Z$7))))</f>
        <v/>
      </c>
      <c r="AA973" s="2223" t="str" cm="1">
        <f t="array" ref="AA973">IF($D973&lt;COLUMNS($F$7:AA$7),"",INDEX(TableDiv[[GASB]:[GASB]],_xlfn.AGGREGATE(15,3,(TableDiv[[Agency]:[Agency]]=$E973)/(TableDiv[[Agency]:[Agency]]=$E973)*(ROW(TableDiv[Agency])-ROW(TableDiv[[#Headers],[Agency]])),COLUMNS($F$7:AA$7))))</f>
        <v/>
      </c>
      <c r="AB973" s="2223" t="str" cm="1">
        <f t="array" ref="AB973">IF($D973&lt;COLUMNS($F$7:AB$7),"",INDEX(TableDiv[[GASB]:[GASB]],_xlfn.AGGREGATE(15,3,(TableDiv[[Agency]:[Agency]]=$E973)/(TableDiv[[Agency]:[Agency]]=$E973)*(ROW(TableDiv[Agency])-ROW(TableDiv[[#Headers],[Agency]])),COLUMNS($F$7:AB$7))))</f>
        <v/>
      </c>
      <c r="AC973" s="2223" t="str" cm="1">
        <f t="array" ref="AC973">IF($D973&lt;COLUMNS($F$7:AC$7),"",INDEX(TableDiv[[GASB]:[GASB]],_xlfn.AGGREGATE(15,3,(TableDiv[[Agency]:[Agency]]=$E973)/(TableDiv[[Agency]:[Agency]]=$E973)*(ROW(TableDiv[Agency])-ROW(TableDiv[[#Headers],[Agency]])),COLUMNS($F$7:AC$7))))</f>
        <v/>
      </c>
      <c r="AD973" s="2223" t="str" cm="1">
        <f t="array" ref="AD973">IF($D973&lt;COLUMNS($F$7:AD$7),"",INDEX(TableDiv[[GASB]:[GASB]],_xlfn.AGGREGATE(15,3,(TableDiv[[Agency]:[Agency]]=$E973)/(TableDiv[[Agency]:[Agency]]=$E973)*(ROW(TableDiv[Agency])-ROW(TableDiv[[#Headers],[Agency]])),COLUMNS($F$7:AD$7))))</f>
        <v/>
      </c>
      <c r="AE973" s="2223" t="str" cm="1">
        <f t="array" ref="AE973">IF($D973&lt;COLUMNS($F$7:AE$7),"",INDEX(TableDiv[[GASB]:[GASB]],_xlfn.AGGREGATE(15,3,(TableDiv[[Agency]:[Agency]]=$E973)/(TableDiv[[Agency]:[Agency]]=$E973)*(ROW(TableDiv[Agency])-ROW(TableDiv[[#Headers],[Agency]])),COLUMNS($F$7:AE$7))))</f>
        <v/>
      </c>
      <c r="AF973" s="2223" t="str" cm="1">
        <f t="array" ref="AF973">IF($D973&lt;COLUMNS($F$7:AF$7),"",INDEX(TableDiv[[GASB]:[GASB]],_xlfn.AGGREGATE(15,3,(TableDiv[[Agency]:[Agency]]=$E973)/(TableDiv[[Agency]:[Agency]]=$E973)*(ROW(TableDiv[Agency])-ROW(TableDiv[[#Headers],[Agency]])),COLUMNS($F$7:AF$7))))</f>
        <v/>
      </c>
      <c r="AG973" s="2223" t="str" cm="1">
        <f t="array" ref="AG973">IF($D973&lt;COLUMNS($F$7:AG$7),"",INDEX(TableDiv[[GASB]:[GASB]],_xlfn.AGGREGATE(15,3,(TableDiv[[Agency]:[Agency]]=$E973)/(TableDiv[[Agency]:[Agency]]=$E973)*(ROW(TableDiv[Agency])-ROW(TableDiv[[#Headers],[Agency]])),COLUMNS($F$7:AG$7))))</f>
        <v/>
      </c>
      <c r="AH973" s="2223" t="str" cm="1">
        <f t="array" ref="AH973">IF($D973&lt;COLUMNS($F$7:AH$7),"",INDEX(TableDiv[[GASB]:[GASB]],_xlfn.AGGREGATE(15,3,(TableDiv[[Agency]:[Agency]]=$E973)/(TableDiv[[Agency]:[Agency]]=$E973)*(ROW(TableDiv[Agency])-ROW(TableDiv[[#Headers],[Agency]])),COLUMNS($F$7:AH$7))))</f>
        <v/>
      </c>
      <c r="AI973" s="2223" t="str" cm="1">
        <f t="array" ref="AI973">IF($D973&lt;COLUMNS($F$7:AI$7),"",INDEX(TableDiv[[GASB]:[GASB]],_xlfn.AGGREGATE(15,3,(TableDiv[[Agency]:[Agency]]=$E973)/(TableDiv[[Agency]:[Agency]]=$E973)*(ROW(TableDiv[Agency])-ROW(TableDiv[[#Headers],[Agency]])),COLUMNS($F$7:AI$7))))</f>
        <v/>
      </c>
      <c r="AJ973" s="2223" t="str" cm="1">
        <f t="array" ref="AJ973">IF($D973&lt;COLUMNS($F$7:AJ$7),"",INDEX(TableDiv[[GASB]:[GASB]],_xlfn.AGGREGATE(15,3,(TableDiv[[Agency]:[Agency]]=$E973)/(TableDiv[[Agency]:[Agency]]=$E973)*(ROW(TableDiv[Agency])-ROW(TableDiv[[#Headers],[Agency]])),COLUMNS($F$7:AJ$7))))</f>
        <v/>
      </c>
      <c r="AK973" s="2223" t="str" cm="1">
        <f t="array" ref="AK973">IF($D973&lt;COLUMNS($F$7:AK$7),"",INDEX(TableDiv[[GASB]:[GASB]],_xlfn.AGGREGATE(15,3,(TableDiv[[Agency]:[Agency]]=$E973)/(TableDiv[[Agency]:[Agency]]=$E973)*(ROW(TableDiv[Agency])-ROW(TableDiv[[#Headers],[Agency]])),COLUMNS($F$7:AK$7))))</f>
        <v/>
      </c>
      <c r="AL973" s="2223" t="str" cm="1">
        <f t="array" ref="AL973">IF($D973&lt;COLUMNS($F$7:AL$7),"",INDEX(TableDiv[[GASB]:[GASB]],_xlfn.AGGREGATE(15,3,(TableDiv[[Agency]:[Agency]]=$E973)/(TableDiv[[Agency]:[Agency]]=$E973)*(ROW(TableDiv[Agency])-ROW(TableDiv[[#Headers],[Agency]])),COLUMNS($F$7:AL$7))))</f>
        <v/>
      </c>
      <c r="AM973" s="2223" t="str" cm="1">
        <f t="array" ref="AM973">IF($D973&lt;COLUMNS($F$7:AM$7),"",INDEX(TableDiv[[GASB]:[GASB]],_xlfn.AGGREGATE(15,3,(TableDiv[[Agency]:[Agency]]=$E973)/(TableDiv[[Agency]:[Agency]]=$E973)*(ROW(TableDiv[Agency])-ROW(TableDiv[[#Headers],[Agency]])),COLUMNS($F$7:AM$7))))</f>
        <v/>
      </c>
      <c r="AN973" s="2223"/>
      <c r="AO973" s="2223"/>
      <c r="AP973" s="2223"/>
      <c r="AQ973" s="2223"/>
      <c r="AR973" s="2223"/>
      <c r="AS973" s="2223"/>
    </row>
    <row r="974" spans="1:45" x14ac:dyDescent="0.2">
      <c r="A974" s="2223"/>
      <c r="B974" s="2223"/>
      <c r="C974" s="2223"/>
      <c r="W974" s="2223" t="str" cm="1">
        <f t="array" ref="W974">IF($D974&lt;COLUMNS($F$7:W$7),"",INDEX(TableDiv[[GASB]:[GASB]],_xlfn.AGGREGATE(15,3,(TableDiv[[Agency]:[Agency]]=$E974)/(TableDiv[[Agency]:[Agency]]=$E974)*(ROW(TableDiv[Agency])-ROW(TableDiv[[#Headers],[Agency]])),COLUMNS($F$7:W$7))))</f>
        <v/>
      </c>
      <c r="X974" s="2223" t="str" cm="1">
        <f t="array" ref="X974">IF($D974&lt;COLUMNS($F$7:X$7),"",INDEX(TableDiv[[GASB]:[GASB]],_xlfn.AGGREGATE(15,3,(TableDiv[[Agency]:[Agency]]=$E974)/(TableDiv[[Agency]:[Agency]]=$E974)*(ROW(TableDiv[Agency])-ROW(TableDiv[[#Headers],[Agency]])),COLUMNS($F$7:X$7))))</f>
        <v/>
      </c>
      <c r="Y974" s="2223" t="str" cm="1">
        <f t="array" ref="Y974">IF($D974&lt;COLUMNS($F$7:Y$7),"",INDEX(TableDiv[[GASB]:[GASB]],_xlfn.AGGREGATE(15,3,(TableDiv[[Agency]:[Agency]]=$E974)/(TableDiv[[Agency]:[Agency]]=$E974)*(ROW(TableDiv[Agency])-ROW(TableDiv[[#Headers],[Agency]])),COLUMNS($F$7:Y$7))))</f>
        <v/>
      </c>
      <c r="Z974" s="2223" t="str" cm="1">
        <f t="array" ref="Z974">IF($D974&lt;COLUMNS($F$7:Z$7),"",INDEX(TableDiv[[GASB]:[GASB]],_xlfn.AGGREGATE(15,3,(TableDiv[[Agency]:[Agency]]=$E974)/(TableDiv[[Agency]:[Agency]]=$E974)*(ROW(TableDiv[Agency])-ROW(TableDiv[[#Headers],[Agency]])),COLUMNS($F$7:Z$7))))</f>
        <v/>
      </c>
      <c r="AA974" s="2223" t="str" cm="1">
        <f t="array" ref="AA974">IF($D974&lt;COLUMNS($F$7:AA$7),"",INDEX(TableDiv[[GASB]:[GASB]],_xlfn.AGGREGATE(15,3,(TableDiv[[Agency]:[Agency]]=$E974)/(TableDiv[[Agency]:[Agency]]=$E974)*(ROW(TableDiv[Agency])-ROW(TableDiv[[#Headers],[Agency]])),COLUMNS($F$7:AA$7))))</f>
        <v/>
      </c>
      <c r="AB974" s="2223" t="str" cm="1">
        <f t="array" ref="AB974">IF($D974&lt;COLUMNS($F$7:AB$7),"",INDEX(TableDiv[[GASB]:[GASB]],_xlfn.AGGREGATE(15,3,(TableDiv[[Agency]:[Agency]]=$E974)/(TableDiv[[Agency]:[Agency]]=$E974)*(ROW(TableDiv[Agency])-ROW(TableDiv[[#Headers],[Agency]])),COLUMNS($F$7:AB$7))))</f>
        <v/>
      </c>
      <c r="AC974" s="2223" t="str" cm="1">
        <f t="array" ref="AC974">IF($D974&lt;COLUMNS($F$7:AC$7),"",INDEX(TableDiv[[GASB]:[GASB]],_xlfn.AGGREGATE(15,3,(TableDiv[[Agency]:[Agency]]=$E974)/(TableDiv[[Agency]:[Agency]]=$E974)*(ROW(TableDiv[Agency])-ROW(TableDiv[[#Headers],[Agency]])),COLUMNS($F$7:AC$7))))</f>
        <v/>
      </c>
      <c r="AD974" s="2223" t="str" cm="1">
        <f t="array" ref="AD974">IF($D974&lt;COLUMNS($F$7:AD$7),"",INDEX(TableDiv[[GASB]:[GASB]],_xlfn.AGGREGATE(15,3,(TableDiv[[Agency]:[Agency]]=$E974)/(TableDiv[[Agency]:[Agency]]=$E974)*(ROW(TableDiv[Agency])-ROW(TableDiv[[#Headers],[Agency]])),COLUMNS($F$7:AD$7))))</f>
        <v/>
      </c>
      <c r="AE974" s="2223" t="str" cm="1">
        <f t="array" ref="AE974">IF($D974&lt;COLUMNS($F$7:AE$7),"",INDEX(TableDiv[[GASB]:[GASB]],_xlfn.AGGREGATE(15,3,(TableDiv[[Agency]:[Agency]]=$E974)/(TableDiv[[Agency]:[Agency]]=$E974)*(ROW(TableDiv[Agency])-ROW(TableDiv[[#Headers],[Agency]])),COLUMNS($F$7:AE$7))))</f>
        <v/>
      </c>
      <c r="AF974" s="2223" t="str" cm="1">
        <f t="array" ref="AF974">IF($D974&lt;COLUMNS($F$7:AF$7),"",INDEX(TableDiv[[GASB]:[GASB]],_xlfn.AGGREGATE(15,3,(TableDiv[[Agency]:[Agency]]=$E974)/(TableDiv[[Agency]:[Agency]]=$E974)*(ROW(TableDiv[Agency])-ROW(TableDiv[[#Headers],[Agency]])),COLUMNS($F$7:AF$7))))</f>
        <v/>
      </c>
      <c r="AG974" s="2223" t="str" cm="1">
        <f t="array" ref="AG974">IF($D974&lt;COLUMNS($F$7:AG$7),"",INDEX(TableDiv[[GASB]:[GASB]],_xlfn.AGGREGATE(15,3,(TableDiv[[Agency]:[Agency]]=$E974)/(TableDiv[[Agency]:[Agency]]=$E974)*(ROW(TableDiv[Agency])-ROW(TableDiv[[#Headers],[Agency]])),COLUMNS($F$7:AG$7))))</f>
        <v/>
      </c>
      <c r="AH974" s="2223" t="str" cm="1">
        <f t="array" ref="AH974">IF($D974&lt;COLUMNS($F$7:AH$7),"",INDEX(TableDiv[[GASB]:[GASB]],_xlfn.AGGREGATE(15,3,(TableDiv[[Agency]:[Agency]]=$E974)/(TableDiv[[Agency]:[Agency]]=$E974)*(ROW(TableDiv[Agency])-ROW(TableDiv[[#Headers],[Agency]])),COLUMNS($F$7:AH$7))))</f>
        <v/>
      </c>
      <c r="AI974" s="2223" t="str" cm="1">
        <f t="array" ref="AI974">IF($D974&lt;COLUMNS($F$7:AI$7),"",INDEX(TableDiv[[GASB]:[GASB]],_xlfn.AGGREGATE(15,3,(TableDiv[[Agency]:[Agency]]=$E974)/(TableDiv[[Agency]:[Agency]]=$E974)*(ROW(TableDiv[Agency])-ROW(TableDiv[[#Headers],[Agency]])),COLUMNS($F$7:AI$7))))</f>
        <v/>
      </c>
      <c r="AJ974" s="2223" t="str" cm="1">
        <f t="array" ref="AJ974">IF($D974&lt;COLUMNS($F$7:AJ$7),"",INDEX(TableDiv[[GASB]:[GASB]],_xlfn.AGGREGATE(15,3,(TableDiv[[Agency]:[Agency]]=$E974)/(TableDiv[[Agency]:[Agency]]=$E974)*(ROW(TableDiv[Agency])-ROW(TableDiv[[#Headers],[Agency]])),COLUMNS($F$7:AJ$7))))</f>
        <v/>
      </c>
      <c r="AK974" s="2223" t="str" cm="1">
        <f t="array" ref="AK974">IF($D974&lt;COLUMNS($F$7:AK$7),"",INDEX(TableDiv[[GASB]:[GASB]],_xlfn.AGGREGATE(15,3,(TableDiv[[Agency]:[Agency]]=$E974)/(TableDiv[[Agency]:[Agency]]=$E974)*(ROW(TableDiv[Agency])-ROW(TableDiv[[#Headers],[Agency]])),COLUMNS($F$7:AK$7))))</f>
        <v/>
      </c>
      <c r="AL974" s="2223" t="str" cm="1">
        <f t="array" ref="AL974">IF($D974&lt;COLUMNS($F$7:AL$7),"",INDEX(TableDiv[[GASB]:[GASB]],_xlfn.AGGREGATE(15,3,(TableDiv[[Agency]:[Agency]]=$E974)/(TableDiv[[Agency]:[Agency]]=$E974)*(ROW(TableDiv[Agency])-ROW(TableDiv[[#Headers],[Agency]])),COLUMNS($F$7:AL$7))))</f>
        <v/>
      </c>
      <c r="AM974" s="2223" t="str" cm="1">
        <f t="array" ref="AM974">IF($D974&lt;COLUMNS($F$7:AM$7),"",INDEX(TableDiv[[GASB]:[GASB]],_xlfn.AGGREGATE(15,3,(TableDiv[[Agency]:[Agency]]=$E974)/(TableDiv[[Agency]:[Agency]]=$E974)*(ROW(TableDiv[Agency])-ROW(TableDiv[[#Headers],[Agency]])),COLUMNS($F$7:AM$7))))</f>
        <v/>
      </c>
      <c r="AN974" s="2223"/>
      <c r="AO974" s="2223"/>
      <c r="AP974" s="2223"/>
      <c r="AQ974" s="2223"/>
      <c r="AR974" s="2223"/>
      <c r="AS974" s="2223"/>
    </row>
    <row r="975" spans="1:45" x14ac:dyDescent="0.2">
      <c r="A975" s="2223"/>
      <c r="B975" s="2223"/>
      <c r="C975" s="2223"/>
      <c r="W975" s="2223" t="str" cm="1">
        <f t="array" ref="W975">IF($D975&lt;COLUMNS($F$7:W$7),"",INDEX(TableDiv[[GASB]:[GASB]],_xlfn.AGGREGATE(15,3,(TableDiv[[Agency]:[Agency]]=$E975)/(TableDiv[[Agency]:[Agency]]=$E975)*(ROW(TableDiv[Agency])-ROW(TableDiv[[#Headers],[Agency]])),COLUMNS($F$7:W$7))))</f>
        <v/>
      </c>
      <c r="X975" s="2223" t="str" cm="1">
        <f t="array" ref="X975">IF($D975&lt;COLUMNS($F$7:X$7),"",INDEX(TableDiv[[GASB]:[GASB]],_xlfn.AGGREGATE(15,3,(TableDiv[[Agency]:[Agency]]=$E975)/(TableDiv[[Agency]:[Agency]]=$E975)*(ROW(TableDiv[Agency])-ROW(TableDiv[[#Headers],[Agency]])),COLUMNS($F$7:X$7))))</f>
        <v/>
      </c>
      <c r="Y975" s="2223" t="str" cm="1">
        <f t="array" ref="Y975">IF($D975&lt;COLUMNS($F$7:Y$7),"",INDEX(TableDiv[[GASB]:[GASB]],_xlfn.AGGREGATE(15,3,(TableDiv[[Agency]:[Agency]]=$E975)/(TableDiv[[Agency]:[Agency]]=$E975)*(ROW(TableDiv[Agency])-ROW(TableDiv[[#Headers],[Agency]])),COLUMNS($F$7:Y$7))))</f>
        <v/>
      </c>
      <c r="Z975" s="2223" t="str" cm="1">
        <f t="array" ref="Z975">IF($D975&lt;COLUMNS($F$7:Z$7),"",INDEX(TableDiv[[GASB]:[GASB]],_xlfn.AGGREGATE(15,3,(TableDiv[[Agency]:[Agency]]=$E975)/(TableDiv[[Agency]:[Agency]]=$E975)*(ROW(TableDiv[Agency])-ROW(TableDiv[[#Headers],[Agency]])),COLUMNS($F$7:Z$7))))</f>
        <v/>
      </c>
      <c r="AA975" s="2223" t="str" cm="1">
        <f t="array" ref="AA975">IF($D975&lt;COLUMNS($F$7:AA$7),"",INDEX(TableDiv[[GASB]:[GASB]],_xlfn.AGGREGATE(15,3,(TableDiv[[Agency]:[Agency]]=$E975)/(TableDiv[[Agency]:[Agency]]=$E975)*(ROW(TableDiv[Agency])-ROW(TableDiv[[#Headers],[Agency]])),COLUMNS($F$7:AA$7))))</f>
        <v/>
      </c>
      <c r="AB975" s="2223" t="str" cm="1">
        <f t="array" ref="AB975">IF($D975&lt;COLUMNS($F$7:AB$7),"",INDEX(TableDiv[[GASB]:[GASB]],_xlfn.AGGREGATE(15,3,(TableDiv[[Agency]:[Agency]]=$E975)/(TableDiv[[Agency]:[Agency]]=$E975)*(ROW(TableDiv[Agency])-ROW(TableDiv[[#Headers],[Agency]])),COLUMNS($F$7:AB$7))))</f>
        <v/>
      </c>
      <c r="AC975" s="2223" t="str" cm="1">
        <f t="array" ref="AC975">IF($D975&lt;COLUMNS($F$7:AC$7),"",INDEX(TableDiv[[GASB]:[GASB]],_xlfn.AGGREGATE(15,3,(TableDiv[[Agency]:[Agency]]=$E975)/(TableDiv[[Agency]:[Agency]]=$E975)*(ROW(TableDiv[Agency])-ROW(TableDiv[[#Headers],[Agency]])),COLUMNS($F$7:AC$7))))</f>
        <v/>
      </c>
      <c r="AD975" s="2223" t="str" cm="1">
        <f t="array" ref="AD975">IF($D975&lt;COLUMNS($F$7:AD$7),"",INDEX(TableDiv[[GASB]:[GASB]],_xlfn.AGGREGATE(15,3,(TableDiv[[Agency]:[Agency]]=$E975)/(TableDiv[[Agency]:[Agency]]=$E975)*(ROW(TableDiv[Agency])-ROW(TableDiv[[#Headers],[Agency]])),COLUMNS($F$7:AD$7))))</f>
        <v/>
      </c>
      <c r="AE975" s="2223" t="str" cm="1">
        <f t="array" ref="AE975">IF($D975&lt;COLUMNS($F$7:AE$7),"",INDEX(TableDiv[[GASB]:[GASB]],_xlfn.AGGREGATE(15,3,(TableDiv[[Agency]:[Agency]]=$E975)/(TableDiv[[Agency]:[Agency]]=$E975)*(ROW(TableDiv[Agency])-ROW(TableDiv[[#Headers],[Agency]])),COLUMNS($F$7:AE$7))))</f>
        <v/>
      </c>
      <c r="AF975" s="2223" t="str" cm="1">
        <f t="array" ref="AF975">IF($D975&lt;COLUMNS($F$7:AF$7),"",INDEX(TableDiv[[GASB]:[GASB]],_xlfn.AGGREGATE(15,3,(TableDiv[[Agency]:[Agency]]=$E975)/(TableDiv[[Agency]:[Agency]]=$E975)*(ROW(TableDiv[Agency])-ROW(TableDiv[[#Headers],[Agency]])),COLUMNS($F$7:AF$7))))</f>
        <v/>
      </c>
      <c r="AG975" s="2223" t="str" cm="1">
        <f t="array" ref="AG975">IF($D975&lt;COLUMNS($F$7:AG$7),"",INDEX(TableDiv[[GASB]:[GASB]],_xlfn.AGGREGATE(15,3,(TableDiv[[Agency]:[Agency]]=$E975)/(TableDiv[[Agency]:[Agency]]=$E975)*(ROW(TableDiv[Agency])-ROW(TableDiv[[#Headers],[Agency]])),COLUMNS($F$7:AG$7))))</f>
        <v/>
      </c>
      <c r="AH975" s="2223" t="str" cm="1">
        <f t="array" ref="AH975">IF($D975&lt;COLUMNS($F$7:AH$7),"",INDEX(TableDiv[[GASB]:[GASB]],_xlfn.AGGREGATE(15,3,(TableDiv[[Agency]:[Agency]]=$E975)/(TableDiv[[Agency]:[Agency]]=$E975)*(ROW(TableDiv[Agency])-ROW(TableDiv[[#Headers],[Agency]])),COLUMNS($F$7:AH$7))))</f>
        <v/>
      </c>
      <c r="AI975" s="2223" t="str" cm="1">
        <f t="array" ref="AI975">IF($D975&lt;COLUMNS($F$7:AI$7),"",INDEX(TableDiv[[GASB]:[GASB]],_xlfn.AGGREGATE(15,3,(TableDiv[[Agency]:[Agency]]=$E975)/(TableDiv[[Agency]:[Agency]]=$E975)*(ROW(TableDiv[Agency])-ROW(TableDiv[[#Headers],[Agency]])),COLUMNS($F$7:AI$7))))</f>
        <v/>
      </c>
      <c r="AJ975" s="2223" t="str" cm="1">
        <f t="array" ref="AJ975">IF($D975&lt;COLUMNS($F$7:AJ$7),"",INDEX(TableDiv[[GASB]:[GASB]],_xlfn.AGGREGATE(15,3,(TableDiv[[Agency]:[Agency]]=$E975)/(TableDiv[[Agency]:[Agency]]=$E975)*(ROW(TableDiv[Agency])-ROW(TableDiv[[#Headers],[Agency]])),COLUMNS($F$7:AJ$7))))</f>
        <v/>
      </c>
      <c r="AK975" s="2223" t="str" cm="1">
        <f t="array" ref="AK975">IF($D975&lt;COLUMNS($F$7:AK$7),"",INDEX(TableDiv[[GASB]:[GASB]],_xlfn.AGGREGATE(15,3,(TableDiv[[Agency]:[Agency]]=$E975)/(TableDiv[[Agency]:[Agency]]=$E975)*(ROW(TableDiv[Agency])-ROW(TableDiv[[#Headers],[Agency]])),COLUMNS($F$7:AK$7))))</f>
        <v/>
      </c>
      <c r="AL975" s="2223" t="str" cm="1">
        <f t="array" ref="AL975">IF($D975&lt;COLUMNS($F$7:AL$7),"",INDEX(TableDiv[[GASB]:[GASB]],_xlfn.AGGREGATE(15,3,(TableDiv[[Agency]:[Agency]]=$E975)/(TableDiv[[Agency]:[Agency]]=$E975)*(ROW(TableDiv[Agency])-ROW(TableDiv[[#Headers],[Agency]])),COLUMNS($F$7:AL$7))))</f>
        <v/>
      </c>
      <c r="AM975" s="2223" t="str" cm="1">
        <f t="array" ref="AM975">IF($D975&lt;COLUMNS($F$7:AM$7),"",INDEX(TableDiv[[GASB]:[GASB]],_xlfn.AGGREGATE(15,3,(TableDiv[[Agency]:[Agency]]=$E975)/(TableDiv[[Agency]:[Agency]]=$E975)*(ROW(TableDiv[Agency])-ROW(TableDiv[[#Headers],[Agency]])),COLUMNS($F$7:AM$7))))</f>
        <v/>
      </c>
      <c r="AN975" s="2223"/>
      <c r="AO975" s="2223"/>
      <c r="AP975" s="2223"/>
      <c r="AQ975" s="2223"/>
      <c r="AR975" s="2223"/>
      <c r="AS975" s="2223"/>
    </row>
    <row r="976" spans="1:45" x14ac:dyDescent="0.2">
      <c r="A976" s="2223"/>
      <c r="B976" s="2223"/>
      <c r="C976" s="2223"/>
      <c r="W976" s="2223" t="str" cm="1">
        <f t="array" ref="W976">IF($D976&lt;COLUMNS($F$7:W$7),"",INDEX(TableDiv[[GASB]:[GASB]],_xlfn.AGGREGATE(15,3,(TableDiv[[Agency]:[Agency]]=$E976)/(TableDiv[[Agency]:[Agency]]=$E976)*(ROW(TableDiv[Agency])-ROW(TableDiv[[#Headers],[Agency]])),COLUMNS($F$7:W$7))))</f>
        <v/>
      </c>
      <c r="X976" s="2223" t="str" cm="1">
        <f t="array" ref="X976">IF($D976&lt;COLUMNS($F$7:X$7),"",INDEX(TableDiv[[GASB]:[GASB]],_xlfn.AGGREGATE(15,3,(TableDiv[[Agency]:[Agency]]=$E976)/(TableDiv[[Agency]:[Agency]]=$E976)*(ROW(TableDiv[Agency])-ROW(TableDiv[[#Headers],[Agency]])),COLUMNS($F$7:X$7))))</f>
        <v/>
      </c>
      <c r="Y976" s="2223" t="str" cm="1">
        <f t="array" ref="Y976">IF($D976&lt;COLUMNS($F$7:Y$7),"",INDEX(TableDiv[[GASB]:[GASB]],_xlfn.AGGREGATE(15,3,(TableDiv[[Agency]:[Agency]]=$E976)/(TableDiv[[Agency]:[Agency]]=$E976)*(ROW(TableDiv[Agency])-ROW(TableDiv[[#Headers],[Agency]])),COLUMNS($F$7:Y$7))))</f>
        <v/>
      </c>
      <c r="Z976" s="2223" t="str" cm="1">
        <f t="array" ref="Z976">IF($D976&lt;COLUMNS($F$7:Z$7),"",INDEX(TableDiv[[GASB]:[GASB]],_xlfn.AGGREGATE(15,3,(TableDiv[[Agency]:[Agency]]=$E976)/(TableDiv[[Agency]:[Agency]]=$E976)*(ROW(TableDiv[Agency])-ROW(TableDiv[[#Headers],[Agency]])),COLUMNS($F$7:Z$7))))</f>
        <v/>
      </c>
      <c r="AA976" s="2223" t="str" cm="1">
        <f t="array" ref="AA976">IF($D976&lt;COLUMNS($F$7:AA$7),"",INDEX(TableDiv[[GASB]:[GASB]],_xlfn.AGGREGATE(15,3,(TableDiv[[Agency]:[Agency]]=$E976)/(TableDiv[[Agency]:[Agency]]=$E976)*(ROW(TableDiv[Agency])-ROW(TableDiv[[#Headers],[Agency]])),COLUMNS($F$7:AA$7))))</f>
        <v/>
      </c>
      <c r="AB976" s="2223" t="str" cm="1">
        <f t="array" ref="AB976">IF($D976&lt;COLUMNS($F$7:AB$7),"",INDEX(TableDiv[[GASB]:[GASB]],_xlfn.AGGREGATE(15,3,(TableDiv[[Agency]:[Agency]]=$E976)/(TableDiv[[Agency]:[Agency]]=$E976)*(ROW(TableDiv[Agency])-ROW(TableDiv[[#Headers],[Agency]])),COLUMNS($F$7:AB$7))))</f>
        <v/>
      </c>
      <c r="AC976" s="2223" t="str" cm="1">
        <f t="array" ref="AC976">IF($D976&lt;COLUMNS($F$7:AC$7),"",INDEX(TableDiv[[GASB]:[GASB]],_xlfn.AGGREGATE(15,3,(TableDiv[[Agency]:[Agency]]=$E976)/(TableDiv[[Agency]:[Agency]]=$E976)*(ROW(TableDiv[Agency])-ROW(TableDiv[[#Headers],[Agency]])),COLUMNS($F$7:AC$7))))</f>
        <v/>
      </c>
      <c r="AD976" s="2223" t="str" cm="1">
        <f t="array" ref="AD976">IF($D976&lt;COLUMNS($F$7:AD$7),"",INDEX(TableDiv[[GASB]:[GASB]],_xlfn.AGGREGATE(15,3,(TableDiv[[Agency]:[Agency]]=$E976)/(TableDiv[[Agency]:[Agency]]=$E976)*(ROW(TableDiv[Agency])-ROW(TableDiv[[#Headers],[Agency]])),COLUMNS($F$7:AD$7))))</f>
        <v/>
      </c>
      <c r="AE976" s="2223" t="str" cm="1">
        <f t="array" ref="AE976">IF($D976&lt;COLUMNS($F$7:AE$7),"",INDEX(TableDiv[[GASB]:[GASB]],_xlfn.AGGREGATE(15,3,(TableDiv[[Agency]:[Agency]]=$E976)/(TableDiv[[Agency]:[Agency]]=$E976)*(ROW(TableDiv[Agency])-ROW(TableDiv[[#Headers],[Agency]])),COLUMNS($F$7:AE$7))))</f>
        <v/>
      </c>
      <c r="AF976" s="2223" t="str" cm="1">
        <f t="array" ref="AF976">IF($D976&lt;COLUMNS($F$7:AF$7),"",INDEX(TableDiv[[GASB]:[GASB]],_xlfn.AGGREGATE(15,3,(TableDiv[[Agency]:[Agency]]=$E976)/(TableDiv[[Agency]:[Agency]]=$E976)*(ROW(TableDiv[Agency])-ROW(TableDiv[[#Headers],[Agency]])),COLUMNS($F$7:AF$7))))</f>
        <v/>
      </c>
      <c r="AG976" s="2223" t="str" cm="1">
        <f t="array" ref="AG976">IF($D976&lt;COLUMNS($F$7:AG$7),"",INDEX(TableDiv[[GASB]:[GASB]],_xlfn.AGGREGATE(15,3,(TableDiv[[Agency]:[Agency]]=$E976)/(TableDiv[[Agency]:[Agency]]=$E976)*(ROW(TableDiv[Agency])-ROW(TableDiv[[#Headers],[Agency]])),COLUMNS($F$7:AG$7))))</f>
        <v/>
      </c>
      <c r="AH976" s="2223" t="str" cm="1">
        <f t="array" ref="AH976">IF($D976&lt;COLUMNS($F$7:AH$7),"",INDEX(TableDiv[[GASB]:[GASB]],_xlfn.AGGREGATE(15,3,(TableDiv[[Agency]:[Agency]]=$E976)/(TableDiv[[Agency]:[Agency]]=$E976)*(ROW(TableDiv[Agency])-ROW(TableDiv[[#Headers],[Agency]])),COLUMNS($F$7:AH$7))))</f>
        <v/>
      </c>
      <c r="AI976" s="2223" t="str" cm="1">
        <f t="array" ref="AI976">IF($D976&lt;COLUMNS($F$7:AI$7),"",INDEX(TableDiv[[GASB]:[GASB]],_xlfn.AGGREGATE(15,3,(TableDiv[[Agency]:[Agency]]=$E976)/(TableDiv[[Agency]:[Agency]]=$E976)*(ROW(TableDiv[Agency])-ROW(TableDiv[[#Headers],[Agency]])),COLUMNS($F$7:AI$7))))</f>
        <v/>
      </c>
      <c r="AJ976" s="2223" t="str" cm="1">
        <f t="array" ref="AJ976">IF($D976&lt;COLUMNS($F$7:AJ$7),"",INDEX(TableDiv[[GASB]:[GASB]],_xlfn.AGGREGATE(15,3,(TableDiv[[Agency]:[Agency]]=$E976)/(TableDiv[[Agency]:[Agency]]=$E976)*(ROW(TableDiv[Agency])-ROW(TableDiv[[#Headers],[Agency]])),COLUMNS($F$7:AJ$7))))</f>
        <v/>
      </c>
      <c r="AK976" s="2223" t="str" cm="1">
        <f t="array" ref="AK976">IF($D976&lt;COLUMNS($F$7:AK$7),"",INDEX(TableDiv[[GASB]:[GASB]],_xlfn.AGGREGATE(15,3,(TableDiv[[Agency]:[Agency]]=$E976)/(TableDiv[[Agency]:[Agency]]=$E976)*(ROW(TableDiv[Agency])-ROW(TableDiv[[#Headers],[Agency]])),COLUMNS($F$7:AK$7))))</f>
        <v/>
      </c>
      <c r="AL976" s="2223" t="str" cm="1">
        <f t="array" ref="AL976">IF($D976&lt;COLUMNS($F$7:AL$7),"",INDEX(TableDiv[[GASB]:[GASB]],_xlfn.AGGREGATE(15,3,(TableDiv[[Agency]:[Agency]]=$E976)/(TableDiv[[Agency]:[Agency]]=$E976)*(ROW(TableDiv[Agency])-ROW(TableDiv[[#Headers],[Agency]])),COLUMNS($F$7:AL$7))))</f>
        <v/>
      </c>
      <c r="AM976" s="2223" t="str" cm="1">
        <f t="array" ref="AM976">IF($D976&lt;COLUMNS($F$7:AM$7),"",INDEX(TableDiv[[GASB]:[GASB]],_xlfn.AGGREGATE(15,3,(TableDiv[[Agency]:[Agency]]=$E976)/(TableDiv[[Agency]:[Agency]]=$E976)*(ROW(TableDiv[Agency])-ROW(TableDiv[[#Headers],[Agency]])),COLUMNS($F$7:AM$7))))</f>
        <v/>
      </c>
      <c r="AN976" s="2223"/>
      <c r="AO976" s="2223"/>
      <c r="AP976" s="2223"/>
      <c r="AQ976" s="2223"/>
      <c r="AR976" s="2223"/>
      <c r="AS976" s="2223"/>
    </row>
    <row r="977" spans="1:45" x14ac:dyDescent="0.2">
      <c r="A977" s="2223"/>
      <c r="B977" s="2223"/>
      <c r="C977" s="2223"/>
      <c r="W977" s="2223" t="str" cm="1">
        <f t="array" ref="W977">IF($D977&lt;COLUMNS($F$7:W$7),"",INDEX(TableDiv[[GASB]:[GASB]],_xlfn.AGGREGATE(15,3,(TableDiv[[Agency]:[Agency]]=$E977)/(TableDiv[[Agency]:[Agency]]=$E977)*(ROW(TableDiv[Agency])-ROW(TableDiv[[#Headers],[Agency]])),COLUMNS($F$7:W$7))))</f>
        <v/>
      </c>
      <c r="X977" s="2223" t="str" cm="1">
        <f t="array" ref="X977">IF($D977&lt;COLUMNS($F$7:X$7),"",INDEX(TableDiv[[GASB]:[GASB]],_xlfn.AGGREGATE(15,3,(TableDiv[[Agency]:[Agency]]=$E977)/(TableDiv[[Agency]:[Agency]]=$E977)*(ROW(TableDiv[Agency])-ROW(TableDiv[[#Headers],[Agency]])),COLUMNS($F$7:X$7))))</f>
        <v/>
      </c>
      <c r="Y977" s="2223" t="str" cm="1">
        <f t="array" ref="Y977">IF($D977&lt;COLUMNS($F$7:Y$7),"",INDEX(TableDiv[[GASB]:[GASB]],_xlfn.AGGREGATE(15,3,(TableDiv[[Agency]:[Agency]]=$E977)/(TableDiv[[Agency]:[Agency]]=$E977)*(ROW(TableDiv[Agency])-ROW(TableDiv[[#Headers],[Agency]])),COLUMNS($F$7:Y$7))))</f>
        <v/>
      </c>
      <c r="Z977" s="2223" t="str" cm="1">
        <f t="array" ref="Z977">IF($D977&lt;COLUMNS($F$7:Z$7),"",INDEX(TableDiv[[GASB]:[GASB]],_xlfn.AGGREGATE(15,3,(TableDiv[[Agency]:[Agency]]=$E977)/(TableDiv[[Agency]:[Agency]]=$E977)*(ROW(TableDiv[Agency])-ROW(TableDiv[[#Headers],[Agency]])),COLUMNS($F$7:Z$7))))</f>
        <v/>
      </c>
      <c r="AA977" s="2223" t="str" cm="1">
        <f t="array" ref="AA977">IF($D977&lt;COLUMNS($F$7:AA$7),"",INDEX(TableDiv[[GASB]:[GASB]],_xlfn.AGGREGATE(15,3,(TableDiv[[Agency]:[Agency]]=$E977)/(TableDiv[[Agency]:[Agency]]=$E977)*(ROW(TableDiv[Agency])-ROW(TableDiv[[#Headers],[Agency]])),COLUMNS($F$7:AA$7))))</f>
        <v/>
      </c>
      <c r="AB977" s="2223" t="str" cm="1">
        <f t="array" ref="AB977">IF($D977&lt;COLUMNS($F$7:AB$7),"",INDEX(TableDiv[[GASB]:[GASB]],_xlfn.AGGREGATE(15,3,(TableDiv[[Agency]:[Agency]]=$E977)/(TableDiv[[Agency]:[Agency]]=$E977)*(ROW(TableDiv[Agency])-ROW(TableDiv[[#Headers],[Agency]])),COLUMNS($F$7:AB$7))))</f>
        <v/>
      </c>
      <c r="AC977" s="2223" t="str" cm="1">
        <f t="array" ref="AC977">IF($D977&lt;COLUMNS($F$7:AC$7),"",INDEX(TableDiv[[GASB]:[GASB]],_xlfn.AGGREGATE(15,3,(TableDiv[[Agency]:[Agency]]=$E977)/(TableDiv[[Agency]:[Agency]]=$E977)*(ROW(TableDiv[Agency])-ROW(TableDiv[[#Headers],[Agency]])),COLUMNS($F$7:AC$7))))</f>
        <v/>
      </c>
      <c r="AD977" s="2223" t="str" cm="1">
        <f t="array" ref="AD977">IF($D977&lt;COLUMNS($F$7:AD$7),"",INDEX(TableDiv[[GASB]:[GASB]],_xlfn.AGGREGATE(15,3,(TableDiv[[Agency]:[Agency]]=$E977)/(TableDiv[[Agency]:[Agency]]=$E977)*(ROW(TableDiv[Agency])-ROW(TableDiv[[#Headers],[Agency]])),COLUMNS($F$7:AD$7))))</f>
        <v/>
      </c>
      <c r="AE977" s="2223" t="str" cm="1">
        <f t="array" ref="AE977">IF($D977&lt;COLUMNS($F$7:AE$7),"",INDEX(TableDiv[[GASB]:[GASB]],_xlfn.AGGREGATE(15,3,(TableDiv[[Agency]:[Agency]]=$E977)/(TableDiv[[Agency]:[Agency]]=$E977)*(ROW(TableDiv[Agency])-ROW(TableDiv[[#Headers],[Agency]])),COLUMNS($F$7:AE$7))))</f>
        <v/>
      </c>
      <c r="AF977" s="2223" t="str" cm="1">
        <f t="array" ref="AF977">IF($D977&lt;COLUMNS($F$7:AF$7),"",INDEX(TableDiv[[GASB]:[GASB]],_xlfn.AGGREGATE(15,3,(TableDiv[[Agency]:[Agency]]=$E977)/(TableDiv[[Agency]:[Agency]]=$E977)*(ROW(TableDiv[Agency])-ROW(TableDiv[[#Headers],[Agency]])),COLUMNS($F$7:AF$7))))</f>
        <v/>
      </c>
      <c r="AG977" s="2223" t="str" cm="1">
        <f t="array" ref="AG977">IF($D977&lt;COLUMNS($F$7:AG$7),"",INDEX(TableDiv[[GASB]:[GASB]],_xlfn.AGGREGATE(15,3,(TableDiv[[Agency]:[Agency]]=$E977)/(TableDiv[[Agency]:[Agency]]=$E977)*(ROW(TableDiv[Agency])-ROW(TableDiv[[#Headers],[Agency]])),COLUMNS($F$7:AG$7))))</f>
        <v/>
      </c>
      <c r="AH977" s="2223" t="str" cm="1">
        <f t="array" ref="AH977">IF($D977&lt;COLUMNS($F$7:AH$7),"",INDEX(TableDiv[[GASB]:[GASB]],_xlfn.AGGREGATE(15,3,(TableDiv[[Agency]:[Agency]]=$E977)/(TableDiv[[Agency]:[Agency]]=$E977)*(ROW(TableDiv[Agency])-ROW(TableDiv[[#Headers],[Agency]])),COLUMNS($F$7:AH$7))))</f>
        <v/>
      </c>
      <c r="AI977" s="2223" t="str" cm="1">
        <f t="array" ref="AI977">IF($D977&lt;COLUMNS($F$7:AI$7),"",INDEX(TableDiv[[GASB]:[GASB]],_xlfn.AGGREGATE(15,3,(TableDiv[[Agency]:[Agency]]=$E977)/(TableDiv[[Agency]:[Agency]]=$E977)*(ROW(TableDiv[Agency])-ROW(TableDiv[[#Headers],[Agency]])),COLUMNS($F$7:AI$7))))</f>
        <v/>
      </c>
      <c r="AJ977" s="2223" t="str" cm="1">
        <f t="array" ref="AJ977">IF($D977&lt;COLUMNS($F$7:AJ$7),"",INDEX(TableDiv[[GASB]:[GASB]],_xlfn.AGGREGATE(15,3,(TableDiv[[Agency]:[Agency]]=$E977)/(TableDiv[[Agency]:[Agency]]=$E977)*(ROW(TableDiv[Agency])-ROW(TableDiv[[#Headers],[Agency]])),COLUMNS($F$7:AJ$7))))</f>
        <v/>
      </c>
      <c r="AK977" s="2223" t="str" cm="1">
        <f t="array" ref="AK977">IF($D977&lt;COLUMNS($F$7:AK$7),"",INDEX(TableDiv[[GASB]:[GASB]],_xlfn.AGGREGATE(15,3,(TableDiv[[Agency]:[Agency]]=$E977)/(TableDiv[[Agency]:[Agency]]=$E977)*(ROW(TableDiv[Agency])-ROW(TableDiv[[#Headers],[Agency]])),COLUMNS($F$7:AK$7))))</f>
        <v/>
      </c>
      <c r="AL977" s="2223" t="str" cm="1">
        <f t="array" ref="AL977">IF($D977&lt;COLUMNS($F$7:AL$7),"",INDEX(TableDiv[[GASB]:[GASB]],_xlfn.AGGREGATE(15,3,(TableDiv[[Agency]:[Agency]]=$E977)/(TableDiv[[Agency]:[Agency]]=$E977)*(ROW(TableDiv[Agency])-ROW(TableDiv[[#Headers],[Agency]])),COLUMNS($F$7:AL$7))))</f>
        <v/>
      </c>
      <c r="AM977" s="2223" t="str" cm="1">
        <f t="array" ref="AM977">IF($D977&lt;COLUMNS($F$7:AM$7),"",INDEX(TableDiv[[GASB]:[GASB]],_xlfn.AGGREGATE(15,3,(TableDiv[[Agency]:[Agency]]=$E977)/(TableDiv[[Agency]:[Agency]]=$E977)*(ROW(TableDiv[Agency])-ROW(TableDiv[[#Headers],[Agency]])),COLUMNS($F$7:AM$7))))</f>
        <v/>
      </c>
      <c r="AN977" s="2223"/>
      <c r="AO977" s="2223"/>
      <c r="AP977" s="2223"/>
      <c r="AQ977" s="2223"/>
      <c r="AR977" s="2223"/>
      <c r="AS977" s="2223"/>
    </row>
    <row r="978" spans="1:45" x14ac:dyDescent="0.2">
      <c r="A978" s="2223"/>
      <c r="B978" s="2223"/>
      <c r="C978" s="2223"/>
      <c r="W978" s="2223" t="str" cm="1">
        <f t="array" ref="W978">IF($D978&lt;COLUMNS($F$7:W$7),"",INDEX(TableDiv[[GASB]:[GASB]],_xlfn.AGGREGATE(15,3,(TableDiv[[Agency]:[Agency]]=$E978)/(TableDiv[[Agency]:[Agency]]=$E978)*(ROW(TableDiv[Agency])-ROW(TableDiv[[#Headers],[Agency]])),COLUMNS($F$7:W$7))))</f>
        <v/>
      </c>
      <c r="X978" s="2223" t="str" cm="1">
        <f t="array" ref="X978">IF($D978&lt;COLUMNS($F$7:X$7),"",INDEX(TableDiv[[GASB]:[GASB]],_xlfn.AGGREGATE(15,3,(TableDiv[[Agency]:[Agency]]=$E978)/(TableDiv[[Agency]:[Agency]]=$E978)*(ROW(TableDiv[Agency])-ROW(TableDiv[[#Headers],[Agency]])),COLUMNS($F$7:X$7))))</f>
        <v/>
      </c>
      <c r="Y978" s="2223" t="str" cm="1">
        <f t="array" ref="Y978">IF($D978&lt;COLUMNS($F$7:Y$7),"",INDEX(TableDiv[[GASB]:[GASB]],_xlfn.AGGREGATE(15,3,(TableDiv[[Agency]:[Agency]]=$E978)/(TableDiv[[Agency]:[Agency]]=$E978)*(ROW(TableDiv[Agency])-ROW(TableDiv[[#Headers],[Agency]])),COLUMNS($F$7:Y$7))))</f>
        <v/>
      </c>
      <c r="Z978" s="2223" t="str" cm="1">
        <f t="array" ref="Z978">IF($D978&lt;COLUMNS($F$7:Z$7),"",INDEX(TableDiv[[GASB]:[GASB]],_xlfn.AGGREGATE(15,3,(TableDiv[[Agency]:[Agency]]=$E978)/(TableDiv[[Agency]:[Agency]]=$E978)*(ROW(TableDiv[Agency])-ROW(TableDiv[[#Headers],[Agency]])),COLUMNS($F$7:Z$7))))</f>
        <v/>
      </c>
      <c r="AA978" s="2223" t="str" cm="1">
        <f t="array" ref="AA978">IF($D978&lt;COLUMNS($F$7:AA$7),"",INDEX(TableDiv[[GASB]:[GASB]],_xlfn.AGGREGATE(15,3,(TableDiv[[Agency]:[Agency]]=$E978)/(TableDiv[[Agency]:[Agency]]=$E978)*(ROW(TableDiv[Agency])-ROW(TableDiv[[#Headers],[Agency]])),COLUMNS($F$7:AA$7))))</f>
        <v/>
      </c>
      <c r="AB978" s="2223" t="str" cm="1">
        <f t="array" ref="AB978">IF($D978&lt;COLUMNS($F$7:AB$7),"",INDEX(TableDiv[[GASB]:[GASB]],_xlfn.AGGREGATE(15,3,(TableDiv[[Agency]:[Agency]]=$E978)/(TableDiv[[Agency]:[Agency]]=$E978)*(ROW(TableDiv[Agency])-ROW(TableDiv[[#Headers],[Agency]])),COLUMNS($F$7:AB$7))))</f>
        <v/>
      </c>
      <c r="AC978" s="2223" t="str" cm="1">
        <f t="array" ref="AC978">IF($D978&lt;COLUMNS($F$7:AC$7),"",INDEX(TableDiv[[GASB]:[GASB]],_xlfn.AGGREGATE(15,3,(TableDiv[[Agency]:[Agency]]=$E978)/(TableDiv[[Agency]:[Agency]]=$E978)*(ROW(TableDiv[Agency])-ROW(TableDiv[[#Headers],[Agency]])),COLUMNS($F$7:AC$7))))</f>
        <v/>
      </c>
      <c r="AD978" s="2223" t="str" cm="1">
        <f t="array" ref="AD978">IF($D978&lt;COLUMNS($F$7:AD$7),"",INDEX(TableDiv[[GASB]:[GASB]],_xlfn.AGGREGATE(15,3,(TableDiv[[Agency]:[Agency]]=$E978)/(TableDiv[[Agency]:[Agency]]=$E978)*(ROW(TableDiv[Agency])-ROW(TableDiv[[#Headers],[Agency]])),COLUMNS($F$7:AD$7))))</f>
        <v/>
      </c>
      <c r="AE978" s="2223" t="str" cm="1">
        <f t="array" ref="AE978">IF($D978&lt;COLUMNS($F$7:AE$7),"",INDEX(TableDiv[[GASB]:[GASB]],_xlfn.AGGREGATE(15,3,(TableDiv[[Agency]:[Agency]]=$E978)/(TableDiv[[Agency]:[Agency]]=$E978)*(ROW(TableDiv[Agency])-ROW(TableDiv[[#Headers],[Agency]])),COLUMNS($F$7:AE$7))))</f>
        <v/>
      </c>
      <c r="AF978" s="2223" t="str" cm="1">
        <f t="array" ref="AF978">IF($D978&lt;COLUMNS($F$7:AF$7),"",INDEX(TableDiv[[GASB]:[GASB]],_xlfn.AGGREGATE(15,3,(TableDiv[[Agency]:[Agency]]=$E978)/(TableDiv[[Agency]:[Agency]]=$E978)*(ROW(TableDiv[Agency])-ROW(TableDiv[[#Headers],[Agency]])),COLUMNS($F$7:AF$7))))</f>
        <v/>
      </c>
      <c r="AG978" s="2223" t="str" cm="1">
        <f t="array" ref="AG978">IF($D978&lt;COLUMNS($F$7:AG$7),"",INDEX(TableDiv[[GASB]:[GASB]],_xlfn.AGGREGATE(15,3,(TableDiv[[Agency]:[Agency]]=$E978)/(TableDiv[[Agency]:[Agency]]=$E978)*(ROW(TableDiv[Agency])-ROW(TableDiv[[#Headers],[Agency]])),COLUMNS($F$7:AG$7))))</f>
        <v/>
      </c>
      <c r="AH978" s="2223" t="str" cm="1">
        <f t="array" ref="AH978">IF($D978&lt;COLUMNS($F$7:AH$7),"",INDEX(TableDiv[[GASB]:[GASB]],_xlfn.AGGREGATE(15,3,(TableDiv[[Agency]:[Agency]]=$E978)/(TableDiv[[Agency]:[Agency]]=$E978)*(ROW(TableDiv[Agency])-ROW(TableDiv[[#Headers],[Agency]])),COLUMNS($F$7:AH$7))))</f>
        <v/>
      </c>
      <c r="AI978" s="2223" t="str" cm="1">
        <f t="array" ref="AI978">IF($D978&lt;COLUMNS($F$7:AI$7),"",INDEX(TableDiv[[GASB]:[GASB]],_xlfn.AGGREGATE(15,3,(TableDiv[[Agency]:[Agency]]=$E978)/(TableDiv[[Agency]:[Agency]]=$E978)*(ROW(TableDiv[Agency])-ROW(TableDiv[[#Headers],[Agency]])),COLUMNS($F$7:AI$7))))</f>
        <v/>
      </c>
      <c r="AJ978" s="2223" t="str" cm="1">
        <f t="array" ref="AJ978">IF($D978&lt;COLUMNS($F$7:AJ$7),"",INDEX(TableDiv[[GASB]:[GASB]],_xlfn.AGGREGATE(15,3,(TableDiv[[Agency]:[Agency]]=$E978)/(TableDiv[[Agency]:[Agency]]=$E978)*(ROW(TableDiv[Agency])-ROW(TableDiv[[#Headers],[Agency]])),COLUMNS($F$7:AJ$7))))</f>
        <v/>
      </c>
      <c r="AK978" s="2223" t="str" cm="1">
        <f t="array" ref="AK978">IF($D978&lt;COLUMNS($F$7:AK$7),"",INDEX(TableDiv[[GASB]:[GASB]],_xlfn.AGGREGATE(15,3,(TableDiv[[Agency]:[Agency]]=$E978)/(TableDiv[[Agency]:[Agency]]=$E978)*(ROW(TableDiv[Agency])-ROW(TableDiv[[#Headers],[Agency]])),COLUMNS($F$7:AK$7))))</f>
        <v/>
      </c>
      <c r="AL978" s="2223" t="str" cm="1">
        <f t="array" ref="AL978">IF($D978&lt;COLUMNS($F$7:AL$7),"",INDEX(TableDiv[[GASB]:[GASB]],_xlfn.AGGREGATE(15,3,(TableDiv[[Agency]:[Agency]]=$E978)/(TableDiv[[Agency]:[Agency]]=$E978)*(ROW(TableDiv[Agency])-ROW(TableDiv[[#Headers],[Agency]])),COLUMNS($F$7:AL$7))))</f>
        <v/>
      </c>
      <c r="AM978" s="2223" t="str" cm="1">
        <f t="array" ref="AM978">IF($D978&lt;COLUMNS($F$7:AM$7),"",INDEX(TableDiv[[GASB]:[GASB]],_xlfn.AGGREGATE(15,3,(TableDiv[[Agency]:[Agency]]=$E978)/(TableDiv[[Agency]:[Agency]]=$E978)*(ROW(TableDiv[Agency])-ROW(TableDiv[[#Headers],[Agency]])),COLUMNS($F$7:AM$7))))</f>
        <v/>
      </c>
      <c r="AN978" s="2223"/>
      <c r="AO978" s="2223"/>
      <c r="AP978" s="2223"/>
      <c r="AQ978" s="2223"/>
      <c r="AR978" s="2223"/>
      <c r="AS978" s="2223"/>
    </row>
    <row r="979" spans="1:45" x14ac:dyDescent="0.2">
      <c r="A979" s="2223"/>
      <c r="B979" s="2223"/>
      <c r="C979" s="2223"/>
      <c r="W979" s="2223" t="str" cm="1">
        <f t="array" ref="W979">IF($D979&lt;COLUMNS($F$7:W$7),"",INDEX(TableDiv[[GASB]:[GASB]],_xlfn.AGGREGATE(15,3,(TableDiv[[Agency]:[Agency]]=$E979)/(TableDiv[[Agency]:[Agency]]=$E979)*(ROW(TableDiv[Agency])-ROW(TableDiv[[#Headers],[Agency]])),COLUMNS($F$7:W$7))))</f>
        <v/>
      </c>
      <c r="X979" s="2223" t="str" cm="1">
        <f t="array" ref="X979">IF($D979&lt;COLUMNS($F$7:X$7),"",INDEX(TableDiv[[GASB]:[GASB]],_xlfn.AGGREGATE(15,3,(TableDiv[[Agency]:[Agency]]=$E979)/(TableDiv[[Agency]:[Agency]]=$E979)*(ROW(TableDiv[Agency])-ROW(TableDiv[[#Headers],[Agency]])),COLUMNS($F$7:X$7))))</f>
        <v/>
      </c>
      <c r="Y979" s="2223" t="str" cm="1">
        <f t="array" ref="Y979">IF($D979&lt;COLUMNS($F$7:Y$7),"",INDEX(TableDiv[[GASB]:[GASB]],_xlfn.AGGREGATE(15,3,(TableDiv[[Agency]:[Agency]]=$E979)/(TableDiv[[Agency]:[Agency]]=$E979)*(ROW(TableDiv[Agency])-ROW(TableDiv[[#Headers],[Agency]])),COLUMNS($F$7:Y$7))))</f>
        <v/>
      </c>
      <c r="Z979" s="2223" t="str" cm="1">
        <f t="array" ref="Z979">IF($D979&lt;COLUMNS($F$7:Z$7),"",INDEX(TableDiv[[GASB]:[GASB]],_xlfn.AGGREGATE(15,3,(TableDiv[[Agency]:[Agency]]=$E979)/(TableDiv[[Agency]:[Agency]]=$E979)*(ROW(TableDiv[Agency])-ROW(TableDiv[[#Headers],[Agency]])),COLUMNS($F$7:Z$7))))</f>
        <v/>
      </c>
      <c r="AA979" s="2223" t="str" cm="1">
        <f t="array" ref="AA979">IF($D979&lt;COLUMNS($F$7:AA$7),"",INDEX(TableDiv[[GASB]:[GASB]],_xlfn.AGGREGATE(15,3,(TableDiv[[Agency]:[Agency]]=$E979)/(TableDiv[[Agency]:[Agency]]=$E979)*(ROW(TableDiv[Agency])-ROW(TableDiv[[#Headers],[Agency]])),COLUMNS($F$7:AA$7))))</f>
        <v/>
      </c>
      <c r="AB979" s="2223" t="str" cm="1">
        <f t="array" ref="AB979">IF($D979&lt;COLUMNS($F$7:AB$7),"",INDEX(TableDiv[[GASB]:[GASB]],_xlfn.AGGREGATE(15,3,(TableDiv[[Agency]:[Agency]]=$E979)/(TableDiv[[Agency]:[Agency]]=$E979)*(ROW(TableDiv[Agency])-ROW(TableDiv[[#Headers],[Agency]])),COLUMNS($F$7:AB$7))))</f>
        <v/>
      </c>
      <c r="AC979" s="2223" t="str" cm="1">
        <f t="array" ref="AC979">IF($D979&lt;COLUMNS($F$7:AC$7),"",INDEX(TableDiv[[GASB]:[GASB]],_xlfn.AGGREGATE(15,3,(TableDiv[[Agency]:[Agency]]=$E979)/(TableDiv[[Agency]:[Agency]]=$E979)*(ROW(TableDiv[Agency])-ROW(TableDiv[[#Headers],[Agency]])),COLUMNS($F$7:AC$7))))</f>
        <v/>
      </c>
      <c r="AD979" s="2223" t="str" cm="1">
        <f t="array" ref="AD979">IF($D979&lt;COLUMNS($F$7:AD$7),"",INDEX(TableDiv[[GASB]:[GASB]],_xlfn.AGGREGATE(15,3,(TableDiv[[Agency]:[Agency]]=$E979)/(TableDiv[[Agency]:[Agency]]=$E979)*(ROW(TableDiv[Agency])-ROW(TableDiv[[#Headers],[Agency]])),COLUMNS($F$7:AD$7))))</f>
        <v/>
      </c>
      <c r="AE979" s="2223" t="str" cm="1">
        <f t="array" ref="AE979">IF($D979&lt;COLUMNS($F$7:AE$7),"",INDEX(TableDiv[[GASB]:[GASB]],_xlfn.AGGREGATE(15,3,(TableDiv[[Agency]:[Agency]]=$E979)/(TableDiv[[Agency]:[Agency]]=$E979)*(ROW(TableDiv[Agency])-ROW(TableDiv[[#Headers],[Agency]])),COLUMNS($F$7:AE$7))))</f>
        <v/>
      </c>
      <c r="AF979" s="2223" t="str" cm="1">
        <f t="array" ref="AF979">IF($D979&lt;COLUMNS($F$7:AF$7),"",INDEX(TableDiv[[GASB]:[GASB]],_xlfn.AGGREGATE(15,3,(TableDiv[[Agency]:[Agency]]=$E979)/(TableDiv[[Agency]:[Agency]]=$E979)*(ROW(TableDiv[Agency])-ROW(TableDiv[[#Headers],[Agency]])),COLUMNS($F$7:AF$7))))</f>
        <v/>
      </c>
      <c r="AG979" s="2223" t="str" cm="1">
        <f t="array" ref="AG979">IF($D979&lt;COLUMNS($F$7:AG$7),"",INDEX(TableDiv[[GASB]:[GASB]],_xlfn.AGGREGATE(15,3,(TableDiv[[Agency]:[Agency]]=$E979)/(TableDiv[[Agency]:[Agency]]=$E979)*(ROW(TableDiv[Agency])-ROW(TableDiv[[#Headers],[Agency]])),COLUMNS($F$7:AG$7))))</f>
        <v/>
      </c>
      <c r="AH979" s="2223" t="str" cm="1">
        <f t="array" ref="AH979">IF($D979&lt;COLUMNS($F$7:AH$7),"",INDEX(TableDiv[[GASB]:[GASB]],_xlfn.AGGREGATE(15,3,(TableDiv[[Agency]:[Agency]]=$E979)/(TableDiv[[Agency]:[Agency]]=$E979)*(ROW(TableDiv[Agency])-ROW(TableDiv[[#Headers],[Agency]])),COLUMNS($F$7:AH$7))))</f>
        <v/>
      </c>
      <c r="AI979" s="2223" t="str" cm="1">
        <f t="array" ref="AI979">IF($D979&lt;COLUMNS($F$7:AI$7),"",INDEX(TableDiv[[GASB]:[GASB]],_xlfn.AGGREGATE(15,3,(TableDiv[[Agency]:[Agency]]=$E979)/(TableDiv[[Agency]:[Agency]]=$E979)*(ROW(TableDiv[Agency])-ROW(TableDiv[[#Headers],[Agency]])),COLUMNS($F$7:AI$7))))</f>
        <v/>
      </c>
      <c r="AJ979" s="2223" t="str" cm="1">
        <f t="array" ref="AJ979">IF($D979&lt;COLUMNS($F$7:AJ$7),"",INDEX(TableDiv[[GASB]:[GASB]],_xlfn.AGGREGATE(15,3,(TableDiv[[Agency]:[Agency]]=$E979)/(TableDiv[[Agency]:[Agency]]=$E979)*(ROW(TableDiv[Agency])-ROW(TableDiv[[#Headers],[Agency]])),COLUMNS($F$7:AJ$7))))</f>
        <v/>
      </c>
      <c r="AK979" s="2223" t="str" cm="1">
        <f t="array" ref="AK979">IF($D979&lt;COLUMNS($F$7:AK$7),"",INDEX(TableDiv[[GASB]:[GASB]],_xlfn.AGGREGATE(15,3,(TableDiv[[Agency]:[Agency]]=$E979)/(TableDiv[[Agency]:[Agency]]=$E979)*(ROW(TableDiv[Agency])-ROW(TableDiv[[#Headers],[Agency]])),COLUMNS($F$7:AK$7))))</f>
        <v/>
      </c>
      <c r="AL979" s="2223" t="str" cm="1">
        <f t="array" ref="AL979">IF($D979&lt;COLUMNS($F$7:AL$7),"",INDEX(TableDiv[[GASB]:[GASB]],_xlfn.AGGREGATE(15,3,(TableDiv[[Agency]:[Agency]]=$E979)/(TableDiv[[Agency]:[Agency]]=$E979)*(ROW(TableDiv[Agency])-ROW(TableDiv[[#Headers],[Agency]])),COLUMNS($F$7:AL$7))))</f>
        <v/>
      </c>
      <c r="AM979" s="2223" t="str" cm="1">
        <f t="array" ref="AM979">IF($D979&lt;COLUMNS($F$7:AM$7),"",INDEX(TableDiv[[GASB]:[GASB]],_xlfn.AGGREGATE(15,3,(TableDiv[[Agency]:[Agency]]=$E979)/(TableDiv[[Agency]:[Agency]]=$E979)*(ROW(TableDiv[Agency])-ROW(TableDiv[[#Headers],[Agency]])),COLUMNS($F$7:AM$7))))</f>
        <v/>
      </c>
      <c r="AN979" s="2223"/>
      <c r="AO979" s="2223"/>
      <c r="AP979" s="2223"/>
      <c r="AQ979" s="2223"/>
      <c r="AR979" s="2223"/>
      <c r="AS979" s="2223"/>
    </row>
    <row r="980" spans="1:45" x14ac:dyDescent="0.2">
      <c r="A980" s="2223"/>
      <c r="B980" s="2223"/>
      <c r="C980" s="2223"/>
      <c r="W980" s="2223" t="str" cm="1">
        <f t="array" ref="W980">IF($D980&lt;COLUMNS($F$7:W$7),"",INDEX(TableDiv[[GASB]:[GASB]],_xlfn.AGGREGATE(15,3,(TableDiv[[Agency]:[Agency]]=$E980)/(TableDiv[[Agency]:[Agency]]=$E980)*(ROW(TableDiv[Agency])-ROW(TableDiv[[#Headers],[Agency]])),COLUMNS($F$7:W$7))))</f>
        <v/>
      </c>
      <c r="X980" s="2223" t="str" cm="1">
        <f t="array" ref="X980">IF($D980&lt;COLUMNS($F$7:X$7),"",INDEX(TableDiv[[GASB]:[GASB]],_xlfn.AGGREGATE(15,3,(TableDiv[[Agency]:[Agency]]=$E980)/(TableDiv[[Agency]:[Agency]]=$E980)*(ROW(TableDiv[Agency])-ROW(TableDiv[[#Headers],[Agency]])),COLUMNS($F$7:X$7))))</f>
        <v/>
      </c>
      <c r="Y980" s="2223" t="str" cm="1">
        <f t="array" ref="Y980">IF($D980&lt;COLUMNS($F$7:Y$7),"",INDEX(TableDiv[[GASB]:[GASB]],_xlfn.AGGREGATE(15,3,(TableDiv[[Agency]:[Agency]]=$E980)/(TableDiv[[Agency]:[Agency]]=$E980)*(ROW(TableDiv[Agency])-ROW(TableDiv[[#Headers],[Agency]])),COLUMNS($F$7:Y$7))))</f>
        <v/>
      </c>
      <c r="Z980" s="2223" t="str" cm="1">
        <f t="array" ref="Z980">IF($D980&lt;COLUMNS($F$7:Z$7),"",INDEX(TableDiv[[GASB]:[GASB]],_xlfn.AGGREGATE(15,3,(TableDiv[[Agency]:[Agency]]=$E980)/(TableDiv[[Agency]:[Agency]]=$E980)*(ROW(TableDiv[Agency])-ROW(TableDiv[[#Headers],[Agency]])),COLUMNS($F$7:Z$7))))</f>
        <v/>
      </c>
      <c r="AA980" s="2223" t="str" cm="1">
        <f t="array" ref="AA980">IF($D980&lt;COLUMNS($F$7:AA$7),"",INDEX(TableDiv[[GASB]:[GASB]],_xlfn.AGGREGATE(15,3,(TableDiv[[Agency]:[Agency]]=$E980)/(TableDiv[[Agency]:[Agency]]=$E980)*(ROW(TableDiv[Agency])-ROW(TableDiv[[#Headers],[Agency]])),COLUMNS($F$7:AA$7))))</f>
        <v/>
      </c>
      <c r="AB980" s="2223" t="str" cm="1">
        <f t="array" ref="AB980">IF($D980&lt;COLUMNS($F$7:AB$7),"",INDEX(TableDiv[[GASB]:[GASB]],_xlfn.AGGREGATE(15,3,(TableDiv[[Agency]:[Agency]]=$E980)/(TableDiv[[Agency]:[Agency]]=$E980)*(ROW(TableDiv[Agency])-ROW(TableDiv[[#Headers],[Agency]])),COLUMNS($F$7:AB$7))))</f>
        <v/>
      </c>
      <c r="AC980" s="2223" t="str" cm="1">
        <f t="array" ref="AC980">IF($D980&lt;COLUMNS($F$7:AC$7),"",INDEX(TableDiv[[GASB]:[GASB]],_xlfn.AGGREGATE(15,3,(TableDiv[[Agency]:[Agency]]=$E980)/(TableDiv[[Agency]:[Agency]]=$E980)*(ROW(TableDiv[Agency])-ROW(TableDiv[[#Headers],[Agency]])),COLUMNS($F$7:AC$7))))</f>
        <v/>
      </c>
      <c r="AD980" s="2223" t="str" cm="1">
        <f t="array" ref="AD980">IF($D980&lt;COLUMNS($F$7:AD$7),"",INDEX(TableDiv[[GASB]:[GASB]],_xlfn.AGGREGATE(15,3,(TableDiv[[Agency]:[Agency]]=$E980)/(TableDiv[[Agency]:[Agency]]=$E980)*(ROW(TableDiv[Agency])-ROW(TableDiv[[#Headers],[Agency]])),COLUMNS($F$7:AD$7))))</f>
        <v/>
      </c>
      <c r="AE980" s="2223" t="str" cm="1">
        <f t="array" ref="AE980">IF($D980&lt;COLUMNS($F$7:AE$7),"",INDEX(TableDiv[[GASB]:[GASB]],_xlfn.AGGREGATE(15,3,(TableDiv[[Agency]:[Agency]]=$E980)/(TableDiv[[Agency]:[Agency]]=$E980)*(ROW(TableDiv[Agency])-ROW(TableDiv[[#Headers],[Agency]])),COLUMNS($F$7:AE$7))))</f>
        <v/>
      </c>
      <c r="AF980" s="2223" t="str" cm="1">
        <f t="array" ref="AF980">IF($D980&lt;COLUMNS($F$7:AF$7),"",INDEX(TableDiv[[GASB]:[GASB]],_xlfn.AGGREGATE(15,3,(TableDiv[[Agency]:[Agency]]=$E980)/(TableDiv[[Agency]:[Agency]]=$E980)*(ROW(TableDiv[Agency])-ROW(TableDiv[[#Headers],[Agency]])),COLUMNS($F$7:AF$7))))</f>
        <v/>
      </c>
      <c r="AG980" s="2223" t="str" cm="1">
        <f t="array" ref="AG980">IF($D980&lt;COLUMNS($F$7:AG$7),"",INDEX(TableDiv[[GASB]:[GASB]],_xlfn.AGGREGATE(15,3,(TableDiv[[Agency]:[Agency]]=$E980)/(TableDiv[[Agency]:[Agency]]=$E980)*(ROW(TableDiv[Agency])-ROW(TableDiv[[#Headers],[Agency]])),COLUMNS($F$7:AG$7))))</f>
        <v/>
      </c>
      <c r="AH980" s="2223" t="str" cm="1">
        <f t="array" ref="AH980">IF($D980&lt;COLUMNS($F$7:AH$7),"",INDEX(TableDiv[[GASB]:[GASB]],_xlfn.AGGREGATE(15,3,(TableDiv[[Agency]:[Agency]]=$E980)/(TableDiv[[Agency]:[Agency]]=$E980)*(ROW(TableDiv[Agency])-ROW(TableDiv[[#Headers],[Agency]])),COLUMNS($F$7:AH$7))))</f>
        <v/>
      </c>
      <c r="AI980" s="2223" t="str" cm="1">
        <f t="array" ref="AI980">IF($D980&lt;COLUMNS($F$7:AI$7),"",INDEX(TableDiv[[GASB]:[GASB]],_xlfn.AGGREGATE(15,3,(TableDiv[[Agency]:[Agency]]=$E980)/(TableDiv[[Agency]:[Agency]]=$E980)*(ROW(TableDiv[Agency])-ROW(TableDiv[[#Headers],[Agency]])),COLUMNS($F$7:AI$7))))</f>
        <v/>
      </c>
      <c r="AJ980" s="2223" t="str" cm="1">
        <f t="array" ref="AJ980">IF($D980&lt;COLUMNS($F$7:AJ$7),"",INDEX(TableDiv[[GASB]:[GASB]],_xlfn.AGGREGATE(15,3,(TableDiv[[Agency]:[Agency]]=$E980)/(TableDiv[[Agency]:[Agency]]=$E980)*(ROW(TableDiv[Agency])-ROW(TableDiv[[#Headers],[Agency]])),COLUMNS($F$7:AJ$7))))</f>
        <v/>
      </c>
      <c r="AK980" s="2223" t="str" cm="1">
        <f t="array" ref="AK980">IF($D980&lt;COLUMNS($F$7:AK$7),"",INDEX(TableDiv[[GASB]:[GASB]],_xlfn.AGGREGATE(15,3,(TableDiv[[Agency]:[Agency]]=$E980)/(TableDiv[[Agency]:[Agency]]=$E980)*(ROW(TableDiv[Agency])-ROW(TableDiv[[#Headers],[Agency]])),COLUMNS($F$7:AK$7))))</f>
        <v/>
      </c>
      <c r="AL980" s="2223" t="str" cm="1">
        <f t="array" ref="AL980">IF($D980&lt;COLUMNS($F$7:AL$7),"",INDEX(TableDiv[[GASB]:[GASB]],_xlfn.AGGREGATE(15,3,(TableDiv[[Agency]:[Agency]]=$E980)/(TableDiv[[Agency]:[Agency]]=$E980)*(ROW(TableDiv[Agency])-ROW(TableDiv[[#Headers],[Agency]])),COLUMNS($F$7:AL$7))))</f>
        <v/>
      </c>
      <c r="AM980" s="2223" t="str" cm="1">
        <f t="array" ref="AM980">IF($D980&lt;COLUMNS($F$7:AM$7),"",INDEX(TableDiv[[GASB]:[GASB]],_xlfn.AGGREGATE(15,3,(TableDiv[[Agency]:[Agency]]=$E980)/(TableDiv[[Agency]:[Agency]]=$E980)*(ROW(TableDiv[Agency])-ROW(TableDiv[[#Headers],[Agency]])),COLUMNS($F$7:AM$7))))</f>
        <v/>
      </c>
      <c r="AN980" s="2223"/>
      <c r="AO980" s="2223"/>
      <c r="AP980" s="2223"/>
      <c r="AQ980" s="2223"/>
      <c r="AR980" s="2223"/>
      <c r="AS980" s="2223"/>
    </row>
    <row r="981" spans="1:45" x14ac:dyDescent="0.2">
      <c r="A981" s="2223"/>
      <c r="B981" s="2223"/>
      <c r="C981" s="2223"/>
      <c r="W981" s="2223" t="str" cm="1">
        <f t="array" ref="W981">IF($D981&lt;COLUMNS($F$7:W$7),"",INDEX(TableDiv[[GASB]:[GASB]],_xlfn.AGGREGATE(15,3,(TableDiv[[Agency]:[Agency]]=$E981)/(TableDiv[[Agency]:[Agency]]=$E981)*(ROW(TableDiv[Agency])-ROW(TableDiv[[#Headers],[Agency]])),COLUMNS($F$7:W$7))))</f>
        <v/>
      </c>
      <c r="X981" s="2223" t="str" cm="1">
        <f t="array" ref="X981">IF($D981&lt;COLUMNS($F$7:X$7),"",INDEX(TableDiv[[GASB]:[GASB]],_xlfn.AGGREGATE(15,3,(TableDiv[[Agency]:[Agency]]=$E981)/(TableDiv[[Agency]:[Agency]]=$E981)*(ROW(TableDiv[Agency])-ROW(TableDiv[[#Headers],[Agency]])),COLUMNS($F$7:X$7))))</f>
        <v/>
      </c>
      <c r="Y981" s="2223" t="str" cm="1">
        <f t="array" ref="Y981">IF($D981&lt;COLUMNS($F$7:Y$7),"",INDEX(TableDiv[[GASB]:[GASB]],_xlfn.AGGREGATE(15,3,(TableDiv[[Agency]:[Agency]]=$E981)/(TableDiv[[Agency]:[Agency]]=$E981)*(ROW(TableDiv[Agency])-ROW(TableDiv[[#Headers],[Agency]])),COLUMNS($F$7:Y$7))))</f>
        <v/>
      </c>
      <c r="Z981" s="2223" t="str" cm="1">
        <f t="array" ref="Z981">IF($D981&lt;COLUMNS($F$7:Z$7),"",INDEX(TableDiv[[GASB]:[GASB]],_xlfn.AGGREGATE(15,3,(TableDiv[[Agency]:[Agency]]=$E981)/(TableDiv[[Agency]:[Agency]]=$E981)*(ROW(TableDiv[Agency])-ROW(TableDiv[[#Headers],[Agency]])),COLUMNS($F$7:Z$7))))</f>
        <v/>
      </c>
      <c r="AA981" s="2223" t="str" cm="1">
        <f t="array" ref="AA981">IF($D981&lt;COLUMNS($F$7:AA$7),"",INDEX(TableDiv[[GASB]:[GASB]],_xlfn.AGGREGATE(15,3,(TableDiv[[Agency]:[Agency]]=$E981)/(TableDiv[[Agency]:[Agency]]=$E981)*(ROW(TableDiv[Agency])-ROW(TableDiv[[#Headers],[Agency]])),COLUMNS($F$7:AA$7))))</f>
        <v/>
      </c>
      <c r="AB981" s="2223" t="str" cm="1">
        <f t="array" ref="AB981">IF($D981&lt;COLUMNS($F$7:AB$7),"",INDEX(TableDiv[[GASB]:[GASB]],_xlfn.AGGREGATE(15,3,(TableDiv[[Agency]:[Agency]]=$E981)/(TableDiv[[Agency]:[Agency]]=$E981)*(ROW(TableDiv[Agency])-ROW(TableDiv[[#Headers],[Agency]])),COLUMNS($F$7:AB$7))))</f>
        <v/>
      </c>
      <c r="AC981" s="2223" t="str" cm="1">
        <f t="array" ref="AC981">IF($D981&lt;COLUMNS($F$7:AC$7),"",INDEX(TableDiv[[GASB]:[GASB]],_xlfn.AGGREGATE(15,3,(TableDiv[[Agency]:[Agency]]=$E981)/(TableDiv[[Agency]:[Agency]]=$E981)*(ROW(TableDiv[Agency])-ROW(TableDiv[[#Headers],[Agency]])),COLUMNS($F$7:AC$7))))</f>
        <v/>
      </c>
      <c r="AD981" s="2223" t="str" cm="1">
        <f t="array" ref="AD981">IF($D981&lt;COLUMNS($F$7:AD$7),"",INDEX(TableDiv[[GASB]:[GASB]],_xlfn.AGGREGATE(15,3,(TableDiv[[Agency]:[Agency]]=$E981)/(TableDiv[[Agency]:[Agency]]=$E981)*(ROW(TableDiv[Agency])-ROW(TableDiv[[#Headers],[Agency]])),COLUMNS($F$7:AD$7))))</f>
        <v/>
      </c>
      <c r="AE981" s="2223" t="str" cm="1">
        <f t="array" ref="AE981">IF($D981&lt;COLUMNS($F$7:AE$7),"",INDEX(TableDiv[[GASB]:[GASB]],_xlfn.AGGREGATE(15,3,(TableDiv[[Agency]:[Agency]]=$E981)/(TableDiv[[Agency]:[Agency]]=$E981)*(ROW(TableDiv[Agency])-ROW(TableDiv[[#Headers],[Agency]])),COLUMNS($F$7:AE$7))))</f>
        <v/>
      </c>
      <c r="AF981" s="2223" t="str" cm="1">
        <f t="array" ref="AF981">IF($D981&lt;COLUMNS($F$7:AF$7),"",INDEX(TableDiv[[GASB]:[GASB]],_xlfn.AGGREGATE(15,3,(TableDiv[[Agency]:[Agency]]=$E981)/(TableDiv[[Agency]:[Agency]]=$E981)*(ROW(TableDiv[Agency])-ROW(TableDiv[[#Headers],[Agency]])),COLUMNS($F$7:AF$7))))</f>
        <v/>
      </c>
      <c r="AG981" s="2223" t="str" cm="1">
        <f t="array" ref="AG981">IF($D981&lt;COLUMNS($F$7:AG$7),"",INDEX(TableDiv[[GASB]:[GASB]],_xlfn.AGGREGATE(15,3,(TableDiv[[Agency]:[Agency]]=$E981)/(TableDiv[[Agency]:[Agency]]=$E981)*(ROW(TableDiv[Agency])-ROW(TableDiv[[#Headers],[Agency]])),COLUMNS($F$7:AG$7))))</f>
        <v/>
      </c>
      <c r="AH981" s="2223" t="str" cm="1">
        <f t="array" ref="AH981">IF($D981&lt;COLUMNS($F$7:AH$7),"",INDEX(TableDiv[[GASB]:[GASB]],_xlfn.AGGREGATE(15,3,(TableDiv[[Agency]:[Agency]]=$E981)/(TableDiv[[Agency]:[Agency]]=$E981)*(ROW(TableDiv[Agency])-ROW(TableDiv[[#Headers],[Agency]])),COLUMNS($F$7:AH$7))))</f>
        <v/>
      </c>
      <c r="AI981" s="2223" t="str" cm="1">
        <f t="array" ref="AI981">IF($D981&lt;COLUMNS($F$7:AI$7),"",INDEX(TableDiv[[GASB]:[GASB]],_xlfn.AGGREGATE(15,3,(TableDiv[[Agency]:[Agency]]=$E981)/(TableDiv[[Agency]:[Agency]]=$E981)*(ROW(TableDiv[Agency])-ROW(TableDiv[[#Headers],[Agency]])),COLUMNS($F$7:AI$7))))</f>
        <v/>
      </c>
      <c r="AJ981" s="2223" t="str" cm="1">
        <f t="array" ref="AJ981">IF($D981&lt;COLUMNS($F$7:AJ$7),"",INDEX(TableDiv[[GASB]:[GASB]],_xlfn.AGGREGATE(15,3,(TableDiv[[Agency]:[Agency]]=$E981)/(TableDiv[[Agency]:[Agency]]=$E981)*(ROW(TableDiv[Agency])-ROW(TableDiv[[#Headers],[Agency]])),COLUMNS($F$7:AJ$7))))</f>
        <v/>
      </c>
      <c r="AK981" s="2223" t="str" cm="1">
        <f t="array" ref="AK981">IF($D981&lt;COLUMNS($F$7:AK$7),"",INDEX(TableDiv[[GASB]:[GASB]],_xlfn.AGGREGATE(15,3,(TableDiv[[Agency]:[Agency]]=$E981)/(TableDiv[[Agency]:[Agency]]=$E981)*(ROW(TableDiv[Agency])-ROW(TableDiv[[#Headers],[Agency]])),COLUMNS($F$7:AK$7))))</f>
        <v/>
      </c>
      <c r="AL981" s="2223" t="str" cm="1">
        <f t="array" ref="AL981">IF($D981&lt;COLUMNS($F$7:AL$7),"",INDEX(TableDiv[[GASB]:[GASB]],_xlfn.AGGREGATE(15,3,(TableDiv[[Agency]:[Agency]]=$E981)/(TableDiv[[Agency]:[Agency]]=$E981)*(ROW(TableDiv[Agency])-ROW(TableDiv[[#Headers],[Agency]])),COLUMNS($F$7:AL$7))))</f>
        <v/>
      </c>
      <c r="AM981" s="2223" t="str" cm="1">
        <f t="array" ref="AM981">IF($D981&lt;COLUMNS($F$7:AM$7),"",INDEX(TableDiv[[GASB]:[GASB]],_xlfn.AGGREGATE(15,3,(TableDiv[[Agency]:[Agency]]=$E981)/(TableDiv[[Agency]:[Agency]]=$E981)*(ROW(TableDiv[Agency])-ROW(TableDiv[[#Headers],[Agency]])),COLUMNS($F$7:AM$7))))</f>
        <v/>
      </c>
      <c r="AN981" s="2223"/>
      <c r="AO981" s="2223"/>
      <c r="AP981" s="2223"/>
      <c r="AQ981" s="2223"/>
      <c r="AR981" s="2223"/>
      <c r="AS981" s="2223"/>
    </row>
    <row r="982" spans="1:45" x14ac:dyDescent="0.2">
      <c r="A982" s="2223"/>
      <c r="B982" s="2223"/>
      <c r="C982" s="2223"/>
      <c r="W982" s="2223" t="str" cm="1">
        <f t="array" ref="W982">IF($D982&lt;COLUMNS($F$7:W$7),"",INDEX(TableDiv[[GASB]:[GASB]],_xlfn.AGGREGATE(15,3,(TableDiv[[Agency]:[Agency]]=$E982)/(TableDiv[[Agency]:[Agency]]=$E982)*(ROW(TableDiv[Agency])-ROW(TableDiv[[#Headers],[Agency]])),COLUMNS($F$7:W$7))))</f>
        <v/>
      </c>
      <c r="X982" s="2223" t="str" cm="1">
        <f t="array" ref="X982">IF($D982&lt;COLUMNS($F$7:X$7),"",INDEX(TableDiv[[GASB]:[GASB]],_xlfn.AGGREGATE(15,3,(TableDiv[[Agency]:[Agency]]=$E982)/(TableDiv[[Agency]:[Agency]]=$E982)*(ROW(TableDiv[Agency])-ROW(TableDiv[[#Headers],[Agency]])),COLUMNS($F$7:X$7))))</f>
        <v/>
      </c>
      <c r="Y982" s="2223" t="str" cm="1">
        <f t="array" ref="Y982">IF($D982&lt;COLUMNS($F$7:Y$7),"",INDEX(TableDiv[[GASB]:[GASB]],_xlfn.AGGREGATE(15,3,(TableDiv[[Agency]:[Agency]]=$E982)/(TableDiv[[Agency]:[Agency]]=$E982)*(ROW(TableDiv[Agency])-ROW(TableDiv[[#Headers],[Agency]])),COLUMNS($F$7:Y$7))))</f>
        <v/>
      </c>
      <c r="Z982" s="2223" t="str" cm="1">
        <f t="array" ref="Z982">IF($D982&lt;COLUMNS($F$7:Z$7),"",INDEX(TableDiv[[GASB]:[GASB]],_xlfn.AGGREGATE(15,3,(TableDiv[[Agency]:[Agency]]=$E982)/(TableDiv[[Agency]:[Agency]]=$E982)*(ROW(TableDiv[Agency])-ROW(TableDiv[[#Headers],[Agency]])),COLUMNS($F$7:Z$7))))</f>
        <v/>
      </c>
      <c r="AA982" s="2223" t="str" cm="1">
        <f t="array" ref="AA982">IF($D982&lt;COLUMNS($F$7:AA$7),"",INDEX(TableDiv[[GASB]:[GASB]],_xlfn.AGGREGATE(15,3,(TableDiv[[Agency]:[Agency]]=$E982)/(TableDiv[[Agency]:[Agency]]=$E982)*(ROW(TableDiv[Agency])-ROW(TableDiv[[#Headers],[Agency]])),COLUMNS($F$7:AA$7))))</f>
        <v/>
      </c>
      <c r="AB982" s="2223" t="str" cm="1">
        <f t="array" ref="AB982">IF($D982&lt;COLUMNS($F$7:AB$7),"",INDEX(TableDiv[[GASB]:[GASB]],_xlfn.AGGREGATE(15,3,(TableDiv[[Agency]:[Agency]]=$E982)/(TableDiv[[Agency]:[Agency]]=$E982)*(ROW(TableDiv[Agency])-ROW(TableDiv[[#Headers],[Agency]])),COLUMNS($F$7:AB$7))))</f>
        <v/>
      </c>
      <c r="AC982" s="2223" t="str" cm="1">
        <f t="array" ref="AC982">IF($D982&lt;COLUMNS($F$7:AC$7),"",INDEX(TableDiv[[GASB]:[GASB]],_xlfn.AGGREGATE(15,3,(TableDiv[[Agency]:[Agency]]=$E982)/(TableDiv[[Agency]:[Agency]]=$E982)*(ROW(TableDiv[Agency])-ROW(TableDiv[[#Headers],[Agency]])),COLUMNS($F$7:AC$7))))</f>
        <v/>
      </c>
      <c r="AD982" s="2223" t="str" cm="1">
        <f t="array" ref="AD982">IF($D982&lt;COLUMNS($F$7:AD$7),"",INDEX(TableDiv[[GASB]:[GASB]],_xlfn.AGGREGATE(15,3,(TableDiv[[Agency]:[Agency]]=$E982)/(TableDiv[[Agency]:[Agency]]=$E982)*(ROW(TableDiv[Agency])-ROW(TableDiv[[#Headers],[Agency]])),COLUMNS($F$7:AD$7))))</f>
        <v/>
      </c>
      <c r="AE982" s="2223" t="str" cm="1">
        <f t="array" ref="AE982">IF($D982&lt;COLUMNS($F$7:AE$7),"",INDEX(TableDiv[[GASB]:[GASB]],_xlfn.AGGREGATE(15,3,(TableDiv[[Agency]:[Agency]]=$E982)/(TableDiv[[Agency]:[Agency]]=$E982)*(ROW(TableDiv[Agency])-ROW(TableDiv[[#Headers],[Agency]])),COLUMNS($F$7:AE$7))))</f>
        <v/>
      </c>
      <c r="AF982" s="2223" t="str" cm="1">
        <f t="array" ref="AF982">IF($D982&lt;COLUMNS($F$7:AF$7),"",INDEX(TableDiv[[GASB]:[GASB]],_xlfn.AGGREGATE(15,3,(TableDiv[[Agency]:[Agency]]=$E982)/(TableDiv[[Agency]:[Agency]]=$E982)*(ROW(TableDiv[Agency])-ROW(TableDiv[[#Headers],[Agency]])),COLUMNS($F$7:AF$7))))</f>
        <v/>
      </c>
      <c r="AG982" s="2223" t="str" cm="1">
        <f t="array" ref="AG982">IF($D982&lt;COLUMNS($F$7:AG$7),"",INDEX(TableDiv[[GASB]:[GASB]],_xlfn.AGGREGATE(15,3,(TableDiv[[Agency]:[Agency]]=$E982)/(TableDiv[[Agency]:[Agency]]=$E982)*(ROW(TableDiv[Agency])-ROW(TableDiv[[#Headers],[Agency]])),COLUMNS($F$7:AG$7))))</f>
        <v/>
      </c>
      <c r="AH982" s="2223" t="str" cm="1">
        <f t="array" ref="AH982">IF($D982&lt;COLUMNS($F$7:AH$7),"",INDEX(TableDiv[[GASB]:[GASB]],_xlfn.AGGREGATE(15,3,(TableDiv[[Agency]:[Agency]]=$E982)/(TableDiv[[Agency]:[Agency]]=$E982)*(ROW(TableDiv[Agency])-ROW(TableDiv[[#Headers],[Agency]])),COLUMNS($F$7:AH$7))))</f>
        <v/>
      </c>
      <c r="AI982" s="2223" t="str" cm="1">
        <f t="array" ref="AI982">IF($D982&lt;COLUMNS($F$7:AI$7),"",INDEX(TableDiv[[GASB]:[GASB]],_xlfn.AGGREGATE(15,3,(TableDiv[[Agency]:[Agency]]=$E982)/(TableDiv[[Agency]:[Agency]]=$E982)*(ROW(TableDiv[Agency])-ROW(TableDiv[[#Headers],[Agency]])),COLUMNS($F$7:AI$7))))</f>
        <v/>
      </c>
      <c r="AJ982" s="2223" t="str" cm="1">
        <f t="array" ref="AJ982">IF($D982&lt;COLUMNS($F$7:AJ$7),"",INDEX(TableDiv[[GASB]:[GASB]],_xlfn.AGGREGATE(15,3,(TableDiv[[Agency]:[Agency]]=$E982)/(TableDiv[[Agency]:[Agency]]=$E982)*(ROW(TableDiv[Agency])-ROW(TableDiv[[#Headers],[Agency]])),COLUMNS($F$7:AJ$7))))</f>
        <v/>
      </c>
      <c r="AK982" s="2223" t="str" cm="1">
        <f t="array" ref="AK982">IF($D982&lt;COLUMNS($F$7:AK$7),"",INDEX(TableDiv[[GASB]:[GASB]],_xlfn.AGGREGATE(15,3,(TableDiv[[Agency]:[Agency]]=$E982)/(TableDiv[[Agency]:[Agency]]=$E982)*(ROW(TableDiv[Agency])-ROW(TableDiv[[#Headers],[Agency]])),COLUMNS($F$7:AK$7))))</f>
        <v/>
      </c>
      <c r="AL982" s="2223" t="str" cm="1">
        <f t="array" ref="AL982">IF($D982&lt;COLUMNS($F$7:AL$7),"",INDEX(TableDiv[[GASB]:[GASB]],_xlfn.AGGREGATE(15,3,(TableDiv[[Agency]:[Agency]]=$E982)/(TableDiv[[Agency]:[Agency]]=$E982)*(ROW(TableDiv[Agency])-ROW(TableDiv[[#Headers],[Agency]])),COLUMNS($F$7:AL$7))))</f>
        <v/>
      </c>
      <c r="AM982" s="2223" t="str" cm="1">
        <f t="array" ref="AM982">IF($D982&lt;COLUMNS($F$7:AM$7),"",INDEX(TableDiv[[GASB]:[GASB]],_xlfn.AGGREGATE(15,3,(TableDiv[[Agency]:[Agency]]=$E982)/(TableDiv[[Agency]:[Agency]]=$E982)*(ROW(TableDiv[Agency])-ROW(TableDiv[[#Headers],[Agency]])),COLUMNS($F$7:AM$7))))</f>
        <v/>
      </c>
      <c r="AN982" s="2223"/>
      <c r="AO982" s="2223"/>
      <c r="AP982" s="2223"/>
      <c r="AQ982" s="2223"/>
      <c r="AR982" s="2223"/>
      <c r="AS982" s="2223"/>
    </row>
    <row r="983" spans="1:45" x14ac:dyDescent="0.2">
      <c r="A983" s="2223"/>
      <c r="B983" s="2223"/>
      <c r="C983" s="2223"/>
      <c r="W983" s="2223" t="str" cm="1">
        <f t="array" ref="W983">IF($D983&lt;COLUMNS($F$7:W$7),"",INDEX(TableDiv[[GASB]:[GASB]],_xlfn.AGGREGATE(15,3,(TableDiv[[Agency]:[Agency]]=$E983)/(TableDiv[[Agency]:[Agency]]=$E983)*(ROW(TableDiv[Agency])-ROW(TableDiv[[#Headers],[Agency]])),COLUMNS($F$7:W$7))))</f>
        <v/>
      </c>
      <c r="X983" s="2223" t="str" cm="1">
        <f t="array" ref="X983">IF($D983&lt;COLUMNS($F$7:X$7),"",INDEX(TableDiv[[GASB]:[GASB]],_xlfn.AGGREGATE(15,3,(TableDiv[[Agency]:[Agency]]=$E983)/(TableDiv[[Agency]:[Agency]]=$E983)*(ROW(TableDiv[Agency])-ROW(TableDiv[[#Headers],[Agency]])),COLUMNS($F$7:X$7))))</f>
        <v/>
      </c>
      <c r="Y983" s="2223" t="str" cm="1">
        <f t="array" ref="Y983">IF($D983&lt;COLUMNS($F$7:Y$7),"",INDEX(TableDiv[[GASB]:[GASB]],_xlfn.AGGREGATE(15,3,(TableDiv[[Agency]:[Agency]]=$E983)/(TableDiv[[Agency]:[Agency]]=$E983)*(ROW(TableDiv[Agency])-ROW(TableDiv[[#Headers],[Agency]])),COLUMNS($F$7:Y$7))))</f>
        <v/>
      </c>
      <c r="Z983" s="2223" t="str" cm="1">
        <f t="array" ref="Z983">IF($D983&lt;COLUMNS($F$7:Z$7),"",INDEX(TableDiv[[GASB]:[GASB]],_xlfn.AGGREGATE(15,3,(TableDiv[[Agency]:[Agency]]=$E983)/(TableDiv[[Agency]:[Agency]]=$E983)*(ROW(TableDiv[Agency])-ROW(TableDiv[[#Headers],[Agency]])),COLUMNS($F$7:Z$7))))</f>
        <v/>
      </c>
      <c r="AA983" s="2223" t="str" cm="1">
        <f t="array" ref="AA983">IF($D983&lt;COLUMNS($F$7:AA$7),"",INDEX(TableDiv[[GASB]:[GASB]],_xlfn.AGGREGATE(15,3,(TableDiv[[Agency]:[Agency]]=$E983)/(TableDiv[[Agency]:[Agency]]=$E983)*(ROW(TableDiv[Agency])-ROW(TableDiv[[#Headers],[Agency]])),COLUMNS($F$7:AA$7))))</f>
        <v/>
      </c>
      <c r="AB983" s="2223" t="str" cm="1">
        <f t="array" ref="AB983">IF($D983&lt;COLUMNS($F$7:AB$7),"",INDEX(TableDiv[[GASB]:[GASB]],_xlfn.AGGREGATE(15,3,(TableDiv[[Agency]:[Agency]]=$E983)/(TableDiv[[Agency]:[Agency]]=$E983)*(ROW(TableDiv[Agency])-ROW(TableDiv[[#Headers],[Agency]])),COLUMNS($F$7:AB$7))))</f>
        <v/>
      </c>
      <c r="AC983" s="2223" t="str" cm="1">
        <f t="array" ref="AC983">IF($D983&lt;COLUMNS($F$7:AC$7),"",INDEX(TableDiv[[GASB]:[GASB]],_xlfn.AGGREGATE(15,3,(TableDiv[[Agency]:[Agency]]=$E983)/(TableDiv[[Agency]:[Agency]]=$E983)*(ROW(TableDiv[Agency])-ROW(TableDiv[[#Headers],[Agency]])),COLUMNS($F$7:AC$7))))</f>
        <v/>
      </c>
      <c r="AD983" s="2223" t="str" cm="1">
        <f t="array" ref="AD983">IF($D983&lt;COLUMNS($F$7:AD$7),"",INDEX(TableDiv[[GASB]:[GASB]],_xlfn.AGGREGATE(15,3,(TableDiv[[Agency]:[Agency]]=$E983)/(TableDiv[[Agency]:[Agency]]=$E983)*(ROW(TableDiv[Agency])-ROW(TableDiv[[#Headers],[Agency]])),COLUMNS($F$7:AD$7))))</f>
        <v/>
      </c>
      <c r="AE983" s="2223" t="str" cm="1">
        <f t="array" ref="AE983">IF($D983&lt;COLUMNS($F$7:AE$7),"",INDEX(TableDiv[[GASB]:[GASB]],_xlfn.AGGREGATE(15,3,(TableDiv[[Agency]:[Agency]]=$E983)/(TableDiv[[Agency]:[Agency]]=$E983)*(ROW(TableDiv[Agency])-ROW(TableDiv[[#Headers],[Agency]])),COLUMNS($F$7:AE$7))))</f>
        <v/>
      </c>
      <c r="AF983" s="2223" t="str" cm="1">
        <f t="array" ref="AF983">IF($D983&lt;COLUMNS($F$7:AF$7),"",INDEX(TableDiv[[GASB]:[GASB]],_xlfn.AGGREGATE(15,3,(TableDiv[[Agency]:[Agency]]=$E983)/(TableDiv[[Agency]:[Agency]]=$E983)*(ROW(TableDiv[Agency])-ROW(TableDiv[[#Headers],[Agency]])),COLUMNS($F$7:AF$7))))</f>
        <v/>
      </c>
      <c r="AG983" s="2223" t="str" cm="1">
        <f t="array" ref="AG983">IF($D983&lt;COLUMNS($F$7:AG$7),"",INDEX(TableDiv[[GASB]:[GASB]],_xlfn.AGGREGATE(15,3,(TableDiv[[Agency]:[Agency]]=$E983)/(TableDiv[[Agency]:[Agency]]=$E983)*(ROW(TableDiv[Agency])-ROW(TableDiv[[#Headers],[Agency]])),COLUMNS($F$7:AG$7))))</f>
        <v/>
      </c>
      <c r="AH983" s="2223" t="str" cm="1">
        <f t="array" ref="AH983">IF($D983&lt;COLUMNS($F$7:AH$7),"",INDEX(TableDiv[[GASB]:[GASB]],_xlfn.AGGREGATE(15,3,(TableDiv[[Agency]:[Agency]]=$E983)/(TableDiv[[Agency]:[Agency]]=$E983)*(ROW(TableDiv[Agency])-ROW(TableDiv[[#Headers],[Agency]])),COLUMNS($F$7:AH$7))))</f>
        <v/>
      </c>
      <c r="AI983" s="2223" t="str" cm="1">
        <f t="array" ref="AI983">IF($D983&lt;COLUMNS($F$7:AI$7),"",INDEX(TableDiv[[GASB]:[GASB]],_xlfn.AGGREGATE(15,3,(TableDiv[[Agency]:[Agency]]=$E983)/(TableDiv[[Agency]:[Agency]]=$E983)*(ROW(TableDiv[Agency])-ROW(TableDiv[[#Headers],[Agency]])),COLUMNS($F$7:AI$7))))</f>
        <v/>
      </c>
      <c r="AJ983" s="2223" t="str" cm="1">
        <f t="array" ref="AJ983">IF($D983&lt;COLUMNS($F$7:AJ$7),"",INDEX(TableDiv[[GASB]:[GASB]],_xlfn.AGGREGATE(15,3,(TableDiv[[Agency]:[Agency]]=$E983)/(TableDiv[[Agency]:[Agency]]=$E983)*(ROW(TableDiv[Agency])-ROW(TableDiv[[#Headers],[Agency]])),COLUMNS($F$7:AJ$7))))</f>
        <v/>
      </c>
      <c r="AK983" s="2223" t="str" cm="1">
        <f t="array" ref="AK983">IF($D983&lt;COLUMNS($F$7:AK$7),"",INDEX(TableDiv[[GASB]:[GASB]],_xlfn.AGGREGATE(15,3,(TableDiv[[Agency]:[Agency]]=$E983)/(TableDiv[[Agency]:[Agency]]=$E983)*(ROW(TableDiv[Agency])-ROW(TableDiv[[#Headers],[Agency]])),COLUMNS($F$7:AK$7))))</f>
        <v/>
      </c>
      <c r="AL983" s="2223" t="str" cm="1">
        <f t="array" ref="AL983">IF($D983&lt;COLUMNS($F$7:AL$7),"",INDEX(TableDiv[[GASB]:[GASB]],_xlfn.AGGREGATE(15,3,(TableDiv[[Agency]:[Agency]]=$E983)/(TableDiv[[Agency]:[Agency]]=$E983)*(ROW(TableDiv[Agency])-ROW(TableDiv[[#Headers],[Agency]])),COLUMNS($F$7:AL$7))))</f>
        <v/>
      </c>
      <c r="AM983" s="2223" t="str" cm="1">
        <f t="array" ref="AM983">IF($D983&lt;COLUMNS($F$7:AM$7),"",INDEX(TableDiv[[GASB]:[GASB]],_xlfn.AGGREGATE(15,3,(TableDiv[[Agency]:[Agency]]=$E983)/(TableDiv[[Agency]:[Agency]]=$E983)*(ROW(TableDiv[Agency])-ROW(TableDiv[[#Headers],[Agency]])),COLUMNS($F$7:AM$7))))</f>
        <v/>
      </c>
      <c r="AN983" s="2223"/>
      <c r="AO983" s="2223"/>
      <c r="AP983" s="2223"/>
      <c r="AQ983" s="2223"/>
      <c r="AR983" s="2223"/>
      <c r="AS983" s="2223"/>
    </row>
    <row r="984" spans="1:45" x14ac:dyDescent="0.2">
      <c r="A984" s="2223"/>
      <c r="B984" s="2223"/>
      <c r="C984" s="2223"/>
      <c r="W984" s="2223" t="str" cm="1">
        <f t="array" ref="W984">IF($D984&lt;COLUMNS($F$7:W$7),"",INDEX(TableDiv[[GASB]:[GASB]],_xlfn.AGGREGATE(15,3,(TableDiv[[Agency]:[Agency]]=$E984)/(TableDiv[[Agency]:[Agency]]=$E984)*(ROW(TableDiv[Agency])-ROW(TableDiv[[#Headers],[Agency]])),COLUMNS($F$7:W$7))))</f>
        <v/>
      </c>
      <c r="X984" s="2223" t="str" cm="1">
        <f t="array" ref="X984">IF($D984&lt;COLUMNS($F$7:X$7),"",INDEX(TableDiv[[GASB]:[GASB]],_xlfn.AGGREGATE(15,3,(TableDiv[[Agency]:[Agency]]=$E984)/(TableDiv[[Agency]:[Agency]]=$E984)*(ROW(TableDiv[Agency])-ROW(TableDiv[[#Headers],[Agency]])),COLUMNS($F$7:X$7))))</f>
        <v/>
      </c>
      <c r="Y984" s="2223" t="str" cm="1">
        <f t="array" ref="Y984">IF($D984&lt;COLUMNS($F$7:Y$7),"",INDEX(TableDiv[[GASB]:[GASB]],_xlfn.AGGREGATE(15,3,(TableDiv[[Agency]:[Agency]]=$E984)/(TableDiv[[Agency]:[Agency]]=$E984)*(ROW(TableDiv[Agency])-ROW(TableDiv[[#Headers],[Agency]])),COLUMNS($F$7:Y$7))))</f>
        <v/>
      </c>
      <c r="Z984" s="2223" t="str" cm="1">
        <f t="array" ref="Z984">IF($D984&lt;COLUMNS($F$7:Z$7),"",INDEX(TableDiv[[GASB]:[GASB]],_xlfn.AGGREGATE(15,3,(TableDiv[[Agency]:[Agency]]=$E984)/(TableDiv[[Agency]:[Agency]]=$E984)*(ROW(TableDiv[Agency])-ROW(TableDiv[[#Headers],[Agency]])),COLUMNS($F$7:Z$7))))</f>
        <v/>
      </c>
      <c r="AA984" s="2223" t="str" cm="1">
        <f t="array" ref="AA984">IF($D984&lt;COLUMNS($F$7:AA$7),"",INDEX(TableDiv[[GASB]:[GASB]],_xlfn.AGGREGATE(15,3,(TableDiv[[Agency]:[Agency]]=$E984)/(TableDiv[[Agency]:[Agency]]=$E984)*(ROW(TableDiv[Agency])-ROW(TableDiv[[#Headers],[Agency]])),COLUMNS($F$7:AA$7))))</f>
        <v/>
      </c>
      <c r="AB984" s="2223" t="str" cm="1">
        <f t="array" ref="AB984">IF($D984&lt;COLUMNS($F$7:AB$7),"",INDEX(TableDiv[[GASB]:[GASB]],_xlfn.AGGREGATE(15,3,(TableDiv[[Agency]:[Agency]]=$E984)/(TableDiv[[Agency]:[Agency]]=$E984)*(ROW(TableDiv[Agency])-ROW(TableDiv[[#Headers],[Agency]])),COLUMNS($F$7:AB$7))))</f>
        <v/>
      </c>
      <c r="AC984" s="2223" t="str" cm="1">
        <f t="array" ref="AC984">IF($D984&lt;COLUMNS($F$7:AC$7),"",INDEX(TableDiv[[GASB]:[GASB]],_xlfn.AGGREGATE(15,3,(TableDiv[[Agency]:[Agency]]=$E984)/(TableDiv[[Agency]:[Agency]]=$E984)*(ROW(TableDiv[Agency])-ROW(TableDiv[[#Headers],[Agency]])),COLUMNS($F$7:AC$7))))</f>
        <v/>
      </c>
      <c r="AD984" s="2223" t="str" cm="1">
        <f t="array" ref="AD984">IF($D984&lt;COLUMNS($F$7:AD$7),"",INDEX(TableDiv[[GASB]:[GASB]],_xlfn.AGGREGATE(15,3,(TableDiv[[Agency]:[Agency]]=$E984)/(TableDiv[[Agency]:[Agency]]=$E984)*(ROW(TableDiv[Agency])-ROW(TableDiv[[#Headers],[Agency]])),COLUMNS($F$7:AD$7))))</f>
        <v/>
      </c>
      <c r="AE984" s="2223" t="str" cm="1">
        <f t="array" ref="AE984">IF($D984&lt;COLUMNS($F$7:AE$7),"",INDEX(TableDiv[[GASB]:[GASB]],_xlfn.AGGREGATE(15,3,(TableDiv[[Agency]:[Agency]]=$E984)/(TableDiv[[Agency]:[Agency]]=$E984)*(ROW(TableDiv[Agency])-ROW(TableDiv[[#Headers],[Agency]])),COLUMNS($F$7:AE$7))))</f>
        <v/>
      </c>
      <c r="AF984" s="2223" t="str" cm="1">
        <f t="array" ref="AF984">IF($D984&lt;COLUMNS($F$7:AF$7),"",INDEX(TableDiv[[GASB]:[GASB]],_xlfn.AGGREGATE(15,3,(TableDiv[[Agency]:[Agency]]=$E984)/(TableDiv[[Agency]:[Agency]]=$E984)*(ROW(TableDiv[Agency])-ROW(TableDiv[[#Headers],[Agency]])),COLUMNS($F$7:AF$7))))</f>
        <v/>
      </c>
      <c r="AG984" s="2223" t="str" cm="1">
        <f t="array" ref="AG984">IF($D984&lt;COLUMNS($F$7:AG$7),"",INDEX(TableDiv[[GASB]:[GASB]],_xlfn.AGGREGATE(15,3,(TableDiv[[Agency]:[Agency]]=$E984)/(TableDiv[[Agency]:[Agency]]=$E984)*(ROW(TableDiv[Agency])-ROW(TableDiv[[#Headers],[Agency]])),COLUMNS($F$7:AG$7))))</f>
        <v/>
      </c>
      <c r="AH984" s="2223" t="str" cm="1">
        <f t="array" ref="AH984">IF($D984&lt;COLUMNS($F$7:AH$7),"",INDEX(TableDiv[[GASB]:[GASB]],_xlfn.AGGREGATE(15,3,(TableDiv[[Agency]:[Agency]]=$E984)/(TableDiv[[Agency]:[Agency]]=$E984)*(ROW(TableDiv[Agency])-ROW(TableDiv[[#Headers],[Agency]])),COLUMNS($F$7:AH$7))))</f>
        <v/>
      </c>
      <c r="AI984" s="2223" t="str" cm="1">
        <f t="array" ref="AI984">IF($D984&lt;COLUMNS($F$7:AI$7),"",INDEX(TableDiv[[GASB]:[GASB]],_xlfn.AGGREGATE(15,3,(TableDiv[[Agency]:[Agency]]=$E984)/(TableDiv[[Agency]:[Agency]]=$E984)*(ROW(TableDiv[Agency])-ROW(TableDiv[[#Headers],[Agency]])),COLUMNS($F$7:AI$7))))</f>
        <v/>
      </c>
      <c r="AJ984" s="2223" t="str" cm="1">
        <f t="array" ref="AJ984">IF($D984&lt;COLUMNS($F$7:AJ$7),"",INDEX(TableDiv[[GASB]:[GASB]],_xlfn.AGGREGATE(15,3,(TableDiv[[Agency]:[Agency]]=$E984)/(TableDiv[[Agency]:[Agency]]=$E984)*(ROW(TableDiv[Agency])-ROW(TableDiv[[#Headers],[Agency]])),COLUMNS($F$7:AJ$7))))</f>
        <v/>
      </c>
      <c r="AK984" s="2223" t="str" cm="1">
        <f t="array" ref="AK984">IF($D984&lt;COLUMNS($F$7:AK$7),"",INDEX(TableDiv[[GASB]:[GASB]],_xlfn.AGGREGATE(15,3,(TableDiv[[Agency]:[Agency]]=$E984)/(TableDiv[[Agency]:[Agency]]=$E984)*(ROW(TableDiv[Agency])-ROW(TableDiv[[#Headers],[Agency]])),COLUMNS($F$7:AK$7))))</f>
        <v/>
      </c>
      <c r="AL984" s="2223" t="str" cm="1">
        <f t="array" ref="AL984">IF($D984&lt;COLUMNS($F$7:AL$7),"",INDEX(TableDiv[[GASB]:[GASB]],_xlfn.AGGREGATE(15,3,(TableDiv[[Agency]:[Agency]]=$E984)/(TableDiv[[Agency]:[Agency]]=$E984)*(ROW(TableDiv[Agency])-ROW(TableDiv[[#Headers],[Agency]])),COLUMNS($F$7:AL$7))))</f>
        <v/>
      </c>
      <c r="AM984" s="2223" t="str" cm="1">
        <f t="array" ref="AM984">IF($D984&lt;COLUMNS($F$7:AM$7),"",INDEX(TableDiv[[GASB]:[GASB]],_xlfn.AGGREGATE(15,3,(TableDiv[[Agency]:[Agency]]=$E984)/(TableDiv[[Agency]:[Agency]]=$E984)*(ROW(TableDiv[Agency])-ROW(TableDiv[[#Headers],[Agency]])),COLUMNS($F$7:AM$7))))</f>
        <v/>
      </c>
      <c r="AN984" s="2223"/>
      <c r="AO984" s="2223"/>
      <c r="AP984" s="2223"/>
      <c r="AQ984" s="2223"/>
      <c r="AR984" s="2223"/>
      <c r="AS984" s="2223"/>
    </row>
    <row r="985" spans="1:45" x14ac:dyDescent="0.2">
      <c r="A985" s="2223"/>
      <c r="B985" s="2223"/>
      <c r="C985" s="2223"/>
      <c r="W985" s="2223" t="str" cm="1">
        <f t="array" ref="W985">IF($D985&lt;COLUMNS($F$7:W$7),"",INDEX(TableDiv[[GASB]:[GASB]],_xlfn.AGGREGATE(15,3,(TableDiv[[Agency]:[Agency]]=$E985)/(TableDiv[[Agency]:[Agency]]=$E985)*(ROW(TableDiv[Agency])-ROW(TableDiv[[#Headers],[Agency]])),COLUMNS($F$7:W$7))))</f>
        <v/>
      </c>
      <c r="X985" s="2223" t="str" cm="1">
        <f t="array" ref="X985">IF($D985&lt;COLUMNS($F$7:X$7),"",INDEX(TableDiv[[GASB]:[GASB]],_xlfn.AGGREGATE(15,3,(TableDiv[[Agency]:[Agency]]=$E985)/(TableDiv[[Agency]:[Agency]]=$E985)*(ROW(TableDiv[Agency])-ROW(TableDiv[[#Headers],[Agency]])),COLUMNS($F$7:X$7))))</f>
        <v/>
      </c>
      <c r="Y985" s="2223" t="str" cm="1">
        <f t="array" ref="Y985">IF($D985&lt;COLUMNS($F$7:Y$7),"",INDEX(TableDiv[[GASB]:[GASB]],_xlfn.AGGREGATE(15,3,(TableDiv[[Agency]:[Agency]]=$E985)/(TableDiv[[Agency]:[Agency]]=$E985)*(ROW(TableDiv[Agency])-ROW(TableDiv[[#Headers],[Agency]])),COLUMNS($F$7:Y$7))))</f>
        <v/>
      </c>
      <c r="Z985" s="2223" t="str" cm="1">
        <f t="array" ref="Z985">IF($D985&lt;COLUMNS($F$7:Z$7),"",INDEX(TableDiv[[GASB]:[GASB]],_xlfn.AGGREGATE(15,3,(TableDiv[[Agency]:[Agency]]=$E985)/(TableDiv[[Agency]:[Agency]]=$E985)*(ROW(TableDiv[Agency])-ROW(TableDiv[[#Headers],[Agency]])),COLUMNS($F$7:Z$7))))</f>
        <v/>
      </c>
      <c r="AA985" s="2223" t="str" cm="1">
        <f t="array" ref="AA985">IF($D985&lt;COLUMNS($F$7:AA$7),"",INDEX(TableDiv[[GASB]:[GASB]],_xlfn.AGGREGATE(15,3,(TableDiv[[Agency]:[Agency]]=$E985)/(TableDiv[[Agency]:[Agency]]=$E985)*(ROW(TableDiv[Agency])-ROW(TableDiv[[#Headers],[Agency]])),COLUMNS($F$7:AA$7))))</f>
        <v/>
      </c>
      <c r="AB985" s="2223" t="str" cm="1">
        <f t="array" ref="AB985">IF($D985&lt;COLUMNS($F$7:AB$7),"",INDEX(TableDiv[[GASB]:[GASB]],_xlfn.AGGREGATE(15,3,(TableDiv[[Agency]:[Agency]]=$E985)/(TableDiv[[Agency]:[Agency]]=$E985)*(ROW(TableDiv[Agency])-ROW(TableDiv[[#Headers],[Agency]])),COLUMNS($F$7:AB$7))))</f>
        <v/>
      </c>
      <c r="AC985" s="2223" t="str" cm="1">
        <f t="array" ref="AC985">IF($D985&lt;COLUMNS($F$7:AC$7),"",INDEX(TableDiv[[GASB]:[GASB]],_xlfn.AGGREGATE(15,3,(TableDiv[[Agency]:[Agency]]=$E985)/(TableDiv[[Agency]:[Agency]]=$E985)*(ROW(TableDiv[Agency])-ROW(TableDiv[[#Headers],[Agency]])),COLUMNS($F$7:AC$7))))</f>
        <v/>
      </c>
      <c r="AD985" s="2223" t="str" cm="1">
        <f t="array" ref="AD985">IF($D985&lt;COLUMNS($F$7:AD$7),"",INDEX(TableDiv[[GASB]:[GASB]],_xlfn.AGGREGATE(15,3,(TableDiv[[Agency]:[Agency]]=$E985)/(TableDiv[[Agency]:[Agency]]=$E985)*(ROW(TableDiv[Agency])-ROW(TableDiv[[#Headers],[Agency]])),COLUMNS($F$7:AD$7))))</f>
        <v/>
      </c>
      <c r="AE985" s="2223" t="str" cm="1">
        <f t="array" ref="AE985">IF($D985&lt;COLUMNS($F$7:AE$7),"",INDEX(TableDiv[[GASB]:[GASB]],_xlfn.AGGREGATE(15,3,(TableDiv[[Agency]:[Agency]]=$E985)/(TableDiv[[Agency]:[Agency]]=$E985)*(ROW(TableDiv[Agency])-ROW(TableDiv[[#Headers],[Agency]])),COLUMNS($F$7:AE$7))))</f>
        <v/>
      </c>
      <c r="AF985" s="2223" t="str" cm="1">
        <f t="array" ref="AF985">IF($D985&lt;COLUMNS($F$7:AF$7),"",INDEX(TableDiv[[GASB]:[GASB]],_xlfn.AGGREGATE(15,3,(TableDiv[[Agency]:[Agency]]=$E985)/(TableDiv[[Agency]:[Agency]]=$E985)*(ROW(TableDiv[Agency])-ROW(TableDiv[[#Headers],[Agency]])),COLUMNS($F$7:AF$7))))</f>
        <v/>
      </c>
      <c r="AG985" s="2223" t="str" cm="1">
        <f t="array" ref="AG985">IF($D985&lt;COLUMNS($F$7:AG$7),"",INDEX(TableDiv[[GASB]:[GASB]],_xlfn.AGGREGATE(15,3,(TableDiv[[Agency]:[Agency]]=$E985)/(TableDiv[[Agency]:[Agency]]=$E985)*(ROW(TableDiv[Agency])-ROW(TableDiv[[#Headers],[Agency]])),COLUMNS($F$7:AG$7))))</f>
        <v/>
      </c>
      <c r="AH985" s="2223" t="str" cm="1">
        <f t="array" ref="AH985">IF($D985&lt;COLUMNS($F$7:AH$7),"",INDEX(TableDiv[[GASB]:[GASB]],_xlfn.AGGREGATE(15,3,(TableDiv[[Agency]:[Agency]]=$E985)/(TableDiv[[Agency]:[Agency]]=$E985)*(ROW(TableDiv[Agency])-ROW(TableDiv[[#Headers],[Agency]])),COLUMNS($F$7:AH$7))))</f>
        <v/>
      </c>
      <c r="AI985" s="2223" t="str" cm="1">
        <f t="array" ref="AI985">IF($D985&lt;COLUMNS($F$7:AI$7),"",INDEX(TableDiv[[GASB]:[GASB]],_xlfn.AGGREGATE(15,3,(TableDiv[[Agency]:[Agency]]=$E985)/(TableDiv[[Agency]:[Agency]]=$E985)*(ROW(TableDiv[Agency])-ROW(TableDiv[[#Headers],[Agency]])),COLUMNS($F$7:AI$7))))</f>
        <v/>
      </c>
      <c r="AJ985" s="2223" t="str" cm="1">
        <f t="array" ref="AJ985">IF($D985&lt;COLUMNS($F$7:AJ$7),"",INDEX(TableDiv[[GASB]:[GASB]],_xlfn.AGGREGATE(15,3,(TableDiv[[Agency]:[Agency]]=$E985)/(TableDiv[[Agency]:[Agency]]=$E985)*(ROW(TableDiv[Agency])-ROW(TableDiv[[#Headers],[Agency]])),COLUMNS($F$7:AJ$7))))</f>
        <v/>
      </c>
      <c r="AK985" s="2223" t="str" cm="1">
        <f t="array" ref="AK985">IF($D985&lt;COLUMNS($F$7:AK$7),"",INDEX(TableDiv[[GASB]:[GASB]],_xlfn.AGGREGATE(15,3,(TableDiv[[Agency]:[Agency]]=$E985)/(TableDiv[[Agency]:[Agency]]=$E985)*(ROW(TableDiv[Agency])-ROW(TableDiv[[#Headers],[Agency]])),COLUMNS($F$7:AK$7))))</f>
        <v/>
      </c>
      <c r="AL985" s="2223" t="str" cm="1">
        <f t="array" ref="AL985">IF($D985&lt;COLUMNS($F$7:AL$7),"",INDEX(TableDiv[[GASB]:[GASB]],_xlfn.AGGREGATE(15,3,(TableDiv[[Agency]:[Agency]]=$E985)/(TableDiv[[Agency]:[Agency]]=$E985)*(ROW(TableDiv[Agency])-ROW(TableDiv[[#Headers],[Agency]])),COLUMNS($F$7:AL$7))))</f>
        <v/>
      </c>
      <c r="AM985" s="2223" t="str" cm="1">
        <f t="array" ref="AM985">IF($D985&lt;COLUMNS($F$7:AM$7),"",INDEX(TableDiv[[GASB]:[GASB]],_xlfn.AGGREGATE(15,3,(TableDiv[[Agency]:[Agency]]=$E985)/(TableDiv[[Agency]:[Agency]]=$E985)*(ROW(TableDiv[Agency])-ROW(TableDiv[[#Headers],[Agency]])),COLUMNS($F$7:AM$7))))</f>
        <v/>
      </c>
      <c r="AN985" s="2223"/>
      <c r="AO985" s="2223"/>
      <c r="AP985" s="2223"/>
      <c r="AQ985" s="2223"/>
      <c r="AR985" s="2223"/>
      <c r="AS985" s="2223"/>
    </row>
    <row r="986" spans="1:45" x14ac:dyDescent="0.2">
      <c r="A986" s="2223"/>
      <c r="B986" s="2223"/>
      <c r="C986" s="2223"/>
      <c r="W986" s="2223" t="str" cm="1">
        <f t="array" ref="W986">IF($D986&lt;COLUMNS($F$7:W$7),"",INDEX(TableDiv[[GASB]:[GASB]],_xlfn.AGGREGATE(15,3,(TableDiv[[Agency]:[Agency]]=$E986)/(TableDiv[[Agency]:[Agency]]=$E986)*(ROW(TableDiv[Agency])-ROW(TableDiv[[#Headers],[Agency]])),COLUMNS($F$7:W$7))))</f>
        <v/>
      </c>
      <c r="X986" s="2223" t="str" cm="1">
        <f t="array" ref="X986">IF($D986&lt;COLUMNS($F$7:X$7),"",INDEX(TableDiv[[GASB]:[GASB]],_xlfn.AGGREGATE(15,3,(TableDiv[[Agency]:[Agency]]=$E986)/(TableDiv[[Agency]:[Agency]]=$E986)*(ROW(TableDiv[Agency])-ROW(TableDiv[[#Headers],[Agency]])),COLUMNS($F$7:X$7))))</f>
        <v/>
      </c>
      <c r="Y986" s="2223" t="str" cm="1">
        <f t="array" ref="Y986">IF($D986&lt;COLUMNS($F$7:Y$7),"",INDEX(TableDiv[[GASB]:[GASB]],_xlfn.AGGREGATE(15,3,(TableDiv[[Agency]:[Agency]]=$E986)/(TableDiv[[Agency]:[Agency]]=$E986)*(ROW(TableDiv[Agency])-ROW(TableDiv[[#Headers],[Agency]])),COLUMNS($F$7:Y$7))))</f>
        <v/>
      </c>
      <c r="Z986" s="2223" t="str" cm="1">
        <f t="array" ref="Z986">IF($D986&lt;COLUMNS($F$7:Z$7),"",INDEX(TableDiv[[GASB]:[GASB]],_xlfn.AGGREGATE(15,3,(TableDiv[[Agency]:[Agency]]=$E986)/(TableDiv[[Agency]:[Agency]]=$E986)*(ROW(TableDiv[Agency])-ROW(TableDiv[[#Headers],[Agency]])),COLUMNS($F$7:Z$7))))</f>
        <v/>
      </c>
      <c r="AA986" s="2223" t="str" cm="1">
        <f t="array" ref="AA986">IF($D986&lt;COLUMNS($F$7:AA$7),"",INDEX(TableDiv[[GASB]:[GASB]],_xlfn.AGGREGATE(15,3,(TableDiv[[Agency]:[Agency]]=$E986)/(TableDiv[[Agency]:[Agency]]=$E986)*(ROW(TableDiv[Agency])-ROW(TableDiv[[#Headers],[Agency]])),COLUMNS($F$7:AA$7))))</f>
        <v/>
      </c>
      <c r="AB986" s="2223" t="str" cm="1">
        <f t="array" ref="AB986">IF($D986&lt;COLUMNS($F$7:AB$7),"",INDEX(TableDiv[[GASB]:[GASB]],_xlfn.AGGREGATE(15,3,(TableDiv[[Agency]:[Agency]]=$E986)/(TableDiv[[Agency]:[Agency]]=$E986)*(ROW(TableDiv[Agency])-ROW(TableDiv[[#Headers],[Agency]])),COLUMNS($F$7:AB$7))))</f>
        <v/>
      </c>
      <c r="AC986" s="2223" t="str" cm="1">
        <f t="array" ref="AC986">IF($D986&lt;COLUMNS($F$7:AC$7),"",INDEX(TableDiv[[GASB]:[GASB]],_xlfn.AGGREGATE(15,3,(TableDiv[[Agency]:[Agency]]=$E986)/(TableDiv[[Agency]:[Agency]]=$E986)*(ROW(TableDiv[Agency])-ROW(TableDiv[[#Headers],[Agency]])),COLUMNS($F$7:AC$7))))</f>
        <v/>
      </c>
      <c r="AD986" s="2223" t="str" cm="1">
        <f t="array" ref="AD986">IF($D986&lt;COLUMNS($F$7:AD$7),"",INDEX(TableDiv[[GASB]:[GASB]],_xlfn.AGGREGATE(15,3,(TableDiv[[Agency]:[Agency]]=$E986)/(TableDiv[[Agency]:[Agency]]=$E986)*(ROW(TableDiv[Agency])-ROW(TableDiv[[#Headers],[Agency]])),COLUMNS($F$7:AD$7))))</f>
        <v/>
      </c>
      <c r="AE986" s="2223" t="str" cm="1">
        <f t="array" ref="AE986">IF($D986&lt;COLUMNS($F$7:AE$7),"",INDEX(TableDiv[[GASB]:[GASB]],_xlfn.AGGREGATE(15,3,(TableDiv[[Agency]:[Agency]]=$E986)/(TableDiv[[Agency]:[Agency]]=$E986)*(ROW(TableDiv[Agency])-ROW(TableDiv[[#Headers],[Agency]])),COLUMNS($F$7:AE$7))))</f>
        <v/>
      </c>
      <c r="AF986" s="2223" t="str" cm="1">
        <f t="array" ref="AF986">IF($D986&lt;COLUMNS($F$7:AF$7),"",INDEX(TableDiv[[GASB]:[GASB]],_xlfn.AGGREGATE(15,3,(TableDiv[[Agency]:[Agency]]=$E986)/(TableDiv[[Agency]:[Agency]]=$E986)*(ROW(TableDiv[Agency])-ROW(TableDiv[[#Headers],[Agency]])),COLUMNS($F$7:AF$7))))</f>
        <v/>
      </c>
      <c r="AG986" s="2223" t="str" cm="1">
        <f t="array" ref="AG986">IF($D986&lt;COLUMNS($F$7:AG$7),"",INDEX(TableDiv[[GASB]:[GASB]],_xlfn.AGGREGATE(15,3,(TableDiv[[Agency]:[Agency]]=$E986)/(TableDiv[[Agency]:[Agency]]=$E986)*(ROW(TableDiv[Agency])-ROW(TableDiv[[#Headers],[Agency]])),COLUMNS($F$7:AG$7))))</f>
        <v/>
      </c>
      <c r="AH986" s="2223" t="str" cm="1">
        <f t="array" ref="AH986">IF($D986&lt;COLUMNS($F$7:AH$7),"",INDEX(TableDiv[[GASB]:[GASB]],_xlfn.AGGREGATE(15,3,(TableDiv[[Agency]:[Agency]]=$E986)/(TableDiv[[Agency]:[Agency]]=$E986)*(ROW(TableDiv[Agency])-ROW(TableDiv[[#Headers],[Agency]])),COLUMNS($F$7:AH$7))))</f>
        <v/>
      </c>
      <c r="AI986" s="2223" t="str" cm="1">
        <f t="array" ref="AI986">IF($D986&lt;COLUMNS($F$7:AI$7),"",INDEX(TableDiv[[GASB]:[GASB]],_xlfn.AGGREGATE(15,3,(TableDiv[[Agency]:[Agency]]=$E986)/(TableDiv[[Agency]:[Agency]]=$E986)*(ROW(TableDiv[Agency])-ROW(TableDiv[[#Headers],[Agency]])),COLUMNS($F$7:AI$7))))</f>
        <v/>
      </c>
      <c r="AJ986" s="2223" t="str" cm="1">
        <f t="array" ref="AJ986">IF($D986&lt;COLUMNS($F$7:AJ$7),"",INDEX(TableDiv[[GASB]:[GASB]],_xlfn.AGGREGATE(15,3,(TableDiv[[Agency]:[Agency]]=$E986)/(TableDiv[[Agency]:[Agency]]=$E986)*(ROW(TableDiv[Agency])-ROW(TableDiv[[#Headers],[Agency]])),COLUMNS($F$7:AJ$7))))</f>
        <v/>
      </c>
      <c r="AK986" s="2223" t="str" cm="1">
        <f t="array" ref="AK986">IF($D986&lt;COLUMNS($F$7:AK$7),"",INDEX(TableDiv[[GASB]:[GASB]],_xlfn.AGGREGATE(15,3,(TableDiv[[Agency]:[Agency]]=$E986)/(TableDiv[[Agency]:[Agency]]=$E986)*(ROW(TableDiv[Agency])-ROW(TableDiv[[#Headers],[Agency]])),COLUMNS($F$7:AK$7))))</f>
        <v/>
      </c>
      <c r="AL986" s="2223" t="str" cm="1">
        <f t="array" ref="AL986">IF($D986&lt;COLUMNS($F$7:AL$7),"",INDEX(TableDiv[[GASB]:[GASB]],_xlfn.AGGREGATE(15,3,(TableDiv[[Agency]:[Agency]]=$E986)/(TableDiv[[Agency]:[Agency]]=$E986)*(ROW(TableDiv[Agency])-ROW(TableDiv[[#Headers],[Agency]])),COLUMNS($F$7:AL$7))))</f>
        <v/>
      </c>
      <c r="AM986" s="2223" t="str" cm="1">
        <f t="array" ref="AM986">IF($D986&lt;COLUMNS($F$7:AM$7),"",INDEX(TableDiv[[GASB]:[GASB]],_xlfn.AGGREGATE(15,3,(TableDiv[[Agency]:[Agency]]=$E986)/(TableDiv[[Agency]:[Agency]]=$E986)*(ROW(TableDiv[Agency])-ROW(TableDiv[[#Headers],[Agency]])),COLUMNS($F$7:AM$7))))</f>
        <v/>
      </c>
      <c r="AN986" s="2223"/>
      <c r="AO986" s="2223"/>
      <c r="AP986" s="2223"/>
      <c r="AQ986" s="2223"/>
      <c r="AR986" s="2223"/>
      <c r="AS986" s="2223"/>
    </row>
    <row r="987" spans="1:45" x14ac:dyDescent="0.2">
      <c r="A987" s="2223"/>
      <c r="B987" s="2223"/>
      <c r="C987" s="2223"/>
      <c r="W987" s="2223" t="str" cm="1">
        <f t="array" ref="W987">IF($D987&lt;COLUMNS($F$7:W$7),"",INDEX(TableDiv[[GASB]:[GASB]],_xlfn.AGGREGATE(15,3,(TableDiv[[Agency]:[Agency]]=$E987)/(TableDiv[[Agency]:[Agency]]=$E987)*(ROW(TableDiv[Agency])-ROW(TableDiv[[#Headers],[Agency]])),COLUMNS($F$7:W$7))))</f>
        <v/>
      </c>
      <c r="X987" s="2223" t="str" cm="1">
        <f t="array" ref="X987">IF($D987&lt;COLUMNS($F$7:X$7),"",INDEX(TableDiv[[GASB]:[GASB]],_xlfn.AGGREGATE(15,3,(TableDiv[[Agency]:[Agency]]=$E987)/(TableDiv[[Agency]:[Agency]]=$E987)*(ROW(TableDiv[Agency])-ROW(TableDiv[[#Headers],[Agency]])),COLUMNS($F$7:X$7))))</f>
        <v/>
      </c>
      <c r="Y987" s="2223" t="str" cm="1">
        <f t="array" ref="Y987">IF($D987&lt;COLUMNS($F$7:Y$7),"",INDEX(TableDiv[[GASB]:[GASB]],_xlfn.AGGREGATE(15,3,(TableDiv[[Agency]:[Agency]]=$E987)/(TableDiv[[Agency]:[Agency]]=$E987)*(ROW(TableDiv[Agency])-ROW(TableDiv[[#Headers],[Agency]])),COLUMNS($F$7:Y$7))))</f>
        <v/>
      </c>
      <c r="Z987" s="2223" t="str" cm="1">
        <f t="array" ref="Z987">IF($D987&lt;COLUMNS($F$7:Z$7),"",INDEX(TableDiv[[GASB]:[GASB]],_xlfn.AGGREGATE(15,3,(TableDiv[[Agency]:[Agency]]=$E987)/(TableDiv[[Agency]:[Agency]]=$E987)*(ROW(TableDiv[Agency])-ROW(TableDiv[[#Headers],[Agency]])),COLUMNS($F$7:Z$7))))</f>
        <v/>
      </c>
      <c r="AA987" s="2223" t="str" cm="1">
        <f t="array" ref="AA987">IF($D987&lt;COLUMNS($F$7:AA$7),"",INDEX(TableDiv[[GASB]:[GASB]],_xlfn.AGGREGATE(15,3,(TableDiv[[Agency]:[Agency]]=$E987)/(TableDiv[[Agency]:[Agency]]=$E987)*(ROW(TableDiv[Agency])-ROW(TableDiv[[#Headers],[Agency]])),COLUMNS($F$7:AA$7))))</f>
        <v/>
      </c>
      <c r="AB987" s="2223" t="str" cm="1">
        <f t="array" ref="AB987">IF($D987&lt;COLUMNS($F$7:AB$7),"",INDEX(TableDiv[[GASB]:[GASB]],_xlfn.AGGREGATE(15,3,(TableDiv[[Agency]:[Agency]]=$E987)/(TableDiv[[Agency]:[Agency]]=$E987)*(ROW(TableDiv[Agency])-ROW(TableDiv[[#Headers],[Agency]])),COLUMNS($F$7:AB$7))))</f>
        <v/>
      </c>
      <c r="AC987" s="2223" t="str" cm="1">
        <f t="array" ref="AC987">IF($D987&lt;COLUMNS($F$7:AC$7),"",INDEX(TableDiv[[GASB]:[GASB]],_xlfn.AGGREGATE(15,3,(TableDiv[[Agency]:[Agency]]=$E987)/(TableDiv[[Agency]:[Agency]]=$E987)*(ROW(TableDiv[Agency])-ROW(TableDiv[[#Headers],[Agency]])),COLUMNS($F$7:AC$7))))</f>
        <v/>
      </c>
      <c r="AD987" s="2223" t="str" cm="1">
        <f t="array" ref="AD987">IF($D987&lt;COLUMNS($F$7:AD$7),"",INDEX(TableDiv[[GASB]:[GASB]],_xlfn.AGGREGATE(15,3,(TableDiv[[Agency]:[Agency]]=$E987)/(TableDiv[[Agency]:[Agency]]=$E987)*(ROW(TableDiv[Agency])-ROW(TableDiv[[#Headers],[Agency]])),COLUMNS($F$7:AD$7))))</f>
        <v/>
      </c>
      <c r="AE987" s="2223" t="str" cm="1">
        <f t="array" ref="AE987">IF($D987&lt;COLUMNS($F$7:AE$7),"",INDEX(TableDiv[[GASB]:[GASB]],_xlfn.AGGREGATE(15,3,(TableDiv[[Agency]:[Agency]]=$E987)/(TableDiv[[Agency]:[Agency]]=$E987)*(ROW(TableDiv[Agency])-ROW(TableDiv[[#Headers],[Agency]])),COLUMNS($F$7:AE$7))))</f>
        <v/>
      </c>
      <c r="AF987" s="2223" t="str" cm="1">
        <f t="array" ref="AF987">IF($D987&lt;COLUMNS($F$7:AF$7),"",INDEX(TableDiv[[GASB]:[GASB]],_xlfn.AGGREGATE(15,3,(TableDiv[[Agency]:[Agency]]=$E987)/(TableDiv[[Agency]:[Agency]]=$E987)*(ROW(TableDiv[Agency])-ROW(TableDiv[[#Headers],[Agency]])),COLUMNS($F$7:AF$7))))</f>
        <v/>
      </c>
      <c r="AG987" s="2223" t="str" cm="1">
        <f t="array" ref="AG987">IF($D987&lt;COLUMNS($F$7:AG$7),"",INDEX(TableDiv[[GASB]:[GASB]],_xlfn.AGGREGATE(15,3,(TableDiv[[Agency]:[Agency]]=$E987)/(TableDiv[[Agency]:[Agency]]=$E987)*(ROW(TableDiv[Agency])-ROW(TableDiv[[#Headers],[Agency]])),COLUMNS($F$7:AG$7))))</f>
        <v/>
      </c>
      <c r="AH987" s="2223" t="str" cm="1">
        <f t="array" ref="AH987">IF($D987&lt;COLUMNS($F$7:AH$7),"",INDEX(TableDiv[[GASB]:[GASB]],_xlfn.AGGREGATE(15,3,(TableDiv[[Agency]:[Agency]]=$E987)/(TableDiv[[Agency]:[Agency]]=$E987)*(ROW(TableDiv[Agency])-ROW(TableDiv[[#Headers],[Agency]])),COLUMNS($F$7:AH$7))))</f>
        <v/>
      </c>
      <c r="AI987" s="2223" t="str" cm="1">
        <f t="array" ref="AI987">IF($D987&lt;COLUMNS($F$7:AI$7),"",INDEX(TableDiv[[GASB]:[GASB]],_xlfn.AGGREGATE(15,3,(TableDiv[[Agency]:[Agency]]=$E987)/(TableDiv[[Agency]:[Agency]]=$E987)*(ROW(TableDiv[Agency])-ROW(TableDiv[[#Headers],[Agency]])),COLUMNS($F$7:AI$7))))</f>
        <v/>
      </c>
      <c r="AJ987" s="2223" t="str" cm="1">
        <f t="array" ref="AJ987">IF($D987&lt;COLUMNS($F$7:AJ$7),"",INDEX(TableDiv[[GASB]:[GASB]],_xlfn.AGGREGATE(15,3,(TableDiv[[Agency]:[Agency]]=$E987)/(TableDiv[[Agency]:[Agency]]=$E987)*(ROW(TableDiv[Agency])-ROW(TableDiv[[#Headers],[Agency]])),COLUMNS($F$7:AJ$7))))</f>
        <v/>
      </c>
      <c r="AK987" s="2223" t="str" cm="1">
        <f t="array" ref="AK987">IF($D987&lt;COLUMNS($F$7:AK$7),"",INDEX(TableDiv[[GASB]:[GASB]],_xlfn.AGGREGATE(15,3,(TableDiv[[Agency]:[Agency]]=$E987)/(TableDiv[[Agency]:[Agency]]=$E987)*(ROW(TableDiv[Agency])-ROW(TableDiv[[#Headers],[Agency]])),COLUMNS($F$7:AK$7))))</f>
        <v/>
      </c>
      <c r="AL987" s="2223" t="str" cm="1">
        <f t="array" ref="AL987">IF($D987&lt;COLUMNS($F$7:AL$7),"",INDEX(TableDiv[[GASB]:[GASB]],_xlfn.AGGREGATE(15,3,(TableDiv[[Agency]:[Agency]]=$E987)/(TableDiv[[Agency]:[Agency]]=$E987)*(ROW(TableDiv[Agency])-ROW(TableDiv[[#Headers],[Agency]])),COLUMNS($F$7:AL$7))))</f>
        <v/>
      </c>
      <c r="AM987" s="2223" t="str" cm="1">
        <f t="array" ref="AM987">IF($D987&lt;COLUMNS($F$7:AM$7),"",INDEX(TableDiv[[GASB]:[GASB]],_xlfn.AGGREGATE(15,3,(TableDiv[[Agency]:[Agency]]=$E987)/(TableDiv[[Agency]:[Agency]]=$E987)*(ROW(TableDiv[Agency])-ROW(TableDiv[[#Headers],[Agency]])),COLUMNS($F$7:AM$7))))</f>
        <v/>
      </c>
      <c r="AN987" s="2223"/>
      <c r="AO987" s="2223"/>
      <c r="AP987" s="2223"/>
      <c r="AQ987" s="2223"/>
      <c r="AR987" s="2223"/>
      <c r="AS987" s="2223"/>
    </row>
    <row r="988" spans="1:45" x14ac:dyDescent="0.2">
      <c r="A988" s="2223"/>
      <c r="B988" s="2223"/>
      <c r="C988" s="2223"/>
      <c r="W988" s="2223" t="str" cm="1">
        <f t="array" ref="W988">IF($D988&lt;COLUMNS($F$7:W$7),"",INDEX(TableDiv[[GASB]:[GASB]],_xlfn.AGGREGATE(15,3,(TableDiv[[Agency]:[Agency]]=$E988)/(TableDiv[[Agency]:[Agency]]=$E988)*(ROW(TableDiv[Agency])-ROW(TableDiv[[#Headers],[Agency]])),COLUMNS($F$7:W$7))))</f>
        <v/>
      </c>
      <c r="X988" s="2223" t="str" cm="1">
        <f t="array" ref="X988">IF($D988&lt;COLUMNS($F$7:X$7),"",INDEX(TableDiv[[GASB]:[GASB]],_xlfn.AGGREGATE(15,3,(TableDiv[[Agency]:[Agency]]=$E988)/(TableDiv[[Agency]:[Agency]]=$E988)*(ROW(TableDiv[Agency])-ROW(TableDiv[[#Headers],[Agency]])),COLUMNS($F$7:X$7))))</f>
        <v/>
      </c>
      <c r="Y988" s="2223" t="str" cm="1">
        <f t="array" ref="Y988">IF($D988&lt;COLUMNS($F$7:Y$7),"",INDEX(TableDiv[[GASB]:[GASB]],_xlfn.AGGREGATE(15,3,(TableDiv[[Agency]:[Agency]]=$E988)/(TableDiv[[Agency]:[Agency]]=$E988)*(ROW(TableDiv[Agency])-ROW(TableDiv[[#Headers],[Agency]])),COLUMNS($F$7:Y$7))))</f>
        <v/>
      </c>
      <c r="Z988" s="2223" t="str" cm="1">
        <f t="array" ref="Z988">IF($D988&lt;COLUMNS($F$7:Z$7),"",INDEX(TableDiv[[GASB]:[GASB]],_xlfn.AGGREGATE(15,3,(TableDiv[[Agency]:[Agency]]=$E988)/(TableDiv[[Agency]:[Agency]]=$E988)*(ROW(TableDiv[Agency])-ROW(TableDiv[[#Headers],[Agency]])),COLUMNS($F$7:Z$7))))</f>
        <v/>
      </c>
      <c r="AA988" s="2223" t="str" cm="1">
        <f t="array" ref="AA988">IF($D988&lt;COLUMNS($F$7:AA$7),"",INDEX(TableDiv[[GASB]:[GASB]],_xlfn.AGGREGATE(15,3,(TableDiv[[Agency]:[Agency]]=$E988)/(TableDiv[[Agency]:[Agency]]=$E988)*(ROW(TableDiv[Agency])-ROW(TableDiv[[#Headers],[Agency]])),COLUMNS($F$7:AA$7))))</f>
        <v/>
      </c>
      <c r="AB988" s="2223" t="str" cm="1">
        <f t="array" ref="AB988">IF($D988&lt;COLUMNS($F$7:AB$7),"",INDEX(TableDiv[[GASB]:[GASB]],_xlfn.AGGREGATE(15,3,(TableDiv[[Agency]:[Agency]]=$E988)/(TableDiv[[Agency]:[Agency]]=$E988)*(ROW(TableDiv[Agency])-ROW(TableDiv[[#Headers],[Agency]])),COLUMNS($F$7:AB$7))))</f>
        <v/>
      </c>
      <c r="AC988" s="2223" t="str" cm="1">
        <f t="array" ref="AC988">IF($D988&lt;COLUMNS($F$7:AC$7),"",INDEX(TableDiv[[GASB]:[GASB]],_xlfn.AGGREGATE(15,3,(TableDiv[[Agency]:[Agency]]=$E988)/(TableDiv[[Agency]:[Agency]]=$E988)*(ROW(TableDiv[Agency])-ROW(TableDiv[[#Headers],[Agency]])),COLUMNS($F$7:AC$7))))</f>
        <v/>
      </c>
      <c r="AD988" s="2223" t="str" cm="1">
        <f t="array" ref="AD988">IF($D988&lt;COLUMNS($F$7:AD$7),"",INDEX(TableDiv[[GASB]:[GASB]],_xlfn.AGGREGATE(15,3,(TableDiv[[Agency]:[Agency]]=$E988)/(TableDiv[[Agency]:[Agency]]=$E988)*(ROW(TableDiv[Agency])-ROW(TableDiv[[#Headers],[Agency]])),COLUMNS($F$7:AD$7))))</f>
        <v/>
      </c>
      <c r="AE988" s="2223" t="str" cm="1">
        <f t="array" ref="AE988">IF($D988&lt;COLUMNS($F$7:AE$7),"",INDEX(TableDiv[[GASB]:[GASB]],_xlfn.AGGREGATE(15,3,(TableDiv[[Agency]:[Agency]]=$E988)/(TableDiv[[Agency]:[Agency]]=$E988)*(ROW(TableDiv[Agency])-ROW(TableDiv[[#Headers],[Agency]])),COLUMNS($F$7:AE$7))))</f>
        <v/>
      </c>
      <c r="AF988" s="2223" t="str" cm="1">
        <f t="array" ref="AF988">IF($D988&lt;COLUMNS($F$7:AF$7),"",INDEX(TableDiv[[GASB]:[GASB]],_xlfn.AGGREGATE(15,3,(TableDiv[[Agency]:[Agency]]=$E988)/(TableDiv[[Agency]:[Agency]]=$E988)*(ROW(TableDiv[Agency])-ROW(TableDiv[[#Headers],[Agency]])),COLUMNS($F$7:AF$7))))</f>
        <v/>
      </c>
      <c r="AG988" s="2223" t="str" cm="1">
        <f t="array" ref="AG988">IF($D988&lt;COLUMNS($F$7:AG$7),"",INDEX(TableDiv[[GASB]:[GASB]],_xlfn.AGGREGATE(15,3,(TableDiv[[Agency]:[Agency]]=$E988)/(TableDiv[[Agency]:[Agency]]=$E988)*(ROW(TableDiv[Agency])-ROW(TableDiv[[#Headers],[Agency]])),COLUMNS($F$7:AG$7))))</f>
        <v/>
      </c>
      <c r="AH988" s="2223" t="str" cm="1">
        <f t="array" ref="AH988">IF($D988&lt;COLUMNS($F$7:AH$7),"",INDEX(TableDiv[[GASB]:[GASB]],_xlfn.AGGREGATE(15,3,(TableDiv[[Agency]:[Agency]]=$E988)/(TableDiv[[Agency]:[Agency]]=$E988)*(ROW(TableDiv[Agency])-ROW(TableDiv[[#Headers],[Agency]])),COLUMNS($F$7:AH$7))))</f>
        <v/>
      </c>
      <c r="AI988" s="2223" t="str" cm="1">
        <f t="array" ref="AI988">IF($D988&lt;COLUMNS($F$7:AI$7),"",INDEX(TableDiv[[GASB]:[GASB]],_xlfn.AGGREGATE(15,3,(TableDiv[[Agency]:[Agency]]=$E988)/(TableDiv[[Agency]:[Agency]]=$E988)*(ROW(TableDiv[Agency])-ROW(TableDiv[[#Headers],[Agency]])),COLUMNS($F$7:AI$7))))</f>
        <v/>
      </c>
      <c r="AJ988" s="2223" t="str" cm="1">
        <f t="array" ref="AJ988">IF($D988&lt;COLUMNS($F$7:AJ$7),"",INDEX(TableDiv[[GASB]:[GASB]],_xlfn.AGGREGATE(15,3,(TableDiv[[Agency]:[Agency]]=$E988)/(TableDiv[[Agency]:[Agency]]=$E988)*(ROW(TableDiv[Agency])-ROW(TableDiv[[#Headers],[Agency]])),COLUMNS($F$7:AJ$7))))</f>
        <v/>
      </c>
      <c r="AK988" s="2223" t="str" cm="1">
        <f t="array" ref="AK988">IF($D988&lt;COLUMNS($F$7:AK$7),"",INDEX(TableDiv[[GASB]:[GASB]],_xlfn.AGGREGATE(15,3,(TableDiv[[Agency]:[Agency]]=$E988)/(TableDiv[[Agency]:[Agency]]=$E988)*(ROW(TableDiv[Agency])-ROW(TableDiv[[#Headers],[Agency]])),COLUMNS($F$7:AK$7))))</f>
        <v/>
      </c>
      <c r="AL988" s="2223" t="str" cm="1">
        <f t="array" ref="AL988">IF($D988&lt;COLUMNS($F$7:AL$7),"",INDEX(TableDiv[[GASB]:[GASB]],_xlfn.AGGREGATE(15,3,(TableDiv[[Agency]:[Agency]]=$E988)/(TableDiv[[Agency]:[Agency]]=$E988)*(ROW(TableDiv[Agency])-ROW(TableDiv[[#Headers],[Agency]])),COLUMNS($F$7:AL$7))))</f>
        <v/>
      </c>
      <c r="AM988" s="2223" t="str" cm="1">
        <f t="array" ref="AM988">IF($D988&lt;COLUMNS($F$7:AM$7),"",INDEX(TableDiv[[GASB]:[GASB]],_xlfn.AGGREGATE(15,3,(TableDiv[[Agency]:[Agency]]=$E988)/(TableDiv[[Agency]:[Agency]]=$E988)*(ROW(TableDiv[Agency])-ROW(TableDiv[[#Headers],[Agency]])),COLUMNS($F$7:AM$7))))</f>
        <v/>
      </c>
      <c r="AN988" s="2223"/>
      <c r="AO988" s="2223"/>
      <c r="AP988" s="2223"/>
      <c r="AQ988" s="2223"/>
      <c r="AR988" s="2223"/>
      <c r="AS988" s="2223"/>
    </row>
    <row r="989" spans="1:45" x14ac:dyDescent="0.2">
      <c r="A989" s="2223"/>
      <c r="B989" s="2223"/>
      <c r="C989" s="2223"/>
      <c r="W989" s="2223" t="str" cm="1">
        <f t="array" ref="W989">IF($D989&lt;COLUMNS($F$7:W$7),"",INDEX(TableDiv[[GASB]:[GASB]],_xlfn.AGGREGATE(15,3,(TableDiv[[Agency]:[Agency]]=$E989)/(TableDiv[[Agency]:[Agency]]=$E989)*(ROW(TableDiv[Agency])-ROW(TableDiv[[#Headers],[Agency]])),COLUMNS($F$7:W$7))))</f>
        <v/>
      </c>
      <c r="X989" s="2223" t="str" cm="1">
        <f t="array" ref="X989">IF($D989&lt;COLUMNS($F$7:X$7),"",INDEX(TableDiv[[GASB]:[GASB]],_xlfn.AGGREGATE(15,3,(TableDiv[[Agency]:[Agency]]=$E989)/(TableDiv[[Agency]:[Agency]]=$E989)*(ROW(TableDiv[Agency])-ROW(TableDiv[[#Headers],[Agency]])),COLUMNS($F$7:X$7))))</f>
        <v/>
      </c>
      <c r="Y989" s="2223" t="str" cm="1">
        <f t="array" ref="Y989">IF($D989&lt;COLUMNS($F$7:Y$7),"",INDEX(TableDiv[[GASB]:[GASB]],_xlfn.AGGREGATE(15,3,(TableDiv[[Agency]:[Agency]]=$E989)/(TableDiv[[Agency]:[Agency]]=$E989)*(ROW(TableDiv[Agency])-ROW(TableDiv[[#Headers],[Agency]])),COLUMNS($F$7:Y$7))))</f>
        <v/>
      </c>
      <c r="Z989" s="2223" t="str" cm="1">
        <f t="array" ref="Z989">IF($D989&lt;COLUMNS($F$7:Z$7),"",INDEX(TableDiv[[GASB]:[GASB]],_xlfn.AGGREGATE(15,3,(TableDiv[[Agency]:[Agency]]=$E989)/(TableDiv[[Agency]:[Agency]]=$E989)*(ROW(TableDiv[Agency])-ROW(TableDiv[[#Headers],[Agency]])),COLUMNS($F$7:Z$7))))</f>
        <v/>
      </c>
      <c r="AA989" s="2223" t="str" cm="1">
        <f t="array" ref="AA989">IF($D989&lt;COLUMNS($F$7:AA$7),"",INDEX(TableDiv[[GASB]:[GASB]],_xlfn.AGGREGATE(15,3,(TableDiv[[Agency]:[Agency]]=$E989)/(TableDiv[[Agency]:[Agency]]=$E989)*(ROW(TableDiv[Agency])-ROW(TableDiv[[#Headers],[Agency]])),COLUMNS($F$7:AA$7))))</f>
        <v/>
      </c>
      <c r="AB989" s="2223" t="str" cm="1">
        <f t="array" ref="AB989">IF($D989&lt;COLUMNS($F$7:AB$7),"",INDEX(TableDiv[[GASB]:[GASB]],_xlfn.AGGREGATE(15,3,(TableDiv[[Agency]:[Agency]]=$E989)/(TableDiv[[Agency]:[Agency]]=$E989)*(ROW(TableDiv[Agency])-ROW(TableDiv[[#Headers],[Agency]])),COLUMNS($F$7:AB$7))))</f>
        <v/>
      </c>
      <c r="AC989" s="2223" t="str" cm="1">
        <f t="array" ref="AC989">IF($D989&lt;COLUMNS($F$7:AC$7),"",INDEX(TableDiv[[GASB]:[GASB]],_xlfn.AGGREGATE(15,3,(TableDiv[[Agency]:[Agency]]=$E989)/(TableDiv[[Agency]:[Agency]]=$E989)*(ROW(TableDiv[Agency])-ROW(TableDiv[[#Headers],[Agency]])),COLUMNS($F$7:AC$7))))</f>
        <v/>
      </c>
      <c r="AD989" s="2223" t="str" cm="1">
        <f t="array" ref="AD989">IF($D989&lt;COLUMNS($F$7:AD$7),"",INDEX(TableDiv[[GASB]:[GASB]],_xlfn.AGGREGATE(15,3,(TableDiv[[Agency]:[Agency]]=$E989)/(TableDiv[[Agency]:[Agency]]=$E989)*(ROW(TableDiv[Agency])-ROW(TableDiv[[#Headers],[Agency]])),COLUMNS($F$7:AD$7))))</f>
        <v/>
      </c>
      <c r="AE989" s="2223" t="str" cm="1">
        <f t="array" ref="AE989">IF($D989&lt;COLUMNS($F$7:AE$7),"",INDEX(TableDiv[[GASB]:[GASB]],_xlfn.AGGREGATE(15,3,(TableDiv[[Agency]:[Agency]]=$E989)/(TableDiv[[Agency]:[Agency]]=$E989)*(ROW(TableDiv[Agency])-ROW(TableDiv[[#Headers],[Agency]])),COLUMNS($F$7:AE$7))))</f>
        <v/>
      </c>
      <c r="AF989" s="2223" t="str" cm="1">
        <f t="array" ref="AF989">IF($D989&lt;COLUMNS($F$7:AF$7),"",INDEX(TableDiv[[GASB]:[GASB]],_xlfn.AGGREGATE(15,3,(TableDiv[[Agency]:[Agency]]=$E989)/(TableDiv[[Agency]:[Agency]]=$E989)*(ROW(TableDiv[Agency])-ROW(TableDiv[[#Headers],[Agency]])),COLUMNS($F$7:AF$7))))</f>
        <v/>
      </c>
      <c r="AG989" s="2223" t="str" cm="1">
        <f t="array" ref="AG989">IF($D989&lt;COLUMNS($F$7:AG$7),"",INDEX(TableDiv[[GASB]:[GASB]],_xlfn.AGGREGATE(15,3,(TableDiv[[Agency]:[Agency]]=$E989)/(TableDiv[[Agency]:[Agency]]=$E989)*(ROW(TableDiv[Agency])-ROW(TableDiv[[#Headers],[Agency]])),COLUMNS($F$7:AG$7))))</f>
        <v/>
      </c>
      <c r="AH989" s="2223" t="str" cm="1">
        <f t="array" ref="AH989">IF($D989&lt;COLUMNS($F$7:AH$7),"",INDEX(TableDiv[[GASB]:[GASB]],_xlfn.AGGREGATE(15,3,(TableDiv[[Agency]:[Agency]]=$E989)/(TableDiv[[Agency]:[Agency]]=$E989)*(ROW(TableDiv[Agency])-ROW(TableDiv[[#Headers],[Agency]])),COLUMNS($F$7:AH$7))))</f>
        <v/>
      </c>
      <c r="AI989" s="2223" t="str" cm="1">
        <f t="array" ref="AI989">IF($D989&lt;COLUMNS($F$7:AI$7),"",INDEX(TableDiv[[GASB]:[GASB]],_xlfn.AGGREGATE(15,3,(TableDiv[[Agency]:[Agency]]=$E989)/(TableDiv[[Agency]:[Agency]]=$E989)*(ROW(TableDiv[Agency])-ROW(TableDiv[[#Headers],[Agency]])),COLUMNS($F$7:AI$7))))</f>
        <v/>
      </c>
      <c r="AJ989" s="2223" t="str" cm="1">
        <f t="array" ref="AJ989">IF($D989&lt;COLUMNS($F$7:AJ$7),"",INDEX(TableDiv[[GASB]:[GASB]],_xlfn.AGGREGATE(15,3,(TableDiv[[Agency]:[Agency]]=$E989)/(TableDiv[[Agency]:[Agency]]=$E989)*(ROW(TableDiv[Agency])-ROW(TableDiv[[#Headers],[Agency]])),COLUMNS($F$7:AJ$7))))</f>
        <v/>
      </c>
      <c r="AK989" s="2223" t="str" cm="1">
        <f t="array" ref="AK989">IF($D989&lt;COLUMNS($F$7:AK$7),"",INDEX(TableDiv[[GASB]:[GASB]],_xlfn.AGGREGATE(15,3,(TableDiv[[Agency]:[Agency]]=$E989)/(TableDiv[[Agency]:[Agency]]=$E989)*(ROW(TableDiv[Agency])-ROW(TableDiv[[#Headers],[Agency]])),COLUMNS($F$7:AK$7))))</f>
        <v/>
      </c>
      <c r="AL989" s="2223" t="str" cm="1">
        <f t="array" ref="AL989">IF($D989&lt;COLUMNS($F$7:AL$7),"",INDEX(TableDiv[[GASB]:[GASB]],_xlfn.AGGREGATE(15,3,(TableDiv[[Agency]:[Agency]]=$E989)/(TableDiv[[Agency]:[Agency]]=$E989)*(ROW(TableDiv[Agency])-ROW(TableDiv[[#Headers],[Agency]])),COLUMNS($F$7:AL$7))))</f>
        <v/>
      </c>
      <c r="AM989" s="2223" t="str" cm="1">
        <f t="array" ref="AM989">IF($D989&lt;COLUMNS($F$7:AM$7),"",INDEX(TableDiv[[GASB]:[GASB]],_xlfn.AGGREGATE(15,3,(TableDiv[[Agency]:[Agency]]=$E989)/(TableDiv[[Agency]:[Agency]]=$E989)*(ROW(TableDiv[Agency])-ROW(TableDiv[[#Headers],[Agency]])),COLUMNS($F$7:AM$7))))</f>
        <v/>
      </c>
      <c r="AN989" s="2223"/>
      <c r="AO989" s="2223"/>
      <c r="AP989" s="2223"/>
      <c r="AQ989" s="2223"/>
      <c r="AR989" s="2223"/>
      <c r="AS989" s="2223"/>
    </row>
    <row r="990" spans="1:45" x14ac:dyDescent="0.2">
      <c r="A990" s="2223"/>
      <c r="B990" s="2223"/>
      <c r="C990" s="2223"/>
      <c r="W990" s="2223" t="str" cm="1">
        <f t="array" ref="W990">IF($D990&lt;COLUMNS($F$7:W$7),"",INDEX(TableDiv[[GASB]:[GASB]],_xlfn.AGGREGATE(15,3,(TableDiv[[Agency]:[Agency]]=$E990)/(TableDiv[[Agency]:[Agency]]=$E990)*(ROW(TableDiv[Agency])-ROW(TableDiv[[#Headers],[Agency]])),COLUMNS($F$7:W$7))))</f>
        <v/>
      </c>
      <c r="X990" s="2223" t="str" cm="1">
        <f t="array" ref="X990">IF($D990&lt;COLUMNS($F$7:X$7),"",INDEX(TableDiv[[GASB]:[GASB]],_xlfn.AGGREGATE(15,3,(TableDiv[[Agency]:[Agency]]=$E990)/(TableDiv[[Agency]:[Agency]]=$E990)*(ROW(TableDiv[Agency])-ROW(TableDiv[[#Headers],[Agency]])),COLUMNS($F$7:X$7))))</f>
        <v/>
      </c>
      <c r="Y990" s="2223" t="str" cm="1">
        <f t="array" ref="Y990">IF($D990&lt;COLUMNS($F$7:Y$7),"",INDEX(TableDiv[[GASB]:[GASB]],_xlfn.AGGREGATE(15,3,(TableDiv[[Agency]:[Agency]]=$E990)/(TableDiv[[Agency]:[Agency]]=$E990)*(ROW(TableDiv[Agency])-ROW(TableDiv[[#Headers],[Agency]])),COLUMNS($F$7:Y$7))))</f>
        <v/>
      </c>
      <c r="Z990" s="2223" t="str" cm="1">
        <f t="array" ref="Z990">IF($D990&lt;COLUMNS($F$7:Z$7),"",INDEX(TableDiv[[GASB]:[GASB]],_xlfn.AGGREGATE(15,3,(TableDiv[[Agency]:[Agency]]=$E990)/(TableDiv[[Agency]:[Agency]]=$E990)*(ROW(TableDiv[Agency])-ROW(TableDiv[[#Headers],[Agency]])),COLUMNS($F$7:Z$7))))</f>
        <v/>
      </c>
      <c r="AA990" s="2223" t="str" cm="1">
        <f t="array" ref="AA990">IF($D990&lt;COLUMNS($F$7:AA$7),"",INDEX(TableDiv[[GASB]:[GASB]],_xlfn.AGGREGATE(15,3,(TableDiv[[Agency]:[Agency]]=$E990)/(TableDiv[[Agency]:[Agency]]=$E990)*(ROW(TableDiv[Agency])-ROW(TableDiv[[#Headers],[Agency]])),COLUMNS($F$7:AA$7))))</f>
        <v/>
      </c>
      <c r="AB990" s="2223" t="str" cm="1">
        <f t="array" ref="AB990">IF($D990&lt;COLUMNS($F$7:AB$7),"",INDEX(TableDiv[[GASB]:[GASB]],_xlfn.AGGREGATE(15,3,(TableDiv[[Agency]:[Agency]]=$E990)/(TableDiv[[Agency]:[Agency]]=$E990)*(ROW(TableDiv[Agency])-ROW(TableDiv[[#Headers],[Agency]])),COLUMNS($F$7:AB$7))))</f>
        <v/>
      </c>
      <c r="AC990" s="2223" t="str" cm="1">
        <f t="array" ref="AC990">IF($D990&lt;COLUMNS($F$7:AC$7),"",INDEX(TableDiv[[GASB]:[GASB]],_xlfn.AGGREGATE(15,3,(TableDiv[[Agency]:[Agency]]=$E990)/(TableDiv[[Agency]:[Agency]]=$E990)*(ROW(TableDiv[Agency])-ROW(TableDiv[[#Headers],[Agency]])),COLUMNS($F$7:AC$7))))</f>
        <v/>
      </c>
      <c r="AD990" s="2223" t="str" cm="1">
        <f t="array" ref="AD990">IF($D990&lt;COLUMNS($F$7:AD$7),"",INDEX(TableDiv[[GASB]:[GASB]],_xlfn.AGGREGATE(15,3,(TableDiv[[Agency]:[Agency]]=$E990)/(TableDiv[[Agency]:[Agency]]=$E990)*(ROW(TableDiv[Agency])-ROW(TableDiv[[#Headers],[Agency]])),COLUMNS($F$7:AD$7))))</f>
        <v/>
      </c>
      <c r="AE990" s="2223" t="str" cm="1">
        <f t="array" ref="AE990">IF($D990&lt;COLUMNS($F$7:AE$7),"",INDEX(TableDiv[[GASB]:[GASB]],_xlfn.AGGREGATE(15,3,(TableDiv[[Agency]:[Agency]]=$E990)/(TableDiv[[Agency]:[Agency]]=$E990)*(ROW(TableDiv[Agency])-ROW(TableDiv[[#Headers],[Agency]])),COLUMNS($F$7:AE$7))))</f>
        <v/>
      </c>
      <c r="AF990" s="2223" t="str" cm="1">
        <f t="array" ref="AF990">IF($D990&lt;COLUMNS($F$7:AF$7),"",INDEX(TableDiv[[GASB]:[GASB]],_xlfn.AGGREGATE(15,3,(TableDiv[[Agency]:[Agency]]=$E990)/(TableDiv[[Agency]:[Agency]]=$E990)*(ROW(TableDiv[Agency])-ROW(TableDiv[[#Headers],[Agency]])),COLUMNS($F$7:AF$7))))</f>
        <v/>
      </c>
      <c r="AG990" s="2223" t="str" cm="1">
        <f t="array" ref="AG990">IF($D990&lt;COLUMNS($F$7:AG$7),"",INDEX(TableDiv[[GASB]:[GASB]],_xlfn.AGGREGATE(15,3,(TableDiv[[Agency]:[Agency]]=$E990)/(TableDiv[[Agency]:[Agency]]=$E990)*(ROW(TableDiv[Agency])-ROW(TableDiv[[#Headers],[Agency]])),COLUMNS($F$7:AG$7))))</f>
        <v/>
      </c>
      <c r="AH990" s="2223" t="str" cm="1">
        <f t="array" ref="AH990">IF($D990&lt;COLUMNS($F$7:AH$7),"",INDEX(TableDiv[[GASB]:[GASB]],_xlfn.AGGREGATE(15,3,(TableDiv[[Agency]:[Agency]]=$E990)/(TableDiv[[Agency]:[Agency]]=$E990)*(ROW(TableDiv[Agency])-ROW(TableDiv[[#Headers],[Agency]])),COLUMNS($F$7:AH$7))))</f>
        <v/>
      </c>
      <c r="AI990" s="2223" t="str" cm="1">
        <f t="array" ref="AI990">IF($D990&lt;COLUMNS($F$7:AI$7),"",INDEX(TableDiv[[GASB]:[GASB]],_xlfn.AGGREGATE(15,3,(TableDiv[[Agency]:[Agency]]=$E990)/(TableDiv[[Agency]:[Agency]]=$E990)*(ROW(TableDiv[Agency])-ROW(TableDiv[[#Headers],[Agency]])),COLUMNS($F$7:AI$7))))</f>
        <v/>
      </c>
      <c r="AJ990" s="2223" t="str" cm="1">
        <f t="array" ref="AJ990">IF($D990&lt;COLUMNS($F$7:AJ$7),"",INDEX(TableDiv[[GASB]:[GASB]],_xlfn.AGGREGATE(15,3,(TableDiv[[Agency]:[Agency]]=$E990)/(TableDiv[[Agency]:[Agency]]=$E990)*(ROW(TableDiv[Agency])-ROW(TableDiv[[#Headers],[Agency]])),COLUMNS($F$7:AJ$7))))</f>
        <v/>
      </c>
      <c r="AK990" s="2223" t="str" cm="1">
        <f t="array" ref="AK990">IF($D990&lt;COLUMNS($F$7:AK$7),"",INDEX(TableDiv[[GASB]:[GASB]],_xlfn.AGGREGATE(15,3,(TableDiv[[Agency]:[Agency]]=$E990)/(TableDiv[[Agency]:[Agency]]=$E990)*(ROW(TableDiv[Agency])-ROW(TableDiv[[#Headers],[Agency]])),COLUMNS($F$7:AK$7))))</f>
        <v/>
      </c>
      <c r="AL990" s="2223" t="str" cm="1">
        <f t="array" ref="AL990">IF($D990&lt;COLUMNS($F$7:AL$7),"",INDEX(TableDiv[[GASB]:[GASB]],_xlfn.AGGREGATE(15,3,(TableDiv[[Agency]:[Agency]]=$E990)/(TableDiv[[Agency]:[Agency]]=$E990)*(ROW(TableDiv[Agency])-ROW(TableDiv[[#Headers],[Agency]])),COLUMNS($F$7:AL$7))))</f>
        <v/>
      </c>
      <c r="AM990" s="2223" t="str" cm="1">
        <f t="array" ref="AM990">IF($D990&lt;COLUMNS($F$7:AM$7),"",INDEX(TableDiv[[GASB]:[GASB]],_xlfn.AGGREGATE(15,3,(TableDiv[[Agency]:[Agency]]=$E990)/(TableDiv[[Agency]:[Agency]]=$E990)*(ROW(TableDiv[Agency])-ROW(TableDiv[[#Headers],[Agency]])),COLUMNS($F$7:AM$7))))</f>
        <v/>
      </c>
      <c r="AN990" s="2223"/>
      <c r="AO990" s="2223"/>
      <c r="AP990" s="2223"/>
      <c r="AQ990" s="2223"/>
      <c r="AR990" s="2223"/>
      <c r="AS990" s="2223"/>
    </row>
    <row r="991" spans="1:45" x14ac:dyDescent="0.2">
      <c r="A991" s="2223"/>
      <c r="B991" s="2223"/>
      <c r="C991" s="2223"/>
      <c r="W991" s="2223" t="str" cm="1">
        <f t="array" ref="W991">IF($D991&lt;COLUMNS($F$7:W$7),"",INDEX(TableDiv[[GASB]:[GASB]],_xlfn.AGGREGATE(15,3,(TableDiv[[Agency]:[Agency]]=$E991)/(TableDiv[[Agency]:[Agency]]=$E991)*(ROW(TableDiv[Agency])-ROW(TableDiv[[#Headers],[Agency]])),COLUMNS($F$7:W$7))))</f>
        <v/>
      </c>
      <c r="X991" s="2223" t="str" cm="1">
        <f t="array" ref="X991">IF($D991&lt;COLUMNS($F$7:X$7),"",INDEX(TableDiv[[GASB]:[GASB]],_xlfn.AGGREGATE(15,3,(TableDiv[[Agency]:[Agency]]=$E991)/(TableDiv[[Agency]:[Agency]]=$E991)*(ROW(TableDiv[Agency])-ROW(TableDiv[[#Headers],[Agency]])),COLUMNS($F$7:X$7))))</f>
        <v/>
      </c>
      <c r="Y991" s="2223" t="str" cm="1">
        <f t="array" ref="Y991">IF($D991&lt;COLUMNS($F$7:Y$7),"",INDEX(TableDiv[[GASB]:[GASB]],_xlfn.AGGREGATE(15,3,(TableDiv[[Agency]:[Agency]]=$E991)/(TableDiv[[Agency]:[Agency]]=$E991)*(ROW(TableDiv[Agency])-ROW(TableDiv[[#Headers],[Agency]])),COLUMNS($F$7:Y$7))))</f>
        <v/>
      </c>
      <c r="Z991" s="2223" t="str" cm="1">
        <f t="array" ref="Z991">IF($D991&lt;COLUMNS($F$7:Z$7),"",INDEX(TableDiv[[GASB]:[GASB]],_xlfn.AGGREGATE(15,3,(TableDiv[[Agency]:[Agency]]=$E991)/(TableDiv[[Agency]:[Agency]]=$E991)*(ROW(TableDiv[Agency])-ROW(TableDiv[[#Headers],[Agency]])),COLUMNS($F$7:Z$7))))</f>
        <v/>
      </c>
      <c r="AA991" s="2223" t="str" cm="1">
        <f t="array" ref="AA991">IF($D991&lt;COLUMNS($F$7:AA$7),"",INDEX(TableDiv[[GASB]:[GASB]],_xlfn.AGGREGATE(15,3,(TableDiv[[Agency]:[Agency]]=$E991)/(TableDiv[[Agency]:[Agency]]=$E991)*(ROW(TableDiv[Agency])-ROW(TableDiv[[#Headers],[Agency]])),COLUMNS($F$7:AA$7))))</f>
        <v/>
      </c>
      <c r="AB991" s="2223" t="str" cm="1">
        <f t="array" ref="AB991">IF($D991&lt;COLUMNS($F$7:AB$7),"",INDEX(TableDiv[[GASB]:[GASB]],_xlfn.AGGREGATE(15,3,(TableDiv[[Agency]:[Agency]]=$E991)/(TableDiv[[Agency]:[Agency]]=$E991)*(ROW(TableDiv[Agency])-ROW(TableDiv[[#Headers],[Agency]])),COLUMNS($F$7:AB$7))))</f>
        <v/>
      </c>
      <c r="AC991" s="2223" t="str" cm="1">
        <f t="array" ref="AC991">IF($D991&lt;COLUMNS($F$7:AC$7),"",INDEX(TableDiv[[GASB]:[GASB]],_xlfn.AGGREGATE(15,3,(TableDiv[[Agency]:[Agency]]=$E991)/(TableDiv[[Agency]:[Agency]]=$E991)*(ROW(TableDiv[Agency])-ROW(TableDiv[[#Headers],[Agency]])),COLUMNS($F$7:AC$7))))</f>
        <v/>
      </c>
      <c r="AD991" s="2223" t="str" cm="1">
        <f t="array" ref="AD991">IF($D991&lt;COLUMNS($F$7:AD$7),"",INDEX(TableDiv[[GASB]:[GASB]],_xlfn.AGGREGATE(15,3,(TableDiv[[Agency]:[Agency]]=$E991)/(TableDiv[[Agency]:[Agency]]=$E991)*(ROW(TableDiv[Agency])-ROW(TableDiv[[#Headers],[Agency]])),COLUMNS($F$7:AD$7))))</f>
        <v/>
      </c>
      <c r="AE991" s="2223" t="str" cm="1">
        <f t="array" ref="AE991">IF($D991&lt;COLUMNS($F$7:AE$7),"",INDEX(TableDiv[[GASB]:[GASB]],_xlfn.AGGREGATE(15,3,(TableDiv[[Agency]:[Agency]]=$E991)/(TableDiv[[Agency]:[Agency]]=$E991)*(ROW(TableDiv[Agency])-ROW(TableDiv[[#Headers],[Agency]])),COLUMNS($F$7:AE$7))))</f>
        <v/>
      </c>
      <c r="AF991" s="2223" t="str" cm="1">
        <f t="array" ref="AF991">IF($D991&lt;COLUMNS($F$7:AF$7),"",INDEX(TableDiv[[GASB]:[GASB]],_xlfn.AGGREGATE(15,3,(TableDiv[[Agency]:[Agency]]=$E991)/(TableDiv[[Agency]:[Agency]]=$E991)*(ROW(TableDiv[Agency])-ROW(TableDiv[[#Headers],[Agency]])),COLUMNS($F$7:AF$7))))</f>
        <v/>
      </c>
      <c r="AG991" s="2223" t="str" cm="1">
        <f t="array" ref="AG991">IF($D991&lt;COLUMNS($F$7:AG$7),"",INDEX(TableDiv[[GASB]:[GASB]],_xlfn.AGGREGATE(15,3,(TableDiv[[Agency]:[Agency]]=$E991)/(TableDiv[[Agency]:[Agency]]=$E991)*(ROW(TableDiv[Agency])-ROW(TableDiv[[#Headers],[Agency]])),COLUMNS($F$7:AG$7))))</f>
        <v/>
      </c>
      <c r="AH991" s="2223" t="str" cm="1">
        <f t="array" ref="AH991">IF($D991&lt;COLUMNS($F$7:AH$7),"",INDEX(TableDiv[[GASB]:[GASB]],_xlfn.AGGREGATE(15,3,(TableDiv[[Agency]:[Agency]]=$E991)/(TableDiv[[Agency]:[Agency]]=$E991)*(ROW(TableDiv[Agency])-ROW(TableDiv[[#Headers],[Agency]])),COLUMNS($F$7:AH$7))))</f>
        <v/>
      </c>
      <c r="AI991" s="2223" t="str" cm="1">
        <f t="array" ref="AI991">IF($D991&lt;COLUMNS($F$7:AI$7),"",INDEX(TableDiv[[GASB]:[GASB]],_xlfn.AGGREGATE(15,3,(TableDiv[[Agency]:[Agency]]=$E991)/(TableDiv[[Agency]:[Agency]]=$E991)*(ROW(TableDiv[Agency])-ROW(TableDiv[[#Headers],[Agency]])),COLUMNS($F$7:AI$7))))</f>
        <v/>
      </c>
      <c r="AJ991" s="2223" t="str" cm="1">
        <f t="array" ref="AJ991">IF($D991&lt;COLUMNS($F$7:AJ$7),"",INDEX(TableDiv[[GASB]:[GASB]],_xlfn.AGGREGATE(15,3,(TableDiv[[Agency]:[Agency]]=$E991)/(TableDiv[[Agency]:[Agency]]=$E991)*(ROW(TableDiv[Agency])-ROW(TableDiv[[#Headers],[Agency]])),COLUMNS($F$7:AJ$7))))</f>
        <v/>
      </c>
      <c r="AK991" s="2223" t="str" cm="1">
        <f t="array" ref="AK991">IF($D991&lt;COLUMNS($F$7:AK$7),"",INDEX(TableDiv[[GASB]:[GASB]],_xlfn.AGGREGATE(15,3,(TableDiv[[Agency]:[Agency]]=$E991)/(TableDiv[[Agency]:[Agency]]=$E991)*(ROW(TableDiv[Agency])-ROW(TableDiv[[#Headers],[Agency]])),COLUMNS($F$7:AK$7))))</f>
        <v/>
      </c>
      <c r="AL991" s="2223" t="str" cm="1">
        <f t="array" ref="AL991">IF($D991&lt;COLUMNS($F$7:AL$7),"",INDEX(TableDiv[[GASB]:[GASB]],_xlfn.AGGREGATE(15,3,(TableDiv[[Agency]:[Agency]]=$E991)/(TableDiv[[Agency]:[Agency]]=$E991)*(ROW(TableDiv[Agency])-ROW(TableDiv[[#Headers],[Agency]])),COLUMNS($F$7:AL$7))))</f>
        <v/>
      </c>
      <c r="AM991" s="2223" t="str" cm="1">
        <f t="array" ref="AM991">IF($D991&lt;COLUMNS($F$7:AM$7),"",INDEX(TableDiv[[GASB]:[GASB]],_xlfn.AGGREGATE(15,3,(TableDiv[[Agency]:[Agency]]=$E991)/(TableDiv[[Agency]:[Agency]]=$E991)*(ROW(TableDiv[Agency])-ROW(TableDiv[[#Headers],[Agency]])),COLUMNS($F$7:AM$7))))</f>
        <v/>
      </c>
      <c r="AN991" s="2223"/>
      <c r="AO991" s="2223"/>
      <c r="AP991" s="2223"/>
      <c r="AQ991" s="2223"/>
      <c r="AR991" s="2223"/>
      <c r="AS991" s="2223"/>
    </row>
    <row r="992" spans="1:45" x14ac:dyDescent="0.2">
      <c r="A992" s="2223"/>
      <c r="B992" s="2223"/>
      <c r="C992" s="2223"/>
      <c r="W992" s="2223" t="str" cm="1">
        <f t="array" ref="W992">IF($D992&lt;COLUMNS($F$7:W$7),"",INDEX(TableDiv[[GASB]:[GASB]],_xlfn.AGGREGATE(15,3,(TableDiv[[Agency]:[Agency]]=$E992)/(TableDiv[[Agency]:[Agency]]=$E992)*(ROW(TableDiv[Agency])-ROW(TableDiv[[#Headers],[Agency]])),COLUMNS($F$7:W$7))))</f>
        <v/>
      </c>
      <c r="X992" s="2223" t="str" cm="1">
        <f t="array" ref="X992">IF($D992&lt;COLUMNS($F$7:X$7),"",INDEX(TableDiv[[GASB]:[GASB]],_xlfn.AGGREGATE(15,3,(TableDiv[[Agency]:[Agency]]=$E992)/(TableDiv[[Agency]:[Agency]]=$E992)*(ROW(TableDiv[Agency])-ROW(TableDiv[[#Headers],[Agency]])),COLUMNS($F$7:X$7))))</f>
        <v/>
      </c>
      <c r="Y992" s="2223" t="str" cm="1">
        <f t="array" ref="Y992">IF($D992&lt;COLUMNS($F$7:Y$7),"",INDEX(TableDiv[[GASB]:[GASB]],_xlfn.AGGREGATE(15,3,(TableDiv[[Agency]:[Agency]]=$E992)/(TableDiv[[Agency]:[Agency]]=$E992)*(ROW(TableDiv[Agency])-ROW(TableDiv[[#Headers],[Agency]])),COLUMNS($F$7:Y$7))))</f>
        <v/>
      </c>
      <c r="Z992" s="2223" t="str" cm="1">
        <f t="array" ref="Z992">IF($D992&lt;COLUMNS($F$7:Z$7),"",INDEX(TableDiv[[GASB]:[GASB]],_xlfn.AGGREGATE(15,3,(TableDiv[[Agency]:[Agency]]=$E992)/(TableDiv[[Agency]:[Agency]]=$E992)*(ROW(TableDiv[Agency])-ROW(TableDiv[[#Headers],[Agency]])),COLUMNS($F$7:Z$7))))</f>
        <v/>
      </c>
      <c r="AA992" s="2223" t="str" cm="1">
        <f t="array" ref="AA992">IF($D992&lt;COLUMNS($F$7:AA$7),"",INDEX(TableDiv[[GASB]:[GASB]],_xlfn.AGGREGATE(15,3,(TableDiv[[Agency]:[Agency]]=$E992)/(TableDiv[[Agency]:[Agency]]=$E992)*(ROW(TableDiv[Agency])-ROW(TableDiv[[#Headers],[Agency]])),COLUMNS($F$7:AA$7))))</f>
        <v/>
      </c>
      <c r="AB992" s="2223" t="str" cm="1">
        <f t="array" ref="AB992">IF($D992&lt;COLUMNS($F$7:AB$7),"",INDEX(TableDiv[[GASB]:[GASB]],_xlfn.AGGREGATE(15,3,(TableDiv[[Agency]:[Agency]]=$E992)/(TableDiv[[Agency]:[Agency]]=$E992)*(ROW(TableDiv[Agency])-ROW(TableDiv[[#Headers],[Agency]])),COLUMNS($F$7:AB$7))))</f>
        <v/>
      </c>
      <c r="AC992" s="2223" t="str" cm="1">
        <f t="array" ref="AC992">IF($D992&lt;COLUMNS($F$7:AC$7),"",INDEX(TableDiv[[GASB]:[GASB]],_xlfn.AGGREGATE(15,3,(TableDiv[[Agency]:[Agency]]=$E992)/(TableDiv[[Agency]:[Agency]]=$E992)*(ROW(TableDiv[Agency])-ROW(TableDiv[[#Headers],[Agency]])),COLUMNS($F$7:AC$7))))</f>
        <v/>
      </c>
      <c r="AD992" s="2223" t="str" cm="1">
        <f t="array" ref="AD992">IF($D992&lt;COLUMNS($F$7:AD$7),"",INDEX(TableDiv[[GASB]:[GASB]],_xlfn.AGGREGATE(15,3,(TableDiv[[Agency]:[Agency]]=$E992)/(TableDiv[[Agency]:[Agency]]=$E992)*(ROW(TableDiv[Agency])-ROW(TableDiv[[#Headers],[Agency]])),COLUMNS($F$7:AD$7))))</f>
        <v/>
      </c>
      <c r="AE992" s="2223" t="str" cm="1">
        <f t="array" ref="AE992">IF($D992&lt;COLUMNS($F$7:AE$7),"",INDEX(TableDiv[[GASB]:[GASB]],_xlfn.AGGREGATE(15,3,(TableDiv[[Agency]:[Agency]]=$E992)/(TableDiv[[Agency]:[Agency]]=$E992)*(ROW(TableDiv[Agency])-ROW(TableDiv[[#Headers],[Agency]])),COLUMNS($F$7:AE$7))))</f>
        <v/>
      </c>
      <c r="AF992" s="2223" t="str" cm="1">
        <f t="array" ref="AF992">IF($D992&lt;COLUMNS($F$7:AF$7),"",INDEX(TableDiv[[GASB]:[GASB]],_xlfn.AGGREGATE(15,3,(TableDiv[[Agency]:[Agency]]=$E992)/(TableDiv[[Agency]:[Agency]]=$E992)*(ROW(TableDiv[Agency])-ROW(TableDiv[[#Headers],[Agency]])),COLUMNS($F$7:AF$7))))</f>
        <v/>
      </c>
      <c r="AG992" s="2223" t="str" cm="1">
        <f t="array" ref="AG992">IF($D992&lt;COLUMNS($F$7:AG$7),"",INDEX(TableDiv[[GASB]:[GASB]],_xlfn.AGGREGATE(15,3,(TableDiv[[Agency]:[Agency]]=$E992)/(TableDiv[[Agency]:[Agency]]=$E992)*(ROW(TableDiv[Agency])-ROW(TableDiv[[#Headers],[Agency]])),COLUMNS($F$7:AG$7))))</f>
        <v/>
      </c>
      <c r="AH992" s="2223" t="str" cm="1">
        <f t="array" ref="AH992">IF($D992&lt;COLUMNS($F$7:AH$7),"",INDEX(TableDiv[[GASB]:[GASB]],_xlfn.AGGREGATE(15,3,(TableDiv[[Agency]:[Agency]]=$E992)/(TableDiv[[Agency]:[Agency]]=$E992)*(ROW(TableDiv[Agency])-ROW(TableDiv[[#Headers],[Agency]])),COLUMNS($F$7:AH$7))))</f>
        <v/>
      </c>
      <c r="AI992" s="2223" t="str" cm="1">
        <f t="array" ref="AI992">IF($D992&lt;COLUMNS($F$7:AI$7),"",INDEX(TableDiv[[GASB]:[GASB]],_xlfn.AGGREGATE(15,3,(TableDiv[[Agency]:[Agency]]=$E992)/(TableDiv[[Agency]:[Agency]]=$E992)*(ROW(TableDiv[Agency])-ROW(TableDiv[[#Headers],[Agency]])),COLUMNS($F$7:AI$7))))</f>
        <v/>
      </c>
      <c r="AJ992" s="2223" t="str" cm="1">
        <f t="array" ref="AJ992">IF($D992&lt;COLUMNS($F$7:AJ$7),"",INDEX(TableDiv[[GASB]:[GASB]],_xlfn.AGGREGATE(15,3,(TableDiv[[Agency]:[Agency]]=$E992)/(TableDiv[[Agency]:[Agency]]=$E992)*(ROW(TableDiv[Agency])-ROW(TableDiv[[#Headers],[Agency]])),COLUMNS($F$7:AJ$7))))</f>
        <v/>
      </c>
      <c r="AK992" s="2223" t="str" cm="1">
        <f t="array" ref="AK992">IF($D992&lt;COLUMNS($F$7:AK$7),"",INDEX(TableDiv[[GASB]:[GASB]],_xlfn.AGGREGATE(15,3,(TableDiv[[Agency]:[Agency]]=$E992)/(TableDiv[[Agency]:[Agency]]=$E992)*(ROW(TableDiv[Agency])-ROW(TableDiv[[#Headers],[Agency]])),COLUMNS($F$7:AK$7))))</f>
        <v/>
      </c>
      <c r="AL992" s="2223" t="str" cm="1">
        <f t="array" ref="AL992">IF($D992&lt;COLUMNS($F$7:AL$7),"",INDEX(TableDiv[[GASB]:[GASB]],_xlfn.AGGREGATE(15,3,(TableDiv[[Agency]:[Agency]]=$E992)/(TableDiv[[Agency]:[Agency]]=$E992)*(ROW(TableDiv[Agency])-ROW(TableDiv[[#Headers],[Agency]])),COLUMNS($F$7:AL$7))))</f>
        <v/>
      </c>
      <c r="AM992" s="2223" t="str" cm="1">
        <f t="array" ref="AM992">IF($D992&lt;COLUMNS($F$7:AM$7),"",INDEX(TableDiv[[GASB]:[GASB]],_xlfn.AGGREGATE(15,3,(TableDiv[[Agency]:[Agency]]=$E992)/(TableDiv[[Agency]:[Agency]]=$E992)*(ROW(TableDiv[Agency])-ROW(TableDiv[[#Headers],[Agency]])),COLUMNS($F$7:AM$7))))</f>
        <v/>
      </c>
      <c r="AN992" s="2223"/>
      <c r="AO992" s="2223"/>
      <c r="AP992" s="2223"/>
      <c r="AQ992" s="2223"/>
      <c r="AR992" s="2223"/>
      <c r="AS992" s="2223"/>
    </row>
    <row r="993" spans="1:45" x14ac:dyDescent="0.2">
      <c r="A993" s="2223"/>
      <c r="B993" s="2223"/>
      <c r="C993" s="2223"/>
      <c r="W993" s="2223" t="str" cm="1">
        <f t="array" ref="W993">IF($D993&lt;COLUMNS($F$7:W$7),"",INDEX(TableDiv[[GASB]:[GASB]],_xlfn.AGGREGATE(15,3,(TableDiv[[Agency]:[Agency]]=$E993)/(TableDiv[[Agency]:[Agency]]=$E993)*(ROW(TableDiv[Agency])-ROW(TableDiv[[#Headers],[Agency]])),COLUMNS($F$7:W$7))))</f>
        <v/>
      </c>
      <c r="X993" s="2223" t="str" cm="1">
        <f t="array" ref="X993">IF($D993&lt;COLUMNS($F$7:X$7),"",INDEX(TableDiv[[GASB]:[GASB]],_xlfn.AGGREGATE(15,3,(TableDiv[[Agency]:[Agency]]=$E993)/(TableDiv[[Agency]:[Agency]]=$E993)*(ROW(TableDiv[Agency])-ROW(TableDiv[[#Headers],[Agency]])),COLUMNS($F$7:X$7))))</f>
        <v/>
      </c>
      <c r="Y993" s="2223" t="str" cm="1">
        <f t="array" ref="Y993">IF($D993&lt;COLUMNS($F$7:Y$7),"",INDEX(TableDiv[[GASB]:[GASB]],_xlfn.AGGREGATE(15,3,(TableDiv[[Agency]:[Agency]]=$E993)/(TableDiv[[Agency]:[Agency]]=$E993)*(ROW(TableDiv[Agency])-ROW(TableDiv[[#Headers],[Agency]])),COLUMNS($F$7:Y$7))))</f>
        <v/>
      </c>
      <c r="Z993" s="2223" t="str" cm="1">
        <f t="array" ref="Z993">IF($D993&lt;COLUMNS($F$7:Z$7),"",INDEX(TableDiv[[GASB]:[GASB]],_xlfn.AGGREGATE(15,3,(TableDiv[[Agency]:[Agency]]=$E993)/(TableDiv[[Agency]:[Agency]]=$E993)*(ROW(TableDiv[Agency])-ROW(TableDiv[[#Headers],[Agency]])),COLUMNS($F$7:Z$7))))</f>
        <v/>
      </c>
      <c r="AA993" s="2223" t="str" cm="1">
        <f t="array" ref="AA993">IF($D993&lt;COLUMNS($F$7:AA$7),"",INDEX(TableDiv[[GASB]:[GASB]],_xlfn.AGGREGATE(15,3,(TableDiv[[Agency]:[Agency]]=$E993)/(TableDiv[[Agency]:[Agency]]=$E993)*(ROW(TableDiv[Agency])-ROW(TableDiv[[#Headers],[Agency]])),COLUMNS($F$7:AA$7))))</f>
        <v/>
      </c>
      <c r="AB993" s="2223" t="str" cm="1">
        <f t="array" ref="AB993">IF($D993&lt;COLUMNS($F$7:AB$7),"",INDEX(TableDiv[[GASB]:[GASB]],_xlfn.AGGREGATE(15,3,(TableDiv[[Agency]:[Agency]]=$E993)/(TableDiv[[Agency]:[Agency]]=$E993)*(ROW(TableDiv[Agency])-ROW(TableDiv[[#Headers],[Agency]])),COLUMNS($F$7:AB$7))))</f>
        <v/>
      </c>
      <c r="AC993" s="2223" t="str" cm="1">
        <f t="array" ref="AC993">IF($D993&lt;COLUMNS($F$7:AC$7),"",INDEX(TableDiv[[GASB]:[GASB]],_xlfn.AGGREGATE(15,3,(TableDiv[[Agency]:[Agency]]=$E993)/(TableDiv[[Agency]:[Agency]]=$E993)*(ROW(TableDiv[Agency])-ROW(TableDiv[[#Headers],[Agency]])),COLUMNS($F$7:AC$7))))</f>
        <v/>
      </c>
      <c r="AD993" s="2223" t="str" cm="1">
        <f t="array" ref="AD993">IF($D993&lt;COLUMNS($F$7:AD$7),"",INDEX(TableDiv[[GASB]:[GASB]],_xlfn.AGGREGATE(15,3,(TableDiv[[Agency]:[Agency]]=$E993)/(TableDiv[[Agency]:[Agency]]=$E993)*(ROW(TableDiv[Agency])-ROW(TableDiv[[#Headers],[Agency]])),COLUMNS($F$7:AD$7))))</f>
        <v/>
      </c>
      <c r="AE993" s="2223" t="str" cm="1">
        <f t="array" ref="AE993">IF($D993&lt;COLUMNS($F$7:AE$7),"",INDEX(TableDiv[[GASB]:[GASB]],_xlfn.AGGREGATE(15,3,(TableDiv[[Agency]:[Agency]]=$E993)/(TableDiv[[Agency]:[Agency]]=$E993)*(ROW(TableDiv[Agency])-ROW(TableDiv[[#Headers],[Agency]])),COLUMNS($F$7:AE$7))))</f>
        <v/>
      </c>
      <c r="AF993" s="2223" t="str" cm="1">
        <f t="array" ref="AF993">IF($D993&lt;COLUMNS($F$7:AF$7),"",INDEX(TableDiv[[GASB]:[GASB]],_xlfn.AGGREGATE(15,3,(TableDiv[[Agency]:[Agency]]=$E993)/(TableDiv[[Agency]:[Agency]]=$E993)*(ROW(TableDiv[Agency])-ROW(TableDiv[[#Headers],[Agency]])),COLUMNS($F$7:AF$7))))</f>
        <v/>
      </c>
      <c r="AG993" s="2223" t="str" cm="1">
        <f t="array" ref="AG993">IF($D993&lt;COLUMNS($F$7:AG$7),"",INDEX(TableDiv[[GASB]:[GASB]],_xlfn.AGGREGATE(15,3,(TableDiv[[Agency]:[Agency]]=$E993)/(TableDiv[[Agency]:[Agency]]=$E993)*(ROW(TableDiv[Agency])-ROW(TableDiv[[#Headers],[Agency]])),COLUMNS($F$7:AG$7))))</f>
        <v/>
      </c>
      <c r="AH993" s="2223" t="str" cm="1">
        <f t="array" ref="AH993">IF($D993&lt;COLUMNS($F$7:AH$7),"",INDEX(TableDiv[[GASB]:[GASB]],_xlfn.AGGREGATE(15,3,(TableDiv[[Agency]:[Agency]]=$E993)/(TableDiv[[Agency]:[Agency]]=$E993)*(ROW(TableDiv[Agency])-ROW(TableDiv[[#Headers],[Agency]])),COLUMNS($F$7:AH$7))))</f>
        <v/>
      </c>
      <c r="AI993" s="2223" t="str" cm="1">
        <f t="array" ref="AI993">IF($D993&lt;COLUMNS($F$7:AI$7),"",INDEX(TableDiv[[GASB]:[GASB]],_xlfn.AGGREGATE(15,3,(TableDiv[[Agency]:[Agency]]=$E993)/(TableDiv[[Agency]:[Agency]]=$E993)*(ROW(TableDiv[Agency])-ROW(TableDiv[[#Headers],[Agency]])),COLUMNS($F$7:AI$7))))</f>
        <v/>
      </c>
      <c r="AJ993" s="2223" t="str" cm="1">
        <f t="array" ref="AJ993">IF($D993&lt;COLUMNS($F$7:AJ$7),"",INDEX(TableDiv[[GASB]:[GASB]],_xlfn.AGGREGATE(15,3,(TableDiv[[Agency]:[Agency]]=$E993)/(TableDiv[[Agency]:[Agency]]=$E993)*(ROW(TableDiv[Agency])-ROW(TableDiv[[#Headers],[Agency]])),COLUMNS($F$7:AJ$7))))</f>
        <v/>
      </c>
      <c r="AK993" s="2223" t="str" cm="1">
        <f t="array" ref="AK993">IF($D993&lt;COLUMNS($F$7:AK$7),"",INDEX(TableDiv[[GASB]:[GASB]],_xlfn.AGGREGATE(15,3,(TableDiv[[Agency]:[Agency]]=$E993)/(TableDiv[[Agency]:[Agency]]=$E993)*(ROW(TableDiv[Agency])-ROW(TableDiv[[#Headers],[Agency]])),COLUMNS($F$7:AK$7))))</f>
        <v/>
      </c>
      <c r="AL993" s="2223" t="str" cm="1">
        <f t="array" ref="AL993">IF($D993&lt;COLUMNS($F$7:AL$7),"",INDEX(TableDiv[[GASB]:[GASB]],_xlfn.AGGREGATE(15,3,(TableDiv[[Agency]:[Agency]]=$E993)/(TableDiv[[Agency]:[Agency]]=$E993)*(ROW(TableDiv[Agency])-ROW(TableDiv[[#Headers],[Agency]])),COLUMNS($F$7:AL$7))))</f>
        <v/>
      </c>
      <c r="AM993" s="2223" t="str" cm="1">
        <f t="array" ref="AM993">IF($D993&lt;COLUMNS($F$7:AM$7),"",INDEX(TableDiv[[GASB]:[GASB]],_xlfn.AGGREGATE(15,3,(TableDiv[[Agency]:[Agency]]=$E993)/(TableDiv[[Agency]:[Agency]]=$E993)*(ROW(TableDiv[Agency])-ROW(TableDiv[[#Headers],[Agency]])),COLUMNS($F$7:AM$7))))</f>
        <v/>
      </c>
      <c r="AN993" s="2223"/>
      <c r="AO993" s="2223"/>
      <c r="AP993" s="2223"/>
      <c r="AQ993" s="2223"/>
      <c r="AR993" s="2223"/>
      <c r="AS993" s="2223"/>
    </row>
    <row r="994" spans="1:45" x14ac:dyDescent="0.2">
      <c r="A994" s="2223"/>
      <c r="B994" s="2223"/>
      <c r="C994" s="2223"/>
      <c r="W994" s="2223" t="str" cm="1">
        <f t="array" ref="W994">IF($D994&lt;COLUMNS($F$7:W$7),"",INDEX(TableDiv[[GASB]:[GASB]],_xlfn.AGGREGATE(15,3,(TableDiv[[Agency]:[Agency]]=$E994)/(TableDiv[[Agency]:[Agency]]=$E994)*(ROW(TableDiv[Agency])-ROW(TableDiv[[#Headers],[Agency]])),COLUMNS($F$7:W$7))))</f>
        <v/>
      </c>
      <c r="X994" s="2223" t="str" cm="1">
        <f t="array" ref="X994">IF($D994&lt;COLUMNS($F$7:X$7),"",INDEX(TableDiv[[GASB]:[GASB]],_xlfn.AGGREGATE(15,3,(TableDiv[[Agency]:[Agency]]=$E994)/(TableDiv[[Agency]:[Agency]]=$E994)*(ROW(TableDiv[Agency])-ROW(TableDiv[[#Headers],[Agency]])),COLUMNS($F$7:X$7))))</f>
        <v/>
      </c>
      <c r="Y994" s="2223" t="str" cm="1">
        <f t="array" ref="Y994">IF($D994&lt;COLUMNS($F$7:Y$7),"",INDEX(TableDiv[[GASB]:[GASB]],_xlfn.AGGREGATE(15,3,(TableDiv[[Agency]:[Agency]]=$E994)/(TableDiv[[Agency]:[Agency]]=$E994)*(ROW(TableDiv[Agency])-ROW(TableDiv[[#Headers],[Agency]])),COLUMNS($F$7:Y$7))))</f>
        <v/>
      </c>
      <c r="Z994" s="2223" t="str" cm="1">
        <f t="array" ref="Z994">IF($D994&lt;COLUMNS($F$7:Z$7),"",INDEX(TableDiv[[GASB]:[GASB]],_xlfn.AGGREGATE(15,3,(TableDiv[[Agency]:[Agency]]=$E994)/(TableDiv[[Agency]:[Agency]]=$E994)*(ROW(TableDiv[Agency])-ROW(TableDiv[[#Headers],[Agency]])),COLUMNS($F$7:Z$7))))</f>
        <v/>
      </c>
      <c r="AA994" s="2223" t="str" cm="1">
        <f t="array" ref="AA994">IF($D994&lt;COLUMNS($F$7:AA$7),"",INDEX(TableDiv[[GASB]:[GASB]],_xlfn.AGGREGATE(15,3,(TableDiv[[Agency]:[Agency]]=$E994)/(TableDiv[[Agency]:[Agency]]=$E994)*(ROW(TableDiv[Agency])-ROW(TableDiv[[#Headers],[Agency]])),COLUMNS($F$7:AA$7))))</f>
        <v/>
      </c>
      <c r="AB994" s="2223" t="str" cm="1">
        <f t="array" ref="AB994">IF($D994&lt;COLUMNS($F$7:AB$7),"",INDEX(TableDiv[[GASB]:[GASB]],_xlfn.AGGREGATE(15,3,(TableDiv[[Agency]:[Agency]]=$E994)/(TableDiv[[Agency]:[Agency]]=$E994)*(ROW(TableDiv[Agency])-ROW(TableDiv[[#Headers],[Agency]])),COLUMNS($F$7:AB$7))))</f>
        <v/>
      </c>
      <c r="AC994" s="2223" t="str" cm="1">
        <f t="array" ref="AC994">IF($D994&lt;COLUMNS($F$7:AC$7),"",INDEX(TableDiv[[GASB]:[GASB]],_xlfn.AGGREGATE(15,3,(TableDiv[[Agency]:[Agency]]=$E994)/(TableDiv[[Agency]:[Agency]]=$E994)*(ROW(TableDiv[Agency])-ROW(TableDiv[[#Headers],[Agency]])),COLUMNS($F$7:AC$7))))</f>
        <v/>
      </c>
      <c r="AD994" s="2223" t="str" cm="1">
        <f t="array" ref="AD994">IF($D994&lt;COLUMNS($F$7:AD$7),"",INDEX(TableDiv[[GASB]:[GASB]],_xlfn.AGGREGATE(15,3,(TableDiv[[Agency]:[Agency]]=$E994)/(TableDiv[[Agency]:[Agency]]=$E994)*(ROW(TableDiv[Agency])-ROW(TableDiv[[#Headers],[Agency]])),COLUMNS($F$7:AD$7))))</f>
        <v/>
      </c>
      <c r="AE994" s="2223" t="str" cm="1">
        <f t="array" ref="AE994">IF($D994&lt;COLUMNS($F$7:AE$7),"",INDEX(TableDiv[[GASB]:[GASB]],_xlfn.AGGREGATE(15,3,(TableDiv[[Agency]:[Agency]]=$E994)/(TableDiv[[Agency]:[Agency]]=$E994)*(ROW(TableDiv[Agency])-ROW(TableDiv[[#Headers],[Agency]])),COLUMNS($F$7:AE$7))))</f>
        <v/>
      </c>
      <c r="AF994" s="2223" t="str" cm="1">
        <f t="array" ref="AF994">IF($D994&lt;COLUMNS($F$7:AF$7),"",INDEX(TableDiv[[GASB]:[GASB]],_xlfn.AGGREGATE(15,3,(TableDiv[[Agency]:[Agency]]=$E994)/(TableDiv[[Agency]:[Agency]]=$E994)*(ROW(TableDiv[Agency])-ROW(TableDiv[[#Headers],[Agency]])),COLUMNS($F$7:AF$7))))</f>
        <v/>
      </c>
      <c r="AG994" s="2223" t="str" cm="1">
        <f t="array" ref="AG994">IF($D994&lt;COLUMNS($F$7:AG$7),"",INDEX(TableDiv[[GASB]:[GASB]],_xlfn.AGGREGATE(15,3,(TableDiv[[Agency]:[Agency]]=$E994)/(TableDiv[[Agency]:[Agency]]=$E994)*(ROW(TableDiv[Agency])-ROW(TableDiv[[#Headers],[Agency]])),COLUMNS($F$7:AG$7))))</f>
        <v/>
      </c>
      <c r="AH994" s="2223" t="str" cm="1">
        <f t="array" ref="AH994">IF($D994&lt;COLUMNS($F$7:AH$7),"",INDEX(TableDiv[[GASB]:[GASB]],_xlfn.AGGREGATE(15,3,(TableDiv[[Agency]:[Agency]]=$E994)/(TableDiv[[Agency]:[Agency]]=$E994)*(ROW(TableDiv[Agency])-ROW(TableDiv[[#Headers],[Agency]])),COLUMNS($F$7:AH$7))))</f>
        <v/>
      </c>
      <c r="AI994" s="2223" t="str" cm="1">
        <f t="array" ref="AI994">IF($D994&lt;COLUMNS($F$7:AI$7),"",INDEX(TableDiv[[GASB]:[GASB]],_xlfn.AGGREGATE(15,3,(TableDiv[[Agency]:[Agency]]=$E994)/(TableDiv[[Agency]:[Agency]]=$E994)*(ROW(TableDiv[Agency])-ROW(TableDiv[[#Headers],[Agency]])),COLUMNS($F$7:AI$7))))</f>
        <v/>
      </c>
      <c r="AJ994" s="2223" t="str" cm="1">
        <f t="array" ref="AJ994">IF($D994&lt;COLUMNS($F$7:AJ$7),"",INDEX(TableDiv[[GASB]:[GASB]],_xlfn.AGGREGATE(15,3,(TableDiv[[Agency]:[Agency]]=$E994)/(TableDiv[[Agency]:[Agency]]=$E994)*(ROW(TableDiv[Agency])-ROW(TableDiv[[#Headers],[Agency]])),COLUMNS($F$7:AJ$7))))</f>
        <v/>
      </c>
      <c r="AK994" s="2223" t="str" cm="1">
        <f t="array" ref="AK994">IF($D994&lt;COLUMNS($F$7:AK$7),"",INDEX(TableDiv[[GASB]:[GASB]],_xlfn.AGGREGATE(15,3,(TableDiv[[Agency]:[Agency]]=$E994)/(TableDiv[[Agency]:[Agency]]=$E994)*(ROW(TableDiv[Agency])-ROW(TableDiv[[#Headers],[Agency]])),COLUMNS($F$7:AK$7))))</f>
        <v/>
      </c>
      <c r="AL994" s="2223" t="str" cm="1">
        <f t="array" ref="AL994">IF($D994&lt;COLUMNS($F$7:AL$7),"",INDEX(TableDiv[[GASB]:[GASB]],_xlfn.AGGREGATE(15,3,(TableDiv[[Agency]:[Agency]]=$E994)/(TableDiv[[Agency]:[Agency]]=$E994)*(ROW(TableDiv[Agency])-ROW(TableDiv[[#Headers],[Agency]])),COLUMNS($F$7:AL$7))))</f>
        <v/>
      </c>
      <c r="AM994" s="2223" t="str" cm="1">
        <f t="array" ref="AM994">IF($D994&lt;COLUMNS($F$7:AM$7),"",INDEX(TableDiv[[GASB]:[GASB]],_xlfn.AGGREGATE(15,3,(TableDiv[[Agency]:[Agency]]=$E994)/(TableDiv[[Agency]:[Agency]]=$E994)*(ROW(TableDiv[Agency])-ROW(TableDiv[[#Headers],[Agency]])),COLUMNS($F$7:AM$7))))</f>
        <v/>
      </c>
      <c r="AN994" s="2223"/>
      <c r="AO994" s="2223"/>
      <c r="AP994" s="2223"/>
      <c r="AQ994" s="2223"/>
      <c r="AR994" s="2223"/>
      <c r="AS994" s="2223"/>
    </row>
    <row r="995" spans="1:45" x14ac:dyDescent="0.2">
      <c r="A995" s="2223"/>
      <c r="B995" s="2223"/>
      <c r="C995" s="2223"/>
      <c r="W995" s="2223" t="str" cm="1">
        <f t="array" ref="W995">IF($D995&lt;COLUMNS($F$7:W$7),"",INDEX(TableDiv[[GASB]:[GASB]],_xlfn.AGGREGATE(15,3,(TableDiv[[Agency]:[Agency]]=$E995)/(TableDiv[[Agency]:[Agency]]=$E995)*(ROW(TableDiv[Agency])-ROW(TableDiv[[#Headers],[Agency]])),COLUMNS($F$7:W$7))))</f>
        <v/>
      </c>
      <c r="X995" s="2223" t="str" cm="1">
        <f t="array" ref="X995">IF($D995&lt;COLUMNS($F$7:X$7),"",INDEX(TableDiv[[GASB]:[GASB]],_xlfn.AGGREGATE(15,3,(TableDiv[[Agency]:[Agency]]=$E995)/(TableDiv[[Agency]:[Agency]]=$E995)*(ROW(TableDiv[Agency])-ROW(TableDiv[[#Headers],[Agency]])),COLUMNS($F$7:X$7))))</f>
        <v/>
      </c>
      <c r="Y995" s="2223" t="str" cm="1">
        <f t="array" ref="Y995">IF($D995&lt;COLUMNS($F$7:Y$7),"",INDEX(TableDiv[[GASB]:[GASB]],_xlfn.AGGREGATE(15,3,(TableDiv[[Agency]:[Agency]]=$E995)/(TableDiv[[Agency]:[Agency]]=$E995)*(ROW(TableDiv[Agency])-ROW(TableDiv[[#Headers],[Agency]])),COLUMNS($F$7:Y$7))))</f>
        <v/>
      </c>
      <c r="Z995" s="2223" t="str" cm="1">
        <f t="array" ref="Z995">IF($D995&lt;COLUMNS($F$7:Z$7),"",INDEX(TableDiv[[GASB]:[GASB]],_xlfn.AGGREGATE(15,3,(TableDiv[[Agency]:[Agency]]=$E995)/(TableDiv[[Agency]:[Agency]]=$E995)*(ROW(TableDiv[Agency])-ROW(TableDiv[[#Headers],[Agency]])),COLUMNS($F$7:Z$7))))</f>
        <v/>
      </c>
      <c r="AA995" s="2223" t="str" cm="1">
        <f t="array" ref="AA995">IF($D995&lt;COLUMNS($F$7:AA$7),"",INDEX(TableDiv[[GASB]:[GASB]],_xlfn.AGGREGATE(15,3,(TableDiv[[Agency]:[Agency]]=$E995)/(TableDiv[[Agency]:[Agency]]=$E995)*(ROW(TableDiv[Agency])-ROW(TableDiv[[#Headers],[Agency]])),COLUMNS($F$7:AA$7))))</f>
        <v/>
      </c>
      <c r="AB995" s="2223" t="str" cm="1">
        <f t="array" ref="AB995">IF($D995&lt;COLUMNS($F$7:AB$7),"",INDEX(TableDiv[[GASB]:[GASB]],_xlfn.AGGREGATE(15,3,(TableDiv[[Agency]:[Agency]]=$E995)/(TableDiv[[Agency]:[Agency]]=$E995)*(ROW(TableDiv[Agency])-ROW(TableDiv[[#Headers],[Agency]])),COLUMNS($F$7:AB$7))))</f>
        <v/>
      </c>
      <c r="AC995" s="2223" t="str" cm="1">
        <f t="array" ref="AC995">IF($D995&lt;COLUMNS($F$7:AC$7),"",INDEX(TableDiv[[GASB]:[GASB]],_xlfn.AGGREGATE(15,3,(TableDiv[[Agency]:[Agency]]=$E995)/(TableDiv[[Agency]:[Agency]]=$E995)*(ROW(TableDiv[Agency])-ROW(TableDiv[[#Headers],[Agency]])),COLUMNS($F$7:AC$7))))</f>
        <v/>
      </c>
      <c r="AD995" s="2223" t="str" cm="1">
        <f t="array" ref="AD995">IF($D995&lt;COLUMNS($F$7:AD$7),"",INDEX(TableDiv[[GASB]:[GASB]],_xlfn.AGGREGATE(15,3,(TableDiv[[Agency]:[Agency]]=$E995)/(TableDiv[[Agency]:[Agency]]=$E995)*(ROW(TableDiv[Agency])-ROW(TableDiv[[#Headers],[Agency]])),COLUMNS($F$7:AD$7))))</f>
        <v/>
      </c>
      <c r="AE995" s="2223" t="str" cm="1">
        <f t="array" ref="AE995">IF($D995&lt;COLUMNS($F$7:AE$7),"",INDEX(TableDiv[[GASB]:[GASB]],_xlfn.AGGREGATE(15,3,(TableDiv[[Agency]:[Agency]]=$E995)/(TableDiv[[Agency]:[Agency]]=$E995)*(ROW(TableDiv[Agency])-ROW(TableDiv[[#Headers],[Agency]])),COLUMNS($F$7:AE$7))))</f>
        <v/>
      </c>
      <c r="AF995" s="2223" t="str" cm="1">
        <f t="array" ref="AF995">IF($D995&lt;COLUMNS($F$7:AF$7),"",INDEX(TableDiv[[GASB]:[GASB]],_xlfn.AGGREGATE(15,3,(TableDiv[[Agency]:[Agency]]=$E995)/(TableDiv[[Agency]:[Agency]]=$E995)*(ROW(TableDiv[Agency])-ROW(TableDiv[[#Headers],[Agency]])),COLUMNS($F$7:AF$7))))</f>
        <v/>
      </c>
      <c r="AG995" s="2223" t="str" cm="1">
        <f t="array" ref="AG995">IF($D995&lt;COLUMNS($F$7:AG$7),"",INDEX(TableDiv[[GASB]:[GASB]],_xlfn.AGGREGATE(15,3,(TableDiv[[Agency]:[Agency]]=$E995)/(TableDiv[[Agency]:[Agency]]=$E995)*(ROW(TableDiv[Agency])-ROW(TableDiv[[#Headers],[Agency]])),COLUMNS($F$7:AG$7))))</f>
        <v/>
      </c>
      <c r="AH995" s="2223" t="str" cm="1">
        <f t="array" ref="AH995">IF($D995&lt;COLUMNS($F$7:AH$7),"",INDEX(TableDiv[[GASB]:[GASB]],_xlfn.AGGREGATE(15,3,(TableDiv[[Agency]:[Agency]]=$E995)/(TableDiv[[Agency]:[Agency]]=$E995)*(ROW(TableDiv[Agency])-ROW(TableDiv[[#Headers],[Agency]])),COLUMNS($F$7:AH$7))))</f>
        <v/>
      </c>
      <c r="AI995" s="2223" t="str" cm="1">
        <f t="array" ref="AI995">IF($D995&lt;COLUMNS($F$7:AI$7),"",INDEX(TableDiv[[GASB]:[GASB]],_xlfn.AGGREGATE(15,3,(TableDiv[[Agency]:[Agency]]=$E995)/(TableDiv[[Agency]:[Agency]]=$E995)*(ROW(TableDiv[Agency])-ROW(TableDiv[[#Headers],[Agency]])),COLUMNS($F$7:AI$7))))</f>
        <v/>
      </c>
      <c r="AJ995" s="2223" t="str" cm="1">
        <f t="array" ref="AJ995">IF($D995&lt;COLUMNS($F$7:AJ$7),"",INDEX(TableDiv[[GASB]:[GASB]],_xlfn.AGGREGATE(15,3,(TableDiv[[Agency]:[Agency]]=$E995)/(TableDiv[[Agency]:[Agency]]=$E995)*(ROW(TableDiv[Agency])-ROW(TableDiv[[#Headers],[Agency]])),COLUMNS($F$7:AJ$7))))</f>
        <v/>
      </c>
      <c r="AK995" s="2223" t="str" cm="1">
        <f t="array" ref="AK995">IF($D995&lt;COLUMNS($F$7:AK$7),"",INDEX(TableDiv[[GASB]:[GASB]],_xlfn.AGGREGATE(15,3,(TableDiv[[Agency]:[Agency]]=$E995)/(TableDiv[[Agency]:[Agency]]=$E995)*(ROW(TableDiv[Agency])-ROW(TableDiv[[#Headers],[Agency]])),COLUMNS($F$7:AK$7))))</f>
        <v/>
      </c>
      <c r="AL995" s="2223" t="str" cm="1">
        <f t="array" ref="AL995">IF($D995&lt;COLUMNS($F$7:AL$7),"",INDEX(TableDiv[[GASB]:[GASB]],_xlfn.AGGREGATE(15,3,(TableDiv[[Agency]:[Agency]]=$E995)/(TableDiv[[Agency]:[Agency]]=$E995)*(ROW(TableDiv[Agency])-ROW(TableDiv[[#Headers],[Agency]])),COLUMNS($F$7:AL$7))))</f>
        <v/>
      </c>
      <c r="AM995" s="2223" t="str" cm="1">
        <f t="array" ref="AM995">IF($D995&lt;COLUMNS($F$7:AM$7),"",INDEX(TableDiv[[GASB]:[GASB]],_xlfn.AGGREGATE(15,3,(TableDiv[[Agency]:[Agency]]=$E995)/(TableDiv[[Agency]:[Agency]]=$E995)*(ROW(TableDiv[Agency])-ROW(TableDiv[[#Headers],[Agency]])),COLUMNS($F$7:AM$7))))</f>
        <v/>
      </c>
      <c r="AN995" s="2223"/>
      <c r="AO995" s="2223"/>
      <c r="AP995" s="2223"/>
      <c r="AQ995" s="2223"/>
      <c r="AR995" s="2223"/>
      <c r="AS995" s="2223"/>
    </row>
    <row r="996" spans="1:45" x14ac:dyDescent="0.2">
      <c r="A996" s="2223"/>
      <c r="B996" s="2223"/>
      <c r="C996" s="2223"/>
      <c r="W996" s="2223" t="str" cm="1">
        <f t="array" ref="W996">IF($D996&lt;COLUMNS($F$7:W$7),"",INDEX(TableDiv[[GASB]:[GASB]],_xlfn.AGGREGATE(15,3,(TableDiv[[Agency]:[Agency]]=$E996)/(TableDiv[[Agency]:[Agency]]=$E996)*(ROW(TableDiv[Agency])-ROW(TableDiv[[#Headers],[Agency]])),COLUMNS($F$7:W$7))))</f>
        <v/>
      </c>
      <c r="X996" s="2223" t="str" cm="1">
        <f t="array" ref="X996">IF($D996&lt;COLUMNS($F$7:X$7),"",INDEX(TableDiv[[GASB]:[GASB]],_xlfn.AGGREGATE(15,3,(TableDiv[[Agency]:[Agency]]=$E996)/(TableDiv[[Agency]:[Agency]]=$E996)*(ROW(TableDiv[Agency])-ROW(TableDiv[[#Headers],[Agency]])),COLUMNS($F$7:X$7))))</f>
        <v/>
      </c>
      <c r="Y996" s="2223" t="str" cm="1">
        <f t="array" ref="Y996">IF($D996&lt;COLUMNS($F$7:Y$7),"",INDEX(TableDiv[[GASB]:[GASB]],_xlfn.AGGREGATE(15,3,(TableDiv[[Agency]:[Agency]]=$E996)/(TableDiv[[Agency]:[Agency]]=$E996)*(ROW(TableDiv[Agency])-ROW(TableDiv[[#Headers],[Agency]])),COLUMNS($F$7:Y$7))))</f>
        <v/>
      </c>
      <c r="Z996" s="2223" t="str" cm="1">
        <f t="array" ref="Z996">IF($D996&lt;COLUMNS($F$7:Z$7),"",INDEX(TableDiv[[GASB]:[GASB]],_xlfn.AGGREGATE(15,3,(TableDiv[[Agency]:[Agency]]=$E996)/(TableDiv[[Agency]:[Agency]]=$E996)*(ROW(TableDiv[Agency])-ROW(TableDiv[[#Headers],[Agency]])),COLUMNS($F$7:Z$7))))</f>
        <v/>
      </c>
      <c r="AA996" s="2223" t="str" cm="1">
        <f t="array" ref="AA996">IF($D996&lt;COLUMNS($F$7:AA$7),"",INDEX(TableDiv[[GASB]:[GASB]],_xlfn.AGGREGATE(15,3,(TableDiv[[Agency]:[Agency]]=$E996)/(TableDiv[[Agency]:[Agency]]=$E996)*(ROW(TableDiv[Agency])-ROW(TableDiv[[#Headers],[Agency]])),COLUMNS($F$7:AA$7))))</f>
        <v/>
      </c>
      <c r="AB996" s="2223" t="str" cm="1">
        <f t="array" ref="AB996">IF($D996&lt;COLUMNS($F$7:AB$7),"",INDEX(TableDiv[[GASB]:[GASB]],_xlfn.AGGREGATE(15,3,(TableDiv[[Agency]:[Agency]]=$E996)/(TableDiv[[Agency]:[Agency]]=$E996)*(ROW(TableDiv[Agency])-ROW(TableDiv[[#Headers],[Agency]])),COLUMNS($F$7:AB$7))))</f>
        <v/>
      </c>
      <c r="AC996" s="2223" t="str" cm="1">
        <f t="array" ref="AC996">IF($D996&lt;COLUMNS($F$7:AC$7),"",INDEX(TableDiv[[GASB]:[GASB]],_xlfn.AGGREGATE(15,3,(TableDiv[[Agency]:[Agency]]=$E996)/(TableDiv[[Agency]:[Agency]]=$E996)*(ROW(TableDiv[Agency])-ROW(TableDiv[[#Headers],[Agency]])),COLUMNS($F$7:AC$7))))</f>
        <v/>
      </c>
      <c r="AD996" s="2223" t="str" cm="1">
        <f t="array" ref="AD996">IF($D996&lt;COLUMNS($F$7:AD$7),"",INDEX(TableDiv[[GASB]:[GASB]],_xlfn.AGGREGATE(15,3,(TableDiv[[Agency]:[Agency]]=$E996)/(TableDiv[[Agency]:[Agency]]=$E996)*(ROW(TableDiv[Agency])-ROW(TableDiv[[#Headers],[Agency]])),COLUMNS($F$7:AD$7))))</f>
        <v/>
      </c>
      <c r="AE996" s="2223" t="str" cm="1">
        <f t="array" ref="AE996">IF($D996&lt;COLUMNS($F$7:AE$7),"",INDEX(TableDiv[[GASB]:[GASB]],_xlfn.AGGREGATE(15,3,(TableDiv[[Agency]:[Agency]]=$E996)/(TableDiv[[Agency]:[Agency]]=$E996)*(ROW(TableDiv[Agency])-ROW(TableDiv[[#Headers],[Agency]])),COLUMNS($F$7:AE$7))))</f>
        <v/>
      </c>
      <c r="AF996" s="2223" t="str" cm="1">
        <f t="array" ref="AF996">IF($D996&lt;COLUMNS($F$7:AF$7),"",INDEX(TableDiv[[GASB]:[GASB]],_xlfn.AGGREGATE(15,3,(TableDiv[[Agency]:[Agency]]=$E996)/(TableDiv[[Agency]:[Agency]]=$E996)*(ROW(TableDiv[Agency])-ROW(TableDiv[[#Headers],[Agency]])),COLUMNS($F$7:AF$7))))</f>
        <v/>
      </c>
      <c r="AG996" s="2223" t="str" cm="1">
        <f t="array" ref="AG996">IF($D996&lt;COLUMNS($F$7:AG$7),"",INDEX(TableDiv[[GASB]:[GASB]],_xlfn.AGGREGATE(15,3,(TableDiv[[Agency]:[Agency]]=$E996)/(TableDiv[[Agency]:[Agency]]=$E996)*(ROW(TableDiv[Agency])-ROW(TableDiv[[#Headers],[Agency]])),COLUMNS($F$7:AG$7))))</f>
        <v/>
      </c>
      <c r="AH996" s="2223" t="str" cm="1">
        <f t="array" ref="AH996">IF($D996&lt;COLUMNS($F$7:AH$7),"",INDEX(TableDiv[[GASB]:[GASB]],_xlfn.AGGREGATE(15,3,(TableDiv[[Agency]:[Agency]]=$E996)/(TableDiv[[Agency]:[Agency]]=$E996)*(ROW(TableDiv[Agency])-ROW(TableDiv[[#Headers],[Agency]])),COLUMNS($F$7:AH$7))))</f>
        <v/>
      </c>
      <c r="AI996" s="2223" t="str" cm="1">
        <f t="array" ref="AI996">IF($D996&lt;COLUMNS($F$7:AI$7),"",INDEX(TableDiv[[GASB]:[GASB]],_xlfn.AGGREGATE(15,3,(TableDiv[[Agency]:[Agency]]=$E996)/(TableDiv[[Agency]:[Agency]]=$E996)*(ROW(TableDiv[Agency])-ROW(TableDiv[[#Headers],[Agency]])),COLUMNS($F$7:AI$7))))</f>
        <v/>
      </c>
      <c r="AJ996" s="2223" t="str" cm="1">
        <f t="array" ref="AJ996">IF($D996&lt;COLUMNS($F$7:AJ$7),"",INDEX(TableDiv[[GASB]:[GASB]],_xlfn.AGGREGATE(15,3,(TableDiv[[Agency]:[Agency]]=$E996)/(TableDiv[[Agency]:[Agency]]=$E996)*(ROW(TableDiv[Agency])-ROW(TableDiv[[#Headers],[Agency]])),COLUMNS($F$7:AJ$7))))</f>
        <v/>
      </c>
      <c r="AK996" s="2223" t="str" cm="1">
        <f t="array" ref="AK996">IF($D996&lt;COLUMNS($F$7:AK$7),"",INDEX(TableDiv[[GASB]:[GASB]],_xlfn.AGGREGATE(15,3,(TableDiv[[Agency]:[Agency]]=$E996)/(TableDiv[[Agency]:[Agency]]=$E996)*(ROW(TableDiv[Agency])-ROW(TableDiv[[#Headers],[Agency]])),COLUMNS($F$7:AK$7))))</f>
        <v/>
      </c>
      <c r="AL996" s="2223" t="str" cm="1">
        <f t="array" ref="AL996">IF($D996&lt;COLUMNS($F$7:AL$7),"",INDEX(TableDiv[[GASB]:[GASB]],_xlfn.AGGREGATE(15,3,(TableDiv[[Agency]:[Agency]]=$E996)/(TableDiv[[Agency]:[Agency]]=$E996)*(ROW(TableDiv[Agency])-ROW(TableDiv[[#Headers],[Agency]])),COLUMNS($F$7:AL$7))))</f>
        <v/>
      </c>
      <c r="AM996" s="2223" t="str" cm="1">
        <f t="array" ref="AM996">IF($D996&lt;COLUMNS($F$7:AM$7),"",INDEX(TableDiv[[GASB]:[GASB]],_xlfn.AGGREGATE(15,3,(TableDiv[[Agency]:[Agency]]=$E996)/(TableDiv[[Agency]:[Agency]]=$E996)*(ROW(TableDiv[Agency])-ROW(TableDiv[[#Headers],[Agency]])),COLUMNS($F$7:AM$7))))</f>
        <v/>
      </c>
      <c r="AN996" s="2223"/>
      <c r="AO996" s="2223"/>
      <c r="AP996" s="2223"/>
      <c r="AQ996" s="2223"/>
      <c r="AR996" s="2223"/>
      <c r="AS996" s="2223"/>
    </row>
    <row r="997" spans="1:45" x14ac:dyDescent="0.2">
      <c r="A997" s="2223"/>
      <c r="B997" s="2223"/>
      <c r="C997" s="2223"/>
      <c r="W997" s="2223" t="str" cm="1">
        <f t="array" ref="W997">IF($D997&lt;COLUMNS($F$7:W$7),"",INDEX(TableDiv[[GASB]:[GASB]],_xlfn.AGGREGATE(15,3,(TableDiv[[Agency]:[Agency]]=$E997)/(TableDiv[[Agency]:[Agency]]=$E997)*(ROW(TableDiv[Agency])-ROW(TableDiv[[#Headers],[Agency]])),COLUMNS($F$7:W$7))))</f>
        <v/>
      </c>
      <c r="X997" s="2223" t="str" cm="1">
        <f t="array" ref="X997">IF($D997&lt;COLUMNS($F$7:X$7),"",INDEX(TableDiv[[GASB]:[GASB]],_xlfn.AGGREGATE(15,3,(TableDiv[[Agency]:[Agency]]=$E997)/(TableDiv[[Agency]:[Agency]]=$E997)*(ROW(TableDiv[Agency])-ROW(TableDiv[[#Headers],[Agency]])),COLUMNS($F$7:X$7))))</f>
        <v/>
      </c>
      <c r="Y997" s="2223" t="str" cm="1">
        <f t="array" ref="Y997">IF($D997&lt;COLUMNS($F$7:Y$7),"",INDEX(TableDiv[[GASB]:[GASB]],_xlfn.AGGREGATE(15,3,(TableDiv[[Agency]:[Agency]]=$E997)/(TableDiv[[Agency]:[Agency]]=$E997)*(ROW(TableDiv[Agency])-ROW(TableDiv[[#Headers],[Agency]])),COLUMNS($F$7:Y$7))))</f>
        <v/>
      </c>
      <c r="Z997" s="2223" t="str" cm="1">
        <f t="array" ref="Z997">IF($D997&lt;COLUMNS($F$7:Z$7),"",INDEX(TableDiv[[GASB]:[GASB]],_xlfn.AGGREGATE(15,3,(TableDiv[[Agency]:[Agency]]=$E997)/(TableDiv[[Agency]:[Agency]]=$E997)*(ROW(TableDiv[Agency])-ROW(TableDiv[[#Headers],[Agency]])),COLUMNS($F$7:Z$7))))</f>
        <v/>
      </c>
      <c r="AA997" s="2223" t="str" cm="1">
        <f t="array" ref="AA997">IF($D997&lt;COLUMNS($F$7:AA$7),"",INDEX(TableDiv[[GASB]:[GASB]],_xlfn.AGGREGATE(15,3,(TableDiv[[Agency]:[Agency]]=$E997)/(TableDiv[[Agency]:[Agency]]=$E997)*(ROW(TableDiv[Agency])-ROW(TableDiv[[#Headers],[Agency]])),COLUMNS($F$7:AA$7))))</f>
        <v/>
      </c>
      <c r="AB997" s="2223" t="str" cm="1">
        <f t="array" ref="AB997">IF($D997&lt;COLUMNS($F$7:AB$7),"",INDEX(TableDiv[[GASB]:[GASB]],_xlfn.AGGREGATE(15,3,(TableDiv[[Agency]:[Agency]]=$E997)/(TableDiv[[Agency]:[Agency]]=$E997)*(ROW(TableDiv[Agency])-ROW(TableDiv[[#Headers],[Agency]])),COLUMNS($F$7:AB$7))))</f>
        <v/>
      </c>
      <c r="AC997" s="2223" t="str" cm="1">
        <f t="array" ref="AC997">IF($D997&lt;COLUMNS($F$7:AC$7),"",INDEX(TableDiv[[GASB]:[GASB]],_xlfn.AGGREGATE(15,3,(TableDiv[[Agency]:[Agency]]=$E997)/(TableDiv[[Agency]:[Agency]]=$E997)*(ROW(TableDiv[Agency])-ROW(TableDiv[[#Headers],[Agency]])),COLUMNS($F$7:AC$7))))</f>
        <v/>
      </c>
      <c r="AD997" s="2223" t="str" cm="1">
        <f t="array" ref="AD997">IF($D997&lt;COLUMNS($F$7:AD$7),"",INDEX(TableDiv[[GASB]:[GASB]],_xlfn.AGGREGATE(15,3,(TableDiv[[Agency]:[Agency]]=$E997)/(TableDiv[[Agency]:[Agency]]=$E997)*(ROW(TableDiv[Agency])-ROW(TableDiv[[#Headers],[Agency]])),COLUMNS($F$7:AD$7))))</f>
        <v/>
      </c>
      <c r="AE997" s="2223" t="str" cm="1">
        <f t="array" ref="AE997">IF($D997&lt;COLUMNS($F$7:AE$7),"",INDEX(TableDiv[[GASB]:[GASB]],_xlfn.AGGREGATE(15,3,(TableDiv[[Agency]:[Agency]]=$E997)/(TableDiv[[Agency]:[Agency]]=$E997)*(ROW(TableDiv[Agency])-ROW(TableDiv[[#Headers],[Agency]])),COLUMNS($F$7:AE$7))))</f>
        <v/>
      </c>
      <c r="AF997" s="2223" t="str" cm="1">
        <f t="array" ref="AF997">IF($D997&lt;COLUMNS($F$7:AF$7),"",INDEX(TableDiv[[GASB]:[GASB]],_xlfn.AGGREGATE(15,3,(TableDiv[[Agency]:[Agency]]=$E997)/(TableDiv[[Agency]:[Agency]]=$E997)*(ROW(TableDiv[Agency])-ROW(TableDiv[[#Headers],[Agency]])),COLUMNS($F$7:AF$7))))</f>
        <v/>
      </c>
      <c r="AG997" s="2223" t="str" cm="1">
        <f t="array" ref="AG997">IF($D997&lt;COLUMNS($F$7:AG$7),"",INDEX(TableDiv[[GASB]:[GASB]],_xlfn.AGGREGATE(15,3,(TableDiv[[Agency]:[Agency]]=$E997)/(TableDiv[[Agency]:[Agency]]=$E997)*(ROW(TableDiv[Agency])-ROW(TableDiv[[#Headers],[Agency]])),COLUMNS($F$7:AG$7))))</f>
        <v/>
      </c>
      <c r="AH997" s="2223" t="str" cm="1">
        <f t="array" ref="AH997">IF($D997&lt;COLUMNS($F$7:AH$7),"",INDEX(TableDiv[[GASB]:[GASB]],_xlfn.AGGREGATE(15,3,(TableDiv[[Agency]:[Agency]]=$E997)/(TableDiv[[Agency]:[Agency]]=$E997)*(ROW(TableDiv[Agency])-ROW(TableDiv[[#Headers],[Agency]])),COLUMNS($F$7:AH$7))))</f>
        <v/>
      </c>
      <c r="AI997" s="2223" t="str" cm="1">
        <f t="array" ref="AI997">IF($D997&lt;COLUMNS($F$7:AI$7),"",INDEX(TableDiv[[GASB]:[GASB]],_xlfn.AGGREGATE(15,3,(TableDiv[[Agency]:[Agency]]=$E997)/(TableDiv[[Agency]:[Agency]]=$E997)*(ROW(TableDiv[Agency])-ROW(TableDiv[[#Headers],[Agency]])),COLUMNS($F$7:AI$7))))</f>
        <v/>
      </c>
      <c r="AJ997" s="2223" t="str" cm="1">
        <f t="array" ref="AJ997">IF($D997&lt;COLUMNS($F$7:AJ$7),"",INDEX(TableDiv[[GASB]:[GASB]],_xlfn.AGGREGATE(15,3,(TableDiv[[Agency]:[Agency]]=$E997)/(TableDiv[[Agency]:[Agency]]=$E997)*(ROW(TableDiv[Agency])-ROW(TableDiv[[#Headers],[Agency]])),COLUMNS($F$7:AJ$7))))</f>
        <v/>
      </c>
      <c r="AK997" s="2223" t="str" cm="1">
        <f t="array" ref="AK997">IF($D997&lt;COLUMNS($F$7:AK$7),"",INDEX(TableDiv[[GASB]:[GASB]],_xlfn.AGGREGATE(15,3,(TableDiv[[Agency]:[Agency]]=$E997)/(TableDiv[[Agency]:[Agency]]=$E997)*(ROW(TableDiv[Agency])-ROW(TableDiv[[#Headers],[Agency]])),COLUMNS($F$7:AK$7))))</f>
        <v/>
      </c>
      <c r="AL997" s="2223" t="str" cm="1">
        <f t="array" ref="AL997">IF($D997&lt;COLUMNS($F$7:AL$7),"",INDEX(TableDiv[[GASB]:[GASB]],_xlfn.AGGREGATE(15,3,(TableDiv[[Agency]:[Agency]]=$E997)/(TableDiv[[Agency]:[Agency]]=$E997)*(ROW(TableDiv[Agency])-ROW(TableDiv[[#Headers],[Agency]])),COLUMNS($F$7:AL$7))))</f>
        <v/>
      </c>
      <c r="AM997" s="2223" t="str" cm="1">
        <f t="array" ref="AM997">IF($D997&lt;COLUMNS($F$7:AM$7),"",INDEX(TableDiv[[GASB]:[GASB]],_xlfn.AGGREGATE(15,3,(TableDiv[[Agency]:[Agency]]=$E997)/(TableDiv[[Agency]:[Agency]]=$E997)*(ROW(TableDiv[Agency])-ROW(TableDiv[[#Headers],[Agency]])),COLUMNS($F$7:AM$7))))</f>
        <v/>
      </c>
      <c r="AN997" s="2223"/>
      <c r="AO997" s="2223"/>
      <c r="AP997" s="2223"/>
      <c r="AQ997" s="2223"/>
      <c r="AR997" s="2223"/>
      <c r="AS997" s="2223"/>
    </row>
    <row r="998" spans="1:45" x14ac:dyDescent="0.2">
      <c r="A998" s="2223"/>
      <c r="B998" s="2223"/>
      <c r="C998" s="2223"/>
      <c r="W998" s="2223" t="str" cm="1">
        <f t="array" ref="W998">IF($D998&lt;COLUMNS($F$7:W$7),"",INDEX(TableDiv[[GASB]:[GASB]],_xlfn.AGGREGATE(15,3,(TableDiv[[Agency]:[Agency]]=$E998)/(TableDiv[[Agency]:[Agency]]=$E998)*(ROW(TableDiv[Agency])-ROW(TableDiv[[#Headers],[Agency]])),COLUMNS($F$7:W$7))))</f>
        <v/>
      </c>
      <c r="X998" s="2223" t="str" cm="1">
        <f t="array" ref="X998">IF($D998&lt;COLUMNS($F$7:X$7),"",INDEX(TableDiv[[GASB]:[GASB]],_xlfn.AGGREGATE(15,3,(TableDiv[[Agency]:[Agency]]=$E998)/(TableDiv[[Agency]:[Agency]]=$E998)*(ROW(TableDiv[Agency])-ROW(TableDiv[[#Headers],[Agency]])),COLUMNS($F$7:X$7))))</f>
        <v/>
      </c>
      <c r="Y998" s="2223" t="str" cm="1">
        <f t="array" ref="Y998">IF($D998&lt;COLUMNS($F$7:Y$7),"",INDEX(TableDiv[[GASB]:[GASB]],_xlfn.AGGREGATE(15,3,(TableDiv[[Agency]:[Agency]]=$E998)/(TableDiv[[Agency]:[Agency]]=$E998)*(ROW(TableDiv[Agency])-ROW(TableDiv[[#Headers],[Agency]])),COLUMNS($F$7:Y$7))))</f>
        <v/>
      </c>
      <c r="Z998" s="2223" t="str" cm="1">
        <f t="array" ref="Z998">IF($D998&lt;COLUMNS($F$7:Z$7),"",INDEX(TableDiv[[GASB]:[GASB]],_xlfn.AGGREGATE(15,3,(TableDiv[[Agency]:[Agency]]=$E998)/(TableDiv[[Agency]:[Agency]]=$E998)*(ROW(TableDiv[Agency])-ROW(TableDiv[[#Headers],[Agency]])),COLUMNS($F$7:Z$7))))</f>
        <v/>
      </c>
      <c r="AA998" s="2223" t="str" cm="1">
        <f t="array" ref="AA998">IF($D998&lt;COLUMNS($F$7:AA$7),"",INDEX(TableDiv[[GASB]:[GASB]],_xlfn.AGGREGATE(15,3,(TableDiv[[Agency]:[Agency]]=$E998)/(TableDiv[[Agency]:[Agency]]=$E998)*(ROW(TableDiv[Agency])-ROW(TableDiv[[#Headers],[Agency]])),COLUMNS($F$7:AA$7))))</f>
        <v/>
      </c>
      <c r="AB998" s="2223" t="str" cm="1">
        <f t="array" ref="AB998">IF($D998&lt;COLUMNS($F$7:AB$7),"",INDEX(TableDiv[[GASB]:[GASB]],_xlfn.AGGREGATE(15,3,(TableDiv[[Agency]:[Agency]]=$E998)/(TableDiv[[Agency]:[Agency]]=$E998)*(ROW(TableDiv[Agency])-ROW(TableDiv[[#Headers],[Agency]])),COLUMNS($F$7:AB$7))))</f>
        <v/>
      </c>
      <c r="AC998" s="2223" t="str" cm="1">
        <f t="array" ref="AC998">IF($D998&lt;COLUMNS($F$7:AC$7),"",INDEX(TableDiv[[GASB]:[GASB]],_xlfn.AGGREGATE(15,3,(TableDiv[[Agency]:[Agency]]=$E998)/(TableDiv[[Agency]:[Agency]]=$E998)*(ROW(TableDiv[Agency])-ROW(TableDiv[[#Headers],[Agency]])),COLUMNS($F$7:AC$7))))</f>
        <v/>
      </c>
      <c r="AD998" s="2223" t="str" cm="1">
        <f t="array" ref="AD998">IF($D998&lt;COLUMNS($F$7:AD$7),"",INDEX(TableDiv[[GASB]:[GASB]],_xlfn.AGGREGATE(15,3,(TableDiv[[Agency]:[Agency]]=$E998)/(TableDiv[[Agency]:[Agency]]=$E998)*(ROW(TableDiv[Agency])-ROW(TableDiv[[#Headers],[Agency]])),COLUMNS($F$7:AD$7))))</f>
        <v/>
      </c>
      <c r="AE998" s="2223" t="str" cm="1">
        <f t="array" ref="AE998">IF($D998&lt;COLUMNS($F$7:AE$7),"",INDEX(TableDiv[[GASB]:[GASB]],_xlfn.AGGREGATE(15,3,(TableDiv[[Agency]:[Agency]]=$E998)/(TableDiv[[Agency]:[Agency]]=$E998)*(ROW(TableDiv[Agency])-ROW(TableDiv[[#Headers],[Agency]])),COLUMNS($F$7:AE$7))))</f>
        <v/>
      </c>
      <c r="AF998" s="2223" t="str" cm="1">
        <f t="array" ref="AF998">IF($D998&lt;COLUMNS($F$7:AF$7),"",INDEX(TableDiv[[GASB]:[GASB]],_xlfn.AGGREGATE(15,3,(TableDiv[[Agency]:[Agency]]=$E998)/(TableDiv[[Agency]:[Agency]]=$E998)*(ROW(TableDiv[Agency])-ROW(TableDiv[[#Headers],[Agency]])),COLUMNS($F$7:AF$7))))</f>
        <v/>
      </c>
      <c r="AG998" s="2223" t="str" cm="1">
        <f t="array" ref="AG998">IF($D998&lt;COLUMNS($F$7:AG$7),"",INDEX(TableDiv[[GASB]:[GASB]],_xlfn.AGGREGATE(15,3,(TableDiv[[Agency]:[Agency]]=$E998)/(TableDiv[[Agency]:[Agency]]=$E998)*(ROW(TableDiv[Agency])-ROW(TableDiv[[#Headers],[Agency]])),COLUMNS($F$7:AG$7))))</f>
        <v/>
      </c>
      <c r="AH998" s="2223" t="str" cm="1">
        <f t="array" ref="AH998">IF($D998&lt;COLUMNS($F$7:AH$7),"",INDEX(TableDiv[[GASB]:[GASB]],_xlfn.AGGREGATE(15,3,(TableDiv[[Agency]:[Agency]]=$E998)/(TableDiv[[Agency]:[Agency]]=$E998)*(ROW(TableDiv[Agency])-ROW(TableDiv[[#Headers],[Agency]])),COLUMNS($F$7:AH$7))))</f>
        <v/>
      </c>
      <c r="AI998" s="2223" t="str" cm="1">
        <f t="array" ref="AI998">IF($D998&lt;COLUMNS($F$7:AI$7),"",INDEX(TableDiv[[GASB]:[GASB]],_xlfn.AGGREGATE(15,3,(TableDiv[[Agency]:[Agency]]=$E998)/(TableDiv[[Agency]:[Agency]]=$E998)*(ROW(TableDiv[Agency])-ROW(TableDiv[[#Headers],[Agency]])),COLUMNS($F$7:AI$7))))</f>
        <v/>
      </c>
      <c r="AJ998" s="2223" t="str" cm="1">
        <f t="array" ref="AJ998">IF($D998&lt;COLUMNS($F$7:AJ$7),"",INDEX(TableDiv[[GASB]:[GASB]],_xlfn.AGGREGATE(15,3,(TableDiv[[Agency]:[Agency]]=$E998)/(TableDiv[[Agency]:[Agency]]=$E998)*(ROW(TableDiv[Agency])-ROW(TableDiv[[#Headers],[Agency]])),COLUMNS($F$7:AJ$7))))</f>
        <v/>
      </c>
      <c r="AK998" s="2223" t="str" cm="1">
        <f t="array" ref="AK998">IF($D998&lt;COLUMNS($F$7:AK$7),"",INDEX(TableDiv[[GASB]:[GASB]],_xlfn.AGGREGATE(15,3,(TableDiv[[Agency]:[Agency]]=$E998)/(TableDiv[[Agency]:[Agency]]=$E998)*(ROW(TableDiv[Agency])-ROW(TableDiv[[#Headers],[Agency]])),COLUMNS($F$7:AK$7))))</f>
        <v/>
      </c>
      <c r="AL998" s="2223" t="str" cm="1">
        <f t="array" ref="AL998">IF($D998&lt;COLUMNS($F$7:AL$7),"",INDEX(TableDiv[[GASB]:[GASB]],_xlfn.AGGREGATE(15,3,(TableDiv[[Agency]:[Agency]]=$E998)/(TableDiv[[Agency]:[Agency]]=$E998)*(ROW(TableDiv[Agency])-ROW(TableDiv[[#Headers],[Agency]])),COLUMNS($F$7:AL$7))))</f>
        <v/>
      </c>
      <c r="AM998" s="2223" t="str" cm="1">
        <f t="array" ref="AM998">IF($D998&lt;COLUMNS($F$7:AM$7),"",INDEX(TableDiv[[GASB]:[GASB]],_xlfn.AGGREGATE(15,3,(TableDiv[[Agency]:[Agency]]=$E998)/(TableDiv[[Agency]:[Agency]]=$E998)*(ROW(TableDiv[Agency])-ROW(TableDiv[[#Headers],[Agency]])),COLUMNS($F$7:AM$7))))</f>
        <v/>
      </c>
      <c r="AN998" s="2223"/>
      <c r="AO998" s="2223"/>
      <c r="AP998" s="2223"/>
      <c r="AQ998" s="2223"/>
      <c r="AR998" s="2223"/>
      <c r="AS998" s="2223"/>
    </row>
    <row r="999" spans="1:45" x14ac:dyDescent="0.2">
      <c r="A999" s="2223"/>
      <c r="B999" s="2223"/>
      <c r="C999" s="2223"/>
      <c r="W999" s="2223" t="str" cm="1">
        <f t="array" ref="W999">IF($D999&lt;COLUMNS($F$7:W$7),"",INDEX(TableDiv[[GASB]:[GASB]],_xlfn.AGGREGATE(15,3,(TableDiv[[Agency]:[Agency]]=$E999)/(TableDiv[[Agency]:[Agency]]=$E999)*(ROW(TableDiv[Agency])-ROW(TableDiv[[#Headers],[Agency]])),COLUMNS($F$7:W$7))))</f>
        <v/>
      </c>
      <c r="X999" s="2223" t="str" cm="1">
        <f t="array" ref="X999">IF($D999&lt;COLUMNS($F$7:X$7),"",INDEX(TableDiv[[GASB]:[GASB]],_xlfn.AGGREGATE(15,3,(TableDiv[[Agency]:[Agency]]=$E999)/(TableDiv[[Agency]:[Agency]]=$E999)*(ROW(TableDiv[Agency])-ROW(TableDiv[[#Headers],[Agency]])),COLUMNS($F$7:X$7))))</f>
        <v/>
      </c>
      <c r="Y999" s="2223" t="str" cm="1">
        <f t="array" ref="Y999">IF($D999&lt;COLUMNS($F$7:Y$7),"",INDEX(TableDiv[[GASB]:[GASB]],_xlfn.AGGREGATE(15,3,(TableDiv[[Agency]:[Agency]]=$E999)/(TableDiv[[Agency]:[Agency]]=$E999)*(ROW(TableDiv[Agency])-ROW(TableDiv[[#Headers],[Agency]])),COLUMNS($F$7:Y$7))))</f>
        <v/>
      </c>
      <c r="Z999" s="2223" t="str" cm="1">
        <f t="array" ref="Z999">IF($D999&lt;COLUMNS($F$7:Z$7),"",INDEX(TableDiv[[GASB]:[GASB]],_xlfn.AGGREGATE(15,3,(TableDiv[[Agency]:[Agency]]=$E999)/(TableDiv[[Agency]:[Agency]]=$E999)*(ROW(TableDiv[Agency])-ROW(TableDiv[[#Headers],[Agency]])),COLUMNS($F$7:Z$7))))</f>
        <v/>
      </c>
      <c r="AA999" s="2223" t="str" cm="1">
        <f t="array" ref="AA999">IF($D999&lt;COLUMNS($F$7:AA$7),"",INDEX(TableDiv[[GASB]:[GASB]],_xlfn.AGGREGATE(15,3,(TableDiv[[Agency]:[Agency]]=$E999)/(TableDiv[[Agency]:[Agency]]=$E999)*(ROW(TableDiv[Agency])-ROW(TableDiv[[#Headers],[Agency]])),COLUMNS($F$7:AA$7))))</f>
        <v/>
      </c>
      <c r="AB999" s="2223" t="str" cm="1">
        <f t="array" ref="AB999">IF($D999&lt;COLUMNS($F$7:AB$7),"",INDEX(TableDiv[[GASB]:[GASB]],_xlfn.AGGREGATE(15,3,(TableDiv[[Agency]:[Agency]]=$E999)/(TableDiv[[Agency]:[Agency]]=$E999)*(ROW(TableDiv[Agency])-ROW(TableDiv[[#Headers],[Agency]])),COLUMNS($F$7:AB$7))))</f>
        <v/>
      </c>
      <c r="AC999" s="2223" t="str" cm="1">
        <f t="array" ref="AC999">IF($D999&lt;COLUMNS($F$7:AC$7),"",INDEX(TableDiv[[GASB]:[GASB]],_xlfn.AGGREGATE(15,3,(TableDiv[[Agency]:[Agency]]=$E999)/(TableDiv[[Agency]:[Agency]]=$E999)*(ROW(TableDiv[Agency])-ROW(TableDiv[[#Headers],[Agency]])),COLUMNS($F$7:AC$7))))</f>
        <v/>
      </c>
      <c r="AD999" s="2223" t="str" cm="1">
        <f t="array" ref="AD999">IF($D999&lt;COLUMNS($F$7:AD$7),"",INDEX(TableDiv[[GASB]:[GASB]],_xlfn.AGGREGATE(15,3,(TableDiv[[Agency]:[Agency]]=$E999)/(TableDiv[[Agency]:[Agency]]=$E999)*(ROW(TableDiv[Agency])-ROW(TableDiv[[#Headers],[Agency]])),COLUMNS($F$7:AD$7))))</f>
        <v/>
      </c>
      <c r="AE999" s="2223" t="str" cm="1">
        <f t="array" ref="AE999">IF($D999&lt;COLUMNS($F$7:AE$7),"",INDEX(TableDiv[[GASB]:[GASB]],_xlfn.AGGREGATE(15,3,(TableDiv[[Agency]:[Agency]]=$E999)/(TableDiv[[Agency]:[Agency]]=$E999)*(ROW(TableDiv[Agency])-ROW(TableDiv[[#Headers],[Agency]])),COLUMNS($F$7:AE$7))))</f>
        <v/>
      </c>
      <c r="AF999" s="2223" t="str" cm="1">
        <f t="array" ref="AF999">IF($D999&lt;COLUMNS($F$7:AF$7),"",INDEX(TableDiv[[GASB]:[GASB]],_xlfn.AGGREGATE(15,3,(TableDiv[[Agency]:[Agency]]=$E999)/(TableDiv[[Agency]:[Agency]]=$E999)*(ROW(TableDiv[Agency])-ROW(TableDiv[[#Headers],[Agency]])),COLUMNS($F$7:AF$7))))</f>
        <v/>
      </c>
      <c r="AG999" s="2223" t="str" cm="1">
        <f t="array" ref="AG999">IF($D999&lt;COLUMNS($F$7:AG$7),"",INDEX(TableDiv[[GASB]:[GASB]],_xlfn.AGGREGATE(15,3,(TableDiv[[Agency]:[Agency]]=$E999)/(TableDiv[[Agency]:[Agency]]=$E999)*(ROW(TableDiv[Agency])-ROW(TableDiv[[#Headers],[Agency]])),COLUMNS($F$7:AG$7))))</f>
        <v/>
      </c>
      <c r="AH999" s="2223" t="str" cm="1">
        <f t="array" ref="AH999">IF($D999&lt;COLUMNS($F$7:AH$7),"",INDEX(TableDiv[[GASB]:[GASB]],_xlfn.AGGREGATE(15,3,(TableDiv[[Agency]:[Agency]]=$E999)/(TableDiv[[Agency]:[Agency]]=$E999)*(ROW(TableDiv[Agency])-ROW(TableDiv[[#Headers],[Agency]])),COLUMNS($F$7:AH$7))))</f>
        <v/>
      </c>
      <c r="AI999" s="2223" t="str" cm="1">
        <f t="array" ref="AI999">IF($D999&lt;COLUMNS($F$7:AI$7),"",INDEX(TableDiv[[GASB]:[GASB]],_xlfn.AGGREGATE(15,3,(TableDiv[[Agency]:[Agency]]=$E999)/(TableDiv[[Agency]:[Agency]]=$E999)*(ROW(TableDiv[Agency])-ROW(TableDiv[[#Headers],[Agency]])),COLUMNS($F$7:AI$7))))</f>
        <v/>
      </c>
      <c r="AJ999" s="2223" t="str" cm="1">
        <f t="array" ref="AJ999">IF($D999&lt;COLUMNS($F$7:AJ$7),"",INDEX(TableDiv[[GASB]:[GASB]],_xlfn.AGGREGATE(15,3,(TableDiv[[Agency]:[Agency]]=$E999)/(TableDiv[[Agency]:[Agency]]=$E999)*(ROW(TableDiv[Agency])-ROW(TableDiv[[#Headers],[Agency]])),COLUMNS($F$7:AJ$7))))</f>
        <v/>
      </c>
      <c r="AK999" s="2223" t="str" cm="1">
        <f t="array" ref="AK999">IF($D999&lt;COLUMNS($F$7:AK$7),"",INDEX(TableDiv[[GASB]:[GASB]],_xlfn.AGGREGATE(15,3,(TableDiv[[Agency]:[Agency]]=$E999)/(TableDiv[[Agency]:[Agency]]=$E999)*(ROW(TableDiv[Agency])-ROW(TableDiv[[#Headers],[Agency]])),COLUMNS($F$7:AK$7))))</f>
        <v/>
      </c>
      <c r="AL999" s="2223" t="str" cm="1">
        <f t="array" ref="AL999">IF($D999&lt;COLUMNS($F$7:AL$7),"",INDEX(TableDiv[[GASB]:[GASB]],_xlfn.AGGREGATE(15,3,(TableDiv[[Agency]:[Agency]]=$E999)/(TableDiv[[Agency]:[Agency]]=$E999)*(ROW(TableDiv[Agency])-ROW(TableDiv[[#Headers],[Agency]])),COLUMNS($F$7:AL$7))))</f>
        <v/>
      </c>
      <c r="AM999" s="2223" t="str" cm="1">
        <f t="array" ref="AM999">IF($D999&lt;COLUMNS($F$7:AM$7),"",INDEX(TableDiv[[GASB]:[GASB]],_xlfn.AGGREGATE(15,3,(TableDiv[[Agency]:[Agency]]=$E999)/(TableDiv[[Agency]:[Agency]]=$E999)*(ROW(TableDiv[Agency])-ROW(TableDiv[[#Headers],[Agency]])),COLUMNS($F$7:AM$7))))</f>
        <v/>
      </c>
      <c r="AN999" s="2223"/>
      <c r="AO999" s="2223"/>
      <c r="AP999" s="2223"/>
      <c r="AQ999" s="2223"/>
      <c r="AR999" s="2223"/>
      <c r="AS999" s="2223"/>
    </row>
    <row r="1000" spans="1:45" x14ac:dyDescent="0.2">
      <c r="A1000" s="2223"/>
      <c r="B1000" s="2223"/>
      <c r="C1000" s="2223"/>
      <c r="W1000" s="2223" t="str" cm="1">
        <f t="array" ref="W1000">IF($D1000&lt;COLUMNS($F$7:W$7),"",INDEX(TableDiv[[GASB]:[GASB]],_xlfn.AGGREGATE(15,3,(TableDiv[[Agency]:[Agency]]=$E1000)/(TableDiv[[Agency]:[Agency]]=$E1000)*(ROW(TableDiv[Agency])-ROW(TableDiv[[#Headers],[Agency]])),COLUMNS($F$7:W$7))))</f>
        <v/>
      </c>
      <c r="X1000" s="2223" t="str" cm="1">
        <f t="array" ref="X1000">IF($D1000&lt;COLUMNS($F$7:X$7),"",INDEX(TableDiv[[GASB]:[GASB]],_xlfn.AGGREGATE(15,3,(TableDiv[[Agency]:[Agency]]=$E1000)/(TableDiv[[Agency]:[Agency]]=$E1000)*(ROW(TableDiv[Agency])-ROW(TableDiv[[#Headers],[Agency]])),COLUMNS($F$7:X$7))))</f>
        <v/>
      </c>
      <c r="Y1000" s="2223" t="str" cm="1">
        <f t="array" ref="Y1000">IF($D1000&lt;COLUMNS($F$7:Y$7),"",INDEX(TableDiv[[GASB]:[GASB]],_xlfn.AGGREGATE(15,3,(TableDiv[[Agency]:[Agency]]=$E1000)/(TableDiv[[Agency]:[Agency]]=$E1000)*(ROW(TableDiv[Agency])-ROW(TableDiv[[#Headers],[Agency]])),COLUMNS($F$7:Y$7))))</f>
        <v/>
      </c>
      <c r="Z1000" s="2223" t="str" cm="1">
        <f t="array" ref="Z1000">IF($D1000&lt;COLUMNS($F$7:Z$7),"",INDEX(TableDiv[[GASB]:[GASB]],_xlfn.AGGREGATE(15,3,(TableDiv[[Agency]:[Agency]]=$E1000)/(TableDiv[[Agency]:[Agency]]=$E1000)*(ROW(TableDiv[Agency])-ROW(TableDiv[[#Headers],[Agency]])),COLUMNS($F$7:Z$7))))</f>
        <v/>
      </c>
      <c r="AA1000" s="2223" t="str" cm="1">
        <f t="array" ref="AA1000">IF($D1000&lt;COLUMNS($F$7:AA$7),"",INDEX(TableDiv[[GASB]:[GASB]],_xlfn.AGGREGATE(15,3,(TableDiv[[Agency]:[Agency]]=$E1000)/(TableDiv[[Agency]:[Agency]]=$E1000)*(ROW(TableDiv[Agency])-ROW(TableDiv[[#Headers],[Agency]])),COLUMNS($F$7:AA$7))))</f>
        <v/>
      </c>
      <c r="AB1000" s="2223" t="str" cm="1">
        <f t="array" ref="AB1000">IF($D1000&lt;COLUMNS($F$7:AB$7),"",INDEX(TableDiv[[GASB]:[GASB]],_xlfn.AGGREGATE(15,3,(TableDiv[[Agency]:[Agency]]=$E1000)/(TableDiv[[Agency]:[Agency]]=$E1000)*(ROW(TableDiv[Agency])-ROW(TableDiv[[#Headers],[Agency]])),COLUMNS($F$7:AB$7))))</f>
        <v/>
      </c>
      <c r="AC1000" s="2223" t="str" cm="1">
        <f t="array" ref="AC1000">IF($D1000&lt;COLUMNS($F$7:AC$7),"",INDEX(TableDiv[[GASB]:[GASB]],_xlfn.AGGREGATE(15,3,(TableDiv[[Agency]:[Agency]]=$E1000)/(TableDiv[[Agency]:[Agency]]=$E1000)*(ROW(TableDiv[Agency])-ROW(TableDiv[[#Headers],[Agency]])),COLUMNS($F$7:AC$7))))</f>
        <v/>
      </c>
      <c r="AD1000" s="2223" t="str" cm="1">
        <f t="array" ref="AD1000">IF($D1000&lt;COLUMNS($F$7:AD$7),"",INDEX(TableDiv[[GASB]:[GASB]],_xlfn.AGGREGATE(15,3,(TableDiv[[Agency]:[Agency]]=$E1000)/(TableDiv[[Agency]:[Agency]]=$E1000)*(ROW(TableDiv[Agency])-ROW(TableDiv[[#Headers],[Agency]])),COLUMNS($F$7:AD$7))))</f>
        <v/>
      </c>
      <c r="AE1000" s="2223" t="str" cm="1">
        <f t="array" ref="AE1000">IF($D1000&lt;COLUMNS($F$7:AE$7),"",INDEX(TableDiv[[GASB]:[GASB]],_xlfn.AGGREGATE(15,3,(TableDiv[[Agency]:[Agency]]=$E1000)/(TableDiv[[Agency]:[Agency]]=$E1000)*(ROW(TableDiv[Agency])-ROW(TableDiv[[#Headers],[Agency]])),COLUMNS($F$7:AE$7))))</f>
        <v/>
      </c>
      <c r="AF1000" s="2223" t="str" cm="1">
        <f t="array" ref="AF1000">IF($D1000&lt;COLUMNS($F$7:AF$7),"",INDEX(TableDiv[[GASB]:[GASB]],_xlfn.AGGREGATE(15,3,(TableDiv[[Agency]:[Agency]]=$E1000)/(TableDiv[[Agency]:[Agency]]=$E1000)*(ROW(TableDiv[Agency])-ROW(TableDiv[[#Headers],[Agency]])),COLUMNS($F$7:AF$7))))</f>
        <v/>
      </c>
      <c r="AG1000" s="2223" t="str" cm="1">
        <f t="array" ref="AG1000">IF($D1000&lt;COLUMNS($F$7:AG$7),"",INDEX(TableDiv[[GASB]:[GASB]],_xlfn.AGGREGATE(15,3,(TableDiv[[Agency]:[Agency]]=$E1000)/(TableDiv[[Agency]:[Agency]]=$E1000)*(ROW(TableDiv[Agency])-ROW(TableDiv[[#Headers],[Agency]])),COLUMNS($F$7:AG$7))))</f>
        <v/>
      </c>
      <c r="AH1000" s="2223" t="str" cm="1">
        <f t="array" ref="AH1000">IF($D1000&lt;COLUMNS($F$7:AH$7),"",INDEX(TableDiv[[GASB]:[GASB]],_xlfn.AGGREGATE(15,3,(TableDiv[[Agency]:[Agency]]=$E1000)/(TableDiv[[Agency]:[Agency]]=$E1000)*(ROW(TableDiv[Agency])-ROW(TableDiv[[#Headers],[Agency]])),COLUMNS($F$7:AH$7))))</f>
        <v/>
      </c>
      <c r="AI1000" s="2223" t="str" cm="1">
        <f t="array" ref="AI1000">IF($D1000&lt;COLUMNS($F$7:AI$7),"",INDEX(TableDiv[[GASB]:[GASB]],_xlfn.AGGREGATE(15,3,(TableDiv[[Agency]:[Agency]]=$E1000)/(TableDiv[[Agency]:[Agency]]=$E1000)*(ROW(TableDiv[Agency])-ROW(TableDiv[[#Headers],[Agency]])),COLUMNS($F$7:AI$7))))</f>
        <v/>
      </c>
      <c r="AJ1000" s="2223" t="str" cm="1">
        <f t="array" ref="AJ1000">IF($D1000&lt;COLUMNS($F$7:AJ$7),"",INDEX(TableDiv[[GASB]:[GASB]],_xlfn.AGGREGATE(15,3,(TableDiv[[Agency]:[Agency]]=$E1000)/(TableDiv[[Agency]:[Agency]]=$E1000)*(ROW(TableDiv[Agency])-ROW(TableDiv[[#Headers],[Agency]])),COLUMNS($F$7:AJ$7))))</f>
        <v/>
      </c>
      <c r="AK1000" s="2223" t="str" cm="1">
        <f t="array" ref="AK1000">IF($D1000&lt;COLUMNS($F$7:AK$7),"",INDEX(TableDiv[[GASB]:[GASB]],_xlfn.AGGREGATE(15,3,(TableDiv[[Agency]:[Agency]]=$E1000)/(TableDiv[[Agency]:[Agency]]=$E1000)*(ROW(TableDiv[Agency])-ROW(TableDiv[[#Headers],[Agency]])),COLUMNS($F$7:AK$7))))</f>
        <v/>
      </c>
      <c r="AL1000" s="2223" t="str" cm="1">
        <f t="array" ref="AL1000">IF($D1000&lt;COLUMNS($F$7:AL$7),"",INDEX(TableDiv[[GASB]:[GASB]],_xlfn.AGGREGATE(15,3,(TableDiv[[Agency]:[Agency]]=$E1000)/(TableDiv[[Agency]:[Agency]]=$E1000)*(ROW(TableDiv[Agency])-ROW(TableDiv[[#Headers],[Agency]])),COLUMNS($F$7:AL$7))))</f>
        <v/>
      </c>
      <c r="AM1000" s="2223" t="str" cm="1">
        <f t="array" ref="AM1000">IF($D1000&lt;COLUMNS($F$7:AM$7),"",INDEX(TableDiv[[GASB]:[GASB]],_xlfn.AGGREGATE(15,3,(TableDiv[[Agency]:[Agency]]=$E1000)/(TableDiv[[Agency]:[Agency]]=$E1000)*(ROW(TableDiv[Agency])-ROW(TableDiv[[#Headers],[Agency]])),COLUMNS($F$7:AM$7))))</f>
        <v/>
      </c>
      <c r="AN1000" s="2223"/>
      <c r="AO1000" s="2223"/>
      <c r="AP1000" s="2223"/>
      <c r="AQ1000" s="2223"/>
      <c r="AR1000" s="2223"/>
      <c r="AS1000" s="2223"/>
    </row>
  </sheetData>
  <sheetProtection algorithmName="SHA-512" hashValue="og6gBPdZIMI+Eos+FhIGWrHf7k7uH1C/QPyw9oQ65HRXSg+dcgpygCuJhxpbKnkReMfVhRVbKpgxr7lmlTh9kg==" saltValue="rNoH8qXweqG5iJCNZt5M8A==" spinCount="100000" sheet="1" objects="1" scenarios="1"/>
  <dataValidations count="2">
    <dataValidation type="list" allowBlank="1" showInputMessage="1" showErrorMessage="1" sqref="F4" xr:uid="{946FCC57-5D41-45F2-AD75-6F2FBC900086}">
      <formula1>OFFSET($F$7,MATCH($E$4,$E$8:$E$1000,0),,,COUNTIF(OFFSET($F$7,MATCH($E$4,$E$8:$E$1000,0),,1,50),"?*"))</formula1>
    </dataValidation>
    <dataValidation type="list" allowBlank="1" showInputMessage="1" showErrorMessage="1" sqref="E4" xr:uid="{5BBB9E7D-0EFE-40EB-B2FC-805DB64301EF}">
      <formula1>OFFSET($E$8,,,COUNTIF($E$8:$E$1000,"?*"))</formula1>
    </dataValidation>
  </dataValidations>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1A29B-8B66-468E-9157-287876F9BF8F}">
  <sheetPr codeName="Sheet92">
    <pageSetUpPr fitToPage="1"/>
  </sheetPr>
  <dimension ref="A1:T92"/>
  <sheetViews>
    <sheetView showGridLines="0" topLeftCell="B1" zoomScaleNormal="100" zoomScaleSheetLayoutView="100" workbookViewId="0">
      <selection activeCell="C15" sqref="C15"/>
    </sheetView>
  </sheetViews>
  <sheetFormatPr defaultColWidth="9.42578125" defaultRowHeight="12.75" x14ac:dyDescent="0.2"/>
  <cols>
    <col min="1" max="1" width="3.28515625" style="145" hidden="1" customWidth="1"/>
    <col min="2" max="2" width="4.42578125" style="145" customWidth="1"/>
    <col min="3" max="3" width="10.42578125" customWidth="1"/>
    <col min="4" max="4" width="5.42578125" customWidth="1"/>
    <col min="5" max="5" width="7.140625" customWidth="1"/>
    <col min="6" max="6" width="1.7109375" customWidth="1"/>
    <col min="7" max="7" width="5.42578125" customWidth="1"/>
    <col min="8" max="8" width="9.42578125" customWidth="1"/>
    <col min="9" max="9" width="5.42578125" customWidth="1"/>
    <col min="10" max="10" width="3" customWidth="1"/>
    <col min="11" max="11" width="17.42578125" customWidth="1"/>
    <col min="12" max="12" width="1.42578125" customWidth="1"/>
    <col min="13" max="13" width="11.7109375" customWidth="1"/>
    <col min="14" max="14" width="2.42578125" customWidth="1"/>
    <col min="16" max="16" width="1.5703125" customWidth="1"/>
    <col min="17" max="17" width="30" customWidth="1"/>
    <col min="18" max="18" width="2.28515625" hidden="1" customWidth="1"/>
    <col min="19" max="19" width="2.140625" customWidth="1"/>
    <col min="20" max="20" width="16.7109375" bestFit="1" customWidth="1"/>
  </cols>
  <sheetData>
    <row r="1" spans="1:20" ht="16.149999999999999" customHeight="1" x14ac:dyDescent="0.2">
      <c r="A1" s="1168"/>
      <c r="B1" s="41"/>
      <c r="C1" s="1162" t="str">
        <f>+Index!$A$1</f>
        <v xml:space="preserve">                                                               Office of the State Controller                                                                </v>
      </c>
      <c r="D1" s="1162"/>
      <c r="E1" s="1162"/>
      <c r="F1" s="1162"/>
      <c r="G1" s="1162"/>
      <c r="H1" s="1162"/>
      <c r="I1" s="1162"/>
      <c r="J1" s="1162"/>
      <c r="K1" s="1162"/>
      <c r="L1" s="1162"/>
      <c r="M1" s="1162"/>
      <c r="N1" s="1163"/>
      <c r="O1" s="1163"/>
      <c r="P1" s="1163"/>
      <c r="Q1" s="1163"/>
      <c r="R1" s="1163"/>
      <c r="S1" s="2577"/>
      <c r="T1" s="2277" t="str">
        <f>IF(Index!$B$23="na","NA","")</f>
        <v/>
      </c>
    </row>
    <row r="2" spans="1:20" ht="15" x14ac:dyDescent="0.2">
      <c r="A2" s="1168"/>
      <c r="B2" s="41"/>
      <c r="C2" s="1164" t="str">
        <f>+Index!$A$2</f>
        <v>2024 ACFR Worksheets</v>
      </c>
      <c r="D2" s="1164"/>
      <c r="E2" s="1164"/>
      <c r="F2" s="1164"/>
      <c r="G2" s="1164"/>
      <c r="H2" s="1164"/>
      <c r="I2" s="1164"/>
      <c r="J2" s="1164"/>
      <c r="K2" s="1164"/>
      <c r="L2" s="1164"/>
      <c r="M2" s="1164"/>
      <c r="N2" s="1163"/>
      <c r="O2" s="1163"/>
      <c r="P2" s="1163"/>
      <c r="Q2" s="1163"/>
      <c r="R2" s="1163"/>
      <c r="S2" s="2577"/>
      <c r="T2" s="2277"/>
    </row>
    <row r="3" spans="1:20" ht="15" x14ac:dyDescent="0.2">
      <c r="A3" s="1168"/>
      <c r="B3" s="41"/>
      <c r="C3" s="247" t="s">
        <v>656</v>
      </c>
      <c r="D3" s="247"/>
      <c r="E3" s="247"/>
      <c r="F3" s="247"/>
      <c r="G3" s="247"/>
      <c r="H3" s="247"/>
      <c r="I3" s="247"/>
      <c r="J3" s="247"/>
      <c r="K3" s="247"/>
      <c r="L3" s="247"/>
      <c r="M3" s="247"/>
      <c r="N3" s="1163"/>
      <c r="O3" s="1163"/>
      <c r="P3" s="1163"/>
      <c r="Q3" s="1163"/>
      <c r="R3" s="1163"/>
      <c r="S3" s="2577"/>
      <c r="T3" s="2277"/>
    </row>
    <row r="4" spans="1:20" x14ac:dyDescent="0.2">
      <c r="A4" s="1169"/>
      <c r="B4" s="41"/>
      <c r="C4" s="247" t="s">
        <v>657</v>
      </c>
      <c r="D4" s="247"/>
      <c r="E4" s="247"/>
      <c r="F4" s="247"/>
      <c r="G4" s="247"/>
      <c r="H4" s="247"/>
      <c r="I4" s="247"/>
      <c r="J4" s="1163"/>
      <c r="K4" s="1163"/>
      <c r="L4" s="247"/>
      <c r="M4" s="247"/>
      <c r="N4" s="1163"/>
      <c r="O4" s="1163"/>
      <c r="P4" s="1163"/>
      <c r="Q4" s="1163"/>
      <c r="R4" s="1163"/>
      <c r="S4" s="41"/>
      <c r="T4" s="41"/>
    </row>
    <row r="5" spans="1:20" x14ac:dyDescent="0.2">
      <c r="A5" s="1169"/>
      <c r="B5" s="41"/>
      <c r="C5" s="247" t="s">
        <v>616</v>
      </c>
      <c r="D5" s="247"/>
      <c r="E5" s="247"/>
      <c r="F5" s="247"/>
      <c r="G5" s="247"/>
      <c r="H5" s="247"/>
      <c r="I5" s="247"/>
      <c r="J5" s="1163"/>
      <c r="K5" s="1163"/>
      <c r="L5" s="247"/>
      <c r="M5" s="247"/>
      <c r="N5" s="1163"/>
      <c r="O5" s="1163"/>
      <c r="P5" s="1163"/>
      <c r="Q5" s="1163"/>
      <c r="R5" s="1163"/>
      <c r="S5" s="41"/>
      <c r="T5" s="41"/>
    </row>
    <row r="6" spans="1:20" x14ac:dyDescent="0.2">
      <c r="A6" s="1169"/>
      <c r="B6" s="41"/>
      <c r="C6" s="247"/>
      <c r="D6" s="247"/>
      <c r="E6" s="247"/>
      <c r="F6" s="247"/>
      <c r="G6" s="247"/>
      <c r="H6" s="247"/>
      <c r="I6" s="247"/>
      <c r="J6" s="247"/>
      <c r="K6" s="247"/>
      <c r="L6" s="1165"/>
      <c r="M6" s="1165"/>
      <c r="N6" s="1163"/>
      <c r="O6" s="1163"/>
      <c r="P6" s="1163"/>
      <c r="Q6" s="1163"/>
      <c r="R6" s="1163"/>
      <c r="S6" s="41"/>
      <c r="T6" s="41"/>
    </row>
    <row r="7" spans="1:20" x14ac:dyDescent="0.2">
      <c r="A7" s="1169"/>
      <c r="B7" s="1128" t="s">
        <v>617</v>
      </c>
      <c r="C7" s="1128"/>
      <c r="D7" s="1128"/>
      <c r="E7" s="247"/>
      <c r="F7" s="247"/>
      <c r="G7" s="247"/>
      <c r="H7" s="41"/>
      <c r="I7" s="41"/>
      <c r="J7" s="41"/>
      <c r="K7" s="41"/>
      <c r="L7" s="41"/>
      <c r="M7" s="2322" t="s">
        <v>318</v>
      </c>
      <c r="N7" s="2539" t="str">
        <f>AgyIdx</f>
        <v>01</v>
      </c>
      <c r="O7" s="2539"/>
      <c r="P7" s="2539"/>
      <c r="Q7" s="2539"/>
      <c r="S7" s="41"/>
      <c r="T7" s="41"/>
    </row>
    <row r="8" spans="1:20" ht="14.25" customHeight="1" x14ac:dyDescent="0.2">
      <c r="A8" s="1169"/>
      <c r="B8" s="41"/>
      <c r="C8" s="1163"/>
      <c r="D8" s="1163"/>
      <c r="E8" s="1163"/>
      <c r="F8" s="1128"/>
      <c r="G8" s="247"/>
      <c r="H8" s="41"/>
      <c r="I8" s="41"/>
      <c r="J8" s="41"/>
      <c r="K8" s="41"/>
      <c r="L8" s="41"/>
      <c r="M8" s="2322" t="s">
        <v>319</v>
      </c>
      <c r="N8" s="2535" t="str">
        <f>AgyName</f>
        <v>North Carolina General Assembly</v>
      </c>
      <c r="O8" s="2535"/>
      <c r="P8" s="2535"/>
      <c r="Q8" s="2535"/>
      <c r="S8" s="41"/>
      <c r="T8" s="41"/>
    </row>
    <row r="9" spans="1:20" ht="16.5" customHeight="1" x14ac:dyDescent="0.2">
      <c r="A9" s="1169"/>
      <c r="B9" s="41"/>
      <c r="C9" s="1128"/>
      <c r="D9" s="247"/>
      <c r="E9" s="247"/>
      <c r="F9" s="247"/>
      <c r="G9" s="247"/>
      <c r="H9" s="41"/>
      <c r="I9" s="41"/>
      <c r="J9" s="41"/>
      <c r="K9" s="41"/>
      <c r="L9" s="41"/>
      <c r="M9" s="2322" t="s">
        <v>320</v>
      </c>
      <c r="N9" s="2566" t="str">
        <f>CONCATENATE(Index!$E$12," ",Index!$E$14)</f>
        <v xml:space="preserve"> </v>
      </c>
      <c r="O9" s="2566"/>
      <c r="P9" s="2566"/>
      <c r="Q9" s="2566"/>
      <c r="S9" s="1129"/>
      <c r="T9" s="1129"/>
    </row>
    <row r="10" spans="1:20" ht="14.25" customHeight="1" x14ac:dyDescent="0.2">
      <c r="A10" s="1169"/>
      <c r="B10" s="41"/>
      <c r="C10" s="1128"/>
      <c r="D10" s="247"/>
      <c r="E10" s="247"/>
      <c r="F10" s="247"/>
      <c r="G10" s="247"/>
      <c r="H10" s="41"/>
      <c r="I10" s="41"/>
      <c r="J10" s="41"/>
      <c r="K10" s="41"/>
      <c r="L10" s="41"/>
      <c r="M10" s="2322" t="s">
        <v>168</v>
      </c>
      <c r="N10" s="2566">
        <f>+Index!$E$13</f>
        <v>0</v>
      </c>
      <c r="O10" s="2566"/>
      <c r="P10" s="2566"/>
      <c r="Q10" s="2566"/>
      <c r="S10" s="41"/>
      <c r="T10" s="41"/>
    </row>
    <row r="11" spans="1:20" ht="9" customHeight="1" thickBot="1" x14ac:dyDescent="0.25">
      <c r="A11" s="1169"/>
      <c r="B11" s="1166"/>
      <c r="C11" s="1166"/>
      <c r="D11" s="1166"/>
      <c r="E11" s="1166"/>
      <c r="F11" s="1166"/>
      <c r="G11" s="1166"/>
      <c r="H11" s="1166"/>
      <c r="I11" s="1166"/>
      <c r="J11" s="1166"/>
      <c r="K11" s="1166"/>
      <c r="L11" s="1166"/>
      <c r="M11" s="1166"/>
      <c r="N11" s="1166"/>
      <c r="O11" s="1166"/>
      <c r="P11" s="1166"/>
      <c r="Q11" s="1166"/>
      <c r="R11" s="1166"/>
      <c r="S11" s="247"/>
      <c r="T11" s="41"/>
    </row>
    <row r="12" spans="1:20" ht="9" customHeight="1" x14ac:dyDescent="0.2">
      <c r="A12" s="1169"/>
      <c r="B12" s="1169"/>
      <c r="C12" s="1170"/>
      <c r="D12" s="1170"/>
      <c r="E12" s="1170"/>
      <c r="F12" s="1170"/>
      <c r="G12" s="1170"/>
      <c r="H12" s="1170"/>
      <c r="I12" s="1170"/>
      <c r="J12" s="1170"/>
      <c r="K12" s="1170"/>
      <c r="L12" s="138"/>
      <c r="M12" s="138"/>
      <c r="N12" s="138"/>
      <c r="O12" s="138"/>
      <c r="P12" s="138"/>
      <c r="Q12" s="138"/>
      <c r="R12" s="138"/>
      <c r="S12" s="138"/>
    </row>
    <row r="13" spans="1:20" ht="0.75" customHeight="1" x14ac:dyDescent="0.2">
      <c r="A13" s="1169"/>
      <c r="B13" s="1169"/>
      <c r="C13" s="1170"/>
      <c r="D13" s="1170"/>
      <c r="E13" s="1170"/>
      <c r="F13" s="1170"/>
      <c r="G13" s="1170"/>
      <c r="H13" s="1170"/>
      <c r="I13" s="1170"/>
      <c r="J13" s="1170"/>
      <c r="K13" s="1170"/>
      <c r="L13" s="138"/>
      <c r="M13" s="138"/>
      <c r="N13" s="138"/>
      <c r="O13" s="138"/>
      <c r="P13" s="138"/>
      <c r="Q13" s="138"/>
      <c r="R13" s="138"/>
      <c r="S13" s="138"/>
    </row>
    <row r="14" spans="1:20" x14ac:dyDescent="0.2">
      <c r="A14" s="1169"/>
      <c r="B14" s="1169" t="s">
        <v>321</v>
      </c>
      <c r="C14" s="138" t="s">
        <v>6660</v>
      </c>
      <c r="D14" s="1170"/>
      <c r="E14" s="1170"/>
      <c r="F14" s="1170"/>
      <c r="G14" s="1170"/>
      <c r="H14" s="1170"/>
      <c r="I14" s="1170"/>
      <c r="J14" s="1170"/>
      <c r="K14" s="1170"/>
      <c r="L14" s="138"/>
      <c r="M14" s="138"/>
      <c r="N14" s="138"/>
      <c r="O14" s="138"/>
      <c r="P14" s="138"/>
      <c r="Q14" s="138"/>
      <c r="R14" s="138"/>
      <c r="S14" s="138"/>
    </row>
    <row r="15" spans="1:20" x14ac:dyDescent="0.2">
      <c r="A15" s="1169"/>
      <c r="B15" s="1169"/>
      <c r="C15" s="1170"/>
      <c r="D15" s="1170" t="s">
        <v>628</v>
      </c>
      <c r="E15" s="2279"/>
      <c r="F15" s="1170"/>
      <c r="G15" s="138"/>
      <c r="H15" s="1170" t="s">
        <v>620</v>
      </c>
      <c r="I15" s="2579"/>
      <c r="J15" s="2579"/>
      <c r="K15" s="1170"/>
      <c r="L15" s="138"/>
      <c r="M15" s="138"/>
      <c r="N15" s="138"/>
      <c r="O15" s="138"/>
      <c r="P15" s="138"/>
      <c r="Q15" s="138"/>
      <c r="R15" s="138"/>
      <c r="S15" s="138"/>
      <c r="T15" s="860" t="str">
        <f>IF(AND(ISBLANK($E$15),ISBLANK($I$15))=TRUE,"Answer Missing"," ")</f>
        <v>Answer Missing</v>
      </c>
    </row>
    <row r="16" spans="1:20" ht="21" customHeight="1" x14ac:dyDescent="0.2">
      <c r="A16" s="1169"/>
      <c r="B16" s="1169"/>
      <c r="C16" s="138" t="s">
        <v>6658</v>
      </c>
      <c r="D16" s="1170"/>
      <c r="E16" s="1170"/>
      <c r="F16" s="1170"/>
      <c r="G16" s="1170"/>
      <c r="H16" s="1170"/>
      <c r="I16" s="1170"/>
      <c r="J16" s="1170"/>
      <c r="K16" s="1170"/>
      <c r="L16" s="138"/>
      <c r="M16" s="138"/>
      <c r="N16" s="138"/>
      <c r="O16" s="138"/>
      <c r="P16" s="138"/>
      <c r="Q16" s="138"/>
      <c r="R16" s="138"/>
      <c r="S16" s="138"/>
    </row>
    <row r="17" spans="1:20" ht="9" customHeight="1" x14ac:dyDescent="0.2">
      <c r="A17" s="1169"/>
      <c r="B17" s="1169"/>
      <c r="C17" s="138"/>
      <c r="D17" s="1170"/>
      <c r="E17" s="1170"/>
      <c r="F17" s="1170"/>
      <c r="G17" s="1170"/>
      <c r="H17" s="1170"/>
      <c r="I17" s="1170"/>
      <c r="J17" s="1170"/>
      <c r="K17" s="1170"/>
      <c r="L17" s="138"/>
      <c r="M17" s="138"/>
      <c r="N17" s="138"/>
      <c r="O17" s="138"/>
      <c r="P17" s="138"/>
      <c r="Q17" s="138"/>
      <c r="R17" s="138"/>
      <c r="S17" s="138"/>
    </row>
    <row r="18" spans="1:20" x14ac:dyDescent="0.2">
      <c r="A18" s="1169"/>
      <c r="B18" s="612" t="s">
        <v>332</v>
      </c>
      <c r="C18" s="612" t="s">
        <v>6639</v>
      </c>
      <c r="D18" s="612"/>
      <c r="E18" s="612"/>
      <c r="F18" s="612"/>
      <c r="G18" s="242"/>
      <c r="H18" s="1139"/>
      <c r="I18" s="242"/>
      <c r="J18" s="242"/>
      <c r="K18" s="612"/>
      <c r="L18" s="1172"/>
      <c r="M18" s="1172"/>
      <c r="N18" s="1172"/>
      <c r="O18" s="1172"/>
      <c r="P18" s="1172"/>
      <c r="Q18" s="138"/>
      <c r="R18" s="138"/>
      <c r="S18" s="138"/>
    </row>
    <row r="19" spans="1:20" x14ac:dyDescent="0.2">
      <c r="A19" s="1169"/>
      <c r="B19" s="612"/>
      <c r="C19" s="612" t="s">
        <v>6640</v>
      </c>
      <c r="D19" s="612"/>
      <c r="E19" s="612"/>
      <c r="F19" s="612"/>
      <c r="G19" s="242"/>
      <c r="H19" s="1139"/>
      <c r="I19" s="242"/>
      <c r="J19" s="242"/>
      <c r="K19" s="612"/>
      <c r="L19" s="1172"/>
      <c r="M19" s="1172"/>
      <c r="N19" s="1172"/>
      <c r="O19" s="1172"/>
      <c r="P19" s="1172"/>
      <c r="Q19" s="138"/>
      <c r="R19" s="138"/>
      <c r="S19" s="138"/>
    </row>
    <row r="20" spans="1:20" x14ac:dyDescent="0.2">
      <c r="A20" s="1169"/>
      <c r="B20" s="612"/>
      <c r="C20" s="612"/>
      <c r="D20" s="612"/>
      <c r="E20" s="612"/>
      <c r="F20" s="612"/>
      <c r="G20" s="242"/>
      <c r="H20" s="1139"/>
      <c r="I20" s="242"/>
      <c r="J20" s="242"/>
      <c r="K20" s="612"/>
      <c r="L20" s="1172"/>
      <c r="M20" s="1172"/>
      <c r="N20" s="1172"/>
      <c r="O20" s="1172"/>
      <c r="P20" s="1172"/>
      <c r="Q20" s="138"/>
      <c r="R20" s="138"/>
      <c r="S20" s="138"/>
    </row>
    <row r="21" spans="1:20" x14ac:dyDescent="0.2">
      <c r="A21" s="1169"/>
      <c r="B21" s="1169"/>
      <c r="C21" s="612" t="s">
        <v>6656</v>
      </c>
      <c r="D21" s="612"/>
      <c r="E21" s="612"/>
      <c r="F21" s="1152"/>
      <c r="G21" s="1152"/>
      <c r="H21" s="1152"/>
      <c r="I21" s="1152"/>
      <c r="J21" s="1172"/>
      <c r="K21" s="1172"/>
      <c r="L21" s="1172"/>
      <c r="M21" s="1172"/>
      <c r="N21" s="1172"/>
      <c r="O21" s="1172"/>
      <c r="P21" s="1172"/>
      <c r="Q21" s="138"/>
      <c r="R21" s="138"/>
      <c r="S21" s="138"/>
    </row>
    <row r="22" spans="1:20" x14ac:dyDescent="0.2">
      <c r="A22" s="1169"/>
      <c r="B22" s="1169"/>
      <c r="C22" s="612"/>
      <c r="D22" s="1170" t="s">
        <v>628</v>
      </c>
      <c r="E22" s="2279"/>
      <c r="F22" s="1170"/>
      <c r="G22" s="1170" t="s">
        <v>620</v>
      </c>
      <c r="H22" s="2279"/>
      <c r="I22" s="2451"/>
      <c r="J22" s="1170" t="s">
        <v>175</v>
      </c>
      <c r="K22" s="2460"/>
      <c r="L22" s="1172"/>
      <c r="M22" s="1172"/>
      <c r="N22" s="1172"/>
      <c r="O22" s="1172"/>
      <c r="P22" s="1172"/>
      <c r="Q22" s="138"/>
      <c r="R22" s="138"/>
      <c r="S22" s="138"/>
      <c r="T22" s="860" t="str">
        <f>IF(AND(ISBLANK($E$22),ISBLANK($H$22),ISBLANK($K$22))=TRUE,"Answer Missing"," ")</f>
        <v>Answer Missing</v>
      </c>
    </row>
    <row r="23" spans="1:20" ht="6.75" customHeight="1" x14ac:dyDescent="0.2">
      <c r="A23" s="1169"/>
      <c r="B23" s="1169"/>
      <c r="C23" s="612"/>
      <c r="D23" s="1170"/>
      <c r="E23" s="1170"/>
      <c r="F23" s="1170"/>
      <c r="G23" s="1170"/>
      <c r="H23" s="1170"/>
      <c r="I23" s="1152"/>
      <c r="J23" s="1172"/>
      <c r="K23" s="1172"/>
      <c r="L23" s="1172"/>
      <c r="M23" s="1172"/>
      <c r="N23" s="1172"/>
      <c r="O23" s="1172"/>
      <c r="P23" s="1172"/>
      <c r="Q23" s="138"/>
      <c r="R23" s="138"/>
      <c r="S23" s="138"/>
    </row>
    <row r="24" spans="1:20" x14ac:dyDescent="0.2">
      <c r="A24" s="1169"/>
      <c r="B24" s="1169"/>
      <c r="C24" s="1175" t="s">
        <v>658</v>
      </c>
      <c r="D24" s="1175"/>
      <c r="E24" s="1175"/>
      <c r="F24" s="2452"/>
      <c r="G24" s="2453"/>
      <c r="H24" s="1152"/>
      <c r="I24" s="1152"/>
      <c r="J24" s="1172"/>
      <c r="K24" s="1172"/>
      <c r="L24" s="1172"/>
      <c r="M24" s="1172"/>
      <c r="N24" s="1172"/>
      <c r="O24" s="1172"/>
      <c r="P24" s="1172"/>
      <c r="Q24" s="138"/>
      <c r="R24" s="138"/>
      <c r="S24" s="138"/>
    </row>
    <row r="25" spans="1:20" x14ac:dyDescent="0.2">
      <c r="A25" s="1169"/>
      <c r="B25" s="1169"/>
      <c r="C25" s="1170" t="s">
        <v>659</v>
      </c>
      <c r="D25" s="1170"/>
      <c r="E25" s="1170"/>
      <c r="F25" s="1170"/>
      <c r="G25" s="1170"/>
      <c r="H25" s="1170"/>
      <c r="I25" s="1152"/>
      <c r="J25" s="1172"/>
      <c r="K25" s="1172"/>
      <c r="L25" s="1172"/>
      <c r="M25" s="1172"/>
      <c r="N25" s="1172"/>
      <c r="O25" s="1172"/>
      <c r="P25" s="1172"/>
      <c r="Q25" s="138"/>
      <c r="R25" s="138"/>
      <c r="S25" s="138"/>
    </row>
    <row r="26" spans="1:20" ht="8.25" customHeight="1" x14ac:dyDescent="0.2">
      <c r="A26" s="1169"/>
      <c r="B26" s="1169"/>
      <c r="C26" s="1170"/>
      <c r="D26" s="1170"/>
      <c r="E26" s="1170"/>
      <c r="F26" s="1170"/>
      <c r="G26" s="1170"/>
      <c r="H26" s="1170"/>
      <c r="I26" s="1152"/>
      <c r="J26" s="1172"/>
      <c r="K26" s="1172"/>
      <c r="L26" s="1172"/>
      <c r="M26" s="1172"/>
      <c r="N26" s="1172"/>
      <c r="O26" s="1172"/>
      <c r="P26" s="1172"/>
      <c r="Q26" s="138"/>
      <c r="R26" s="138"/>
      <c r="S26" s="138"/>
    </row>
    <row r="27" spans="1:20" hidden="1" x14ac:dyDescent="0.2">
      <c r="A27" s="1169"/>
      <c r="B27" s="1169"/>
      <c r="C27" s="1170"/>
      <c r="D27" s="1170"/>
      <c r="E27" s="1170"/>
      <c r="F27" s="1170"/>
      <c r="G27" s="1170"/>
      <c r="H27" s="1170"/>
      <c r="I27" s="1152"/>
      <c r="J27" s="1172"/>
      <c r="K27" s="1172"/>
      <c r="L27" s="1172"/>
      <c r="M27" s="1172"/>
      <c r="N27" s="1172"/>
      <c r="O27" s="1172"/>
      <c r="P27" s="1172"/>
      <c r="Q27" s="138"/>
      <c r="R27" s="138"/>
      <c r="S27" s="138"/>
    </row>
    <row r="28" spans="1:20" x14ac:dyDescent="0.2">
      <c r="A28" s="612"/>
      <c r="B28" s="612"/>
      <c r="C28" s="1173" t="s">
        <v>660</v>
      </c>
      <c r="D28" s="1174"/>
      <c r="E28" s="1174"/>
      <c r="F28" s="612"/>
      <c r="G28" s="1173" t="s">
        <v>637</v>
      </c>
      <c r="H28" s="1174"/>
      <c r="I28" s="1174"/>
      <c r="J28" s="1172"/>
      <c r="K28" s="2454" t="s">
        <v>661</v>
      </c>
      <c r="L28" s="2455"/>
      <c r="M28" s="1173" t="s">
        <v>662</v>
      </c>
      <c r="N28" s="1174"/>
      <c r="O28" s="1174"/>
      <c r="P28" s="1172"/>
      <c r="Q28" s="107" t="s">
        <v>6641</v>
      </c>
      <c r="R28" s="1172"/>
      <c r="S28" s="138"/>
    </row>
    <row r="29" spans="1:20" x14ac:dyDescent="0.2">
      <c r="A29" s="612"/>
      <c r="B29" s="612"/>
      <c r="C29" s="2576"/>
      <c r="D29" s="2576"/>
      <c r="E29" s="2576"/>
      <c r="F29" s="1152"/>
      <c r="G29" s="2580"/>
      <c r="H29" s="2580"/>
      <c r="I29" s="2580"/>
      <c r="J29" s="1172"/>
      <c r="K29" s="1196"/>
      <c r="L29" s="1172"/>
      <c r="M29" s="2580"/>
      <c r="N29" s="2580"/>
      <c r="O29" s="2580"/>
      <c r="P29" s="1172"/>
      <c r="Q29" s="2461"/>
      <c r="R29" s="1172"/>
      <c r="S29" s="138"/>
    </row>
    <row r="30" spans="1:20" x14ac:dyDescent="0.2">
      <c r="A30" s="612"/>
      <c r="B30" s="612"/>
      <c r="C30" s="2576"/>
      <c r="D30" s="2576"/>
      <c r="E30" s="2576"/>
      <c r="F30" s="1152"/>
      <c r="G30" s="2580"/>
      <c r="H30" s="2580"/>
      <c r="I30" s="2580"/>
      <c r="J30" s="1172"/>
      <c r="K30" s="1196"/>
      <c r="L30" s="1172"/>
      <c r="M30" s="2587"/>
      <c r="N30" s="2587"/>
      <c r="O30" s="2587"/>
      <c r="P30" s="1172"/>
      <c r="Q30" s="2461"/>
      <c r="R30" s="1172"/>
      <c r="S30" s="138"/>
    </row>
    <row r="31" spans="1:20" x14ac:dyDescent="0.2">
      <c r="A31" s="1169"/>
      <c r="B31" s="612"/>
      <c r="C31" s="2576"/>
      <c r="D31" s="2576"/>
      <c r="E31" s="2576"/>
      <c r="F31" s="1152"/>
      <c r="G31" s="2580"/>
      <c r="H31" s="2580"/>
      <c r="I31" s="2580"/>
      <c r="J31" s="1172"/>
      <c r="K31" s="1196"/>
      <c r="L31" s="1172"/>
      <c r="M31" s="2587"/>
      <c r="N31" s="2587"/>
      <c r="O31" s="2587"/>
      <c r="P31" s="1172"/>
      <c r="Q31" s="2461"/>
      <c r="R31" s="1172"/>
      <c r="S31" s="138"/>
    </row>
    <row r="32" spans="1:20" x14ac:dyDescent="0.2">
      <c r="A32" s="1169"/>
      <c r="B32" s="611"/>
      <c r="C32" s="2576"/>
      <c r="D32" s="2576"/>
      <c r="E32" s="2576"/>
      <c r="F32" s="612"/>
      <c r="G32" s="2580"/>
      <c r="H32" s="2580"/>
      <c r="I32" s="2580"/>
      <c r="J32" s="1172"/>
      <c r="K32" s="1196"/>
      <c r="L32" s="1172"/>
      <c r="M32" s="2587"/>
      <c r="N32" s="2587"/>
      <c r="O32" s="2587"/>
      <c r="P32" s="1172"/>
      <c r="Q32" s="2332"/>
      <c r="R32" s="1172"/>
      <c r="S32" s="138"/>
      <c r="T32" s="860"/>
    </row>
    <row r="33" spans="1:20" x14ac:dyDescent="0.2">
      <c r="A33" s="1169"/>
      <c r="B33" s="1169"/>
      <c r="C33" s="612"/>
      <c r="D33" s="612"/>
      <c r="E33" s="612"/>
      <c r="F33" s="1152"/>
      <c r="G33" s="1152"/>
      <c r="H33" s="1152"/>
      <c r="I33" s="1152"/>
      <c r="J33" s="1172"/>
      <c r="K33" s="1172"/>
      <c r="L33" s="1172"/>
      <c r="M33" s="1172"/>
      <c r="N33" s="1172"/>
      <c r="O33" s="1172"/>
      <c r="P33" s="1172"/>
      <c r="Q33" s="138"/>
      <c r="R33" s="1172"/>
      <c r="S33" s="138"/>
      <c r="T33" s="860"/>
    </row>
    <row r="34" spans="1:20" x14ac:dyDescent="0.2">
      <c r="A34" s="1169"/>
      <c r="B34" s="1169"/>
      <c r="C34" s="1152" t="s">
        <v>663</v>
      </c>
      <c r="D34" s="1152"/>
      <c r="E34" s="1152"/>
      <c r="F34" s="1152"/>
      <c r="G34" s="1152"/>
      <c r="H34" s="1152"/>
      <c r="I34" s="1152"/>
      <c r="J34" s="1152"/>
      <c r="K34" s="612"/>
      <c r="L34" s="1172"/>
      <c r="M34" s="1172"/>
      <c r="N34" s="1172"/>
      <c r="O34" s="1172"/>
      <c r="P34" s="1172"/>
      <c r="Q34" s="138"/>
      <c r="R34" s="1172"/>
      <c r="S34" s="138"/>
    </row>
    <row r="35" spans="1:20" ht="6.75" customHeight="1" x14ac:dyDescent="0.2">
      <c r="A35" s="1169"/>
      <c r="B35" s="1169"/>
      <c r="C35" s="612"/>
      <c r="D35" s="612"/>
      <c r="E35" s="612"/>
      <c r="F35" s="1152"/>
      <c r="G35" s="1152"/>
      <c r="H35" s="1152"/>
      <c r="I35" s="1152"/>
      <c r="J35" s="1172"/>
      <c r="K35" s="1172"/>
      <c r="L35" s="1172"/>
      <c r="M35" s="1172"/>
      <c r="N35" s="1172"/>
      <c r="O35" s="1172"/>
      <c r="P35" s="1172"/>
      <c r="Q35" s="138"/>
      <c r="R35" s="1172"/>
      <c r="S35" s="138"/>
    </row>
    <row r="36" spans="1:20" x14ac:dyDescent="0.2">
      <c r="A36" s="1169"/>
      <c r="B36" s="612" t="s">
        <v>365</v>
      </c>
      <c r="C36" s="612" t="s">
        <v>6642</v>
      </c>
      <c r="D36" s="612"/>
      <c r="E36" s="612"/>
      <c r="F36" s="612"/>
      <c r="G36" s="1139"/>
      <c r="H36" s="242"/>
      <c r="I36" s="612"/>
      <c r="J36" s="612"/>
      <c r="K36" s="612"/>
      <c r="L36" s="612"/>
      <c r="M36" s="612"/>
      <c r="N36" s="612"/>
      <c r="O36" s="612"/>
      <c r="P36" s="1172"/>
      <c r="Q36" s="138"/>
      <c r="R36" s="1172"/>
      <c r="S36" s="138"/>
    </row>
    <row r="37" spans="1:20" x14ac:dyDescent="0.2">
      <c r="A37" s="1169"/>
      <c r="B37" s="612"/>
      <c r="C37" s="612" t="s">
        <v>6643</v>
      </c>
      <c r="D37" s="612"/>
      <c r="E37" s="612"/>
      <c r="F37" s="612"/>
      <c r="G37" s="1139"/>
      <c r="H37" s="242"/>
      <c r="I37" s="612"/>
      <c r="J37" s="612"/>
      <c r="K37" s="612"/>
      <c r="L37" s="612"/>
      <c r="M37" s="612"/>
      <c r="N37" s="612"/>
      <c r="O37" s="612"/>
      <c r="P37" s="1172"/>
      <c r="Q37" s="138"/>
      <c r="R37" s="1172"/>
      <c r="S37" s="138"/>
    </row>
    <row r="38" spans="1:20" x14ac:dyDescent="0.2">
      <c r="A38" s="612"/>
      <c r="B38" s="612"/>
      <c r="C38" s="612"/>
      <c r="D38" s="612"/>
      <c r="E38" s="612"/>
      <c r="F38" s="612"/>
      <c r="G38" s="1139"/>
      <c r="H38" s="242"/>
      <c r="I38" s="612"/>
      <c r="J38" s="612"/>
      <c r="K38" s="612"/>
      <c r="L38" s="612"/>
      <c r="M38" s="612"/>
      <c r="N38" s="612"/>
      <c r="O38" s="612"/>
      <c r="P38" s="1172"/>
      <c r="Q38" s="138"/>
      <c r="R38" s="1172"/>
      <c r="S38" s="138"/>
    </row>
    <row r="39" spans="1:20" x14ac:dyDescent="0.2">
      <c r="A39" s="612"/>
      <c r="B39" s="1169"/>
      <c r="C39" s="612" t="s">
        <v>6657</v>
      </c>
      <c r="D39" s="612"/>
      <c r="E39" s="612"/>
      <c r="F39" s="1152"/>
      <c r="G39" s="1152"/>
      <c r="H39" s="1152"/>
      <c r="I39" s="1152"/>
      <c r="J39" s="1172"/>
      <c r="K39" s="1172"/>
      <c r="L39" s="1172"/>
      <c r="M39" s="1172"/>
      <c r="N39" s="1172"/>
      <c r="O39" s="1172"/>
      <c r="P39" s="1172"/>
      <c r="Q39" s="138"/>
      <c r="R39" s="1172"/>
      <c r="S39" s="138"/>
    </row>
    <row r="40" spans="1:20" x14ac:dyDescent="0.2">
      <c r="A40" s="612"/>
      <c r="B40" s="1169"/>
      <c r="C40" s="612"/>
      <c r="D40" s="1170" t="s">
        <v>628</v>
      </c>
      <c r="E40" s="2279"/>
      <c r="F40" s="1170"/>
      <c r="G40" s="1170" t="s">
        <v>620</v>
      </c>
      <c r="H40" s="2279"/>
      <c r="I40" s="2451"/>
      <c r="J40" s="1170" t="s">
        <v>175</v>
      </c>
      <c r="K40" s="2460"/>
      <c r="L40" s="1172"/>
      <c r="M40" s="1172"/>
      <c r="N40" s="1172"/>
      <c r="O40" s="1172"/>
      <c r="P40" s="1172"/>
      <c r="Q40" s="138"/>
      <c r="R40" s="1172"/>
      <c r="S40" s="138"/>
      <c r="T40" s="860" t="str">
        <f>IF(AND(ISBLANK($E$40),ISBLANK($H$40),ISBLANK($K$40))=TRUE,"Answer Missing"," ")</f>
        <v>Answer Missing</v>
      </c>
    </row>
    <row r="41" spans="1:20" ht="6" customHeight="1" x14ac:dyDescent="0.2">
      <c r="A41" s="612"/>
      <c r="B41" s="1169"/>
      <c r="C41" s="612"/>
      <c r="D41" s="612"/>
      <c r="E41" s="612"/>
      <c r="F41" s="1152"/>
      <c r="G41" s="1152"/>
      <c r="H41" s="1152"/>
      <c r="I41" s="1152"/>
      <c r="J41" s="1172"/>
      <c r="K41" s="1172"/>
      <c r="L41" s="1172"/>
      <c r="M41" s="1172"/>
      <c r="N41" s="1172"/>
      <c r="O41" s="1172"/>
      <c r="P41" s="1172"/>
      <c r="Q41" s="138"/>
      <c r="R41" s="1172"/>
      <c r="S41" s="138"/>
    </row>
    <row r="42" spans="1:20" x14ac:dyDescent="0.2">
      <c r="A42" s="611"/>
      <c r="B42" s="1169"/>
      <c r="C42" s="1175" t="s">
        <v>664</v>
      </c>
      <c r="D42" s="1175"/>
      <c r="E42" s="1175"/>
      <c r="F42" s="2452"/>
      <c r="G42" s="2453"/>
      <c r="H42" s="1152"/>
      <c r="I42" s="1152"/>
      <c r="J42" s="1172"/>
      <c r="K42" s="1172"/>
      <c r="L42" s="1172"/>
      <c r="M42" s="1172"/>
      <c r="N42" s="1172"/>
      <c r="O42" s="1172"/>
      <c r="P42" s="1172"/>
      <c r="Q42" s="138"/>
      <c r="R42" s="1172"/>
      <c r="S42" s="138"/>
    </row>
    <row r="43" spans="1:20" x14ac:dyDescent="0.2">
      <c r="A43" s="1169"/>
      <c r="B43" s="1169"/>
      <c r="C43" s="1170" t="s">
        <v>659</v>
      </c>
      <c r="D43" s="1170"/>
      <c r="E43" s="1170"/>
      <c r="F43" s="1170"/>
      <c r="G43" s="1152"/>
      <c r="H43" s="1152"/>
      <c r="I43" s="1152"/>
      <c r="J43" s="1172"/>
      <c r="K43" s="1172"/>
      <c r="L43" s="1172"/>
      <c r="M43" s="1172"/>
      <c r="N43" s="1172"/>
      <c r="O43" s="1172"/>
      <c r="P43" s="1172"/>
      <c r="Q43" s="138"/>
      <c r="R43" s="1172"/>
      <c r="S43" s="138"/>
    </row>
    <row r="44" spans="1:20" x14ac:dyDescent="0.2">
      <c r="A44" s="1169"/>
      <c r="B44" s="1169"/>
      <c r="C44" s="612"/>
      <c r="D44" s="612"/>
      <c r="E44" s="612"/>
      <c r="F44" s="1152"/>
      <c r="G44" s="1152"/>
      <c r="H44" s="1152"/>
      <c r="I44" s="1152"/>
      <c r="J44" s="1172"/>
      <c r="K44" s="1172"/>
      <c r="L44" s="1172"/>
      <c r="M44" s="1172"/>
      <c r="N44" s="1172"/>
      <c r="O44" s="1172"/>
      <c r="P44" s="1172"/>
      <c r="Q44" s="138"/>
      <c r="R44" s="1172"/>
      <c r="S44" s="138"/>
    </row>
    <row r="45" spans="1:20" x14ac:dyDescent="0.2">
      <c r="A45" s="1169"/>
      <c r="B45" s="612"/>
      <c r="C45" s="1173" t="s">
        <v>660</v>
      </c>
      <c r="D45" s="1174"/>
      <c r="E45" s="1174"/>
      <c r="F45" s="612"/>
      <c r="G45" s="1173" t="s">
        <v>637</v>
      </c>
      <c r="H45" s="1174"/>
      <c r="I45" s="1174"/>
      <c r="J45" s="1172"/>
      <c r="K45" s="2454" t="s">
        <v>661</v>
      </c>
      <c r="L45" s="1172"/>
      <c r="M45" s="1173" t="s">
        <v>662</v>
      </c>
      <c r="N45" s="1174"/>
      <c r="O45" s="1174"/>
      <c r="P45" s="1172"/>
      <c r="Q45" s="107" t="s">
        <v>6641</v>
      </c>
      <c r="R45" s="1172"/>
      <c r="S45" s="138"/>
    </row>
    <row r="46" spans="1:20" x14ac:dyDescent="0.2">
      <c r="A46" s="1169"/>
      <c r="B46" s="612"/>
      <c r="C46" s="2576"/>
      <c r="D46" s="2576"/>
      <c r="E46" s="2576"/>
      <c r="F46" s="1152"/>
      <c r="G46" s="2580"/>
      <c r="H46" s="2580"/>
      <c r="I46" s="2580"/>
      <c r="J46" s="1172"/>
      <c r="K46" s="1196"/>
      <c r="L46" s="1172"/>
      <c r="M46" s="2581"/>
      <c r="N46" s="2581"/>
      <c r="O46" s="2581"/>
      <c r="P46" s="1172"/>
      <c r="Q46" s="2461"/>
      <c r="R46" s="1172"/>
      <c r="S46" s="138"/>
    </row>
    <row r="47" spans="1:20" x14ac:dyDescent="0.2">
      <c r="A47" s="612"/>
      <c r="B47" s="612"/>
      <c r="C47" s="2576"/>
      <c r="D47" s="2576"/>
      <c r="E47" s="2576"/>
      <c r="F47" s="1152"/>
      <c r="G47" s="2580"/>
      <c r="H47" s="2580"/>
      <c r="I47" s="2580"/>
      <c r="J47" s="1172"/>
      <c r="K47" s="1196"/>
      <c r="L47" s="1172"/>
      <c r="M47" s="2581"/>
      <c r="N47" s="2581"/>
      <c r="O47" s="2581"/>
      <c r="P47" s="1172"/>
      <c r="Q47" s="2461"/>
      <c r="R47" s="1172"/>
      <c r="S47" s="138"/>
    </row>
    <row r="48" spans="1:20" x14ac:dyDescent="0.2">
      <c r="A48" s="612"/>
      <c r="B48" s="612"/>
      <c r="C48" s="2576"/>
      <c r="D48" s="2576"/>
      <c r="E48" s="2576"/>
      <c r="F48" s="1152"/>
      <c r="G48" s="2580"/>
      <c r="H48" s="2580"/>
      <c r="I48" s="2580"/>
      <c r="J48" s="1172"/>
      <c r="K48" s="1196"/>
      <c r="L48" s="1172"/>
      <c r="M48" s="2581"/>
      <c r="N48" s="2581"/>
      <c r="O48" s="2581"/>
      <c r="P48" s="1172"/>
      <c r="Q48" s="2461"/>
      <c r="R48" s="1172"/>
      <c r="S48" s="138"/>
    </row>
    <row r="49" spans="1:20" x14ac:dyDescent="0.2">
      <c r="A49" s="612"/>
      <c r="B49" s="611"/>
      <c r="C49" s="2576"/>
      <c r="D49" s="2576"/>
      <c r="E49" s="2576"/>
      <c r="F49" s="612"/>
      <c r="G49" s="2580"/>
      <c r="H49" s="2580"/>
      <c r="I49" s="2580"/>
      <c r="J49" s="1172"/>
      <c r="K49" s="1196"/>
      <c r="L49" s="1172"/>
      <c r="M49" s="2581"/>
      <c r="N49" s="2581"/>
      <c r="O49" s="2581"/>
      <c r="P49" s="1172"/>
      <c r="Q49" s="2461"/>
      <c r="R49" s="1172"/>
      <c r="S49" s="138"/>
    </row>
    <row r="50" spans="1:20" x14ac:dyDescent="0.2">
      <c r="A50" s="1169"/>
      <c r="B50" s="611"/>
      <c r="C50" s="1152"/>
      <c r="D50" s="1171"/>
      <c r="E50" s="1171"/>
      <c r="F50" s="612"/>
      <c r="G50" s="2278"/>
      <c r="H50" s="2278"/>
      <c r="I50" s="2278"/>
      <c r="J50" s="138"/>
      <c r="K50" s="138"/>
      <c r="L50" s="138"/>
      <c r="M50" s="2278"/>
      <c r="N50" s="138"/>
      <c r="O50" s="2278"/>
      <c r="P50" s="2278"/>
      <c r="Q50" s="2278"/>
      <c r="R50" s="1172"/>
      <c r="S50" s="138"/>
    </row>
    <row r="51" spans="1:20" hidden="1" x14ac:dyDescent="0.2">
      <c r="A51" s="1169"/>
      <c r="B51" s="611"/>
      <c r="C51" s="1152"/>
      <c r="D51" s="1171"/>
      <c r="E51" s="1171"/>
      <c r="F51" s="612"/>
      <c r="G51" s="2278"/>
      <c r="H51" s="2278"/>
      <c r="I51" s="2278"/>
      <c r="J51" s="138"/>
      <c r="K51" s="138"/>
      <c r="L51" s="138"/>
      <c r="M51" s="2278"/>
      <c r="N51" s="138"/>
      <c r="O51" s="2278"/>
      <c r="P51" s="2278"/>
      <c r="Q51" s="2278"/>
      <c r="R51" s="1172"/>
      <c r="S51" s="138"/>
      <c r="T51" s="860"/>
    </row>
    <row r="52" spans="1:20" x14ac:dyDescent="0.2">
      <c r="A52" s="1169"/>
      <c r="B52" s="612" t="s">
        <v>373</v>
      </c>
      <c r="C52" s="1152" t="s">
        <v>6644</v>
      </c>
      <c r="D52" s="1171"/>
      <c r="E52" s="1171"/>
      <c r="F52" s="612"/>
      <c r="G52" s="2278"/>
      <c r="H52" s="2278"/>
      <c r="I52" s="2278"/>
      <c r="J52" s="138"/>
      <c r="K52" s="138"/>
      <c r="L52" s="138"/>
      <c r="M52" s="2278"/>
      <c r="N52" s="138"/>
      <c r="O52" s="2278"/>
      <c r="P52" s="2278"/>
      <c r="Q52" s="2278"/>
      <c r="R52" s="1172"/>
      <c r="S52" s="138"/>
    </row>
    <row r="53" spans="1:20" x14ac:dyDescent="0.2">
      <c r="A53" s="1169"/>
      <c r="B53" s="612"/>
      <c r="C53" s="2456" t="s">
        <v>6645</v>
      </c>
      <c r="D53" s="1171"/>
      <c r="E53" s="1171"/>
      <c r="F53" s="612"/>
      <c r="G53" s="2278"/>
      <c r="H53" s="2278"/>
      <c r="I53" s="2278"/>
      <c r="J53" s="138"/>
      <c r="K53" s="138"/>
      <c r="L53" s="138"/>
      <c r="M53" s="2278"/>
      <c r="N53" s="138"/>
      <c r="O53" s="2278"/>
      <c r="P53" s="2278"/>
      <c r="Q53" s="2278"/>
      <c r="R53" s="1172"/>
      <c r="S53" s="138"/>
    </row>
    <row r="54" spans="1:20" x14ac:dyDescent="0.2">
      <c r="A54" s="1169"/>
      <c r="B54" s="612"/>
      <c r="C54" s="612" t="s">
        <v>6657</v>
      </c>
      <c r="D54" s="1171"/>
      <c r="E54" s="1171"/>
      <c r="F54" s="612"/>
      <c r="G54" s="2278"/>
      <c r="H54" s="2278"/>
      <c r="I54" s="2278"/>
      <c r="J54" s="138"/>
      <c r="K54" s="138"/>
      <c r="L54" s="138"/>
      <c r="M54" s="2278"/>
      <c r="N54" s="138"/>
      <c r="O54" s="2278"/>
      <c r="P54" s="2278"/>
      <c r="Q54" s="2278"/>
      <c r="R54" s="1172"/>
      <c r="S54" s="138"/>
    </row>
    <row r="55" spans="1:20" x14ac:dyDescent="0.2">
      <c r="A55" s="1169"/>
      <c r="B55" s="612"/>
      <c r="D55" s="1170" t="s">
        <v>628</v>
      </c>
      <c r="E55" s="2279"/>
      <c r="F55" s="1170"/>
      <c r="G55" s="1170" t="s">
        <v>620</v>
      </c>
      <c r="H55" s="2279"/>
      <c r="I55" s="2451" t="s">
        <v>175</v>
      </c>
      <c r="J55" s="1172"/>
      <c r="K55" s="2460"/>
      <c r="L55" s="138"/>
      <c r="M55" s="2278"/>
      <c r="N55" s="138"/>
      <c r="O55" s="2278"/>
      <c r="P55" s="2278"/>
      <c r="Q55" s="2278"/>
      <c r="R55" s="1172"/>
      <c r="S55" s="138"/>
      <c r="T55" s="860" t="str">
        <f>IF(AND(ISBLANK($E$55),ISBLANK($H$55),ISBLANK($K$55))=TRUE,"Answer Missing"," ")</f>
        <v>Answer Missing</v>
      </c>
    </row>
    <row r="56" spans="1:20" ht="6.75" customHeight="1" x14ac:dyDescent="0.2">
      <c r="A56" s="612"/>
      <c r="B56" s="611"/>
      <c r="C56" s="1152"/>
      <c r="D56" s="1171"/>
      <c r="E56" s="1171"/>
      <c r="F56" s="612"/>
      <c r="G56" s="2278"/>
      <c r="H56" s="2278"/>
      <c r="I56" s="2278"/>
      <c r="J56" s="138"/>
      <c r="K56" s="138"/>
      <c r="L56" s="138"/>
      <c r="M56" s="2278"/>
      <c r="N56" s="138"/>
      <c r="O56" s="2278"/>
      <c r="P56" s="2278"/>
      <c r="Q56" s="2278"/>
      <c r="R56" s="1172"/>
      <c r="S56" s="138"/>
    </row>
    <row r="57" spans="1:20" ht="18" customHeight="1" x14ac:dyDescent="0.2">
      <c r="A57" s="612"/>
      <c r="B57" s="611"/>
      <c r="C57" s="2457" t="s">
        <v>660</v>
      </c>
      <c r="D57" s="1158"/>
      <c r="E57" s="1158"/>
      <c r="F57" s="612"/>
      <c r="G57" s="2582" t="s">
        <v>637</v>
      </c>
      <c r="H57" s="2582"/>
      <c r="I57" s="2582"/>
      <c r="J57" s="1018"/>
      <c r="K57" s="2458" t="s">
        <v>661</v>
      </c>
      <c r="L57" s="1018"/>
      <c r="M57" s="2582" t="s">
        <v>662</v>
      </c>
      <c r="N57" s="2582"/>
      <c r="O57" s="2582"/>
      <c r="P57" s="1018"/>
      <c r="Q57" s="2300" t="s">
        <v>6641</v>
      </c>
      <c r="R57" s="1172"/>
      <c r="S57" s="138"/>
    </row>
    <row r="58" spans="1:20" x14ac:dyDescent="0.2">
      <c r="A58" s="612"/>
      <c r="B58" s="611"/>
      <c r="C58" s="2576"/>
      <c r="D58" s="2576"/>
      <c r="E58" s="2576"/>
      <c r="F58" s="1152"/>
      <c r="G58" s="2580"/>
      <c r="H58" s="2580"/>
      <c r="I58" s="2580"/>
      <c r="J58" s="1172"/>
      <c r="K58" s="1196"/>
      <c r="L58" s="1172"/>
      <c r="M58" s="2581"/>
      <c r="N58" s="2581"/>
      <c r="O58" s="2581"/>
      <c r="P58" s="138"/>
      <c r="Q58" s="2462"/>
      <c r="R58" s="1172"/>
      <c r="S58" s="138"/>
    </row>
    <row r="59" spans="1:20" x14ac:dyDescent="0.2">
      <c r="A59" s="612"/>
      <c r="B59" s="611"/>
      <c r="C59" s="2576"/>
      <c r="D59" s="2576"/>
      <c r="E59" s="2576"/>
      <c r="F59" s="1152"/>
      <c r="G59" s="2580"/>
      <c r="H59" s="2580"/>
      <c r="I59" s="2580"/>
      <c r="J59" s="1172"/>
      <c r="K59" s="1196"/>
      <c r="L59" s="1172"/>
      <c r="M59" s="2581"/>
      <c r="N59" s="2581"/>
      <c r="O59" s="2581"/>
      <c r="P59" s="138"/>
      <c r="Q59" s="2462"/>
      <c r="R59" s="1172"/>
      <c r="S59" s="138"/>
    </row>
    <row r="60" spans="1:20" x14ac:dyDescent="0.2">
      <c r="A60" s="611"/>
      <c r="B60" s="611"/>
      <c r="C60" s="2576"/>
      <c r="D60" s="2576"/>
      <c r="E60" s="2576"/>
      <c r="F60" s="1152"/>
      <c r="G60" s="2580"/>
      <c r="H60" s="2580"/>
      <c r="I60" s="2580"/>
      <c r="J60" s="1172"/>
      <c r="K60" s="1196"/>
      <c r="L60" s="1172"/>
      <c r="M60" s="2581"/>
      <c r="N60" s="2581"/>
      <c r="O60" s="2581"/>
      <c r="P60" s="138"/>
      <c r="Q60" s="2462"/>
      <c r="R60" s="1172"/>
      <c r="S60" s="138"/>
    </row>
    <row r="61" spans="1:20" x14ac:dyDescent="0.2">
      <c r="A61" s="611"/>
      <c r="B61" s="611"/>
      <c r="C61" s="2576"/>
      <c r="D61" s="2576"/>
      <c r="E61" s="2576"/>
      <c r="F61" s="1152"/>
      <c r="G61" s="2580"/>
      <c r="H61" s="2580"/>
      <c r="I61" s="2580"/>
      <c r="J61" s="1172"/>
      <c r="K61" s="1196"/>
      <c r="L61" s="1172"/>
      <c r="M61" s="2581"/>
      <c r="N61" s="2581"/>
      <c r="O61" s="2581"/>
      <c r="P61" s="138"/>
      <c r="Q61" s="2462"/>
      <c r="R61" s="1172"/>
      <c r="S61" s="138"/>
    </row>
    <row r="62" spans="1:20" x14ac:dyDescent="0.2">
      <c r="A62" s="611"/>
      <c r="B62" s="611"/>
      <c r="C62" s="2576"/>
      <c r="D62" s="2576"/>
      <c r="E62" s="2576"/>
      <c r="F62" s="1152"/>
      <c r="G62" s="2580"/>
      <c r="H62" s="2580"/>
      <c r="I62" s="2580"/>
      <c r="J62" s="1172"/>
      <c r="K62" s="1196"/>
      <c r="L62" s="1172"/>
      <c r="M62" s="2581"/>
      <c r="N62" s="2581"/>
      <c r="O62" s="2581"/>
      <c r="P62" s="138"/>
      <c r="Q62" s="2462"/>
      <c r="R62" s="138"/>
      <c r="S62" s="138"/>
    </row>
    <row r="63" spans="1:20" x14ac:dyDescent="0.2">
      <c r="A63" s="611"/>
      <c r="B63" s="611"/>
      <c r="C63" s="2576"/>
      <c r="D63" s="2576"/>
      <c r="E63" s="2576"/>
      <c r="F63" s="1152"/>
      <c r="G63" s="2580"/>
      <c r="H63" s="2580"/>
      <c r="I63" s="2580"/>
      <c r="J63" s="1172"/>
      <c r="K63" s="1196"/>
      <c r="L63" s="1172"/>
      <c r="M63" s="2581"/>
      <c r="N63" s="2581"/>
      <c r="O63" s="2581"/>
      <c r="P63" s="138"/>
      <c r="Q63" s="2462"/>
      <c r="R63" s="138"/>
      <c r="S63" s="138"/>
    </row>
    <row r="64" spans="1:20" x14ac:dyDescent="0.2">
      <c r="A64" s="611"/>
      <c r="B64" s="611"/>
      <c r="C64" s="2576"/>
      <c r="D64" s="2576"/>
      <c r="E64" s="2576"/>
      <c r="F64" s="1152"/>
      <c r="G64" s="2580"/>
      <c r="H64" s="2580"/>
      <c r="I64" s="2580"/>
      <c r="J64" s="1172"/>
      <c r="K64" s="1196"/>
      <c r="L64" s="1172"/>
      <c r="M64" s="2581"/>
      <c r="N64" s="2581"/>
      <c r="O64" s="2581"/>
      <c r="P64" s="138"/>
      <c r="Q64" s="2462"/>
      <c r="R64" s="138"/>
      <c r="S64" s="138"/>
    </row>
    <row r="65" spans="1:20" ht="19.149999999999999" customHeight="1" thickBot="1" x14ac:dyDescent="0.25">
      <c r="A65" s="611"/>
      <c r="B65" s="611"/>
      <c r="C65" s="1152"/>
      <c r="D65" s="1171"/>
      <c r="E65" s="1171"/>
      <c r="F65" s="612"/>
      <c r="G65" s="2278"/>
      <c r="H65" s="2278"/>
      <c r="I65" s="2278"/>
      <c r="J65" s="138"/>
      <c r="K65" s="2459" t="s">
        <v>6646</v>
      </c>
      <c r="L65" s="138"/>
      <c r="M65" s="2583">
        <f>SUM(M58:O64)</f>
        <v>0</v>
      </c>
      <c r="N65" s="2583"/>
      <c r="O65" s="2583"/>
      <c r="P65" s="2278"/>
      <c r="Q65" s="2278"/>
      <c r="R65" s="138"/>
      <c r="S65" s="138"/>
    </row>
    <row r="66" spans="1:20" ht="5.25" customHeight="1" thickTop="1" x14ac:dyDescent="0.2">
      <c r="A66" s="611"/>
      <c r="B66" s="611"/>
      <c r="C66" s="1152"/>
      <c r="D66" s="1171"/>
      <c r="E66" s="1171"/>
      <c r="F66" s="612"/>
      <c r="G66" s="2278"/>
      <c r="H66" s="2278"/>
      <c r="I66" s="2278"/>
      <c r="J66" s="138"/>
      <c r="K66" s="138"/>
      <c r="L66" s="138"/>
      <c r="M66" s="2278"/>
      <c r="N66" s="138"/>
      <c r="O66" s="2278"/>
      <c r="P66" s="2278"/>
      <c r="Q66" s="2278"/>
      <c r="R66" s="2278"/>
      <c r="S66" s="2278"/>
    </row>
    <row r="67" spans="1:20" x14ac:dyDescent="0.2">
      <c r="A67" s="611"/>
      <c r="B67" s="612" t="s">
        <v>6638</v>
      </c>
      <c r="C67" s="1171"/>
      <c r="D67" s="1171"/>
      <c r="E67" s="1171"/>
      <c r="F67" s="1152"/>
      <c r="G67" s="1152"/>
      <c r="H67" s="1152"/>
      <c r="I67" s="2278"/>
      <c r="J67" s="2278"/>
      <c r="K67" s="2278"/>
      <c r="L67" s="1172"/>
      <c r="M67" s="2278"/>
      <c r="N67" s="2278"/>
      <c r="O67" s="2278"/>
      <c r="P67" s="138"/>
      <c r="Q67" s="2278"/>
      <c r="R67" s="2278"/>
      <c r="S67" s="2278"/>
    </row>
    <row r="68" spans="1:20" x14ac:dyDescent="0.2">
      <c r="A68" s="611"/>
      <c r="B68" s="611"/>
      <c r="C68" s="1171"/>
      <c r="D68" s="1170" t="s">
        <v>628</v>
      </c>
      <c r="E68" s="1196"/>
      <c r="F68" s="1170"/>
      <c r="G68" s="1170" t="s">
        <v>620</v>
      </c>
      <c r="H68" s="2332"/>
      <c r="I68" s="1170"/>
      <c r="J68" s="1198"/>
      <c r="K68" s="1152"/>
      <c r="L68" s="1172"/>
      <c r="M68" s="1172"/>
      <c r="N68" s="138"/>
      <c r="O68" s="138"/>
      <c r="P68" s="138"/>
      <c r="Q68" s="138"/>
      <c r="R68" s="138"/>
      <c r="S68" s="138"/>
      <c r="T68" s="860" t="str">
        <f>IF(AND(ISBLANK($E$68),ISBLANK($H$68))=TRUE,"Answer Missing"," ")</f>
        <v>Answer Missing</v>
      </c>
    </row>
    <row r="69" spans="1:20" ht="5.25" customHeight="1" x14ac:dyDescent="0.2">
      <c r="A69"/>
      <c r="B69"/>
    </row>
    <row r="70" spans="1:20" x14ac:dyDescent="0.2">
      <c r="A70" s="611"/>
      <c r="B70" s="611"/>
      <c r="C70" s="1175" t="s">
        <v>666</v>
      </c>
      <c r="D70" s="1171"/>
      <c r="E70" s="1171"/>
      <c r="F70" s="612"/>
      <c r="G70" s="612"/>
      <c r="H70" s="612"/>
      <c r="I70" s="2278"/>
      <c r="J70" s="2278"/>
      <c r="K70" s="2278"/>
      <c r="L70" s="138"/>
      <c r="M70" s="138"/>
      <c r="N70" s="138"/>
      <c r="O70" s="138"/>
      <c r="P70" s="138"/>
      <c r="Q70" s="2278"/>
      <c r="R70" s="2278"/>
      <c r="S70" s="2278"/>
    </row>
    <row r="71" spans="1:20" x14ac:dyDescent="0.2">
      <c r="A71" s="611"/>
      <c r="B71" s="611"/>
      <c r="C71" s="1171"/>
      <c r="D71" s="1171"/>
      <c r="E71" s="1171"/>
      <c r="F71" s="1152"/>
      <c r="G71" s="1152"/>
      <c r="H71" s="1152"/>
      <c r="I71" s="2278"/>
      <c r="J71" s="2278"/>
      <c r="K71" s="2278"/>
      <c r="L71" s="1172"/>
      <c r="M71" s="2278"/>
      <c r="N71" s="2278"/>
      <c r="O71" s="2278"/>
      <c r="P71" s="138"/>
      <c r="Q71" s="2278"/>
      <c r="R71" s="2278"/>
      <c r="S71" s="2278"/>
    </row>
    <row r="72" spans="1:20" x14ac:dyDescent="0.2">
      <c r="A72" s="611"/>
      <c r="B72" s="611"/>
      <c r="C72" s="1173" t="s">
        <v>660</v>
      </c>
      <c r="D72" s="1174"/>
      <c r="E72" s="1174"/>
      <c r="F72" s="612"/>
      <c r="G72" s="612"/>
      <c r="H72" s="612"/>
      <c r="I72" s="1173" t="s">
        <v>667</v>
      </c>
      <c r="J72" s="1174"/>
      <c r="K72" s="1174"/>
      <c r="L72" s="1172"/>
      <c r="M72" s="2075" t="s">
        <v>668</v>
      </c>
      <c r="N72" s="1158"/>
      <c r="O72" s="1174"/>
      <c r="P72" s="138"/>
      <c r="Q72" s="2075"/>
      <c r="R72" s="1158"/>
      <c r="S72" s="1174"/>
    </row>
    <row r="73" spans="1:20" x14ac:dyDescent="0.2">
      <c r="A73" s="611"/>
      <c r="B73" s="611"/>
      <c r="C73" s="2576"/>
      <c r="D73" s="2576"/>
      <c r="E73" s="2576"/>
      <c r="F73" s="1152"/>
      <c r="G73" s="1152"/>
      <c r="H73" s="1152"/>
      <c r="I73" s="2580"/>
      <c r="J73" s="2580"/>
      <c r="K73" s="2580"/>
      <c r="L73" s="1172"/>
      <c r="M73" s="2580"/>
      <c r="N73" s="2580"/>
      <c r="O73" s="2580"/>
      <c r="P73" s="138"/>
      <c r="Q73" s="2584"/>
      <c r="R73" s="2584"/>
      <c r="S73" s="2584"/>
    </row>
    <row r="74" spans="1:20" x14ac:dyDescent="0.2">
      <c r="A74" s="611"/>
      <c r="B74" s="611"/>
      <c r="C74" s="2576"/>
      <c r="D74" s="2576"/>
      <c r="E74" s="2576"/>
      <c r="F74" s="1152"/>
      <c r="G74" s="1152"/>
      <c r="H74" s="1152"/>
      <c r="I74" s="2580"/>
      <c r="J74" s="2580"/>
      <c r="K74" s="2580"/>
      <c r="L74" s="1172"/>
      <c r="M74" s="2580"/>
      <c r="N74" s="2580"/>
      <c r="O74" s="2580"/>
      <c r="P74" s="138"/>
      <c r="Q74" s="2584"/>
      <c r="R74" s="2584"/>
      <c r="S74" s="2584"/>
    </row>
    <row r="75" spans="1:20" x14ac:dyDescent="0.2">
      <c r="A75" s="611"/>
      <c r="B75" s="611"/>
      <c r="C75" s="2576"/>
      <c r="D75" s="2576"/>
      <c r="E75" s="2576"/>
      <c r="F75" s="1152"/>
      <c r="G75" s="1152"/>
      <c r="H75" s="1152"/>
      <c r="I75" s="2580"/>
      <c r="J75" s="2580"/>
      <c r="K75" s="2580"/>
      <c r="L75" s="1172"/>
      <c r="M75" s="2580"/>
      <c r="N75" s="2580"/>
      <c r="O75" s="2580"/>
      <c r="P75" s="138"/>
      <c r="Q75" s="2584"/>
      <c r="R75" s="2584"/>
      <c r="S75" s="2584"/>
    </row>
    <row r="76" spans="1:20" x14ac:dyDescent="0.2">
      <c r="A76" s="611"/>
      <c r="B76" s="611"/>
      <c r="C76" s="1171"/>
      <c r="D76" s="1171"/>
      <c r="E76" s="1171"/>
      <c r="F76" s="1152"/>
      <c r="G76" s="1152"/>
      <c r="H76" s="1152"/>
      <c r="I76" s="2278"/>
      <c r="J76" s="2278"/>
      <c r="K76" s="2278"/>
      <c r="L76" s="1172"/>
      <c r="M76" s="2278"/>
      <c r="N76" s="2278"/>
      <c r="O76" s="2278"/>
      <c r="P76" s="138"/>
      <c r="Q76" s="2278"/>
      <c r="R76" s="2278"/>
      <c r="S76" s="2278"/>
    </row>
    <row r="77" spans="1:20" x14ac:dyDescent="0.2">
      <c r="A77" s="611"/>
      <c r="B77" s="611"/>
      <c r="C77" s="1171"/>
      <c r="D77" s="1171"/>
      <c r="E77" s="1171"/>
      <c r="F77" s="888" t="s">
        <v>669</v>
      </c>
      <c r="G77" s="1152"/>
      <c r="H77" s="2278"/>
      <c r="I77" s="2278"/>
      <c r="J77" s="2278"/>
      <c r="K77" s="2278"/>
      <c r="L77" s="1172"/>
      <c r="M77" s="2278">
        <f>SUM(M73:M76)</f>
        <v>0</v>
      </c>
      <c r="N77" s="2278"/>
      <c r="O77" s="2278"/>
      <c r="P77" s="138"/>
      <c r="Q77" s="2278"/>
      <c r="R77" s="2278"/>
      <c r="S77" s="2278"/>
    </row>
    <row r="78" spans="1:20" x14ac:dyDescent="0.2">
      <c r="A78" s="611"/>
      <c r="B78" s="611"/>
      <c r="C78" s="1171"/>
      <c r="D78" s="1171"/>
      <c r="E78" s="1171"/>
      <c r="F78" s="888" t="s">
        <v>670</v>
      </c>
      <c r="G78" s="1152"/>
      <c r="H78" s="1152"/>
      <c r="I78" s="2278"/>
      <c r="J78" s="2278"/>
      <c r="K78" s="2278"/>
      <c r="L78" s="1172"/>
      <c r="M78" s="2278">
        <f>M77</f>
        <v>0</v>
      </c>
      <c r="N78" s="2278"/>
      <c r="O78" s="2278"/>
      <c r="P78" s="138"/>
      <c r="Q78" s="2278"/>
      <c r="R78" s="2278"/>
      <c r="S78" s="2278"/>
    </row>
    <row r="79" spans="1:20" x14ac:dyDescent="0.2">
      <c r="A79" s="611"/>
      <c r="B79" s="611"/>
      <c r="C79" s="2076" t="s">
        <v>671</v>
      </c>
      <c r="D79" s="2076"/>
      <c r="E79" s="2076"/>
      <c r="F79" s="2077"/>
      <c r="G79" s="2077"/>
      <c r="H79" s="2077"/>
      <c r="I79" s="2078"/>
      <c r="J79" s="2078"/>
      <c r="K79" s="2078"/>
      <c r="L79" s="2079"/>
      <c r="M79" s="2078"/>
      <c r="N79" s="2078"/>
      <c r="O79" s="2078"/>
      <c r="P79" s="138"/>
      <c r="Q79" s="2278"/>
      <c r="R79" s="2278"/>
      <c r="S79" s="2278"/>
    </row>
    <row r="80" spans="1:20" x14ac:dyDescent="0.2">
      <c r="A80" s="611"/>
      <c r="B80" s="611"/>
      <c r="C80" s="1171"/>
      <c r="D80" s="1171"/>
      <c r="E80" s="1171"/>
      <c r="F80" s="1152"/>
      <c r="G80" s="1152"/>
      <c r="H80" s="1152"/>
      <c r="I80" s="2278"/>
      <c r="J80" s="2278"/>
      <c r="K80" s="2278"/>
      <c r="L80" s="1172"/>
      <c r="M80" s="2278"/>
      <c r="N80" s="2278"/>
      <c r="O80" s="2278"/>
      <c r="P80" s="138"/>
      <c r="Q80" s="2278"/>
      <c r="R80" s="2278"/>
      <c r="S80" s="2278"/>
    </row>
    <row r="81" spans="1:19" x14ac:dyDescent="0.2">
      <c r="A81" s="611"/>
      <c r="B81" s="611"/>
      <c r="C81" s="1152" t="s">
        <v>672</v>
      </c>
      <c r="D81" s="1171"/>
      <c r="E81" s="1171"/>
      <c r="F81" s="612"/>
      <c r="G81" s="612"/>
      <c r="H81" s="612"/>
      <c r="I81" s="2278"/>
      <c r="J81" s="2278"/>
      <c r="K81" s="2278"/>
      <c r="L81" s="138"/>
      <c r="M81" s="138"/>
      <c r="N81" s="2278"/>
      <c r="O81" s="2278"/>
      <c r="P81" s="138"/>
      <c r="Q81" s="2278"/>
      <c r="R81" s="2278"/>
      <c r="S81" s="2278"/>
    </row>
    <row r="82" spans="1:19" ht="7.5" customHeight="1" x14ac:dyDescent="0.2">
      <c r="A82" s="611"/>
      <c r="B82" s="611"/>
      <c r="C82" s="1152"/>
      <c r="D82" s="1171"/>
      <c r="E82" s="1171"/>
      <c r="F82" s="612"/>
      <c r="G82" s="612"/>
      <c r="H82" s="612"/>
      <c r="I82" s="2278"/>
      <c r="J82" s="2278"/>
      <c r="K82" s="2278"/>
      <c r="L82" s="138"/>
      <c r="M82" s="138"/>
      <c r="N82" s="2278"/>
      <c r="O82" s="2278"/>
      <c r="P82" s="138"/>
      <c r="Q82" s="2278"/>
      <c r="R82" s="2278"/>
      <c r="S82" s="2278"/>
    </row>
    <row r="83" spans="1:19" x14ac:dyDescent="0.2">
      <c r="A83" s="611"/>
      <c r="B83" s="611"/>
      <c r="C83" s="2076" t="s">
        <v>673</v>
      </c>
      <c r="D83" s="2076"/>
      <c r="E83" s="2076"/>
      <c r="F83" s="2077"/>
      <c r="G83" s="2077"/>
      <c r="H83" s="2077"/>
      <c r="I83" s="2078"/>
      <c r="J83" s="2078"/>
      <c r="K83" s="2078"/>
      <c r="L83" s="2079"/>
      <c r="M83" s="2078">
        <f>+M77</f>
        <v>0</v>
      </c>
      <c r="N83" s="2278"/>
      <c r="O83" s="2278"/>
      <c r="P83" s="138"/>
      <c r="Q83" s="2278"/>
      <c r="R83" s="2278"/>
      <c r="S83" s="2278"/>
    </row>
    <row r="84" spans="1:19" ht="6.75" customHeight="1" x14ac:dyDescent="0.2">
      <c r="A84"/>
      <c r="B84"/>
    </row>
    <row r="85" spans="1:19" x14ac:dyDescent="0.2">
      <c r="A85" s="1169"/>
      <c r="B85" s="1169"/>
      <c r="C85" s="1170" t="s">
        <v>6659</v>
      </c>
      <c r="D85" s="1170"/>
      <c r="E85" s="1170"/>
      <c r="F85" s="1170"/>
      <c r="G85" s="1170"/>
      <c r="H85" s="1170"/>
      <c r="I85" s="1170"/>
      <c r="J85" s="1170"/>
      <c r="K85" s="1170"/>
      <c r="L85" s="138"/>
      <c r="M85" s="138"/>
      <c r="N85" s="138"/>
      <c r="O85" s="138"/>
      <c r="P85" s="138"/>
      <c r="Q85" s="138"/>
      <c r="R85" s="138"/>
      <c r="S85" s="138"/>
    </row>
    <row r="86" spans="1:19" x14ac:dyDescent="0.2">
      <c r="A86" s="1169"/>
      <c r="B86" s="1169"/>
      <c r="C86" s="1198" t="s">
        <v>674</v>
      </c>
      <c r="D86" s="1198"/>
      <c r="E86" s="2398"/>
      <c r="F86" s="1198"/>
      <c r="G86" s="1198"/>
      <c r="H86" s="1198"/>
      <c r="I86" s="1198"/>
      <c r="J86" s="1198"/>
      <c r="K86" s="1170"/>
      <c r="L86" s="138"/>
      <c r="M86" s="138"/>
      <c r="N86" s="138"/>
      <c r="O86" s="138"/>
      <c r="P86" s="138"/>
      <c r="Q86" s="138"/>
      <c r="R86" s="138"/>
      <c r="S86" s="138"/>
    </row>
    <row r="87" spans="1:19" ht="1.5" customHeight="1" x14ac:dyDescent="0.2">
      <c r="A87" s="1169"/>
      <c r="B87" s="1169"/>
      <c r="C87" s="1170"/>
      <c r="D87" s="1170"/>
      <c r="E87" s="1170"/>
      <c r="F87" s="1170"/>
      <c r="G87" s="1170"/>
      <c r="H87" s="1170"/>
      <c r="I87" s="1170"/>
      <c r="J87" s="1170"/>
      <c r="K87" s="1170"/>
      <c r="L87" s="138"/>
      <c r="M87" s="138"/>
      <c r="N87" s="138"/>
      <c r="O87" s="138"/>
      <c r="P87" s="138"/>
      <c r="Q87" s="138"/>
      <c r="R87" s="138"/>
      <c r="S87" s="138"/>
    </row>
    <row r="88" spans="1:19" x14ac:dyDescent="0.2">
      <c r="A88" s="1169"/>
      <c r="B88" s="1169"/>
      <c r="C88" s="1198"/>
      <c r="D88" s="1198"/>
      <c r="E88" s="1198"/>
      <c r="F88" s="1170"/>
      <c r="G88" s="1170"/>
      <c r="H88" s="1170"/>
      <c r="I88" s="1170"/>
      <c r="J88" s="1170"/>
      <c r="K88" s="1170"/>
      <c r="L88" s="138"/>
      <c r="M88" s="138"/>
      <c r="N88" s="138"/>
      <c r="O88" s="138"/>
      <c r="P88" s="138"/>
      <c r="Q88" s="138"/>
      <c r="R88" s="138"/>
      <c r="S88" s="138"/>
    </row>
    <row r="89" spans="1:19" x14ac:dyDescent="0.2">
      <c r="A89" s="1169"/>
      <c r="B89" s="1169"/>
      <c r="C89" s="2585" t="s">
        <v>675</v>
      </c>
      <c r="D89" s="2585"/>
      <c r="E89" s="2585"/>
      <c r="F89" s="1170"/>
      <c r="G89" s="1170"/>
      <c r="H89" s="1170"/>
      <c r="I89" s="1170"/>
      <c r="J89" s="1170"/>
      <c r="K89" s="1170"/>
      <c r="L89" s="138"/>
      <c r="M89" s="138"/>
      <c r="N89" s="138"/>
      <c r="O89" s="138"/>
      <c r="P89" s="138"/>
      <c r="Q89" s="138"/>
      <c r="R89" s="138"/>
      <c r="S89" s="138"/>
    </row>
    <row r="90" spans="1:19" ht="13.5" customHeight="1" x14ac:dyDescent="0.2">
      <c r="A90" s="1169"/>
      <c r="B90" s="1169"/>
      <c r="C90" s="2579"/>
      <c r="D90" s="2579"/>
      <c r="E90" s="2579"/>
      <c r="F90" s="1170"/>
      <c r="G90" s="2586"/>
      <c r="H90" s="2579"/>
      <c r="I90" s="2579"/>
      <c r="J90" s="2579"/>
      <c r="K90" s="1170"/>
      <c r="L90" s="138"/>
      <c r="M90" s="138"/>
      <c r="N90" s="138"/>
      <c r="O90" s="138"/>
      <c r="P90" s="138"/>
      <c r="Q90" s="138"/>
      <c r="R90" s="138"/>
      <c r="S90" s="138"/>
    </row>
    <row r="91" spans="1:19" x14ac:dyDescent="0.2">
      <c r="A91" s="1169"/>
      <c r="B91" s="1169"/>
      <c r="C91" s="2585" t="s">
        <v>676</v>
      </c>
      <c r="D91" s="2585"/>
      <c r="E91" s="2585"/>
      <c r="F91" s="1170"/>
      <c r="G91" s="2585" t="s">
        <v>677</v>
      </c>
      <c r="H91" s="2585"/>
      <c r="I91" s="2585"/>
      <c r="J91" s="2585"/>
      <c r="K91" s="1170"/>
      <c r="L91" s="138"/>
      <c r="M91" s="138"/>
      <c r="N91" s="138"/>
      <c r="O91" s="138"/>
      <c r="P91" s="138"/>
      <c r="Q91" s="138"/>
      <c r="R91" s="138"/>
      <c r="S91" s="138"/>
    </row>
    <row r="92" spans="1:19" x14ac:dyDescent="0.2">
      <c r="A92" s="1169"/>
      <c r="B92" s="1169"/>
      <c r="C92" s="1170"/>
      <c r="D92" s="1170"/>
      <c r="E92" s="1170"/>
      <c r="F92" s="1170"/>
      <c r="G92" s="1170"/>
      <c r="H92" s="1170"/>
      <c r="I92" s="1170"/>
      <c r="J92" s="1170"/>
      <c r="K92" s="1170"/>
    </row>
  </sheetData>
  <sheetProtection algorithmName="SHA-512" hashValue="7/GMb5Bv/KOBJ1Q6Xs0p+zhU9v1w+jYrKWB44hzPxwLkf/g0inESzC97yR0UtgoldKjKoM31OiWmgG1mHL/YxQ==" saltValue="tBjna1MOfEbPQxr8kLxqhg==" spinCount="100000" sheet="1" autoFilter="0"/>
  <mergeCells count="71">
    <mergeCell ref="C29:E29"/>
    <mergeCell ref="G29:I29"/>
    <mergeCell ref="C46:E46"/>
    <mergeCell ref="G46:I46"/>
    <mergeCell ref="M46:O46"/>
    <mergeCell ref="M32:O32"/>
    <mergeCell ref="I75:K75"/>
    <mergeCell ref="C47:E47"/>
    <mergeCell ref="G47:I47"/>
    <mergeCell ref="M47:O47"/>
    <mergeCell ref="S1:S3"/>
    <mergeCell ref="N7:Q7"/>
    <mergeCell ref="N8:Q8"/>
    <mergeCell ref="N9:Q9"/>
    <mergeCell ref="N10:Q10"/>
    <mergeCell ref="C30:E30"/>
    <mergeCell ref="G30:I30"/>
    <mergeCell ref="M30:O30"/>
    <mergeCell ref="C31:E31"/>
    <mergeCell ref="G31:I31"/>
    <mergeCell ref="M31:O31"/>
    <mergeCell ref="C32:E32"/>
    <mergeCell ref="C89:E89"/>
    <mergeCell ref="C91:E91"/>
    <mergeCell ref="G91:J91"/>
    <mergeCell ref="C90:E90"/>
    <mergeCell ref="G90:J90"/>
    <mergeCell ref="C59:E59"/>
    <mergeCell ref="C60:E60"/>
    <mergeCell ref="C58:E58"/>
    <mergeCell ref="M75:O75"/>
    <mergeCell ref="Q75:S75"/>
    <mergeCell ref="C73:E73"/>
    <mergeCell ref="I73:K73"/>
    <mergeCell ref="M73:O73"/>
    <mergeCell ref="Q73:S73"/>
    <mergeCell ref="C74:E74"/>
    <mergeCell ref="I74:K74"/>
    <mergeCell ref="M74:O74"/>
    <mergeCell ref="Q74:S74"/>
    <mergeCell ref="C64:E64"/>
    <mergeCell ref="G64:I64"/>
    <mergeCell ref="C75:E75"/>
    <mergeCell ref="C48:E48"/>
    <mergeCell ref="G48:I48"/>
    <mergeCell ref="M48:O48"/>
    <mergeCell ref="M64:O64"/>
    <mergeCell ref="M65:O65"/>
    <mergeCell ref="C63:E63"/>
    <mergeCell ref="G63:I63"/>
    <mergeCell ref="M63:O63"/>
    <mergeCell ref="C61:E61"/>
    <mergeCell ref="C62:E62"/>
    <mergeCell ref="G60:I60"/>
    <mergeCell ref="M60:O60"/>
    <mergeCell ref="C49:E49"/>
    <mergeCell ref="G49:I49"/>
    <mergeCell ref="M49:O49"/>
    <mergeCell ref="G57:I57"/>
    <mergeCell ref="I15:J15"/>
    <mergeCell ref="G61:I61"/>
    <mergeCell ref="M61:O61"/>
    <mergeCell ref="G62:I62"/>
    <mergeCell ref="M62:O62"/>
    <mergeCell ref="M29:O29"/>
    <mergeCell ref="G58:I58"/>
    <mergeCell ref="M58:O58"/>
    <mergeCell ref="G59:I59"/>
    <mergeCell ref="M59:O59"/>
    <mergeCell ref="M57:O57"/>
    <mergeCell ref="G32:I32"/>
  </mergeCells>
  <conditionalFormatting sqref="S1:T3">
    <cfRule type="cellIs" dxfId="155" priority="10" stopIfTrue="1" operator="equal">
      <formula>"na"</formula>
    </cfRule>
  </conditionalFormatting>
  <conditionalFormatting sqref="T15">
    <cfRule type="containsText" dxfId="154" priority="9" stopIfTrue="1" operator="containsText" text="Answer Missing">
      <formula>NOT(ISERROR(SEARCH("Answer Missing",T15)))</formula>
    </cfRule>
  </conditionalFormatting>
  <conditionalFormatting sqref="T22">
    <cfRule type="containsText" dxfId="153" priority="3" stopIfTrue="1" operator="containsText" text="Answer Missing">
      <formula>NOT(ISERROR(SEARCH("Answer Missing",T22)))</formula>
    </cfRule>
  </conditionalFormatting>
  <conditionalFormatting sqref="T32:T33">
    <cfRule type="containsText" dxfId="152" priority="8" stopIfTrue="1" operator="containsText" text="Answer Missing">
      <formula>NOT(ISERROR(SEARCH("Answer Missing",T32)))</formula>
    </cfRule>
  </conditionalFormatting>
  <conditionalFormatting sqref="T40">
    <cfRule type="containsText" dxfId="151" priority="2" stopIfTrue="1" operator="containsText" text="Answer Missing">
      <formula>NOT(ISERROR(SEARCH("Answer Missing",T40)))</formula>
    </cfRule>
  </conditionalFormatting>
  <conditionalFormatting sqref="T51">
    <cfRule type="containsText" dxfId="150" priority="7" stopIfTrue="1" operator="containsText" text="Answer Missing">
      <formula>NOT(ISERROR(SEARCH("Answer Missing",T51)))</formula>
    </cfRule>
  </conditionalFormatting>
  <conditionalFormatting sqref="T55">
    <cfRule type="containsText" dxfId="149" priority="1" stopIfTrue="1" operator="containsText" text="Answer Missing">
      <formula>NOT(ISERROR(SEARCH("Answer Missing",T55)))</formula>
    </cfRule>
  </conditionalFormatting>
  <conditionalFormatting sqref="T68">
    <cfRule type="containsText" dxfId="148" priority="4" stopIfTrue="1" operator="containsText" text="Answer Missing">
      <formula>NOT(ISERROR(SEARCH("Answer Missing",T68)))</formula>
    </cfRule>
  </conditionalFormatting>
  <dataValidations count="1">
    <dataValidation type="list" allowBlank="1" showInputMessage="1" showErrorMessage="1" sqref="K58:K64 K46:K49 K29:K32" xr:uid="{F41B01D8-6C81-4A83-B513-94AF1F0DA702}">
      <formula1>"Acquisition, Cost"</formula1>
    </dataValidation>
  </dataValidations>
  <hyperlinks>
    <hyperlink ref="C1:L1" location="Index!A1" display="Index!A1" xr:uid="{D426925A-BA57-468F-9B85-CFCE9887AD49}"/>
  </hyperlinks>
  <pageMargins left="0.6" right="0.6" top="0.5" bottom="0.5" header="0.3" footer="0.3"/>
  <pageSetup scale="66" orientation="portrait" r:id="rId1"/>
  <ignoredErrors>
    <ignoredError sqref="M83" unlockedFormula="1"/>
  </ignoredError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3">
    <pageSetUpPr fitToPage="1"/>
  </sheetPr>
  <dimension ref="A1:V64"/>
  <sheetViews>
    <sheetView showGridLines="0" topLeftCell="A11" zoomScale="85" zoomScaleNormal="85" zoomScaleSheetLayoutView="100" workbookViewId="0">
      <selection activeCell="I23" sqref="I23"/>
    </sheetView>
  </sheetViews>
  <sheetFormatPr defaultColWidth="8" defaultRowHeight="12.75" x14ac:dyDescent="0.2"/>
  <cols>
    <col min="1" max="1" width="0.28515625" style="500" customWidth="1"/>
    <col min="2" max="2" width="13" style="500" customWidth="1"/>
    <col min="3" max="3" width="3.5703125" style="500" customWidth="1"/>
    <col min="4" max="4" width="13" style="500" customWidth="1"/>
    <col min="5" max="5" width="12.85546875" style="500" customWidth="1"/>
    <col min="6" max="6" width="7" style="500" customWidth="1"/>
    <col min="7" max="7" width="25.140625" style="500" customWidth="1"/>
    <col min="8" max="8" width="1.5703125" style="500" customWidth="1"/>
    <col min="9" max="9" width="24.140625" style="500" customWidth="1"/>
    <col min="10" max="10" width="1.5703125" style="500" customWidth="1"/>
    <col min="11" max="11" width="20.85546875" style="500" customWidth="1"/>
    <col min="12" max="12" width="1.5703125" style="500" customWidth="1"/>
    <col min="13" max="13" width="20.5703125" style="500" customWidth="1"/>
    <col min="14" max="14" width="1.5703125" style="500" customWidth="1"/>
    <col min="15" max="15" width="21.28515625" style="500" customWidth="1"/>
    <col min="16" max="16" width="1.5703125" style="500" customWidth="1"/>
    <col min="17" max="17" width="26.28515625" style="500" customWidth="1"/>
    <col min="18" max="18" width="4.5703125" style="500" customWidth="1"/>
    <col min="19" max="20" width="14.42578125" style="500" customWidth="1"/>
    <col min="21" max="21" width="14.42578125" style="1287" customWidth="1"/>
    <col min="22" max="22" width="14.42578125" style="1284" customWidth="1"/>
    <col min="23" max="234" width="14.42578125" style="500" customWidth="1"/>
    <col min="235" max="16384" width="8" style="500"/>
  </cols>
  <sheetData>
    <row r="1" spans="2:22" s="251" customFormat="1" ht="15" customHeight="1" x14ac:dyDescent="0.25">
      <c r="B1" s="2592" t="str">
        <f>+Index!$A$1</f>
        <v xml:space="preserve">                                                               Office of the State Controller                                                                </v>
      </c>
      <c r="C1" s="2592"/>
      <c r="D1" s="2592"/>
      <c r="E1" s="2592"/>
      <c r="F1" s="2592"/>
      <c r="G1" s="2592"/>
      <c r="H1" s="2592"/>
      <c r="I1" s="2592"/>
      <c r="J1" s="2592"/>
      <c r="K1" s="2592"/>
      <c r="L1" s="2592"/>
      <c r="M1" s="2592"/>
      <c r="N1" s="2592"/>
      <c r="O1" s="2592"/>
      <c r="P1" s="2592"/>
      <c r="Q1" s="2592"/>
      <c r="R1" s="2554" t="str">
        <f>IF(Index!$B$24="na","NA","")</f>
        <v/>
      </c>
      <c r="S1" s="497"/>
      <c r="T1" s="497"/>
      <c r="U1" s="1288"/>
    </row>
    <row r="2" spans="2:22" s="251" customFormat="1" ht="15" customHeight="1" x14ac:dyDescent="0.25">
      <c r="B2" s="2588" t="str">
        <f>+Index!$A$2</f>
        <v>2024 ACFR Worksheets</v>
      </c>
      <c r="C2" s="2588"/>
      <c r="D2" s="2588"/>
      <c r="E2" s="2588"/>
      <c r="F2" s="2588"/>
      <c r="G2" s="2588"/>
      <c r="H2" s="2588"/>
      <c r="I2" s="2588"/>
      <c r="J2" s="2588"/>
      <c r="K2" s="2588"/>
      <c r="L2" s="2588"/>
      <c r="M2" s="2588"/>
      <c r="N2" s="2588"/>
      <c r="O2" s="2588"/>
      <c r="P2" s="2588"/>
      <c r="Q2" s="2588"/>
      <c r="R2" s="2554"/>
      <c r="S2" s="497"/>
      <c r="T2" s="497"/>
      <c r="U2" s="1288"/>
    </row>
    <row r="3" spans="2:22" s="251" customFormat="1" ht="15" customHeight="1" x14ac:dyDescent="0.25">
      <c r="B3" s="2588" t="s">
        <v>678</v>
      </c>
      <c r="C3" s="2588"/>
      <c r="D3" s="2588"/>
      <c r="E3" s="2588"/>
      <c r="F3" s="2588"/>
      <c r="G3" s="2588"/>
      <c r="H3" s="2588"/>
      <c r="I3" s="2588"/>
      <c r="J3" s="2588"/>
      <c r="K3" s="2588"/>
      <c r="L3" s="2588"/>
      <c r="M3" s="2588"/>
      <c r="N3" s="2588"/>
      <c r="O3" s="2588"/>
      <c r="P3" s="2588"/>
      <c r="Q3" s="2588"/>
      <c r="R3" s="2554"/>
      <c r="S3" s="497"/>
      <c r="T3" s="497"/>
      <c r="U3" s="1288"/>
    </row>
    <row r="4" spans="2:22" s="251" customFormat="1" ht="15" customHeight="1" x14ac:dyDescent="0.3">
      <c r="B4" s="498"/>
      <c r="C4" s="498"/>
      <c r="D4" s="498"/>
      <c r="E4" s="498"/>
      <c r="F4" s="252"/>
      <c r="G4" s="252"/>
      <c r="H4" s="252"/>
      <c r="I4" s="406" t="s">
        <v>679</v>
      </c>
      <c r="J4" s="252"/>
      <c r="K4" s="252"/>
      <c r="L4" s="252"/>
      <c r="N4" s="252"/>
      <c r="P4" s="252"/>
      <c r="Q4" s="499"/>
      <c r="R4" s="252"/>
      <c r="S4" s="497"/>
      <c r="T4" s="497"/>
      <c r="U4" s="1288"/>
    </row>
    <row r="5" spans="2:22" ht="15" customHeight="1" x14ac:dyDescent="0.2">
      <c r="B5" s="1284"/>
      <c r="C5" s="1284"/>
      <c r="D5" s="1544"/>
      <c r="E5" s="1284"/>
      <c r="F5" s="1284"/>
      <c r="G5" s="1284" t="s">
        <v>318</v>
      </c>
      <c r="H5" s="1284"/>
      <c r="I5" s="2589" t="str">
        <f>+Index!$E$10</f>
        <v>01</v>
      </c>
      <c r="J5" s="2589"/>
      <c r="K5" s="2589"/>
      <c r="L5" s="2589"/>
      <c r="M5" s="2589"/>
      <c r="N5" s="2589"/>
      <c r="O5" s="2589"/>
      <c r="P5" s="2589"/>
      <c r="Q5" s="2589"/>
      <c r="R5" s="1545"/>
      <c r="S5" s="1284"/>
      <c r="T5" s="1545"/>
      <c r="U5" s="1289"/>
    </row>
    <row r="6" spans="2:22" ht="15" customHeight="1" x14ac:dyDescent="0.2">
      <c r="B6" s="1273" t="s">
        <v>543</v>
      </c>
      <c r="C6" s="268"/>
      <c r="D6" s="1365" t="s">
        <v>680</v>
      </c>
      <c r="E6" s="1284"/>
      <c r="F6" s="1284"/>
      <c r="G6" s="1284" t="s">
        <v>319</v>
      </c>
      <c r="H6" s="1284"/>
      <c r="I6" s="2591" t="str">
        <f>+Index!$E$11</f>
        <v>North Carolina General Assembly</v>
      </c>
      <c r="J6" s="2591"/>
      <c r="K6" s="2591"/>
      <c r="L6" s="2591"/>
      <c r="M6" s="2591"/>
      <c r="N6" s="2591"/>
      <c r="O6" s="2591"/>
      <c r="P6" s="2591"/>
      <c r="Q6" s="2591"/>
      <c r="R6" s="1532"/>
      <c r="S6" s="1532"/>
      <c r="T6" s="1532"/>
      <c r="U6" s="1290"/>
    </row>
    <row r="7" spans="2:22" ht="15" customHeight="1" x14ac:dyDescent="0.2">
      <c r="B7" s="1284" t="s">
        <v>545</v>
      </c>
      <c r="C7" s="1284"/>
      <c r="D7" s="1546"/>
      <c r="E7" s="1284"/>
      <c r="F7" s="1284"/>
      <c r="G7" s="1284" t="s">
        <v>320</v>
      </c>
      <c r="H7" s="1284"/>
      <c r="I7" s="2566" t="str">
        <f>CONCATENATE(Index!$E$12," ",Index!$E$14)</f>
        <v xml:space="preserve"> </v>
      </c>
      <c r="J7" s="2566"/>
      <c r="K7" s="2566"/>
      <c r="L7" s="2566"/>
      <c r="M7" s="2566"/>
      <c r="N7" s="2566"/>
      <c r="O7" s="2566"/>
      <c r="P7" s="2566"/>
      <c r="Q7" s="2566"/>
      <c r="R7" s="1284"/>
      <c r="S7" s="1284"/>
      <c r="T7" s="1284"/>
    </row>
    <row r="8" spans="2:22" ht="15" customHeight="1" x14ac:dyDescent="0.2">
      <c r="B8" s="1284"/>
      <c r="C8" s="1284"/>
      <c r="D8" s="409"/>
      <c r="E8" s="1284"/>
      <c r="F8" s="1284"/>
      <c r="G8" s="1284" t="s">
        <v>168</v>
      </c>
      <c r="H8" s="1284"/>
      <c r="I8" s="2566">
        <f>+Index!$E$13</f>
        <v>0</v>
      </c>
      <c r="J8" s="2566"/>
      <c r="K8" s="2566"/>
      <c r="L8" s="2566"/>
      <c r="M8" s="2566"/>
      <c r="N8" s="2566"/>
      <c r="O8" s="2566"/>
      <c r="P8" s="2566"/>
      <c r="Q8" s="2566"/>
      <c r="R8" s="1284"/>
      <c r="S8" s="1284"/>
      <c r="T8" s="1284"/>
    </row>
    <row r="9" spans="2:22" ht="15" customHeight="1" thickBot="1" x14ac:dyDescent="0.25">
      <c r="B9" s="1547"/>
      <c r="C9" s="1547"/>
      <c r="D9" s="1547"/>
      <c r="E9" s="1547"/>
      <c r="F9" s="1547"/>
      <c r="G9" s="1547"/>
      <c r="H9" s="1547"/>
      <c r="I9" s="1547"/>
      <c r="J9" s="1547"/>
      <c r="K9" s="1547"/>
      <c r="L9" s="1547"/>
      <c r="M9" s="1547"/>
      <c r="N9" s="1547"/>
      <c r="O9" s="1547"/>
      <c r="P9" s="1547"/>
      <c r="Q9" s="1547"/>
      <c r="R9" s="1284"/>
      <c r="S9" s="1284"/>
      <c r="T9" s="1284"/>
    </row>
    <row r="10" spans="2:22" s="1284" customFormat="1" ht="12" customHeight="1" x14ac:dyDescent="0.2">
      <c r="B10" s="723" t="s">
        <v>681</v>
      </c>
      <c r="C10" s="1285"/>
      <c r="D10" s="1285"/>
      <c r="E10" s="1285"/>
      <c r="F10" s="1285"/>
      <c r="I10" s="1286" t="s">
        <v>563</v>
      </c>
      <c r="J10" s="1286"/>
      <c r="K10" s="1286" t="s">
        <v>564</v>
      </c>
      <c r="L10" s="1286"/>
      <c r="M10" s="1286" t="s">
        <v>566</v>
      </c>
      <c r="N10" s="1286"/>
      <c r="O10" s="1286" t="s">
        <v>568</v>
      </c>
      <c r="U10" s="1287"/>
    </row>
    <row r="11" spans="2:22" s="253" customFormat="1" ht="15" customHeight="1" x14ac:dyDescent="0.2">
      <c r="G11" s="254" t="s">
        <v>682</v>
      </c>
      <c r="I11" s="254"/>
      <c r="K11" s="254"/>
      <c r="M11" s="254"/>
      <c r="O11" s="254"/>
      <c r="P11" s="1284"/>
      <c r="Q11" s="254" t="s">
        <v>682</v>
      </c>
      <c r="R11" s="1284"/>
      <c r="S11" s="1284"/>
      <c r="T11" s="1284"/>
      <c r="U11" s="1291"/>
    </row>
    <row r="12" spans="2:22" s="253" customFormat="1" ht="15" customHeight="1" x14ac:dyDescent="0.2">
      <c r="G12" s="255" t="s">
        <v>683</v>
      </c>
      <c r="I12" s="255" t="s">
        <v>550</v>
      </c>
      <c r="K12" s="255"/>
      <c r="M12" s="255" t="s">
        <v>682</v>
      </c>
      <c r="O12" s="255" t="s">
        <v>682</v>
      </c>
      <c r="P12" s="1284"/>
      <c r="Q12" s="255" t="s">
        <v>683</v>
      </c>
      <c r="R12" s="1284"/>
      <c r="S12" s="1284"/>
      <c r="T12" s="1284"/>
      <c r="U12" s="1291"/>
    </row>
    <row r="13" spans="2:22" s="253" customFormat="1" ht="15" customHeight="1" x14ac:dyDescent="0.2">
      <c r="G13" s="255" t="s">
        <v>553</v>
      </c>
      <c r="I13" s="1990" t="s">
        <v>554</v>
      </c>
      <c r="K13" s="255" t="s">
        <v>684</v>
      </c>
      <c r="M13" s="255" t="s">
        <v>683</v>
      </c>
      <c r="O13" s="255" t="s">
        <v>683</v>
      </c>
      <c r="P13" s="1284"/>
      <c r="Q13" s="58" t="s">
        <v>553</v>
      </c>
      <c r="R13" s="1284"/>
      <c r="S13" s="1284"/>
      <c r="T13" s="1284"/>
      <c r="U13" s="1291"/>
    </row>
    <row r="14" spans="2:22" s="253" customFormat="1" ht="15" customHeight="1" x14ac:dyDescent="0.35">
      <c r="B14" s="256" t="s">
        <v>559</v>
      </c>
      <c r="G14" s="61" t="str">
        <f>+TEXT(Data!$A$3,"mmmm d, yyyy")</f>
        <v>July 1, 2023</v>
      </c>
      <c r="I14" s="257" t="s">
        <v>553</v>
      </c>
      <c r="K14" s="258" t="s">
        <v>685</v>
      </c>
      <c r="M14" s="257" t="s">
        <v>686</v>
      </c>
      <c r="O14" s="258" t="s">
        <v>687</v>
      </c>
      <c r="P14" s="1284"/>
      <c r="Q14" s="60" t="str">
        <f>TEXT(Data!$A$2,"mmmm d, yyyy")</f>
        <v>June 30, 2024</v>
      </c>
      <c r="R14" s="259"/>
      <c r="S14" s="1284"/>
      <c r="T14" s="1284"/>
      <c r="U14" s="1291"/>
    </row>
    <row r="15" spans="2:22" s="253" customFormat="1" ht="15" hidden="1" customHeight="1" x14ac:dyDescent="0.35">
      <c r="G15" s="260" t="s">
        <v>688</v>
      </c>
      <c r="I15" s="260" t="s">
        <v>689</v>
      </c>
      <c r="K15" s="253" t="s">
        <v>690</v>
      </c>
      <c r="M15" s="260" t="s">
        <v>691</v>
      </c>
      <c r="O15" s="253" t="s">
        <v>179</v>
      </c>
      <c r="P15" s="1284"/>
      <c r="Q15" s="126" t="s">
        <v>692</v>
      </c>
      <c r="R15" s="259"/>
      <c r="S15" s="1284"/>
      <c r="T15" s="1284"/>
      <c r="U15" s="1291"/>
    </row>
    <row r="16" spans="2:22" ht="21.75" customHeight="1" x14ac:dyDescent="0.2">
      <c r="B16" s="493" t="s">
        <v>589</v>
      </c>
      <c r="C16" s="261"/>
      <c r="D16" s="261"/>
      <c r="E16" s="261"/>
      <c r="F16" s="1284"/>
      <c r="G16" s="1540"/>
      <c r="H16" s="1548"/>
      <c r="I16" s="1540">
        <v>0</v>
      </c>
      <c r="J16" s="1548"/>
      <c r="K16" s="1548"/>
      <c r="L16" s="1548"/>
      <c r="M16" s="1540">
        <v>0</v>
      </c>
      <c r="N16" s="1548"/>
      <c r="O16" s="1540">
        <f>+G16-M16</f>
        <v>0</v>
      </c>
      <c r="P16" s="1284"/>
      <c r="Q16" s="1540">
        <f>+M16-O16</f>
        <v>0</v>
      </c>
      <c r="R16" s="1549"/>
      <c r="S16" s="1284"/>
      <c r="T16" s="1284"/>
      <c r="V16" s="1292" t="str">
        <f>IF(D6="General Government","Gen Gov",
IF(D6="Primary and secondary education","Prim Sec Ed",
IF(D6="Higher Education","Higher Ed",
IF(D6="Higher education student aid","Higher Ed stu aid",
IF(D6="Health and human services","HHS",
IF(D6="Economic development","Econ Dev",
IF(D6="Environment and natural resources","ENR",
IF(D6="Public safety","Public Safety",
IF(D6="Transportation","Trans",
IF(D6="Highway construction/preservation","Highway Const",
IF(D6="Highway maintenance","Highway Const",
IF(D6="Highway maintenance","Highway Const",
IF(D6="Agriculture","Agric",
IF(D6="Capital projects/repairs and renovations","CapProjectsReno","No Function"))))))))))))))</f>
        <v>No Function</v>
      </c>
    </row>
    <row r="17" spans="1:21" ht="21.75" customHeight="1" x14ac:dyDescent="0.2">
      <c r="A17" s="1284">
        <v>4</v>
      </c>
      <c r="B17" s="2590" t="s">
        <v>590</v>
      </c>
      <c r="C17" s="2590"/>
      <c r="D17" s="2590"/>
      <c r="E17" s="2590"/>
      <c r="F17" s="1284"/>
      <c r="G17" s="862" t="str">
        <f>IFERROR(HLOOKUP($I$5,PriorYr905!$E$267:$AI$285,5,FALSE),"")</f>
        <v/>
      </c>
      <c r="H17" s="1548"/>
      <c r="I17" s="862"/>
      <c r="J17" s="1548"/>
      <c r="K17" s="1550"/>
      <c r="L17" s="1548"/>
      <c r="M17" s="862"/>
      <c r="N17" s="1548"/>
      <c r="O17" s="862"/>
      <c r="P17" s="1548"/>
      <c r="Q17" s="1538">
        <f t="shared" ref="Q17:Q30" si="0">SUM(G17:P17)</f>
        <v>0</v>
      </c>
      <c r="R17" s="1549"/>
      <c r="S17" s="1284"/>
      <c r="T17" s="1284"/>
      <c r="U17" s="1292">
        <v>12791000</v>
      </c>
    </row>
    <row r="18" spans="1:21" ht="21.75" customHeight="1" x14ac:dyDescent="0.2">
      <c r="A18" s="1284">
        <v>5</v>
      </c>
      <c r="B18" s="2590" t="s">
        <v>591</v>
      </c>
      <c r="C18" s="2590"/>
      <c r="D18" s="2590"/>
      <c r="E18" s="2590"/>
      <c r="F18" s="1284"/>
      <c r="G18" s="862" t="str">
        <f>IFERROR(HLOOKUP($I$5,PriorYr905!$E$267:$AI$285,6,FALSE),"")</f>
        <v/>
      </c>
      <c r="H18" s="1548"/>
      <c r="I18" s="862"/>
      <c r="J18" s="1548"/>
      <c r="K18" s="1551"/>
      <c r="L18" s="1548"/>
      <c r="M18" s="862"/>
      <c r="N18" s="1548"/>
      <c r="O18" s="862"/>
      <c r="P18" s="1548"/>
      <c r="Q18" s="1538">
        <f t="shared" si="0"/>
        <v>0</v>
      </c>
      <c r="R18" s="1549"/>
      <c r="S18" s="1284"/>
      <c r="T18" s="1284"/>
      <c r="U18" s="1292">
        <v>12793600</v>
      </c>
    </row>
    <row r="19" spans="1:21" ht="21.75" customHeight="1" x14ac:dyDescent="0.2">
      <c r="A19" s="1284">
        <v>6</v>
      </c>
      <c r="B19" s="2590" t="s">
        <v>592</v>
      </c>
      <c r="C19" s="2590"/>
      <c r="D19" s="2590"/>
      <c r="E19" s="2590"/>
      <c r="F19" s="1284"/>
      <c r="G19" s="862" t="str">
        <f>IFERROR(HLOOKUP($I$5,PriorYr905!$E$267:$AI$285,7,FALSE),"")</f>
        <v/>
      </c>
      <c r="H19" s="1548"/>
      <c r="I19" s="862"/>
      <c r="J19" s="1548"/>
      <c r="K19" s="1551"/>
      <c r="L19" s="1548"/>
      <c r="M19" s="862"/>
      <c r="N19" s="1548"/>
      <c r="O19" s="862"/>
      <c r="P19" s="1548"/>
      <c r="Q19" s="1538">
        <f t="shared" si="0"/>
        <v>0</v>
      </c>
      <c r="R19" s="1549"/>
      <c r="S19" s="1284"/>
      <c r="T19" s="1284"/>
      <c r="U19" s="1292">
        <v>12794000</v>
      </c>
    </row>
    <row r="20" spans="1:21" ht="21.75" customHeight="1" x14ac:dyDescent="0.2">
      <c r="A20" s="1284">
        <v>7</v>
      </c>
      <c r="B20" s="2590" t="s">
        <v>593</v>
      </c>
      <c r="C20" s="2590"/>
      <c r="D20" s="2590"/>
      <c r="E20" s="2590"/>
      <c r="F20" s="1284"/>
      <c r="G20" s="862" t="str">
        <f>IFERROR(HLOOKUP($I$5,PriorYr905!$E$267:$AI$285,8,FALSE),"")</f>
        <v/>
      </c>
      <c r="H20" s="1548"/>
      <c r="I20" s="862"/>
      <c r="J20" s="1548"/>
      <c r="K20" s="1551"/>
      <c r="L20" s="1548"/>
      <c r="M20" s="862"/>
      <c r="N20" s="1548"/>
      <c r="O20" s="862"/>
      <c r="P20" s="1548"/>
      <c r="Q20" s="1538">
        <f t="shared" si="0"/>
        <v>0</v>
      </c>
      <c r="R20" s="1549"/>
      <c r="S20" s="1284"/>
      <c r="T20" s="1284"/>
      <c r="U20" s="1292">
        <v>12792000</v>
      </c>
    </row>
    <row r="21" spans="1:21" ht="21.75" customHeight="1" x14ac:dyDescent="0.2">
      <c r="A21" s="1284">
        <v>8</v>
      </c>
      <c r="B21" s="2590" t="s">
        <v>594</v>
      </c>
      <c r="C21" s="2590"/>
      <c r="D21" s="2590"/>
      <c r="E21" s="2590"/>
      <c r="F21" s="1284"/>
      <c r="G21" s="862"/>
      <c r="H21" s="1548"/>
      <c r="I21" s="1539"/>
      <c r="J21" s="1548"/>
      <c r="K21" s="1551"/>
      <c r="L21" s="1548"/>
      <c r="M21" s="1539"/>
      <c r="N21" s="1548"/>
      <c r="O21" s="1539"/>
      <c r="P21" s="1548"/>
      <c r="Q21" s="1538">
        <f t="shared" si="0"/>
        <v>0</v>
      </c>
      <c r="R21" s="1284"/>
      <c r="S21" s="1284"/>
      <c r="T21" s="1284"/>
      <c r="U21" s="1292">
        <v>12790000</v>
      </c>
    </row>
    <row r="22" spans="1:21" ht="21.75" customHeight="1" x14ac:dyDescent="0.2">
      <c r="A22" s="964" t="s">
        <v>595</v>
      </c>
      <c r="B22" s="2281" t="s">
        <v>693</v>
      </c>
      <c r="C22" s="2281"/>
      <c r="D22" s="2281"/>
      <c r="E22" s="2281"/>
      <c r="F22" s="1284"/>
      <c r="G22" s="862"/>
      <c r="H22" s="1548"/>
      <c r="I22" s="862"/>
      <c r="J22" s="1548"/>
      <c r="K22" s="1551"/>
      <c r="L22" s="1548"/>
      <c r="M22" s="862"/>
      <c r="N22" s="1548"/>
      <c r="O22" s="862"/>
      <c r="P22" s="1548"/>
      <c r="Q22" s="1538">
        <f t="shared" si="0"/>
        <v>0</v>
      </c>
      <c r="R22" s="1284"/>
      <c r="S22" s="1284"/>
      <c r="T22" s="1284"/>
      <c r="U22" s="1372">
        <v>12790001</v>
      </c>
    </row>
    <row r="23" spans="1:21" ht="21.75" customHeight="1" x14ac:dyDescent="0.2">
      <c r="A23" s="1284">
        <v>9</v>
      </c>
      <c r="B23" s="2281" t="s">
        <v>694</v>
      </c>
      <c r="C23" s="2281"/>
      <c r="D23" s="2281"/>
      <c r="E23" s="2281"/>
      <c r="F23" s="1284"/>
      <c r="G23" s="862" t="str">
        <f>IFERROR(HLOOKUP($I$5,PriorYr905!$E$267:$AI$285,17,FALSE),"")</f>
        <v/>
      </c>
      <c r="H23" s="1548"/>
      <c r="I23" s="862"/>
      <c r="J23" s="1548"/>
      <c r="K23" s="1551"/>
      <c r="L23" s="1548"/>
      <c r="M23" s="862"/>
      <c r="N23" s="1548"/>
      <c r="O23" s="862"/>
      <c r="P23" s="1548"/>
      <c r="Q23" s="1538">
        <f t="shared" si="0"/>
        <v>0</v>
      </c>
      <c r="R23" s="1284"/>
      <c r="S23" s="1284"/>
      <c r="T23" s="1284"/>
      <c r="U23" s="1292">
        <v>12795200</v>
      </c>
    </row>
    <row r="24" spans="1:21" ht="21.75" customHeight="1" x14ac:dyDescent="0.2">
      <c r="A24" s="1284">
        <v>10</v>
      </c>
      <c r="B24" s="2281" t="s">
        <v>695</v>
      </c>
      <c r="C24" s="2281"/>
      <c r="D24" s="2281"/>
      <c r="E24" s="2281"/>
      <c r="F24" s="1284"/>
      <c r="G24" s="862" t="str">
        <f>IFERROR(HLOOKUP($I$5,PriorYr905!$E$267:$AI$285,18,FALSE),"")</f>
        <v/>
      </c>
      <c r="H24" s="1548"/>
      <c r="I24" s="862"/>
      <c r="J24" s="1548"/>
      <c r="K24" s="1550"/>
      <c r="L24" s="1548"/>
      <c r="M24" s="862"/>
      <c r="N24" s="1548"/>
      <c r="O24" s="862"/>
      <c r="P24" s="1548"/>
      <c r="Q24" s="1538">
        <f t="shared" si="0"/>
        <v>0</v>
      </c>
      <c r="R24" s="1284"/>
      <c r="S24" s="1284"/>
      <c r="T24" s="1284"/>
      <c r="U24" s="1292">
        <v>12795100</v>
      </c>
    </row>
    <row r="25" spans="1:21" ht="21.75" customHeight="1" x14ac:dyDescent="0.2">
      <c r="A25" s="1284">
        <v>11</v>
      </c>
      <c r="B25" s="2590" t="s">
        <v>599</v>
      </c>
      <c r="C25" s="2590"/>
      <c r="D25" s="2590"/>
      <c r="E25" s="2590"/>
      <c r="F25" s="1284"/>
      <c r="G25" s="862" t="str">
        <f>IFERROR(HLOOKUP($I$5,PriorYr905!$E$267:$AI$285,19,FALSE),"")</f>
        <v/>
      </c>
      <c r="H25" s="1548"/>
      <c r="I25" s="862"/>
      <c r="J25" s="1548"/>
      <c r="K25" s="1550"/>
      <c r="L25" s="1548"/>
      <c r="M25" s="862"/>
      <c r="N25" s="1548"/>
      <c r="O25" s="862"/>
      <c r="P25" s="1548"/>
      <c r="Q25" s="1538">
        <f t="shared" si="0"/>
        <v>0</v>
      </c>
      <c r="R25" s="1549"/>
      <c r="S25" s="1284"/>
      <c r="T25" s="1284"/>
      <c r="U25" s="1292">
        <v>12795000</v>
      </c>
    </row>
    <row r="26" spans="1:21" ht="21.75" customHeight="1" x14ac:dyDescent="0.2">
      <c r="A26" s="1284"/>
      <c r="B26" s="493" t="s">
        <v>600</v>
      </c>
      <c r="C26" s="2281"/>
      <c r="D26" s="2281"/>
      <c r="E26" s="2281"/>
      <c r="F26" s="1284"/>
      <c r="G26" s="1540"/>
      <c r="H26" s="1548"/>
      <c r="I26" s="1541"/>
      <c r="J26" s="1548"/>
      <c r="K26" s="1552"/>
      <c r="L26" s="1548"/>
      <c r="M26" s="1541"/>
      <c r="N26" s="1548"/>
      <c r="O26" s="1541"/>
      <c r="P26" s="1548"/>
      <c r="Q26" s="1540"/>
      <c r="R26" s="1549"/>
      <c r="S26" s="1284"/>
      <c r="T26" s="1284"/>
      <c r="U26" s="1292"/>
    </row>
    <row r="27" spans="1:21" ht="21.75" customHeight="1" x14ac:dyDescent="0.2">
      <c r="A27" s="1284">
        <v>12</v>
      </c>
      <c r="B27" s="2281" t="s">
        <v>601</v>
      </c>
      <c r="C27" s="2281"/>
      <c r="D27" s="2281"/>
      <c r="E27" s="2281"/>
      <c r="F27" s="1284"/>
      <c r="G27" s="862" t="str">
        <f>IFERROR(HLOOKUP($I$5,PriorYr905!$E$267:$AI$285,9,FALSE),"")</f>
        <v/>
      </c>
      <c r="H27" s="1548"/>
      <c r="I27" s="862"/>
      <c r="J27" s="1548"/>
      <c r="K27" s="1550"/>
      <c r="L27" s="1548"/>
      <c r="M27" s="862"/>
      <c r="N27" s="1548"/>
      <c r="O27" s="862"/>
      <c r="P27" s="1548"/>
      <c r="Q27" s="1538">
        <f t="shared" si="0"/>
        <v>0</v>
      </c>
      <c r="R27" s="1549"/>
      <c r="S27" s="1401"/>
      <c r="T27" s="1284"/>
      <c r="U27" s="1292">
        <v>12797000</v>
      </c>
    </row>
    <row r="28" spans="1:21" ht="21.75" customHeight="1" x14ac:dyDescent="0.2">
      <c r="A28" s="1284">
        <v>13</v>
      </c>
      <c r="B28" s="2590" t="s">
        <v>602</v>
      </c>
      <c r="C28" s="2590"/>
      <c r="D28" s="2590"/>
      <c r="E28" s="2590"/>
      <c r="F28" s="1284"/>
      <c r="G28" s="862" t="str">
        <f>IFERROR(HLOOKUP($I$5,PriorYr905!$E$267:$AI$285,10,FALSE),"")</f>
        <v/>
      </c>
      <c r="H28" s="1548"/>
      <c r="I28" s="862"/>
      <c r="J28" s="1548"/>
      <c r="K28" s="1550"/>
      <c r="L28" s="1548"/>
      <c r="M28" s="862"/>
      <c r="N28" s="1548"/>
      <c r="O28" s="862"/>
      <c r="P28" s="1548"/>
      <c r="Q28" s="1538">
        <f t="shared" si="0"/>
        <v>0</v>
      </c>
      <c r="R28" s="1549"/>
      <c r="S28" s="1401"/>
      <c r="T28" s="1284"/>
      <c r="U28" s="1292">
        <v>12797100</v>
      </c>
    </row>
    <row r="29" spans="1:21" ht="21.75" customHeight="1" x14ac:dyDescent="0.2">
      <c r="A29" s="1284">
        <v>14</v>
      </c>
      <c r="B29" s="2590" t="s">
        <v>603</v>
      </c>
      <c r="C29" s="2590"/>
      <c r="D29" s="2590"/>
      <c r="E29" s="2590"/>
      <c r="F29" s="1284"/>
      <c r="G29" s="862" t="str">
        <f>IFERROR(HLOOKUP($I$5,PriorYr905!$E$267:$AI$285,11,FALSE),"")</f>
        <v/>
      </c>
      <c r="H29" s="1548"/>
      <c r="I29" s="862"/>
      <c r="J29" s="1548"/>
      <c r="K29" s="1550"/>
      <c r="L29" s="1548"/>
      <c r="M29" s="862"/>
      <c r="N29" s="1548"/>
      <c r="O29" s="862"/>
      <c r="P29" s="1548"/>
      <c r="Q29" s="1538">
        <f t="shared" si="0"/>
        <v>0</v>
      </c>
      <c r="R29" s="1549"/>
      <c r="S29" s="1401"/>
      <c r="T29" s="1284"/>
      <c r="U29" s="1292">
        <v>12797200</v>
      </c>
    </row>
    <row r="30" spans="1:21" ht="21.75" customHeight="1" x14ac:dyDescent="0.2">
      <c r="A30" s="1284">
        <v>15</v>
      </c>
      <c r="B30" s="2590" t="s">
        <v>604</v>
      </c>
      <c r="C30" s="2590"/>
      <c r="D30" s="2590"/>
      <c r="E30" s="2590"/>
      <c r="F30" s="1284"/>
      <c r="G30" s="1539" t="str">
        <f>IFERROR(HLOOKUP($I$5,PriorYr905!$E$267:$AI$285,12,FALSE),"")</f>
        <v/>
      </c>
      <c r="H30" s="1548"/>
      <c r="I30" s="1960"/>
      <c r="J30" s="1548"/>
      <c r="K30" s="1961"/>
      <c r="L30" s="1548"/>
      <c r="M30" s="1960"/>
      <c r="N30" s="1548"/>
      <c r="O30" s="1960"/>
      <c r="P30" s="1548"/>
      <c r="Q30" s="1942">
        <f t="shared" si="0"/>
        <v>0</v>
      </c>
      <c r="R30" s="1549"/>
      <c r="S30" s="1401"/>
      <c r="T30" s="1284"/>
      <c r="U30" s="1292">
        <v>12797300</v>
      </c>
    </row>
    <row r="31" spans="1:21" ht="21.75" customHeight="1" x14ac:dyDescent="0.2">
      <c r="A31" s="1284"/>
      <c r="B31" s="2590" t="s">
        <v>696</v>
      </c>
      <c r="C31" s="2590"/>
      <c r="D31" s="2590"/>
      <c r="E31" s="2590"/>
      <c r="F31" s="1284"/>
      <c r="G31" s="1539" t="str">
        <f>IFERROR(HLOOKUP($I$5,PriorYr905!$E$267:$AI$285,13,FALSE),"")</f>
        <v/>
      </c>
      <c r="H31" s="1548"/>
      <c r="I31" s="1960"/>
      <c r="J31" s="1548"/>
      <c r="K31" s="1961"/>
      <c r="L31" s="1548"/>
      <c r="M31" s="1960"/>
      <c r="N31" s="1548"/>
      <c r="O31" s="1960"/>
      <c r="P31" s="1548"/>
      <c r="Q31" s="1942">
        <f t="shared" ref="Q31" si="1">SUM(G31:P31)</f>
        <v>0</v>
      </c>
      <c r="R31" s="1549"/>
      <c r="S31" s="1401"/>
      <c r="T31" s="1284"/>
      <c r="U31" s="2004">
        <v>12755000</v>
      </c>
    </row>
    <row r="32" spans="1:21" ht="21.75" customHeight="1" x14ac:dyDescent="0.2">
      <c r="A32" s="1284"/>
      <c r="B32" s="493" t="s">
        <v>606</v>
      </c>
      <c r="C32" s="2281"/>
      <c r="D32" s="2281"/>
      <c r="E32" s="2281"/>
      <c r="F32" s="1284"/>
      <c r="G32" s="1540"/>
      <c r="H32" s="1548"/>
      <c r="I32" s="1827"/>
      <c r="J32" s="1548"/>
      <c r="K32" s="1828"/>
      <c r="L32" s="1548"/>
      <c r="M32" s="1827"/>
      <c r="N32" s="1548"/>
      <c r="O32" s="1827"/>
      <c r="P32" s="1548"/>
      <c r="Q32" s="1540"/>
      <c r="R32" s="1549"/>
      <c r="S32" s="1401"/>
      <c r="T32" s="1284"/>
      <c r="U32" s="1292"/>
    </row>
    <row r="33" spans="1:21" ht="21.75" customHeight="1" x14ac:dyDescent="0.2">
      <c r="A33" s="1284"/>
      <c r="B33" s="2281" t="s">
        <v>607</v>
      </c>
      <c r="C33" s="2281"/>
      <c r="D33" s="2281"/>
      <c r="E33" s="2281"/>
      <c r="F33" s="1284"/>
      <c r="G33" s="2002" t="str">
        <f>IFERROR(HLOOKUP($I$5,PriorYr905!$E$267:$AI$285,14,FALSE),"")</f>
        <v/>
      </c>
      <c r="H33" s="1548"/>
      <c r="I33" s="2002"/>
      <c r="J33" s="1548"/>
      <c r="K33" s="1803"/>
      <c r="L33" s="1548"/>
      <c r="M33" s="1802"/>
      <c r="N33" s="1548"/>
      <c r="O33" s="862"/>
      <c r="P33" s="1548"/>
      <c r="Q33" s="1804">
        <f>SUM(G33:P33)</f>
        <v>0</v>
      </c>
      <c r="R33" s="1549"/>
      <c r="S33" s="1402"/>
      <c r="T33" s="1284"/>
      <c r="U33" s="1292">
        <v>12797400</v>
      </c>
    </row>
    <row r="34" spans="1:21" ht="21.75" customHeight="1" thickBot="1" x14ac:dyDescent="0.25">
      <c r="A34" s="1284"/>
      <c r="B34" s="493" t="s">
        <v>697</v>
      </c>
      <c r="C34" s="261"/>
      <c r="D34" s="261"/>
      <c r="E34" s="261"/>
      <c r="F34" s="1284"/>
      <c r="G34" s="1542">
        <f>SUM(G17:G33)</f>
        <v>0</v>
      </c>
      <c r="H34" s="1548"/>
      <c r="I34" s="1542">
        <f>SUM(I17:I33)</f>
        <v>0</v>
      </c>
      <c r="J34" s="1548"/>
      <c r="K34" s="1542">
        <f>SUM(K17:K33)</f>
        <v>0</v>
      </c>
      <c r="L34" s="1548"/>
      <c r="M34" s="1542">
        <f>SUM(M17:M33)</f>
        <v>0</v>
      </c>
      <c r="N34" s="1548"/>
      <c r="O34" s="1542">
        <f>SUM(O17:O33)</f>
        <v>0</v>
      </c>
      <c r="P34" s="1548"/>
      <c r="Q34" s="1542">
        <f>SUM(Q17:Q33)</f>
        <v>0</v>
      </c>
      <c r="R34" s="1549"/>
      <c r="S34" s="1284"/>
      <c r="T34" s="1284">
        <f>SUM(I17:I30)</f>
        <v>0</v>
      </c>
    </row>
    <row r="35" spans="1:21" ht="13.5" thickTop="1" x14ac:dyDescent="0.2">
      <c r="A35" s="1284"/>
      <c r="B35" s="1553" t="s">
        <v>50</v>
      </c>
      <c r="C35" s="1553"/>
      <c r="D35" s="1553"/>
      <c r="E35" s="1553"/>
      <c r="F35" s="1284"/>
      <c r="G35" s="1284"/>
      <c r="H35" s="1284"/>
      <c r="I35" s="861" t="str">
        <f>IF(T34&gt;0,"Worksheet 430BTA must be completed"," ")</f>
        <v xml:space="preserve"> </v>
      </c>
      <c r="J35" s="1284"/>
      <c r="K35" s="1284"/>
      <c r="L35" s="1284"/>
      <c r="M35" s="1284"/>
      <c r="N35" s="1284"/>
      <c r="O35" s="1284"/>
      <c r="P35" s="1284"/>
      <c r="Q35" s="62"/>
      <c r="R35" s="1284"/>
      <c r="S35" s="1284"/>
      <c r="T35" s="1284"/>
    </row>
    <row r="36" spans="1:21" ht="15" customHeight="1" x14ac:dyDescent="0.2">
      <c r="A36" s="1284"/>
      <c r="B36" s="504" t="s">
        <v>698</v>
      </c>
      <c r="C36" s="504"/>
      <c r="D36" s="504"/>
      <c r="E36" s="504"/>
      <c r="F36" s="504"/>
      <c r="G36" s="504"/>
      <c r="H36" s="504"/>
      <c r="I36" s="504"/>
      <c r="J36" s="504"/>
      <c r="K36" s="504"/>
      <c r="L36" s="504"/>
      <c r="M36" s="504"/>
      <c r="N36" s="504"/>
      <c r="O36" s="504"/>
      <c r="P36" s="504"/>
      <c r="Q36" s="504"/>
      <c r="R36" s="1284"/>
      <c r="S36" s="1284"/>
      <c r="T36" s="1284"/>
    </row>
    <row r="37" spans="1:21" x14ac:dyDescent="0.2">
      <c r="A37" s="1284"/>
      <c r="B37" s="504" t="s">
        <v>699</v>
      </c>
      <c r="C37" s="504"/>
      <c r="D37" s="504"/>
      <c r="E37" s="504"/>
      <c r="F37" s="504"/>
      <c r="G37" s="504"/>
      <c r="H37" s="504"/>
      <c r="I37" s="504"/>
      <c r="J37" s="504"/>
      <c r="K37" s="504"/>
      <c r="L37" s="504"/>
      <c r="M37" s="504"/>
      <c r="N37" s="504"/>
      <c r="O37" s="504"/>
      <c r="P37" s="504"/>
      <c r="Q37" s="504"/>
      <c r="R37" s="1284"/>
      <c r="S37" s="1284"/>
      <c r="T37" s="1284"/>
    </row>
    <row r="38" spans="1:21" ht="22.9" customHeight="1" x14ac:dyDescent="0.2">
      <c r="A38" s="1284"/>
      <c r="B38" s="2593" t="s">
        <v>700</v>
      </c>
      <c r="C38" s="2593"/>
      <c r="D38" s="2593"/>
      <c r="E38" s="2593"/>
      <c r="F38" s="2593"/>
      <c r="G38" s="2593"/>
      <c r="H38" s="2593"/>
      <c r="I38" s="2593"/>
      <c r="J38" s="2593"/>
      <c r="K38" s="2593"/>
      <c r="L38" s="2593"/>
      <c r="M38" s="2593"/>
      <c r="N38" s="504"/>
      <c r="O38" s="504"/>
      <c r="P38" s="504"/>
      <c r="Q38" s="504"/>
      <c r="R38" s="1284"/>
      <c r="S38" s="1284"/>
      <c r="T38" s="1284"/>
    </row>
    <row r="39" spans="1:21" ht="16.899999999999999" customHeight="1" x14ac:dyDescent="0.2">
      <c r="A39" s="421" t="str">
        <f ca="1">MID(CELL("filename",A1),FIND("]",CELL("filename",A1))+1,256)</f>
        <v>210</v>
      </c>
      <c r="B39" s="2594" t="s">
        <v>700</v>
      </c>
      <c r="C39" s="2594"/>
      <c r="D39" s="2594"/>
      <c r="E39" s="2594"/>
      <c r="F39" s="2594"/>
      <c r="G39" s="2594"/>
      <c r="H39" s="2594"/>
      <c r="I39" s="2594"/>
      <c r="J39" s="2594"/>
      <c r="K39" s="2594"/>
      <c r="L39" s="2594"/>
      <c r="M39" s="2594"/>
      <c r="N39" s="762"/>
      <c r="O39" s="762"/>
      <c r="P39" s="762"/>
      <c r="Q39" s="762"/>
      <c r="R39" s="1284"/>
      <c r="S39" s="1284"/>
      <c r="T39" s="1284"/>
    </row>
    <row r="40" spans="1:21" ht="6.75" customHeight="1" x14ac:dyDescent="0.2">
      <c r="A40" s="421"/>
      <c r="B40" s="1284"/>
      <c r="C40" s="421"/>
      <c r="D40" s="1284"/>
      <c r="E40" s="1284"/>
      <c r="F40" s="1284"/>
      <c r="G40" s="1284"/>
      <c r="H40" s="1284"/>
      <c r="I40" s="1284"/>
      <c r="J40" s="1284"/>
      <c r="K40" s="1284"/>
      <c r="L40" s="1284"/>
      <c r="M40" s="1284"/>
      <c r="N40" s="1284"/>
      <c r="O40" s="1284"/>
      <c r="P40" s="1284"/>
      <c r="Q40" s="1284"/>
      <c r="R40" s="1284"/>
      <c r="S40" s="1284"/>
      <c r="T40" s="1284"/>
    </row>
    <row r="41" spans="1:21" s="504" customFormat="1" x14ac:dyDescent="0.2">
      <c r="B41" s="504" t="s">
        <v>701</v>
      </c>
      <c r="U41" s="1293"/>
    </row>
    <row r="42" spans="1:21" s="504" customFormat="1" ht="12.75" customHeight="1" x14ac:dyDescent="0.25">
      <c r="A42" s="505"/>
      <c r="B42" s="506" t="s">
        <v>702</v>
      </c>
      <c r="C42" s="505"/>
      <c r="Q42" s="560"/>
      <c r="U42" s="1293"/>
    </row>
    <row r="43" spans="1:21" s="504" customFormat="1" ht="15" customHeight="1" x14ac:dyDescent="0.25">
      <c r="A43" s="505"/>
      <c r="B43" s="2594" t="s">
        <v>703</v>
      </c>
      <c r="C43" s="2594"/>
      <c r="D43" s="2594"/>
      <c r="E43" s="2594"/>
      <c r="F43" s="2594"/>
      <c r="G43" s="2594"/>
      <c r="H43" s="2594"/>
      <c r="I43" s="2594"/>
      <c r="J43" s="2594"/>
      <c r="K43" s="2594"/>
      <c r="L43" s="2594"/>
      <c r="M43" s="2594"/>
      <c r="Q43" s="560"/>
      <c r="U43" s="1293"/>
    </row>
    <row r="44" spans="1:21" s="504" customFormat="1" ht="19.149999999999999" customHeight="1" x14ac:dyDescent="0.25">
      <c r="A44" s="505"/>
      <c r="B44" s="2593" t="s">
        <v>703</v>
      </c>
      <c r="C44" s="2593"/>
      <c r="D44" s="2593"/>
      <c r="E44" s="2593"/>
      <c r="F44" s="2593"/>
      <c r="G44" s="2593"/>
      <c r="H44" s="2593"/>
      <c r="I44" s="2593"/>
      <c r="J44" s="2593"/>
      <c r="K44" s="2593"/>
      <c r="L44" s="2593"/>
      <c r="M44" s="2593"/>
      <c r="Q44" s="560"/>
      <c r="U44" s="1293"/>
    </row>
    <row r="45" spans="1:21" s="504" customFormat="1" ht="9" customHeight="1" x14ac:dyDescent="0.25">
      <c r="A45" s="505"/>
      <c r="B45" s="2282"/>
      <c r="C45" s="2282"/>
      <c r="D45" s="2282"/>
      <c r="E45" s="2282"/>
      <c r="F45" s="2282"/>
      <c r="G45" s="2282"/>
      <c r="H45" s="2282"/>
      <c r="I45" s="2282"/>
      <c r="J45" s="2282"/>
      <c r="K45" s="2282"/>
      <c r="L45" s="2282"/>
      <c r="M45" s="2282"/>
      <c r="Q45" s="560"/>
      <c r="U45" s="1293"/>
    </row>
    <row r="46" spans="1:21" s="504" customFormat="1" ht="24" customHeight="1" x14ac:dyDescent="0.25">
      <c r="A46" s="505"/>
      <c r="B46" s="2156" t="s">
        <v>704</v>
      </c>
      <c r="C46" s="505"/>
      <c r="Q46" s="560"/>
      <c r="U46" s="1293"/>
    </row>
    <row r="47" spans="1:21" ht="20.100000000000001" customHeight="1" x14ac:dyDescent="0.25">
      <c r="A47" s="505"/>
      <c r="B47" s="421" t="s">
        <v>613</v>
      </c>
      <c r="C47" s="421"/>
      <c r="D47" s="1284"/>
      <c r="E47" s="1284"/>
      <c r="F47" s="1284"/>
      <c r="G47" s="1284"/>
      <c r="H47" s="1284"/>
      <c r="I47" s="1284"/>
      <c r="J47" s="1284"/>
      <c r="K47" s="1284"/>
      <c r="L47" s="1284"/>
      <c r="M47" s="1284"/>
      <c r="N47" s="1284"/>
      <c r="O47" s="1284"/>
      <c r="P47" s="1284"/>
      <c r="Q47" s="1284"/>
      <c r="R47" s="1284"/>
      <c r="S47" s="1284"/>
      <c r="T47" s="1284"/>
    </row>
    <row r="48" spans="1:21" ht="20.100000000000001" customHeight="1" x14ac:dyDescent="0.25">
      <c r="A48" s="505" t="s">
        <v>401</v>
      </c>
      <c r="B48" s="421" t="str">
        <f t="shared" ref="B48:B57" ca="1" si="2">IF(ISNA(INDEX(ErrorTable,MATCH($A$39&amp;$A48&amp;FALSE,ErrorKey,0),6)),"",INDEX(ErrorTable,MATCH($A$39&amp;$A48&amp;FALSE,ErrorKey,0),6))</f>
        <v/>
      </c>
      <c r="C48" s="421"/>
      <c r="D48" s="1284"/>
      <c r="E48" s="1284"/>
      <c r="F48" s="1284"/>
      <c r="G48" s="1284"/>
      <c r="H48" s="1284"/>
      <c r="I48" s="1284"/>
      <c r="J48" s="1284"/>
      <c r="K48" s="1284"/>
      <c r="L48" s="1284"/>
      <c r="M48" s="1284"/>
      <c r="N48" s="1284"/>
      <c r="O48" s="1284"/>
      <c r="P48" s="1284"/>
      <c r="Q48" s="1284"/>
      <c r="R48" s="1284"/>
      <c r="S48" s="1284"/>
      <c r="T48" s="1284"/>
    </row>
    <row r="49" spans="1:20" ht="20.100000000000001" customHeight="1" x14ac:dyDescent="0.25">
      <c r="A49" s="505" t="s">
        <v>402</v>
      </c>
      <c r="B49" s="421" t="str">
        <f t="shared" ca="1" si="2"/>
        <v/>
      </c>
      <c r="C49" s="421"/>
      <c r="D49" s="1284"/>
      <c r="E49" s="1284"/>
      <c r="F49" s="1284"/>
      <c r="G49" s="1284"/>
      <c r="H49" s="1284"/>
      <c r="I49" s="1284"/>
      <c r="J49" s="1284"/>
      <c r="K49" s="1284"/>
      <c r="L49" s="1284"/>
      <c r="M49" s="1284"/>
      <c r="N49" s="1284"/>
      <c r="O49" s="1284"/>
      <c r="P49" s="1284"/>
      <c r="Q49" s="1284"/>
      <c r="R49" s="1284"/>
      <c r="S49" s="1284"/>
      <c r="T49" s="1284"/>
    </row>
    <row r="50" spans="1:20" ht="20.100000000000001" customHeight="1" x14ac:dyDescent="0.25">
      <c r="A50" s="505" t="s">
        <v>403</v>
      </c>
      <c r="B50" s="421" t="str">
        <f t="shared" ca="1" si="2"/>
        <v/>
      </c>
      <c r="C50" s="421"/>
      <c r="D50" s="1284"/>
      <c r="E50" s="1284"/>
      <c r="F50" s="1284"/>
      <c r="G50" s="1284"/>
      <c r="H50" s="1284"/>
      <c r="I50" s="1284"/>
      <c r="J50" s="1284"/>
      <c r="K50" s="1284"/>
      <c r="L50" s="1284"/>
      <c r="M50" s="1284"/>
      <c r="N50" s="1284"/>
      <c r="O50" s="1284"/>
      <c r="P50" s="1284"/>
      <c r="Q50" s="1284"/>
      <c r="R50" s="1284"/>
      <c r="S50" s="1284"/>
      <c r="T50" s="1284"/>
    </row>
    <row r="51" spans="1:20" ht="20.100000000000001" customHeight="1" x14ac:dyDescent="0.2">
      <c r="A51" s="421" t="s">
        <v>404</v>
      </c>
      <c r="B51" s="421" t="str">
        <f t="shared" ca="1" si="2"/>
        <v/>
      </c>
      <c r="C51" s="421"/>
      <c r="D51" s="1284"/>
      <c r="E51" s="1284"/>
      <c r="F51" s="1284"/>
      <c r="G51" s="1284"/>
      <c r="H51" s="1284"/>
      <c r="I51" s="1284"/>
      <c r="J51" s="1284"/>
      <c r="K51" s="1284"/>
      <c r="L51" s="1284"/>
      <c r="M51" s="1284"/>
      <c r="N51" s="1284"/>
      <c r="O51" s="1284"/>
      <c r="P51" s="1284"/>
      <c r="Q51" s="1284"/>
      <c r="R51" s="1284"/>
      <c r="S51" s="1284"/>
      <c r="T51" s="1284"/>
    </row>
    <row r="52" spans="1:20" ht="20.100000000000001" customHeight="1" x14ac:dyDescent="0.2">
      <c r="A52" s="421" t="s">
        <v>405</v>
      </c>
      <c r="B52" s="421" t="str">
        <f t="shared" ca="1" si="2"/>
        <v/>
      </c>
      <c r="C52" s="421"/>
      <c r="D52" s="1284"/>
      <c r="E52" s="1284"/>
      <c r="F52" s="1284"/>
      <c r="G52" s="1284"/>
      <c r="H52" s="1284"/>
      <c r="I52" s="1284"/>
      <c r="J52" s="1284"/>
      <c r="K52" s="1284"/>
      <c r="L52" s="1284"/>
      <c r="M52" s="1284"/>
      <c r="N52" s="1284"/>
      <c r="O52" s="1284"/>
      <c r="P52" s="1284"/>
      <c r="Q52" s="1284"/>
      <c r="R52" s="1284"/>
      <c r="S52" s="1284"/>
      <c r="T52" s="1284"/>
    </row>
    <row r="53" spans="1:20" ht="20.100000000000001" customHeight="1" x14ac:dyDescent="0.2">
      <c r="A53" s="421" t="s">
        <v>406</v>
      </c>
      <c r="B53" s="421" t="str">
        <f t="shared" ca="1" si="2"/>
        <v/>
      </c>
      <c r="C53" s="421"/>
      <c r="D53" s="1284"/>
      <c r="E53" s="1284"/>
      <c r="F53" s="1284"/>
      <c r="G53" s="1284"/>
      <c r="H53" s="1284"/>
      <c r="I53" s="1284"/>
      <c r="J53" s="1284"/>
      <c r="K53" s="1284"/>
      <c r="L53" s="1284"/>
      <c r="M53" s="1284"/>
      <c r="N53" s="1284"/>
      <c r="O53" s="1284"/>
      <c r="P53" s="1284"/>
      <c r="Q53" s="1284"/>
      <c r="R53" s="1284"/>
      <c r="S53" s="1284"/>
      <c r="T53" s="1284"/>
    </row>
    <row r="54" spans="1:20" ht="20.100000000000001" customHeight="1" x14ac:dyDescent="0.2">
      <c r="A54" s="421" t="s">
        <v>407</v>
      </c>
      <c r="B54" s="421" t="str">
        <f t="shared" ca="1" si="2"/>
        <v/>
      </c>
      <c r="C54" s="1284"/>
      <c r="D54" s="1284"/>
      <c r="E54" s="1284"/>
      <c r="F54" s="1284"/>
      <c r="G54" s="1284"/>
      <c r="H54" s="1284"/>
      <c r="I54" s="1284"/>
      <c r="J54" s="1284"/>
      <c r="K54" s="1284"/>
      <c r="L54" s="1284"/>
      <c r="M54" s="1284"/>
      <c r="N54" s="1284"/>
      <c r="O54" s="1284"/>
      <c r="P54" s="1284"/>
      <c r="Q54" s="1284"/>
      <c r="R54" s="1284"/>
      <c r="S54" s="1284"/>
      <c r="T54" s="1284"/>
    </row>
    <row r="55" spans="1:20" ht="20.100000000000001" customHeight="1" x14ac:dyDescent="0.2">
      <c r="A55" s="421" t="s">
        <v>408</v>
      </c>
      <c r="B55" s="421" t="str">
        <f t="shared" ca="1" si="2"/>
        <v/>
      </c>
      <c r="C55" s="1284"/>
      <c r="D55" s="1284"/>
      <c r="E55" s="1284"/>
      <c r="F55" s="1284"/>
      <c r="G55" s="1284"/>
      <c r="H55" s="1284"/>
      <c r="I55" s="1284"/>
      <c r="J55" s="1284"/>
      <c r="K55" s="1284"/>
      <c r="L55" s="1284"/>
      <c r="M55" s="1284"/>
      <c r="N55" s="1284"/>
      <c r="O55" s="1284"/>
      <c r="P55" s="1284"/>
      <c r="Q55" s="1284"/>
      <c r="R55" s="1284"/>
      <c r="S55" s="262"/>
      <c r="T55" s="262"/>
    </row>
    <row r="56" spans="1:20" ht="20.100000000000001" customHeight="1" x14ac:dyDescent="0.2">
      <c r="A56" s="421" t="s">
        <v>409</v>
      </c>
      <c r="B56" s="421" t="str">
        <f t="shared" ca="1" si="2"/>
        <v/>
      </c>
      <c r="C56" s="1284"/>
      <c r="D56" s="1284"/>
      <c r="E56" s="1284"/>
      <c r="F56" s="1284"/>
      <c r="G56" s="1284"/>
      <c r="H56" s="1284"/>
      <c r="I56" s="1284"/>
      <c r="J56" s="1284"/>
      <c r="K56" s="1284"/>
      <c r="L56" s="1284"/>
      <c r="M56" s="1284"/>
      <c r="N56" s="1284"/>
      <c r="O56" s="1284"/>
      <c r="P56" s="1284"/>
      <c r="Q56" s="1284"/>
      <c r="R56" s="1284"/>
      <c r="S56" s="262"/>
      <c r="T56" s="262"/>
    </row>
    <row r="57" spans="1:20" ht="20.100000000000001" customHeight="1" x14ac:dyDescent="0.2">
      <c r="A57" s="421" t="s">
        <v>410</v>
      </c>
      <c r="B57" s="421" t="str">
        <f t="shared" ca="1" si="2"/>
        <v/>
      </c>
      <c r="C57" s="1284"/>
      <c r="D57" s="1284"/>
      <c r="E57" s="1284"/>
      <c r="F57" s="1284"/>
      <c r="G57" s="1284"/>
      <c r="H57" s="1284"/>
      <c r="I57" s="1284"/>
      <c r="J57" s="1284"/>
      <c r="K57" s="1284"/>
      <c r="L57" s="1284"/>
      <c r="M57" s="1284"/>
      <c r="N57" s="1284"/>
      <c r="O57" s="1284"/>
      <c r="P57" s="1284"/>
      <c r="Q57" s="1284"/>
      <c r="R57" s="1284"/>
      <c r="S57" s="262"/>
      <c r="T57" s="262"/>
    </row>
    <row r="58" spans="1:20" ht="20.100000000000001" customHeight="1" x14ac:dyDescent="0.2">
      <c r="A58" s="1284"/>
      <c r="B58" s="1284"/>
      <c r="C58" s="1284"/>
      <c r="D58" s="1284"/>
      <c r="E58" s="1284"/>
      <c r="F58" s="1284"/>
      <c r="G58" s="1284"/>
      <c r="H58" s="1284"/>
      <c r="I58" s="1284"/>
      <c r="J58" s="1284"/>
      <c r="K58" s="1284"/>
      <c r="L58" s="1284"/>
      <c r="M58" s="1284"/>
      <c r="N58" s="1284"/>
      <c r="O58" s="1284"/>
      <c r="P58" s="1284"/>
      <c r="Q58" s="1284"/>
      <c r="R58" s="1284"/>
      <c r="S58" s="262"/>
      <c r="T58" s="262"/>
    </row>
    <row r="59" spans="1:20" x14ac:dyDescent="0.2">
      <c r="A59" s="1284"/>
      <c r="B59" s="1284"/>
      <c r="C59" s="1284"/>
      <c r="D59" s="1284"/>
      <c r="E59" s="1284"/>
      <c r="F59" s="1284"/>
      <c r="G59" s="1284"/>
      <c r="H59" s="1284"/>
      <c r="I59" s="1284"/>
      <c r="J59" s="1284"/>
      <c r="K59" s="1284"/>
      <c r="L59" s="1284"/>
      <c r="M59" s="1284"/>
      <c r="N59" s="1284"/>
      <c r="O59" s="1284"/>
      <c r="P59" s="1284"/>
      <c r="Q59" s="1284"/>
      <c r="R59" s="1284"/>
      <c r="S59" s="262"/>
      <c r="T59" s="262"/>
    </row>
    <row r="60" spans="1:20" x14ac:dyDescent="0.2">
      <c r="A60" s="1284"/>
      <c r="B60" s="1284"/>
      <c r="C60" s="1284"/>
      <c r="D60" s="1284"/>
      <c r="E60" s="1284"/>
      <c r="F60" s="1284"/>
      <c r="G60" s="1284"/>
      <c r="H60" s="1284"/>
      <c r="I60" s="1284"/>
      <c r="J60" s="1284"/>
      <c r="K60" s="1284"/>
      <c r="L60" s="1284"/>
      <c r="M60" s="1284"/>
      <c r="N60" s="1284"/>
      <c r="O60" s="1284"/>
      <c r="P60" s="1284"/>
      <c r="Q60" s="1284"/>
      <c r="R60" s="1284"/>
      <c r="S60" s="262"/>
      <c r="T60" s="262"/>
    </row>
    <row r="61" spans="1:20" x14ac:dyDescent="0.2">
      <c r="A61" s="1284"/>
      <c r="B61" s="1284"/>
      <c r="C61" s="1284"/>
      <c r="D61" s="1284"/>
      <c r="E61" s="1284"/>
      <c r="F61" s="1284"/>
      <c r="G61" s="1284"/>
      <c r="H61" s="1284"/>
      <c r="I61" s="1284"/>
      <c r="J61" s="1284"/>
      <c r="K61" s="1284"/>
      <c r="L61" s="1284"/>
      <c r="M61" s="1284"/>
      <c r="N61" s="1284"/>
      <c r="O61" s="1284"/>
      <c r="P61" s="1284"/>
      <c r="Q61" s="1284"/>
      <c r="R61" s="1284"/>
      <c r="S61" s="262"/>
      <c r="T61" s="262"/>
    </row>
    <row r="62" spans="1:20" x14ac:dyDescent="0.2">
      <c r="A62" s="1284"/>
      <c r="B62" s="1284"/>
      <c r="C62" s="1284"/>
      <c r="D62" s="1284"/>
      <c r="E62" s="1284"/>
      <c r="F62" s="1284"/>
      <c r="G62" s="1284"/>
      <c r="H62" s="1284"/>
      <c r="I62" s="1284"/>
      <c r="J62" s="1284"/>
      <c r="K62" s="1284"/>
      <c r="L62" s="1284"/>
      <c r="M62" s="1284"/>
      <c r="N62" s="1284"/>
      <c r="O62" s="1284"/>
      <c r="P62" s="1284"/>
      <c r="Q62" s="1284"/>
      <c r="R62" s="1284"/>
      <c r="S62" s="262"/>
      <c r="T62" s="262"/>
    </row>
    <row r="63" spans="1:20" x14ac:dyDescent="0.2">
      <c r="A63" s="1284"/>
      <c r="B63" s="1284"/>
      <c r="C63" s="1284"/>
      <c r="D63" s="1284"/>
      <c r="E63" s="1284"/>
      <c r="F63" s="1284"/>
      <c r="G63" s="1284"/>
      <c r="H63" s="1284"/>
      <c r="I63" s="1284"/>
      <c r="J63" s="1284"/>
      <c r="K63" s="1284"/>
      <c r="L63" s="1284"/>
      <c r="M63" s="1284"/>
      <c r="N63" s="1284"/>
      <c r="O63" s="1284"/>
      <c r="P63" s="1284"/>
      <c r="Q63" s="1284"/>
      <c r="R63" s="1284"/>
      <c r="S63" s="262"/>
      <c r="T63" s="262"/>
    </row>
    <row r="64" spans="1:20" x14ac:dyDescent="0.2">
      <c r="A64" s="1284"/>
      <c r="B64" s="1284"/>
      <c r="C64" s="1284"/>
      <c r="D64" s="1284"/>
      <c r="E64" s="1284"/>
      <c r="F64" s="1284"/>
      <c r="G64" s="1284"/>
      <c r="H64" s="1284"/>
      <c r="I64" s="1284"/>
      <c r="J64" s="1284"/>
      <c r="K64" s="1284"/>
      <c r="L64" s="1284"/>
      <c r="M64" s="1284"/>
      <c r="N64" s="1284"/>
      <c r="O64" s="1284"/>
      <c r="P64" s="1284"/>
      <c r="Q64" s="1284"/>
      <c r="R64" s="1284"/>
      <c r="S64" s="262"/>
      <c r="T64" s="262"/>
    </row>
  </sheetData>
  <sheetProtection algorithmName="SHA-512" hashValue="qWtsZEfduTDPhVG/yVb7NLat5td9Q5vzW9pjC+6qmkB3nz9t4QYHNyzJiSrRm2ORPGwLXz7pmyikIy1wNhVkHA==" saltValue="gCQNJNFBOwryAllmClgJyw==" spinCount="100000" sheet="1" autoFilter="0"/>
  <customSheetViews>
    <customSheetView guid="{9FCFC836-1CA5-48BF-958D-24D2EA94B219}" showGridLines="0" fitToPage="1" hiddenRows="1" hiddenColumns="1" topLeftCell="B1">
      <selection activeCell="B12" sqref="B12"/>
      <pageMargins left="0" right="0" top="0" bottom="0" header="0" footer="0"/>
      <printOptions horizontalCentered="1"/>
      <pageSetup pageOrder="overThenDown" orientation="landscape" r:id="rId1"/>
      <headerFooter alignWithMargins="0">
        <oddFooter>&amp;R&amp;A</oddFooter>
      </headerFooter>
    </customSheetView>
    <customSheetView guid="{B08879A4-635B-4C39-9937-AC7883D562FC}" showGridLines="0" fitToPage="1" hiddenRows="1" hiddenColumns="1" topLeftCell="B1">
      <selection activeCell="B12" sqref="B12"/>
      <pageMargins left="0" right="0" top="0" bottom="0" header="0" footer="0"/>
      <printOptions horizontalCentered="1"/>
      <pageSetup pageOrder="overThenDown" orientation="landscape" r:id="rId2"/>
      <headerFooter alignWithMargins="0">
        <oddFooter>&amp;R&amp;A</oddFooter>
      </headerFooter>
    </customSheetView>
  </customSheetViews>
  <mergeCells count="22">
    <mergeCell ref="B44:M44"/>
    <mergeCell ref="B38:M38"/>
    <mergeCell ref="B43:M43"/>
    <mergeCell ref="B39:M39"/>
    <mergeCell ref="B31:E31"/>
    <mergeCell ref="B28:E28"/>
    <mergeCell ref="B29:E29"/>
    <mergeCell ref="B30:E30"/>
    <mergeCell ref="B21:E21"/>
    <mergeCell ref="B25:E25"/>
    <mergeCell ref="B20:E20"/>
    <mergeCell ref="I6:Q6"/>
    <mergeCell ref="B1:Q1"/>
    <mergeCell ref="I8:Q8"/>
    <mergeCell ref="B17:E17"/>
    <mergeCell ref="B18:E18"/>
    <mergeCell ref="B19:E19"/>
    <mergeCell ref="R1:R3"/>
    <mergeCell ref="B2:Q2"/>
    <mergeCell ref="B3:Q3"/>
    <mergeCell ref="I5:Q5"/>
    <mergeCell ref="I7:Q7"/>
  </mergeCells>
  <conditionalFormatting sqref="R1:R3">
    <cfRule type="cellIs" dxfId="147" priority="1" stopIfTrue="1" operator="equal">
      <formula>"na"</formula>
    </cfRule>
  </conditionalFormatting>
  <dataValidations count="4">
    <dataValidation type="textLength" operator="equal" allowBlank="1" showInputMessage="1" showErrorMessage="1" errorTitle="Invalid data!" error="GASB number must be 4 digits." promptTitle="Capital Assets GASB Number" prompt="For primary government governmental fund types, the GASB fund number for Capital Assets should be 5100." sqref="D7:D8" xr:uid="{00000000-0002-0000-0800-000002000000}">
      <formula1>4</formula1>
    </dataValidation>
    <dataValidation type="list" allowBlank="1" showInputMessage="1" showErrorMessage="1" sqref="D6" xr:uid="{5D7D52F9-666A-4CAB-A197-363F9AB0828B}">
      <formula1>"No Function,General government,Primary and secondary education, Higher education, Health and human services,Economic development, Environment and natural resources, Public safety, Transportation, Agriculture"</formula1>
    </dataValidation>
    <dataValidation type="decimal" operator="lessThanOrEqual" allowBlank="1" showErrorMessage="1" errorTitle="Invalid data!" error="Amount must be negative." sqref="O17:O33" xr:uid="{00000000-0002-0000-0800-000000000000}">
      <formula1>0</formula1>
    </dataValidation>
    <dataValidation type="decimal" operator="greaterThanOrEqual" allowBlank="1" showInputMessage="1" showErrorMessage="1" errorTitle="Invalid data!" error="Amount must be positive." sqref="I33 M17:M32" xr:uid="{00000000-0002-0000-0800-000001000000}">
      <formula1>0</formula1>
    </dataValidation>
  </dataValidations>
  <hyperlinks>
    <hyperlink ref="B1:Q1" location="Index!A1" display="Index!A1" xr:uid="{00000000-0004-0000-0800-000000000000}"/>
  </hyperlinks>
  <pageMargins left="0.6" right="0.6" top="0.5" bottom="0.5" header="0.3" footer="0.3"/>
  <pageSetup scale="65" fitToHeight="0" orientation="landscape" r:id="rId3"/>
  <ignoredErrors>
    <ignoredError sqref="G17:G20 G26:G30" unlockedFormula="1"/>
    <ignoredError sqref="T34" formulaRange="1"/>
  </ignoredErrors>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8"/>
  <dimension ref="A1:AA74"/>
  <sheetViews>
    <sheetView showGridLines="0" zoomScaleNormal="100" zoomScaleSheetLayoutView="100" workbookViewId="0">
      <selection activeCell="M35" sqref="M35"/>
    </sheetView>
  </sheetViews>
  <sheetFormatPr defaultColWidth="9.42578125" defaultRowHeight="11.25" x14ac:dyDescent="0.2"/>
  <cols>
    <col min="1" max="1" width="3" style="28" customWidth="1"/>
    <col min="2" max="2" width="11.5703125" style="28" customWidth="1"/>
    <col min="3" max="3" width="2.5703125" style="28" customWidth="1"/>
    <col min="4" max="4" width="10.5703125" style="28" customWidth="1"/>
    <col min="5" max="5" width="2.5703125" style="28" customWidth="1"/>
    <col min="6" max="6" width="4.5703125" style="28" customWidth="1"/>
    <col min="7" max="7" width="2.5703125" style="28" customWidth="1"/>
    <col min="8" max="8" width="4.42578125" style="28" customWidth="1"/>
    <col min="9" max="9" width="14.5703125" style="28" customWidth="1"/>
    <col min="10" max="10" width="1.42578125" style="28" customWidth="1"/>
    <col min="11" max="11" width="8.42578125" style="28" customWidth="1"/>
    <col min="12" max="12" width="6.42578125" style="28" customWidth="1"/>
    <col min="13" max="13" width="15.5703125" style="28" customWidth="1"/>
    <col min="14" max="14" width="4.5703125" style="28" customWidth="1"/>
    <col min="15" max="16384" width="9.42578125" style="28"/>
  </cols>
  <sheetData>
    <row r="1" spans="1:27" s="29" customFormat="1" ht="15" customHeight="1" x14ac:dyDescent="0.25">
      <c r="A1" s="2553" t="str">
        <f>+Index!$A$1</f>
        <v xml:space="preserve">                                                               Office of the State Controller                                                                </v>
      </c>
      <c r="B1" s="2553"/>
      <c r="C1" s="2553"/>
      <c r="D1" s="2553"/>
      <c r="E1" s="2553"/>
      <c r="F1" s="2553"/>
      <c r="G1" s="2553"/>
      <c r="H1" s="2553"/>
      <c r="I1" s="2553"/>
      <c r="J1" s="2553"/>
      <c r="K1" s="2553"/>
      <c r="L1" s="2553"/>
      <c r="M1" s="2553"/>
      <c r="N1" s="2554" t="str">
        <f>IF(Index!$B$25="na","NA","")</f>
        <v/>
      </c>
      <c r="AA1" s="30"/>
    </row>
    <row r="2" spans="1:27" s="29" customFormat="1" ht="15" customHeight="1" x14ac:dyDescent="0.25">
      <c r="A2" s="2597" t="str">
        <f>+Index!$A$2</f>
        <v>2024 ACFR Worksheets</v>
      </c>
      <c r="B2" s="2597"/>
      <c r="C2" s="2597"/>
      <c r="D2" s="2597"/>
      <c r="E2" s="2597"/>
      <c r="F2" s="2597"/>
      <c r="G2" s="2597"/>
      <c r="H2" s="2597"/>
      <c r="I2" s="2597"/>
      <c r="J2" s="2597"/>
      <c r="K2" s="2597"/>
      <c r="L2" s="2597"/>
      <c r="M2" s="2597"/>
      <c r="N2" s="2554"/>
    </row>
    <row r="3" spans="1:27" s="29" customFormat="1" ht="15" customHeight="1" x14ac:dyDescent="0.25">
      <c r="A3" s="2597" t="s">
        <v>705</v>
      </c>
      <c r="B3" s="2597"/>
      <c r="C3" s="2597"/>
      <c r="D3" s="2597"/>
      <c r="E3" s="2597"/>
      <c r="F3" s="2597"/>
      <c r="G3" s="2597"/>
      <c r="H3" s="2597"/>
      <c r="I3" s="2597"/>
      <c r="J3" s="2597"/>
      <c r="K3" s="2597"/>
      <c r="L3" s="2597"/>
      <c r="M3" s="2597"/>
      <c r="N3" s="2554"/>
    </row>
    <row r="4" spans="1:27" s="81" customFormat="1" ht="15" customHeight="1" x14ac:dyDescent="0.2">
      <c r="A4" s="139"/>
      <c r="B4" s="139"/>
      <c r="C4" s="139"/>
      <c r="D4" s="139"/>
      <c r="E4" s="139"/>
      <c r="F4" s="139"/>
      <c r="G4" s="139"/>
      <c r="H4" s="2321"/>
      <c r="I4" s="139"/>
      <c r="J4" s="139"/>
      <c r="K4" s="139"/>
      <c r="L4" s="139"/>
      <c r="M4" s="139"/>
      <c r="N4" s="139"/>
      <c r="O4" s="139"/>
      <c r="P4" s="139"/>
      <c r="Q4" s="139"/>
      <c r="R4" s="139"/>
      <c r="S4" s="139"/>
      <c r="T4" s="139"/>
      <c r="U4" s="139"/>
      <c r="V4" s="139"/>
      <c r="W4" s="139"/>
      <c r="X4" s="139"/>
      <c r="Y4" s="139"/>
      <c r="Z4" s="139"/>
      <c r="AA4" s="139"/>
    </row>
    <row r="5" spans="1:27" s="81" customFormat="1" ht="15" customHeight="1" x14ac:dyDescent="0.2">
      <c r="A5" s="139"/>
      <c r="B5" s="139"/>
      <c r="C5" s="139"/>
      <c r="D5" s="2321"/>
      <c r="E5" s="139"/>
      <c r="F5" s="139"/>
      <c r="G5" s="139"/>
      <c r="H5" s="139"/>
      <c r="I5" s="1554" t="s">
        <v>318</v>
      </c>
      <c r="J5" s="2596" t="str">
        <f>+Index!$E$10</f>
        <v>01</v>
      </c>
      <c r="K5" s="2596"/>
      <c r="L5" s="2596"/>
      <c r="M5" s="2596"/>
      <c r="N5" s="139"/>
      <c r="O5" s="139"/>
      <c r="P5" s="139"/>
      <c r="Q5" s="139"/>
      <c r="R5" s="139"/>
      <c r="S5" s="139"/>
      <c r="T5" s="139"/>
      <c r="U5" s="139"/>
      <c r="V5" s="139"/>
      <c r="W5" s="139"/>
      <c r="X5" s="139"/>
      <c r="Y5" s="139"/>
      <c r="Z5" s="139"/>
      <c r="AA5" s="139"/>
    </row>
    <row r="6" spans="1:27" s="81" customFormat="1" ht="15" customHeight="1" x14ac:dyDescent="0.2">
      <c r="A6" s="139"/>
      <c r="B6" s="139"/>
      <c r="C6" s="139"/>
      <c r="D6" s="139"/>
      <c r="E6" s="139"/>
      <c r="F6" s="139"/>
      <c r="G6" s="139"/>
      <c r="H6" s="139"/>
      <c r="I6" s="1554" t="s">
        <v>319</v>
      </c>
      <c r="J6" s="2596" t="str">
        <f>+Index!$E$11</f>
        <v>North Carolina General Assembly</v>
      </c>
      <c r="K6" s="2596"/>
      <c r="L6" s="2596"/>
      <c r="M6" s="2596"/>
      <c r="N6" s="139"/>
      <c r="O6" s="139"/>
      <c r="P6" s="139"/>
      <c r="Q6" s="139"/>
      <c r="R6" s="139"/>
      <c r="S6" s="139"/>
      <c r="T6" s="139"/>
      <c r="U6" s="139"/>
      <c r="V6" s="139"/>
      <c r="W6" s="139"/>
      <c r="X6" s="139"/>
      <c r="Y6" s="139"/>
      <c r="Z6" s="139"/>
      <c r="AA6" s="139"/>
    </row>
    <row r="7" spans="1:27" s="81" customFormat="1" ht="15" customHeight="1" x14ac:dyDescent="0.2">
      <c r="A7" s="139" t="s">
        <v>545</v>
      </c>
      <c r="B7" s="139"/>
      <c r="C7" s="139"/>
      <c r="D7" s="2311" t="s">
        <v>706</v>
      </c>
      <c r="E7" s="1555"/>
      <c r="F7" s="139"/>
      <c r="G7" s="139"/>
      <c r="H7" s="139"/>
      <c r="I7" s="1554" t="s">
        <v>320</v>
      </c>
      <c r="J7" s="2598" t="str">
        <f>CONCATENATE(Index!$E$12," ",Index!$E$14)</f>
        <v xml:space="preserve"> </v>
      </c>
      <c r="K7" s="2598"/>
      <c r="L7" s="2598"/>
      <c r="M7" s="2598"/>
      <c r="N7" s="139"/>
      <c r="O7" s="139"/>
      <c r="P7" s="139"/>
      <c r="Q7" s="139"/>
      <c r="R7" s="139"/>
      <c r="S7" s="139"/>
      <c r="T7" s="139"/>
      <c r="U7" s="139"/>
      <c r="V7" s="139"/>
      <c r="W7" s="139"/>
      <c r="X7" s="139"/>
      <c r="Y7" s="139"/>
      <c r="Z7" s="139"/>
      <c r="AA7" s="139"/>
    </row>
    <row r="8" spans="1:27" s="81" customFormat="1" ht="15" customHeight="1" x14ac:dyDescent="0.2">
      <c r="A8" s="139"/>
      <c r="B8" s="139"/>
      <c r="C8" s="139"/>
      <c r="D8" s="2321"/>
      <c r="E8" s="139"/>
      <c r="F8" s="139"/>
      <c r="G8" s="139"/>
      <c r="H8" s="139"/>
      <c r="I8" s="1554" t="s">
        <v>168</v>
      </c>
      <c r="J8" s="2598">
        <f>+Index!$E$13</f>
        <v>0</v>
      </c>
      <c r="K8" s="2598"/>
      <c r="L8" s="2598"/>
      <c r="M8" s="2598"/>
      <c r="N8" s="139"/>
      <c r="O8" s="139"/>
      <c r="P8" s="139"/>
      <c r="Q8" s="139"/>
      <c r="R8" s="139"/>
      <c r="S8" s="139"/>
      <c r="T8" s="139"/>
      <c r="U8" s="139"/>
      <c r="V8" s="139"/>
      <c r="W8" s="139"/>
      <c r="X8" s="139"/>
      <c r="Y8" s="139"/>
      <c r="Z8" s="139"/>
      <c r="AA8" s="139"/>
    </row>
    <row r="9" spans="1:27" s="81" customFormat="1" ht="6" customHeight="1" thickBot="1" x14ac:dyDescent="0.25">
      <c r="A9" s="1556"/>
      <c r="B9" s="1556"/>
      <c r="C9" s="1556"/>
      <c r="D9" s="1556"/>
      <c r="E9" s="1556"/>
      <c r="F9" s="1556"/>
      <c r="G9" s="1556"/>
      <c r="H9" s="1556"/>
      <c r="I9" s="1556"/>
      <c r="J9" s="1556"/>
      <c r="K9" s="1556"/>
      <c r="L9" s="1556"/>
      <c r="M9" s="1556"/>
      <c r="N9" s="139"/>
      <c r="O9" s="139"/>
      <c r="P9" s="139"/>
      <c r="Q9" s="139"/>
      <c r="R9" s="139"/>
      <c r="S9" s="139"/>
      <c r="T9" s="139"/>
      <c r="U9" s="139"/>
      <c r="V9" s="139"/>
      <c r="W9" s="139"/>
      <c r="X9" s="139"/>
      <c r="Y9" s="139"/>
      <c r="Z9" s="139"/>
      <c r="AA9" s="139"/>
    </row>
    <row r="10" spans="1:27" s="81" customFormat="1" ht="11.1" customHeight="1" x14ac:dyDescent="0.2">
      <c r="A10" s="139"/>
      <c r="B10" s="139"/>
      <c r="C10" s="139"/>
      <c r="D10" s="139"/>
      <c r="E10" s="139"/>
      <c r="F10" s="139"/>
      <c r="G10" s="139"/>
      <c r="H10" s="139"/>
      <c r="I10" s="139"/>
      <c r="J10" s="139"/>
      <c r="K10" s="139"/>
      <c r="L10" s="139"/>
      <c r="M10" s="139"/>
      <c r="N10" s="139"/>
      <c r="O10" s="139"/>
      <c r="P10" s="139"/>
      <c r="Q10" s="139"/>
      <c r="R10" s="139"/>
      <c r="S10" s="139"/>
      <c r="T10" s="139"/>
      <c r="U10" s="139"/>
      <c r="V10" s="139"/>
      <c r="W10" s="139"/>
      <c r="X10" s="139"/>
      <c r="Y10" s="139"/>
      <c r="Z10" s="139"/>
      <c r="AA10" s="139"/>
    </row>
    <row r="11" spans="1:27" s="81" customFormat="1" ht="15" customHeight="1" x14ac:dyDescent="0.2">
      <c r="A11" s="282" t="s">
        <v>707</v>
      </c>
      <c r="B11" s="139"/>
      <c r="C11" s="139"/>
      <c r="D11" s="139"/>
      <c r="E11" s="139"/>
      <c r="F11" s="139"/>
      <c r="G11" s="139"/>
      <c r="H11" s="139"/>
      <c r="I11" s="139"/>
      <c r="J11" s="139"/>
      <c r="K11" s="139"/>
      <c r="L11" s="139"/>
      <c r="M11" s="139"/>
      <c r="N11" s="139"/>
      <c r="O11" s="139"/>
      <c r="P11" s="139"/>
      <c r="Q11" s="139"/>
      <c r="R11" s="139"/>
      <c r="S11" s="139"/>
      <c r="T11" s="139"/>
      <c r="U11" s="139"/>
      <c r="V11" s="139"/>
      <c r="W11" s="139"/>
      <c r="X11" s="139"/>
      <c r="Y11" s="139"/>
      <c r="Z11" s="139"/>
      <c r="AA11" s="139"/>
    </row>
    <row r="12" spans="1:27" s="81" customFormat="1" ht="12.75" customHeight="1" x14ac:dyDescent="0.2">
      <c r="A12" s="282" t="s">
        <v>708</v>
      </c>
      <c r="B12" s="139"/>
      <c r="C12" s="139"/>
      <c r="D12" s="139"/>
      <c r="E12" s="139"/>
      <c r="F12" s="139"/>
      <c r="G12" s="139"/>
      <c r="H12" s="139"/>
      <c r="I12" s="139"/>
      <c r="J12" s="139"/>
      <c r="K12" s="139"/>
      <c r="L12" s="139"/>
      <c r="M12" s="139"/>
      <c r="N12" s="139"/>
      <c r="O12" s="139"/>
      <c r="P12" s="139"/>
      <c r="Q12" s="139"/>
      <c r="R12" s="139"/>
      <c r="S12" s="139"/>
      <c r="T12" s="139"/>
      <c r="U12" s="139"/>
      <c r="V12" s="139"/>
      <c r="W12" s="139"/>
      <c r="X12" s="139"/>
      <c r="Y12" s="139"/>
      <c r="Z12" s="139"/>
      <c r="AA12" s="139"/>
    </row>
    <row r="13" spans="1:27" s="81" customFormat="1" ht="9" customHeight="1" x14ac:dyDescent="0.2">
      <c r="A13" s="139"/>
      <c r="B13" s="139"/>
      <c r="C13" s="139"/>
      <c r="D13" s="139"/>
      <c r="E13" s="139"/>
      <c r="F13" s="139"/>
      <c r="G13" s="139"/>
      <c r="H13" s="139"/>
      <c r="I13" s="139"/>
      <c r="J13" s="139"/>
      <c r="K13" s="139"/>
      <c r="L13" s="139"/>
      <c r="M13" s="139"/>
      <c r="N13" s="139"/>
      <c r="O13" s="139"/>
      <c r="P13" s="139"/>
      <c r="Q13" s="139"/>
      <c r="R13" s="139"/>
      <c r="S13" s="139"/>
      <c r="T13" s="139"/>
      <c r="U13" s="139"/>
      <c r="V13" s="139"/>
      <c r="W13" s="139"/>
      <c r="X13" s="139"/>
      <c r="Y13" s="139"/>
      <c r="Z13" s="139"/>
      <c r="AA13" s="139"/>
    </row>
    <row r="14" spans="1:27" s="81" customFormat="1" ht="12.75" customHeight="1" x14ac:dyDescent="0.2">
      <c r="A14" s="2599" t="s">
        <v>709</v>
      </c>
      <c r="B14" s="2548"/>
      <c r="C14" s="2548"/>
      <c r="D14" s="2548"/>
      <c r="E14" s="2548"/>
      <c r="F14" s="2548"/>
      <c r="G14" s="2548"/>
      <c r="H14" s="2548"/>
      <c r="I14" s="2548"/>
      <c r="J14" s="2548"/>
      <c r="K14" s="2548"/>
      <c r="L14" s="2548"/>
      <c r="M14" s="2548"/>
      <c r="N14" s="139"/>
      <c r="O14" s="139"/>
      <c r="P14" s="139"/>
      <c r="Q14" s="139"/>
      <c r="R14" s="139"/>
      <c r="S14" s="139"/>
      <c r="T14" s="139"/>
      <c r="U14" s="139"/>
      <c r="V14" s="139"/>
      <c r="W14" s="139"/>
      <c r="X14" s="139"/>
      <c r="Y14" s="139"/>
      <c r="Z14" s="139"/>
      <c r="AA14" s="139"/>
    </row>
    <row r="15" spans="1:27" s="81" customFormat="1" ht="12.75" customHeight="1" x14ac:dyDescent="0.2">
      <c r="A15" s="2599" t="s">
        <v>710</v>
      </c>
      <c r="B15" s="2548"/>
      <c r="C15" s="2548"/>
      <c r="D15" s="2548"/>
      <c r="E15" s="2548"/>
      <c r="F15" s="2548"/>
      <c r="G15" s="2548"/>
      <c r="H15" s="2548"/>
      <c r="I15" s="2548"/>
      <c r="J15" s="2548"/>
      <c r="K15" s="2548"/>
      <c r="L15" s="2548"/>
      <c r="M15" s="2548"/>
      <c r="N15" s="139"/>
      <c r="O15" s="139"/>
      <c r="P15" s="139"/>
      <c r="Q15" s="139"/>
      <c r="R15" s="139"/>
      <c r="S15" s="139"/>
      <c r="T15" s="139"/>
      <c r="U15" s="139"/>
      <c r="V15" s="139"/>
      <c r="W15" s="139"/>
      <c r="X15" s="139"/>
      <c r="Y15" s="139"/>
      <c r="Z15" s="139"/>
      <c r="AA15" s="139"/>
    </row>
    <row r="16" spans="1:27" s="81" customFormat="1" ht="12.75" customHeight="1" x14ac:dyDescent="0.2">
      <c r="A16" s="2600" t="s">
        <v>711</v>
      </c>
      <c r="B16" s="2548"/>
      <c r="C16" s="2548"/>
      <c r="D16" s="2548"/>
      <c r="E16" s="2548"/>
      <c r="F16" s="2548"/>
      <c r="G16" s="2548"/>
      <c r="H16" s="2548"/>
      <c r="I16" s="2548"/>
      <c r="J16" s="2548"/>
      <c r="K16" s="2548"/>
      <c r="L16" s="2548"/>
      <c r="M16" s="2548"/>
      <c r="N16" s="139"/>
      <c r="O16" s="139"/>
      <c r="P16" s="139"/>
      <c r="Q16" s="139"/>
      <c r="R16" s="139"/>
      <c r="S16" s="139"/>
      <c r="T16" s="139"/>
      <c r="U16" s="139"/>
      <c r="V16" s="139"/>
      <c r="W16" s="139"/>
      <c r="X16" s="139"/>
      <c r="Y16" s="139"/>
      <c r="Z16" s="139"/>
      <c r="AA16" s="139"/>
    </row>
    <row r="17" spans="1:13" s="81" customFormat="1" ht="12.75" customHeight="1" x14ac:dyDescent="0.2">
      <c r="A17" s="2595" t="s">
        <v>712</v>
      </c>
      <c r="B17" s="2595"/>
      <c r="C17" s="2595"/>
      <c r="D17" s="2595"/>
      <c r="E17" s="2314"/>
      <c r="F17" s="2314"/>
      <c r="G17" s="2314"/>
      <c r="H17" s="2314"/>
      <c r="I17" s="2314"/>
      <c r="J17" s="2314"/>
      <c r="K17" s="2314"/>
      <c r="L17" s="2314"/>
      <c r="M17" s="2314"/>
    </row>
    <row r="18" spans="1:13" s="81" customFormat="1" ht="8.1" customHeight="1" x14ac:dyDescent="0.2">
      <c r="A18" s="2283"/>
      <c r="B18" s="2314"/>
      <c r="C18" s="2314"/>
      <c r="D18" s="2314"/>
      <c r="E18" s="2314"/>
      <c r="F18" s="2314"/>
      <c r="G18" s="2314"/>
      <c r="H18" s="2314"/>
      <c r="I18" s="2314"/>
      <c r="J18" s="2314"/>
      <c r="K18" s="2314"/>
      <c r="L18" s="2314"/>
      <c r="M18" s="2314"/>
    </row>
    <row r="19" spans="1:13" s="81" customFormat="1" ht="12.75" customHeight="1" x14ac:dyDescent="0.2">
      <c r="A19" s="139" t="s">
        <v>713</v>
      </c>
      <c r="B19" s="139"/>
      <c r="C19" s="2314"/>
      <c r="D19" s="2314"/>
      <c r="E19" s="2314"/>
      <c r="F19" s="2314"/>
      <c r="G19" s="2314"/>
      <c r="H19" s="2314"/>
      <c r="I19" s="2314"/>
      <c r="J19" s="2314"/>
      <c r="K19" s="2314"/>
      <c r="L19" s="2314"/>
      <c r="M19" s="2314"/>
    </row>
    <row r="20" spans="1:13" s="81" customFormat="1" ht="12.75" customHeight="1" x14ac:dyDescent="0.2">
      <c r="A20" s="139" t="s">
        <v>714</v>
      </c>
      <c r="B20" s="139"/>
      <c r="C20" s="2314"/>
      <c r="D20" s="2314"/>
      <c r="E20" s="2314"/>
      <c r="F20" s="2314"/>
      <c r="G20" s="2314"/>
      <c r="H20" s="2314"/>
      <c r="I20" s="2314"/>
      <c r="J20" s="2314"/>
      <c r="K20" s="2314"/>
      <c r="L20" s="2314"/>
      <c r="M20" s="2314"/>
    </row>
    <row r="21" spans="1:13" s="81" customFormat="1" ht="8.1" customHeight="1" x14ac:dyDescent="0.2">
      <c r="A21" s="139"/>
      <c r="B21" s="139"/>
      <c r="C21" s="139"/>
      <c r="D21" s="139"/>
      <c r="E21" s="139"/>
      <c r="F21" s="139"/>
      <c r="G21" s="139"/>
      <c r="H21" s="139"/>
      <c r="I21" s="139"/>
      <c r="J21" s="139"/>
      <c r="K21" s="139"/>
      <c r="L21" s="139"/>
      <c r="M21" s="139"/>
    </row>
    <row r="22" spans="1:13" s="81" customFormat="1" ht="12.75" customHeight="1" x14ac:dyDescent="0.2">
      <c r="A22" s="139" t="s">
        <v>715</v>
      </c>
      <c r="B22" s="139"/>
      <c r="C22" s="139"/>
      <c r="D22" s="139"/>
      <c r="E22" s="139"/>
      <c r="F22" s="139"/>
      <c r="G22" s="139"/>
      <c r="H22" s="139"/>
      <c r="I22" s="139"/>
      <c r="J22" s="139"/>
      <c r="K22" s="139"/>
      <c r="L22" s="139"/>
      <c r="M22" s="139"/>
    </row>
    <row r="23" spans="1:13" s="81" customFormat="1" ht="12.75" customHeight="1" x14ac:dyDescent="0.2">
      <c r="A23" s="139"/>
      <c r="B23" s="139"/>
      <c r="C23" s="139"/>
      <c r="D23" s="139"/>
      <c r="E23" s="139"/>
      <c r="F23" s="139"/>
      <c r="G23" s="139"/>
      <c r="H23" s="139"/>
      <c r="I23" s="139"/>
      <c r="J23" s="139"/>
      <c r="K23" s="139"/>
      <c r="L23" s="139"/>
      <c r="M23" s="139"/>
    </row>
    <row r="24" spans="1:13" s="81" customFormat="1" ht="6" customHeight="1" x14ac:dyDescent="0.2">
      <c r="A24" s="139"/>
      <c r="B24" s="139"/>
      <c r="C24" s="139"/>
      <c r="D24" s="139"/>
      <c r="E24" s="139"/>
      <c r="F24" s="139"/>
      <c r="G24" s="139"/>
      <c r="H24" s="139"/>
      <c r="I24" s="139"/>
      <c r="J24" s="139"/>
      <c r="K24" s="139"/>
      <c r="L24" s="139"/>
      <c r="M24" s="139"/>
    </row>
    <row r="25" spans="1:13" s="81" customFormat="1" ht="12.75" customHeight="1" x14ac:dyDescent="0.2">
      <c r="A25" s="1468" t="s">
        <v>716</v>
      </c>
      <c r="B25" s="881" t="s">
        <v>717</v>
      </c>
      <c r="C25" s="1557"/>
      <c r="D25" s="881"/>
      <c r="E25" s="881"/>
      <c r="F25" s="881"/>
      <c r="G25" s="881"/>
      <c r="H25" s="881"/>
      <c r="I25" s="881"/>
      <c r="J25" s="881"/>
      <c r="K25" s="881"/>
      <c r="L25" s="139"/>
      <c r="M25" s="139"/>
    </row>
    <row r="26" spans="1:13" s="81" customFormat="1" ht="4.3499999999999996" customHeight="1" x14ac:dyDescent="0.2">
      <c r="A26" s="1468"/>
      <c r="B26" s="284"/>
      <c r="C26" s="139"/>
      <c r="D26" s="139"/>
      <c r="E26" s="139"/>
      <c r="F26" s="139"/>
      <c r="G26" s="139"/>
      <c r="H26" s="139"/>
      <c r="I26" s="139"/>
      <c r="J26" s="139"/>
      <c r="K26" s="2321"/>
      <c r="L26" s="82"/>
      <c r="M26" s="139"/>
    </row>
    <row r="27" spans="1:13" s="81" customFormat="1" ht="12.75" customHeight="1" x14ac:dyDescent="0.2">
      <c r="A27" s="1468" t="s">
        <v>718</v>
      </c>
      <c r="B27" s="139" t="s">
        <v>719</v>
      </c>
      <c r="C27" s="881"/>
      <c r="D27" s="139"/>
      <c r="E27" s="139"/>
      <c r="F27" s="139"/>
      <c r="G27" s="139"/>
      <c r="H27" s="139"/>
      <c r="I27" s="139"/>
      <c r="J27" s="139"/>
      <c r="K27" s="2321"/>
      <c r="L27" s="82"/>
      <c r="M27" s="139"/>
    </row>
    <row r="28" spans="1:13" s="81" customFormat="1" ht="12.75" customHeight="1" x14ac:dyDescent="0.2">
      <c r="A28" s="1468"/>
      <c r="B28" s="139" t="s">
        <v>720</v>
      </c>
      <c r="C28" s="881"/>
      <c r="D28" s="139"/>
      <c r="E28" s="139"/>
      <c r="F28" s="139"/>
      <c r="G28" s="139"/>
      <c r="H28" s="139"/>
      <c r="I28" s="139"/>
      <c r="J28" s="139"/>
      <c r="K28" s="2321"/>
      <c r="L28" s="82"/>
      <c r="M28" s="139"/>
    </row>
    <row r="29" spans="1:13" s="81" customFormat="1" ht="12.75" customHeight="1" x14ac:dyDescent="0.2">
      <c r="A29" s="1468"/>
      <c r="B29" s="139" t="s">
        <v>721</v>
      </c>
      <c r="C29" s="881"/>
      <c r="D29" s="139"/>
      <c r="E29" s="139"/>
      <c r="F29" s="139"/>
      <c r="G29" s="139"/>
      <c r="H29" s="139"/>
      <c r="I29" s="139"/>
      <c r="J29" s="139"/>
      <c r="K29" s="2321"/>
      <c r="L29" s="82"/>
      <c r="M29" s="1245"/>
    </row>
    <row r="30" spans="1:13" s="81" customFormat="1" ht="6" customHeight="1" x14ac:dyDescent="0.2">
      <c r="A30" s="2284"/>
      <c r="B30" s="881"/>
      <c r="C30" s="1557"/>
      <c r="D30" s="881"/>
      <c r="E30" s="881"/>
      <c r="F30" s="881"/>
      <c r="G30" s="881"/>
      <c r="H30" s="881"/>
      <c r="I30" s="881"/>
      <c r="J30" s="881"/>
      <c r="K30" s="881"/>
      <c r="L30" s="139"/>
      <c r="M30" s="139"/>
    </row>
    <row r="31" spans="1:13" s="81" customFormat="1" ht="12" customHeight="1" x14ac:dyDescent="0.2">
      <c r="A31" s="1468" t="s">
        <v>722</v>
      </c>
      <c r="B31" s="881" t="s">
        <v>723</v>
      </c>
      <c r="C31" s="1557"/>
      <c r="D31" s="881"/>
      <c r="E31" s="881"/>
      <c r="F31" s="881"/>
      <c r="G31" s="881"/>
      <c r="H31" s="881"/>
      <c r="I31" s="881"/>
      <c r="J31" s="881"/>
      <c r="K31" s="881"/>
      <c r="L31" s="139"/>
      <c r="M31" s="139"/>
    </row>
    <row r="32" spans="1:13" s="81" customFormat="1" ht="12.6" customHeight="1" x14ac:dyDescent="0.2">
      <c r="A32" s="1468"/>
      <c r="B32" s="1469" t="s">
        <v>724</v>
      </c>
      <c r="C32" s="1557"/>
      <c r="D32" s="881"/>
      <c r="E32" s="881"/>
      <c r="F32" s="881"/>
      <c r="G32" s="881"/>
      <c r="H32" s="881"/>
      <c r="I32" s="881"/>
      <c r="J32" s="881"/>
      <c r="K32" s="881"/>
      <c r="L32" s="139"/>
      <c r="M32" s="139"/>
    </row>
    <row r="33" spans="1:13" s="81" customFormat="1" ht="12.6" customHeight="1" x14ac:dyDescent="0.2">
      <c r="A33" s="1468"/>
      <c r="B33" s="1469"/>
      <c r="C33" s="1557"/>
      <c r="D33" s="881"/>
      <c r="E33" s="881"/>
      <c r="F33" s="881"/>
      <c r="G33" s="881"/>
      <c r="H33" s="881"/>
      <c r="I33" s="881"/>
      <c r="J33" s="881"/>
      <c r="K33" s="881"/>
      <c r="L33" s="139"/>
      <c r="M33" s="139"/>
    </row>
    <row r="34" spans="1:13" s="81" customFormat="1" ht="16.899999999999999" customHeight="1" x14ac:dyDescent="0.2">
      <c r="A34" s="1874" t="s">
        <v>725</v>
      </c>
      <c r="B34" s="881" t="s">
        <v>726</v>
      </c>
      <c r="C34" s="1557"/>
      <c r="D34" s="881"/>
      <c r="E34" s="881"/>
      <c r="F34" s="881"/>
      <c r="G34" s="881"/>
      <c r="H34" s="881"/>
      <c r="I34" s="881"/>
      <c r="J34" s="881"/>
      <c r="K34" s="881"/>
      <c r="L34" s="139"/>
      <c r="M34" s="139"/>
    </row>
    <row r="35" spans="1:13" s="81" customFormat="1" ht="13.9" customHeight="1" x14ac:dyDescent="0.2">
      <c r="A35" s="1873"/>
      <c r="B35" s="1873" t="s">
        <v>727</v>
      </c>
      <c r="C35" s="1557"/>
      <c r="D35" s="881"/>
      <c r="E35" s="881"/>
      <c r="F35" s="881"/>
      <c r="G35" s="881"/>
      <c r="H35" s="881"/>
      <c r="I35" s="881"/>
      <c r="J35" s="881"/>
      <c r="K35" s="881"/>
      <c r="L35" s="139"/>
      <c r="M35" s="139"/>
    </row>
    <row r="36" spans="1:13" s="81" customFormat="1" ht="6" customHeight="1" x14ac:dyDescent="0.2">
      <c r="A36" s="2284"/>
      <c r="B36" s="881"/>
      <c r="C36" s="1557"/>
      <c r="D36" s="881"/>
      <c r="E36" s="881"/>
      <c r="F36" s="881"/>
      <c r="G36" s="881"/>
      <c r="H36" s="881"/>
      <c r="I36" s="881"/>
      <c r="J36" s="881"/>
      <c r="K36" s="881"/>
      <c r="L36" s="139"/>
      <c r="M36" s="139"/>
    </row>
    <row r="37" spans="1:13" s="81" customFormat="1" ht="12.75" customHeight="1" x14ac:dyDescent="0.2">
      <c r="A37" s="283" t="s">
        <v>728</v>
      </c>
      <c r="B37" s="881"/>
      <c r="C37" s="1557"/>
      <c r="D37" s="881"/>
      <c r="E37" s="881"/>
      <c r="F37" s="881"/>
      <c r="G37" s="881"/>
      <c r="H37" s="881"/>
      <c r="I37" s="881"/>
      <c r="J37" s="881"/>
      <c r="K37" s="881"/>
      <c r="L37" s="139"/>
      <c r="M37" s="139"/>
    </row>
    <row r="38" spans="1:13" s="81" customFormat="1" ht="4.3499999999999996" customHeight="1" x14ac:dyDescent="0.2">
      <c r="A38" s="1469"/>
      <c r="B38" s="881"/>
      <c r="C38" s="1557"/>
      <c r="D38" s="881"/>
      <c r="E38" s="881"/>
      <c r="F38" s="881"/>
      <c r="G38" s="881"/>
      <c r="H38" s="881"/>
      <c r="I38" s="881"/>
      <c r="J38" s="881"/>
      <c r="K38" s="881"/>
      <c r="L38" s="139"/>
      <c r="M38" s="139"/>
    </row>
    <row r="39" spans="1:13" s="81" customFormat="1" ht="13.35" customHeight="1" x14ac:dyDescent="0.2">
      <c r="A39" s="1468" t="s">
        <v>729</v>
      </c>
      <c r="B39" s="881" t="s">
        <v>730</v>
      </c>
      <c r="C39" s="1557"/>
      <c r="D39" s="881"/>
      <c r="E39" s="881"/>
      <c r="F39" s="881"/>
      <c r="G39" s="881"/>
      <c r="H39" s="881"/>
      <c r="I39" s="881"/>
      <c r="J39" s="881"/>
      <c r="K39" s="881"/>
      <c r="L39" s="139"/>
      <c r="M39" s="1558"/>
    </row>
    <row r="40" spans="1:13" s="81" customFormat="1" ht="13.35" customHeight="1" x14ac:dyDescent="0.2">
      <c r="A40" s="1468"/>
      <c r="B40" s="285" t="s">
        <v>731</v>
      </c>
      <c r="C40" s="1557"/>
      <c r="D40" s="881"/>
      <c r="E40" s="881"/>
      <c r="F40" s="881"/>
      <c r="G40" s="881"/>
      <c r="H40" s="881"/>
      <c r="I40" s="881"/>
      <c r="J40" s="881"/>
      <c r="K40" s="881"/>
      <c r="L40" s="139"/>
      <c r="M40" s="1559"/>
    </row>
    <row r="41" spans="1:13" s="81" customFormat="1" ht="13.5" customHeight="1" x14ac:dyDescent="0.2">
      <c r="A41" s="1468"/>
      <c r="B41" s="881" t="s">
        <v>732</v>
      </c>
      <c r="C41" s="1557"/>
      <c r="D41" s="881"/>
      <c r="E41" s="881"/>
      <c r="F41" s="881"/>
      <c r="G41" s="881"/>
      <c r="H41" s="881"/>
      <c r="I41" s="881"/>
      <c r="J41" s="881"/>
      <c r="K41" s="881"/>
      <c r="L41" s="139"/>
      <c r="M41" s="1560"/>
    </row>
    <row r="42" spans="1:13" s="81" customFormat="1" ht="14.1" customHeight="1" thickBot="1" x14ac:dyDescent="0.25">
      <c r="A42" s="1468"/>
      <c r="B42" s="881" t="s">
        <v>733</v>
      </c>
      <c r="C42" s="1557"/>
      <c r="D42" s="881"/>
      <c r="E42" s="881"/>
      <c r="F42" s="881"/>
      <c r="G42" s="881"/>
      <c r="H42" s="881"/>
      <c r="I42" s="881"/>
      <c r="J42" s="881"/>
      <c r="K42" s="881"/>
      <c r="L42" s="139"/>
      <c r="M42" s="1561">
        <f>M40+M41</f>
        <v>0</v>
      </c>
    </row>
    <row r="43" spans="1:13" s="81" customFormat="1" ht="4.3499999999999996" customHeight="1" thickTop="1" x14ac:dyDescent="0.2">
      <c r="A43" s="1468"/>
      <c r="B43" s="881"/>
      <c r="C43" s="1557"/>
      <c r="D43" s="881"/>
      <c r="E43" s="881"/>
      <c r="F43" s="881"/>
      <c r="G43" s="881"/>
      <c r="H43" s="881"/>
      <c r="I43" s="881"/>
      <c r="J43" s="881"/>
      <c r="K43" s="881"/>
      <c r="L43" s="139"/>
      <c r="M43" s="139"/>
    </row>
    <row r="44" spans="1:13" s="81" customFormat="1" ht="12.75" customHeight="1" x14ac:dyDescent="0.2">
      <c r="A44" s="1468" t="s">
        <v>734</v>
      </c>
      <c r="B44" s="881" t="s">
        <v>735</v>
      </c>
      <c r="C44" s="1557"/>
      <c r="D44" s="881"/>
      <c r="E44" s="881"/>
      <c r="F44" s="881"/>
      <c r="G44" s="881"/>
      <c r="H44" s="881"/>
      <c r="I44" s="881"/>
      <c r="J44" s="881"/>
      <c r="K44" s="881"/>
      <c r="L44" s="139"/>
      <c r="M44" s="139"/>
    </row>
    <row r="45" spans="1:13" s="81" customFormat="1" ht="12.75" customHeight="1" x14ac:dyDescent="0.2">
      <c r="A45" s="1468"/>
      <c r="B45" s="1469" t="s">
        <v>736</v>
      </c>
      <c r="C45" s="1557"/>
      <c r="D45" s="881"/>
      <c r="E45" s="881"/>
      <c r="F45" s="881"/>
      <c r="G45" s="881"/>
      <c r="H45" s="881"/>
      <c r="I45" s="881"/>
      <c r="J45" s="881"/>
      <c r="K45" s="881"/>
      <c r="L45" s="139"/>
      <c r="M45" s="1559"/>
    </row>
    <row r="46" spans="1:13" s="81" customFormat="1" ht="6" customHeight="1" x14ac:dyDescent="0.2">
      <c r="A46" s="1468"/>
      <c r="B46" s="1562"/>
      <c r="C46" s="1557"/>
      <c r="D46" s="881"/>
      <c r="E46" s="881"/>
      <c r="F46" s="881"/>
      <c r="G46" s="881"/>
      <c r="H46" s="881"/>
      <c r="I46" s="881"/>
      <c r="J46" s="881"/>
      <c r="K46" s="881"/>
      <c r="L46" s="139"/>
      <c r="M46" s="139"/>
    </row>
    <row r="47" spans="1:13" s="81" customFormat="1" ht="6" customHeight="1" x14ac:dyDescent="0.2">
      <c r="A47" s="1468"/>
      <c r="B47" s="1562"/>
      <c r="C47" s="1557"/>
      <c r="D47" s="881"/>
      <c r="E47" s="881"/>
      <c r="F47" s="881"/>
      <c r="G47" s="881"/>
      <c r="H47" s="881"/>
      <c r="I47" s="881"/>
      <c r="J47" s="881"/>
      <c r="K47" s="881"/>
      <c r="L47" s="139"/>
      <c r="M47" s="139"/>
    </row>
    <row r="48" spans="1:13" s="81" customFormat="1" ht="6" customHeight="1" x14ac:dyDescent="0.2">
      <c r="A48" s="1468"/>
      <c r="B48" s="1562"/>
      <c r="C48" s="1557"/>
      <c r="D48" s="881"/>
      <c r="E48" s="881"/>
      <c r="F48" s="881"/>
      <c r="G48" s="881"/>
      <c r="H48" s="881"/>
      <c r="I48" s="881"/>
      <c r="J48" s="881"/>
      <c r="K48" s="881"/>
      <c r="L48" s="139"/>
      <c r="M48" s="139"/>
    </row>
    <row r="49" spans="1:14" s="81" customFormat="1" ht="12.75" customHeight="1" x14ac:dyDescent="0.2">
      <c r="A49" s="286" t="s">
        <v>737</v>
      </c>
      <c r="B49" s="139"/>
      <c r="C49" s="1557"/>
      <c r="D49" s="881"/>
      <c r="E49" s="881"/>
      <c r="F49" s="881"/>
      <c r="G49" s="881"/>
      <c r="H49" s="881"/>
      <c r="I49" s="881"/>
      <c r="J49" s="881"/>
      <c r="K49" s="881"/>
      <c r="L49" s="139"/>
      <c r="M49" s="139"/>
      <c r="N49" s="139"/>
    </row>
    <row r="50" spans="1:14" s="81" customFormat="1" ht="4.3499999999999996" customHeight="1" x14ac:dyDescent="0.2">
      <c r="A50" s="1563"/>
      <c r="B50" s="881"/>
      <c r="C50" s="1557"/>
      <c r="D50" s="881"/>
      <c r="E50" s="881"/>
      <c r="F50" s="881"/>
      <c r="G50" s="881"/>
      <c r="H50" s="881"/>
      <c r="I50" s="881"/>
      <c r="J50" s="881"/>
      <c r="K50" s="881"/>
      <c r="L50" s="139"/>
      <c r="M50" s="139"/>
      <c r="N50" s="139"/>
    </row>
    <row r="51" spans="1:14" s="81" customFormat="1" ht="13.35" customHeight="1" x14ac:dyDescent="0.2">
      <c r="A51" s="1468" t="s">
        <v>738</v>
      </c>
      <c r="B51" s="881" t="s">
        <v>739</v>
      </c>
      <c r="C51" s="1557"/>
      <c r="D51" s="881"/>
      <c r="E51" s="881"/>
      <c r="F51" s="881"/>
      <c r="G51" s="881"/>
      <c r="H51" s="881"/>
      <c r="I51" s="881"/>
      <c r="J51" s="881"/>
      <c r="K51" s="881"/>
      <c r="L51" s="139"/>
      <c r="M51" s="1558"/>
      <c r="N51" s="139"/>
    </row>
    <row r="52" spans="1:14" s="81" customFormat="1" ht="13.35" customHeight="1" x14ac:dyDescent="0.2">
      <c r="A52" s="1468"/>
      <c r="B52" s="285" t="s">
        <v>740</v>
      </c>
      <c r="C52" s="1557"/>
      <c r="D52" s="881"/>
      <c r="E52" s="881"/>
      <c r="F52" s="881"/>
      <c r="G52" s="881"/>
      <c r="H52" s="881"/>
      <c r="I52" s="881"/>
      <c r="J52" s="881"/>
      <c r="K52" s="881"/>
      <c r="L52" s="139"/>
      <c r="M52" s="1559"/>
      <c r="N52" s="139"/>
    </row>
    <row r="53" spans="1:14" s="81" customFormat="1" ht="13.5" customHeight="1" x14ac:dyDescent="0.2">
      <c r="A53" s="1468"/>
      <c r="B53" s="881" t="s">
        <v>741</v>
      </c>
      <c r="C53" s="1557"/>
      <c r="D53" s="881"/>
      <c r="E53" s="881"/>
      <c r="F53" s="881"/>
      <c r="G53" s="881"/>
      <c r="H53" s="881"/>
      <c r="I53" s="881"/>
      <c r="J53" s="881"/>
      <c r="K53" s="881"/>
      <c r="L53" s="139"/>
      <c r="M53" s="1564"/>
      <c r="N53" s="139"/>
    </row>
    <row r="54" spans="1:14" s="81" customFormat="1" ht="13.5" customHeight="1" x14ac:dyDescent="0.2">
      <c r="A54" s="1468"/>
      <c r="B54" s="881" t="s">
        <v>742</v>
      </c>
      <c r="C54" s="1557"/>
      <c r="D54" s="881"/>
      <c r="E54" s="881"/>
      <c r="F54" s="881"/>
      <c r="G54" s="881"/>
      <c r="H54" s="881"/>
      <c r="I54" s="881"/>
      <c r="J54" s="881"/>
      <c r="K54" s="881"/>
      <c r="L54" s="139"/>
      <c r="M54" s="1564"/>
      <c r="N54" s="139"/>
    </row>
    <row r="55" spans="1:14" s="81" customFormat="1" ht="14.1" customHeight="1" thickBot="1" x14ac:dyDescent="0.25">
      <c r="A55" s="1468"/>
      <c r="B55" s="1469" t="s">
        <v>743</v>
      </c>
      <c r="C55" s="1557"/>
      <c r="D55" s="881"/>
      <c r="E55" s="881"/>
      <c r="F55" s="881"/>
      <c r="G55" s="881"/>
      <c r="H55" s="881"/>
      <c r="I55" s="881"/>
      <c r="J55" s="881"/>
      <c r="K55" s="881"/>
      <c r="L55" s="139"/>
      <c r="M55" s="1561">
        <f>M52+M54</f>
        <v>0</v>
      </c>
      <c r="N55" s="1558"/>
    </row>
    <row r="56" spans="1:14" s="81" customFormat="1" ht="4.3499999999999996" customHeight="1" thickTop="1" x14ac:dyDescent="0.2">
      <c r="A56" s="1563"/>
      <c r="B56" s="881"/>
      <c r="C56" s="1557"/>
      <c r="D56" s="881"/>
      <c r="E56" s="881"/>
      <c r="F56" s="881"/>
      <c r="G56" s="881"/>
      <c r="H56" s="881"/>
      <c r="I56" s="881"/>
      <c r="J56" s="881"/>
      <c r="K56" s="881"/>
      <c r="L56" s="139"/>
      <c r="M56" s="139"/>
      <c r="N56" s="139"/>
    </row>
    <row r="57" spans="1:14" s="81" customFormat="1" ht="12.75" customHeight="1" x14ac:dyDescent="0.2">
      <c r="A57" s="1468" t="s">
        <v>744</v>
      </c>
      <c r="B57" s="881" t="s">
        <v>745</v>
      </c>
      <c r="C57" s="881"/>
      <c r="D57" s="881"/>
      <c r="E57" s="881"/>
      <c r="F57" s="881"/>
      <c r="G57" s="881"/>
      <c r="H57" s="881"/>
      <c r="I57" s="881"/>
      <c r="J57" s="881"/>
      <c r="K57" s="881"/>
      <c r="L57" s="139"/>
      <c r="M57" s="139"/>
      <c r="N57" s="139"/>
    </row>
    <row r="58" spans="1:14" s="81" customFormat="1" ht="12.75" customHeight="1" x14ac:dyDescent="0.2">
      <c r="A58" s="881"/>
      <c r="B58" s="1562" t="s">
        <v>746</v>
      </c>
      <c r="C58" s="881"/>
      <c r="D58" s="881"/>
      <c r="E58" s="881"/>
      <c r="F58" s="881"/>
      <c r="G58" s="881"/>
      <c r="H58" s="881"/>
      <c r="I58" s="881"/>
      <c r="J58" s="881"/>
      <c r="K58" s="881"/>
      <c r="L58" s="139"/>
      <c r="M58" s="1559"/>
      <c r="N58" s="139"/>
    </row>
    <row r="59" spans="1:14" s="81" customFormat="1" ht="4.3499999999999996" customHeight="1" x14ac:dyDescent="0.2">
      <c r="A59" s="881"/>
      <c r="B59" s="1562"/>
      <c r="C59" s="881"/>
      <c r="D59" s="881"/>
      <c r="E59" s="881"/>
      <c r="F59" s="881"/>
      <c r="G59" s="881"/>
      <c r="H59" s="881"/>
      <c r="I59" s="881"/>
      <c r="J59" s="881"/>
      <c r="K59" s="881"/>
      <c r="L59" s="139"/>
      <c r="M59" s="139"/>
      <c r="N59" s="139"/>
    </row>
    <row r="60" spans="1:14" s="81" customFormat="1" ht="12.75" customHeight="1" x14ac:dyDescent="0.2">
      <c r="A60" s="1470" t="s">
        <v>747</v>
      </c>
      <c r="B60" s="881" t="s">
        <v>745</v>
      </c>
      <c r="C60" s="881"/>
      <c r="D60" s="881"/>
      <c r="E60" s="881"/>
      <c r="F60" s="881"/>
      <c r="G60" s="881"/>
      <c r="H60" s="881"/>
      <c r="I60" s="881"/>
      <c r="J60" s="881"/>
      <c r="K60" s="881"/>
      <c r="L60" s="139"/>
      <c r="M60" s="139"/>
      <c r="N60" s="139"/>
    </row>
    <row r="61" spans="1:14" s="81" customFormat="1" ht="12.75" customHeight="1" x14ac:dyDescent="0.2">
      <c r="A61" s="881"/>
      <c r="B61" s="1562" t="s">
        <v>748</v>
      </c>
      <c r="C61" s="881"/>
      <c r="D61" s="881"/>
      <c r="E61" s="881"/>
      <c r="F61" s="881"/>
      <c r="G61" s="881"/>
      <c r="H61" s="881"/>
      <c r="I61" s="881"/>
      <c r="J61" s="881"/>
      <c r="K61" s="881"/>
      <c r="L61" s="139"/>
      <c r="M61" s="1559"/>
      <c r="N61" s="139"/>
    </row>
    <row r="62" spans="1:14" s="81" customFormat="1" ht="12.75" customHeight="1" x14ac:dyDescent="0.2">
      <c r="A62" s="881"/>
      <c r="B62" s="1562"/>
      <c r="C62" s="881"/>
      <c r="D62" s="881"/>
      <c r="E62" s="881"/>
      <c r="F62" s="881"/>
      <c r="G62" s="881"/>
      <c r="H62" s="881"/>
      <c r="I62" s="881"/>
      <c r="J62" s="881"/>
      <c r="K62" s="881"/>
      <c r="L62" s="139"/>
      <c r="M62" s="1564"/>
      <c r="N62" s="139"/>
    </row>
    <row r="63" spans="1:14" s="81" customFormat="1" ht="12.75" customHeight="1" x14ac:dyDescent="0.2">
      <c r="A63" s="881"/>
      <c r="B63" s="1562"/>
      <c r="C63" s="881"/>
      <c r="D63" s="881"/>
      <c r="E63" s="881"/>
      <c r="F63" s="881"/>
      <c r="G63" s="881"/>
      <c r="H63" s="881"/>
      <c r="I63" s="881"/>
      <c r="J63" s="881"/>
      <c r="K63" s="881"/>
      <c r="L63" s="139"/>
      <c r="M63" s="1564"/>
      <c r="N63" s="139"/>
    </row>
    <row r="64" spans="1:14" s="81" customFormat="1" ht="10.35" customHeight="1" x14ac:dyDescent="0.2">
      <c r="A64" s="881"/>
      <c r="B64" s="139"/>
      <c r="C64" s="881"/>
      <c r="D64" s="881"/>
      <c r="E64" s="881"/>
      <c r="F64" s="881"/>
      <c r="G64" s="881"/>
      <c r="H64" s="881"/>
      <c r="I64" s="881"/>
      <c r="J64" s="881"/>
      <c r="K64" s="881"/>
      <c r="L64" s="139"/>
      <c r="M64" s="139"/>
      <c r="N64" s="139"/>
    </row>
    <row r="65" spans="1:14" s="81" customFormat="1" ht="12.75" customHeight="1" x14ac:dyDescent="0.2">
      <c r="A65" s="881"/>
      <c r="B65" s="139"/>
      <c r="C65" s="881"/>
      <c r="D65" s="881"/>
      <c r="E65" s="881"/>
      <c r="F65" s="881"/>
      <c r="G65" s="881"/>
      <c r="H65" s="881"/>
      <c r="I65" s="881"/>
      <c r="J65" s="881"/>
      <c r="K65" s="881"/>
      <c r="L65" s="139"/>
      <c r="M65" s="139"/>
      <c r="N65" s="139"/>
    </row>
    <row r="66" spans="1:14" s="81" customFormat="1" ht="12.75" customHeight="1" x14ac:dyDescent="0.2">
      <c r="A66" s="881"/>
      <c r="B66" s="139"/>
      <c r="C66" s="881"/>
      <c r="D66" s="881"/>
      <c r="E66" s="881"/>
      <c r="F66" s="881"/>
      <c r="G66" s="881"/>
      <c r="H66" s="881"/>
      <c r="I66" s="881"/>
      <c r="J66" s="881"/>
      <c r="K66" s="881"/>
      <c r="L66" s="139"/>
      <c r="M66" s="139"/>
      <c r="N66" s="139"/>
    </row>
    <row r="67" spans="1:14" s="81" customFormat="1" ht="12.75" customHeight="1" x14ac:dyDescent="0.2">
      <c r="A67" s="881"/>
      <c r="B67" s="139"/>
      <c r="C67" s="881"/>
      <c r="D67" s="881"/>
      <c r="E67" s="881"/>
      <c r="F67" s="881"/>
      <c r="G67" s="881"/>
      <c r="H67" s="881"/>
      <c r="I67" s="881"/>
      <c r="J67" s="881"/>
      <c r="K67" s="881"/>
      <c r="L67" s="139"/>
      <c r="M67" s="139"/>
      <c r="N67" s="139"/>
    </row>
    <row r="68" spans="1:14" s="81" customFormat="1" ht="12.75" customHeight="1" x14ac:dyDescent="0.2">
      <c r="A68" s="881"/>
      <c r="B68" s="139"/>
      <c r="C68" s="881"/>
      <c r="D68" s="881"/>
      <c r="E68" s="881"/>
      <c r="F68" s="881"/>
      <c r="G68" s="881"/>
      <c r="H68" s="881"/>
      <c r="I68" s="881"/>
      <c r="J68" s="881"/>
      <c r="K68" s="881"/>
      <c r="L68" s="139"/>
      <c r="M68" s="139"/>
      <c r="N68" s="139"/>
    </row>
    <row r="69" spans="1:14" s="81" customFormat="1" ht="12.75" customHeight="1" x14ac:dyDescent="0.2">
      <c r="A69" s="881"/>
      <c r="B69" s="139"/>
      <c r="C69" s="881"/>
      <c r="D69" s="881"/>
      <c r="E69" s="881"/>
      <c r="F69" s="881"/>
      <c r="G69" s="881"/>
      <c r="H69" s="881"/>
      <c r="I69" s="881"/>
      <c r="J69" s="881"/>
      <c r="K69" s="881"/>
      <c r="L69" s="139"/>
      <c r="M69" s="139"/>
      <c r="N69" s="139"/>
    </row>
    <row r="70" spans="1:14" s="81" customFormat="1" ht="12.75" customHeight="1" x14ac:dyDescent="0.2">
      <c r="A70" s="881"/>
      <c r="B70" s="139"/>
      <c r="C70" s="881"/>
      <c r="D70" s="881"/>
      <c r="E70" s="881"/>
      <c r="F70" s="881"/>
      <c r="G70" s="881"/>
      <c r="H70" s="881"/>
      <c r="I70" s="881"/>
      <c r="J70" s="881"/>
      <c r="K70" s="881"/>
      <c r="L70" s="139"/>
      <c r="M70" s="139"/>
      <c r="N70" s="139"/>
    </row>
    <row r="71" spans="1:14" s="81" customFormat="1" ht="12.75" customHeight="1" x14ac:dyDescent="0.2">
      <c r="A71" s="286" t="s">
        <v>749</v>
      </c>
      <c r="B71" s="139"/>
      <c r="C71" s="881"/>
      <c r="D71" s="881"/>
      <c r="E71" s="881"/>
      <c r="F71" s="881"/>
      <c r="G71" s="881"/>
      <c r="H71" s="881"/>
      <c r="I71" s="881"/>
      <c r="J71" s="881"/>
      <c r="K71" s="881"/>
      <c r="L71" s="139"/>
      <c r="M71" s="139"/>
      <c r="N71" s="139"/>
    </row>
    <row r="72" spans="1:14" s="81" customFormat="1" ht="12.75" customHeight="1" x14ac:dyDescent="0.2">
      <c r="A72" s="139" t="s">
        <v>750</v>
      </c>
      <c r="B72" s="139"/>
      <c r="C72" s="139"/>
      <c r="D72" s="139"/>
      <c r="E72" s="139"/>
      <c r="F72" s="139"/>
      <c r="G72" s="139"/>
      <c r="H72" s="139"/>
      <c r="I72" s="139"/>
      <c r="J72" s="139"/>
      <c r="K72" s="139"/>
      <c r="L72" s="139"/>
      <c r="M72" s="139"/>
      <c r="N72" s="139"/>
    </row>
    <row r="73" spans="1:14" s="81" customFormat="1" ht="12.75" customHeight="1" x14ac:dyDescent="0.2">
      <c r="A73" s="138" t="s">
        <v>751</v>
      </c>
      <c r="B73" s="139"/>
      <c r="C73" s="139"/>
      <c r="D73" s="139"/>
      <c r="E73" s="139"/>
      <c r="F73" s="139"/>
      <c r="G73" s="139"/>
      <c r="H73" s="139"/>
      <c r="I73" s="139"/>
      <c r="J73" s="139"/>
      <c r="K73" s="82"/>
      <c r="L73" s="139"/>
      <c r="M73" s="139"/>
      <c r="N73" s="139"/>
    </row>
    <row r="74" spans="1:14" s="81" customFormat="1" ht="12.75" customHeight="1" x14ac:dyDescent="0.2">
      <c r="A74" s="139"/>
      <c r="B74" s="139"/>
      <c r="C74" s="139"/>
      <c r="D74" s="139"/>
      <c r="E74" s="139"/>
      <c r="F74" s="139"/>
      <c r="G74" s="139"/>
      <c r="H74" s="139"/>
      <c r="I74" s="139"/>
      <c r="J74" s="139"/>
      <c r="K74" s="139"/>
      <c r="L74" s="139"/>
      <c r="M74" s="139"/>
      <c r="N74" s="139"/>
    </row>
  </sheetData>
  <sheetProtection algorithmName="SHA-512" hashValue="lrfTxTMJrabh58W12tx4X9ePRReKDd7aAi2v93Om9VDaNzvtikefOU1i/OfzUXmqhXeXETMyuhvSebjdHEcfhg==" saltValue="Xv5btS/kzo2Fy68TfISYDg==" spinCount="100000" sheet="1" autoFilter="0"/>
  <customSheetViews>
    <customSheetView guid="{9FCFC836-1CA5-48BF-958D-24D2EA94B219}" showGridLines="0" fitToPage="1">
      <selection sqref="A1:M1"/>
      <pageMargins left="0" right="0" top="0" bottom="0" header="0" footer="0"/>
      <pageSetup scale="89" orientation="portrait" r:id="rId1"/>
      <headerFooter alignWithMargins="0">
        <oddFooter>&amp;R&amp;A</oddFooter>
      </headerFooter>
    </customSheetView>
    <customSheetView guid="{B08879A4-635B-4C39-9937-AC7883D562FC}" showGridLines="0" fitToPage="1">
      <selection sqref="A1:M1"/>
      <pageMargins left="0" right="0" top="0" bottom="0" header="0" footer="0"/>
      <pageSetup scale="89" orientation="portrait" r:id="rId2"/>
      <headerFooter alignWithMargins="0">
        <oddFooter>&amp;R&amp;A</oddFooter>
      </headerFooter>
    </customSheetView>
  </customSheetViews>
  <mergeCells count="12">
    <mergeCell ref="A17:D17"/>
    <mergeCell ref="N1:N3"/>
    <mergeCell ref="J5:M5"/>
    <mergeCell ref="J6:M6"/>
    <mergeCell ref="A1:M1"/>
    <mergeCell ref="A2:M2"/>
    <mergeCell ref="A3:M3"/>
    <mergeCell ref="J7:M7"/>
    <mergeCell ref="A14:M14"/>
    <mergeCell ref="A15:M15"/>
    <mergeCell ref="A16:M16"/>
    <mergeCell ref="J8:M8"/>
  </mergeCells>
  <phoneticPr fontId="18" type="noConversion"/>
  <conditionalFormatting sqref="N1:N3">
    <cfRule type="cellIs" dxfId="146" priority="1" stopIfTrue="1" operator="equal">
      <formula>"na"</formula>
    </cfRule>
  </conditionalFormatting>
  <hyperlinks>
    <hyperlink ref="A1:M1" location="Index!A1" display="Index!A1" xr:uid="{00000000-0004-0000-0900-000000000000}"/>
    <hyperlink ref="A17:D17" r:id="rId3" display="NC OSC Policy 102.13" xr:uid="{00000000-0004-0000-0900-000001000000}"/>
  </hyperlinks>
  <pageMargins left="0.6" right="0.6" top="0.5" bottom="0.5" header="0.3" footer="0.3"/>
  <pageSetup scale="85" orientation="portrait" r:id="rId4"/>
  <ignoredErrors>
    <ignoredError sqref="A50 A41:A43 A25:A31 A38 A53 A55:A56 A45 A58:A59" numberStoredAsText="1"/>
  </ignoredErrors>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dimension ref="A1:O135"/>
  <sheetViews>
    <sheetView showGridLines="0" zoomScaleNormal="100" workbookViewId="0">
      <selection activeCell="C90" sqref="C90"/>
    </sheetView>
  </sheetViews>
  <sheetFormatPr defaultRowHeight="12.75" x14ac:dyDescent="0.2"/>
  <cols>
    <col min="1" max="2" width="1.5703125" customWidth="1"/>
    <col min="3" max="3" width="11" customWidth="1"/>
    <col min="4" max="4" width="40.42578125" customWidth="1"/>
    <col min="5" max="5" width="2.42578125" customWidth="1"/>
    <col min="6" max="6" width="12.5703125" customWidth="1"/>
    <col min="7" max="7" width="16.42578125" customWidth="1"/>
    <col min="8" max="8" width="4.5703125" customWidth="1"/>
    <col min="9" max="9" width="1.5703125" customWidth="1"/>
    <col min="10" max="10" width="6.42578125" bestFit="1" customWidth="1"/>
    <col min="11" max="11" width="12.42578125" style="1297" bestFit="1" customWidth="1"/>
    <col min="12" max="12" width="24.85546875" style="1295" customWidth="1"/>
    <col min="13" max="13" width="20.5703125" style="1297" customWidth="1"/>
    <col min="14" max="15" width="9.140625" style="1297"/>
  </cols>
  <sheetData>
    <row r="1" spans="1:15" s="64" customFormat="1" ht="15" customHeight="1" x14ac:dyDescent="0.25">
      <c r="B1" s="2553" t="str">
        <f>+Index!$A$1</f>
        <v xml:space="preserve">                                                               Office of the State Controller                                                                </v>
      </c>
      <c r="C1" s="2553"/>
      <c r="D1" s="2553"/>
      <c r="E1" s="2553"/>
      <c r="F1" s="2553"/>
      <c r="G1" s="2553"/>
      <c r="H1" s="2554" t="str">
        <f>IF(Index!$B$26="na","NA","")</f>
        <v/>
      </c>
      <c r="I1" s="65"/>
      <c r="K1" s="1294"/>
      <c r="L1" s="1295"/>
      <c r="M1" s="1294"/>
      <c r="N1" s="1294"/>
      <c r="O1" s="1294"/>
    </row>
    <row r="2" spans="1:15" s="64" customFormat="1" ht="15" customHeight="1" x14ac:dyDescent="0.25">
      <c r="B2" s="2555" t="str">
        <f>+Index!$A$2</f>
        <v>2024 ACFR Worksheets</v>
      </c>
      <c r="C2" s="2555"/>
      <c r="D2" s="2555"/>
      <c r="E2" s="2555"/>
      <c r="F2" s="2555"/>
      <c r="G2" s="2555"/>
      <c r="H2" s="2554"/>
      <c r="I2" s="65"/>
      <c r="K2" s="1294"/>
      <c r="L2" s="1295"/>
      <c r="M2" s="1294"/>
      <c r="N2" s="1294"/>
      <c r="O2" s="1294"/>
    </row>
    <row r="3" spans="1:15" s="64" customFormat="1" ht="15" customHeight="1" x14ac:dyDescent="0.25">
      <c r="B3" s="2555" t="s">
        <v>752</v>
      </c>
      <c r="C3" s="2555"/>
      <c r="D3" s="2555"/>
      <c r="E3" s="2555"/>
      <c r="F3" s="2555"/>
      <c r="G3" s="2555"/>
      <c r="H3" s="2554"/>
      <c r="I3" s="65"/>
      <c r="K3" s="1294"/>
      <c r="L3" s="1295"/>
      <c r="M3" s="1294"/>
      <c r="N3" s="1294"/>
      <c r="O3" s="1294"/>
    </row>
    <row r="4" spans="1:15" s="64" customFormat="1" ht="15" customHeight="1" x14ac:dyDescent="0.25">
      <c r="B4" s="2270"/>
      <c r="C4" s="2270"/>
      <c r="D4" s="2270"/>
      <c r="E4" s="2270"/>
      <c r="F4" s="66"/>
      <c r="G4" s="2270"/>
      <c r="H4" s="2269"/>
      <c r="I4" s="65"/>
      <c r="K4" s="1294"/>
      <c r="L4" s="1295"/>
      <c r="M4" s="1294"/>
      <c r="N4" s="1294"/>
      <c r="O4" s="1294"/>
    </row>
    <row r="5" spans="1:15" s="78" customFormat="1" ht="15" customHeight="1" x14ac:dyDescent="0.2">
      <c r="A5" s="27" t="s">
        <v>318</v>
      </c>
      <c r="B5" s="27"/>
      <c r="C5" s="27"/>
      <c r="D5" s="1519" t="str">
        <f>+Index!$E$10</f>
        <v>01</v>
      </c>
      <c r="E5" s="27"/>
      <c r="F5" s="27"/>
      <c r="G5" s="27"/>
      <c r="H5" s="354"/>
      <c r="I5" s="1516"/>
      <c r="J5" s="27"/>
      <c r="K5" s="1296"/>
      <c r="L5" s="1295"/>
      <c r="M5" s="1296"/>
      <c r="N5" s="1296"/>
      <c r="O5" s="1296"/>
    </row>
    <row r="6" spans="1:15" s="78" customFormat="1" ht="15" customHeight="1" x14ac:dyDescent="0.2">
      <c r="A6" s="27" t="s">
        <v>319</v>
      </c>
      <c r="B6" s="27"/>
      <c r="C6" s="27"/>
      <c r="D6" s="1519" t="str">
        <f>+Index!$E$11</f>
        <v>North Carolina General Assembly</v>
      </c>
      <c r="E6" s="27"/>
      <c r="F6" s="27"/>
      <c r="G6" s="27"/>
      <c r="H6" s="27"/>
      <c r="I6" s="27"/>
      <c r="J6" s="27"/>
      <c r="K6" s="1296"/>
      <c r="L6" s="1295"/>
      <c r="M6" s="1296"/>
      <c r="N6" s="1296"/>
      <c r="O6" s="1296"/>
    </row>
    <row r="7" spans="1:15" s="78" customFormat="1" ht="15" customHeight="1" x14ac:dyDescent="0.2">
      <c r="A7" s="27" t="s">
        <v>320</v>
      </c>
      <c r="B7" s="27"/>
      <c r="C7" s="27"/>
      <c r="D7" s="1520" t="str">
        <f>CONCATENATE(Index!$E$12," ",Index!$E$14)</f>
        <v xml:space="preserve"> </v>
      </c>
      <c r="E7" s="27"/>
      <c r="F7" s="27"/>
      <c r="G7" s="27"/>
      <c r="H7" s="27"/>
      <c r="I7" s="27"/>
      <c r="J7" s="27"/>
      <c r="K7" s="1296"/>
      <c r="L7" s="1295"/>
      <c r="M7" s="1296"/>
      <c r="N7" s="1296"/>
      <c r="O7" s="1296"/>
    </row>
    <row r="8" spans="1:15" s="78" customFormat="1" ht="15" customHeight="1" x14ac:dyDescent="0.2">
      <c r="A8" s="27" t="s">
        <v>168</v>
      </c>
      <c r="B8" s="27"/>
      <c r="C8" s="27"/>
      <c r="D8" s="1520">
        <f>+Index!$E$13</f>
        <v>0</v>
      </c>
      <c r="E8" s="27"/>
      <c r="F8" s="27"/>
      <c r="G8" s="27"/>
      <c r="H8" s="27"/>
      <c r="I8" s="27"/>
      <c r="J8" s="27"/>
      <c r="K8" s="1296"/>
      <c r="L8" s="1295"/>
      <c r="M8" s="1296"/>
      <c r="N8" s="1296"/>
      <c r="O8" s="1296"/>
    </row>
    <row r="9" spans="1:15" s="78" customFormat="1" ht="7.5" customHeight="1" thickBot="1" x14ac:dyDescent="0.25">
      <c r="A9" s="1523"/>
      <c r="B9" s="1523"/>
      <c r="C9" s="1523"/>
      <c r="D9" s="1523"/>
      <c r="E9" s="1523"/>
      <c r="F9" s="1523"/>
      <c r="G9" s="1523"/>
      <c r="H9" s="27"/>
      <c r="I9" s="27"/>
      <c r="J9" s="27"/>
      <c r="K9" s="1296"/>
      <c r="L9" s="1295"/>
      <c r="M9" s="1296"/>
      <c r="N9" s="1296"/>
      <c r="O9" s="1296"/>
    </row>
    <row r="10" spans="1:15" x14ac:dyDescent="0.2">
      <c r="A10" s="290" t="s">
        <v>753</v>
      </c>
    </row>
    <row r="11" spans="1:15" x14ac:dyDescent="0.2">
      <c r="A11" s="799" t="s">
        <v>754</v>
      </c>
    </row>
    <row r="12" spans="1:15" x14ac:dyDescent="0.2">
      <c r="A12" s="799" t="s">
        <v>414</v>
      </c>
    </row>
    <row r="13" spans="1:15" x14ac:dyDescent="0.2">
      <c r="A13" s="799"/>
      <c r="K13" s="1297" t="s">
        <v>755</v>
      </c>
      <c r="L13" s="1297" t="s">
        <v>756</v>
      </c>
      <c r="M13" s="1297" t="s">
        <v>757</v>
      </c>
      <c r="N13" s="1297" t="s">
        <v>758</v>
      </c>
      <c r="O13" s="1297" t="s">
        <v>759</v>
      </c>
    </row>
    <row r="14" spans="1:15" s="170" customFormat="1" ht="12" x14ac:dyDescent="0.2">
      <c r="A14" s="1565" t="s">
        <v>760</v>
      </c>
      <c r="B14" s="166"/>
      <c r="C14" s="166"/>
      <c r="D14" s="166"/>
      <c r="K14" s="1295"/>
      <c r="L14" s="1295"/>
      <c r="M14" s="1295"/>
      <c r="N14" s="1295"/>
      <c r="O14" s="1295"/>
    </row>
    <row r="15" spans="1:15" s="170" customFormat="1" ht="12" x14ac:dyDescent="0.2">
      <c r="A15" s="190" t="s">
        <v>415</v>
      </c>
      <c r="B15" s="166"/>
      <c r="C15" s="166"/>
      <c r="D15" s="166"/>
      <c r="K15" s="1295"/>
      <c r="L15" s="1295"/>
      <c r="M15" s="1295"/>
      <c r="N15" s="1295"/>
      <c r="O15" s="1295"/>
    </row>
    <row r="16" spans="1:15" s="170" customFormat="1" ht="12" x14ac:dyDescent="0.2">
      <c r="A16" s="166"/>
      <c r="B16" s="352" t="s">
        <v>431</v>
      </c>
      <c r="C16" s="166"/>
      <c r="D16" s="166"/>
      <c r="K16" s="1295"/>
      <c r="L16" s="1295"/>
      <c r="M16" s="1295"/>
      <c r="N16" s="1295"/>
      <c r="O16" s="1295"/>
    </row>
    <row r="17" spans="1:15" s="170" customFormat="1" ht="12" x14ac:dyDescent="0.2">
      <c r="A17" s="166"/>
      <c r="B17" s="166"/>
      <c r="C17" s="166" t="s">
        <v>761</v>
      </c>
      <c r="D17" s="166"/>
      <c r="G17" s="355"/>
      <c r="K17" s="1295" t="s">
        <v>762</v>
      </c>
      <c r="L17" s="1295" t="s">
        <v>761</v>
      </c>
      <c r="M17" s="1295" t="s">
        <v>431</v>
      </c>
      <c r="N17" s="1295" t="s">
        <v>763</v>
      </c>
      <c r="O17" s="1295" t="s">
        <v>764</v>
      </c>
    </row>
    <row r="18" spans="1:15" s="170" customFormat="1" ht="12" x14ac:dyDescent="0.2">
      <c r="A18" s="166"/>
      <c r="B18" s="166"/>
      <c r="C18" s="166" t="s">
        <v>765</v>
      </c>
      <c r="D18" s="166"/>
      <c r="G18" s="355"/>
      <c r="K18" s="1295" t="s">
        <v>762</v>
      </c>
      <c r="L18" s="1295" t="s">
        <v>765</v>
      </c>
      <c r="M18" s="1295" t="s">
        <v>431</v>
      </c>
      <c r="N18" s="1295" t="s">
        <v>763</v>
      </c>
      <c r="O18" s="1295" t="s">
        <v>764</v>
      </c>
    </row>
    <row r="19" spans="1:15" s="170" customFormat="1" ht="12" x14ac:dyDescent="0.2">
      <c r="A19" s="166"/>
      <c r="B19" s="166"/>
      <c r="C19" s="166" t="s">
        <v>766</v>
      </c>
      <c r="D19" s="166"/>
      <c r="G19" s="355"/>
      <c r="K19" s="1295" t="s">
        <v>762</v>
      </c>
      <c r="L19" s="1295" t="s">
        <v>766</v>
      </c>
      <c r="M19" s="1295" t="s">
        <v>431</v>
      </c>
      <c r="N19" s="1295" t="s">
        <v>763</v>
      </c>
      <c r="O19" s="1295" t="s">
        <v>764</v>
      </c>
    </row>
    <row r="20" spans="1:15" s="170" customFormat="1" ht="12" x14ac:dyDescent="0.2">
      <c r="A20" s="166"/>
      <c r="B20" s="166"/>
      <c r="C20" s="166" t="s">
        <v>767</v>
      </c>
      <c r="D20" s="166"/>
      <c r="G20" s="355"/>
      <c r="K20" s="1295" t="s">
        <v>762</v>
      </c>
      <c r="L20" s="1295" t="s">
        <v>768</v>
      </c>
      <c r="M20" s="1295" t="s">
        <v>431</v>
      </c>
      <c r="N20" s="1295" t="s">
        <v>763</v>
      </c>
      <c r="O20" s="1295" t="s">
        <v>764</v>
      </c>
    </row>
    <row r="21" spans="1:15" s="170" customFormat="1" ht="7.35" customHeight="1" x14ac:dyDescent="0.2">
      <c r="A21" s="166"/>
      <c r="B21" s="166"/>
      <c r="C21" s="166"/>
      <c r="D21" s="166"/>
      <c r="G21" s="166"/>
      <c r="K21" s="1295"/>
      <c r="L21" s="1295"/>
      <c r="M21" s="1295"/>
      <c r="N21" s="1295"/>
      <c r="O21" s="1295"/>
    </row>
    <row r="22" spans="1:15" s="170" customFormat="1" ht="12" x14ac:dyDescent="0.2">
      <c r="A22" s="190" t="s">
        <v>475</v>
      </c>
      <c r="B22" s="166"/>
      <c r="C22" s="166"/>
      <c r="D22" s="166"/>
      <c r="G22" s="166"/>
      <c r="K22" s="1295"/>
      <c r="L22" s="1295"/>
      <c r="M22" s="1295"/>
      <c r="N22" s="1295"/>
      <c r="O22" s="1295"/>
    </row>
    <row r="23" spans="1:15" s="170" customFormat="1" ht="12" x14ac:dyDescent="0.2">
      <c r="A23" s="190"/>
      <c r="B23" s="166"/>
      <c r="C23" s="166" t="s">
        <v>769</v>
      </c>
      <c r="D23" s="166"/>
      <c r="G23" s="355"/>
      <c r="K23" s="1295" t="s">
        <v>762</v>
      </c>
      <c r="L23" s="1295" t="s">
        <v>769</v>
      </c>
      <c r="M23" s="1295" t="s">
        <v>770</v>
      </c>
      <c r="N23" s="1295" t="s">
        <v>771</v>
      </c>
      <c r="O23" s="1295" t="s">
        <v>764</v>
      </c>
    </row>
    <row r="24" spans="1:15" s="170" customFormat="1" ht="12" x14ac:dyDescent="0.2">
      <c r="A24" s="190"/>
      <c r="B24" s="166"/>
      <c r="C24" s="166" t="s">
        <v>772</v>
      </c>
      <c r="D24" s="166"/>
      <c r="G24" s="355"/>
      <c r="K24" s="1295" t="s">
        <v>762</v>
      </c>
      <c r="L24" s="1295" t="s">
        <v>772</v>
      </c>
      <c r="M24" s="1295" t="s">
        <v>770</v>
      </c>
      <c r="N24" s="1295" t="s">
        <v>771</v>
      </c>
      <c r="O24" s="1295" t="s">
        <v>764</v>
      </c>
    </row>
    <row r="25" spans="1:15" s="170" customFormat="1" ht="7.35" customHeight="1" x14ac:dyDescent="0.2">
      <c r="A25" s="166"/>
      <c r="B25" s="166"/>
      <c r="C25" s="166"/>
      <c r="D25" s="166"/>
      <c r="G25" s="166"/>
      <c r="K25" s="1295"/>
      <c r="L25" s="1295"/>
      <c r="M25" s="1295"/>
      <c r="N25" s="1295"/>
      <c r="O25" s="1295"/>
    </row>
    <row r="26" spans="1:15" s="170" customFormat="1" ht="12" x14ac:dyDescent="0.2">
      <c r="A26" s="190" t="s">
        <v>426</v>
      </c>
      <c r="B26" s="166"/>
      <c r="C26" s="166"/>
      <c r="D26" s="166"/>
      <c r="G26" s="166"/>
      <c r="K26" s="1295"/>
      <c r="L26" s="1295"/>
      <c r="M26" s="1295"/>
      <c r="N26" s="1295"/>
      <c r="O26" s="1295"/>
    </row>
    <row r="27" spans="1:15" s="170" customFormat="1" ht="12" x14ac:dyDescent="0.2">
      <c r="A27" s="190"/>
      <c r="B27" s="352" t="s">
        <v>432</v>
      </c>
      <c r="C27" s="166"/>
      <c r="D27" s="166"/>
      <c r="G27" s="166"/>
      <c r="K27" s="1295"/>
      <c r="L27" s="1295"/>
      <c r="M27" s="1295"/>
      <c r="N27" s="1295"/>
      <c r="O27" s="1295"/>
    </row>
    <row r="28" spans="1:15" s="170" customFormat="1" ht="12" x14ac:dyDescent="0.2">
      <c r="A28" s="190"/>
      <c r="B28" s="352"/>
      <c r="C28" s="166" t="s">
        <v>773</v>
      </c>
      <c r="D28" s="166"/>
      <c r="G28" s="355"/>
      <c r="K28" s="1295" t="s">
        <v>762</v>
      </c>
      <c r="L28" s="1295" t="s">
        <v>773</v>
      </c>
      <c r="M28" s="1295" t="s">
        <v>432</v>
      </c>
      <c r="N28" s="1295" t="s">
        <v>774</v>
      </c>
      <c r="O28" s="1295" t="s">
        <v>764</v>
      </c>
    </row>
    <row r="29" spans="1:15" s="170" customFormat="1" ht="12" x14ac:dyDescent="0.2">
      <c r="A29" s="190"/>
      <c r="B29" s="352"/>
      <c r="C29" s="166" t="s">
        <v>775</v>
      </c>
      <c r="D29" s="166"/>
      <c r="G29" s="355"/>
      <c r="K29" s="1295" t="s">
        <v>762</v>
      </c>
      <c r="L29" s="1295" t="s">
        <v>775</v>
      </c>
      <c r="M29" s="1295" t="s">
        <v>432</v>
      </c>
      <c r="N29" s="1295" t="s">
        <v>774</v>
      </c>
      <c r="O29" s="1295" t="s">
        <v>764</v>
      </c>
    </row>
    <row r="30" spans="1:15" s="170" customFormat="1" ht="12" x14ac:dyDescent="0.2">
      <c r="A30" s="190"/>
      <c r="B30" s="352"/>
      <c r="C30" s="166" t="s">
        <v>776</v>
      </c>
      <c r="D30" s="166"/>
      <c r="G30" s="355"/>
      <c r="K30" s="1295" t="s">
        <v>762</v>
      </c>
      <c r="L30" s="1295" t="s">
        <v>776</v>
      </c>
      <c r="M30" s="1295" t="s">
        <v>432</v>
      </c>
      <c r="N30" s="1295" t="s">
        <v>774</v>
      </c>
      <c r="O30" s="1295" t="s">
        <v>764</v>
      </c>
    </row>
    <row r="31" spans="1:15" s="170" customFormat="1" ht="12" x14ac:dyDescent="0.2">
      <c r="A31" s="190"/>
      <c r="B31" s="352"/>
      <c r="C31" s="166" t="s">
        <v>777</v>
      </c>
      <c r="D31" s="166"/>
      <c r="G31" s="355"/>
      <c r="K31" s="1295" t="s">
        <v>762</v>
      </c>
      <c r="L31" s="1295" t="s">
        <v>777</v>
      </c>
      <c r="M31" s="1295" t="s">
        <v>432</v>
      </c>
      <c r="N31" s="1295" t="s">
        <v>774</v>
      </c>
      <c r="O31" s="1295" t="s">
        <v>764</v>
      </c>
    </row>
    <row r="32" spans="1:15" s="170" customFormat="1" ht="12" x14ac:dyDescent="0.2">
      <c r="A32" s="190"/>
      <c r="B32" s="352"/>
      <c r="C32" s="166" t="s">
        <v>778</v>
      </c>
      <c r="D32" s="166"/>
      <c r="G32" s="355"/>
      <c r="K32" s="1295" t="s">
        <v>762</v>
      </c>
      <c r="L32" s="1295" t="s">
        <v>778</v>
      </c>
      <c r="M32" s="1295" t="s">
        <v>432</v>
      </c>
      <c r="N32" s="1295" t="s">
        <v>774</v>
      </c>
      <c r="O32" s="1295" t="s">
        <v>764</v>
      </c>
    </row>
    <row r="33" spans="1:15" s="170" customFormat="1" ht="12" x14ac:dyDescent="0.2">
      <c r="A33" s="190"/>
      <c r="B33" s="352"/>
      <c r="C33" s="166" t="s">
        <v>779</v>
      </c>
      <c r="D33" s="166"/>
      <c r="G33" s="355"/>
      <c r="K33" s="1295" t="s">
        <v>762</v>
      </c>
      <c r="L33" s="1295" t="s">
        <v>779</v>
      </c>
      <c r="M33" s="1295" t="s">
        <v>432</v>
      </c>
      <c r="N33" s="1295" t="s">
        <v>774</v>
      </c>
      <c r="O33" s="1295" t="s">
        <v>764</v>
      </c>
    </row>
    <row r="34" spans="1:15" s="170" customFormat="1" ht="12" x14ac:dyDescent="0.2">
      <c r="A34" s="190"/>
      <c r="B34" s="352"/>
      <c r="C34" s="166" t="s">
        <v>780</v>
      </c>
      <c r="D34" s="166"/>
      <c r="G34" s="355"/>
      <c r="K34" s="1295" t="s">
        <v>762</v>
      </c>
      <c r="L34" s="1295" t="s">
        <v>780</v>
      </c>
      <c r="M34" s="1295" t="s">
        <v>432</v>
      </c>
      <c r="N34" s="1295" t="s">
        <v>774</v>
      </c>
      <c r="O34" s="1295" t="s">
        <v>764</v>
      </c>
    </row>
    <row r="35" spans="1:15" s="170" customFormat="1" ht="12" x14ac:dyDescent="0.2">
      <c r="A35" s="190"/>
      <c r="B35" s="352"/>
      <c r="C35" s="166" t="s">
        <v>781</v>
      </c>
      <c r="D35" s="166"/>
      <c r="G35" s="355"/>
      <c r="K35" s="1295" t="s">
        <v>762</v>
      </c>
      <c r="L35" s="1295" t="s">
        <v>781</v>
      </c>
      <c r="M35" s="1295" t="s">
        <v>432</v>
      </c>
      <c r="N35" s="1295" t="s">
        <v>774</v>
      </c>
      <c r="O35" s="1295" t="s">
        <v>764</v>
      </c>
    </row>
    <row r="36" spans="1:15" s="170" customFormat="1" ht="12" x14ac:dyDescent="0.2">
      <c r="A36" s="190"/>
      <c r="B36" s="352"/>
      <c r="C36" s="166" t="s">
        <v>782</v>
      </c>
      <c r="D36" s="166"/>
      <c r="G36" s="355"/>
      <c r="K36" s="1295" t="s">
        <v>762</v>
      </c>
      <c r="L36" s="1295" t="s">
        <v>782</v>
      </c>
      <c r="M36" s="1295" t="s">
        <v>432</v>
      </c>
      <c r="N36" s="1295" t="s">
        <v>774</v>
      </c>
      <c r="O36" s="1295" t="s">
        <v>764</v>
      </c>
    </row>
    <row r="37" spans="1:15" s="170" customFormat="1" ht="12" x14ac:dyDescent="0.2">
      <c r="A37" s="166"/>
      <c r="B37" s="166"/>
      <c r="C37" s="166" t="s">
        <v>783</v>
      </c>
      <c r="D37" s="166"/>
      <c r="G37" s="355"/>
      <c r="K37" s="1295" t="s">
        <v>762</v>
      </c>
      <c r="L37" s="1295" t="s">
        <v>784</v>
      </c>
      <c r="M37" s="1295" t="s">
        <v>432</v>
      </c>
      <c r="N37" s="1295" t="s">
        <v>774</v>
      </c>
      <c r="O37" s="1295" t="s">
        <v>764</v>
      </c>
    </row>
    <row r="38" spans="1:15" s="170" customFormat="1" ht="12" x14ac:dyDescent="0.2">
      <c r="A38" s="166"/>
      <c r="B38" s="166"/>
      <c r="C38" s="166" t="s">
        <v>785</v>
      </c>
      <c r="D38" s="166"/>
      <c r="G38" s="355"/>
      <c r="K38" s="1295" t="s">
        <v>762</v>
      </c>
      <c r="L38" s="1295" t="s">
        <v>785</v>
      </c>
      <c r="M38" s="1295" t="s">
        <v>432</v>
      </c>
      <c r="N38" s="1295" t="s">
        <v>774</v>
      </c>
      <c r="O38" s="1295" t="s">
        <v>764</v>
      </c>
    </row>
    <row r="39" spans="1:15" s="170" customFormat="1" ht="12" x14ac:dyDescent="0.2">
      <c r="A39" s="166"/>
      <c r="B39" s="166"/>
      <c r="C39" s="166" t="s">
        <v>786</v>
      </c>
      <c r="D39" s="166"/>
      <c r="G39" s="355"/>
      <c r="K39" s="1295" t="s">
        <v>762</v>
      </c>
      <c r="L39" s="1295" t="s">
        <v>786</v>
      </c>
      <c r="M39" s="1295" t="s">
        <v>432</v>
      </c>
      <c r="N39" s="1295" t="s">
        <v>774</v>
      </c>
      <c r="O39" s="1295" t="s">
        <v>764</v>
      </c>
    </row>
    <row r="40" spans="1:15" s="170" customFormat="1" ht="12" x14ac:dyDescent="0.2">
      <c r="A40" s="166"/>
      <c r="B40" s="166"/>
      <c r="C40" s="166" t="s">
        <v>787</v>
      </c>
      <c r="D40" s="166"/>
      <c r="G40" s="355"/>
      <c r="K40" s="1295" t="s">
        <v>762</v>
      </c>
      <c r="L40" s="1295" t="s">
        <v>787</v>
      </c>
      <c r="M40" s="1295" t="s">
        <v>432</v>
      </c>
      <c r="N40" s="1295" t="s">
        <v>774</v>
      </c>
      <c r="O40" s="1295" t="s">
        <v>764</v>
      </c>
    </row>
    <row r="41" spans="1:15" s="170" customFormat="1" ht="7.35" customHeight="1" x14ac:dyDescent="0.2">
      <c r="A41" s="166"/>
      <c r="B41" s="166"/>
      <c r="C41" s="166"/>
      <c r="D41" s="166"/>
      <c r="G41" s="166"/>
      <c r="K41" s="1295"/>
      <c r="L41" s="1295"/>
      <c r="M41" s="1295"/>
      <c r="N41" s="1295"/>
      <c r="O41" s="1295"/>
    </row>
    <row r="42" spans="1:15" s="170" customFormat="1" ht="12" x14ac:dyDescent="0.2">
      <c r="A42" s="166"/>
      <c r="B42" s="352" t="s">
        <v>428</v>
      </c>
      <c r="C42" s="166"/>
      <c r="D42" s="166"/>
      <c r="G42" s="166"/>
      <c r="K42" s="1295"/>
      <c r="L42" s="1295"/>
      <c r="M42" s="1295"/>
      <c r="N42" s="1295"/>
      <c r="O42" s="1295"/>
    </row>
    <row r="43" spans="1:15" s="170" customFormat="1" ht="12" x14ac:dyDescent="0.2">
      <c r="A43" s="166"/>
      <c r="B43" s="352"/>
      <c r="C43" s="166" t="s">
        <v>783</v>
      </c>
      <c r="D43" s="166"/>
      <c r="G43" s="355"/>
      <c r="K43" s="1295" t="s">
        <v>762</v>
      </c>
      <c r="L43" s="1295" t="s">
        <v>784</v>
      </c>
      <c r="M43" s="1295" t="s">
        <v>428</v>
      </c>
      <c r="N43" s="1295" t="s">
        <v>774</v>
      </c>
      <c r="O43" s="1295" t="s">
        <v>764</v>
      </c>
    </row>
    <row r="44" spans="1:15" s="170" customFormat="1" ht="12" x14ac:dyDescent="0.2">
      <c r="A44" s="166"/>
      <c r="B44" s="352"/>
      <c r="C44" s="166" t="s">
        <v>785</v>
      </c>
      <c r="D44" s="166"/>
      <c r="G44" s="355"/>
      <c r="K44" s="1295" t="s">
        <v>762</v>
      </c>
      <c r="L44" s="1295" t="s">
        <v>785</v>
      </c>
      <c r="M44" s="1295" t="s">
        <v>428</v>
      </c>
      <c r="N44" s="1295" t="s">
        <v>774</v>
      </c>
      <c r="O44" s="1295" t="s">
        <v>764</v>
      </c>
    </row>
    <row r="45" spans="1:15" s="170" customFormat="1" ht="12" x14ac:dyDescent="0.2">
      <c r="A45" s="166"/>
      <c r="B45" s="352"/>
      <c r="C45" s="166" t="s">
        <v>786</v>
      </c>
      <c r="D45" s="166"/>
      <c r="G45" s="355"/>
      <c r="K45" s="1295" t="s">
        <v>762</v>
      </c>
      <c r="L45" s="1295" t="s">
        <v>786</v>
      </c>
      <c r="M45" s="1295" t="s">
        <v>428</v>
      </c>
      <c r="N45" s="1295" t="s">
        <v>774</v>
      </c>
      <c r="O45" s="1295" t="s">
        <v>764</v>
      </c>
    </row>
    <row r="46" spans="1:15" s="170" customFormat="1" ht="12" x14ac:dyDescent="0.2">
      <c r="A46" s="166"/>
      <c r="B46" s="166"/>
      <c r="C46" s="166" t="s">
        <v>787</v>
      </c>
      <c r="D46" s="166"/>
      <c r="G46" s="355"/>
      <c r="K46" s="1295" t="s">
        <v>762</v>
      </c>
      <c r="L46" s="1295" t="s">
        <v>787</v>
      </c>
      <c r="M46" s="1295" t="s">
        <v>428</v>
      </c>
      <c r="N46" s="1295" t="s">
        <v>774</v>
      </c>
      <c r="O46" s="1295" t="s">
        <v>764</v>
      </c>
    </row>
    <row r="47" spans="1:15" s="170" customFormat="1" ht="7.35" customHeight="1" x14ac:dyDescent="0.2">
      <c r="A47" s="166"/>
      <c r="B47" s="166"/>
      <c r="C47" s="166"/>
      <c r="D47" s="166"/>
      <c r="G47" s="166"/>
      <c r="K47" s="1295"/>
      <c r="L47" s="1295"/>
      <c r="M47" s="1295"/>
      <c r="N47" s="1295"/>
      <c r="O47" s="1295"/>
    </row>
    <row r="48" spans="1:15" s="170" customFormat="1" ht="12" x14ac:dyDescent="0.2">
      <c r="A48" s="166"/>
      <c r="B48" s="352" t="s">
        <v>442</v>
      </c>
      <c r="C48" s="166"/>
      <c r="D48" s="166"/>
      <c r="G48" s="166"/>
      <c r="K48" s="1295"/>
      <c r="L48" s="1295"/>
      <c r="M48" s="1295"/>
      <c r="N48" s="1295"/>
      <c r="O48" s="1295"/>
    </row>
    <row r="49" spans="1:15" s="170" customFormat="1" ht="12" x14ac:dyDescent="0.2">
      <c r="A49" s="166"/>
      <c r="B49" s="166"/>
      <c r="C49" s="166" t="s">
        <v>788</v>
      </c>
      <c r="D49" s="166"/>
      <c r="G49" s="355"/>
      <c r="K49" s="1295" t="s">
        <v>762</v>
      </c>
      <c r="L49" s="1295" t="s">
        <v>788</v>
      </c>
      <c r="M49" s="1295" t="s">
        <v>442</v>
      </c>
      <c r="N49" s="1295" t="s">
        <v>774</v>
      </c>
      <c r="O49" s="1295" t="s">
        <v>764</v>
      </c>
    </row>
    <row r="50" spans="1:15" s="170" customFormat="1" ht="12" x14ac:dyDescent="0.2">
      <c r="A50" s="166"/>
      <c r="B50" s="166"/>
      <c r="C50" s="166" t="s">
        <v>789</v>
      </c>
      <c r="D50" s="166"/>
      <c r="G50" s="355"/>
      <c r="K50" s="1295" t="s">
        <v>762</v>
      </c>
      <c r="L50" s="1295" t="s">
        <v>789</v>
      </c>
      <c r="M50" s="1295" t="s">
        <v>442</v>
      </c>
      <c r="N50" s="1295" t="s">
        <v>774</v>
      </c>
      <c r="O50" s="1295" t="s">
        <v>764</v>
      </c>
    </row>
    <row r="51" spans="1:15" s="170" customFormat="1" ht="12" x14ac:dyDescent="0.2">
      <c r="A51" s="166"/>
      <c r="B51" s="166"/>
      <c r="C51" s="166" t="s">
        <v>783</v>
      </c>
      <c r="D51" s="166"/>
      <c r="G51" s="355"/>
      <c r="K51" s="1295" t="s">
        <v>762</v>
      </c>
      <c r="L51" s="1295" t="s">
        <v>784</v>
      </c>
      <c r="M51" s="1295" t="s">
        <v>442</v>
      </c>
      <c r="N51" s="1295" t="s">
        <v>774</v>
      </c>
      <c r="O51" s="1295" t="s">
        <v>764</v>
      </c>
    </row>
    <row r="52" spans="1:15" s="170" customFormat="1" ht="12" x14ac:dyDescent="0.2">
      <c r="A52" s="166"/>
      <c r="B52" s="166"/>
      <c r="C52" s="166" t="s">
        <v>785</v>
      </c>
      <c r="D52" s="166"/>
      <c r="G52" s="355"/>
      <c r="K52" s="1295" t="s">
        <v>762</v>
      </c>
      <c r="L52" s="1295" t="s">
        <v>785</v>
      </c>
      <c r="M52" s="1295" t="s">
        <v>442</v>
      </c>
      <c r="N52" s="1295" t="s">
        <v>774</v>
      </c>
      <c r="O52" s="1295" t="s">
        <v>764</v>
      </c>
    </row>
    <row r="53" spans="1:15" s="170" customFormat="1" ht="12" x14ac:dyDescent="0.2">
      <c r="A53" s="166"/>
      <c r="B53" s="166"/>
      <c r="C53" s="166" t="s">
        <v>786</v>
      </c>
      <c r="D53" s="166"/>
      <c r="G53" s="355"/>
      <c r="K53" s="1295" t="s">
        <v>762</v>
      </c>
      <c r="L53" s="1295" t="s">
        <v>786</v>
      </c>
      <c r="M53" s="1295" t="s">
        <v>442</v>
      </c>
      <c r="N53" s="1295" t="s">
        <v>774</v>
      </c>
      <c r="O53" s="1295" t="s">
        <v>764</v>
      </c>
    </row>
    <row r="54" spans="1:15" s="170" customFormat="1" ht="7.35" customHeight="1" x14ac:dyDescent="0.2">
      <c r="A54" s="166"/>
      <c r="B54" s="166"/>
      <c r="C54" s="166"/>
      <c r="D54" s="166"/>
      <c r="G54" s="166"/>
      <c r="K54" s="1295"/>
      <c r="L54" s="1295"/>
      <c r="M54" s="1295"/>
      <c r="N54" s="1295"/>
      <c r="O54" s="1295"/>
    </row>
    <row r="55" spans="1:15" s="170" customFormat="1" ht="12" x14ac:dyDescent="0.2">
      <c r="A55" s="190" t="s">
        <v>454</v>
      </c>
      <c r="B55" s="166"/>
      <c r="C55" s="166"/>
      <c r="D55" s="166"/>
      <c r="G55" s="166"/>
      <c r="K55" s="1295"/>
      <c r="L55" s="1295"/>
      <c r="M55" s="1295"/>
      <c r="N55" s="1295"/>
      <c r="O55" s="1295"/>
    </row>
    <row r="56" spans="1:15" s="170" customFormat="1" ht="12" x14ac:dyDescent="0.2">
      <c r="A56" s="166"/>
      <c r="B56" s="352" t="s">
        <v>456</v>
      </c>
      <c r="C56" s="166"/>
      <c r="D56" s="166"/>
      <c r="G56" s="166"/>
      <c r="K56" s="1295"/>
      <c r="L56" s="1295"/>
      <c r="M56" s="1295"/>
      <c r="N56" s="1295"/>
      <c r="O56" s="1295"/>
    </row>
    <row r="57" spans="1:15" s="170" customFormat="1" ht="12" x14ac:dyDescent="0.2">
      <c r="A57" s="166"/>
      <c r="B57" s="352"/>
      <c r="C57" s="166" t="s">
        <v>790</v>
      </c>
      <c r="D57" s="166"/>
      <c r="G57" s="355"/>
      <c r="K57" s="1295" t="s">
        <v>762</v>
      </c>
      <c r="L57" s="1295" t="s">
        <v>790</v>
      </c>
      <c r="M57" s="1295" t="s">
        <v>463</v>
      </c>
      <c r="N57" s="1295" t="s">
        <v>791</v>
      </c>
      <c r="O57" s="1295" t="s">
        <v>764</v>
      </c>
    </row>
    <row r="58" spans="1:15" s="170" customFormat="1" ht="12" x14ac:dyDescent="0.2">
      <c r="A58" s="166"/>
      <c r="B58" s="352"/>
      <c r="C58" s="166" t="s">
        <v>792</v>
      </c>
      <c r="D58" s="166"/>
      <c r="G58" s="743"/>
      <c r="K58" s="1295" t="s">
        <v>762</v>
      </c>
      <c r="L58" s="1295" t="s">
        <v>792</v>
      </c>
      <c r="M58" s="1295" t="s">
        <v>463</v>
      </c>
      <c r="N58" s="1295" t="s">
        <v>791</v>
      </c>
      <c r="O58" s="1295" t="s">
        <v>764</v>
      </c>
    </row>
    <row r="59" spans="1:15" s="170" customFormat="1" ht="12" x14ac:dyDescent="0.2">
      <c r="A59" s="166"/>
      <c r="B59" s="352"/>
      <c r="C59" s="166" t="s">
        <v>793</v>
      </c>
      <c r="D59" s="166"/>
      <c r="G59" s="742"/>
      <c r="K59" s="1295" t="s">
        <v>762</v>
      </c>
      <c r="L59" s="1295" t="s">
        <v>793</v>
      </c>
      <c r="M59" s="1295" t="s">
        <v>463</v>
      </c>
      <c r="N59" s="1295" t="s">
        <v>791</v>
      </c>
      <c r="O59" s="1295" t="s">
        <v>764</v>
      </c>
    </row>
    <row r="60" spans="1:15" s="170" customFormat="1" ht="12" x14ac:dyDescent="0.2">
      <c r="A60" s="166"/>
      <c r="B60" s="352"/>
      <c r="C60" s="166"/>
      <c r="D60" s="166"/>
      <c r="G60" s="1759"/>
      <c r="K60" s="1295"/>
      <c r="L60" s="1295"/>
      <c r="M60" s="1295"/>
      <c r="N60" s="1295"/>
      <c r="O60" s="1295"/>
    </row>
    <row r="61" spans="1:15" x14ac:dyDescent="0.2">
      <c r="K61"/>
      <c r="L61"/>
      <c r="M61"/>
      <c r="N61"/>
      <c r="O61"/>
    </row>
    <row r="62" spans="1:15" s="170" customFormat="1" ht="12" x14ac:dyDescent="0.2">
      <c r="A62" s="166"/>
      <c r="B62" s="166"/>
      <c r="C62" s="353" t="s">
        <v>794</v>
      </c>
      <c r="D62" s="353"/>
      <c r="G62" s="166"/>
      <c r="K62" s="1295"/>
      <c r="L62" s="1295"/>
      <c r="M62" s="1295"/>
      <c r="N62" s="1295"/>
      <c r="O62" s="1295"/>
    </row>
    <row r="63" spans="1:15" s="170" customFormat="1" ht="12" x14ac:dyDescent="0.2">
      <c r="A63" s="166"/>
      <c r="B63" s="166"/>
      <c r="C63" s="166" t="s">
        <v>795</v>
      </c>
      <c r="D63" s="166"/>
      <c r="G63" s="355"/>
      <c r="K63" s="1295" t="s">
        <v>762</v>
      </c>
      <c r="L63" s="1295" t="s">
        <v>796</v>
      </c>
      <c r="M63" s="1295" t="s">
        <v>797</v>
      </c>
      <c r="N63" s="1295" t="s">
        <v>791</v>
      </c>
      <c r="O63" s="1295" t="s">
        <v>764</v>
      </c>
    </row>
    <row r="64" spans="1:15" s="170" customFormat="1" ht="12" x14ac:dyDescent="0.2">
      <c r="A64" s="166"/>
      <c r="B64" s="166"/>
      <c r="C64" s="166" t="s">
        <v>798</v>
      </c>
      <c r="D64" s="166"/>
      <c r="G64" s="355"/>
      <c r="K64" s="1295" t="s">
        <v>762</v>
      </c>
      <c r="L64" s="1295" t="s">
        <v>799</v>
      </c>
      <c r="M64" s="1295" t="s">
        <v>797</v>
      </c>
      <c r="N64" s="1295" t="s">
        <v>791</v>
      </c>
      <c r="O64" s="1295" t="s">
        <v>764</v>
      </c>
    </row>
    <row r="65" spans="1:15" s="170" customFormat="1" ht="12" x14ac:dyDescent="0.2">
      <c r="A65" s="166"/>
      <c r="B65" s="166"/>
      <c r="C65" s="166" t="s">
        <v>800</v>
      </c>
      <c r="D65" s="166"/>
      <c r="G65" s="355"/>
      <c r="K65" s="1295" t="s">
        <v>762</v>
      </c>
      <c r="L65" s="1295" t="s">
        <v>801</v>
      </c>
      <c r="M65" s="1295" t="s">
        <v>797</v>
      </c>
      <c r="N65" s="1295" t="s">
        <v>791</v>
      </c>
      <c r="O65" s="1295" t="s">
        <v>764</v>
      </c>
    </row>
    <row r="66" spans="1:15" s="170" customFormat="1" ht="12" x14ac:dyDescent="0.2">
      <c r="A66" s="166"/>
      <c r="B66" s="166"/>
      <c r="C66" s="166" t="s">
        <v>802</v>
      </c>
      <c r="D66" s="166"/>
      <c r="G66" s="355"/>
      <c r="K66" s="1295" t="s">
        <v>762</v>
      </c>
      <c r="L66" s="1295" t="s">
        <v>803</v>
      </c>
      <c r="M66" s="1295" t="s">
        <v>797</v>
      </c>
      <c r="N66" s="1295" t="s">
        <v>791</v>
      </c>
      <c r="O66" s="1295" t="s">
        <v>764</v>
      </c>
    </row>
    <row r="67" spans="1:15" s="170" customFormat="1" ht="12" x14ac:dyDescent="0.2">
      <c r="A67" s="166"/>
      <c r="B67" s="166"/>
      <c r="C67" s="166" t="s">
        <v>804</v>
      </c>
      <c r="D67" s="166"/>
      <c r="G67" s="355"/>
      <c r="K67" s="1295" t="s">
        <v>762</v>
      </c>
      <c r="L67" s="1295" t="s">
        <v>805</v>
      </c>
      <c r="M67" s="1295" t="s">
        <v>797</v>
      </c>
      <c r="N67" s="1295" t="s">
        <v>791</v>
      </c>
      <c r="O67" s="1295" t="s">
        <v>764</v>
      </c>
    </row>
    <row r="68" spans="1:15" s="170" customFormat="1" ht="12" x14ac:dyDescent="0.2">
      <c r="A68" s="166"/>
      <c r="B68" s="166"/>
      <c r="C68" s="166" t="s">
        <v>806</v>
      </c>
      <c r="D68" s="166"/>
      <c r="G68" s="355"/>
      <c r="K68" s="1295" t="s">
        <v>762</v>
      </c>
      <c r="L68" s="1295" t="s">
        <v>807</v>
      </c>
      <c r="M68" s="1295" t="s">
        <v>797</v>
      </c>
      <c r="N68" s="1295" t="s">
        <v>791</v>
      </c>
      <c r="O68" s="1295" t="s">
        <v>764</v>
      </c>
    </row>
    <row r="69" spans="1:15" x14ac:dyDescent="0.2">
      <c r="A69" s="166"/>
      <c r="B69" s="166"/>
      <c r="C69" s="166" t="s">
        <v>808</v>
      </c>
      <c r="D69" s="166"/>
      <c r="G69" s="355"/>
      <c r="K69" s="1295" t="s">
        <v>762</v>
      </c>
      <c r="L69" s="1295" t="s">
        <v>809</v>
      </c>
      <c r="M69" s="1295" t="s">
        <v>797</v>
      </c>
      <c r="N69" s="1295" t="s">
        <v>791</v>
      </c>
      <c r="O69" s="1295" t="s">
        <v>764</v>
      </c>
    </row>
    <row r="70" spans="1:15" ht="7.35" customHeight="1" x14ac:dyDescent="0.2">
      <c r="A70" s="166"/>
      <c r="B70" s="166"/>
      <c r="C70" s="166"/>
      <c r="D70" s="166"/>
      <c r="G70" s="166"/>
    </row>
    <row r="71" spans="1:15" x14ac:dyDescent="0.2">
      <c r="A71" s="166"/>
      <c r="B71" s="166"/>
      <c r="C71" s="353" t="s">
        <v>810</v>
      </c>
      <c r="D71" s="353"/>
      <c r="G71" s="166"/>
    </row>
    <row r="72" spans="1:15" x14ac:dyDescent="0.2">
      <c r="A72" s="166"/>
      <c r="B72" s="166"/>
      <c r="C72" s="166" t="s">
        <v>795</v>
      </c>
      <c r="D72" s="166"/>
      <c r="G72" s="355"/>
      <c r="K72" s="1295" t="s">
        <v>762</v>
      </c>
      <c r="L72" s="1295" t="s">
        <v>796</v>
      </c>
      <c r="M72" s="1295" t="s">
        <v>811</v>
      </c>
      <c r="N72" s="1295" t="s">
        <v>791</v>
      </c>
      <c r="O72" s="1295" t="s">
        <v>764</v>
      </c>
    </row>
    <row r="73" spans="1:15" x14ac:dyDescent="0.2">
      <c r="A73" s="166"/>
      <c r="B73" s="166"/>
      <c r="C73" s="166" t="s">
        <v>812</v>
      </c>
      <c r="D73" s="166"/>
      <c r="G73" s="743"/>
      <c r="K73" s="1295" t="s">
        <v>762</v>
      </c>
      <c r="L73" s="1295" t="s">
        <v>813</v>
      </c>
      <c r="M73" s="1295" t="s">
        <v>811</v>
      </c>
      <c r="N73" s="1295" t="s">
        <v>791</v>
      </c>
      <c r="O73" s="1295" t="s">
        <v>764</v>
      </c>
    </row>
    <row r="74" spans="1:15" x14ac:dyDescent="0.2">
      <c r="A74" s="166"/>
      <c r="B74" s="166"/>
      <c r="C74" s="166" t="s">
        <v>802</v>
      </c>
      <c r="D74" s="166"/>
      <c r="G74" s="742"/>
      <c r="K74" s="1295" t="s">
        <v>762</v>
      </c>
      <c r="L74" s="1295" t="s">
        <v>803</v>
      </c>
      <c r="M74" s="1295" t="s">
        <v>811</v>
      </c>
      <c r="N74" s="1295" t="s">
        <v>791</v>
      </c>
      <c r="O74" s="1295" t="s">
        <v>764</v>
      </c>
    </row>
    <row r="75" spans="1:15" x14ac:dyDescent="0.2">
      <c r="A75" s="166"/>
      <c r="B75" s="166"/>
      <c r="C75" s="166" t="s">
        <v>806</v>
      </c>
      <c r="D75" s="166"/>
      <c r="G75" s="743"/>
      <c r="K75" s="1295" t="s">
        <v>762</v>
      </c>
      <c r="L75" s="1295" t="s">
        <v>807</v>
      </c>
      <c r="M75" s="1295" t="s">
        <v>811</v>
      </c>
      <c r="N75" s="1295" t="s">
        <v>791</v>
      </c>
      <c r="O75" s="1295" t="s">
        <v>764</v>
      </c>
    </row>
    <row r="76" spans="1:15" x14ac:dyDescent="0.2">
      <c r="A76" s="166"/>
      <c r="B76" s="166"/>
      <c r="C76" s="166" t="s">
        <v>808</v>
      </c>
      <c r="D76" s="166"/>
      <c r="G76" s="742"/>
      <c r="K76" s="1295" t="s">
        <v>762</v>
      </c>
      <c r="L76" s="1295" t="s">
        <v>809</v>
      </c>
      <c r="M76" s="1295" t="s">
        <v>811</v>
      </c>
      <c r="N76" s="1295" t="s">
        <v>791</v>
      </c>
      <c r="O76" s="1295" t="s">
        <v>764</v>
      </c>
    </row>
    <row r="77" spans="1:15" x14ac:dyDescent="0.2">
      <c r="A77" s="166"/>
      <c r="B77" s="166"/>
      <c r="C77" s="166"/>
      <c r="D77" s="166"/>
      <c r="G77" s="1759"/>
    </row>
    <row r="78" spans="1:15" x14ac:dyDescent="0.2">
      <c r="A78" s="166"/>
      <c r="B78" s="166"/>
      <c r="C78" s="166"/>
      <c r="D78" s="166"/>
      <c r="G78" s="1759"/>
    </row>
    <row r="79" spans="1:15" x14ac:dyDescent="0.2">
      <c r="A79" s="190" t="s">
        <v>454</v>
      </c>
      <c r="B79" s="166"/>
      <c r="C79" s="166"/>
      <c r="D79" s="166"/>
      <c r="G79" s="166"/>
    </row>
    <row r="80" spans="1:15" x14ac:dyDescent="0.2">
      <c r="A80" s="166"/>
      <c r="B80" s="352" t="s">
        <v>814</v>
      </c>
      <c r="C80" s="166"/>
      <c r="D80" s="166"/>
      <c r="G80" s="166"/>
    </row>
    <row r="81" spans="1:15" x14ac:dyDescent="0.2">
      <c r="A81" s="166"/>
      <c r="C81" s="166" t="s">
        <v>815</v>
      </c>
      <c r="D81" s="166"/>
      <c r="E81" s="170"/>
      <c r="F81" s="170"/>
      <c r="G81" s="355"/>
      <c r="H81" s="170"/>
      <c r="I81" s="170"/>
      <c r="J81" s="170"/>
      <c r="K81" s="1295" t="s">
        <v>762</v>
      </c>
      <c r="L81" s="1295" t="s">
        <v>815</v>
      </c>
      <c r="M81" s="1295" t="s">
        <v>463</v>
      </c>
      <c r="N81" s="1295" t="s">
        <v>791</v>
      </c>
      <c r="O81" s="1295" t="s">
        <v>764</v>
      </c>
    </row>
    <row r="82" spans="1:15" x14ac:dyDescent="0.2">
      <c r="A82" s="166"/>
      <c r="B82" s="352"/>
      <c r="C82" s="166" t="s">
        <v>816</v>
      </c>
      <c r="D82" s="166"/>
      <c r="G82" s="166"/>
    </row>
    <row r="83" spans="1:15" x14ac:dyDescent="0.2">
      <c r="A83" s="166"/>
      <c r="B83" s="352"/>
      <c r="C83" s="353" t="s">
        <v>817</v>
      </c>
      <c r="D83" s="353"/>
      <c r="G83" s="1759"/>
    </row>
    <row r="84" spans="1:15" x14ac:dyDescent="0.2">
      <c r="A84" s="166"/>
      <c r="B84" s="166"/>
      <c r="C84" s="166" t="s">
        <v>818</v>
      </c>
      <c r="D84" s="166"/>
      <c r="G84" s="355"/>
      <c r="K84" s="1295" t="s">
        <v>762</v>
      </c>
      <c r="L84" s="1295" t="s">
        <v>819</v>
      </c>
      <c r="M84" s="1295" t="s">
        <v>820</v>
      </c>
      <c r="N84" s="1295" t="s">
        <v>791</v>
      </c>
      <c r="O84" s="1295" t="s">
        <v>764</v>
      </c>
    </row>
    <row r="85" spans="1:15" x14ac:dyDescent="0.2">
      <c r="A85" s="166"/>
      <c r="B85" s="166"/>
      <c r="C85" s="353" t="s">
        <v>821</v>
      </c>
      <c r="D85" s="353"/>
      <c r="G85" s="1759"/>
    </row>
    <row r="86" spans="1:15" x14ac:dyDescent="0.2">
      <c r="A86" s="166"/>
      <c r="B86" s="166"/>
      <c r="C86" s="166" t="s">
        <v>822</v>
      </c>
      <c r="D86" s="166"/>
      <c r="G86" s="355"/>
      <c r="K86" s="1295" t="s">
        <v>762</v>
      </c>
      <c r="L86" s="1295" t="s">
        <v>823</v>
      </c>
      <c r="M86" s="1295" t="s">
        <v>824</v>
      </c>
      <c r="N86" s="1295" t="s">
        <v>791</v>
      </c>
      <c r="O86" s="1295" t="s">
        <v>764</v>
      </c>
    </row>
    <row r="87" spans="1:15" x14ac:dyDescent="0.2">
      <c r="A87" s="166"/>
      <c r="B87" s="166"/>
      <c r="C87" s="166" t="s">
        <v>825</v>
      </c>
      <c r="D87" s="166"/>
      <c r="G87" s="355"/>
      <c r="K87" s="1295" t="s">
        <v>762</v>
      </c>
      <c r="L87" s="1295" t="s">
        <v>826</v>
      </c>
      <c r="M87" s="1295" t="s">
        <v>824</v>
      </c>
      <c r="N87" s="1295" t="s">
        <v>791</v>
      </c>
      <c r="O87" s="1295" t="s">
        <v>764</v>
      </c>
    </row>
    <row r="88" spans="1:15" x14ac:dyDescent="0.2">
      <c r="A88" s="166"/>
      <c r="B88" s="166"/>
      <c r="C88" s="166" t="s">
        <v>827</v>
      </c>
      <c r="D88" s="166"/>
      <c r="G88" s="742"/>
      <c r="K88" s="1295" t="s">
        <v>762</v>
      </c>
      <c r="L88" s="1295" t="s">
        <v>828</v>
      </c>
      <c r="M88" s="1295" t="s">
        <v>824</v>
      </c>
      <c r="N88" s="1295" t="s">
        <v>791</v>
      </c>
      <c r="O88" s="1295" t="s">
        <v>764</v>
      </c>
    </row>
    <row r="89" spans="1:15" x14ac:dyDescent="0.2">
      <c r="A89" s="166"/>
      <c r="B89" s="166"/>
      <c r="C89" s="166" t="s">
        <v>829</v>
      </c>
      <c r="D89" s="166"/>
      <c r="G89" s="166"/>
      <c r="N89" s="1295"/>
    </row>
    <row r="90" spans="1:15" x14ac:dyDescent="0.2">
      <c r="A90" s="166"/>
      <c r="B90" s="166"/>
      <c r="C90" s="353" t="s">
        <v>821</v>
      </c>
      <c r="D90" s="353"/>
      <c r="G90" s="1759"/>
    </row>
    <row r="91" spans="1:15" ht="13.5" customHeight="1" x14ac:dyDescent="0.2">
      <c r="A91" s="166"/>
      <c r="B91" s="166"/>
      <c r="C91" s="166" t="s">
        <v>830</v>
      </c>
      <c r="D91" s="166"/>
      <c r="G91" s="355"/>
      <c r="K91" s="1295" t="s">
        <v>762</v>
      </c>
      <c r="L91" s="1295" t="s">
        <v>831</v>
      </c>
      <c r="M91" s="1295" t="s">
        <v>832</v>
      </c>
      <c r="N91" s="1295" t="s">
        <v>791</v>
      </c>
      <c r="O91" s="1295" t="s">
        <v>764</v>
      </c>
    </row>
    <row r="92" spans="1:15" x14ac:dyDescent="0.2">
      <c r="A92" s="166"/>
      <c r="B92" s="166"/>
      <c r="C92" s="166"/>
      <c r="D92" s="166"/>
      <c r="G92" s="166"/>
    </row>
    <row r="93" spans="1:15" x14ac:dyDescent="0.2">
      <c r="A93" s="166"/>
      <c r="B93" s="352" t="s">
        <v>833</v>
      </c>
      <c r="C93" s="166"/>
      <c r="D93" s="166"/>
      <c r="G93" s="1759"/>
    </row>
    <row r="94" spans="1:15" x14ac:dyDescent="0.2">
      <c r="A94" s="166"/>
      <c r="B94" s="166"/>
      <c r="C94" s="166" t="s">
        <v>818</v>
      </c>
      <c r="D94" s="166"/>
      <c r="G94" s="355"/>
      <c r="K94" s="1295" t="s">
        <v>762</v>
      </c>
      <c r="L94" s="1295" t="s">
        <v>819</v>
      </c>
      <c r="M94" s="1295" t="s">
        <v>834</v>
      </c>
      <c r="N94" s="1295" t="s">
        <v>791</v>
      </c>
      <c r="O94" s="1295" t="s">
        <v>764</v>
      </c>
    </row>
    <row r="95" spans="1:15" x14ac:dyDescent="0.2">
      <c r="A95" s="166"/>
      <c r="B95" s="166"/>
      <c r="C95" s="166" t="s">
        <v>825</v>
      </c>
      <c r="D95" s="166"/>
      <c r="G95" s="742"/>
      <c r="K95" s="1295" t="s">
        <v>762</v>
      </c>
      <c r="L95" s="1295" t="s">
        <v>826</v>
      </c>
      <c r="M95" s="1295" t="s">
        <v>834</v>
      </c>
      <c r="N95" s="1295" t="s">
        <v>791</v>
      </c>
      <c r="O95" s="1295" t="s">
        <v>764</v>
      </c>
    </row>
    <row r="96" spans="1:15" x14ac:dyDescent="0.2">
      <c r="A96" s="166"/>
      <c r="B96" s="166"/>
      <c r="C96" s="166"/>
      <c r="D96" s="166"/>
      <c r="G96" s="743"/>
      <c r="K96" s="1295"/>
      <c r="M96" s="1295"/>
      <c r="N96" s="1295"/>
      <c r="O96" s="1295"/>
    </row>
    <row r="97" spans="1:15" x14ac:dyDescent="0.2">
      <c r="A97" s="190" t="s">
        <v>835</v>
      </c>
      <c r="B97" s="166"/>
      <c r="C97" s="166"/>
      <c r="D97" s="166"/>
      <c r="G97" s="166"/>
    </row>
    <row r="98" spans="1:15" x14ac:dyDescent="0.2">
      <c r="A98" s="190"/>
      <c r="B98" s="352" t="s">
        <v>836</v>
      </c>
      <c r="C98" s="166"/>
      <c r="D98" s="166"/>
      <c r="G98" s="166"/>
    </row>
    <row r="99" spans="1:15" x14ac:dyDescent="0.2">
      <c r="A99" s="166"/>
      <c r="B99" s="352"/>
      <c r="C99" s="166" t="s">
        <v>837</v>
      </c>
      <c r="D99" s="166"/>
      <c r="G99" s="166"/>
    </row>
    <row r="100" spans="1:15" x14ac:dyDescent="0.2">
      <c r="A100" s="166"/>
      <c r="B100" s="352"/>
      <c r="C100" s="166" t="s">
        <v>838</v>
      </c>
      <c r="D100" s="166"/>
    </row>
    <row r="101" spans="1:15" x14ac:dyDescent="0.2">
      <c r="A101" s="166"/>
      <c r="B101" s="352"/>
      <c r="C101" s="166" t="s">
        <v>839</v>
      </c>
      <c r="D101" s="166"/>
      <c r="G101" s="355"/>
      <c r="K101" s="1295" t="s">
        <v>762</v>
      </c>
      <c r="L101" s="1295" t="s">
        <v>840</v>
      </c>
      <c r="M101" s="1295" t="s">
        <v>841</v>
      </c>
      <c r="N101" s="1295" t="s">
        <v>842</v>
      </c>
      <c r="O101" s="1295" t="s">
        <v>764</v>
      </c>
    </row>
    <row r="102" spans="1:15" x14ac:dyDescent="0.2">
      <c r="A102" s="166"/>
      <c r="B102" s="352"/>
      <c r="C102" s="166" t="s">
        <v>843</v>
      </c>
      <c r="D102" s="166"/>
      <c r="G102" s="355"/>
      <c r="K102" s="1295" t="s">
        <v>762</v>
      </c>
      <c r="L102" s="1295" t="s">
        <v>844</v>
      </c>
      <c r="M102" s="1295" t="s">
        <v>841</v>
      </c>
      <c r="N102" s="1295" t="s">
        <v>842</v>
      </c>
      <c r="O102" s="1295" t="s">
        <v>764</v>
      </c>
    </row>
    <row r="103" spans="1:15" x14ac:dyDescent="0.2">
      <c r="A103" s="166"/>
      <c r="B103" s="166"/>
      <c r="C103" s="166" t="s">
        <v>845</v>
      </c>
      <c r="D103" s="166"/>
      <c r="G103" s="1759"/>
      <c r="M103" s="1295"/>
      <c r="N103" s="1295"/>
    </row>
    <row r="104" spans="1:15" x14ac:dyDescent="0.2">
      <c r="C104" s="166" t="s">
        <v>846</v>
      </c>
      <c r="D104" s="166"/>
      <c r="G104" s="355"/>
      <c r="K104" s="1295" t="s">
        <v>762</v>
      </c>
      <c r="L104" s="1295" t="s">
        <v>847</v>
      </c>
      <c r="M104" s="1295" t="s">
        <v>848</v>
      </c>
      <c r="N104" s="1295" t="s">
        <v>842</v>
      </c>
      <c r="O104" s="1295" t="s">
        <v>764</v>
      </c>
    </row>
    <row r="105" spans="1:15" x14ac:dyDescent="0.2">
      <c r="C105" s="166" t="s">
        <v>849</v>
      </c>
      <c r="D105" s="166"/>
      <c r="G105" s="355"/>
      <c r="K105" s="1295" t="s">
        <v>762</v>
      </c>
      <c r="L105" s="1295" t="s">
        <v>850</v>
      </c>
      <c r="M105" s="1295" t="s">
        <v>848</v>
      </c>
      <c r="N105" s="1295" t="s">
        <v>842</v>
      </c>
      <c r="O105" s="1295" t="s">
        <v>764</v>
      </c>
    </row>
    <row r="106" spans="1:15" x14ac:dyDescent="0.2">
      <c r="C106" s="166" t="s">
        <v>851</v>
      </c>
      <c r="D106" s="166"/>
      <c r="G106" s="355"/>
      <c r="K106" s="1295" t="s">
        <v>762</v>
      </c>
      <c r="L106" s="1295" t="s">
        <v>852</v>
      </c>
      <c r="M106" s="1295" t="s">
        <v>836</v>
      </c>
      <c r="N106" s="1295" t="s">
        <v>842</v>
      </c>
      <c r="O106" s="1295" t="s">
        <v>764</v>
      </c>
    </row>
    <row r="107" spans="1:15" ht="12" customHeight="1" x14ac:dyDescent="0.2">
      <c r="C107" s="166" t="s">
        <v>853</v>
      </c>
      <c r="D107" s="166"/>
      <c r="G107" s="355"/>
      <c r="K107" s="1295" t="s">
        <v>762</v>
      </c>
      <c r="L107" s="1295" t="s">
        <v>854</v>
      </c>
      <c r="M107" s="1295" t="s">
        <v>836</v>
      </c>
      <c r="N107" s="1295" t="s">
        <v>842</v>
      </c>
      <c r="O107" s="1295" t="s">
        <v>764</v>
      </c>
    </row>
    <row r="108" spans="1:15" x14ac:dyDescent="0.2">
      <c r="C108" s="166"/>
      <c r="D108" s="166"/>
      <c r="G108" s="166"/>
      <c r="N108" s="1295"/>
    </row>
    <row r="109" spans="1:15" x14ac:dyDescent="0.2">
      <c r="A109" s="1565" t="s">
        <v>855</v>
      </c>
      <c r="B109" s="166"/>
      <c r="C109" s="166"/>
      <c r="D109" s="166"/>
      <c r="G109" s="166"/>
      <c r="N109" s="1295"/>
    </row>
    <row r="110" spans="1:15" x14ac:dyDescent="0.2">
      <c r="A110" s="190" t="s">
        <v>455</v>
      </c>
      <c r="B110" s="166"/>
      <c r="C110" s="166"/>
      <c r="D110" s="166"/>
      <c r="G110" s="166"/>
      <c r="N110" s="1295"/>
    </row>
    <row r="111" spans="1:15" x14ac:dyDescent="0.2">
      <c r="A111" s="166"/>
      <c r="B111" s="352" t="s">
        <v>856</v>
      </c>
      <c r="C111" s="166"/>
      <c r="D111" s="166"/>
      <c r="G111" s="1759"/>
      <c r="J111" s="397"/>
      <c r="K111" s="1298"/>
      <c r="N111" s="1295"/>
    </row>
    <row r="112" spans="1:15" ht="16.5" customHeight="1" x14ac:dyDescent="0.2">
      <c r="A112" s="166"/>
      <c r="B112" s="166"/>
      <c r="C112" s="166" t="s">
        <v>761</v>
      </c>
      <c r="D112" s="166"/>
      <c r="G112" s="355"/>
      <c r="K112" s="1295" t="s">
        <v>762</v>
      </c>
      <c r="L112" s="1295" t="s">
        <v>761</v>
      </c>
      <c r="M112" s="1295" t="s">
        <v>856</v>
      </c>
      <c r="N112" s="1295" t="s">
        <v>857</v>
      </c>
      <c r="O112" s="1295" t="s">
        <v>764</v>
      </c>
    </row>
    <row r="113" spans="1:15" x14ac:dyDescent="0.2">
      <c r="A113" s="166"/>
      <c r="B113" s="166"/>
      <c r="C113" s="166"/>
      <c r="D113" s="166"/>
      <c r="G113" s="166"/>
      <c r="K113" s="1295"/>
      <c r="M113" s="1295"/>
      <c r="N113" s="1295"/>
    </row>
    <row r="114" spans="1:15" x14ac:dyDescent="0.2">
      <c r="A114" s="166"/>
      <c r="B114" s="352" t="s">
        <v>858</v>
      </c>
      <c r="C114" s="166"/>
      <c r="D114" s="166"/>
      <c r="G114" s="1759"/>
      <c r="J114" s="397"/>
      <c r="K114" s="1295"/>
      <c r="M114" s="1295"/>
      <c r="N114" s="1295"/>
      <c r="O114" s="1295"/>
    </row>
    <row r="115" spans="1:15" x14ac:dyDescent="0.2">
      <c r="A115" s="166"/>
      <c r="B115" s="352"/>
      <c r="C115" s="166" t="s">
        <v>859</v>
      </c>
      <c r="D115" s="166"/>
      <c r="G115" s="355"/>
      <c r="J115" s="397"/>
      <c r="K115" s="1295" t="s">
        <v>762</v>
      </c>
      <c r="L115" s="1295" t="s">
        <v>859</v>
      </c>
      <c r="M115" s="1295" t="s">
        <v>858</v>
      </c>
      <c r="N115" s="1295" t="s">
        <v>857</v>
      </c>
      <c r="O115" s="1295" t="s">
        <v>764</v>
      </c>
    </row>
    <row r="116" spans="1:15" x14ac:dyDescent="0.2">
      <c r="A116" s="166"/>
      <c r="B116" s="352"/>
      <c r="C116" s="166" t="s">
        <v>860</v>
      </c>
      <c r="D116" s="166"/>
      <c r="G116" s="355"/>
      <c r="J116" s="397"/>
      <c r="K116" s="1295" t="s">
        <v>762</v>
      </c>
      <c r="L116" s="1295" t="s">
        <v>860</v>
      </c>
      <c r="M116" s="1295" t="s">
        <v>858</v>
      </c>
      <c r="N116" s="1295" t="s">
        <v>857</v>
      </c>
      <c r="O116" s="1295" t="s">
        <v>764</v>
      </c>
    </row>
    <row r="117" spans="1:15" ht="12.75" customHeight="1" x14ac:dyDescent="0.2">
      <c r="A117" s="166"/>
      <c r="B117" s="166"/>
      <c r="C117" s="166" t="s">
        <v>861</v>
      </c>
      <c r="D117" s="166"/>
      <c r="G117" s="355"/>
      <c r="K117" s="1295" t="s">
        <v>762</v>
      </c>
      <c r="L117" s="1295" t="s">
        <v>861</v>
      </c>
      <c r="M117" s="1295" t="s">
        <v>858</v>
      </c>
      <c r="N117" s="1295" t="s">
        <v>857</v>
      </c>
      <c r="O117" s="1295" t="s">
        <v>764</v>
      </c>
    </row>
    <row r="118" spans="1:15" x14ac:dyDescent="0.2">
      <c r="A118" s="166"/>
      <c r="B118" s="352"/>
      <c r="J118" s="397"/>
      <c r="K118" s="1295"/>
      <c r="M118" s="1295"/>
      <c r="N118" s="1295"/>
    </row>
    <row r="119" spans="1:15" x14ac:dyDescent="0.2">
      <c r="A119" s="166"/>
      <c r="B119" s="352" t="s">
        <v>862</v>
      </c>
      <c r="D119" s="352"/>
      <c r="G119" s="1759"/>
      <c r="K119" s="1295"/>
      <c r="M119" s="1295"/>
      <c r="N119" s="1295"/>
    </row>
    <row r="120" spans="1:15" x14ac:dyDescent="0.2">
      <c r="A120" s="166"/>
      <c r="B120" s="166" t="s">
        <v>863</v>
      </c>
      <c r="D120" s="166"/>
      <c r="G120" s="355"/>
      <c r="K120" s="1295" t="s">
        <v>762</v>
      </c>
      <c r="L120" s="1295" t="s">
        <v>864</v>
      </c>
      <c r="M120" s="1295" t="s">
        <v>862</v>
      </c>
      <c r="N120" s="1295" t="s">
        <v>857</v>
      </c>
      <c r="O120" s="1295" t="s">
        <v>764</v>
      </c>
    </row>
    <row r="121" spans="1:15" x14ac:dyDescent="0.2">
      <c r="A121" s="166"/>
      <c r="B121" s="166" t="s">
        <v>865</v>
      </c>
      <c r="D121" s="166"/>
      <c r="G121" s="355"/>
      <c r="K121" s="1295" t="s">
        <v>762</v>
      </c>
      <c r="L121" s="1295" t="s">
        <v>866</v>
      </c>
      <c r="M121" s="1295" t="s">
        <v>862</v>
      </c>
      <c r="N121" s="1295" t="s">
        <v>857</v>
      </c>
      <c r="O121" s="1295" t="s">
        <v>764</v>
      </c>
    </row>
    <row r="122" spans="1:15" x14ac:dyDescent="0.2">
      <c r="A122" s="166"/>
      <c r="B122" s="166" t="s">
        <v>867</v>
      </c>
      <c r="D122" s="166"/>
      <c r="G122" s="355"/>
      <c r="K122" s="1295" t="s">
        <v>762</v>
      </c>
      <c r="L122" s="1295" t="s">
        <v>868</v>
      </c>
      <c r="M122" s="1295" t="s">
        <v>862</v>
      </c>
      <c r="N122" s="1295" t="s">
        <v>857</v>
      </c>
      <c r="O122" s="1295" t="s">
        <v>764</v>
      </c>
    </row>
    <row r="123" spans="1:15" x14ac:dyDescent="0.2">
      <c r="A123" s="166"/>
      <c r="B123" s="166" t="s">
        <v>869</v>
      </c>
      <c r="D123" s="166"/>
      <c r="G123" s="355"/>
      <c r="K123" s="1295" t="s">
        <v>762</v>
      </c>
      <c r="L123" s="1295" t="s">
        <v>870</v>
      </c>
      <c r="M123" s="1295" t="s">
        <v>862</v>
      </c>
      <c r="N123" s="1295" t="s">
        <v>857</v>
      </c>
      <c r="O123" s="1295" t="s">
        <v>764</v>
      </c>
    </row>
    <row r="124" spans="1:15" x14ac:dyDescent="0.2">
      <c r="N124" s="1295"/>
    </row>
    <row r="125" spans="1:15" x14ac:dyDescent="0.2">
      <c r="B125" s="138" t="s">
        <v>495</v>
      </c>
    </row>
    <row r="127" spans="1:15" x14ac:dyDescent="0.2">
      <c r="B127" s="2332"/>
      <c r="C127" s="2332"/>
      <c r="D127" s="2332"/>
      <c r="E127" s="2332"/>
      <c r="F127" s="2332"/>
      <c r="G127" s="2332"/>
    </row>
    <row r="128" spans="1:15" x14ac:dyDescent="0.2">
      <c r="B128" s="2318"/>
      <c r="C128" s="2318"/>
      <c r="D128" s="2318"/>
      <c r="E128" s="2318"/>
      <c r="F128" s="2318"/>
      <c r="G128" s="2318"/>
    </row>
    <row r="129" spans="2:7" x14ac:dyDescent="0.2">
      <c r="B129" s="2318"/>
      <c r="C129" s="2318"/>
      <c r="D129" s="2318"/>
      <c r="E129" s="2318"/>
      <c r="F129" s="2318"/>
      <c r="G129" s="2318"/>
    </row>
    <row r="130" spans="2:7" x14ac:dyDescent="0.2">
      <c r="B130" s="2318"/>
      <c r="C130" s="2318"/>
      <c r="D130" s="2318"/>
      <c r="E130" s="2318"/>
      <c r="F130" s="2318"/>
      <c r="G130" s="2318"/>
    </row>
    <row r="131" spans="2:7" x14ac:dyDescent="0.2">
      <c r="B131" s="2318"/>
      <c r="C131" s="2318"/>
      <c r="D131" s="2318"/>
      <c r="E131" s="2318"/>
      <c r="F131" s="2318"/>
      <c r="G131" s="2318"/>
    </row>
    <row r="132" spans="2:7" x14ac:dyDescent="0.2">
      <c r="B132" s="2318"/>
      <c r="C132" s="2318"/>
      <c r="D132" s="2318"/>
      <c r="E132" s="2318"/>
      <c r="F132" s="2318"/>
      <c r="G132" s="2318"/>
    </row>
    <row r="133" spans="2:7" x14ac:dyDescent="0.2">
      <c r="B133" s="2318"/>
      <c r="C133" s="2318"/>
      <c r="D133" s="2318"/>
      <c r="E133" s="2318"/>
      <c r="F133" s="2318"/>
      <c r="G133" s="2318"/>
    </row>
    <row r="134" spans="2:7" x14ac:dyDescent="0.2">
      <c r="B134" s="2318"/>
      <c r="C134" s="2318"/>
      <c r="D134" s="2318"/>
      <c r="E134" s="2318"/>
      <c r="F134" s="2318"/>
      <c r="G134" s="2318"/>
    </row>
    <row r="135" spans="2:7" x14ac:dyDescent="0.2">
      <c r="B135" s="2332"/>
      <c r="C135" s="2332"/>
      <c r="D135" s="2332"/>
      <c r="E135" s="2332"/>
      <c r="F135" s="2332"/>
      <c r="G135" s="2332"/>
    </row>
  </sheetData>
  <sheetProtection algorithmName="SHA-512" hashValue="GLgR6CofooMJw+G6tNQKpM4opiq+hCs2dzJtelVqqveDv2PV/OEChN0ZOI9moNvh8+WyIgWJTSNigAciIttsGg==" saltValue="EYvsU2F4VZz7+gatPMCmhA==" spinCount="100000" sheet="1" autoFilter="0"/>
  <customSheetViews>
    <customSheetView guid="{9FCFC836-1CA5-48BF-958D-24D2EA94B219}" showGridLines="0" fitToPage="1">
      <selection activeCell="B12" sqref="B12"/>
      <rowBreaks count="1" manualBreakCount="1">
        <brk id="58" max="9" man="1"/>
      </rowBreaks>
      <pageMargins left="0" right="0" top="0" bottom="0" header="0" footer="0"/>
      <pageSetup scale="91" fitToHeight="2" orientation="portrait" r:id="rId1"/>
      <headerFooter alignWithMargins="0">
        <oddFooter>&amp;R&amp;A (&amp;P of &amp;N)</oddFooter>
      </headerFooter>
    </customSheetView>
    <customSheetView guid="{B08879A4-635B-4C39-9937-AC7883D562FC}" showGridLines="0" fitToPage="1">
      <selection activeCell="B12" sqref="B12"/>
      <rowBreaks count="1" manualBreakCount="1">
        <brk id="58" max="9" man="1"/>
      </rowBreaks>
      <pageMargins left="0" right="0" top="0" bottom="0" header="0" footer="0"/>
      <pageSetup scale="91" fitToHeight="2" orientation="portrait" r:id="rId2"/>
      <headerFooter alignWithMargins="0">
        <oddFooter>&amp;R&amp;A (&amp;P of &amp;N)</oddFooter>
      </headerFooter>
    </customSheetView>
  </customSheetViews>
  <mergeCells count="4">
    <mergeCell ref="B1:G1"/>
    <mergeCell ref="H1:H3"/>
    <mergeCell ref="B2:G2"/>
    <mergeCell ref="B3:G3"/>
  </mergeCells>
  <phoneticPr fontId="18" type="noConversion"/>
  <conditionalFormatting sqref="H1:H4">
    <cfRule type="cellIs" dxfId="145" priority="1" stopIfTrue="1" operator="equal">
      <formula>"na"</formula>
    </cfRule>
  </conditionalFormatting>
  <dataValidations count="1">
    <dataValidation type="whole" operator="greaterThanOrEqual" allowBlank="1" showInputMessage="1" showErrorMessage="1" errorTitle="Invalid data!" error="Amount must be a positive whole number." sqref="G72:G78 G83 G90 G101:G106 G111 G119:G122 G23:G24 G63:G69 G57:G61 G43:G46 G28:G40 G17:G20 G114:G117 G49:G53 G81 G93:G96 G85:G88" xr:uid="{00000000-0002-0000-0A00-000000000000}">
      <formula1>0</formula1>
    </dataValidation>
  </dataValidations>
  <hyperlinks>
    <hyperlink ref="B1:G1" location="Index!A1" display="Index!A1" xr:uid="{00000000-0004-0000-0A00-000000000000}"/>
  </hyperlinks>
  <pageMargins left="0.6" right="0.6" top="0.5" bottom="0.5" header="0.3" footer="0.3"/>
  <pageSetup scale="85" fitToHeight="2" orientation="portrait"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pageSetUpPr fitToPage="1"/>
  </sheetPr>
  <dimension ref="A1:AM100"/>
  <sheetViews>
    <sheetView showGridLines="0" topLeftCell="C51" zoomScale="85" zoomScaleNormal="85" workbookViewId="0">
      <selection activeCell="P74" sqref="P74"/>
    </sheetView>
  </sheetViews>
  <sheetFormatPr defaultColWidth="9.42578125" defaultRowHeight="12.75" x14ac:dyDescent="0.2"/>
  <cols>
    <col min="1" max="1" width="7" style="31" hidden="1" customWidth="1"/>
    <col min="2" max="2" width="7.85546875" style="31" hidden="1" customWidth="1"/>
    <col min="3" max="3" width="2.5703125" style="31" customWidth="1"/>
    <col min="4" max="4" width="17.140625" style="31" customWidth="1"/>
    <col min="5" max="5" width="9.28515625" style="31" customWidth="1"/>
    <col min="6" max="6" width="14.28515625" style="31" customWidth="1"/>
    <col min="7" max="7" width="4.28515625" style="31" customWidth="1"/>
    <col min="8" max="8" width="15.5703125" style="31" bestFit="1" customWidth="1"/>
    <col min="9" max="9" width="1" style="31" customWidth="1"/>
    <col min="10" max="10" width="17.140625" style="31" customWidth="1"/>
    <col min="11" max="11" width="3.28515625" style="31" customWidth="1"/>
    <col min="12" max="12" width="16.5703125" style="31" customWidth="1"/>
    <col min="13" max="13" width="1.7109375" style="31" customWidth="1"/>
    <col min="14" max="14" width="16.5703125" style="31" customWidth="1"/>
    <col min="15" max="15" width="4" style="31" customWidth="1"/>
    <col min="16" max="16" width="16.5703125" style="31" customWidth="1"/>
    <col min="17" max="17" width="1.5703125" style="31" customWidth="1"/>
    <col min="18" max="18" width="16.5703125" style="31" customWidth="1"/>
    <col min="19" max="19" width="4" style="31" customWidth="1"/>
    <col min="20" max="20" width="4.42578125" style="31" hidden="1" customWidth="1"/>
    <col min="21" max="21" width="9.5703125" style="31" hidden="1" customWidth="1"/>
    <col min="22" max="22" width="10.5703125" style="31" hidden="1" customWidth="1"/>
    <col min="23" max="26" width="9.5703125" style="31" hidden="1" customWidth="1"/>
    <col min="27" max="35" width="10.5703125" style="31" hidden="1" customWidth="1"/>
    <col min="36" max="36" width="0" style="31" hidden="1" customWidth="1"/>
    <col min="37" max="37" width="9.42578125" style="31"/>
    <col min="38" max="38" width="13.42578125" style="1303" customWidth="1"/>
    <col min="39" max="16384" width="9.42578125" style="31"/>
  </cols>
  <sheetData>
    <row r="1" spans="1:39" s="64" customFormat="1" ht="25.15" customHeight="1" x14ac:dyDescent="0.25">
      <c r="A1" s="64" t="str">
        <f t="shared" ref="A1:A30" si="0">AgyIdx</f>
        <v>01</v>
      </c>
      <c r="C1" s="2553" t="str">
        <f>+Index!$A$1</f>
        <v xml:space="preserve">                                                               Office of the State Controller                                                                </v>
      </c>
      <c r="D1" s="2553"/>
      <c r="E1" s="2553"/>
      <c r="F1" s="2553"/>
      <c r="G1" s="2553"/>
      <c r="H1" s="2553"/>
      <c r="I1" s="2553"/>
      <c r="J1" s="2553"/>
      <c r="K1" s="2553"/>
      <c r="L1" s="2553"/>
      <c r="M1" s="2553"/>
      <c r="N1" s="2553"/>
      <c r="O1" s="2553"/>
      <c r="P1" s="2553"/>
      <c r="Q1" s="2268"/>
      <c r="R1" s="2268"/>
      <c r="S1" s="2554"/>
      <c r="T1" s="65"/>
      <c r="U1" s="65"/>
      <c r="AK1" s="2269" t="str">
        <f>IF(Index!$B$27="na","NA","")</f>
        <v/>
      </c>
      <c r="AL1" s="1302"/>
    </row>
    <row r="2" spans="1:39" s="64" customFormat="1" ht="15" customHeight="1" x14ac:dyDescent="0.25">
      <c r="A2" s="64" t="str">
        <f t="shared" si="0"/>
        <v>01</v>
      </c>
      <c r="C2" s="2555" t="str">
        <f>+Index!$A$2</f>
        <v>2024 ACFR Worksheets</v>
      </c>
      <c r="D2" s="2555"/>
      <c r="E2" s="2555"/>
      <c r="F2" s="2555"/>
      <c r="G2" s="2555"/>
      <c r="H2" s="2555"/>
      <c r="I2" s="2555"/>
      <c r="J2" s="2555"/>
      <c r="K2" s="2555"/>
      <c r="L2" s="2555"/>
      <c r="M2" s="2555"/>
      <c r="N2" s="2555"/>
      <c r="O2" s="2555"/>
      <c r="P2" s="2555"/>
      <c r="Q2" s="2270"/>
      <c r="R2" s="2270"/>
      <c r="S2" s="2554"/>
      <c r="T2" s="65"/>
      <c r="U2" s="65"/>
      <c r="AK2" s="2269"/>
      <c r="AL2" s="1302"/>
    </row>
    <row r="3" spans="1:39" s="64" customFormat="1" ht="15" customHeight="1" x14ac:dyDescent="0.25">
      <c r="A3" s="64" t="str">
        <f t="shared" si="0"/>
        <v>01</v>
      </c>
      <c r="C3" s="2555" t="s">
        <v>871</v>
      </c>
      <c r="D3" s="2555"/>
      <c r="E3" s="2555"/>
      <c r="F3" s="2555"/>
      <c r="G3" s="2555"/>
      <c r="H3" s="2555"/>
      <c r="I3" s="2555"/>
      <c r="J3" s="2555"/>
      <c r="K3" s="2555"/>
      <c r="L3" s="2555"/>
      <c r="M3" s="2555"/>
      <c r="N3" s="2555"/>
      <c r="O3" s="2555"/>
      <c r="P3" s="2555"/>
      <c r="Q3" s="2270"/>
      <c r="R3" s="2270"/>
      <c r="S3" s="2554"/>
      <c r="T3" s="65"/>
      <c r="U3" s="65"/>
      <c r="AK3" s="2269"/>
      <c r="AL3" s="1302"/>
    </row>
    <row r="4" spans="1:39" s="691" customFormat="1" ht="15" customHeight="1" x14ac:dyDescent="0.25">
      <c r="A4" s="64" t="str">
        <f t="shared" si="0"/>
        <v>01</v>
      </c>
      <c r="L4" s="406" t="s">
        <v>872</v>
      </c>
      <c r="M4" s="406"/>
      <c r="N4" s="406"/>
      <c r="AL4" s="1301"/>
    </row>
    <row r="5" spans="1:39" s="691" customFormat="1" ht="15" customHeight="1" x14ac:dyDescent="0.25">
      <c r="A5" s="64" t="str">
        <f t="shared" si="0"/>
        <v>01</v>
      </c>
      <c r="H5" s="1888"/>
      <c r="I5" s="1888"/>
      <c r="J5" s="1888"/>
      <c r="K5" s="1888"/>
      <c r="L5" s="1888"/>
      <c r="M5" s="27" t="s">
        <v>318</v>
      </c>
      <c r="N5" s="27"/>
      <c r="O5" s="2603" t="str">
        <f>+Index!$E$10</f>
        <v>01</v>
      </c>
      <c r="P5" s="2603"/>
      <c r="Q5" s="2603"/>
      <c r="R5" s="2603"/>
      <c r="AL5" s="1301"/>
    </row>
    <row r="6" spans="1:39" s="691" customFormat="1" ht="15" customHeight="1" x14ac:dyDescent="0.25">
      <c r="A6" s="64" t="str">
        <f t="shared" si="0"/>
        <v>01</v>
      </c>
      <c r="C6" s="691" t="s">
        <v>50</v>
      </c>
      <c r="D6" s="1315"/>
      <c r="E6" s="1918"/>
      <c r="F6" s="1373"/>
      <c r="H6" s="1888"/>
      <c r="I6" s="1888"/>
      <c r="J6" s="1888"/>
      <c r="K6" s="1888"/>
      <c r="L6" s="1888"/>
      <c r="M6" s="27" t="s">
        <v>319</v>
      </c>
      <c r="N6" s="27"/>
      <c r="O6" s="2604" t="str">
        <f>+Index!$E$11</f>
        <v>North Carolina General Assembly</v>
      </c>
      <c r="P6" s="2604"/>
      <c r="Q6" s="2604"/>
      <c r="R6" s="2604"/>
      <c r="AL6" s="1301"/>
    </row>
    <row r="7" spans="1:39" s="691" customFormat="1" ht="15" customHeight="1" x14ac:dyDescent="0.25">
      <c r="A7" s="64" t="str">
        <f t="shared" si="0"/>
        <v>01</v>
      </c>
      <c r="C7" s="691" t="s">
        <v>545</v>
      </c>
      <c r="E7" s="1407" t="s">
        <v>762</v>
      </c>
      <c r="H7" s="1889"/>
      <c r="I7" s="1889"/>
      <c r="J7" s="1889"/>
      <c r="K7" s="1889"/>
      <c r="L7" s="1889"/>
      <c r="M7" s="27" t="s">
        <v>320</v>
      </c>
      <c r="N7" s="27"/>
      <c r="O7" s="2605" t="str">
        <f>CONCATENATE(Index!$E$12," ",Index!$E$14)</f>
        <v xml:space="preserve"> </v>
      </c>
      <c r="P7" s="2605"/>
      <c r="Q7" s="2605"/>
      <c r="R7" s="2605"/>
      <c r="AL7" s="1301"/>
    </row>
    <row r="8" spans="1:39" s="691" customFormat="1" ht="15" customHeight="1" x14ac:dyDescent="0.25">
      <c r="A8" s="64" t="str">
        <f t="shared" si="0"/>
        <v>01</v>
      </c>
      <c r="H8" s="1889"/>
      <c r="I8" s="1889"/>
      <c r="J8" s="1889"/>
      <c r="K8" s="1889"/>
      <c r="L8" s="1889"/>
      <c r="M8" s="27" t="s">
        <v>168</v>
      </c>
      <c r="N8" s="27"/>
      <c r="O8" s="2605">
        <f>+Index!$E$13</f>
        <v>0</v>
      </c>
      <c r="P8" s="2605"/>
      <c r="Q8" s="2605"/>
      <c r="R8" s="2605"/>
      <c r="AL8" s="1301"/>
    </row>
    <row r="9" spans="1:39" s="691" customFormat="1" ht="9" customHeight="1" thickBot="1" x14ac:dyDescent="0.3">
      <c r="A9" s="64" t="str">
        <f t="shared" si="0"/>
        <v>01</v>
      </c>
      <c r="C9" s="1566"/>
      <c r="D9" s="1566"/>
      <c r="E9" s="1566"/>
      <c r="F9" s="1566"/>
      <c r="G9" s="1566"/>
      <c r="H9" s="1566"/>
      <c r="I9" s="1566"/>
      <c r="J9" s="1566"/>
      <c r="K9" s="1566"/>
      <c r="L9" s="1566"/>
      <c r="M9" s="1566"/>
      <c r="N9" s="1566"/>
      <c r="O9" s="1566"/>
      <c r="P9" s="1566"/>
      <c r="Q9" s="1829"/>
      <c r="R9" s="1829"/>
      <c r="AL9" s="1301"/>
    </row>
    <row r="10" spans="1:39" s="691" customFormat="1" ht="6" customHeight="1" x14ac:dyDescent="0.25">
      <c r="A10" s="64" t="str">
        <f t="shared" si="0"/>
        <v>01</v>
      </c>
      <c r="AL10" s="1301"/>
    </row>
    <row r="11" spans="1:39" s="691" customFormat="1" ht="15" customHeight="1" x14ac:dyDescent="0.25">
      <c r="A11" s="64" t="str">
        <f t="shared" si="0"/>
        <v>01</v>
      </c>
      <c r="C11" s="2364" t="s">
        <v>873</v>
      </c>
      <c r="D11" s="11"/>
      <c r="E11" s="1403"/>
      <c r="F11" s="11"/>
      <c r="G11" s="11"/>
      <c r="H11" s="11"/>
      <c r="I11" s="11"/>
      <c r="J11" s="11"/>
      <c r="K11" s="11"/>
      <c r="L11" s="11"/>
      <c r="M11" s="11"/>
      <c r="N11" s="11"/>
      <c r="O11" s="11"/>
      <c r="P11" s="1404"/>
      <c r="Q11" s="1404"/>
      <c r="R11" s="1404"/>
      <c r="S11" s="1405"/>
      <c r="T11" s="1405"/>
      <c r="U11" s="1405"/>
      <c r="V11" s="1405"/>
      <c r="W11" s="1405"/>
      <c r="X11" s="1405"/>
      <c r="Y11" s="1405"/>
      <c r="Z11" s="1405"/>
      <c r="AA11" s="1405"/>
      <c r="AB11" s="1405"/>
      <c r="AC11" s="1405"/>
      <c r="AD11" s="1405"/>
      <c r="AE11" s="1405"/>
      <c r="AF11" s="1405"/>
      <c r="AG11" s="1405"/>
      <c r="AH11" s="1405"/>
      <c r="AI11" s="1405"/>
      <c r="AJ11" s="1405"/>
      <c r="AL11" s="1406"/>
      <c r="AM11" s="1405"/>
    </row>
    <row r="12" spans="1:39" s="691" customFormat="1" ht="15" customHeight="1" x14ac:dyDescent="0.25">
      <c r="A12" s="64"/>
      <c r="C12" s="2364" t="s">
        <v>874</v>
      </c>
      <c r="D12" s="11"/>
      <c r="E12" s="1403"/>
      <c r="F12" s="11"/>
      <c r="G12" s="11"/>
      <c r="H12" s="11"/>
      <c r="I12" s="11"/>
      <c r="J12" s="11"/>
      <c r="K12" s="11"/>
      <c r="L12" s="11"/>
      <c r="M12" s="11"/>
      <c r="N12" s="11"/>
      <c r="O12" s="11"/>
      <c r="P12" s="1404"/>
      <c r="Q12" s="1404"/>
      <c r="R12" s="1404"/>
      <c r="S12" s="1405"/>
      <c r="T12" s="1405"/>
      <c r="U12" s="1405"/>
      <c r="V12" s="1405"/>
      <c r="W12" s="1405"/>
      <c r="X12" s="1405"/>
      <c r="Y12" s="1405"/>
      <c r="Z12" s="1405"/>
      <c r="AA12" s="1405"/>
      <c r="AB12" s="1405"/>
      <c r="AC12" s="1405"/>
      <c r="AD12" s="1405"/>
      <c r="AE12" s="1405"/>
      <c r="AF12" s="1405"/>
      <c r="AG12" s="1405"/>
      <c r="AH12" s="1405"/>
      <c r="AI12" s="1405"/>
      <c r="AJ12" s="1405"/>
      <c r="AL12" s="1406"/>
      <c r="AM12" s="1405"/>
    </row>
    <row r="13" spans="1:39" s="691" customFormat="1" ht="15" customHeight="1" x14ac:dyDescent="0.25">
      <c r="A13" s="64"/>
      <c r="C13" s="2364" t="s">
        <v>875</v>
      </c>
      <c r="D13" s="11"/>
      <c r="E13" s="1403"/>
      <c r="F13" s="11"/>
      <c r="G13" s="11"/>
      <c r="H13" s="11"/>
      <c r="I13" s="11"/>
      <c r="J13" s="11"/>
      <c r="K13" s="11"/>
      <c r="L13" s="11"/>
      <c r="M13" s="11"/>
      <c r="N13" s="11"/>
      <c r="O13" s="11"/>
      <c r="P13" s="1404"/>
      <c r="Q13" s="1404"/>
      <c r="R13" s="1404"/>
      <c r="S13" s="1405"/>
      <c r="T13" s="1405"/>
      <c r="U13" s="1405"/>
      <c r="V13" s="1405"/>
      <c r="W13" s="1405"/>
      <c r="X13" s="1405"/>
      <c r="Y13" s="1405"/>
      <c r="Z13" s="1405"/>
      <c r="AA13" s="1405"/>
      <c r="AB13" s="1405"/>
      <c r="AC13" s="1405"/>
      <c r="AD13" s="1405"/>
      <c r="AE13" s="1405"/>
      <c r="AF13" s="1405"/>
      <c r="AG13" s="1405"/>
      <c r="AH13" s="1405"/>
      <c r="AI13" s="1405"/>
      <c r="AJ13" s="1405"/>
      <c r="AL13" s="1406"/>
      <c r="AM13" s="1405"/>
    </row>
    <row r="14" spans="1:39" s="691" customFormat="1" ht="15" customHeight="1" x14ac:dyDescent="0.25">
      <c r="A14" s="64"/>
      <c r="C14" s="2364" t="s">
        <v>876</v>
      </c>
      <c r="D14" s="11"/>
      <c r="E14" s="1403"/>
      <c r="F14" s="11"/>
      <c r="G14" s="11"/>
      <c r="H14" s="11"/>
      <c r="I14" s="11"/>
      <c r="J14" s="11"/>
      <c r="K14" s="11"/>
      <c r="L14" s="11"/>
      <c r="M14" s="11"/>
      <c r="N14" s="11"/>
      <c r="O14" s="11"/>
      <c r="P14" s="1404"/>
      <c r="Q14" s="1404"/>
      <c r="R14" s="1404"/>
      <c r="S14" s="1405"/>
      <c r="T14" s="1405"/>
      <c r="U14" s="1405"/>
      <c r="V14" s="1405"/>
      <c r="W14" s="1405"/>
      <c r="X14" s="1405"/>
      <c r="Y14" s="1405"/>
      <c r="Z14" s="1405"/>
      <c r="AA14" s="1405"/>
      <c r="AB14" s="1405"/>
      <c r="AC14" s="1405"/>
      <c r="AD14" s="1405"/>
      <c r="AE14" s="1405"/>
      <c r="AF14" s="1405"/>
      <c r="AG14" s="1405"/>
      <c r="AH14" s="1405"/>
      <c r="AI14" s="1405"/>
      <c r="AJ14" s="1405"/>
      <c r="AL14" s="1406"/>
      <c r="AM14" s="1405"/>
    </row>
    <row r="15" spans="1:39" s="691" customFormat="1" ht="15" customHeight="1" x14ac:dyDescent="0.25">
      <c r="A15" s="64" t="str">
        <f t="shared" si="0"/>
        <v>01</v>
      </c>
      <c r="C15" s="753" t="s">
        <v>877</v>
      </c>
      <c r="D15" s="138"/>
      <c r="E15" s="2300"/>
      <c r="F15" s="138"/>
      <c r="G15" s="138"/>
      <c r="H15" s="138"/>
      <c r="I15" s="138"/>
      <c r="J15" s="138"/>
      <c r="K15" s="138"/>
      <c r="L15" s="138"/>
      <c r="M15" s="138"/>
      <c r="N15" s="138"/>
      <c r="O15" s="138"/>
      <c r="AL15" s="1301"/>
    </row>
    <row r="16" spans="1:39" s="691" customFormat="1" ht="13.5" customHeight="1" x14ac:dyDescent="0.25">
      <c r="A16" s="64" t="str">
        <f t="shared" si="0"/>
        <v>01</v>
      </c>
      <c r="C16" s="694" t="s">
        <v>878</v>
      </c>
      <c r="D16" s="138"/>
      <c r="E16" s="2300"/>
      <c r="F16" s="138"/>
      <c r="G16" s="138"/>
      <c r="H16" s="138"/>
      <c r="I16" s="138"/>
      <c r="J16" s="138"/>
      <c r="K16" s="138"/>
      <c r="L16" s="138"/>
      <c r="M16" s="138"/>
      <c r="N16" s="138"/>
      <c r="O16" s="138"/>
      <c r="AL16" s="1301"/>
    </row>
    <row r="17" spans="1:38" s="691" customFormat="1" ht="12" customHeight="1" x14ac:dyDescent="0.25">
      <c r="A17" s="64" t="str">
        <f t="shared" si="0"/>
        <v>01</v>
      </c>
      <c r="C17" s="753" t="s">
        <v>879</v>
      </c>
      <c r="D17" s="138"/>
      <c r="E17" s="2300"/>
      <c r="F17" s="138"/>
      <c r="G17" s="138"/>
      <c r="H17" s="138"/>
      <c r="I17" s="138"/>
      <c r="J17" s="138"/>
      <c r="K17" s="138"/>
      <c r="L17" s="138"/>
      <c r="M17" s="138"/>
      <c r="N17" s="138"/>
      <c r="O17" s="138"/>
      <c r="AL17" s="1301"/>
    </row>
    <row r="18" spans="1:38" s="691" customFormat="1" ht="12" customHeight="1" x14ac:dyDescent="0.25">
      <c r="A18" s="64" t="str">
        <f t="shared" si="0"/>
        <v>01</v>
      </c>
      <c r="C18" s="753" t="s">
        <v>880</v>
      </c>
      <c r="D18" s="138"/>
      <c r="E18" s="2300"/>
      <c r="F18" s="138"/>
      <c r="G18" s="138"/>
      <c r="H18" s="138"/>
      <c r="I18" s="138"/>
      <c r="J18" s="138"/>
      <c r="K18" s="138"/>
      <c r="L18" s="138"/>
      <c r="M18" s="138"/>
      <c r="N18" s="138"/>
      <c r="O18" s="138"/>
      <c r="AL18" s="1301"/>
    </row>
    <row r="19" spans="1:38" s="691" customFormat="1" ht="12" customHeight="1" x14ac:dyDescent="0.25">
      <c r="A19" s="64" t="str">
        <f t="shared" si="0"/>
        <v>01</v>
      </c>
      <c r="C19" s="753" t="s">
        <v>881</v>
      </c>
      <c r="D19" s="138"/>
      <c r="E19" s="2300"/>
      <c r="F19" s="138"/>
      <c r="G19" s="138"/>
      <c r="H19" s="138"/>
      <c r="I19" s="138"/>
      <c r="J19" s="138"/>
      <c r="K19" s="138"/>
      <c r="L19" s="138"/>
      <c r="M19" s="138"/>
      <c r="N19" s="138"/>
      <c r="O19" s="138"/>
      <c r="AL19" s="1301"/>
    </row>
    <row r="20" spans="1:38" s="691" customFormat="1" ht="3.6" customHeight="1" x14ac:dyDescent="0.25">
      <c r="A20" s="64"/>
      <c r="C20" s="138"/>
      <c r="D20" s="138"/>
      <c r="E20" s="138"/>
      <c r="F20" s="138"/>
      <c r="G20" s="138"/>
      <c r="H20" s="138"/>
      <c r="I20" s="138"/>
      <c r="J20" s="138"/>
      <c r="K20" s="138"/>
      <c r="L20" s="138"/>
      <c r="M20" s="138"/>
      <c r="N20" s="138"/>
      <c r="O20" s="138"/>
      <c r="P20" s="138"/>
      <c r="Q20" s="138"/>
      <c r="R20" s="138"/>
      <c r="S20" s="138"/>
      <c r="AL20" s="1301"/>
    </row>
    <row r="21" spans="1:38" s="691" customFormat="1" ht="13.15" customHeight="1" x14ac:dyDescent="0.25">
      <c r="A21" s="64"/>
      <c r="C21" s="1" t="s">
        <v>882</v>
      </c>
      <c r="D21" s="1" t="s">
        <v>883</v>
      </c>
      <c r="E21" s="138"/>
      <c r="F21" s="138"/>
      <c r="G21" s="138"/>
      <c r="H21" s="138"/>
      <c r="I21" s="138"/>
      <c r="J21" s="138"/>
      <c r="K21" s="138"/>
      <c r="L21" s="138"/>
      <c r="M21" s="138"/>
      <c r="N21" s="138"/>
      <c r="O21" s="138"/>
      <c r="P21" s="138"/>
      <c r="Q21" s="138"/>
      <c r="R21" s="138"/>
      <c r="S21" s="138"/>
      <c r="AL21" s="1301"/>
    </row>
    <row r="22" spans="1:38" s="691" customFormat="1" ht="15" customHeight="1" x14ac:dyDescent="0.25">
      <c r="A22" s="64" t="str">
        <f t="shared" si="0"/>
        <v>01</v>
      </c>
      <c r="C22" s="138"/>
      <c r="D22" s="138" t="s">
        <v>884</v>
      </c>
      <c r="E22" s="138"/>
      <c r="F22" s="138"/>
      <c r="G22" s="138"/>
      <c r="H22" s="138"/>
      <c r="I22" s="138"/>
      <c r="J22" s="138"/>
      <c r="K22" s="138"/>
      <c r="L22" s="138"/>
      <c r="M22" s="138"/>
      <c r="N22" s="138"/>
      <c r="O22" s="138"/>
      <c r="P22" s="138"/>
      <c r="Q22" s="138"/>
      <c r="R22" s="138"/>
      <c r="S22" s="138"/>
      <c r="AL22" s="1301"/>
    </row>
    <row r="23" spans="1:38" s="691" customFormat="1" ht="17.45" customHeight="1" x14ac:dyDescent="0.25">
      <c r="A23" s="64" t="str">
        <f t="shared" si="0"/>
        <v>01</v>
      </c>
      <c r="C23" s="138"/>
      <c r="D23" s="138"/>
      <c r="E23" s="138"/>
      <c r="F23" s="1300"/>
      <c r="G23" s="1300"/>
      <c r="H23" s="2606" t="s">
        <v>885</v>
      </c>
      <c r="I23" s="2606"/>
      <c r="J23" s="2606"/>
      <c r="K23" s="1300"/>
      <c r="L23" s="2609" t="s">
        <v>886</v>
      </c>
      <c r="M23" s="2609"/>
      <c r="N23" s="2609"/>
      <c r="O23" s="1299"/>
      <c r="P23" s="2609" t="s">
        <v>887</v>
      </c>
      <c r="Q23" s="2609"/>
      <c r="R23" s="2609"/>
      <c r="S23" s="138"/>
      <c r="AL23" s="1301"/>
    </row>
    <row r="24" spans="1:38" s="691" customFormat="1" ht="14.1" customHeight="1" x14ac:dyDescent="0.25">
      <c r="A24" s="64" t="str">
        <f t="shared" si="0"/>
        <v>01</v>
      </c>
      <c r="C24" s="138"/>
      <c r="D24" s="2287" t="s">
        <v>888</v>
      </c>
      <c r="E24" s="2300"/>
      <c r="F24" s="2287"/>
      <c r="G24" s="2287"/>
      <c r="H24" s="2289" t="s">
        <v>889</v>
      </c>
      <c r="I24" s="2289"/>
      <c r="J24" s="2289" t="s">
        <v>890</v>
      </c>
      <c r="K24" s="2286"/>
      <c r="L24" s="2289" t="s">
        <v>889</v>
      </c>
      <c r="M24" s="2289"/>
      <c r="N24" s="2289" t="s">
        <v>890</v>
      </c>
      <c r="O24" s="2289"/>
      <c r="P24" s="2289" t="s">
        <v>889</v>
      </c>
      <c r="Q24" s="2289"/>
      <c r="R24" s="2289" t="s">
        <v>890</v>
      </c>
      <c r="S24" s="138"/>
      <c r="AL24" s="1301"/>
    </row>
    <row r="25" spans="1:38" s="691" customFormat="1" ht="14.1" customHeight="1" x14ac:dyDescent="0.25">
      <c r="A25" s="64" t="str">
        <f t="shared" si="0"/>
        <v>01</v>
      </c>
      <c r="C25" s="138"/>
      <c r="D25" s="2287" t="s">
        <v>891</v>
      </c>
      <c r="E25" s="2300"/>
      <c r="F25" s="138"/>
      <c r="G25" s="138"/>
      <c r="H25" s="2607" t="s">
        <v>892</v>
      </c>
      <c r="I25" s="2607"/>
      <c r="J25" s="2607"/>
      <c r="K25" s="138"/>
      <c r="L25" s="2608" t="s">
        <v>893</v>
      </c>
      <c r="M25" s="2608"/>
      <c r="N25" s="2608"/>
      <c r="O25" s="2287"/>
      <c r="P25" s="2607" t="s">
        <v>894</v>
      </c>
      <c r="Q25" s="2607"/>
      <c r="R25" s="2607"/>
      <c r="S25" s="138"/>
      <c r="AL25" s="1301"/>
    </row>
    <row r="26" spans="1:38" s="691" customFormat="1" ht="15.75" x14ac:dyDescent="0.25">
      <c r="A26" s="64" t="str">
        <f t="shared" si="0"/>
        <v>01</v>
      </c>
      <c r="C26" s="138"/>
      <c r="D26" s="2317" t="s">
        <v>895</v>
      </c>
      <c r="E26" s="2300"/>
      <c r="F26" s="138"/>
      <c r="G26" s="138"/>
      <c r="H26" s="2317" t="s">
        <v>896</v>
      </c>
      <c r="I26" s="2287"/>
      <c r="J26" s="2317" t="s">
        <v>897</v>
      </c>
      <c r="K26" s="138"/>
      <c r="L26" s="2317" t="s">
        <v>896</v>
      </c>
      <c r="M26" s="2287"/>
      <c r="N26" s="2317" t="s">
        <v>897</v>
      </c>
      <c r="O26" s="2287"/>
      <c r="P26" s="2317" t="s">
        <v>896</v>
      </c>
      <c r="Q26" s="2287"/>
      <c r="R26" s="2317" t="s">
        <v>897</v>
      </c>
      <c r="S26" s="138"/>
      <c r="AL26" s="1301"/>
    </row>
    <row r="27" spans="1:38" s="691" customFormat="1" ht="15.6" hidden="1" customHeight="1" x14ac:dyDescent="0.25">
      <c r="A27" s="64" t="str">
        <f t="shared" si="0"/>
        <v>01</v>
      </c>
      <c r="C27" s="138"/>
      <c r="D27" s="2287"/>
      <c r="E27" s="2300"/>
      <c r="F27" s="138"/>
      <c r="G27" s="138"/>
      <c r="H27" s="692" t="s">
        <v>898</v>
      </c>
      <c r="I27" s="692"/>
      <c r="J27" s="692"/>
      <c r="K27" s="138"/>
      <c r="L27" s="692" t="s">
        <v>899</v>
      </c>
      <c r="M27" s="692"/>
      <c r="N27" s="692"/>
      <c r="O27" s="2287"/>
      <c r="P27" s="692" t="s">
        <v>900</v>
      </c>
      <c r="Q27" s="692"/>
      <c r="R27" s="692"/>
      <c r="S27" s="138"/>
      <c r="AL27" s="1301"/>
    </row>
    <row r="28" spans="1:38" s="691" customFormat="1" ht="15.75" x14ac:dyDescent="0.25">
      <c r="A28" s="64" t="str">
        <f t="shared" si="0"/>
        <v>01</v>
      </c>
      <c r="B28" s="691">
        <v>105</v>
      </c>
      <c r="C28" s="138"/>
      <c r="D28" s="2300">
        <f>+YEAR(Data!$A$2)+1</f>
        <v>2025</v>
      </c>
      <c r="E28" s="2300"/>
      <c r="F28" s="1567"/>
      <c r="G28" s="1567"/>
      <c r="H28" s="1568">
        <v>0</v>
      </c>
      <c r="I28" s="1830"/>
      <c r="J28" s="2331">
        <v>0</v>
      </c>
      <c r="K28" s="1567"/>
      <c r="L28" s="1568"/>
      <c r="M28" s="1830"/>
      <c r="N28" s="2331"/>
      <c r="O28" s="1567"/>
      <c r="P28" s="1568"/>
      <c r="Q28" s="1830"/>
      <c r="R28" s="1568"/>
      <c r="S28" s="138"/>
      <c r="T28" s="691">
        <f>+__Agy301</f>
        <v>0</v>
      </c>
      <c r="U28" s="691" t="s">
        <v>901</v>
      </c>
      <c r="V28" s="1569" t="e">
        <f>+#REF!</f>
        <v>#REF!</v>
      </c>
      <c r="W28" s="1569" t="e">
        <f>+#REF!</f>
        <v>#REF!</v>
      </c>
      <c r="X28" s="1569" t="e">
        <f>+#REF!</f>
        <v>#REF!</v>
      </c>
      <c r="Y28" s="1569" t="e">
        <f>+#REF!</f>
        <v>#REF!</v>
      </c>
      <c r="Z28" s="1569" t="e">
        <f>+#REF!</f>
        <v>#REF!</v>
      </c>
      <c r="AA28" s="1569" t="e">
        <f>+#REF!</f>
        <v>#REF!</v>
      </c>
      <c r="AB28" s="1569" t="e">
        <f>+#REF!</f>
        <v>#REF!</v>
      </c>
      <c r="AC28" s="1569" t="e">
        <f>+#REF!</f>
        <v>#REF!</v>
      </c>
      <c r="AD28" s="1569" t="e">
        <f>+#REF!</f>
        <v>#REF!</v>
      </c>
      <c r="AE28" s="1569" t="e">
        <f>+#REF!</f>
        <v>#REF!</v>
      </c>
      <c r="AF28" s="1569" t="e">
        <f>+#REF!</f>
        <v>#REF!</v>
      </c>
      <c r="AG28" s="1569" t="e">
        <f>+#REF!</f>
        <v>#REF!</v>
      </c>
      <c r="AH28" s="1569" t="e">
        <f>+#REF!</f>
        <v>#REF!</v>
      </c>
      <c r="AI28" s="1569" t="e">
        <f>+#REF!</f>
        <v>#REF!</v>
      </c>
      <c r="AL28" s="1301" t="s">
        <v>902</v>
      </c>
    </row>
    <row r="29" spans="1:38" s="691" customFormat="1" ht="14.1" customHeight="1" x14ac:dyDescent="0.25">
      <c r="A29" s="64" t="str">
        <f t="shared" si="0"/>
        <v>01</v>
      </c>
      <c r="B29" s="691">
        <v>110</v>
      </c>
      <c r="C29" s="138"/>
      <c r="D29" s="2300">
        <f>D28+1</f>
        <v>2026</v>
      </c>
      <c r="E29" s="2300"/>
      <c r="F29" s="1567"/>
      <c r="G29" s="1567"/>
      <c r="H29" s="1568"/>
      <c r="I29" s="1830"/>
      <c r="J29" s="2331"/>
      <c r="K29" s="1567"/>
      <c r="L29" s="1568"/>
      <c r="M29" s="1830"/>
      <c r="N29" s="2331"/>
      <c r="O29" s="1567"/>
      <c r="P29" s="1568"/>
      <c r="Q29" s="1830"/>
      <c r="R29" s="1568"/>
      <c r="S29" s="138"/>
      <c r="T29" s="691">
        <f>+T28</f>
        <v>0</v>
      </c>
      <c r="U29" s="691" t="s">
        <v>903</v>
      </c>
      <c r="V29" s="1569" t="e">
        <f>+#REF!+$H$28+$L$28+$P$28</f>
        <v>#REF!</v>
      </c>
      <c r="W29" s="1569" t="e">
        <f>+#REF!+$H$29+$L$29+$P$29</f>
        <v>#REF!</v>
      </c>
      <c r="X29" s="1569" t="e">
        <f>+#REF!+$H$30+$L$30+$P$30</f>
        <v>#REF!</v>
      </c>
      <c r="Y29" s="1569" t="e">
        <f>+#REF!+$H$31+$L$31+$P$31</f>
        <v>#REF!</v>
      </c>
      <c r="Z29" s="1569" t="e">
        <f>+#REF!+$H$32+$L$32+$P$32</f>
        <v>#REF!</v>
      </c>
      <c r="AA29" s="1569" t="e">
        <f>+#REF!+$H$33+$L$33+$P$33</f>
        <v>#REF!</v>
      </c>
      <c r="AB29" s="1569" t="e">
        <f>+#REF!+$H$34+$L$34+$P$34</f>
        <v>#REF!</v>
      </c>
      <c r="AC29" s="1569" t="e">
        <f>+#REF!+$H$35+$L$35+$P$35</f>
        <v>#REF!</v>
      </c>
      <c r="AD29" s="1569" t="e">
        <f>+#REF!+$H$36+$L$36+$P$36</f>
        <v>#REF!</v>
      </c>
      <c r="AE29" s="1569" t="e">
        <f>+#REF!+$H$37+$L$37+$P$37</f>
        <v>#REF!</v>
      </c>
      <c r="AF29" s="1569" t="e">
        <f>+#REF!+$H$38+$L$38+$P$38</f>
        <v>#REF!</v>
      </c>
      <c r="AG29" s="1569" t="e">
        <f>+#REF!+$H$39+$L$39+$P$39</f>
        <v>#REF!</v>
      </c>
      <c r="AH29" s="1569" t="e">
        <f>+#REF!+$H$40+$L$40+$P$40</f>
        <v>#REF!</v>
      </c>
      <c r="AI29" s="1569" t="e">
        <f>+#REF!+$H$41+$L$41+$P$41</f>
        <v>#REF!</v>
      </c>
      <c r="AJ29" s="1569" t="e">
        <f>+#REF!+#REF!+#REF!+#REF!</f>
        <v>#REF!</v>
      </c>
      <c r="AL29" s="1301" t="s">
        <v>904</v>
      </c>
    </row>
    <row r="30" spans="1:38" s="691" customFormat="1" ht="14.1" customHeight="1" x14ac:dyDescent="0.25">
      <c r="A30" s="64" t="str">
        <f t="shared" si="0"/>
        <v>01</v>
      </c>
      <c r="B30" s="691">
        <v>115</v>
      </c>
      <c r="C30" s="138"/>
      <c r="D30" s="2300">
        <f>D29+1</f>
        <v>2027</v>
      </c>
      <c r="E30" s="2300"/>
      <c r="F30" s="1567"/>
      <c r="G30" s="1567"/>
      <c r="H30" s="1568"/>
      <c r="I30" s="1830"/>
      <c r="J30" s="2331"/>
      <c r="K30" s="1567"/>
      <c r="L30" s="1568"/>
      <c r="M30" s="1830"/>
      <c r="N30" s="2331"/>
      <c r="O30" s="1567"/>
      <c r="P30" s="1568"/>
      <c r="Q30" s="1830"/>
      <c r="R30" s="1568"/>
      <c r="S30" s="138"/>
      <c r="V30" s="1569"/>
      <c r="AL30" s="1301" t="s">
        <v>905</v>
      </c>
    </row>
    <row r="31" spans="1:38" s="691" customFormat="1" ht="14.1" customHeight="1" x14ac:dyDescent="0.25">
      <c r="A31" s="64" t="str">
        <f t="shared" ref="A31:A50" si="1">AgyIdx</f>
        <v>01</v>
      </c>
      <c r="B31" s="691">
        <v>120</v>
      </c>
      <c r="C31" s="138"/>
      <c r="D31" s="2300">
        <f>D30+1</f>
        <v>2028</v>
      </c>
      <c r="E31" s="2300"/>
      <c r="F31" s="1567"/>
      <c r="G31" s="1567"/>
      <c r="H31" s="1568"/>
      <c r="I31" s="1830"/>
      <c r="J31" s="2331"/>
      <c r="K31" s="1567"/>
      <c r="L31" s="1568"/>
      <c r="M31" s="1830"/>
      <c r="N31" s="2331"/>
      <c r="O31" s="1567"/>
      <c r="P31" s="1568"/>
      <c r="Q31" s="1830"/>
      <c r="R31" s="1568"/>
      <c r="S31" s="138"/>
      <c r="V31" s="1569"/>
      <c r="AL31" s="1301" t="s">
        <v>906</v>
      </c>
    </row>
    <row r="32" spans="1:38" s="691" customFormat="1" ht="14.1" customHeight="1" x14ac:dyDescent="0.25">
      <c r="A32" s="64" t="str">
        <f t="shared" si="1"/>
        <v>01</v>
      </c>
      <c r="B32" s="691">
        <v>125</v>
      </c>
      <c r="C32" s="138"/>
      <c r="D32" s="2300">
        <f>D31+1</f>
        <v>2029</v>
      </c>
      <c r="E32" s="2300"/>
      <c r="F32" s="1567"/>
      <c r="G32" s="1567"/>
      <c r="H32" s="1568"/>
      <c r="I32" s="1830"/>
      <c r="J32" s="2331"/>
      <c r="K32" s="1567"/>
      <c r="L32" s="1568"/>
      <c r="M32" s="1830"/>
      <c r="N32" s="2331"/>
      <c r="O32" s="1567"/>
      <c r="P32" s="1568"/>
      <c r="Q32" s="1830"/>
      <c r="R32" s="1568"/>
      <c r="S32" s="138"/>
      <c r="V32" s="1569"/>
      <c r="AL32" s="1301" t="s">
        <v>907</v>
      </c>
    </row>
    <row r="33" spans="1:38" s="691" customFormat="1" ht="14.1" customHeight="1" x14ac:dyDescent="0.25">
      <c r="A33" s="64" t="str">
        <f t="shared" si="1"/>
        <v>01</v>
      </c>
      <c r="B33" s="691">
        <v>130</v>
      </c>
      <c r="C33" s="1570">
        <f>D32+1</f>
        <v>2030</v>
      </c>
      <c r="D33" s="1571" t="str">
        <f>(C33)&amp;" - "&amp;(C33+4)</f>
        <v>2030 - 2034</v>
      </c>
      <c r="E33" s="2300"/>
      <c r="F33" s="1567"/>
      <c r="G33" s="1567"/>
      <c r="H33" s="1568"/>
      <c r="I33" s="1830"/>
      <c r="J33" s="2331"/>
      <c r="K33" s="1567"/>
      <c r="L33" s="1568"/>
      <c r="M33" s="1830"/>
      <c r="N33" s="2331"/>
      <c r="O33" s="1567"/>
      <c r="P33" s="1568"/>
      <c r="Q33" s="1830"/>
      <c r="R33" s="1568"/>
      <c r="S33" s="138"/>
      <c r="V33" s="1569"/>
      <c r="AL33" s="1301" t="s">
        <v>908</v>
      </c>
    </row>
    <row r="34" spans="1:38" s="691" customFormat="1" ht="14.1" customHeight="1" x14ac:dyDescent="0.25">
      <c r="A34" s="64" t="str">
        <f t="shared" si="1"/>
        <v>01</v>
      </c>
      <c r="B34" s="691">
        <v>135</v>
      </c>
      <c r="C34" s="1570">
        <f t="shared" ref="C34:C42" si="2">C33+5</f>
        <v>2035</v>
      </c>
      <c r="D34" s="1571" t="str">
        <f>(C34)&amp;" - "&amp;(C34+4)</f>
        <v>2035 - 2039</v>
      </c>
      <c r="E34" s="2300"/>
      <c r="F34" s="1567"/>
      <c r="G34" s="1567"/>
      <c r="H34" s="1568">
        <v>0</v>
      </c>
      <c r="I34" s="1830"/>
      <c r="J34" s="2331">
        <v>0</v>
      </c>
      <c r="K34" s="1567"/>
      <c r="L34" s="1568">
        <v>0</v>
      </c>
      <c r="M34" s="1830"/>
      <c r="N34" s="2331">
        <v>0</v>
      </c>
      <c r="O34" s="1567"/>
      <c r="P34" s="1568">
        <v>0</v>
      </c>
      <c r="Q34" s="1830"/>
      <c r="R34" s="1568"/>
      <c r="S34" s="138"/>
      <c r="V34" s="1569"/>
      <c r="AL34" s="1301" t="s">
        <v>909</v>
      </c>
    </row>
    <row r="35" spans="1:38" s="691" customFormat="1" ht="14.1" customHeight="1" x14ac:dyDescent="0.25">
      <c r="A35" s="64" t="str">
        <f t="shared" si="1"/>
        <v>01</v>
      </c>
      <c r="B35" s="691">
        <v>140</v>
      </c>
      <c r="C35" s="1570">
        <f t="shared" si="2"/>
        <v>2040</v>
      </c>
      <c r="D35" s="1571" t="str">
        <f>(C35)&amp;" - "&amp;(C35+4)</f>
        <v>2040 - 2044</v>
      </c>
      <c r="E35" s="2300"/>
      <c r="F35" s="1567"/>
      <c r="G35" s="1567"/>
      <c r="H35" s="1568"/>
      <c r="I35" s="1830"/>
      <c r="J35" s="2331"/>
      <c r="K35" s="1567"/>
      <c r="L35" s="1568">
        <v>0</v>
      </c>
      <c r="M35" s="1830"/>
      <c r="N35" s="2331"/>
      <c r="O35" s="1567"/>
      <c r="P35" s="1568">
        <v>0</v>
      </c>
      <c r="Q35" s="1830"/>
      <c r="R35" s="1568">
        <v>0</v>
      </c>
      <c r="S35" s="138"/>
      <c r="V35" s="1569"/>
      <c r="AL35" s="1301" t="s">
        <v>910</v>
      </c>
    </row>
    <row r="36" spans="1:38" s="691" customFormat="1" ht="13.9" customHeight="1" x14ac:dyDescent="0.25">
      <c r="A36" s="64" t="str">
        <f t="shared" si="1"/>
        <v>01</v>
      </c>
      <c r="B36" s="691">
        <v>145</v>
      </c>
      <c r="C36" s="1570">
        <f t="shared" si="2"/>
        <v>2045</v>
      </c>
      <c r="D36" s="1571" t="str">
        <f t="shared" ref="D36:D41" si="3">(C36)&amp;" - "&amp;(C36+4)</f>
        <v>2045 - 2049</v>
      </c>
      <c r="E36" s="2300"/>
      <c r="F36" s="1567"/>
      <c r="G36" s="1567"/>
      <c r="H36" s="1568">
        <v>0</v>
      </c>
      <c r="I36" s="1830"/>
      <c r="J36" s="2331"/>
      <c r="K36" s="1567"/>
      <c r="L36" s="1568"/>
      <c r="M36" s="1830"/>
      <c r="N36" s="2331"/>
      <c r="O36" s="1567"/>
      <c r="P36" s="1568">
        <v>0</v>
      </c>
      <c r="Q36" s="1830"/>
      <c r="R36" s="1568">
        <v>0</v>
      </c>
      <c r="S36" s="138"/>
      <c r="V36" s="1569"/>
      <c r="AL36" s="1301" t="s">
        <v>911</v>
      </c>
    </row>
    <row r="37" spans="1:38" s="691" customFormat="1" ht="14.1" customHeight="1" x14ac:dyDescent="0.25">
      <c r="A37" s="64" t="str">
        <f t="shared" si="1"/>
        <v>01</v>
      </c>
      <c r="B37" s="691">
        <v>150</v>
      </c>
      <c r="C37" s="1570">
        <f t="shared" si="2"/>
        <v>2050</v>
      </c>
      <c r="D37" s="1571" t="str">
        <f>(C37)&amp;" - "&amp;(C37+4)</f>
        <v>2050 - 2054</v>
      </c>
      <c r="E37" s="2300"/>
      <c r="F37" s="1567"/>
      <c r="G37" s="1567"/>
      <c r="H37" s="1568">
        <v>0</v>
      </c>
      <c r="I37" s="1830"/>
      <c r="J37" s="2331"/>
      <c r="K37" s="1567"/>
      <c r="L37" s="1568"/>
      <c r="M37" s="1830"/>
      <c r="N37" s="2331"/>
      <c r="O37" s="1567"/>
      <c r="P37" s="1568"/>
      <c r="Q37" s="1830"/>
      <c r="R37" s="1568"/>
      <c r="S37" s="138"/>
      <c r="V37" s="1569"/>
      <c r="AL37" s="1301" t="s">
        <v>912</v>
      </c>
    </row>
    <row r="38" spans="1:38" s="691" customFormat="1" ht="14.1" customHeight="1" x14ac:dyDescent="0.25">
      <c r="A38" s="64" t="str">
        <f t="shared" si="1"/>
        <v>01</v>
      </c>
      <c r="B38" s="691">
        <v>155</v>
      </c>
      <c r="C38" s="1570">
        <f t="shared" si="2"/>
        <v>2055</v>
      </c>
      <c r="D38" s="1571" t="str">
        <f t="shared" si="3"/>
        <v>2055 - 2059</v>
      </c>
      <c r="E38" s="2300"/>
      <c r="F38" s="1567"/>
      <c r="G38" s="1567"/>
      <c r="H38" s="1568">
        <v>0</v>
      </c>
      <c r="I38" s="1830"/>
      <c r="J38" s="2331"/>
      <c r="K38" s="1567"/>
      <c r="L38" s="1568"/>
      <c r="M38" s="1830"/>
      <c r="N38" s="2331"/>
      <c r="O38" s="1567"/>
      <c r="P38" s="1568"/>
      <c r="Q38" s="1830"/>
      <c r="R38" s="1568"/>
      <c r="S38" s="138"/>
      <c r="V38" s="1569"/>
      <c r="AL38" s="1301" t="s">
        <v>913</v>
      </c>
    </row>
    <row r="39" spans="1:38" s="691" customFormat="1" ht="14.1" customHeight="1" x14ac:dyDescent="0.25">
      <c r="A39" s="64" t="str">
        <f t="shared" si="1"/>
        <v>01</v>
      </c>
      <c r="B39" s="691">
        <v>160</v>
      </c>
      <c r="C39" s="1570">
        <f t="shared" si="2"/>
        <v>2060</v>
      </c>
      <c r="D39" s="1571" t="str">
        <f t="shared" si="3"/>
        <v>2060 - 2064</v>
      </c>
      <c r="E39" s="2300"/>
      <c r="F39" s="1567"/>
      <c r="G39" s="1567"/>
      <c r="H39" s="1568"/>
      <c r="I39" s="1830"/>
      <c r="J39" s="2331"/>
      <c r="K39" s="1567"/>
      <c r="L39" s="1568"/>
      <c r="M39" s="1830"/>
      <c r="N39" s="2331"/>
      <c r="O39" s="1567"/>
      <c r="P39" s="1568"/>
      <c r="Q39" s="1830"/>
      <c r="R39" s="1568"/>
      <c r="S39" s="138"/>
      <c r="V39" s="1569"/>
      <c r="AL39" s="1301" t="s">
        <v>914</v>
      </c>
    </row>
    <row r="40" spans="1:38" s="691" customFormat="1" ht="14.1" customHeight="1" x14ac:dyDescent="0.25">
      <c r="A40" s="64" t="str">
        <f t="shared" si="1"/>
        <v>01</v>
      </c>
      <c r="B40" s="691">
        <v>165</v>
      </c>
      <c r="C40" s="1570">
        <f t="shared" si="2"/>
        <v>2065</v>
      </c>
      <c r="D40" s="1571" t="str">
        <f t="shared" si="3"/>
        <v>2065 - 2069</v>
      </c>
      <c r="E40" s="2300"/>
      <c r="F40" s="1567"/>
      <c r="G40" s="1567"/>
      <c r="H40" s="1568"/>
      <c r="I40" s="1830"/>
      <c r="J40" s="2331"/>
      <c r="K40" s="1567"/>
      <c r="L40" s="1568"/>
      <c r="M40" s="1830"/>
      <c r="N40" s="2331"/>
      <c r="O40" s="1567"/>
      <c r="P40" s="1568"/>
      <c r="Q40" s="1830"/>
      <c r="R40" s="1568"/>
      <c r="S40" s="138"/>
      <c r="V40" s="1569"/>
      <c r="AL40" s="1301" t="s">
        <v>915</v>
      </c>
    </row>
    <row r="41" spans="1:38" s="691" customFormat="1" ht="14.1" customHeight="1" x14ac:dyDescent="0.25">
      <c r="A41" s="64" t="str">
        <f t="shared" si="1"/>
        <v>01</v>
      </c>
      <c r="B41" s="691">
        <v>170</v>
      </c>
      <c r="C41" s="1570">
        <f t="shared" si="2"/>
        <v>2070</v>
      </c>
      <c r="D41" s="1571" t="str">
        <f t="shared" si="3"/>
        <v>2070 - 2074</v>
      </c>
      <c r="E41" s="2300"/>
      <c r="F41" s="1567"/>
      <c r="G41" s="1567"/>
      <c r="H41" s="1572"/>
      <c r="I41" s="1830"/>
      <c r="J41" s="2331"/>
      <c r="K41" s="1567"/>
      <c r="L41" s="1572"/>
      <c r="M41" s="1830"/>
      <c r="N41" s="2331"/>
      <c r="O41" s="1567"/>
      <c r="P41" s="1572"/>
      <c r="Q41" s="1830"/>
      <c r="R41" s="1572"/>
      <c r="S41" s="138"/>
      <c r="V41" s="1569"/>
      <c r="AL41" s="1301" t="s">
        <v>916</v>
      </c>
    </row>
    <row r="42" spans="1:38" s="691" customFormat="1" ht="14.1" customHeight="1" thickBot="1" x14ac:dyDescent="0.3">
      <c r="A42" s="64" t="str">
        <f t="shared" si="1"/>
        <v>01</v>
      </c>
      <c r="B42" s="691">
        <v>175</v>
      </c>
      <c r="C42" s="1570">
        <f t="shared" si="2"/>
        <v>2075</v>
      </c>
      <c r="D42" s="1571" t="str">
        <f>(C42)&amp;" - " &amp;"Beyond"</f>
        <v>2075 - Beyond</v>
      </c>
      <c r="E42" s="2300"/>
      <c r="F42" s="1567"/>
      <c r="G42" s="1567"/>
      <c r="H42" s="1573"/>
      <c r="I42" s="1830"/>
      <c r="J42" s="1573"/>
      <c r="K42" s="1567"/>
      <c r="L42" s="1573"/>
      <c r="M42" s="1830"/>
      <c r="N42" s="1573"/>
      <c r="O42" s="1567"/>
      <c r="P42" s="1573"/>
      <c r="Q42" s="1830"/>
      <c r="R42" s="1573"/>
      <c r="S42" s="138"/>
      <c r="V42" s="1569"/>
      <c r="AL42" s="1301" t="s">
        <v>917</v>
      </c>
    </row>
    <row r="43" spans="1:38" s="691" customFormat="1" ht="9.6" customHeight="1" x14ac:dyDescent="0.25">
      <c r="A43" s="64" t="str">
        <f t="shared" si="1"/>
        <v>01</v>
      </c>
      <c r="C43" s="138"/>
      <c r="E43" s="2300"/>
      <c r="F43" s="1567"/>
      <c r="G43" s="1567"/>
      <c r="H43" s="1567"/>
      <c r="I43" s="1831"/>
      <c r="J43" s="1567"/>
      <c r="K43" s="1567"/>
      <c r="L43" s="1567"/>
      <c r="M43" s="1831"/>
      <c r="N43" s="1567"/>
      <c r="O43" s="1567"/>
      <c r="P43" s="1831"/>
      <c r="Q43" s="1831"/>
      <c r="R43" s="1831"/>
      <c r="S43" s="138"/>
      <c r="AL43" s="1301"/>
    </row>
    <row r="44" spans="1:38" s="691" customFormat="1" ht="16.5" thickBot="1" x14ac:dyDescent="0.3">
      <c r="A44" s="64" t="str">
        <f t="shared" si="1"/>
        <v>01</v>
      </c>
      <c r="B44" s="691">
        <v>190</v>
      </c>
      <c r="C44" s="138"/>
      <c r="D44" s="138" t="s">
        <v>918</v>
      </c>
      <c r="E44" s="2300"/>
      <c r="F44" s="1567"/>
      <c r="G44" s="1567"/>
      <c r="H44" s="1574">
        <f>SUM(H28:H42)</f>
        <v>0</v>
      </c>
      <c r="I44" s="1831"/>
      <c r="J44" s="1574">
        <f>SUM(J28:J42)</f>
        <v>0</v>
      </c>
      <c r="K44" s="1567"/>
      <c r="L44" s="1574">
        <f>SUM(L28:L42)</f>
        <v>0</v>
      </c>
      <c r="M44" s="1831"/>
      <c r="N44" s="1574">
        <f>SUM(N28:N42)</f>
        <v>0</v>
      </c>
      <c r="O44" s="1567"/>
      <c r="P44" s="1574">
        <f>SUM(P28:P42)</f>
        <v>0</v>
      </c>
      <c r="Q44" s="1831"/>
      <c r="R44" s="1574">
        <f>SUM(R28:R42)</f>
        <v>0</v>
      </c>
      <c r="S44" s="138"/>
      <c r="AL44" s="1301"/>
    </row>
    <row r="45" spans="1:38" s="691" customFormat="1" ht="16.5" thickTop="1" x14ac:dyDescent="0.25">
      <c r="A45" s="64"/>
      <c r="C45" s="1" t="s">
        <v>919</v>
      </c>
      <c r="D45" s="1832"/>
      <c r="E45" s="1"/>
      <c r="F45" s="1"/>
      <c r="G45" s="1"/>
      <c r="H45" s="1833">
        <f>H44</f>
        <v>0</v>
      </c>
      <c r="I45" s="138"/>
      <c r="J45" s="138"/>
      <c r="K45" s="138"/>
      <c r="L45" s="1833">
        <f>L44</f>
        <v>0</v>
      </c>
      <c r="M45" s="138"/>
      <c r="N45" s="138"/>
      <c r="O45" s="138"/>
      <c r="P45" s="1833">
        <f>P44</f>
        <v>0</v>
      </c>
      <c r="Q45" s="138"/>
      <c r="R45" s="138"/>
      <c r="S45" s="138"/>
      <c r="AL45" s="1301"/>
    </row>
    <row r="46" spans="1:38" s="691" customFormat="1" ht="15" customHeight="1" x14ac:dyDescent="0.25">
      <c r="A46" s="64" t="str">
        <f t="shared" si="1"/>
        <v>01</v>
      </c>
      <c r="C46" s="138"/>
      <c r="D46" s="693" t="s">
        <v>920</v>
      </c>
      <c r="E46" s="138" t="s">
        <v>921</v>
      </c>
      <c r="F46" s="138"/>
      <c r="G46" s="138"/>
      <c r="H46" s="138"/>
      <c r="I46" s="138"/>
      <c r="J46" s="138"/>
      <c r="K46" s="138"/>
      <c r="L46" s="138"/>
      <c r="M46" s="138"/>
      <c r="N46" s="138"/>
      <c r="O46" s="138"/>
      <c r="P46" s="138"/>
      <c r="Q46" s="138"/>
      <c r="R46" s="138"/>
      <c r="S46" s="138"/>
      <c r="AL46" s="1301"/>
    </row>
    <row r="47" spans="1:38" s="691" customFormat="1" ht="15" customHeight="1" x14ac:dyDescent="0.25">
      <c r="A47" s="64"/>
      <c r="C47" s="751" t="s">
        <v>922</v>
      </c>
      <c r="D47" s="403" t="s">
        <v>923</v>
      </c>
      <c r="E47" s="403"/>
      <c r="F47" s="403"/>
      <c r="G47" s="403"/>
      <c r="H47" s="403"/>
      <c r="I47" s="403"/>
      <c r="J47" s="403"/>
      <c r="K47" s="403"/>
      <c r="L47" s="403"/>
      <c r="M47" s="403"/>
      <c r="N47" s="403"/>
      <c r="O47" s="403"/>
      <c r="P47" s="403"/>
      <c r="Q47" s="403"/>
      <c r="R47" s="403"/>
      <c r="S47" s="138"/>
      <c r="AL47" s="1301"/>
    </row>
    <row r="48" spans="1:38" s="691" customFormat="1" ht="15.75" x14ac:dyDescent="0.25">
      <c r="A48" s="64"/>
      <c r="C48" s="751"/>
      <c r="D48" s="752" t="s">
        <v>924</v>
      </c>
      <c r="E48" s="138"/>
      <c r="F48" s="138"/>
      <c r="G48" s="138"/>
      <c r="H48" s="138"/>
      <c r="I48" s="138"/>
      <c r="J48" s="138"/>
      <c r="K48" s="138"/>
      <c r="L48" s="138"/>
      <c r="M48" s="138"/>
      <c r="N48" s="138"/>
      <c r="O48" s="138"/>
      <c r="P48" s="138"/>
      <c r="Q48" s="138"/>
      <c r="R48" s="138"/>
      <c r="S48" s="138"/>
      <c r="AL48" s="1301"/>
    </row>
    <row r="49" spans="1:39" s="691" customFormat="1" ht="15.75" x14ac:dyDescent="0.25">
      <c r="A49" s="64"/>
      <c r="C49" s="751"/>
      <c r="D49" s="752"/>
      <c r="E49" s="138"/>
      <c r="F49" s="138"/>
      <c r="G49" s="138"/>
      <c r="H49" s="138"/>
      <c r="I49" s="138"/>
      <c r="J49" s="138"/>
      <c r="K49" s="138"/>
      <c r="L49" s="138"/>
      <c r="M49" s="138"/>
      <c r="N49" s="138"/>
      <c r="O49" s="138"/>
      <c r="P49" s="138"/>
      <c r="Q49" s="138"/>
      <c r="R49" s="138"/>
      <c r="S49" s="138"/>
      <c r="AL49" s="1301"/>
    </row>
    <row r="50" spans="1:39" s="691" customFormat="1" ht="15.75" x14ac:dyDescent="0.25">
      <c r="A50" s="64" t="str">
        <f t="shared" si="1"/>
        <v>01</v>
      </c>
      <c r="C50" s="1467" t="s">
        <v>925</v>
      </c>
      <c r="D50" s="688"/>
      <c r="E50" s="688"/>
      <c r="F50" s="688"/>
      <c r="G50" s="688"/>
      <c r="H50" s="1467"/>
      <c r="I50" s="1467"/>
      <c r="J50" s="1467"/>
      <c r="K50" s="1467"/>
      <c r="L50" s="1467"/>
      <c r="M50" s="1467"/>
      <c r="N50" s="1467"/>
      <c r="O50" s="1467"/>
      <c r="P50" s="1467"/>
      <c r="Q50" s="1467"/>
      <c r="R50" s="1467"/>
      <c r="S50" s="1467"/>
      <c r="AL50" s="1301"/>
    </row>
    <row r="51" spans="1:39" ht="10.9" customHeight="1" x14ac:dyDescent="0.25">
      <c r="A51" s="64"/>
      <c r="C51" s="1408"/>
    </row>
    <row r="52" spans="1:39" ht="18" customHeight="1" x14ac:dyDescent="0.25">
      <c r="A52" s="64"/>
      <c r="C52" s="1408" t="s">
        <v>926</v>
      </c>
    </row>
    <row r="53" spans="1:39" ht="17.45" customHeight="1" x14ac:dyDescent="0.25">
      <c r="A53" s="64"/>
      <c r="C53" s="1408"/>
      <c r="D53" s="1408"/>
      <c r="E53" s="31" t="s">
        <v>927</v>
      </c>
      <c r="H53" s="2279"/>
      <c r="I53" s="1453"/>
      <c r="J53" s="1453"/>
      <c r="K53" s="1198"/>
      <c r="O53" s="31" t="s">
        <v>928</v>
      </c>
      <c r="P53" s="2279"/>
      <c r="Q53" s="1453"/>
      <c r="R53" s="1453"/>
      <c r="AL53" s="860" t="str">
        <f>IF(AND(ISBLANK($H$53),ISBLANK($P$53))=TRUE,"Answer Missing"," ")</f>
        <v>Answer Missing</v>
      </c>
    </row>
    <row r="54" spans="1:39" customFormat="1" ht="20.45" customHeight="1" x14ac:dyDescent="0.25">
      <c r="C54" s="1" t="s">
        <v>929</v>
      </c>
      <c r="D54" s="1408"/>
      <c r="E54" s="1834"/>
      <c r="F54" s="1834"/>
      <c r="G54" s="1834"/>
      <c r="H54" s="1834"/>
      <c r="I54" s="1834"/>
      <c r="J54" s="1834"/>
      <c r="K54" s="1834"/>
      <c r="L54" s="1834"/>
      <c r="M54" s="1834"/>
      <c r="N54" s="1834"/>
      <c r="O54" s="1834"/>
      <c r="P54" s="1834"/>
    </row>
    <row r="55" spans="1:39" ht="13.15" customHeight="1" x14ac:dyDescent="0.25">
      <c r="A55" s="64"/>
      <c r="C55" s="1408" t="s">
        <v>930</v>
      </c>
      <c r="H55" s="2450">
        <v>0</v>
      </c>
      <c r="I55" s="2279"/>
      <c r="J55" s="2279"/>
      <c r="K55" s="2279"/>
      <c r="L55" s="2279"/>
      <c r="M55" s="2279"/>
      <c r="N55" s="2279"/>
      <c r="O55" s="2279"/>
      <c r="P55" s="2279"/>
      <c r="Q55" s="2279"/>
      <c r="R55" s="2279"/>
      <c r="S55" s="2279"/>
      <c r="T55" s="2279"/>
      <c r="U55" s="2279"/>
      <c r="V55" s="2279"/>
      <c r="W55" s="2279"/>
      <c r="X55" s="2279"/>
      <c r="Y55" s="2279"/>
      <c r="Z55" s="2279"/>
      <c r="AA55" s="2279"/>
      <c r="AB55" s="2279"/>
      <c r="AC55" s="2279"/>
      <c r="AD55" s="2279"/>
      <c r="AE55" s="2279"/>
      <c r="AF55" s="2279"/>
      <c r="AG55" s="2279"/>
      <c r="AH55" s="2279"/>
      <c r="AI55" s="2279"/>
      <c r="AJ55" s="2279"/>
      <c r="AK55" s="1453"/>
      <c r="AL55" s="860"/>
    </row>
    <row r="56" spans="1:39" ht="24" customHeight="1" x14ac:dyDescent="0.25">
      <c r="A56" s="64"/>
      <c r="C56" s="1408" t="s">
        <v>931</v>
      </c>
      <c r="H56" s="1453"/>
      <c r="I56" s="1453"/>
      <c r="J56" s="1453"/>
      <c r="K56" s="1453"/>
      <c r="L56" s="1453"/>
      <c r="M56" s="1453"/>
      <c r="N56" s="1453"/>
      <c r="O56" s="1453"/>
      <c r="P56" s="1453"/>
      <c r="Q56" s="1453"/>
      <c r="R56" s="1453"/>
      <c r="S56" s="1453"/>
      <c r="T56" s="1453"/>
      <c r="U56" s="1453"/>
      <c r="V56" s="1453"/>
      <c r="W56" s="1453"/>
      <c r="X56" s="1453"/>
      <c r="Y56" s="1453"/>
      <c r="Z56" s="1453"/>
      <c r="AA56" s="1453"/>
      <c r="AB56" s="1453"/>
      <c r="AC56" s="1453"/>
      <c r="AD56" s="1453"/>
      <c r="AE56" s="1453"/>
      <c r="AF56" s="1453"/>
      <c r="AG56" s="1453"/>
      <c r="AH56" s="1453"/>
      <c r="AI56" s="1453"/>
      <c r="AJ56" s="1453"/>
      <c r="AK56" s="1453"/>
      <c r="AL56" s="860"/>
    </row>
    <row r="57" spans="1:39" ht="16.899999999999999" customHeight="1" x14ac:dyDescent="0.25">
      <c r="A57" s="64"/>
      <c r="C57" s="31" t="s">
        <v>932</v>
      </c>
      <c r="E57" s="2051"/>
      <c r="F57" s="2051"/>
      <c r="G57" s="2051"/>
      <c r="H57" s="2051"/>
      <c r="I57" s="2050"/>
      <c r="J57" s="2049"/>
      <c r="K57" s="1453"/>
      <c r="L57" s="1169" t="s">
        <v>933</v>
      </c>
      <c r="M57" s="1169"/>
      <c r="N57" s="2280"/>
      <c r="O57" s="1453"/>
      <c r="P57" s="1835"/>
      <c r="Q57" s="1835"/>
      <c r="R57" s="1835"/>
      <c r="S57" s="1453"/>
      <c r="T57" s="1453"/>
      <c r="U57" s="1453"/>
      <c r="V57" s="1453"/>
      <c r="W57" s="1453"/>
      <c r="X57" s="1453"/>
      <c r="Y57" s="1453"/>
      <c r="Z57" s="1453"/>
      <c r="AA57" s="1453"/>
      <c r="AB57" s="1453"/>
      <c r="AC57" s="1453"/>
      <c r="AD57" s="1453"/>
      <c r="AE57" s="1453"/>
      <c r="AF57" s="1453"/>
      <c r="AG57" s="1453"/>
      <c r="AH57" s="1453"/>
      <c r="AI57" s="1453"/>
      <c r="AJ57" s="1453"/>
      <c r="AK57" s="1453"/>
      <c r="AL57" s="860"/>
    </row>
    <row r="58" spans="1:39" ht="17.45" customHeight="1" x14ac:dyDescent="0.25">
      <c r="A58" s="64"/>
      <c r="C58" s="1408"/>
      <c r="D58" s="1408"/>
      <c r="H58" s="1453"/>
      <c r="I58" s="1453"/>
      <c r="J58" s="1453"/>
      <c r="K58" s="1453"/>
      <c r="L58" s="1453"/>
      <c r="M58" s="1453"/>
      <c r="N58" s="1453"/>
      <c r="O58" s="1453"/>
      <c r="P58" s="1453"/>
      <c r="Q58" s="1453"/>
      <c r="R58" s="1453"/>
      <c r="S58" s="1453"/>
      <c r="T58" s="1453"/>
      <c r="U58" s="1453"/>
      <c r="V58" s="1453"/>
      <c r="W58" s="1453"/>
      <c r="X58" s="1453"/>
      <c r="Y58" s="1453"/>
      <c r="Z58" s="1453"/>
      <c r="AA58" s="1453"/>
      <c r="AB58" s="1453"/>
      <c r="AC58" s="1453"/>
      <c r="AD58" s="1453"/>
      <c r="AE58" s="1453"/>
      <c r="AF58" s="1453"/>
      <c r="AG58" s="1453"/>
      <c r="AH58" s="1453"/>
      <c r="AI58" s="1453"/>
      <c r="AJ58" s="1453"/>
      <c r="AK58" s="1453"/>
      <c r="AL58" s="860"/>
    </row>
    <row r="59" spans="1:39" ht="17.45" customHeight="1" x14ac:dyDescent="0.25">
      <c r="A59" s="64"/>
      <c r="C59" s="1408" t="s">
        <v>934</v>
      </c>
    </row>
    <row r="60" spans="1:39" ht="17.45" customHeight="1" x14ac:dyDescent="0.25">
      <c r="A60" s="64"/>
      <c r="C60" s="1408"/>
      <c r="D60" s="1483" t="s">
        <v>935</v>
      </c>
      <c r="E60" s="2279"/>
      <c r="F60" s="1484"/>
      <c r="G60" s="1484" t="s">
        <v>928</v>
      </c>
      <c r="H60" s="1485"/>
      <c r="I60" s="1836"/>
      <c r="J60" s="1836"/>
      <c r="L60" s="1483" t="s">
        <v>175</v>
      </c>
      <c r="M60" s="1483"/>
      <c r="N60" s="1963"/>
      <c r="P60" s="1837"/>
      <c r="Q60" s="1837"/>
      <c r="R60" s="1837"/>
      <c r="AL60" s="860" t="str">
        <f>IF(AND(ISBLANK($E$60),ISBLANK($H$60),ISBLANK($N$60))=TRUE,"Answer Missing"," ")</f>
        <v>Answer Missing</v>
      </c>
    </row>
    <row r="61" spans="1:39" ht="25.15" customHeight="1" x14ac:dyDescent="0.25">
      <c r="A61" s="64"/>
      <c r="C61" s="2601" t="s">
        <v>936</v>
      </c>
      <c r="D61" s="2601"/>
      <c r="E61" s="2601"/>
      <c r="F61" s="2601"/>
      <c r="G61" s="2601"/>
      <c r="H61" s="2601"/>
      <c r="I61" s="2601"/>
      <c r="J61" s="2601"/>
      <c r="K61" s="2601"/>
      <c r="L61" s="2601"/>
      <c r="M61" s="2601"/>
      <c r="N61" s="2601"/>
      <c r="O61" s="2601"/>
      <c r="P61" s="2601"/>
      <c r="Q61" s="2601"/>
      <c r="R61" s="2601"/>
      <c r="S61" s="2601"/>
      <c r="T61"/>
      <c r="U61"/>
      <c r="V61"/>
      <c r="W61"/>
      <c r="X61"/>
      <c r="Y61"/>
      <c r="Z61"/>
      <c r="AA61"/>
      <c r="AB61"/>
      <c r="AC61"/>
      <c r="AD61"/>
      <c r="AE61"/>
      <c r="AF61"/>
      <c r="AG61"/>
      <c r="AH61"/>
      <c r="AI61"/>
      <c r="AJ61"/>
      <c r="AK61"/>
      <c r="AL61"/>
      <c r="AM61"/>
    </row>
    <row r="62" spans="1:39" ht="14.45" customHeight="1" x14ac:dyDescent="0.25">
      <c r="A62" s="64"/>
      <c r="C62" s="1408" t="s">
        <v>937</v>
      </c>
      <c r="D62" s="1408"/>
      <c r="H62" s="2279"/>
      <c r="I62" s="1453"/>
      <c r="J62" s="2279"/>
      <c r="K62" s="2579"/>
      <c r="L62" s="2579"/>
      <c r="M62" s="2579"/>
      <c r="N62" s="2579"/>
      <c r="O62" s="2579"/>
      <c r="P62" s="2579"/>
      <c r="Q62" s="2579"/>
      <c r="R62" s="2579"/>
      <c r="S62" s="2579"/>
      <c r="T62" s="2579"/>
      <c r="U62" s="2579"/>
      <c r="V62" s="2579"/>
      <c r="W62" s="2579"/>
      <c r="X62" s="2579"/>
      <c r="Y62" s="2579"/>
      <c r="Z62" s="2579"/>
      <c r="AA62" s="2579"/>
      <c r="AB62" s="2579"/>
      <c r="AC62" s="2579"/>
      <c r="AD62" s="2579"/>
      <c r="AE62" s="2579"/>
      <c r="AF62" s="2579"/>
      <c r="AG62" s="2579"/>
      <c r="AH62" s="2579"/>
      <c r="AI62" s="2579"/>
      <c r="AJ62" s="2579"/>
      <c r="AK62" s="2579"/>
      <c r="AL62" s="860"/>
    </row>
    <row r="63" spans="1:39" ht="25.15" customHeight="1" x14ac:dyDescent="0.25">
      <c r="A63" s="64"/>
      <c r="C63" s="1408" t="s">
        <v>938</v>
      </c>
      <c r="H63" s="1453"/>
      <c r="I63" s="1453"/>
      <c r="J63" s="1453"/>
      <c r="K63" s="1453"/>
      <c r="L63" s="1453"/>
      <c r="M63" s="1453"/>
      <c r="N63" s="1453"/>
      <c r="O63" s="1453"/>
      <c r="P63" s="1453"/>
      <c r="Q63" s="1453"/>
      <c r="R63" s="1453"/>
    </row>
    <row r="64" spans="1:39" ht="17.45" customHeight="1" x14ac:dyDescent="0.25">
      <c r="A64" s="64"/>
      <c r="C64" s="31" t="s">
        <v>932</v>
      </c>
      <c r="E64" s="2051"/>
      <c r="F64" s="2051"/>
      <c r="G64" s="2051"/>
      <c r="H64" s="2051"/>
      <c r="I64" s="2050"/>
      <c r="J64" s="2049"/>
      <c r="K64" s="1453"/>
      <c r="L64" s="1169" t="s">
        <v>933</v>
      </c>
      <c r="M64" s="1169"/>
      <c r="N64" s="2279"/>
      <c r="O64" s="1453"/>
      <c r="P64" s="1835"/>
      <c r="Q64" s="1835"/>
      <c r="R64" s="1835"/>
    </row>
    <row r="65" spans="1:38" ht="17.45" customHeight="1" x14ac:dyDescent="0.25">
      <c r="A65" s="64"/>
      <c r="C65" s="1408"/>
      <c r="D65" s="1408"/>
    </row>
    <row r="66" spans="1:38" x14ac:dyDescent="0.2">
      <c r="C66" s="1408" t="s">
        <v>939</v>
      </c>
      <c r="D66" s="1408" t="s">
        <v>940</v>
      </c>
    </row>
    <row r="67" spans="1:38" x14ac:dyDescent="0.2">
      <c r="C67" s="1408"/>
      <c r="D67" s="1408"/>
    </row>
    <row r="68" spans="1:38" x14ac:dyDescent="0.2">
      <c r="C68" s="1408" t="s">
        <v>941</v>
      </c>
      <c r="D68" s="1408"/>
    </row>
    <row r="69" spans="1:38" ht="19.899999999999999" customHeight="1" x14ac:dyDescent="0.2">
      <c r="C69" s="1408"/>
      <c r="D69" s="1408"/>
      <c r="E69" s="31" t="s">
        <v>942</v>
      </c>
      <c r="H69" s="2279"/>
      <c r="I69" s="1453"/>
      <c r="J69" s="1453"/>
      <c r="K69" s="1198"/>
      <c r="O69" s="31" t="s">
        <v>928</v>
      </c>
      <c r="P69" s="2279"/>
      <c r="Q69" s="1453"/>
      <c r="R69" s="1453"/>
      <c r="AL69" s="860" t="str">
        <f>IF(AND(ISBLANK($H$69),ISBLANK($P$69))=TRUE,"Answer Missing"," ")</f>
        <v>Answer Missing</v>
      </c>
    </row>
    <row r="70" spans="1:38" ht="10.15" customHeight="1" x14ac:dyDescent="0.2">
      <c r="C70" s="1408"/>
      <c r="D70" s="1408"/>
    </row>
    <row r="71" spans="1:38" x14ac:dyDescent="0.2">
      <c r="C71" s="1408" t="s">
        <v>943</v>
      </c>
      <c r="D71" s="1408"/>
    </row>
    <row r="72" spans="1:38" x14ac:dyDescent="0.2">
      <c r="C72" s="1408"/>
      <c r="D72" s="1408"/>
    </row>
    <row r="73" spans="1:38" ht="19.149999999999999" customHeight="1" x14ac:dyDescent="0.2">
      <c r="C73" s="1408" t="s">
        <v>944</v>
      </c>
    </row>
    <row r="74" spans="1:38" ht="18" customHeight="1" x14ac:dyDescent="0.2">
      <c r="C74" s="1408"/>
      <c r="D74" s="1408"/>
      <c r="E74" s="31" t="s">
        <v>945</v>
      </c>
      <c r="H74" s="2279"/>
      <c r="I74" s="1453"/>
      <c r="J74" s="1453"/>
      <c r="K74" s="1198"/>
      <c r="O74" s="31" t="s">
        <v>928</v>
      </c>
      <c r="P74" s="2279"/>
      <c r="Q74" s="1453"/>
      <c r="R74" s="1453"/>
      <c r="AL74" s="860" t="str">
        <f>IF(AND(ISBLANK($H$74),ISBLANK($P$74))=TRUE,"Answer Missing"," ")</f>
        <v>Answer Missing</v>
      </c>
    </row>
    <row r="75" spans="1:38" ht="29.45" customHeight="1" x14ac:dyDescent="0.2">
      <c r="C75" s="2601" t="s">
        <v>946</v>
      </c>
      <c r="D75" s="2601"/>
      <c r="E75" s="2601"/>
      <c r="F75" s="2601"/>
      <c r="G75" s="2601"/>
      <c r="H75" s="2601"/>
      <c r="I75" s="2601"/>
      <c r="J75" s="2601"/>
      <c r="K75" s="2601"/>
      <c r="L75" s="2601"/>
      <c r="M75" s="2601"/>
      <c r="N75" s="2601"/>
      <c r="O75" s="2601"/>
      <c r="P75" s="2601"/>
      <c r="Q75" s="2601"/>
      <c r="R75" s="2601"/>
      <c r="S75"/>
      <c r="T75"/>
      <c r="U75"/>
      <c r="V75"/>
      <c r="W75"/>
      <c r="X75"/>
      <c r="Y75"/>
      <c r="Z75"/>
      <c r="AA75"/>
      <c r="AB75"/>
      <c r="AC75"/>
      <c r="AD75"/>
      <c r="AE75"/>
      <c r="AF75"/>
      <c r="AG75"/>
      <c r="AH75"/>
      <c r="AI75"/>
      <c r="AJ75"/>
      <c r="AK75"/>
      <c r="AL75"/>
    </row>
    <row r="76" spans="1:38" ht="25.15" customHeight="1" x14ac:dyDescent="0.2">
      <c r="C76" s="1408" t="s">
        <v>947</v>
      </c>
      <c r="D76" s="1408"/>
      <c r="H76" s="2450">
        <v>0</v>
      </c>
      <c r="I76" s="1453"/>
      <c r="J76" s="2279"/>
      <c r="K76" s="2279"/>
      <c r="L76" s="2279"/>
      <c r="M76" s="1453"/>
      <c r="N76" s="2279"/>
      <c r="O76" s="2279"/>
      <c r="P76" s="2279"/>
      <c r="Q76" s="2279"/>
      <c r="R76" s="2279"/>
      <c r="S76" s="2279"/>
      <c r="T76" s="2279"/>
      <c r="U76" s="2279"/>
      <c r="V76" s="2279"/>
      <c r="W76" s="2279"/>
      <c r="X76" s="2279"/>
      <c r="Y76" s="2279"/>
      <c r="Z76" s="2279"/>
      <c r="AA76" s="2279"/>
      <c r="AB76" s="2279"/>
      <c r="AC76" s="2279"/>
      <c r="AD76" s="2279"/>
      <c r="AE76" s="2279"/>
      <c r="AF76" s="2279"/>
      <c r="AG76" s="2279"/>
      <c r="AH76" s="2279"/>
      <c r="AI76" s="2279"/>
      <c r="AJ76" s="2279"/>
      <c r="AK76" s="2279"/>
      <c r="AL76" s="860"/>
    </row>
    <row r="77" spans="1:38" ht="25.9" customHeight="1" x14ac:dyDescent="0.2">
      <c r="C77" s="1408" t="s">
        <v>948</v>
      </c>
      <c r="H77" s="1453"/>
      <c r="I77" s="1453"/>
      <c r="J77" s="1453"/>
      <c r="K77" s="1453"/>
      <c r="L77" s="1453"/>
      <c r="M77" s="1453"/>
      <c r="N77" s="1453"/>
      <c r="O77" s="1453"/>
      <c r="P77" s="1453"/>
      <c r="Q77" s="1453"/>
      <c r="R77" s="1453"/>
      <c r="S77" s="1453"/>
      <c r="T77" s="1453"/>
      <c r="U77" s="1453"/>
      <c r="V77" s="1453"/>
      <c r="W77" s="1453"/>
      <c r="X77" s="1453"/>
      <c r="Y77" s="1453"/>
      <c r="Z77" s="1453"/>
      <c r="AA77" s="1453"/>
      <c r="AB77" s="1453"/>
      <c r="AC77" s="1453"/>
      <c r="AD77" s="1453"/>
      <c r="AE77" s="1453"/>
      <c r="AF77" s="1453"/>
      <c r="AG77" s="1453"/>
      <c r="AH77" s="1453"/>
      <c r="AI77" s="1453"/>
      <c r="AJ77" s="1453"/>
      <c r="AK77" s="1453"/>
      <c r="AL77" s="860"/>
    </row>
    <row r="78" spans="1:38" x14ac:dyDescent="0.2">
      <c r="C78" s="31" t="s">
        <v>932</v>
      </c>
      <c r="E78" s="2051"/>
      <c r="F78" s="2051"/>
      <c r="G78" s="2051"/>
      <c r="H78" s="2051"/>
      <c r="I78" s="2050"/>
      <c r="J78" s="2049"/>
      <c r="K78" s="1453"/>
      <c r="L78" s="1169" t="s">
        <v>933</v>
      </c>
      <c r="M78" s="1169"/>
      <c r="N78" s="2279"/>
      <c r="O78" s="1453"/>
      <c r="P78" s="1835"/>
      <c r="Q78" s="1835"/>
      <c r="R78" s="1835"/>
      <c r="S78" s="1453"/>
      <c r="T78" s="1453"/>
      <c r="U78" s="1453"/>
      <c r="V78" s="1453"/>
      <c r="W78" s="1453"/>
      <c r="X78" s="1453"/>
      <c r="Y78" s="1453"/>
      <c r="Z78" s="1453"/>
      <c r="AA78" s="1453"/>
      <c r="AB78" s="1453"/>
      <c r="AC78" s="1453"/>
      <c r="AD78" s="1453"/>
      <c r="AE78" s="1453"/>
      <c r="AF78" s="1453"/>
      <c r="AG78" s="1453"/>
      <c r="AH78" s="1453"/>
      <c r="AI78" s="1453"/>
      <c r="AJ78" s="1453"/>
      <c r="AK78" s="1453"/>
      <c r="AL78" s="860"/>
    </row>
    <row r="79" spans="1:38" x14ac:dyDescent="0.2">
      <c r="C79" s="1408"/>
      <c r="D79" s="1408"/>
      <c r="H79" s="1453"/>
      <c r="I79" s="1453"/>
      <c r="J79" s="1453"/>
      <c r="K79" s="1453"/>
      <c r="L79" s="1453"/>
      <c r="M79" s="1453"/>
      <c r="N79" s="1453"/>
      <c r="O79" s="1453"/>
      <c r="P79" s="1453"/>
      <c r="Q79" s="1453"/>
      <c r="R79" s="1453"/>
      <c r="S79" s="1453"/>
      <c r="T79" s="1453"/>
      <c r="U79" s="1453"/>
      <c r="V79" s="1453"/>
      <c r="W79" s="1453"/>
      <c r="X79" s="1453"/>
      <c r="Y79" s="1453"/>
      <c r="Z79" s="1453"/>
      <c r="AA79" s="1453"/>
      <c r="AB79" s="1453"/>
      <c r="AC79" s="1453"/>
      <c r="AD79" s="1453"/>
      <c r="AE79" s="1453"/>
      <c r="AF79" s="1453"/>
      <c r="AG79" s="1453"/>
      <c r="AH79" s="1453"/>
      <c r="AI79" s="1453"/>
      <c r="AJ79" s="1453"/>
      <c r="AK79" s="1453"/>
      <c r="AL79" s="860"/>
    </row>
    <row r="80" spans="1:38" ht="26.45" customHeight="1" x14ac:dyDescent="0.2">
      <c r="C80" s="1408" t="s">
        <v>949</v>
      </c>
    </row>
    <row r="81" spans="2:38" ht="21" customHeight="1" x14ac:dyDescent="0.2">
      <c r="C81" s="1408"/>
      <c r="D81" s="1483" t="s">
        <v>935</v>
      </c>
      <c r="E81" s="2279"/>
      <c r="F81" s="1484"/>
      <c r="G81" s="1484" t="s">
        <v>928</v>
      </c>
      <c r="H81" s="1485"/>
      <c r="I81" s="1836"/>
      <c r="J81" s="1836"/>
      <c r="L81" s="1483" t="s">
        <v>175</v>
      </c>
      <c r="M81" s="1483"/>
      <c r="N81" s="1963"/>
      <c r="P81" s="1837"/>
      <c r="Q81" s="1837"/>
      <c r="R81" s="1837"/>
      <c r="AL81" s="860" t="str">
        <f>IF(AND(ISBLANK($E$81),ISBLANK($H$81),ISBLANK($N$81))=TRUE,"Answer Missing"," ")</f>
        <v>Answer Missing</v>
      </c>
    </row>
    <row r="82" spans="2:38" ht="28.9" customHeight="1" x14ac:dyDescent="0.2">
      <c r="C82" s="2602" t="s">
        <v>950</v>
      </c>
      <c r="D82" s="2602"/>
      <c r="E82" s="2602"/>
      <c r="F82" s="2602"/>
      <c r="G82" s="2602"/>
      <c r="H82" s="2602"/>
      <c r="I82" s="2602"/>
      <c r="J82" s="2602"/>
      <c r="K82" s="2602"/>
      <c r="L82" s="2602"/>
      <c r="M82" s="2602"/>
      <c r="N82" s="2602"/>
      <c r="O82" s="2602"/>
      <c r="P82" s="2602"/>
      <c r="Q82" s="2602"/>
      <c r="R82" s="2602"/>
      <c r="S82" s="1170"/>
      <c r="AL82" s="860"/>
    </row>
    <row r="83" spans="2:38" ht="16.899999999999999" customHeight="1" x14ac:dyDescent="0.2">
      <c r="C83" s="1408" t="s">
        <v>951</v>
      </c>
      <c r="D83" s="1408"/>
      <c r="H83" s="2279"/>
      <c r="I83" s="1453"/>
      <c r="J83" s="2279"/>
      <c r="K83" s="2279"/>
      <c r="L83" s="2279"/>
      <c r="M83" s="1453"/>
      <c r="N83" s="2279"/>
      <c r="O83" s="2279"/>
      <c r="P83" s="2279"/>
      <c r="Q83" s="2279"/>
      <c r="R83" s="2279"/>
      <c r="S83" s="2279"/>
      <c r="T83" s="2279"/>
      <c r="U83" s="2279"/>
      <c r="V83" s="2279"/>
      <c r="W83" s="2279"/>
      <c r="X83" s="2279"/>
      <c r="Y83" s="2279"/>
      <c r="Z83" s="2279"/>
      <c r="AA83" s="2279"/>
      <c r="AB83" s="2279"/>
      <c r="AC83" s="2279"/>
      <c r="AD83" s="2279"/>
      <c r="AE83" s="2279"/>
      <c r="AF83" s="2279"/>
      <c r="AG83" s="2279"/>
      <c r="AH83" s="2279"/>
      <c r="AI83" s="2279"/>
      <c r="AJ83" s="2279"/>
      <c r="AK83" s="2279"/>
      <c r="AL83" s="860"/>
    </row>
    <row r="84" spans="2:38" ht="32.450000000000003" customHeight="1" x14ac:dyDescent="0.2">
      <c r="C84" s="1408" t="s">
        <v>952</v>
      </c>
      <c r="H84" s="1453"/>
      <c r="I84" s="1453"/>
      <c r="J84" s="1453"/>
      <c r="K84" s="1453"/>
      <c r="L84" s="1453"/>
      <c r="M84" s="1453"/>
      <c r="N84" s="1453"/>
      <c r="O84" s="1453"/>
      <c r="P84" s="1453"/>
      <c r="Q84" s="1453"/>
      <c r="R84" s="1453"/>
    </row>
    <row r="85" spans="2:38" ht="16.899999999999999" customHeight="1" x14ac:dyDescent="0.2">
      <c r="C85" s="31" t="s">
        <v>932</v>
      </c>
      <c r="E85" s="2051"/>
      <c r="F85" s="2051"/>
      <c r="G85" s="2051"/>
      <c r="H85" s="2051"/>
      <c r="I85" s="2050"/>
      <c r="J85" s="2049"/>
      <c r="K85" s="1453"/>
      <c r="L85" s="1169" t="s">
        <v>933</v>
      </c>
      <c r="M85" s="1169"/>
      <c r="N85" s="2279"/>
      <c r="O85" s="1453"/>
      <c r="P85" s="1835"/>
      <c r="Q85" s="1835"/>
      <c r="R85" s="1835"/>
    </row>
    <row r="86" spans="2:38" x14ac:dyDescent="0.2">
      <c r="C86" s="1408"/>
      <c r="D86" s="1408"/>
    </row>
    <row r="87" spans="2:38" ht="7.15" customHeight="1" x14ac:dyDescent="0.2">
      <c r="C87" s="1408"/>
      <c r="D87" s="1408"/>
    </row>
    <row r="88" spans="2:38" hidden="1" x14ac:dyDescent="0.2">
      <c r="C88" s="1408"/>
      <c r="D88" s="1408"/>
    </row>
    <row r="90" spans="2:38" ht="15" x14ac:dyDescent="0.2">
      <c r="B90" s="421" t="str">
        <f ca="1">MID(CELL("filename",B24),FIND("]",CELL("filename",B24))+1,256)</f>
        <v>301</v>
      </c>
      <c r="C90" s="421" t="s">
        <v>613</v>
      </c>
      <c r="D90" s="421"/>
    </row>
    <row r="91" spans="2:38" ht="15" x14ac:dyDescent="0.2">
      <c r="B91" s="421" t="s">
        <v>401</v>
      </c>
      <c r="C91" s="421" t="str">
        <f t="shared" ref="C91:C100" ca="1" si="4">IF(ISNA(INDEX(ErrorTable,MATCH($B$90&amp;$B91&amp;FALSE,ErrorKey,0),6)),"",INDEX(ErrorTable,MATCH($B$90&amp;$B91&amp;FALSE,ErrorKey,0),6))</f>
        <v/>
      </c>
      <c r="D91" s="421"/>
    </row>
    <row r="92" spans="2:38" ht="15" x14ac:dyDescent="0.2">
      <c r="B92" s="421" t="s">
        <v>402</v>
      </c>
      <c r="C92" s="421" t="str">
        <f t="shared" ca="1" si="4"/>
        <v/>
      </c>
      <c r="D92" s="421"/>
    </row>
    <row r="93" spans="2:38" ht="15" x14ac:dyDescent="0.2">
      <c r="B93" s="421" t="s">
        <v>403</v>
      </c>
      <c r="C93" s="421" t="str">
        <f t="shared" ca="1" si="4"/>
        <v/>
      </c>
      <c r="D93" s="421"/>
    </row>
    <row r="94" spans="2:38" ht="15" x14ac:dyDescent="0.2">
      <c r="B94" s="421" t="s">
        <v>404</v>
      </c>
      <c r="C94" s="421" t="str">
        <f t="shared" ca="1" si="4"/>
        <v/>
      </c>
      <c r="D94" s="421"/>
    </row>
    <row r="95" spans="2:38" ht="15" x14ac:dyDescent="0.2">
      <c r="B95" s="421" t="s">
        <v>405</v>
      </c>
      <c r="C95" s="421" t="str">
        <f t="shared" ca="1" si="4"/>
        <v/>
      </c>
      <c r="D95" s="421"/>
    </row>
    <row r="96" spans="2:38" ht="15" x14ac:dyDescent="0.2">
      <c r="B96" s="421" t="s">
        <v>406</v>
      </c>
      <c r="C96" s="421" t="str">
        <f t="shared" ca="1" si="4"/>
        <v/>
      </c>
      <c r="D96" s="421"/>
    </row>
    <row r="97" spans="2:4" ht="15" x14ac:dyDescent="0.2">
      <c r="B97" s="421" t="s">
        <v>407</v>
      </c>
      <c r="C97" s="421" t="str">
        <f t="shared" ca="1" si="4"/>
        <v/>
      </c>
      <c r="D97" s="421"/>
    </row>
    <row r="98" spans="2:4" ht="15" x14ac:dyDescent="0.2">
      <c r="B98" s="421" t="s">
        <v>408</v>
      </c>
      <c r="C98" s="421" t="str">
        <f t="shared" ca="1" si="4"/>
        <v/>
      </c>
      <c r="D98" s="421"/>
    </row>
    <row r="99" spans="2:4" ht="15" x14ac:dyDescent="0.2">
      <c r="B99" s="421" t="s">
        <v>409</v>
      </c>
      <c r="C99" s="421" t="str">
        <f t="shared" ca="1" si="4"/>
        <v/>
      </c>
      <c r="D99" s="421"/>
    </row>
    <row r="100" spans="2:4" ht="15" x14ac:dyDescent="0.2">
      <c r="B100" s="421" t="s">
        <v>410</v>
      </c>
      <c r="C100" s="421" t="str">
        <f t="shared" ca="1" si="4"/>
        <v/>
      </c>
      <c r="D100" s="421"/>
    </row>
  </sheetData>
  <sheetProtection algorithmName="SHA-512" hashValue="+S8XAIs5x2+zs7dmVRwLpbK/da+1eZO+KTYCmLmzA197GYOvIstL1EG65W10PIwr1DUtLrTLKH86Vdxcvvb4yw==" saltValue="3l8F9PWzcr7QmZkj3tHyOw==" spinCount="100000" sheet="1" autoFilter="0"/>
  <customSheetViews>
    <customSheetView guid="{9FCFC836-1CA5-48BF-958D-24D2EA94B219}" showGridLines="0" fitToPage="1" printArea="1" hiddenRows="1" hiddenColumns="1" topLeftCell="C1">
      <selection activeCell="AH26" sqref="AH26"/>
      <pageMargins left="0" right="0" top="0" bottom="0" header="0" footer="0"/>
      <pageSetup scale="82" orientation="portrait" r:id="rId1"/>
      <headerFooter alignWithMargins="0">
        <oddHeader xml:space="preserve">&amp;C &amp;R
</oddHeader>
        <oddFooter>&amp;R&amp;A</oddFooter>
      </headerFooter>
    </customSheetView>
    <customSheetView guid="{BEA4BE86-04D1-4C96-9358-7A260B9D2B2D}" showGridLines="0" fitToPage="1" showRuler="0">
      <selection sqref="A1:L1"/>
      <pageMargins left="0" right="0" top="0" bottom="0" header="0" footer="0"/>
      <pageSetup scale="81" orientation="portrait" horizontalDpi="300" verticalDpi="300" r:id="rId2"/>
      <headerFooter alignWithMargins="0">
        <oddHeader xml:space="preserve">&amp;C &amp;R
</oddHeader>
        <oddFooter>&amp;R&amp;A</oddFooter>
      </headerFooter>
    </customSheetView>
    <customSheetView guid="{1250FD07-FF56-4A9D-AF9E-C27124A7EBE9}" showGridLines="0" fitToPage="1" showRuler="0">
      <selection sqref="A1:L1"/>
      <pageMargins left="0" right="0" top="0" bottom="0" header="0" footer="0"/>
      <pageSetup scale="81" orientation="portrait" horizontalDpi="300" verticalDpi="300" r:id="rId3"/>
      <headerFooter alignWithMargins="0">
        <oddHeader xml:space="preserve">&amp;C &amp;R
</oddHeader>
        <oddFooter>&amp;R&amp;A</oddFooter>
      </headerFooter>
    </customSheetView>
    <customSheetView guid="{B08879A4-635B-4C39-9937-AC7883D562FC}" showGridLines="0" fitToPage="1" hiddenRows="1" hiddenColumns="1" topLeftCell="C1">
      <selection activeCell="AH26" sqref="AH26"/>
      <pageMargins left="0" right="0" top="0" bottom="0" header="0" footer="0"/>
      <pageSetup scale="82" orientation="portrait" r:id="rId4"/>
      <headerFooter alignWithMargins="0">
        <oddHeader xml:space="preserve">&amp;C &amp;R
</oddHeader>
        <oddFooter>&amp;R&amp;A</oddFooter>
      </headerFooter>
    </customSheetView>
  </customSheetViews>
  <mergeCells count="18">
    <mergeCell ref="C1:P1"/>
    <mergeCell ref="S1:S3"/>
    <mergeCell ref="C2:P2"/>
    <mergeCell ref="C3:P3"/>
    <mergeCell ref="C61:S61"/>
    <mergeCell ref="C75:R75"/>
    <mergeCell ref="C82:R82"/>
    <mergeCell ref="O5:R5"/>
    <mergeCell ref="O6:R6"/>
    <mergeCell ref="O7:R7"/>
    <mergeCell ref="O8:R8"/>
    <mergeCell ref="K62:AK62"/>
    <mergeCell ref="H23:J23"/>
    <mergeCell ref="H25:J25"/>
    <mergeCell ref="L25:N25"/>
    <mergeCell ref="P25:R25"/>
    <mergeCell ref="L23:N23"/>
    <mergeCell ref="P23:R23"/>
  </mergeCells>
  <phoneticPr fontId="18" type="noConversion"/>
  <conditionalFormatting sqref="S1:S3">
    <cfRule type="cellIs" dxfId="144" priority="10" stopIfTrue="1" operator="equal">
      <formula>"na"</formula>
    </cfRule>
  </conditionalFormatting>
  <conditionalFormatting sqref="AK1:AK3">
    <cfRule type="cellIs" dxfId="143" priority="4" stopIfTrue="1" operator="equal">
      <formula>"na"</formula>
    </cfRule>
  </conditionalFormatting>
  <conditionalFormatting sqref="AL53 AL55:AL58">
    <cfRule type="containsText" dxfId="142" priority="9" stopIfTrue="1" operator="containsText" text="Answer Missing">
      <formula>NOT(ISERROR(SEARCH("Answer Missing",AL53)))</formula>
    </cfRule>
  </conditionalFormatting>
  <conditionalFormatting sqref="AL60">
    <cfRule type="containsText" dxfId="141" priority="2" stopIfTrue="1" operator="containsText" text="Answer Missing">
      <formula>NOT(ISERROR(SEARCH("Answer Missing",AL60)))</formula>
    </cfRule>
  </conditionalFormatting>
  <conditionalFormatting sqref="AL62">
    <cfRule type="containsText" dxfId="140" priority="8" stopIfTrue="1" operator="containsText" text="Answer Missing">
      <formula>NOT(ISERROR(SEARCH("Answer Missing",AL62)))</formula>
    </cfRule>
  </conditionalFormatting>
  <conditionalFormatting sqref="AL69">
    <cfRule type="containsText" dxfId="139" priority="3" stopIfTrue="1" operator="containsText" text="Answer Missing">
      <formula>NOT(ISERROR(SEARCH("Answer Missing",AL69)))</formula>
    </cfRule>
  </conditionalFormatting>
  <conditionalFormatting sqref="AL74 AL76:AL79">
    <cfRule type="containsText" dxfId="138" priority="7" stopIfTrue="1" operator="containsText" text="Answer Missing">
      <formula>NOT(ISERROR(SEARCH("Answer Missing",AL74)))</formula>
    </cfRule>
  </conditionalFormatting>
  <conditionalFormatting sqref="AL81:AL83">
    <cfRule type="containsText" dxfId="137" priority="1" stopIfTrue="1" operator="containsText" text="Answer Missing">
      <formula>NOT(ISERROR(SEARCH("Answer Missing",AL81)))</formula>
    </cfRule>
  </conditionalFormatting>
  <dataValidations count="2">
    <dataValidation type="decimal" operator="greaterThanOrEqual" allowBlank="1" showInputMessage="1" showErrorMessage="1" errorTitle="Invalid amount!" error="Amount must be positive." sqref="J28:J41 N28:N41" xr:uid="{BE97888D-B9EB-4379-826A-FF3512E9B3D7}">
      <formula1>0</formula1>
    </dataValidation>
    <dataValidation type="list" allowBlank="1" showInputMessage="1" showErrorMessage="1" sqref="F6" xr:uid="{E4CB49A3-A6BE-4BCE-ACD5-167270147B4F}">
      <formula1>"GovtAct,BTAAct"</formula1>
    </dataValidation>
  </dataValidations>
  <hyperlinks>
    <hyperlink ref="C1:P1" location="Index!A1" display="Index!A1" xr:uid="{A33F339B-DF44-4B45-BD70-07E7C025A4A5}"/>
  </hyperlinks>
  <pageMargins left="0.6" right="0.6" top="0.5" bottom="0.5" header="0.3" footer="0.3"/>
  <pageSetup scale="78" fitToHeight="0" orientation="landscape" r:id="rId5"/>
  <rowBreaks count="1" manualBreakCount="1">
    <brk id="49" min="2" max="3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287E2-9E46-4F59-B45D-3CF5F2C805FF}">
  <sheetPr codeName="Sheet100">
    <pageSetUpPr fitToPage="1"/>
  </sheetPr>
  <dimension ref="A1:AL49"/>
  <sheetViews>
    <sheetView showGridLines="0" topLeftCell="C1" zoomScaleNormal="100" zoomScaleSheetLayoutView="100" workbookViewId="0">
      <selection activeCell="C15" sqref="C15"/>
    </sheetView>
  </sheetViews>
  <sheetFormatPr defaultColWidth="9.42578125" defaultRowHeight="12.75" x14ac:dyDescent="0.2"/>
  <cols>
    <col min="1" max="1" width="7" style="31" hidden="1" customWidth="1"/>
    <col min="2" max="2" width="8.42578125" style="31" hidden="1" customWidth="1"/>
    <col min="3" max="3" width="2.5703125" style="31" customWidth="1"/>
    <col min="4" max="4" width="15.42578125" style="31" customWidth="1"/>
    <col min="5" max="5" width="5.42578125" style="31" customWidth="1"/>
    <col min="6" max="6" width="11.28515625" style="31" customWidth="1"/>
    <col min="7" max="7" width="15.5703125" style="31" bestFit="1" customWidth="1"/>
    <col min="8" max="8" width="1" style="31" customWidth="1"/>
    <col min="9" max="9" width="17.140625" style="31" customWidth="1"/>
    <col min="10" max="10" width="3.28515625" style="31" customWidth="1"/>
    <col min="11" max="11" width="16.5703125" style="31" customWidth="1"/>
    <col min="12" max="12" width="1.7109375" style="31" customWidth="1"/>
    <col min="13" max="13" width="16.5703125" style="31" customWidth="1"/>
    <col min="14" max="14" width="2.5703125" style="31" customWidth="1"/>
    <col min="15" max="15" width="18" style="31" customWidth="1"/>
    <col min="16" max="16" width="1.5703125" style="31" customWidth="1"/>
    <col min="17" max="17" width="16.5703125" style="31" customWidth="1"/>
    <col min="18" max="18" width="4" style="31" customWidth="1"/>
    <col min="19" max="19" width="4.42578125" style="31" hidden="1" customWidth="1"/>
    <col min="20" max="20" width="9.5703125" style="31" hidden="1" customWidth="1"/>
    <col min="21" max="21" width="10.5703125" style="31" hidden="1" customWidth="1"/>
    <col min="22" max="25" width="9.5703125" style="31" hidden="1" customWidth="1"/>
    <col min="26" max="34" width="10.5703125" style="31" hidden="1" customWidth="1"/>
    <col min="35" max="35" width="0" style="31" hidden="1" customWidth="1"/>
    <col min="36" max="36" width="9.42578125" style="31"/>
    <col min="37" max="37" width="13.42578125" style="1303" customWidth="1"/>
    <col min="38" max="16384" width="9.42578125" style="31"/>
  </cols>
  <sheetData>
    <row r="1" spans="1:38" s="64" customFormat="1" ht="15.75" x14ac:dyDescent="0.25">
      <c r="A1" s="64" t="str">
        <f t="shared" ref="A1:A49" si="0">AgyIdx</f>
        <v>01</v>
      </c>
      <c r="C1" s="2553" t="str">
        <f>+Index!$A$1</f>
        <v xml:space="preserve">                                                               Office of the State Controller                                                                </v>
      </c>
      <c r="D1" s="2553"/>
      <c r="E1" s="2553"/>
      <c r="F1" s="2553"/>
      <c r="G1" s="2553"/>
      <c r="H1" s="2553"/>
      <c r="I1" s="2553"/>
      <c r="J1" s="2553"/>
      <c r="K1" s="2553"/>
      <c r="L1" s="2553"/>
      <c r="M1" s="2553"/>
      <c r="N1" s="2553"/>
      <c r="O1" s="2553"/>
      <c r="P1" s="2268"/>
      <c r="Q1" s="2268"/>
      <c r="R1" s="2554"/>
      <c r="S1" s="65"/>
      <c r="T1" s="65"/>
      <c r="AJ1" s="2269" t="str">
        <f>IF(Index!$B$28="na","NA","")</f>
        <v/>
      </c>
      <c r="AK1" s="1302"/>
    </row>
    <row r="2" spans="1:38" s="64" customFormat="1" ht="15.75" x14ac:dyDescent="0.25">
      <c r="A2" s="64" t="str">
        <f t="shared" si="0"/>
        <v>01</v>
      </c>
      <c r="C2" s="2555" t="str">
        <f>+Index!$A$2</f>
        <v>2024 ACFR Worksheets</v>
      </c>
      <c r="D2" s="2555"/>
      <c r="E2" s="2555"/>
      <c r="F2" s="2555"/>
      <c r="G2" s="2555"/>
      <c r="H2" s="2555"/>
      <c r="I2" s="2555"/>
      <c r="J2" s="2555"/>
      <c r="K2" s="2555"/>
      <c r="L2" s="2555"/>
      <c r="M2" s="2555"/>
      <c r="N2" s="2555"/>
      <c r="O2" s="2555"/>
      <c r="P2" s="2270"/>
      <c r="Q2" s="2270"/>
      <c r="R2" s="2554"/>
      <c r="S2" s="65"/>
      <c r="T2" s="65"/>
      <c r="AJ2" s="2269"/>
      <c r="AK2" s="1302"/>
    </row>
    <row r="3" spans="1:38" s="64" customFormat="1" ht="15.75" x14ac:dyDescent="0.25">
      <c r="A3" s="64" t="str">
        <f t="shared" si="0"/>
        <v>01</v>
      </c>
      <c r="C3" s="2555" t="s">
        <v>953</v>
      </c>
      <c r="D3" s="2555"/>
      <c r="E3" s="2555"/>
      <c r="F3" s="2555"/>
      <c r="G3" s="2555"/>
      <c r="H3" s="2555"/>
      <c r="I3" s="2555"/>
      <c r="J3" s="2555"/>
      <c r="K3" s="2555"/>
      <c r="L3" s="2555"/>
      <c r="M3" s="2555"/>
      <c r="N3" s="2555"/>
      <c r="O3" s="2555"/>
      <c r="P3" s="2270"/>
      <c r="Q3" s="2270"/>
      <c r="R3" s="2554"/>
      <c r="S3" s="65"/>
      <c r="T3" s="65"/>
      <c r="AJ3" s="2269"/>
      <c r="AK3" s="1302"/>
    </row>
    <row r="4" spans="1:38" s="691" customFormat="1" ht="15.75" x14ac:dyDescent="0.25">
      <c r="A4" s="64" t="str">
        <f t="shared" si="0"/>
        <v>01</v>
      </c>
      <c r="K4" s="406" t="s">
        <v>872</v>
      </c>
      <c r="L4" s="406"/>
      <c r="M4" s="406"/>
      <c r="AK4" s="1301"/>
    </row>
    <row r="5" spans="1:38" s="691" customFormat="1" ht="15.75" x14ac:dyDescent="0.25">
      <c r="A5" s="64" t="str">
        <f t="shared" si="0"/>
        <v>01</v>
      </c>
      <c r="G5" s="1888"/>
      <c r="H5" s="1888"/>
      <c r="I5" s="1888"/>
      <c r="J5" s="1888"/>
      <c r="K5" s="1888"/>
      <c r="L5" s="27" t="s">
        <v>318</v>
      </c>
      <c r="M5" s="27"/>
      <c r="N5" s="2603" t="str">
        <f>+Index!$E$10</f>
        <v>01</v>
      </c>
      <c r="O5" s="2603"/>
      <c r="P5" s="2603"/>
      <c r="Q5" s="2603"/>
      <c r="AK5" s="1301"/>
    </row>
    <row r="6" spans="1:38" s="691" customFormat="1" ht="15.75" x14ac:dyDescent="0.25">
      <c r="A6" s="64" t="str">
        <f t="shared" si="0"/>
        <v>01</v>
      </c>
      <c r="C6" s="691" t="s">
        <v>50</v>
      </c>
      <c r="G6" s="1888"/>
      <c r="H6" s="1888"/>
      <c r="I6" s="1888"/>
      <c r="J6" s="1888"/>
      <c r="K6" s="1888"/>
      <c r="L6" s="27" t="s">
        <v>319</v>
      </c>
      <c r="M6" s="27"/>
      <c r="N6" s="2604" t="str">
        <f>+Index!$E$11</f>
        <v>North Carolina General Assembly</v>
      </c>
      <c r="O6" s="2604"/>
      <c r="P6" s="2604"/>
      <c r="Q6" s="2604"/>
      <c r="AK6" s="1301"/>
    </row>
    <row r="7" spans="1:38" s="691" customFormat="1" ht="15.75" x14ac:dyDescent="0.25">
      <c r="A7" s="64" t="str">
        <f t="shared" si="0"/>
        <v>01</v>
      </c>
      <c r="C7" s="691" t="s">
        <v>545</v>
      </c>
      <c r="E7" s="1407" t="s">
        <v>762</v>
      </c>
      <c r="G7" s="1889"/>
      <c r="H7" s="1889"/>
      <c r="I7" s="1889"/>
      <c r="J7" s="1889"/>
      <c r="K7" s="1889"/>
      <c r="L7" s="27" t="s">
        <v>320</v>
      </c>
      <c r="M7" s="27"/>
      <c r="N7" s="2605" t="str">
        <f>CONCATENATE(Index!$E$12," ",Index!$E$14)</f>
        <v xml:space="preserve"> </v>
      </c>
      <c r="O7" s="2605"/>
      <c r="P7" s="2605"/>
      <c r="Q7" s="2605"/>
      <c r="AK7" s="1301"/>
    </row>
    <row r="8" spans="1:38" s="691" customFormat="1" ht="15.75" x14ac:dyDescent="0.25">
      <c r="A8" s="64" t="str">
        <f t="shared" si="0"/>
        <v>01</v>
      </c>
      <c r="G8" s="1889"/>
      <c r="H8" s="1889"/>
      <c r="I8" s="1889"/>
      <c r="J8" s="1889"/>
      <c r="K8" s="1889"/>
      <c r="L8" s="27" t="s">
        <v>168</v>
      </c>
      <c r="M8" s="27"/>
      <c r="N8" s="2605">
        <f>+Index!$E$13</f>
        <v>0</v>
      </c>
      <c r="O8" s="2605"/>
      <c r="P8" s="2605"/>
      <c r="Q8" s="2605"/>
      <c r="AK8" s="1301"/>
    </row>
    <row r="9" spans="1:38" s="691" customFormat="1" ht="16.5" thickBot="1" x14ac:dyDescent="0.3">
      <c r="A9" s="64" t="str">
        <f t="shared" si="0"/>
        <v>01</v>
      </c>
      <c r="C9" s="1566"/>
      <c r="D9" s="1566"/>
      <c r="E9" s="1566"/>
      <c r="F9" s="1566"/>
      <c r="G9" s="1566"/>
      <c r="H9" s="1566"/>
      <c r="I9" s="1566"/>
      <c r="J9" s="1566"/>
      <c r="K9" s="1566"/>
      <c r="L9" s="1566"/>
      <c r="M9" s="1566"/>
      <c r="N9" s="1566"/>
      <c r="O9" s="1566"/>
      <c r="P9" s="1566"/>
      <c r="Q9" s="1566"/>
      <c r="AK9" s="1301"/>
    </row>
    <row r="10" spans="1:38" s="691" customFormat="1" ht="15.75" x14ac:dyDescent="0.25">
      <c r="A10" s="64" t="str">
        <f t="shared" si="0"/>
        <v>01</v>
      </c>
      <c r="C10" s="2364"/>
      <c r="AK10" s="1301"/>
    </row>
    <row r="11" spans="1:38" s="691" customFormat="1" ht="43.15" customHeight="1" x14ac:dyDescent="0.25">
      <c r="A11" s="64" t="str">
        <f t="shared" si="0"/>
        <v>01</v>
      </c>
      <c r="C11" s="2611" t="s">
        <v>954</v>
      </c>
      <c r="D11" s="2611"/>
      <c r="E11" s="2611"/>
      <c r="F11" s="2611"/>
      <c r="G11" s="2611"/>
      <c r="H11" s="2611"/>
      <c r="I11" s="2611"/>
      <c r="J11" s="2611"/>
      <c r="K11" s="2611"/>
      <c r="L11" s="2611"/>
      <c r="M11" s="2611"/>
      <c r="N11" s="2611"/>
      <c r="O11" s="2611"/>
      <c r="P11" s="2611"/>
      <c r="Q11" s="2611"/>
      <c r="R11" s="2364"/>
      <c r="S11" s="1405"/>
      <c r="T11" s="1405"/>
      <c r="U11" s="1405"/>
      <c r="V11" s="1405"/>
      <c r="W11" s="1405"/>
      <c r="X11" s="1405"/>
      <c r="Y11" s="1405"/>
      <c r="Z11" s="1405"/>
      <c r="AA11" s="1405"/>
      <c r="AB11" s="1405"/>
      <c r="AC11" s="1405"/>
      <c r="AD11" s="1405"/>
      <c r="AE11" s="1405"/>
      <c r="AF11" s="1405"/>
      <c r="AG11" s="1405"/>
      <c r="AH11" s="1405"/>
      <c r="AI11" s="1405"/>
      <c r="AJ11" s="1405"/>
      <c r="AK11" s="1406"/>
      <c r="AL11" s="1405"/>
    </row>
    <row r="12" spans="1:38" s="691" customFormat="1" ht="9.6" customHeight="1" x14ac:dyDescent="0.25">
      <c r="A12" s="64"/>
      <c r="D12" s="11"/>
      <c r="E12" s="1403"/>
      <c r="F12" s="11"/>
      <c r="G12" s="11"/>
      <c r="H12" s="11"/>
      <c r="I12" s="11"/>
      <c r="J12" s="11"/>
      <c r="K12" s="11"/>
      <c r="L12" s="11"/>
      <c r="M12" s="11"/>
      <c r="N12" s="11"/>
      <c r="O12" s="1404"/>
      <c r="P12" s="1404"/>
      <c r="Q12" s="1404"/>
      <c r="R12" s="1405"/>
      <c r="S12" s="1405"/>
      <c r="T12" s="1405"/>
      <c r="U12" s="1405"/>
      <c r="V12" s="1405"/>
      <c r="W12" s="1405"/>
      <c r="X12" s="1405"/>
      <c r="Y12" s="1405"/>
      <c r="Z12" s="1405"/>
      <c r="AA12" s="1405"/>
      <c r="AB12" s="1405"/>
      <c r="AC12" s="1405"/>
      <c r="AD12" s="1405"/>
      <c r="AE12" s="1405"/>
      <c r="AF12" s="1405"/>
      <c r="AG12" s="1405"/>
      <c r="AH12" s="1405"/>
      <c r="AI12" s="1405"/>
      <c r="AJ12" s="1405"/>
      <c r="AK12" s="1406"/>
      <c r="AL12" s="1405"/>
    </row>
    <row r="13" spans="1:38" s="691" customFormat="1" ht="15.75" x14ac:dyDescent="0.25">
      <c r="A13" s="64" t="str">
        <f t="shared" si="0"/>
        <v>01</v>
      </c>
      <c r="C13" s="753" t="s">
        <v>955</v>
      </c>
      <c r="D13" s="138"/>
      <c r="E13" s="2300"/>
      <c r="F13" s="138"/>
      <c r="G13" s="138"/>
      <c r="H13" s="138"/>
      <c r="I13" s="138"/>
      <c r="J13" s="138"/>
      <c r="K13" s="138"/>
      <c r="L13" s="138"/>
      <c r="M13" s="138"/>
      <c r="N13" s="138"/>
      <c r="AK13" s="1301"/>
    </row>
    <row r="14" spans="1:38" s="691" customFormat="1" ht="15.75" x14ac:dyDescent="0.25">
      <c r="A14" s="64" t="str">
        <f t="shared" si="0"/>
        <v>01</v>
      </c>
      <c r="C14" s="694" t="s">
        <v>878</v>
      </c>
      <c r="D14" s="138"/>
      <c r="E14" s="2300"/>
      <c r="F14" s="138"/>
      <c r="G14" s="138"/>
      <c r="H14" s="138"/>
      <c r="I14" s="138"/>
      <c r="J14" s="138"/>
      <c r="K14" s="138"/>
      <c r="L14" s="138"/>
      <c r="M14" s="138"/>
      <c r="N14" s="138"/>
      <c r="AK14" s="1301" t="s">
        <v>50</v>
      </c>
    </row>
    <row r="15" spans="1:38" s="691" customFormat="1" ht="15.75" x14ac:dyDescent="0.25">
      <c r="A15" s="64" t="str">
        <f t="shared" si="0"/>
        <v>01</v>
      </c>
      <c r="C15" s="753" t="s">
        <v>956</v>
      </c>
      <c r="D15" s="138"/>
      <c r="E15" s="2300"/>
      <c r="F15" s="138"/>
      <c r="G15" s="138"/>
      <c r="H15" s="138"/>
      <c r="I15" s="138"/>
      <c r="J15" s="138"/>
      <c r="K15" s="138"/>
      <c r="L15" s="138"/>
      <c r="M15" s="138"/>
      <c r="N15" s="138"/>
      <c r="AK15" s="1301"/>
    </row>
    <row r="16" spans="1:38" s="691" customFormat="1" ht="27.6" customHeight="1" x14ac:dyDescent="0.25">
      <c r="A16" s="64" t="str">
        <f t="shared" si="0"/>
        <v>01</v>
      </c>
      <c r="C16" s="2610" t="s">
        <v>957</v>
      </c>
      <c r="D16" s="2610"/>
      <c r="E16" s="2610"/>
      <c r="F16" s="2610"/>
      <c r="G16" s="2610"/>
      <c r="H16" s="2610"/>
      <c r="I16" s="2610"/>
      <c r="J16" s="2610"/>
      <c r="K16" s="2610"/>
      <c r="L16" s="2610"/>
      <c r="M16" s="2610"/>
      <c r="N16" s="2610"/>
      <c r="O16" s="2610"/>
      <c r="P16" s="2610"/>
      <c r="Q16" s="2610"/>
      <c r="AK16" s="1301"/>
    </row>
    <row r="17" spans="1:37" s="691" customFormat="1" ht="3.6" customHeight="1" x14ac:dyDescent="0.25">
      <c r="A17" s="64"/>
      <c r="C17" s="753"/>
      <c r="D17" s="138"/>
      <c r="E17" s="2300"/>
      <c r="F17" s="138"/>
      <c r="G17" s="138"/>
      <c r="H17" s="138"/>
      <c r="I17" s="138"/>
      <c r="J17" s="138"/>
      <c r="K17" s="138"/>
      <c r="L17" s="138"/>
      <c r="M17" s="138"/>
      <c r="N17" s="138"/>
      <c r="AK17" s="1301"/>
    </row>
    <row r="18" spans="1:37" s="691" customFormat="1" ht="4.1500000000000004" hidden="1" customHeight="1" x14ac:dyDescent="0.25">
      <c r="A18" s="64"/>
      <c r="C18" s="138"/>
      <c r="D18" s="138"/>
      <c r="E18" s="138"/>
      <c r="F18" s="138"/>
      <c r="G18" s="138"/>
      <c r="H18" s="138"/>
      <c r="I18" s="138"/>
      <c r="J18" s="138"/>
      <c r="K18" s="138"/>
      <c r="L18" s="138"/>
      <c r="M18" s="138"/>
      <c r="N18" s="138"/>
      <c r="O18" s="138"/>
      <c r="P18" s="138"/>
      <c r="Q18" s="138"/>
      <c r="R18" s="138"/>
      <c r="AK18" s="1301"/>
    </row>
    <row r="19" spans="1:37" s="691" customFormat="1" ht="15.75" x14ac:dyDescent="0.25">
      <c r="A19" s="64"/>
      <c r="C19" s="1" t="s">
        <v>882</v>
      </c>
      <c r="D19" s="1" t="s">
        <v>883</v>
      </c>
      <c r="E19" s="138"/>
      <c r="G19" s="138"/>
      <c r="H19" s="138"/>
      <c r="I19" s="138"/>
      <c r="J19" s="138"/>
      <c r="K19" s="138"/>
      <c r="L19" s="138"/>
      <c r="M19" s="138"/>
      <c r="N19" s="138"/>
      <c r="O19" s="138"/>
      <c r="P19" s="138"/>
      <c r="Q19" s="138"/>
      <c r="R19" s="138"/>
      <c r="AK19" s="1301"/>
    </row>
    <row r="20" spans="1:37" s="691" customFormat="1" ht="15.75" x14ac:dyDescent="0.25">
      <c r="A20" s="64" t="str">
        <f t="shared" si="0"/>
        <v>01</v>
      </c>
      <c r="C20" s="138"/>
      <c r="D20" s="138" t="s">
        <v>958</v>
      </c>
      <c r="E20" s="138"/>
      <c r="F20" s="138"/>
      <c r="G20" s="138"/>
      <c r="H20" s="138"/>
      <c r="I20" s="138"/>
      <c r="J20" s="138"/>
      <c r="K20" s="138"/>
      <c r="L20" s="138"/>
      <c r="M20" s="138"/>
      <c r="N20" s="138"/>
      <c r="O20" s="138"/>
      <c r="P20" s="138"/>
      <c r="Q20" s="138"/>
      <c r="R20" s="138"/>
      <c r="AK20" s="1301"/>
    </row>
    <row r="21" spans="1:37" s="691" customFormat="1" ht="15.75" x14ac:dyDescent="0.25">
      <c r="A21" s="64" t="str">
        <f t="shared" si="0"/>
        <v>01</v>
      </c>
      <c r="C21" s="138"/>
      <c r="D21" s="138"/>
      <c r="E21" s="138"/>
      <c r="F21" s="1300"/>
      <c r="G21" s="2609" t="s">
        <v>885</v>
      </c>
      <c r="H21" s="2609"/>
      <c r="I21" s="2609"/>
      <c r="J21" s="1299"/>
      <c r="K21" s="2609" t="s">
        <v>886</v>
      </c>
      <c r="L21" s="2609"/>
      <c r="M21" s="2609"/>
      <c r="N21" s="1299"/>
      <c r="O21" s="2609" t="s">
        <v>887</v>
      </c>
      <c r="P21" s="2609"/>
      <c r="Q21" s="2609"/>
      <c r="R21" s="138"/>
      <c r="AK21" s="1301"/>
    </row>
    <row r="22" spans="1:37" s="691" customFormat="1" ht="15.75" x14ac:dyDescent="0.25">
      <c r="A22" s="64" t="str">
        <f t="shared" si="0"/>
        <v>01</v>
      </c>
      <c r="C22" s="138"/>
      <c r="D22" s="2287" t="s">
        <v>959</v>
      </c>
      <c r="E22" s="2300"/>
      <c r="F22" s="2287"/>
      <c r="G22" s="2289" t="s">
        <v>960</v>
      </c>
      <c r="H22" s="2289"/>
      <c r="I22" s="2289" t="s">
        <v>961</v>
      </c>
      <c r="J22" s="2289"/>
      <c r="K22" s="2289" t="s">
        <v>960</v>
      </c>
      <c r="L22" s="2289"/>
      <c r="M22" s="2289" t="s">
        <v>961</v>
      </c>
      <c r="N22" s="2289"/>
      <c r="O22" s="2289" t="s">
        <v>960</v>
      </c>
      <c r="P22" s="2289"/>
      <c r="Q22" s="2289" t="s">
        <v>961</v>
      </c>
      <c r="R22" s="138"/>
      <c r="AK22" s="1301"/>
    </row>
    <row r="23" spans="1:37" s="691" customFormat="1" ht="15.6" customHeight="1" x14ac:dyDescent="0.25">
      <c r="A23" s="64" t="str">
        <f t="shared" si="0"/>
        <v>01</v>
      </c>
      <c r="C23" s="138"/>
      <c r="D23" s="2287" t="s">
        <v>891</v>
      </c>
      <c r="E23" s="2300"/>
      <c r="F23" s="138"/>
      <c r="G23" s="2607" t="s">
        <v>892</v>
      </c>
      <c r="H23" s="2607"/>
      <c r="I23" s="2607"/>
      <c r="J23" s="138"/>
      <c r="K23" s="2608" t="s">
        <v>893</v>
      </c>
      <c r="L23" s="2608"/>
      <c r="M23" s="2608"/>
      <c r="N23" s="2287"/>
      <c r="O23" s="2607" t="s">
        <v>894</v>
      </c>
      <c r="P23" s="2607"/>
      <c r="Q23" s="2607"/>
      <c r="R23" s="138"/>
      <c r="AK23" s="1301"/>
    </row>
    <row r="24" spans="1:37" s="691" customFormat="1" ht="15.75" x14ac:dyDescent="0.25">
      <c r="A24" s="64" t="str">
        <f t="shared" si="0"/>
        <v>01</v>
      </c>
      <c r="C24" s="138"/>
      <c r="D24" s="2317" t="s">
        <v>895</v>
      </c>
      <c r="E24" s="2300"/>
      <c r="F24" s="138"/>
      <c r="G24" s="2317" t="s">
        <v>896</v>
      </c>
      <c r="H24" s="2287"/>
      <c r="I24" s="2317" t="s">
        <v>897</v>
      </c>
      <c r="J24" s="138"/>
      <c r="K24" s="2317" t="s">
        <v>896</v>
      </c>
      <c r="L24" s="2287"/>
      <c r="M24" s="2317" t="s">
        <v>897</v>
      </c>
      <c r="N24" s="2287"/>
      <c r="O24" s="2317" t="s">
        <v>896</v>
      </c>
      <c r="P24" s="2287"/>
      <c r="Q24" s="2317" t="s">
        <v>897</v>
      </c>
      <c r="R24" s="138"/>
      <c r="AK24" s="1301"/>
    </row>
    <row r="25" spans="1:37" s="691" customFormat="1" ht="15.75" hidden="1" x14ac:dyDescent="0.25">
      <c r="A25" s="64" t="str">
        <f t="shared" si="0"/>
        <v>01</v>
      </c>
      <c r="C25" s="138"/>
      <c r="D25" s="2287"/>
      <c r="E25" s="2300"/>
      <c r="F25" s="138"/>
      <c r="G25" s="692" t="s">
        <v>898</v>
      </c>
      <c r="H25" s="692"/>
      <c r="I25" s="692"/>
      <c r="J25" s="138"/>
      <c r="K25" s="692" t="s">
        <v>899</v>
      </c>
      <c r="L25" s="692"/>
      <c r="M25" s="692"/>
      <c r="N25" s="2287"/>
      <c r="O25" s="692" t="s">
        <v>900</v>
      </c>
      <c r="P25" s="692"/>
      <c r="Q25" s="692"/>
      <c r="R25" s="138"/>
      <c r="AK25" s="1301"/>
    </row>
    <row r="26" spans="1:37" s="691" customFormat="1" ht="15.75" x14ac:dyDescent="0.25">
      <c r="A26" s="64" t="str">
        <f t="shared" si="0"/>
        <v>01</v>
      </c>
      <c r="B26" s="691">
        <v>105</v>
      </c>
      <c r="C26" s="138"/>
      <c r="D26" s="2300">
        <f>+YEAR(Data!$A$2)+1</f>
        <v>2025</v>
      </c>
      <c r="E26" s="2300"/>
      <c r="F26" s="1567"/>
      <c r="G26" s="1568"/>
      <c r="H26" s="1830"/>
      <c r="I26" s="2331"/>
      <c r="J26" s="1567"/>
      <c r="K26" s="1568"/>
      <c r="L26" s="1830"/>
      <c r="M26" s="2331"/>
      <c r="N26" s="1567"/>
      <c r="O26" s="1568"/>
      <c r="P26" s="1830"/>
      <c r="Q26" s="1568"/>
      <c r="R26" s="138"/>
      <c r="S26" s="691">
        <f>+_Agy302</f>
        <v>0</v>
      </c>
      <c r="T26" s="691" t="s">
        <v>901</v>
      </c>
      <c r="U26" s="1569" t="e">
        <f>+#REF!</f>
        <v>#REF!</v>
      </c>
      <c r="V26" s="1569" t="e">
        <f>+#REF!</f>
        <v>#REF!</v>
      </c>
      <c r="W26" s="1569" t="e">
        <f>+#REF!</f>
        <v>#REF!</v>
      </c>
      <c r="X26" s="1569" t="e">
        <f>+#REF!</f>
        <v>#REF!</v>
      </c>
      <c r="Y26" s="1569" t="e">
        <f>+#REF!</f>
        <v>#REF!</v>
      </c>
      <c r="Z26" s="1569" t="e">
        <f>+#REF!</f>
        <v>#REF!</v>
      </c>
      <c r="AA26" s="1569" t="e">
        <f>+#REF!</f>
        <v>#REF!</v>
      </c>
      <c r="AB26" s="1569" t="e">
        <f>+#REF!</f>
        <v>#REF!</v>
      </c>
      <c r="AC26" s="1569" t="e">
        <f>+#REF!</f>
        <v>#REF!</v>
      </c>
      <c r="AD26" s="1569" t="e">
        <f>+#REF!</f>
        <v>#REF!</v>
      </c>
      <c r="AE26" s="1569" t="e">
        <f>+#REF!</f>
        <v>#REF!</v>
      </c>
      <c r="AF26" s="1569" t="e">
        <f>+#REF!</f>
        <v>#REF!</v>
      </c>
      <c r="AG26" s="1569" t="e">
        <f>+#REF!</f>
        <v>#REF!</v>
      </c>
      <c r="AH26" s="1569" t="e">
        <f>+#REF!</f>
        <v>#REF!</v>
      </c>
      <c r="AK26" s="1301" t="s">
        <v>902</v>
      </c>
    </row>
    <row r="27" spans="1:37" s="691" customFormat="1" ht="15.75" x14ac:dyDescent="0.25">
      <c r="A27" s="64" t="str">
        <f t="shared" si="0"/>
        <v>01</v>
      </c>
      <c r="B27" s="691">
        <v>110</v>
      </c>
      <c r="C27" s="138"/>
      <c r="D27" s="2300">
        <f>D26+1</f>
        <v>2026</v>
      </c>
      <c r="E27" s="2300"/>
      <c r="F27" s="1567"/>
      <c r="G27" s="1568"/>
      <c r="H27" s="1830"/>
      <c r="I27" s="2331"/>
      <c r="J27" s="1567"/>
      <c r="K27" s="1568"/>
      <c r="L27" s="1830"/>
      <c r="M27" s="2331"/>
      <c r="N27" s="1567"/>
      <c r="O27" s="1568"/>
      <c r="P27" s="1830"/>
      <c r="Q27" s="1568"/>
      <c r="R27" s="138"/>
      <c r="S27" s="691">
        <f>+S26</f>
        <v>0</v>
      </c>
      <c r="T27" s="691" t="s">
        <v>903</v>
      </c>
      <c r="U27" s="1569" t="e">
        <f>+#REF!+$G$26+$K$26+$O$26</f>
        <v>#REF!</v>
      </c>
      <c r="V27" s="1569" t="e">
        <f>+#REF!+$G$27+$K$27+$O$27</f>
        <v>#REF!</v>
      </c>
      <c r="W27" s="1569" t="e">
        <f>+#REF!+$G$28+$K$28+$O$28</f>
        <v>#REF!</v>
      </c>
      <c r="X27" s="1569" t="e">
        <f>+#REF!+$G$29+$K$29+$O$29</f>
        <v>#REF!</v>
      </c>
      <c r="Y27" s="1569" t="e">
        <f>+#REF!+$G$30+$K$30+$O$30</f>
        <v>#REF!</v>
      </c>
      <c r="Z27" s="1569" t="e">
        <f>+#REF!+$G$31+$K$31+$O$31</f>
        <v>#REF!</v>
      </c>
      <c r="AA27" s="1569" t="e">
        <f>+#REF!+$G$32+$K$32+$O$32</f>
        <v>#REF!</v>
      </c>
      <c r="AB27" s="1569" t="e">
        <f>+#REF!+$G$33+$K$33+$O$33</f>
        <v>#REF!</v>
      </c>
      <c r="AC27" s="1569" t="e">
        <f>+#REF!+$G$34+$K$34+$O$34</f>
        <v>#REF!</v>
      </c>
      <c r="AD27" s="1569" t="e">
        <f>+#REF!+$G$35+$K$35+$O$35</f>
        <v>#REF!</v>
      </c>
      <c r="AE27" s="1569" t="e">
        <f>+#REF!+$G$36+$K$36+$O$36</f>
        <v>#REF!</v>
      </c>
      <c r="AF27" s="1569" t="e">
        <f>+#REF!+$G$37+$K$37+$O$37</f>
        <v>#REF!</v>
      </c>
      <c r="AG27" s="1569" t="e">
        <f>+#REF!+$G$38+$K$38+$O$38</f>
        <v>#REF!</v>
      </c>
      <c r="AH27" s="1569" t="e">
        <f>+#REF!+$G$39+$K$39+$O$39</f>
        <v>#REF!</v>
      </c>
      <c r="AI27" s="1569" t="e">
        <f>+#REF!+#REF!+#REF!+#REF!</f>
        <v>#REF!</v>
      </c>
      <c r="AK27" s="1301" t="s">
        <v>904</v>
      </c>
    </row>
    <row r="28" spans="1:37" s="691" customFormat="1" ht="15.75" x14ac:dyDescent="0.25">
      <c r="A28" s="64" t="str">
        <f t="shared" si="0"/>
        <v>01</v>
      </c>
      <c r="B28" s="691">
        <v>115</v>
      </c>
      <c r="C28" s="138"/>
      <c r="D28" s="2300">
        <f>D27+1</f>
        <v>2027</v>
      </c>
      <c r="E28" s="2300"/>
      <c r="F28" s="1567"/>
      <c r="G28" s="1568"/>
      <c r="H28" s="1830"/>
      <c r="I28" s="2331"/>
      <c r="J28" s="1567"/>
      <c r="K28" s="1568"/>
      <c r="L28" s="1830"/>
      <c r="M28" s="2331"/>
      <c r="N28" s="1567"/>
      <c r="O28" s="1568"/>
      <c r="P28" s="1830"/>
      <c r="Q28" s="1568"/>
      <c r="R28" s="138"/>
      <c r="U28" s="1569"/>
      <c r="AK28" s="1301" t="s">
        <v>905</v>
      </c>
    </row>
    <row r="29" spans="1:37" s="691" customFormat="1" ht="15.75" x14ac:dyDescent="0.25">
      <c r="A29" s="64" t="str">
        <f t="shared" si="0"/>
        <v>01</v>
      </c>
      <c r="B29" s="691">
        <v>120</v>
      </c>
      <c r="C29" s="138"/>
      <c r="D29" s="2300">
        <f>D28+1</f>
        <v>2028</v>
      </c>
      <c r="E29" s="2300"/>
      <c r="F29" s="1567"/>
      <c r="G29" s="1568"/>
      <c r="H29" s="1830"/>
      <c r="I29" s="2331"/>
      <c r="J29" s="1567"/>
      <c r="K29" s="1568"/>
      <c r="L29" s="1830"/>
      <c r="M29" s="2331"/>
      <c r="N29" s="1567"/>
      <c r="O29" s="1568"/>
      <c r="P29" s="1830"/>
      <c r="Q29" s="1568"/>
      <c r="R29" s="138"/>
      <c r="U29" s="1569"/>
      <c r="AK29" s="1301" t="s">
        <v>906</v>
      </c>
    </row>
    <row r="30" spans="1:37" s="691" customFormat="1" ht="15.75" x14ac:dyDescent="0.25">
      <c r="A30" s="64" t="str">
        <f t="shared" si="0"/>
        <v>01</v>
      </c>
      <c r="B30" s="691">
        <v>125</v>
      </c>
      <c r="C30" s="138"/>
      <c r="D30" s="2300">
        <f>D29+1</f>
        <v>2029</v>
      </c>
      <c r="E30" s="2300"/>
      <c r="F30" s="1567"/>
      <c r="G30" s="1568"/>
      <c r="H30" s="1830"/>
      <c r="I30" s="2331"/>
      <c r="J30" s="1567"/>
      <c r="K30" s="1568"/>
      <c r="L30" s="1830"/>
      <c r="M30" s="2331"/>
      <c r="N30" s="1567"/>
      <c r="O30" s="1568"/>
      <c r="P30" s="1830"/>
      <c r="Q30" s="1568"/>
      <c r="R30" s="138"/>
      <c r="U30" s="1569"/>
      <c r="AK30" s="1301" t="s">
        <v>907</v>
      </c>
    </row>
    <row r="31" spans="1:37" s="691" customFormat="1" ht="15.75" x14ac:dyDescent="0.25">
      <c r="A31" s="64" t="str">
        <f t="shared" si="0"/>
        <v>01</v>
      </c>
      <c r="B31" s="691">
        <v>130</v>
      </c>
      <c r="C31" s="1570">
        <f>D30+1</f>
        <v>2030</v>
      </c>
      <c r="D31" s="1571" t="str">
        <f>(C31)&amp;" - "&amp;(C31+4)</f>
        <v>2030 - 2034</v>
      </c>
      <c r="E31" s="2300"/>
      <c r="F31" s="1567"/>
      <c r="G31" s="1568"/>
      <c r="H31" s="1830"/>
      <c r="I31" s="2331"/>
      <c r="J31" s="1567"/>
      <c r="K31" s="1568"/>
      <c r="L31" s="1830"/>
      <c r="M31" s="2331"/>
      <c r="N31" s="1567"/>
      <c r="O31" s="1568"/>
      <c r="P31" s="1830"/>
      <c r="Q31" s="1568"/>
      <c r="R31" s="138"/>
      <c r="U31" s="1569"/>
      <c r="AK31" s="1301" t="s">
        <v>908</v>
      </c>
    </row>
    <row r="32" spans="1:37" s="691" customFormat="1" ht="15.75" x14ac:dyDescent="0.25">
      <c r="A32" s="64" t="str">
        <f t="shared" si="0"/>
        <v>01</v>
      </c>
      <c r="B32" s="691">
        <v>135</v>
      </c>
      <c r="C32" s="1570">
        <f t="shared" ref="C32:C40" si="1">C31+5</f>
        <v>2035</v>
      </c>
      <c r="D32" s="1571" t="str">
        <f>(C32)&amp;" - "&amp;(C32+4)</f>
        <v>2035 - 2039</v>
      </c>
      <c r="E32" s="2300"/>
      <c r="F32" s="1567"/>
      <c r="G32" s="1568">
        <v>0</v>
      </c>
      <c r="H32" s="1830"/>
      <c r="I32" s="2331"/>
      <c r="J32" s="1567"/>
      <c r="K32" s="1568">
        <v>0</v>
      </c>
      <c r="L32" s="1830"/>
      <c r="M32" s="2331"/>
      <c r="N32" s="1567"/>
      <c r="O32" s="1568">
        <v>0</v>
      </c>
      <c r="P32" s="1830"/>
      <c r="Q32" s="1568">
        <v>0</v>
      </c>
      <c r="R32" s="138"/>
      <c r="U32" s="1569"/>
      <c r="AK32" s="1301" t="s">
        <v>909</v>
      </c>
    </row>
    <row r="33" spans="1:37" s="691" customFormat="1" ht="15.75" x14ac:dyDescent="0.25">
      <c r="A33" s="64" t="str">
        <f t="shared" si="0"/>
        <v>01</v>
      </c>
      <c r="B33" s="691">
        <v>140</v>
      </c>
      <c r="C33" s="1570">
        <f t="shared" si="1"/>
        <v>2040</v>
      </c>
      <c r="D33" s="1571" t="str">
        <f>(C33)&amp;" - "&amp;(C33+4)</f>
        <v>2040 - 2044</v>
      </c>
      <c r="E33" s="2300"/>
      <c r="F33" s="1567"/>
      <c r="G33" s="1568"/>
      <c r="H33" s="1830"/>
      <c r="I33" s="2331"/>
      <c r="J33" s="1567"/>
      <c r="K33" s="1568">
        <v>0</v>
      </c>
      <c r="L33" s="1830"/>
      <c r="M33" s="2331"/>
      <c r="N33" s="1567"/>
      <c r="O33" s="1568">
        <v>0</v>
      </c>
      <c r="P33" s="1830"/>
      <c r="Q33" s="1568">
        <v>0</v>
      </c>
      <c r="R33" s="138"/>
      <c r="U33" s="1569"/>
      <c r="AK33" s="1301" t="s">
        <v>910</v>
      </c>
    </row>
    <row r="34" spans="1:37" s="691" customFormat="1" ht="15.75" x14ac:dyDescent="0.25">
      <c r="A34" s="64" t="str">
        <f t="shared" si="0"/>
        <v>01</v>
      </c>
      <c r="B34" s="691">
        <v>145</v>
      </c>
      <c r="C34" s="1570">
        <f t="shared" si="1"/>
        <v>2045</v>
      </c>
      <c r="D34" s="1571" t="str">
        <f t="shared" ref="D34:D39" si="2">(C34)&amp;" - "&amp;(C34+4)</f>
        <v>2045 - 2049</v>
      </c>
      <c r="E34" s="2300"/>
      <c r="F34" s="1567"/>
      <c r="G34" s="1568">
        <v>0</v>
      </c>
      <c r="H34" s="1830"/>
      <c r="I34" s="2331"/>
      <c r="J34" s="1567"/>
      <c r="K34" s="1568"/>
      <c r="L34" s="1830"/>
      <c r="M34" s="2331"/>
      <c r="N34" s="1567"/>
      <c r="O34" s="1568">
        <v>0</v>
      </c>
      <c r="P34" s="1830"/>
      <c r="Q34" s="1568">
        <v>0</v>
      </c>
      <c r="R34" s="138"/>
      <c r="U34" s="1569"/>
      <c r="AK34" s="1301" t="s">
        <v>911</v>
      </c>
    </row>
    <row r="35" spans="1:37" s="691" customFormat="1" ht="15.75" x14ac:dyDescent="0.25">
      <c r="A35" s="64" t="str">
        <f t="shared" si="0"/>
        <v>01</v>
      </c>
      <c r="B35" s="691">
        <v>150</v>
      </c>
      <c r="C35" s="1570">
        <f t="shared" si="1"/>
        <v>2050</v>
      </c>
      <c r="D35" s="1571" t="str">
        <f t="shared" si="2"/>
        <v>2050 - 2054</v>
      </c>
      <c r="E35" s="2300"/>
      <c r="F35" s="1567"/>
      <c r="G35" s="1568">
        <v>0</v>
      </c>
      <c r="H35" s="1830"/>
      <c r="I35" s="2331"/>
      <c r="J35" s="1567"/>
      <c r="K35" s="1568"/>
      <c r="L35" s="1830"/>
      <c r="M35" s="2331"/>
      <c r="N35" s="1567"/>
      <c r="O35" s="1568"/>
      <c r="P35" s="1830"/>
      <c r="Q35" s="1568"/>
      <c r="R35" s="138"/>
      <c r="U35" s="1569"/>
      <c r="AK35" s="1301" t="s">
        <v>912</v>
      </c>
    </row>
    <row r="36" spans="1:37" s="691" customFormat="1" ht="15.75" x14ac:dyDescent="0.25">
      <c r="A36" s="64" t="str">
        <f t="shared" si="0"/>
        <v>01</v>
      </c>
      <c r="B36" s="691">
        <v>155</v>
      </c>
      <c r="C36" s="1570">
        <f t="shared" si="1"/>
        <v>2055</v>
      </c>
      <c r="D36" s="1571" t="str">
        <f t="shared" si="2"/>
        <v>2055 - 2059</v>
      </c>
      <c r="E36" s="2300"/>
      <c r="F36" s="1567"/>
      <c r="G36" s="1568">
        <v>0</v>
      </c>
      <c r="H36" s="1830"/>
      <c r="I36" s="2331"/>
      <c r="J36" s="1567"/>
      <c r="K36" s="1568"/>
      <c r="L36" s="1830"/>
      <c r="M36" s="2331"/>
      <c r="N36" s="1567"/>
      <c r="O36" s="1568"/>
      <c r="P36" s="1830"/>
      <c r="Q36" s="1568"/>
      <c r="R36" s="138"/>
      <c r="U36" s="1569"/>
      <c r="AK36" s="1301" t="s">
        <v>913</v>
      </c>
    </row>
    <row r="37" spans="1:37" s="691" customFormat="1" ht="15.75" x14ac:dyDescent="0.25">
      <c r="A37" s="64" t="str">
        <f t="shared" si="0"/>
        <v>01</v>
      </c>
      <c r="B37" s="691">
        <v>160</v>
      </c>
      <c r="C37" s="1570">
        <f t="shared" si="1"/>
        <v>2060</v>
      </c>
      <c r="D37" s="1571" t="str">
        <f t="shared" si="2"/>
        <v>2060 - 2064</v>
      </c>
      <c r="E37" s="2300"/>
      <c r="F37" s="1567"/>
      <c r="G37" s="1568"/>
      <c r="H37" s="1830"/>
      <c r="I37" s="2331"/>
      <c r="J37" s="1567"/>
      <c r="K37" s="1568"/>
      <c r="L37" s="1830"/>
      <c r="M37" s="2331"/>
      <c r="N37" s="1567"/>
      <c r="O37" s="1568"/>
      <c r="P37" s="1830"/>
      <c r="Q37" s="1568"/>
      <c r="R37" s="138"/>
      <c r="U37" s="1569"/>
      <c r="AK37" s="1301" t="s">
        <v>914</v>
      </c>
    </row>
    <row r="38" spans="1:37" s="691" customFormat="1" ht="15.75" x14ac:dyDescent="0.25">
      <c r="A38" s="64" t="str">
        <f t="shared" si="0"/>
        <v>01</v>
      </c>
      <c r="B38" s="691">
        <v>165</v>
      </c>
      <c r="C38" s="1570">
        <f t="shared" si="1"/>
        <v>2065</v>
      </c>
      <c r="D38" s="1571" t="str">
        <f t="shared" si="2"/>
        <v>2065 - 2069</v>
      </c>
      <c r="E38" s="2300"/>
      <c r="F38" s="1567"/>
      <c r="G38" s="1568"/>
      <c r="H38" s="1830"/>
      <c r="I38" s="2331"/>
      <c r="J38" s="1567"/>
      <c r="K38" s="1568"/>
      <c r="L38" s="1830"/>
      <c r="M38" s="2331"/>
      <c r="N38" s="1567"/>
      <c r="O38" s="1568"/>
      <c r="P38" s="1830"/>
      <c r="Q38" s="1568"/>
      <c r="R38" s="138"/>
      <c r="U38" s="1569"/>
      <c r="AK38" s="1301" t="s">
        <v>915</v>
      </c>
    </row>
    <row r="39" spans="1:37" s="691" customFormat="1" ht="15.75" x14ac:dyDescent="0.25">
      <c r="A39" s="64" t="str">
        <f t="shared" si="0"/>
        <v>01</v>
      </c>
      <c r="B39" s="691">
        <v>170</v>
      </c>
      <c r="C39" s="1570">
        <f t="shared" si="1"/>
        <v>2070</v>
      </c>
      <c r="D39" s="1571" t="str">
        <f t="shared" si="2"/>
        <v>2070 - 2074</v>
      </c>
      <c r="E39" s="2300"/>
      <c r="F39" s="1567"/>
      <c r="G39" s="1572"/>
      <c r="H39" s="1830"/>
      <c r="I39" s="2331"/>
      <c r="J39" s="1567"/>
      <c r="K39" s="1572"/>
      <c r="L39" s="1830"/>
      <c r="M39" s="2331"/>
      <c r="N39" s="1567"/>
      <c r="O39" s="1572"/>
      <c r="P39" s="1830"/>
      <c r="Q39" s="1572"/>
      <c r="R39" s="138"/>
      <c r="U39" s="1569"/>
      <c r="AK39" s="1301" t="s">
        <v>916</v>
      </c>
    </row>
    <row r="40" spans="1:37" s="691" customFormat="1" ht="16.5" thickBot="1" x14ac:dyDescent="0.3">
      <c r="A40" s="64" t="str">
        <f t="shared" si="0"/>
        <v>01</v>
      </c>
      <c r="B40" s="691">
        <v>175</v>
      </c>
      <c r="C40" s="1570">
        <f t="shared" si="1"/>
        <v>2075</v>
      </c>
      <c r="D40" s="1571" t="str">
        <f>(C40)&amp;" - " &amp;"Beyond"</f>
        <v>2075 - Beyond</v>
      </c>
      <c r="E40" s="2300"/>
      <c r="F40" s="1567"/>
      <c r="G40" s="1573">
        <v>0</v>
      </c>
      <c r="H40" s="1830"/>
      <c r="I40" s="1573"/>
      <c r="J40" s="1567"/>
      <c r="K40" s="1573"/>
      <c r="L40" s="1830"/>
      <c r="M40" s="1573"/>
      <c r="N40" s="1567"/>
      <c r="O40" s="1573"/>
      <c r="P40" s="1830"/>
      <c r="Q40" s="1573"/>
      <c r="R40" s="138"/>
      <c r="U40" s="1569"/>
      <c r="AK40" s="1301" t="s">
        <v>917</v>
      </c>
    </row>
    <row r="41" spans="1:37" s="691" customFormat="1" ht="10.15" customHeight="1" x14ac:dyDescent="0.25">
      <c r="A41" s="64" t="str">
        <f t="shared" si="0"/>
        <v>01</v>
      </c>
      <c r="B41" s="691">
        <v>180</v>
      </c>
      <c r="C41" s="138"/>
      <c r="D41" s="138"/>
      <c r="E41" s="2300"/>
      <c r="F41" s="1567"/>
      <c r="G41" s="1567"/>
      <c r="H41" s="1831"/>
      <c r="I41" s="1567"/>
      <c r="J41" s="1567"/>
      <c r="K41" s="1567"/>
      <c r="L41" s="1831"/>
      <c r="M41" s="1567" t="s">
        <v>665</v>
      </c>
      <c r="N41" s="1567"/>
      <c r="O41" s="1831"/>
      <c r="P41" s="1567"/>
      <c r="Q41" s="1567"/>
      <c r="R41" s="138"/>
      <c r="AK41" s="1301"/>
    </row>
    <row r="42" spans="1:37" s="691" customFormat="1" ht="16.5" thickBot="1" x14ac:dyDescent="0.3">
      <c r="A42" s="64" t="str">
        <f t="shared" si="0"/>
        <v>01</v>
      </c>
      <c r="B42" s="691">
        <v>190</v>
      </c>
      <c r="C42" s="138"/>
      <c r="D42" s="138" t="s">
        <v>962</v>
      </c>
      <c r="E42" s="2300"/>
      <c r="F42" s="1567"/>
      <c r="G42" s="1574">
        <f>SUM(G26:G40)</f>
        <v>0</v>
      </c>
      <c r="H42" s="1831"/>
      <c r="I42" s="1574">
        <f>SUM(I26:I40)</f>
        <v>0</v>
      </c>
      <c r="J42" s="1567"/>
      <c r="K42" s="1574">
        <f>SUM(K26:K40)</f>
        <v>0</v>
      </c>
      <c r="L42" s="1831"/>
      <c r="M42" s="1574">
        <f>SUM(M26:M40)</f>
        <v>0</v>
      </c>
      <c r="N42" s="1567"/>
      <c r="O42" s="1574">
        <f>SUM(O26:O40)</f>
        <v>0</v>
      </c>
      <c r="P42" s="1831"/>
      <c r="Q42" s="1574">
        <f>SUM(Q26:Q40)</f>
        <v>0</v>
      </c>
      <c r="R42" s="138"/>
      <c r="AK42" s="1301"/>
    </row>
    <row r="43" spans="1:37" s="691" customFormat="1" ht="16.5" thickTop="1" x14ac:dyDescent="0.25">
      <c r="A43" s="64" t="str">
        <f t="shared" si="0"/>
        <v>01</v>
      </c>
      <c r="C43" s="138"/>
      <c r="D43" s="138"/>
      <c r="E43" s="138"/>
      <c r="F43" s="138"/>
      <c r="G43" s="138"/>
      <c r="H43" s="138"/>
      <c r="I43" s="138"/>
      <c r="J43" s="138"/>
      <c r="K43" s="138"/>
      <c r="L43" s="138"/>
      <c r="M43" s="138"/>
      <c r="N43" s="138"/>
      <c r="O43" s="138"/>
      <c r="P43" s="138"/>
      <c r="Q43" s="138"/>
      <c r="R43" s="138"/>
      <c r="AK43" s="1301"/>
    </row>
    <row r="44" spans="1:37" s="691" customFormat="1" ht="15.75" x14ac:dyDescent="0.25">
      <c r="A44" s="64"/>
      <c r="C44" s="2434" t="s">
        <v>963</v>
      </c>
      <c r="D44" s="1"/>
      <c r="E44" s="1"/>
      <c r="F44" s="1"/>
      <c r="G44" s="1833">
        <f>G42</f>
        <v>0</v>
      </c>
      <c r="H44" s="138"/>
      <c r="I44" s="1833"/>
      <c r="J44" s="138"/>
      <c r="K44" s="1833">
        <f>K42</f>
        <v>0</v>
      </c>
      <c r="L44" s="138"/>
      <c r="M44" s="1833"/>
      <c r="N44" s="138"/>
      <c r="O44" s="1833">
        <f>O42</f>
        <v>0</v>
      </c>
      <c r="P44" s="138"/>
      <c r="Q44" s="1833"/>
      <c r="R44" s="138"/>
      <c r="AK44" s="1301"/>
    </row>
    <row r="45" spans="1:37" s="691" customFormat="1" ht="15.75" x14ac:dyDescent="0.25">
      <c r="A45" s="64" t="str">
        <f t="shared" si="0"/>
        <v>01</v>
      </c>
      <c r="C45" s="138"/>
      <c r="D45" s="693" t="s">
        <v>964</v>
      </c>
      <c r="E45" s="138" t="s">
        <v>965</v>
      </c>
      <c r="F45" s="138"/>
      <c r="G45" s="138"/>
      <c r="H45" s="138"/>
      <c r="I45" s="138"/>
      <c r="J45" s="138"/>
      <c r="K45" s="138"/>
      <c r="L45" s="138"/>
      <c r="M45" s="138"/>
      <c r="N45" s="138"/>
      <c r="O45" s="138"/>
      <c r="P45" s="138"/>
      <c r="Q45" s="138"/>
      <c r="R45" s="138"/>
      <c r="AK45" s="1301"/>
    </row>
    <row r="46" spans="1:37" s="691" customFormat="1" ht="15.75" x14ac:dyDescent="0.25">
      <c r="A46" s="64"/>
      <c r="C46" s="751" t="s">
        <v>922</v>
      </c>
      <c r="D46" s="403" t="s">
        <v>966</v>
      </c>
      <c r="E46" s="403"/>
      <c r="F46" s="403"/>
      <c r="G46" s="403"/>
      <c r="H46" s="403"/>
      <c r="I46" s="403"/>
      <c r="J46" s="403"/>
      <c r="K46" s="403"/>
      <c r="L46" s="403"/>
      <c r="M46" s="403"/>
      <c r="N46" s="403"/>
      <c r="O46" s="403"/>
      <c r="P46" s="403"/>
      <c r="Q46" s="403"/>
      <c r="R46" s="138"/>
      <c r="AK46" s="1301"/>
    </row>
    <row r="47" spans="1:37" s="691" customFormat="1" ht="15.75" x14ac:dyDescent="0.25">
      <c r="A47" s="64"/>
      <c r="C47" s="751"/>
      <c r="D47" s="752" t="s">
        <v>967</v>
      </c>
      <c r="E47" s="138"/>
      <c r="F47" s="138"/>
      <c r="G47" s="138"/>
      <c r="H47" s="138"/>
      <c r="I47" s="138"/>
      <c r="J47" s="138"/>
      <c r="K47" s="138"/>
      <c r="L47" s="138"/>
      <c r="M47" s="138"/>
      <c r="N47" s="138"/>
      <c r="O47" s="138"/>
      <c r="P47" s="138"/>
      <c r="Q47" s="138"/>
      <c r="R47" s="138"/>
      <c r="AK47" s="1301"/>
    </row>
    <row r="48" spans="1:37" s="691" customFormat="1" ht="15.75" x14ac:dyDescent="0.25">
      <c r="A48" s="64"/>
      <c r="C48" s="751"/>
      <c r="D48" s="752"/>
      <c r="E48" s="138"/>
      <c r="F48" s="138"/>
      <c r="G48" s="138"/>
      <c r="H48" s="138"/>
      <c r="I48" s="138"/>
      <c r="J48" s="138"/>
      <c r="K48" s="138"/>
      <c r="L48" s="138"/>
      <c r="M48" s="138"/>
      <c r="N48" s="138"/>
      <c r="O48" s="138"/>
      <c r="P48" s="138"/>
      <c r="Q48" s="138"/>
      <c r="R48" s="138"/>
      <c r="AK48" s="1301"/>
    </row>
    <row r="49" spans="1:37" s="691" customFormat="1" ht="15.75" x14ac:dyDescent="0.25">
      <c r="A49" s="64" t="str">
        <f t="shared" si="0"/>
        <v>01</v>
      </c>
      <c r="C49" s="1467" t="s">
        <v>968</v>
      </c>
      <c r="D49" s="688"/>
      <c r="E49" s="688"/>
      <c r="F49" s="688"/>
      <c r="G49" s="1467"/>
      <c r="H49" s="1467"/>
      <c r="I49" s="1467"/>
      <c r="J49" s="1467"/>
      <c r="K49" s="1467"/>
      <c r="L49" s="1467"/>
      <c r="M49" s="1467"/>
      <c r="N49" s="1467"/>
      <c r="O49" s="1467"/>
      <c r="P49" s="1467"/>
      <c r="Q49" s="1467"/>
      <c r="R49" s="1467"/>
      <c r="AK49" s="1301"/>
    </row>
  </sheetData>
  <sheetProtection algorithmName="SHA-512" hashValue="TQn0Y8JM4pth4T90s+PEyEmxX5ps9a+m+ekWcXMzTcwprKPqcPS5JYf2TH0BDm+1p8iWBxK3ocD6hObbgTL3eA==" saltValue="F6abBQtiEfrKnR9BK5G4bQ==" spinCount="100000" sheet="1" autoFilter="0"/>
  <mergeCells count="16">
    <mergeCell ref="G23:I23"/>
    <mergeCell ref="K23:M23"/>
    <mergeCell ref="O23:Q23"/>
    <mergeCell ref="C1:O1"/>
    <mergeCell ref="R1:R3"/>
    <mergeCell ref="C2:O2"/>
    <mergeCell ref="C3:O3"/>
    <mergeCell ref="C16:Q16"/>
    <mergeCell ref="C11:Q11"/>
    <mergeCell ref="N5:Q5"/>
    <mergeCell ref="N6:Q6"/>
    <mergeCell ref="N7:Q7"/>
    <mergeCell ref="N8:Q8"/>
    <mergeCell ref="G21:I21"/>
    <mergeCell ref="K21:M21"/>
    <mergeCell ref="O21:Q21"/>
  </mergeCells>
  <conditionalFormatting sqref="R1:R3">
    <cfRule type="cellIs" dxfId="136" priority="2" stopIfTrue="1" operator="equal">
      <formula>"na"</formula>
    </cfRule>
  </conditionalFormatting>
  <conditionalFormatting sqref="AJ1:AJ3">
    <cfRule type="cellIs" dxfId="135" priority="1" stopIfTrue="1" operator="equal">
      <formula>"na"</formula>
    </cfRule>
  </conditionalFormatting>
  <dataValidations count="1">
    <dataValidation type="decimal" operator="greaterThanOrEqual" allowBlank="1" showInputMessage="1" showErrorMessage="1" errorTitle="Invalid amount!" error="Amount must be positive." sqref="I26:I39 M26:M39" xr:uid="{A4C0B4F1-17F2-46A1-9794-E9FE8C3E4863}">
      <formula1>0</formula1>
    </dataValidation>
  </dataValidations>
  <hyperlinks>
    <hyperlink ref="C1:O1" location="Index!A1" display="Index!A1" xr:uid="{35C740DE-1D10-465E-AEF4-012390FD4170}"/>
  </hyperlinks>
  <pageMargins left="0.6" right="0.6" top="0.5" bottom="0.5" header="0.3" footer="0.3"/>
  <pageSetup scale="73"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F3D23-4D4E-404B-B801-57B32C36BDF0}">
  <sheetPr codeName="Sheet37">
    <pageSetUpPr fitToPage="1"/>
  </sheetPr>
  <dimension ref="A1:AM64"/>
  <sheetViews>
    <sheetView showGridLines="0" topLeftCell="C1" zoomScaleNormal="100" workbookViewId="0">
      <selection activeCell="C17" sqref="C17"/>
    </sheetView>
  </sheetViews>
  <sheetFormatPr defaultColWidth="9.42578125" defaultRowHeight="12.75" x14ac:dyDescent="0.2"/>
  <cols>
    <col min="1" max="1" width="7" style="31" hidden="1" customWidth="1"/>
    <col min="2" max="2" width="7.85546875" style="31" hidden="1" customWidth="1"/>
    <col min="3" max="3" width="2.5703125" style="31" customWidth="1"/>
    <col min="4" max="4" width="17.140625" style="31" customWidth="1"/>
    <col min="5" max="5" width="9.28515625" style="31" customWidth="1"/>
    <col min="6" max="6" width="14.28515625" style="31" customWidth="1"/>
    <col min="7" max="7" width="4.28515625" style="31" customWidth="1"/>
    <col min="8" max="8" width="15.5703125" style="31" bestFit="1" customWidth="1"/>
    <col min="9" max="9" width="1" style="31" customWidth="1"/>
    <col min="10" max="10" width="17.140625" style="31" customWidth="1"/>
    <col min="11" max="11" width="3.28515625" style="31" customWidth="1"/>
    <col min="12" max="12" width="16.5703125" style="31" customWidth="1"/>
    <col min="13" max="13" width="1.7109375" style="31" customWidth="1"/>
    <col min="14" max="14" width="16.5703125" style="31" customWidth="1"/>
    <col min="15" max="15" width="4" style="31" customWidth="1"/>
    <col min="16" max="16" width="16.5703125" style="31" customWidth="1"/>
    <col min="17" max="17" width="1.5703125" style="31" customWidth="1"/>
    <col min="18" max="18" width="16.5703125" style="31" customWidth="1"/>
    <col min="19" max="19" width="4" style="31" customWidth="1"/>
    <col min="20" max="20" width="4.42578125" style="31" hidden="1" customWidth="1"/>
    <col min="21" max="21" width="9.5703125" style="31" hidden="1" customWidth="1"/>
    <col min="22" max="22" width="10.5703125" style="31" hidden="1" customWidth="1"/>
    <col min="23" max="26" width="9.5703125" style="31" hidden="1" customWidth="1"/>
    <col min="27" max="35" width="10.5703125" style="31" hidden="1" customWidth="1"/>
    <col min="36" max="36" width="0" style="31" hidden="1" customWidth="1"/>
    <col min="37" max="37" width="9.42578125" style="31"/>
    <col min="38" max="38" width="13.42578125" style="1303" customWidth="1"/>
    <col min="39" max="16384" width="9.42578125" style="31"/>
  </cols>
  <sheetData>
    <row r="1" spans="1:39" s="64" customFormat="1" ht="25.15" customHeight="1" x14ac:dyDescent="0.25">
      <c r="A1" s="64" t="str">
        <f t="shared" ref="A1:A30" si="0">AgyIdx</f>
        <v>01</v>
      </c>
      <c r="C1" s="2553" t="str">
        <f>Index!A1</f>
        <v xml:space="preserve">                                                               Office of the State Controller                                                                </v>
      </c>
      <c r="D1" s="2553"/>
      <c r="E1" s="2553"/>
      <c r="F1" s="2553"/>
      <c r="G1" s="2553"/>
      <c r="H1" s="2553"/>
      <c r="I1" s="2553"/>
      <c r="J1" s="2553"/>
      <c r="K1" s="2553"/>
      <c r="L1" s="2553"/>
      <c r="M1" s="2553"/>
      <c r="N1" s="2553"/>
      <c r="O1" s="2553"/>
      <c r="P1" s="2553"/>
      <c r="Q1" s="2268"/>
      <c r="R1" s="2268"/>
      <c r="S1" s="2554"/>
      <c r="T1" s="65"/>
      <c r="U1" s="65"/>
      <c r="AK1" s="2269" t="str">
        <f>IF(Index!$B$29="na","NA","")</f>
        <v/>
      </c>
      <c r="AL1" s="1302"/>
    </row>
    <row r="2" spans="1:39" s="64" customFormat="1" ht="15" customHeight="1" x14ac:dyDescent="0.25">
      <c r="A2" s="64" t="str">
        <f t="shared" si="0"/>
        <v>01</v>
      </c>
      <c r="C2" s="2555" t="str">
        <f>Index!A2</f>
        <v>2024 ACFR Worksheets</v>
      </c>
      <c r="D2" s="2555"/>
      <c r="E2" s="2555"/>
      <c r="F2" s="2555"/>
      <c r="G2" s="2555"/>
      <c r="H2" s="2555"/>
      <c r="I2" s="2555"/>
      <c r="J2" s="2555"/>
      <c r="K2" s="2555"/>
      <c r="L2" s="2555"/>
      <c r="M2" s="2555"/>
      <c r="N2" s="2555"/>
      <c r="O2" s="2555"/>
      <c r="P2" s="2555"/>
      <c r="Q2" s="2270"/>
      <c r="R2" s="2270"/>
      <c r="S2" s="2554"/>
      <c r="T2" s="65"/>
      <c r="U2" s="65"/>
      <c r="AK2" s="2269"/>
      <c r="AL2" s="1302"/>
    </row>
    <row r="3" spans="1:39" s="64" customFormat="1" ht="15" customHeight="1" x14ac:dyDescent="0.25">
      <c r="A3" s="64" t="str">
        <f t="shared" si="0"/>
        <v>01</v>
      </c>
      <c r="C3" s="2555" t="s">
        <v>969</v>
      </c>
      <c r="D3" s="2555"/>
      <c r="E3" s="2555"/>
      <c r="F3" s="2555"/>
      <c r="G3" s="2555"/>
      <c r="H3" s="2555"/>
      <c r="I3" s="2555"/>
      <c r="J3" s="2555"/>
      <c r="K3" s="2555"/>
      <c r="L3" s="2555"/>
      <c r="M3" s="2555"/>
      <c r="N3" s="2555"/>
      <c r="O3" s="2555"/>
      <c r="P3" s="2555"/>
      <c r="Q3" s="2270"/>
      <c r="R3" s="2270"/>
      <c r="S3" s="2554"/>
      <c r="T3" s="65"/>
      <c r="U3" s="65"/>
      <c r="AK3" s="2269"/>
      <c r="AL3" s="1302"/>
    </row>
    <row r="4" spans="1:39" s="691" customFormat="1" ht="15" customHeight="1" x14ac:dyDescent="0.25">
      <c r="A4" s="64" t="str">
        <f t="shared" si="0"/>
        <v>01</v>
      </c>
      <c r="L4" s="406" t="s">
        <v>872</v>
      </c>
      <c r="M4" s="406"/>
      <c r="N4" s="406"/>
      <c r="AL4" s="1301"/>
    </row>
    <row r="5" spans="1:39" s="691" customFormat="1" ht="15" customHeight="1" x14ac:dyDescent="0.25">
      <c r="A5" s="64" t="str">
        <f t="shared" si="0"/>
        <v>01</v>
      </c>
      <c r="H5" s="1888"/>
      <c r="I5" s="1888"/>
      <c r="J5" s="1888"/>
      <c r="K5" s="1888"/>
      <c r="L5" s="1888"/>
      <c r="M5" s="27" t="s">
        <v>318</v>
      </c>
      <c r="N5" s="27"/>
      <c r="O5" s="2603" t="str">
        <f>+Index!$E$10</f>
        <v>01</v>
      </c>
      <c r="P5" s="2603"/>
      <c r="Q5" s="2603"/>
      <c r="R5" s="2603"/>
      <c r="AL5" s="1301"/>
    </row>
    <row r="6" spans="1:39" s="691" customFormat="1" ht="15" customHeight="1" x14ac:dyDescent="0.25">
      <c r="A6" s="64" t="str">
        <f t="shared" si="0"/>
        <v>01</v>
      </c>
      <c r="C6" s="691" t="s">
        <v>50</v>
      </c>
      <c r="D6" s="1315"/>
      <c r="E6" s="1918"/>
      <c r="F6" s="1373"/>
      <c r="H6" s="1888"/>
      <c r="I6" s="1888"/>
      <c r="J6" s="1888"/>
      <c r="K6" s="1888"/>
      <c r="L6" s="1888"/>
      <c r="M6" s="27" t="s">
        <v>319</v>
      </c>
      <c r="N6" s="27"/>
      <c r="O6" s="2604" t="str">
        <f>+Index!$E$11</f>
        <v>North Carolina General Assembly</v>
      </c>
      <c r="P6" s="2604"/>
      <c r="Q6" s="2604"/>
      <c r="R6" s="2604"/>
      <c r="AL6" s="1301"/>
    </row>
    <row r="7" spans="1:39" s="691" customFormat="1" ht="15" customHeight="1" x14ac:dyDescent="0.25">
      <c r="A7" s="64" t="str">
        <f t="shared" si="0"/>
        <v>01</v>
      </c>
      <c r="C7" s="691" t="s">
        <v>545</v>
      </c>
      <c r="E7" s="1407" t="s">
        <v>762</v>
      </c>
      <c r="H7" s="1889"/>
      <c r="I7" s="1889"/>
      <c r="J7" s="1889"/>
      <c r="K7" s="1889"/>
      <c r="L7" s="1889"/>
      <c r="M7" s="27" t="s">
        <v>320</v>
      </c>
      <c r="N7" s="27"/>
      <c r="O7" s="2605" t="str">
        <f>CONCATENATE(Index!$E$12," ",Index!$E$14)</f>
        <v xml:space="preserve"> </v>
      </c>
      <c r="P7" s="2605"/>
      <c r="Q7" s="2605"/>
      <c r="R7" s="2605"/>
      <c r="AL7" s="1301"/>
    </row>
    <row r="8" spans="1:39" s="691" customFormat="1" ht="15" customHeight="1" x14ac:dyDescent="0.25">
      <c r="A8" s="64" t="str">
        <f t="shared" si="0"/>
        <v>01</v>
      </c>
      <c r="H8" s="1889"/>
      <c r="I8" s="1889"/>
      <c r="J8" s="1889"/>
      <c r="K8" s="1889"/>
      <c r="L8" s="1889"/>
      <c r="M8" s="27" t="s">
        <v>168</v>
      </c>
      <c r="N8" s="27"/>
      <c r="O8" s="2605">
        <f>+Index!$E$13</f>
        <v>0</v>
      </c>
      <c r="P8" s="2605"/>
      <c r="Q8" s="2605"/>
      <c r="R8" s="2605"/>
      <c r="AL8" s="1301"/>
    </row>
    <row r="9" spans="1:39" s="691" customFormat="1" ht="9" customHeight="1" thickBot="1" x14ac:dyDescent="0.3">
      <c r="A9" s="64" t="str">
        <f t="shared" si="0"/>
        <v>01</v>
      </c>
      <c r="C9" s="1566"/>
      <c r="D9" s="1566"/>
      <c r="E9" s="1566"/>
      <c r="F9" s="1566"/>
      <c r="G9" s="1566"/>
      <c r="H9" s="1566"/>
      <c r="I9" s="1566"/>
      <c r="J9" s="1566"/>
      <c r="K9" s="1566"/>
      <c r="L9" s="1566"/>
      <c r="M9" s="1566"/>
      <c r="N9" s="1566"/>
      <c r="O9" s="1566"/>
      <c r="P9" s="1566"/>
      <c r="Q9" s="1829"/>
      <c r="R9" s="1829"/>
      <c r="AL9" s="1301"/>
    </row>
    <row r="10" spans="1:39" s="691" customFormat="1" ht="6" customHeight="1" x14ac:dyDescent="0.25">
      <c r="A10" s="64" t="str">
        <f t="shared" si="0"/>
        <v>01</v>
      </c>
      <c r="AL10" s="1301"/>
    </row>
    <row r="11" spans="1:39" s="691" customFormat="1" ht="15" customHeight="1" x14ac:dyDescent="0.25">
      <c r="A11" s="64" t="str">
        <f t="shared" si="0"/>
        <v>01</v>
      </c>
      <c r="C11" s="2364" t="s">
        <v>970</v>
      </c>
      <c r="D11" s="11"/>
      <c r="E11" s="1403"/>
      <c r="F11" s="11"/>
      <c r="G11" s="11"/>
      <c r="H11" s="11"/>
      <c r="I11" s="11"/>
      <c r="J11" s="11"/>
      <c r="K11" s="11"/>
      <c r="L11" s="11"/>
      <c r="M11" s="11"/>
      <c r="N11" s="11"/>
      <c r="O11" s="11"/>
      <c r="P11" s="1404"/>
      <c r="Q11" s="1404"/>
      <c r="R11" s="1404"/>
      <c r="S11" s="1405"/>
      <c r="T11" s="1405"/>
      <c r="U11" s="1405"/>
      <c r="V11" s="1405"/>
      <c r="W11" s="1405"/>
      <c r="X11" s="1405"/>
      <c r="Y11" s="1405"/>
      <c r="Z11" s="1405"/>
      <c r="AA11" s="1405"/>
      <c r="AB11" s="1405"/>
      <c r="AC11" s="1405"/>
      <c r="AD11" s="1405"/>
      <c r="AE11" s="1405"/>
      <c r="AF11" s="1405"/>
      <c r="AG11" s="1405"/>
      <c r="AH11" s="1405"/>
      <c r="AI11" s="1405"/>
      <c r="AJ11" s="1405"/>
      <c r="AL11" s="1406"/>
      <c r="AM11" s="1405"/>
    </row>
    <row r="12" spans="1:39" s="691" customFormat="1" ht="15" customHeight="1" x14ac:dyDescent="0.25">
      <c r="A12" s="64"/>
      <c r="C12" s="2364" t="s">
        <v>971</v>
      </c>
      <c r="D12" s="11"/>
      <c r="E12" s="1403"/>
      <c r="F12" s="11"/>
      <c r="G12" s="11"/>
      <c r="H12" s="11"/>
      <c r="I12" s="11"/>
      <c r="J12" s="11"/>
      <c r="K12" s="11"/>
      <c r="L12" s="11"/>
      <c r="M12" s="11"/>
      <c r="N12" s="11"/>
      <c r="O12" s="11"/>
      <c r="P12" s="1404"/>
      <c r="Q12" s="1404"/>
      <c r="R12" s="1404"/>
      <c r="S12" s="1405"/>
      <c r="T12" s="1405"/>
      <c r="U12" s="1405"/>
      <c r="V12" s="1405"/>
      <c r="W12" s="1405"/>
      <c r="X12" s="1405"/>
      <c r="Y12" s="1405"/>
      <c r="Z12" s="1405"/>
      <c r="AA12" s="1405"/>
      <c r="AB12" s="1405"/>
      <c r="AC12" s="1405"/>
      <c r="AD12" s="1405"/>
      <c r="AE12" s="1405"/>
      <c r="AF12" s="1405"/>
      <c r="AG12" s="1405"/>
      <c r="AH12" s="1405"/>
      <c r="AI12" s="1405"/>
      <c r="AJ12" s="1405"/>
      <c r="AL12" s="1406"/>
      <c r="AM12" s="1405"/>
    </row>
    <row r="13" spans="1:39" s="691" customFormat="1" ht="15" customHeight="1" x14ac:dyDescent="0.25">
      <c r="A13" s="64"/>
      <c r="C13" s="2364" t="s">
        <v>972</v>
      </c>
      <c r="D13" s="11"/>
      <c r="E13" s="1403"/>
      <c r="F13" s="11"/>
      <c r="G13" s="11"/>
      <c r="H13" s="11"/>
      <c r="I13" s="11"/>
      <c r="J13" s="11"/>
      <c r="K13" s="11"/>
      <c r="L13" s="11"/>
      <c r="M13" s="11"/>
      <c r="N13" s="11"/>
      <c r="O13" s="11"/>
      <c r="P13" s="1404"/>
      <c r="Q13" s="1404"/>
      <c r="R13" s="1404"/>
      <c r="S13" s="1405"/>
      <c r="T13" s="1405"/>
      <c r="U13" s="1405"/>
      <c r="V13" s="1405"/>
      <c r="W13" s="1405"/>
      <c r="X13" s="1405"/>
      <c r="Y13" s="1405"/>
      <c r="Z13" s="1405"/>
      <c r="AA13" s="1405"/>
      <c r="AB13" s="1405"/>
      <c r="AC13" s="1405"/>
      <c r="AD13" s="1405"/>
      <c r="AE13" s="1405"/>
      <c r="AF13" s="1405"/>
      <c r="AG13" s="1405"/>
      <c r="AH13" s="1405"/>
      <c r="AI13" s="1405"/>
      <c r="AJ13" s="1405"/>
      <c r="AL13" s="1406"/>
      <c r="AM13" s="1405"/>
    </row>
    <row r="14" spans="1:39" s="691" customFormat="1" ht="15" customHeight="1" x14ac:dyDescent="0.25">
      <c r="A14" s="64"/>
      <c r="C14" s="2364"/>
      <c r="D14" s="11"/>
      <c r="E14" s="1403"/>
      <c r="F14" s="11"/>
      <c r="G14" s="11"/>
      <c r="H14" s="11"/>
      <c r="I14" s="11"/>
      <c r="J14" s="11"/>
      <c r="K14" s="11"/>
      <c r="L14" s="11"/>
      <c r="M14" s="11"/>
      <c r="N14" s="11"/>
      <c r="O14" s="11"/>
      <c r="P14" s="1404"/>
      <c r="Q14" s="1404"/>
      <c r="R14" s="1404"/>
      <c r="S14" s="1405"/>
      <c r="T14" s="1405"/>
      <c r="U14" s="1405"/>
      <c r="V14" s="1405"/>
      <c r="W14" s="1405"/>
      <c r="X14" s="1405"/>
      <c r="Y14" s="1405"/>
      <c r="Z14" s="1405"/>
      <c r="AA14" s="1405"/>
      <c r="AB14" s="1405"/>
      <c r="AC14" s="1405"/>
      <c r="AD14" s="1405"/>
      <c r="AE14" s="1405"/>
      <c r="AF14" s="1405"/>
      <c r="AG14" s="1405"/>
      <c r="AH14" s="1405"/>
      <c r="AI14" s="1405"/>
      <c r="AJ14" s="1405"/>
      <c r="AL14" s="1406"/>
      <c r="AM14" s="1405"/>
    </row>
    <row r="15" spans="1:39" s="691" customFormat="1" ht="15" customHeight="1" x14ac:dyDescent="0.25">
      <c r="A15" s="64" t="str">
        <f t="shared" si="0"/>
        <v>01</v>
      </c>
      <c r="C15" s="753" t="s">
        <v>973</v>
      </c>
      <c r="D15" s="138"/>
      <c r="E15" s="2300"/>
      <c r="F15" s="138"/>
      <c r="G15" s="138"/>
      <c r="H15" s="138"/>
      <c r="I15" s="138"/>
      <c r="J15" s="138"/>
      <c r="K15" s="138"/>
      <c r="L15" s="138"/>
      <c r="M15" s="138"/>
      <c r="N15" s="138"/>
      <c r="O15" s="138"/>
      <c r="AL15" s="1301"/>
    </row>
    <row r="16" spans="1:39" s="691" customFormat="1" ht="13.5" customHeight="1" x14ac:dyDescent="0.25">
      <c r="A16" s="64" t="str">
        <f t="shared" si="0"/>
        <v>01</v>
      </c>
      <c r="C16" s="694" t="s">
        <v>878</v>
      </c>
      <c r="D16" s="138"/>
      <c r="E16" s="2300"/>
      <c r="F16" s="138"/>
      <c r="G16" s="138"/>
      <c r="H16" s="138"/>
      <c r="I16" s="138"/>
      <c r="J16" s="138"/>
      <c r="K16" s="138"/>
      <c r="L16" s="138"/>
      <c r="M16" s="138"/>
      <c r="N16" s="138"/>
      <c r="O16" s="138"/>
      <c r="AL16" s="1301"/>
    </row>
    <row r="17" spans="1:38" s="691" customFormat="1" ht="12" customHeight="1" x14ac:dyDescent="0.25">
      <c r="A17" s="64" t="str">
        <f t="shared" si="0"/>
        <v>01</v>
      </c>
      <c r="C17" s="753" t="s">
        <v>974</v>
      </c>
      <c r="D17" s="138"/>
      <c r="E17" s="2300"/>
      <c r="F17" s="138"/>
      <c r="G17" s="138"/>
      <c r="H17" s="138"/>
      <c r="I17" s="138"/>
      <c r="J17" s="138"/>
      <c r="K17" s="138"/>
      <c r="L17" s="138"/>
      <c r="M17" s="138"/>
      <c r="N17" s="138"/>
      <c r="O17" s="138"/>
      <c r="AL17" s="1301"/>
    </row>
    <row r="18" spans="1:38" s="691" customFormat="1" ht="12" customHeight="1" x14ac:dyDescent="0.25">
      <c r="A18" s="64" t="str">
        <f t="shared" si="0"/>
        <v>01</v>
      </c>
      <c r="C18" s="753" t="s">
        <v>975</v>
      </c>
      <c r="D18" s="138"/>
      <c r="E18" s="2300"/>
      <c r="F18" s="138"/>
      <c r="G18" s="138"/>
      <c r="H18" s="138"/>
      <c r="I18" s="138"/>
      <c r="J18" s="138"/>
      <c r="K18" s="138"/>
      <c r="L18" s="138"/>
      <c r="M18" s="138"/>
      <c r="N18" s="138"/>
      <c r="O18" s="138"/>
      <c r="AL18" s="1301"/>
    </row>
    <row r="19" spans="1:38" s="691" customFormat="1" ht="12" customHeight="1" x14ac:dyDescent="0.25">
      <c r="A19" s="64" t="str">
        <f t="shared" si="0"/>
        <v>01</v>
      </c>
      <c r="C19" s="753" t="s">
        <v>976</v>
      </c>
      <c r="D19" s="138"/>
      <c r="E19" s="2300"/>
      <c r="F19" s="138"/>
      <c r="G19" s="138"/>
      <c r="H19" s="138"/>
      <c r="I19" s="138"/>
      <c r="J19" s="138"/>
      <c r="K19" s="138"/>
      <c r="L19" s="138"/>
      <c r="M19" s="138"/>
      <c r="N19" s="138"/>
      <c r="O19" s="138"/>
      <c r="AL19" s="1301"/>
    </row>
    <row r="20" spans="1:38" s="691" customFormat="1" ht="3.6" customHeight="1" x14ac:dyDescent="0.25">
      <c r="A20" s="64"/>
      <c r="C20" s="138"/>
      <c r="D20" s="138"/>
      <c r="E20" s="138"/>
      <c r="F20" s="138"/>
      <c r="G20" s="138"/>
      <c r="H20" s="138"/>
      <c r="I20" s="138"/>
      <c r="J20" s="138"/>
      <c r="K20" s="138"/>
      <c r="L20" s="138"/>
      <c r="M20" s="138"/>
      <c r="N20" s="138"/>
      <c r="O20" s="138"/>
      <c r="P20" s="138"/>
      <c r="Q20" s="138"/>
      <c r="R20" s="138"/>
      <c r="S20" s="138"/>
      <c r="AL20" s="1301"/>
    </row>
    <row r="21" spans="1:38" s="691" customFormat="1" ht="13.15" customHeight="1" x14ac:dyDescent="0.25">
      <c r="A21" s="64"/>
      <c r="C21" s="1" t="s">
        <v>882</v>
      </c>
      <c r="D21" s="1" t="s">
        <v>977</v>
      </c>
      <c r="E21" s="138"/>
      <c r="F21" s="138"/>
      <c r="G21" s="138"/>
      <c r="H21" s="138"/>
      <c r="I21" s="138"/>
      <c r="J21" s="138"/>
      <c r="K21" s="138"/>
      <c r="L21" s="138"/>
      <c r="M21" s="138"/>
      <c r="N21" s="138"/>
      <c r="O21" s="138"/>
      <c r="P21" s="138"/>
      <c r="Q21" s="138"/>
      <c r="R21" s="138"/>
      <c r="S21" s="138"/>
      <c r="AL21" s="1301"/>
    </row>
    <row r="22" spans="1:38" s="691" customFormat="1" ht="15" customHeight="1" x14ac:dyDescent="0.25">
      <c r="A22" s="64" t="str">
        <f t="shared" si="0"/>
        <v>01</v>
      </c>
      <c r="C22" s="138"/>
      <c r="D22" s="138" t="s">
        <v>978</v>
      </c>
      <c r="E22" s="138"/>
      <c r="F22" s="138"/>
      <c r="G22" s="138"/>
      <c r="H22" s="138"/>
      <c r="I22" s="138"/>
      <c r="J22" s="138"/>
      <c r="K22" s="138"/>
      <c r="L22" s="138"/>
      <c r="M22" s="138"/>
      <c r="N22" s="138"/>
      <c r="O22" s="138"/>
      <c r="P22" s="138"/>
      <c r="Q22" s="138"/>
      <c r="R22" s="138"/>
      <c r="S22" s="138"/>
      <c r="AL22" s="1301"/>
    </row>
    <row r="23" spans="1:38" s="691" customFormat="1" ht="17.45" customHeight="1" x14ac:dyDescent="0.25">
      <c r="A23" s="64" t="str">
        <f t="shared" si="0"/>
        <v>01</v>
      </c>
      <c r="C23" s="138"/>
      <c r="D23" s="138"/>
      <c r="E23" s="138"/>
      <c r="F23" s="1300"/>
      <c r="G23" s="1300"/>
      <c r="H23" s="2612" t="s">
        <v>885</v>
      </c>
      <c r="I23" s="2612"/>
      <c r="J23" s="2612"/>
      <c r="K23" s="2001"/>
      <c r="L23" s="2612" t="s">
        <v>886</v>
      </c>
      <c r="M23" s="2612"/>
      <c r="N23" s="2612"/>
      <c r="O23" s="2001"/>
      <c r="P23" s="2612" t="s">
        <v>887</v>
      </c>
      <c r="Q23" s="2612"/>
      <c r="R23" s="2612"/>
      <c r="S23" s="138"/>
      <c r="AL23" s="1301"/>
    </row>
    <row r="24" spans="1:38" s="691" customFormat="1" ht="14.1" customHeight="1" x14ac:dyDescent="0.25">
      <c r="A24" s="64" t="str">
        <f t="shared" si="0"/>
        <v>01</v>
      </c>
      <c r="C24" s="138"/>
      <c r="D24" s="2287" t="s">
        <v>979</v>
      </c>
      <c r="E24" s="2300"/>
      <c r="F24" s="2287"/>
      <c r="G24" s="2287"/>
      <c r="H24" s="2290" t="s">
        <v>980</v>
      </c>
      <c r="I24" s="2290"/>
      <c r="J24" s="2290" t="s">
        <v>981</v>
      </c>
      <c r="K24" s="2290"/>
      <c r="L24" s="2290" t="s">
        <v>980</v>
      </c>
      <c r="M24" s="2290"/>
      <c r="N24" s="2290" t="s">
        <v>981</v>
      </c>
      <c r="O24" s="2290"/>
      <c r="P24" s="2290" t="s">
        <v>980</v>
      </c>
      <c r="Q24" s="2290"/>
      <c r="R24" s="2290" t="s">
        <v>981</v>
      </c>
      <c r="S24" s="138"/>
      <c r="AL24" s="1301"/>
    </row>
    <row r="25" spans="1:38" s="691" customFormat="1" ht="14.1" customHeight="1" x14ac:dyDescent="0.25">
      <c r="A25" s="64" t="str">
        <f t="shared" si="0"/>
        <v>01</v>
      </c>
      <c r="C25" s="138"/>
      <c r="D25" s="2287" t="s">
        <v>891</v>
      </c>
      <c r="E25" s="2300"/>
      <c r="F25" s="138"/>
      <c r="G25" s="138"/>
      <c r="H25" s="2607" t="s">
        <v>892</v>
      </c>
      <c r="I25" s="2607"/>
      <c r="J25" s="2607"/>
      <c r="K25" s="138"/>
      <c r="L25" s="2608" t="s">
        <v>893</v>
      </c>
      <c r="M25" s="2608"/>
      <c r="N25" s="2608"/>
      <c r="O25" s="2287"/>
      <c r="P25" s="2607" t="s">
        <v>894</v>
      </c>
      <c r="Q25" s="2607"/>
      <c r="R25" s="2607"/>
      <c r="S25" s="138"/>
      <c r="AL25" s="1301"/>
    </row>
    <row r="26" spans="1:38" s="691" customFormat="1" ht="15.75" x14ac:dyDescent="0.25">
      <c r="A26" s="64" t="str">
        <f t="shared" si="0"/>
        <v>01</v>
      </c>
      <c r="C26" s="138"/>
      <c r="D26" s="2317" t="s">
        <v>895</v>
      </c>
      <c r="E26" s="2300"/>
      <c r="F26" s="138"/>
      <c r="G26" s="138"/>
      <c r="H26" s="2317" t="s">
        <v>896</v>
      </c>
      <c r="I26" s="2287"/>
      <c r="J26" s="2317" t="s">
        <v>897</v>
      </c>
      <c r="K26" s="138"/>
      <c r="L26" s="2317" t="s">
        <v>896</v>
      </c>
      <c r="M26" s="2287"/>
      <c r="N26" s="2317" t="s">
        <v>897</v>
      </c>
      <c r="O26" s="2287"/>
      <c r="P26" s="2317" t="s">
        <v>896</v>
      </c>
      <c r="Q26" s="2287"/>
      <c r="R26" s="2317" t="s">
        <v>897</v>
      </c>
      <c r="S26" s="138"/>
      <c r="AL26" s="1301"/>
    </row>
    <row r="27" spans="1:38" s="691" customFormat="1" ht="15.6" hidden="1" customHeight="1" x14ac:dyDescent="0.25">
      <c r="A27" s="64" t="str">
        <f t="shared" si="0"/>
        <v>01</v>
      </c>
      <c r="C27" s="138"/>
      <c r="D27" s="2287"/>
      <c r="E27" s="2300"/>
      <c r="F27" s="138"/>
      <c r="G27" s="138"/>
      <c r="H27" s="692" t="s">
        <v>898</v>
      </c>
      <c r="I27" s="692"/>
      <c r="J27" s="692"/>
      <c r="K27" s="138"/>
      <c r="L27" s="2300" t="s">
        <v>899</v>
      </c>
      <c r="M27" s="2300"/>
      <c r="N27" s="2300"/>
      <c r="O27" s="2287"/>
      <c r="P27" s="692" t="s">
        <v>900</v>
      </c>
      <c r="Q27" s="692"/>
      <c r="R27" s="692"/>
      <c r="S27" s="138"/>
      <c r="AL27" s="1301"/>
    </row>
    <row r="28" spans="1:38" s="691" customFormat="1" ht="15.75" x14ac:dyDescent="0.25">
      <c r="A28" s="64" t="str">
        <f t="shared" si="0"/>
        <v>01</v>
      </c>
      <c r="B28" s="691">
        <v>105</v>
      </c>
      <c r="C28" s="138"/>
      <c r="D28" s="2300">
        <f>+YEAR(Data!$A$2)+1</f>
        <v>2025</v>
      </c>
      <c r="E28" s="2300"/>
      <c r="F28" s="1567"/>
      <c r="G28" s="1567"/>
      <c r="H28" s="1568">
        <v>0</v>
      </c>
      <c r="I28" s="1830"/>
      <c r="J28" s="2331">
        <v>0</v>
      </c>
      <c r="K28" s="1567"/>
      <c r="L28" s="1996"/>
      <c r="M28" s="1997"/>
      <c r="N28" s="2331"/>
      <c r="O28" s="1567"/>
      <c r="P28" s="1568"/>
      <c r="Q28" s="1830"/>
      <c r="R28" s="1568"/>
      <c r="S28" s="138"/>
      <c r="T28" s="691">
        <f>+__Agy301</f>
        <v>0</v>
      </c>
      <c r="U28" s="691" t="s">
        <v>901</v>
      </c>
      <c r="V28" s="1569" t="e">
        <f>+#REF!</f>
        <v>#REF!</v>
      </c>
      <c r="W28" s="1569" t="e">
        <f>+#REF!</f>
        <v>#REF!</v>
      </c>
      <c r="X28" s="1569" t="e">
        <f>+#REF!</f>
        <v>#REF!</v>
      </c>
      <c r="Y28" s="1569" t="e">
        <f>+#REF!</f>
        <v>#REF!</v>
      </c>
      <c r="Z28" s="1569" t="e">
        <f>+#REF!</f>
        <v>#REF!</v>
      </c>
      <c r="AA28" s="1569" t="e">
        <f>+#REF!</f>
        <v>#REF!</v>
      </c>
      <c r="AB28" s="1569" t="e">
        <f>+#REF!</f>
        <v>#REF!</v>
      </c>
      <c r="AC28" s="1569" t="e">
        <f>+#REF!</f>
        <v>#REF!</v>
      </c>
      <c r="AD28" s="1569" t="e">
        <f>+#REF!</f>
        <v>#REF!</v>
      </c>
      <c r="AE28" s="1569" t="e">
        <f>+#REF!</f>
        <v>#REF!</v>
      </c>
      <c r="AF28" s="1569" t="e">
        <f>+#REF!</f>
        <v>#REF!</v>
      </c>
      <c r="AG28" s="1569" t="e">
        <f>+#REF!</f>
        <v>#REF!</v>
      </c>
      <c r="AH28" s="1569" t="e">
        <f>+#REF!</f>
        <v>#REF!</v>
      </c>
      <c r="AI28" s="1569" t="e">
        <f>+#REF!</f>
        <v>#REF!</v>
      </c>
      <c r="AL28" s="1301" t="s">
        <v>902</v>
      </c>
    </row>
    <row r="29" spans="1:38" s="691" customFormat="1" ht="14.1" customHeight="1" x14ac:dyDescent="0.25">
      <c r="A29" s="64" t="str">
        <f t="shared" si="0"/>
        <v>01</v>
      </c>
      <c r="B29" s="691">
        <v>110</v>
      </c>
      <c r="C29" s="138"/>
      <c r="D29" s="2300">
        <f>D28+1</f>
        <v>2026</v>
      </c>
      <c r="E29" s="2300"/>
      <c r="F29" s="1567"/>
      <c r="G29" s="1567"/>
      <c r="H29" s="1568"/>
      <c r="I29" s="1830"/>
      <c r="J29" s="2331"/>
      <c r="K29" s="1567"/>
      <c r="L29" s="1996"/>
      <c r="M29" s="1997"/>
      <c r="N29" s="2331"/>
      <c r="O29" s="1567"/>
      <c r="P29" s="1568"/>
      <c r="Q29" s="1830"/>
      <c r="R29" s="1568"/>
      <c r="S29" s="138"/>
      <c r="T29" s="691">
        <f>+T28</f>
        <v>0</v>
      </c>
      <c r="U29" s="691" t="s">
        <v>903</v>
      </c>
      <c r="V29" s="1569" t="e">
        <f>+#REF!+$H$28+$L$28+$P$28</f>
        <v>#REF!</v>
      </c>
      <c r="W29" s="1569" t="e">
        <f>+#REF!+$H$29+$L$29+$P$29</f>
        <v>#REF!</v>
      </c>
      <c r="X29" s="1569" t="e">
        <f>+#REF!+$H$30+$L$30+$P$30</f>
        <v>#REF!</v>
      </c>
      <c r="Y29" s="1569" t="e">
        <f>+#REF!+$H$31+$L$31+$P$31</f>
        <v>#REF!</v>
      </c>
      <c r="Z29" s="1569" t="e">
        <f>+#REF!+$H$32+$L$32+$P$32</f>
        <v>#REF!</v>
      </c>
      <c r="AA29" s="1569" t="e">
        <f>+#REF!+$H$33+$L$33+$P$33</f>
        <v>#REF!</v>
      </c>
      <c r="AB29" s="1569" t="e">
        <f>+#REF!+$H$34+$L$34+$P$34</f>
        <v>#REF!</v>
      </c>
      <c r="AC29" s="1569" t="e">
        <f>+#REF!+$H$35+$L$35+$P$35</f>
        <v>#REF!</v>
      </c>
      <c r="AD29" s="1569" t="e">
        <f>+#REF!+$H$36+$L$36+$P$36</f>
        <v>#REF!</v>
      </c>
      <c r="AE29" s="1569" t="e">
        <f>+#REF!+$H$37+$L$37+$P$37</f>
        <v>#REF!</v>
      </c>
      <c r="AF29" s="1569" t="e">
        <f>+#REF!+$H$38+$L$38+$P$38</f>
        <v>#REF!</v>
      </c>
      <c r="AG29" s="1569" t="e">
        <f>+#REF!+$H$39+$L$39+$P$39</f>
        <v>#REF!</v>
      </c>
      <c r="AH29" s="1569" t="e">
        <f>+#REF!+$H$40+$L$40+$P$40</f>
        <v>#REF!</v>
      </c>
      <c r="AI29" s="1569" t="e">
        <f>+#REF!+$H$41+$L$41+$P$41</f>
        <v>#REF!</v>
      </c>
      <c r="AJ29" s="1569" t="e">
        <f>+#REF!+#REF!+#REF!+#REF!</f>
        <v>#REF!</v>
      </c>
      <c r="AL29" s="1301" t="s">
        <v>904</v>
      </c>
    </row>
    <row r="30" spans="1:38" s="691" customFormat="1" ht="14.1" customHeight="1" x14ac:dyDescent="0.25">
      <c r="A30" s="64" t="str">
        <f t="shared" si="0"/>
        <v>01</v>
      </c>
      <c r="B30" s="691">
        <v>115</v>
      </c>
      <c r="C30" s="138"/>
      <c r="D30" s="2300">
        <f>D29+1</f>
        <v>2027</v>
      </c>
      <c r="E30" s="2300"/>
      <c r="F30" s="1567"/>
      <c r="G30" s="1567"/>
      <c r="H30" s="1568"/>
      <c r="I30" s="1830"/>
      <c r="J30" s="2331"/>
      <c r="K30" s="1567"/>
      <c r="L30" s="1996"/>
      <c r="M30" s="1997"/>
      <c r="N30" s="2331"/>
      <c r="O30" s="1567"/>
      <c r="P30" s="1568"/>
      <c r="Q30" s="1830"/>
      <c r="R30" s="1568"/>
      <c r="S30" s="138"/>
      <c r="V30" s="1569"/>
      <c r="AL30" s="1301" t="s">
        <v>905</v>
      </c>
    </row>
    <row r="31" spans="1:38" s="691" customFormat="1" ht="14.1" customHeight="1" x14ac:dyDescent="0.25">
      <c r="A31" s="64" t="str">
        <f t="shared" ref="A31:A46" si="1">AgyIdx</f>
        <v>01</v>
      </c>
      <c r="B31" s="691">
        <v>120</v>
      </c>
      <c r="C31" s="138"/>
      <c r="D31" s="2300">
        <f>D30+1</f>
        <v>2028</v>
      </c>
      <c r="E31" s="2300"/>
      <c r="F31" s="1567"/>
      <c r="G31" s="1567"/>
      <c r="H31" s="1568"/>
      <c r="I31" s="1830"/>
      <c r="J31" s="2331"/>
      <c r="K31" s="1567"/>
      <c r="L31" s="1996"/>
      <c r="M31" s="1997"/>
      <c r="N31" s="2331"/>
      <c r="O31" s="1567"/>
      <c r="P31" s="1568"/>
      <c r="Q31" s="1830"/>
      <c r="R31" s="1568"/>
      <c r="S31" s="138"/>
      <c r="V31" s="1569"/>
      <c r="AL31" s="1301" t="s">
        <v>906</v>
      </c>
    </row>
    <row r="32" spans="1:38" s="691" customFormat="1" ht="14.1" customHeight="1" x14ac:dyDescent="0.25">
      <c r="A32" s="64" t="str">
        <f t="shared" si="1"/>
        <v>01</v>
      </c>
      <c r="B32" s="691">
        <v>125</v>
      </c>
      <c r="C32" s="138"/>
      <c r="D32" s="2300">
        <f>D31+1</f>
        <v>2029</v>
      </c>
      <c r="E32" s="2300"/>
      <c r="F32" s="1567"/>
      <c r="G32" s="1567"/>
      <c r="H32" s="1568"/>
      <c r="I32" s="1830"/>
      <c r="J32" s="2331"/>
      <c r="K32" s="1567"/>
      <c r="L32" s="1996"/>
      <c r="M32" s="1997"/>
      <c r="N32" s="2331"/>
      <c r="O32" s="1567"/>
      <c r="P32" s="1568"/>
      <c r="Q32" s="1830"/>
      <c r="R32" s="1568"/>
      <c r="S32" s="138"/>
      <c r="V32" s="1569"/>
      <c r="AL32" s="1301" t="s">
        <v>907</v>
      </c>
    </row>
    <row r="33" spans="1:38" s="691" customFormat="1" ht="14.1" customHeight="1" x14ac:dyDescent="0.25">
      <c r="A33" s="64" t="str">
        <f t="shared" si="1"/>
        <v>01</v>
      </c>
      <c r="B33" s="691">
        <v>130</v>
      </c>
      <c r="C33" s="1570">
        <f>D32+1</f>
        <v>2030</v>
      </c>
      <c r="D33" s="1571" t="str">
        <f>(C33)&amp;" - "&amp;(C33+4)</f>
        <v>2030 - 2034</v>
      </c>
      <c r="E33" s="2300"/>
      <c r="F33" s="1567"/>
      <c r="G33" s="1567"/>
      <c r="H33" s="1568"/>
      <c r="I33" s="1830"/>
      <c r="J33" s="2331"/>
      <c r="K33" s="1567"/>
      <c r="L33" s="1996"/>
      <c r="M33" s="1997"/>
      <c r="N33" s="2331"/>
      <c r="O33" s="1567"/>
      <c r="P33" s="1568"/>
      <c r="Q33" s="1830"/>
      <c r="R33" s="1568"/>
      <c r="S33" s="138"/>
      <c r="V33" s="1569"/>
      <c r="AL33" s="1301" t="s">
        <v>908</v>
      </c>
    </row>
    <row r="34" spans="1:38" s="691" customFormat="1" ht="14.1" customHeight="1" x14ac:dyDescent="0.25">
      <c r="A34" s="64" t="str">
        <f t="shared" si="1"/>
        <v>01</v>
      </c>
      <c r="B34" s="691">
        <v>135</v>
      </c>
      <c r="C34" s="1570">
        <f t="shared" ref="C34:C42" si="2">C33+5</f>
        <v>2035</v>
      </c>
      <c r="D34" s="1571" t="str">
        <f>(C34)&amp;" - "&amp;(C34+4)</f>
        <v>2035 - 2039</v>
      </c>
      <c r="E34" s="2300"/>
      <c r="F34" s="1567"/>
      <c r="G34" s="1567"/>
      <c r="H34" s="1568">
        <v>0</v>
      </c>
      <c r="I34" s="1830"/>
      <c r="J34" s="2331">
        <v>0</v>
      </c>
      <c r="K34" s="1567"/>
      <c r="L34" s="1996">
        <v>0</v>
      </c>
      <c r="M34" s="1997"/>
      <c r="N34" s="2331">
        <v>0</v>
      </c>
      <c r="O34" s="1567"/>
      <c r="P34" s="1568">
        <v>0</v>
      </c>
      <c r="Q34" s="1830"/>
      <c r="R34" s="1568"/>
      <c r="S34" s="138"/>
      <c r="V34" s="1569"/>
      <c r="AL34" s="1301" t="s">
        <v>909</v>
      </c>
    </row>
    <row r="35" spans="1:38" s="691" customFormat="1" ht="14.1" customHeight="1" x14ac:dyDescent="0.25">
      <c r="A35" s="64" t="str">
        <f t="shared" si="1"/>
        <v>01</v>
      </c>
      <c r="B35" s="691">
        <v>140</v>
      </c>
      <c r="C35" s="1570">
        <f t="shared" si="2"/>
        <v>2040</v>
      </c>
      <c r="D35" s="1571" t="str">
        <f>(C35)&amp;" - "&amp;(C35+4)</f>
        <v>2040 - 2044</v>
      </c>
      <c r="E35" s="2300"/>
      <c r="F35" s="1567"/>
      <c r="G35" s="1567"/>
      <c r="H35" s="1568"/>
      <c r="I35" s="1830"/>
      <c r="J35" s="2331"/>
      <c r="K35" s="1567"/>
      <c r="L35" s="1996">
        <v>0</v>
      </c>
      <c r="M35" s="1997"/>
      <c r="N35" s="2331"/>
      <c r="O35" s="1567"/>
      <c r="P35" s="1568">
        <v>0</v>
      </c>
      <c r="Q35" s="1830"/>
      <c r="R35" s="1568">
        <v>0</v>
      </c>
      <c r="S35" s="138"/>
      <c r="V35" s="1569"/>
      <c r="AL35" s="1301" t="s">
        <v>910</v>
      </c>
    </row>
    <row r="36" spans="1:38" s="691" customFormat="1" ht="13.9" customHeight="1" x14ac:dyDescent="0.25">
      <c r="A36" s="64" t="str">
        <f t="shared" si="1"/>
        <v>01</v>
      </c>
      <c r="B36" s="691">
        <v>145</v>
      </c>
      <c r="C36" s="1570">
        <f t="shared" si="2"/>
        <v>2045</v>
      </c>
      <c r="D36" s="1571" t="str">
        <f t="shared" ref="D36:D41" si="3">(C36)&amp;" - "&amp;(C36+4)</f>
        <v>2045 - 2049</v>
      </c>
      <c r="E36" s="2300"/>
      <c r="F36" s="1567"/>
      <c r="G36" s="1567"/>
      <c r="H36" s="1568">
        <v>0</v>
      </c>
      <c r="I36" s="1830"/>
      <c r="J36" s="2331"/>
      <c r="K36" s="1567"/>
      <c r="L36" s="1996"/>
      <c r="M36" s="1997"/>
      <c r="N36" s="2331"/>
      <c r="O36" s="1567"/>
      <c r="P36" s="1568">
        <v>0</v>
      </c>
      <c r="Q36" s="1830"/>
      <c r="R36" s="1568">
        <v>0</v>
      </c>
      <c r="S36" s="138"/>
      <c r="V36" s="1569"/>
      <c r="AL36" s="1301" t="s">
        <v>911</v>
      </c>
    </row>
    <row r="37" spans="1:38" s="691" customFormat="1" ht="14.1" customHeight="1" x14ac:dyDescent="0.25">
      <c r="A37" s="64" t="str">
        <f t="shared" si="1"/>
        <v>01</v>
      </c>
      <c r="B37" s="691">
        <v>150</v>
      </c>
      <c r="C37" s="1570">
        <f t="shared" si="2"/>
        <v>2050</v>
      </c>
      <c r="D37" s="1571" t="str">
        <f>(C37)&amp;" - "&amp;(C37+4)</f>
        <v>2050 - 2054</v>
      </c>
      <c r="E37" s="2300"/>
      <c r="F37" s="1567"/>
      <c r="G37" s="1567"/>
      <c r="H37" s="1568">
        <v>0</v>
      </c>
      <c r="I37" s="1830"/>
      <c r="J37" s="2331"/>
      <c r="K37" s="1567"/>
      <c r="L37" s="1996"/>
      <c r="M37" s="1997"/>
      <c r="N37" s="2331"/>
      <c r="O37" s="1567"/>
      <c r="P37" s="1568"/>
      <c r="Q37" s="1830"/>
      <c r="R37" s="1568"/>
      <c r="S37" s="138"/>
      <c r="V37" s="1569"/>
      <c r="AL37" s="1301" t="s">
        <v>912</v>
      </c>
    </row>
    <row r="38" spans="1:38" s="691" customFormat="1" ht="14.1" customHeight="1" x14ac:dyDescent="0.25">
      <c r="A38" s="64" t="str">
        <f t="shared" si="1"/>
        <v>01</v>
      </c>
      <c r="B38" s="691">
        <v>155</v>
      </c>
      <c r="C38" s="1570">
        <f t="shared" si="2"/>
        <v>2055</v>
      </c>
      <c r="D38" s="1571" t="str">
        <f t="shared" si="3"/>
        <v>2055 - 2059</v>
      </c>
      <c r="E38" s="2300"/>
      <c r="F38" s="1567"/>
      <c r="G38" s="1567"/>
      <c r="H38" s="1568">
        <v>0</v>
      </c>
      <c r="I38" s="1830"/>
      <c r="J38" s="2331"/>
      <c r="K38" s="1567"/>
      <c r="L38" s="1996"/>
      <c r="M38" s="1997"/>
      <c r="N38" s="2331"/>
      <c r="O38" s="1567"/>
      <c r="P38" s="1568"/>
      <c r="Q38" s="1830"/>
      <c r="R38" s="1568"/>
      <c r="S38" s="138"/>
      <c r="V38" s="1569"/>
      <c r="AL38" s="1301" t="s">
        <v>913</v>
      </c>
    </row>
    <row r="39" spans="1:38" s="691" customFormat="1" ht="14.1" customHeight="1" x14ac:dyDescent="0.25">
      <c r="A39" s="64" t="str">
        <f t="shared" si="1"/>
        <v>01</v>
      </c>
      <c r="B39" s="691">
        <v>160</v>
      </c>
      <c r="C39" s="1570">
        <f t="shared" si="2"/>
        <v>2060</v>
      </c>
      <c r="D39" s="1571" t="str">
        <f t="shared" si="3"/>
        <v>2060 - 2064</v>
      </c>
      <c r="E39" s="2300"/>
      <c r="F39" s="1567"/>
      <c r="G39" s="1567"/>
      <c r="H39" s="1568"/>
      <c r="I39" s="1830"/>
      <c r="J39" s="2331"/>
      <c r="K39" s="1567"/>
      <c r="L39" s="1996"/>
      <c r="M39" s="1997"/>
      <c r="N39" s="2331"/>
      <c r="O39" s="1567"/>
      <c r="P39" s="1568"/>
      <c r="Q39" s="1830"/>
      <c r="R39" s="1568"/>
      <c r="S39" s="138"/>
      <c r="V39" s="1569"/>
      <c r="AL39" s="1301" t="s">
        <v>914</v>
      </c>
    </row>
    <row r="40" spans="1:38" s="691" customFormat="1" ht="14.1" customHeight="1" x14ac:dyDescent="0.25">
      <c r="A40" s="64" t="str">
        <f t="shared" si="1"/>
        <v>01</v>
      </c>
      <c r="B40" s="691">
        <v>165</v>
      </c>
      <c r="C40" s="1570">
        <f t="shared" si="2"/>
        <v>2065</v>
      </c>
      <c r="D40" s="1571" t="str">
        <f t="shared" si="3"/>
        <v>2065 - 2069</v>
      </c>
      <c r="E40" s="2300"/>
      <c r="F40" s="1567"/>
      <c r="G40" s="1567"/>
      <c r="H40" s="1568"/>
      <c r="I40" s="1830"/>
      <c r="J40" s="2331"/>
      <c r="K40" s="1567"/>
      <c r="L40" s="1996"/>
      <c r="M40" s="1997"/>
      <c r="N40" s="2331"/>
      <c r="O40" s="1567"/>
      <c r="P40" s="1568"/>
      <c r="Q40" s="1830"/>
      <c r="R40" s="1568"/>
      <c r="S40" s="138"/>
      <c r="V40" s="1569"/>
      <c r="AL40" s="1301" t="s">
        <v>915</v>
      </c>
    </row>
    <row r="41" spans="1:38" s="691" customFormat="1" ht="14.1" customHeight="1" x14ac:dyDescent="0.25">
      <c r="A41" s="64" t="str">
        <f t="shared" si="1"/>
        <v>01</v>
      </c>
      <c r="B41" s="691">
        <v>170</v>
      </c>
      <c r="C41" s="1570">
        <f t="shared" si="2"/>
        <v>2070</v>
      </c>
      <c r="D41" s="1571" t="str">
        <f t="shared" si="3"/>
        <v>2070 - 2074</v>
      </c>
      <c r="E41" s="2300"/>
      <c r="F41" s="1567"/>
      <c r="G41" s="1567"/>
      <c r="H41" s="1572"/>
      <c r="I41" s="1830"/>
      <c r="J41" s="2331"/>
      <c r="K41" s="1567"/>
      <c r="L41" s="1998"/>
      <c r="M41" s="1997"/>
      <c r="N41" s="2331"/>
      <c r="O41" s="1567"/>
      <c r="P41" s="1572"/>
      <c r="Q41" s="1830"/>
      <c r="R41" s="1572"/>
      <c r="S41" s="138"/>
      <c r="V41" s="1569"/>
      <c r="AL41" s="1301" t="s">
        <v>916</v>
      </c>
    </row>
    <row r="42" spans="1:38" s="691" customFormat="1" ht="14.1" customHeight="1" thickBot="1" x14ac:dyDescent="0.3">
      <c r="A42" s="64" t="str">
        <f t="shared" si="1"/>
        <v>01</v>
      </c>
      <c r="B42" s="691">
        <v>175</v>
      </c>
      <c r="C42" s="1570">
        <f t="shared" si="2"/>
        <v>2075</v>
      </c>
      <c r="D42" s="1571" t="str">
        <f>(C42)&amp;" - " &amp;"Beyond"</f>
        <v>2075 - Beyond</v>
      </c>
      <c r="E42" s="2300"/>
      <c r="F42" s="1567"/>
      <c r="G42" s="1567"/>
      <c r="H42" s="1573"/>
      <c r="I42" s="1830"/>
      <c r="J42" s="1573"/>
      <c r="K42" s="1567"/>
      <c r="L42" s="1999"/>
      <c r="M42" s="1997"/>
      <c r="N42" s="1999"/>
      <c r="O42" s="1567"/>
      <c r="P42" s="1573"/>
      <c r="Q42" s="1830"/>
      <c r="R42" s="1573"/>
      <c r="S42" s="138"/>
      <c r="V42" s="1569"/>
      <c r="AL42" s="1301" t="s">
        <v>917</v>
      </c>
    </row>
    <row r="43" spans="1:38" s="691" customFormat="1" ht="9.6" customHeight="1" x14ac:dyDescent="0.25">
      <c r="A43" s="64" t="str">
        <f t="shared" si="1"/>
        <v>01</v>
      </c>
      <c r="C43" s="138"/>
      <c r="E43" s="2300"/>
      <c r="F43" s="1567"/>
      <c r="G43" s="1567"/>
      <c r="H43" s="1567"/>
      <c r="I43" s="1831"/>
      <c r="J43" s="1567"/>
      <c r="K43" s="1567"/>
      <c r="L43" s="1567"/>
      <c r="M43" s="1831"/>
      <c r="N43" s="1567"/>
      <c r="O43" s="1567"/>
      <c r="P43" s="1831"/>
      <c r="Q43" s="1831"/>
      <c r="R43" s="1831"/>
      <c r="S43" s="138"/>
      <c r="AL43" s="1301"/>
    </row>
    <row r="44" spans="1:38" s="691" customFormat="1" ht="16.5" thickBot="1" x14ac:dyDescent="0.3">
      <c r="A44" s="64" t="str">
        <f t="shared" si="1"/>
        <v>01</v>
      </c>
      <c r="B44" s="691">
        <v>190</v>
      </c>
      <c r="C44" s="138"/>
      <c r="D44" s="138" t="s">
        <v>918</v>
      </c>
      <c r="E44" s="2300"/>
      <c r="F44" s="1567"/>
      <c r="G44" s="1567"/>
      <c r="H44" s="1574">
        <f>SUM(H28:H42)</f>
        <v>0</v>
      </c>
      <c r="I44" s="1831"/>
      <c r="J44" s="1574">
        <f>SUM(J28:J42)</f>
        <v>0</v>
      </c>
      <c r="K44" s="1567"/>
      <c r="L44" s="2000">
        <f>SUM(L28:L42)</f>
        <v>0</v>
      </c>
      <c r="M44" s="1831"/>
      <c r="N44" s="2000">
        <f>SUM(N28:N42)</f>
        <v>0</v>
      </c>
      <c r="O44" s="1567"/>
      <c r="P44" s="1574">
        <f>SUM(P28:P42)</f>
        <v>0</v>
      </c>
      <c r="Q44" s="1831"/>
      <c r="R44" s="1574">
        <f>SUM(R28:R42)</f>
        <v>0</v>
      </c>
      <c r="S44" s="138"/>
      <c r="AL44" s="1301"/>
    </row>
    <row r="45" spans="1:38" s="691" customFormat="1" ht="16.5" thickTop="1" x14ac:dyDescent="0.25">
      <c r="A45" s="64"/>
      <c r="C45" s="1" t="s">
        <v>982</v>
      </c>
      <c r="D45" s="1832"/>
      <c r="E45" s="1"/>
      <c r="F45" s="1"/>
      <c r="G45" s="1"/>
      <c r="H45" s="1833">
        <f>H44</f>
        <v>0</v>
      </c>
      <c r="I45" s="138"/>
      <c r="J45" s="138"/>
      <c r="K45" s="138"/>
      <c r="L45" s="1833">
        <f>L44</f>
        <v>0</v>
      </c>
      <c r="M45" s="138"/>
      <c r="N45" s="138"/>
      <c r="O45" s="138"/>
      <c r="P45" s="1833">
        <f>P44</f>
        <v>0</v>
      </c>
      <c r="Q45" s="138"/>
      <c r="R45" s="138"/>
      <c r="S45" s="138"/>
      <c r="AL45" s="1301"/>
    </row>
    <row r="46" spans="1:38" s="691" customFormat="1" ht="15" customHeight="1" x14ac:dyDescent="0.25">
      <c r="A46" s="64" t="str">
        <f t="shared" si="1"/>
        <v>01</v>
      </c>
      <c r="C46" s="138"/>
      <c r="D46" s="693" t="s">
        <v>920</v>
      </c>
      <c r="E46" s="138" t="s">
        <v>983</v>
      </c>
      <c r="F46" s="138"/>
      <c r="G46" s="138"/>
      <c r="H46" s="138"/>
      <c r="I46" s="138"/>
      <c r="J46" s="138"/>
      <c r="K46" s="138"/>
      <c r="L46" s="138"/>
      <c r="M46" s="138"/>
      <c r="N46" s="138"/>
      <c r="O46" s="138"/>
      <c r="P46" s="138"/>
      <c r="Q46" s="138"/>
      <c r="R46" s="138"/>
      <c r="S46" s="138"/>
      <c r="AL46" s="1301"/>
    </row>
    <row r="47" spans="1:38" s="691" customFormat="1" ht="15" customHeight="1" x14ac:dyDescent="0.25">
      <c r="A47" s="64"/>
      <c r="C47" s="751" t="s">
        <v>922</v>
      </c>
      <c r="D47" s="403" t="s">
        <v>984</v>
      </c>
      <c r="E47" s="403"/>
      <c r="F47" s="403"/>
      <c r="G47" s="403"/>
      <c r="H47" s="403"/>
      <c r="I47" s="403"/>
      <c r="J47" s="403"/>
      <c r="K47" s="403"/>
      <c r="L47" s="403"/>
      <c r="M47" s="403"/>
      <c r="N47" s="403"/>
      <c r="O47" s="403"/>
      <c r="P47" s="403"/>
      <c r="Q47" s="403"/>
      <c r="R47" s="403"/>
      <c r="S47" s="138"/>
      <c r="AL47" s="1301"/>
    </row>
    <row r="48" spans="1:38" s="691" customFormat="1" ht="15.75" x14ac:dyDescent="0.25">
      <c r="A48" s="64"/>
      <c r="C48" s="751"/>
      <c r="D48" s="752" t="s">
        <v>985</v>
      </c>
      <c r="E48" s="138"/>
      <c r="F48" s="138"/>
      <c r="G48" s="138"/>
      <c r="H48" s="138"/>
      <c r="I48" s="138"/>
      <c r="J48" s="138"/>
      <c r="K48" s="138"/>
      <c r="L48" s="138"/>
      <c r="M48" s="138"/>
      <c r="N48" s="138"/>
      <c r="O48" s="138"/>
      <c r="P48" s="138"/>
      <c r="Q48" s="138"/>
      <c r="R48" s="138"/>
      <c r="S48" s="138"/>
      <c r="AL48" s="1301"/>
    </row>
    <row r="49" spans="1:38" s="691" customFormat="1" ht="15.75" x14ac:dyDescent="0.25">
      <c r="A49" s="64"/>
      <c r="C49" s="751"/>
      <c r="D49" s="752"/>
      <c r="E49" s="138"/>
      <c r="F49" s="138"/>
      <c r="G49" s="138"/>
      <c r="H49" s="138"/>
      <c r="I49" s="138"/>
      <c r="J49" s="138"/>
      <c r="K49" s="138"/>
      <c r="L49" s="138"/>
      <c r="M49" s="138"/>
      <c r="N49" s="138"/>
      <c r="O49" s="138"/>
      <c r="P49" s="138"/>
      <c r="Q49" s="138"/>
      <c r="R49" s="138"/>
      <c r="S49" s="138"/>
      <c r="AL49" s="1301"/>
    </row>
    <row r="50" spans="1:38" x14ac:dyDescent="0.2">
      <c r="C50" s="1408"/>
      <c r="D50" s="1408"/>
    </row>
    <row r="51" spans="1:38" ht="7.15" customHeight="1" x14ac:dyDescent="0.2">
      <c r="C51" s="1408"/>
      <c r="D51" s="1408"/>
    </row>
    <row r="52" spans="1:38" hidden="1" x14ac:dyDescent="0.2">
      <c r="C52" s="1408"/>
      <c r="D52" s="1408"/>
    </row>
    <row r="54" spans="1:38" ht="15" x14ac:dyDescent="0.2">
      <c r="B54" s="421" t="str">
        <f ca="1">MID(CELL("filename",B24),FIND("]",CELL("filename",B24))+1,256)</f>
        <v>303</v>
      </c>
      <c r="C54" s="421" t="s">
        <v>613</v>
      </c>
      <c r="D54" s="421"/>
    </row>
    <row r="55" spans="1:38" ht="15" x14ac:dyDescent="0.2">
      <c r="B55" s="421" t="s">
        <v>401</v>
      </c>
      <c r="C55" s="421" t="str">
        <f t="shared" ref="C55:C64" ca="1" si="4">IF(ISNA(INDEX(ErrorTable,MATCH($B$54&amp;$B55&amp;FALSE,ErrorKey,0),6)),"",INDEX(ErrorTable,MATCH($B$54&amp;$B55&amp;FALSE,ErrorKey,0),6))</f>
        <v/>
      </c>
      <c r="D55" s="421"/>
    </row>
    <row r="56" spans="1:38" ht="15" x14ac:dyDescent="0.2">
      <c r="B56" s="421" t="s">
        <v>402</v>
      </c>
      <c r="C56" s="421" t="str">
        <f t="shared" ca="1" si="4"/>
        <v/>
      </c>
      <c r="D56" s="421"/>
    </row>
    <row r="57" spans="1:38" ht="15" x14ac:dyDescent="0.2">
      <c r="B57" s="421" t="s">
        <v>403</v>
      </c>
      <c r="C57" s="421" t="str">
        <f t="shared" ca="1" si="4"/>
        <v/>
      </c>
      <c r="D57" s="421"/>
    </row>
    <row r="58" spans="1:38" ht="15" x14ac:dyDescent="0.2">
      <c r="B58" s="421" t="s">
        <v>404</v>
      </c>
      <c r="C58" s="421" t="str">
        <f t="shared" ca="1" si="4"/>
        <v/>
      </c>
      <c r="D58" s="421"/>
    </row>
    <row r="59" spans="1:38" ht="15" x14ac:dyDescent="0.2">
      <c r="B59" s="421" t="s">
        <v>405</v>
      </c>
      <c r="C59" s="421" t="str">
        <f t="shared" ca="1" si="4"/>
        <v/>
      </c>
      <c r="D59" s="421"/>
    </row>
    <row r="60" spans="1:38" ht="15" x14ac:dyDescent="0.2">
      <c r="B60" s="421" t="s">
        <v>406</v>
      </c>
      <c r="C60" s="421" t="str">
        <f t="shared" ca="1" si="4"/>
        <v/>
      </c>
      <c r="D60" s="421"/>
    </row>
    <row r="61" spans="1:38" ht="15" x14ac:dyDescent="0.2">
      <c r="B61" s="421" t="s">
        <v>407</v>
      </c>
      <c r="C61" s="421" t="str">
        <f t="shared" ca="1" si="4"/>
        <v/>
      </c>
      <c r="D61" s="421"/>
    </row>
    <row r="62" spans="1:38" ht="15" x14ac:dyDescent="0.2">
      <c r="B62" s="421" t="s">
        <v>408</v>
      </c>
      <c r="C62" s="421" t="str">
        <f t="shared" ca="1" si="4"/>
        <v/>
      </c>
      <c r="D62" s="421"/>
    </row>
    <row r="63" spans="1:38" ht="15" x14ac:dyDescent="0.2">
      <c r="B63" s="421" t="s">
        <v>409</v>
      </c>
      <c r="C63" s="421" t="str">
        <f t="shared" ca="1" si="4"/>
        <v/>
      </c>
      <c r="D63" s="421"/>
    </row>
    <row r="64" spans="1:38" ht="15" x14ac:dyDescent="0.2">
      <c r="B64" s="421" t="s">
        <v>410</v>
      </c>
      <c r="C64" s="421" t="str">
        <f t="shared" ca="1" si="4"/>
        <v/>
      </c>
      <c r="D64" s="421"/>
    </row>
  </sheetData>
  <sheetProtection algorithmName="SHA-512" hashValue="5GCCZUfm6f+0N7c0Kl3yO4V1sggQcSy6ArmyUx1B615NSxhuMOpwcZrKW6j8jj1RIZlj++XrOpY6kPTQ+Mx2kw==" saltValue="0otB68uhAHyQ75s9A8xB9g==" spinCount="100000" sheet="1" autoFilter="0"/>
  <mergeCells count="14">
    <mergeCell ref="H25:J25"/>
    <mergeCell ref="L25:N25"/>
    <mergeCell ref="P25:R25"/>
    <mergeCell ref="C1:P1"/>
    <mergeCell ref="S1:S3"/>
    <mergeCell ref="C2:P2"/>
    <mergeCell ref="C3:P3"/>
    <mergeCell ref="O5:R5"/>
    <mergeCell ref="O6:R6"/>
    <mergeCell ref="O7:R7"/>
    <mergeCell ref="O8:R8"/>
    <mergeCell ref="H23:J23"/>
    <mergeCell ref="L23:N23"/>
    <mergeCell ref="P23:R23"/>
  </mergeCells>
  <conditionalFormatting sqref="S1:S3">
    <cfRule type="cellIs" dxfId="134" priority="3" stopIfTrue="1" operator="equal">
      <formula>"na"</formula>
    </cfRule>
  </conditionalFormatting>
  <conditionalFormatting sqref="AK1:AK3">
    <cfRule type="cellIs" dxfId="133" priority="1" stopIfTrue="1" operator="equal">
      <formula>"na"</formula>
    </cfRule>
  </conditionalFormatting>
  <dataValidations count="2">
    <dataValidation type="decimal" operator="greaterThanOrEqual" allowBlank="1" showInputMessage="1" showErrorMessage="1" errorTitle="Invalid amount!" error="Amount must be positive." sqref="J28:J41 N28:N41" xr:uid="{16DFCEBF-ACBA-4CF3-A686-EA0763CDD9B9}">
      <formula1>0</formula1>
    </dataValidation>
    <dataValidation type="list" allowBlank="1" showInputMessage="1" showErrorMessage="1" sqref="F6" xr:uid="{0A1ABA61-7D41-44D5-AB24-65FE17C45575}">
      <formula1>"GovtAct,BTAAct"</formula1>
    </dataValidation>
  </dataValidations>
  <hyperlinks>
    <hyperlink ref="C1:P1" location="Index!A1" display="Index!A1" xr:uid="{CD326F63-29AF-4292-B37F-0EB835B3EE35}"/>
  </hyperlinks>
  <pageMargins left="0.6" right="0.6" top="0.5" bottom="0.5" header="0.3" footer="0.3"/>
  <pageSetup scale="74"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BCF74-E8F1-4C79-B01D-8E27F2ADDD9F}">
  <sheetPr codeName="Sheet101">
    <pageSetUpPr fitToPage="1"/>
  </sheetPr>
  <dimension ref="A1:T49"/>
  <sheetViews>
    <sheetView showGridLines="0" topLeftCell="A8" zoomScaleNormal="100" zoomScaleSheetLayoutView="100" workbookViewId="0">
      <selection activeCell="H29" sqref="H29"/>
    </sheetView>
  </sheetViews>
  <sheetFormatPr defaultColWidth="10" defaultRowHeight="12.75" x14ac:dyDescent="0.2"/>
  <cols>
    <col min="1" max="1" width="2.7109375" style="138" customWidth="1"/>
    <col min="2" max="2" width="10.140625" style="138" customWidth="1"/>
    <col min="3" max="3" width="24.85546875" style="138" customWidth="1"/>
    <col min="4" max="4" width="1.42578125" style="138" customWidth="1"/>
    <col min="5" max="5" width="2.85546875" style="1805" customWidth="1"/>
    <col min="6" max="6" width="16.85546875" style="138" customWidth="1"/>
    <col min="7" max="7" width="2.85546875" style="1805" customWidth="1"/>
    <col min="8" max="8" width="16.7109375" style="138" customWidth="1"/>
    <col min="9" max="9" width="1.7109375" style="138" customWidth="1"/>
    <col min="10" max="10" width="17.7109375" style="138" customWidth="1"/>
    <col min="11" max="11" width="1.7109375" style="138" customWidth="1"/>
    <col min="12" max="12" width="20.5703125" style="138" customWidth="1"/>
    <col min="13" max="13" width="1.42578125" style="138" customWidth="1"/>
    <col min="14" max="14" width="17.7109375" style="138" customWidth="1"/>
    <col min="15" max="15" width="1.28515625" style="138" customWidth="1"/>
    <col min="16" max="16" width="17.7109375" style="138" customWidth="1"/>
    <col min="17" max="17" width="10" style="138"/>
    <col min="18" max="18" width="28.140625" style="138" customWidth="1"/>
    <col min="19" max="19" width="23" style="138" customWidth="1"/>
    <col min="20" max="16384" width="10" style="138"/>
  </cols>
  <sheetData>
    <row r="1" spans="1:20" ht="15.75" x14ac:dyDescent="0.25">
      <c r="A1" s="2553" t="str">
        <f>+Index!$A$1</f>
        <v xml:space="preserve">                                                               Office of the State Controller                                                                </v>
      </c>
      <c r="B1" s="2553"/>
      <c r="C1" s="2553"/>
      <c r="D1" s="2553"/>
      <c r="E1" s="2553"/>
      <c r="F1" s="2553"/>
      <c r="G1" s="2553"/>
      <c r="H1" s="2553"/>
      <c r="I1" s="2553"/>
      <c r="J1" s="2553"/>
      <c r="K1" s="2553"/>
      <c r="L1" s="2553"/>
      <c r="M1" s="2553"/>
      <c r="N1" s="80"/>
      <c r="O1" s="80"/>
      <c r="P1" s="80"/>
      <c r="T1" s="2269" t="str">
        <f>IF(Index!$B$30="na","NA","")</f>
        <v/>
      </c>
    </row>
    <row r="2" spans="1:20" ht="15.75" x14ac:dyDescent="0.25">
      <c r="A2" s="2555" t="str">
        <f>+Index!$A$2</f>
        <v>2024 ACFR Worksheets</v>
      </c>
      <c r="B2" s="2555"/>
      <c r="C2" s="2555"/>
      <c r="D2" s="2555"/>
      <c r="E2" s="2555"/>
      <c r="F2" s="2555"/>
      <c r="G2" s="2555"/>
      <c r="H2" s="2555"/>
      <c r="I2" s="2555"/>
      <c r="J2" s="2555"/>
      <c r="K2" s="2555"/>
      <c r="L2" s="2555"/>
      <c r="M2" s="2555"/>
      <c r="N2" s="80"/>
      <c r="O2" s="80"/>
      <c r="P2" s="80"/>
    </row>
    <row r="3" spans="1:20" ht="15.75" x14ac:dyDescent="0.25">
      <c r="A3" s="2555" t="s">
        <v>986</v>
      </c>
      <c r="B3" s="2555"/>
      <c r="C3" s="2555"/>
      <c r="D3" s="2555"/>
      <c r="E3" s="2555"/>
      <c r="F3" s="2555"/>
      <c r="G3" s="2555"/>
      <c r="H3" s="2555"/>
      <c r="I3" s="2555"/>
      <c r="J3" s="2555"/>
      <c r="K3" s="2555"/>
      <c r="L3" s="2555"/>
      <c r="M3" s="2555"/>
      <c r="N3" s="80"/>
      <c r="O3" s="80"/>
      <c r="P3" s="80"/>
    </row>
    <row r="4" spans="1:20" ht="15" x14ac:dyDescent="0.2">
      <c r="A4" s="1840"/>
      <c r="B4" s="1840"/>
      <c r="C4" s="1840"/>
      <c r="D4" s="1840"/>
      <c r="E4" s="1840"/>
      <c r="F4" s="1840"/>
      <c r="G4" s="1840"/>
      <c r="H4" s="691"/>
      <c r="I4" s="2613" t="s">
        <v>872</v>
      </c>
      <c r="J4" s="2613"/>
      <c r="K4" s="2613"/>
      <c r="L4" s="2613"/>
      <c r="M4" s="1840"/>
      <c r="N4" s="80"/>
      <c r="O4" s="80"/>
      <c r="P4" s="80"/>
    </row>
    <row r="5" spans="1:20" ht="15" x14ac:dyDescent="0.2">
      <c r="A5" s="1840"/>
      <c r="B5" s="1840"/>
      <c r="C5" s="1840"/>
      <c r="D5" s="1840"/>
      <c r="E5" s="1891"/>
      <c r="F5" s="1891"/>
      <c r="G5" s="1891"/>
      <c r="H5" s="1891"/>
      <c r="I5" s="1891"/>
      <c r="J5" s="1518" t="s">
        <v>318</v>
      </c>
      <c r="K5" s="27"/>
      <c r="L5" s="2603" t="str">
        <f>+Index!$E$10</f>
        <v>01</v>
      </c>
      <c r="M5" s="2603"/>
      <c r="N5" s="2603"/>
      <c r="O5" s="2603"/>
      <c r="P5" s="2603"/>
    </row>
    <row r="6" spans="1:20" ht="15" x14ac:dyDescent="0.2">
      <c r="A6" s="1840"/>
      <c r="B6" s="1575" t="s">
        <v>987</v>
      </c>
      <c r="C6" s="1373" t="s">
        <v>885</v>
      </c>
      <c r="D6" s="1840"/>
      <c r="E6" s="1891"/>
      <c r="F6" s="1891"/>
      <c r="G6" s="1891"/>
      <c r="H6" s="1891"/>
      <c r="I6" s="1891"/>
      <c r="J6" s="1518" t="s">
        <v>319</v>
      </c>
      <c r="K6" s="27"/>
      <c r="L6" s="2604" t="str">
        <f>+Index!$E$11</f>
        <v>North Carolina General Assembly</v>
      </c>
      <c r="M6" s="2604"/>
      <c r="N6" s="2604"/>
      <c r="O6" s="2604"/>
      <c r="P6" s="2604"/>
    </row>
    <row r="7" spans="1:20" ht="15" x14ac:dyDescent="0.2">
      <c r="A7" s="1840" t="s">
        <v>545</v>
      </c>
      <c r="B7" s="1840"/>
      <c r="C7" s="1841" t="s">
        <v>762</v>
      </c>
      <c r="D7" s="1840"/>
      <c r="E7" s="1890"/>
      <c r="F7" s="1890"/>
      <c r="G7" s="1890"/>
      <c r="H7" s="1890"/>
      <c r="I7" s="1890"/>
      <c r="J7" s="1518" t="s">
        <v>320</v>
      </c>
      <c r="K7" s="27"/>
      <c r="L7" s="2605" t="str">
        <f>CONCATENATE(Index!$E$12," ",Index!$E$14)</f>
        <v xml:space="preserve"> </v>
      </c>
      <c r="M7" s="2605"/>
      <c r="N7" s="2605"/>
      <c r="O7" s="2605"/>
      <c r="P7" s="2605"/>
    </row>
    <row r="8" spans="1:20" ht="15" x14ac:dyDescent="0.2">
      <c r="A8" s="1840"/>
      <c r="B8" s="1840"/>
      <c r="C8" s="1840"/>
      <c r="D8" s="1840"/>
      <c r="E8" s="1890"/>
      <c r="F8" s="1890"/>
      <c r="G8" s="1890"/>
      <c r="H8" s="1890"/>
      <c r="I8" s="1890"/>
      <c r="J8" s="1518" t="s">
        <v>168</v>
      </c>
      <c r="K8" s="27"/>
      <c r="L8" s="2605">
        <f>+Index!$E$13</f>
        <v>0</v>
      </c>
      <c r="M8" s="2605"/>
      <c r="N8" s="2605"/>
      <c r="O8" s="2605"/>
      <c r="P8" s="2605"/>
    </row>
    <row r="9" spans="1:20" ht="15.75" thickBot="1" x14ac:dyDescent="0.25">
      <c r="A9" s="1842"/>
      <c r="B9" s="1842"/>
      <c r="C9" s="1842"/>
      <c r="D9" s="1842"/>
      <c r="E9" s="1843"/>
      <c r="F9" s="1843"/>
      <c r="G9" s="1843"/>
      <c r="H9" s="1843"/>
      <c r="I9" s="1843"/>
      <c r="J9" s="1843"/>
      <c r="K9" s="1843"/>
      <c r="L9" s="1843"/>
      <c r="M9" s="1843"/>
      <c r="N9" s="1844"/>
      <c r="O9" s="1844"/>
      <c r="P9" s="1844"/>
    </row>
    <row r="10" spans="1:20" x14ac:dyDescent="0.2">
      <c r="A10" s="691"/>
      <c r="B10" s="691"/>
      <c r="C10" s="691"/>
      <c r="D10" s="691"/>
      <c r="E10" s="1845"/>
      <c r="F10" s="1845"/>
      <c r="G10" s="1845"/>
      <c r="H10" s="1845"/>
      <c r="I10" s="1845"/>
      <c r="J10" s="1845"/>
      <c r="K10" s="1845"/>
      <c r="L10" s="1845"/>
      <c r="M10" s="1845"/>
    </row>
    <row r="11" spans="1:20" x14ac:dyDescent="0.2">
      <c r="A11" s="1" t="s">
        <v>988</v>
      </c>
      <c r="B11" s="1"/>
      <c r="C11" s="1"/>
      <c r="D11" s="1"/>
      <c r="E11" s="2334"/>
      <c r="F11" s="1"/>
      <c r="G11" s="2334"/>
      <c r="H11" s="1"/>
      <c r="I11" s="1"/>
      <c r="J11" s="1"/>
    </row>
    <row r="12" spans="1:20" ht="47.25" customHeight="1" x14ac:dyDescent="0.2">
      <c r="A12" s="1"/>
      <c r="B12" s="1"/>
      <c r="C12" s="1"/>
      <c r="D12" s="1"/>
      <c r="E12" s="2334"/>
      <c r="F12" s="1923" t="s">
        <v>989</v>
      </c>
      <c r="G12" s="1923"/>
      <c r="H12" s="1923" t="s">
        <v>990</v>
      </c>
      <c r="I12" s="2288"/>
      <c r="J12" s="1923" t="s">
        <v>991</v>
      </c>
      <c r="K12" s="1923"/>
      <c r="L12" s="1923" t="s">
        <v>992</v>
      </c>
      <c r="M12" s="1923"/>
      <c r="N12" s="1923" t="s">
        <v>993</v>
      </c>
      <c r="O12" s="1923"/>
      <c r="P12" s="1923" t="s">
        <v>994</v>
      </c>
    </row>
    <row r="13" spans="1:20" x14ac:dyDescent="0.2">
      <c r="F13" s="1169" t="s">
        <v>888</v>
      </c>
      <c r="J13" s="2300"/>
    </row>
    <row r="14" spans="1:20" x14ac:dyDescent="0.2">
      <c r="A14" s="1170"/>
      <c r="B14" s="1170"/>
      <c r="C14" s="1170"/>
      <c r="D14" s="1170"/>
      <c r="E14" s="1846"/>
      <c r="F14" s="1169" t="s">
        <v>995</v>
      </c>
      <c r="G14" s="1846"/>
      <c r="H14" s="1580"/>
      <c r="J14" s="1169" t="s">
        <v>996</v>
      </c>
      <c r="K14" s="1169"/>
      <c r="L14" s="1169" t="s">
        <v>996</v>
      </c>
      <c r="M14" s="1169"/>
      <c r="N14" s="1169"/>
      <c r="O14" s="1169"/>
      <c r="P14" s="1169"/>
    </row>
    <row r="15" spans="1:20" ht="13.15" customHeight="1" x14ac:dyDescent="0.2">
      <c r="A15" s="1170"/>
      <c r="B15" s="1170"/>
      <c r="C15" s="1170"/>
      <c r="D15" s="1170"/>
      <c r="E15" s="1846"/>
      <c r="F15" s="1169" t="s">
        <v>997</v>
      </c>
      <c r="G15" s="1846"/>
      <c r="H15" s="1987" t="s">
        <v>998</v>
      </c>
      <c r="J15" s="2291" t="s">
        <v>999</v>
      </c>
      <c r="K15" s="1847"/>
      <c r="L15" s="2291" t="s">
        <v>999</v>
      </c>
      <c r="M15" s="1169"/>
      <c r="N15" s="1925" t="s">
        <v>1000</v>
      </c>
      <c r="O15" s="1169"/>
      <c r="P15" s="2614" t="s">
        <v>994</v>
      </c>
    </row>
    <row r="16" spans="1:20" ht="13.15" customHeight="1" x14ac:dyDescent="0.2">
      <c r="A16" s="2616" t="s">
        <v>1001</v>
      </c>
      <c r="B16" s="2616"/>
      <c r="C16" s="2616"/>
      <c r="D16" s="1170"/>
      <c r="E16" s="1846"/>
      <c r="F16" s="1848" t="s">
        <v>1002</v>
      </c>
      <c r="G16" s="1846"/>
      <c r="H16" s="2293" t="s">
        <v>1003</v>
      </c>
      <c r="J16" s="2292" t="s">
        <v>1004</v>
      </c>
      <c r="K16" s="1847"/>
      <c r="L16" s="2292" t="s">
        <v>1005</v>
      </c>
      <c r="M16" s="1169"/>
      <c r="N16" s="1926" t="s">
        <v>1006</v>
      </c>
      <c r="O16" s="1169"/>
      <c r="P16" s="2615"/>
    </row>
    <row r="17" spans="1:18" ht="19.899999999999999" customHeight="1" x14ac:dyDescent="0.2">
      <c r="A17" s="1169"/>
      <c r="B17" s="1169"/>
      <c r="C17" s="1169"/>
      <c r="D17" s="1170"/>
      <c r="E17" s="1846"/>
      <c r="F17" s="1849"/>
      <c r="G17" s="1846"/>
      <c r="H17" s="1169"/>
      <c r="J17" s="1850"/>
      <c r="K17" s="1847"/>
      <c r="L17" s="2291"/>
      <c r="M17" s="1169"/>
      <c r="N17" s="2291"/>
      <c r="O17" s="1169"/>
      <c r="P17" s="2291"/>
    </row>
    <row r="18" spans="1:18" ht="19.899999999999999" customHeight="1" x14ac:dyDescent="0.2">
      <c r="A18" s="1838" t="s">
        <v>883</v>
      </c>
      <c r="B18" s="1838"/>
      <c r="C18" s="1838"/>
      <c r="D18" s="1838"/>
      <c r="E18" s="1851"/>
      <c r="F18" s="1852"/>
      <c r="G18" s="1851"/>
      <c r="H18" s="1852"/>
      <c r="I18" s="1838"/>
      <c r="J18" s="1838"/>
      <c r="K18" s="1838"/>
      <c r="L18" s="1838"/>
      <c r="M18" s="1838"/>
      <c r="N18" s="1838"/>
      <c r="O18" s="1838"/>
      <c r="P18" s="1838"/>
    </row>
    <row r="19" spans="1:18" ht="19.899999999999999" customHeight="1" x14ac:dyDescent="0.2">
      <c r="A19" s="1170"/>
      <c r="B19" s="1170" t="s">
        <v>1007</v>
      </c>
      <c r="C19" s="1170"/>
      <c r="D19" s="1170"/>
      <c r="E19" s="1846" t="s">
        <v>1008</v>
      </c>
      <c r="F19" s="1982"/>
      <c r="G19" s="1846" t="s">
        <v>1008</v>
      </c>
      <c r="H19" s="1982"/>
      <c r="I19" s="1170"/>
      <c r="J19" s="1943"/>
      <c r="K19" s="1854"/>
      <c r="L19" s="1943"/>
      <c r="M19" s="1170"/>
      <c r="N19" s="1945"/>
      <c r="O19" s="1854"/>
      <c r="P19" s="1945"/>
      <c r="R19" s="1924" t="s">
        <v>1009</v>
      </c>
    </row>
    <row r="20" spans="1:18" ht="15" customHeight="1" x14ac:dyDescent="0.2">
      <c r="A20" s="1170"/>
      <c r="B20" s="1170" t="s">
        <v>1010</v>
      </c>
      <c r="C20" s="1170"/>
      <c r="D20" s="1170"/>
      <c r="E20" s="1846"/>
      <c r="F20" s="1983"/>
      <c r="G20" s="1846"/>
      <c r="H20" s="1983"/>
      <c r="I20" s="1170"/>
      <c r="J20" s="1944"/>
      <c r="K20" s="1854"/>
      <c r="L20" s="1944"/>
      <c r="M20" s="1170"/>
      <c r="N20" s="1946"/>
      <c r="O20" s="1855"/>
      <c r="P20" s="1946"/>
      <c r="R20" s="1924" t="s">
        <v>1011</v>
      </c>
    </row>
    <row r="21" spans="1:18" ht="15" customHeight="1" x14ac:dyDescent="0.2">
      <c r="A21" s="1170"/>
      <c r="B21" s="1170" t="s">
        <v>1012</v>
      </c>
      <c r="C21" s="1170"/>
      <c r="D21" s="1170"/>
      <c r="E21" s="1846"/>
      <c r="F21" s="1983"/>
      <c r="G21" s="1846"/>
      <c r="H21" s="1983"/>
      <c r="I21" s="1170"/>
      <c r="J21" s="1943"/>
      <c r="K21" s="1854"/>
      <c r="L21" s="1943"/>
      <c r="M21" s="1170"/>
      <c r="N21" s="1946"/>
      <c r="O21" s="1855"/>
      <c r="P21" s="1946"/>
      <c r="R21" s="1924" t="s">
        <v>1013</v>
      </c>
    </row>
    <row r="22" spans="1:18" ht="16.149999999999999" customHeight="1" x14ac:dyDescent="0.2">
      <c r="A22" s="1170"/>
      <c r="B22" s="1170" t="s">
        <v>1014</v>
      </c>
      <c r="C22" s="1170"/>
      <c r="D22" s="1170"/>
      <c r="E22" s="1846"/>
      <c r="F22" s="1982"/>
      <c r="G22" s="1846"/>
      <c r="H22" s="1982"/>
      <c r="I22" s="1170"/>
      <c r="J22" s="1943"/>
      <c r="K22" s="1854"/>
      <c r="L22" s="1943"/>
      <c r="M22" s="1170"/>
      <c r="N22" s="1946"/>
      <c r="O22" s="1855"/>
      <c r="P22" s="1946"/>
      <c r="R22" s="1924" t="s">
        <v>1015</v>
      </c>
    </row>
    <row r="23" spans="1:18" ht="19.899999999999999" customHeight="1" x14ac:dyDescent="0.2">
      <c r="A23" s="1170"/>
      <c r="B23" s="1170"/>
      <c r="C23" s="1170"/>
      <c r="D23" s="1170"/>
      <c r="E23" s="1846"/>
      <c r="F23" s="1856"/>
      <c r="G23" s="1846"/>
      <c r="H23" s="1856"/>
      <c r="I23" s="1170"/>
      <c r="J23" s="1854"/>
      <c r="K23" s="1854"/>
      <c r="L23" s="1170"/>
      <c r="M23" s="1170"/>
      <c r="N23" s="1855"/>
      <c r="O23" s="1855"/>
      <c r="P23" s="1855"/>
      <c r="R23" s="2304"/>
    </row>
    <row r="24" spans="1:18" ht="19.899999999999999" customHeight="1" thickBot="1" x14ac:dyDescent="0.25">
      <c r="A24" s="1170"/>
      <c r="B24" s="1170"/>
      <c r="C24" s="1838" t="s">
        <v>962</v>
      </c>
      <c r="D24" s="1170"/>
      <c r="E24" s="1846" t="s">
        <v>1008</v>
      </c>
      <c r="F24" s="1984">
        <f>SUM(F19:F22)</f>
        <v>0</v>
      </c>
      <c r="G24" s="1846" t="s">
        <v>1008</v>
      </c>
      <c r="H24" s="1984">
        <f>SUM(H19:H22)</f>
        <v>0</v>
      </c>
      <c r="I24" s="1170"/>
      <c r="J24" s="1170"/>
      <c r="K24" s="1170"/>
      <c r="L24" s="1170"/>
      <c r="M24" s="1170"/>
      <c r="N24" s="1170"/>
      <c r="O24" s="1170"/>
      <c r="P24" s="1170"/>
      <c r="R24" s="2304"/>
    </row>
    <row r="25" spans="1:18" ht="19.899999999999999" customHeight="1" thickTop="1" x14ac:dyDescent="0.2">
      <c r="A25" s="1170"/>
      <c r="B25" s="1170"/>
      <c r="C25" s="1170"/>
      <c r="D25" s="1170"/>
      <c r="E25" s="1846"/>
      <c r="F25" s="1857"/>
      <c r="G25" s="1846"/>
      <c r="H25" s="1857"/>
      <c r="I25" s="1170"/>
      <c r="J25" s="1170"/>
      <c r="K25" s="1170"/>
      <c r="L25" s="1170"/>
      <c r="M25" s="1170"/>
      <c r="N25" s="1170"/>
      <c r="O25" s="1170"/>
      <c r="P25" s="1170"/>
      <c r="R25" s="2304"/>
    </row>
    <row r="26" spans="1:18" x14ac:dyDescent="0.2">
      <c r="A26" s="1838" t="s">
        <v>1016</v>
      </c>
      <c r="B26" s="1838"/>
      <c r="C26" s="1838"/>
      <c r="D26" s="1838"/>
      <c r="E26" s="1851"/>
      <c r="F26" s="1858"/>
      <c r="G26" s="1851"/>
      <c r="H26" s="1858"/>
      <c r="I26" s="1838"/>
      <c r="J26" s="1838"/>
      <c r="K26" s="1838"/>
      <c r="L26" s="1170"/>
      <c r="M26" s="1170"/>
      <c r="N26" s="1170"/>
      <c r="O26" s="1170"/>
      <c r="P26" s="1170"/>
      <c r="R26" s="2304"/>
    </row>
    <row r="27" spans="1:18" x14ac:dyDescent="0.2">
      <c r="A27" s="1170"/>
      <c r="B27" s="1170"/>
      <c r="C27" s="1170"/>
      <c r="D27" s="1170"/>
      <c r="E27" s="1846"/>
      <c r="F27" s="1859"/>
      <c r="G27" s="1846"/>
      <c r="H27" s="1859"/>
      <c r="I27" s="1170"/>
      <c r="J27" s="1170"/>
      <c r="K27" s="1170"/>
      <c r="L27" s="1170"/>
      <c r="M27" s="1170"/>
      <c r="N27" s="1170"/>
      <c r="O27" s="1170"/>
      <c r="P27" s="1170"/>
      <c r="R27" s="2304"/>
    </row>
    <row r="28" spans="1:18" x14ac:dyDescent="0.2">
      <c r="A28" s="1838" t="s">
        <v>940</v>
      </c>
      <c r="B28" s="1170"/>
      <c r="C28" s="1170"/>
      <c r="D28" s="1170"/>
      <c r="E28" s="1846"/>
      <c r="F28" s="1198"/>
      <c r="G28" s="1846"/>
      <c r="H28" s="1170"/>
      <c r="I28" s="1170"/>
      <c r="J28" s="1170"/>
      <c r="K28" s="1170"/>
      <c r="L28" s="1170"/>
      <c r="M28" s="1170"/>
      <c r="N28" s="1170"/>
      <c r="O28" s="1170"/>
      <c r="P28" s="1170"/>
      <c r="R28" s="2304"/>
    </row>
    <row r="29" spans="1:18" x14ac:dyDescent="0.2">
      <c r="A29" s="1170"/>
      <c r="B29" s="1170" t="s">
        <v>1007</v>
      </c>
      <c r="C29" s="1170"/>
      <c r="D29" s="1170"/>
      <c r="E29" s="1846" t="s">
        <v>1008</v>
      </c>
      <c r="F29" s="1982"/>
      <c r="G29" s="1846" t="s">
        <v>1008</v>
      </c>
      <c r="H29" s="1982"/>
      <c r="I29" s="1170"/>
      <c r="J29" s="1943"/>
      <c r="K29" s="1854"/>
      <c r="L29" s="1943"/>
      <c r="M29" s="1170"/>
      <c r="N29" s="1946"/>
      <c r="O29" s="1854"/>
      <c r="P29" s="1946"/>
      <c r="R29" s="1924" t="s">
        <v>1017</v>
      </c>
    </row>
    <row r="30" spans="1:18" x14ac:dyDescent="0.2">
      <c r="A30" s="1170"/>
      <c r="B30" s="1170" t="s">
        <v>1010</v>
      </c>
      <c r="C30" s="1170"/>
      <c r="D30" s="1170"/>
      <c r="E30" s="1846"/>
      <c r="F30" s="1982"/>
      <c r="G30" s="1846"/>
      <c r="H30" s="1982"/>
      <c r="I30" s="1170"/>
      <c r="J30" s="1943"/>
      <c r="K30" s="1854"/>
      <c r="L30" s="1943"/>
      <c r="M30" s="1170"/>
      <c r="N30" s="1946"/>
      <c r="O30" s="1855"/>
      <c r="P30" s="1946"/>
      <c r="R30" s="1924" t="s">
        <v>1018</v>
      </c>
    </row>
    <row r="31" spans="1:18" x14ac:dyDescent="0.2">
      <c r="A31" s="1170"/>
      <c r="B31" s="1170" t="s">
        <v>1012</v>
      </c>
      <c r="C31" s="1170"/>
      <c r="D31" s="1170"/>
      <c r="E31" s="1846"/>
      <c r="F31" s="1982"/>
      <c r="G31" s="1846"/>
      <c r="H31" s="1982"/>
      <c r="I31" s="1170"/>
      <c r="J31" s="1943"/>
      <c r="K31" s="1854"/>
      <c r="L31" s="1943"/>
      <c r="M31" s="1170"/>
      <c r="N31" s="1946"/>
      <c r="O31" s="1854"/>
      <c r="P31" s="1946"/>
      <c r="R31" s="1924" t="s">
        <v>1019</v>
      </c>
    </row>
    <row r="32" spans="1:18" x14ac:dyDescent="0.2">
      <c r="A32" s="1170"/>
      <c r="B32" s="1170" t="s">
        <v>1014</v>
      </c>
      <c r="C32" s="1170"/>
      <c r="D32" s="1170"/>
      <c r="E32" s="1846"/>
      <c r="F32" s="1982"/>
      <c r="G32" s="1846"/>
      <c r="H32" s="1982"/>
      <c r="I32" s="1170"/>
      <c r="J32" s="1943"/>
      <c r="K32" s="1854"/>
      <c r="L32" s="1943"/>
      <c r="M32" s="1170"/>
      <c r="N32" s="1946"/>
      <c r="O32" s="1855"/>
      <c r="P32" s="1946"/>
      <c r="R32" s="1924" t="s">
        <v>1020</v>
      </c>
    </row>
    <row r="33" spans="1:18" x14ac:dyDescent="0.2">
      <c r="A33" s="1170"/>
      <c r="B33" s="1170"/>
      <c r="C33" s="1170"/>
      <c r="D33" s="1170"/>
      <c r="E33" s="1846"/>
      <c r="F33" s="1856"/>
      <c r="G33" s="1846"/>
      <c r="H33" s="1856"/>
      <c r="I33" s="1170"/>
      <c r="J33" s="1854"/>
      <c r="K33" s="1854"/>
      <c r="L33" s="1170"/>
      <c r="M33" s="1170"/>
      <c r="N33" s="1854"/>
      <c r="O33" s="1854"/>
      <c r="P33" s="1854"/>
    </row>
    <row r="34" spans="1:18" ht="13.5" thickBot="1" x14ac:dyDescent="0.25">
      <c r="A34" s="1170"/>
      <c r="B34" s="1170"/>
      <c r="C34" s="1838" t="s">
        <v>962</v>
      </c>
      <c r="D34" s="1170"/>
      <c r="E34" s="1846" t="s">
        <v>1008</v>
      </c>
      <c r="F34" s="1984">
        <f>SUM(F29:F32)</f>
        <v>0</v>
      </c>
      <c r="G34" s="1846" t="s">
        <v>1008</v>
      </c>
      <c r="H34" s="1984">
        <f>SUM(H29:H32)</f>
        <v>0</v>
      </c>
      <c r="I34" s="1170"/>
      <c r="J34" s="1170"/>
      <c r="K34" s="1170"/>
      <c r="L34" s="1170"/>
      <c r="M34" s="1170"/>
      <c r="N34" s="1170"/>
      <c r="O34" s="1170"/>
      <c r="P34" s="1170"/>
    </row>
    <row r="35" spans="1:18" ht="13.5" thickTop="1" x14ac:dyDescent="0.2">
      <c r="A35" s="1170"/>
      <c r="B35" s="1170"/>
      <c r="C35" s="1170"/>
      <c r="D35" s="1170"/>
      <c r="E35" s="1846"/>
      <c r="F35" s="1860"/>
      <c r="G35" s="1846"/>
      <c r="H35" s="1860"/>
      <c r="I35" s="1170"/>
      <c r="J35" s="1170"/>
      <c r="K35" s="1170"/>
      <c r="L35" s="1170"/>
      <c r="M35" s="1170"/>
      <c r="N35" s="1170"/>
      <c r="O35" s="1170"/>
      <c r="P35" s="1170"/>
    </row>
    <row r="36" spans="1:18" x14ac:dyDescent="0.2">
      <c r="A36" s="1838" t="s">
        <v>1021</v>
      </c>
      <c r="B36" s="1838"/>
      <c r="C36" s="1838"/>
      <c r="D36" s="1838"/>
      <c r="E36" s="1851"/>
      <c r="F36" s="1858"/>
      <c r="G36" s="1851"/>
      <c r="H36" s="1858"/>
      <c r="I36" s="1838"/>
      <c r="J36" s="1838"/>
      <c r="K36" s="1838"/>
      <c r="L36" s="1170"/>
      <c r="M36" s="1170"/>
      <c r="N36" s="1170"/>
      <c r="O36" s="1170"/>
      <c r="P36" s="1170"/>
    </row>
    <row r="37" spans="1:18" x14ac:dyDescent="0.2">
      <c r="A37" s="1861"/>
      <c r="B37" s="1862"/>
      <c r="C37" s="1862"/>
      <c r="D37" s="1862"/>
      <c r="E37" s="1846"/>
      <c r="F37" s="1862"/>
      <c r="G37" s="1846"/>
      <c r="H37" s="1862"/>
      <c r="I37" s="1862"/>
      <c r="J37" s="1862"/>
      <c r="K37" s="1862"/>
      <c r="L37" s="1862"/>
      <c r="M37" s="1862"/>
    </row>
    <row r="38" spans="1:18" ht="27" customHeight="1" x14ac:dyDescent="0.2">
      <c r="A38" s="2601" t="s">
        <v>1022</v>
      </c>
      <c r="B38" s="2601"/>
      <c r="C38" s="2601"/>
      <c r="D38" s="2601"/>
      <c r="E38" s="2601"/>
      <c r="F38" s="2601"/>
      <c r="G38" s="2601"/>
      <c r="H38" s="2601"/>
      <c r="I38" s="2601"/>
      <c r="J38" s="2601"/>
      <c r="K38" s="2601"/>
      <c r="L38" s="2601"/>
      <c r="M38" s="2601"/>
      <c r="N38" s="2601"/>
      <c r="O38" s="2601"/>
      <c r="P38" s="2601"/>
    </row>
    <row r="39" spans="1:18" ht="27" customHeight="1" x14ac:dyDescent="0.2">
      <c r="A39" s="2285"/>
      <c r="B39" s="2285"/>
      <c r="C39" s="2285"/>
      <c r="D39" s="2285"/>
      <c r="E39" s="2285"/>
      <c r="F39" s="2285"/>
      <c r="G39" s="2285"/>
      <c r="H39" s="2285"/>
      <c r="I39" s="2285"/>
      <c r="J39" s="2285"/>
      <c r="K39" s="2285"/>
      <c r="L39" s="2285"/>
      <c r="M39" s="2285"/>
      <c r="N39" s="2285"/>
      <c r="O39" s="2285"/>
      <c r="P39" s="2285"/>
    </row>
    <row r="40" spans="1:18" x14ac:dyDescent="0.2">
      <c r="A40" s="1170"/>
      <c r="B40" s="1170"/>
      <c r="C40" s="1170"/>
      <c r="D40" s="1170"/>
      <c r="E40" s="1846"/>
      <c r="F40" s="1169" t="s">
        <v>1023</v>
      </c>
      <c r="G40" s="1846"/>
      <c r="J40" s="1169" t="s">
        <v>1024</v>
      </c>
      <c r="K40" s="1169"/>
      <c r="L40" s="1169" t="s">
        <v>1024</v>
      </c>
      <c r="M40" s="1169"/>
      <c r="N40" s="1169"/>
      <c r="O40" s="1169"/>
      <c r="P40" s="1169"/>
    </row>
    <row r="41" spans="1:18" ht="13.15" customHeight="1" x14ac:dyDescent="0.2">
      <c r="A41" s="1170"/>
      <c r="B41" s="1170"/>
      <c r="C41" s="1170"/>
      <c r="D41" s="1170"/>
      <c r="E41" s="1846"/>
      <c r="F41" s="1169" t="s">
        <v>997</v>
      </c>
      <c r="G41" s="1846"/>
      <c r="H41" s="1987" t="s">
        <v>998</v>
      </c>
      <c r="J41" s="2291" t="s">
        <v>999</v>
      </c>
      <c r="K41" s="1847"/>
      <c r="L41" s="2291" t="s">
        <v>999</v>
      </c>
      <c r="M41" s="1169"/>
      <c r="N41" s="1925" t="s">
        <v>1000</v>
      </c>
      <c r="O41" s="1169"/>
      <c r="P41" s="2614" t="s">
        <v>994</v>
      </c>
    </row>
    <row r="42" spans="1:18" x14ac:dyDescent="0.2">
      <c r="A42" s="2616" t="s">
        <v>1001</v>
      </c>
      <c r="B42" s="2616"/>
      <c r="C42" s="2616"/>
      <c r="D42" s="1170"/>
      <c r="E42" s="1846"/>
      <c r="F42" s="1848" t="s">
        <v>1002</v>
      </c>
      <c r="G42" s="1846"/>
      <c r="H42" s="2293" t="s">
        <v>1003</v>
      </c>
      <c r="J42" s="2292" t="s">
        <v>1004</v>
      </c>
      <c r="K42" s="1847"/>
      <c r="L42" s="2292" t="s">
        <v>1005</v>
      </c>
      <c r="M42" s="1169"/>
      <c r="N42" s="1926" t="s">
        <v>1006</v>
      </c>
      <c r="O42" s="1169"/>
      <c r="P42" s="2615"/>
    </row>
    <row r="43" spans="1:18" x14ac:dyDescent="0.2">
      <c r="B43" s="1863"/>
    </row>
    <row r="44" spans="1:18" x14ac:dyDescent="0.2">
      <c r="A44" s="1838" t="s">
        <v>883</v>
      </c>
      <c r="B44" s="1838"/>
      <c r="C44" s="1838"/>
      <c r="D44" s="1838"/>
      <c r="E44" s="1851"/>
      <c r="F44" s="1852"/>
      <c r="G44" s="1851"/>
      <c r="H44" s="1852"/>
      <c r="I44" s="1838"/>
      <c r="J44" s="1838"/>
      <c r="K44" s="1838"/>
      <c r="L44" s="1838"/>
      <c r="M44" s="1838"/>
      <c r="N44" s="1838"/>
      <c r="O44" s="1838"/>
      <c r="P44" s="1838"/>
      <c r="R44" s="1923"/>
    </row>
    <row r="45" spans="1:18" x14ac:dyDescent="0.2">
      <c r="A45" s="1170"/>
      <c r="B45" s="1170" t="s">
        <v>1025</v>
      </c>
      <c r="C45" s="1170"/>
      <c r="D45" s="1170"/>
      <c r="E45" s="1846" t="s">
        <v>1008</v>
      </c>
      <c r="F45" s="1982"/>
      <c r="G45" s="1846" t="s">
        <v>1008</v>
      </c>
      <c r="H45" s="1982"/>
      <c r="I45" s="1170"/>
      <c r="J45" s="1943"/>
      <c r="K45" s="1854"/>
      <c r="L45" s="1943"/>
      <c r="M45" s="1170"/>
      <c r="N45" s="1946"/>
      <c r="O45" s="1854"/>
      <c r="P45" s="1946"/>
      <c r="R45" s="1959" t="s">
        <v>1026</v>
      </c>
    </row>
    <row r="46" spans="1:18" x14ac:dyDescent="0.2">
      <c r="B46" s="1863"/>
      <c r="F46" s="1209" t="s">
        <v>665</v>
      </c>
      <c r="H46" s="1209"/>
    </row>
    <row r="47" spans="1:18" ht="13.5" thickBot="1" x14ac:dyDescent="0.25">
      <c r="B47" s="1863"/>
      <c r="C47" s="1838" t="s">
        <v>962</v>
      </c>
      <c r="D47" s="1170"/>
      <c r="E47" s="1846" t="s">
        <v>1008</v>
      </c>
      <c r="F47" s="1984">
        <f>SUM(F45:F45)</f>
        <v>0</v>
      </c>
      <c r="G47" s="1846" t="s">
        <v>1008</v>
      </c>
      <c r="H47" s="1984">
        <f>SUM(H43:H45)</f>
        <v>0</v>
      </c>
      <c r="I47" s="1170"/>
      <c r="J47" s="1170"/>
    </row>
    <row r="48" spans="1:18" ht="13.5" thickTop="1" x14ac:dyDescent="0.2">
      <c r="B48" s="1863"/>
      <c r="C48" s="1838"/>
      <c r="D48" s="1170"/>
      <c r="E48" s="1846"/>
      <c r="F48" s="1853"/>
      <c r="G48" s="1846"/>
      <c r="H48" s="1856"/>
      <c r="I48" s="1170"/>
      <c r="J48" s="1170"/>
    </row>
    <row r="49" spans="1:16" x14ac:dyDescent="0.2">
      <c r="A49" s="1838" t="s">
        <v>1016</v>
      </c>
      <c r="B49" s="1838"/>
      <c r="C49" s="1838"/>
      <c r="D49" s="1838"/>
      <c r="E49" s="1851"/>
      <c r="F49" s="1858"/>
      <c r="G49" s="1851"/>
      <c r="H49" s="1858"/>
      <c r="I49" s="1838"/>
      <c r="J49" s="1838"/>
      <c r="K49" s="1838"/>
      <c r="L49" s="1170"/>
      <c r="M49" s="1170"/>
      <c r="N49" s="1170"/>
      <c r="O49" s="1170"/>
      <c r="P49" s="1170"/>
    </row>
  </sheetData>
  <sheetProtection algorithmName="SHA-512" hashValue="TGpCr0lf9+NsAQmb5lFNbJ12qffzQ5PPaHTMfGK04z4DAJ51G12Qm8pdtC20V0RJnrMfzawv7QQIf8pLxPvyCg==" saltValue="SfxVdVR4yTdm2S8sl5NKaQ==" spinCount="100000" sheet="1" autoFilter="0"/>
  <mergeCells count="13">
    <mergeCell ref="L8:P8"/>
    <mergeCell ref="P15:P16"/>
    <mergeCell ref="A16:C16"/>
    <mergeCell ref="P41:P42"/>
    <mergeCell ref="A42:C42"/>
    <mergeCell ref="A38:P38"/>
    <mergeCell ref="L5:P5"/>
    <mergeCell ref="L6:P6"/>
    <mergeCell ref="L7:P7"/>
    <mergeCell ref="A1:M1"/>
    <mergeCell ref="A2:M2"/>
    <mergeCell ref="A3:M3"/>
    <mergeCell ref="I4:L4"/>
  </mergeCells>
  <conditionalFormatting sqref="T1">
    <cfRule type="cellIs" dxfId="132" priority="1" stopIfTrue="1" operator="equal">
      <formula>"na"</formula>
    </cfRule>
  </conditionalFormatting>
  <dataValidations count="4">
    <dataValidation type="decimal" operator="greaterThan" allowBlank="1" showInputMessage="1" showErrorMessage="1" error="Please enter a positive value._x000a_" sqref="H32 F32" xr:uid="{F3A6B416-9679-4928-B418-C9570574AE68}">
      <formula1>0</formula1>
    </dataValidation>
    <dataValidation type="decimal" operator="greaterThan" allowBlank="1" showInputMessage="1" showErrorMessage="1" error="Please enter a positive value." sqref="F29:F31 H29:H31" xr:uid="{1D57DF57-5528-41A5-AD25-DBBBFEB55887}">
      <formula1>0</formula1>
    </dataValidation>
    <dataValidation type="decimal" operator="lessThanOrEqual" allowBlank="1" showInputMessage="1" showErrorMessage="1" error="Please enter a negative value." sqref="H45 F19:F22 F45 H19:H22" xr:uid="{3613D3F3-3FEF-4A29-B634-96EE8696D9D2}">
      <formula1>0</formula1>
    </dataValidation>
    <dataValidation type="list" allowBlank="1" showInputMessage="1" showErrorMessage="1" sqref="C6" xr:uid="{89FDE500-B770-4224-872E-4788CF627057}">
      <formula1>"GovtAct,BTAAct,UnivFounds"</formula1>
    </dataValidation>
  </dataValidations>
  <hyperlinks>
    <hyperlink ref="A1:M1" location="Index!A1" display="Index!A1" xr:uid="{E735B4FE-73F0-4379-9516-B5805D04681C}"/>
  </hyperlinks>
  <pageMargins left="0.6" right="0.6" top="0.5" bottom="0.5" header="0.3" footer="0.3"/>
  <pageSetup scale="72"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4">
    <pageSetUpPr fitToPage="1"/>
  </sheetPr>
  <dimension ref="A1:Y58"/>
  <sheetViews>
    <sheetView showGridLines="0" zoomScaleNormal="100" workbookViewId="0">
      <selection activeCell="E18" sqref="E18"/>
    </sheetView>
  </sheetViews>
  <sheetFormatPr defaultColWidth="16.5703125" defaultRowHeight="12.75" x14ac:dyDescent="0.2"/>
  <cols>
    <col min="1" max="1" width="11.140625" style="267" customWidth="1"/>
    <col min="2" max="2" width="16.5703125" style="268" customWidth="1"/>
    <col min="3" max="3" width="1.42578125" style="268" customWidth="1"/>
    <col min="4" max="4" width="13.85546875" style="268" customWidth="1"/>
    <col min="5" max="5" width="15.5703125" style="268" customWidth="1"/>
    <col min="6" max="6" width="1.42578125" style="268" customWidth="1"/>
    <col min="7" max="7" width="15.5703125" style="268" customWidth="1"/>
    <col min="8" max="8" width="1.42578125" style="268" customWidth="1"/>
    <col min="9" max="9" width="15.5703125" style="268" customWidth="1"/>
    <col min="10" max="10" width="1.42578125" style="268" customWidth="1"/>
    <col min="11" max="11" width="15.5703125" style="268" customWidth="1"/>
    <col min="12" max="12" width="1.42578125" style="268" customWidth="1"/>
    <col min="13" max="13" width="15.5703125" style="268" customWidth="1"/>
    <col min="14" max="14" width="1.42578125" style="268" customWidth="1"/>
    <col min="15" max="15" width="15.5703125" style="268" customWidth="1"/>
    <col min="16" max="16" width="4.5703125" style="268" customWidth="1"/>
    <col min="17" max="19" width="9.42578125" style="268" customWidth="1"/>
    <col min="20" max="20" width="21.7109375" style="268" bestFit="1" customWidth="1"/>
    <col min="21" max="21" width="10.28515625" style="268" bestFit="1" customWidth="1"/>
    <col min="22" max="22" width="13.85546875" style="268" customWidth="1"/>
    <col min="23" max="24" width="9.42578125" style="268" customWidth="1"/>
    <col min="25" max="25" width="10.5703125" style="268" customWidth="1"/>
    <col min="26" max="33" width="9.42578125" style="268" customWidth="1"/>
    <col min="34" max="16384" width="16.5703125" style="268"/>
  </cols>
  <sheetData>
    <row r="1" spans="1:22" s="12" customFormat="1" ht="25.15" customHeight="1" x14ac:dyDescent="0.25">
      <c r="A1" s="263"/>
      <c r="B1" s="2553" t="str">
        <f>+Index!$A$1</f>
        <v xml:space="preserve">                                                               Office of the State Controller                                                                </v>
      </c>
      <c r="C1" s="2553"/>
      <c r="D1" s="2553"/>
      <c r="E1" s="2553"/>
      <c r="F1" s="2553"/>
      <c r="G1" s="2553"/>
      <c r="H1" s="2553"/>
      <c r="I1" s="2553"/>
      <c r="J1" s="2553"/>
      <c r="K1" s="2553"/>
      <c r="L1" s="2553"/>
      <c r="M1" s="2553"/>
      <c r="N1" s="2553"/>
      <c r="O1" s="2553"/>
      <c r="P1" s="848" t="str">
        <f>IF(Index!$B$31="na","NA","")</f>
        <v/>
      </c>
    </row>
    <row r="2" spans="1:22" s="12" customFormat="1" ht="15" customHeight="1" x14ac:dyDescent="0.25">
      <c r="A2" s="263"/>
      <c r="B2" s="2624" t="str">
        <f>+Index!$A$2</f>
        <v>2024 ACFR Worksheets</v>
      </c>
      <c r="C2" s="2624"/>
      <c r="D2" s="2624"/>
      <c r="E2" s="2624"/>
      <c r="F2" s="2624"/>
      <c r="G2" s="2624"/>
      <c r="H2" s="2624"/>
      <c r="I2" s="2624"/>
      <c r="J2" s="2624"/>
      <c r="K2" s="2624"/>
      <c r="L2" s="2624"/>
      <c r="M2" s="2624"/>
      <c r="N2" s="2624"/>
      <c r="O2" s="2624"/>
      <c r="P2" s="848"/>
    </row>
    <row r="3" spans="1:22" s="12" customFormat="1" ht="15" customHeight="1" x14ac:dyDescent="0.25">
      <c r="A3" s="263"/>
      <c r="B3" s="2624" t="s">
        <v>1027</v>
      </c>
      <c r="C3" s="2624"/>
      <c r="D3" s="2624"/>
      <c r="E3" s="2624"/>
      <c r="F3" s="2624"/>
      <c r="G3" s="2624"/>
      <c r="H3" s="2624"/>
      <c r="I3" s="2624"/>
      <c r="J3" s="2624"/>
      <c r="K3" s="2624"/>
      <c r="L3" s="2624"/>
      <c r="M3" s="2624"/>
      <c r="N3" s="2624"/>
      <c r="O3" s="2624"/>
      <c r="P3" s="848"/>
    </row>
    <row r="4" spans="1:22" s="67" customFormat="1" ht="15" customHeight="1" x14ac:dyDescent="0.25">
      <c r="A4" s="267"/>
      <c r="B4" s="2624" t="s">
        <v>1028</v>
      </c>
      <c r="C4" s="2624"/>
      <c r="D4" s="2624"/>
      <c r="E4" s="2624"/>
      <c r="F4" s="2624"/>
      <c r="G4" s="2624"/>
      <c r="H4" s="2624"/>
      <c r="I4" s="2624"/>
      <c r="J4" s="2624"/>
      <c r="K4" s="2624"/>
      <c r="L4" s="2624"/>
      <c r="M4" s="2624"/>
      <c r="N4" s="2624"/>
      <c r="O4" s="2624"/>
      <c r="P4" s="2296"/>
      <c r="Q4" s="268"/>
      <c r="R4" s="268"/>
      <c r="S4" s="268"/>
      <c r="T4" s="268"/>
      <c r="U4" s="268"/>
      <c r="V4" s="268"/>
    </row>
    <row r="5" spans="1:22" s="67" customFormat="1" ht="12.75" customHeight="1" x14ac:dyDescent="0.25">
      <c r="A5" s="267"/>
      <c r="B5" s="2296"/>
      <c r="C5" s="2296"/>
      <c r="D5" s="2296"/>
      <c r="E5" s="2296"/>
      <c r="F5" s="2296"/>
      <c r="G5" s="2296"/>
      <c r="H5" s="2296"/>
      <c r="I5" s="2625"/>
      <c r="J5" s="2625"/>
      <c r="K5" s="2625"/>
      <c r="L5" s="2625"/>
      <c r="M5" s="2625"/>
      <c r="N5" s="2625"/>
      <c r="O5" s="2625"/>
      <c r="P5" s="2296"/>
      <c r="Q5" s="268"/>
      <c r="R5" s="268"/>
      <c r="S5" s="268"/>
      <c r="T5" s="268"/>
      <c r="U5" s="268"/>
      <c r="V5" s="268"/>
    </row>
    <row r="6" spans="1:22" s="67" customFormat="1" ht="14.85" customHeight="1" x14ac:dyDescent="0.2">
      <c r="A6" s="267"/>
      <c r="B6" s="268"/>
      <c r="C6" s="268"/>
      <c r="D6" s="267"/>
      <c r="E6" s="268"/>
      <c r="F6" s="268"/>
      <c r="G6" s="268"/>
      <c r="H6" s="268"/>
      <c r="I6" s="1575" t="s">
        <v>318</v>
      </c>
      <c r="J6" s="1576"/>
      <c r="K6" s="2617" t="str">
        <f>+Index!$E$10</f>
        <v>01</v>
      </c>
      <c r="L6" s="2617"/>
      <c r="M6" s="2617"/>
      <c r="N6" s="2617"/>
      <c r="O6" s="2617"/>
      <c r="P6" s="268"/>
      <c r="Q6" s="268"/>
      <c r="R6" s="268"/>
      <c r="S6" s="268"/>
      <c r="T6" s="268"/>
      <c r="U6" s="268"/>
      <c r="V6" s="268"/>
    </row>
    <row r="7" spans="1:22" s="67" customFormat="1" ht="14.85" customHeight="1" x14ac:dyDescent="0.2">
      <c r="A7" s="267"/>
      <c r="B7" s="1273" t="s">
        <v>543</v>
      </c>
      <c r="C7" s="268"/>
      <c r="D7" s="1365" t="s">
        <v>680</v>
      </c>
      <c r="E7" s="2622"/>
      <c r="F7" s="268"/>
      <c r="G7" s="268"/>
      <c r="H7" s="268"/>
      <c r="I7" s="1575" t="s">
        <v>319</v>
      </c>
      <c r="J7" s="1576"/>
      <c r="K7" s="2618" t="str">
        <f>+Index!$E$11</f>
        <v>North Carolina General Assembly</v>
      </c>
      <c r="L7" s="2618"/>
      <c r="M7" s="2618"/>
      <c r="N7" s="2618"/>
      <c r="O7" s="2618"/>
      <c r="P7" s="268"/>
      <c r="Q7" s="268"/>
      <c r="R7" s="268"/>
      <c r="S7" s="268"/>
      <c r="T7" s="268"/>
      <c r="U7" s="268"/>
      <c r="V7" s="268"/>
    </row>
    <row r="8" spans="1:22" s="67" customFormat="1" ht="14.85" customHeight="1" x14ac:dyDescent="0.2">
      <c r="A8" s="267"/>
      <c r="B8" s="405" t="s">
        <v>545</v>
      </c>
      <c r="C8" s="267"/>
      <c r="D8" s="1270">
        <v>5200</v>
      </c>
      <c r="E8" s="2622"/>
      <c r="F8" s="268"/>
      <c r="G8" s="268"/>
      <c r="H8" s="268"/>
      <c r="I8" s="1575" t="s">
        <v>320</v>
      </c>
      <c r="J8" s="1576"/>
      <c r="K8" s="2619" t="str">
        <f>CONCATENATE(Index!$E$12," ",Index!$E$14)</f>
        <v xml:space="preserve"> </v>
      </c>
      <c r="L8" s="2619"/>
      <c r="M8" s="2619"/>
      <c r="N8" s="2619"/>
      <c r="O8" s="2619"/>
      <c r="P8" s="268"/>
      <c r="Q8" s="268"/>
      <c r="R8" s="268"/>
      <c r="S8" s="268"/>
      <c r="T8" s="268"/>
      <c r="U8" s="268"/>
      <c r="V8" s="268"/>
    </row>
    <row r="9" spans="1:22" s="67" customFormat="1" ht="14.85" customHeight="1" x14ac:dyDescent="0.2">
      <c r="A9" s="267"/>
      <c r="B9" s="405"/>
      <c r="C9" s="267"/>
      <c r="D9" s="409"/>
      <c r="E9" s="2294"/>
      <c r="F9" s="268"/>
      <c r="G9" s="268"/>
      <c r="H9" s="268"/>
      <c r="I9" s="1575" t="s">
        <v>168</v>
      </c>
      <c r="J9" s="1576"/>
      <c r="K9" s="2619">
        <f>+Index!$E$13</f>
        <v>0</v>
      </c>
      <c r="L9" s="2619"/>
      <c r="M9" s="2619"/>
      <c r="N9" s="2619"/>
      <c r="O9" s="2619"/>
      <c r="P9" s="268"/>
      <c r="Q9" s="268"/>
      <c r="R9" s="268"/>
      <c r="S9" s="268"/>
      <c r="T9" s="268"/>
      <c r="U9" s="268"/>
      <c r="V9" s="268"/>
    </row>
    <row r="10" spans="1:22" s="67" customFormat="1" ht="6" customHeight="1" thickBot="1" x14ac:dyDescent="0.25">
      <c r="A10" s="267"/>
      <c r="B10" s="1577"/>
      <c r="C10" s="1577"/>
      <c r="D10" s="1577"/>
      <c r="E10" s="1577"/>
      <c r="F10" s="1577"/>
      <c r="G10" s="1577"/>
      <c r="H10" s="1577"/>
      <c r="I10" s="1577"/>
      <c r="J10" s="1577"/>
      <c r="K10" s="1577"/>
      <c r="L10" s="1577"/>
      <c r="M10" s="1577"/>
      <c r="N10" s="1577"/>
      <c r="O10" s="1577"/>
      <c r="P10" s="268"/>
      <c r="Q10" s="268"/>
      <c r="R10" s="268"/>
      <c r="S10" s="268"/>
      <c r="T10" s="268"/>
      <c r="U10" s="268"/>
      <c r="V10" s="268"/>
    </row>
    <row r="11" spans="1:22" s="67" customFormat="1" ht="5.25" customHeight="1" x14ac:dyDescent="0.2">
      <c r="A11" s="267"/>
      <c r="B11" s="268"/>
      <c r="C11" s="268"/>
      <c r="D11" s="268"/>
      <c r="E11" s="268"/>
      <c r="F11" s="268"/>
      <c r="G11" s="268"/>
      <c r="H11" s="268"/>
      <c r="I11" s="268"/>
      <c r="J11" s="268"/>
      <c r="K11" s="268"/>
      <c r="L11" s="268"/>
      <c r="M11" s="268"/>
      <c r="N11" s="268"/>
      <c r="O11" s="268"/>
      <c r="P11" s="268"/>
      <c r="Q11" s="268"/>
      <c r="R11" s="268"/>
      <c r="S11" s="268"/>
      <c r="T11" s="268"/>
      <c r="U11" s="268"/>
      <c r="V11" s="268"/>
    </row>
    <row r="12" spans="1:22" s="67" customFormat="1" ht="12" customHeight="1" x14ac:dyDescent="0.2">
      <c r="A12" s="267"/>
      <c r="B12" s="2295"/>
      <c r="C12" s="2295"/>
      <c r="D12" s="264"/>
      <c r="E12" s="264" t="s">
        <v>553</v>
      </c>
      <c r="F12" s="264"/>
      <c r="G12" s="264" t="s">
        <v>550</v>
      </c>
      <c r="H12" s="264"/>
      <c r="I12" s="264"/>
      <c r="J12" s="264"/>
      <c r="K12" s="264"/>
      <c r="L12" s="264"/>
      <c r="M12" s="264" t="s">
        <v>553</v>
      </c>
      <c r="N12" s="2295"/>
      <c r="O12" s="264" t="s">
        <v>998</v>
      </c>
      <c r="P12" s="268"/>
      <c r="Q12" s="268"/>
      <c r="R12" s="268"/>
      <c r="S12" s="268"/>
      <c r="T12" s="268"/>
      <c r="U12" s="268"/>
      <c r="V12" s="268"/>
    </row>
    <row r="13" spans="1:22" s="67" customFormat="1" ht="12" customHeight="1" x14ac:dyDescent="0.2">
      <c r="A13" s="267"/>
      <c r="B13" s="264"/>
      <c r="C13" s="264"/>
      <c r="D13" s="264"/>
      <c r="E13" s="265" t="str">
        <f>+TEXT(Data!$A$3,"mmmm d, yyyy")</f>
        <v>July 1, 2023</v>
      </c>
      <c r="F13" s="264"/>
      <c r="G13" s="266" t="s">
        <v>632</v>
      </c>
      <c r="H13" s="264"/>
      <c r="I13" s="266" t="s">
        <v>548</v>
      </c>
      <c r="J13" s="264"/>
      <c r="K13" s="266" t="s">
        <v>1029</v>
      </c>
      <c r="L13" s="264"/>
      <c r="M13" s="265" t="str">
        <f>+TEXT(Data!$A$2,"mmmm d, yyyy")</f>
        <v>June 30, 2024</v>
      </c>
      <c r="N13" s="2295"/>
      <c r="O13" s="266" t="s">
        <v>1003</v>
      </c>
      <c r="P13" s="268"/>
      <c r="Q13" s="268"/>
      <c r="R13" s="268"/>
      <c r="S13" s="268"/>
      <c r="T13" s="268"/>
      <c r="U13" s="268"/>
      <c r="V13" s="268"/>
    </row>
    <row r="14" spans="1:22" s="67" customFormat="1" ht="12" customHeight="1" x14ac:dyDescent="0.2">
      <c r="A14" s="267"/>
      <c r="B14" s="264"/>
      <c r="C14" s="264"/>
      <c r="D14" s="264"/>
      <c r="E14" s="1304"/>
      <c r="F14" s="264"/>
      <c r="G14" s="1305" t="s">
        <v>563</v>
      </c>
      <c r="H14" s="1306"/>
      <c r="I14" s="1305" t="s">
        <v>1030</v>
      </c>
      <c r="J14" s="1306"/>
      <c r="K14" s="1305" t="s">
        <v>1031</v>
      </c>
      <c r="L14" s="1306"/>
      <c r="M14" s="1307"/>
      <c r="N14" s="1308"/>
      <c r="O14" s="1305" t="s">
        <v>1032</v>
      </c>
      <c r="P14" s="268"/>
      <c r="Q14" s="268"/>
      <c r="R14" s="268"/>
      <c r="S14" s="268"/>
      <c r="T14" s="1273"/>
      <c r="U14" s="1309"/>
      <c r="V14" s="268"/>
    </row>
    <row r="15" spans="1:22" s="67" customFormat="1" ht="11.1" customHeight="1" x14ac:dyDescent="0.2">
      <c r="A15" s="267"/>
      <c r="B15" s="2295"/>
      <c r="C15" s="2295"/>
      <c r="D15" s="264"/>
      <c r="E15" s="1578" t="s">
        <v>570</v>
      </c>
      <c r="F15" s="479"/>
      <c r="G15" s="1578" t="s">
        <v>571</v>
      </c>
      <c r="H15" s="479"/>
      <c r="I15" s="1578" t="s">
        <v>572</v>
      </c>
      <c r="J15" s="479"/>
      <c r="K15" s="1578" t="s">
        <v>573</v>
      </c>
      <c r="L15" s="479"/>
      <c r="M15" s="1578" t="s">
        <v>574</v>
      </c>
      <c r="N15" s="479"/>
      <c r="O15" s="1578" t="s">
        <v>575</v>
      </c>
      <c r="P15" s="268"/>
      <c r="Q15" s="268"/>
      <c r="R15" s="268"/>
      <c r="S15" s="268"/>
      <c r="T15" s="268"/>
      <c r="U15" s="268"/>
      <c r="V15" s="268"/>
    </row>
    <row r="16" spans="1:22" s="67" customFormat="1" ht="12.75" customHeight="1" x14ac:dyDescent="0.2">
      <c r="A16" s="267"/>
      <c r="B16" s="2295" t="s">
        <v>1033</v>
      </c>
      <c r="C16" s="1579"/>
      <c r="D16" s="1580"/>
      <c r="E16" s="758"/>
      <c r="F16" s="758"/>
      <c r="G16" s="758"/>
      <c r="H16" s="758"/>
      <c r="I16" s="758"/>
      <c r="J16" s="758"/>
      <c r="K16" s="758"/>
      <c r="L16" s="758"/>
      <c r="M16" s="758"/>
      <c r="N16" s="758"/>
      <c r="O16" s="758"/>
      <c r="P16" s="268"/>
      <c r="Q16" s="268"/>
      <c r="R16" s="268"/>
      <c r="S16" s="268"/>
      <c r="T16" s="268"/>
      <c r="U16" s="268"/>
      <c r="V16" s="268"/>
    </row>
    <row r="17" spans="2:25" s="67" customFormat="1" ht="14.1" customHeight="1" x14ac:dyDescent="0.2">
      <c r="B17" s="779" t="s">
        <v>1034</v>
      </c>
      <c r="C17" s="2295"/>
      <c r="D17" s="1580"/>
      <c r="E17" s="1245"/>
      <c r="F17" s="758"/>
      <c r="G17" s="1245"/>
      <c r="H17" s="758"/>
      <c r="I17" s="1245"/>
      <c r="J17" s="758"/>
      <c r="K17" s="1245"/>
      <c r="L17" s="758"/>
      <c r="M17" s="1581">
        <f t="shared" ref="M17:M28" si="0">E17+G17+I17+K17</f>
        <v>0</v>
      </c>
      <c r="N17" s="758"/>
      <c r="O17" s="1245"/>
      <c r="P17" s="268"/>
      <c r="Q17" s="268"/>
      <c r="R17" s="268"/>
      <c r="S17" s="267"/>
      <c r="T17" s="1309">
        <v>22610100</v>
      </c>
      <c r="U17" s="1274">
        <v>21610100</v>
      </c>
      <c r="V17" s="1274" t="s">
        <v>680</v>
      </c>
      <c r="W17" s="1310"/>
      <c r="X17" s="1310"/>
      <c r="Y17" s="1310"/>
    </row>
    <row r="18" spans="2:25" s="67" customFormat="1" ht="14.1" customHeight="1" x14ac:dyDescent="0.2">
      <c r="B18" s="779" t="s">
        <v>1035</v>
      </c>
      <c r="C18" s="2295"/>
      <c r="D18" s="1580"/>
      <c r="E18" s="1245"/>
      <c r="F18" s="758"/>
      <c r="G18" s="1245"/>
      <c r="H18" s="758"/>
      <c r="I18" s="1245"/>
      <c r="J18" s="758"/>
      <c r="K18" s="1245"/>
      <c r="L18" s="758"/>
      <c r="M18" s="1581">
        <f t="shared" si="0"/>
        <v>0</v>
      </c>
      <c r="N18" s="758"/>
      <c r="O18" s="1245"/>
      <c r="P18" s="268"/>
      <c r="Q18" s="268"/>
      <c r="R18" s="268"/>
      <c r="S18" s="267"/>
      <c r="T18" s="1309">
        <v>22610300</v>
      </c>
      <c r="U18" s="1274">
        <v>21610300</v>
      </c>
      <c r="V18" s="1274" t="s">
        <v>680</v>
      </c>
      <c r="W18" s="1310"/>
      <c r="X18" s="1310"/>
      <c r="Y18" s="1310"/>
    </row>
    <row r="19" spans="2:25" s="67" customFormat="1" ht="14.1" customHeight="1" x14ac:dyDescent="0.2">
      <c r="B19" s="779" t="s">
        <v>1036</v>
      </c>
      <c r="C19" s="2295"/>
      <c r="D19" s="1580"/>
      <c r="E19" s="1245"/>
      <c r="F19" s="758"/>
      <c r="G19" s="1245"/>
      <c r="H19" s="758"/>
      <c r="I19" s="1245"/>
      <c r="J19" s="758"/>
      <c r="K19" s="1245"/>
      <c r="L19" s="758"/>
      <c r="M19" s="1581">
        <f t="shared" si="0"/>
        <v>0</v>
      </c>
      <c r="N19" s="758"/>
      <c r="O19" s="1245"/>
      <c r="P19" s="268"/>
      <c r="Q19" s="268"/>
      <c r="R19" s="268"/>
      <c r="S19" s="267"/>
      <c r="T19" s="1273">
        <v>22610400</v>
      </c>
      <c r="U19" s="1274">
        <v>21610400</v>
      </c>
      <c r="V19" s="1274" t="s">
        <v>680</v>
      </c>
      <c r="W19" s="1310"/>
      <c r="X19" s="1310"/>
      <c r="Y19" s="1310"/>
    </row>
    <row r="20" spans="2:25" s="67" customFormat="1" ht="14.1" customHeight="1" x14ac:dyDescent="0.2">
      <c r="B20" s="779" t="s">
        <v>1037</v>
      </c>
      <c r="C20" s="2295"/>
      <c r="D20" s="1580"/>
      <c r="E20" s="1245"/>
      <c r="F20" s="758"/>
      <c r="G20" s="1245"/>
      <c r="H20" s="758"/>
      <c r="I20" s="1245"/>
      <c r="J20" s="758"/>
      <c r="K20" s="1245"/>
      <c r="L20" s="758"/>
      <c r="M20" s="1581">
        <f t="shared" si="0"/>
        <v>0</v>
      </c>
      <c r="N20" s="758"/>
      <c r="O20" s="1245"/>
      <c r="P20" s="268"/>
      <c r="Q20" s="268"/>
      <c r="R20" s="268"/>
      <c r="S20" s="267"/>
      <c r="T20" s="1309">
        <v>22610500</v>
      </c>
      <c r="U20" s="1274">
        <v>21610500</v>
      </c>
      <c r="V20" s="1274" t="s">
        <v>680</v>
      </c>
      <c r="W20" s="1310"/>
      <c r="X20" s="1310"/>
      <c r="Y20" s="1310"/>
    </row>
    <row r="21" spans="2:25" s="67" customFormat="1" ht="14.1" customHeight="1" x14ac:dyDescent="0.2">
      <c r="B21" s="779" t="s">
        <v>1038</v>
      </c>
      <c r="C21" s="2295"/>
      <c r="D21" s="1580"/>
      <c r="E21" s="1245"/>
      <c r="F21" s="758"/>
      <c r="G21" s="1245"/>
      <c r="H21" s="758"/>
      <c r="I21" s="1245"/>
      <c r="J21" s="758"/>
      <c r="K21" s="1245"/>
      <c r="L21" s="758"/>
      <c r="M21" s="1581">
        <f t="shared" si="0"/>
        <v>0</v>
      </c>
      <c r="N21" s="758"/>
      <c r="O21" s="1245"/>
      <c r="P21" s="268"/>
      <c r="Q21" s="268"/>
      <c r="R21" s="268"/>
      <c r="S21" s="267"/>
      <c r="T21" s="1309">
        <v>22610600</v>
      </c>
      <c r="U21" s="1274">
        <v>21610600</v>
      </c>
      <c r="V21" s="1274" t="s">
        <v>680</v>
      </c>
      <c r="W21" s="1310"/>
      <c r="X21" s="1310"/>
      <c r="Y21" s="1310"/>
    </row>
    <row r="22" spans="2:25" s="67" customFormat="1" ht="14.1" customHeight="1" x14ac:dyDescent="0.2">
      <c r="B22" s="2621" t="s">
        <v>1039</v>
      </c>
      <c r="C22" s="2621"/>
      <c r="D22" s="2621"/>
      <c r="E22" s="1245"/>
      <c r="F22" s="758"/>
      <c r="G22" s="1245"/>
      <c r="H22" s="758"/>
      <c r="I22" s="1245"/>
      <c r="J22" s="758"/>
      <c r="K22" s="1245"/>
      <c r="L22" s="758"/>
      <c r="M22" s="1581">
        <f t="shared" si="0"/>
        <v>0</v>
      </c>
      <c r="N22" s="758"/>
      <c r="O22" s="996"/>
      <c r="P22" s="268"/>
      <c r="Q22" s="268"/>
      <c r="R22" s="268"/>
      <c r="S22" s="267"/>
      <c r="T22" s="1309">
        <v>22611000</v>
      </c>
      <c r="U22" s="1274"/>
      <c r="V22" s="1274" t="s">
        <v>680</v>
      </c>
      <c r="W22" s="1310"/>
      <c r="X22" s="1310"/>
      <c r="Y22" s="1310"/>
    </row>
    <row r="23" spans="2:25" s="67" customFormat="1" ht="14.1" customHeight="1" thickBot="1" x14ac:dyDescent="0.25">
      <c r="B23" s="2621" t="s">
        <v>1040</v>
      </c>
      <c r="C23" s="2621"/>
      <c r="D23" s="2621"/>
      <c r="E23" s="1582"/>
      <c r="F23" s="758"/>
      <c r="G23" s="1582"/>
      <c r="H23" s="758"/>
      <c r="I23" s="1582"/>
      <c r="J23" s="758"/>
      <c r="K23" s="1582"/>
      <c r="L23" s="758"/>
      <c r="M23" s="1948">
        <f t="shared" si="0"/>
        <v>0</v>
      </c>
      <c r="N23" s="758"/>
      <c r="O23" s="1583"/>
      <c r="P23" s="268"/>
      <c r="Q23" s="268"/>
      <c r="R23" s="268"/>
      <c r="S23" s="267"/>
      <c r="T23" s="1309">
        <v>22612000</v>
      </c>
      <c r="U23" s="268"/>
      <c r="V23" s="1274" t="s">
        <v>680</v>
      </c>
      <c r="W23" s="1310"/>
      <c r="X23" s="1310"/>
      <c r="Y23" s="1310"/>
    </row>
    <row r="24" spans="2:25" s="67" customFormat="1" ht="14.1" customHeight="1" x14ac:dyDescent="0.2">
      <c r="B24" s="2295" t="s">
        <v>1041</v>
      </c>
      <c r="C24" s="1579"/>
      <c r="D24" s="1580"/>
      <c r="E24" s="1245"/>
      <c r="F24" s="758"/>
      <c r="G24" s="1245"/>
      <c r="H24" s="758"/>
      <c r="I24" s="1245"/>
      <c r="J24" s="758"/>
      <c r="K24" s="1245"/>
      <c r="L24" s="758"/>
      <c r="M24" s="1581">
        <f t="shared" si="0"/>
        <v>0</v>
      </c>
      <c r="N24" s="758"/>
      <c r="O24" s="1245"/>
      <c r="P24" s="268"/>
      <c r="Q24" s="268"/>
      <c r="R24" s="268"/>
      <c r="S24" s="267"/>
      <c r="T24" s="1309">
        <v>22140000</v>
      </c>
      <c r="U24" s="1274">
        <v>21140000</v>
      </c>
      <c r="V24" s="1274" t="str">
        <f>IF(D7="General Government","Gen Gov",
IF(D7="Primary and secondary education","Prim Sec Ed",
IF(D7="Higher Education","Higher Ed",
IF(D7="Higher education student aid","Higher Ed stu aid",
IF(D7="Health and human services","HHS",
IF(D7="Economic development","Econ Dev",
IF(D7="Environment and natural resources","ENR",
IF(D7="Public safety","Public Safety",
IF(D7="Transportation","Trans",
IF(D7="Highway construction/preservation","Highway Const",
IF(D7="Highway maintenance","Highway Const",
IF(D7="Highway maintenance","Highway Const",
IF(D7="Agriculture","Agric",
IF(D7="Capital projects/repairs and renovations","CapProjectsReno","No Function"))))))))))))))</f>
        <v>No Function</v>
      </c>
      <c r="W24" s="1310"/>
      <c r="X24" s="1310"/>
      <c r="Y24" s="1310"/>
    </row>
    <row r="25" spans="2:25" s="67" customFormat="1" ht="14.1" customHeight="1" x14ac:dyDescent="0.2">
      <c r="B25" s="2295" t="s">
        <v>1042</v>
      </c>
      <c r="C25" s="1579"/>
      <c r="D25" s="1580"/>
      <c r="E25" s="1245"/>
      <c r="F25" s="758"/>
      <c r="G25" s="1245"/>
      <c r="H25" s="758"/>
      <c r="I25" s="1245"/>
      <c r="J25" s="758"/>
      <c r="K25" s="1245"/>
      <c r="L25" s="758"/>
      <c r="M25" s="1581">
        <f t="shared" si="0"/>
        <v>0</v>
      </c>
      <c r="N25" s="758"/>
      <c r="O25" s="1245"/>
      <c r="P25" s="268"/>
      <c r="Q25" s="268"/>
      <c r="R25" s="268"/>
      <c r="S25" s="267"/>
      <c r="T25" s="1309">
        <v>22150000</v>
      </c>
      <c r="U25" s="1274">
        <v>21150000</v>
      </c>
      <c r="V25" s="1274" t="str">
        <f>IF(D7="General Government","Gen Gov",
IF(D7="Primary and secondary education","Prim Sec Ed",
IF(D7="Higher Education","Higher Ed",
IF(D7="Higher education student aid","Higher Ed stu aid",
IF(D7="Health and human services","HHS",
IF(D7="Economic development","Econ Dev",
IF(D7="Environment and natural resources","ENR",
IF(D7="Public safety","Public Safety",
IF(D7="Transportation","Trans",
IF(D7="Highway construction/preservation","Highway Const",
IF(D7="Highway maintenance","Highway Const",
IF(D7="Highway maintenance","Highway Const",
IF(D7="Agriculture","Agric",
IF(D7="Capital projects/repairs and renovations","CapProjectsReno","No Function"))))))))))))))</f>
        <v>No Function</v>
      </c>
      <c r="W25" s="1310"/>
      <c r="X25" s="1310"/>
      <c r="Y25" s="1310"/>
    </row>
    <row r="26" spans="2:25" s="67" customFormat="1" ht="14.1" customHeight="1" x14ac:dyDescent="0.2">
      <c r="B26" s="2295" t="s">
        <v>1043</v>
      </c>
      <c r="C26" s="1579"/>
      <c r="D26" s="1580"/>
      <c r="E26" s="1245"/>
      <c r="F26" s="758"/>
      <c r="G26" s="1245"/>
      <c r="H26" s="758"/>
      <c r="I26" s="1245"/>
      <c r="J26" s="758"/>
      <c r="K26" s="1245"/>
      <c r="L26" s="758"/>
      <c r="M26" s="1581">
        <f t="shared" si="0"/>
        <v>0</v>
      </c>
      <c r="N26" s="758"/>
      <c r="O26" s="1245"/>
      <c r="P26" s="268"/>
      <c r="Q26" s="268"/>
      <c r="R26" s="268"/>
      <c r="S26" s="267"/>
      <c r="T26" s="1309">
        <v>22199000</v>
      </c>
      <c r="U26" s="1274">
        <v>21191000</v>
      </c>
      <c r="V26" s="1274" t="str">
        <f>IF(D7="General Government","Gen Gov",
IF(D7="Primary and secondary education","Prim Sec Ed",
IF(D7="Higher Education","Higher Ed",
IF(D7="Higher education student aid","Higher Ed stu aid",
IF(D7="Health and human services","HHS",
IF(D7="Economic development","Econ Dev",
IF(D7="Environment and natural resources","ENR",
IF(D7="Public safety","Public Safety",
IF(D7="Transportation","Trans",
IF(D7="Highway construction/preservation","Highway Const",
IF(D7="Highway maintenance","Highway Const",
IF(D7="Highway maintenance","Highway Const",
IF(D7="Agriculture","Agric",
IF(D7="Capital projects/repairs and renovations","CapProjectsReno","No Function"))))))))))))))</f>
        <v>No Function</v>
      </c>
      <c r="W26" s="1310"/>
      <c r="X26" s="1310"/>
      <c r="Y26" s="1310"/>
    </row>
    <row r="27" spans="2:25" s="67" customFormat="1" ht="14.1" customHeight="1" x14ac:dyDescent="0.2">
      <c r="B27" s="2295" t="s">
        <v>1044</v>
      </c>
      <c r="C27" s="1579"/>
      <c r="D27" s="1580"/>
      <c r="E27" s="1245"/>
      <c r="F27" s="758"/>
      <c r="G27" s="1245"/>
      <c r="H27" s="758"/>
      <c r="I27" s="1245"/>
      <c r="J27" s="758"/>
      <c r="K27" s="1245"/>
      <c r="L27" s="758"/>
      <c r="M27" s="1581">
        <f t="shared" si="0"/>
        <v>0</v>
      </c>
      <c r="N27" s="758"/>
      <c r="O27" s="1245"/>
      <c r="P27" s="268"/>
      <c r="Q27" s="268"/>
      <c r="R27" s="268"/>
      <c r="S27" s="267"/>
      <c r="T27" s="1309">
        <v>22320000</v>
      </c>
      <c r="U27" s="1274">
        <v>21320000</v>
      </c>
      <c r="V27" s="1274" t="s">
        <v>680</v>
      </c>
      <c r="W27" s="1310"/>
      <c r="X27" s="1310"/>
      <c r="Y27" s="1310"/>
    </row>
    <row r="28" spans="2:25" s="67" customFormat="1" ht="14.1" customHeight="1" x14ac:dyDescent="0.2">
      <c r="B28" s="2295" t="s">
        <v>1045</v>
      </c>
      <c r="C28" s="1579"/>
      <c r="D28" s="1584"/>
      <c r="E28" s="1245"/>
      <c r="F28" s="758"/>
      <c r="G28" s="1245"/>
      <c r="H28" s="758"/>
      <c r="I28" s="1245"/>
      <c r="J28" s="758"/>
      <c r="K28" s="1245"/>
      <c r="L28" s="758"/>
      <c r="M28" s="1581">
        <f t="shared" si="0"/>
        <v>0</v>
      </c>
      <c r="N28" s="758"/>
      <c r="O28" s="1245"/>
      <c r="P28" s="268"/>
      <c r="Q28" s="268"/>
      <c r="R28" s="268"/>
      <c r="S28" s="267"/>
      <c r="T28" s="1309">
        <v>22410000</v>
      </c>
      <c r="U28" s="1274">
        <v>21410000</v>
      </c>
      <c r="V28" s="1274" t="s">
        <v>680</v>
      </c>
      <c r="W28" s="1310"/>
      <c r="X28" s="1310"/>
      <c r="Y28" s="1310"/>
    </row>
    <row r="29" spans="2:25" s="67" customFormat="1" ht="14.1" customHeight="1" x14ac:dyDescent="0.2">
      <c r="B29" s="2623" t="s">
        <v>1046</v>
      </c>
      <c r="C29" s="2548"/>
      <c r="D29" s="2548"/>
      <c r="E29" s="2002"/>
      <c r="F29" s="758"/>
      <c r="G29" s="1245"/>
      <c r="H29" s="758"/>
      <c r="I29" s="1245"/>
      <c r="J29" s="758"/>
      <c r="K29" s="1245"/>
      <c r="L29" s="758"/>
      <c r="M29" s="1581">
        <f t="shared" ref="M29:M35" si="1">E29+G29+I29+K29</f>
        <v>0</v>
      </c>
      <c r="N29" s="758"/>
      <c r="O29" s="1245"/>
      <c r="P29" s="268"/>
      <c r="Q29" s="268"/>
      <c r="R29" s="268"/>
      <c r="S29" s="267"/>
      <c r="T29" s="1309">
        <v>22420000</v>
      </c>
      <c r="U29" s="1274">
        <v>21420000</v>
      </c>
      <c r="V29" s="1274" t="s">
        <v>680</v>
      </c>
      <c r="W29" s="1310"/>
      <c r="X29" s="1310"/>
      <c r="Y29" s="1310"/>
    </row>
    <row r="30" spans="2:25" s="67" customFormat="1" ht="14.1" customHeight="1" x14ac:dyDescent="0.2">
      <c r="B30" s="2295" t="s">
        <v>1047</v>
      </c>
      <c r="C30"/>
      <c r="D30"/>
      <c r="E30" s="2002"/>
      <c r="F30" s="758"/>
      <c r="G30" s="1245"/>
      <c r="H30" s="758"/>
      <c r="I30" s="1245"/>
      <c r="J30" s="758"/>
      <c r="K30" s="1245"/>
      <c r="L30" s="758"/>
      <c r="M30" s="1581">
        <f t="shared" si="1"/>
        <v>0</v>
      </c>
      <c r="N30" s="758"/>
      <c r="O30" s="1245"/>
      <c r="P30" s="268"/>
      <c r="Q30" s="268"/>
      <c r="R30" s="268"/>
      <c r="S30" s="267"/>
      <c r="T30" s="2006">
        <v>22430000</v>
      </c>
      <c r="U30" s="2005">
        <v>21430000</v>
      </c>
      <c r="V30" s="2005" t="s">
        <v>680</v>
      </c>
      <c r="W30" s="1310"/>
      <c r="X30" s="1310"/>
      <c r="Y30" s="1310"/>
    </row>
    <row r="31" spans="2:25" s="67" customFormat="1" ht="14.1" customHeight="1" x14ac:dyDescent="0.2">
      <c r="B31" s="2295" t="s">
        <v>1048</v>
      </c>
      <c r="C31" s="1579"/>
      <c r="D31" s="1584"/>
      <c r="E31" s="1245"/>
      <c r="F31" s="758"/>
      <c r="G31" s="1245"/>
      <c r="H31" s="758"/>
      <c r="I31" s="1245"/>
      <c r="J31" s="758"/>
      <c r="K31" s="1245"/>
      <c r="L31" s="758"/>
      <c r="M31" s="1581">
        <f t="shared" si="1"/>
        <v>0</v>
      </c>
      <c r="N31" s="758"/>
      <c r="O31" s="1245"/>
      <c r="P31" s="268"/>
      <c r="Q31" s="268"/>
      <c r="R31" s="268"/>
      <c r="S31" s="267"/>
      <c r="T31" s="1309">
        <v>22191900</v>
      </c>
      <c r="U31" s="1274">
        <v>21191900</v>
      </c>
      <c r="V31" s="1274" t="str">
        <f>IF(D7="General Government","Gen Gov",
IF(D7="Primary and secondary education","Prim Sec Ed",
IF(D7="Higher Education","Higher Ed",
IF(D7="Higher education student aid","Higher Ed stu aid",
IF(D7="Health and human services","HHS",
IF(D7="Economic development","Econ Dev",
IF(D7="Environment and natural resources","ENR",
IF(D7="Public safety","Public Safety",
IF(D7="Transportation","Trans",
IF(D7="Highway construction/preservation","Highway Const",
IF(D7="Highway maintenance","Highway Const",
IF(D7="Highway maintenance","Highway Const",
IF(D7="Agriculture","Agric",
IF(D7="Capital projects/repairs and renovations","CapProjectsReno","No Function"))))))))))))))</f>
        <v>No Function</v>
      </c>
      <c r="W31" s="1310"/>
      <c r="X31" s="1310"/>
      <c r="Y31" s="1310"/>
    </row>
    <row r="32" spans="2:25" s="67" customFormat="1" ht="14.1" customHeight="1" x14ac:dyDescent="0.2">
      <c r="B32" s="2295" t="s">
        <v>1049</v>
      </c>
      <c r="C32" s="1579"/>
      <c r="D32" s="1584"/>
      <c r="E32" s="1245"/>
      <c r="F32" s="758"/>
      <c r="G32" s="1245"/>
      <c r="H32" s="758"/>
      <c r="I32" s="1245"/>
      <c r="J32" s="758"/>
      <c r="K32" s="1245"/>
      <c r="L32" s="758"/>
      <c r="M32" s="1581">
        <f t="shared" si="1"/>
        <v>0</v>
      </c>
      <c r="N32" s="758"/>
      <c r="O32" s="1245"/>
      <c r="P32" s="268"/>
      <c r="Q32" s="268"/>
      <c r="R32" s="268"/>
      <c r="S32" s="267"/>
      <c r="T32" s="1309">
        <v>22192500</v>
      </c>
      <c r="U32" s="1274">
        <v>21192500</v>
      </c>
      <c r="V32" s="1274" t="s">
        <v>680</v>
      </c>
      <c r="W32" s="1310"/>
      <c r="X32" s="1310"/>
      <c r="Y32" s="1310"/>
    </row>
    <row r="33" spans="1:25" s="67" customFormat="1" ht="14.1" customHeight="1" x14ac:dyDescent="0.25">
      <c r="A33" s="268"/>
      <c r="B33" s="872" t="s">
        <v>1050</v>
      </c>
      <c r="C33" s="1579"/>
      <c r="D33" s="1584"/>
      <c r="E33" s="1585"/>
      <c r="F33" s="758"/>
      <c r="G33" s="1585"/>
      <c r="H33" s="758"/>
      <c r="I33" s="1585"/>
      <c r="J33" s="758"/>
      <c r="K33" s="1585"/>
      <c r="L33" s="758"/>
      <c r="M33" s="1581">
        <f t="shared" si="1"/>
        <v>0</v>
      </c>
      <c r="N33" s="758"/>
      <c r="O33" s="1585"/>
      <c r="P33" s="268"/>
      <c r="Q33" s="268"/>
      <c r="R33" s="268"/>
      <c r="S33" s="267"/>
      <c r="T33" s="1309">
        <v>22192000</v>
      </c>
      <c r="U33" s="1274">
        <v>21192000</v>
      </c>
      <c r="V33" s="1274" t="str">
        <f>IF(D7="General Government","Gen Gov",
IF(D7="Primary and secondary education","Prim Sec Ed",
IF(D7="Higher Education","Higher Ed",
IF(D7="Higher education student aid","Higher Ed stu aid",
IF(D7="Health and human services","HHS",
IF(D7="Economic development","Econ Dev",
IF(D7="Environment and natural resources","ENR",
IF(D7="Public safety","Public Safety",
IF(D7="Transportation","Trans",
IF(D7="Highway construction/preservation","Highway Const",
IF(D7="Highway maintenance","Highway Const",
IF(D7="Highway maintenance","Highway Const",
IF(D7="Agriculture","Agric",
IF(D7="Capital projects/repairs and renovations","CapProjectsReno","No Function"))))))))))))))</f>
        <v>No Function</v>
      </c>
      <c r="W33" s="1310"/>
      <c r="X33" s="1310"/>
      <c r="Y33" s="1310"/>
    </row>
    <row r="34" spans="1:25" s="67" customFormat="1" ht="14.1" customHeight="1" x14ac:dyDescent="0.2">
      <c r="A34" s="268"/>
      <c r="B34" s="2295" t="s">
        <v>1051</v>
      </c>
      <c r="C34" s="1579"/>
      <c r="D34" s="1584"/>
      <c r="E34" s="1586"/>
      <c r="F34" s="758"/>
      <c r="G34" s="1586"/>
      <c r="H34" s="758"/>
      <c r="I34" s="1586"/>
      <c r="J34" s="758"/>
      <c r="K34" s="1586"/>
      <c r="L34" s="758"/>
      <c r="M34" s="1581">
        <f t="shared" si="1"/>
        <v>0</v>
      </c>
      <c r="N34" s="758"/>
      <c r="O34" s="1586"/>
      <c r="P34" s="268"/>
      <c r="Q34" s="268"/>
      <c r="R34" s="268"/>
      <c r="S34" s="267"/>
      <c r="T34" s="1309"/>
      <c r="U34" s="1274"/>
      <c r="V34" s="1274" t="str">
        <f>IF(D7="General Government","Gen Gov",
IF(D7="Primary and secondary education","Prim Sec Ed",
IF(D7="Higher Education","Higher Ed",
IF(D7="Higher education student aid","Higher Ed stu aid",
IF(D7="Health and human services","HHS",
IF(D7="Economic development","Econ Dev",
IF(D7="Environment and natural resources","ENR",
IF(D7="Public safety","Public Safety",
IF(D7="Transportation","Trans",
IF(D7="Highway construction/preservation","Highway Const",
IF(D7="Highway maintenance","Highway Const",
IF(D7="Highway maintenance","Highway Const",
IF(D7="Agriculture","Agric",
IF(D7="Capital projects/repairs and renovations","CapProjectsReno","No Function"))))))))))))))</f>
        <v>No Function</v>
      </c>
      <c r="W34" s="1310"/>
      <c r="X34" s="1310"/>
      <c r="Y34" s="1310"/>
    </row>
    <row r="35" spans="1:25" s="67" customFormat="1" ht="14.1" customHeight="1" thickBot="1" x14ac:dyDescent="0.3">
      <c r="A35" s="268"/>
      <c r="B35" s="2295" t="s">
        <v>1052</v>
      </c>
      <c r="C35" s="1579"/>
      <c r="D35" s="1584"/>
      <c r="E35" s="1582"/>
      <c r="F35" s="758"/>
      <c r="G35" s="1582"/>
      <c r="H35" s="758"/>
      <c r="I35" s="1582"/>
      <c r="J35" s="758"/>
      <c r="K35" s="1582"/>
      <c r="L35" s="758"/>
      <c r="M35" s="1948">
        <f t="shared" si="1"/>
        <v>0</v>
      </c>
      <c r="N35" s="758"/>
      <c r="O35" s="1582"/>
      <c r="P35" s="268"/>
      <c r="Q35" s="268"/>
      <c r="R35" s="268"/>
      <c r="S35" s="267"/>
      <c r="T35" s="268"/>
      <c r="U35" s="268"/>
      <c r="V35" s="1310"/>
      <c r="W35" s="1310"/>
      <c r="X35" s="1310"/>
      <c r="Y35" s="1310"/>
    </row>
    <row r="36" spans="1:25" s="67" customFormat="1" ht="14.1" customHeight="1" x14ac:dyDescent="0.25">
      <c r="A36" s="268"/>
      <c r="B36" s="2295" t="s">
        <v>1053</v>
      </c>
      <c r="C36" s="1579"/>
      <c r="D36" s="1584"/>
      <c r="E36" s="1587"/>
      <c r="F36" s="758"/>
      <c r="G36" s="1587"/>
      <c r="H36" s="758"/>
      <c r="I36" s="1587"/>
      <c r="J36" s="758"/>
      <c r="K36" s="1587"/>
      <c r="L36" s="758"/>
      <c r="M36" s="1581">
        <f t="shared" ref="M36:M41" si="2">SUM(E36:K36)</f>
        <v>0</v>
      </c>
      <c r="N36" s="758"/>
      <c r="O36" s="996"/>
      <c r="P36" s="268"/>
      <c r="Q36" s="268"/>
      <c r="R36" s="268"/>
      <c r="S36" s="267"/>
      <c r="T36" s="1309">
        <v>21622000</v>
      </c>
      <c r="U36" s="1309"/>
      <c r="V36" s="1274" t="s">
        <v>680</v>
      </c>
      <c r="W36" s="1310"/>
      <c r="X36" s="1310"/>
      <c r="Y36" s="1310"/>
    </row>
    <row r="37" spans="1:25" s="67" customFormat="1" ht="24.6" customHeight="1" x14ac:dyDescent="0.2">
      <c r="A37" s="267"/>
      <c r="B37" s="2620" t="s">
        <v>1054</v>
      </c>
      <c r="C37" s="2620"/>
      <c r="D37" s="2620"/>
      <c r="E37" s="1585"/>
      <c r="F37" s="758"/>
      <c r="G37" s="1245"/>
      <c r="H37" s="758"/>
      <c r="I37" s="1245"/>
      <c r="J37" s="758"/>
      <c r="K37" s="1245"/>
      <c r="L37" s="758"/>
      <c r="M37" s="1581">
        <f t="shared" si="2"/>
        <v>0</v>
      </c>
      <c r="N37" s="758"/>
      <c r="O37" s="996"/>
      <c r="P37" s="268"/>
      <c r="Q37" s="268"/>
      <c r="R37" s="268"/>
      <c r="S37" s="268"/>
      <c r="T37" s="1309">
        <v>21910000</v>
      </c>
      <c r="U37" s="1309"/>
      <c r="V37" s="1274" t="s">
        <v>680</v>
      </c>
      <c r="W37" s="268"/>
      <c r="X37" s="268"/>
      <c r="Y37" s="268"/>
    </row>
    <row r="38" spans="1:25" s="67" customFormat="1" ht="14.1" customHeight="1" x14ac:dyDescent="0.2">
      <c r="A38" s="267"/>
      <c r="B38" s="779" t="s">
        <v>1055</v>
      </c>
      <c r="C38" s="1579"/>
      <c r="D38" s="1580"/>
      <c r="E38" s="1947"/>
      <c r="F38" s="758"/>
      <c r="G38" s="1585"/>
      <c r="H38" s="758"/>
      <c r="I38" s="1585"/>
      <c r="J38" s="758"/>
      <c r="K38" s="1585"/>
      <c r="L38" s="758"/>
      <c r="M38" s="1581">
        <f t="shared" si="2"/>
        <v>0</v>
      </c>
      <c r="N38" s="758"/>
      <c r="O38" s="1588"/>
      <c r="P38" s="268"/>
      <c r="Q38" s="268"/>
      <c r="R38" s="268"/>
      <c r="S38" s="268"/>
      <c r="T38" s="1309">
        <v>21910100</v>
      </c>
      <c r="U38" s="1309"/>
      <c r="V38" s="1274" t="s">
        <v>680</v>
      </c>
      <c r="W38" s="268"/>
      <c r="X38" s="268"/>
      <c r="Y38" s="268"/>
    </row>
    <row r="39" spans="1:25" s="67" customFormat="1" ht="14.1" customHeight="1" x14ac:dyDescent="0.2">
      <c r="A39" s="267"/>
      <c r="B39" s="779" t="s">
        <v>1044</v>
      </c>
      <c r="C39" s="1579"/>
      <c r="D39" s="1580"/>
      <c r="E39" s="1585"/>
      <c r="F39" s="758"/>
      <c r="G39" s="1585"/>
      <c r="H39" s="758"/>
      <c r="I39" s="1585"/>
      <c r="J39" s="758"/>
      <c r="K39" s="1585"/>
      <c r="L39" s="758"/>
      <c r="M39" s="1581">
        <f t="shared" si="2"/>
        <v>0</v>
      </c>
      <c r="N39" s="758"/>
      <c r="O39" s="1588"/>
      <c r="P39" s="268"/>
      <c r="Q39" s="268"/>
      <c r="R39" s="268"/>
      <c r="S39" s="268"/>
      <c r="T39" s="1309" t="s">
        <v>1056</v>
      </c>
      <c r="U39" s="1309"/>
      <c r="V39" s="1274" t="s">
        <v>680</v>
      </c>
      <c r="W39" s="268"/>
      <c r="X39" s="268"/>
      <c r="Y39" s="268"/>
    </row>
    <row r="40" spans="1:25" s="67" customFormat="1" ht="14.1" customHeight="1" x14ac:dyDescent="0.2">
      <c r="A40" s="267"/>
      <c r="B40" s="779" t="s">
        <v>1036</v>
      </c>
      <c r="C40" s="1579"/>
      <c r="D40" s="1580"/>
      <c r="E40" s="1585"/>
      <c r="F40" s="758"/>
      <c r="G40" s="1585"/>
      <c r="H40" s="758"/>
      <c r="I40" s="1585"/>
      <c r="J40" s="758"/>
      <c r="K40" s="1585"/>
      <c r="L40" s="758"/>
      <c r="M40" s="1581">
        <f t="shared" si="2"/>
        <v>0</v>
      </c>
      <c r="N40" s="758"/>
      <c r="O40" s="1588"/>
      <c r="P40" s="268"/>
      <c r="Q40" s="268"/>
      <c r="R40" s="268"/>
      <c r="S40" s="268"/>
      <c r="T40" s="1309" t="s">
        <v>1057</v>
      </c>
      <c r="U40" s="1309"/>
      <c r="V40" s="1274" t="s">
        <v>680</v>
      </c>
      <c r="W40" s="268"/>
      <c r="X40" s="268"/>
      <c r="Y40" s="268"/>
    </row>
    <row r="41" spans="1:25" s="67" customFormat="1" ht="14.1" customHeight="1" x14ac:dyDescent="0.2">
      <c r="A41" s="267"/>
      <c r="B41" s="779" t="s">
        <v>1058</v>
      </c>
      <c r="C41" s="1579"/>
      <c r="D41" s="1580"/>
      <c r="E41" s="1585"/>
      <c r="F41" s="758"/>
      <c r="G41" s="1585"/>
      <c r="H41" s="758"/>
      <c r="I41" s="1585"/>
      <c r="J41" s="758"/>
      <c r="K41" s="1585"/>
      <c r="L41" s="758"/>
      <c r="M41" s="1581">
        <f t="shared" si="2"/>
        <v>0</v>
      </c>
      <c r="N41" s="758"/>
      <c r="O41" s="1588"/>
      <c r="P41" s="268"/>
      <c r="Q41" s="268"/>
      <c r="R41" s="268"/>
      <c r="S41" s="268"/>
      <c r="T41" s="1309">
        <v>21910200</v>
      </c>
      <c r="U41" s="1309"/>
      <c r="V41" s="1274" t="s">
        <v>680</v>
      </c>
      <c r="W41" s="268"/>
      <c r="X41" s="268"/>
      <c r="Y41" s="268"/>
    </row>
    <row r="42" spans="1:25" s="67" customFormat="1" ht="9" customHeight="1" x14ac:dyDescent="0.2">
      <c r="A42" s="267"/>
      <c r="B42" s="779"/>
      <c r="C42" s="1579"/>
      <c r="D42" s="1580"/>
      <c r="E42" s="1246"/>
      <c r="F42" s="758"/>
      <c r="G42" s="1246"/>
      <c r="H42" s="758"/>
      <c r="I42" s="1246"/>
      <c r="J42" s="758"/>
      <c r="K42" s="1246"/>
      <c r="L42" s="758"/>
      <c r="M42" s="758"/>
      <c r="N42" s="758"/>
      <c r="O42" s="758"/>
      <c r="P42" s="268"/>
      <c r="Q42" s="268"/>
      <c r="R42" s="268"/>
      <c r="S42" s="268"/>
      <c r="T42" s="1309"/>
      <c r="U42" s="1309"/>
      <c r="V42" s="268"/>
      <c r="W42" s="268"/>
      <c r="X42" s="268"/>
      <c r="Y42" s="268"/>
    </row>
    <row r="43" spans="1:25" ht="12.75" customHeight="1" x14ac:dyDescent="0.2">
      <c r="B43" s="476" t="s">
        <v>1059</v>
      </c>
      <c r="T43" s="1309"/>
      <c r="U43" s="1309"/>
    </row>
    <row r="44" spans="1:25" ht="5.0999999999999996" customHeight="1" x14ac:dyDescent="0.2">
      <c r="B44" s="495"/>
    </row>
    <row r="45" spans="1:25" x14ac:dyDescent="0.2">
      <c r="B45" s="403" t="s">
        <v>1060</v>
      </c>
      <c r="C45" s="166"/>
      <c r="D45" s="476"/>
      <c r="E45" s="166"/>
      <c r="F45" s="166"/>
      <c r="G45" s="166"/>
      <c r="H45" s="432"/>
      <c r="I45" s="477" t="s">
        <v>340</v>
      </c>
      <c r="J45" s="184"/>
      <c r="K45" s="2409"/>
      <c r="L45" s="184"/>
      <c r="M45" s="477" t="s">
        <v>341</v>
      </c>
      <c r="N45" s="476"/>
      <c r="O45" s="2409"/>
    </row>
    <row r="48" spans="1:25" ht="15" x14ac:dyDescent="0.2">
      <c r="A48" s="1317" t="str">
        <f ca="1">MID(CELL("filename",A1),FIND("]",CELL("filename",A1))+1,256)</f>
        <v>305</v>
      </c>
      <c r="B48" s="421" t="s">
        <v>613</v>
      </c>
      <c r="C48" s="1317"/>
    </row>
    <row r="49" spans="1:3" ht="15" x14ac:dyDescent="0.2">
      <c r="A49" s="1317" t="s">
        <v>401</v>
      </c>
      <c r="B49" s="421" t="str">
        <f ca="1">IF(ISNA(INDEX(ErrorTable,MATCH($A$48&amp;$A49&amp;FALSE,ErrorKey,0),6)),"",INDEX(ErrorTable,MATCH($A$48&amp;$A49&amp;FALSE,ErrorKey,0),6))</f>
        <v/>
      </c>
      <c r="C49" s="1317"/>
    </row>
    <row r="50" spans="1:3" ht="15" x14ac:dyDescent="0.2">
      <c r="A50" s="1317" t="s">
        <v>402</v>
      </c>
      <c r="B50" s="421" t="str">
        <f t="shared" ref="B50:B58" ca="1" si="3">IF(ISNA(INDEX(ErrorTable,MATCH($A$48&amp;$A50&amp;FALSE,ErrorKey,0),6)),"",INDEX(ErrorTable,MATCH($A$48&amp;$A50&amp;FALSE,ErrorKey,0),6))</f>
        <v/>
      </c>
      <c r="C50" s="1317"/>
    </row>
    <row r="51" spans="1:3" ht="15" x14ac:dyDescent="0.2">
      <c r="A51" s="1317" t="s">
        <v>403</v>
      </c>
      <c r="B51" s="421" t="str">
        <f t="shared" ca="1" si="3"/>
        <v/>
      </c>
      <c r="C51" s="1317"/>
    </row>
    <row r="52" spans="1:3" ht="15" x14ac:dyDescent="0.2">
      <c r="A52" s="1317" t="s">
        <v>404</v>
      </c>
      <c r="B52" s="421" t="str">
        <f t="shared" ca="1" si="3"/>
        <v/>
      </c>
      <c r="C52" s="1317"/>
    </row>
    <row r="53" spans="1:3" ht="15" x14ac:dyDescent="0.2">
      <c r="A53" s="1317" t="s">
        <v>405</v>
      </c>
      <c r="B53" s="421" t="str">
        <f t="shared" ca="1" si="3"/>
        <v/>
      </c>
      <c r="C53" s="1317"/>
    </row>
    <row r="54" spans="1:3" ht="15" x14ac:dyDescent="0.2">
      <c r="A54" s="1317" t="s">
        <v>406</v>
      </c>
      <c r="B54" s="421" t="str">
        <f t="shared" ca="1" si="3"/>
        <v/>
      </c>
      <c r="C54" s="1317"/>
    </row>
    <row r="55" spans="1:3" ht="15" x14ac:dyDescent="0.2">
      <c r="A55" s="1317" t="s">
        <v>407</v>
      </c>
      <c r="B55" s="421" t="str">
        <f t="shared" ca="1" si="3"/>
        <v/>
      </c>
      <c r="C55" s="1317"/>
    </row>
    <row r="56" spans="1:3" ht="15" x14ac:dyDescent="0.2">
      <c r="A56" s="1317" t="s">
        <v>408</v>
      </c>
      <c r="B56" s="421" t="str">
        <f t="shared" ca="1" si="3"/>
        <v/>
      </c>
      <c r="C56" s="1317"/>
    </row>
    <row r="57" spans="1:3" ht="15" x14ac:dyDescent="0.2">
      <c r="A57" s="1317" t="s">
        <v>409</v>
      </c>
      <c r="B57" s="421" t="str">
        <f t="shared" ca="1" si="3"/>
        <v/>
      </c>
      <c r="C57" s="1317"/>
    </row>
    <row r="58" spans="1:3" ht="15" x14ac:dyDescent="0.2">
      <c r="A58" s="1317" t="s">
        <v>410</v>
      </c>
      <c r="B58" s="421" t="str">
        <f t="shared" ca="1" si="3"/>
        <v/>
      </c>
      <c r="C58" s="1317"/>
    </row>
  </sheetData>
  <sheetProtection algorithmName="SHA-512" hashValue="fTjtWgZ/XruMFnaPuLo2DUps1F8Qx478tayWxX4cwpuLCW5kYqD213xE1em93113NPabzoz2l1f693oSFI0lmQ==" saltValue="R01IMXC8+znHVsxpRev+DQ==" spinCount="100000" sheet="1" autoFilter="0"/>
  <customSheetViews>
    <customSheetView guid="{9FCFC836-1CA5-48BF-958D-24D2EA94B219}" showGridLines="0" fitToPage="1" hiddenColumns="1" topLeftCell="B4">
      <selection activeCell="E16" sqref="E16"/>
      <pageMargins left="0" right="0" top="0" bottom="0" header="0" footer="0"/>
      <pageSetup orientation="landscape" r:id="rId1"/>
      <headerFooter alignWithMargins="0">
        <oddFooter>&amp;R&amp;A</oddFooter>
      </headerFooter>
    </customSheetView>
    <customSheetView guid="{B08879A4-635B-4C39-9937-AC7883D562FC}" showGridLines="0" fitToPage="1" hiddenColumns="1" topLeftCell="B4">
      <selection activeCell="E16" sqref="E16"/>
      <pageMargins left="0" right="0" top="0" bottom="0" header="0" footer="0"/>
      <pageSetup orientation="landscape" r:id="rId2"/>
      <headerFooter alignWithMargins="0">
        <oddFooter>&amp;R&amp;A</oddFooter>
      </headerFooter>
    </customSheetView>
  </customSheetViews>
  <mergeCells count="14">
    <mergeCell ref="B1:O1"/>
    <mergeCell ref="B2:O2"/>
    <mergeCell ref="B3:O3"/>
    <mergeCell ref="B4:O4"/>
    <mergeCell ref="I5:O5"/>
    <mergeCell ref="K6:O6"/>
    <mergeCell ref="K7:O7"/>
    <mergeCell ref="K8:O8"/>
    <mergeCell ref="B37:D37"/>
    <mergeCell ref="B22:D22"/>
    <mergeCell ref="B23:D23"/>
    <mergeCell ref="K9:O9"/>
    <mergeCell ref="E7:E8"/>
    <mergeCell ref="B29:D29"/>
  </mergeCells>
  <phoneticPr fontId="18" type="noConversion"/>
  <conditionalFormatting sqref="P1:P3">
    <cfRule type="cellIs" dxfId="131" priority="1" stopIfTrue="1" operator="equal">
      <formula>"na"</formula>
    </cfRule>
  </conditionalFormatting>
  <dataValidations xWindow="234" yWindow="289" count="5">
    <dataValidation type="decimal" operator="lessThanOrEqual" allowBlank="1" showInputMessage="1" showErrorMessage="1" errorTitle="Invalid data!" error="Amount must be negative." sqref="K17:K21 E22 I22 K23:K42" xr:uid="{00000000-0002-0000-0C00-000000000000}">
      <formula1>0</formula1>
    </dataValidation>
    <dataValidation type="decimal" operator="greaterThanOrEqual" allowBlank="1" showInputMessage="1" showErrorMessage="1" errorTitle="Invalid data!" error="Amount must be positive!" sqref="I17:I21 I23:I42" xr:uid="{00000000-0002-0000-0C00-000001000000}">
      <formula1>0</formula1>
    </dataValidation>
    <dataValidation type="decimal" operator="greaterThanOrEqual" allowBlank="1" showInputMessage="1" showErrorMessage="1" errorTitle="Invalid data!" error="Amount must be positive." sqref="K22" xr:uid="{00000000-0002-0000-0C00-000002000000}">
      <formula1>0</formula1>
    </dataValidation>
    <dataValidation type="textLength" operator="equal" allowBlank="1" showInputMessage="1" showErrorMessage="1" errorTitle="Invalid data!" error="GASB number must be 4 digits." promptTitle="Long-Term Liabilities GASB Num" prompt="For primary government governmental fund types, the GASB fund number for Long-Term Liabilities should be 5200." sqref="D8:D9" xr:uid="{00000000-0002-0000-0C00-000003000000}">
      <formula1>4</formula1>
    </dataValidation>
    <dataValidation type="list" allowBlank="1" showInputMessage="1" showErrorMessage="1" sqref="D7" xr:uid="{1CD89224-60F5-459B-BB78-31E04112806F}">
      <formula1>"No Function,General government,Primary and secondary education, Higher education, Health and human services,Economic development, Environment and natural resources, Public safety, Transportation, Agriculture"</formula1>
    </dataValidation>
  </dataValidations>
  <hyperlinks>
    <hyperlink ref="B1:O1" location="Index!A1" display="Index!A1" xr:uid="{00000000-0004-0000-0C00-000000000000}"/>
  </hyperlinks>
  <pageMargins left="0.6" right="0.6" top="0.5" bottom="0.5" header="0.3" footer="0.3"/>
  <pageSetup scale="90"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1:P51"/>
  <sheetViews>
    <sheetView topLeftCell="A14" zoomScaleNormal="100" workbookViewId="0">
      <selection activeCell="O16" sqref="O16"/>
    </sheetView>
  </sheetViews>
  <sheetFormatPr defaultColWidth="9.42578125" defaultRowHeight="12.75" x14ac:dyDescent="0.2"/>
  <cols>
    <col min="1" max="1" width="11.5703125" style="1495" customWidth="1"/>
    <col min="2" max="2" width="2.42578125" style="1495" customWidth="1"/>
    <col min="3" max="3" width="14.5703125" style="1495" customWidth="1"/>
    <col min="4" max="4" width="2.42578125" style="1495" customWidth="1"/>
    <col min="5" max="5" width="67.5703125" style="1495" customWidth="1"/>
    <col min="6" max="6" width="4" style="1495" customWidth="1"/>
    <col min="7" max="7" width="46.5703125" style="1495" hidden="1" customWidth="1"/>
    <col min="8" max="8" width="9.140625" style="1495" hidden="1" customWidth="1"/>
    <col min="9" max="9" width="10.5703125" style="1495" hidden="1" customWidth="1"/>
    <col min="10" max="10" width="10.140625" style="1495" hidden="1" customWidth="1"/>
    <col min="11" max="13" width="12.42578125" style="1495" customWidth="1"/>
    <col min="14" max="16384" width="9.42578125" style="1495"/>
  </cols>
  <sheetData>
    <row r="1" spans="1:14" s="1969" customFormat="1" ht="18.75" x14ac:dyDescent="0.2">
      <c r="A1" s="2474" t="s">
        <v>0</v>
      </c>
      <c r="B1" s="2475"/>
      <c r="C1" s="2475"/>
      <c r="D1" s="2475"/>
      <c r="E1" s="2475"/>
    </row>
    <row r="2" spans="1:14" s="1969" customFormat="1" ht="15.75" x14ac:dyDescent="0.2">
      <c r="A2" s="2476" t="s">
        <v>6653</v>
      </c>
      <c r="B2" s="2476"/>
      <c r="C2" s="2476"/>
      <c r="D2" s="2476"/>
      <c r="E2" s="2476"/>
      <c r="G2" s="1988" t="s">
        <v>51</v>
      </c>
    </row>
    <row r="3" spans="1:14" s="1969" customFormat="1" ht="15.75" x14ac:dyDescent="0.2">
      <c r="A3" s="1986"/>
      <c r="B3" s="1986"/>
      <c r="C3" s="1986"/>
      <c r="D3" s="1986"/>
      <c r="E3" s="1986"/>
    </row>
    <row r="4" spans="1:14" ht="15.75" customHeight="1" x14ac:dyDescent="0.2">
      <c r="G4" s="2477" t="s">
        <v>52</v>
      </c>
      <c r="H4" s="2477"/>
      <c r="I4" s="2477"/>
      <c r="J4" s="2477"/>
    </row>
    <row r="5" spans="1:14" ht="90.75" customHeight="1" thickBot="1" x14ac:dyDescent="0.25">
      <c r="A5" s="1970" t="s">
        <v>53</v>
      </c>
      <c r="C5" s="1970" t="s">
        <v>54</v>
      </c>
      <c r="E5" s="1971" t="s">
        <v>55</v>
      </c>
      <c r="G5" s="1970" t="s">
        <v>56</v>
      </c>
      <c r="H5" s="1970" t="s">
        <v>57</v>
      </c>
      <c r="I5" s="1970" t="s">
        <v>58</v>
      </c>
      <c r="J5" s="1970" t="s">
        <v>59</v>
      </c>
    </row>
    <row r="6" spans="1:14" ht="28.5" x14ac:dyDescent="0.2">
      <c r="A6" s="1972">
        <v>45432</v>
      </c>
      <c r="B6" s="1494"/>
      <c r="C6" s="1255">
        <v>101</v>
      </c>
      <c r="D6" s="1494"/>
      <c r="E6" s="1238" t="s">
        <v>6608</v>
      </c>
      <c r="G6" s="1973" t="s">
        <v>6609</v>
      </c>
      <c r="H6" s="1497">
        <v>45433</v>
      </c>
      <c r="I6" s="1497">
        <v>45433</v>
      </c>
      <c r="J6" s="1958">
        <v>45436</v>
      </c>
    </row>
    <row r="7" spans="1:14" ht="42.75" x14ac:dyDescent="0.2">
      <c r="A7" s="1256">
        <v>45433</v>
      </c>
      <c r="B7" s="1494"/>
      <c r="C7" s="1255">
        <v>338</v>
      </c>
      <c r="D7" s="1494"/>
      <c r="E7" s="1238" t="s">
        <v>6623</v>
      </c>
      <c r="G7" s="1973" t="s">
        <v>6622</v>
      </c>
      <c r="H7" s="1497">
        <v>45435</v>
      </c>
      <c r="I7" s="1497">
        <v>45433</v>
      </c>
      <c r="J7" s="1958">
        <v>45436</v>
      </c>
    </row>
    <row r="8" spans="1:14" ht="28.5" x14ac:dyDescent="0.2">
      <c r="A8" s="1256">
        <v>45433</v>
      </c>
      <c r="B8" s="1494"/>
      <c r="C8" s="1255">
        <v>338</v>
      </c>
      <c r="D8" s="1494"/>
      <c r="E8" s="1238" t="s">
        <v>6624</v>
      </c>
      <c r="G8" s="1973" t="s">
        <v>6625</v>
      </c>
      <c r="H8" s="1497">
        <v>45435</v>
      </c>
      <c r="I8" s="1497">
        <v>45433</v>
      </c>
      <c r="J8" s="1958">
        <v>45436</v>
      </c>
      <c r="N8" s="1974"/>
    </row>
    <row r="9" spans="1:14" ht="57" customHeight="1" x14ac:dyDescent="0.2">
      <c r="A9" s="1256">
        <v>45443</v>
      </c>
      <c r="B9" s="1237"/>
      <c r="C9" s="1486" t="s">
        <v>6627</v>
      </c>
      <c r="D9" s="1237"/>
      <c r="E9" s="1238" t="s">
        <v>6628</v>
      </c>
      <c r="F9" s="1239"/>
      <c r="G9" s="1962" t="s">
        <v>5930</v>
      </c>
      <c r="H9" s="1497">
        <v>45461</v>
      </c>
      <c r="I9" s="1497">
        <v>45443</v>
      </c>
      <c r="J9" s="1497">
        <v>45461</v>
      </c>
    </row>
    <row r="10" spans="1:14" ht="33" customHeight="1" x14ac:dyDescent="0.2">
      <c r="A10" s="1256">
        <v>45443</v>
      </c>
      <c r="B10" s="1494"/>
      <c r="C10" s="1255" t="s">
        <v>6627</v>
      </c>
      <c r="D10" s="1494"/>
      <c r="E10" s="1238" t="s">
        <v>6631</v>
      </c>
      <c r="G10" s="1962" t="s">
        <v>5930</v>
      </c>
      <c r="H10" s="1497">
        <v>45461</v>
      </c>
      <c r="I10" s="1497">
        <v>45443</v>
      </c>
      <c r="J10" s="1497">
        <v>45461</v>
      </c>
    </row>
    <row r="11" spans="1:14" ht="41.25" customHeight="1" x14ac:dyDescent="0.2">
      <c r="A11" s="1256">
        <v>45443</v>
      </c>
      <c r="B11" s="1494"/>
      <c r="C11" s="1255" t="s">
        <v>6630</v>
      </c>
      <c r="D11" s="1494"/>
      <c r="E11" s="1238" t="s">
        <v>6632</v>
      </c>
      <c r="G11" s="1962" t="s">
        <v>5930</v>
      </c>
      <c r="H11" s="1497">
        <v>45461</v>
      </c>
      <c r="I11" s="1497">
        <v>45443</v>
      </c>
      <c r="J11" s="1497">
        <v>45461</v>
      </c>
    </row>
    <row r="12" spans="1:14" ht="24" customHeight="1" x14ac:dyDescent="0.2">
      <c r="A12" s="1256">
        <v>45454</v>
      </c>
      <c r="B12" s="1494"/>
      <c r="C12" s="1255">
        <v>310</v>
      </c>
      <c r="D12" s="1494"/>
      <c r="E12" s="1238" t="s">
        <v>6635</v>
      </c>
      <c r="G12" s="1962" t="s">
        <v>5930</v>
      </c>
      <c r="H12" s="1497">
        <v>45461</v>
      </c>
      <c r="I12" s="1497">
        <v>45454</v>
      </c>
      <c r="J12" s="1497">
        <v>45461</v>
      </c>
    </row>
    <row r="13" spans="1:14" s="1976" customFormat="1" ht="86.25" x14ac:dyDescent="0.2">
      <c r="A13" s="1256">
        <v>45461</v>
      </c>
      <c r="B13" s="1975"/>
      <c r="C13" s="1255">
        <v>201</v>
      </c>
      <c r="D13" s="1975"/>
      <c r="E13" s="1238" t="s">
        <v>6636</v>
      </c>
      <c r="G13" s="1962" t="s">
        <v>6609</v>
      </c>
      <c r="H13" s="1497">
        <v>45461</v>
      </c>
      <c r="I13" s="1497">
        <v>45461</v>
      </c>
      <c r="J13" s="1497">
        <v>45461</v>
      </c>
    </row>
    <row r="14" spans="1:14" ht="100.5" customHeight="1" x14ac:dyDescent="0.2">
      <c r="A14" s="1256">
        <v>45461</v>
      </c>
      <c r="B14" s="1494"/>
      <c r="C14" s="1255">
        <v>203</v>
      </c>
      <c r="D14" s="1494"/>
      <c r="E14" s="1238" t="s">
        <v>6637</v>
      </c>
      <c r="G14" s="1962" t="s">
        <v>6609</v>
      </c>
      <c r="H14" s="1497">
        <v>45461</v>
      </c>
      <c r="I14" s="1497">
        <v>45461</v>
      </c>
      <c r="J14" s="1497">
        <v>45461</v>
      </c>
    </row>
    <row r="15" spans="1:14" ht="81" customHeight="1" x14ac:dyDescent="0.2">
      <c r="A15" s="1256">
        <v>45464</v>
      </c>
      <c r="B15" s="1494"/>
      <c r="C15" s="1255" t="s">
        <v>237</v>
      </c>
      <c r="D15" s="1494"/>
      <c r="E15" s="1238" t="s">
        <v>6669</v>
      </c>
      <c r="G15" s="1962" t="s">
        <v>6625</v>
      </c>
      <c r="H15" s="1497">
        <v>45474</v>
      </c>
      <c r="I15" s="1497">
        <v>45474</v>
      </c>
      <c r="J15" s="1958" t="s">
        <v>2517</v>
      </c>
    </row>
    <row r="16" spans="1:14" ht="156.75" x14ac:dyDescent="0.2">
      <c r="A16" s="1256">
        <v>45474</v>
      </c>
      <c r="B16" s="1494"/>
      <c r="C16" s="1255">
        <v>602</v>
      </c>
      <c r="D16" s="1494"/>
      <c r="E16" s="2471" t="s">
        <v>6671</v>
      </c>
      <c r="G16" s="1962" t="s">
        <v>6672</v>
      </c>
      <c r="H16" s="1497">
        <v>45474</v>
      </c>
      <c r="I16" s="1497">
        <v>45474</v>
      </c>
      <c r="J16" s="1497">
        <v>45475</v>
      </c>
    </row>
    <row r="17" spans="1:16" ht="33" customHeight="1" x14ac:dyDescent="0.2">
      <c r="A17" s="1256">
        <v>45476</v>
      </c>
      <c r="B17" s="1494"/>
      <c r="C17" s="1255" t="s">
        <v>307</v>
      </c>
      <c r="D17" s="1494"/>
      <c r="E17" s="2472" t="s">
        <v>6673</v>
      </c>
      <c r="G17" s="1496"/>
      <c r="H17" s="1497"/>
      <c r="I17" s="1497"/>
      <c r="J17" s="1497"/>
    </row>
    <row r="18" spans="1:16" ht="33" customHeight="1" x14ac:dyDescent="0.2">
      <c r="A18" s="1964"/>
      <c r="B18" s="1965"/>
      <c r="C18" s="1966"/>
      <c r="D18" s="1965"/>
      <c r="E18" s="1977"/>
      <c r="G18" s="1496"/>
      <c r="H18" s="1497"/>
      <c r="I18" s="1497"/>
      <c r="J18" s="1497"/>
    </row>
    <row r="19" spans="1:16" ht="33" customHeight="1" x14ac:dyDescent="0.2">
      <c r="A19" s="1964"/>
      <c r="B19" s="1965"/>
      <c r="C19" s="1966"/>
      <c r="D19" s="1965"/>
      <c r="E19" s="1977"/>
      <c r="G19" s="1496"/>
      <c r="H19" s="1497"/>
      <c r="I19" s="1497"/>
      <c r="J19" s="1497"/>
    </row>
    <row r="20" spans="1:16" ht="33" customHeight="1" x14ac:dyDescent="0.2">
      <c r="A20" s="1964"/>
      <c r="B20" s="1965"/>
      <c r="C20" s="1966"/>
      <c r="D20" s="1965"/>
      <c r="E20" s="1977"/>
      <c r="G20" s="1496"/>
      <c r="H20" s="1497"/>
      <c r="I20" s="1497"/>
      <c r="J20" s="1497"/>
    </row>
    <row r="21" spans="1:16" ht="33" customHeight="1" x14ac:dyDescent="0.2">
      <c r="A21" s="1964"/>
      <c r="B21" s="1965"/>
      <c r="C21" s="1966"/>
      <c r="D21" s="1965"/>
      <c r="E21" s="1967"/>
      <c r="G21" s="1496"/>
      <c r="H21" s="1497"/>
      <c r="I21" s="1497"/>
      <c r="J21" s="1497"/>
      <c r="L21" s="1978"/>
      <c r="M21" s="2478"/>
      <c r="N21" s="2478"/>
      <c r="O21" s="2478"/>
      <c r="P21" s="2478"/>
    </row>
    <row r="22" spans="1:16" ht="33" customHeight="1" x14ac:dyDescent="0.2">
      <c r="A22" s="1964"/>
      <c r="B22" s="1965"/>
      <c r="C22" s="1966"/>
      <c r="D22" s="1965"/>
      <c r="E22" s="1968"/>
      <c r="G22" s="1496"/>
      <c r="H22" s="1497"/>
      <c r="I22" s="1497"/>
      <c r="J22" s="1497"/>
    </row>
    <row r="23" spans="1:16" ht="33" customHeight="1" x14ac:dyDescent="0.2">
      <c r="A23" s="1964"/>
      <c r="B23" s="1965"/>
      <c r="C23" s="1966"/>
      <c r="D23" s="1965"/>
      <c r="E23" s="1977"/>
      <c r="G23" s="1496"/>
      <c r="H23" s="1497"/>
      <c r="I23" s="1497"/>
      <c r="J23" s="1497"/>
    </row>
    <row r="24" spans="1:16" ht="33" customHeight="1" x14ac:dyDescent="0.2">
      <c r="A24" s="1964"/>
      <c r="B24" s="1965"/>
      <c r="C24" s="1966"/>
      <c r="D24" s="1965"/>
      <c r="E24" s="1977"/>
      <c r="G24" s="1496"/>
      <c r="H24" s="1497"/>
      <c r="I24" s="1497"/>
      <c r="J24" s="1497"/>
    </row>
    <row r="25" spans="1:16" ht="33" customHeight="1" x14ac:dyDescent="0.2">
      <c r="A25" s="1964"/>
      <c r="B25" s="1965"/>
      <c r="C25" s="1966"/>
      <c r="D25" s="1965"/>
      <c r="E25" s="1977"/>
      <c r="G25" s="1496"/>
      <c r="H25" s="1497"/>
      <c r="I25" s="1497"/>
      <c r="J25" s="1497"/>
    </row>
    <row r="26" spans="1:16" ht="33" customHeight="1" x14ac:dyDescent="0.2">
      <c r="A26" s="1964"/>
      <c r="B26" s="1965"/>
      <c r="C26" s="1966"/>
      <c r="D26" s="1965"/>
      <c r="E26" s="1977"/>
      <c r="G26" s="1496"/>
      <c r="H26" s="1497"/>
      <c r="I26" s="1497"/>
      <c r="J26" s="1497"/>
    </row>
    <row r="27" spans="1:16" ht="33" customHeight="1" x14ac:dyDescent="0.2">
      <c r="A27" s="1964"/>
      <c r="B27" s="1965"/>
      <c r="C27" s="1966"/>
      <c r="D27" s="1965"/>
      <c r="E27" s="1977"/>
      <c r="G27" s="1496"/>
      <c r="H27" s="1497"/>
      <c r="I27" s="1497"/>
      <c r="J27" s="1497"/>
    </row>
    <row r="28" spans="1:16" ht="33" customHeight="1" x14ac:dyDescent="0.2">
      <c r="A28" s="1964"/>
      <c r="B28" s="1965"/>
      <c r="C28" s="1966"/>
      <c r="D28" s="1965"/>
      <c r="E28" s="1977"/>
      <c r="G28" s="1496"/>
      <c r="H28" s="1497"/>
      <c r="I28" s="1497"/>
      <c r="J28" s="1497"/>
    </row>
    <row r="29" spans="1:16" ht="33" customHeight="1" x14ac:dyDescent="0.2">
      <c r="A29" s="1964"/>
      <c r="B29" s="1965"/>
      <c r="C29" s="1966"/>
      <c r="D29" s="1965"/>
      <c r="E29" s="1977"/>
      <c r="G29" s="1496"/>
      <c r="H29" s="1497"/>
      <c r="I29" s="1497"/>
      <c r="J29" s="1497"/>
    </row>
    <row r="30" spans="1:16" ht="33" customHeight="1" x14ac:dyDescent="0.2">
      <c r="A30" s="1964"/>
      <c r="B30" s="1965"/>
      <c r="C30" s="1966"/>
      <c r="D30" s="1965"/>
      <c r="E30" s="1977"/>
      <c r="G30" s="1496"/>
      <c r="H30" s="1497"/>
      <c r="I30" s="1497"/>
      <c r="J30" s="1497"/>
    </row>
    <row r="31" spans="1:16" ht="33" customHeight="1" x14ac:dyDescent="0.2">
      <c r="A31" s="1964"/>
      <c r="B31" s="1965"/>
      <c r="C31" s="1966"/>
      <c r="D31" s="1965"/>
      <c r="E31" s="1977"/>
      <c r="G31" s="1496"/>
      <c r="H31" s="1497"/>
      <c r="I31" s="1497"/>
      <c r="J31" s="1497"/>
    </row>
    <row r="32" spans="1:16" ht="33" customHeight="1" x14ac:dyDescent="0.2">
      <c r="A32" s="1979"/>
      <c r="B32" s="1965"/>
      <c r="C32" s="1966"/>
      <c r="D32" s="1965"/>
      <c r="E32" s="1977"/>
      <c r="G32" s="1496"/>
      <c r="H32" s="1497"/>
      <c r="I32" s="1497"/>
      <c r="J32" s="1497"/>
    </row>
    <row r="33" spans="1:10" ht="33" customHeight="1" x14ac:dyDescent="0.2">
      <c r="A33" s="1979"/>
      <c r="B33" s="1965"/>
      <c r="C33" s="1966"/>
      <c r="D33" s="1965"/>
      <c r="E33" s="1977"/>
      <c r="G33" s="1496"/>
      <c r="H33" s="1497"/>
      <c r="I33" s="1497"/>
      <c r="J33" s="1497"/>
    </row>
    <row r="34" spans="1:10" ht="33" customHeight="1" x14ac:dyDescent="0.2">
      <c r="A34" s="1979"/>
      <c r="B34" s="1965"/>
      <c r="C34" s="1966"/>
      <c r="D34" s="1965"/>
      <c r="E34" s="1977"/>
      <c r="G34" s="1496"/>
      <c r="H34" s="1497"/>
      <c r="I34" s="1497"/>
      <c r="J34" s="1497"/>
    </row>
    <row r="35" spans="1:10" ht="14.25" x14ac:dyDescent="0.2">
      <c r="A35" s="1965"/>
      <c r="B35" s="1965"/>
      <c r="C35" s="1980"/>
      <c r="D35" s="1965"/>
      <c r="E35" s="1981"/>
    </row>
    <row r="36" spans="1:10" ht="14.25" x14ac:dyDescent="0.2">
      <c r="A36" s="1965"/>
      <c r="B36" s="1965"/>
      <c r="C36" s="1980"/>
      <c r="D36" s="1965"/>
      <c r="E36" s="1981"/>
    </row>
    <row r="37" spans="1:10" ht="14.25" x14ac:dyDescent="0.2">
      <c r="A37" s="1965"/>
      <c r="B37" s="1965"/>
      <c r="C37" s="1980"/>
      <c r="D37" s="1965"/>
      <c r="E37" s="1981"/>
    </row>
    <row r="38" spans="1:10" ht="14.25" x14ac:dyDescent="0.2">
      <c r="A38" s="1965"/>
      <c r="B38" s="1965"/>
      <c r="C38" s="1980"/>
      <c r="D38" s="1965"/>
      <c r="E38" s="1981"/>
    </row>
    <row r="39" spans="1:10" ht="14.25" x14ac:dyDescent="0.2">
      <c r="A39" s="1965"/>
      <c r="B39" s="1965"/>
      <c r="C39" s="1980"/>
      <c r="D39" s="1965"/>
      <c r="E39" s="1981"/>
    </row>
    <row r="40" spans="1:10" ht="14.25" x14ac:dyDescent="0.2">
      <c r="A40" s="1965"/>
      <c r="B40" s="1965"/>
      <c r="C40" s="1980"/>
      <c r="D40" s="1965"/>
      <c r="E40" s="1981"/>
    </row>
    <row r="41" spans="1:10" ht="14.25" x14ac:dyDescent="0.2">
      <c r="A41" s="1965"/>
      <c r="B41" s="1965"/>
      <c r="C41" s="1980"/>
      <c r="D41" s="1965"/>
      <c r="E41" s="1981"/>
    </row>
    <row r="42" spans="1:10" ht="14.25" x14ac:dyDescent="0.2">
      <c r="A42" s="1965"/>
      <c r="B42" s="1965"/>
      <c r="C42" s="1980"/>
      <c r="D42" s="1965"/>
      <c r="E42" s="1981"/>
    </row>
    <row r="43" spans="1:10" ht="14.25" x14ac:dyDescent="0.2">
      <c r="A43" s="1965"/>
      <c r="B43" s="1965"/>
      <c r="C43" s="1980"/>
      <c r="D43" s="1965"/>
      <c r="E43" s="1981"/>
    </row>
    <row r="44" spans="1:10" ht="14.25" x14ac:dyDescent="0.2">
      <c r="A44" s="1965"/>
      <c r="B44" s="1965"/>
      <c r="C44" s="1980"/>
      <c r="D44" s="1965"/>
      <c r="E44" s="1981"/>
    </row>
    <row r="45" spans="1:10" ht="14.25" x14ac:dyDescent="0.2">
      <c r="A45" s="1965"/>
      <c r="B45" s="1965"/>
      <c r="C45" s="1980"/>
      <c r="D45" s="1965"/>
      <c r="E45" s="1981"/>
    </row>
    <row r="46" spans="1:10" ht="14.25" x14ac:dyDescent="0.2">
      <c r="A46" s="1965"/>
      <c r="B46" s="1965"/>
      <c r="C46" s="1980"/>
      <c r="D46" s="1965"/>
      <c r="E46" s="1981"/>
    </row>
    <row r="47" spans="1:10" ht="14.25" x14ac:dyDescent="0.2">
      <c r="A47" s="1965"/>
      <c r="B47" s="1965"/>
      <c r="C47" s="1980"/>
      <c r="D47" s="1965"/>
      <c r="E47" s="1981"/>
    </row>
    <row r="48" spans="1:10" ht="14.25" x14ac:dyDescent="0.2">
      <c r="A48" s="1965"/>
      <c r="B48" s="1965"/>
      <c r="C48" s="1980"/>
      <c r="D48" s="1965"/>
      <c r="E48" s="1981"/>
    </row>
    <row r="49" spans="1:5" ht="14.25" x14ac:dyDescent="0.2">
      <c r="A49" s="1965"/>
      <c r="B49" s="1965"/>
      <c r="C49" s="1980"/>
      <c r="D49" s="1965"/>
      <c r="E49" s="1981"/>
    </row>
    <row r="50" spans="1:5" ht="14.25" x14ac:dyDescent="0.2">
      <c r="A50" s="1965"/>
      <c r="B50" s="1965"/>
      <c r="C50" s="1980"/>
      <c r="D50" s="1965"/>
      <c r="E50" s="1981"/>
    </row>
    <row r="51" spans="1:5" ht="14.25" x14ac:dyDescent="0.2">
      <c r="A51" s="1965"/>
      <c r="B51" s="1965"/>
      <c r="C51" s="1980"/>
      <c r="D51" s="1965"/>
      <c r="E51" s="1981"/>
    </row>
  </sheetData>
  <sheetProtection autoFilter="0"/>
  <mergeCells count="4">
    <mergeCell ref="A1:E1"/>
    <mergeCell ref="A2:E2"/>
    <mergeCell ref="G4:J4"/>
    <mergeCell ref="M21:P21"/>
  </mergeCells>
  <pageMargins left="0.6" right="0.6" top="0.5" bottom="0.5" header="0.3" footer="0.3"/>
  <pageSetup scale="85"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5">
    <pageSetUpPr fitToPage="1"/>
  </sheetPr>
  <dimension ref="A1:Y60"/>
  <sheetViews>
    <sheetView showGridLines="0" topLeftCell="B1" zoomScale="110" zoomScaleNormal="110" zoomScaleSheetLayoutView="145" workbookViewId="0">
      <selection activeCell="G24" sqref="G24"/>
    </sheetView>
  </sheetViews>
  <sheetFormatPr defaultColWidth="16.5703125" defaultRowHeight="12.75" x14ac:dyDescent="0.2"/>
  <cols>
    <col min="1" max="1" width="5.42578125" style="267" hidden="1" customWidth="1"/>
    <col min="2" max="2" width="18.5703125" style="268" customWidth="1"/>
    <col min="3" max="3" width="1.42578125" style="268" customWidth="1"/>
    <col min="4" max="4" width="11.42578125" style="268" customWidth="1"/>
    <col min="5" max="5" width="19.5703125" style="268" customWidth="1"/>
    <col min="6" max="6" width="1.42578125" style="268" customWidth="1"/>
    <col min="7" max="7" width="16.42578125" style="268" customWidth="1"/>
    <col min="8" max="8" width="1.42578125" style="268" customWidth="1"/>
    <col min="9" max="9" width="16.85546875" style="268" customWidth="1"/>
    <col min="10" max="10" width="1.42578125" style="268" customWidth="1"/>
    <col min="11" max="11" width="17.140625" style="268" customWidth="1"/>
    <col min="12" max="12" width="1.42578125" style="268" customWidth="1"/>
    <col min="13" max="13" width="16.85546875" style="268" customWidth="1"/>
    <col min="14" max="14" width="1.42578125" style="268" customWidth="1"/>
    <col min="15" max="15" width="16.5703125" style="268" customWidth="1"/>
    <col min="16" max="16" width="4.5703125" style="268" customWidth="1"/>
    <col min="17" max="17" width="4.42578125" style="268" customWidth="1"/>
    <col min="18" max="18" width="6.42578125" style="268" customWidth="1"/>
    <col min="19" max="19" width="5.42578125" style="268" customWidth="1"/>
    <col min="20" max="20" width="22.28515625" style="1312" bestFit="1" customWidth="1"/>
    <col min="21" max="21" width="11" style="1312" customWidth="1"/>
    <col min="22" max="22" width="16.5703125" style="268" customWidth="1"/>
    <col min="23" max="23" width="9.42578125" style="268" customWidth="1"/>
    <col min="24" max="24" width="10.42578125" style="268" customWidth="1"/>
    <col min="25" max="25" width="10.5703125" style="268" customWidth="1"/>
    <col min="26" max="32" width="9.42578125" style="268" customWidth="1"/>
    <col min="33" max="16384" width="16.5703125" style="268"/>
  </cols>
  <sheetData>
    <row r="1" spans="1:23" s="12" customFormat="1" ht="15" customHeight="1" x14ac:dyDescent="0.25">
      <c r="A1" s="263"/>
      <c r="B1" s="2553" t="str">
        <f>+Index!$A$1</f>
        <v xml:space="preserve">                                                               Office of the State Controller                                                                </v>
      </c>
      <c r="C1" s="2553"/>
      <c r="D1" s="2553"/>
      <c r="E1" s="2553"/>
      <c r="F1" s="2553"/>
      <c r="G1" s="2553"/>
      <c r="H1" s="2553"/>
      <c r="I1" s="2553"/>
      <c r="J1" s="2553"/>
      <c r="K1" s="2553"/>
      <c r="L1" s="2553"/>
      <c r="M1" s="2553"/>
      <c r="N1" s="2553"/>
      <c r="O1" s="2553"/>
      <c r="P1" s="2626" t="str">
        <f>IF(Index!$B$33="na","NA","")</f>
        <v/>
      </c>
      <c r="T1" s="1311"/>
      <c r="U1" s="1311"/>
      <c r="W1" s="1328" t="s">
        <v>1061</v>
      </c>
    </row>
    <row r="2" spans="1:23" s="12" customFormat="1" ht="15" customHeight="1" x14ac:dyDescent="0.25">
      <c r="A2" s="263"/>
      <c r="B2" s="2624" t="str">
        <f>+Index!$A$2</f>
        <v>2024 ACFR Worksheets</v>
      </c>
      <c r="C2" s="2624"/>
      <c r="D2" s="2624"/>
      <c r="E2" s="2624"/>
      <c r="F2" s="2624"/>
      <c r="G2" s="2624"/>
      <c r="H2" s="2624"/>
      <c r="I2" s="2624"/>
      <c r="J2" s="2624"/>
      <c r="K2" s="2624"/>
      <c r="L2" s="2624"/>
      <c r="M2" s="2624"/>
      <c r="N2" s="2624"/>
      <c r="O2" s="2624"/>
      <c r="P2" s="2626"/>
      <c r="T2" s="1311"/>
      <c r="U2" s="1311"/>
    </row>
    <row r="3" spans="1:23" s="12" customFormat="1" ht="15" customHeight="1" x14ac:dyDescent="0.25">
      <c r="A3" s="263"/>
      <c r="B3" s="2624" t="s">
        <v>1062</v>
      </c>
      <c r="C3" s="2624"/>
      <c r="D3" s="2624"/>
      <c r="E3" s="2624"/>
      <c r="F3" s="2624"/>
      <c r="G3" s="2624"/>
      <c r="H3" s="2624"/>
      <c r="I3" s="2624"/>
      <c r="J3" s="2624"/>
      <c r="K3" s="2624"/>
      <c r="L3" s="2624"/>
      <c r="M3" s="2624"/>
      <c r="N3" s="2624"/>
      <c r="O3" s="2624"/>
      <c r="P3" s="2626"/>
      <c r="T3" s="1311"/>
      <c r="U3" s="1311"/>
    </row>
    <row r="4" spans="1:23" s="12" customFormat="1" ht="15" customHeight="1" x14ac:dyDescent="0.25">
      <c r="A4" s="263"/>
      <c r="B4" s="2624" t="s">
        <v>1063</v>
      </c>
      <c r="C4" s="2624"/>
      <c r="D4" s="2624"/>
      <c r="E4" s="2624"/>
      <c r="F4" s="2624"/>
      <c r="G4" s="2624"/>
      <c r="H4" s="2624"/>
      <c r="I4" s="2624"/>
      <c r="J4" s="2624"/>
      <c r="K4" s="2624"/>
      <c r="L4" s="2624"/>
      <c r="M4" s="2624"/>
      <c r="N4" s="2624"/>
      <c r="O4" s="2624"/>
      <c r="P4" s="268"/>
      <c r="T4" s="1311"/>
      <c r="U4" s="1311"/>
    </row>
    <row r="5" spans="1:23" s="12" customFormat="1" ht="15" customHeight="1" x14ac:dyDescent="0.25">
      <c r="A5" s="263"/>
      <c r="B5" s="2296"/>
      <c r="C5" s="2296"/>
      <c r="D5" s="2296"/>
      <c r="E5" s="2296"/>
      <c r="F5" s="2296"/>
      <c r="G5" s="2296"/>
      <c r="H5" s="2296"/>
      <c r="I5" s="2625" t="s">
        <v>1064</v>
      </c>
      <c r="J5" s="2625"/>
      <c r="K5" s="2625"/>
      <c r="L5" s="2625"/>
      <c r="M5" s="2625"/>
      <c r="N5" s="2625"/>
      <c r="O5" s="2625"/>
      <c r="P5" s="268"/>
      <c r="T5" s="1311"/>
      <c r="U5" s="1311"/>
    </row>
    <row r="6" spans="1:23" s="67" customFormat="1" ht="15" customHeight="1" x14ac:dyDescent="0.2">
      <c r="A6" s="267"/>
      <c r="B6" s="268"/>
      <c r="C6" s="268"/>
      <c r="D6" s="267"/>
      <c r="E6" s="268"/>
      <c r="F6" s="268"/>
      <c r="G6" s="268"/>
      <c r="H6" s="268"/>
      <c r="I6" s="1575" t="s">
        <v>318</v>
      </c>
      <c r="J6" s="1576"/>
      <c r="K6" s="2617" t="str">
        <f>+Index!$E$10</f>
        <v>01</v>
      </c>
      <c r="L6" s="2617"/>
      <c r="M6" s="2617"/>
      <c r="N6" s="2617"/>
      <c r="O6" s="2617"/>
      <c r="P6" s="268"/>
      <c r="Q6" s="268"/>
      <c r="R6" s="268"/>
      <c r="S6" s="268"/>
      <c r="T6" s="1312"/>
      <c r="U6" s="1312"/>
      <c r="V6" s="268"/>
      <c r="W6" s="268"/>
    </row>
    <row r="7" spans="1:23" s="67" customFormat="1" ht="15" customHeight="1" x14ac:dyDescent="0.2">
      <c r="A7" s="267"/>
      <c r="B7" s="268"/>
      <c r="C7" s="268"/>
      <c r="D7" s="268"/>
      <c r="E7" s="2622" t="s">
        <v>1065</v>
      </c>
      <c r="F7" s="268"/>
      <c r="G7" s="268"/>
      <c r="H7" s="268"/>
      <c r="I7" s="1575" t="s">
        <v>319</v>
      </c>
      <c r="J7" s="1576"/>
      <c r="K7" s="2618" t="str">
        <f>+Index!$E$11</f>
        <v>North Carolina General Assembly</v>
      </c>
      <c r="L7" s="2618"/>
      <c r="M7" s="2618"/>
      <c r="N7" s="2618"/>
      <c r="O7" s="2618"/>
      <c r="P7" s="268"/>
      <c r="Q7" s="268"/>
      <c r="R7" s="268"/>
      <c r="S7" s="268"/>
      <c r="T7" s="1312"/>
      <c r="U7" s="1312"/>
      <c r="V7" s="268"/>
      <c r="W7" s="268"/>
    </row>
    <row r="8" spans="1:23" s="67" customFormat="1" ht="15" customHeight="1" x14ac:dyDescent="0.2">
      <c r="A8" s="267"/>
      <c r="B8" s="268" t="s">
        <v>545</v>
      </c>
      <c r="C8" s="267"/>
      <c r="D8" s="1589"/>
      <c r="E8" s="2622"/>
      <c r="F8" s="268"/>
      <c r="G8" s="268"/>
      <c r="H8" s="268"/>
      <c r="I8" s="1575" t="s">
        <v>320</v>
      </c>
      <c r="J8" s="1576"/>
      <c r="K8" s="2619" t="str">
        <f>CONCATENATE(Index!$E$12," ",Index!$E$14)</f>
        <v xml:space="preserve"> </v>
      </c>
      <c r="L8" s="2619"/>
      <c r="M8" s="2619"/>
      <c r="N8" s="2619"/>
      <c r="O8" s="2619"/>
      <c r="P8" s="268"/>
      <c r="Q8" s="268"/>
      <c r="R8" s="268"/>
      <c r="S8" s="268"/>
      <c r="T8" s="1312"/>
      <c r="U8" s="1312"/>
      <c r="V8" s="268"/>
      <c r="W8" s="268"/>
    </row>
    <row r="9" spans="1:23" s="67" customFormat="1" ht="15" customHeight="1" x14ac:dyDescent="0.2">
      <c r="A9" s="267"/>
      <c r="B9" s="723" t="s">
        <v>1066</v>
      </c>
      <c r="C9" s="724"/>
      <c r="D9" s="725"/>
      <c r="E9" s="726"/>
      <c r="F9" s="268"/>
      <c r="G9" s="268"/>
      <c r="H9" s="268"/>
      <c r="I9" s="1575" t="s">
        <v>168</v>
      </c>
      <c r="J9" s="1576"/>
      <c r="K9" s="2619">
        <f>+Index!$E$13</f>
        <v>0</v>
      </c>
      <c r="L9" s="2619"/>
      <c r="M9" s="2619"/>
      <c r="N9" s="2619"/>
      <c r="O9" s="2619"/>
      <c r="P9" s="268"/>
      <c r="Q9" s="268"/>
      <c r="R9" s="268"/>
      <c r="S9" s="268"/>
      <c r="T9" s="1312"/>
      <c r="U9" s="1312"/>
      <c r="V9" s="268"/>
      <c r="W9" s="268"/>
    </row>
    <row r="10" spans="1:23" s="67" customFormat="1" ht="6.75" customHeight="1" thickBot="1" x14ac:dyDescent="0.25">
      <c r="A10" s="267"/>
      <c r="B10" s="1577"/>
      <c r="C10" s="1577"/>
      <c r="D10" s="1577"/>
      <c r="E10" s="1577"/>
      <c r="F10" s="1577"/>
      <c r="G10" s="1577"/>
      <c r="H10" s="1577"/>
      <c r="I10" s="1577"/>
      <c r="J10" s="1577"/>
      <c r="K10" s="1577"/>
      <c r="L10" s="1577"/>
      <c r="M10" s="1577"/>
      <c r="N10" s="1577"/>
      <c r="O10" s="1577"/>
      <c r="P10" s="268"/>
      <c r="Q10" s="268"/>
      <c r="R10" s="268"/>
      <c r="S10" s="268"/>
      <c r="T10" s="1312"/>
      <c r="U10" s="1312"/>
      <c r="V10" s="268"/>
      <c r="W10" s="268"/>
    </row>
    <row r="11" spans="1:23" s="67" customFormat="1" ht="5.25" customHeight="1" x14ac:dyDescent="0.2">
      <c r="A11" s="267"/>
      <c r="B11" s="268"/>
      <c r="C11" s="268"/>
      <c r="D11" s="268"/>
      <c r="E11" s="268"/>
      <c r="F11" s="268"/>
      <c r="G11" s="268"/>
      <c r="H11" s="268"/>
      <c r="I11" s="268"/>
      <c r="J11" s="268"/>
      <c r="K11" s="268"/>
      <c r="L11" s="268"/>
      <c r="M11" s="268"/>
      <c r="N11" s="268"/>
      <c r="O11" s="268"/>
      <c r="P11" s="268"/>
      <c r="Q11" s="268"/>
      <c r="R11" s="268"/>
      <c r="S11" s="268"/>
      <c r="T11" s="1312"/>
      <c r="U11" s="1312"/>
      <c r="V11" s="268"/>
      <c r="W11" s="268"/>
    </row>
    <row r="12" spans="1:23" s="67" customFormat="1" ht="12" customHeight="1" x14ac:dyDescent="0.2">
      <c r="A12" s="267"/>
      <c r="B12" s="2295"/>
      <c r="C12" s="2295"/>
      <c r="D12" s="264"/>
      <c r="E12" s="264" t="s">
        <v>553</v>
      </c>
      <c r="F12" s="264"/>
      <c r="G12" s="264" t="s">
        <v>550</v>
      </c>
      <c r="H12" s="264"/>
      <c r="I12" s="264"/>
      <c r="J12" s="264"/>
      <c r="K12" s="264"/>
      <c r="L12" s="264"/>
      <c r="M12" s="264" t="s">
        <v>553</v>
      </c>
      <c r="N12" s="2295"/>
      <c r="O12" s="264" t="s">
        <v>998</v>
      </c>
      <c r="P12" s="268"/>
      <c r="Q12" s="268"/>
      <c r="R12" s="268"/>
      <c r="S12" s="268"/>
      <c r="T12" s="1312"/>
      <c r="U12" s="1312"/>
      <c r="V12" s="268"/>
      <c r="W12" s="268"/>
    </row>
    <row r="13" spans="1:23" s="67" customFormat="1" ht="12" customHeight="1" x14ac:dyDescent="0.2">
      <c r="A13" s="267"/>
      <c r="B13" s="264"/>
      <c r="C13" s="264"/>
      <c r="D13" s="264"/>
      <c r="E13" s="265" t="str">
        <f>+TEXT(Data!$A$3,"mmmm d, yyyy")</f>
        <v>July 1, 2023</v>
      </c>
      <c r="F13" s="264"/>
      <c r="G13" s="266" t="s">
        <v>632</v>
      </c>
      <c r="H13" s="264"/>
      <c r="I13" s="266" t="s">
        <v>548</v>
      </c>
      <c r="J13" s="264"/>
      <c r="K13" s="266" t="s">
        <v>1029</v>
      </c>
      <c r="L13" s="264"/>
      <c r="M13" s="265" t="str">
        <f>+TEXT(Data!$A$2,"mmmm d, yyyy")</f>
        <v>June 30, 2024</v>
      </c>
      <c r="N13" s="2295"/>
      <c r="O13" s="266" t="s">
        <v>1003</v>
      </c>
      <c r="P13" s="268"/>
      <c r="Q13" s="268"/>
      <c r="R13" s="268"/>
      <c r="S13" s="268"/>
      <c r="T13" s="1312"/>
      <c r="U13" s="1312"/>
      <c r="V13" s="268"/>
      <c r="W13" s="268"/>
    </row>
    <row r="14" spans="1:23" s="67" customFormat="1" ht="12" customHeight="1" x14ac:dyDescent="0.2">
      <c r="A14" s="267"/>
      <c r="B14" s="264"/>
      <c r="C14" s="264"/>
      <c r="D14" s="264"/>
      <c r="E14" s="1304"/>
      <c r="F14" s="264"/>
      <c r="G14" s="1305" t="s">
        <v>563</v>
      </c>
      <c r="H14" s="1306"/>
      <c r="I14" s="1305" t="s">
        <v>1030</v>
      </c>
      <c r="J14" s="1306"/>
      <c r="K14" s="1305" t="s">
        <v>1031</v>
      </c>
      <c r="L14" s="1306"/>
      <c r="M14" s="1307"/>
      <c r="N14" s="1308"/>
      <c r="O14" s="1305" t="s">
        <v>1032</v>
      </c>
      <c r="P14" s="268"/>
      <c r="Q14" s="268"/>
      <c r="R14" s="268"/>
      <c r="S14" s="268"/>
      <c r="T14" s="1309"/>
      <c r="U14" s="1309"/>
      <c r="V14" s="268"/>
      <c r="W14" s="268"/>
    </row>
    <row r="15" spans="1:23" s="67" customFormat="1" ht="12" customHeight="1" x14ac:dyDescent="0.2">
      <c r="A15" s="267"/>
      <c r="B15" s="2295"/>
      <c r="C15" s="2295"/>
      <c r="D15" s="264"/>
      <c r="E15" s="264" t="s">
        <v>570</v>
      </c>
      <c r="F15" s="2295"/>
      <c r="G15" s="264" t="s">
        <v>571</v>
      </c>
      <c r="H15" s="2295"/>
      <c r="I15" s="264" t="s">
        <v>572</v>
      </c>
      <c r="J15" s="2295"/>
      <c r="K15" s="264" t="s">
        <v>573</v>
      </c>
      <c r="L15" s="2295"/>
      <c r="M15" s="264" t="s">
        <v>574</v>
      </c>
      <c r="N15" s="2295"/>
      <c r="O15" s="264" t="s">
        <v>575</v>
      </c>
      <c r="P15" s="268"/>
      <c r="Q15" s="268"/>
      <c r="R15" s="268"/>
      <c r="S15" s="268"/>
      <c r="T15" s="1312"/>
      <c r="U15" s="1312"/>
      <c r="V15" s="268"/>
      <c r="W15" s="268"/>
    </row>
    <row r="16" spans="1:23" s="67" customFormat="1" ht="14.1" customHeight="1" x14ac:dyDescent="0.2">
      <c r="A16" s="267"/>
      <c r="B16" s="2295" t="s">
        <v>1033</v>
      </c>
      <c r="C16" s="2295"/>
      <c r="D16" s="1584"/>
      <c r="E16" s="1310"/>
      <c r="F16" s="1310"/>
      <c r="G16" s="1310"/>
      <c r="H16" s="1310"/>
      <c r="I16" s="1310"/>
      <c r="J16" s="1310"/>
      <c r="K16" s="1310"/>
      <c r="L16" s="1310"/>
      <c r="M16" s="1310"/>
      <c r="N16" s="1310"/>
      <c r="O16" s="1310"/>
      <c r="P16" s="268"/>
      <c r="Q16" s="268"/>
      <c r="R16" s="268"/>
      <c r="S16" s="268"/>
      <c r="T16" s="1312"/>
      <c r="U16" s="1312"/>
      <c r="V16" s="268"/>
      <c r="W16" s="268"/>
    </row>
    <row r="17" spans="1:25" s="67" customFormat="1" ht="14.1" customHeight="1" x14ac:dyDescent="0.2">
      <c r="A17" s="268">
        <v>1</v>
      </c>
      <c r="B17" s="779" t="s">
        <v>1067</v>
      </c>
      <c r="C17" s="2295"/>
      <c r="D17" s="1580"/>
      <c r="E17" s="1245">
        <f>IFERROR(INDEX(PY905Data,MATCH($A17,PY905Row,0),MATCH($K$6,PY905Col,0)),0)</f>
        <v>0</v>
      </c>
      <c r="F17" s="758"/>
      <c r="G17" s="1245"/>
      <c r="H17" s="758"/>
      <c r="I17" s="1245"/>
      <c r="J17" s="758"/>
      <c r="K17" s="1245"/>
      <c r="L17" s="758"/>
      <c r="M17" s="1581">
        <f t="shared" ref="M17:M43" si="0">SUM(E17:L17)</f>
        <v>0</v>
      </c>
      <c r="N17" s="758"/>
      <c r="O17" s="1245"/>
      <c r="P17" s="268"/>
      <c r="Q17" s="268"/>
      <c r="R17" s="268"/>
      <c r="S17" s="267"/>
      <c r="T17" s="1312">
        <v>22610000</v>
      </c>
      <c r="U17" s="1313">
        <v>21610000</v>
      </c>
      <c r="V17" s="1310"/>
      <c r="W17" s="1310"/>
      <c r="X17" s="1310"/>
      <c r="Y17" s="1310"/>
    </row>
    <row r="18" spans="1:25" s="67" customFormat="1" ht="14.1" customHeight="1" x14ac:dyDescent="0.2">
      <c r="A18" s="268">
        <v>2</v>
      </c>
      <c r="B18" s="779" t="s">
        <v>1035</v>
      </c>
      <c r="C18" s="2295"/>
      <c r="D18" s="1580"/>
      <c r="E18" s="1245">
        <f>IFERROR(INDEX(PY905Data,MATCH($A18,PY905Row,0),MATCH($K$6,PY905Col,0)),0)</f>
        <v>0</v>
      </c>
      <c r="F18" s="758"/>
      <c r="G18" s="1245"/>
      <c r="H18" s="758"/>
      <c r="I18" s="1245"/>
      <c r="J18" s="758"/>
      <c r="K18" s="1245"/>
      <c r="L18" s="758"/>
      <c r="M18" s="1581">
        <f t="shared" si="0"/>
        <v>0</v>
      </c>
      <c r="N18" s="758"/>
      <c r="O18" s="1245"/>
      <c r="P18" s="268"/>
      <c r="Q18" s="268"/>
      <c r="R18" s="268"/>
      <c r="S18" s="267"/>
      <c r="T18" s="1312">
        <v>22610300</v>
      </c>
      <c r="U18" s="1313">
        <v>21610300</v>
      </c>
      <c r="V18" s="1310"/>
      <c r="W18" s="1310"/>
      <c r="X18" s="1310"/>
      <c r="Y18" s="1310"/>
    </row>
    <row r="19" spans="1:25" s="67" customFormat="1" ht="14.1" customHeight="1" x14ac:dyDescent="0.2">
      <c r="A19" s="268">
        <v>23</v>
      </c>
      <c r="B19" s="779" t="s">
        <v>1036</v>
      </c>
      <c r="C19" s="2295"/>
      <c r="D19" s="1580"/>
      <c r="E19" s="1245" t="str">
        <f t="shared" ref="E19:E27" si="1">IFERROR(INDEX(PY905Data,MATCH($A19,PY905Row,0),MATCH($K$6,PY905Col,0)),"")</f>
        <v/>
      </c>
      <c r="F19" s="758"/>
      <c r="G19" s="1245"/>
      <c r="H19" s="758"/>
      <c r="I19" s="1245"/>
      <c r="J19" s="758"/>
      <c r="K19" s="1245"/>
      <c r="L19" s="758"/>
      <c r="M19" s="1581">
        <f t="shared" si="0"/>
        <v>0</v>
      </c>
      <c r="N19" s="758"/>
      <c r="O19" s="1245"/>
      <c r="P19" s="268"/>
      <c r="Q19" s="268"/>
      <c r="R19" s="268"/>
      <c r="S19" s="267"/>
      <c r="T19" s="1312">
        <v>22610400</v>
      </c>
      <c r="U19" s="1313">
        <v>21610400</v>
      </c>
      <c r="V19" s="1310"/>
      <c r="W19" s="1310"/>
      <c r="X19" s="1310"/>
      <c r="Y19" s="1310"/>
    </row>
    <row r="20" spans="1:25" s="67" customFormat="1" ht="14.1" customHeight="1" x14ac:dyDescent="0.2">
      <c r="A20" s="268">
        <v>3</v>
      </c>
      <c r="B20" s="779" t="s">
        <v>1037</v>
      </c>
      <c r="C20" s="2295"/>
      <c r="D20" s="1580"/>
      <c r="E20" s="1245" t="str">
        <f t="shared" si="1"/>
        <v/>
      </c>
      <c r="F20" s="758"/>
      <c r="G20" s="1585"/>
      <c r="H20" s="758"/>
      <c r="I20" s="1585"/>
      <c r="J20" s="758"/>
      <c r="K20" s="1585"/>
      <c r="L20" s="758"/>
      <c r="M20" s="1581">
        <f t="shared" si="0"/>
        <v>0</v>
      </c>
      <c r="N20" s="758"/>
      <c r="O20" s="1585"/>
      <c r="P20" s="268"/>
      <c r="Q20" s="268"/>
      <c r="R20" s="268"/>
      <c r="S20" s="267"/>
      <c r="T20" s="1312">
        <v>22610500</v>
      </c>
      <c r="U20" s="1313">
        <v>21610500</v>
      </c>
      <c r="V20" s="1310"/>
      <c r="W20" s="1310"/>
      <c r="X20" s="1310"/>
      <c r="Y20" s="1310"/>
    </row>
    <row r="21" spans="1:25" s="67" customFormat="1" ht="14.1" customHeight="1" x14ac:dyDescent="0.2">
      <c r="A21" s="268">
        <v>4</v>
      </c>
      <c r="B21" s="779" t="s">
        <v>1038</v>
      </c>
      <c r="C21" s="2295"/>
      <c r="D21" s="1580"/>
      <c r="E21" s="1245" t="str">
        <f t="shared" si="1"/>
        <v/>
      </c>
      <c r="F21" s="758"/>
      <c r="G21" s="1245"/>
      <c r="H21" s="758"/>
      <c r="I21" s="1245"/>
      <c r="J21" s="758"/>
      <c r="K21" s="1245"/>
      <c r="L21" s="758"/>
      <c r="M21" s="1581">
        <f t="shared" si="0"/>
        <v>0</v>
      </c>
      <c r="N21" s="758"/>
      <c r="O21" s="1245"/>
      <c r="P21" s="268"/>
      <c r="Q21" s="268"/>
      <c r="R21" s="268"/>
      <c r="S21" s="267"/>
      <c r="T21" s="1312">
        <v>22610600</v>
      </c>
      <c r="U21" s="1313">
        <v>21610600</v>
      </c>
      <c r="V21" s="1310"/>
      <c r="W21" s="1310"/>
      <c r="X21" s="1310"/>
      <c r="Y21" s="1310"/>
    </row>
    <row r="22" spans="1:25" s="67" customFormat="1" ht="14.1" customHeight="1" x14ac:dyDescent="0.2">
      <c r="A22" s="268">
        <v>5</v>
      </c>
      <c r="B22" s="2621" t="s">
        <v>1039</v>
      </c>
      <c r="C22" s="2621"/>
      <c r="D22" s="2621"/>
      <c r="E22" s="1245" t="str">
        <f t="shared" si="1"/>
        <v/>
      </c>
      <c r="F22" s="758"/>
      <c r="G22" s="1245"/>
      <c r="H22" s="758"/>
      <c r="I22" s="1245"/>
      <c r="J22" s="758"/>
      <c r="K22" s="1245"/>
      <c r="L22" s="758"/>
      <c r="M22" s="1581">
        <f t="shared" si="0"/>
        <v>0</v>
      </c>
      <c r="N22" s="758"/>
      <c r="O22" s="996"/>
      <c r="P22" s="268"/>
      <c r="Q22" s="268"/>
      <c r="R22" s="268"/>
      <c r="S22" s="267"/>
      <c r="T22" s="1309">
        <v>22611000</v>
      </c>
      <c r="U22" s="1313"/>
      <c r="V22" s="1310"/>
      <c r="W22" s="1310"/>
      <c r="X22" s="1310"/>
      <c r="Y22" s="1310"/>
    </row>
    <row r="23" spans="1:25" s="67" customFormat="1" ht="14.1" customHeight="1" thickBot="1" x14ac:dyDescent="0.25">
      <c r="A23" s="268">
        <v>6</v>
      </c>
      <c r="B23" s="779" t="s">
        <v>1040</v>
      </c>
      <c r="C23" s="2295"/>
      <c r="D23" s="2295"/>
      <c r="E23" s="1582" t="str">
        <f t="shared" si="1"/>
        <v/>
      </c>
      <c r="F23" s="758"/>
      <c r="G23" s="1582"/>
      <c r="H23" s="758"/>
      <c r="I23" s="1582"/>
      <c r="J23" s="758"/>
      <c r="K23" s="1582"/>
      <c r="L23" s="758"/>
      <c r="M23" s="1581">
        <f t="shared" si="0"/>
        <v>0</v>
      </c>
      <c r="N23" s="758"/>
      <c r="O23" s="1583"/>
      <c r="P23" s="268"/>
      <c r="Q23" s="268"/>
      <c r="R23" s="268"/>
      <c r="S23" s="267"/>
      <c r="T23" s="1309">
        <v>22612000</v>
      </c>
      <c r="U23" s="1313"/>
      <c r="V23" s="1310"/>
      <c r="W23" s="1310"/>
      <c r="X23" s="1310"/>
      <c r="Y23" s="1310"/>
    </row>
    <row r="24" spans="1:25" s="67" customFormat="1" ht="14.1" customHeight="1" x14ac:dyDescent="0.2">
      <c r="A24" s="268">
        <v>7</v>
      </c>
      <c r="B24" s="2295" t="s">
        <v>1041</v>
      </c>
      <c r="C24" s="1579"/>
      <c r="D24" s="1580"/>
      <c r="E24" s="1245" t="str">
        <f t="shared" si="1"/>
        <v/>
      </c>
      <c r="F24" s="758"/>
      <c r="G24" s="1245"/>
      <c r="H24" s="758"/>
      <c r="I24" s="1245"/>
      <c r="J24" s="758"/>
      <c r="K24" s="1245"/>
      <c r="L24" s="758"/>
      <c r="M24" s="1581">
        <f t="shared" si="0"/>
        <v>0</v>
      </c>
      <c r="N24" s="758"/>
      <c r="O24" s="1245"/>
      <c r="P24" s="268"/>
      <c r="Q24" s="268"/>
      <c r="R24" s="268"/>
      <c r="S24" s="267"/>
      <c r="T24" s="1309">
        <v>22140000</v>
      </c>
      <c r="U24" s="1274">
        <v>21140000</v>
      </c>
      <c r="V24" s="1310"/>
      <c r="W24" s="1310"/>
      <c r="X24" s="1310"/>
      <c r="Y24" s="1310"/>
    </row>
    <row r="25" spans="1:25" s="67" customFormat="1" ht="14.1" customHeight="1" x14ac:dyDescent="0.2">
      <c r="A25" s="268">
        <v>8</v>
      </c>
      <c r="B25" s="2295" t="s">
        <v>1043</v>
      </c>
      <c r="C25" s="1579"/>
      <c r="D25" s="1580"/>
      <c r="E25" s="1245" t="str">
        <f t="shared" si="1"/>
        <v/>
      </c>
      <c r="F25" s="758"/>
      <c r="G25" s="1245"/>
      <c r="H25" s="758"/>
      <c r="I25" s="1245"/>
      <c r="J25" s="758"/>
      <c r="K25" s="1245"/>
      <c r="L25" s="758"/>
      <c r="M25" s="1581">
        <f t="shared" si="0"/>
        <v>0</v>
      </c>
      <c r="N25" s="758"/>
      <c r="O25" s="1245"/>
      <c r="P25" s="268"/>
      <c r="Q25" s="268"/>
      <c r="R25" s="268"/>
      <c r="S25" s="267"/>
      <c r="T25" s="1309">
        <v>22199000</v>
      </c>
      <c r="U25" s="1274">
        <v>21191000</v>
      </c>
      <c r="V25" s="1310"/>
      <c r="W25" s="1310"/>
      <c r="X25" s="1310"/>
      <c r="Y25" s="1310"/>
    </row>
    <row r="26" spans="1:25" s="67" customFormat="1" ht="14.1" customHeight="1" x14ac:dyDescent="0.2">
      <c r="A26" s="268">
        <v>22</v>
      </c>
      <c r="B26" s="2295" t="s">
        <v>1044</v>
      </c>
      <c r="C26" s="1579"/>
      <c r="D26" s="1580"/>
      <c r="E26" s="1245" t="str">
        <f>IFERROR(INDEX(PY905Data,MATCH($A26,PY905Row,0),MATCH($K$6,PY905Col,0)),"")</f>
        <v/>
      </c>
      <c r="F26" s="758"/>
      <c r="G26" s="1245"/>
      <c r="H26" s="758"/>
      <c r="I26" s="1245"/>
      <c r="J26" s="758"/>
      <c r="K26" s="1245"/>
      <c r="L26" s="758"/>
      <c r="M26" s="1581">
        <f t="shared" si="0"/>
        <v>0</v>
      </c>
      <c r="N26" s="758"/>
      <c r="O26" s="1245"/>
      <c r="P26" s="268"/>
      <c r="Q26" s="268"/>
      <c r="R26" s="268"/>
      <c r="S26" s="267"/>
      <c r="T26" s="1309">
        <v>22320000</v>
      </c>
      <c r="U26" s="1274">
        <v>21320000</v>
      </c>
      <c r="V26" s="1310"/>
      <c r="W26" s="1310"/>
      <c r="X26" s="1310"/>
      <c r="Y26" s="1310"/>
    </row>
    <row r="27" spans="1:25" s="67" customFormat="1" ht="14.1" customHeight="1" x14ac:dyDescent="0.2">
      <c r="A27" s="268">
        <v>10</v>
      </c>
      <c r="B27" s="2295" t="s">
        <v>1045</v>
      </c>
      <c r="C27" s="1579"/>
      <c r="D27" s="1584"/>
      <c r="E27" s="1245" t="str">
        <f t="shared" si="1"/>
        <v/>
      </c>
      <c r="F27" s="758"/>
      <c r="G27" s="1245"/>
      <c r="H27" s="758"/>
      <c r="I27" s="1245"/>
      <c r="J27" s="758"/>
      <c r="K27" s="1245"/>
      <c r="L27" s="758"/>
      <c r="M27" s="1581">
        <f>SUM(E27:L27)</f>
        <v>0</v>
      </c>
      <c r="N27" s="758"/>
      <c r="O27" s="1245"/>
      <c r="P27" s="268"/>
      <c r="Q27" s="268"/>
      <c r="R27" s="268"/>
      <c r="S27" s="267"/>
      <c r="T27" s="1309">
        <v>22410000</v>
      </c>
      <c r="U27" s="1274">
        <v>21410000</v>
      </c>
      <c r="V27" s="1310"/>
      <c r="W27" s="1310"/>
      <c r="X27" s="1310"/>
      <c r="Y27" s="1310"/>
    </row>
    <row r="28" spans="1:25" s="67" customFormat="1" ht="14.1" customHeight="1" x14ac:dyDescent="0.2">
      <c r="A28" s="268">
        <v>28</v>
      </c>
      <c r="B28" s="2295" t="s">
        <v>1046</v>
      </c>
      <c r="C28" s="1579"/>
      <c r="D28" s="1584"/>
      <c r="E28" s="1245" t="str">
        <f>IFERROR(INDEX(PY905Data,MATCH($A28,PY905Row,0),MATCH($K$6,PY905Col,0)),"")</f>
        <v/>
      </c>
      <c r="F28" s="758"/>
      <c r="G28" s="1245"/>
      <c r="H28" s="758"/>
      <c r="I28" s="1245"/>
      <c r="J28" s="758"/>
      <c r="K28" s="1245"/>
      <c r="L28" s="758"/>
      <c r="M28" s="1581">
        <f>SUM(E28:L28)</f>
        <v>0</v>
      </c>
      <c r="N28" s="758"/>
      <c r="O28" s="1245"/>
      <c r="P28" s="268"/>
      <c r="Q28" s="268"/>
      <c r="R28" s="268"/>
      <c r="S28" s="267"/>
      <c r="T28" s="1309">
        <v>22420000</v>
      </c>
      <c r="U28" s="1274">
        <v>21420000</v>
      </c>
      <c r="V28" s="1310"/>
      <c r="W28" s="1310"/>
      <c r="X28" s="1310"/>
      <c r="Y28" s="1310"/>
    </row>
    <row r="29" spans="1:25" s="67" customFormat="1" ht="14.1" customHeight="1" x14ac:dyDescent="0.2">
      <c r="A29" s="268">
        <v>29</v>
      </c>
      <c r="B29" s="2295" t="s">
        <v>1068</v>
      </c>
      <c r="C29" s="1579"/>
      <c r="D29" s="1584"/>
      <c r="E29" s="1245" t="str">
        <f t="shared" ref="E29:E43" si="2">IFERROR(INDEX(PY905Data,MATCH($A29,PY905Row,0),MATCH($K$6,PY905Col,0)),"")</f>
        <v/>
      </c>
      <c r="F29" s="758"/>
      <c r="G29" s="1245"/>
      <c r="H29" s="758"/>
      <c r="I29" s="1245"/>
      <c r="J29" s="758"/>
      <c r="K29" s="1245"/>
      <c r="L29" s="758"/>
      <c r="M29" s="1581">
        <f t="shared" ref="M29" si="3">SUM(E29:L29)</f>
        <v>0</v>
      </c>
      <c r="N29" s="758"/>
      <c r="O29" s="1245"/>
      <c r="P29" s="268"/>
      <c r="Q29" s="268"/>
      <c r="R29" s="268"/>
      <c r="S29" s="267"/>
      <c r="T29" s="2006">
        <v>22430000</v>
      </c>
      <c r="U29" s="2005">
        <v>21430000</v>
      </c>
      <c r="V29" s="1310"/>
      <c r="W29" s="1310"/>
      <c r="X29" s="1310"/>
      <c r="Y29" s="1310"/>
    </row>
    <row r="30" spans="1:25" s="67" customFormat="1" ht="14.1" customHeight="1" x14ac:dyDescent="0.2">
      <c r="A30" s="268">
        <v>11</v>
      </c>
      <c r="B30" s="2295" t="s">
        <v>1069</v>
      </c>
      <c r="C30" s="1579"/>
      <c r="D30" s="1584"/>
      <c r="E30" s="1245" t="str">
        <f t="shared" si="2"/>
        <v/>
      </c>
      <c r="F30" s="758"/>
      <c r="G30" s="1245"/>
      <c r="H30" s="758"/>
      <c r="I30" s="1245"/>
      <c r="J30" s="758"/>
      <c r="K30" s="1245"/>
      <c r="L30" s="758"/>
      <c r="M30" s="1581">
        <f t="shared" si="0"/>
        <v>0</v>
      </c>
      <c r="N30" s="758"/>
      <c r="O30" s="1245"/>
      <c r="P30" s="268"/>
      <c r="Q30" s="268"/>
      <c r="R30" s="268"/>
      <c r="S30" s="267"/>
      <c r="T30" s="1309">
        <v>22191500</v>
      </c>
      <c r="U30" s="1274">
        <v>21191500</v>
      </c>
      <c r="V30" s="1310"/>
      <c r="W30" s="1310"/>
      <c r="X30" s="1310"/>
      <c r="Y30" s="1310"/>
    </row>
    <row r="31" spans="1:25" s="67" customFormat="1" ht="14.1" customHeight="1" x14ac:dyDescent="0.2">
      <c r="A31" s="268">
        <v>12</v>
      </c>
      <c r="B31" s="2295" t="s">
        <v>1070</v>
      </c>
      <c r="C31" s="1579"/>
      <c r="D31" s="1584"/>
      <c r="E31" s="1245" t="str">
        <f t="shared" si="2"/>
        <v/>
      </c>
      <c r="F31" s="758"/>
      <c r="G31" s="1245"/>
      <c r="H31" s="758"/>
      <c r="I31" s="1245"/>
      <c r="J31" s="758"/>
      <c r="K31" s="1245"/>
      <c r="L31" s="758"/>
      <c r="M31" s="1581">
        <f t="shared" si="0"/>
        <v>0</v>
      </c>
      <c r="N31" s="758"/>
      <c r="O31" s="1245"/>
      <c r="P31" s="268"/>
      <c r="Q31" s="268"/>
      <c r="R31" s="268"/>
      <c r="S31" s="267"/>
      <c r="T31" s="1309">
        <v>22191800</v>
      </c>
      <c r="U31" s="1274">
        <v>21191800</v>
      </c>
      <c r="V31" s="1310"/>
      <c r="W31" s="1310"/>
      <c r="X31" s="1310"/>
      <c r="Y31" s="1310"/>
    </row>
    <row r="32" spans="1:25" s="67" customFormat="1" ht="14.1" customHeight="1" x14ac:dyDescent="0.2">
      <c r="A32" s="268">
        <v>13</v>
      </c>
      <c r="B32" s="2295" t="s">
        <v>1048</v>
      </c>
      <c r="C32" s="1579"/>
      <c r="D32" s="1584"/>
      <c r="E32" s="1245" t="str">
        <f t="shared" si="2"/>
        <v/>
      </c>
      <c r="F32" s="758"/>
      <c r="G32" s="1245"/>
      <c r="H32" s="758"/>
      <c r="I32" s="1245"/>
      <c r="J32" s="758"/>
      <c r="K32" s="1245"/>
      <c r="L32" s="758"/>
      <c r="M32" s="1581">
        <f t="shared" si="0"/>
        <v>0</v>
      </c>
      <c r="N32" s="758"/>
      <c r="O32" s="1245"/>
      <c r="P32" s="268"/>
      <c r="Q32" s="268"/>
      <c r="R32" s="268"/>
      <c r="S32" s="267"/>
      <c r="T32" s="1309">
        <v>22191900</v>
      </c>
      <c r="U32" s="1274">
        <v>21191900</v>
      </c>
      <c r="V32" s="1310"/>
      <c r="W32" s="1310"/>
      <c r="X32" s="1310"/>
      <c r="Y32" s="1310"/>
    </row>
    <row r="33" spans="1:25" s="67" customFormat="1" ht="14.1" customHeight="1" x14ac:dyDescent="0.2">
      <c r="A33" s="268">
        <v>25</v>
      </c>
      <c r="B33" s="2295" t="s">
        <v>1049</v>
      </c>
      <c r="C33" s="1579"/>
      <c r="D33" s="1584"/>
      <c r="E33" s="1245" t="str">
        <f t="shared" si="2"/>
        <v/>
      </c>
      <c r="F33" s="758"/>
      <c r="G33" s="1245"/>
      <c r="H33" s="758"/>
      <c r="I33" s="1245"/>
      <c r="J33" s="758"/>
      <c r="K33" s="1245"/>
      <c r="L33" s="758"/>
      <c r="M33" s="1581">
        <f t="shared" si="0"/>
        <v>0</v>
      </c>
      <c r="N33" s="758"/>
      <c r="O33" s="1245"/>
      <c r="P33" s="268"/>
      <c r="Q33" s="268"/>
      <c r="R33" s="268"/>
      <c r="S33" s="267"/>
      <c r="T33" s="1309">
        <v>22192500</v>
      </c>
      <c r="U33" s="1274">
        <v>21192500</v>
      </c>
      <c r="V33" s="1310"/>
      <c r="W33" s="1310"/>
      <c r="X33" s="1310"/>
      <c r="Y33" s="1310"/>
    </row>
    <row r="34" spans="1:25" s="67" customFormat="1" ht="14.1" customHeight="1" x14ac:dyDescent="0.2">
      <c r="A34" s="268">
        <v>14</v>
      </c>
      <c r="B34" s="2295" t="s">
        <v>1071</v>
      </c>
      <c r="C34" s="1579"/>
      <c r="D34" s="1584"/>
      <c r="E34" s="1245" t="str">
        <f t="shared" si="2"/>
        <v/>
      </c>
      <c r="F34" s="758"/>
      <c r="G34" s="1245"/>
      <c r="H34" s="758"/>
      <c r="I34" s="1245"/>
      <c r="J34" s="758"/>
      <c r="K34" s="1245"/>
      <c r="L34" s="758"/>
      <c r="M34" s="1581">
        <f t="shared" si="0"/>
        <v>0</v>
      </c>
      <c r="N34" s="758"/>
      <c r="O34" s="1585"/>
      <c r="P34" s="268"/>
      <c r="Q34" s="268"/>
      <c r="R34" s="268"/>
      <c r="S34" s="267"/>
      <c r="T34" s="1309">
        <v>22192000</v>
      </c>
      <c r="U34" s="1274">
        <v>21192000</v>
      </c>
      <c r="V34" s="1310"/>
      <c r="W34" s="1310"/>
      <c r="X34" s="1310"/>
      <c r="Y34" s="1310"/>
    </row>
    <row r="35" spans="1:25" s="67" customFormat="1" ht="14.1" customHeight="1" x14ac:dyDescent="0.2">
      <c r="A35" s="268">
        <v>15</v>
      </c>
      <c r="B35" s="2295" t="s">
        <v>1072</v>
      </c>
      <c r="C35" s="1579"/>
      <c r="D35" s="1584"/>
      <c r="E35" s="1245" t="str">
        <f t="shared" si="2"/>
        <v/>
      </c>
      <c r="F35" s="758"/>
      <c r="G35" s="1245"/>
      <c r="H35" s="758"/>
      <c r="I35" s="1245"/>
      <c r="J35" s="758"/>
      <c r="K35" s="1245"/>
      <c r="L35" s="758"/>
      <c r="M35" s="1581">
        <f t="shared" si="0"/>
        <v>0</v>
      </c>
      <c r="N35" s="758"/>
      <c r="O35" s="1585"/>
      <c r="P35" s="268"/>
      <c r="Q35" s="268"/>
      <c r="R35" s="268"/>
      <c r="S35" s="267"/>
      <c r="T35" s="1309">
        <v>22915000</v>
      </c>
      <c r="U35" s="1274">
        <v>21915000</v>
      </c>
      <c r="V35" s="1310"/>
      <c r="W35" s="1310"/>
      <c r="X35" s="1310"/>
      <c r="Y35" s="1310"/>
    </row>
    <row r="36" spans="1:25" s="67" customFormat="1" ht="14.1" customHeight="1" x14ac:dyDescent="0.2">
      <c r="A36" s="268">
        <v>21</v>
      </c>
      <c r="B36" s="2295" t="s">
        <v>1073</v>
      </c>
      <c r="C36" s="1579"/>
      <c r="D36" s="1584"/>
      <c r="E36" s="1245" t="str">
        <f t="shared" si="2"/>
        <v/>
      </c>
      <c r="F36" s="758"/>
      <c r="G36" s="1245"/>
      <c r="H36" s="758"/>
      <c r="I36" s="1245"/>
      <c r="J36" s="758"/>
      <c r="K36" s="1245"/>
      <c r="L36" s="758"/>
      <c r="M36" s="1581">
        <f t="shared" si="0"/>
        <v>0</v>
      </c>
      <c r="N36" s="758"/>
      <c r="O36" s="1585"/>
      <c r="P36" s="268"/>
      <c r="Q36" s="268"/>
      <c r="R36" s="268"/>
      <c r="S36" s="267"/>
      <c r="T36" s="1309">
        <v>22916000</v>
      </c>
      <c r="U36" s="1274">
        <v>21915100</v>
      </c>
      <c r="V36" s="1310"/>
      <c r="W36" s="1310"/>
      <c r="X36" s="1310"/>
      <c r="Y36" s="1310"/>
    </row>
    <row r="37" spans="1:25" s="67" customFormat="1" ht="14.1" customHeight="1" x14ac:dyDescent="0.2">
      <c r="A37" s="268">
        <v>16</v>
      </c>
      <c r="B37" s="2295" t="s">
        <v>1074</v>
      </c>
      <c r="C37" s="1579"/>
      <c r="D37" s="1584"/>
      <c r="E37" s="1245" t="str">
        <f t="shared" si="2"/>
        <v/>
      </c>
      <c r="F37" s="758"/>
      <c r="G37" s="1245"/>
      <c r="H37" s="758"/>
      <c r="I37" s="1245"/>
      <c r="J37" s="758"/>
      <c r="K37" s="1245"/>
      <c r="L37" s="758"/>
      <c r="M37" s="1581">
        <f t="shared" si="0"/>
        <v>0</v>
      </c>
      <c r="N37" s="758"/>
      <c r="O37" s="1585"/>
      <c r="P37" s="268"/>
      <c r="Q37" s="268"/>
      <c r="R37" s="268"/>
      <c r="S37" s="267"/>
      <c r="T37" s="1274">
        <v>22529100</v>
      </c>
      <c r="U37" s="1274">
        <v>21529100</v>
      </c>
      <c r="V37" s="1310"/>
      <c r="W37" s="1310"/>
      <c r="X37" s="1310"/>
      <c r="Y37" s="1310"/>
    </row>
    <row r="38" spans="1:25" s="67" customFormat="1" ht="14.1" customHeight="1" x14ac:dyDescent="0.25">
      <c r="A38" s="268">
        <v>17</v>
      </c>
      <c r="B38" s="2295" t="s">
        <v>1075</v>
      </c>
      <c r="C38" s="1579"/>
      <c r="D38" s="1584"/>
      <c r="E38" s="1245" t="str">
        <f t="shared" si="2"/>
        <v/>
      </c>
      <c r="F38" s="758"/>
      <c r="G38" s="1245"/>
      <c r="H38" s="758"/>
      <c r="I38" s="1245"/>
      <c r="J38" s="758"/>
      <c r="K38" s="1245"/>
      <c r="L38" s="758"/>
      <c r="M38" s="1581">
        <f t="shared" si="0"/>
        <v>0</v>
      </c>
      <c r="N38" s="758"/>
      <c r="O38" s="1585"/>
      <c r="P38" s="268"/>
      <c r="Q38" s="268"/>
      <c r="R38" s="268"/>
      <c r="S38" s="267"/>
      <c r="T38" s="1309"/>
      <c r="U38" s="1309"/>
      <c r="V38" s="1310"/>
      <c r="W38" s="1310"/>
      <c r="X38" s="1310"/>
      <c r="Y38" s="1310"/>
    </row>
    <row r="39" spans="1:25" s="67" customFormat="1" ht="25.5" customHeight="1" x14ac:dyDescent="0.2">
      <c r="A39" s="267">
        <v>18</v>
      </c>
      <c r="B39" s="2620" t="s">
        <v>1054</v>
      </c>
      <c r="C39" s="2620"/>
      <c r="D39" s="2620"/>
      <c r="E39" s="1245" t="str">
        <f t="shared" si="2"/>
        <v/>
      </c>
      <c r="F39" s="758"/>
      <c r="G39" s="1245"/>
      <c r="H39" s="758"/>
      <c r="I39" s="1245"/>
      <c r="J39" s="758"/>
      <c r="K39" s="1245"/>
      <c r="L39" s="758"/>
      <c r="M39" s="1581">
        <f t="shared" si="0"/>
        <v>0</v>
      </c>
      <c r="N39" s="758"/>
      <c r="O39" s="996"/>
      <c r="P39" s="268"/>
      <c r="Q39" s="268"/>
      <c r="R39" s="268"/>
      <c r="S39" s="268"/>
      <c r="T39" s="1309">
        <v>21910000</v>
      </c>
      <c r="U39" s="1274"/>
      <c r="V39" s="268"/>
      <c r="W39" s="268"/>
      <c r="X39" s="268"/>
      <c r="Y39" s="268"/>
    </row>
    <row r="40" spans="1:25" s="67" customFormat="1" ht="14.1" customHeight="1" x14ac:dyDescent="0.2">
      <c r="A40" s="267">
        <v>19</v>
      </c>
      <c r="B40" s="779" t="s">
        <v>1055</v>
      </c>
      <c r="C40" s="1579"/>
      <c r="D40" s="1580"/>
      <c r="E40" s="1245" t="str">
        <f t="shared" si="2"/>
        <v/>
      </c>
      <c r="F40" s="758"/>
      <c r="G40" s="1245"/>
      <c r="H40" s="758"/>
      <c r="I40" s="1245"/>
      <c r="J40" s="758"/>
      <c r="K40" s="1245"/>
      <c r="L40" s="758"/>
      <c r="M40" s="1581">
        <f t="shared" si="0"/>
        <v>0</v>
      </c>
      <c r="N40" s="758"/>
      <c r="O40" s="1588"/>
      <c r="P40" s="268"/>
      <c r="Q40" s="268"/>
      <c r="R40" s="268"/>
      <c r="S40" s="268"/>
      <c r="T40" s="1309">
        <v>21910100</v>
      </c>
      <c r="U40" s="1309"/>
      <c r="V40" s="268"/>
      <c r="W40" s="268"/>
      <c r="X40" s="268"/>
      <c r="Y40" s="268"/>
    </row>
    <row r="41" spans="1:25" s="67" customFormat="1" ht="14.1" customHeight="1" x14ac:dyDescent="0.2">
      <c r="A41" s="267">
        <v>26</v>
      </c>
      <c r="B41" s="779" t="s">
        <v>1044</v>
      </c>
      <c r="C41" s="1579"/>
      <c r="D41" s="1580"/>
      <c r="E41" s="1245" t="str">
        <f t="shared" si="2"/>
        <v/>
      </c>
      <c r="F41" s="758"/>
      <c r="G41" s="1245"/>
      <c r="H41" s="758"/>
      <c r="I41" s="1245"/>
      <c r="J41" s="758"/>
      <c r="K41" s="1245"/>
      <c r="L41" s="758"/>
      <c r="M41" s="1581">
        <f t="shared" si="0"/>
        <v>0</v>
      </c>
      <c r="N41" s="758"/>
      <c r="O41" s="1588"/>
      <c r="P41" s="268"/>
      <c r="Q41" s="268"/>
      <c r="R41" s="268"/>
      <c r="S41" s="268"/>
      <c r="T41" s="1309" t="s">
        <v>1056</v>
      </c>
      <c r="U41" s="1309"/>
      <c r="V41" s="268"/>
      <c r="W41" s="268"/>
      <c r="X41" s="268"/>
      <c r="Y41" s="268"/>
    </row>
    <row r="42" spans="1:25" s="67" customFormat="1" ht="14.1" customHeight="1" x14ac:dyDescent="0.2">
      <c r="A42" s="267">
        <v>27</v>
      </c>
      <c r="B42" s="779" t="s">
        <v>1036</v>
      </c>
      <c r="C42" s="1579"/>
      <c r="D42" s="1580"/>
      <c r="E42" s="1245" t="str">
        <f t="shared" si="2"/>
        <v/>
      </c>
      <c r="F42" s="758"/>
      <c r="G42" s="1245"/>
      <c r="H42" s="758"/>
      <c r="I42" s="1245"/>
      <c r="J42" s="758"/>
      <c r="K42" s="1245"/>
      <c r="L42" s="758"/>
      <c r="M42" s="1581">
        <f t="shared" si="0"/>
        <v>0</v>
      </c>
      <c r="N42" s="758"/>
      <c r="O42" s="1588"/>
      <c r="P42" s="268"/>
      <c r="Q42" s="268"/>
      <c r="R42" s="268"/>
      <c r="S42" s="268"/>
      <c r="T42" s="1309" t="s">
        <v>1057</v>
      </c>
      <c r="U42" s="1309"/>
      <c r="V42" s="268"/>
      <c r="W42" s="268"/>
      <c r="X42" s="268"/>
      <c r="Y42" s="268"/>
    </row>
    <row r="43" spans="1:25" s="67" customFormat="1" ht="14.1" customHeight="1" x14ac:dyDescent="0.2">
      <c r="A43" s="267">
        <v>20</v>
      </c>
      <c r="B43" s="779" t="s">
        <v>1058</v>
      </c>
      <c r="C43" s="1579"/>
      <c r="D43" s="1580"/>
      <c r="E43" s="1245" t="str">
        <f t="shared" si="2"/>
        <v/>
      </c>
      <c r="F43" s="758"/>
      <c r="G43" s="1245"/>
      <c r="H43" s="758"/>
      <c r="I43" s="1245"/>
      <c r="J43" s="758"/>
      <c r="K43" s="1245"/>
      <c r="L43" s="758"/>
      <c r="M43" s="1581">
        <f t="shared" si="0"/>
        <v>0</v>
      </c>
      <c r="N43" s="758"/>
      <c r="O43" s="1588"/>
      <c r="P43" s="268"/>
      <c r="Q43" s="268"/>
      <c r="R43" s="268"/>
      <c r="S43" s="268"/>
      <c r="T43" s="1309">
        <v>21910200</v>
      </c>
      <c r="U43" s="1309"/>
      <c r="V43" s="268"/>
      <c r="W43" s="268"/>
      <c r="X43" s="268"/>
      <c r="Y43" s="268"/>
    </row>
    <row r="44" spans="1:25" ht="21" customHeight="1" x14ac:dyDescent="0.2">
      <c r="B44" s="268" t="s">
        <v>1076</v>
      </c>
      <c r="T44" s="1309"/>
      <c r="U44" s="1309"/>
    </row>
    <row r="45" spans="1:25" ht="5.0999999999999996" customHeight="1" x14ac:dyDescent="0.2">
      <c r="T45" s="1309"/>
      <c r="U45" s="1309"/>
    </row>
    <row r="46" spans="1:25" x14ac:dyDescent="0.2">
      <c r="B46" s="403" t="s">
        <v>1077</v>
      </c>
      <c r="C46" s="166"/>
      <c r="D46" s="476"/>
      <c r="E46" s="166"/>
      <c r="F46" s="166"/>
      <c r="G46" s="166"/>
      <c r="H46" s="432"/>
      <c r="I46" s="477" t="s">
        <v>340</v>
      </c>
      <c r="J46" s="184"/>
      <c r="K46" s="2409"/>
      <c r="L46" s="184"/>
      <c r="M46" s="477" t="s">
        <v>341</v>
      </c>
      <c r="N46" s="476"/>
      <c r="O46" s="2409"/>
    </row>
    <row r="50" spans="1:3" ht="15" x14ac:dyDescent="0.2">
      <c r="A50" s="1317" t="str">
        <f ca="1">MID(CELL("filename",A1),FIND("]",CELL("filename",A1))+1,256)</f>
        <v>310</v>
      </c>
      <c r="B50" s="421" t="s">
        <v>613</v>
      </c>
      <c r="C50" s="1317"/>
    </row>
    <row r="51" spans="1:3" ht="15" x14ac:dyDescent="0.2">
      <c r="A51" s="1317" t="s">
        <v>401</v>
      </c>
      <c r="B51" s="421" t="str">
        <f t="shared" ref="B51:B60" ca="1" si="4">IF(ISNA(INDEX(ErrorTable,MATCH($A$50&amp;$A51&amp;FALSE,ErrorKey,0),6)),"",INDEX(ErrorTable,MATCH($A$50&amp;$A51&amp;FALSE,ErrorKey,0),6))</f>
        <v/>
      </c>
      <c r="C51" s="1317"/>
    </row>
    <row r="52" spans="1:3" ht="15" x14ac:dyDescent="0.2">
      <c r="A52" s="1317" t="s">
        <v>402</v>
      </c>
      <c r="B52" s="421" t="str">
        <f t="shared" ca="1" si="4"/>
        <v/>
      </c>
      <c r="C52" s="1317"/>
    </row>
    <row r="53" spans="1:3" ht="15" x14ac:dyDescent="0.2">
      <c r="A53" s="1317" t="s">
        <v>403</v>
      </c>
      <c r="B53" s="421" t="str">
        <f t="shared" ca="1" si="4"/>
        <v/>
      </c>
      <c r="C53" s="1317"/>
    </row>
    <row r="54" spans="1:3" ht="15" x14ac:dyDescent="0.2">
      <c r="A54" s="1317" t="s">
        <v>404</v>
      </c>
      <c r="B54" s="421" t="str">
        <f t="shared" ca="1" si="4"/>
        <v/>
      </c>
      <c r="C54" s="1317"/>
    </row>
    <row r="55" spans="1:3" ht="15" x14ac:dyDescent="0.2">
      <c r="A55" s="1317" t="s">
        <v>405</v>
      </c>
      <c r="B55" s="421" t="str">
        <f t="shared" ca="1" si="4"/>
        <v/>
      </c>
      <c r="C55" s="1317"/>
    </row>
    <row r="56" spans="1:3" ht="15" x14ac:dyDescent="0.2">
      <c r="A56" s="1317" t="s">
        <v>406</v>
      </c>
      <c r="B56" s="421" t="str">
        <f t="shared" ca="1" si="4"/>
        <v/>
      </c>
      <c r="C56" s="1317"/>
    </row>
    <row r="57" spans="1:3" ht="15" x14ac:dyDescent="0.2">
      <c r="A57" s="1317" t="s">
        <v>407</v>
      </c>
      <c r="B57" s="421" t="str">
        <f t="shared" ca="1" si="4"/>
        <v/>
      </c>
      <c r="C57" s="1317"/>
    </row>
    <row r="58" spans="1:3" ht="15" x14ac:dyDescent="0.2">
      <c r="A58" s="1317" t="s">
        <v>408</v>
      </c>
      <c r="B58" s="421" t="str">
        <f t="shared" ca="1" si="4"/>
        <v/>
      </c>
      <c r="C58" s="1317"/>
    </row>
    <row r="59" spans="1:3" ht="15" x14ac:dyDescent="0.2">
      <c r="A59" s="1317" t="s">
        <v>409</v>
      </c>
      <c r="B59" s="421" t="str">
        <f t="shared" ca="1" si="4"/>
        <v/>
      </c>
      <c r="C59" s="1317"/>
    </row>
    <row r="60" spans="1:3" ht="15" x14ac:dyDescent="0.2">
      <c r="A60" s="1317" t="s">
        <v>410</v>
      </c>
      <c r="B60" s="421" t="str">
        <f t="shared" ca="1" si="4"/>
        <v/>
      </c>
      <c r="C60" s="1317"/>
    </row>
  </sheetData>
  <sheetProtection algorithmName="SHA-512" hashValue="WRi+LbaU1vy0+yLahOnukNRv60JGZRlhIKeFFcXNZdJRCd53jqI0fOLFroAV5B3kvUKd+eJ+1Rn7fF/P+EEG9Q==" saltValue="AkBfDCYBgFKVYa4x1pEK8A==" spinCount="100000" sheet="1" autoFilter="0"/>
  <customSheetViews>
    <customSheetView guid="{9FCFC836-1CA5-48BF-958D-24D2EA94B219}" showGridLines="0" fitToPage="1" hiddenColumns="1" topLeftCell="B1">
      <selection activeCell="B35" sqref="A35:IV35"/>
      <pageMargins left="0" right="0" top="0" bottom="0" header="0" footer="0"/>
      <pageSetup scale="97" orientation="landscape" r:id="rId1"/>
      <headerFooter alignWithMargins="0">
        <oddFooter>&amp;R&amp;A</oddFooter>
      </headerFooter>
    </customSheetView>
    <customSheetView guid="{B08879A4-635B-4C39-9937-AC7883D562FC}" showGridLines="0" fitToPage="1" hiddenColumns="1" topLeftCell="B1">
      <selection activeCell="B35" sqref="A35:IV35"/>
      <pageMargins left="0" right="0" top="0" bottom="0" header="0" footer="0"/>
      <pageSetup scale="97" orientation="landscape" r:id="rId2"/>
      <headerFooter alignWithMargins="0">
        <oddFooter>&amp;R&amp;A</oddFooter>
      </headerFooter>
    </customSheetView>
  </customSheetViews>
  <mergeCells count="13">
    <mergeCell ref="B39:D39"/>
    <mergeCell ref="B4:O4"/>
    <mergeCell ref="K6:O6"/>
    <mergeCell ref="E7:E8"/>
    <mergeCell ref="K7:O7"/>
    <mergeCell ref="K8:O8"/>
    <mergeCell ref="K9:O9"/>
    <mergeCell ref="B22:D22"/>
    <mergeCell ref="B1:O1"/>
    <mergeCell ref="P1:P3"/>
    <mergeCell ref="B2:O2"/>
    <mergeCell ref="B3:O3"/>
    <mergeCell ref="I5:O5"/>
  </mergeCells>
  <phoneticPr fontId="18" type="noConversion"/>
  <conditionalFormatting sqref="P1:P5">
    <cfRule type="cellIs" dxfId="130" priority="1" stopIfTrue="1" operator="equal">
      <formula>"na"</formula>
    </cfRule>
  </conditionalFormatting>
  <dataValidations count="6">
    <dataValidation type="decimal" operator="lessThan" allowBlank="1" showErrorMessage="1" errorTitle="Deletions Error" error="Deletions must be entered as negative numbers." sqref="K44 K16" xr:uid="{00000000-0002-0000-0D00-000000000000}">
      <formula1>0</formula1>
    </dataValidation>
    <dataValidation type="decimal" operator="lessThanOrEqual" allowBlank="1" showInputMessage="1" showErrorMessage="1" errorTitle="Invalid data!" error="Amount must be negative." sqref="K17:K21 I22 E22 K23:K43" xr:uid="{00000000-0002-0000-0D00-000001000000}">
      <formula1>0</formula1>
    </dataValidation>
    <dataValidation type="decimal" operator="greaterThanOrEqual" allowBlank="1" showInputMessage="1" showErrorMessage="1" errorTitle="Invalid data!" error="Amount must be positive." sqref="I17:I21 K22 I23:I43" xr:uid="{00000000-0002-0000-0D00-000002000000}">
      <formula1>0</formula1>
    </dataValidation>
    <dataValidation type="textLength" operator="equal" allowBlank="1" showInputMessage="1" showErrorMessage="1" errorTitle="Invalid data!" error="GASB number must be 4 digits." sqref="D8:D9" xr:uid="{00000000-0002-0000-0D00-000003000000}">
      <formula1>4</formula1>
    </dataValidation>
    <dataValidation type="decimal" operator="equal" allowBlank="1" showInputMessage="1" showErrorMessage="1" errorTitle="Invalid Data!" error="The current portion of the net pension liability must be zero." sqref="O35" xr:uid="{00000000-0002-0000-0D00-000004000000}">
      <formula1>0</formula1>
    </dataValidation>
    <dataValidation type="decimal" operator="equal" allowBlank="1" showInputMessage="1" showErrorMessage="1" errorTitle="Invalid Data!" error="The current portion of the net OPEB liability must be zero." sqref="O36" xr:uid="{00000000-0002-0000-0D00-000005000000}">
      <formula1>0</formula1>
    </dataValidation>
  </dataValidations>
  <hyperlinks>
    <hyperlink ref="B1:O1" location="Index!A1" display="Index!A1" xr:uid="{00000000-0004-0000-0D00-000000000000}"/>
  </hyperlinks>
  <pageMargins left="0.6" right="0.6" top="0.5" bottom="0.5" header="0.3" footer="0.3"/>
  <pageSetup scale="87" orientation="landscape" r:id="rId3"/>
  <legacy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dimension ref="A1:AE106"/>
  <sheetViews>
    <sheetView showGridLines="0" topLeftCell="B1" zoomScaleNormal="100" zoomScaleSheetLayoutView="100" workbookViewId="0">
      <selection activeCell="Q42" sqref="Q42"/>
    </sheetView>
  </sheetViews>
  <sheetFormatPr defaultColWidth="9.42578125" defaultRowHeight="11.25" x14ac:dyDescent="0.2"/>
  <cols>
    <col min="1" max="1" width="0.42578125" style="240" hidden="1" customWidth="1"/>
    <col min="2" max="2" width="2.5703125" style="15" customWidth="1"/>
    <col min="3" max="3" width="6.5703125" style="15" customWidth="1"/>
    <col min="4" max="4" width="5.5703125" style="15" customWidth="1"/>
    <col min="5" max="5" width="11" style="15" customWidth="1"/>
    <col min="6" max="6" width="3.5703125" style="15" customWidth="1"/>
    <col min="7" max="7" width="18.85546875" style="15" customWidth="1"/>
    <col min="8" max="8" width="1.5703125" style="15" customWidth="1"/>
    <col min="9" max="9" width="16.5703125" style="15" customWidth="1"/>
    <col min="10" max="15" width="3.5703125" style="15" customWidth="1"/>
    <col min="16" max="16" width="2.5703125" style="15" customWidth="1"/>
    <col min="17" max="17" width="4.5703125" style="15" customWidth="1"/>
    <col min="18" max="18" width="0" style="15" hidden="1" customWidth="1"/>
    <col min="19" max="20" width="9.42578125" style="15" hidden="1" customWidth="1"/>
    <col min="21" max="22" width="9.42578125" style="15"/>
    <col min="23" max="23" width="9.42578125" style="1316"/>
    <col min="24" max="16384" width="9.42578125" style="15"/>
  </cols>
  <sheetData>
    <row r="1" spans="1:31" s="12" customFormat="1" ht="15" customHeight="1" x14ac:dyDescent="0.25">
      <c r="A1" s="239"/>
      <c r="B1" s="2553" t="str">
        <f>+Index!$A$1</f>
        <v xml:space="preserve">                                                               Office of the State Controller                                                                </v>
      </c>
      <c r="C1" s="2553"/>
      <c r="D1" s="2553"/>
      <c r="E1" s="2553"/>
      <c r="F1" s="2553"/>
      <c r="G1" s="2553"/>
      <c r="H1" s="2553"/>
      <c r="I1" s="2553"/>
      <c r="J1" s="2553"/>
      <c r="K1" s="2553"/>
      <c r="L1" s="2553"/>
      <c r="M1" s="2553"/>
      <c r="N1" s="2553"/>
      <c r="O1" s="2553"/>
      <c r="P1" s="2553"/>
      <c r="Q1" s="2626" t="str">
        <f>IF(Index!$B$35="na","NA","")</f>
        <v/>
      </c>
      <c r="W1" s="1314"/>
      <c r="AE1" s="13"/>
    </row>
    <row r="2" spans="1:31" s="12" customFormat="1" ht="15" customHeight="1" x14ac:dyDescent="0.25">
      <c r="A2" s="239"/>
      <c r="B2" s="2624" t="str">
        <f>+Index!$A$2</f>
        <v>2024 ACFR Worksheets</v>
      </c>
      <c r="C2" s="2624"/>
      <c r="D2" s="2624"/>
      <c r="E2" s="2624"/>
      <c r="F2" s="2624"/>
      <c r="G2" s="2624"/>
      <c r="H2" s="2624"/>
      <c r="I2" s="2624"/>
      <c r="J2" s="2624"/>
      <c r="K2" s="2624"/>
      <c r="L2" s="2624"/>
      <c r="M2" s="2624"/>
      <c r="N2" s="2624"/>
      <c r="O2" s="2624"/>
      <c r="P2" s="2624"/>
      <c r="Q2" s="2626"/>
      <c r="W2" s="1314"/>
    </row>
    <row r="3" spans="1:31" s="12" customFormat="1" ht="15" customHeight="1" x14ac:dyDescent="0.25">
      <c r="A3" s="239"/>
      <c r="B3" s="2624" t="s">
        <v>1078</v>
      </c>
      <c r="C3" s="2630"/>
      <c r="D3" s="2630"/>
      <c r="E3" s="2630"/>
      <c r="F3" s="2630"/>
      <c r="G3" s="2630"/>
      <c r="H3" s="2630"/>
      <c r="I3" s="2630"/>
      <c r="J3" s="2630"/>
      <c r="K3" s="2630"/>
      <c r="L3" s="2630"/>
      <c r="M3" s="2630"/>
      <c r="N3" s="2630"/>
      <c r="O3" s="2630"/>
      <c r="P3" s="2630"/>
      <c r="Q3" s="2626"/>
      <c r="W3" s="1314"/>
    </row>
    <row r="4" spans="1:31" s="12" customFormat="1" ht="15" customHeight="1" x14ac:dyDescent="0.25">
      <c r="A4" s="239"/>
      <c r="B4" s="2624" t="s">
        <v>1079</v>
      </c>
      <c r="C4" s="2624"/>
      <c r="D4" s="2624"/>
      <c r="E4" s="2624"/>
      <c r="F4" s="2624"/>
      <c r="G4" s="2624"/>
      <c r="H4" s="2624"/>
      <c r="I4" s="2624"/>
      <c r="J4" s="2624"/>
      <c r="K4" s="2624"/>
      <c r="L4" s="2624"/>
      <c r="M4" s="2624"/>
      <c r="N4" s="2624"/>
      <c r="O4" s="2624"/>
      <c r="P4" s="2624"/>
      <c r="Q4" s="263"/>
      <c r="W4" s="1314"/>
    </row>
    <row r="5" spans="1:31" s="12" customFormat="1" ht="15" customHeight="1" x14ac:dyDescent="0.25">
      <c r="A5" s="239"/>
      <c r="B5" s="2624" t="s">
        <v>1080</v>
      </c>
      <c r="C5" s="2624"/>
      <c r="D5" s="2624"/>
      <c r="E5" s="2624"/>
      <c r="F5" s="2624"/>
      <c r="G5" s="2624"/>
      <c r="H5" s="2624"/>
      <c r="I5" s="2624"/>
      <c r="J5" s="2624"/>
      <c r="K5" s="2624"/>
      <c r="L5" s="2624"/>
      <c r="M5" s="2624"/>
      <c r="N5" s="2624"/>
      <c r="O5" s="2624"/>
      <c r="P5" s="2624"/>
      <c r="Q5" s="263"/>
      <c r="W5" s="1314"/>
    </row>
    <row r="6" spans="1:31" s="67" customFormat="1" ht="12" customHeight="1" x14ac:dyDescent="0.2">
      <c r="A6" s="2365"/>
      <c r="B6" s="268"/>
      <c r="C6" s="268"/>
      <c r="D6" s="268"/>
      <c r="E6" s="268"/>
      <c r="F6" s="268"/>
      <c r="G6" s="2625" t="s">
        <v>1081</v>
      </c>
      <c r="H6" s="2625"/>
      <c r="I6" s="2625"/>
      <c r="J6" s="2625"/>
      <c r="K6" s="2625"/>
      <c r="L6" s="2625"/>
      <c r="M6" s="2625"/>
      <c r="N6" s="2625"/>
      <c r="O6" s="2625"/>
      <c r="P6" s="2625"/>
      <c r="Q6" s="268"/>
      <c r="R6" s="268"/>
      <c r="S6" s="268"/>
      <c r="T6" s="268"/>
      <c r="U6" s="268"/>
      <c r="V6" s="268"/>
      <c r="W6" s="1309"/>
      <c r="X6" s="268"/>
      <c r="Y6" s="268"/>
      <c r="Z6" s="268"/>
      <c r="AA6" s="268"/>
      <c r="AB6" s="268"/>
      <c r="AC6" s="268"/>
      <c r="AD6" s="268"/>
      <c r="AE6" s="268"/>
    </row>
    <row r="7" spans="1:31" s="67" customFormat="1" ht="12" customHeight="1" x14ac:dyDescent="0.2">
      <c r="A7" s="2365"/>
      <c r="B7" s="268"/>
      <c r="C7" s="268"/>
      <c r="D7" s="268"/>
      <c r="E7" s="267"/>
      <c r="F7" s="268"/>
      <c r="G7" s="268"/>
      <c r="H7" s="1575" t="s">
        <v>318</v>
      </c>
      <c r="I7" s="2596" t="str">
        <f>+Index!$E$10</f>
        <v>01</v>
      </c>
      <c r="J7" s="2596"/>
      <c r="K7" s="2596"/>
      <c r="L7" s="2596"/>
      <c r="M7" s="2596"/>
      <c r="N7" s="2596"/>
      <c r="O7" s="2596"/>
      <c r="P7" s="2596"/>
      <c r="Q7" s="21"/>
      <c r="R7" s="268"/>
      <c r="S7" s="268"/>
      <c r="T7" s="268"/>
      <c r="U7" s="268"/>
      <c r="V7" s="268"/>
      <c r="W7" s="1309"/>
      <c r="X7" s="268"/>
      <c r="Y7" s="268"/>
      <c r="Z7" s="268"/>
      <c r="AA7" s="268"/>
      <c r="AB7" s="268"/>
      <c r="AC7" s="268"/>
      <c r="AD7" s="268"/>
      <c r="AE7" s="268"/>
    </row>
    <row r="8" spans="1:31" s="67" customFormat="1" ht="12" customHeight="1" x14ac:dyDescent="0.2">
      <c r="A8" s="2365"/>
      <c r="B8" s="268"/>
      <c r="C8" s="1315" t="s">
        <v>987</v>
      </c>
      <c r="D8" s="268"/>
      <c r="E8" s="1373" t="s">
        <v>885</v>
      </c>
      <c r="F8" s="268"/>
      <c r="G8" s="268"/>
      <c r="H8" s="1575" t="s">
        <v>319</v>
      </c>
      <c r="I8" s="2628" t="str">
        <f>+Index!$E$11</f>
        <v>North Carolina General Assembly</v>
      </c>
      <c r="J8" s="2628"/>
      <c r="K8" s="2628"/>
      <c r="L8" s="2628"/>
      <c r="M8" s="2628"/>
      <c r="N8" s="2628"/>
      <c r="O8" s="2628"/>
      <c r="P8" s="2628"/>
      <c r="Q8" s="21"/>
      <c r="R8" s="268"/>
      <c r="S8" s="268"/>
      <c r="T8" s="268"/>
      <c r="U8" s="268"/>
      <c r="V8" s="268"/>
      <c r="W8" s="1309"/>
      <c r="X8" s="268"/>
      <c r="Y8" s="268"/>
      <c r="Z8" s="268"/>
      <c r="AA8" s="268"/>
      <c r="AB8" s="268"/>
      <c r="AC8" s="268"/>
      <c r="AD8" s="268"/>
      <c r="AE8" s="268"/>
    </row>
    <row r="9" spans="1:31" s="67" customFormat="1" ht="12" customHeight="1" x14ac:dyDescent="0.2">
      <c r="A9" s="2365"/>
      <c r="B9" s="268" t="s">
        <v>545</v>
      </c>
      <c r="C9" s="268"/>
      <c r="D9" s="268"/>
      <c r="E9" s="1590" t="s">
        <v>706</v>
      </c>
      <c r="F9" s="268"/>
      <c r="G9" s="268"/>
      <c r="H9" s="1575" t="s">
        <v>320</v>
      </c>
      <c r="I9" s="2629" t="str">
        <f>CONCATENATE(Index!$E$12," ",Index!$E$14)</f>
        <v xml:space="preserve"> </v>
      </c>
      <c r="J9" s="2629"/>
      <c r="K9" s="2629"/>
      <c r="L9" s="2629"/>
      <c r="M9" s="2629"/>
      <c r="N9" s="2629"/>
      <c r="O9" s="2629"/>
      <c r="P9" s="2629"/>
      <c r="Q9" s="21"/>
      <c r="R9" s="268"/>
      <c r="S9" s="268"/>
      <c r="T9" s="268"/>
      <c r="U9" s="268"/>
      <c r="V9" s="268"/>
      <c r="W9" s="1309"/>
      <c r="X9" s="268"/>
      <c r="Y9" s="268"/>
      <c r="Z9" s="268"/>
      <c r="AA9" s="268"/>
      <c r="AB9" s="268"/>
      <c r="AC9" s="268"/>
      <c r="AD9" s="268"/>
      <c r="AE9" s="268"/>
    </row>
    <row r="10" spans="1:31" s="67" customFormat="1" ht="12" customHeight="1" x14ac:dyDescent="0.2">
      <c r="A10" s="2365"/>
      <c r="B10" s="268"/>
      <c r="C10" s="268"/>
      <c r="D10" s="268"/>
      <c r="E10" s="267"/>
      <c r="F10" s="268"/>
      <c r="G10" s="268"/>
      <c r="H10" s="1575" t="s">
        <v>168</v>
      </c>
      <c r="I10" s="2629">
        <f>+Index!$E$13</f>
        <v>0</v>
      </c>
      <c r="J10" s="2629"/>
      <c r="K10" s="2629"/>
      <c r="L10" s="2629"/>
      <c r="M10" s="2629"/>
      <c r="N10" s="2629"/>
      <c r="O10" s="2629"/>
      <c r="P10" s="2629"/>
      <c r="Q10" s="21"/>
      <c r="R10" s="268"/>
      <c r="S10" s="268"/>
      <c r="T10" s="268"/>
      <c r="U10" s="268"/>
      <c r="V10" s="268"/>
      <c r="W10" s="1309"/>
      <c r="X10" s="268"/>
      <c r="Y10" s="268"/>
      <c r="Z10" s="268"/>
      <c r="AA10" s="268"/>
      <c r="AB10" s="268"/>
      <c r="AC10" s="268"/>
      <c r="AD10" s="268"/>
      <c r="AE10" s="268"/>
    </row>
    <row r="11" spans="1:31" s="67" customFormat="1" ht="5.25" customHeight="1" thickBot="1" x14ac:dyDescent="0.25">
      <c r="A11" s="2365"/>
      <c r="B11" s="1577"/>
      <c r="C11" s="1577"/>
      <c r="D11" s="1577"/>
      <c r="E11" s="1577"/>
      <c r="F11" s="1577"/>
      <c r="G11" s="1577"/>
      <c r="H11" s="1577"/>
      <c r="I11" s="1577"/>
      <c r="J11" s="1577"/>
      <c r="K11" s="1577"/>
      <c r="L11" s="1577"/>
      <c r="M11" s="1577"/>
      <c r="N11" s="1577"/>
      <c r="O11" s="1577"/>
      <c r="P11" s="1577"/>
      <c r="Q11" s="268"/>
      <c r="R11" s="268"/>
      <c r="S11" s="268"/>
      <c r="T11" s="268"/>
      <c r="U11" s="268"/>
      <c r="V11" s="268"/>
      <c r="W11" s="1309"/>
      <c r="X11" s="268"/>
      <c r="Y11" s="268"/>
      <c r="Z11" s="268"/>
      <c r="AA11" s="268"/>
      <c r="AB11" s="268"/>
      <c r="AC11" s="268"/>
      <c r="AD11" s="268"/>
      <c r="AE11" s="268"/>
    </row>
    <row r="12" spans="1:31" s="67" customFormat="1" ht="5.25" customHeight="1" x14ac:dyDescent="0.2">
      <c r="A12" s="2365"/>
      <c r="B12" s="268"/>
      <c r="C12" s="268"/>
      <c r="D12" s="268"/>
      <c r="E12" s="268"/>
      <c r="F12" s="268"/>
      <c r="G12" s="268"/>
      <c r="H12" s="268"/>
      <c r="I12" s="268"/>
      <c r="J12" s="268"/>
      <c r="K12" s="268"/>
      <c r="L12" s="268"/>
      <c r="M12" s="268"/>
      <c r="N12" s="268"/>
      <c r="O12" s="268"/>
      <c r="P12" s="268"/>
      <c r="Q12" s="268"/>
      <c r="R12" s="268"/>
      <c r="S12" s="268"/>
      <c r="T12" s="268"/>
      <c r="U12" s="268"/>
      <c r="V12" s="268"/>
      <c r="W12" s="1309"/>
      <c r="X12" s="268"/>
      <c r="Y12" s="268"/>
      <c r="Z12" s="268"/>
      <c r="AA12" s="268"/>
      <c r="AB12" s="268"/>
      <c r="AC12" s="268"/>
      <c r="AD12" s="268"/>
      <c r="AE12" s="268"/>
    </row>
    <row r="13" spans="1:31" s="67" customFormat="1" ht="12" customHeight="1" x14ac:dyDescent="0.2">
      <c r="A13" s="2365">
        <f>SUM(A15:A23)</f>
        <v>0</v>
      </c>
      <c r="B13" s="69" t="s">
        <v>1082</v>
      </c>
      <c r="C13" s="138"/>
      <c r="D13" s="138"/>
      <c r="E13" s="138"/>
      <c r="F13" s="138"/>
      <c r="G13" s="138"/>
      <c r="H13" s="138"/>
      <c r="I13" s="138"/>
      <c r="J13" s="138"/>
      <c r="K13" s="138"/>
      <c r="L13" s="138"/>
      <c r="M13" s="138"/>
      <c r="N13" s="138"/>
      <c r="O13" s="138"/>
      <c r="P13" s="138"/>
      <c r="Q13" s="138"/>
      <c r="R13" s="138"/>
      <c r="S13" s="138"/>
      <c r="T13" s="268"/>
      <c r="U13" s="268"/>
      <c r="V13" s="268"/>
      <c r="W13" s="1309"/>
      <c r="X13" s="1315" t="s">
        <v>1083</v>
      </c>
      <c r="Y13" s="268"/>
      <c r="Z13" s="268"/>
      <c r="AA13" s="268"/>
      <c r="AB13" s="268"/>
      <c r="AC13" s="268"/>
      <c r="AD13" s="268"/>
      <c r="AE13" s="268"/>
    </row>
    <row r="14" spans="1:31" s="67" customFormat="1" ht="6" customHeight="1" thickBot="1" x14ac:dyDescent="0.25">
      <c r="A14" s="2365"/>
      <c r="B14" s="237"/>
      <c r="C14" s="237"/>
      <c r="D14" s="138"/>
      <c r="E14" s="138"/>
      <c r="F14" s="138"/>
      <c r="G14" s="138"/>
      <c r="H14" s="138"/>
      <c r="I14" s="138"/>
      <c r="J14" s="138"/>
      <c r="K14" s="138"/>
      <c r="L14" s="138"/>
      <c r="M14" s="138"/>
      <c r="N14" s="138"/>
      <c r="O14" s="138"/>
      <c r="P14" s="138"/>
      <c r="Q14" s="138"/>
      <c r="R14" s="138"/>
      <c r="S14" s="138"/>
      <c r="T14" s="268"/>
      <c r="U14" s="268"/>
      <c r="V14" s="268"/>
      <c r="W14" s="1309"/>
      <c r="X14" s="268"/>
      <c r="Y14" s="268"/>
      <c r="Z14" s="268"/>
      <c r="AA14" s="268"/>
      <c r="AB14" s="268"/>
      <c r="AC14" s="268"/>
      <c r="AD14" s="268"/>
      <c r="AE14" s="268"/>
    </row>
    <row r="15" spans="1:31" s="67" customFormat="1" ht="13.35" customHeight="1" thickBot="1" x14ac:dyDescent="0.25">
      <c r="A15" s="2365" t="str">
        <f>IF(ISBLANK(D15)," ",C15)</f>
        <v xml:space="preserve"> </v>
      </c>
      <c r="B15" s="138"/>
      <c r="C15" s="171"/>
      <c r="D15" s="952"/>
      <c r="E15" s="352" t="s">
        <v>1084</v>
      </c>
      <c r="F15" s="138"/>
      <c r="G15" s="138"/>
      <c r="H15" s="166" t="s">
        <v>1085</v>
      </c>
      <c r="I15" s="268"/>
      <c r="J15" s="138"/>
      <c r="K15" s="138"/>
      <c r="L15" s="138"/>
      <c r="M15" s="138"/>
      <c r="N15" s="138"/>
      <c r="O15" s="138"/>
      <c r="P15" s="138"/>
      <c r="Q15" s="138"/>
      <c r="R15" s="138"/>
      <c r="S15" s="138"/>
      <c r="T15" s="268"/>
      <c r="U15" s="268"/>
      <c r="V15" s="268"/>
      <c r="W15" s="1299" t="str">
        <f>IF(D15="X","22610100","")</f>
        <v/>
      </c>
      <c r="X15" s="1985" t="str">
        <f>IF(D15="X","GenObgBondPayFromTo","")</f>
        <v/>
      </c>
      <c r="Y15" s="1315" t="str">
        <f>IF(D15="X","GenObgBondPayYear","")</f>
        <v/>
      </c>
      <c r="Z15" s="268"/>
      <c r="AA15" s="268"/>
      <c r="AB15" s="268"/>
      <c r="AC15" s="268"/>
      <c r="AD15" s="268"/>
      <c r="AE15" s="268"/>
    </row>
    <row r="16" spans="1:31" s="67" customFormat="1" ht="6" customHeight="1" thickBot="1" x14ac:dyDescent="0.25">
      <c r="A16" s="2365"/>
      <c r="B16" s="138"/>
      <c r="C16" s="171"/>
      <c r="D16" s="138"/>
      <c r="E16" s="166"/>
      <c r="F16" s="138"/>
      <c r="G16" s="138"/>
      <c r="H16" s="138"/>
      <c r="I16" s="138"/>
      <c r="J16" s="138"/>
      <c r="K16" s="138"/>
      <c r="L16" s="138"/>
      <c r="M16" s="138"/>
      <c r="N16" s="138"/>
      <c r="O16" s="138"/>
      <c r="P16" s="138"/>
      <c r="Q16" s="138"/>
      <c r="R16" s="138"/>
      <c r="S16" s="138"/>
      <c r="T16" s="268"/>
      <c r="U16" s="268"/>
      <c r="V16" s="268"/>
      <c r="W16" s="1299"/>
      <c r="X16" s="1985"/>
      <c r="Y16" s="1985"/>
      <c r="Z16" s="138"/>
      <c r="AA16" s="268"/>
      <c r="AB16" s="268"/>
      <c r="AC16" s="268"/>
      <c r="AD16" s="268"/>
      <c r="AE16" s="268"/>
    </row>
    <row r="17" spans="1:26" s="67" customFormat="1" ht="13.35" customHeight="1" thickBot="1" x14ac:dyDescent="0.25">
      <c r="A17" s="2365" t="str">
        <f>IF(ISBLANK(D17)," ",C17)</f>
        <v xml:space="preserve"> </v>
      </c>
      <c r="B17" s="138"/>
      <c r="C17" s="171"/>
      <c r="D17" s="952"/>
      <c r="E17" s="352" t="s">
        <v>1086</v>
      </c>
      <c r="F17" s="138"/>
      <c r="G17" s="138"/>
      <c r="H17" s="138"/>
      <c r="I17" s="138"/>
      <c r="J17" s="138"/>
      <c r="K17" s="138"/>
      <c r="L17" s="138"/>
      <c r="M17" s="138"/>
      <c r="N17" s="138"/>
      <c r="O17" s="138"/>
      <c r="P17" s="138"/>
      <c r="Q17" s="138"/>
      <c r="R17" s="138"/>
      <c r="S17" s="138"/>
      <c r="T17" s="268"/>
      <c r="U17" s="268"/>
      <c r="V17" s="268"/>
      <c r="W17" s="1299" t="str">
        <f>IF(D17="X","22610000","")</f>
        <v/>
      </c>
      <c r="X17" s="1985" t="str">
        <f>IF(D17="X","RevBondPayFromTo","")</f>
        <v/>
      </c>
      <c r="Y17" s="1985" t="str">
        <f>IF(D17="X","RevBondPayYear","")</f>
        <v/>
      </c>
      <c r="Z17" s="138"/>
    </row>
    <row r="18" spans="1:26" s="67" customFormat="1" ht="6" customHeight="1" thickBot="1" x14ac:dyDescent="0.25">
      <c r="A18" s="2365"/>
      <c r="B18" s="138"/>
      <c r="C18" s="171"/>
      <c r="D18" s="138"/>
      <c r="E18" s="166"/>
      <c r="F18" s="138"/>
      <c r="G18" s="138"/>
      <c r="H18" s="138"/>
      <c r="I18" s="138"/>
      <c r="J18" s="138"/>
      <c r="K18" s="138"/>
      <c r="L18" s="138"/>
      <c r="M18" s="138"/>
      <c r="N18" s="138"/>
      <c r="O18" s="138"/>
      <c r="P18" s="138"/>
      <c r="Q18" s="138"/>
      <c r="R18" s="138"/>
      <c r="S18" s="138"/>
      <c r="T18" s="268"/>
      <c r="U18" s="268"/>
      <c r="V18" s="268"/>
      <c r="W18" s="1299"/>
      <c r="X18" s="1985"/>
      <c r="Y18" s="1985"/>
      <c r="Z18" s="138"/>
    </row>
    <row r="19" spans="1:26" s="67" customFormat="1" ht="13.35" customHeight="1" thickBot="1" x14ac:dyDescent="0.25">
      <c r="A19" s="2365" t="str">
        <f>IF(ISBLANK(D19)," ",C19)</f>
        <v xml:space="preserve"> </v>
      </c>
      <c r="B19" s="138"/>
      <c r="C19" s="171"/>
      <c r="D19" s="952"/>
      <c r="E19" s="352" t="s">
        <v>1087</v>
      </c>
      <c r="F19" s="138"/>
      <c r="G19" s="268"/>
      <c r="H19" s="138"/>
      <c r="I19" s="138"/>
      <c r="J19" s="138"/>
      <c r="K19" s="138"/>
      <c r="L19" s="138"/>
      <c r="M19" s="138"/>
      <c r="N19" s="138"/>
      <c r="O19" s="138"/>
      <c r="P19" s="138"/>
      <c r="Q19" s="138"/>
      <c r="R19" s="138"/>
      <c r="S19" s="138"/>
      <c r="T19" s="268"/>
      <c r="U19" s="268"/>
      <c r="V19" s="268"/>
      <c r="W19" s="1299" t="str">
        <f>IF(D19="X","22610300","")</f>
        <v/>
      </c>
      <c r="X19" s="1315" t="str">
        <f>IF(D19="X","GARVEEBondFromTo","")</f>
        <v/>
      </c>
      <c r="Y19" s="1985" t="str">
        <f>IF(D19="X","GARVEEBondYear","")</f>
        <v/>
      </c>
      <c r="Z19" s="138"/>
    </row>
    <row r="20" spans="1:26" s="67" customFormat="1" ht="5.0999999999999996" customHeight="1" thickBot="1" x14ac:dyDescent="0.25">
      <c r="A20" s="2365"/>
      <c r="B20" s="138"/>
      <c r="C20" s="171"/>
      <c r="D20" s="138"/>
      <c r="E20" s="166"/>
      <c r="F20" s="138"/>
      <c r="G20" s="138"/>
      <c r="H20" s="138"/>
      <c r="I20" s="138"/>
      <c r="J20" s="138"/>
      <c r="K20" s="138"/>
      <c r="L20" s="138"/>
      <c r="M20" s="138"/>
      <c r="N20" s="138"/>
      <c r="O20" s="138"/>
      <c r="P20" s="138"/>
      <c r="Q20" s="138"/>
      <c r="R20" s="138"/>
      <c r="S20" s="138"/>
      <c r="T20" s="268"/>
      <c r="U20" s="268"/>
      <c r="V20" s="268"/>
      <c r="W20" s="1299"/>
      <c r="X20" s="1985"/>
      <c r="Y20" s="1985"/>
      <c r="Z20" s="138"/>
    </row>
    <row r="21" spans="1:26" s="67" customFormat="1" ht="13.35" customHeight="1" thickBot="1" x14ac:dyDescent="0.25">
      <c r="A21" s="2365"/>
      <c r="B21" s="138"/>
      <c r="C21" s="171"/>
      <c r="D21" s="952"/>
      <c r="E21" s="352" t="s">
        <v>1088</v>
      </c>
      <c r="F21" s="138"/>
      <c r="G21" s="138"/>
      <c r="H21" s="138"/>
      <c r="I21" s="138"/>
      <c r="J21" s="138"/>
      <c r="K21" s="138"/>
      <c r="L21" s="138"/>
      <c r="M21" s="138"/>
      <c r="N21" s="138"/>
      <c r="O21" s="138"/>
      <c r="P21" s="138"/>
      <c r="Q21" s="138"/>
      <c r="R21" s="138"/>
      <c r="S21" s="138"/>
      <c r="T21" s="268"/>
      <c r="U21" s="268"/>
      <c r="V21" s="268"/>
      <c r="W21" s="1299" t="str">
        <f>IF(D21="X","22610500","")</f>
        <v/>
      </c>
      <c r="X21" s="1985" t="str">
        <f>IF(D21="X","CertPartPayFromTo","")</f>
        <v/>
      </c>
      <c r="Y21" s="1985" t="str">
        <f>IF(D21="X","CertPartPayYear","")</f>
        <v/>
      </c>
      <c r="Z21" s="138"/>
    </row>
    <row r="22" spans="1:26" s="67" customFormat="1" ht="6" customHeight="1" thickBot="1" x14ac:dyDescent="0.25">
      <c r="A22" s="2365"/>
      <c r="B22" s="138"/>
      <c r="C22" s="171"/>
      <c r="D22" s="138"/>
      <c r="E22" s="166"/>
      <c r="F22" s="138"/>
      <c r="G22" s="138"/>
      <c r="H22" s="138"/>
      <c r="I22" s="138"/>
      <c r="J22" s="138"/>
      <c r="K22" s="138"/>
      <c r="L22" s="138"/>
      <c r="M22" s="138"/>
      <c r="N22" s="138"/>
      <c r="O22" s="138"/>
      <c r="P22" s="138"/>
      <c r="Q22" s="138"/>
      <c r="R22" s="138"/>
      <c r="S22" s="138"/>
      <c r="T22" s="268"/>
      <c r="U22" s="268"/>
      <c r="V22" s="268"/>
      <c r="W22" s="1299"/>
      <c r="X22" s="1985"/>
      <c r="Y22" s="1985"/>
      <c r="Z22" s="138"/>
    </row>
    <row r="23" spans="1:26" s="67" customFormat="1" ht="13.35" customHeight="1" thickBot="1" x14ac:dyDescent="0.25">
      <c r="A23" s="2365" t="str">
        <f>IF(ISBLANK(D23)," ",C23)</f>
        <v xml:space="preserve"> </v>
      </c>
      <c r="B23" s="138"/>
      <c r="C23" s="171"/>
      <c r="D23" s="952"/>
      <c r="E23" s="352" t="s">
        <v>1089</v>
      </c>
      <c r="F23" s="138"/>
      <c r="G23" s="138"/>
      <c r="H23" s="138"/>
      <c r="I23" s="138"/>
      <c r="J23" s="138"/>
      <c r="K23" s="138"/>
      <c r="L23" s="138"/>
      <c r="M23" s="138"/>
      <c r="N23" s="138"/>
      <c r="O23" s="138"/>
      <c r="P23" s="138"/>
      <c r="Q23" s="138"/>
      <c r="R23" s="138"/>
      <c r="S23" s="138"/>
      <c r="T23" s="268"/>
      <c r="U23" s="268"/>
      <c r="V23" s="268"/>
      <c r="W23" s="1299" t="str">
        <f>IF(D23="X","22610600","")</f>
        <v/>
      </c>
      <c r="X23" s="1985" t="str">
        <f>IF(D23="X","LimObBondPayFromTo","")</f>
        <v/>
      </c>
      <c r="Y23" s="1985" t="str">
        <f>IF(D23="X","LimObBondPayYear","")</f>
        <v/>
      </c>
      <c r="Z23" s="138"/>
    </row>
    <row r="24" spans="1:26" s="67" customFormat="1" ht="6" customHeight="1" thickBot="1" x14ac:dyDescent="0.25">
      <c r="A24" s="2365"/>
      <c r="B24" s="138"/>
      <c r="C24" s="138"/>
      <c r="D24" s="138"/>
      <c r="E24" s="138"/>
      <c r="F24" s="138"/>
      <c r="G24" s="2300"/>
      <c r="H24" s="2300"/>
      <c r="I24" s="2300"/>
      <c r="J24" s="138"/>
      <c r="K24" s="138"/>
      <c r="L24" s="138"/>
      <c r="M24" s="138"/>
      <c r="N24" s="138"/>
      <c r="O24" s="138"/>
      <c r="P24" s="138"/>
      <c r="Q24" s="138"/>
      <c r="R24" s="138"/>
      <c r="S24" s="138"/>
      <c r="T24" s="268"/>
      <c r="U24" s="268"/>
      <c r="V24" s="268"/>
      <c r="W24" s="1299"/>
      <c r="X24" s="1315"/>
      <c r="Y24" s="1315"/>
      <c r="Z24" s="268"/>
    </row>
    <row r="25" spans="1:26" s="67" customFormat="1" ht="12.75" customHeight="1" thickBot="1" x14ac:dyDescent="0.25">
      <c r="A25" s="2365"/>
      <c r="B25" s="138"/>
      <c r="C25" s="171"/>
      <c r="D25" s="952"/>
      <c r="E25" s="352" t="s">
        <v>1090</v>
      </c>
      <c r="F25" s="138"/>
      <c r="G25" s="138"/>
      <c r="H25" s="138"/>
      <c r="I25" s="2300"/>
      <c r="J25" s="138"/>
      <c r="K25" s="138"/>
      <c r="L25" s="138"/>
      <c r="M25" s="138"/>
      <c r="N25" s="138"/>
      <c r="O25" s="138"/>
      <c r="P25" s="138"/>
      <c r="Q25" s="138"/>
      <c r="R25" s="138"/>
      <c r="S25" s="138"/>
      <c r="T25" s="268"/>
      <c r="U25" s="268"/>
      <c r="V25" s="268"/>
      <c r="W25" s="1299" t="str">
        <f>IF(D25="X","22320000","")</f>
        <v/>
      </c>
      <c r="X25" s="1315" t="str">
        <f>IF(D25="X","NoteDirectBorrFromTo","")</f>
        <v/>
      </c>
      <c r="Y25" s="1315" t="str">
        <f>IF(D25="X","NoteDirectBorrYear","")</f>
        <v/>
      </c>
      <c r="Z25" s="268"/>
    </row>
    <row r="26" spans="1:26" s="67" customFormat="1" ht="6" customHeight="1" thickBot="1" x14ac:dyDescent="0.25">
      <c r="A26" s="2365"/>
      <c r="B26" s="138"/>
      <c r="C26" s="171"/>
      <c r="D26" s="2333"/>
      <c r="E26" s="352"/>
      <c r="F26" s="138"/>
      <c r="G26" s="138"/>
      <c r="H26" s="138"/>
      <c r="I26" s="2300"/>
      <c r="J26" s="138"/>
      <c r="K26" s="138"/>
      <c r="L26" s="138"/>
      <c r="M26" s="138"/>
      <c r="N26" s="138"/>
      <c r="O26" s="138"/>
      <c r="P26" s="138"/>
      <c r="Q26" s="138"/>
      <c r="R26" s="138"/>
      <c r="S26" s="138"/>
      <c r="T26" s="268"/>
      <c r="U26" s="268"/>
      <c r="V26" s="268"/>
      <c r="W26" s="1309"/>
      <c r="X26" s="1315"/>
      <c r="Y26" s="1315"/>
      <c r="Z26" s="268"/>
    </row>
    <row r="27" spans="1:26" s="67" customFormat="1" ht="12.75" customHeight="1" thickBot="1" x14ac:dyDescent="0.25">
      <c r="A27" s="2365"/>
      <c r="B27" s="138"/>
      <c r="C27" s="171"/>
      <c r="D27" s="952"/>
      <c r="E27" s="352" t="s">
        <v>1091</v>
      </c>
      <c r="F27" s="138"/>
      <c r="G27" s="138"/>
      <c r="H27" s="138"/>
      <c r="I27" s="2300"/>
      <c r="J27" s="138"/>
      <c r="K27" s="138"/>
      <c r="L27" s="138"/>
      <c r="M27" s="138"/>
      <c r="N27" s="138"/>
      <c r="O27" s="138"/>
      <c r="P27" s="138"/>
      <c r="Q27" s="138"/>
      <c r="R27" s="138"/>
      <c r="S27" s="138"/>
      <c r="T27" s="268"/>
      <c r="U27" s="268"/>
      <c r="V27" s="268"/>
      <c r="W27" s="1309" t="str">
        <f>IF(D27="X","22610400","")</f>
        <v/>
      </c>
      <c r="X27" s="1315" t="str">
        <f>IF(D27="X","DirectPlaceFromTo","")</f>
        <v/>
      </c>
      <c r="Y27" s="1315" t="str">
        <f>IF(D27="X","DirectPlaceYear","")</f>
        <v/>
      </c>
      <c r="Z27" s="268"/>
    </row>
    <row r="28" spans="1:26" s="268" customFormat="1" ht="12.75" customHeight="1" x14ac:dyDescent="0.2">
      <c r="A28" s="2365"/>
      <c r="B28" s="138"/>
      <c r="C28" s="171"/>
      <c r="D28" s="2333"/>
      <c r="E28" s="352"/>
      <c r="F28" s="138"/>
      <c r="G28" s="138"/>
      <c r="H28" s="138"/>
      <c r="I28" s="2300"/>
      <c r="J28" s="138"/>
      <c r="K28" s="138"/>
      <c r="L28" s="138"/>
      <c r="M28" s="138"/>
      <c r="N28" s="138"/>
      <c r="O28" s="138"/>
      <c r="P28" s="138"/>
      <c r="Q28" s="138"/>
      <c r="R28" s="138"/>
      <c r="S28" s="138"/>
      <c r="W28" s="1309"/>
      <c r="X28" s="1309"/>
    </row>
    <row r="29" spans="1:26" s="268" customFormat="1" ht="12.75" customHeight="1" x14ac:dyDescent="0.2">
      <c r="A29" s="2365"/>
      <c r="B29" s="138"/>
      <c r="C29" s="171"/>
      <c r="D29" s="2333"/>
      <c r="E29" s="352"/>
      <c r="F29" s="138"/>
      <c r="G29" s="138"/>
      <c r="H29" s="138"/>
      <c r="I29" s="2300"/>
      <c r="J29" s="138"/>
      <c r="K29" s="138"/>
      <c r="L29" s="138"/>
      <c r="M29" s="138"/>
      <c r="N29" s="138"/>
      <c r="O29" s="138"/>
      <c r="P29" s="138"/>
      <c r="Q29" s="138"/>
      <c r="R29" s="138"/>
      <c r="S29" s="138"/>
      <c r="W29" s="1309"/>
      <c r="X29" s="1309"/>
    </row>
    <row r="30" spans="1:26" s="268" customFormat="1" ht="15" customHeight="1" x14ac:dyDescent="0.2">
      <c r="A30" s="2365"/>
      <c r="B30" s="138"/>
      <c r="C30" s="138"/>
      <c r="D30" s="138"/>
      <c r="E30" s="138"/>
      <c r="F30" s="138"/>
      <c r="G30" s="2289" t="s">
        <v>1092</v>
      </c>
      <c r="H30" s="2289"/>
      <c r="I30" s="2289" t="s">
        <v>1093</v>
      </c>
      <c r="J30" s="138"/>
      <c r="K30" s="138"/>
      <c r="L30" s="138"/>
      <c r="M30" s="138"/>
      <c r="N30" s="138"/>
      <c r="O30" s="138"/>
      <c r="P30" s="138"/>
      <c r="Q30" s="138"/>
      <c r="R30" s="138"/>
      <c r="S30" s="138"/>
      <c r="W30" s="1309"/>
    </row>
    <row r="31" spans="1:26" s="67" customFormat="1" ht="12.75" x14ac:dyDescent="0.2">
      <c r="A31" s="2365"/>
      <c r="B31" s="138"/>
      <c r="C31" s="138"/>
      <c r="D31" s="138"/>
      <c r="E31" s="138"/>
      <c r="F31" s="138"/>
      <c r="G31" s="1591" t="s">
        <v>1094</v>
      </c>
      <c r="H31" s="1591"/>
      <c r="I31" s="1591" t="s">
        <v>578</v>
      </c>
      <c r="J31" s="138"/>
      <c r="K31" s="138"/>
      <c r="L31" s="138"/>
      <c r="M31" s="138"/>
      <c r="N31" s="138"/>
      <c r="O31" s="138"/>
      <c r="P31" s="138"/>
      <c r="Q31" s="138"/>
      <c r="R31" s="138"/>
      <c r="S31" s="138"/>
      <c r="T31" s="268"/>
      <c r="U31" s="268"/>
      <c r="V31" s="268"/>
      <c r="W31" s="1309"/>
      <c r="X31" s="268"/>
      <c r="Y31" s="268"/>
      <c r="Z31" s="268"/>
    </row>
    <row r="32" spans="1:26" s="67" customFormat="1" ht="12" customHeight="1" x14ac:dyDescent="0.2">
      <c r="A32" s="2365"/>
      <c r="B32" s="138"/>
      <c r="C32" s="138"/>
      <c r="D32" s="138"/>
      <c r="E32" s="2317" t="s">
        <v>1095</v>
      </c>
      <c r="F32" s="268"/>
      <c r="G32" s="2317" t="s">
        <v>1096</v>
      </c>
      <c r="H32" s="138"/>
      <c r="I32" s="2317" t="s">
        <v>1097</v>
      </c>
      <c r="J32" s="2287"/>
      <c r="K32" s="2287"/>
      <c r="L32" s="2287"/>
      <c r="M32" s="2287"/>
      <c r="N32" s="138"/>
      <c r="O32" s="138"/>
      <c r="P32" s="268"/>
      <c r="Q32" s="138"/>
      <c r="R32" s="1366"/>
      <c r="S32" s="1366">
        <f>LARGE(S33:S45,1)</f>
        <v>0</v>
      </c>
      <c r="T32" s="1366">
        <f>LARGE(T33:T45,1)</f>
        <v>0</v>
      </c>
      <c r="U32" s="268"/>
      <c r="V32" s="268"/>
      <c r="W32" s="1309"/>
      <c r="X32" s="268"/>
      <c r="Y32" s="268"/>
      <c r="Z32" s="268"/>
    </row>
    <row r="33" spans="1:24" s="67" customFormat="1" ht="13.35" customHeight="1" x14ac:dyDescent="0.2">
      <c r="A33" s="2365">
        <v>1</v>
      </c>
      <c r="B33" s="138"/>
      <c r="C33" s="138"/>
      <c r="D33" s="1570">
        <f>+E33</f>
        <v>2025</v>
      </c>
      <c r="E33" s="1591">
        <f>+YEAR(Data!$A$2)+1</f>
        <v>2025</v>
      </c>
      <c r="F33" s="268"/>
      <c r="G33" s="2331"/>
      <c r="H33" s="2394"/>
      <c r="I33" s="2331"/>
      <c r="J33" s="2394"/>
      <c r="K33" s="2627" t="s">
        <v>1098</v>
      </c>
      <c r="L33" s="2627"/>
      <c r="M33" s="2627"/>
      <c r="N33" s="2627"/>
      <c r="O33" s="2627"/>
      <c r="P33" s="2627"/>
      <c r="Q33" s="138"/>
      <c r="R33" s="1592">
        <f>SUM($G33:$G$45)</f>
        <v>0</v>
      </c>
      <c r="S33" s="1366">
        <f t="shared" ref="S33:T45" si="0">IF($R33&gt;0,$D33,0)</f>
        <v>0</v>
      </c>
      <c r="T33" s="1366">
        <f t="shared" si="0"/>
        <v>0</v>
      </c>
      <c r="U33" s="268"/>
      <c r="V33" s="352"/>
      <c r="W33" s="1301" t="s">
        <v>902</v>
      </c>
      <c r="X33" s="268"/>
    </row>
    <row r="34" spans="1:24" s="67" customFormat="1" ht="13.35" customHeight="1" x14ac:dyDescent="0.2">
      <c r="A34" s="2365">
        <v>2</v>
      </c>
      <c r="B34" s="138"/>
      <c r="C34" s="138"/>
      <c r="D34" s="1570">
        <f>+E34</f>
        <v>2026</v>
      </c>
      <c r="E34" s="1591">
        <f>E33+1</f>
        <v>2026</v>
      </c>
      <c r="F34" s="268"/>
      <c r="G34" s="2331"/>
      <c r="H34" s="2394"/>
      <c r="I34" s="2331"/>
      <c r="J34" s="2394"/>
      <c r="K34" s="2627"/>
      <c r="L34" s="2627"/>
      <c r="M34" s="2627"/>
      <c r="N34" s="2627"/>
      <c r="O34" s="2627"/>
      <c r="P34" s="2627"/>
      <c r="Q34" s="138"/>
      <c r="R34" s="1592">
        <f>SUM($G34:$G$45)</f>
        <v>0</v>
      </c>
      <c r="S34" s="1366">
        <f t="shared" si="0"/>
        <v>0</v>
      </c>
      <c r="T34" s="1366">
        <f t="shared" si="0"/>
        <v>0</v>
      </c>
      <c r="U34" s="268"/>
      <c r="V34" s="352"/>
      <c r="W34" s="1301" t="s">
        <v>904</v>
      </c>
      <c r="X34" s="268"/>
    </row>
    <row r="35" spans="1:24" s="67" customFormat="1" ht="13.35" customHeight="1" x14ac:dyDescent="0.2">
      <c r="A35" s="2365">
        <v>3</v>
      </c>
      <c r="B35" s="138"/>
      <c r="C35" s="138"/>
      <c r="D35" s="1570">
        <f>+E35</f>
        <v>2027</v>
      </c>
      <c r="E35" s="1591">
        <f>E34+1</f>
        <v>2027</v>
      </c>
      <c r="F35" s="268"/>
      <c r="G35" s="2331"/>
      <c r="H35" s="2394"/>
      <c r="I35" s="2331"/>
      <c r="J35" s="2394"/>
      <c r="K35" s="2627"/>
      <c r="L35" s="2627"/>
      <c r="M35" s="2627"/>
      <c r="N35" s="2627"/>
      <c r="O35" s="2627"/>
      <c r="P35" s="2627"/>
      <c r="Q35" s="138"/>
      <c r="R35" s="1592">
        <f>SUM($G35:$G$45)</f>
        <v>0</v>
      </c>
      <c r="S35" s="1366">
        <f t="shared" si="0"/>
        <v>0</v>
      </c>
      <c r="T35" s="1366">
        <f t="shared" si="0"/>
        <v>0</v>
      </c>
      <c r="U35" s="268"/>
      <c r="V35" s="352"/>
      <c r="W35" s="1301" t="s">
        <v>905</v>
      </c>
      <c r="X35" s="268"/>
    </row>
    <row r="36" spans="1:24" s="67" customFormat="1" ht="13.35" customHeight="1" x14ac:dyDescent="0.2">
      <c r="A36" s="2365">
        <v>4</v>
      </c>
      <c r="B36" s="138"/>
      <c r="C36" s="138"/>
      <c r="D36" s="1570">
        <f>+E36</f>
        <v>2028</v>
      </c>
      <c r="E36" s="1591">
        <f>E35+1</f>
        <v>2028</v>
      </c>
      <c r="F36" s="268"/>
      <c r="G36" s="2331"/>
      <c r="H36" s="2394"/>
      <c r="I36" s="2331"/>
      <c r="J36" s="2394"/>
      <c r="K36" s="2648"/>
      <c r="L36" s="2649"/>
      <c r="M36" s="2649"/>
      <c r="N36" s="2649"/>
      <c r="O36" s="2649"/>
      <c r="P36" s="2650"/>
      <c r="Q36" s="138"/>
      <c r="R36" s="1592">
        <f>SUM($G36:$G$45)</f>
        <v>0</v>
      </c>
      <c r="S36" s="1366">
        <f t="shared" si="0"/>
        <v>0</v>
      </c>
      <c r="T36" s="1366">
        <f t="shared" si="0"/>
        <v>0</v>
      </c>
      <c r="U36" s="268"/>
      <c r="V36" s="352"/>
      <c r="W36" s="1301" t="s">
        <v>906</v>
      </c>
      <c r="X36" s="268"/>
    </row>
    <row r="37" spans="1:24" s="67" customFormat="1" ht="13.35" customHeight="1" x14ac:dyDescent="0.2">
      <c r="A37" s="2365">
        <v>5</v>
      </c>
      <c r="B37" s="138"/>
      <c r="C37" s="138"/>
      <c r="D37" s="1570">
        <f>+E37</f>
        <v>2029</v>
      </c>
      <c r="E37" s="1591">
        <f>E36+1</f>
        <v>2029</v>
      </c>
      <c r="F37" s="268"/>
      <c r="G37" s="2331"/>
      <c r="H37" s="2394"/>
      <c r="I37" s="2331"/>
      <c r="J37" s="2394"/>
      <c r="K37" s="138"/>
      <c r="L37" s="138"/>
      <c r="M37" s="138"/>
      <c r="N37" s="138"/>
      <c r="O37" s="268"/>
      <c r="P37" s="268"/>
      <c r="Q37" s="138"/>
      <c r="R37" s="1592">
        <f>SUM($G37:$G$45)</f>
        <v>0</v>
      </c>
      <c r="S37" s="1366">
        <f t="shared" si="0"/>
        <v>0</v>
      </c>
      <c r="T37" s="1366">
        <f t="shared" si="0"/>
        <v>0</v>
      </c>
      <c r="U37" s="268"/>
      <c r="V37" s="352"/>
      <c r="W37" s="1301" t="s">
        <v>907</v>
      </c>
      <c r="X37" s="268"/>
    </row>
    <row r="38" spans="1:24" s="67" customFormat="1" ht="13.35" customHeight="1" x14ac:dyDescent="0.2">
      <c r="A38" s="2365">
        <v>6</v>
      </c>
      <c r="B38" s="138"/>
      <c r="C38" s="138"/>
      <c r="D38" s="1570">
        <f>E37+1</f>
        <v>2030</v>
      </c>
      <c r="E38" s="1591" t="str">
        <f t="shared" ref="E38:E45" si="1">(D38)&amp;" - "&amp;(D38+4)</f>
        <v>2030 - 2034</v>
      </c>
      <c r="F38" s="268"/>
      <c r="G38" s="2331"/>
      <c r="H38" s="2394"/>
      <c r="I38" s="2331"/>
      <c r="J38" s="2394"/>
      <c r="K38" s="2627" t="s">
        <v>1099</v>
      </c>
      <c r="L38" s="2627"/>
      <c r="M38" s="2627"/>
      <c r="N38" s="2627"/>
      <c r="O38" s="2627"/>
      <c r="P38" s="2627"/>
      <c r="Q38" s="138"/>
      <c r="R38" s="1592">
        <f>SUM($G38:$G$45)</f>
        <v>0</v>
      </c>
      <c r="S38" s="1366">
        <f t="shared" si="0"/>
        <v>0</v>
      </c>
      <c r="T38" s="1366">
        <f>IF($R38&gt;0,$D38+4,0)</f>
        <v>0</v>
      </c>
      <c r="U38" s="268"/>
      <c r="V38" s="352"/>
      <c r="W38" s="1301" t="s">
        <v>908</v>
      </c>
      <c r="X38" s="268"/>
    </row>
    <row r="39" spans="1:24" s="67" customFormat="1" ht="13.35" customHeight="1" x14ac:dyDescent="0.2">
      <c r="A39" s="2365">
        <v>7</v>
      </c>
      <c r="B39" s="138"/>
      <c r="C39" s="138"/>
      <c r="D39" s="1570">
        <f t="shared" ref="D39:D45" si="2">D38+5</f>
        <v>2035</v>
      </c>
      <c r="E39" s="1591" t="str">
        <f t="shared" si="1"/>
        <v>2035 - 2039</v>
      </c>
      <c r="F39" s="268"/>
      <c r="G39" s="2331"/>
      <c r="H39" s="2394"/>
      <c r="I39" s="2331"/>
      <c r="J39" s="2394"/>
      <c r="K39" s="2627"/>
      <c r="L39" s="2627"/>
      <c r="M39" s="2627"/>
      <c r="N39" s="2627"/>
      <c r="O39" s="2627"/>
      <c r="P39" s="2627"/>
      <c r="Q39" s="138"/>
      <c r="R39" s="1592">
        <f>SUM($G39:$G$45)</f>
        <v>0</v>
      </c>
      <c r="S39" s="1366">
        <f t="shared" si="0"/>
        <v>0</v>
      </c>
      <c r="T39" s="1366">
        <f t="shared" ref="T39:T45" si="3">IF($R39&gt;0,$D39+4,0)</f>
        <v>0</v>
      </c>
      <c r="U39" s="268"/>
      <c r="V39" s="352"/>
      <c r="W39" s="1301" t="s">
        <v>909</v>
      </c>
      <c r="X39" s="268"/>
    </row>
    <row r="40" spans="1:24" s="67" customFormat="1" ht="13.35" customHeight="1" x14ac:dyDescent="0.2">
      <c r="A40" s="2365">
        <v>8</v>
      </c>
      <c r="B40" s="138"/>
      <c r="C40" s="138"/>
      <c r="D40" s="1570">
        <f t="shared" si="2"/>
        <v>2040</v>
      </c>
      <c r="E40" s="1591" t="str">
        <f t="shared" si="1"/>
        <v>2040 - 2044</v>
      </c>
      <c r="F40" s="268"/>
      <c r="G40" s="2331"/>
      <c r="H40" s="2394"/>
      <c r="I40" s="2331"/>
      <c r="J40" s="2394"/>
      <c r="K40" s="2647"/>
      <c r="L40" s="2647"/>
      <c r="M40" s="2647"/>
      <c r="N40" s="2647"/>
      <c r="O40" s="2647"/>
      <c r="P40" s="2647"/>
      <c r="Q40" s="138"/>
      <c r="R40" s="1592">
        <f>SUM($G40:$G$45)</f>
        <v>0</v>
      </c>
      <c r="S40" s="1366">
        <f t="shared" si="0"/>
        <v>0</v>
      </c>
      <c r="T40" s="1366">
        <f t="shared" si="3"/>
        <v>0</v>
      </c>
      <c r="U40" s="268"/>
      <c r="V40" s="166"/>
      <c r="W40" s="1301" t="s">
        <v>910</v>
      </c>
      <c r="X40" s="268"/>
    </row>
    <row r="41" spans="1:24" s="67" customFormat="1" ht="13.35" customHeight="1" x14ac:dyDescent="0.2">
      <c r="A41" s="2365">
        <v>9</v>
      </c>
      <c r="B41" s="138"/>
      <c r="C41" s="138"/>
      <c r="D41" s="1570">
        <f t="shared" si="2"/>
        <v>2045</v>
      </c>
      <c r="E41" s="1591" t="str">
        <f t="shared" si="1"/>
        <v>2045 - 2049</v>
      </c>
      <c r="F41" s="268"/>
      <c r="G41" s="2331"/>
      <c r="H41" s="2394"/>
      <c r="I41" s="2331"/>
      <c r="J41" s="2394"/>
      <c r="K41" s="2627" t="s">
        <v>1100</v>
      </c>
      <c r="L41" s="2627"/>
      <c r="M41" s="2627"/>
      <c r="N41" s="2627" t="s">
        <v>1101</v>
      </c>
      <c r="O41" s="2627"/>
      <c r="P41" s="2627"/>
      <c r="Q41" s="138"/>
      <c r="R41" s="1592">
        <f>SUM($G41:$G$45)</f>
        <v>0</v>
      </c>
      <c r="S41" s="1366">
        <f t="shared" si="0"/>
        <v>0</v>
      </c>
      <c r="T41" s="1366">
        <f t="shared" si="3"/>
        <v>0</v>
      </c>
      <c r="U41" s="268"/>
      <c r="V41" s="268"/>
      <c r="W41" s="1301" t="s">
        <v>911</v>
      </c>
      <c r="X41" s="268"/>
    </row>
    <row r="42" spans="1:24" s="67" customFormat="1" ht="13.35" customHeight="1" x14ac:dyDescent="0.2">
      <c r="A42" s="2365">
        <v>10</v>
      </c>
      <c r="B42" s="138"/>
      <c r="C42" s="138"/>
      <c r="D42" s="1570">
        <f t="shared" si="2"/>
        <v>2050</v>
      </c>
      <c r="E42" s="1591" t="str">
        <f t="shared" si="1"/>
        <v>2050 - 2054</v>
      </c>
      <c r="F42" s="268"/>
      <c r="G42" s="2331"/>
      <c r="H42" s="2394"/>
      <c r="I42" s="2331"/>
      <c r="J42" s="2394"/>
      <c r="K42" s="2653"/>
      <c r="L42" s="2651"/>
      <c r="M42" s="2652"/>
      <c r="N42" s="2651"/>
      <c r="O42" s="2651"/>
      <c r="P42" s="2652"/>
      <c r="Q42" s="138"/>
      <c r="R42" s="1592">
        <f>SUM($G42:$G$45)</f>
        <v>0</v>
      </c>
      <c r="S42" s="1366">
        <f t="shared" si="0"/>
        <v>0</v>
      </c>
      <c r="T42" s="1366">
        <f t="shared" si="3"/>
        <v>0</v>
      </c>
      <c r="U42" s="268"/>
      <c r="V42" s="166"/>
      <c r="W42" s="1301" t="s">
        <v>912</v>
      </c>
      <c r="X42" s="268"/>
    </row>
    <row r="43" spans="1:24" s="67" customFormat="1" ht="13.35" customHeight="1" x14ac:dyDescent="0.2">
      <c r="A43" s="2365">
        <v>11</v>
      </c>
      <c r="B43" s="138"/>
      <c r="C43" s="138"/>
      <c r="D43" s="1570">
        <f t="shared" si="2"/>
        <v>2055</v>
      </c>
      <c r="E43" s="1591" t="str">
        <f t="shared" si="1"/>
        <v>2055 - 2059</v>
      </c>
      <c r="F43" s="268"/>
      <c r="G43" s="2331"/>
      <c r="H43" s="2394"/>
      <c r="I43" s="2331"/>
      <c r="J43" s="2394"/>
      <c r="K43" s="268"/>
      <c r="L43" s="268"/>
      <c r="M43" s="268"/>
      <c r="N43" s="268"/>
      <c r="O43" s="268"/>
      <c r="P43" s="268"/>
      <c r="Q43" s="138"/>
      <c r="R43" s="1592">
        <f>SUM($G43:$G$45)</f>
        <v>0</v>
      </c>
      <c r="S43" s="1366">
        <f>IF($R43&gt;0,$D43,0)</f>
        <v>0</v>
      </c>
      <c r="T43" s="1366">
        <f t="shared" si="3"/>
        <v>0</v>
      </c>
      <c r="U43" s="268"/>
      <c r="V43" s="268"/>
      <c r="W43" s="1301" t="s">
        <v>913</v>
      </c>
      <c r="X43" s="268"/>
    </row>
    <row r="44" spans="1:24" s="67" customFormat="1" ht="13.35" customHeight="1" x14ac:dyDescent="0.2">
      <c r="A44" s="2365">
        <v>12</v>
      </c>
      <c r="B44" s="138"/>
      <c r="C44" s="138"/>
      <c r="D44" s="1570">
        <f t="shared" si="2"/>
        <v>2060</v>
      </c>
      <c r="E44" s="1591" t="str">
        <f t="shared" si="1"/>
        <v>2060 - 2064</v>
      </c>
      <c r="F44" s="268"/>
      <c r="G44" s="2331"/>
      <c r="H44" s="2394"/>
      <c r="I44" s="2331"/>
      <c r="J44" s="2394"/>
      <c r="K44" s="2640" t="s">
        <v>1102</v>
      </c>
      <c r="L44" s="2641"/>
      <c r="M44" s="2641"/>
      <c r="N44" s="2641"/>
      <c r="O44" s="2641"/>
      <c r="P44" s="2642"/>
      <c r="Q44" s="138"/>
      <c r="R44" s="1592">
        <f>SUM($G44:$G$45)</f>
        <v>0</v>
      </c>
      <c r="S44" s="1366">
        <f t="shared" si="0"/>
        <v>0</v>
      </c>
      <c r="T44" s="1366">
        <f t="shared" si="3"/>
        <v>0</v>
      </c>
      <c r="U44" s="268"/>
      <c r="V44" s="166"/>
      <c r="W44" s="1301" t="s">
        <v>914</v>
      </c>
      <c r="X44" s="268"/>
    </row>
    <row r="45" spans="1:24" s="67" customFormat="1" ht="13.35" customHeight="1" x14ac:dyDescent="0.2">
      <c r="A45" s="2365">
        <v>13</v>
      </c>
      <c r="B45" s="138"/>
      <c r="C45" s="138"/>
      <c r="D45" s="1570">
        <f t="shared" si="2"/>
        <v>2065</v>
      </c>
      <c r="E45" s="1591" t="str">
        <f t="shared" si="1"/>
        <v>2065 - 2069</v>
      </c>
      <c r="F45" s="268"/>
      <c r="G45" s="2331"/>
      <c r="H45" s="2394"/>
      <c r="I45" s="2331"/>
      <c r="J45" s="2394"/>
      <c r="K45" s="2643"/>
      <c r="L45" s="2644"/>
      <c r="M45" s="2644"/>
      <c r="N45" s="2644"/>
      <c r="O45" s="2644"/>
      <c r="P45" s="2645"/>
      <c r="Q45" s="138"/>
      <c r="R45" s="1592">
        <f>SUM($G45:$G$45)</f>
        <v>0</v>
      </c>
      <c r="S45" s="1366">
        <f t="shared" si="0"/>
        <v>0</v>
      </c>
      <c r="T45" s="1366">
        <f t="shared" si="3"/>
        <v>0</v>
      </c>
      <c r="U45" s="268"/>
      <c r="V45" s="268"/>
      <c r="W45" s="1301" t="s">
        <v>915</v>
      </c>
      <c r="X45" s="268"/>
    </row>
    <row r="46" spans="1:24" s="67" customFormat="1" ht="16.350000000000001" customHeight="1" thickBot="1" x14ac:dyDescent="0.25">
      <c r="A46" s="2365"/>
      <c r="B46" s="138"/>
      <c r="C46" s="138"/>
      <c r="D46" s="1" t="s">
        <v>1103</v>
      </c>
      <c r="E46" s="138"/>
      <c r="F46" s="138"/>
      <c r="G46" s="1593">
        <f>SUM(G33:G45)</f>
        <v>0</v>
      </c>
      <c r="H46" s="2394"/>
      <c r="I46" s="1593">
        <f>SUM(I33:I45)</f>
        <v>0</v>
      </c>
      <c r="J46" s="2394"/>
      <c r="K46" s="2637"/>
      <c r="L46" s="2638"/>
      <c r="M46" s="2638"/>
      <c r="N46" s="2638"/>
      <c r="O46" s="2638"/>
      <c r="P46" s="2639"/>
      <c r="Q46" s="138"/>
      <c r="R46" s="1366"/>
      <c r="S46" s="1366">
        <f>YEAR(_FMD315)</f>
        <v>1900</v>
      </c>
      <c r="T46" s="2365"/>
      <c r="U46" s="268"/>
      <c r="V46" s="268"/>
      <c r="W46" s="268"/>
      <c r="X46" s="268"/>
    </row>
    <row r="47" spans="1:24" s="67" customFormat="1" ht="13.35" customHeight="1" thickTop="1" x14ac:dyDescent="0.25">
      <c r="A47" s="2365"/>
      <c r="B47" s="138"/>
      <c r="C47" s="138"/>
      <c r="D47" s="1"/>
      <c r="E47" s="138"/>
      <c r="F47" s="138"/>
      <c r="G47" s="138"/>
      <c r="H47" s="2434" t="s">
        <v>1104</v>
      </c>
      <c r="I47" s="490" t="s">
        <v>1105</v>
      </c>
      <c r="J47" s="2287"/>
      <c r="K47" s="2287"/>
      <c r="L47" s="1805"/>
      <c r="M47" s="1805"/>
      <c r="N47" s="2300"/>
      <c r="O47" s="2300"/>
      <c r="P47" s="138"/>
      <c r="Q47" s="138"/>
      <c r="R47" s="138"/>
      <c r="S47" s="138"/>
      <c r="T47" s="268"/>
      <c r="U47" s="268"/>
      <c r="V47" s="268"/>
      <c r="W47" s="268"/>
      <c r="X47" s="268"/>
    </row>
    <row r="48" spans="1:24" s="67" customFormat="1" ht="12.75" customHeight="1" x14ac:dyDescent="0.2">
      <c r="A48" s="2365"/>
      <c r="B48" s="138" t="s">
        <v>1106</v>
      </c>
      <c r="C48" s="138"/>
      <c r="D48" s="1"/>
      <c r="E48" s="138"/>
      <c r="F48" s="138"/>
      <c r="G48" s="138"/>
      <c r="H48" s="2434"/>
      <c r="I48" s="1805"/>
      <c r="J48" s="2287"/>
      <c r="K48" s="2287"/>
      <c r="L48" s="1805"/>
      <c r="M48" s="1805"/>
      <c r="N48" s="2300"/>
      <c r="O48" s="2300"/>
      <c r="P48" s="138"/>
      <c r="Q48" s="138"/>
      <c r="R48" s="138"/>
      <c r="S48" s="138"/>
      <c r="T48" s="268"/>
      <c r="U48" s="268"/>
      <c r="V48" s="268"/>
      <c r="W48" s="1301"/>
      <c r="X48" s="268"/>
    </row>
    <row r="49" spans="1:24" s="67" customFormat="1" ht="12.75" customHeight="1" x14ac:dyDescent="0.2">
      <c r="A49" s="2365"/>
      <c r="B49" s="138" t="s">
        <v>1107</v>
      </c>
      <c r="C49" s="138"/>
      <c r="D49" s="1"/>
      <c r="E49" s="138"/>
      <c r="F49" s="138"/>
      <c r="G49" s="138"/>
      <c r="H49" s="2434"/>
      <c r="I49" s="1805"/>
      <c r="J49" s="2287"/>
      <c r="K49" s="2287"/>
      <c r="L49" s="1805"/>
      <c r="M49" s="1805"/>
      <c r="N49" s="2300"/>
      <c r="O49" s="2300"/>
      <c r="P49" s="138"/>
      <c r="Q49" s="138"/>
      <c r="R49" s="138"/>
      <c r="S49" s="138"/>
      <c r="T49" s="268"/>
      <c r="U49" s="268"/>
      <c r="V49" s="268"/>
      <c r="W49" s="1301"/>
      <c r="X49" s="268"/>
    </row>
    <row r="50" spans="1:24" s="67" customFormat="1" ht="12" customHeight="1" x14ac:dyDescent="0.2">
      <c r="A50" s="2365"/>
      <c r="B50" s="138"/>
      <c r="C50" s="138"/>
      <c r="D50" s="2300"/>
      <c r="E50" s="2398"/>
      <c r="F50" s="138"/>
      <c r="G50" s="138"/>
      <c r="H50" s="2434"/>
      <c r="I50" s="1805" t="s">
        <v>1108</v>
      </c>
      <c r="J50" s="2631"/>
      <c r="K50" s="2631"/>
      <c r="L50" s="2632" t="s">
        <v>341</v>
      </c>
      <c r="M50" s="2632"/>
      <c r="N50" s="2633"/>
      <c r="O50" s="2633"/>
      <c r="P50" s="138"/>
      <c r="Q50" s="138"/>
      <c r="R50" s="138"/>
      <c r="S50" s="138"/>
      <c r="T50" s="268"/>
      <c r="U50" s="268"/>
      <c r="V50" s="268"/>
      <c r="W50" s="1309"/>
      <c r="X50" s="268"/>
    </row>
    <row r="51" spans="1:24" s="67" customFormat="1" ht="9" customHeight="1" x14ac:dyDescent="0.2">
      <c r="A51" s="2365"/>
      <c r="B51" s="138"/>
      <c r="C51" s="138"/>
      <c r="D51" s="1"/>
      <c r="E51" s="138"/>
      <c r="F51" s="138"/>
      <c r="G51" s="138"/>
      <c r="H51" s="2434"/>
      <c r="I51" s="1805"/>
      <c r="J51" s="2287"/>
      <c r="K51" s="2287"/>
      <c r="L51" s="1805"/>
      <c r="M51" s="1805"/>
      <c r="N51" s="2300"/>
      <c r="O51" s="2300"/>
      <c r="P51" s="138"/>
      <c r="Q51" s="138"/>
      <c r="R51" s="138"/>
      <c r="S51" s="138"/>
      <c r="T51" s="268"/>
      <c r="U51" s="268"/>
      <c r="V51" s="268"/>
      <c r="W51" s="1309"/>
      <c r="X51" s="268"/>
    </row>
    <row r="52" spans="1:24" s="67" customFormat="1" ht="12.75" customHeight="1" x14ac:dyDescent="0.2">
      <c r="A52" s="2365"/>
      <c r="B52" s="138" t="str">
        <f>CONCATENATE("Do the fiscal year ",+TEXT(Data!$A$6,"yyyy")," principal requirements (including debt with interest rate swaps on 320) agree with")</f>
        <v>Do the fiscal year 2025 principal requirements (including debt with interest rate swaps on 320) agree with</v>
      </c>
      <c r="C52" s="138"/>
      <c r="D52" s="1"/>
      <c r="E52" s="138"/>
      <c r="F52" s="138"/>
      <c r="G52" s="138"/>
      <c r="H52" s="2434"/>
      <c r="I52" s="1805"/>
      <c r="J52" s="2287"/>
      <c r="K52" s="2287"/>
      <c r="L52" s="1805"/>
      <c r="M52" s="1805"/>
      <c r="N52" s="2300"/>
      <c r="O52" s="2300"/>
      <c r="P52" s="138"/>
      <c r="Q52" s="138"/>
      <c r="R52" s="138"/>
      <c r="S52" s="138"/>
      <c r="T52" s="268"/>
      <c r="U52" s="268"/>
      <c r="V52" s="268"/>
      <c r="W52" s="1309"/>
      <c r="X52" s="268"/>
    </row>
    <row r="53" spans="1:24" s="67" customFormat="1" ht="12.75" customHeight="1" x14ac:dyDescent="0.2">
      <c r="A53" s="2365"/>
      <c r="B53" s="268" t="s">
        <v>1109</v>
      </c>
      <c r="C53" s="138"/>
      <c r="D53" s="1"/>
      <c r="E53" s="138"/>
      <c r="F53" s="138"/>
      <c r="G53" s="138"/>
      <c r="H53" s="2434"/>
      <c r="I53" s="1805"/>
      <c r="J53" s="2287"/>
      <c r="K53" s="2287"/>
      <c r="L53" s="1805"/>
      <c r="M53" s="1805"/>
      <c r="N53" s="2300"/>
      <c r="O53" s="2300"/>
      <c r="P53" s="138"/>
      <c r="Q53" s="138"/>
      <c r="R53" s="138"/>
      <c r="S53" s="138"/>
      <c r="T53" s="268"/>
      <c r="U53" s="268"/>
      <c r="V53" s="268"/>
      <c r="W53" s="1309"/>
      <c r="X53" s="268"/>
    </row>
    <row r="54" spans="1:24" s="67" customFormat="1" ht="12.75" customHeight="1" x14ac:dyDescent="0.2">
      <c r="A54" s="2365"/>
      <c r="B54" s="11" t="s">
        <v>1110</v>
      </c>
      <c r="C54" s="138"/>
      <c r="D54" s="1"/>
      <c r="E54" s="138"/>
      <c r="F54" s="138"/>
      <c r="G54" s="138"/>
      <c r="H54" s="2434"/>
      <c r="I54" s="1805"/>
      <c r="J54" s="2287"/>
      <c r="K54" s="2287"/>
      <c r="L54" s="1805"/>
      <c r="M54" s="1805"/>
      <c r="N54" s="2300"/>
      <c r="O54" s="2300"/>
      <c r="P54" s="138"/>
      <c r="Q54" s="138"/>
      <c r="R54" s="138"/>
      <c r="S54" s="138"/>
      <c r="T54" s="268"/>
      <c r="U54" s="268"/>
      <c r="V54" s="268"/>
      <c r="W54" s="1309"/>
      <c r="X54" s="268"/>
    </row>
    <row r="55" spans="1:24" s="67" customFormat="1" ht="12" customHeight="1" x14ac:dyDescent="0.2">
      <c r="A55" s="2365"/>
      <c r="B55" s="138"/>
      <c r="C55" s="138"/>
      <c r="D55" s="2300"/>
      <c r="E55" s="2398"/>
      <c r="F55" s="138"/>
      <c r="G55" s="268"/>
      <c r="H55" s="2434"/>
      <c r="I55" s="1805" t="s">
        <v>1108</v>
      </c>
      <c r="J55" s="2631"/>
      <c r="K55" s="2631"/>
      <c r="L55" s="2632" t="s">
        <v>341</v>
      </c>
      <c r="M55" s="2632"/>
      <c r="N55" s="2633"/>
      <c r="O55" s="2633"/>
      <c r="P55" s="138"/>
      <c r="Q55" s="138"/>
      <c r="R55" s="138"/>
      <c r="S55" s="138"/>
      <c r="T55" s="268"/>
      <c r="U55" s="268"/>
      <c r="V55" s="268"/>
      <c r="W55" s="1309"/>
      <c r="X55" s="268"/>
    </row>
    <row r="56" spans="1:24" s="67" customFormat="1" ht="6" customHeight="1" x14ac:dyDescent="0.2">
      <c r="A56" s="2365"/>
      <c r="B56" s="138"/>
      <c r="C56" s="138"/>
      <c r="D56" s="2300"/>
      <c r="E56" s="138"/>
      <c r="F56" s="138"/>
      <c r="G56" s="2304"/>
      <c r="H56" s="2434"/>
      <c r="I56" s="1805"/>
      <c r="J56" s="2287"/>
      <c r="K56" s="2287"/>
      <c r="L56" s="1805"/>
      <c r="M56" s="1805"/>
      <c r="N56" s="2300"/>
      <c r="O56" s="2300"/>
      <c r="P56" s="138"/>
      <c r="Q56" s="138"/>
      <c r="R56" s="138"/>
      <c r="S56" s="138"/>
      <c r="T56" s="268"/>
      <c r="U56" s="268"/>
      <c r="V56" s="268"/>
      <c r="W56" s="1309"/>
      <c r="X56" s="268"/>
    </row>
    <row r="57" spans="1:24" s="67" customFormat="1" ht="12.75" customHeight="1" x14ac:dyDescent="0.2">
      <c r="A57" s="2365"/>
      <c r="B57" s="268"/>
      <c r="C57" s="2646" t="s">
        <v>1111</v>
      </c>
      <c r="D57" s="2646"/>
      <c r="E57" s="2646"/>
      <c r="F57" s="2636"/>
      <c r="G57" s="2636"/>
      <c r="H57" s="2636"/>
      <c r="I57" s="2636"/>
      <c r="J57" s="2636"/>
      <c r="K57" s="2636"/>
      <c r="L57" s="2636"/>
      <c r="M57" s="2636"/>
      <c r="N57" s="2636"/>
      <c r="O57" s="2636"/>
      <c r="P57" s="2636"/>
      <c r="Q57" s="138"/>
      <c r="R57" s="138"/>
      <c r="S57" s="138"/>
      <c r="T57" s="268"/>
      <c r="U57" s="268"/>
      <c r="V57" s="268"/>
      <c r="W57" s="1309"/>
      <c r="X57" s="268"/>
    </row>
    <row r="58" spans="1:24" s="67" customFormat="1" ht="12.75" customHeight="1" x14ac:dyDescent="0.2">
      <c r="A58" s="2365"/>
      <c r="B58" s="138"/>
      <c r="C58" s="2636"/>
      <c r="D58" s="2636"/>
      <c r="E58" s="2636"/>
      <c r="F58" s="2636"/>
      <c r="G58" s="2636"/>
      <c r="H58" s="2636"/>
      <c r="I58" s="2636"/>
      <c r="J58" s="2636"/>
      <c r="K58" s="2636"/>
      <c r="L58" s="2636"/>
      <c r="M58" s="2636"/>
      <c r="N58" s="2636"/>
      <c r="O58" s="2636"/>
      <c r="P58" s="2636"/>
      <c r="Q58" s="138"/>
      <c r="R58" s="138"/>
      <c r="S58" s="138"/>
      <c r="T58" s="268"/>
      <c r="U58" s="268"/>
      <c r="V58" s="268"/>
      <c r="W58" s="1309"/>
      <c r="X58" s="268"/>
    </row>
    <row r="59" spans="1:24" s="67" customFormat="1" ht="9" customHeight="1" x14ac:dyDescent="0.2">
      <c r="A59" s="2365"/>
      <c r="B59" s="138"/>
      <c r="C59" s="138"/>
      <c r="D59" s="1"/>
      <c r="E59" s="138"/>
      <c r="F59" s="138"/>
      <c r="G59" s="138"/>
      <c r="H59" s="2434"/>
      <c r="I59" s="1805"/>
      <c r="J59" s="2287"/>
      <c r="K59" s="2287"/>
      <c r="L59" s="1805"/>
      <c r="M59" s="1805"/>
      <c r="N59" s="2300"/>
      <c r="O59" s="2300"/>
      <c r="P59" s="138"/>
      <c r="Q59" s="138"/>
      <c r="R59" s="138"/>
      <c r="S59" s="138"/>
      <c r="T59" s="268"/>
      <c r="U59" s="268"/>
      <c r="V59" s="268"/>
      <c r="W59" s="1309"/>
      <c r="X59" s="268"/>
    </row>
    <row r="60" spans="1:24" s="67" customFormat="1" ht="12.75" customHeight="1" x14ac:dyDescent="0.2">
      <c r="A60" s="2365"/>
      <c r="B60" s="138" t="s">
        <v>1112</v>
      </c>
      <c r="C60" s="138"/>
      <c r="D60" s="1"/>
      <c r="E60" s="138"/>
      <c r="F60" s="138"/>
      <c r="G60" s="138"/>
      <c r="H60" s="2434"/>
      <c r="I60" s="1805"/>
      <c r="J60" s="2287"/>
      <c r="K60" s="2287"/>
      <c r="L60" s="1805"/>
      <c r="M60" s="1805"/>
      <c r="N60" s="2300"/>
      <c r="O60" s="2300"/>
      <c r="P60" s="138"/>
      <c r="Q60" s="138"/>
      <c r="R60" s="138"/>
      <c r="S60" s="138"/>
      <c r="T60" s="268"/>
      <c r="U60" s="268"/>
      <c r="V60" s="268"/>
      <c r="W60" s="1309"/>
      <c r="X60" s="268"/>
    </row>
    <row r="61" spans="1:24" s="67" customFormat="1" ht="12" customHeight="1" x14ac:dyDescent="0.2">
      <c r="A61" s="2365"/>
      <c r="B61" s="11" t="s">
        <v>1113</v>
      </c>
      <c r="C61" s="138"/>
      <c r="D61" s="1"/>
      <c r="E61" s="138"/>
      <c r="F61" s="138"/>
      <c r="G61" s="138"/>
      <c r="H61" s="2434"/>
      <c r="I61" s="1805" t="s">
        <v>1108</v>
      </c>
      <c r="J61" s="2631"/>
      <c r="K61" s="2631"/>
      <c r="L61" s="2632" t="s">
        <v>341</v>
      </c>
      <c r="M61" s="2632"/>
      <c r="N61" s="2633"/>
      <c r="O61" s="2633"/>
      <c r="P61" s="138"/>
      <c r="Q61" s="138"/>
      <c r="R61" s="138"/>
      <c r="S61" s="138"/>
      <c r="T61" s="268"/>
      <c r="U61" s="268"/>
      <c r="V61" s="268"/>
      <c r="W61" s="1309"/>
      <c r="X61" s="268"/>
    </row>
    <row r="62" spans="1:24" s="67" customFormat="1" ht="15" customHeight="1" x14ac:dyDescent="0.2">
      <c r="A62" s="2365"/>
      <c r="B62" s="268"/>
      <c r="C62" s="138" t="s">
        <v>1114</v>
      </c>
      <c r="D62" s="2300"/>
      <c r="E62" s="2300"/>
      <c r="F62" s="2300"/>
      <c r="G62" s="2300"/>
      <c r="H62" s="2434"/>
      <c r="I62" s="2331"/>
      <c r="J62" s="2395"/>
      <c r="K62" s="2395"/>
      <c r="L62" s="1805"/>
      <c r="M62" s="1805"/>
      <c r="N62" s="2333"/>
      <c r="O62" s="2333"/>
      <c r="P62" s="138"/>
      <c r="Q62" s="138"/>
      <c r="R62" s="138"/>
      <c r="S62" s="138"/>
      <c r="T62" s="268"/>
      <c r="U62" s="268"/>
      <c r="V62" s="268"/>
      <c r="W62" s="1309"/>
      <c r="X62" s="268"/>
    </row>
    <row r="63" spans="1:24" s="67" customFormat="1" ht="6" customHeight="1" x14ac:dyDescent="0.2">
      <c r="A63" s="2365"/>
      <c r="B63" s="138"/>
      <c r="C63" s="138"/>
      <c r="D63" s="1"/>
      <c r="E63" s="138"/>
      <c r="F63" s="138"/>
      <c r="G63" s="138"/>
      <c r="H63" s="2434"/>
      <c r="I63" s="1805"/>
      <c r="J63" s="489"/>
      <c r="K63" s="489"/>
      <c r="L63" s="1805"/>
      <c r="M63" s="1805"/>
      <c r="N63" s="2333"/>
      <c r="O63" s="2333"/>
      <c r="P63" s="138"/>
      <c r="Q63" s="138"/>
      <c r="R63" s="138"/>
      <c r="S63" s="138"/>
      <c r="T63" s="268"/>
      <c r="U63" s="268"/>
      <c r="V63" s="268"/>
      <c r="W63" s="1309"/>
      <c r="X63" s="268"/>
    </row>
    <row r="64" spans="1:24" s="67" customFormat="1" ht="8.1" customHeight="1" thickBot="1" x14ac:dyDescent="0.25">
      <c r="A64" s="2365"/>
      <c r="B64" s="1594"/>
      <c r="C64" s="1594"/>
      <c r="D64" s="1594"/>
      <c r="E64" s="1594"/>
      <c r="F64" s="1594"/>
      <c r="G64" s="1594"/>
      <c r="H64" s="1594"/>
      <c r="I64" s="1594"/>
      <c r="J64" s="1594"/>
      <c r="K64" s="1594"/>
      <c r="L64" s="1594"/>
      <c r="M64" s="1594"/>
      <c r="N64" s="1594"/>
      <c r="O64" s="1594"/>
      <c r="P64" s="1594"/>
      <c r="Q64" s="138"/>
      <c r="R64" s="138"/>
      <c r="S64" s="138"/>
      <c r="T64" s="268"/>
      <c r="U64" s="268"/>
      <c r="V64" s="268"/>
      <c r="W64" s="1309"/>
      <c r="X64" s="268"/>
    </row>
    <row r="65" spans="1:24" s="67" customFormat="1" ht="7.35" customHeight="1" x14ac:dyDescent="0.2">
      <c r="A65" s="2365"/>
      <c r="B65" s="138"/>
      <c r="C65" s="138"/>
      <c r="D65" s="138"/>
      <c r="E65" s="138"/>
      <c r="F65" s="138"/>
      <c r="G65" s="138"/>
      <c r="H65" s="138"/>
      <c r="I65" s="138"/>
      <c r="J65" s="138"/>
      <c r="K65" s="138"/>
      <c r="L65" s="138"/>
      <c r="M65" s="138"/>
      <c r="N65" s="138"/>
      <c r="O65" s="138"/>
      <c r="P65" s="138"/>
      <c r="Q65" s="138"/>
      <c r="R65" s="138"/>
      <c r="S65" s="138"/>
      <c r="T65" s="268"/>
      <c r="U65" s="268"/>
      <c r="V65" s="268"/>
      <c r="W65" s="1309"/>
      <c r="X65" s="268"/>
    </row>
    <row r="66" spans="1:24" s="67" customFormat="1" ht="12" customHeight="1" x14ac:dyDescent="0.2">
      <c r="A66" s="2365"/>
      <c r="B66" s="1" t="s">
        <v>1115</v>
      </c>
      <c r="C66" s="1"/>
      <c r="D66" s="138"/>
      <c r="E66" s="138"/>
      <c r="F66" s="138"/>
      <c r="G66" s="138"/>
      <c r="H66" s="138"/>
      <c r="I66" s="138"/>
      <c r="J66" s="138"/>
      <c r="K66" s="138"/>
      <c r="L66" s="138"/>
      <c r="M66" s="138"/>
      <c r="N66" s="138"/>
      <c r="O66" s="138"/>
      <c r="P66" s="138"/>
      <c r="Q66" s="138"/>
      <c r="R66" s="138"/>
      <c r="S66" s="138"/>
      <c r="T66" s="268"/>
      <c r="U66" s="268"/>
      <c r="V66" s="268"/>
      <c r="W66" s="1309"/>
      <c r="X66" s="268"/>
    </row>
    <row r="67" spans="1:24" s="67" customFormat="1" ht="15" customHeight="1" x14ac:dyDescent="0.2">
      <c r="A67" s="2365"/>
      <c r="B67" s="2634" t="s">
        <v>1116</v>
      </c>
      <c r="C67" s="2635"/>
      <c r="D67" s="2635"/>
      <c r="E67" s="2635"/>
      <c r="F67" s="2635"/>
      <c r="G67" s="2635"/>
      <c r="H67" s="2635"/>
      <c r="I67" s="2635"/>
      <c r="J67" s="2635"/>
      <c r="K67" s="871"/>
      <c r="L67" s="871"/>
      <c r="M67" s="871"/>
      <c r="N67" s="871"/>
      <c r="O67" s="871"/>
      <c r="P67" s="871"/>
      <c r="Q67" s="138"/>
      <c r="R67" s="138"/>
      <c r="S67" s="138"/>
      <c r="T67" s="268"/>
      <c r="U67" s="268"/>
      <c r="V67" s="268"/>
      <c r="W67" s="1309"/>
      <c r="X67" s="268"/>
    </row>
    <row r="68" spans="1:24" s="67" customFormat="1" ht="12" customHeight="1" x14ac:dyDescent="0.2">
      <c r="A68" s="2365"/>
      <c r="B68" s="138"/>
      <c r="C68" s="138"/>
      <c r="D68" s="138"/>
      <c r="E68" s="138"/>
      <c r="F68" s="138"/>
      <c r="G68" s="138"/>
      <c r="H68" s="138"/>
      <c r="I68" s="1805" t="s">
        <v>1108</v>
      </c>
      <c r="J68" s="2631"/>
      <c r="K68" s="2631"/>
      <c r="L68" s="2632" t="s">
        <v>341</v>
      </c>
      <c r="M68" s="2632"/>
      <c r="N68" s="2633"/>
      <c r="O68" s="2633"/>
      <c r="P68" s="138"/>
      <c r="Q68" s="138"/>
      <c r="R68" s="138"/>
      <c r="S68" s="138"/>
      <c r="T68" s="268"/>
      <c r="U68" s="268"/>
      <c r="V68" s="268"/>
      <c r="W68" s="1309"/>
      <c r="X68" s="268"/>
    </row>
    <row r="69" spans="1:24" s="67" customFormat="1" ht="8.1" customHeight="1" x14ac:dyDescent="0.2">
      <c r="A69" s="2365"/>
      <c r="B69" s="138"/>
      <c r="C69" s="138"/>
      <c r="D69" s="138"/>
      <c r="E69" s="138"/>
      <c r="F69" s="138"/>
      <c r="G69" s="138"/>
      <c r="H69" s="138"/>
      <c r="I69" s="1805"/>
      <c r="J69" s="2287"/>
      <c r="K69" s="2287"/>
      <c r="L69" s="1805"/>
      <c r="M69" s="1805"/>
      <c r="N69" s="2300"/>
      <c r="O69" s="2300"/>
      <c r="P69" s="138"/>
      <c r="Q69" s="138"/>
      <c r="R69" s="138"/>
      <c r="S69" s="138"/>
      <c r="T69" s="268"/>
      <c r="U69" s="268"/>
      <c r="V69" s="268"/>
      <c r="W69" s="1309"/>
      <c r="X69" s="268"/>
    </row>
    <row r="70" spans="1:24" s="67" customFormat="1" ht="12" customHeight="1" x14ac:dyDescent="0.2">
      <c r="A70" s="2365"/>
      <c r="B70" s="11" t="s">
        <v>1117</v>
      </c>
      <c r="C70" s="138"/>
      <c r="D70" s="138"/>
      <c r="E70" s="138"/>
      <c r="F70" s="138"/>
      <c r="G70" s="138"/>
      <c r="H70" s="138"/>
      <c r="I70" s="1805"/>
      <c r="J70" s="2287"/>
      <c r="K70" s="2287"/>
      <c r="L70" s="1805"/>
      <c r="M70" s="1805"/>
      <c r="N70" s="2300"/>
      <c r="O70" s="2300"/>
      <c r="P70" s="138"/>
      <c r="Q70" s="138"/>
      <c r="R70" s="138"/>
      <c r="S70" s="138"/>
      <c r="T70" s="268"/>
      <c r="U70" s="268"/>
      <c r="V70" s="268"/>
      <c r="W70" s="1309"/>
      <c r="X70" s="268"/>
    </row>
    <row r="71" spans="1:24" s="67" customFormat="1" ht="12" customHeight="1" x14ac:dyDescent="0.2">
      <c r="A71" s="2365"/>
      <c r="B71" s="138" t="s">
        <v>1118</v>
      </c>
      <c r="C71" s="1"/>
      <c r="D71" s="138"/>
      <c r="E71" s="138"/>
      <c r="F71" s="138"/>
      <c r="G71" s="138"/>
      <c r="H71" s="138"/>
      <c r="I71" s="2334"/>
      <c r="J71" s="2334"/>
      <c r="K71" s="2334"/>
      <c r="L71" s="2334"/>
      <c r="M71" s="2334"/>
      <c r="N71" s="138"/>
      <c r="O71" s="2334"/>
      <c r="P71" s="138"/>
      <c r="Q71" s="138"/>
      <c r="R71" s="138"/>
      <c r="S71" s="138"/>
      <c r="T71" s="268"/>
      <c r="U71" s="268"/>
      <c r="V71" s="268"/>
      <c r="W71" s="1309"/>
      <c r="X71" s="268"/>
    </row>
    <row r="72" spans="1:24" ht="15" customHeight="1" x14ac:dyDescent="0.2">
      <c r="W72" s="1309"/>
    </row>
    <row r="73" spans="1:24" ht="12.75" x14ac:dyDescent="0.2">
      <c r="W73" s="1309"/>
    </row>
    <row r="75" spans="1:24" s="238" customFormat="1" ht="15" x14ac:dyDescent="0.2">
      <c r="A75" s="421" t="str">
        <f ca="1">MID(CELL("filename",A1),FIND("]",CELL("filename",A1))+1,256)</f>
        <v>315</v>
      </c>
      <c r="B75" s="421" t="s">
        <v>613</v>
      </c>
      <c r="C75" s="1317"/>
      <c r="D75" s="1317"/>
      <c r="E75" s="1317"/>
      <c r="F75" s="1317"/>
      <c r="G75" s="1317"/>
      <c r="H75" s="1317"/>
      <c r="I75" s="1317"/>
      <c r="J75" s="1317"/>
      <c r="K75" s="1317"/>
      <c r="L75" s="1317"/>
      <c r="M75" s="1317"/>
      <c r="N75" s="1317"/>
      <c r="O75" s="1317"/>
      <c r="P75" s="1317"/>
      <c r="Q75" s="1317"/>
      <c r="R75" s="1317"/>
      <c r="S75" s="1317"/>
      <c r="T75" s="1317"/>
      <c r="U75" s="1317"/>
      <c r="V75" s="1317"/>
      <c r="W75" s="1316"/>
      <c r="X75" s="1317"/>
    </row>
    <row r="76" spans="1:24" s="238" customFormat="1" ht="15" x14ac:dyDescent="0.2">
      <c r="A76" s="421" t="s">
        <v>401</v>
      </c>
      <c r="B76" s="421" t="str">
        <f t="shared" ref="B76:B85" ca="1" si="4">IF(ISNA(INDEX(ErrorTable,MATCH($A$75&amp;$A76&amp;FALSE,ErrorKey,0),6)),"",INDEX(ErrorTable,MATCH($A$75&amp;$A76&amp;FALSE,ErrorKey,0),6))</f>
        <v/>
      </c>
      <c r="C76" s="1317"/>
      <c r="D76" s="1317"/>
      <c r="E76" s="1317"/>
      <c r="F76" s="1317"/>
      <c r="G76" s="1317"/>
      <c r="H76" s="1317"/>
      <c r="I76" s="1317"/>
      <c r="J76" s="1317"/>
      <c r="K76" s="1317"/>
      <c r="L76" s="1317"/>
      <c r="M76" s="1317"/>
      <c r="N76" s="1317"/>
      <c r="O76" s="1317"/>
      <c r="P76" s="1317"/>
      <c r="Q76" s="1317"/>
      <c r="R76" s="1317"/>
      <c r="S76" s="1317"/>
      <c r="T76" s="1317"/>
      <c r="U76" s="1317"/>
      <c r="V76" s="1317"/>
      <c r="W76" s="1316"/>
      <c r="X76" s="1317"/>
    </row>
    <row r="77" spans="1:24" s="238" customFormat="1" ht="15" x14ac:dyDescent="0.2">
      <c r="A77" s="421" t="s">
        <v>402</v>
      </c>
      <c r="B77" s="421" t="str">
        <f t="shared" ca="1" si="4"/>
        <v/>
      </c>
      <c r="C77" s="1317"/>
      <c r="D77" s="1317"/>
      <c r="E77" s="1317"/>
      <c r="F77" s="1317"/>
      <c r="G77" s="1317"/>
      <c r="H77" s="1317"/>
      <c r="I77" s="1317"/>
      <c r="J77" s="1317"/>
      <c r="K77" s="1317"/>
      <c r="L77" s="1317"/>
      <c r="M77" s="1317"/>
      <c r="N77" s="1317"/>
      <c r="O77" s="1317"/>
      <c r="P77" s="1317"/>
      <c r="Q77" s="1317"/>
      <c r="R77" s="1317"/>
      <c r="S77" s="1317"/>
      <c r="T77" s="1317"/>
      <c r="U77" s="1317"/>
      <c r="V77" s="1317"/>
      <c r="W77" s="1318"/>
      <c r="X77" s="1317"/>
    </row>
    <row r="78" spans="1:24" s="238" customFormat="1" ht="15" x14ac:dyDescent="0.2">
      <c r="A78" s="421" t="s">
        <v>403</v>
      </c>
      <c r="B78" s="421" t="str">
        <f ca="1">IF(ISNA(INDEX(ErrorTable,MATCH($A$75&amp;$A78&amp;FALSE,ErrorKey,0),6)),"",INDEX(ErrorTable,MATCH($A$75&amp;$A78&amp;FALSE,ErrorKey,0),6))</f>
        <v/>
      </c>
      <c r="C78" s="1317"/>
      <c r="D78" s="1317"/>
      <c r="E78" s="1317"/>
      <c r="F78" s="1317"/>
      <c r="G78" s="1317"/>
      <c r="H78" s="1317"/>
      <c r="I78" s="1317"/>
      <c r="J78" s="1317"/>
      <c r="K78" s="1317"/>
      <c r="L78" s="1317"/>
      <c r="M78" s="1317"/>
      <c r="N78" s="1317"/>
      <c r="O78" s="1317"/>
      <c r="P78" s="1317"/>
      <c r="Q78" s="1317"/>
      <c r="R78" s="1317"/>
      <c r="S78" s="1317"/>
      <c r="T78" s="1317"/>
      <c r="U78" s="1317"/>
      <c r="V78" s="1317"/>
      <c r="W78" s="1318"/>
      <c r="X78" s="1317"/>
    </row>
    <row r="79" spans="1:24" s="238" customFormat="1" ht="15" x14ac:dyDescent="0.2">
      <c r="A79" s="421" t="s">
        <v>404</v>
      </c>
      <c r="B79" s="421" t="str">
        <f ca="1">IF(ISNA(INDEX(ErrorTable,MATCH($A$75&amp;$A79&amp;FALSE,ErrorKey,0),6)),"",INDEX(ErrorTable,MATCH($A$75&amp;$A79&amp;FALSE,ErrorKey,0),6))</f>
        <v/>
      </c>
      <c r="C79" s="1317"/>
      <c r="D79" s="1317"/>
      <c r="E79" s="1317"/>
      <c r="F79" s="1317"/>
      <c r="G79" s="1317"/>
      <c r="H79" s="1317"/>
      <c r="I79" s="1317"/>
      <c r="J79" s="1317"/>
      <c r="K79" s="1317"/>
      <c r="L79" s="1317"/>
      <c r="M79" s="1317"/>
      <c r="N79" s="1317"/>
      <c r="O79" s="1317"/>
      <c r="P79" s="1317"/>
      <c r="Q79" s="1317"/>
      <c r="R79" s="1317"/>
      <c r="S79" s="1317"/>
      <c r="T79" s="1317"/>
      <c r="U79" s="1317"/>
      <c r="V79" s="1317"/>
      <c r="W79" s="1318"/>
      <c r="X79" s="1317"/>
    </row>
    <row r="80" spans="1:24" s="238" customFormat="1" ht="15" x14ac:dyDescent="0.2">
      <c r="A80" s="421" t="s">
        <v>405</v>
      </c>
      <c r="B80" s="421" t="str">
        <f ca="1">IF(ISNA(INDEX(ErrorTable,MATCH($A$75&amp;$A80&amp;FALSE,ErrorKey,0),6)),"",INDEX(ErrorTable,MATCH($A$75&amp;$A80&amp;FALSE,ErrorKey,0),6))</f>
        <v/>
      </c>
      <c r="C80" s="1317"/>
      <c r="D80" s="1317"/>
      <c r="E80" s="1317"/>
      <c r="F80" s="1317"/>
      <c r="G80" s="1317"/>
      <c r="H80" s="1317"/>
      <c r="I80" s="1317"/>
      <c r="J80" s="1317"/>
      <c r="K80" s="1317"/>
      <c r="L80" s="1317"/>
      <c r="M80" s="1317"/>
      <c r="N80" s="1317"/>
      <c r="O80" s="1317"/>
      <c r="P80" s="1317"/>
      <c r="Q80" s="1317"/>
      <c r="R80" s="1317"/>
      <c r="S80" s="1317"/>
      <c r="T80" s="1317"/>
      <c r="U80" s="1317"/>
      <c r="V80" s="1317"/>
      <c r="W80" s="1318"/>
      <c r="X80" s="1317"/>
    </row>
    <row r="81" spans="1:24" s="238" customFormat="1" ht="15" x14ac:dyDescent="0.2">
      <c r="A81" s="421" t="s">
        <v>406</v>
      </c>
      <c r="B81" s="421" t="str">
        <f ca="1">IF(ISNA(INDEX(ErrorTable,MATCH($A$75&amp;$A81&amp;FALSE,ErrorKey,0),6)),"",INDEX(ErrorTable,MATCH($A$75&amp;$A81&amp;FALSE,ErrorKey,0),6))</f>
        <v/>
      </c>
      <c r="C81" s="1317"/>
      <c r="D81" s="1317"/>
      <c r="E81" s="1317"/>
      <c r="F81" s="1317"/>
      <c r="G81" s="1317"/>
      <c r="H81" s="1317"/>
      <c r="I81" s="1317"/>
      <c r="J81" s="1317"/>
      <c r="K81" s="1317"/>
      <c r="L81" s="1317"/>
      <c r="M81" s="1317"/>
      <c r="N81" s="1317"/>
      <c r="O81" s="1317"/>
      <c r="P81" s="1317"/>
      <c r="Q81" s="1317"/>
      <c r="R81" s="1317"/>
      <c r="S81" s="1317"/>
      <c r="T81" s="1317"/>
      <c r="U81" s="1317"/>
      <c r="V81" s="1317"/>
      <c r="W81" s="1318"/>
      <c r="X81" s="1317"/>
    </row>
    <row r="82" spans="1:24" s="238" customFormat="1" ht="15" x14ac:dyDescent="0.2">
      <c r="A82" s="421" t="s">
        <v>407</v>
      </c>
      <c r="B82" s="421" t="str">
        <f ca="1">IF(ISNA(INDEX(ErrorTable,MATCH($A$75&amp;$A82&amp;FALSE,ErrorKey,0),6)),"",INDEX(ErrorTable,MATCH($A$75&amp;$A82&amp;FALSE,ErrorKey,0),6))</f>
        <v/>
      </c>
      <c r="C82" s="1317"/>
      <c r="D82" s="1317"/>
      <c r="E82" s="1317"/>
      <c r="F82" s="1317"/>
      <c r="G82" s="1317"/>
      <c r="H82" s="1317"/>
      <c r="I82" s="1317"/>
      <c r="J82" s="1317"/>
      <c r="K82" s="1317"/>
      <c r="L82" s="1317"/>
      <c r="M82" s="1317"/>
      <c r="N82" s="1317"/>
      <c r="O82" s="1317"/>
      <c r="P82" s="1317"/>
      <c r="Q82" s="1317"/>
      <c r="R82" s="1317"/>
      <c r="S82" s="1317"/>
      <c r="T82" s="1317"/>
      <c r="U82" s="1317"/>
      <c r="V82" s="1317"/>
      <c r="W82" s="1318"/>
      <c r="X82" s="1317"/>
    </row>
    <row r="83" spans="1:24" s="238" customFormat="1" ht="15" x14ac:dyDescent="0.2">
      <c r="A83" s="421" t="s">
        <v>408</v>
      </c>
      <c r="B83" s="421" t="str">
        <f t="shared" ca="1" si="4"/>
        <v/>
      </c>
      <c r="C83" s="1317"/>
      <c r="D83" s="1317"/>
      <c r="E83" s="1317"/>
      <c r="F83" s="1317"/>
      <c r="G83" s="1317"/>
      <c r="H83" s="1317"/>
      <c r="I83" s="1317"/>
      <c r="J83" s="1317"/>
      <c r="K83" s="1317"/>
      <c r="L83" s="1317"/>
      <c r="M83" s="1317"/>
      <c r="N83" s="1317"/>
      <c r="O83" s="1317"/>
      <c r="P83" s="1317"/>
      <c r="Q83" s="1317"/>
      <c r="R83" s="1317"/>
      <c r="S83" s="1317"/>
      <c r="T83" s="1317"/>
      <c r="U83" s="1317"/>
      <c r="V83" s="1317"/>
      <c r="W83" s="1318"/>
      <c r="X83" s="1317"/>
    </row>
    <row r="84" spans="1:24" s="238" customFormat="1" ht="15" x14ac:dyDescent="0.2">
      <c r="A84" s="421" t="s">
        <v>409</v>
      </c>
      <c r="B84" s="421" t="str">
        <f t="shared" ca="1" si="4"/>
        <v/>
      </c>
      <c r="C84" s="1317"/>
      <c r="D84" s="1317"/>
      <c r="E84" s="1317"/>
      <c r="F84" s="1317"/>
      <c r="G84" s="1317"/>
      <c r="H84" s="1317"/>
      <c r="I84" s="1317"/>
      <c r="J84" s="1317"/>
      <c r="K84" s="1317"/>
      <c r="L84" s="1317"/>
      <c r="M84" s="1317"/>
      <c r="N84" s="1317"/>
      <c r="O84" s="1317"/>
      <c r="P84" s="1317"/>
      <c r="Q84" s="1317"/>
      <c r="R84" s="1317"/>
      <c r="S84" s="1317"/>
      <c r="T84" s="1317"/>
      <c r="U84" s="1317"/>
      <c r="V84" s="1317"/>
      <c r="W84" s="1318"/>
      <c r="X84" s="1317"/>
    </row>
    <row r="85" spans="1:24" s="238" customFormat="1" ht="15" x14ac:dyDescent="0.2">
      <c r="A85" s="421" t="s">
        <v>410</v>
      </c>
      <c r="B85" s="421" t="str">
        <f t="shared" ca="1" si="4"/>
        <v/>
      </c>
      <c r="C85" s="1317"/>
      <c r="D85" s="1317"/>
      <c r="E85" s="1317"/>
      <c r="F85" s="1317"/>
      <c r="G85" s="1317"/>
      <c r="H85" s="1317"/>
      <c r="I85" s="1317"/>
      <c r="J85" s="1317"/>
      <c r="K85" s="1317"/>
      <c r="L85" s="1317"/>
      <c r="M85" s="1317"/>
      <c r="N85" s="1317"/>
      <c r="O85" s="1317"/>
      <c r="P85" s="1317"/>
      <c r="Q85" s="1317"/>
      <c r="R85" s="1317"/>
      <c r="S85" s="1317"/>
      <c r="T85" s="1317"/>
      <c r="U85" s="1317"/>
      <c r="V85" s="1317"/>
      <c r="W85" s="1318"/>
      <c r="X85" s="1317"/>
    </row>
    <row r="86" spans="1:24" s="238" customFormat="1" ht="15" x14ac:dyDescent="0.2">
      <c r="A86" s="421"/>
      <c r="B86" s="1317"/>
      <c r="C86" s="1317"/>
      <c r="D86" s="1317"/>
      <c r="E86" s="1317"/>
      <c r="F86" s="1317"/>
      <c r="G86" s="1317"/>
      <c r="H86" s="1317"/>
      <c r="I86" s="1317"/>
      <c r="J86" s="1317"/>
      <c r="K86" s="1317"/>
      <c r="L86" s="1317"/>
      <c r="M86" s="1317"/>
      <c r="N86" s="1317"/>
      <c r="O86" s="1317"/>
      <c r="P86" s="1317"/>
      <c r="Q86" s="1317"/>
      <c r="R86" s="1317"/>
      <c r="S86" s="1317"/>
      <c r="T86" s="1317"/>
      <c r="U86" s="1317"/>
      <c r="V86" s="1317"/>
      <c r="W86" s="1318"/>
      <c r="X86" s="1317"/>
    </row>
    <row r="87" spans="1:24" s="238" customFormat="1" ht="15" x14ac:dyDescent="0.2">
      <c r="A87" s="421"/>
      <c r="B87" s="1317"/>
      <c r="C87" s="1317"/>
      <c r="D87" s="1317"/>
      <c r="E87" s="1317"/>
      <c r="F87" s="1317"/>
      <c r="G87" s="1317"/>
      <c r="H87" s="1317"/>
      <c r="I87" s="1317"/>
      <c r="J87" s="1317"/>
      <c r="K87" s="1317"/>
      <c r="L87" s="1317"/>
      <c r="M87" s="1317"/>
      <c r="N87" s="1317"/>
      <c r="O87" s="1317"/>
      <c r="P87" s="1317"/>
      <c r="Q87" s="1317"/>
      <c r="R87" s="1317"/>
      <c r="S87" s="1317"/>
      <c r="T87" s="1317"/>
      <c r="U87" s="1317"/>
      <c r="V87" s="1317"/>
      <c r="W87" s="1318"/>
      <c r="X87" s="1317"/>
    </row>
    <row r="88" spans="1:24" s="238" customFormat="1" ht="15" x14ac:dyDescent="0.2">
      <c r="A88" s="421"/>
      <c r="B88" s="1317"/>
      <c r="C88" s="1317"/>
      <c r="D88" s="1317"/>
      <c r="E88" s="1317"/>
      <c r="F88" s="1317"/>
      <c r="G88" s="1317"/>
      <c r="H88" s="1317"/>
      <c r="I88" s="1317"/>
      <c r="J88" s="1317"/>
      <c r="K88" s="1317"/>
      <c r="L88" s="1317"/>
      <c r="M88" s="1317"/>
      <c r="N88" s="1317"/>
      <c r="O88" s="1317"/>
      <c r="P88" s="1317"/>
      <c r="Q88" s="1317"/>
      <c r="R88" s="1317"/>
      <c r="S88" s="1317"/>
      <c r="T88" s="1317"/>
      <c r="U88" s="1317"/>
      <c r="V88" s="1317"/>
      <c r="W88" s="1318"/>
      <c r="X88" s="1317"/>
    </row>
    <row r="89" spans="1:24" s="238" customFormat="1" ht="15" x14ac:dyDescent="0.2">
      <c r="A89" s="421"/>
      <c r="B89" s="1317"/>
      <c r="C89" s="1317"/>
      <c r="D89" s="1317"/>
      <c r="E89" s="1317"/>
      <c r="F89" s="1317"/>
      <c r="G89" s="1317"/>
      <c r="H89" s="1317"/>
      <c r="I89" s="1317"/>
      <c r="J89" s="1317"/>
      <c r="K89" s="1317"/>
      <c r="L89" s="1317"/>
      <c r="M89" s="1317"/>
      <c r="N89" s="1317"/>
      <c r="O89" s="1317"/>
      <c r="P89" s="1317"/>
      <c r="Q89" s="1317"/>
      <c r="R89" s="1317"/>
      <c r="S89" s="1317"/>
      <c r="T89" s="1317"/>
      <c r="U89" s="1317"/>
      <c r="V89" s="1317"/>
      <c r="W89" s="1318"/>
      <c r="X89" s="1317"/>
    </row>
    <row r="90" spans="1:24" s="238" customFormat="1" ht="15" x14ac:dyDescent="0.2">
      <c r="A90" s="421"/>
      <c r="B90" s="1317"/>
      <c r="C90" s="1317"/>
      <c r="D90" s="1317"/>
      <c r="E90" s="1317"/>
      <c r="F90" s="1317"/>
      <c r="G90" s="1317"/>
      <c r="H90" s="1317"/>
      <c r="I90" s="1317"/>
      <c r="J90" s="1317"/>
      <c r="K90" s="1317"/>
      <c r="L90" s="1317"/>
      <c r="M90" s="1317"/>
      <c r="N90" s="1317"/>
      <c r="O90" s="1317"/>
      <c r="P90" s="1317"/>
      <c r="Q90" s="1317"/>
      <c r="R90" s="1317"/>
      <c r="S90" s="1317"/>
      <c r="T90" s="1317"/>
      <c r="U90" s="1317"/>
      <c r="V90" s="1317"/>
      <c r="W90" s="1318"/>
      <c r="X90" s="1317"/>
    </row>
    <row r="91" spans="1:24" s="238" customFormat="1" ht="15" x14ac:dyDescent="0.2">
      <c r="A91" s="421"/>
      <c r="B91" s="1317"/>
      <c r="C91" s="1317"/>
      <c r="D91" s="1317"/>
      <c r="E91" s="1317"/>
      <c r="F91" s="1317"/>
      <c r="G91" s="1317"/>
      <c r="H91" s="1317"/>
      <c r="I91" s="1317"/>
      <c r="J91" s="1317"/>
      <c r="K91" s="1317"/>
      <c r="L91" s="1317"/>
      <c r="M91" s="1317"/>
      <c r="N91" s="1317"/>
      <c r="O91" s="1317"/>
      <c r="P91" s="1317"/>
      <c r="Q91" s="1317"/>
      <c r="R91" s="1317"/>
      <c r="S91" s="1317"/>
      <c r="T91" s="1317"/>
      <c r="U91" s="1317"/>
      <c r="V91" s="1317"/>
      <c r="W91" s="1318"/>
      <c r="X91" s="1317"/>
    </row>
    <row r="92" spans="1:24" s="238" customFormat="1" ht="15" x14ac:dyDescent="0.2">
      <c r="A92" s="421"/>
      <c r="B92" s="1317"/>
      <c r="C92" s="1317"/>
      <c r="D92" s="1317"/>
      <c r="E92" s="1317"/>
      <c r="F92" s="1317"/>
      <c r="G92" s="1317"/>
      <c r="H92" s="1317"/>
      <c r="I92" s="1317"/>
      <c r="J92" s="1317"/>
      <c r="K92" s="1317"/>
      <c r="L92" s="1317"/>
      <c r="M92" s="1317"/>
      <c r="N92" s="1317"/>
      <c r="O92" s="1317"/>
      <c r="P92" s="1317"/>
      <c r="Q92" s="1317"/>
      <c r="R92" s="1317"/>
      <c r="S92" s="1317"/>
      <c r="T92" s="1317"/>
      <c r="U92" s="1317"/>
      <c r="V92" s="1317"/>
      <c r="W92" s="1318"/>
      <c r="X92" s="1317"/>
    </row>
    <row r="93" spans="1:24" s="238" customFormat="1" ht="15" x14ac:dyDescent="0.2">
      <c r="A93" s="421"/>
      <c r="B93" s="1317"/>
      <c r="C93" s="1317"/>
      <c r="D93" s="1317"/>
      <c r="E93" s="1317"/>
      <c r="F93" s="1317"/>
      <c r="G93" s="1317"/>
      <c r="H93" s="1317"/>
      <c r="I93" s="1317"/>
      <c r="J93" s="1317"/>
      <c r="K93" s="1317"/>
      <c r="L93" s="1317"/>
      <c r="M93" s="1317"/>
      <c r="N93" s="1317"/>
      <c r="O93" s="1317"/>
      <c r="P93" s="1317"/>
      <c r="Q93" s="1317"/>
      <c r="R93" s="1317"/>
      <c r="S93" s="1317"/>
      <c r="T93" s="1317"/>
      <c r="U93" s="1317"/>
      <c r="V93" s="1317"/>
      <c r="W93" s="1318"/>
      <c r="X93" s="1317"/>
    </row>
    <row r="94" spans="1:24" s="238" customFormat="1" ht="15" x14ac:dyDescent="0.2">
      <c r="A94" s="421"/>
      <c r="B94" s="1317"/>
      <c r="C94" s="1317"/>
      <c r="D94" s="1317"/>
      <c r="E94" s="1317"/>
      <c r="F94" s="1317"/>
      <c r="G94" s="1317"/>
      <c r="H94" s="1317"/>
      <c r="I94" s="1317"/>
      <c r="J94" s="1317"/>
      <c r="K94" s="1317"/>
      <c r="L94" s="1317"/>
      <c r="M94" s="1317"/>
      <c r="N94" s="1317"/>
      <c r="O94" s="1317"/>
      <c r="P94" s="1317"/>
      <c r="Q94" s="1317"/>
      <c r="R94" s="1317"/>
      <c r="S94" s="1317"/>
      <c r="T94" s="1317"/>
      <c r="U94" s="1317"/>
      <c r="V94" s="1317"/>
      <c r="W94" s="1318"/>
      <c r="X94" s="1317"/>
    </row>
    <row r="95" spans="1:24" s="238" customFormat="1" ht="15" x14ac:dyDescent="0.2">
      <c r="A95" s="421"/>
      <c r="B95" s="1317"/>
      <c r="C95" s="1317"/>
      <c r="D95" s="1317"/>
      <c r="E95" s="1317"/>
      <c r="F95" s="1317"/>
      <c r="G95" s="1317"/>
      <c r="H95" s="1317"/>
      <c r="I95" s="1317"/>
      <c r="J95" s="1317"/>
      <c r="K95" s="1317"/>
      <c r="L95" s="1317"/>
      <c r="M95" s="1317"/>
      <c r="N95" s="1317"/>
      <c r="O95" s="1317"/>
      <c r="P95" s="1317"/>
      <c r="Q95" s="1317"/>
      <c r="R95" s="1317"/>
      <c r="S95" s="1317"/>
      <c r="T95" s="1317"/>
      <c r="U95" s="1317"/>
      <c r="V95" s="1317"/>
      <c r="W95" s="1318"/>
      <c r="X95" s="1317"/>
    </row>
    <row r="96" spans="1:24" s="238" customFormat="1" ht="15" x14ac:dyDescent="0.2">
      <c r="A96" s="421"/>
      <c r="B96" s="1317"/>
      <c r="C96" s="1317"/>
      <c r="D96" s="1317"/>
      <c r="E96" s="1317"/>
      <c r="F96" s="1317"/>
      <c r="G96" s="1317"/>
      <c r="H96" s="1317"/>
      <c r="I96" s="1317"/>
      <c r="J96" s="1317"/>
      <c r="K96" s="1317"/>
      <c r="L96" s="1317"/>
      <c r="M96" s="1317"/>
      <c r="N96" s="1317"/>
      <c r="O96" s="1317"/>
      <c r="P96" s="1317"/>
      <c r="Q96" s="1317"/>
      <c r="R96" s="1317"/>
      <c r="S96" s="1317"/>
      <c r="T96" s="1317"/>
      <c r="U96" s="1317"/>
      <c r="V96" s="1317"/>
      <c r="W96" s="1318"/>
      <c r="X96" s="1317"/>
    </row>
    <row r="97" spans="1:24" s="238" customFormat="1" ht="15" x14ac:dyDescent="0.2">
      <c r="A97" s="421"/>
      <c r="B97" s="1317"/>
      <c r="C97" s="1317"/>
      <c r="D97" s="1317"/>
      <c r="E97" s="1317"/>
      <c r="F97" s="1317"/>
      <c r="G97" s="1317"/>
      <c r="H97" s="1317"/>
      <c r="I97" s="1317"/>
      <c r="J97" s="1317"/>
      <c r="K97" s="1317"/>
      <c r="L97" s="1317"/>
      <c r="M97" s="1317"/>
      <c r="N97" s="1317"/>
      <c r="O97" s="1317"/>
      <c r="P97" s="1317"/>
      <c r="Q97" s="1317"/>
      <c r="R97" s="1317"/>
      <c r="S97" s="1317"/>
      <c r="T97" s="1317"/>
      <c r="U97" s="1317"/>
      <c r="V97" s="1317"/>
      <c r="W97" s="1318"/>
      <c r="X97" s="1317"/>
    </row>
    <row r="98" spans="1:24" s="238" customFormat="1" ht="15" x14ac:dyDescent="0.2">
      <c r="A98" s="421"/>
      <c r="B98" s="1317"/>
      <c r="C98" s="1317"/>
      <c r="D98" s="1317"/>
      <c r="E98" s="1317"/>
      <c r="F98" s="1317"/>
      <c r="G98" s="1317"/>
      <c r="H98" s="1317"/>
      <c r="I98" s="1317"/>
      <c r="J98" s="1317"/>
      <c r="K98" s="1317"/>
      <c r="L98" s="1317"/>
      <c r="M98" s="1317"/>
      <c r="N98" s="1317"/>
      <c r="O98" s="1317"/>
      <c r="P98" s="1317"/>
      <c r="Q98" s="1317"/>
      <c r="R98" s="1317"/>
      <c r="S98" s="1317"/>
      <c r="T98" s="1317"/>
      <c r="U98" s="1317"/>
      <c r="V98" s="1317"/>
      <c r="W98" s="1318"/>
      <c r="X98" s="1317"/>
    </row>
    <row r="99" spans="1:24" s="238" customFormat="1" ht="15" x14ac:dyDescent="0.2">
      <c r="A99" s="421"/>
      <c r="B99" s="1317"/>
      <c r="C99" s="1317"/>
      <c r="D99" s="1317"/>
      <c r="E99" s="1317"/>
      <c r="F99" s="1317"/>
      <c r="G99" s="1317"/>
      <c r="H99" s="1317"/>
      <c r="I99" s="1317"/>
      <c r="J99" s="1317"/>
      <c r="K99" s="1317"/>
      <c r="L99" s="1317"/>
      <c r="M99" s="1317"/>
      <c r="N99" s="1317"/>
      <c r="O99" s="1317"/>
      <c r="P99" s="1317"/>
      <c r="Q99" s="1317"/>
      <c r="R99" s="1317"/>
      <c r="S99" s="1317"/>
      <c r="T99" s="1317"/>
      <c r="U99" s="1317"/>
      <c r="V99" s="1317"/>
      <c r="W99" s="1318"/>
      <c r="X99" s="1317"/>
    </row>
    <row r="100" spans="1:24" s="238" customFormat="1" ht="15" x14ac:dyDescent="0.2">
      <c r="A100" s="421"/>
      <c r="B100" s="1317"/>
      <c r="C100" s="1317"/>
      <c r="D100" s="1317"/>
      <c r="E100" s="1317"/>
      <c r="F100" s="1317"/>
      <c r="G100" s="1317"/>
      <c r="H100" s="1317"/>
      <c r="I100" s="1317"/>
      <c r="J100" s="1317"/>
      <c r="K100" s="1317"/>
      <c r="L100" s="1317"/>
      <c r="M100" s="1317"/>
      <c r="N100" s="1317"/>
      <c r="O100" s="1317"/>
      <c r="P100" s="1317"/>
      <c r="Q100" s="1317"/>
      <c r="R100" s="1317"/>
      <c r="S100" s="1317"/>
      <c r="T100" s="1317"/>
      <c r="U100" s="1317"/>
      <c r="V100" s="1317"/>
      <c r="W100" s="1318"/>
      <c r="X100" s="1317"/>
    </row>
    <row r="101" spans="1:24" s="238" customFormat="1" ht="15" x14ac:dyDescent="0.2">
      <c r="A101" s="421"/>
      <c r="B101" s="1317"/>
      <c r="C101" s="1317"/>
      <c r="D101" s="1317"/>
      <c r="E101" s="1317"/>
      <c r="F101" s="1317"/>
      <c r="G101" s="1317"/>
      <c r="H101" s="1317"/>
      <c r="I101" s="1317"/>
      <c r="J101" s="1317"/>
      <c r="K101" s="1317"/>
      <c r="L101" s="1317"/>
      <c r="M101" s="1317"/>
      <c r="N101" s="1317"/>
      <c r="O101" s="1317"/>
      <c r="P101" s="1317"/>
      <c r="Q101" s="1317"/>
      <c r="R101" s="1317"/>
      <c r="S101" s="1317"/>
      <c r="T101" s="1317"/>
      <c r="U101" s="1317"/>
      <c r="V101" s="1317"/>
      <c r="W101" s="1318"/>
      <c r="X101" s="1317"/>
    </row>
    <row r="102" spans="1:24" s="238" customFormat="1" ht="15" x14ac:dyDescent="0.2">
      <c r="A102" s="421"/>
      <c r="B102" s="1317"/>
      <c r="C102" s="1317"/>
      <c r="D102" s="1317"/>
      <c r="E102" s="1317"/>
      <c r="F102" s="1317"/>
      <c r="G102" s="1317"/>
      <c r="H102" s="1317"/>
      <c r="I102" s="1317"/>
      <c r="J102" s="1317"/>
      <c r="K102" s="1317"/>
      <c r="L102" s="1317"/>
      <c r="M102" s="1317"/>
      <c r="N102" s="1317"/>
      <c r="O102" s="1317"/>
      <c r="P102" s="1317"/>
      <c r="Q102" s="1317"/>
      <c r="R102" s="1317"/>
      <c r="S102" s="1317"/>
      <c r="T102" s="1317"/>
      <c r="U102" s="1317"/>
      <c r="V102" s="1317"/>
      <c r="W102" s="1318"/>
      <c r="X102" s="1317"/>
    </row>
    <row r="103" spans="1:24" s="238" customFormat="1" ht="15" x14ac:dyDescent="0.2">
      <c r="A103" s="421"/>
      <c r="B103" s="1317"/>
      <c r="C103" s="1317"/>
      <c r="D103" s="1317"/>
      <c r="E103" s="1317"/>
      <c r="F103" s="1317"/>
      <c r="G103" s="1317"/>
      <c r="H103" s="1317"/>
      <c r="I103" s="1317"/>
      <c r="J103" s="1317"/>
      <c r="K103" s="1317"/>
      <c r="L103" s="1317"/>
      <c r="M103" s="1317"/>
      <c r="N103" s="1317"/>
      <c r="O103" s="1317"/>
      <c r="P103" s="1317"/>
      <c r="Q103" s="1317"/>
      <c r="R103" s="1317"/>
      <c r="S103" s="1317"/>
      <c r="T103" s="1317"/>
      <c r="U103" s="1317"/>
      <c r="V103" s="1317"/>
      <c r="W103" s="1318"/>
      <c r="X103" s="1317"/>
    </row>
    <row r="104" spans="1:24" s="238" customFormat="1" ht="15" x14ac:dyDescent="0.2">
      <c r="A104" s="421"/>
      <c r="B104" s="1317"/>
      <c r="C104" s="1317"/>
      <c r="D104" s="1317"/>
      <c r="E104" s="1317"/>
      <c r="F104" s="1317"/>
      <c r="G104" s="1317"/>
      <c r="H104" s="1317"/>
      <c r="I104" s="1317"/>
      <c r="J104" s="1317"/>
      <c r="K104" s="1317"/>
      <c r="L104" s="1317"/>
      <c r="M104" s="1317"/>
      <c r="N104" s="1317"/>
      <c r="O104" s="1317"/>
      <c r="P104" s="1317"/>
      <c r="Q104" s="1317"/>
      <c r="R104" s="1317"/>
      <c r="S104" s="1317"/>
      <c r="T104" s="1317"/>
      <c r="U104" s="1317"/>
      <c r="V104" s="1317"/>
      <c r="W104" s="1318"/>
      <c r="X104" s="1317"/>
    </row>
    <row r="105" spans="1:24" ht="15" x14ac:dyDescent="0.2">
      <c r="W105" s="1318"/>
    </row>
    <row r="106" spans="1:24" ht="15" x14ac:dyDescent="0.2">
      <c r="W106" s="1318"/>
    </row>
  </sheetData>
  <sheetProtection algorithmName="SHA-512" hashValue="0YZ/H1vkdzM1Ul61tVuMCkYDp7IKBvkc9+lZS6bE2L4bRWUuEV+Sn9rD4ja2ZO+fflD0u6NHSTyKZCoiPNPbYg==" saltValue="ZJ9tMbTtlHroAvmSKeIQtw==" spinCount="100000" sheet="1" autoFilter="0"/>
  <customSheetViews>
    <customSheetView guid="{9FCFC836-1CA5-48BF-958D-24D2EA94B219}" showGridLines="0" fitToPage="1" hiddenRows="1" hiddenColumns="1" topLeftCell="B29">
      <selection activeCell="L78" sqref="L78"/>
      <pageMargins left="0" right="0" top="0" bottom="0" header="0" footer="0"/>
      <pageSetup scale="98" orientation="portrait" r:id="rId1"/>
      <headerFooter alignWithMargins="0">
        <oddFooter>&amp;R&amp;A</oddFooter>
      </headerFooter>
    </customSheetView>
    <customSheetView guid="{B08879A4-635B-4C39-9937-AC7883D562FC}" showGridLines="0" fitToPage="1" hiddenRows="1" hiddenColumns="1" topLeftCell="B29">
      <selection activeCell="L78" sqref="L78"/>
      <pageMargins left="0" right="0" top="0" bottom="0" header="0" footer="0"/>
      <pageSetup scale="98" orientation="portrait" r:id="rId2"/>
      <headerFooter alignWithMargins="0">
        <oddFooter>&amp;R&amp;A</oddFooter>
      </headerFooter>
    </customSheetView>
  </customSheetViews>
  <mergeCells count="36">
    <mergeCell ref="K38:P40"/>
    <mergeCell ref="K41:M41"/>
    <mergeCell ref="N41:P41"/>
    <mergeCell ref="K36:P36"/>
    <mergeCell ref="N42:P42"/>
    <mergeCell ref="K42:M42"/>
    <mergeCell ref="K46:P46"/>
    <mergeCell ref="K44:P45"/>
    <mergeCell ref="L55:M55"/>
    <mergeCell ref="N55:O55"/>
    <mergeCell ref="C57:E57"/>
    <mergeCell ref="J55:K55"/>
    <mergeCell ref="J68:K68"/>
    <mergeCell ref="L68:M68"/>
    <mergeCell ref="N68:O68"/>
    <mergeCell ref="J50:K50"/>
    <mergeCell ref="L50:M50"/>
    <mergeCell ref="L61:M61"/>
    <mergeCell ref="N61:O61"/>
    <mergeCell ref="J61:K61"/>
    <mergeCell ref="B67:J67"/>
    <mergeCell ref="F57:P57"/>
    <mergeCell ref="C58:P58"/>
    <mergeCell ref="N50:O50"/>
    <mergeCell ref="Q1:Q3"/>
    <mergeCell ref="K33:P35"/>
    <mergeCell ref="I7:P7"/>
    <mergeCell ref="I8:P8"/>
    <mergeCell ref="I9:P9"/>
    <mergeCell ref="B1:P1"/>
    <mergeCell ref="B2:P2"/>
    <mergeCell ref="B3:P3"/>
    <mergeCell ref="B4:P4"/>
    <mergeCell ref="G6:P6"/>
    <mergeCell ref="I10:P10"/>
    <mergeCell ref="B5:P5"/>
  </mergeCells>
  <phoneticPr fontId="18" type="noConversion"/>
  <conditionalFormatting sqref="Q1:Q3">
    <cfRule type="cellIs" dxfId="129" priority="1" stopIfTrue="1" operator="equal">
      <formula>"na"</formula>
    </cfRule>
  </conditionalFormatting>
  <dataValidations count="4">
    <dataValidation type="decimal" operator="greaterThanOrEqual" allowBlank="1" showInputMessage="1" showErrorMessage="1" errorTitle="Invalid amount!" error="Amount must be positive." sqref="G33:G45 I33:I45 K36:P36 K42:P42" xr:uid="{00000000-0002-0000-0E00-000000000000}">
      <formula1>0</formula1>
    </dataValidation>
    <dataValidation type="textLength" operator="equal" allowBlank="1" showErrorMessage="1" errorTitle="Invalid input!" error="Enter a single x." sqref="D15 D23 D17 D19 D21 D25:D29" xr:uid="{00000000-0002-0000-0E00-000001000000}">
      <formula1>1</formula1>
    </dataValidation>
    <dataValidation type="list" showInputMessage="1" showErrorMessage="1" sqref="Q50" xr:uid="{00000000-0002-0000-0E00-000002000000}">
      <formula1>$V$41:$V$44</formula1>
    </dataValidation>
    <dataValidation type="list" allowBlank="1" showInputMessage="1" showErrorMessage="1" sqref="E8" xr:uid="{78B44C8A-BE2C-4252-AE8F-3BE16C65714E}">
      <formula1>"GovtAct,BTAAct"</formula1>
    </dataValidation>
  </dataValidations>
  <hyperlinks>
    <hyperlink ref="B1:P1" location="Index!A1" display="Index!A1" xr:uid="{00000000-0004-0000-0E00-000000000000}"/>
  </hyperlinks>
  <pageMargins left="0.6" right="0.6" top="0.5" bottom="0.5" header="0.3" footer="0.3"/>
  <pageSetup scale="85" orientation="portrait"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6"/>
  <dimension ref="A1:AG82"/>
  <sheetViews>
    <sheetView showGridLines="0" topLeftCell="B1" zoomScaleNormal="100" zoomScaleSheetLayoutView="100" workbookViewId="0">
      <selection activeCell="D15" sqref="D15"/>
    </sheetView>
  </sheetViews>
  <sheetFormatPr defaultColWidth="9.42578125" defaultRowHeight="11.25" x14ac:dyDescent="0.2"/>
  <cols>
    <col min="1" max="1" width="9.42578125" style="240" hidden="1" customWidth="1"/>
    <col min="2" max="2" width="1.5703125" style="15" customWidth="1"/>
    <col min="3" max="3" width="11.85546875" style="15" bestFit="1" customWidth="1"/>
    <col min="4" max="4" width="5.5703125" style="15" customWidth="1"/>
    <col min="5" max="5" width="11" style="15" customWidth="1"/>
    <col min="6" max="6" width="3.5703125" style="15" customWidth="1"/>
    <col min="7" max="7" width="15.5703125" style="15" customWidth="1"/>
    <col min="8" max="8" width="1.5703125" style="15" customWidth="1"/>
    <col min="9" max="9" width="15.5703125" style="15" customWidth="1"/>
    <col min="10" max="10" width="1.5703125" style="15" customWidth="1"/>
    <col min="11" max="11" width="15.5703125" style="15" customWidth="1"/>
    <col min="12" max="12" width="1.5703125" style="15" customWidth="1"/>
    <col min="13" max="18" width="3.42578125" style="15" customWidth="1"/>
    <col min="19" max="19" width="4.5703125" style="15" customWidth="1"/>
    <col min="20" max="20" width="0" style="15" hidden="1" customWidth="1"/>
    <col min="21" max="22" width="9.42578125" style="240" hidden="1" customWidth="1"/>
    <col min="23" max="16384" width="9.42578125" style="15"/>
  </cols>
  <sheetData>
    <row r="1" spans="1:33" s="12" customFormat="1" ht="15" customHeight="1" x14ac:dyDescent="0.25">
      <c r="A1" s="239"/>
      <c r="B1" s="2553" t="str">
        <f>+Index!$A$1</f>
        <v xml:space="preserve">                                                               Office of the State Controller                                                                </v>
      </c>
      <c r="C1" s="2553"/>
      <c r="D1" s="2553"/>
      <c r="E1" s="2553"/>
      <c r="F1" s="2553"/>
      <c r="G1" s="2553"/>
      <c r="H1" s="2553"/>
      <c r="I1" s="2553"/>
      <c r="J1" s="2553"/>
      <c r="K1" s="2553"/>
      <c r="L1" s="2553"/>
      <c r="M1" s="2553"/>
      <c r="N1" s="2553"/>
      <c r="O1" s="2553"/>
      <c r="P1" s="2553"/>
      <c r="Q1" s="2553"/>
      <c r="R1" s="2553"/>
      <c r="S1" s="2626" t="str">
        <f>IF(Index!$B$36="na","NA","")</f>
        <v/>
      </c>
      <c r="U1" s="239"/>
      <c r="V1" s="239"/>
      <c r="AG1" s="13"/>
    </row>
    <row r="2" spans="1:33" s="12" customFormat="1" ht="15" customHeight="1" x14ac:dyDescent="0.25">
      <c r="A2" s="239"/>
      <c r="B2" s="2624" t="str">
        <f>+Index!$A$2</f>
        <v>2024 ACFR Worksheets</v>
      </c>
      <c r="C2" s="2624"/>
      <c r="D2" s="2624"/>
      <c r="E2" s="2624"/>
      <c r="F2" s="2624"/>
      <c r="G2" s="2624"/>
      <c r="H2" s="2624"/>
      <c r="I2" s="2624"/>
      <c r="J2" s="2624"/>
      <c r="K2" s="2624"/>
      <c r="L2" s="2624"/>
      <c r="M2" s="2624"/>
      <c r="N2" s="2624"/>
      <c r="O2" s="2624"/>
      <c r="P2" s="2624"/>
      <c r="Q2" s="2624"/>
      <c r="R2" s="2624"/>
      <c r="S2" s="2626"/>
      <c r="U2" s="239"/>
      <c r="V2" s="239"/>
    </row>
    <row r="3" spans="1:33" s="12" customFormat="1" ht="15" customHeight="1" x14ac:dyDescent="0.25">
      <c r="A3" s="239"/>
      <c r="B3" s="2624" t="s">
        <v>1119</v>
      </c>
      <c r="C3" s="2624"/>
      <c r="D3" s="2624"/>
      <c r="E3" s="2624"/>
      <c r="F3" s="2624"/>
      <c r="G3" s="2624"/>
      <c r="H3" s="2624"/>
      <c r="I3" s="2624"/>
      <c r="J3" s="2624"/>
      <c r="K3" s="2624"/>
      <c r="L3" s="2624"/>
      <c r="M3" s="2624"/>
      <c r="N3" s="2624"/>
      <c r="O3" s="2624"/>
      <c r="P3" s="2624"/>
      <c r="Q3" s="2624"/>
      <c r="R3" s="2624"/>
      <c r="S3" s="2626"/>
      <c r="U3" s="239"/>
      <c r="V3" s="239"/>
    </row>
    <row r="4" spans="1:33" s="12" customFormat="1" ht="15" customHeight="1" x14ac:dyDescent="0.25">
      <c r="A4" s="239"/>
      <c r="B4" s="2624" t="s">
        <v>1120</v>
      </c>
      <c r="C4" s="2624"/>
      <c r="D4" s="2624"/>
      <c r="E4" s="2624"/>
      <c r="F4" s="2624"/>
      <c r="G4" s="2624"/>
      <c r="H4" s="2624"/>
      <c r="I4" s="2624"/>
      <c r="J4" s="2624"/>
      <c r="K4" s="2624"/>
      <c r="L4" s="2624"/>
      <c r="M4" s="2624"/>
      <c r="N4" s="2624"/>
      <c r="O4" s="2624"/>
      <c r="P4" s="2624"/>
      <c r="Q4" s="2624"/>
      <c r="R4" s="2624"/>
      <c r="S4" s="14"/>
      <c r="U4" s="239"/>
      <c r="V4" s="239"/>
    </row>
    <row r="5" spans="1:33" s="12" customFormat="1" ht="15" customHeight="1" x14ac:dyDescent="0.25">
      <c r="A5" s="239"/>
      <c r="B5" s="2624" t="s">
        <v>1121</v>
      </c>
      <c r="C5" s="2624"/>
      <c r="D5" s="2624"/>
      <c r="E5" s="2624"/>
      <c r="F5" s="2624"/>
      <c r="G5" s="2624"/>
      <c r="H5" s="2624"/>
      <c r="I5" s="2624"/>
      <c r="J5" s="2624"/>
      <c r="K5" s="2624"/>
      <c r="L5" s="2624"/>
      <c r="M5" s="2624"/>
      <c r="N5" s="2624"/>
      <c r="O5" s="2624"/>
      <c r="P5" s="2624"/>
      <c r="Q5" s="2296"/>
      <c r="R5" s="2296"/>
      <c r="S5" s="14"/>
      <c r="U5" s="239"/>
      <c r="V5" s="239"/>
    </row>
    <row r="6" spans="1:33" s="67" customFormat="1" ht="12" customHeight="1" x14ac:dyDescent="0.2">
      <c r="A6" s="2365"/>
      <c r="B6" s="268"/>
      <c r="C6" s="268"/>
      <c r="D6" s="268"/>
      <c r="E6" s="268"/>
      <c r="F6" s="268"/>
      <c r="G6" s="268"/>
      <c r="H6" s="268"/>
      <c r="I6" s="268"/>
      <c r="J6" s="2297" t="s">
        <v>1081</v>
      </c>
      <c r="K6" s="268"/>
      <c r="L6" s="2297"/>
      <c r="M6" s="2297"/>
      <c r="N6" s="2297"/>
      <c r="O6" s="2297"/>
      <c r="P6" s="2297"/>
      <c r="Q6" s="2297"/>
      <c r="R6" s="2297"/>
      <c r="S6" s="268"/>
      <c r="T6" s="268"/>
      <c r="U6" s="2365"/>
      <c r="V6" s="2365"/>
      <c r="W6" s="268"/>
      <c r="X6" s="268"/>
      <c r="Y6" s="268"/>
      <c r="Z6" s="268"/>
      <c r="AA6" s="268"/>
      <c r="AB6" s="268"/>
      <c r="AC6" s="268"/>
      <c r="AD6" s="268"/>
      <c r="AE6" s="268"/>
      <c r="AF6" s="268"/>
      <c r="AG6" s="268"/>
    </row>
    <row r="7" spans="1:33" s="67" customFormat="1" ht="12" customHeight="1" x14ac:dyDescent="0.2">
      <c r="A7" s="2365"/>
      <c r="B7" s="268"/>
      <c r="C7" s="268"/>
      <c r="D7" s="268"/>
      <c r="E7" s="267"/>
      <c r="F7" s="268"/>
      <c r="G7" s="268"/>
      <c r="H7" s="1575" t="s">
        <v>318</v>
      </c>
      <c r="I7" s="2596" t="str">
        <f>+Index!$E$10</f>
        <v>01</v>
      </c>
      <c r="J7" s="2596"/>
      <c r="K7" s="2596"/>
      <c r="L7" s="2596"/>
      <c r="M7" s="2596"/>
      <c r="N7" s="2596"/>
      <c r="O7" s="2596"/>
      <c r="P7" s="2596"/>
      <c r="Q7" s="2596"/>
      <c r="R7" s="2596"/>
      <c r="S7" s="21"/>
      <c r="T7" s="268"/>
      <c r="U7" s="2365"/>
      <c r="V7" s="2365"/>
      <c r="W7" s="268"/>
      <c r="X7" s="268"/>
      <c r="Y7" s="268"/>
      <c r="Z7" s="268"/>
      <c r="AA7" s="268"/>
      <c r="AB7" s="268"/>
      <c r="AC7" s="268"/>
      <c r="AD7" s="268"/>
      <c r="AE7" s="268"/>
      <c r="AF7" s="268"/>
      <c r="AG7" s="268"/>
    </row>
    <row r="8" spans="1:33" s="67" customFormat="1" ht="12" customHeight="1" x14ac:dyDescent="0.2">
      <c r="A8" s="2365"/>
      <c r="B8" s="268"/>
      <c r="C8" s="1315" t="s">
        <v>987</v>
      </c>
      <c r="D8" s="268"/>
      <c r="E8" s="1373" t="s">
        <v>885</v>
      </c>
      <c r="F8" s="268"/>
      <c r="G8" s="268"/>
      <c r="H8" s="1575" t="s">
        <v>319</v>
      </c>
      <c r="I8" s="2628" t="str">
        <f>+Index!$E$11</f>
        <v>North Carolina General Assembly</v>
      </c>
      <c r="J8" s="2628"/>
      <c r="K8" s="2628"/>
      <c r="L8" s="2628"/>
      <c r="M8" s="2628"/>
      <c r="N8" s="2628"/>
      <c r="O8" s="2628"/>
      <c r="P8" s="2628"/>
      <c r="Q8" s="2628"/>
      <c r="R8" s="2628"/>
      <c r="S8" s="21"/>
      <c r="T8" s="268"/>
      <c r="U8" s="2365"/>
      <c r="V8" s="2365"/>
      <c r="W8" s="268"/>
      <c r="X8" s="268"/>
      <c r="Y8" s="268"/>
      <c r="Z8" s="268"/>
      <c r="AA8" s="268"/>
      <c r="AB8" s="268"/>
      <c r="AC8" s="268"/>
      <c r="AD8" s="268"/>
      <c r="AE8" s="268"/>
      <c r="AF8" s="268"/>
      <c r="AG8" s="268"/>
    </row>
    <row r="9" spans="1:33" s="67" customFormat="1" ht="12" customHeight="1" x14ac:dyDescent="0.2">
      <c r="A9" s="2365"/>
      <c r="B9" s="268" t="s">
        <v>545</v>
      </c>
      <c r="C9" s="268"/>
      <c r="D9" s="268"/>
      <c r="E9" s="1590" t="s">
        <v>706</v>
      </c>
      <c r="F9" s="268"/>
      <c r="G9" s="268"/>
      <c r="H9" s="1575" t="s">
        <v>320</v>
      </c>
      <c r="I9" s="2629" t="str">
        <f>CONCATENATE(Index!$E$12," ",Index!$E$14)</f>
        <v xml:space="preserve"> </v>
      </c>
      <c r="J9" s="2629"/>
      <c r="K9" s="2629"/>
      <c r="L9" s="2629"/>
      <c r="M9" s="2629"/>
      <c r="N9" s="2629"/>
      <c r="O9" s="2629"/>
      <c r="P9" s="2629"/>
      <c r="Q9" s="2629"/>
      <c r="R9" s="2629"/>
      <c r="S9" s="21"/>
      <c r="T9" s="268"/>
      <c r="U9" s="2365"/>
      <c r="V9" s="2365"/>
      <c r="W9" s="268"/>
      <c r="X9" s="268"/>
      <c r="Y9" s="268"/>
      <c r="Z9" s="268"/>
      <c r="AA9" s="268"/>
      <c r="AB9" s="268"/>
      <c r="AC9" s="268"/>
      <c r="AD9" s="268"/>
      <c r="AE9" s="268"/>
      <c r="AF9" s="268"/>
      <c r="AG9" s="268"/>
    </row>
    <row r="10" spans="1:33" s="67" customFormat="1" ht="12" customHeight="1" x14ac:dyDescent="0.2">
      <c r="A10" s="2365"/>
      <c r="B10" s="268"/>
      <c r="C10" s="268"/>
      <c r="D10" s="268"/>
      <c r="E10" s="267"/>
      <c r="F10" s="268"/>
      <c r="G10" s="268"/>
      <c r="H10" s="1575" t="s">
        <v>168</v>
      </c>
      <c r="I10" s="2629">
        <f>+Index!$E$13</f>
        <v>0</v>
      </c>
      <c r="J10" s="2629"/>
      <c r="K10" s="2629"/>
      <c r="L10" s="2629"/>
      <c r="M10" s="2629"/>
      <c r="N10" s="2629"/>
      <c r="O10" s="2629"/>
      <c r="P10" s="2629"/>
      <c r="Q10" s="2629"/>
      <c r="R10" s="2629"/>
      <c r="S10" s="21"/>
      <c r="T10" s="268"/>
      <c r="U10" s="2365"/>
      <c r="V10" s="2365"/>
      <c r="W10" s="268"/>
      <c r="X10" s="268"/>
      <c r="Y10" s="268"/>
      <c r="Z10" s="268"/>
      <c r="AA10" s="268"/>
      <c r="AB10" s="268"/>
      <c r="AC10" s="268"/>
      <c r="AD10" s="268"/>
      <c r="AE10" s="268"/>
      <c r="AF10" s="268"/>
      <c r="AG10" s="268"/>
    </row>
    <row r="11" spans="1:33" s="67" customFormat="1" ht="6.75" customHeight="1" thickBot="1" x14ac:dyDescent="0.25">
      <c r="A11" s="2365"/>
      <c r="B11" s="1577"/>
      <c r="C11" s="1577"/>
      <c r="D11" s="1577"/>
      <c r="E11" s="1577"/>
      <c r="F11" s="1577"/>
      <c r="G11" s="1577"/>
      <c r="H11" s="1577"/>
      <c r="I11" s="1577"/>
      <c r="J11" s="1577"/>
      <c r="K11" s="1577"/>
      <c r="L11" s="1577"/>
      <c r="M11" s="1577"/>
      <c r="N11" s="1577"/>
      <c r="O11" s="1577"/>
      <c r="P11" s="1577"/>
      <c r="Q11" s="1577"/>
      <c r="R11" s="1577"/>
      <c r="S11" s="268"/>
      <c r="T11" s="268"/>
      <c r="U11" s="2365"/>
      <c r="V11" s="2365"/>
      <c r="W11" s="268"/>
      <c r="X11" s="268"/>
      <c r="Y11" s="268"/>
      <c r="Z11" s="268"/>
      <c r="AA11" s="268"/>
      <c r="AB11" s="268"/>
      <c r="AC11" s="268"/>
      <c r="AD11" s="268"/>
      <c r="AE11" s="268"/>
      <c r="AF11" s="268"/>
      <c r="AG11" s="268"/>
    </row>
    <row r="12" spans="1:33" s="67" customFormat="1" ht="14.1" customHeight="1" x14ac:dyDescent="0.2">
      <c r="A12" s="2365"/>
      <c r="B12" s="268"/>
      <c r="C12" s="268"/>
      <c r="D12" s="268"/>
      <c r="E12" s="268"/>
      <c r="F12" s="268"/>
      <c r="G12" s="268"/>
      <c r="H12" s="268"/>
      <c r="I12" s="268"/>
      <c r="J12" s="268"/>
      <c r="K12" s="268"/>
      <c r="L12" s="268"/>
      <c r="M12" s="268"/>
      <c r="N12" s="268"/>
      <c r="O12" s="268"/>
      <c r="P12" s="268"/>
      <c r="Q12" s="268"/>
      <c r="R12" s="268"/>
      <c r="S12" s="268"/>
      <c r="T12" s="268"/>
      <c r="U12" s="2365"/>
      <c r="V12" s="2365"/>
      <c r="W12" s="268"/>
      <c r="X12" s="268"/>
      <c r="Y12" s="268"/>
      <c r="Z12" s="268"/>
      <c r="AA12" s="268"/>
      <c r="AB12" s="268"/>
      <c r="AC12" s="268"/>
      <c r="AD12" s="268"/>
      <c r="AE12" s="268"/>
      <c r="AF12" s="268"/>
      <c r="AG12" s="268"/>
    </row>
    <row r="13" spans="1:33" s="67" customFormat="1" ht="12" customHeight="1" x14ac:dyDescent="0.2">
      <c r="A13" s="2365">
        <f>SUM(A15:A31)</f>
        <v>0</v>
      </c>
      <c r="B13" s="69" t="s">
        <v>1082</v>
      </c>
      <c r="C13" s="138"/>
      <c r="D13" s="138"/>
      <c r="E13" s="138"/>
      <c r="F13" s="138"/>
      <c r="G13" s="138"/>
      <c r="H13" s="138"/>
      <c r="I13" s="138"/>
      <c r="J13" s="138"/>
      <c r="K13" s="138"/>
      <c r="L13" s="138"/>
      <c r="M13" s="138"/>
      <c r="N13" s="138"/>
      <c r="O13" s="138"/>
      <c r="P13" s="138"/>
      <c r="Q13" s="138"/>
      <c r="R13" s="138"/>
      <c r="S13" s="138"/>
      <c r="T13" s="138"/>
      <c r="U13" s="1366"/>
      <c r="V13" s="2365"/>
      <c r="W13" s="268"/>
      <c r="X13" s="268"/>
      <c r="Y13" s="1315" t="s">
        <v>1122</v>
      </c>
      <c r="Z13" s="268"/>
      <c r="AA13" s="268"/>
      <c r="AB13" s="268"/>
      <c r="AC13" s="268"/>
      <c r="AD13" s="268"/>
      <c r="AE13" s="268"/>
      <c r="AF13" s="268"/>
      <c r="AG13" s="268"/>
    </row>
    <row r="14" spans="1:33" s="67" customFormat="1" ht="12" customHeight="1" thickBot="1" x14ac:dyDescent="0.25">
      <c r="A14" s="2365"/>
      <c r="B14" s="69"/>
      <c r="C14" s="138"/>
      <c r="D14" s="138"/>
      <c r="E14" s="138"/>
      <c r="F14" s="138"/>
      <c r="G14" s="138"/>
      <c r="H14" s="138"/>
      <c r="I14" s="138"/>
      <c r="J14" s="138"/>
      <c r="K14" s="138"/>
      <c r="L14" s="138"/>
      <c r="M14" s="138"/>
      <c r="N14" s="138"/>
      <c r="O14" s="138"/>
      <c r="P14" s="138"/>
      <c r="Q14" s="138"/>
      <c r="R14" s="138"/>
      <c r="S14" s="138"/>
      <c r="T14" s="138"/>
      <c r="U14" s="1366"/>
      <c r="V14" s="2365"/>
      <c r="W14" s="268"/>
      <c r="X14" s="268"/>
      <c r="Y14" s="268"/>
      <c r="Z14" s="268"/>
      <c r="AA14" s="268"/>
      <c r="AB14" s="268"/>
      <c r="AC14" s="268"/>
      <c r="AD14" s="268"/>
      <c r="AE14" s="268"/>
      <c r="AF14" s="268"/>
      <c r="AG14" s="268"/>
    </row>
    <row r="15" spans="1:33" s="67" customFormat="1" ht="12.75" customHeight="1" thickBot="1" x14ac:dyDescent="0.25">
      <c r="A15" s="2365" t="str">
        <f>IF(ISBLANK(D15)," ",C15)</f>
        <v xml:space="preserve"> </v>
      </c>
      <c r="B15" s="138"/>
      <c r="C15" s="171"/>
      <c r="D15" s="952"/>
      <c r="E15" s="1" t="s">
        <v>1123</v>
      </c>
      <c r="F15" s="138"/>
      <c r="G15" s="138"/>
      <c r="H15" s="138"/>
      <c r="I15" s="138"/>
      <c r="J15" s="138"/>
      <c r="K15" s="138"/>
      <c r="L15" s="138"/>
      <c r="M15" s="138"/>
      <c r="N15" s="138"/>
      <c r="O15" s="138"/>
      <c r="P15" s="138"/>
      <c r="Q15" s="138"/>
      <c r="R15" s="138"/>
      <c r="S15" s="138"/>
      <c r="T15" s="138"/>
      <c r="U15" s="1366"/>
      <c r="V15" s="2365"/>
      <c r="W15" s="1299" t="str">
        <f>IF(D15="X","22610100","")</f>
        <v/>
      </c>
      <c r="X15" s="1985" t="str">
        <f>IF(D15="X","GenObgBondPayFromTo","")</f>
        <v/>
      </c>
      <c r="Y15" s="1315" t="str">
        <f>IF(D15="X","GenObgBondPayYear","")</f>
        <v/>
      </c>
      <c r="Z15" s="268"/>
      <c r="AA15" s="268"/>
      <c r="AB15" s="268"/>
      <c r="AC15" s="268"/>
      <c r="AD15" s="268"/>
      <c r="AE15" s="268"/>
      <c r="AF15" s="268"/>
      <c r="AG15" s="268"/>
    </row>
    <row r="16" spans="1:33" s="67" customFormat="1" ht="6" customHeight="1" thickBot="1" x14ac:dyDescent="0.25">
      <c r="A16" s="2365"/>
      <c r="B16" s="138"/>
      <c r="C16" s="171"/>
      <c r="D16" s="138"/>
      <c r="E16" s="138"/>
      <c r="F16" s="138"/>
      <c r="G16" s="138"/>
      <c r="H16" s="138"/>
      <c r="I16" s="138"/>
      <c r="J16" s="138"/>
      <c r="K16" s="138"/>
      <c r="L16" s="138"/>
      <c r="M16" s="138"/>
      <c r="N16" s="138"/>
      <c r="O16" s="138"/>
      <c r="P16" s="138"/>
      <c r="Q16" s="138"/>
      <c r="R16" s="138"/>
      <c r="S16" s="138"/>
      <c r="T16" s="138"/>
      <c r="U16" s="1366"/>
      <c r="V16" s="2365"/>
      <c r="W16" s="1299"/>
      <c r="X16" s="1985"/>
      <c r="Y16" s="1985"/>
      <c r="Z16" s="268"/>
      <c r="AA16" s="268"/>
      <c r="AB16" s="268"/>
      <c r="AC16" s="268"/>
      <c r="AD16" s="268"/>
      <c r="AE16" s="268"/>
      <c r="AF16" s="268"/>
      <c r="AG16" s="268"/>
    </row>
    <row r="17" spans="1:25" s="67" customFormat="1" ht="12.75" customHeight="1" thickBot="1" x14ac:dyDescent="0.25">
      <c r="A17" s="2365" t="str">
        <f>IF(ISBLANK(D17)," ",C17)</f>
        <v xml:space="preserve"> </v>
      </c>
      <c r="B17" s="138"/>
      <c r="C17" s="171"/>
      <c r="D17" s="952"/>
      <c r="E17" s="1" t="s">
        <v>1086</v>
      </c>
      <c r="F17" s="138"/>
      <c r="G17" s="138"/>
      <c r="H17" s="138"/>
      <c r="I17" s="138"/>
      <c r="J17" s="138"/>
      <c r="K17" s="138"/>
      <c r="L17" s="138"/>
      <c r="M17" s="138"/>
      <c r="N17" s="138"/>
      <c r="O17" s="138"/>
      <c r="P17" s="138"/>
      <c r="Q17" s="138"/>
      <c r="R17" s="138"/>
      <c r="S17" s="138"/>
      <c r="T17" s="138"/>
      <c r="U17" s="1366"/>
      <c r="V17" s="2365"/>
      <c r="W17" s="1299" t="str">
        <f>IF(D17="X","22610000","")</f>
        <v/>
      </c>
      <c r="X17" s="1985" t="str">
        <f>IF(D17="X","RevBondPayFromTo","")</f>
        <v/>
      </c>
      <c r="Y17" s="1985" t="str">
        <f>IF(D17="X","RevBondPayYear","")</f>
        <v/>
      </c>
    </row>
    <row r="18" spans="1:25" s="67" customFormat="1" ht="6" customHeight="1" thickBot="1" x14ac:dyDescent="0.25">
      <c r="A18" s="2365"/>
      <c r="B18" s="138"/>
      <c r="C18" s="171"/>
      <c r="D18" s="138"/>
      <c r="E18" s="138"/>
      <c r="F18" s="138"/>
      <c r="G18" s="138"/>
      <c r="H18" s="138"/>
      <c r="I18" s="138"/>
      <c r="J18" s="138"/>
      <c r="K18" s="138"/>
      <c r="L18" s="138"/>
      <c r="M18" s="138"/>
      <c r="N18" s="138"/>
      <c r="O18" s="138"/>
      <c r="P18" s="138"/>
      <c r="Q18" s="138"/>
      <c r="R18" s="138"/>
      <c r="S18" s="138"/>
      <c r="T18" s="138"/>
      <c r="U18" s="1366"/>
      <c r="V18" s="2365"/>
      <c r="W18" s="1299"/>
      <c r="X18" s="1985"/>
      <c r="Y18" s="1985"/>
    </row>
    <row r="19" spans="1:25" s="67" customFormat="1" ht="12.75" customHeight="1" thickBot="1" x14ac:dyDescent="0.25">
      <c r="A19" s="2365" t="str">
        <f>IF(ISBLANK(D19)," ",C19)</f>
        <v xml:space="preserve"> </v>
      </c>
      <c r="B19" s="138"/>
      <c r="C19" s="171"/>
      <c r="D19" s="952"/>
      <c r="E19" s="1" t="s">
        <v>1124</v>
      </c>
      <c r="F19" s="138"/>
      <c r="G19" s="268"/>
      <c r="H19" s="138"/>
      <c r="I19" s="138"/>
      <c r="J19" s="138"/>
      <c r="K19" s="138"/>
      <c r="L19" s="138"/>
      <c r="M19" s="138"/>
      <c r="N19" s="138"/>
      <c r="O19" s="138"/>
      <c r="P19" s="138"/>
      <c r="Q19" s="138"/>
      <c r="R19" s="138"/>
      <c r="S19" s="138"/>
      <c r="T19" s="138"/>
      <c r="U19" s="1366"/>
      <c r="V19" s="2365"/>
      <c r="W19" s="1299" t="str">
        <f>IF(D19="X","22610300","")</f>
        <v/>
      </c>
      <c r="X19" s="1315" t="str">
        <f>IF(D19="X","GARVEEBondFromTo","")</f>
        <v/>
      </c>
      <c r="Y19" s="1985" t="str">
        <f>IF(D19="X","GARVEEBondYear","")</f>
        <v/>
      </c>
    </row>
    <row r="20" spans="1:25" s="67" customFormat="1" ht="6.75" customHeight="1" thickBot="1" x14ac:dyDescent="0.25">
      <c r="A20" s="2365"/>
      <c r="B20" s="138"/>
      <c r="C20" s="138"/>
      <c r="D20" s="138"/>
      <c r="E20" s="138"/>
      <c r="F20" s="138"/>
      <c r="G20" s="1366"/>
      <c r="H20" s="1366"/>
      <c r="I20" s="1366"/>
      <c r="J20" s="1366"/>
      <c r="K20" s="1366"/>
      <c r="L20" s="2287"/>
      <c r="M20" s="138"/>
      <c r="N20" s="138"/>
      <c r="O20" s="138"/>
      <c r="P20" s="138"/>
      <c r="Q20" s="138"/>
      <c r="R20" s="138"/>
      <c r="S20" s="138"/>
      <c r="T20" s="138"/>
      <c r="U20" s="1366"/>
      <c r="V20" s="2365"/>
      <c r="W20" s="1299"/>
      <c r="X20" s="1985"/>
      <c r="Y20" s="1985"/>
    </row>
    <row r="21" spans="1:25" s="67" customFormat="1" ht="12.75" customHeight="1" thickBot="1" x14ac:dyDescent="0.25">
      <c r="A21" s="2365"/>
      <c r="B21" s="138"/>
      <c r="C21" s="171"/>
      <c r="D21" s="952"/>
      <c r="E21" s="1" t="s">
        <v>1088</v>
      </c>
      <c r="F21" s="138"/>
      <c r="G21" s="1366"/>
      <c r="H21" s="1366"/>
      <c r="I21" s="1366"/>
      <c r="J21" s="1366"/>
      <c r="K21" s="1366"/>
      <c r="L21" s="2287"/>
      <c r="M21" s="138"/>
      <c r="N21" s="138"/>
      <c r="O21" s="138"/>
      <c r="P21" s="138"/>
      <c r="Q21" s="138"/>
      <c r="R21" s="138"/>
      <c r="S21" s="138"/>
      <c r="T21" s="138"/>
      <c r="U21" s="1366"/>
      <c r="V21" s="2365"/>
      <c r="W21" s="1299" t="str">
        <f>IF(D21="X","22610500","")</f>
        <v/>
      </c>
      <c r="X21" s="1985" t="str">
        <f>IF(D21="X","CertPartPayFromTo","")</f>
        <v/>
      </c>
      <c r="Y21" s="1985" t="str">
        <f>IF(D21="X","CertPartPayYear","")</f>
        <v/>
      </c>
    </row>
    <row r="22" spans="1:25" s="67" customFormat="1" ht="6" customHeight="1" thickBot="1" x14ac:dyDescent="0.25">
      <c r="A22" s="2365"/>
      <c r="B22" s="138"/>
      <c r="C22" s="138"/>
      <c r="D22" s="138"/>
      <c r="E22" s="138"/>
      <c r="F22" s="138"/>
      <c r="G22" s="1366"/>
      <c r="H22" s="1366"/>
      <c r="I22" s="1366"/>
      <c r="J22" s="1366"/>
      <c r="K22" s="1366"/>
      <c r="L22" s="2287"/>
      <c r="M22" s="138"/>
      <c r="N22" s="138"/>
      <c r="O22" s="138"/>
      <c r="P22" s="138"/>
      <c r="Q22" s="138"/>
      <c r="R22" s="138"/>
      <c r="S22" s="138"/>
      <c r="T22" s="138"/>
      <c r="U22" s="1366"/>
      <c r="V22" s="2365"/>
      <c r="W22" s="1299"/>
      <c r="X22" s="1985"/>
      <c r="Y22" s="1985"/>
    </row>
    <row r="23" spans="1:25" s="67" customFormat="1" ht="12.75" customHeight="1" thickBot="1" x14ac:dyDescent="0.25">
      <c r="A23" s="2365"/>
      <c r="B23" s="138"/>
      <c r="C23" s="171"/>
      <c r="D23" s="952"/>
      <c r="E23" s="1" t="s">
        <v>1089</v>
      </c>
      <c r="F23" s="138"/>
      <c r="G23" s="1366"/>
      <c r="H23" s="1366"/>
      <c r="I23" s="1366"/>
      <c r="J23" s="1366"/>
      <c r="K23" s="1366"/>
      <c r="L23" s="2287"/>
      <c r="M23" s="138"/>
      <c r="N23" s="138"/>
      <c r="O23" s="138"/>
      <c r="P23" s="138"/>
      <c r="Q23" s="138"/>
      <c r="R23" s="138"/>
      <c r="S23" s="138"/>
      <c r="T23" s="138"/>
      <c r="U23" s="1366"/>
      <c r="V23" s="2365"/>
      <c r="W23" s="1299" t="str">
        <f>IF(D23="X","22610600","")</f>
        <v/>
      </c>
      <c r="X23" s="1985" t="str">
        <f>IF(D23="X","LimObBondPayFromTo","")</f>
        <v/>
      </c>
      <c r="Y23" s="1985" t="str">
        <f>IF(D23="X","LimObBondPayYear","")</f>
        <v/>
      </c>
    </row>
    <row r="24" spans="1:25" s="67" customFormat="1" ht="6" customHeight="1" thickBot="1" x14ac:dyDescent="0.25">
      <c r="A24" s="2365"/>
      <c r="B24" s="138"/>
      <c r="C24" s="171"/>
      <c r="D24" s="2333"/>
      <c r="E24" s="1"/>
      <c r="F24" s="138"/>
      <c r="G24" s="1366"/>
      <c r="H24" s="1366"/>
      <c r="I24" s="1366"/>
      <c r="J24" s="1366"/>
      <c r="K24" s="1366"/>
      <c r="L24" s="2287"/>
      <c r="M24" s="138"/>
      <c r="N24" s="138"/>
      <c r="O24" s="138"/>
      <c r="P24" s="138"/>
      <c r="Q24" s="138"/>
      <c r="R24" s="138"/>
      <c r="S24" s="138"/>
      <c r="T24" s="138"/>
      <c r="U24" s="1366"/>
      <c r="V24" s="2365"/>
      <c r="W24" s="1299"/>
      <c r="X24" s="1315"/>
      <c r="Y24" s="1315"/>
    </row>
    <row r="25" spans="1:25" s="67" customFormat="1" ht="12.75" customHeight="1" thickBot="1" x14ac:dyDescent="0.25">
      <c r="A25" s="2365"/>
      <c r="B25" s="138"/>
      <c r="C25" s="171"/>
      <c r="D25" s="952"/>
      <c r="E25" s="1" t="s">
        <v>1125</v>
      </c>
      <c r="F25" s="138"/>
      <c r="G25" s="138"/>
      <c r="H25" s="138"/>
      <c r="I25" s="2300"/>
      <c r="J25" s="1366"/>
      <c r="K25" s="1366"/>
      <c r="L25" s="2287"/>
      <c r="M25" s="138"/>
      <c r="N25" s="138"/>
      <c r="O25" s="138"/>
      <c r="P25" s="138"/>
      <c r="Q25" s="138"/>
      <c r="R25" s="138"/>
      <c r="S25" s="138"/>
      <c r="T25" s="138"/>
      <c r="U25" s="1366"/>
      <c r="V25" s="2365"/>
      <c r="W25" s="1299" t="str">
        <f>IF(D25="X","22320000","")</f>
        <v/>
      </c>
      <c r="X25" s="1315" t="str">
        <f>IF(D25="X","NoteDirectBorrFromTo","")</f>
        <v/>
      </c>
      <c r="Y25" s="1315" t="str">
        <f>IF(D25="X","NoteDirectBorrYear","")</f>
        <v/>
      </c>
    </row>
    <row r="26" spans="1:25" s="67" customFormat="1" ht="6" customHeight="1" thickBot="1" x14ac:dyDescent="0.25">
      <c r="A26" s="2365"/>
      <c r="B26" s="138"/>
      <c r="C26" s="171"/>
      <c r="D26" s="2333"/>
      <c r="E26" s="352"/>
      <c r="F26" s="138"/>
      <c r="G26" s="138"/>
      <c r="H26" s="138"/>
      <c r="I26" s="2300"/>
      <c r="J26" s="1366"/>
      <c r="K26" s="1366"/>
      <c r="L26" s="2287"/>
      <c r="M26" s="138"/>
      <c r="N26" s="138"/>
      <c r="O26" s="138"/>
      <c r="P26" s="138"/>
      <c r="Q26" s="138"/>
      <c r="R26" s="138"/>
      <c r="S26" s="138"/>
      <c r="T26" s="138"/>
      <c r="U26" s="1366"/>
      <c r="V26" s="2365"/>
      <c r="W26" s="1309"/>
      <c r="X26" s="1315"/>
      <c r="Y26" s="1315"/>
    </row>
    <row r="27" spans="1:25" s="67" customFormat="1" ht="12.75" customHeight="1" thickBot="1" x14ac:dyDescent="0.25">
      <c r="A27" s="2365"/>
      <c r="B27" s="138"/>
      <c r="C27" s="171"/>
      <c r="D27" s="952"/>
      <c r="E27" s="1" t="s">
        <v>1126</v>
      </c>
      <c r="F27" s="138"/>
      <c r="G27" s="138"/>
      <c r="H27" s="138"/>
      <c r="I27" s="2300"/>
      <c r="J27" s="138"/>
      <c r="K27" s="2287"/>
      <c r="L27" s="2287"/>
      <c r="M27" s="138"/>
      <c r="N27" s="138"/>
      <c r="O27" s="138"/>
      <c r="P27" s="138"/>
      <c r="Q27" s="138"/>
      <c r="R27" s="138"/>
      <c r="S27" s="138"/>
      <c r="T27" s="138"/>
      <c r="U27" s="1366"/>
      <c r="V27" s="2365"/>
      <c r="W27" s="1309" t="str">
        <f>IF(D27="X","22610400","")</f>
        <v/>
      </c>
      <c r="X27" s="1315" t="str">
        <f>IF(D27="X","DirectPlaceFromTo","")</f>
        <v/>
      </c>
      <c r="Y27" s="1315" t="str">
        <f>IF(D27="X","DirectPlaceYear","")</f>
        <v/>
      </c>
    </row>
    <row r="28" spans="1:25" s="67" customFormat="1" ht="12.75" customHeight="1" x14ac:dyDescent="0.2">
      <c r="A28" s="2365"/>
      <c r="B28" s="138"/>
      <c r="C28" s="171"/>
      <c r="D28" s="2333"/>
      <c r="E28" s="1"/>
      <c r="F28" s="138"/>
      <c r="G28" s="138"/>
      <c r="H28" s="138"/>
      <c r="I28" s="2300"/>
      <c r="J28" s="138"/>
      <c r="K28" s="2287"/>
      <c r="L28" s="2287"/>
      <c r="M28" s="138"/>
      <c r="N28" s="138"/>
      <c r="O28" s="138"/>
      <c r="P28" s="138"/>
      <c r="Q28" s="138"/>
      <c r="R28" s="138"/>
      <c r="S28" s="138"/>
      <c r="T28" s="138"/>
      <c r="U28" s="1366"/>
      <c r="V28" s="2365"/>
      <c r="W28" s="1309"/>
      <c r="X28" s="268"/>
      <c r="Y28" s="268"/>
    </row>
    <row r="29" spans="1:25" s="67" customFormat="1" ht="12.75" customHeight="1" x14ac:dyDescent="0.2">
      <c r="A29" s="2365"/>
      <c r="B29" s="138"/>
      <c r="C29" s="171"/>
      <c r="D29" s="2333"/>
      <c r="E29" s="1"/>
      <c r="F29" s="138"/>
      <c r="G29" s="138"/>
      <c r="H29" s="138"/>
      <c r="I29" s="2300"/>
      <c r="J29" s="138"/>
      <c r="K29" s="2287"/>
      <c r="L29" s="2287"/>
      <c r="M29" s="138"/>
      <c r="N29" s="138"/>
      <c r="O29" s="138"/>
      <c r="P29" s="138"/>
      <c r="Q29" s="138"/>
      <c r="R29" s="138"/>
      <c r="S29" s="138"/>
      <c r="T29" s="138"/>
      <c r="U29" s="1366"/>
      <c r="V29" s="2365"/>
      <c r="W29" s="1309"/>
      <c r="X29" s="268"/>
      <c r="Y29" s="268"/>
    </row>
    <row r="30" spans="1:25" s="67" customFormat="1" ht="12.75" customHeight="1" x14ac:dyDescent="0.2">
      <c r="A30" s="2365"/>
      <c r="B30" s="138"/>
      <c r="C30" s="171"/>
      <c r="D30" s="2333"/>
      <c r="E30" s="1"/>
      <c r="F30" s="138"/>
      <c r="G30" s="2289" t="s">
        <v>1127</v>
      </c>
      <c r="H30" s="2289"/>
      <c r="I30" s="2289" t="s">
        <v>1128</v>
      </c>
      <c r="J30" s="1299"/>
      <c r="K30" s="1299" t="s">
        <v>1129</v>
      </c>
      <c r="L30" s="2287"/>
      <c r="M30" s="138"/>
      <c r="N30" s="138"/>
      <c r="O30" s="138"/>
      <c r="P30" s="138"/>
      <c r="Q30" s="138"/>
      <c r="R30" s="138"/>
      <c r="S30" s="138"/>
      <c r="T30" s="138"/>
      <c r="U30" s="1366"/>
      <c r="V30" s="2365"/>
      <c r="W30" s="1309"/>
      <c r="X30" s="268"/>
      <c r="Y30" s="268"/>
    </row>
    <row r="31" spans="1:25" s="67" customFormat="1" ht="12" customHeight="1" x14ac:dyDescent="0.2">
      <c r="A31" s="2365"/>
      <c r="B31" s="138"/>
      <c r="C31" s="138"/>
      <c r="D31" s="138"/>
      <c r="E31" s="138"/>
      <c r="F31" s="138"/>
      <c r="G31" s="138"/>
      <c r="H31" s="138"/>
      <c r="I31" s="138"/>
      <c r="J31" s="138"/>
      <c r="K31" s="2287" t="s">
        <v>1000</v>
      </c>
      <c r="L31" s="2287"/>
      <c r="M31" s="138"/>
      <c r="N31" s="138"/>
      <c r="O31" s="138"/>
      <c r="P31" s="138"/>
      <c r="Q31" s="138"/>
      <c r="R31" s="138"/>
      <c r="S31" s="138"/>
      <c r="T31" s="138"/>
      <c r="U31" s="1366"/>
      <c r="V31" s="2365"/>
      <c r="W31" s="268"/>
      <c r="X31" s="268"/>
      <c r="Y31" s="268"/>
    </row>
    <row r="32" spans="1:25" s="67" customFormat="1" ht="12" customHeight="1" x14ac:dyDescent="0.2">
      <c r="A32" s="2365"/>
      <c r="B32" s="138"/>
      <c r="C32" s="138"/>
      <c r="D32" s="138"/>
      <c r="E32" s="2317" t="s">
        <v>1095</v>
      </c>
      <c r="F32" s="268"/>
      <c r="G32" s="2317" t="s">
        <v>1096</v>
      </c>
      <c r="H32" s="138"/>
      <c r="I32" s="2317" t="s">
        <v>1097</v>
      </c>
      <c r="J32" s="2287"/>
      <c r="K32" s="2317" t="s">
        <v>1130</v>
      </c>
      <c r="L32" s="2287"/>
      <c r="M32" s="2287"/>
      <c r="N32" s="2287"/>
      <c r="O32" s="2287"/>
      <c r="P32" s="138"/>
      <c r="Q32" s="138"/>
      <c r="R32" s="268"/>
      <c r="S32" s="138"/>
      <c r="T32" s="1366"/>
      <c r="U32" s="1366">
        <f>LARGE(U33:U45,1)</f>
        <v>0</v>
      </c>
      <c r="V32" s="1366">
        <f>LARGE(V33:V45,1)</f>
        <v>0</v>
      </c>
      <c r="W32" s="268"/>
      <c r="X32" s="268"/>
      <c r="Y32" s="268"/>
    </row>
    <row r="33" spans="1:25" s="67" customFormat="1" ht="14.85" customHeight="1" x14ac:dyDescent="0.2">
      <c r="A33" s="2365">
        <v>1</v>
      </c>
      <c r="B33" s="138"/>
      <c r="C33" s="138"/>
      <c r="D33" s="1570">
        <f>+E33</f>
        <v>2025</v>
      </c>
      <c r="E33" s="1591">
        <f>+YEAR(Data!$A$2)+1</f>
        <v>2025</v>
      </c>
      <c r="F33" s="268"/>
      <c r="G33" s="2331"/>
      <c r="H33" s="2394"/>
      <c r="I33" s="2331"/>
      <c r="J33" s="2394"/>
      <c r="K33" s="2331"/>
      <c r="L33" s="2394"/>
      <c r="M33" s="2654" t="s">
        <v>1098</v>
      </c>
      <c r="N33" s="2655"/>
      <c r="O33" s="2655"/>
      <c r="P33" s="2655"/>
      <c r="Q33" s="2655"/>
      <c r="R33" s="2656"/>
      <c r="S33" s="138"/>
      <c r="T33" s="1592">
        <f>SUM($G33:$G$45)</f>
        <v>0</v>
      </c>
      <c r="U33" s="1366">
        <f>IF($T33&gt;0,$D33,0)</f>
        <v>0</v>
      </c>
      <c r="V33" s="1366">
        <f>IF($T33&gt;0,$D33,0)</f>
        <v>0</v>
      </c>
      <c r="W33" s="1301" t="s">
        <v>902</v>
      </c>
      <c r="X33" s="268"/>
      <c r="Y33" s="268"/>
    </row>
    <row r="34" spans="1:25" s="67" customFormat="1" ht="14.85" customHeight="1" x14ac:dyDescent="0.2">
      <c r="A34" s="2365">
        <v>2</v>
      </c>
      <c r="B34" s="138"/>
      <c r="C34" s="138"/>
      <c r="D34" s="1570">
        <f>+E34</f>
        <v>2026</v>
      </c>
      <c r="E34" s="1591">
        <f>E33+1</f>
        <v>2026</v>
      </c>
      <c r="F34" s="268"/>
      <c r="G34" s="2331"/>
      <c r="H34" s="2394"/>
      <c r="I34" s="2331"/>
      <c r="J34" s="2394"/>
      <c r="K34" s="2331"/>
      <c r="L34" s="2394"/>
      <c r="M34" s="2657"/>
      <c r="N34" s="2658"/>
      <c r="O34" s="2658"/>
      <c r="P34" s="2658"/>
      <c r="Q34" s="2658"/>
      <c r="R34" s="2659"/>
      <c r="S34" s="138"/>
      <c r="T34" s="1592">
        <f>SUM($G34:$G$45)</f>
        <v>0</v>
      </c>
      <c r="U34" s="1366">
        <f t="shared" ref="U34:V45" si="0">IF($T34&gt;0,$D34,0)</f>
        <v>0</v>
      </c>
      <c r="V34" s="1366">
        <f t="shared" si="0"/>
        <v>0</v>
      </c>
      <c r="W34" s="1301" t="s">
        <v>904</v>
      </c>
      <c r="X34" s="268"/>
      <c r="Y34" s="268"/>
    </row>
    <row r="35" spans="1:25" s="67" customFormat="1" ht="14.85" customHeight="1" x14ac:dyDescent="0.2">
      <c r="A35" s="2365">
        <v>3</v>
      </c>
      <c r="B35" s="138"/>
      <c r="C35" s="138"/>
      <c r="D35" s="1570">
        <f>+E35</f>
        <v>2027</v>
      </c>
      <c r="E35" s="1591">
        <f>E34+1</f>
        <v>2027</v>
      </c>
      <c r="F35" s="268"/>
      <c r="G35" s="2331"/>
      <c r="H35" s="2394"/>
      <c r="I35" s="2331"/>
      <c r="J35" s="2394"/>
      <c r="K35" s="2331"/>
      <c r="L35" s="2394"/>
      <c r="M35" s="2660"/>
      <c r="N35" s="2661"/>
      <c r="O35" s="2661"/>
      <c r="P35" s="2661"/>
      <c r="Q35" s="2661"/>
      <c r="R35" s="2662"/>
      <c r="S35" s="138"/>
      <c r="T35" s="1592">
        <f>SUM($G35:$G$45)</f>
        <v>0</v>
      </c>
      <c r="U35" s="1366">
        <f t="shared" si="0"/>
        <v>0</v>
      </c>
      <c r="V35" s="1366">
        <f t="shared" si="0"/>
        <v>0</v>
      </c>
      <c r="W35" s="1301" t="s">
        <v>905</v>
      </c>
      <c r="X35" s="268"/>
      <c r="Y35" s="268"/>
    </row>
    <row r="36" spans="1:25" s="67" customFormat="1" ht="14.85" customHeight="1" x14ac:dyDescent="0.2">
      <c r="A36" s="2365">
        <v>4</v>
      </c>
      <c r="B36" s="138"/>
      <c r="C36" s="138"/>
      <c r="D36" s="1570">
        <f>+E36</f>
        <v>2028</v>
      </c>
      <c r="E36" s="1591">
        <f>E35+1</f>
        <v>2028</v>
      </c>
      <c r="F36" s="268"/>
      <c r="G36" s="2331"/>
      <c r="H36" s="2394"/>
      <c r="I36" s="2331"/>
      <c r="J36" s="2394"/>
      <c r="K36" s="1947"/>
      <c r="L36" s="2394"/>
      <c r="M36" s="2648"/>
      <c r="N36" s="2649"/>
      <c r="O36" s="2649"/>
      <c r="P36" s="2649"/>
      <c r="Q36" s="2649"/>
      <c r="R36" s="2650"/>
      <c r="S36" s="138"/>
      <c r="T36" s="1592">
        <f>SUM($G36:$G$45)</f>
        <v>0</v>
      </c>
      <c r="U36" s="1366">
        <f t="shared" si="0"/>
        <v>0</v>
      </c>
      <c r="V36" s="1366">
        <f t="shared" si="0"/>
        <v>0</v>
      </c>
      <c r="W36" s="1301" t="s">
        <v>906</v>
      </c>
      <c r="X36" s="268"/>
      <c r="Y36" s="268"/>
    </row>
    <row r="37" spans="1:25" s="67" customFormat="1" ht="14.85" customHeight="1" x14ac:dyDescent="0.2">
      <c r="A37" s="2365">
        <v>5</v>
      </c>
      <c r="B37" s="138"/>
      <c r="C37" s="138"/>
      <c r="D37" s="1570">
        <f>+E37</f>
        <v>2029</v>
      </c>
      <c r="E37" s="1591">
        <f>E36+1</f>
        <v>2029</v>
      </c>
      <c r="F37" s="268"/>
      <c r="G37" s="2331"/>
      <c r="H37" s="2394"/>
      <c r="I37" s="2331"/>
      <c r="J37" s="2394"/>
      <c r="K37" s="2331"/>
      <c r="L37" s="2394"/>
      <c r="M37" s="138"/>
      <c r="N37" s="138"/>
      <c r="O37" s="138"/>
      <c r="P37" s="138"/>
      <c r="Q37" s="268"/>
      <c r="R37" s="268"/>
      <c r="S37" s="138"/>
      <c r="T37" s="1592">
        <f>SUM($G37:$G$45)</f>
        <v>0</v>
      </c>
      <c r="U37" s="1366">
        <f t="shared" si="0"/>
        <v>0</v>
      </c>
      <c r="V37" s="1366">
        <f t="shared" si="0"/>
        <v>0</v>
      </c>
      <c r="W37" s="1301" t="s">
        <v>907</v>
      </c>
      <c r="X37" s="268"/>
      <c r="Y37" s="268"/>
    </row>
    <row r="38" spans="1:25" s="67" customFormat="1" ht="14.85" customHeight="1" x14ac:dyDescent="0.2">
      <c r="A38" s="2365">
        <v>6</v>
      </c>
      <c r="B38" s="138"/>
      <c r="C38" s="138"/>
      <c r="D38" s="1570">
        <f>E37+1</f>
        <v>2030</v>
      </c>
      <c r="E38" s="1591" t="str">
        <f t="shared" ref="E38:E45" si="1">(D38)&amp;" - "&amp;(D38+4)</f>
        <v>2030 - 2034</v>
      </c>
      <c r="F38" s="268"/>
      <c r="G38" s="2331"/>
      <c r="H38" s="2394"/>
      <c r="I38" s="2331"/>
      <c r="J38" s="2394"/>
      <c r="K38" s="2331"/>
      <c r="L38" s="2394"/>
      <c r="M38" s="2654" t="s">
        <v>1099</v>
      </c>
      <c r="N38" s="2655"/>
      <c r="O38" s="2655"/>
      <c r="P38" s="2655"/>
      <c r="Q38" s="2655"/>
      <c r="R38" s="2656"/>
      <c r="S38" s="138"/>
      <c r="T38" s="1592">
        <f>SUM($G38:$G$45)</f>
        <v>0</v>
      </c>
      <c r="U38" s="1366">
        <f t="shared" si="0"/>
        <v>0</v>
      </c>
      <c r="V38" s="1366">
        <f>IF($T38&gt;0,$D38+4,0)</f>
        <v>0</v>
      </c>
      <c r="W38" s="1301" t="s">
        <v>908</v>
      </c>
      <c r="X38" s="268"/>
      <c r="Y38" s="268"/>
    </row>
    <row r="39" spans="1:25" s="67" customFormat="1" ht="14.85" customHeight="1" x14ac:dyDescent="0.2">
      <c r="A39" s="2365">
        <v>7</v>
      </c>
      <c r="B39" s="138"/>
      <c r="C39" s="138"/>
      <c r="D39" s="1570">
        <f t="shared" ref="D39:D45" si="2">D38+5</f>
        <v>2035</v>
      </c>
      <c r="E39" s="1591" t="str">
        <f t="shared" si="1"/>
        <v>2035 - 2039</v>
      </c>
      <c r="F39" s="268"/>
      <c r="G39" s="2331"/>
      <c r="H39" s="2394"/>
      <c r="I39" s="2331"/>
      <c r="J39" s="2394"/>
      <c r="K39" s="2331"/>
      <c r="L39" s="2394"/>
      <c r="M39" s="2657"/>
      <c r="N39" s="2658"/>
      <c r="O39" s="2658"/>
      <c r="P39" s="2658"/>
      <c r="Q39" s="2658"/>
      <c r="R39" s="2659"/>
      <c r="S39" s="138"/>
      <c r="T39" s="1592">
        <f>SUM($G39:$G$45)</f>
        <v>0</v>
      </c>
      <c r="U39" s="1366">
        <f t="shared" si="0"/>
        <v>0</v>
      </c>
      <c r="V39" s="1366">
        <f t="shared" ref="V39:V45" si="3">IF($T39&gt;0,$D39+4,0)</f>
        <v>0</v>
      </c>
      <c r="W39" s="1301" t="s">
        <v>909</v>
      </c>
      <c r="X39" s="268"/>
      <c r="Y39" s="268"/>
    </row>
    <row r="40" spans="1:25" s="67" customFormat="1" ht="14.85" customHeight="1" x14ac:dyDescent="0.2">
      <c r="A40" s="2365">
        <v>8</v>
      </c>
      <c r="B40" s="138"/>
      <c r="C40" s="138"/>
      <c r="D40" s="1570">
        <f t="shared" si="2"/>
        <v>2040</v>
      </c>
      <c r="E40" s="1591" t="str">
        <f t="shared" si="1"/>
        <v>2040 - 2044</v>
      </c>
      <c r="F40" s="268"/>
      <c r="G40" s="2331"/>
      <c r="H40" s="2394"/>
      <c r="I40" s="2331"/>
      <c r="J40" s="2394"/>
      <c r="K40" s="2331"/>
      <c r="L40" s="2394"/>
      <c r="M40" s="2660"/>
      <c r="N40" s="2661"/>
      <c r="O40" s="2661"/>
      <c r="P40" s="2661"/>
      <c r="Q40" s="2661"/>
      <c r="R40" s="2662"/>
      <c r="S40" s="138"/>
      <c r="T40" s="1592">
        <f>SUM($G40:$G$45)</f>
        <v>0</v>
      </c>
      <c r="U40" s="1366">
        <f t="shared" si="0"/>
        <v>0</v>
      </c>
      <c r="V40" s="1366">
        <f t="shared" si="3"/>
        <v>0</v>
      </c>
      <c r="W40" s="1301" t="s">
        <v>910</v>
      </c>
      <c r="X40" s="268"/>
      <c r="Y40" s="268"/>
    </row>
    <row r="41" spans="1:25" s="67" customFormat="1" ht="14.85" customHeight="1" x14ac:dyDescent="0.2">
      <c r="A41" s="2365">
        <v>9</v>
      </c>
      <c r="B41" s="138"/>
      <c r="C41" s="138"/>
      <c r="D41" s="1570">
        <f t="shared" si="2"/>
        <v>2045</v>
      </c>
      <c r="E41" s="1591" t="str">
        <f t="shared" si="1"/>
        <v>2045 - 2049</v>
      </c>
      <c r="F41" s="268"/>
      <c r="G41" s="2331"/>
      <c r="H41" s="2394"/>
      <c r="I41" s="2331"/>
      <c r="J41" s="2394"/>
      <c r="K41" s="2331"/>
      <c r="L41" s="2394"/>
      <c r="M41" s="2667" t="s">
        <v>1100</v>
      </c>
      <c r="N41" s="2668"/>
      <c r="O41" s="2669"/>
      <c r="P41" s="2667" t="s">
        <v>1101</v>
      </c>
      <c r="Q41" s="2668"/>
      <c r="R41" s="2669"/>
      <c r="S41" s="138"/>
      <c r="T41" s="1592">
        <f>SUM($G41:$G$45)</f>
        <v>0</v>
      </c>
      <c r="U41" s="1366">
        <f t="shared" si="0"/>
        <v>0</v>
      </c>
      <c r="V41" s="1366">
        <f t="shared" si="3"/>
        <v>0</v>
      </c>
      <c r="W41" s="1301" t="s">
        <v>911</v>
      </c>
      <c r="X41" s="268"/>
      <c r="Y41" s="268"/>
    </row>
    <row r="42" spans="1:25" s="67" customFormat="1" ht="14.85" customHeight="1" x14ac:dyDescent="0.2">
      <c r="A42" s="2365">
        <v>10</v>
      </c>
      <c r="B42" s="138"/>
      <c r="C42" s="138"/>
      <c r="D42" s="1570">
        <f t="shared" si="2"/>
        <v>2050</v>
      </c>
      <c r="E42" s="1591" t="str">
        <f t="shared" si="1"/>
        <v>2050 - 2054</v>
      </c>
      <c r="F42" s="268"/>
      <c r="G42" s="2331"/>
      <c r="H42" s="2394"/>
      <c r="I42" s="2331"/>
      <c r="J42" s="2394"/>
      <c r="K42" s="2331"/>
      <c r="L42" s="2394"/>
      <c r="M42" s="2653"/>
      <c r="N42" s="2651"/>
      <c r="O42" s="2652"/>
      <c r="P42" s="2653"/>
      <c r="Q42" s="2651"/>
      <c r="R42" s="2652"/>
      <c r="S42" s="138"/>
      <c r="T42" s="1592">
        <f>SUM($G42:$G$45)</f>
        <v>0</v>
      </c>
      <c r="U42" s="1366">
        <f t="shared" si="0"/>
        <v>0</v>
      </c>
      <c r="V42" s="1366">
        <f t="shared" si="3"/>
        <v>0</v>
      </c>
      <c r="W42" s="1301" t="s">
        <v>912</v>
      </c>
      <c r="X42" s="268"/>
      <c r="Y42" s="268"/>
    </row>
    <row r="43" spans="1:25" s="67" customFormat="1" ht="14.85" customHeight="1" x14ac:dyDescent="0.2">
      <c r="A43" s="2365">
        <v>11</v>
      </c>
      <c r="B43" s="138"/>
      <c r="C43" s="138"/>
      <c r="D43" s="1570">
        <f t="shared" si="2"/>
        <v>2055</v>
      </c>
      <c r="E43" s="1591" t="str">
        <f t="shared" si="1"/>
        <v>2055 - 2059</v>
      </c>
      <c r="F43" s="268"/>
      <c r="G43" s="2331"/>
      <c r="H43" s="2394"/>
      <c r="I43" s="2331"/>
      <c r="J43" s="2394"/>
      <c r="K43" s="2331"/>
      <c r="L43" s="2394"/>
      <c r="M43" s="268"/>
      <c r="N43" s="268"/>
      <c r="O43" s="268"/>
      <c r="P43" s="268"/>
      <c r="Q43" s="268"/>
      <c r="R43" s="268"/>
      <c r="S43" s="138"/>
      <c r="T43" s="1592">
        <f>SUM($G43:$G$45)</f>
        <v>0</v>
      </c>
      <c r="U43" s="1366">
        <f t="shared" si="0"/>
        <v>0</v>
      </c>
      <c r="V43" s="1366">
        <f t="shared" si="3"/>
        <v>0</v>
      </c>
      <c r="W43" s="1301" t="s">
        <v>913</v>
      </c>
      <c r="X43" s="268"/>
      <c r="Y43" s="268"/>
    </row>
    <row r="44" spans="1:25" s="67" customFormat="1" ht="14.85" customHeight="1" x14ac:dyDescent="0.2">
      <c r="A44" s="2365">
        <v>12</v>
      </c>
      <c r="B44" s="138"/>
      <c r="C44" s="138"/>
      <c r="D44" s="1570">
        <f t="shared" si="2"/>
        <v>2060</v>
      </c>
      <c r="E44" s="1591" t="str">
        <f t="shared" si="1"/>
        <v>2060 - 2064</v>
      </c>
      <c r="F44" s="268"/>
      <c r="G44" s="2331"/>
      <c r="H44" s="2394"/>
      <c r="I44" s="2331"/>
      <c r="J44" s="2394"/>
      <c r="K44" s="2331"/>
      <c r="L44" s="2394"/>
      <c r="M44" s="2654" t="s">
        <v>1102</v>
      </c>
      <c r="N44" s="2655"/>
      <c r="O44" s="2655"/>
      <c r="P44" s="2655"/>
      <c r="Q44" s="2655"/>
      <c r="R44" s="2656"/>
      <c r="S44" s="138"/>
      <c r="T44" s="1592">
        <f>SUM($G44:$G$45)</f>
        <v>0</v>
      </c>
      <c r="U44" s="1366">
        <f t="shared" si="0"/>
        <v>0</v>
      </c>
      <c r="V44" s="1366">
        <f t="shared" si="3"/>
        <v>0</v>
      </c>
      <c r="W44" s="1301" t="s">
        <v>914</v>
      </c>
      <c r="X44" s="268"/>
      <c r="Y44" s="268"/>
    </row>
    <row r="45" spans="1:25" s="67" customFormat="1" ht="14.85" customHeight="1" x14ac:dyDescent="0.2">
      <c r="A45" s="2365">
        <v>13</v>
      </c>
      <c r="B45" s="138"/>
      <c r="C45" s="138"/>
      <c r="D45" s="1570">
        <f t="shared" si="2"/>
        <v>2065</v>
      </c>
      <c r="E45" s="1591" t="str">
        <f t="shared" si="1"/>
        <v>2065 - 2069</v>
      </c>
      <c r="F45" s="268"/>
      <c r="G45" s="2331"/>
      <c r="H45" s="2394"/>
      <c r="I45" s="2331"/>
      <c r="J45" s="2394"/>
      <c r="K45" s="2331"/>
      <c r="L45" s="2394"/>
      <c r="M45" s="2657"/>
      <c r="N45" s="2658"/>
      <c r="O45" s="2658"/>
      <c r="P45" s="2658"/>
      <c r="Q45" s="2658"/>
      <c r="R45" s="2659"/>
      <c r="S45" s="138"/>
      <c r="T45" s="1592">
        <f>SUM($G45:$G$45)</f>
        <v>0</v>
      </c>
      <c r="U45" s="1366">
        <f t="shared" si="0"/>
        <v>0</v>
      </c>
      <c r="V45" s="1366">
        <f t="shared" si="3"/>
        <v>0</v>
      </c>
      <c r="W45" s="1301" t="s">
        <v>915</v>
      </c>
      <c r="X45" s="268"/>
      <c r="Y45" s="268"/>
    </row>
    <row r="46" spans="1:25" s="67" customFormat="1" ht="16.350000000000001" customHeight="1" thickBot="1" x14ac:dyDescent="0.25">
      <c r="A46" s="2365"/>
      <c r="B46" s="138"/>
      <c r="C46" s="138"/>
      <c r="D46" s="1" t="s">
        <v>1103</v>
      </c>
      <c r="E46" s="138"/>
      <c r="F46" s="138"/>
      <c r="G46" s="1593">
        <f>SUM(G33:G45)</f>
        <v>0</v>
      </c>
      <c r="H46" s="2394"/>
      <c r="I46" s="1593">
        <f>SUM(I33:I45)</f>
        <v>0</v>
      </c>
      <c r="J46" s="2394"/>
      <c r="K46" s="1593">
        <f>SUM(K33:K45)</f>
        <v>0</v>
      </c>
      <c r="L46" s="2394"/>
      <c r="M46" s="2637"/>
      <c r="N46" s="2638"/>
      <c r="O46" s="2638"/>
      <c r="P46" s="2638"/>
      <c r="Q46" s="2638"/>
      <c r="R46" s="2639"/>
      <c r="S46" s="138"/>
      <c r="T46" s="1366"/>
      <c r="U46" s="1366">
        <f>YEAR(__FMD320)</f>
        <v>1900</v>
      </c>
      <c r="V46" s="2365"/>
      <c r="W46" s="268"/>
      <c r="X46" s="268"/>
      <c r="Y46" s="268"/>
    </row>
    <row r="47" spans="1:25" s="67" customFormat="1" ht="12.75" customHeight="1" thickTop="1" x14ac:dyDescent="0.2">
      <c r="A47" s="2365"/>
      <c r="B47" s="138"/>
      <c r="C47" s="138"/>
      <c r="D47" s="1"/>
      <c r="E47" s="138"/>
      <c r="F47" s="138"/>
      <c r="G47" s="138"/>
      <c r="H47" s="2434" t="s">
        <v>1104</v>
      </c>
      <c r="I47" s="2439" t="s">
        <v>1105</v>
      </c>
      <c r="J47" s="1805"/>
      <c r="K47" s="2287"/>
      <c r="L47" s="2287"/>
      <c r="M47" s="2287"/>
      <c r="N47" s="1805"/>
      <c r="O47" s="1805"/>
      <c r="P47" s="2300"/>
      <c r="Q47" s="2300"/>
      <c r="R47" s="138"/>
      <c r="S47" s="138"/>
      <c r="T47" s="138"/>
      <c r="U47" s="1366"/>
      <c r="V47" s="2365"/>
      <c r="W47" s="268"/>
      <c r="X47" s="268"/>
      <c r="Y47" s="268"/>
    </row>
    <row r="48" spans="1:25" s="67" customFormat="1" ht="8.1" customHeight="1" x14ac:dyDescent="0.2">
      <c r="A48" s="2365"/>
      <c r="B48" s="138"/>
      <c r="C48" s="138"/>
      <c r="D48" s="1"/>
      <c r="E48" s="138"/>
      <c r="F48" s="138"/>
      <c r="G48" s="138"/>
      <c r="H48" s="2434"/>
      <c r="I48" s="2439"/>
      <c r="J48" s="1805"/>
      <c r="K48" s="2287"/>
      <c r="L48" s="2287"/>
      <c r="M48" s="2287"/>
      <c r="N48" s="1805"/>
      <c r="O48" s="1805"/>
      <c r="P48" s="2300"/>
      <c r="Q48" s="2300"/>
      <c r="R48" s="138"/>
      <c r="S48" s="138"/>
      <c r="T48" s="138"/>
      <c r="U48" s="1366"/>
      <c r="V48" s="2365"/>
      <c r="W48" s="268"/>
      <c r="X48" s="268"/>
      <c r="Y48" s="268"/>
    </row>
    <row r="49" spans="1:25" s="67" customFormat="1" ht="12.75" customHeight="1" x14ac:dyDescent="0.2">
      <c r="A49" s="2365"/>
      <c r="B49" s="138" t="s">
        <v>1131</v>
      </c>
      <c r="C49" s="138"/>
      <c r="D49" s="1"/>
      <c r="E49" s="2304"/>
      <c r="F49" s="2304"/>
      <c r="G49" s="2304"/>
      <c r="H49" s="2434"/>
      <c r="I49" s="2304"/>
      <c r="J49" s="2304"/>
      <c r="K49" s="2434"/>
      <c r="L49" s="2434"/>
      <c r="M49" s="2434"/>
      <c r="N49" s="2304"/>
      <c r="O49" s="2304"/>
      <c r="P49" s="2304"/>
      <c r="Q49" s="2304"/>
      <c r="R49" s="2304"/>
      <c r="S49" s="138"/>
      <c r="T49" s="138"/>
      <c r="U49" s="1366"/>
      <c r="V49" s="2365"/>
      <c r="W49" s="268"/>
      <c r="X49" s="268"/>
      <c r="Y49" s="268"/>
    </row>
    <row r="50" spans="1:25" s="67" customFormat="1" ht="12.75" customHeight="1" x14ac:dyDescent="0.2">
      <c r="A50" s="2365"/>
      <c r="B50" s="138" t="s">
        <v>1107</v>
      </c>
      <c r="C50" s="138"/>
      <c r="D50" s="2434"/>
      <c r="E50" s="2304"/>
      <c r="F50" s="2304"/>
      <c r="G50" s="2304"/>
      <c r="H50" s="2434"/>
      <c r="I50" s="2304"/>
      <c r="J50" s="2304"/>
      <c r="K50" s="2434"/>
      <c r="L50" s="2434"/>
      <c r="M50" s="2434"/>
      <c r="N50" s="2304"/>
      <c r="O50" s="2304"/>
      <c r="P50" s="2304"/>
      <c r="Q50" s="2304"/>
      <c r="R50" s="2304"/>
      <c r="S50" s="138"/>
      <c r="T50" s="138"/>
      <c r="U50" s="1366"/>
      <c r="V50" s="2365"/>
      <c r="W50" s="268"/>
      <c r="X50" s="268"/>
      <c r="Y50" s="268"/>
    </row>
    <row r="51" spans="1:25" s="67" customFormat="1" ht="12.75" customHeight="1" x14ac:dyDescent="0.2">
      <c r="A51" s="2365"/>
      <c r="B51" s="138"/>
      <c r="C51" s="138"/>
      <c r="D51" s="2304" t="s">
        <v>340</v>
      </c>
      <c r="E51" s="2303"/>
      <c r="F51" s="2304"/>
      <c r="G51" s="2304"/>
      <c r="H51" s="2434"/>
      <c r="I51" s="2304"/>
      <c r="J51" s="2304"/>
      <c r="K51" s="2434"/>
      <c r="L51" s="2434"/>
      <c r="M51" s="2434"/>
      <c r="N51" s="2304"/>
      <c r="O51" s="2304"/>
      <c r="P51" s="2304"/>
      <c r="Q51" s="2304"/>
      <c r="R51" s="2304"/>
      <c r="S51" s="138"/>
      <c r="T51" s="138"/>
      <c r="U51" s="1366"/>
      <c r="V51" s="2365"/>
      <c r="W51" s="268"/>
      <c r="X51" s="268"/>
      <c r="Y51" s="268"/>
    </row>
    <row r="52" spans="1:25" s="67" customFormat="1" ht="12.75" customHeight="1" x14ac:dyDescent="0.2">
      <c r="A52" s="2365"/>
      <c r="B52" s="138"/>
      <c r="C52" s="138"/>
      <c r="D52" s="2304" t="s">
        <v>341</v>
      </c>
      <c r="E52" s="2306"/>
      <c r="F52" s="2304"/>
      <c r="G52" s="2304"/>
      <c r="H52" s="2434"/>
      <c r="I52" s="2304"/>
      <c r="J52" s="2304"/>
      <c r="K52" s="2434"/>
      <c r="L52" s="2434"/>
      <c r="M52" s="2434"/>
      <c r="N52" s="2304"/>
      <c r="O52" s="2304"/>
      <c r="P52" s="2304"/>
      <c r="Q52" s="2304"/>
      <c r="R52" s="2304"/>
      <c r="S52" s="138"/>
      <c r="T52" s="138"/>
      <c r="U52" s="1366"/>
      <c r="V52" s="2365"/>
      <c r="W52" s="268"/>
      <c r="X52" s="268"/>
      <c r="Y52" s="268"/>
    </row>
    <row r="53" spans="1:25" s="67" customFormat="1" ht="12.75" customHeight="1" x14ac:dyDescent="0.2">
      <c r="A53" s="2365"/>
      <c r="B53" s="138"/>
      <c r="C53" s="138"/>
      <c r="D53" s="2434"/>
      <c r="E53" s="2304"/>
      <c r="F53" s="2304"/>
      <c r="G53" s="2304"/>
      <c r="H53" s="2434"/>
      <c r="I53" s="2304"/>
      <c r="J53" s="2304"/>
      <c r="K53" s="2434"/>
      <c r="L53" s="2434"/>
      <c r="M53" s="2434"/>
      <c r="N53" s="2304"/>
      <c r="O53" s="2304"/>
      <c r="P53" s="2304"/>
      <c r="Q53" s="2304"/>
      <c r="R53" s="2304"/>
      <c r="S53" s="138"/>
      <c r="T53" s="138"/>
      <c r="U53" s="1366"/>
      <c r="V53" s="2365"/>
      <c r="W53" s="268"/>
      <c r="X53" s="268"/>
      <c r="Y53" s="268"/>
    </row>
    <row r="54" spans="1:25" s="67" customFormat="1" ht="12.75" customHeight="1" x14ac:dyDescent="0.2">
      <c r="A54" s="2365"/>
      <c r="B54" s="138" t="str">
        <f>CONCATENATE("Do the fiscal year ",+TEXT(Data!$A$6,"yyyy")," principal requirements (including debt without interest rate swaps on 315) agree with")</f>
        <v>Do the fiscal year 2025 principal requirements (including debt without interest rate swaps on 315) agree with</v>
      </c>
      <c r="C54" s="138"/>
      <c r="D54" s="2434"/>
      <c r="E54" s="2304"/>
      <c r="F54" s="2304"/>
      <c r="G54" s="2304"/>
      <c r="H54" s="2434"/>
      <c r="I54" s="2304"/>
      <c r="J54" s="2304"/>
      <c r="K54" s="2434"/>
      <c r="L54" s="2434"/>
      <c r="M54" s="2434"/>
      <c r="N54" s="2304"/>
      <c r="O54" s="2304"/>
      <c r="P54" s="2304"/>
      <c r="Q54" s="2304"/>
      <c r="R54" s="2304"/>
      <c r="S54" s="138"/>
      <c r="T54" s="138"/>
      <c r="U54" s="1366"/>
      <c r="V54" s="2365"/>
      <c r="W54" s="268"/>
      <c r="X54" s="268"/>
      <c r="Y54" s="268"/>
    </row>
    <row r="55" spans="1:25" s="67" customFormat="1" ht="12.75" customHeight="1" x14ac:dyDescent="0.2">
      <c r="A55" s="2365"/>
      <c r="B55" s="138" t="s">
        <v>1109</v>
      </c>
      <c r="C55" s="138"/>
      <c r="D55" s="2434"/>
      <c r="E55" s="2304"/>
      <c r="F55" s="2304"/>
      <c r="G55" s="2304"/>
      <c r="H55" s="2434"/>
      <c r="I55" s="2304"/>
      <c r="J55" s="2304"/>
      <c r="K55" s="2434"/>
      <c r="L55" s="2434"/>
      <c r="M55" s="2434"/>
      <c r="N55" s="2304"/>
      <c r="O55" s="2304"/>
      <c r="P55" s="2304"/>
      <c r="Q55" s="2304"/>
      <c r="R55" s="2304"/>
      <c r="S55" s="138"/>
      <c r="T55" s="138"/>
      <c r="U55" s="1366"/>
      <c r="V55" s="2365"/>
      <c r="W55" s="268"/>
      <c r="X55" s="268"/>
      <c r="Y55" s="268"/>
    </row>
    <row r="56" spans="1:25" s="67" customFormat="1" ht="12.75" customHeight="1" x14ac:dyDescent="0.2">
      <c r="A56" s="2365"/>
      <c r="B56" s="11" t="s">
        <v>1132</v>
      </c>
      <c r="C56" s="138"/>
      <c r="D56" s="2434"/>
      <c r="E56" s="2304"/>
      <c r="F56" s="2304"/>
      <c r="G56" s="2304"/>
      <c r="H56" s="2434"/>
      <c r="I56" s="2304"/>
      <c r="J56" s="2304"/>
      <c r="K56" s="2434"/>
      <c r="L56" s="2434"/>
      <c r="M56" s="2434"/>
      <c r="N56" s="2304"/>
      <c r="O56" s="2304"/>
      <c r="P56" s="2304"/>
      <c r="Q56" s="2304"/>
      <c r="R56" s="2304"/>
      <c r="S56" s="138"/>
      <c r="T56" s="138"/>
      <c r="U56" s="1366"/>
      <c r="V56" s="2365"/>
      <c r="W56" s="268"/>
      <c r="X56" s="268"/>
      <c r="Y56" s="268"/>
    </row>
    <row r="57" spans="1:25" s="67" customFormat="1" ht="12.75" customHeight="1" x14ac:dyDescent="0.2">
      <c r="A57" s="2365"/>
      <c r="B57" s="138"/>
      <c r="C57" s="138"/>
      <c r="D57" s="2304" t="s">
        <v>340</v>
      </c>
      <c r="E57" s="2303"/>
      <c r="F57" s="2304"/>
      <c r="G57" s="2304"/>
      <c r="H57" s="2434"/>
      <c r="I57" s="2304"/>
      <c r="J57" s="2304"/>
      <c r="K57" s="2434"/>
      <c r="L57" s="2434"/>
      <c r="M57" s="2434"/>
      <c r="N57" s="2304"/>
      <c r="O57" s="2304"/>
      <c r="P57" s="2304"/>
      <c r="Q57" s="2304"/>
      <c r="R57" s="2304"/>
      <c r="S57" s="138"/>
      <c r="T57" s="138"/>
      <c r="U57" s="1366"/>
      <c r="V57" s="2365"/>
      <c r="W57" s="268"/>
      <c r="X57" s="268"/>
      <c r="Y57" s="268"/>
    </row>
    <row r="58" spans="1:25" s="67" customFormat="1" ht="12.75" customHeight="1" x14ac:dyDescent="0.2">
      <c r="A58" s="2365"/>
      <c r="B58" s="138"/>
      <c r="C58" s="138"/>
      <c r="D58" s="2304" t="s">
        <v>341</v>
      </c>
      <c r="E58" s="2306"/>
      <c r="F58" s="2304"/>
      <c r="G58" s="2304"/>
      <c r="H58" s="2434"/>
      <c r="I58" s="2304"/>
      <c r="J58" s="2304"/>
      <c r="K58" s="2434"/>
      <c r="L58" s="2434"/>
      <c r="M58" s="2434"/>
      <c r="N58" s="2304"/>
      <c r="O58" s="2304"/>
      <c r="P58" s="2304"/>
      <c r="Q58" s="2304"/>
      <c r="R58" s="2304"/>
      <c r="S58" s="138"/>
      <c r="T58" s="138"/>
      <c r="U58" s="1366"/>
      <c r="V58" s="2365"/>
      <c r="W58" s="268"/>
      <c r="X58" s="268"/>
      <c r="Y58" s="268"/>
    </row>
    <row r="59" spans="1:25" s="67" customFormat="1" ht="8.1" customHeight="1" x14ac:dyDescent="0.2">
      <c r="A59" s="2365"/>
      <c r="B59" s="138"/>
      <c r="C59" s="138"/>
      <c r="D59" s="2304"/>
      <c r="E59" s="2304"/>
      <c r="F59" s="2304"/>
      <c r="G59" s="2304"/>
      <c r="H59" s="2434"/>
      <c r="I59" s="2304"/>
      <c r="J59" s="2304"/>
      <c r="K59" s="2434"/>
      <c r="L59" s="2434"/>
      <c r="M59" s="2434"/>
      <c r="N59" s="2304"/>
      <c r="O59" s="2304"/>
      <c r="P59" s="2304"/>
      <c r="Q59" s="2304"/>
      <c r="R59" s="2304"/>
      <c r="S59" s="138"/>
      <c r="T59" s="138"/>
      <c r="U59" s="1366"/>
      <c r="V59" s="2365"/>
      <c r="W59" s="268"/>
      <c r="X59" s="268"/>
      <c r="Y59" s="268"/>
    </row>
    <row r="60" spans="1:25" s="67" customFormat="1" ht="12.75" customHeight="1" x14ac:dyDescent="0.2">
      <c r="A60" s="2365"/>
      <c r="B60" s="268"/>
      <c r="C60" s="268"/>
      <c r="D60" s="2304" t="s">
        <v>1133</v>
      </c>
      <c r="E60" s="2304"/>
      <c r="F60" s="2304"/>
      <c r="G60" s="2636"/>
      <c r="H60" s="2663"/>
      <c r="I60" s="2663"/>
      <c r="J60" s="2663"/>
      <c r="K60" s="2663"/>
      <c r="L60" s="2663"/>
      <c r="M60" s="2663"/>
      <c r="N60" s="2663"/>
      <c r="O60" s="2663"/>
      <c r="P60" s="2663"/>
      <c r="Q60" s="2663"/>
      <c r="R60" s="2663"/>
      <c r="S60" s="138"/>
      <c r="T60" s="138"/>
      <c r="U60" s="1366"/>
      <c r="V60" s="2365"/>
      <c r="W60" s="268"/>
      <c r="X60" s="268"/>
      <c r="Y60" s="268"/>
    </row>
    <row r="61" spans="1:25" s="67" customFormat="1" ht="14.1" customHeight="1" x14ac:dyDescent="0.2">
      <c r="A61" s="2365"/>
      <c r="B61" s="138"/>
      <c r="C61" s="138"/>
      <c r="D61" s="2636"/>
      <c r="E61" s="2664"/>
      <c r="F61" s="2664"/>
      <c r="G61" s="2664"/>
      <c r="H61" s="2664"/>
      <c r="I61" s="2664"/>
      <c r="J61" s="2664"/>
      <c r="K61" s="2664"/>
      <c r="L61" s="2664"/>
      <c r="M61" s="2664"/>
      <c r="N61" s="2664"/>
      <c r="O61" s="2664"/>
      <c r="P61" s="2664"/>
      <c r="Q61" s="2664"/>
      <c r="R61" s="2664"/>
      <c r="S61" s="138"/>
      <c r="T61" s="138"/>
      <c r="U61" s="1366"/>
      <c r="V61" s="2365"/>
      <c r="W61" s="268"/>
      <c r="X61" s="268"/>
      <c r="Y61" s="268"/>
    </row>
    <row r="62" spans="1:25" s="67" customFormat="1" ht="14.1" customHeight="1" x14ac:dyDescent="0.2">
      <c r="A62" s="2365"/>
      <c r="B62" s="138"/>
      <c r="C62" s="138"/>
      <c r="D62" s="2665"/>
      <c r="E62" s="2666"/>
      <c r="F62" s="2666"/>
      <c r="G62" s="2666"/>
      <c r="H62" s="2666"/>
      <c r="I62" s="2666"/>
      <c r="J62" s="2666"/>
      <c r="K62" s="2666"/>
      <c r="L62" s="2666"/>
      <c r="M62" s="2666"/>
      <c r="N62" s="2666"/>
      <c r="O62" s="2666"/>
      <c r="P62" s="2666"/>
      <c r="Q62" s="2666"/>
      <c r="R62" s="2666"/>
      <c r="S62" s="138"/>
      <c r="T62" s="138"/>
      <c r="U62" s="1366"/>
      <c r="V62" s="2365"/>
      <c r="W62" s="268"/>
      <c r="X62" s="268"/>
      <c r="Y62" s="268"/>
    </row>
    <row r="63" spans="1:25" ht="12.75" customHeight="1" x14ac:dyDescent="0.2">
      <c r="D63" s="2010"/>
      <c r="E63" s="2010"/>
      <c r="F63" s="2010"/>
      <c r="G63" s="2010"/>
      <c r="H63" s="2010"/>
      <c r="I63" s="2010"/>
      <c r="J63" s="2010"/>
      <c r="K63" s="2010"/>
      <c r="L63" s="2010"/>
      <c r="M63" s="2010"/>
      <c r="N63" s="2010"/>
      <c r="O63" s="2010"/>
      <c r="P63" s="2010"/>
      <c r="Q63" s="2010"/>
      <c r="R63" s="2010"/>
    </row>
    <row r="64" spans="1:25" ht="12.75" x14ac:dyDescent="0.2">
      <c r="B64" s="138" t="s">
        <v>1134</v>
      </c>
      <c r="C64" s="138"/>
      <c r="D64" s="2434"/>
      <c r="E64" s="2304"/>
      <c r="F64" s="2304"/>
      <c r="G64" s="2304"/>
      <c r="H64" s="2434"/>
      <c r="I64" s="2304"/>
      <c r="J64" s="2434"/>
      <c r="K64" s="2434"/>
      <c r="L64" s="2304"/>
      <c r="M64" s="2304"/>
      <c r="N64" s="2304"/>
      <c r="O64" s="2304"/>
      <c r="P64" s="2010"/>
      <c r="Q64" s="2010"/>
      <c r="R64" s="2010"/>
    </row>
    <row r="65" spans="1:18" ht="12.75" x14ac:dyDescent="0.2">
      <c r="B65" s="11" t="s">
        <v>1135</v>
      </c>
      <c r="C65" s="138"/>
      <c r="D65" s="2434"/>
      <c r="E65" s="2304"/>
      <c r="F65" s="2304"/>
      <c r="G65" s="2304"/>
      <c r="H65" s="2434"/>
      <c r="I65" s="2304"/>
      <c r="J65" s="2670"/>
      <c r="K65" s="2670"/>
      <c r="L65" s="2646"/>
      <c r="M65" s="2646"/>
      <c r="N65" s="2671"/>
      <c r="O65" s="2671"/>
      <c r="P65" s="2010"/>
      <c r="Q65" s="2010"/>
      <c r="R65" s="2010"/>
    </row>
    <row r="66" spans="1:18" ht="12.75" x14ac:dyDescent="0.2">
      <c r="B66" s="11"/>
      <c r="C66" s="138"/>
      <c r="D66" s="2304" t="s">
        <v>340</v>
      </c>
      <c r="E66" s="2303"/>
      <c r="F66" s="2304"/>
      <c r="G66" s="2304"/>
      <c r="H66" s="2434"/>
      <c r="I66" s="2304"/>
      <c r="J66" s="2308"/>
      <c r="K66" s="2308"/>
      <c r="L66" s="2304"/>
      <c r="M66" s="2304"/>
      <c r="N66" s="2309"/>
      <c r="O66" s="2309"/>
      <c r="P66" s="2010"/>
      <c r="Q66" s="2010"/>
      <c r="R66" s="2010"/>
    </row>
    <row r="67" spans="1:18" ht="12.75" x14ac:dyDescent="0.2">
      <c r="B67" s="11"/>
      <c r="C67" s="138"/>
      <c r="D67" s="2304" t="s">
        <v>341</v>
      </c>
      <c r="E67" s="2306"/>
      <c r="F67" s="2304"/>
      <c r="G67" s="2304"/>
      <c r="H67" s="2434"/>
      <c r="I67" s="2304"/>
      <c r="J67" s="2308"/>
      <c r="K67" s="2308"/>
      <c r="L67" s="2304"/>
      <c r="M67" s="2304"/>
      <c r="N67" s="2309"/>
      <c r="O67" s="2309"/>
      <c r="P67" s="2010"/>
      <c r="Q67" s="2010"/>
      <c r="R67" s="2010"/>
    </row>
    <row r="68" spans="1:18" ht="8.1" customHeight="1" x14ac:dyDescent="0.2">
      <c r="B68" s="11"/>
      <c r="C68" s="138"/>
      <c r="D68" s="2434"/>
      <c r="E68" s="2304"/>
      <c r="F68" s="2304"/>
      <c r="G68" s="2304"/>
      <c r="H68" s="2434"/>
      <c r="I68" s="2304"/>
      <c r="J68" s="2308"/>
      <c r="K68" s="2308"/>
      <c r="L68" s="2304"/>
      <c r="M68" s="2304"/>
      <c r="N68" s="2309"/>
      <c r="O68" s="2309"/>
      <c r="P68" s="2010"/>
      <c r="Q68" s="2010"/>
      <c r="R68" s="2010"/>
    </row>
    <row r="69" spans="1:18" ht="12.75" x14ac:dyDescent="0.2">
      <c r="D69" s="2304" t="s">
        <v>1136</v>
      </c>
      <c r="E69" s="2304"/>
      <c r="F69" s="2304"/>
      <c r="G69" s="2304"/>
      <c r="H69" s="2434"/>
      <c r="I69" s="2011"/>
      <c r="J69" s="2011"/>
      <c r="K69" s="2012" t="s">
        <v>1137</v>
      </c>
      <c r="L69" s="2304"/>
      <c r="M69" s="2304"/>
      <c r="N69" s="2309"/>
      <c r="O69" s="2309"/>
      <c r="P69" s="2010"/>
      <c r="Q69" s="2010"/>
      <c r="R69" s="2010"/>
    </row>
    <row r="72" spans="1:18" ht="15" x14ac:dyDescent="0.2">
      <c r="A72" s="421" t="str">
        <f ca="1">MID(CELL("filename",A1),FIND("]",CELL("filename",A1))+1,256)</f>
        <v>320</v>
      </c>
      <c r="B72" s="421" t="s">
        <v>613</v>
      </c>
    </row>
    <row r="73" spans="1:18" ht="15" x14ac:dyDescent="0.2">
      <c r="A73" s="421" t="s">
        <v>401</v>
      </c>
      <c r="B73" s="421" t="str">
        <f t="shared" ref="B73:B82" ca="1" si="4">IF(ISNA(INDEX(ErrorTable,MATCH($A$72&amp;$A73&amp;FALSE,ErrorKey,0),6)),"",INDEX(ErrorTable,MATCH($A$72&amp;$A73&amp;FALSE,ErrorKey,0),6))</f>
        <v/>
      </c>
    </row>
    <row r="74" spans="1:18" ht="15" x14ac:dyDescent="0.2">
      <c r="A74" s="421" t="s">
        <v>402</v>
      </c>
      <c r="B74" s="421" t="str">
        <f t="shared" ca="1" si="4"/>
        <v/>
      </c>
    </row>
    <row r="75" spans="1:18" ht="15" x14ac:dyDescent="0.2">
      <c r="A75" s="421" t="s">
        <v>403</v>
      </c>
      <c r="B75" s="421" t="str">
        <f t="shared" ca="1" si="4"/>
        <v/>
      </c>
    </row>
    <row r="76" spans="1:18" ht="15" x14ac:dyDescent="0.2">
      <c r="A76" s="421" t="s">
        <v>404</v>
      </c>
      <c r="B76" s="421" t="str">
        <f t="shared" ca="1" si="4"/>
        <v/>
      </c>
    </row>
    <row r="77" spans="1:18" ht="15" x14ac:dyDescent="0.2">
      <c r="A77" s="421" t="s">
        <v>405</v>
      </c>
      <c r="B77" s="421" t="str">
        <f t="shared" ca="1" si="4"/>
        <v/>
      </c>
    </row>
    <row r="78" spans="1:18" ht="15" x14ac:dyDescent="0.2">
      <c r="A78" s="421" t="s">
        <v>406</v>
      </c>
      <c r="B78" s="421" t="str">
        <f t="shared" ca="1" si="4"/>
        <v/>
      </c>
    </row>
    <row r="79" spans="1:18" ht="15" x14ac:dyDescent="0.2">
      <c r="A79" s="421" t="s">
        <v>407</v>
      </c>
      <c r="B79" s="421" t="str">
        <f t="shared" ca="1" si="4"/>
        <v/>
      </c>
    </row>
    <row r="80" spans="1:18" ht="15" x14ac:dyDescent="0.2">
      <c r="A80" s="421" t="s">
        <v>408</v>
      </c>
      <c r="B80" s="421" t="str">
        <f t="shared" ca="1" si="4"/>
        <v/>
      </c>
    </row>
    <row r="81" spans="1:2" ht="15" x14ac:dyDescent="0.2">
      <c r="A81" s="421" t="s">
        <v>409</v>
      </c>
      <c r="B81" s="421" t="str">
        <f t="shared" ca="1" si="4"/>
        <v/>
      </c>
    </row>
    <row r="82" spans="1:2" ht="15" x14ac:dyDescent="0.2">
      <c r="A82" s="421" t="s">
        <v>410</v>
      </c>
      <c r="B82" s="421" t="str">
        <f t="shared" ca="1" si="4"/>
        <v/>
      </c>
    </row>
  </sheetData>
  <sheetProtection algorithmName="SHA-512" hashValue="JqayyOgb02sIrB2m187zfhba/Y5wq39ZDRTwm5ledjygt7uElLsb1gK38y3YGC5m+2MxKu8awVoPpgqro6V21A==" saltValue="4DHYXuGvDuQH48JTwWtSPg==" spinCount="100000" sheet="1" autoFilter="0"/>
  <customSheetViews>
    <customSheetView guid="{9FCFC836-1CA5-48BF-958D-24D2EA94B219}" showGridLines="0" fitToPage="1" hiddenColumns="1" topLeftCell="B1">
      <selection activeCell="B12" sqref="B12"/>
      <pageMargins left="0" right="0" top="0" bottom="0" header="0" footer="0"/>
      <pageSetup scale="88" orientation="portrait" r:id="rId1"/>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ageSetup scale="88" orientation="portrait" r:id="rId2"/>
      <headerFooter alignWithMargins="0">
        <oddFooter>&amp;R&amp;A</oddFooter>
      </headerFooter>
    </customSheetView>
  </customSheetViews>
  <mergeCells count="25">
    <mergeCell ref="D62:R62"/>
    <mergeCell ref="M41:O41"/>
    <mergeCell ref="P41:R41"/>
    <mergeCell ref="M44:R45"/>
    <mergeCell ref="J65:K65"/>
    <mergeCell ref="L65:M65"/>
    <mergeCell ref="N65:O65"/>
    <mergeCell ref="M38:R40"/>
    <mergeCell ref="M36:R36"/>
    <mergeCell ref="M46:R46"/>
    <mergeCell ref="G60:R60"/>
    <mergeCell ref="D61:R61"/>
    <mergeCell ref="M42:O42"/>
    <mergeCell ref="P42:R42"/>
    <mergeCell ref="S1:S3"/>
    <mergeCell ref="M33:R35"/>
    <mergeCell ref="I7:R7"/>
    <mergeCell ref="I8:R8"/>
    <mergeCell ref="I9:R9"/>
    <mergeCell ref="B3:R3"/>
    <mergeCell ref="B2:R2"/>
    <mergeCell ref="B1:R1"/>
    <mergeCell ref="I10:R10"/>
    <mergeCell ref="B4:R4"/>
    <mergeCell ref="B5:P5"/>
  </mergeCells>
  <phoneticPr fontId="18" type="noConversion"/>
  <conditionalFormatting sqref="S1:S3">
    <cfRule type="cellIs" dxfId="128" priority="3" stopIfTrue="1" operator="equal">
      <formula>"na"</formula>
    </cfRule>
  </conditionalFormatting>
  <dataValidations count="2">
    <dataValidation type="textLength" operator="equal" allowBlank="1" showErrorMessage="1" errorTitle="Invalid input!" error="Enter a single x." sqref="D25:D30" xr:uid="{E50059F1-B40B-43A8-96DE-FF4D63BBDC1D}">
      <formula1>1</formula1>
    </dataValidation>
    <dataValidation type="list" allowBlank="1" showInputMessage="1" showErrorMessage="1" sqref="E8" xr:uid="{41F6FE68-D9EF-4721-8CAC-C510B858DC93}">
      <formula1>"GovtAct,BTAAct"</formula1>
    </dataValidation>
  </dataValidations>
  <hyperlinks>
    <hyperlink ref="B1:R1" location="Index!A1" display="Index!A1" xr:uid="{00000000-0004-0000-0F00-000000000000}"/>
  </hyperlinks>
  <pageMargins left="0.6" right="0.6" top="0.5" bottom="0.5" header="0.3" footer="0.3"/>
  <pageSetup scale="85" orientation="portrait" r:id="rId3"/>
  <ignoredErrors>
    <ignoredError sqref="I9:I10" unlocked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5"/>
  <dimension ref="A1:AA65"/>
  <sheetViews>
    <sheetView showGridLines="0" zoomScaleNormal="100" workbookViewId="0">
      <selection activeCell="K20" sqref="K20"/>
    </sheetView>
  </sheetViews>
  <sheetFormatPr defaultColWidth="9.42578125" defaultRowHeight="11.25" x14ac:dyDescent="0.2"/>
  <cols>
    <col min="1" max="1" width="1.5703125" style="28" customWidth="1"/>
    <col min="2" max="2" width="4.42578125" style="28" customWidth="1"/>
    <col min="3" max="3" width="7.5703125" style="28" customWidth="1"/>
    <col min="4" max="4" width="1.5703125" style="28" customWidth="1"/>
    <col min="5" max="5" width="13.5703125" style="28" customWidth="1"/>
    <col min="6" max="6" width="1.5703125" style="28" customWidth="1"/>
    <col min="7" max="7" width="9.5703125" style="28" customWidth="1"/>
    <col min="8" max="8" width="2.5703125" style="28" customWidth="1"/>
    <col min="9" max="9" width="16.5703125" style="28" customWidth="1"/>
    <col min="10" max="10" width="1.42578125" style="28" customWidth="1"/>
    <col min="11" max="11" width="8.42578125" style="28" customWidth="1"/>
    <col min="12" max="12" width="6.42578125" style="28" customWidth="1"/>
    <col min="13" max="13" width="22.5703125" style="28" customWidth="1"/>
    <col min="14" max="14" width="4.5703125" style="28" customWidth="1"/>
    <col min="15" max="16384" width="9.42578125" style="28"/>
  </cols>
  <sheetData>
    <row r="1" spans="1:27" s="29" customFormat="1" ht="15" customHeight="1" x14ac:dyDescent="0.25">
      <c r="A1" s="2553" t="str">
        <f>+Index!$A$1</f>
        <v xml:space="preserve">                                                               Office of the State Controller                                                                </v>
      </c>
      <c r="B1" s="2553"/>
      <c r="C1" s="2553"/>
      <c r="D1" s="2553"/>
      <c r="E1" s="2553"/>
      <c r="F1" s="2553"/>
      <c r="G1" s="2553"/>
      <c r="H1" s="2553"/>
      <c r="I1" s="2553"/>
      <c r="J1" s="2553"/>
      <c r="K1" s="2553"/>
      <c r="L1" s="2553"/>
      <c r="M1" s="2553"/>
      <c r="N1" s="2626" t="str">
        <f>IF(Index!$B$37="na","NA","")</f>
        <v/>
      </c>
      <c r="AA1" s="30"/>
    </row>
    <row r="2" spans="1:27" s="29" customFormat="1" ht="15" customHeight="1" x14ac:dyDescent="0.25">
      <c r="A2" s="2597" t="str">
        <f>+Index!$A$2</f>
        <v>2024 ACFR Worksheets</v>
      </c>
      <c r="B2" s="2597"/>
      <c r="C2" s="2597"/>
      <c r="D2" s="2597"/>
      <c r="E2" s="2597"/>
      <c r="F2" s="2597"/>
      <c r="G2" s="2597"/>
      <c r="H2" s="2597"/>
      <c r="I2" s="2597"/>
      <c r="J2" s="2597"/>
      <c r="K2" s="2597"/>
      <c r="L2" s="2597"/>
      <c r="M2" s="2597"/>
      <c r="N2" s="2626"/>
    </row>
    <row r="3" spans="1:27" s="29" customFormat="1" ht="15" customHeight="1" x14ac:dyDescent="0.25">
      <c r="A3" s="2597" t="s">
        <v>1138</v>
      </c>
      <c r="B3" s="2597"/>
      <c r="C3" s="2597"/>
      <c r="D3" s="2597"/>
      <c r="E3" s="2597"/>
      <c r="F3" s="2597"/>
      <c r="G3" s="2597"/>
      <c r="H3" s="2597"/>
      <c r="I3" s="2597"/>
      <c r="J3" s="2597"/>
      <c r="K3" s="2597"/>
      <c r="L3" s="2597"/>
      <c r="M3" s="2597"/>
      <c r="N3" s="2626"/>
    </row>
    <row r="4" spans="1:27" s="81" customFormat="1" ht="15" customHeight="1" x14ac:dyDescent="0.2">
      <c r="A4" s="139"/>
      <c r="B4" s="139"/>
      <c r="C4" s="139"/>
      <c r="D4" s="139"/>
      <c r="E4" s="139"/>
      <c r="F4" s="139"/>
      <c r="G4" s="139"/>
      <c r="H4" s="2321"/>
      <c r="I4" s="139"/>
      <c r="J4" s="139"/>
      <c r="K4" s="139"/>
      <c r="L4" s="139"/>
      <c r="M4" s="139"/>
      <c r="N4" s="139"/>
      <c r="O4" s="139"/>
      <c r="P4" s="139"/>
      <c r="Q4" s="139"/>
      <c r="R4" s="139"/>
      <c r="S4" s="139"/>
      <c r="T4" s="139"/>
      <c r="U4" s="139"/>
      <c r="V4" s="139"/>
      <c r="W4" s="139"/>
      <c r="X4" s="139"/>
      <c r="Y4" s="139"/>
      <c r="Z4" s="139"/>
      <c r="AA4" s="139"/>
    </row>
    <row r="5" spans="1:27" s="81" customFormat="1" ht="15" customHeight="1" x14ac:dyDescent="0.2">
      <c r="A5" s="139"/>
      <c r="B5" s="139"/>
      <c r="C5" s="139"/>
      <c r="D5" s="2321"/>
      <c r="E5" s="139"/>
      <c r="F5" s="139"/>
      <c r="G5" s="139"/>
      <c r="H5" s="139"/>
      <c r="I5" s="1554" t="s">
        <v>318</v>
      </c>
      <c r="J5" s="2681" t="str">
        <f>+Index!$E$10</f>
        <v>01</v>
      </c>
      <c r="K5" s="2681"/>
      <c r="L5" s="2681"/>
      <c r="M5" s="2681"/>
      <c r="N5" s="1595"/>
      <c r="O5" s="139"/>
      <c r="P5" s="139"/>
      <c r="Q5" s="139"/>
      <c r="R5" s="139"/>
      <c r="S5" s="139"/>
      <c r="T5" s="139"/>
      <c r="U5" s="139"/>
      <c r="V5" s="139"/>
      <c r="W5" s="139"/>
      <c r="X5" s="139"/>
      <c r="Y5" s="139"/>
      <c r="Z5" s="139"/>
      <c r="AA5" s="139"/>
    </row>
    <row r="6" spans="1:27" s="81" customFormat="1" ht="15" customHeight="1" x14ac:dyDescent="0.2">
      <c r="A6" s="139"/>
      <c r="B6" s="139"/>
      <c r="C6" s="139"/>
      <c r="D6" s="139"/>
      <c r="E6" s="139"/>
      <c r="F6" s="139"/>
      <c r="G6" s="139"/>
      <c r="H6" s="139"/>
      <c r="I6" s="1554" t="s">
        <v>319</v>
      </c>
      <c r="J6" s="2675" t="str">
        <f>+Index!$E$11</f>
        <v>North Carolina General Assembly</v>
      </c>
      <c r="K6" s="2675"/>
      <c r="L6" s="2675"/>
      <c r="M6" s="2675"/>
      <c r="N6" s="1595"/>
      <c r="O6" s="139"/>
      <c r="P6" s="139"/>
      <c r="Q6" s="139"/>
      <c r="R6" s="139"/>
      <c r="S6" s="139"/>
      <c r="T6" s="139"/>
      <c r="U6" s="139"/>
      <c r="V6" s="139"/>
      <c r="W6" s="139"/>
      <c r="X6" s="139"/>
      <c r="Y6" s="139"/>
      <c r="Z6" s="139"/>
      <c r="AA6" s="139"/>
    </row>
    <row r="7" spans="1:27" s="81" customFormat="1" ht="15" customHeight="1" x14ac:dyDescent="0.2">
      <c r="A7" s="139" t="s">
        <v>545</v>
      </c>
      <c r="B7" s="139"/>
      <c r="C7" s="139"/>
      <c r="D7" s="2676" t="s">
        <v>498</v>
      </c>
      <c r="E7" s="2677"/>
      <c r="F7" s="139"/>
      <c r="G7" s="139"/>
      <c r="H7" s="139"/>
      <c r="I7" s="1554" t="s">
        <v>320</v>
      </c>
      <c r="J7" s="2629" t="str">
        <f>CONCATENATE(Index!$E$12," ",Index!$E$14)</f>
        <v xml:space="preserve"> </v>
      </c>
      <c r="K7" s="2629"/>
      <c r="L7" s="2629"/>
      <c r="M7" s="2629"/>
      <c r="N7" s="1596"/>
      <c r="O7" s="139"/>
      <c r="P7" s="139"/>
      <c r="Q7" s="139"/>
      <c r="R7" s="139"/>
      <c r="S7" s="139"/>
      <c r="T7" s="139"/>
      <c r="U7" s="139"/>
      <c r="V7" s="139"/>
      <c r="W7" s="139"/>
      <c r="X7" s="139"/>
      <c r="Y7" s="139"/>
      <c r="Z7" s="139"/>
      <c r="AA7" s="139"/>
    </row>
    <row r="8" spans="1:27" s="81" customFormat="1" ht="15" customHeight="1" x14ac:dyDescent="0.2">
      <c r="A8" s="139"/>
      <c r="B8" s="139"/>
      <c r="C8" s="139"/>
      <c r="D8" s="2321"/>
      <c r="E8" s="139"/>
      <c r="F8" s="139"/>
      <c r="G8" s="139"/>
      <c r="H8" s="139"/>
      <c r="I8" s="1554" t="s">
        <v>168</v>
      </c>
      <c r="J8" s="2678">
        <f>+Index!$E$13</f>
        <v>0</v>
      </c>
      <c r="K8" s="2678"/>
      <c r="L8" s="2678"/>
      <c r="M8" s="2678"/>
      <c r="N8" s="1597"/>
      <c r="O8" s="139"/>
      <c r="P8" s="139"/>
      <c r="Q8" s="139"/>
      <c r="R8" s="139"/>
      <c r="S8" s="139"/>
      <c r="T8" s="139"/>
      <c r="U8" s="139"/>
      <c r="V8" s="139"/>
      <c r="W8" s="139"/>
      <c r="X8" s="139"/>
      <c r="Y8" s="139"/>
      <c r="Z8" s="139"/>
      <c r="AA8" s="139"/>
    </row>
    <row r="9" spans="1:27" s="81" customFormat="1" ht="6" customHeight="1" thickBot="1" x14ac:dyDescent="0.25">
      <c r="A9" s="1556"/>
      <c r="B9" s="1556"/>
      <c r="C9" s="1556"/>
      <c r="D9" s="1556"/>
      <c r="E9" s="1556"/>
      <c r="F9" s="1556"/>
      <c r="G9" s="1556"/>
      <c r="H9" s="1556"/>
      <c r="I9" s="1556"/>
      <c r="J9" s="1556"/>
      <c r="K9" s="1556"/>
      <c r="L9" s="1556"/>
      <c r="M9" s="1556"/>
      <c r="N9" s="139"/>
      <c r="O9" s="139"/>
      <c r="P9" s="139"/>
      <c r="Q9" s="139"/>
      <c r="R9" s="139"/>
      <c r="S9" s="139"/>
      <c r="T9" s="139"/>
      <c r="U9" s="139"/>
      <c r="V9" s="139"/>
      <c r="W9" s="139"/>
      <c r="X9" s="139"/>
      <c r="Y9" s="139"/>
      <c r="Z9" s="139"/>
      <c r="AA9" s="139"/>
    </row>
    <row r="10" spans="1:27" s="81" customFormat="1" ht="5.0999999999999996" customHeight="1" x14ac:dyDescent="0.2">
      <c r="A10" s="139"/>
      <c r="B10" s="139"/>
      <c r="C10" s="139"/>
      <c r="D10" s="139"/>
      <c r="E10" s="139"/>
      <c r="F10" s="139"/>
      <c r="G10" s="139"/>
      <c r="H10" s="139"/>
      <c r="I10" s="139"/>
      <c r="J10" s="139"/>
      <c r="K10" s="139"/>
      <c r="L10" s="139"/>
      <c r="M10" s="139"/>
      <c r="N10" s="139"/>
      <c r="O10" s="139"/>
      <c r="P10" s="139"/>
      <c r="Q10" s="139"/>
      <c r="R10" s="139"/>
      <c r="S10" s="139"/>
      <c r="T10" s="139"/>
      <c r="U10" s="139"/>
      <c r="V10" s="139"/>
      <c r="W10" s="139"/>
      <c r="X10" s="139"/>
      <c r="Y10" s="139"/>
      <c r="Z10" s="139"/>
      <c r="AA10" s="139"/>
    </row>
    <row r="11" spans="1:27" s="81" customFormat="1" ht="5.0999999999999996" customHeight="1" x14ac:dyDescent="0.2">
      <c r="A11" s="139"/>
      <c r="B11" s="139"/>
      <c r="C11" s="139"/>
      <c r="D11" s="139"/>
      <c r="E11" s="139"/>
      <c r="F11" s="139"/>
      <c r="G11" s="139"/>
      <c r="H11" s="139"/>
      <c r="I11" s="139"/>
      <c r="J11" s="139"/>
      <c r="K11" s="139"/>
      <c r="L11" s="139"/>
      <c r="M11" s="139"/>
      <c r="N11" s="139"/>
      <c r="O11" s="139"/>
      <c r="P11" s="139"/>
      <c r="Q11" s="139"/>
      <c r="R11" s="139"/>
      <c r="S11" s="139"/>
      <c r="T11" s="139"/>
      <c r="U11" s="139"/>
      <c r="V11" s="139"/>
      <c r="W11" s="139"/>
      <c r="X11" s="139"/>
      <c r="Y11" s="139"/>
      <c r="Z11" s="139"/>
      <c r="AA11" s="139"/>
    </row>
    <row r="12" spans="1:27" s="81" customFormat="1" ht="12.75" customHeight="1" x14ac:dyDescent="0.2">
      <c r="A12" s="2674" t="s">
        <v>1139</v>
      </c>
      <c r="B12" s="2548"/>
      <c r="C12" s="2548"/>
      <c r="D12" s="2548"/>
      <c r="E12" s="2548"/>
      <c r="F12" s="2548"/>
      <c r="G12" s="2548"/>
      <c r="H12" s="2548"/>
      <c r="I12" s="2548"/>
      <c r="J12" s="2548"/>
      <c r="K12" s="2548"/>
      <c r="L12" s="2548"/>
      <c r="M12" s="2548"/>
      <c r="N12" s="139"/>
      <c r="O12" s="139"/>
      <c r="P12" s="139"/>
      <c r="Q12" s="139"/>
      <c r="R12" s="139"/>
      <c r="S12" s="139"/>
      <c r="T12" s="139"/>
      <c r="U12" s="139"/>
      <c r="V12" s="139"/>
      <c r="W12" s="139"/>
      <c r="X12" s="139"/>
      <c r="Y12" s="139"/>
      <c r="Z12" s="139"/>
      <c r="AA12" s="139"/>
    </row>
    <row r="13" spans="1:27" s="81" customFormat="1" ht="12.75" customHeight="1" x14ac:dyDescent="0.2">
      <c r="A13" s="2674" t="s">
        <v>1140</v>
      </c>
      <c r="B13" s="2548"/>
      <c r="C13" s="2548"/>
      <c r="D13" s="2548"/>
      <c r="E13" s="2548"/>
      <c r="F13" s="2548"/>
      <c r="G13" s="2548"/>
      <c r="H13" s="2548"/>
      <c r="I13" s="2548"/>
      <c r="J13" s="2548"/>
      <c r="K13" s="2548"/>
      <c r="L13" s="2548"/>
      <c r="M13" s="2548"/>
      <c r="N13" s="139"/>
      <c r="O13" s="139"/>
      <c r="P13" s="139"/>
      <c r="Q13" s="139"/>
      <c r="R13" s="139"/>
      <c r="S13" s="139"/>
      <c r="T13" s="139"/>
      <c r="U13" s="139"/>
      <c r="V13" s="139"/>
      <c r="W13" s="139"/>
      <c r="X13" s="139"/>
      <c r="Y13" s="139"/>
      <c r="Z13" s="139"/>
      <c r="AA13" s="139"/>
    </row>
    <row r="14" spans="1:27" s="81" customFormat="1" ht="12.75" customHeight="1" x14ac:dyDescent="0.2">
      <c r="A14" s="2310" t="s">
        <v>1141</v>
      </c>
      <c r="B14"/>
      <c r="C14"/>
      <c r="D14"/>
      <c r="E14"/>
      <c r="F14"/>
      <c r="G14"/>
      <c r="H14"/>
      <c r="I14"/>
      <c r="J14"/>
      <c r="K14"/>
      <c r="L14"/>
      <c r="M14"/>
      <c r="N14" s="139"/>
      <c r="O14" s="139"/>
      <c r="P14" s="139"/>
      <c r="Q14" s="139"/>
      <c r="R14" s="139"/>
      <c r="S14" s="139"/>
      <c r="T14" s="139"/>
      <c r="U14" s="139"/>
      <c r="V14" s="139"/>
      <c r="W14" s="139"/>
      <c r="X14" s="139"/>
      <c r="Y14" s="139"/>
      <c r="Z14" s="139"/>
      <c r="AA14" s="139"/>
    </row>
    <row r="15" spans="1:27" s="81" customFormat="1" ht="12.75" customHeight="1" x14ac:dyDescent="0.2">
      <c r="A15" s="2679" t="s">
        <v>1142</v>
      </c>
      <c r="B15" s="2680"/>
      <c r="C15" s="2680"/>
      <c r="D15" s="2680"/>
      <c r="E15" s="2680"/>
      <c r="F15"/>
      <c r="G15"/>
      <c r="H15"/>
      <c r="I15"/>
      <c r="J15"/>
      <c r="K15"/>
      <c r="L15"/>
      <c r="M15"/>
      <c r="N15" s="139"/>
      <c r="O15" s="139"/>
      <c r="P15" s="139"/>
      <c r="Q15" s="139"/>
      <c r="R15" s="139"/>
      <c r="S15" s="139"/>
      <c r="T15" s="139"/>
      <c r="U15" s="139"/>
      <c r="V15" s="139"/>
      <c r="W15" s="139"/>
      <c r="X15" s="139"/>
      <c r="Y15" s="139"/>
      <c r="Z15" s="139"/>
      <c r="AA15" s="139"/>
    </row>
    <row r="16" spans="1:27" s="81" customFormat="1" ht="10.35" customHeight="1" x14ac:dyDescent="0.2">
      <c r="A16" s="2313"/>
      <c r="B16" s="1"/>
      <c r="C16" s="1"/>
      <c r="D16" s="1"/>
      <c r="E16" s="1"/>
      <c r="F16"/>
      <c r="G16"/>
      <c r="H16"/>
      <c r="I16"/>
      <c r="J16"/>
      <c r="K16"/>
      <c r="L16"/>
      <c r="M16"/>
      <c r="N16" s="139"/>
      <c r="O16" s="139"/>
      <c r="P16" s="139"/>
      <c r="Q16" s="139"/>
      <c r="R16" s="139"/>
      <c r="S16" s="139"/>
      <c r="T16" s="139"/>
      <c r="U16" s="139"/>
      <c r="V16" s="139"/>
      <c r="W16" s="139"/>
      <c r="X16" s="139"/>
      <c r="Y16" s="139"/>
      <c r="Z16" s="139"/>
      <c r="AA16" s="139"/>
    </row>
    <row r="17" spans="1:13" s="81" customFormat="1" ht="14.1" customHeight="1" x14ac:dyDescent="0.25">
      <c r="A17" s="2674" t="s">
        <v>1143</v>
      </c>
      <c r="B17" s="2548"/>
      <c r="C17" s="2548"/>
      <c r="D17" s="2548"/>
      <c r="E17" s="2548"/>
      <c r="F17" s="2548"/>
      <c r="G17" s="2548"/>
      <c r="H17" s="2548"/>
      <c r="I17" s="2548"/>
      <c r="J17" s="2548"/>
      <c r="K17" s="2548"/>
      <c r="L17" s="2548"/>
      <c r="M17" s="2548"/>
    </row>
    <row r="18" spans="1:13" s="81" customFormat="1" ht="10.35" customHeight="1" x14ac:dyDescent="0.2">
      <c r="A18" s="2310"/>
      <c r="B18"/>
      <c r="C18"/>
      <c r="D18"/>
      <c r="E18"/>
      <c r="F18"/>
      <c r="G18"/>
      <c r="H18"/>
      <c r="I18"/>
      <c r="J18"/>
      <c r="K18"/>
      <c r="L18"/>
      <c r="M18"/>
    </row>
    <row r="19" spans="1:13" s="81" customFormat="1" ht="15" customHeight="1" x14ac:dyDescent="0.2">
      <c r="A19" s="2327" t="s">
        <v>1144</v>
      </c>
      <c r="B19" s="139"/>
      <c r="C19" s="139"/>
      <c r="D19" s="139"/>
      <c r="E19" s="139"/>
      <c r="F19" s="139"/>
      <c r="G19" s="139"/>
      <c r="H19" s="139"/>
      <c r="I19" s="139"/>
      <c r="J19" s="139"/>
      <c r="K19" s="139"/>
      <c r="L19" s="139"/>
      <c r="M19" s="139"/>
    </row>
    <row r="20" spans="1:13" s="81" customFormat="1" ht="15" customHeight="1" x14ac:dyDescent="0.2">
      <c r="A20" s="139"/>
      <c r="B20" s="2323" t="s">
        <v>1145</v>
      </c>
      <c r="C20" s="870"/>
      <c r="D20" s="139"/>
      <c r="E20" s="139"/>
      <c r="F20" s="139"/>
      <c r="G20" s="2323"/>
      <c r="H20" s="139"/>
      <c r="I20" s="1598"/>
      <c r="J20" s="139"/>
      <c r="K20" s="442" t="s">
        <v>1146</v>
      </c>
      <c r="L20" s="139"/>
      <c r="M20" s="139"/>
    </row>
    <row r="21" spans="1:13" s="81" customFormat="1" ht="14.85" customHeight="1" x14ac:dyDescent="0.2">
      <c r="A21" s="139"/>
      <c r="B21" s="139" t="s">
        <v>1147</v>
      </c>
      <c r="C21" s="870"/>
      <c r="D21" s="139"/>
      <c r="E21" s="139"/>
      <c r="F21" s="139"/>
      <c r="G21" s="2323"/>
      <c r="H21" s="139"/>
      <c r="I21" s="1599"/>
      <c r="J21" s="139"/>
      <c r="K21" s="442" t="s">
        <v>1148</v>
      </c>
      <c r="L21" s="139"/>
      <c r="M21" s="139"/>
    </row>
    <row r="22" spans="1:13" s="81" customFormat="1" ht="14.85" customHeight="1" thickBot="1" x14ac:dyDescent="0.25">
      <c r="A22" s="139"/>
      <c r="B22" s="1600" t="s">
        <v>1149</v>
      </c>
      <c r="C22" s="870"/>
      <c r="D22" s="139"/>
      <c r="E22" s="139"/>
      <c r="F22" s="139"/>
      <c r="G22" s="2323"/>
      <c r="H22" s="139"/>
      <c r="I22" s="1601">
        <f>SUM(I20:I21)</f>
        <v>0</v>
      </c>
      <c r="J22" s="139"/>
      <c r="K22" s="442" t="s">
        <v>1150</v>
      </c>
      <c r="L22" s="139"/>
      <c r="M22" s="139"/>
    </row>
    <row r="23" spans="1:13" s="81" customFormat="1" ht="6" customHeight="1" thickTop="1" x14ac:dyDescent="0.2">
      <c r="A23" s="139"/>
      <c r="B23" s="139"/>
      <c r="C23" s="1600"/>
      <c r="D23" s="139"/>
      <c r="E23" s="139"/>
      <c r="F23" s="139"/>
      <c r="G23" s="2323"/>
      <c r="H23" s="139"/>
      <c r="I23" s="1602"/>
      <c r="J23" s="139"/>
      <c r="K23" s="442"/>
      <c r="L23" s="139"/>
      <c r="M23" s="139"/>
    </row>
    <row r="24" spans="1:13" s="81" customFormat="1" ht="11.1" customHeight="1" x14ac:dyDescent="0.25">
      <c r="A24" s="139"/>
      <c r="B24" s="444" t="s">
        <v>716</v>
      </c>
      <c r="C24" s="2672" t="s">
        <v>1151</v>
      </c>
      <c r="D24" s="2673"/>
      <c r="E24" s="2673"/>
      <c r="F24" s="2673"/>
      <c r="G24" s="2673"/>
      <c r="H24" s="2673"/>
      <c r="I24" s="2673"/>
      <c r="J24" s="2673"/>
      <c r="K24" s="2673"/>
      <c r="L24" s="2673"/>
      <c r="M24" s="2673"/>
    </row>
    <row r="25" spans="1:13" s="81" customFormat="1" ht="11.1" customHeight="1" x14ac:dyDescent="0.25">
      <c r="A25" s="139"/>
      <c r="B25" s="444"/>
      <c r="C25" s="2672" t="s">
        <v>1152</v>
      </c>
      <c r="D25" s="2673"/>
      <c r="E25" s="2673"/>
      <c r="F25" s="2673"/>
      <c r="G25" s="2673"/>
      <c r="H25" s="2673"/>
      <c r="I25" s="2673"/>
      <c r="J25" s="2673"/>
      <c r="K25" s="2673"/>
      <c r="L25" s="2673"/>
      <c r="M25" s="2673"/>
    </row>
    <row r="26" spans="1:13" s="81" customFormat="1" ht="4.3499999999999996" customHeight="1" x14ac:dyDescent="0.25">
      <c r="A26" s="139"/>
      <c r="B26" s="444"/>
      <c r="C26" s="441" t="s">
        <v>324</v>
      </c>
      <c r="D26" s="443"/>
      <c r="E26" s="443"/>
      <c r="F26" s="443"/>
      <c r="G26" s="2323"/>
      <c r="H26" s="139"/>
      <c r="I26" s="1602"/>
      <c r="J26" s="139"/>
      <c r="K26" s="442"/>
      <c r="L26" s="139"/>
      <c r="M26" s="139"/>
    </row>
    <row r="27" spans="1:13" s="81" customFormat="1" ht="15" customHeight="1" x14ac:dyDescent="0.2">
      <c r="A27" s="139"/>
      <c r="B27" s="2323" t="s">
        <v>1153</v>
      </c>
      <c r="C27" s="2323"/>
      <c r="D27" s="443"/>
      <c r="E27" s="443"/>
      <c r="F27" s="443"/>
      <c r="G27" s="2323"/>
      <c r="H27" s="139"/>
      <c r="I27" s="1602"/>
      <c r="J27" s="139"/>
      <c r="K27" s="442"/>
      <c r="L27" s="139"/>
      <c r="M27" s="139"/>
    </row>
    <row r="28" spans="1:13" s="81" customFormat="1" ht="15" customHeight="1" x14ac:dyDescent="0.2">
      <c r="A28" s="139"/>
      <c r="B28" s="2323"/>
      <c r="C28" s="1011"/>
      <c r="D28" s="443"/>
      <c r="E28" s="443" t="s">
        <v>340</v>
      </c>
      <c r="F28" s="443"/>
      <c r="G28" s="2323"/>
      <c r="H28" s="139"/>
      <c r="I28" s="1602"/>
      <c r="J28" s="139"/>
      <c r="K28" s="442"/>
      <c r="L28" s="139"/>
      <c r="M28" s="139"/>
    </row>
    <row r="29" spans="1:13" s="81" customFormat="1" ht="15" customHeight="1" x14ac:dyDescent="0.2">
      <c r="A29" s="139"/>
      <c r="B29" s="2323"/>
      <c r="C29" s="1025"/>
      <c r="D29" s="443"/>
      <c r="E29" s="443" t="s">
        <v>341</v>
      </c>
      <c r="F29" s="443"/>
      <c r="G29" s="2323"/>
      <c r="H29" s="139"/>
      <c r="I29" s="1602"/>
      <c r="J29" s="139"/>
      <c r="K29" s="442"/>
      <c r="L29" s="139"/>
      <c r="M29" s="139"/>
    </row>
    <row r="30" spans="1:13" s="81" customFormat="1" ht="6" customHeight="1" x14ac:dyDescent="0.2">
      <c r="A30" s="139"/>
      <c r="B30" s="139"/>
      <c r="C30" s="139"/>
      <c r="D30" s="139"/>
      <c r="E30" s="139"/>
      <c r="F30" s="139"/>
      <c r="G30" s="139"/>
      <c r="H30" s="139"/>
      <c r="I30" s="139"/>
      <c r="J30" s="139"/>
      <c r="K30" s="139"/>
      <c r="L30" s="139"/>
      <c r="M30" s="139"/>
    </row>
    <row r="31" spans="1:13" ht="12.75" x14ac:dyDescent="0.2">
      <c r="A31" s="2327" t="s">
        <v>1154</v>
      </c>
      <c r="C31"/>
      <c r="D31"/>
      <c r="E31"/>
      <c r="F31"/>
      <c r="G31"/>
      <c r="H31"/>
      <c r="I31"/>
      <c r="J31"/>
      <c r="K31"/>
      <c r="L31"/>
      <c r="M31"/>
    </row>
    <row r="32" spans="1:13" ht="14.1" customHeight="1" x14ac:dyDescent="0.2">
      <c r="A32" s="139"/>
      <c r="B32" s="1603" t="s">
        <v>519</v>
      </c>
      <c r="C32" s="1011"/>
      <c r="E32" s="2323" t="s">
        <v>1155</v>
      </c>
      <c r="F32" s="870"/>
      <c r="G32" s="870"/>
      <c r="H32" s="870"/>
      <c r="I32" s="870"/>
      <c r="J32" s="870"/>
      <c r="K32" s="870"/>
      <c r="L32" s="139"/>
      <c r="M32" s="139"/>
    </row>
    <row r="33" spans="1:13" ht="12.6" customHeight="1" x14ac:dyDescent="0.2">
      <c r="A33" s="139"/>
      <c r="B33" s="1603"/>
      <c r="D33" s="870"/>
      <c r="E33" s="870" t="s">
        <v>1156</v>
      </c>
      <c r="F33" s="870"/>
      <c r="G33" s="870"/>
      <c r="H33" s="870"/>
      <c r="I33" s="870"/>
      <c r="J33" s="870"/>
      <c r="K33" s="870"/>
      <c r="L33" s="139"/>
      <c r="M33" s="139"/>
    </row>
    <row r="34" spans="1:13" ht="12.6" customHeight="1" x14ac:dyDescent="0.2">
      <c r="A34" s="139"/>
      <c r="B34" s="1603"/>
      <c r="C34" s="870"/>
      <c r="D34" s="870"/>
      <c r="E34" s="870" t="s">
        <v>1157</v>
      </c>
      <c r="F34" s="870"/>
      <c r="G34" s="870"/>
      <c r="H34" s="870"/>
      <c r="I34" s="870"/>
      <c r="J34" s="870"/>
      <c r="K34" s="870"/>
      <c r="L34" s="139"/>
      <c r="M34" s="139"/>
    </row>
    <row r="35" spans="1:13" ht="14.1" customHeight="1" x14ac:dyDescent="0.2">
      <c r="A35" s="139"/>
      <c r="B35" s="1603" t="s">
        <v>522</v>
      </c>
      <c r="C35" s="1011"/>
      <c r="D35" s="1604" t="s">
        <v>1158</v>
      </c>
      <c r="E35" s="870"/>
      <c r="F35" s="870"/>
      <c r="G35" s="870"/>
      <c r="H35" s="870"/>
      <c r="I35" s="870"/>
      <c r="J35" s="870"/>
      <c r="K35" s="870"/>
      <c r="L35" s="139"/>
      <c r="M35" s="139"/>
    </row>
    <row r="36" spans="1:13" ht="12.6" customHeight="1" x14ac:dyDescent="0.2">
      <c r="A36" s="139"/>
      <c r="B36" s="1603"/>
      <c r="D36" s="870"/>
      <c r="E36" s="870" t="s">
        <v>1159</v>
      </c>
      <c r="F36" s="870"/>
      <c r="G36" s="870"/>
      <c r="H36" s="870"/>
      <c r="I36" s="870"/>
      <c r="J36" s="870"/>
      <c r="K36" s="870"/>
      <c r="L36" s="139"/>
      <c r="M36" s="139"/>
    </row>
    <row r="37" spans="1:13" ht="14.1" customHeight="1" x14ac:dyDescent="0.2">
      <c r="A37" s="139"/>
      <c r="B37" s="1603" t="s">
        <v>525</v>
      </c>
      <c r="C37" s="1011"/>
      <c r="D37" s="1604" t="s">
        <v>1160</v>
      </c>
      <c r="E37" s="870"/>
      <c r="F37" s="870"/>
      <c r="G37" s="870"/>
      <c r="H37" s="870"/>
      <c r="I37" s="870"/>
      <c r="J37" s="870"/>
      <c r="K37" s="870"/>
      <c r="L37" s="139"/>
      <c r="M37" s="139"/>
    </row>
    <row r="38" spans="1:13" ht="12.6" customHeight="1" x14ac:dyDescent="0.2">
      <c r="A38" s="139"/>
      <c r="B38" s="1603"/>
      <c r="D38" s="870"/>
      <c r="E38" s="870" t="s">
        <v>1161</v>
      </c>
      <c r="F38" s="870"/>
      <c r="G38" s="870"/>
      <c r="H38" s="870"/>
      <c r="I38" s="870"/>
      <c r="J38" s="870"/>
      <c r="K38" s="870"/>
      <c r="L38" s="139"/>
      <c r="M38" s="139"/>
    </row>
    <row r="39" spans="1:13" ht="12.6" customHeight="1" x14ac:dyDescent="0.2">
      <c r="A39" s="139"/>
      <c r="B39" s="1603"/>
      <c r="D39" s="870"/>
      <c r="E39" s="870" t="s">
        <v>1162</v>
      </c>
      <c r="F39" s="870"/>
      <c r="G39" s="870"/>
      <c r="H39" s="870"/>
      <c r="I39" s="870"/>
      <c r="J39" s="870"/>
      <c r="K39" s="870"/>
      <c r="L39" s="139"/>
      <c r="M39" s="139"/>
    </row>
    <row r="40" spans="1:13" ht="14.1" customHeight="1" x14ac:dyDescent="0.2">
      <c r="A40" s="139"/>
      <c r="B40" s="1603" t="s">
        <v>1163</v>
      </c>
      <c r="C40" s="1011"/>
      <c r="D40" s="1604" t="s">
        <v>1164</v>
      </c>
      <c r="E40" s="870"/>
      <c r="F40" s="870"/>
      <c r="G40" s="870"/>
      <c r="H40" s="870"/>
      <c r="I40" s="870"/>
      <c r="J40" s="870"/>
      <c r="K40" s="870"/>
      <c r="L40" s="139"/>
      <c r="M40" s="139"/>
    </row>
    <row r="41" spans="1:13" ht="12.6" customHeight="1" x14ac:dyDescent="0.2">
      <c r="A41" s="139"/>
      <c r="B41" s="1603"/>
      <c r="D41" s="870"/>
      <c r="E41" s="870" t="s">
        <v>1165</v>
      </c>
      <c r="F41" s="870"/>
      <c r="G41" s="870"/>
      <c r="H41" s="870"/>
      <c r="I41" s="870"/>
      <c r="J41" s="870"/>
      <c r="K41" s="870"/>
      <c r="L41" s="139"/>
      <c r="M41" s="139"/>
    </row>
    <row r="42" spans="1:13" ht="14.1" customHeight="1" x14ac:dyDescent="0.2">
      <c r="A42" s="139"/>
      <c r="B42" s="1603" t="s">
        <v>1166</v>
      </c>
      <c r="C42" s="1011"/>
      <c r="D42" s="1604" t="s">
        <v>1167</v>
      </c>
      <c r="E42" s="870"/>
      <c r="F42" s="870"/>
      <c r="G42" s="870"/>
      <c r="H42" s="870"/>
      <c r="I42" s="870"/>
      <c r="J42" s="870"/>
      <c r="K42" s="870"/>
      <c r="L42" s="139"/>
      <c r="M42" s="139"/>
    </row>
    <row r="43" spans="1:13" ht="12.6" customHeight="1" x14ac:dyDescent="0.2">
      <c r="A43" s="139"/>
      <c r="B43" s="870"/>
      <c r="D43" s="870"/>
      <c r="E43" s="870" t="s">
        <v>1168</v>
      </c>
      <c r="F43" s="870"/>
      <c r="G43" s="870"/>
      <c r="H43" s="870"/>
      <c r="I43" s="870"/>
      <c r="J43" s="870"/>
      <c r="K43" s="870"/>
      <c r="L43" s="139"/>
      <c r="M43" s="139"/>
    </row>
    <row r="44" spans="1:13" ht="12.6" customHeight="1" x14ac:dyDescent="0.2">
      <c r="A44" s="139"/>
      <c r="B44" s="870"/>
      <c r="D44" s="870"/>
      <c r="E44" s="870" t="s">
        <v>1169</v>
      </c>
      <c r="F44" s="870"/>
      <c r="G44" s="870"/>
      <c r="H44" s="870"/>
      <c r="I44" s="870"/>
      <c r="J44" s="870"/>
      <c r="K44" s="870"/>
      <c r="L44" s="139"/>
      <c r="M44" s="139"/>
    </row>
    <row r="45" spans="1:13" ht="12.6" customHeight="1" x14ac:dyDescent="0.2">
      <c r="A45" s="139"/>
      <c r="B45" s="870"/>
      <c r="D45" s="870"/>
      <c r="E45" s="870" t="s">
        <v>1170</v>
      </c>
      <c r="F45" s="870"/>
      <c r="G45" s="870"/>
      <c r="H45" s="870"/>
      <c r="I45" s="870"/>
      <c r="J45" s="870"/>
      <c r="K45" s="870"/>
      <c r="L45" s="139"/>
      <c r="M45" s="139"/>
    </row>
    <row r="46" spans="1:13" ht="12.6" customHeight="1" x14ac:dyDescent="0.2">
      <c r="A46" s="139"/>
      <c r="B46" s="870"/>
      <c r="D46" s="870"/>
      <c r="E46" s="870" t="s">
        <v>1171</v>
      </c>
      <c r="F46" s="870"/>
      <c r="G46" s="870"/>
      <c r="H46" s="870"/>
      <c r="I46" s="870"/>
      <c r="J46" s="870"/>
      <c r="K46" s="870"/>
      <c r="L46" s="139"/>
      <c r="M46" s="139"/>
    </row>
    <row r="47" spans="1:13" ht="15" customHeight="1" x14ac:dyDescent="0.25">
      <c r="A47" s="139"/>
      <c r="B47" s="441" t="s">
        <v>1172</v>
      </c>
      <c r="D47" s="870"/>
      <c r="E47" s="870"/>
      <c r="F47" s="870"/>
      <c r="G47" s="870"/>
      <c r="H47" s="870"/>
      <c r="I47" s="870"/>
      <c r="J47" s="870"/>
      <c r="K47" s="870"/>
      <c r="L47" s="139"/>
      <c r="M47" s="139"/>
    </row>
    <row r="48" spans="1:13" ht="4.3499999999999996" customHeight="1" x14ac:dyDescent="0.2">
      <c r="A48" s="139"/>
      <c r="B48" s="139"/>
      <c r="C48" s="139"/>
      <c r="D48" s="139"/>
      <c r="E48" s="139"/>
      <c r="F48" s="139"/>
      <c r="G48" s="139"/>
      <c r="H48" s="139"/>
      <c r="I48" s="139"/>
      <c r="J48" s="139"/>
      <c r="K48" s="139"/>
      <c r="L48" s="139"/>
      <c r="M48" s="139"/>
    </row>
    <row r="49" spans="1:13" ht="12.75" x14ac:dyDescent="0.2">
      <c r="A49" s="207" t="s">
        <v>1173</v>
      </c>
      <c r="B49" s="139"/>
      <c r="C49" s="139"/>
      <c r="D49" s="139"/>
      <c r="E49" s="139"/>
      <c r="F49" s="139"/>
      <c r="G49" s="139"/>
      <c r="H49" s="139"/>
      <c r="I49" s="139"/>
      <c r="J49" s="139"/>
      <c r="K49" s="139"/>
      <c r="L49" s="139"/>
      <c r="M49" s="139"/>
    </row>
    <row r="50" spans="1:13" ht="14.1" customHeight="1" x14ac:dyDescent="0.2">
      <c r="B50" s="1605" t="s">
        <v>519</v>
      </c>
      <c r="C50" s="1011"/>
      <c r="E50" s="870" t="s">
        <v>1174</v>
      </c>
      <c r="F50" s="139"/>
      <c r="G50" s="139"/>
      <c r="H50" s="139"/>
      <c r="I50" s="139"/>
      <c r="J50" s="139"/>
      <c r="K50" s="139"/>
      <c r="L50" s="139"/>
      <c r="M50" s="139"/>
    </row>
    <row r="51" spans="1:13" ht="12.6" customHeight="1" x14ac:dyDescent="0.2">
      <c r="B51" s="138"/>
      <c r="C51" s="138"/>
      <c r="E51" s="870" t="s">
        <v>1175</v>
      </c>
      <c r="F51" s="139"/>
      <c r="G51" s="139"/>
      <c r="H51" s="139"/>
      <c r="I51" s="139"/>
      <c r="J51" s="139"/>
      <c r="K51" s="139"/>
      <c r="L51" s="139"/>
      <c r="M51" s="139"/>
    </row>
    <row r="52" spans="1:13" ht="14.1" customHeight="1" x14ac:dyDescent="0.2">
      <c r="B52" s="1605" t="s">
        <v>522</v>
      </c>
      <c r="C52" s="2301"/>
      <c r="E52" s="870" t="s">
        <v>1176</v>
      </c>
      <c r="F52" s="139"/>
      <c r="G52" s="139"/>
      <c r="H52" s="139"/>
      <c r="I52" s="139"/>
      <c r="J52" s="139"/>
      <c r="K52" s="139"/>
      <c r="L52" s="139"/>
      <c r="M52" s="139"/>
    </row>
    <row r="53" spans="1:13" ht="12.6" customHeight="1" x14ac:dyDescent="0.2">
      <c r="B53" s="138"/>
      <c r="C53" s="138"/>
      <c r="E53" s="870" t="s">
        <v>1177</v>
      </c>
      <c r="F53" s="139"/>
      <c r="G53" s="139"/>
      <c r="H53" s="139"/>
      <c r="I53" s="139"/>
      <c r="J53" s="139"/>
      <c r="K53" s="139"/>
      <c r="L53" s="139"/>
      <c r="M53" s="139"/>
    </row>
    <row r="54" spans="1:13" ht="12.6" customHeight="1" x14ac:dyDescent="0.2">
      <c r="B54" s="138"/>
      <c r="C54" s="138"/>
      <c r="E54" s="870" t="s">
        <v>1178</v>
      </c>
      <c r="F54" s="139"/>
      <c r="G54" s="139"/>
      <c r="H54" s="139"/>
      <c r="I54" s="139"/>
      <c r="J54" s="139"/>
      <c r="K54" s="139"/>
      <c r="L54" s="139"/>
      <c r="M54" s="139"/>
    </row>
    <row r="55" spans="1:13" ht="14.1" customHeight="1" x14ac:dyDescent="0.2">
      <c r="B55" s="1605" t="s">
        <v>525</v>
      </c>
      <c r="C55" s="2301"/>
      <c r="E55" s="870" t="s">
        <v>1179</v>
      </c>
      <c r="F55" s="139"/>
      <c r="G55" s="139"/>
      <c r="H55" s="139"/>
      <c r="I55" s="139"/>
      <c r="J55" s="139"/>
      <c r="K55" s="139"/>
      <c r="L55" s="139"/>
      <c r="M55" s="139"/>
    </row>
    <row r="56" spans="1:13" ht="12.6" customHeight="1" x14ac:dyDescent="0.2">
      <c r="B56" s="138"/>
      <c r="C56" s="138"/>
      <c r="E56" s="870" t="s">
        <v>1180</v>
      </c>
      <c r="F56" s="139"/>
      <c r="G56" s="139"/>
      <c r="H56" s="139"/>
      <c r="I56" s="139"/>
      <c r="J56" s="139"/>
      <c r="K56" s="139"/>
      <c r="L56" s="139"/>
      <c r="M56" s="139"/>
    </row>
    <row r="57" spans="1:13" ht="14.1" customHeight="1" x14ac:dyDescent="0.2">
      <c r="B57" s="1605" t="s">
        <v>1163</v>
      </c>
      <c r="C57" s="2301"/>
      <c r="E57" s="870" t="s">
        <v>1181</v>
      </c>
      <c r="F57" s="139"/>
      <c r="G57" s="139"/>
      <c r="H57" s="139"/>
      <c r="I57" s="139"/>
      <c r="J57" s="139"/>
      <c r="K57" s="139"/>
      <c r="L57" s="139"/>
      <c r="M57" s="139"/>
    </row>
    <row r="58" spans="1:13" ht="6" customHeight="1" x14ac:dyDescent="0.2"/>
    <row r="59" spans="1:13" ht="12.75" x14ac:dyDescent="0.2">
      <c r="A59" s="207" t="s">
        <v>749</v>
      </c>
    </row>
    <row r="60" spans="1:13" ht="12.75" customHeight="1" x14ac:dyDescent="0.2">
      <c r="A60" s="139" t="s">
        <v>1182</v>
      </c>
      <c r="B60" s="139"/>
      <c r="C60" s="139"/>
      <c r="D60" s="139"/>
      <c r="E60" s="139"/>
      <c r="F60" s="139"/>
      <c r="G60" s="139"/>
      <c r="H60" s="139"/>
      <c r="I60" s="139"/>
      <c r="J60" s="139"/>
      <c r="K60" s="139"/>
      <c r="L60" s="139"/>
      <c r="M60" s="139"/>
    </row>
    <row r="61" spans="1:13" ht="12.75" customHeight="1" x14ac:dyDescent="0.2">
      <c r="A61" s="139" t="s">
        <v>1183</v>
      </c>
      <c r="B61" s="139"/>
      <c r="C61" s="139"/>
      <c r="D61" s="139"/>
      <c r="E61" s="139"/>
      <c r="F61" s="139"/>
      <c r="G61" s="139"/>
      <c r="H61" s="139"/>
      <c r="I61" s="139"/>
      <c r="J61" s="139"/>
      <c r="K61" s="139"/>
      <c r="L61" s="139"/>
      <c r="M61" s="139"/>
    </row>
    <row r="62" spans="1:13" ht="8.1" customHeight="1" x14ac:dyDescent="0.2">
      <c r="A62" s="139"/>
      <c r="B62" s="139"/>
      <c r="C62" s="139"/>
      <c r="D62" s="139"/>
      <c r="E62" s="139"/>
      <c r="F62" s="139"/>
      <c r="G62" s="139"/>
      <c r="H62" s="139"/>
      <c r="I62" s="139"/>
      <c r="J62" s="139"/>
      <c r="K62" s="139"/>
      <c r="L62" s="139"/>
      <c r="M62" s="139"/>
    </row>
    <row r="63" spans="1:13" ht="12.75" x14ac:dyDescent="0.2">
      <c r="A63" s="139"/>
      <c r="B63" s="139"/>
      <c r="C63" s="139"/>
      <c r="D63" s="139"/>
      <c r="E63" s="139"/>
      <c r="F63" s="139"/>
      <c r="G63" s="139"/>
      <c r="H63" s="139"/>
      <c r="I63" s="139"/>
      <c r="J63" s="139"/>
      <c r="K63" s="139"/>
      <c r="L63" s="139"/>
      <c r="M63" s="139"/>
    </row>
    <row r="64" spans="1:13" ht="12.75" x14ac:dyDescent="0.2">
      <c r="A64" s="139"/>
      <c r="B64" s="139"/>
      <c r="C64" s="139"/>
      <c r="D64" s="139"/>
      <c r="E64" s="139"/>
      <c r="F64" s="139"/>
      <c r="G64" s="139"/>
      <c r="H64" s="139"/>
      <c r="I64" s="139"/>
      <c r="J64" s="139"/>
      <c r="K64" s="139"/>
      <c r="L64" s="139"/>
      <c r="M64" s="139"/>
    </row>
    <row r="65" spans="1:13" ht="12.75" x14ac:dyDescent="0.2">
      <c r="A65" s="139"/>
      <c r="B65" s="139"/>
      <c r="C65" s="139"/>
      <c r="D65" s="139"/>
      <c r="E65" s="139"/>
      <c r="F65" s="139"/>
      <c r="G65" s="139"/>
      <c r="H65" s="139"/>
      <c r="I65" s="139"/>
      <c r="J65" s="139"/>
      <c r="K65" s="139"/>
      <c r="L65" s="139"/>
      <c r="M65" s="139"/>
    </row>
  </sheetData>
  <sheetProtection algorithmName="SHA-512" hashValue="CHJbwL8w+liT5QXNK3tOtEpXMl6sZ2DWzhHGeESVhFhymwv5li/GdfnRLB9k5m+5M9N2hfyRvZyAGLrtINFX+w==" saltValue="gxLp03jNwqW1YzbOodjUcA==" spinCount="100000" sheet="1" autoFilter="0"/>
  <customSheetViews>
    <customSheetView guid="{9FCFC836-1CA5-48BF-958D-24D2EA94B219}" showGridLines="0" fitToPage="1" topLeftCell="A25">
      <selection activeCell="C63" sqref="C63"/>
      <pageMargins left="0" right="0" top="0" bottom="0" header="0" footer="0"/>
      <pageSetup scale="94" orientation="portrait" r:id="rId1"/>
      <headerFooter alignWithMargins="0">
        <oddFooter>&amp;R&amp;A</oddFooter>
      </headerFooter>
    </customSheetView>
    <customSheetView guid="{B08879A4-635B-4C39-9937-AC7883D562FC}" showGridLines="0" fitToPage="1" topLeftCell="A25">
      <selection activeCell="C63" sqref="C63"/>
      <pageMargins left="0" right="0" top="0" bottom="0" header="0" footer="0"/>
      <pageSetup scale="94" orientation="portrait" r:id="rId2"/>
      <headerFooter alignWithMargins="0">
        <oddFooter>&amp;R&amp;A</oddFooter>
      </headerFooter>
    </customSheetView>
  </customSheetViews>
  <mergeCells count="15">
    <mergeCell ref="A1:M1"/>
    <mergeCell ref="N1:N3"/>
    <mergeCell ref="A2:M2"/>
    <mergeCell ref="A3:M3"/>
    <mergeCell ref="J5:M5"/>
    <mergeCell ref="C25:M25"/>
    <mergeCell ref="A12:M12"/>
    <mergeCell ref="A13:M13"/>
    <mergeCell ref="A17:M17"/>
    <mergeCell ref="J6:M6"/>
    <mergeCell ref="D7:E7"/>
    <mergeCell ref="J7:M7"/>
    <mergeCell ref="J8:M8"/>
    <mergeCell ref="A15:E15"/>
    <mergeCell ref="C24:M24"/>
  </mergeCells>
  <conditionalFormatting sqref="N1:N3">
    <cfRule type="cellIs" dxfId="127" priority="7" stopIfTrue="1" operator="equal">
      <formula>"na"</formula>
    </cfRule>
  </conditionalFormatting>
  <hyperlinks>
    <hyperlink ref="A1:M1" location="Index!A1" display="Index!A1" xr:uid="{00000000-0004-0000-1000-000000000000}"/>
    <hyperlink ref="A15" r:id="rId3" xr:uid="{00000000-0004-0000-1000-000001000000}"/>
    <hyperlink ref="A15:E15" r:id="rId4" display="NC OSC Policy 103.2" xr:uid="{00000000-0004-0000-1000-000002000000}"/>
  </hyperlinks>
  <pageMargins left="0.6" right="0.6" top="0.5" bottom="0.5" header="0.3" footer="0.3"/>
  <pageSetup scale="85" orientation="portrait" r:id="rId5"/>
  <ignoredErrors>
    <ignoredError sqref="J7:J8" unlockedFormula="1"/>
    <ignoredError sqref="B24"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80C43-C7A6-49C8-AACD-3439728920FB}">
  <sheetPr codeName="Sheet94">
    <pageSetUpPr fitToPage="1"/>
  </sheetPr>
  <dimension ref="A1:X121"/>
  <sheetViews>
    <sheetView showGridLines="0" topLeftCell="B1" zoomScaleNormal="100" zoomScaleSheetLayoutView="100" workbookViewId="0">
      <selection activeCell="B111" sqref="B111"/>
    </sheetView>
  </sheetViews>
  <sheetFormatPr defaultColWidth="9.42578125" defaultRowHeight="12.75" x14ac:dyDescent="0.2"/>
  <cols>
    <col min="1" max="1" width="9.42578125" style="41" hidden="1" customWidth="1"/>
    <col min="2" max="3" width="3.42578125" style="41" customWidth="1"/>
    <col min="4" max="4" width="7.5703125" style="41" customWidth="1"/>
    <col min="5" max="5" width="1" style="41" customWidth="1"/>
    <col min="6" max="6" width="8.5703125" style="41" customWidth="1"/>
    <col min="7" max="7" width="13.85546875" style="41" customWidth="1"/>
    <col min="8" max="8" width="8.140625" style="41" customWidth="1"/>
    <col min="9" max="9" width="8.5703125" style="41" customWidth="1"/>
    <col min="10" max="10" width="7.42578125" style="41" customWidth="1"/>
    <col min="11" max="11" width="21.5703125" style="41" customWidth="1"/>
    <col min="12" max="12" width="6.5703125" style="41" customWidth="1"/>
    <col min="13" max="16384" width="9.42578125" style="41"/>
  </cols>
  <sheetData>
    <row r="1" spans="1:13" ht="15.75" x14ac:dyDescent="0.25">
      <c r="A1" s="41" t="str">
        <f t="shared" ref="A1:A10" si="0">AgyIdx</f>
        <v>01</v>
      </c>
      <c r="B1" s="2534" t="str">
        <f>+Index!$A$1</f>
        <v xml:space="preserve">                                                               Office of the State Controller                                                                </v>
      </c>
      <c r="C1" s="2534"/>
      <c r="D1" s="2534"/>
      <c r="E1" s="2534"/>
      <c r="F1" s="2534"/>
      <c r="G1" s="2534"/>
      <c r="H1" s="2534"/>
      <c r="I1" s="2534"/>
      <c r="J1" s="2534"/>
      <c r="K1" s="2534"/>
      <c r="L1" s="2577" t="str">
        <f>IF(Index!$B$38="na","NA","")</f>
        <v/>
      </c>
    </row>
    <row r="2" spans="1:13" ht="15.75" x14ac:dyDescent="0.25">
      <c r="A2" s="41" t="str">
        <f t="shared" si="0"/>
        <v>01</v>
      </c>
      <c r="B2" s="2537" t="str">
        <f>+Index!$A$2</f>
        <v>2024 ACFR Worksheets</v>
      </c>
      <c r="C2" s="2537"/>
      <c r="D2" s="2537"/>
      <c r="E2" s="2537"/>
      <c r="F2" s="2537"/>
      <c r="G2" s="2537"/>
      <c r="H2" s="2537"/>
      <c r="I2" s="2537"/>
      <c r="J2" s="2537"/>
      <c r="K2" s="2537"/>
      <c r="L2" s="2577"/>
    </row>
    <row r="3" spans="1:13" ht="15.75" x14ac:dyDescent="0.25">
      <c r="A3" s="41" t="str">
        <f t="shared" si="0"/>
        <v>01</v>
      </c>
      <c r="B3" s="2538" t="s">
        <v>1184</v>
      </c>
      <c r="C3" s="2538"/>
      <c r="D3" s="2538"/>
      <c r="E3" s="2538"/>
      <c r="F3" s="2538"/>
      <c r="G3" s="2538"/>
      <c r="H3" s="2538"/>
      <c r="I3" s="2538"/>
      <c r="J3" s="2538"/>
      <c r="K3" s="2538"/>
      <c r="L3" s="2577"/>
    </row>
    <row r="4" spans="1:13" ht="12.75" customHeight="1" x14ac:dyDescent="0.2">
      <c r="A4" s="41" t="str">
        <f t="shared" si="0"/>
        <v>01</v>
      </c>
      <c r="B4" s="247"/>
      <c r="C4" s="247"/>
      <c r="D4" s="247"/>
      <c r="E4" s="247"/>
      <c r="F4" s="247"/>
      <c r="G4" s="247"/>
      <c r="H4" s="247"/>
      <c r="I4" s="247"/>
      <c r="J4" s="247"/>
      <c r="K4" s="242"/>
      <c r="L4" s="243"/>
    </row>
    <row r="5" spans="1:13" x14ac:dyDescent="0.2">
      <c r="A5" s="41" t="str">
        <f t="shared" si="0"/>
        <v>01</v>
      </c>
      <c r="B5" s="612"/>
      <c r="C5" s="612"/>
      <c r="D5" s="612"/>
      <c r="E5" s="612"/>
      <c r="F5" s="245"/>
      <c r="G5" s="796"/>
      <c r="H5" s="790" t="s">
        <v>318</v>
      </c>
      <c r="I5" s="2681" t="str">
        <f>+Index!$E$10</f>
        <v>01</v>
      </c>
      <c r="J5" s="2681"/>
      <c r="K5" s="2681"/>
      <c r="L5" s="1595"/>
    </row>
    <row r="6" spans="1:13" x14ac:dyDescent="0.2">
      <c r="A6" s="41" t="str">
        <f t="shared" si="0"/>
        <v>01</v>
      </c>
      <c r="B6" s="612"/>
      <c r="C6" s="612"/>
      <c r="D6" s="612"/>
      <c r="E6" s="612"/>
      <c r="F6" s="612"/>
      <c r="G6" s="2271"/>
      <c r="H6" s="790" t="s">
        <v>319</v>
      </c>
      <c r="I6" s="2675" t="str">
        <f>+Index!$E$11</f>
        <v>North Carolina General Assembly</v>
      </c>
      <c r="J6" s="2675"/>
      <c r="K6" s="2675"/>
      <c r="L6" s="1595"/>
    </row>
    <row r="7" spans="1:13" x14ac:dyDescent="0.2">
      <c r="A7" s="41" t="str">
        <f t="shared" si="0"/>
        <v>01</v>
      </c>
      <c r="B7" s="2559" t="s">
        <v>497</v>
      </c>
      <c r="C7" s="2517"/>
      <c r="D7" s="2517"/>
      <c r="E7" s="138"/>
      <c r="F7" s="789" t="s">
        <v>498</v>
      </c>
      <c r="G7" s="247"/>
      <c r="H7" s="790" t="s">
        <v>320</v>
      </c>
      <c r="I7" s="2629" t="str">
        <f>CONCATENATE(Index!$E$12," ",Index!$E$14)</f>
        <v xml:space="preserve"> </v>
      </c>
      <c r="J7" s="2629"/>
      <c r="K7" s="2629"/>
      <c r="L7" s="1596"/>
    </row>
    <row r="8" spans="1:13" x14ac:dyDescent="0.2">
      <c r="A8" s="41" t="str">
        <f t="shared" si="0"/>
        <v>01</v>
      </c>
      <c r="B8" s="2271"/>
      <c r="C8" s="2271"/>
      <c r="D8" s="796"/>
      <c r="E8" s="796"/>
      <c r="F8" s="247"/>
      <c r="G8" s="247"/>
      <c r="H8" s="790" t="s">
        <v>168</v>
      </c>
      <c r="I8" s="2678">
        <f>+Index!$E$13</f>
        <v>0</v>
      </c>
      <c r="J8" s="2678"/>
      <c r="K8" s="2678"/>
      <c r="L8" s="1597"/>
    </row>
    <row r="9" spans="1:13" ht="10.35" customHeight="1" thickBot="1" x14ac:dyDescent="0.25">
      <c r="A9" s="41" t="str">
        <f t="shared" si="0"/>
        <v>01</v>
      </c>
      <c r="B9" s="797"/>
      <c r="C9" s="797"/>
      <c r="D9" s="797"/>
      <c r="E9" s="797"/>
      <c r="F9" s="797"/>
      <c r="G9" s="797"/>
      <c r="H9" s="797"/>
      <c r="I9" s="797"/>
      <c r="J9" s="797"/>
      <c r="K9" s="797"/>
    </row>
    <row r="10" spans="1:13" ht="12" customHeight="1" x14ac:dyDescent="0.25">
      <c r="A10" s="41" t="str">
        <f t="shared" si="0"/>
        <v>01</v>
      </c>
      <c r="B10" s="2273"/>
      <c r="C10" s="2273"/>
      <c r="D10" s="2273"/>
      <c r="E10" s="2273"/>
      <c r="F10" s="2273"/>
      <c r="G10" s="2273"/>
      <c r="H10" s="2273"/>
      <c r="I10" s="2273"/>
      <c r="J10" s="2273"/>
      <c r="K10" s="2273"/>
    </row>
    <row r="11" spans="1:13" ht="12" customHeight="1" x14ac:dyDescent="0.2">
      <c r="B11" s="695" t="s">
        <v>1185</v>
      </c>
      <c r="C11" s="695"/>
      <c r="D11" s="695"/>
      <c r="E11" s="695"/>
      <c r="F11" s="695"/>
      <c r="G11" s="695"/>
      <c r="H11" s="695"/>
      <c r="I11" s="695"/>
      <c r="J11" s="695"/>
      <c r="K11" s="695"/>
      <c r="L11" s="794"/>
      <c r="M11" s="776"/>
    </row>
    <row r="12" spans="1:13" ht="12" customHeight="1" x14ac:dyDescent="0.2">
      <c r="B12" s="695" t="s">
        <v>1186</v>
      </c>
      <c r="C12" s="695"/>
      <c r="D12" s="695"/>
      <c r="E12" s="695"/>
      <c r="F12" s="695"/>
      <c r="G12" s="695"/>
      <c r="H12" s="695"/>
      <c r="I12" s="695"/>
      <c r="J12" s="695"/>
      <c r="K12" s="695"/>
      <c r="L12" s="794"/>
      <c r="M12" s="776"/>
    </row>
    <row r="13" spans="1:13" ht="12" customHeight="1" x14ac:dyDescent="0.2">
      <c r="B13" s="2682" t="s">
        <v>1187</v>
      </c>
      <c r="C13" s="2682"/>
      <c r="D13" s="2682"/>
      <c r="E13" s="2682"/>
      <c r="F13" s="2682"/>
      <c r="G13" s="2682"/>
      <c r="H13" s="695" t="s">
        <v>1188</v>
      </c>
      <c r="I13" s="695"/>
      <c r="J13" s="695"/>
      <c r="K13" s="695"/>
      <c r="L13" s="794"/>
      <c r="M13" s="776"/>
    </row>
    <row r="14" spans="1:13" ht="12" customHeight="1" x14ac:dyDescent="0.2">
      <c r="B14" s="1264"/>
      <c r="C14" s="1264"/>
      <c r="D14" s="1264"/>
      <c r="E14" s="1264"/>
      <c r="F14" s="1264"/>
      <c r="G14" s="1264"/>
      <c r="H14" s="695"/>
      <c r="I14" s="695"/>
      <c r="J14" s="695"/>
      <c r="K14" s="695"/>
      <c r="L14" s="794"/>
      <c r="M14" s="776"/>
    </row>
    <row r="15" spans="1:13" s="43" customFormat="1" ht="12" customHeight="1" x14ac:dyDescent="0.25">
      <c r="B15" s="695" t="s">
        <v>1189</v>
      </c>
      <c r="C15" s="611"/>
      <c r="D15" s="612"/>
      <c r="E15" s="612"/>
      <c r="F15" s="612"/>
      <c r="G15" s="612"/>
      <c r="H15" s="612"/>
      <c r="I15" s="612"/>
      <c r="J15" s="612"/>
      <c r="K15" s="612"/>
      <c r="L15" s="41"/>
    </row>
    <row r="16" spans="1:13" s="43" customFormat="1" ht="12" customHeight="1" x14ac:dyDescent="0.25">
      <c r="B16" s="695" t="s">
        <v>1190</v>
      </c>
      <c r="C16" s="611"/>
      <c r="D16" s="612"/>
      <c r="E16" s="612"/>
      <c r="F16" s="612"/>
      <c r="G16" s="612"/>
      <c r="H16" s="612"/>
      <c r="I16" s="612"/>
      <c r="J16" s="612"/>
      <c r="K16" s="612"/>
      <c r="L16" s="41"/>
    </row>
    <row r="17" spans="2:24" s="43" customFormat="1" ht="12" customHeight="1" x14ac:dyDescent="0.25">
      <c r="B17" s="695" t="s">
        <v>1191</v>
      </c>
      <c r="C17" s="611"/>
      <c r="D17" s="612"/>
      <c r="E17" s="612"/>
      <c r="F17" s="612"/>
      <c r="G17" s="612"/>
      <c r="H17" s="612"/>
      <c r="I17" s="612"/>
      <c r="J17" s="612"/>
      <c r="K17" s="612"/>
      <c r="L17" s="41"/>
    </row>
    <row r="18" spans="2:24" s="43" customFormat="1" ht="12.75" customHeight="1" x14ac:dyDescent="0.25">
      <c r="B18" s="695" t="s">
        <v>1192</v>
      </c>
      <c r="C18" s="611"/>
      <c r="D18" s="612"/>
      <c r="E18" s="612"/>
      <c r="F18" s="612"/>
      <c r="G18" s="612"/>
      <c r="H18" s="612"/>
      <c r="I18" s="612"/>
      <c r="J18" s="612"/>
      <c r="K18" s="612"/>
      <c r="L18" s="41"/>
    </row>
    <row r="19" spans="2:24" s="43" customFormat="1" ht="12" customHeight="1" x14ac:dyDescent="0.25">
      <c r="B19" s="695" t="s">
        <v>1193</v>
      </c>
      <c r="C19" s="611"/>
      <c r="D19" s="612"/>
      <c r="E19" s="612"/>
      <c r="F19" s="612"/>
      <c r="G19" s="612"/>
      <c r="H19" s="612"/>
      <c r="I19" s="612"/>
      <c r="J19" s="612"/>
      <c r="K19" s="612"/>
      <c r="L19" s="41"/>
    </row>
    <row r="20" spans="2:24" s="43" customFormat="1" ht="12" customHeight="1" x14ac:dyDescent="0.25">
      <c r="B20" s="695" t="s">
        <v>1194</v>
      </c>
      <c r="C20" s="611"/>
      <c r="D20" s="612"/>
      <c r="E20" s="612"/>
      <c r="F20" s="612"/>
      <c r="G20" s="612"/>
      <c r="H20" s="612"/>
      <c r="I20" s="612"/>
      <c r="J20" s="612"/>
      <c r="K20" s="612"/>
      <c r="L20" s="41"/>
    </row>
    <row r="21" spans="2:24" s="43" customFormat="1" ht="6" customHeight="1" x14ac:dyDescent="0.25">
      <c r="B21" s="612"/>
      <c r="C21" s="695"/>
      <c r="D21" s="2272"/>
      <c r="E21" s="2272"/>
      <c r="F21" s="138"/>
      <c r="G21" s="138"/>
      <c r="H21" s="138"/>
      <c r="I21" s="138"/>
      <c r="J21" s="138"/>
      <c r="K21" s="138"/>
      <c r="L21" s="41"/>
      <c r="M21" s="777"/>
      <c r="O21" s="695"/>
      <c r="P21" s="2272"/>
      <c r="Q21" s="2272"/>
      <c r="R21" s="138"/>
      <c r="S21" s="138"/>
      <c r="T21" s="138"/>
      <c r="U21" s="138"/>
      <c r="V21" s="138"/>
      <c r="W21" s="138"/>
      <c r="X21" s="41"/>
    </row>
    <row r="22" spans="2:24" s="43" customFormat="1" ht="12" customHeight="1" x14ac:dyDescent="0.25">
      <c r="B22" s="612" t="s">
        <v>1195</v>
      </c>
      <c r="C22" s="695"/>
      <c r="D22" s="2272"/>
      <c r="E22" s="2272"/>
      <c r="F22" s="138"/>
      <c r="G22" s="138"/>
      <c r="H22" s="138"/>
      <c r="I22" s="138"/>
      <c r="J22" s="138"/>
      <c r="K22" s="138"/>
      <c r="L22" s="41"/>
      <c r="M22" s="777"/>
      <c r="N22" s="491"/>
    </row>
    <row r="23" spans="2:24" s="43" customFormat="1" ht="3.6" customHeight="1" x14ac:dyDescent="0.25">
      <c r="B23" s="612"/>
      <c r="C23" s="695"/>
      <c r="D23" s="2272"/>
      <c r="E23" s="2272"/>
      <c r="F23" s="138"/>
      <c r="G23" s="138"/>
      <c r="H23" s="138"/>
      <c r="I23" s="138"/>
      <c r="J23" s="138"/>
      <c r="K23" s="138"/>
      <c r="L23" s="41"/>
      <c r="M23" s="777"/>
      <c r="N23" s="491"/>
    </row>
    <row r="24" spans="2:24" s="43" customFormat="1" ht="12" customHeight="1" x14ac:dyDescent="0.25">
      <c r="B24" s="611" t="s">
        <v>1196</v>
      </c>
      <c r="C24" s="695"/>
      <c r="D24" s="2272"/>
      <c r="E24" s="2272"/>
      <c r="F24" s="138"/>
      <c r="G24" s="138"/>
      <c r="H24" s="138"/>
      <c r="I24" s="138"/>
      <c r="J24" s="138"/>
      <c r="K24" s="138"/>
      <c r="L24" s="41"/>
      <c r="M24" s="777"/>
      <c r="N24" s="491"/>
    </row>
    <row r="25" spans="2:24" s="43" customFormat="1" ht="12" customHeight="1" x14ac:dyDescent="0.25">
      <c r="B25" s="612"/>
      <c r="C25" s="695" t="s">
        <v>519</v>
      </c>
      <c r="D25" s="1192"/>
      <c r="F25" s="2272" t="s">
        <v>1197</v>
      </c>
      <c r="G25" s="138"/>
      <c r="H25" s="138"/>
      <c r="I25" s="138"/>
      <c r="J25" s="138"/>
      <c r="K25" s="138"/>
      <c r="L25" s="41"/>
      <c r="M25" s="777"/>
      <c r="N25" s="491"/>
    </row>
    <row r="26" spans="2:24" s="43" customFormat="1" ht="12" customHeight="1" x14ac:dyDescent="0.25">
      <c r="B26" s="612"/>
      <c r="C26" s="695" t="s">
        <v>522</v>
      </c>
      <c r="D26" s="1193"/>
      <c r="F26" s="2272" t="s">
        <v>1198</v>
      </c>
      <c r="G26" s="138"/>
      <c r="H26" s="138"/>
      <c r="I26" s="138"/>
      <c r="J26" s="138"/>
      <c r="K26" s="138"/>
      <c r="L26" s="41"/>
      <c r="M26" s="777"/>
      <c r="N26" s="491"/>
    </row>
    <row r="27" spans="2:24" s="43" customFormat="1" ht="12" customHeight="1" x14ac:dyDescent="0.25">
      <c r="B27" s="612"/>
      <c r="C27" s="695" t="s">
        <v>525</v>
      </c>
      <c r="D27" s="1193"/>
      <c r="F27" s="2272" t="s">
        <v>1199</v>
      </c>
      <c r="G27" s="138"/>
      <c r="H27" s="138"/>
      <c r="I27" s="138"/>
      <c r="J27" s="138"/>
      <c r="K27" s="138"/>
      <c r="L27" s="41"/>
      <c r="M27" s="777"/>
      <c r="N27" s="491"/>
    </row>
    <row r="28" spans="2:24" s="43" customFormat="1" ht="6" customHeight="1" x14ac:dyDescent="0.25">
      <c r="B28" s="612"/>
      <c r="C28" s="695"/>
      <c r="D28" s="2272"/>
      <c r="E28" s="2272"/>
      <c r="F28" s="138"/>
      <c r="G28" s="138"/>
      <c r="H28" s="138"/>
      <c r="I28" s="138"/>
      <c r="J28" s="138"/>
      <c r="K28" s="138"/>
      <c r="L28" s="41"/>
      <c r="M28" s="777"/>
      <c r="N28" s="491"/>
    </row>
    <row r="29" spans="2:24" s="43" customFormat="1" ht="12" customHeight="1" x14ac:dyDescent="0.25">
      <c r="B29" s="611" t="s">
        <v>1200</v>
      </c>
      <c r="C29" s="695"/>
      <c r="D29" s="2272"/>
      <c r="E29" s="2272"/>
      <c r="F29" s="138"/>
      <c r="G29" s="138"/>
      <c r="H29" s="138"/>
      <c r="I29" s="138"/>
      <c r="J29" s="138"/>
      <c r="K29" s="138"/>
      <c r="L29" s="41"/>
      <c r="M29" s="777"/>
      <c r="N29" s="491"/>
    </row>
    <row r="30" spans="2:24" s="43" customFormat="1" ht="12" customHeight="1" x14ac:dyDescent="0.25">
      <c r="B30" s="612"/>
      <c r="C30" s="695" t="s">
        <v>519</v>
      </c>
      <c r="D30" s="1192"/>
      <c r="E30" s="2272"/>
      <c r="F30" s="2272" t="s">
        <v>1201</v>
      </c>
      <c r="G30" s="138"/>
      <c r="H30" s="138"/>
      <c r="I30" s="138"/>
      <c r="J30" s="138"/>
      <c r="K30" s="138"/>
      <c r="L30" s="41"/>
      <c r="M30" s="777"/>
      <c r="N30" s="491"/>
    </row>
    <row r="31" spans="2:24" s="43" customFormat="1" ht="12" customHeight="1" x14ac:dyDescent="0.25">
      <c r="B31" s="612"/>
      <c r="C31" s="695"/>
      <c r="E31" s="2272"/>
      <c r="F31" s="2272" t="s">
        <v>1202</v>
      </c>
      <c r="G31" s="138"/>
      <c r="H31" s="138"/>
      <c r="I31" s="138"/>
      <c r="J31" s="138"/>
      <c r="K31" s="138"/>
      <c r="L31" s="41"/>
      <c r="M31" s="777"/>
      <c r="N31" s="491"/>
    </row>
    <row r="32" spans="2:24" s="43" customFormat="1" ht="12" customHeight="1" x14ac:dyDescent="0.25">
      <c r="B32" s="612"/>
      <c r="C32" s="695" t="s">
        <v>522</v>
      </c>
      <c r="D32" s="1192"/>
      <c r="E32" s="2272"/>
      <c r="F32" s="2272" t="s">
        <v>1203</v>
      </c>
      <c r="G32" s="138"/>
      <c r="H32" s="138"/>
      <c r="I32" s="138"/>
      <c r="J32" s="138"/>
      <c r="K32" s="138"/>
      <c r="L32" s="41"/>
      <c r="M32" s="777"/>
      <c r="N32" s="491"/>
    </row>
    <row r="33" spans="2:14" s="43" customFormat="1" ht="12" customHeight="1" x14ac:dyDescent="0.25">
      <c r="B33" s="612"/>
      <c r="C33" s="695" t="s">
        <v>525</v>
      </c>
      <c r="D33" s="1193"/>
      <c r="E33" s="2272"/>
      <c r="F33" s="2272" t="s">
        <v>1204</v>
      </c>
      <c r="G33" s="138"/>
      <c r="H33" s="138"/>
      <c r="I33" s="138"/>
      <c r="J33" s="138"/>
      <c r="K33" s="138"/>
      <c r="L33" s="41"/>
      <c r="M33" s="777"/>
      <c r="N33" s="491"/>
    </row>
    <row r="34" spans="2:14" s="43" customFormat="1" ht="12" customHeight="1" x14ac:dyDescent="0.25">
      <c r="B34" s="612"/>
      <c r="C34" s="695" t="s">
        <v>1163</v>
      </c>
      <c r="D34" s="1193"/>
      <c r="E34" s="2272"/>
      <c r="F34" s="2272" t="s">
        <v>1205</v>
      </c>
      <c r="G34" s="138"/>
      <c r="H34" s="138"/>
      <c r="I34" s="138"/>
      <c r="J34" s="138"/>
      <c r="K34" s="138"/>
      <c r="L34" s="41"/>
      <c r="M34" s="777"/>
      <c r="N34" s="491"/>
    </row>
    <row r="35" spans="2:14" s="43" customFormat="1" ht="12" customHeight="1" x14ac:dyDescent="0.25">
      <c r="B35" s="612"/>
      <c r="C35" s="695"/>
      <c r="E35" s="2272"/>
      <c r="F35" s="2272"/>
      <c r="G35" s="138"/>
      <c r="H35" s="138"/>
      <c r="I35" s="138"/>
      <c r="J35" s="138"/>
      <c r="K35" s="138"/>
      <c r="L35" s="41"/>
      <c r="M35" s="777"/>
      <c r="N35" s="491"/>
    </row>
    <row r="36" spans="2:14" s="43" customFormat="1" ht="12" customHeight="1" x14ac:dyDescent="0.25">
      <c r="B36" s="612" t="s">
        <v>1206</v>
      </c>
      <c r="C36" s="41"/>
      <c r="D36" s="41"/>
      <c r="E36" s="41"/>
      <c r="F36" s="41"/>
      <c r="G36" s="41"/>
      <c r="H36" s="41"/>
      <c r="I36" s="41"/>
      <c r="J36" s="41"/>
      <c r="K36" s="41"/>
      <c r="L36" s="41"/>
      <c r="M36" s="1265"/>
      <c r="N36" s="491"/>
    </row>
    <row r="37" spans="2:14" s="43" customFormat="1" ht="13.5" customHeight="1" x14ac:dyDescent="0.25">
      <c r="B37" s="612" t="s">
        <v>1207</v>
      </c>
      <c r="C37" s="41"/>
      <c r="D37" s="41"/>
      <c r="E37" s="41"/>
      <c r="F37" s="41"/>
      <c r="G37" s="41"/>
      <c r="H37" s="41"/>
      <c r="I37" s="41"/>
      <c r="J37" s="41"/>
      <c r="K37" s="41"/>
      <c r="L37" s="41"/>
      <c r="M37" s="41"/>
    </row>
    <row r="38" spans="2:14" s="43" customFormat="1" ht="12" customHeight="1" x14ac:dyDescent="0.25">
      <c r="B38" s="611" t="s">
        <v>1208</v>
      </c>
      <c r="C38" s="611"/>
      <c r="D38" s="613"/>
      <c r="E38" s="613"/>
      <c r="F38" s="888"/>
      <c r="G38" s="612"/>
      <c r="H38" s="612"/>
      <c r="I38" s="612"/>
      <c r="J38" s="612"/>
      <c r="K38" s="612"/>
      <c r="L38" s="41"/>
    </row>
    <row r="39" spans="2:14" s="43" customFormat="1" ht="12" customHeight="1" x14ac:dyDescent="0.25">
      <c r="B39" s="1266"/>
      <c r="C39" s="1266"/>
      <c r="D39" s="1267"/>
      <c r="E39" s="1267"/>
      <c r="F39" s="1268"/>
      <c r="G39" s="1134"/>
      <c r="H39" s="1134"/>
      <c r="I39" s="1134"/>
      <c r="J39" s="1134"/>
      <c r="K39" s="1134"/>
      <c r="L39" s="1269"/>
    </row>
    <row r="40" spans="2:14" s="43" customFormat="1" ht="13.5" customHeight="1" x14ac:dyDescent="0.25">
      <c r="B40" s="1178" t="s">
        <v>1209</v>
      </c>
      <c r="C40" s="611"/>
      <c r="D40" s="613"/>
      <c r="E40" s="613"/>
      <c r="F40" s="888"/>
      <c r="G40" s="612"/>
      <c r="H40" s="612"/>
      <c r="I40" s="612"/>
      <c r="J40" s="612"/>
      <c r="K40" s="612"/>
      <c r="L40" s="41"/>
    </row>
    <row r="41" spans="2:14" s="43" customFormat="1" ht="6" customHeight="1" x14ac:dyDescent="0.25">
      <c r="B41" s="1178"/>
      <c r="C41" s="611"/>
      <c r="D41" s="613"/>
      <c r="E41" s="613"/>
      <c r="F41" s="888"/>
      <c r="G41" s="612"/>
      <c r="H41" s="612"/>
      <c r="I41" s="612"/>
      <c r="J41" s="612"/>
      <c r="K41" s="612"/>
      <c r="L41" s="41"/>
    </row>
    <row r="42" spans="2:14" s="43" customFormat="1" ht="15.75" x14ac:dyDescent="0.25">
      <c r="B42" s="612" t="s">
        <v>1210</v>
      </c>
      <c r="C42" s="611"/>
      <c r="D42" s="613"/>
      <c r="E42" s="613"/>
      <c r="F42" s="888"/>
      <c r="G42" s="612"/>
      <c r="H42" s="612"/>
      <c r="I42" s="612"/>
      <c r="J42" s="612"/>
      <c r="K42" s="612"/>
      <c r="L42" s="41"/>
    </row>
    <row r="43" spans="2:14" s="43" customFormat="1" ht="12" customHeight="1" x14ac:dyDescent="0.25">
      <c r="B43" s="611" t="s">
        <v>1211</v>
      </c>
      <c r="C43" s="611"/>
      <c r="D43" s="613"/>
      <c r="E43" s="613"/>
      <c r="F43" s="888"/>
      <c r="G43" s="612"/>
      <c r="H43" s="612"/>
      <c r="I43" s="612"/>
      <c r="J43" s="612"/>
      <c r="K43" s="612"/>
      <c r="L43" s="41"/>
    </row>
    <row r="44" spans="2:14" s="43" customFormat="1" ht="5.25" customHeight="1" x14ac:dyDescent="0.25">
      <c r="B44" s="612"/>
      <c r="C44" s="611"/>
      <c r="D44" s="613"/>
      <c r="E44" s="613"/>
      <c r="F44" s="888"/>
      <c r="G44" s="612"/>
      <c r="H44" s="612"/>
      <c r="I44" s="612"/>
      <c r="J44" s="612"/>
      <c r="K44" s="612"/>
      <c r="L44" s="41"/>
    </row>
    <row r="45" spans="2:14" s="43" customFormat="1" ht="15.75" x14ac:dyDescent="0.25">
      <c r="B45" s="1177" t="s">
        <v>1212</v>
      </c>
      <c r="C45" s="611"/>
      <c r="D45" s="613"/>
      <c r="E45" s="613"/>
      <c r="F45" s="888"/>
      <c r="G45" s="612"/>
      <c r="H45" s="612"/>
      <c r="I45" s="612"/>
      <c r="J45" s="612"/>
      <c r="K45" s="612"/>
      <c r="L45" s="41"/>
    </row>
    <row r="46" spans="2:14" s="43" customFormat="1" ht="6" customHeight="1" x14ac:dyDescent="0.25">
      <c r="B46" s="1176"/>
      <c r="C46" s="611"/>
      <c r="D46" s="613"/>
      <c r="E46" s="613"/>
      <c r="F46" s="888"/>
      <c r="G46" s="612"/>
      <c r="H46" s="612"/>
      <c r="I46" s="612"/>
      <c r="J46" s="612"/>
      <c r="K46" s="612"/>
      <c r="L46" s="41"/>
    </row>
    <row r="47" spans="2:14" s="612" customFormat="1" x14ac:dyDescent="0.2">
      <c r="B47" s="1175" t="s">
        <v>1213</v>
      </c>
      <c r="C47" s="1175"/>
      <c r="D47" s="1175"/>
      <c r="E47" s="1175"/>
      <c r="F47" s="1175"/>
      <c r="G47" s="1175"/>
    </row>
    <row r="48" spans="2:14" s="612" customFormat="1" ht="12" customHeight="1" x14ac:dyDescent="0.2">
      <c r="B48" s="612" t="s">
        <v>1214</v>
      </c>
    </row>
    <row r="49" spans="2:10" s="612" customFormat="1" ht="12" customHeight="1" x14ac:dyDescent="0.2">
      <c r="B49" s="612" t="s">
        <v>1215</v>
      </c>
    </row>
    <row r="50" spans="2:10" s="612" customFormat="1" ht="12" customHeight="1" x14ac:dyDescent="0.2">
      <c r="B50" s="611" t="s">
        <v>1216</v>
      </c>
      <c r="I50" s="2684"/>
      <c r="J50" s="2684"/>
    </row>
    <row r="51" spans="2:10" s="612" customFormat="1" ht="12" customHeight="1" x14ac:dyDescent="0.2">
      <c r="B51" s="611" t="s">
        <v>1217</v>
      </c>
      <c r="I51" s="2315"/>
      <c r="J51" s="2315"/>
    </row>
    <row r="52" spans="2:10" s="612" customFormat="1" ht="12" customHeight="1" x14ac:dyDescent="0.2"/>
    <row r="53" spans="2:10" s="612" customFormat="1" ht="12" customHeight="1" x14ac:dyDescent="0.2">
      <c r="B53" s="1175" t="s">
        <v>1218</v>
      </c>
      <c r="C53" s="611"/>
      <c r="D53" s="613"/>
      <c r="E53" s="613"/>
      <c r="F53" s="888"/>
    </row>
    <row r="54" spans="2:10" s="612" customFormat="1" ht="12" customHeight="1" x14ac:dyDescent="0.2">
      <c r="B54" s="612" t="s">
        <v>1219</v>
      </c>
      <c r="C54" s="611"/>
      <c r="D54" s="613"/>
      <c r="E54" s="613"/>
      <c r="F54" s="888"/>
    </row>
    <row r="55" spans="2:10" s="612" customFormat="1" ht="12" customHeight="1" x14ac:dyDescent="0.2">
      <c r="B55" s="612" t="s">
        <v>1220</v>
      </c>
      <c r="C55" s="611"/>
      <c r="D55" s="613"/>
      <c r="E55" s="613"/>
      <c r="F55" s="888"/>
    </row>
    <row r="56" spans="2:10" s="612" customFormat="1" ht="12" customHeight="1" x14ac:dyDescent="0.2">
      <c r="B56" s="611" t="s">
        <v>1221</v>
      </c>
      <c r="C56" s="611"/>
      <c r="I56" s="2684"/>
      <c r="J56" s="2684"/>
    </row>
    <row r="57" spans="2:10" s="612" customFormat="1" ht="12" customHeight="1" x14ac:dyDescent="0.2">
      <c r="C57" s="611"/>
      <c r="I57" s="2315"/>
      <c r="J57" s="2315"/>
    </row>
    <row r="58" spans="2:10" s="612" customFormat="1" ht="12" customHeight="1" x14ac:dyDescent="0.2">
      <c r="B58" s="1175" t="s">
        <v>1222</v>
      </c>
      <c r="C58" s="611"/>
      <c r="I58" s="2315"/>
      <c r="J58" s="2315"/>
    </row>
    <row r="59" spans="2:10" s="612" customFormat="1" ht="12" customHeight="1" x14ac:dyDescent="0.2">
      <c r="B59" s="611" t="s">
        <v>1223</v>
      </c>
      <c r="C59" s="611"/>
      <c r="I59" s="2683"/>
      <c r="J59" s="2683"/>
    </row>
    <row r="60" spans="2:10" s="612" customFormat="1" ht="12" customHeight="1" x14ac:dyDescent="0.2">
      <c r="B60" s="611" t="s">
        <v>1224</v>
      </c>
      <c r="C60" s="611"/>
      <c r="I60" s="2684"/>
      <c r="J60" s="2684"/>
    </row>
    <row r="61" spans="2:10" s="612" customFormat="1" ht="12" customHeight="1" x14ac:dyDescent="0.2">
      <c r="C61" s="611"/>
      <c r="I61" s="1158"/>
      <c r="J61" s="1158"/>
    </row>
    <row r="62" spans="2:10" s="612" customFormat="1" ht="13.5" customHeight="1" x14ac:dyDescent="0.2">
      <c r="B62" s="611" t="s">
        <v>1225</v>
      </c>
      <c r="C62" s="611"/>
      <c r="I62" s="1158"/>
      <c r="J62" s="1158"/>
    </row>
    <row r="63" spans="2:10" s="612" customFormat="1" ht="5.25" customHeight="1" x14ac:dyDescent="0.2">
      <c r="C63" s="611"/>
      <c r="I63" s="1158"/>
      <c r="J63" s="1158"/>
    </row>
    <row r="64" spans="2:10" s="612" customFormat="1" ht="15" x14ac:dyDescent="0.2">
      <c r="B64" s="1177" t="s">
        <v>1226</v>
      </c>
      <c r="C64" s="611"/>
      <c r="I64" s="1158"/>
      <c r="J64" s="1158"/>
    </row>
    <row r="65" spans="2:13" s="612" customFormat="1" ht="6" customHeight="1" x14ac:dyDescent="0.2">
      <c r="B65" s="1177"/>
      <c r="C65" s="611"/>
      <c r="I65" s="1158"/>
      <c r="J65" s="1158"/>
    </row>
    <row r="66" spans="2:13" s="612" customFormat="1" ht="12" customHeight="1" x14ac:dyDescent="0.2">
      <c r="B66" s="1175" t="s">
        <v>1227</v>
      </c>
      <c r="C66" s="611"/>
      <c r="I66" s="1158"/>
      <c r="J66" s="1158"/>
    </row>
    <row r="67" spans="2:13" s="612" customFormat="1" ht="12" customHeight="1" x14ac:dyDescent="0.2">
      <c r="B67" s="612" t="s">
        <v>1228</v>
      </c>
      <c r="C67" s="611"/>
      <c r="I67" s="1158"/>
      <c r="J67" s="1158"/>
    </row>
    <row r="68" spans="2:13" s="612" customFormat="1" ht="12" customHeight="1" x14ac:dyDescent="0.2">
      <c r="B68" s="612" t="s">
        <v>1229</v>
      </c>
      <c r="I68" s="1158"/>
      <c r="J68" s="1158"/>
    </row>
    <row r="69" spans="2:13" s="612" customFormat="1" ht="12" customHeight="1" x14ac:dyDescent="0.2">
      <c r="B69" s="612" t="s">
        <v>1230</v>
      </c>
      <c r="I69" s="1158"/>
      <c r="J69" s="1158"/>
    </row>
    <row r="70" spans="2:13" s="612" customFormat="1" ht="12" customHeight="1" x14ac:dyDescent="0.2">
      <c r="B70" s="612" t="s">
        <v>1231</v>
      </c>
      <c r="I70" s="1158"/>
      <c r="J70" s="1158"/>
    </row>
    <row r="71" spans="2:13" s="612" customFormat="1" ht="12" customHeight="1" x14ac:dyDescent="0.2">
      <c r="B71" s="611" t="s">
        <v>1232</v>
      </c>
      <c r="I71" s="2315"/>
      <c r="J71" s="2315"/>
    </row>
    <row r="72" spans="2:13" s="612" customFormat="1" ht="12" customHeight="1" x14ac:dyDescent="0.2">
      <c r="I72" s="1158"/>
      <c r="J72" s="1158"/>
    </row>
    <row r="73" spans="2:13" s="612" customFormat="1" ht="12" customHeight="1" x14ac:dyDescent="0.2">
      <c r="B73" s="1175" t="s">
        <v>1233</v>
      </c>
      <c r="I73" s="1158"/>
      <c r="J73" s="1158"/>
    </row>
    <row r="74" spans="2:13" s="612" customFormat="1" ht="12" customHeight="1" x14ac:dyDescent="0.2">
      <c r="B74" s="612" t="s">
        <v>1234</v>
      </c>
      <c r="I74" s="1158"/>
      <c r="J74" s="1158"/>
    </row>
    <row r="75" spans="2:13" s="612" customFormat="1" ht="12" customHeight="1" x14ac:dyDescent="0.2">
      <c r="B75" s="612" t="s">
        <v>1235</v>
      </c>
      <c r="I75" s="1158"/>
      <c r="J75" s="1158"/>
    </row>
    <row r="76" spans="2:13" s="612" customFormat="1" ht="12" customHeight="1" x14ac:dyDescent="0.2">
      <c r="B76" s="611" t="s">
        <v>1236</v>
      </c>
      <c r="I76" s="2683"/>
      <c r="J76" s="2683"/>
    </row>
    <row r="77" spans="2:13" s="612" customFormat="1" ht="12" customHeight="1" x14ac:dyDescent="0.2">
      <c r="B77" s="611" t="s">
        <v>1224</v>
      </c>
      <c r="I77" s="2684"/>
      <c r="J77" s="2684"/>
    </row>
    <row r="78" spans="2:13" s="612" customFormat="1" ht="12" customHeight="1" x14ac:dyDescent="0.2"/>
    <row r="79" spans="2:13" ht="12" customHeight="1" x14ac:dyDescent="0.2">
      <c r="B79" s="795" t="s">
        <v>749</v>
      </c>
      <c r="C79" s="611"/>
      <c r="D79" s="612"/>
      <c r="E79" s="612"/>
      <c r="F79" s="612"/>
      <c r="G79" s="612"/>
      <c r="H79" s="612"/>
      <c r="I79" s="612"/>
      <c r="J79" s="612"/>
      <c r="K79" s="612"/>
    </row>
    <row r="80" spans="2:13" ht="12" customHeight="1" x14ac:dyDescent="0.2">
      <c r="B80" s="695" t="s">
        <v>1237</v>
      </c>
      <c r="C80" s="139"/>
      <c r="D80" s="139"/>
      <c r="E80" s="139"/>
      <c r="F80" s="139"/>
      <c r="G80" s="139"/>
      <c r="H80" s="139"/>
      <c r="I80" s="139"/>
      <c r="J80" s="139"/>
      <c r="K80" s="612"/>
      <c r="L80" s="139"/>
      <c r="M80" s="28"/>
    </row>
    <row r="81" spans="2:13" ht="12" customHeight="1" x14ac:dyDescent="0.2">
      <c r="B81" s="695" t="s">
        <v>1238</v>
      </c>
      <c r="C81" s="139"/>
      <c r="D81" s="139"/>
      <c r="E81" s="139"/>
      <c r="F81" s="139"/>
      <c r="G81" s="139"/>
      <c r="H81" s="139"/>
      <c r="I81" s="139"/>
      <c r="J81" s="139"/>
      <c r="K81" s="612"/>
      <c r="L81" s="139"/>
      <c r="M81" s="139"/>
    </row>
    <row r="82" spans="2:13" ht="15.75" customHeight="1" x14ac:dyDescent="0.2">
      <c r="B82" s="611"/>
      <c r="C82" s="611"/>
      <c r="D82" s="612"/>
      <c r="E82" s="612"/>
      <c r="F82" s="612"/>
      <c r="G82" s="612"/>
      <c r="H82" s="612"/>
      <c r="I82" s="612"/>
      <c r="J82" s="612"/>
      <c r="K82" s="612"/>
    </row>
    <row r="83" spans="2:13" ht="12" customHeight="1" x14ac:dyDescent="0.2">
      <c r="B83" s="611"/>
      <c r="C83" s="611"/>
      <c r="D83" s="612"/>
      <c r="E83" s="612"/>
      <c r="F83" s="612"/>
      <c r="G83" s="612"/>
      <c r="H83" s="612"/>
      <c r="I83" s="612"/>
      <c r="J83" s="612"/>
      <c r="K83" s="612"/>
    </row>
    <row r="84" spans="2:13" ht="12" customHeight="1" x14ac:dyDescent="0.2">
      <c r="B84" s="611"/>
      <c r="C84" s="611"/>
      <c r="D84" s="612"/>
      <c r="E84" s="612"/>
      <c r="F84" s="612"/>
      <c r="G84" s="612"/>
      <c r="H84" s="612"/>
      <c r="I84" s="612"/>
      <c r="J84" s="612"/>
      <c r="K84" s="612"/>
    </row>
    <row r="85" spans="2:13" ht="12" customHeight="1" x14ac:dyDescent="0.2">
      <c r="B85" s="611"/>
      <c r="C85" s="611"/>
      <c r="D85" s="612"/>
      <c r="E85" s="612"/>
      <c r="F85" s="612"/>
      <c r="G85" s="612"/>
      <c r="H85" s="612"/>
      <c r="I85" s="612"/>
      <c r="J85" s="612"/>
      <c r="K85" s="612"/>
    </row>
    <row r="86" spans="2:13" ht="12" customHeight="1" x14ac:dyDescent="0.2">
      <c r="B86" s="611"/>
      <c r="C86" s="611"/>
      <c r="D86" s="612"/>
      <c r="E86" s="612"/>
      <c r="F86" s="612"/>
      <c r="G86" s="612"/>
      <c r="H86" s="612"/>
      <c r="I86" s="612"/>
      <c r="J86" s="612"/>
      <c r="K86" s="612"/>
    </row>
    <row r="87" spans="2:13" ht="5.0999999999999996" customHeight="1" x14ac:dyDescent="0.2">
      <c r="B87" s="611"/>
      <c r="C87" s="611"/>
      <c r="D87" s="612"/>
      <c r="E87" s="612"/>
      <c r="F87" s="612"/>
      <c r="G87" s="612"/>
      <c r="H87" s="612"/>
      <c r="I87" s="612"/>
      <c r="J87" s="612"/>
      <c r="K87" s="612"/>
    </row>
    <row r="88" spans="2:13" ht="12" customHeight="1" x14ac:dyDescent="0.2">
      <c r="B88" s="611"/>
      <c r="C88" s="611"/>
      <c r="D88" s="612"/>
      <c r="E88" s="612"/>
      <c r="F88" s="612"/>
      <c r="G88" s="612"/>
      <c r="H88" s="612"/>
      <c r="I88" s="612"/>
      <c r="J88" s="612"/>
      <c r="K88" s="612"/>
    </row>
    <row r="89" spans="2:13" ht="12" customHeight="1" x14ac:dyDescent="0.2">
      <c r="B89" s="611"/>
      <c r="C89" s="611"/>
      <c r="D89" s="612"/>
      <c r="E89" s="612"/>
      <c r="F89" s="612"/>
      <c r="G89" s="612"/>
      <c r="H89" s="612"/>
      <c r="I89" s="612"/>
      <c r="J89" s="612"/>
      <c r="K89" s="612"/>
    </row>
    <row r="90" spans="2:13" ht="12" customHeight="1" x14ac:dyDescent="0.2">
      <c r="B90" s="611"/>
      <c r="C90" s="611"/>
      <c r="D90" s="612"/>
      <c r="E90" s="612"/>
      <c r="F90" s="612"/>
      <c r="G90" s="612"/>
      <c r="H90" s="612"/>
      <c r="I90" s="612"/>
      <c r="J90" s="612"/>
      <c r="K90" s="612"/>
    </row>
    <row r="91" spans="2:13" ht="12" customHeight="1" x14ac:dyDescent="0.2">
      <c r="B91" s="611"/>
      <c r="C91" s="611"/>
      <c r="D91" s="612"/>
      <c r="E91" s="612"/>
      <c r="F91" s="612"/>
      <c r="G91" s="612"/>
      <c r="H91" s="612"/>
      <c r="I91" s="612"/>
      <c r="J91" s="612"/>
      <c r="K91" s="612"/>
    </row>
    <row r="92" spans="2:13" ht="12" customHeight="1" x14ac:dyDescent="0.2">
      <c r="B92" s="688"/>
      <c r="C92" s="688"/>
      <c r="D92" s="512"/>
      <c r="E92" s="512"/>
      <c r="F92" s="512"/>
      <c r="G92" s="512"/>
      <c r="H92" s="512"/>
      <c r="I92" s="512"/>
      <c r="J92" s="512"/>
      <c r="K92" s="512"/>
    </row>
    <row r="93" spans="2:13" ht="12" customHeight="1" x14ac:dyDescent="0.2">
      <c r="B93" s="688"/>
      <c r="C93" s="688"/>
      <c r="D93" s="512"/>
      <c r="E93" s="512"/>
      <c r="F93" s="512"/>
      <c r="G93" s="512"/>
      <c r="H93" s="512"/>
      <c r="I93" s="512"/>
      <c r="J93" s="512"/>
      <c r="K93" s="512"/>
    </row>
    <row r="94" spans="2:13" ht="5.0999999999999996" customHeight="1" x14ac:dyDescent="0.2">
      <c r="B94" s="688"/>
      <c r="C94" s="688"/>
      <c r="D94" s="512"/>
      <c r="E94" s="512"/>
      <c r="F94" s="512"/>
      <c r="G94" s="512"/>
      <c r="H94" s="512"/>
      <c r="I94" s="512"/>
      <c r="J94" s="512"/>
      <c r="K94" s="512"/>
    </row>
    <row r="98" spans="1:13" ht="14.1" customHeight="1" x14ac:dyDescent="0.2">
      <c r="B98" s="688"/>
      <c r="C98" s="139"/>
      <c r="D98" s="139"/>
      <c r="E98" s="139"/>
      <c r="F98" s="139"/>
      <c r="G98" s="139"/>
      <c r="H98" s="139"/>
      <c r="I98" s="139"/>
      <c r="J98" s="139"/>
      <c r="K98" s="139"/>
      <c r="L98" s="139"/>
      <c r="M98" s="139"/>
    </row>
    <row r="99" spans="1:13" ht="5.0999999999999996" customHeight="1" x14ac:dyDescent="0.2">
      <c r="B99" s="688"/>
      <c r="C99" s="688"/>
      <c r="D99" s="512"/>
      <c r="E99" s="512"/>
      <c r="F99" s="512"/>
      <c r="G99" s="512"/>
      <c r="H99" s="512"/>
      <c r="I99" s="512"/>
      <c r="J99" s="512"/>
      <c r="K99" s="512"/>
    </row>
    <row r="100" spans="1:13" ht="12" customHeight="1" x14ac:dyDescent="0.2">
      <c r="B100" s="688"/>
      <c r="C100" s="688"/>
      <c r="D100" s="512"/>
      <c r="E100" s="512"/>
      <c r="F100" s="512"/>
      <c r="G100" s="512"/>
      <c r="H100" s="512"/>
      <c r="I100" s="512"/>
      <c r="J100" s="512"/>
      <c r="K100" s="512"/>
    </row>
    <row r="101" spans="1:13" x14ac:dyDescent="0.2">
      <c r="B101" s="688"/>
      <c r="C101" s="688"/>
      <c r="D101" s="512"/>
      <c r="E101" s="512"/>
      <c r="F101" s="512"/>
      <c r="G101" s="512"/>
      <c r="H101" s="512"/>
      <c r="I101" s="512"/>
      <c r="J101" s="512"/>
      <c r="K101" s="512"/>
    </row>
    <row r="102" spans="1:13" x14ac:dyDescent="0.2">
      <c r="B102" s="688"/>
      <c r="C102" s="688"/>
      <c r="D102" s="512"/>
      <c r="E102" s="512"/>
      <c r="F102" s="512"/>
      <c r="G102" s="512"/>
      <c r="H102" s="512"/>
      <c r="I102" s="512"/>
      <c r="J102" s="512"/>
      <c r="K102" s="512"/>
    </row>
    <row r="103" spans="1:13" ht="16.5" customHeight="1" x14ac:dyDescent="0.2">
      <c r="B103" s="688"/>
      <c r="C103" s="688"/>
      <c r="D103" s="512"/>
      <c r="E103" s="512"/>
      <c r="F103" s="512"/>
      <c r="G103" s="512"/>
      <c r="H103" s="512"/>
      <c r="I103" s="512"/>
      <c r="J103" s="512"/>
      <c r="K103" s="512"/>
    </row>
    <row r="104" spans="1:13" ht="5.0999999999999996" customHeight="1" x14ac:dyDescent="0.2">
      <c r="B104" s="688"/>
      <c r="C104" s="688"/>
      <c r="D104" s="512"/>
      <c r="E104" s="512"/>
      <c r="F104" s="512"/>
      <c r="G104" s="512"/>
      <c r="H104" s="512"/>
      <c r="I104" s="512"/>
      <c r="J104" s="512"/>
      <c r="K104" s="512"/>
    </row>
    <row r="105" spans="1:13" x14ac:dyDescent="0.2">
      <c r="B105" s="688"/>
      <c r="C105" s="688"/>
      <c r="D105" s="512"/>
      <c r="E105" s="512"/>
      <c r="F105" s="512"/>
      <c r="G105" s="512"/>
      <c r="H105" s="512"/>
      <c r="I105" s="512"/>
      <c r="J105" s="512"/>
      <c r="K105" s="512"/>
    </row>
    <row r="106" spans="1:13" x14ac:dyDescent="0.2">
      <c r="B106" s="688"/>
      <c r="C106" s="688"/>
      <c r="D106" s="512"/>
      <c r="E106" s="512"/>
      <c r="F106" s="512"/>
      <c r="G106" s="512"/>
      <c r="H106" s="512"/>
      <c r="I106" s="512"/>
      <c r="J106" s="512"/>
      <c r="K106" s="512"/>
    </row>
    <row r="107" spans="1:13" x14ac:dyDescent="0.2">
      <c r="B107" s="688"/>
      <c r="C107" s="688"/>
      <c r="D107" s="512"/>
      <c r="E107" s="512"/>
      <c r="F107" s="512"/>
      <c r="G107" s="512"/>
      <c r="H107" s="512"/>
      <c r="I107" s="512"/>
      <c r="J107" s="512"/>
      <c r="K107" s="512"/>
    </row>
    <row r="108" spans="1:13" ht="16.5" customHeight="1" x14ac:dyDescent="0.2">
      <c r="B108" s="688"/>
      <c r="C108" s="688"/>
      <c r="D108" s="512"/>
      <c r="E108" s="512"/>
      <c r="F108" s="512"/>
      <c r="G108" s="512"/>
      <c r="H108" s="512"/>
      <c r="I108" s="512"/>
      <c r="J108" s="512"/>
      <c r="K108" s="512"/>
    </row>
    <row r="109" spans="1:13" ht="11.1" customHeight="1" x14ac:dyDescent="0.2">
      <c r="B109" s="688"/>
      <c r="C109" s="688"/>
      <c r="D109" s="512"/>
      <c r="E109" s="512"/>
      <c r="F109" s="512"/>
      <c r="G109" s="512"/>
      <c r="H109" s="512"/>
      <c r="I109" s="512"/>
      <c r="J109" s="512"/>
      <c r="K109" s="512"/>
    </row>
    <row r="110" spans="1:13" x14ac:dyDescent="0.2">
      <c r="A110" s="41" t="str">
        <f>AgyIdx</f>
        <v>01</v>
      </c>
      <c r="B110" s="688"/>
      <c r="C110" s="688"/>
      <c r="D110" s="512"/>
      <c r="E110" s="512"/>
      <c r="F110" s="512"/>
      <c r="G110" s="512"/>
      <c r="H110" s="512"/>
      <c r="I110" s="512"/>
      <c r="J110" s="512"/>
      <c r="K110" s="512"/>
    </row>
    <row r="111" spans="1:13" ht="15" x14ac:dyDescent="0.2">
      <c r="A111" s="421" t="str">
        <f ca="1">MID(CELL("filename",A1),FIND("]",CELL("filename",A1))+1,256)</f>
        <v>323</v>
      </c>
      <c r="B111" s="688" t="str">
        <f t="shared" ref="B111:B120" ca="1" si="1">IF(ISNA(INDEX(ErrorTable,MATCH($A$111&amp;$A112&amp;FALSE,ErrorKey,0),6)),"",INDEX(ErrorTable,MATCH($A$111&amp;$A112&amp;FALSE,ErrorKey,0),6))</f>
        <v/>
      </c>
      <c r="C111" s="688"/>
      <c r="D111" s="512"/>
      <c r="E111" s="512"/>
      <c r="F111" s="512"/>
      <c r="G111" s="512"/>
      <c r="H111" s="512"/>
      <c r="I111" s="512"/>
      <c r="J111" s="512"/>
      <c r="K111" s="512"/>
    </row>
    <row r="112" spans="1:13" ht="15" x14ac:dyDescent="0.2">
      <c r="A112" s="421" t="s">
        <v>401</v>
      </c>
      <c r="B112" s="688" t="str">
        <f t="shared" ca="1" si="1"/>
        <v/>
      </c>
      <c r="C112" s="688"/>
      <c r="D112" s="512"/>
      <c r="E112" s="512"/>
      <c r="F112" s="512"/>
      <c r="G112" s="512"/>
      <c r="H112" s="512"/>
      <c r="I112" s="512"/>
      <c r="J112" s="512"/>
      <c r="K112" s="512"/>
    </row>
    <row r="113" spans="1:11" ht="15" x14ac:dyDescent="0.2">
      <c r="A113" s="421" t="s">
        <v>402</v>
      </c>
      <c r="B113" s="688" t="str">
        <f t="shared" ca="1" si="1"/>
        <v/>
      </c>
      <c r="C113" s="688"/>
      <c r="D113" s="512"/>
      <c r="E113" s="512"/>
      <c r="F113" s="512"/>
      <c r="G113" s="512"/>
      <c r="H113" s="512"/>
      <c r="I113" s="512"/>
      <c r="J113" s="512"/>
      <c r="K113" s="512"/>
    </row>
    <row r="114" spans="1:11" ht="15" x14ac:dyDescent="0.2">
      <c r="A114" s="421" t="s">
        <v>403</v>
      </c>
      <c r="B114" s="421" t="str">
        <f t="shared" ca="1" si="1"/>
        <v/>
      </c>
      <c r="C114" s="688"/>
      <c r="D114" s="512"/>
      <c r="E114" s="512"/>
      <c r="F114" s="512"/>
      <c r="G114" s="512"/>
      <c r="H114" s="512"/>
      <c r="I114" s="512"/>
      <c r="J114" s="512"/>
      <c r="K114" s="512"/>
    </row>
    <row r="115" spans="1:11" ht="15" x14ac:dyDescent="0.2">
      <c r="A115" s="421" t="s">
        <v>404</v>
      </c>
      <c r="B115" s="421" t="str">
        <f t="shared" ca="1" si="1"/>
        <v/>
      </c>
      <c r="C115" s="421"/>
    </row>
    <row r="116" spans="1:11" ht="15" x14ac:dyDescent="0.2">
      <c r="A116" s="421" t="s">
        <v>405</v>
      </c>
      <c r="B116" s="421" t="str">
        <f t="shared" ca="1" si="1"/>
        <v/>
      </c>
      <c r="C116" s="421"/>
    </row>
    <row r="117" spans="1:11" ht="15" x14ac:dyDescent="0.2">
      <c r="A117" s="421" t="s">
        <v>406</v>
      </c>
      <c r="B117" s="421" t="str">
        <f t="shared" ca="1" si="1"/>
        <v/>
      </c>
      <c r="C117" s="421"/>
    </row>
    <row r="118" spans="1:11" ht="15" x14ac:dyDescent="0.2">
      <c r="A118" s="421" t="s">
        <v>407</v>
      </c>
      <c r="B118" s="421" t="str">
        <f t="shared" ca="1" si="1"/>
        <v/>
      </c>
      <c r="C118" s="421"/>
    </row>
    <row r="119" spans="1:11" ht="15" x14ac:dyDescent="0.2">
      <c r="A119" s="421" t="s">
        <v>408</v>
      </c>
      <c r="B119" s="421" t="str">
        <f t="shared" ca="1" si="1"/>
        <v/>
      </c>
      <c r="C119" s="421"/>
    </row>
    <row r="120" spans="1:11" ht="15" x14ac:dyDescent="0.2">
      <c r="A120" s="421" t="s">
        <v>409</v>
      </c>
      <c r="B120" s="421" t="str">
        <f t="shared" ca="1" si="1"/>
        <v/>
      </c>
      <c r="C120" s="421"/>
    </row>
    <row r="121" spans="1:11" ht="15" x14ac:dyDescent="0.2">
      <c r="A121" s="421" t="s">
        <v>410</v>
      </c>
      <c r="C121" s="421"/>
    </row>
  </sheetData>
  <sheetProtection algorithmName="SHA-512" hashValue="q2Y/PR7wppiSVXxHTGVhyilnF6Z1jYpSrZcWam+zplSlLNk33v2H1LeSJ9DYBKc1wBrgU97zM4RpkJev06FvfA==" saltValue="zCIr5HqETlTsn6C16OKbWA==" spinCount="100000" sheet="1" autoFilter="0"/>
  <mergeCells count="16">
    <mergeCell ref="I76:J76"/>
    <mergeCell ref="I77:J77"/>
    <mergeCell ref="I6:K6"/>
    <mergeCell ref="I7:K7"/>
    <mergeCell ref="I8:K8"/>
    <mergeCell ref="I50:J50"/>
    <mergeCell ref="I56:J56"/>
    <mergeCell ref="I59:J59"/>
    <mergeCell ref="I60:J60"/>
    <mergeCell ref="B13:G13"/>
    <mergeCell ref="B1:K1"/>
    <mergeCell ref="I5:K5"/>
    <mergeCell ref="L1:L3"/>
    <mergeCell ref="B2:K2"/>
    <mergeCell ref="B3:K3"/>
    <mergeCell ref="B7:D7"/>
  </mergeCells>
  <conditionalFormatting sqref="L1:L3">
    <cfRule type="cellIs" dxfId="126" priority="1" stopIfTrue="1" operator="equal">
      <formula>"na"</formula>
    </cfRule>
  </conditionalFormatting>
  <hyperlinks>
    <hyperlink ref="B1:K1" location="Index!A1" display="Index!A1" xr:uid="{11A3A842-DD3A-4C6F-9789-C2655813C48C}"/>
    <hyperlink ref="B13" r:id="rId1" display="Financial Reporting Update for GASB 83" xr:uid="{E1507681-22C2-4727-AF40-105569943C09}"/>
  </hyperlinks>
  <pageMargins left="0.6" right="0.6" top="0.5" bottom="0.5" header="0.3" footer="0.3"/>
  <pageSetup scale="76" fitToWidth="0" orientation="portrait" r:id="rId2"/>
  <rowBreaks count="1" manualBreakCount="1">
    <brk id="61" max="16383" man="1"/>
  </rowBreaks>
  <colBreaks count="1" manualBreakCount="1">
    <brk id="1" max="66"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dimension ref="A1:AA83"/>
  <sheetViews>
    <sheetView showGridLines="0" topLeftCell="C1" zoomScaleNormal="100" zoomScaleSheetLayoutView="130" workbookViewId="0">
      <selection activeCell="P26" sqref="P26"/>
    </sheetView>
  </sheetViews>
  <sheetFormatPr defaultColWidth="9.42578125" defaultRowHeight="12.75" x14ac:dyDescent="0.2"/>
  <cols>
    <col min="1" max="1" width="9.5703125" style="276" hidden="1" customWidth="1"/>
    <col min="2" max="2" width="4" style="276" hidden="1" customWidth="1"/>
    <col min="3" max="3" width="7.5703125" style="276" customWidth="1"/>
    <col min="4" max="4" width="1.42578125" style="276" customWidth="1"/>
    <col min="5" max="5" width="29.28515625" style="276" customWidth="1"/>
    <col min="6" max="6" width="1.42578125" style="276" customWidth="1"/>
    <col min="7" max="7" width="18.7109375" style="276" customWidth="1"/>
    <col min="8" max="8" width="1.42578125" style="276" customWidth="1"/>
    <col min="9" max="9" width="19" style="276" customWidth="1"/>
    <col min="10" max="10" width="1.42578125" style="276" customWidth="1"/>
    <col min="11" max="11" width="18.7109375" style="276" customWidth="1"/>
    <col min="12" max="12" width="1.42578125" style="276" customWidth="1"/>
    <col min="13" max="13" width="18.7109375" style="276" customWidth="1"/>
    <col min="14" max="14" width="1.42578125" style="276" customWidth="1"/>
    <col min="15" max="15" width="22.5703125" style="276" customWidth="1"/>
    <col min="16" max="16" width="4.42578125" style="276" customWidth="1"/>
    <col min="17" max="19" width="9.42578125" style="276"/>
    <col min="20" max="20" width="9.42578125" style="1321"/>
    <col min="21" max="16384" width="9.42578125" style="276"/>
  </cols>
  <sheetData>
    <row r="1" spans="1:27" s="269" customFormat="1" ht="15" customHeight="1" x14ac:dyDescent="0.3">
      <c r="A1" s="269" t="str">
        <f t="shared" ref="A1:A36" si="0">_AGY325</f>
        <v>01</v>
      </c>
      <c r="C1" s="2553" t="str">
        <f>+Index!$A$1</f>
        <v xml:space="preserve">                                                               Office of the State Controller                                                                </v>
      </c>
      <c r="D1" s="2553"/>
      <c r="E1" s="2553"/>
      <c r="F1" s="2553"/>
      <c r="G1" s="2553"/>
      <c r="H1" s="2553"/>
      <c r="I1" s="2553"/>
      <c r="J1" s="2553"/>
      <c r="K1" s="2553"/>
      <c r="L1" s="2553"/>
      <c r="M1" s="2553"/>
      <c r="N1" s="2553"/>
      <c r="O1" s="2553"/>
      <c r="P1" s="2552" t="str">
        <f>IF(Index!$B$39="na","NA","")</f>
        <v/>
      </c>
      <c r="Q1"/>
      <c r="T1" s="1319"/>
      <c r="AA1" s="270"/>
    </row>
    <row r="2" spans="1:27" s="269" customFormat="1" ht="15" customHeight="1" x14ac:dyDescent="0.3">
      <c r="A2" s="269" t="str">
        <f t="shared" si="0"/>
        <v>01</v>
      </c>
      <c r="C2" s="2532" t="str">
        <f>+Index!$A$2</f>
        <v>2024 ACFR Worksheets</v>
      </c>
      <c r="D2" s="2532"/>
      <c r="E2" s="2532"/>
      <c r="F2" s="2532"/>
      <c r="G2" s="2532"/>
      <c r="H2" s="2532"/>
      <c r="I2" s="2532"/>
      <c r="J2" s="2532"/>
      <c r="K2" s="2532"/>
      <c r="L2" s="2532"/>
      <c r="M2" s="2532"/>
      <c r="N2" s="2532"/>
      <c r="O2" s="2532"/>
      <c r="P2" s="2552"/>
      <c r="Q2"/>
      <c r="T2" s="1319"/>
    </row>
    <row r="3" spans="1:27" s="269" customFormat="1" ht="15" customHeight="1" x14ac:dyDescent="0.3">
      <c r="A3" s="269" t="str">
        <f t="shared" si="0"/>
        <v>01</v>
      </c>
      <c r="C3" s="2532" t="s">
        <v>1239</v>
      </c>
      <c r="D3" s="2532"/>
      <c r="E3" s="2532"/>
      <c r="F3" s="2532"/>
      <c r="G3" s="2532"/>
      <c r="H3" s="2532"/>
      <c r="I3" s="2532"/>
      <c r="J3" s="2532"/>
      <c r="K3" s="2532"/>
      <c r="L3" s="2532"/>
      <c r="M3" s="2532"/>
      <c r="N3" s="2532"/>
      <c r="O3" s="2532"/>
      <c r="P3" s="2552"/>
      <c r="Q3"/>
      <c r="T3" s="1319"/>
    </row>
    <row r="4" spans="1:27" s="271" customFormat="1" ht="6" customHeight="1" x14ac:dyDescent="0.3">
      <c r="A4" s="269" t="str">
        <f t="shared" si="0"/>
        <v>01</v>
      </c>
      <c r="B4" s="799"/>
      <c r="C4" s="272"/>
      <c r="D4" s="799"/>
      <c r="E4" s="799"/>
      <c r="F4" s="799"/>
      <c r="G4" s="799"/>
      <c r="H4" s="799"/>
      <c r="I4" s="799"/>
      <c r="J4" s="799"/>
      <c r="K4" s="236"/>
      <c r="L4" s="799"/>
      <c r="M4" s="799"/>
      <c r="N4" s="799"/>
      <c r="O4" s="799"/>
      <c r="P4" s="799"/>
      <c r="Q4" s="799"/>
      <c r="R4" s="799"/>
      <c r="S4" s="799"/>
      <c r="T4" s="1320"/>
      <c r="U4" s="799"/>
      <c r="V4" s="799"/>
      <c r="W4" s="799"/>
      <c r="X4" s="799"/>
      <c r="Y4" s="799"/>
      <c r="Z4" s="799"/>
      <c r="AA4" s="799"/>
    </row>
    <row r="5" spans="1:27" s="271" customFormat="1" ht="15" customHeight="1" x14ac:dyDescent="0.3">
      <c r="A5" s="269" t="str">
        <f t="shared" si="0"/>
        <v>01</v>
      </c>
      <c r="B5" s="799"/>
      <c r="C5" s="799"/>
      <c r="D5" s="799"/>
      <c r="E5" s="799"/>
      <c r="F5" s="799"/>
      <c r="G5" s="799"/>
      <c r="H5" s="272"/>
      <c r="I5" s="799"/>
      <c r="J5" s="1606" t="s">
        <v>318</v>
      </c>
      <c r="K5" s="2681" t="str">
        <f>+Index!$E$10</f>
        <v>01</v>
      </c>
      <c r="L5" s="2681"/>
      <c r="M5" s="2681"/>
      <c r="N5" s="2681"/>
      <c r="O5" s="2681"/>
      <c r="P5" s="799"/>
      <c r="Q5" s="799"/>
      <c r="R5" s="799"/>
      <c r="S5" s="799"/>
      <c r="T5" s="1320"/>
      <c r="U5" s="799"/>
      <c r="V5" s="799"/>
      <c r="W5" s="799"/>
      <c r="X5" s="799"/>
      <c r="Y5" s="799"/>
      <c r="Z5" s="799"/>
      <c r="AA5" s="799"/>
    </row>
    <row r="6" spans="1:27" s="271" customFormat="1" ht="15" customHeight="1" x14ac:dyDescent="0.3">
      <c r="A6" s="269" t="str">
        <f t="shared" si="0"/>
        <v>01</v>
      </c>
      <c r="B6" s="799"/>
      <c r="C6" s="799"/>
      <c r="D6" s="799"/>
      <c r="E6" s="799"/>
      <c r="F6" s="799"/>
      <c r="G6" s="799"/>
      <c r="H6" s="799"/>
      <c r="I6" s="799"/>
      <c r="J6" s="1606" t="s">
        <v>319</v>
      </c>
      <c r="K6" s="2681" t="str">
        <f>+Index!$E$11</f>
        <v>North Carolina General Assembly</v>
      </c>
      <c r="L6" s="2681"/>
      <c r="M6" s="2681"/>
      <c r="N6" s="2681"/>
      <c r="O6" s="2681"/>
      <c r="P6" s="799"/>
      <c r="Q6" s="799"/>
      <c r="R6" s="799"/>
      <c r="S6" s="799"/>
      <c r="T6" s="1320"/>
      <c r="U6" s="799"/>
      <c r="V6" s="799"/>
      <c r="W6" s="799"/>
      <c r="X6" s="799"/>
      <c r="Y6" s="799"/>
      <c r="Z6" s="799"/>
      <c r="AA6" s="799"/>
    </row>
    <row r="7" spans="1:27" s="271" customFormat="1" ht="15" customHeight="1" x14ac:dyDescent="0.3">
      <c r="A7" s="269" t="str">
        <f t="shared" si="0"/>
        <v>01</v>
      </c>
      <c r="B7" s="799"/>
      <c r="C7" s="799" t="s">
        <v>545</v>
      </c>
      <c r="D7" s="799"/>
      <c r="E7" s="799"/>
      <c r="F7" s="1607"/>
      <c r="G7" s="1375">
        <v>4000</v>
      </c>
      <c r="H7" s="799"/>
      <c r="I7" s="799"/>
      <c r="J7" s="1606" t="s">
        <v>320</v>
      </c>
      <c r="K7" s="2598" t="str">
        <f>CONCATENATE(Index!$E$12," ",Index!$E$14)</f>
        <v xml:space="preserve"> </v>
      </c>
      <c r="L7" s="2598"/>
      <c r="M7" s="2598"/>
      <c r="N7" s="2598"/>
      <c r="O7" s="2598"/>
      <c r="P7" s="799"/>
      <c r="Q7" s="799"/>
      <c r="R7" s="799"/>
      <c r="S7" s="799"/>
      <c r="T7" s="1320"/>
      <c r="U7" s="799"/>
      <c r="V7" s="799"/>
      <c r="W7" s="799"/>
      <c r="X7" s="799"/>
      <c r="Y7" s="799"/>
      <c r="Z7" s="799"/>
      <c r="AA7" s="799"/>
    </row>
    <row r="8" spans="1:27" s="271" customFormat="1" ht="15" customHeight="1" x14ac:dyDescent="0.3">
      <c r="A8" s="269" t="str">
        <f t="shared" si="0"/>
        <v>01</v>
      </c>
      <c r="B8" s="799"/>
      <c r="C8" s="2316" t="s">
        <v>1240</v>
      </c>
      <c r="D8" s="2316"/>
      <c r="E8" s="2316"/>
      <c r="F8" s="892"/>
      <c r="G8" s="1608"/>
      <c r="H8" s="799"/>
      <c r="I8" s="799"/>
      <c r="J8" s="1606" t="s">
        <v>168</v>
      </c>
      <c r="K8" s="2686">
        <f>+Index!$E$13</f>
        <v>0</v>
      </c>
      <c r="L8" s="2686"/>
      <c r="M8" s="2686"/>
      <c r="N8" s="2686"/>
      <c r="O8" s="2686"/>
      <c r="P8" s="799"/>
      <c r="Q8" s="799"/>
      <c r="R8" s="799"/>
      <c r="S8" s="799"/>
      <c r="T8" s="1320"/>
      <c r="U8" s="799"/>
      <c r="V8" s="799"/>
      <c r="W8" s="799"/>
      <c r="X8" s="799"/>
      <c r="Y8" s="799"/>
      <c r="Z8" s="799"/>
      <c r="AA8" s="799"/>
    </row>
    <row r="9" spans="1:27" s="271" customFormat="1" ht="9.75" customHeight="1" thickBot="1" x14ac:dyDescent="0.35">
      <c r="A9" s="269" t="str">
        <f t="shared" si="0"/>
        <v>01</v>
      </c>
      <c r="B9" s="799"/>
      <c r="C9" s="1609"/>
      <c r="D9" s="1609"/>
      <c r="E9" s="1609"/>
      <c r="F9" s="1609"/>
      <c r="G9" s="1609"/>
      <c r="H9" s="1609"/>
      <c r="I9" s="1609"/>
      <c r="J9" s="1609"/>
      <c r="K9" s="1609"/>
      <c r="L9" s="1609"/>
      <c r="M9" s="1609"/>
      <c r="N9" s="1609"/>
      <c r="O9" s="1609"/>
      <c r="P9" s="799"/>
      <c r="Q9" s="799"/>
      <c r="R9" s="799"/>
      <c r="S9" s="799"/>
      <c r="T9" s="1320"/>
      <c r="U9" s="799"/>
      <c r="V9" s="799"/>
      <c r="W9" s="799"/>
      <c r="X9" s="799"/>
      <c r="Y9" s="799"/>
      <c r="Z9" s="799"/>
      <c r="AA9" s="799"/>
    </row>
    <row r="10" spans="1:27" s="271" customFormat="1" ht="8.25" customHeight="1" thickBot="1" x14ac:dyDescent="0.35">
      <c r="A10" s="269"/>
      <c r="B10" s="799"/>
      <c r="C10" s="799"/>
      <c r="D10" s="799"/>
      <c r="E10" s="799"/>
      <c r="F10" s="799"/>
      <c r="G10" s="799"/>
      <c r="H10" s="799"/>
      <c r="I10" s="799"/>
      <c r="J10" s="799"/>
      <c r="K10" s="799"/>
      <c r="L10" s="799"/>
      <c r="M10" s="799"/>
      <c r="N10" s="799"/>
      <c r="O10" s="799"/>
      <c r="P10" s="799"/>
      <c r="Q10" s="799"/>
      <c r="R10" s="799"/>
      <c r="S10" s="799"/>
      <c r="T10" s="1320"/>
      <c r="U10" s="799"/>
      <c r="V10" s="799"/>
      <c r="W10" s="799"/>
      <c r="X10" s="799"/>
      <c r="Y10" s="799"/>
      <c r="Z10" s="799"/>
      <c r="AA10" s="799"/>
    </row>
    <row r="11" spans="1:27" s="271" customFormat="1" ht="3" hidden="1" customHeight="1" thickBot="1" x14ac:dyDescent="0.35">
      <c r="A11" s="269" t="str">
        <f t="shared" si="0"/>
        <v>01</v>
      </c>
      <c r="B11" s="799"/>
      <c r="C11" s="799"/>
      <c r="D11" s="799"/>
      <c r="E11" s="799"/>
      <c r="F11" s="799"/>
      <c r="G11" s="799" t="s">
        <v>187</v>
      </c>
      <c r="H11" s="799"/>
      <c r="I11" s="799" t="s">
        <v>576</v>
      </c>
      <c r="J11" s="799"/>
      <c r="K11" s="799" t="s">
        <v>572</v>
      </c>
      <c r="L11" s="799"/>
      <c r="M11" s="799" t="s">
        <v>573</v>
      </c>
      <c r="N11" s="799"/>
      <c r="O11" s="799" t="s">
        <v>692</v>
      </c>
      <c r="P11" s="799"/>
      <c r="Q11" s="799"/>
      <c r="R11" s="799"/>
      <c r="S11" s="799"/>
      <c r="T11" s="1320"/>
      <c r="U11" s="799"/>
      <c r="V11" s="799"/>
      <c r="W11" s="799"/>
      <c r="X11" s="799"/>
      <c r="Y11" s="799"/>
      <c r="Z11" s="799"/>
      <c r="AA11" s="799"/>
    </row>
    <row r="12" spans="1:27" s="271" customFormat="1" ht="28.5" customHeight="1" thickBot="1" x14ac:dyDescent="0.35">
      <c r="A12" s="269" t="str">
        <f t="shared" si="0"/>
        <v>01</v>
      </c>
      <c r="B12" s="799"/>
      <c r="C12" s="799"/>
      <c r="D12" s="799"/>
      <c r="E12" s="437" t="s">
        <v>1241</v>
      </c>
      <c r="F12" s="799"/>
      <c r="G12" s="2688" t="s">
        <v>1242</v>
      </c>
      <c r="H12" s="2689"/>
      <c r="I12" s="2690"/>
      <c r="J12" s="798"/>
      <c r="K12" s="2687" t="str">
        <f>IF(G12="Click here", "ERROR: Select type of debt from drop-down box. A separate worksheet is required for each type of debt.", "OK")</f>
        <v>ERROR: Select type of debt from drop-down box. A separate worksheet is required for each type of debt.</v>
      </c>
      <c r="L12" s="2687"/>
      <c r="M12" s="2687"/>
      <c r="N12" s="2687"/>
      <c r="O12" s="2687"/>
      <c r="P12" s="798"/>
      <c r="Q12" s="799"/>
      <c r="R12" s="799"/>
      <c r="S12" s="799"/>
      <c r="T12" s="1320"/>
      <c r="U12" s="799"/>
      <c r="V12" s="799"/>
      <c r="W12" s="799"/>
      <c r="X12" s="799"/>
      <c r="Y12" s="799"/>
      <c r="Z12" s="799"/>
      <c r="AA12" s="799"/>
    </row>
    <row r="13" spans="1:27" s="271" customFormat="1" ht="8.25" customHeight="1" thickBot="1" x14ac:dyDescent="0.35">
      <c r="A13" s="269" t="str">
        <f t="shared" si="0"/>
        <v>01</v>
      </c>
      <c r="B13" s="799"/>
      <c r="C13" s="1609"/>
      <c r="D13" s="1609"/>
      <c r="E13" s="1609"/>
      <c r="F13" s="1609"/>
      <c r="G13" s="1609"/>
      <c r="H13" s="1609"/>
      <c r="I13" s="1609"/>
      <c r="J13" s="1609"/>
      <c r="K13" s="1609"/>
      <c r="L13" s="1609"/>
      <c r="M13" s="1609"/>
      <c r="N13" s="1609"/>
      <c r="O13" s="1609"/>
      <c r="P13" s="799"/>
      <c r="Q13" s="799"/>
      <c r="R13" s="799"/>
      <c r="S13" s="799"/>
      <c r="T13" s="1320"/>
      <c r="U13" s="799"/>
      <c r="V13" s="799"/>
      <c r="W13" s="799"/>
      <c r="X13" s="799"/>
      <c r="Y13" s="799"/>
      <c r="Z13" s="799"/>
      <c r="AA13" s="799"/>
    </row>
    <row r="14" spans="1:27" s="271" customFormat="1" ht="9" customHeight="1" x14ac:dyDescent="0.3">
      <c r="A14" s="269" t="str">
        <f t="shared" si="0"/>
        <v>01</v>
      </c>
      <c r="B14" s="799"/>
      <c r="C14" s="799"/>
      <c r="D14" s="799"/>
      <c r="E14" s="799"/>
      <c r="F14" s="799"/>
      <c r="G14" s="799"/>
      <c r="H14" s="799"/>
      <c r="I14" s="799"/>
      <c r="J14" s="799"/>
      <c r="K14" s="799"/>
      <c r="L14" s="799"/>
      <c r="M14" s="799"/>
      <c r="N14" s="799"/>
      <c r="O14" s="799"/>
      <c r="P14" s="799"/>
      <c r="Q14" s="799"/>
      <c r="R14" s="799"/>
      <c r="S14" s="799"/>
      <c r="T14" s="1320"/>
      <c r="U14" s="799"/>
      <c r="V14" s="799"/>
      <c r="W14" s="799"/>
      <c r="X14" s="799"/>
      <c r="Y14" s="799"/>
      <c r="Z14" s="799"/>
      <c r="AA14" s="799"/>
    </row>
    <row r="15" spans="1:27" s="271" customFormat="1" ht="18.75" x14ac:dyDescent="0.3">
      <c r="A15" s="269"/>
      <c r="B15" s="799"/>
      <c r="C15" s="799"/>
      <c r="D15" s="799"/>
      <c r="E15" s="799"/>
      <c r="F15" s="799"/>
      <c r="G15" s="1299" t="s">
        <v>902</v>
      </c>
      <c r="H15" s="1299"/>
      <c r="I15" s="1299" t="s">
        <v>904</v>
      </c>
      <c r="J15" s="1299"/>
      <c r="K15" s="1299" t="s">
        <v>905</v>
      </c>
      <c r="L15" s="1299"/>
      <c r="M15" s="1299" t="s">
        <v>906</v>
      </c>
      <c r="N15" s="1299"/>
      <c r="O15" s="1299" t="s">
        <v>907</v>
      </c>
      <c r="P15" s="799"/>
      <c r="Q15" s="799"/>
      <c r="R15" s="799"/>
      <c r="S15" s="799"/>
      <c r="T15" s="1320"/>
      <c r="U15" s="799"/>
      <c r="V15" s="799"/>
      <c r="W15" s="799"/>
      <c r="X15" s="799"/>
      <c r="Y15" s="799"/>
      <c r="Z15" s="799"/>
      <c r="AA15" s="799"/>
    </row>
    <row r="16" spans="1:27" s="271" customFormat="1" ht="15" customHeight="1" x14ac:dyDescent="0.3">
      <c r="A16" s="269" t="str">
        <f t="shared" si="0"/>
        <v>01</v>
      </c>
      <c r="B16" s="799"/>
      <c r="C16" s="273" t="s">
        <v>570</v>
      </c>
      <c r="D16" s="799"/>
      <c r="E16" s="273"/>
      <c r="F16" s="273"/>
      <c r="G16" s="274">
        <f>YEAR(Data!A2)</f>
        <v>2024</v>
      </c>
      <c r="H16" s="273"/>
      <c r="I16" s="274">
        <f>+G16-1</f>
        <v>2023</v>
      </c>
      <c r="J16" s="273"/>
      <c r="K16" s="274">
        <f>+I16-1</f>
        <v>2022</v>
      </c>
      <c r="L16" s="273"/>
      <c r="M16" s="274">
        <f>+K16-1</f>
        <v>2021</v>
      </c>
      <c r="N16" s="273"/>
      <c r="O16" s="274">
        <f>+M16-1</f>
        <v>2020</v>
      </c>
      <c r="P16" s="799"/>
      <c r="Q16" s="799"/>
      <c r="R16" s="799"/>
      <c r="S16" s="799"/>
      <c r="T16" s="1320"/>
      <c r="U16" s="799"/>
      <c r="V16" s="799"/>
      <c r="W16" s="799"/>
      <c r="X16" s="799"/>
      <c r="Y16" s="799"/>
      <c r="Z16" s="799"/>
      <c r="AA16" s="799"/>
    </row>
    <row r="17" spans="1:20" s="271" customFormat="1" ht="7.5" customHeight="1" x14ac:dyDescent="0.3">
      <c r="A17" s="269" t="str">
        <f t="shared" si="0"/>
        <v>01</v>
      </c>
      <c r="B17" s="799"/>
      <c r="C17" s="273"/>
      <c r="D17" s="799"/>
      <c r="E17" s="273"/>
      <c r="F17" s="273"/>
      <c r="G17" s="273"/>
      <c r="H17" s="273"/>
      <c r="I17" s="273"/>
      <c r="J17" s="273"/>
      <c r="K17" s="273"/>
      <c r="L17" s="273"/>
      <c r="M17" s="273"/>
      <c r="N17" s="273"/>
      <c r="O17" s="273"/>
      <c r="P17" s="799"/>
      <c r="Q17" s="799"/>
      <c r="R17" s="799"/>
      <c r="S17" s="799"/>
      <c r="T17" s="1320"/>
    </row>
    <row r="18" spans="1:20" s="271" customFormat="1" ht="15" customHeight="1" x14ac:dyDescent="0.3">
      <c r="A18" s="269" t="str">
        <f t="shared" si="0"/>
        <v>01</v>
      </c>
      <c r="B18" s="799"/>
      <c r="C18" s="273" t="s">
        <v>571</v>
      </c>
      <c r="D18" s="799"/>
      <c r="E18" s="272" t="s">
        <v>1243</v>
      </c>
      <c r="F18" s="1610"/>
      <c r="G18" s="1610"/>
      <c r="H18" s="1610"/>
      <c r="I18" s="1610"/>
      <c r="J18" s="1610"/>
      <c r="K18" s="1610"/>
      <c r="L18" s="1610"/>
      <c r="M18" s="1878"/>
      <c r="N18" s="1610"/>
      <c r="O18" s="1610"/>
      <c r="P18" s="1610"/>
      <c r="Q18" s="799"/>
      <c r="R18" s="799"/>
      <c r="S18" s="799"/>
      <c r="T18" s="1320"/>
    </row>
    <row r="19" spans="1:20" s="271" customFormat="1" ht="15" customHeight="1" x14ac:dyDescent="0.3">
      <c r="A19" s="269" t="str">
        <f t="shared" si="0"/>
        <v>01</v>
      </c>
      <c r="B19" s="799">
        <v>100</v>
      </c>
      <c r="C19" s="273"/>
      <c r="D19" s="799"/>
      <c r="E19" s="2324" t="s">
        <v>1244</v>
      </c>
      <c r="F19" s="1610"/>
      <c r="G19" s="1234"/>
      <c r="H19" s="1879"/>
      <c r="I19" s="1234"/>
      <c r="J19" s="1879"/>
      <c r="K19" s="1234"/>
      <c r="L19" s="1879"/>
      <c r="M19" s="1234"/>
      <c r="N19" s="1879"/>
      <c r="O19" s="1234"/>
      <c r="P19" s="1610"/>
      <c r="Q19" s="799"/>
      <c r="R19" s="799"/>
      <c r="S19" s="799"/>
      <c r="T19" s="1320" t="s">
        <v>1244</v>
      </c>
    </row>
    <row r="20" spans="1:20" s="271" customFormat="1" ht="15" customHeight="1" x14ac:dyDescent="0.3">
      <c r="A20" s="269" t="str">
        <f t="shared" si="0"/>
        <v>01</v>
      </c>
      <c r="B20" s="799">
        <v>105</v>
      </c>
      <c r="C20" s="273"/>
      <c r="D20" s="799"/>
      <c r="E20" s="1607" t="s">
        <v>1245</v>
      </c>
      <c r="F20" s="1610"/>
      <c r="G20" s="1234"/>
      <c r="H20" s="1879"/>
      <c r="I20" s="1234"/>
      <c r="J20" s="1879"/>
      <c r="K20" s="1234"/>
      <c r="L20" s="1879"/>
      <c r="M20" s="1234"/>
      <c r="N20" s="1879"/>
      <c r="O20" s="1234"/>
      <c r="P20" s="1610"/>
      <c r="Q20" s="799"/>
      <c r="R20" s="799"/>
      <c r="S20" s="799"/>
      <c r="T20" s="1320" t="s">
        <v>1245</v>
      </c>
    </row>
    <row r="21" spans="1:20" s="271" customFormat="1" ht="15" customHeight="1" x14ac:dyDescent="0.3">
      <c r="A21" s="269" t="str">
        <f t="shared" si="0"/>
        <v>01</v>
      </c>
      <c r="B21" s="799">
        <v>110</v>
      </c>
      <c r="C21" s="273"/>
      <c r="D21" s="799"/>
      <c r="E21" s="1607" t="s">
        <v>1246</v>
      </c>
      <c r="F21" s="1610"/>
      <c r="G21" s="1234"/>
      <c r="H21" s="1879"/>
      <c r="I21" s="1234"/>
      <c r="J21" s="1879"/>
      <c r="K21" s="1234"/>
      <c r="L21" s="1879"/>
      <c r="M21" s="1234"/>
      <c r="N21" s="1879"/>
      <c r="O21" s="1234"/>
      <c r="P21" s="1610"/>
      <c r="Q21" s="799"/>
      <c r="R21" s="799"/>
      <c r="S21" s="799"/>
      <c r="T21" s="1320" t="s">
        <v>1246</v>
      </c>
    </row>
    <row r="22" spans="1:20" s="271" customFormat="1" ht="15" customHeight="1" x14ac:dyDescent="0.3">
      <c r="A22" s="269" t="str">
        <f t="shared" si="0"/>
        <v>01</v>
      </c>
      <c r="B22" s="799">
        <v>115</v>
      </c>
      <c r="C22" s="273"/>
      <c r="D22" s="799"/>
      <c r="E22" s="801" t="s">
        <v>1247</v>
      </c>
      <c r="F22" s="1610"/>
      <c r="G22" s="1234"/>
      <c r="H22" s="1879"/>
      <c r="I22" s="1234"/>
      <c r="J22" s="1879"/>
      <c r="K22" s="1234"/>
      <c r="L22" s="1879"/>
      <c r="M22" s="1234"/>
      <c r="N22" s="1879"/>
      <c r="O22" s="1234"/>
      <c r="P22" s="1610"/>
      <c r="Q22" s="799"/>
      <c r="R22" s="799"/>
      <c r="S22" s="799"/>
      <c r="T22" s="1320" t="s">
        <v>1247</v>
      </c>
    </row>
    <row r="23" spans="1:20" s="271" customFormat="1" ht="15" customHeight="1" x14ac:dyDescent="0.3">
      <c r="A23" s="269" t="str">
        <f t="shared" si="0"/>
        <v>01</v>
      </c>
      <c r="B23" s="799">
        <v>120</v>
      </c>
      <c r="C23" s="273"/>
      <c r="D23" s="799"/>
      <c r="E23" s="801" t="s">
        <v>1248</v>
      </c>
      <c r="F23" s="1610"/>
      <c r="G23" s="1234"/>
      <c r="H23" s="1879"/>
      <c r="I23" s="1234"/>
      <c r="J23" s="1879"/>
      <c r="K23" s="1234"/>
      <c r="L23" s="1879"/>
      <c r="M23" s="1234"/>
      <c r="N23" s="1879"/>
      <c r="O23" s="1234"/>
      <c r="P23" s="1610"/>
      <c r="Q23" s="799"/>
      <c r="R23" s="799"/>
      <c r="S23" s="799"/>
      <c r="T23" s="1320" t="s">
        <v>1248</v>
      </c>
    </row>
    <row r="24" spans="1:20" s="271" customFormat="1" ht="15" customHeight="1" x14ac:dyDescent="0.3">
      <c r="A24" s="269" t="str">
        <f t="shared" si="0"/>
        <v>01</v>
      </c>
      <c r="B24" s="799">
        <v>125</v>
      </c>
      <c r="C24" s="273"/>
      <c r="D24" s="799"/>
      <c r="E24" s="801" t="s">
        <v>1249</v>
      </c>
      <c r="F24" s="1610"/>
      <c r="G24" s="1234"/>
      <c r="H24" s="1879"/>
      <c r="I24" s="1234"/>
      <c r="J24" s="1879"/>
      <c r="K24" s="1234"/>
      <c r="L24" s="1879"/>
      <c r="M24" s="1234"/>
      <c r="N24" s="1879"/>
      <c r="O24" s="1234"/>
      <c r="P24" s="1610"/>
      <c r="Q24" s="799"/>
      <c r="R24" s="799"/>
      <c r="S24" s="799"/>
      <c r="T24" s="1320" t="s">
        <v>1249</v>
      </c>
    </row>
    <row r="25" spans="1:20" s="271" customFormat="1" ht="15" customHeight="1" x14ac:dyDescent="0.3">
      <c r="A25" s="269" t="str">
        <f t="shared" si="0"/>
        <v>01</v>
      </c>
      <c r="B25" s="799">
        <v>130</v>
      </c>
      <c r="C25" s="273"/>
      <c r="D25" s="799"/>
      <c r="E25" s="801" t="s">
        <v>1250</v>
      </c>
      <c r="F25" s="1610"/>
      <c r="G25" s="1234"/>
      <c r="H25" s="1879"/>
      <c r="I25" s="1234"/>
      <c r="J25" s="1879"/>
      <c r="K25" s="1234"/>
      <c r="L25" s="1879"/>
      <c r="M25" s="1234"/>
      <c r="N25" s="1879"/>
      <c r="O25" s="1234"/>
      <c r="P25" s="1610"/>
      <c r="Q25" s="799"/>
      <c r="R25" s="799"/>
      <c r="S25" s="799"/>
      <c r="T25" s="1320" t="s">
        <v>1250</v>
      </c>
    </row>
    <row r="26" spans="1:20" s="271" customFormat="1" ht="15" customHeight="1" x14ac:dyDescent="0.3">
      <c r="A26" s="269" t="str">
        <f t="shared" si="0"/>
        <v>01</v>
      </c>
      <c r="B26" s="799">
        <v>135</v>
      </c>
      <c r="C26" s="273"/>
      <c r="D26" s="799"/>
      <c r="E26" s="801" t="s">
        <v>1251</v>
      </c>
      <c r="F26" s="1610"/>
      <c r="G26" s="1234"/>
      <c r="H26" s="1879"/>
      <c r="I26" s="1234"/>
      <c r="J26" s="1879"/>
      <c r="K26" s="1234"/>
      <c r="L26" s="1879"/>
      <c r="M26" s="1234"/>
      <c r="N26" s="1879"/>
      <c r="O26" s="1234"/>
      <c r="P26" s="1610"/>
      <c r="Q26" s="799"/>
      <c r="R26" s="799"/>
      <c r="S26" s="799"/>
      <c r="T26" s="1320" t="s">
        <v>1251</v>
      </c>
    </row>
    <row r="27" spans="1:20" s="271" customFormat="1" ht="15" customHeight="1" x14ac:dyDescent="0.3">
      <c r="A27" s="269" t="str">
        <f t="shared" si="0"/>
        <v>01</v>
      </c>
      <c r="B27" s="799">
        <v>140</v>
      </c>
      <c r="C27" s="273"/>
      <c r="D27" s="799"/>
      <c r="E27" s="801" t="s">
        <v>1252</v>
      </c>
      <c r="F27" s="1610"/>
      <c r="G27" s="1234"/>
      <c r="H27" s="1879"/>
      <c r="I27" s="1234"/>
      <c r="J27" s="1879"/>
      <c r="K27" s="1234"/>
      <c r="L27" s="1879"/>
      <c r="M27" s="1234"/>
      <c r="N27" s="1879"/>
      <c r="O27" s="1234"/>
      <c r="P27" s="1610"/>
      <c r="Q27" s="799"/>
      <c r="R27" s="799"/>
      <c r="S27" s="799"/>
      <c r="T27" s="1320" t="s">
        <v>1252</v>
      </c>
    </row>
    <row r="28" spans="1:20" s="271" customFormat="1" ht="15" customHeight="1" x14ac:dyDescent="0.3">
      <c r="A28" s="269" t="str">
        <f t="shared" si="0"/>
        <v>01</v>
      </c>
      <c r="B28" s="799">
        <v>145</v>
      </c>
      <c r="C28" s="273"/>
      <c r="D28" s="799"/>
      <c r="E28" s="801" t="s">
        <v>1253</v>
      </c>
      <c r="F28" s="1610"/>
      <c r="G28" s="1234"/>
      <c r="H28" s="1879"/>
      <c r="I28" s="1234"/>
      <c r="J28" s="1879"/>
      <c r="K28" s="1234"/>
      <c r="L28" s="1879"/>
      <c r="M28" s="1234"/>
      <c r="N28" s="1879"/>
      <c r="O28" s="1234"/>
      <c r="P28" s="1610"/>
      <c r="Q28" s="799"/>
      <c r="R28" s="799"/>
      <c r="S28" s="799"/>
      <c r="T28" s="1320" t="s">
        <v>1253</v>
      </c>
    </row>
    <row r="29" spans="1:20" s="271" customFormat="1" ht="15" customHeight="1" x14ac:dyDescent="0.3">
      <c r="A29" s="269" t="str">
        <f t="shared" si="0"/>
        <v>01</v>
      </c>
      <c r="B29" s="799">
        <v>150</v>
      </c>
      <c r="C29" s="273"/>
      <c r="D29" s="799"/>
      <c r="E29" s="801" t="s">
        <v>1254</v>
      </c>
      <c r="F29" s="1610"/>
      <c r="G29" s="1234"/>
      <c r="H29" s="1879"/>
      <c r="I29" s="1234"/>
      <c r="J29" s="1879"/>
      <c r="K29" s="1234"/>
      <c r="L29" s="1879"/>
      <c r="M29" s="1234"/>
      <c r="N29" s="1879"/>
      <c r="O29" s="1234"/>
      <c r="P29" s="1610"/>
      <c r="Q29" s="799"/>
      <c r="R29" s="799"/>
      <c r="S29" s="799"/>
      <c r="T29" s="1320" t="s">
        <v>1254</v>
      </c>
    </row>
    <row r="30" spans="1:20" s="271" customFormat="1" ht="15" customHeight="1" x14ac:dyDescent="0.3">
      <c r="A30" s="269" t="str">
        <f t="shared" si="0"/>
        <v>01</v>
      </c>
      <c r="B30" s="799">
        <v>160</v>
      </c>
      <c r="C30" s="273"/>
      <c r="D30" s="799"/>
      <c r="E30" s="801" t="s">
        <v>1255</v>
      </c>
      <c r="F30" s="1610"/>
      <c r="G30" s="1234"/>
      <c r="H30" s="1879"/>
      <c r="I30" s="1234"/>
      <c r="J30" s="1879"/>
      <c r="K30" s="1234"/>
      <c r="L30" s="1879"/>
      <c r="M30" s="1234"/>
      <c r="N30" s="1879"/>
      <c r="O30" s="1234"/>
      <c r="P30" s="1610"/>
      <c r="Q30" s="799"/>
      <c r="R30" s="799"/>
      <c r="S30" s="799"/>
      <c r="T30" s="1320" t="s">
        <v>1255</v>
      </c>
    </row>
    <row r="31" spans="1:20" s="271" customFormat="1" ht="15" customHeight="1" x14ac:dyDescent="0.3">
      <c r="A31" s="269" t="str">
        <f t="shared" si="0"/>
        <v>01</v>
      </c>
      <c r="B31" s="799">
        <v>165</v>
      </c>
      <c r="C31" s="273"/>
      <c r="D31" s="799"/>
      <c r="E31" s="801" t="s">
        <v>1256</v>
      </c>
      <c r="F31" s="1610"/>
      <c r="G31" s="1234"/>
      <c r="H31" s="1879"/>
      <c r="I31" s="1234"/>
      <c r="J31" s="1879"/>
      <c r="K31" s="1234"/>
      <c r="L31" s="1879"/>
      <c r="M31" s="1234"/>
      <c r="N31" s="1879"/>
      <c r="O31" s="1234"/>
      <c r="P31" s="1610"/>
      <c r="Q31" s="799"/>
      <c r="R31" s="799"/>
      <c r="S31" s="799"/>
      <c r="T31" s="1320" t="s">
        <v>1256</v>
      </c>
    </row>
    <row r="32" spans="1:20" s="271" customFormat="1" ht="15" customHeight="1" x14ac:dyDescent="0.3">
      <c r="A32" s="269" t="str">
        <f t="shared" si="0"/>
        <v>01</v>
      </c>
      <c r="B32" s="799">
        <v>170</v>
      </c>
      <c r="C32" s="273"/>
      <c r="D32" s="799"/>
      <c r="E32" s="801" t="s">
        <v>1257</v>
      </c>
      <c r="F32" s="1610"/>
      <c r="G32" s="1234"/>
      <c r="H32" s="1879"/>
      <c r="I32" s="1234"/>
      <c r="J32" s="1879"/>
      <c r="K32" s="1234"/>
      <c r="L32" s="1879"/>
      <c r="M32" s="1234"/>
      <c r="N32" s="1879"/>
      <c r="O32" s="1234"/>
      <c r="P32" s="1610"/>
      <c r="Q32" s="799"/>
      <c r="R32" s="799"/>
      <c r="S32" s="799"/>
      <c r="T32" s="1320" t="s">
        <v>1257</v>
      </c>
    </row>
    <row r="33" spans="1:20" s="271" customFormat="1" ht="15" customHeight="1" x14ac:dyDescent="0.3">
      <c r="A33" s="269" t="str">
        <f t="shared" si="0"/>
        <v>01</v>
      </c>
      <c r="B33" s="799">
        <v>171</v>
      </c>
      <c r="C33" s="273"/>
      <c r="D33" s="799"/>
      <c r="E33" s="799" t="s">
        <v>1258</v>
      </c>
      <c r="F33" s="1610"/>
      <c r="G33" s="1234"/>
      <c r="H33" s="1879"/>
      <c r="I33" s="1234"/>
      <c r="J33" s="1879"/>
      <c r="K33" s="1234"/>
      <c r="L33" s="1879"/>
      <c r="M33" s="1234"/>
      <c r="N33" s="1879"/>
      <c r="O33" s="1234"/>
      <c r="P33" s="1610"/>
      <c r="Q33" s="799"/>
      <c r="R33" s="799"/>
      <c r="S33" s="799"/>
      <c r="T33" s="1320" t="s">
        <v>1258</v>
      </c>
    </row>
    <row r="34" spans="1:20" s="271" customFormat="1" ht="15" customHeight="1" x14ac:dyDescent="0.3">
      <c r="A34" s="269" t="str">
        <f t="shared" si="0"/>
        <v>01</v>
      </c>
      <c r="B34" s="799">
        <v>172</v>
      </c>
      <c r="C34" s="273"/>
      <c r="D34" s="799"/>
      <c r="E34" s="801" t="s">
        <v>1259</v>
      </c>
      <c r="F34" s="1610"/>
      <c r="G34" s="1234"/>
      <c r="H34" s="1879"/>
      <c r="I34" s="1234"/>
      <c r="J34" s="1879"/>
      <c r="K34" s="1234"/>
      <c r="L34" s="1879"/>
      <c r="M34" s="1234"/>
      <c r="N34" s="1879"/>
      <c r="O34" s="1234"/>
      <c r="P34" s="1610"/>
      <c r="Q34" s="799"/>
      <c r="R34" s="799"/>
      <c r="S34" s="799"/>
      <c r="T34" s="1320" t="s">
        <v>1259</v>
      </c>
    </row>
    <row r="35" spans="1:20" s="271" customFormat="1" ht="15" customHeight="1" x14ac:dyDescent="0.3">
      <c r="A35" s="269" t="str">
        <f t="shared" si="0"/>
        <v>01</v>
      </c>
      <c r="B35" s="799">
        <v>173</v>
      </c>
      <c r="C35" s="273"/>
      <c r="D35" s="799"/>
      <c r="E35" s="1611"/>
      <c r="F35" s="1610"/>
      <c r="G35" s="1234"/>
      <c r="H35" s="1879"/>
      <c r="I35" s="1234"/>
      <c r="J35" s="1879"/>
      <c r="K35" s="1234"/>
      <c r="L35" s="1879"/>
      <c r="M35" s="1234"/>
      <c r="N35" s="1879"/>
      <c r="O35" s="1234"/>
      <c r="P35" s="1610"/>
      <c r="Q35" s="799"/>
      <c r="R35" s="799"/>
      <c r="S35" s="799"/>
      <c r="T35" s="1320"/>
    </row>
    <row r="36" spans="1:20" s="271" customFormat="1" ht="15" customHeight="1" x14ac:dyDescent="0.3">
      <c r="A36" s="269" t="str">
        <f t="shared" si="0"/>
        <v>01</v>
      </c>
      <c r="B36" s="799">
        <v>175</v>
      </c>
      <c r="C36" s="273" t="s">
        <v>572</v>
      </c>
      <c r="D36" s="799"/>
      <c r="E36" s="272" t="s">
        <v>1260</v>
      </c>
      <c r="F36" s="1610"/>
      <c r="G36" s="1234"/>
      <c r="H36" s="1879"/>
      <c r="I36" s="1234"/>
      <c r="J36" s="1879"/>
      <c r="K36" s="1234"/>
      <c r="L36" s="1879"/>
      <c r="M36" s="1234"/>
      <c r="N36" s="1879"/>
      <c r="O36" s="1234"/>
      <c r="P36" s="1610"/>
      <c r="Q36" s="799"/>
      <c r="R36" s="799"/>
      <c r="S36" s="799"/>
      <c r="T36" s="1320" t="s">
        <v>1260</v>
      </c>
    </row>
    <row r="37" spans="1:20" s="271" customFormat="1" ht="15" customHeight="1" x14ac:dyDescent="0.3">
      <c r="A37" s="269" t="str">
        <f t="shared" ref="A37:A68" si="1">_AGY325</f>
        <v>01</v>
      </c>
      <c r="B37" s="799">
        <v>180</v>
      </c>
      <c r="C37" s="273" t="s">
        <v>573</v>
      </c>
      <c r="D37" s="799"/>
      <c r="E37" s="272" t="s">
        <v>1261</v>
      </c>
      <c r="F37" s="1610"/>
      <c r="G37" s="1876">
        <f>SUM(G19:G36)</f>
        <v>0</v>
      </c>
      <c r="H37" s="1877"/>
      <c r="I37" s="1876">
        <f>SUM(I19:I36)</f>
        <v>0</v>
      </c>
      <c r="J37" s="1877"/>
      <c r="K37" s="1876">
        <f>SUM(K19:K36)</f>
        <v>0</v>
      </c>
      <c r="L37" s="1877"/>
      <c r="M37" s="1876">
        <f>SUM(M19:M36)</f>
        <v>0</v>
      </c>
      <c r="N37" s="1877"/>
      <c r="O37" s="1876">
        <f>SUM(O19:O36)</f>
        <v>0</v>
      </c>
      <c r="P37" s="1610"/>
      <c r="Q37" s="799"/>
      <c r="R37" s="799"/>
      <c r="S37" s="799"/>
      <c r="T37" s="1320"/>
    </row>
    <row r="38" spans="1:20" s="271" customFormat="1" ht="15" customHeight="1" x14ac:dyDescent="0.3">
      <c r="A38" s="269" t="str">
        <f t="shared" si="1"/>
        <v>01</v>
      </c>
      <c r="B38" s="799">
        <v>185</v>
      </c>
      <c r="C38" s="273" t="s">
        <v>574</v>
      </c>
      <c r="D38" s="799"/>
      <c r="E38" s="272" t="s">
        <v>1096</v>
      </c>
      <c r="F38" s="1610"/>
      <c r="G38" s="1234"/>
      <c r="H38" s="1879"/>
      <c r="I38" s="1234"/>
      <c r="J38" s="1879"/>
      <c r="K38" s="1234"/>
      <c r="L38" s="1879"/>
      <c r="M38" s="1234"/>
      <c r="N38" s="1879"/>
      <c r="O38" s="1234"/>
      <c r="P38" s="1610"/>
      <c r="Q38" s="799"/>
      <c r="R38" s="799"/>
      <c r="S38" s="799"/>
      <c r="T38" s="1320" t="s">
        <v>1262</v>
      </c>
    </row>
    <row r="39" spans="1:20" s="271" customFormat="1" ht="15" customHeight="1" x14ac:dyDescent="0.3">
      <c r="A39" s="269" t="str">
        <f t="shared" si="1"/>
        <v>01</v>
      </c>
      <c r="B39" s="799">
        <v>190</v>
      </c>
      <c r="C39" s="273" t="s">
        <v>575</v>
      </c>
      <c r="D39" s="799"/>
      <c r="E39" s="272" t="s">
        <v>1263</v>
      </c>
      <c r="F39" s="1610"/>
      <c r="G39" s="1234"/>
      <c r="H39" s="1879"/>
      <c r="I39" s="1234"/>
      <c r="J39" s="1879"/>
      <c r="K39" s="1234"/>
      <c r="L39" s="1879"/>
      <c r="M39" s="1234"/>
      <c r="N39" s="1879"/>
      <c r="O39" s="1234"/>
      <c r="P39" s="1610"/>
      <c r="Q39" s="799"/>
      <c r="R39" s="799"/>
      <c r="S39" s="799"/>
      <c r="T39" s="1320" t="s">
        <v>1264</v>
      </c>
    </row>
    <row r="40" spans="1:20" s="271" customFormat="1" ht="15" customHeight="1" x14ac:dyDescent="0.3">
      <c r="A40" s="269" t="str">
        <f t="shared" si="1"/>
        <v>01</v>
      </c>
      <c r="B40" s="799">
        <v>195</v>
      </c>
      <c r="C40" s="273" t="s">
        <v>576</v>
      </c>
      <c r="D40" s="799"/>
      <c r="E40" s="272" t="s">
        <v>1265</v>
      </c>
      <c r="F40" s="1610"/>
      <c r="G40" s="1876">
        <f>SUM(G38:G39)</f>
        <v>0</v>
      </c>
      <c r="H40" s="1877"/>
      <c r="I40" s="1876">
        <f>SUM(I38:I39)</f>
        <v>0</v>
      </c>
      <c r="J40" s="1877"/>
      <c r="K40" s="1876">
        <f>SUM(K38:K39)</f>
        <v>0</v>
      </c>
      <c r="L40" s="1877"/>
      <c r="M40" s="1876">
        <f>SUM(M38:M39)</f>
        <v>0</v>
      </c>
      <c r="N40" s="1877"/>
      <c r="O40" s="1876">
        <f>SUM(O38:O39)</f>
        <v>0</v>
      </c>
      <c r="P40" s="1610"/>
      <c r="Q40" s="799"/>
      <c r="R40" s="799"/>
      <c r="S40" s="799"/>
      <c r="T40" s="1320"/>
    </row>
    <row r="41" spans="1:20" s="271" customFormat="1" ht="15" customHeight="1" x14ac:dyDescent="0.3">
      <c r="A41" s="269" t="str">
        <f t="shared" si="1"/>
        <v>01</v>
      </c>
      <c r="B41" s="799">
        <v>200</v>
      </c>
      <c r="C41" s="273" t="s">
        <v>577</v>
      </c>
      <c r="D41" s="799"/>
      <c r="E41" s="272" t="s">
        <v>1266</v>
      </c>
      <c r="F41" s="1610"/>
      <c r="G41" s="1876">
        <f>IF(AND(G37=0,G40=0),0,+G37/G40)</f>
        <v>0</v>
      </c>
      <c r="H41" s="1877"/>
      <c r="I41" s="1876">
        <f>IF(AND(I37=0,I40=0),0,+I37/I40)</f>
        <v>0</v>
      </c>
      <c r="J41" s="1877"/>
      <c r="K41" s="1876">
        <f>IF(AND(K37=0,K40=0),0,+K37/K40)</f>
        <v>0</v>
      </c>
      <c r="L41" s="1877"/>
      <c r="M41" s="1876">
        <f>IF(AND(M37=0,M40=0),0,+M37/M40)</f>
        <v>0</v>
      </c>
      <c r="N41" s="1877"/>
      <c r="O41" s="1876">
        <f>IF(AND(O37=0,O40=0),0,+O37/O40)</f>
        <v>0</v>
      </c>
      <c r="P41" s="1610"/>
      <c r="Q41" s="799"/>
      <c r="R41" s="799"/>
      <c r="S41" s="799"/>
      <c r="T41" s="1320" t="s">
        <v>1266</v>
      </c>
    </row>
    <row r="42" spans="1:20" s="271" customFormat="1" ht="6" customHeight="1" x14ac:dyDescent="0.3">
      <c r="A42" s="269" t="str">
        <f t="shared" si="1"/>
        <v>01</v>
      </c>
      <c r="B42" s="799"/>
      <c r="C42" s="744"/>
      <c r="D42" s="799"/>
      <c r="E42" s="1610"/>
      <c r="F42" s="1610"/>
      <c r="G42" s="1610"/>
      <c r="H42" s="1610"/>
      <c r="I42" s="1610"/>
      <c r="J42" s="1610"/>
      <c r="K42" s="1610"/>
      <c r="L42" s="1610"/>
      <c r="M42" s="1610"/>
      <c r="N42" s="1610"/>
      <c r="O42" s="1610">
        <f>SUM(K42:N42)</f>
        <v>0</v>
      </c>
      <c r="P42" s="1610"/>
      <c r="Q42" s="799"/>
      <c r="R42" s="799"/>
      <c r="S42" s="799"/>
      <c r="T42" s="1320"/>
    </row>
    <row r="43" spans="1:20" s="271" customFormat="1" ht="9" customHeight="1" x14ac:dyDescent="0.3">
      <c r="A43" s="269" t="str">
        <f t="shared" si="1"/>
        <v>01</v>
      </c>
      <c r="B43" s="799"/>
      <c r="C43" s="275"/>
      <c r="D43" s="799"/>
      <c r="E43" s="1610"/>
      <c r="F43" s="1610"/>
      <c r="G43" s="1610"/>
      <c r="H43" s="1610"/>
      <c r="I43" s="1610"/>
      <c r="J43" s="1610"/>
      <c r="K43" s="1610"/>
      <c r="L43" s="1610"/>
      <c r="M43" s="1610"/>
      <c r="N43" s="1610"/>
      <c r="O43" s="1610"/>
      <c r="P43" s="1610"/>
      <c r="Q43" s="799"/>
      <c r="R43" s="799"/>
      <c r="S43" s="799"/>
      <c r="T43" s="1320"/>
    </row>
    <row r="44" spans="1:20" s="271" customFormat="1" ht="15" hidden="1" customHeight="1" x14ac:dyDescent="0.3">
      <c r="A44" s="269" t="str">
        <f t="shared" si="1"/>
        <v>01</v>
      </c>
      <c r="B44" s="799"/>
      <c r="C44" s="893" t="s">
        <v>1267</v>
      </c>
      <c r="D44" s="1612"/>
      <c r="E44" s="1613"/>
      <c r="F44" s="1613"/>
      <c r="G44" s="1613"/>
      <c r="H44" s="1613"/>
      <c r="I44" s="1613"/>
      <c r="J44" s="1613"/>
      <c r="K44" s="1613"/>
      <c r="L44" s="1613"/>
      <c r="M44" s="1613"/>
      <c r="N44" s="1613"/>
      <c r="O44" s="1613"/>
      <c r="P44" s="1610"/>
      <c r="Q44" s="799"/>
      <c r="R44" s="799"/>
      <c r="S44" s="799"/>
      <c r="T44" s="1320"/>
    </row>
    <row r="45" spans="1:20" s="271" customFormat="1" ht="13.5" customHeight="1" x14ac:dyDescent="0.3">
      <c r="A45" s="269" t="str">
        <f t="shared" si="1"/>
        <v>01</v>
      </c>
      <c r="B45" s="799"/>
      <c r="C45" s="893" t="s">
        <v>1268</v>
      </c>
      <c r="D45" s="2316" t="str">
        <f>CONCATENATE("If you have previously submitted this information for fiscal years ",+YEAR(Data!$A$4)," and earlier, and that")</f>
        <v>If you have previously submitted this information for fiscal years 2023 and earlier, and that</v>
      </c>
      <c r="E45" s="2316"/>
      <c r="F45" s="2316"/>
      <c r="G45" s="2316"/>
      <c r="H45" s="2316"/>
      <c r="I45" s="2316"/>
      <c r="J45" s="2316"/>
      <c r="K45" s="2316"/>
      <c r="L45" s="2316"/>
      <c r="M45" s="2316"/>
      <c r="N45" s="2316"/>
      <c r="O45" s="2316"/>
      <c r="P45" s="1610"/>
      <c r="Q45" s="799"/>
      <c r="R45" s="799"/>
      <c r="S45" s="799"/>
      <c r="T45" s="1320"/>
    </row>
    <row r="46" spans="1:20" s="271" customFormat="1" ht="15" customHeight="1" x14ac:dyDescent="0.3">
      <c r="A46" s="269" t="str">
        <f t="shared" si="1"/>
        <v>01</v>
      </c>
      <c r="B46" s="799"/>
      <c r="C46" s="1614"/>
      <c r="D46" s="2685" t="str">
        <f>CONCATENATE("data remains unchanged, you may complete just the ",YEAR(Data!$A$2)," line and ignore lines ",O16," - ",I16,".")</f>
        <v>data remains unchanged, you may complete just the 2024 line and ignore lines 2020 - 2023.</v>
      </c>
      <c r="E46" s="2685"/>
      <c r="F46" s="2685"/>
      <c r="G46" s="2685"/>
      <c r="H46" s="2685"/>
      <c r="I46" s="2685"/>
      <c r="J46" s="2685"/>
      <c r="K46" s="2685"/>
      <c r="L46" s="2685"/>
      <c r="M46" s="2685"/>
      <c r="N46" s="2685"/>
      <c r="O46" s="2685"/>
      <c r="P46" s="799"/>
      <c r="Q46" s="799"/>
      <c r="R46" s="799"/>
      <c r="S46" s="799"/>
      <c r="T46" s="1320"/>
    </row>
    <row r="47" spans="1:20" s="271" customFormat="1" ht="15" customHeight="1" x14ac:dyDescent="0.3">
      <c r="A47" s="269" t="str">
        <f t="shared" si="1"/>
        <v>01</v>
      </c>
      <c r="B47" s="799"/>
      <c r="C47" s="894" t="s">
        <v>1269</v>
      </c>
      <c r="D47" s="1615"/>
      <c r="E47" s="1615"/>
      <c r="F47" s="1615"/>
      <c r="G47" s="1615"/>
      <c r="H47" s="1615"/>
      <c r="I47" s="1615"/>
      <c r="J47" s="1615"/>
      <c r="K47" s="1615"/>
      <c r="L47" s="1615"/>
      <c r="M47" s="1615"/>
      <c r="N47" s="1612"/>
      <c r="O47" s="1612"/>
      <c r="P47" s="799"/>
      <c r="Q47" s="799"/>
      <c r="R47" s="799"/>
      <c r="S47" s="799"/>
      <c r="T47" s="1320"/>
    </row>
    <row r="48" spans="1:20" s="271" customFormat="1" ht="18.75" x14ac:dyDescent="0.3">
      <c r="A48" s="269" t="str">
        <f t="shared" si="1"/>
        <v>01</v>
      </c>
      <c r="B48" s="799"/>
      <c r="C48" s="895" t="s">
        <v>1270</v>
      </c>
      <c r="D48" s="895"/>
      <c r="E48" s="895"/>
      <c r="F48" s="1616"/>
      <c r="G48" s="1616"/>
      <c r="H48" s="1616"/>
      <c r="I48" s="1616"/>
      <c r="J48" s="1616"/>
      <c r="K48" s="1616"/>
      <c r="L48" s="1616"/>
      <c r="M48" s="1616"/>
      <c r="N48" s="1616"/>
      <c r="O48" s="1616"/>
      <c r="P48" s="799"/>
      <c r="Q48" s="799"/>
      <c r="R48" s="799"/>
      <c r="S48" s="799"/>
      <c r="T48" s="1320"/>
    </row>
    <row r="49" spans="1:20" s="271" customFormat="1" ht="15" customHeight="1" x14ac:dyDescent="0.3">
      <c r="A49" s="269" t="str">
        <f t="shared" si="1"/>
        <v>01</v>
      </c>
      <c r="B49" s="799"/>
      <c r="C49" s="437" t="s">
        <v>412</v>
      </c>
      <c r="D49" s="896"/>
      <c r="E49" s="896"/>
      <c r="F49" s="896"/>
      <c r="G49" s="799"/>
      <c r="H49" s="799"/>
      <c r="I49" s="799"/>
      <c r="J49" s="799"/>
      <c r="K49" s="799"/>
      <c r="L49" s="799"/>
      <c r="M49" s="799"/>
      <c r="N49" s="799"/>
      <c r="O49" s="799"/>
      <c r="P49" s="799"/>
      <c r="Q49" s="799"/>
      <c r="R49" s="799"/>
      <c r="S49" s="799"/>
      <c r="T49" s="1320"/>
    </row>
    <row r="50" spans="1:20" s="271" customFormat="1" ht="15" customHeight="1" x14ac:dyDescent="0.3">
      <c r="A50" s="269" t="str">
        <f t="shared" si="1"/>
        <v>01</v>
      </c>
      <c r="B50" s="799"/>
      <c r="C50" s="799" t="s">
        <v>1271</v>
      </c>
      <c r="D50" s="744" t="s">
        <v>324</v>
      </c>
      <c r="E50" s="799" t="str">
        <f>CONCATENATE("Provide information for the fiscal years ",O16," through ",G16)</f>
        <v>Provide information for the fiscal years 2020 through 2024</v>
      </c>
      <c r="F50" s="799"/>
      <c r="G50" s="799"/>
      <c r="H50" s="799"/>
      <c r="I50" s="799"/>
      <c r="J50" s="799"/>
      <c r="K50" s="799"/>
      <c r="L50" s="799"/>
      <c r="M50" s="799"/>
      <c r="N50" s="799"/>
      <c r="O50" s="799"/>
      <c r="P50" s="799"/>
      <c r="Q50" s="799"/>
      <c r="R50" s="799"/>
      <c r="S50" s="799"/>
      <c r="T50" s="1320"/>
    </row>
    <row r="51" spans="1:20" s="271" customFormat="1" ht="15" customHeight="1" x14ac:dyDescent="0.3">
      <c r="A51" s="269" t="str">
        <f t="shared" si="1"/>
        <v>01</v>
      </c>
      <c r="B51" s="799"/>
      <c r="C51" s="799" t="s">
        <v>1272</v>
      </c>
      <c r="D51" s="744" t="s">
        <v>324</v>
      </c>
      <c r="E51" s="799" t="s">
        <v>1273</v>
      </c>
      <c r="F51" s="799"/>
      <c r="G51" s="799"/>
      <c r="H51" s="799"/>
      <c r="I51" s="799"/>
      <c r="J51" s="799"/>
      <c r="K51" s="799"/>
      <c r="L51" s="799"/>
      <c r="M51" s="799"/>
      <c r="N51" s="799"/>
      <c r="O51" s="799"/>
      <c r="P51" s="799"/>
      <c r="Q51" s="799"/>
      <c r="R51" s="799"/>
      <c r="S51" s="799"/>
      <c r="T51" s="1320"/>
    </row>
    <row r="52" spans="1:20" s="271" customFormat="1" ht="15" customHeight="1" x14ac:dyDescent="0.3">
      <c r="A52" s="269" t="str">
        <f t="shared" si="1"/>
        <v>01</v>
      </c>
      <c r="B52" s="799"/>
      <c r="C52" s="799" t="s">
        <v>1274</v>
      </c>
      <c r="D52" s="744" t="s">
        <v>324</v>
      </c>
      <c r="E52" s="799" t="s">
        <v>1275</v>
      </c>
      <c r="F52" s="799"/>
      <c r="G52" s="799"/>
      <c r="H52" s="799"/>
      <c r="I52" s="799"/>
      <c r="J52" s="799"/>
      <c r="K52" s="799"/>
      <c r="L52" s="799"/>
      <c r="M52" s="799"/>
      <c r="N52" s="799"/>
      <c r="O52" s="799"/>
      <c r="P52" s="799"/>
      <c r="Q52" s="799"/>
      <c r="R52" s="799"/>
      <c r="S52" s="799"/>
      <c r="T52" s="1320"/>
    </row>
    <row r="53" spans="1:20" s="271" customFormat="1" ht="15" customHeight="1" x14ac:dyDescent="0.3">
      <c r="A53" s="269" t="str">
        <f t="shared" si="1"/>
        <v>01</v>
      </c>
      <c r="B53" s="799"/>
      <c r="C53" s="799"/>
      <c r="D53" s="744"/>
      <c r="E53" s="799" t="s">
        <v>1276</v>
      </c>
      <c r="F53" s="799"/>
      <c r="G53" s="799"/>
      <c r="H53" s="799"/>
      <c r="I53" s="799"/>
      <c r="J53" s="799"/>
      <c r="K53" s="799"/>
      <c r="L53" s="799"/>
      <c r="M53" s="799"/>
      <c r="N53" s="799"/>
      <c r="O53" s="799"/>
      <c r="P53" s="799"/>
      <c r="Q53" s="799"/>
      <c r="R53" s="799"/>
      <c r="S53" s="799"/>
      <c r="T53" s="1320"/>
    </row>
    <row r="54" spans="1:20" s="271" customFormat="1" ht="15" customHeight="1" x14ac:dyDescent="0.3">
      <c r="A54" s="269" t="str">
        <f t="shared" si="1"/>
        <v>01</v>
      </c>
      <c r="B54" s="799"/>
      <c r="C54" s="799" t="s">
        <v>1277</v>
      </c>
      <c r="D54" s="744" t="s">
        <v>324</v>
      </c>
      <c r="E54" s="799" t="s">
        <v>1278</v>
      </c>
      <c r="F54" s="799"/>
      <c r="G54" s="799"/>
      <c r="H54" s="799"/>
      <c r="I54" s="799"/>
      <c r="J54" s="799"/>
      <c r="K54" s="799"/>
      <c r="L54" s="799"/>
      <c r="M54" s="799"/>
      <c r="N54" s="799"/>
      <c r="O54" s="799"/>
      <c r="P54" s="799"/>
      <c r="Q54" s="799"/>
      <c r="R54" s="799"/>
      <c r="S54" s="799"/>
      <c r="T54" s="1320"/>
    </row>
    <row r="55" spans="1:20" s="271" customFormat="1" ht="15" customHeight="1" x14ac:dyDescent="0.3">
      <c r="A55" s="269" t="str">
        <f t="shared" si="1"/>
        <v>01</v>
      </c>
      <c r="B55" s="799"/>
      <c r="C55" s="799" t="s">
        <v>1279</v>
      </c>
      <c r="D55" s="744" t="s">
        <v>324</v>
      </c>
      <c r="E55" s="799" t="s">
        <v>1280</v>
      </c>
      <c r="F55" s="799"/>
      <c r="G55" s="799"/>
      <c r="H55" s="799"/>
      <c r="I55" s="799"/>
      <c r="J55" s="799"/>
      <c r="K55" s="799"/>
      <c r="L55" s="799"/>
      <c r="M55" s="799"/>
      <c r="N55" s="799"/>
      <c r="O55" s="799"/>
      <c r="P55" s="799"/>
      <c r="Q55" s="799"/>
      <c r="R55" s="799"/>
      <c r="S55" s="799"/>
      <c r="T55" s="1320"/>
    </row>
    <row r="56" spans="1:20" s="271" customFormat="1" ht="15" customHeight="1" x14ac:dyDescent="0.3">
      <c r="A56" s="269" t="str">
        <f t="shared" si="1"/>
        <v>01</v>
      </c>
      <c r="B56" s="799"/>
      <c r="C56" s="799"/>
      <c r="D56" s="744"/>
      <c r="E56" s="799"/>
      <c r="F56" s="272" t="s">
        <v>1281</v>
      </c>
      <c r="G56" s="799"/>
      <c r="H56" s="799"/>
      <c r="I56" s="799"/>
      <c r="J56" s="799"/>
      <c r="K56" s="799"/>
      <c r="L56" s="799"/>
      <c r="M56" s="799"/>
      <c r="N56" s="799"/>
      <c r="O56" s="799"/>
      <c r="P56" s="799"/>
      <c r="Q56" s="799"/>
      <c r="R56" s="799"/>
      <c r="S56" s="799"/>
      <c r="T56" s="1320"/>
    </row>
    <row r="57" spans="1:20" s="271" customFormat="1" ht="15" customHeight="1" x14ac:dyDescent="0.3">
      <c r="A57" s="269" t="str">
        <f t="shared" si="1"/>
        <v>01</v>
      </c>
      <c r="B57" s="799"/>
      <c r="C57" s="799" t="s">
        <v>1282</v>
      </c>
      <c r="D57" s="744" t="s">
        <v>324</v>
      </c>
      <c r="E57" s="799" t="s">
        <v>1283</v>
      </c>
      <c r="F57" s="799"/>
      <c r="G57" s="799"/>
      <c r="H57" s="799"/>
      <c r="I57" s="799"/>
      <c r="J57" s="799"/>
      <c r="K57" s="799"/>
      <c r="L57" s="799"/>
      <c r="M57" s="799"/>
      <c r="N57" s="799"/>
      <c r="O57" s="799"/>
      <c r="P57" s="799"/>
      <c r="Q57" s="799"/>
      <c r="R57" s="799"/>
      <c r="S57" s="799"/>
      <c r="T57" s="1320"/>
    </row>
    <row r="58" spans="1:20" s="271" customFormat="1" ht="15" customHeight="1" x14ac:dyDescent="0.3">
      <c r="A58" s="269" t="str">
        <f t="shared" si="1"/>
        <v>01</v>
      </c>
      <c r="B58" s="799"/>
      <c r="C58" s="799"/>
      <c r="D58" s="744"/>
      <c r="E58" s="799"/>
      <c r="F58" s="272" t="s">
        <v>1281</v>
      </c>
      <c r="G58" s="799"/>
      <c r="H58" s="799"/>
      <c r="I58" s="799"/>
      <c r="J58" s="799"/>
      <c r="K58" s="799"/>
      <c r="L58" s="799"/>
      <c r="M58" s="799"/>
      <c r="N58" s="799"/>
      <c r="O58" s="799"/>
      <c r="P58" s="799"/>
      <c r="Q58" s="799"/>
      <c r="R58" s="799"/>
      <c r="S58" s="799"/>
      <c r="T58" s="1320"/>
    </row>
    <row r="59" spans="1:20" s="271" customFormat="1" ht="15" customHeight="1" x14ac:dyDescent="0.3">
      <c r="A59" s="269" t="str">
        <f t="shared" si="1"/>
        <v>01</v>
      </c>
      <c r="B59" s="799"/>
      <c r="C59" s="799" t="s">
        <v>1284</v>
      </c>
      <c r="D59" s="744" t="s">
        <v>324</v>
      </c>
      <c r="E59" s="799" t="s">
        <v>1285</v>
      </c>
      <c r="F59" s="799"/>
      <c r="G59" s="799"/>
      <c r="H59" s="799"/>
      <c r="I59" s="799"/>
      <c r="J59" s="799"/>
      <c r="K59" s="799"/>
      <c r="L59" s="799"/>
      <c r="M59" s="799"/>
      <c r="N59" s="799"/>
      <c r="O59" s="799"/>
      <c r="P59" s="799"/>
      <c r="Q59" s="799"/>
      <c r="R59" s="799"/>
      <c r="S59" s="799"/>
      <c r="T59" s="1320"/>
    </row>
    <row r="60" spans="1:20" s="271" customFormat="1" ht="15" customHeight="1" x14ac:dyDescent="0.3">
      <c r="A60" s="269" t="str">
        <f t="shared" si="1"/>
        <v>01</v>
      </c>
      <c r="B60" s="799"/>
      <c r="C60" s="799" t="s">
        <v>1286</v>
      </c>
      <c r="D60" s="744" t="s">
        <v>324</v>
      </c>
      <c r="E60" s="799" t="s">
        <v>1287</v>
      </c>
      <c r="F60" s="799"/>
      <c r="G60" s="799"/>
      <c r="H60" s="799"/>
      <c r="I60" s="799"/>
      <c r="J60" s="799"/>
      <c r="K60" s="799"/>
      <c r="L60" s="799"/>
      <c r="M60" s="799"/>
      <c r="N60" s="799"/>
      <c r="O60" s="799"/>
      <c r="P60" s="799"/>
      <c r="Q60" s="799"/>
      <c r="R60" s="799"/>
      <c r="S60" s="799"/>
      <c r="T60" s="1320"/>
    </row>
    <row r="61" spans="1:20" s="271" customFormat="1" ht="15" customHeight="1" x14ac:dyDescent="0.3">
      <c r="A61" s="269" t="str">
        <f t="shared" si="1"/>
        <v>01</v>
      </c>
      <c r="B61" s="799"/>
      <c r="C61" s="1875" t="s">
        <v>1288</v>
      </c>
      <c r="D61" s="744"/>
      <c r="E61" s="799"/>
      <c r="F61" s="799"/>
      <c r="G61" s="799"/>
      <c r="H61" s="799"/>
      <c r="I61" s="799"/>
      <c r="J61" s="799"/>
      <c r="K61" s="799"/>
      <c r="L61" s="799"/>
      <c r="M61" s="799"/>
      <c r="N61" s="799"/>
      <c r="O61" s="799"/>
      <c r="P61" s="799"/>
      <c r="Q61" s="799"/>
      <c r="R61" s="799"/>
      <c r="S61" s="799"/>
      <c r="T61" s="1320"/>
    </row>
    <row r="62" spans="1:20" ht="18.75" x14ac:dyDescent="0.3">
      <c r="A62" s="269" t="str">
        <f t="shared" si="1"/>
        <v>01</v>
      </c>
      <c r="C62" s="446" t="s">
        <v>1289</v>
      </c>
    </row>
    <row r="63" spans="1:20" ht="15" customHeight="1" x14ac:dyDescent="0.3">
      <c r="A63" s="269" t="str">
        <f t="shared" si="1"/>
        <v>01</v>
      </c>
      <c r="B63" s="1317"/>
      <c r="C63" s="445" t="s">
        <v>1290</v>
      </c>
      <c r="D63" s="1317"/>
    </row>
    <row r="64" spans="1:20" ht="15" customHeight="1" x14ac:dyDescent="0.3">
      <c r="A64" s="269" t="str">
        <f t="shared" si="1"/>
        <v>01</v>
      </c>
      <c r="B64" s="1317"/>
      <c r="C64" s="272" t="s">
        <v>1291</v>
      </c>
      <c r="D64" s="799"/>
      <c r="E64" s="799"/>
      <c r="F64" s="799"/>
      <c r="G64" s="799"/>
      <c r="H64" s="799"/>
      <c r="I64" s="799"/>
      <c r="J64" s="799"/>
      <c r="K64" s="799"/>
      <c r="L64" s="799"/>
      <c r="M64" s="799"/>
    </row>
    <row r="65" spans="1:20" s="271" customFormat="1" ht="15" customHeight="1" x14ac:dyDescent="0.3">
      <c r="A65" s="269" t="str">
        <f t="shared" si="1"/>
        <v>01</v>
      </c>
      <c r="B65" s="799"/>
      <c r="C65" s="272" t="s">
        <v>1292</v>
      </c>
      <c r="D65" s="744"/>
      <c r="E65" s="272"/>
      <c r="F65" s="272"/>
      <c r="G65" s="799"/>
      <c r="H65" s="799"/>
      <c r="I65" s="799"/>
      <c r="J65" s="799"/>
      <c r="K65" s="799"/>
      <c r="L65" s="799"/>
      <c r="M65" s="799"/>
      <c r="N65" s="799"/>
      <c r="O65" s="799"/>
      <c r="P65" s="799"/>
      <c r="Q65" s="799"/>
      <c r="R65" s="799"/>
      <c r="S65" s="799"/>
      <c r="T65" s="1320"/>
    </row>
    <row r="66" spans="1:20" ht="15" customHeight="1" x14ac:dyDescent="0.3">
      <c r="A66" s="269" t="str">
        <f t="shared" si="1"/>
        <v>01</v>
      </c>
      <c r="B66" s="1317"/>
      <c r="C66" s="421" t="str">
        <f ca="1">IF(ISNA(INDEX(ErrorTable,MATCH($B$71&amp;$B66&amp;FALSE,ErrorKey,0),6)),"",INDEX(ErrorTable,MATCH($B$71&amp;$B66&amp;FALSE,ErrorKey,0),6))</f>
        <v/>
      </c>
      <c r="D66" s="1317"/>
    </row>
    <row r="67" spans="1:20" ht="18.75" x14ac:dyDescent="0.3">
      <c r="A67" s="269" t="str">
        <f t="shared" si="1"/>
        <v>01</v>
      </c>
      <c r="B67" s="1317"/>
      <c r="C67" s="445" t="s">
        <v>1293</v>
      </c>
      <c r="D67" s="1317"/>
    </row>
    <row r="68" spans="1:20" ht="18.75" x14ac:dyDescent="0.3">
      <c r="A68" s="269" t="str">
        <f t="shared" si="1"/>
        <v>01</v>
      </c>
      <c r="B68" s="1317"/>
      <c r="C68" s="272" t="s">
        <v>1294</v>
      </c>
      <c r="D68" s="744"/>
      <c r="E68" s="799"/>
      <c r="F68" s="799"/>
      <c r="G68" s="799"/>
      <c r="H68" s="799"/>
      <c r="I68" s="799"/>
      <c r="J68" s="799"/>
      <c r="K68" s="799"/>
      <c r="L68" s="799"/>
      <c r="M68" s="799"/>
    </row>
    <row r="69" spans="1:20" ht="18.75" x14ac:dyDescent="0.3">
      <c r="A69" s="269" t="str">
        <f t="shared" ref="A69:A74" si="2">_AGY325</f>
        <v>01</v>
      </c>
      <c r="B69" s="1317"/>
      <c r="C69" s="1" t="s">
        <v>1295</v>
      </c>
    </row>
    <row r="70" spans="1:20" ht="18.75" x14ac:dyDescent="0.3">
      <c r="A70" s="269" t="str">
        <f t="shared" si="2"/>
        <v>01</v>
      </c>
    </row>
    <row r="71" spans="1:20" ht="15" customHeight="1" x14ac:dyDescent="0.3">
      <c r="A71" s="269" t="str">
        <f t="shared" si="2"/>
        <v>01</v>
      </c>
      <c r="B71" s="1317" t="str">
        <f ca="1">MID(CELL("filename",B1),FIND("]",CELL("filename",B1))+1,256)</f>
        <v>325</v>
      </c>
      <c r="C71" s="421" t="s">
        <v>613</v>
      </c>
      <c r="D71" s="1317"/>
    </row>
    <row r="72" spans="1:20" ht="15" customHeight="1" x14ac:dyDescent="0.3">
      <c r="A72" s="269" t="str">
        <f t="shared" si="2"/>
        <v>01</v>
      </c>
      <c r="B72" s="1317" t="s">
        <v>401</v>
      </c>
      <c r="C72" s="421" t="str">
        <f t="shared" ref="C72:C80" ca="1" si="3">IF(ISNA(INDEX(ErrorTable,MATCH($B$71&amp;$B72&amp;FALSE,ErrorKey,0),6)),"",INDEX(ErrorTable,MATCH($B$71&amp;$B72&amp;FALSE,ErrorKey,0),6))</f>
        <v/>
      </c>
      <c r="D72" s="1317"/>
    </row>
    <row r="73" spans="1:20" ht="18.75" x14ac:dyDescent="0.3">
      <c r="A73" s="269" t="str">
        <f t="shared" si="2"/>
        <v>01</v>
      </c>
      <c r="B73" s="276" t="s">
        <v>402</v>
      </c>
      <c r="C73" s="421" t="str">
        <f t="shared" ca="1" si="3"/>
        <v/>
      </c>
    </row>
    <row r="74" spans="1:20" ht="18.75" x14ac:dyDescent="0.3">
      <c r="A74" s="269" t="str">
        <f t="shared" si="2"/>
        <v>01</v>
      </c>
      <c r="B74" s="276" t="s">
        <v>403</v>
      </c>
      <c r="C74" s="421" t="str">
        <f t="shared" ca="1" si="3"/>
        <v/>
      </c>
    </row>
    <row r="75" spans="1:20" ht="15" x14ac:dyDescent="0.2">
      <c r="B75" s="276" t="s">
        <v>404</v>
      </c>
      <c r="C75" s="421" t="str">
        <f t="shared" ca="1" si="3"/>
        <v/>
      </c>
    </row>
    <row r="76" spans="1:20" ht="15" x14ac:dyDescent="0.2">
      <c r="B76" s="276" t="s">
        <v>405</v>
      </c>
      <c r="C76" s="421" t="str">
        <f t="shared" ca="1" si="3"/>
        <v/>
      </c>
    </row>
    <row r="77" spans="1:20" ht="15" x14ac:dyDescent="0.2">
      <c r="B77" s="276" t="s">
        <v>406</v>
      </c>
      <c r="C77" s="421" t="str">
        <f t="shared" ca="1" si="3"/>
        <v/>
      </c>
    </row>
    <row r="78" spans="1:20" ht="15" x14ac:dyDescent="0.2">
      <c r="B78" s="276" t="s">
        <v>407</v>
      </c>
      <c r="C78" s="421" t="str">
        <f t="shared" ca="1" si="3"/>
        <v/>
      </c>
    </row>
    <row r="79" spans="1:20" ht="15" x14ac:dyDescent="0.2">
      <c r="B79" s="276" t="s">
        <v>408</v>
      </c>
      <c r="C79" s="421" t="str">
        <f t="shared" ca="1" si="3"/>
        <v/>
      </c>
    </row>
    <row r="80" spans="1:20" ht="15" x14ac:dyDescent="0.2">
      <c r="B80" s="276" t="s">
        <v>409</v>
      </c>
      <c r="C80" s="421" t="str">
        <f t="shared" ca="1" si="3"/>
        <v/>
      </c>
    </row>
    <row r="81" spans="3:3" ht="15" x14ac:dyDescent="0.2">
      <c r="C81" s="421"/>
    </row>
    <row r="82" spans="3:3" ht="15" x14ac:dyDescent="0.2">
      <c r="C82" s="421"/>
    </row>
    <row r="83" spans="3:3" ht="15" x14ac:dyDescent="0.2">
      <c r="C83" s="421"/>
    </row>
  </sheetData>
  <sheetProtection algorithmName="SHA-512" hashValue="LPdEG2Vizzp8jpimyJ8eL5sabTka6aIl7+/pWiJ4VpiIhSRBGBOSc184oFKXj1IhyLHasEDaw1l+ojtaprwmKw==" saltValue="ngg7zbC6uFQwJ4ObBNaU2w==" spinCount="100000" sheet="1" autoFilter="0"/>
  <autoFilter ref="G11:G12" xr:uid="{00000000-0009-0000-0000-000011000000}"/>
  <customSheetViews>
    <customSheetView guid="{9FCFC836-1CA5-48BF-958D-24D2EA94B219}" showGridLines="0" fitToPage="1" hiddenColumns="1" topLeftCell="B25">
      <selection activeCell="B12" sqref="B12"/>
      <pageMargins left="0" right="0" top="0" bottom="0" header="0" footer="0"/>
      <printOptions horizontalCentered="1"/>
      <pageSetup scale="91" orientation="landscape" r:id="rId1"/>
      <headerFooter alignWithMargins="0">
        <oddFooter>&amp;R&amp;A</oddFooter>
      </headerFooter>
    </customSheetView>
    <customSheetView guid="{BEA4BE86-04D1-4C96-9358-7A260B9D2B2D}" showGridLines="0" fitToPage="1" showRuler="0">
      <selection sqref="A1:O1"/>
      <pageMargins left="0" right="0" top="0" bottom="0" header="0" footer="0"/>
      <printOptions horizontalCentered="1"/>
      <pageSetup scale="91" orientation="landscape" r:id="rId2"/>
      <headerFooter alignWithMargins="0">
        <oddFooter>&amp;R&amp;A</oddFooter>
      </headerFooter>
    </customSheetView>
    <customSheetView guid="{1250FD07-FF56-4A9D-AF9E-C27124A7EBE9}" showGridLines="0" fitToPage="1" showRuler="0">
      <selection sqref="A1:O1"/>
      <pageMargins left="0" right="0" top="0" bottom="0" header="0" footer="0"/>
      <printOptions horizontalCentered="1"/>
      <pageSetup scale="91" orientation="landscape" r:id="rId3"/>
      <headerFooter alignWithMargins="0">
        <oddFooter>&amp;R&amp;A</oddFooter>
      </headerFooter>
    </customSheetView>
    <customSheetView guid="{B08879A4-635B-4C39-9937-AC7883D562FC}" showGridLines="0" fitToPage="1" hiddenColumns="1" topLeftCell="B25">
      <selection activeCell="B12" sqref="B12"/>
      <pageMargins left="0" right="0" top="0" bottom="0" header="0" footer="0"/>
      <printOptions horizontalCentered="1"/>
      <pageSetup scale="91" orientation="landscape" r:id="rId4"/>
      <headerFooter alignWithMargins="0">
        <oddFooter>&amp;R&amp;A</oddFooter>
      </headerFooter>
    </customSheetView>
  </customSheetViews>
  <mergeCells count="11">
    <mergeCell ref="P1:P3"/>
    <mergeCell ref="D46:O46"/>
    <mergeCell ref="C1:O1"/>
    <mergeCell ref="C2:O2"/>
    <mergeCell ref="C3:O3"/>
    <mergeCell ref="K5:O5"/>
    <mergeCell ref="K6:O6"/>
    <mergeCell ref="K7:O7"/>
    <mergeCell ref="K8:O8"/>
    <mergeCell ref="K12:O12"/>
    <mergeCell ref="G12:I12"/>
  </mergeCells>
  <phoneticPr fontId="18" type="noConversion"/>
  <conditionalFormatting sqref="P1:P3">
    <cfRule type="cellIs" dxfId="125" priority="1" stopIfTrue="1" operator="equal">
      <formula>"na"</formula>
    </cfRule>
  </conditionalFormatting>
  <dataValidations count="5">
    <dataValidation type="textLength" operator="equal" allowBlank="1" showInputMessage="1" showErrorMessage="1" errorTitle="Invalid data!" error="GASB number must be 4 digits." sqref="F7:F8 G8" xr:uid="{00000000-0002-0000-1100-000001000000}">
      <formula1>4</formula1>
    </dataValidation>
    <dataValidation type="list" allowBlank="1" showInputMessage="1" showErrorMessage="1" sqref="G12" xr:uid="{00000000-0002-0000-1100-000002000000}">
      <formula1>Pledged_Revenue</formula1>
    </dataValidation>
    <dataValidation type="textLength" operator="equal" allowBlank="1" showInputMessage="1" showErrorMessage="1" errorTitle="Invalid data!" error="GASB number must be 4 digits." prompt="Enter GASB Fund Number" sqref="G7" xr:uid="{403BB261-2CCD-455D-85B3-DCB41F19CF51}">
      <formula1>4</formula1>
    </dataValidation>
    <dataValidation allowBlank="1" showInputMessage="1" showErrorMessage="1" prompt="See instruction from row 49" sqref="E18" xr:uid="{539B7389-8A9B-466F-A9E2-96B78C49BD8E}"/>
    <dataValidation type="decimal" operator="lessThanOrEqual" allowBlank="1" showInputMessage="1" showErrorMessage="1" errorTitle="Invalid data!" error="Amount must be negative." prompt="Exclude interest, amortization and depreciation." sqref="G36 I36 M36 K36 O36" xr:uid="{90C3FCD2-32D7-41A7-B8F5-D3103C3C08F0}">
      <formula1>0</formula1>
    </dataValidation>
  </dataValidations>
  <hyperlinks>
    <hyperlink ref="C1:O1" location="Index!A1" display="Index!A1" xr:uid="{00000000-0004-0000-1100-000000000000}"/>
    <hyperlink ref="C61" location="'325'!A19" display="Back to the top" xr:uid="{9F05693C-3280-498B-8C2C-A62FB9B0849A}"/>
  </hyperlinks>
  <pageMargins left="0.6" right="0.6" top="0.5" bottom="0.5" header="0.3" footer="0.3"/>
  <pageSetup scale="85" orientation="landscape" r:id="rId5"/>
  <rowBreaks count="1" manualBreakCount="1">
    <brk id="47" min="2" max="15"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pageSetUpPr fitToPage="1"/>
  </sheetPr>
  <dimension ref="A1:AA86"/>
  <sheetViews>
    <sheetView showGridLines="0" topLeftCell="B1" zoomScaleNormal="100" zoomScaleSheetLayoutView="100" workbookViewId="0">
      <selection activeCell="B64" sqref="B64"/>
    </sheetView>
  </sheetViews>
  <sheetFormatPr defaultColWidth="9.42578125" defaultRowHeight="11.25" x14ac:dyDescent="0.2"/>
  <cols>
    <col min="1" max="1" width="9.42578125" style="28" hidden="1" customWidth="1"/>
    <col min="2" max="2" width="6.5703125" style="28" customWidth="1"/>
    <col min="3" max="3" width="8.5703125" style="28" customWidth="1"/>
    <col min="4" max="4" width="6.5703125" style="28" customWidth="1"/>
    <col min="5" max="5" width="9.5703125" style="28" customWidth="1"/>
    <col min="6" max="6" width="4.5703125" style="28" customWidth="1"/>
    <col min="7" max="8" width="1.5703125" style="28" customWidth="1"/>
    <col min="9" max="9" width="15.5703125" style="28" customWidth="1"/>
    <col min="10" max="10" width="1.5703125" style="28" customWidth="1"/>
    <col min="11" max="11" width="19.140625" style="28" customWidth="1"/>
    <col min="12" max="12" width="1.5703125" style="28" customWidth="1"/>
    <col min="13" max="13" width="15.85546875" style="28" customWidth="1"/>
    <col min="14" max="14" width="1.5703125" style="28" customWidth="1"/>
    <col min="15" max="15" width="17.5703125" style="28" customWidth="1"/>
    <col min="16" max="16" width="1.5703125" style="28" customWidth="1"/>
    <col min="17" max="16384" width="9.42578125" style="28"/>
  </cols>
  <sheetData>
    <row r="1" spans="2:27" s="29" customFormat="1" ht="15" customHeight="1" x14ac:dyDescent="0.25">
      <c r="B1" s="2553" t="str">
        <f>+Index!$A$1</f>
        <v xml:space="preserve">                                                               Office of the State Controller                                                                </v>
      </c>
      <c r="C1" s="2553"/>
      <c r="D1" s="2553"/>
      <c r="E1" s="2553"/>
      <c r="F1" s="2553"/>
      <c r="G1" s="2553"/>
      <c r="H1" s="2553"/>
      <c r="I1" s="2553"/>
      <c r="J1" s="2553"/>
      <c r="K1" s="2553"/>
      <c r="L1" s="2553"/>
      <c r="M1" s="2553"/>
      <c r="N1" s="2626"/>
      <c r="O1" s="2626" t="str">
        <f>IF(Index!$B$41="na","NA","")</f>
        <v/>
      </c>
      <c r="AA1" s="30"/>
    </row>
    <row r="2" spans="2:27" s="29" customFormat="1" ht="15" customHeight="1" x14ac:dyDescent="0.3">
      <c r="B2" s="2696" t="str">
        <f>+Index!$A$2</f>
        <v>2024 ACFR Worksheets</v>
      </c>
      <c r="C2" s="2696"/>
      <c r="D2" s="2696"/>
      <c r="E2" s="2696"/>
      <c r="F2" s="2696"/>
      <c r="G2" s="2696"/>
      <c r="H2" s="2696"/>
      <c r="I2" s="2696"/>
      <c r="J2" s="2696"/>
      <c r="K2" s="2696"/>
      <c r="L2" s="2696"/>
      <c r="M2" s="2696"/>
      <c r="N2" s="2626"/>
      <c r="O2" s="2626"/>
    </row>
    <row r="3" spans="2:27" s="29" customFormat="1" ht="15" customHeight="1" x14ac:dyDescent="0.3">
      <c r="B3" s="2696" t="s">
        <v>1296</v>
      </c>
      <c r="C3" s="2696"/>
      <c r="D3" s="2696"/>
      <c r="E3" s="2696"/>
      <c r="F3" s="2696"/>
      <c r="G3" s="2696"/>
      <c r="H3" s="2696"/>
      <c r="I3" s="2696"/>
      <c r="J3" s="2696"/>
      <c r="K3" s="2696"/>
      <c r="L3" s="2696"/>
      <c r="M3" s="2696"/>
      <c r="N3" s="2626"/>
      <c r="O3" s="2626"/>
    </row>
    <row r="4" spans="2:27" s="81" customFormat="1" ht="13.35" customHeight="1" x14ac:dyDescent="0.2">
      <c r="B4" s="139"/>
      <c r="C4" s="139"/>
      <c r="D4" s="139"/>
      <c r="E4" s="139"/>
      <c r="F4" s="139"/>
      <c r="G4" s="139"/>
      <c r="H4" s="139"/>
      <c r="I4" s="82"/>
      <c r="J4" s="82"/>
      <c r="K4" s="236"/>
      <c r="L4" s="139"/>
      <c r="M4" s="139"/>
      <c r="N4" s="139"/>
      <c r="O4" s="139"/>
      <c r="P4" s="139"/>
      <c r="Q4" s="139"/>
      <c r="R4" s="139"/>
      <c r="S4" s="139"/>
      <c r="T4" s="139"/>
      <c r="U4" s="139"/>
      <c r="V4" s="139"/>
      <c r="W4" s="139"/>
      <c r="X4" s="139"/>
      <c r="Y4" s="139"/>
      <c r="Z4" s="139"/>
      <c r="AA4" s="139"/>
    </row>
    <row r="5" spans="2:27" s="81" customFormat="1" ht="15" customHeight="1" x14ac:dyDescent="0.2">
      <c r="B5" s="139"/>
      <c r="C5" s="139"/>
      <c r="D5" s="2697"/>
      <c r="E5" s="2697"/>
      <c r="F5" s="139"/>
      <c r="G5" s="139"/>
      <c r="H5" s="139"/>
      <c r="I5" s="1554" t="s">
        <v>318</v>
      </c>
      <c r="J5" s="1554"/>
      <c r="K5" s="2596" t="str">
        <f>+Index!$E$10</f>
        <v>01</v>
      </c>
      <c r="L5" s="2596"/>
      <c r="M5" s="2596"/>
      <c r="N5" s="139"/>
      <c r="O5" s="139"/>
      <c r="P5" s="139"/>
      <c r="Q5" s="139"/>
      <c r="R5" s="139"/>
      <c r="S5" s="139"/>
      <c r="T5" s="139"/>
      <c r="U5" s="139"/>
      <c r="V5" s="139"/>
      <c r="W5" s="139"/>
      <c r="X5" s="139"/>
      <c r="Y5" s="139"/>
      <c r="Z5" s="139"/>
      <c r="AA5" s="139"/>
    </row>
    <row r="6" spans="2:27" s="81" customFormat="1" ht="15" customHeight="1" x14ac:dyDescent="0.2">
      <c r="B6" s="139"/>
      <c r="C6" s="139"/>
      <c r="D6" s="139"/>
      <c r="E6" s="139"/>
      <c r="F6" s="139"/>
      <c r="G6" s="139"/>
      <c r="H6" s="139"/>
      <c r="I6" s="1554" t="s">
        <v>319</v>
      </c>
      <c r="J6" s="1554"/>
      <c r="K6" s="2628" t="str">
        <f>+Index!$E$11</f>
        <v>North Carolina General Assembly</v>
      </c>
      <c r="L6" s="2628"/>
      <c r="M6" s="2628"/>
      <c r="N6" s="139"/>
      <c r="O6" s="139"/>
      <c r="P6" s="139"/>
      <c r="Q6" s="139"/>
      <c r="R6" s="139"/>
      <c r="S6" s="139"/>
      <c r="T6" s="139"/>
      <c r="U6" s="139"/>
      <c r="V6" s="139"/>
      <c r="W6" s="139"/>
      <c r="X6" s="139"/>
      <c r="Y6" s="139"/>
      <c r="Z6" s="139"/>
      <c r="AA6" s="139"/>
    </row>
    <row r="7" spans="2:27" s="81" customFormat="1" ht="15" customHeight="1" x14ac:dyDescent="0.2">
      <c r="B7" s="139" t="s">
        <v>545</v>
      </c>
      <c r="C7" s="139"/>
      <c r="D7" s="2676" t="s">
        <v>706</v>
      </c>
      <c r="E7" s="2676"/>
      <c r="F7" s="139"/>
      <c r="G7" s="139"/>
      <c r="H7" s="139"/>
      <c r="I7" s="1554" t="s">
        <v>320</v>
      </c>
      <c r="J7" s="1554"/>
      <c r="K7" s="2629" t="str">
        <f>CONCATENATE(Index!$E$12," ",Index!$E$14)</f>
        <v xml:space="preserve"> </v>
      </c>
      <c r="L7" s="2629"/>
      <c r="M7" s="2629"/>
      <c r="N7" s="139"/>
      <c r="O7" s="139"/>
      <c r="P7" s="139"/>
      <c r="Q7" s="139"/>
      <c r="R7" s="139"/>
      <c r="S7" s="139"/>
      <c r="T7" s="139"/>
      <c r="U7" s="139"/>
      <c r="V7" s="139"/>
      <c r="W7" s="139"/>
      <c r="X7" s="139"/>
      <c r="Y7" s="139"/>
      <c r="Z7" s="139"/>
      <c r="AA7" s="139"/>
    </row>
    <row r="8" spans="2:27" s="81" customFormat="1" ht="15" customHeight="1" x14ac:dyDescent="0.2">
      <c r="B8" s="139"/>
      <c r="C8" s="139"/>
      <c r="D8" s="2321"/>
      <c r="E8" s="2321"/>
      <c r="F8" s="139"/>
      <c r="G8" s="139"/>
      <c r="H8" s="139"/>
      <c r="I8" s="1554" t="s">
        <v>168</v>
      </c>
      <c r="J8" s="1554"/>
      <c r="K8" s="2629">
        <f>+Index!$E$13</f>
        <v>0</v>
      </c>
      <c r="L8" s="2629"/>
      <c r="M8" s="2629"/>
      <c r="N8" s="139"/>
      <c r="O8" s="139"/>
      <c r="P8" s="139"/>
      <c r="Q8" s="139"/>
      <c r="R8" s="139"/>
      <c r="S8" s="139"/>
      <c r="T8" s="139"/>
      <c r="U8" s="139"/>
      <c r="V8" s="139"/>
      <c r="W8" s="139"/>
      <c r="X8" s="139"/>
      <c r="Y8" s="139"/>
      <c r="Z8" s="139"/>
      <c r="AA8" s="139"/>
    </row>
    <row r="9" spans="2:27" s="81" customFormat="1" ht="5.25" customHeight="1" thickBot="1" x14ac:dyDescent="0.25">
      <c r="B9" s="1556"/>
      <c r="C9" s="1556"/>
      <c r="D9" s="1556"/>
      <c r="E9" s="1556"/>
      <c r="F9" s="1556"/>
      <c r="G9" s="1556"/>
      <c r="H9" s="1556"/>
      <c r="I9" s="1556"/>
      <c r="J9" s="1556"/>
      <c r="K9" s="1556"/>
      <c r="L9" s="1556"/>
      <c r="M9" s="1556"/>
      <c r="N9" s="139"/>
      <c r="O9" s="139"/>
      <c r="P9" s="139"/>
      <c r="Q9" s="139"/>
      <c r="R9" s="139"/>
      <c r="S9" s="139"/>
      <c r="T9" s="139"/>
      <c r="U9" s="139"/>
      <c r="V9" s="139"/>
      <c r="W9" s="139"/>
      <c r="X9" s="139"/>
      <c r="Y9" s="139"/>
      <c r="Z9" s="139"/>
      <c r="AA9" s="139"/>
    </row>
    <row r="10" spans="2:27" s="81" customFormat="1" ht="11.1" customHeight="1" x14ac:dyDescent="0.2">
      <c r="B10" s="139"/>
      <c r="C10" s="139"/>
      <c r="D10" s="139"/>
      <c r="E10" s="139"/>
      <c r="F10" s="139"/>
      <c r="G10" s="139"/>
      <c r="H10" s="139"/>
      <c r="I10" s="139"/>
      <c r="J10" s="139"/>
      <c r="K10" s="139"/>
      <c r="L10" s="139"/>
      <c r="M10" s="139"/>
      <c r="N10" s="139"/>
      <c r="O10" s="139"/>
      <c r="P10" s="139"/>
      <c r="Q10" s="139"/>
      <c r="R10" s="139"/>
      <c r="S10" s="139"/>
      <c r="T10" s="139"/>
      <c r="U10" s="139"/>
      <c r="V10" s="139"/>
      <c r="W10" s="139"/>
      <c r="X10" s="139"/>
      <c r="Y10" s="139"/>
      <c r="Z10" s="139"/>
      <c r="AA10" s="139"/>
    </row>
    <row r="11" spans="2:27" s="81" customFormat="1" ht="15" customHeight="1" x14ac:dyDescent="0.2">
      <c r="B11" s="2695" t="s">
        <v>1297</v>
      </c>
      <c r="C11" s="2695"/>
      <c r="D11" s="2695"/>
      <c r="E11" s="2695"/>
      <c r="F11" s="2695"/>
      <c r="G11" s="2695"/>
      <c r="H11" s="2695"/>
      <c r="I11" s="2695"/>
      <c r="J11" s="2695"/>
      <c r="K11" s="2695"/>
      <c r="L11" s="2695"/>
      <c r="M11" s="2695"/>
      <c r="N11" s="139"/>
      <c r="O11" s="139"/>
      <c r="P11" s="139"/>
      <c r="Q11" s="139"/>
      <c r="R11" s="139"/>
      <c r="S11" s="139"/>
      <c r="T11" s="139"/>
      <c r="U11" s="139"/>
      <c r="V11" s="139"/>
      <c r="W11" s="139"/>
      <c r="X11" s="139"/>
      <c r="Y11" s="139"/>
      <c r="Z11" s="139"/>
      <c r="AA11" s="139"/>
    </row>
    <row r="12" spans="2:27" s="81" customFormat="1" ht="14.1" customHeight="1" x14ac:dyDescent="0.2">
      <c r="B12" s="2695"/>
      <c r="C12" s="2695"/>
      <c r="D12" s="2695"/>
      <c r="E12" s="2695"/>
      <c r="F12" s="2695"/>
      <c r="G12" s="2695"/>
      <c r="H12" s="2695"/>
      <c r="I12" s="2695"/>
      <c r="J12" s="2695"/>
      <c r="K12" s="2695"/>
      <c r="L12" s="2695"/>
      <c r="M12" s="2695"/>
      <c r="N12" s="139"/>
      <c r="O12" s="139"/>
      <c r="P12" s="139"/>
      <c r="Q12" s="139"/>
      <c r="R12" s="139"/>
      <c r="S12" s="139"/>
      <c r="T12" s="139"/>
      <c r="U12" s="139"/>
      <c r="V12" s="139"/>
      <c r="W12" s="139"/>
      <c r="X12" s="139"/>
      <c r="Y12" s="139"/>
      <c r="Z12" s="139"/>
      <c r="AA12" s="139"/>
    </row>
    <row r="13" spans="2:27" s="81" customFormat="1" ht="9" customHeight="1" x14ac:dyDescent="0.2">
      <c r="B13" s="2320"/>
      <c r="C13" s="2320"/>
      <c r="D13" s="2320"/>
      <c r="E13" s="2320"/>
      <c r="F13" s="2320"/>
      <c r="G13" s="2320"/>
      <c r="H13" s="2320"/>
      <c r="I13" s="2320"/>
      <c r="J13" s="2320"/>
      <c r="K13" s="2320"/>
      <c r="L13" s="2320"/>
      <c r="M13" s="2320"/>
      <c r="N13" s="139"/>
      <c r="O13" s="139"/>
      <c r="P13" s="139"/>
      <c r="Q13" s="139"/>
      <c r="R13" s="139"/>
      <c r="S13" s="139"/>
      <c r="T13" s="139"/>
      <c r="U13" s="139"/>
      <c r="V13" s="139"/>
      <c r="W13" s="139"/>
      <c r="X13" s="139"/>
      <c r="Y13" s="139"/>
      <c r="Z13" s="139"/>
      <c r="AA13" s="139"/>
    </row>
    <row r="14" spans="2:27" s="81" customFormat="1" ht="15" customHeight="1" x14ac:dyDescent="0.2">
      <c r="B14" s="2" t="s">
        <v>1298</v>
      </c>
      <c r="C14" s="138"/>
      <c r="D14" s="138"/>
      <c r="E14" s="138"/>
      <c r="F14" s="138"/>
      <c r="G14" s="138"/>
      <c r="H14" s="138"/>
      <c r="I14" s="138"/>
      <c r="J14" s="138"/>
      <c r="K14" s="138"/>
      <c r="L14" s="138"/>
      <c r="M14" s="138"/>
      <c r="N14" s="139"/>
      <c r="O14" s="82" t="s">
        <v>644</v>
      </c>
      <c r="P14" s="139"/>
      <c r="Q14" s="139"/>
      <c r="R14" s="139"/>
      <c r="S14" s="139"/>
      <c r="T14" s="139"/>
      <c r="U14" s="139"/>
      <c r="V14" s="139"/>
      <c r="W14" s="139"/>
      <c r="X14" s="139"/>
      <c r="Y14" s="139"/>
      <c r="Z14" s="139"/>
      <c r="AA14" s="139"/>
    </row>
    <row r="15" spans="2:27" s="81" customFormat="1" ht="14.1" customHeight="1" x14ac:dyDescent="0.2">
      <c r="B15" s="138" t="s">
        <v>1299</v>
      </c>
      <c r="C15" s="138"/>
      <c r="D15" s="138"/>
      <c r="E15" s="138"/>
      <c r="F15" s="138"/>
      <c r="G15" s="138"/>
      <c r="H15" s="138"/>
      <c r="I15" s="138"/>
      <c r="J15" s="138"/>
      <c r="K15" s="138"/>
      <c r="L15" s="138"/>
      <c r="M15" s="138"/>
      <c r="N15" s="139"/>
      <c r="O15" s="82" t="s">
        <v>1300</v>
      </c>
      <c r="P15" s="139"/>
      <c r="Q15" s="139"/>
      <c r="R15" s="139"/>
      <c r="S15" s="139"/>
      <c r="T15" s="139"/>
      <c r="U15" s="139"/>
      <c r="V15" s="139"/>
      <c r="W15" s="139"/>
      <c r="X15" s="139"/>
      <c r="Y15" s="139"/>
      <c r="Z15" s="139"/>
      <c r="AA15" s="139"/>
    </row>
    <row r="16" spans="2:27" s="81" customFormat="1" ht="14.1" customHeight="1" x14ac:dyDescent="0.2">
      <c r="B16" s="1" t="str">
        <f>CONCATENATE("For debt defeased, in substance, PRIOR to ",+TEXT(Data!$A$3,"mmmm d, yyyy"),":")</f>
        <v>For debt defeased, in substance, PRIOR to July 1, 2023:</v>
      </c>
      <c r="C16" s="138"/>
      <c r="D16" s="138"/>
      <c r="E16" s="138"/>
      <c r="F16" s="138"/>
      <c r="G16" s="138"/>
      <c r="H16" s="138"/>
      <c r="I16" s="138"/>
      <c r="J16" s="138"/>
      <c r="K16" s="138"/>
      <c r="L16" s="138"/>
      <c r="M16" s="138"/>
      <c r="N16" s="139"/>
      <c r="O16" s="619" t="s">
        <v>1301</v>
      </c>
      <c r="P16" s="139"/>
      <c r="Q16" s="139"/>
      <c r="R16" s="139"/>
      <c r="S16" s="139"/>
      <c r="T16" s="139"/>
      <c r="U16" s="139"/>
      <c r="V16" s="139"/>
      <c r="W16" s="139"/>
      <c r="X16" s="139"/>
      <c r="Y16" s="139"/>
      <c r="Z16" s="139"/>
      <c r="AA16" s="139"/>
    </row>
    <row r="17" spans="2:15" s="81" customFormat="1" ht="14.1" customHeight="1" x14ac:dyDescent="0.2">
      <c r="B17" s="1"/>
      <c r="C17" s="138"/>
      <c r="D17" s="138"/>
      <c r="E17" s="138"/>
      <c r="F17" s="138"/>
      <c r="G17" s="138"/>
      <c r="H17" s="138"/>
      <c r="I17" s="138"/>
      <c r="J17" s="138"/>
      <c r="K17" s="138"/>
      <c r="L17" s="138"/>
      <c r="M17" s="138"/>
      <c r="N17" s="139"/>
      <c r="O17" s="619" t="s">
        <v>1302</v>
      </c>
    </row>
    <row r="18" spans="2:15" s="81" customFormat="1" ht="12.75" customHeight="1" x14ac:dyDescent="0.2">
      <c r="B18" s="138"/>
      <c r="C18" s="138"/>
      <c r="D18" s="138"/>
      <c r="E18" s="138"/>
      <c r="F18" s="138"/>
      <c r="G18" s="138"/>
      <c r="H18" s="138"/>
      <c r="I18" s="138"/>
      <c r="J18" s="138"/>
      <c r="K18" s="2287" t="s">
        <v>553</v>
      </c>
      <c r="L18" s="139"/>
      <c r="M18" s="619" t="s">
        <v>1303</v>
      </c>
      <c r="N18" s="139"/>
      <c r="O18" s="2287" t="s">
        <v>1304</v>
      </c>
    </row>
    <row r="19" spans="2:15" s="81" customFormat="1" ht="12.75" customHeight="1" x14ac:dyDescent="0.2">
      <c r="B19" s="2607" t="s">
        <v>1305</v>
      </c>
      <c r="C19" s="2607"/>
      <c r="D19" s="2607"/>
      <c r="E19" s="2607"/>
      <c r="F19" s="2607"/>
      <c r="G19" s="2607"/>
      <c r="H19" s="2607"/>
      <c r="I19" s="2607"/>
      <c r="J19" s="138"/>
      <c r="K19" s="2287" t="s">
        <v>1306</v>
      </c>
      <c r="L19" s="139"/>
      <c r="M19" s="2287" t="s">
        <v>1307</v>
      </c>
      <c r="N19" s="139"/>
      <c r="O19" s="82" t="s">
        <v>1308</v>
      </c>
    </row>
    <row r="20" spans="2:15" s="81" customFormat="1" ht="12.75" customHeight="1" x14ac:dyDescent="0.2">
      <c r="B20" s="2692" t="s">
        <v>1309</v>
      </c>
      <c r="C20" s="2692"/>
      <c r="D20" s="2692"/>
      <c r="E20" s="2692"/>
      <c r="F20" s="2692"/>
      <c r="G20" s="2692"/>
      <c r="H20" s="2692"/>
      <c r="I20" s="2692"/>
      <c r="J20" s="2287"/>
      <c r="K20" s="68">
        <f>+Data!$A$2</f>
        <v>45473</v>
      </c>
      <c r="L20" s="139"/>
      <c r="M20" s="68" t="s">
        <v>1310</v>
      </c>
      <c r="N20" s="139"/>
      <c r="O20" s="68" t="s">
        <v>1311</v>
      </c>
    </row>
    <row r="21" spans="2:15" s="81" customFormat="1" ht="14.1" customHeight="1" x14ac:dyDescent="0.2">
      <c r="B21" s="2693"/>
      <c r="C21" s="2694"/>
      <c r="D21" s="2694"/>
      <c r="E21" s="2694"/>
      <c r="F21" s="2694"/>
      <c r="G21" s="2694"/>
      <c r="H21" s="2694"/>
      <c r="I21" s="2694"/>
      <c r="J21" s="2398"/>
      <c r="K21" s="1617"/>
      <c r="L21" s="139"/>
      <c r="M21" s="1026"/>
      <c r="N21" s="139"/>
      <c r="O21" s="1617"/>
    </row>
    <row r="22" spans="2:15" s="81" customFormat="1" ht="14.1" customHeight="1" x14ac:dyDescent="0.2">
      <c r="B22" s="2693"/>
      <c r="C22" s="2694"/>
      <c r="D22" s="2694"/>
      <c r="E22" s="2694"/>
      <c r="F22" s="2694"/>
      <c r="G22" s="2694"/>
      <c r="H22" s="2694"/>
      <c r="I22" s="2694"/>
      <c r="J22" s="2398"/>
      <c r="K22" s="1617"/>
      <c r="L22" s="139"/>
      <c r="M22" s="1026"/>
      <c r="N22" s="139"/>
      <c r="O22" s="1617"/>
    </row>
    <row r="23" spans="2:15" s="81" customFormat="1" ht="14.1" customHeight="1" x14ac:dyDescent="0.2">
      <c r="B23" s="2693"/>
      <c r="C23" s="2694"/>
      <c r="D23" s="2694"/>
      <c r="E23" s="2694"/>
      <c r="F23" s="2694"/>
      <c r="G23" s="2694"/>
      <c r="H23" s="2694"/>
      <c r="I23" s="2694"/>
      <c r="J23" s="2398"/>
      <c r="K23" s="1617"/>
      <c r="L23" s="139"/>
      <c r="M23" s="1026"/>
      <c r="N23" s="139"/>
      <c r="O23" s="1617"/>
    </row>
    <row r="24" spans="2:15" s="81" customFormat="1" ht="14.1" customHeight="1" x14ac:dyDescent="0.2">
      <c r="B24" s="2693"/>
      <c r="C24" s="2694"/>
      <c r="D24" s="2694"/>
      <c r="E24" s="2694"/>
      <c r="F24" s="2694"/>
      <c r="G24" s="2694"/>
      <c r="H24" s="2694"/>
      <c r="I24" s="2694"/>
      <c r="J24" s="2398"/>
      <c r="K24" s="1617"/>
      <c r="L24" s="139"/>
      <c r="M24" s="1026"/>
      <c r="N24" s="139"/>
      <c r="O24" s="1617"/>
    </row>
    <row r="25" spans="2:15" s="81" customFormat="1" ht="14.1" customHeight="1" x14ac:dyDescent="0.2">
      <c r="B25" s="2693"/>
      <c r="C25" s="2694"/>
      <c r="D25" s="2694"/>
      <c r="E25" s="2694"/>
      <c r="F25" s="2694"/>
      <c r="G25" s="2694"/>
      <c r="H25" s="2694"/>
      <c r="I25" s="2694"/>
      <c r="J25" s="2398"/>
      <c r="K25" s="1617"/>
      <c r="L25" s="139"/>
      <c r="M25" s="1026"/>
      <c r="N25" s="139"/>
      <c r="O25" s="1617"/>
    </row>
    <row r="26" spans="2:15" s="81" customFormat="1" ht="14.1" customHeight="1" x14ac:dyDescent="0.2">
      <c r="B26" s="2693"/>
      <c r="C26" s="2694"/>
      <c r="D26" s="2694"/>
      <c r="E26" s="2694"/>
      <c r="F26" s="2694"/>
      <c r="G26" s="2694"/>
      <c r="H26" s="2694"/>
      <c r="I26" s="2694"/>
      <c r="J26" s="2398"/>
      <c r="K26" s="1617"/>
      <c r="L26" s="139"/>
      <c r="M26" s="1026"/>
      <c r="N26" s="139"/>
      <c r="O26" s="1617"/>
    </row>
    <row r="27" spans="2:15" s="81" customFormat="1" ht="14.1" customHeight="1" x14ac:dyDescent="0.2">
      <c r="B27" s="2693"/>
      <c r="C27" s="2694"/>
      <c r="D27" s="2694"/>
      <c r="E27" s="2694"/>
      <c r="F27" s="2694"/>
      <c r="G27" s="2694"/>
      <c r="H27" s="2694"/>
      <c r="I27" s="2694"/>
      <c r="J27" s="2398"/>
      <c r="K27" s="1617"/>
      <c r="L27" s="139"/>
      <c r="M27" s="1026"/>
      <c r="N27" s="139"/>
      <c r="O27" s="1617"/>
    </row>
    <row r="28" spans="2:15" s="81" customFormat="1" ht="14.1" customHeight="1" x14ac:dyDescent="0.2">
      <c r="B28" s="2693"/>
      <c r="C28" s="2694"/>
      <c r="D28" s="2694"/>
      <c r="E28" s="2694"/>
      <c r="F28" s="2694"/>
      <c r="G28" s="2694"/>
      <c r="H28" s="2694"/>
      <c r="I28" s="2694"/>
      <c r="J28" s="2398"/>
      <c r="K28" s="1617"/>
      <c r="L28" s="139"/>
      <c r="M28" s="1026"/>
      <c r="N28" s="139"/>
      <c r="O28" s="1617"/>
    </row>
    <row r="29" spans="2:15" s="81" customFormat="1" ht="14.1" customHeight="1" x14ac:dyDescent="0.2">
      <c r="B29" s="2693"/>
      <c r="C29" s="2694"/>
      <c r="D29" s="2694"/>
      <c r="E29" s="2694"/>
      <c r="F29" s="2694"/>
      <c r="G29" s="2694"/>
      <c r="H29" s="2694"/>
      <c r="I29" s="2694"/>
      <c r="J29" s="2398"/>
      <c r="K29" s="1617"/>
      <c r="L29" s="139"/>
      <c r="M29" s="1026"/>
      <c r="N29" s="139"/>
      <c r="O29" s="1617"/>
    </row>
    <row r="30" spans="2:15" s="81" customFormat="1" ht="4.3499999999999996" customHeight="1" x14ac:dyDescent="0.2">
      <c r="B30" s="138"/>
      <c r="C30" s="138"/>
      <c r="D30" s="138"/>
      <c r="E30" s="138"/>
      <c r="F30" s="138"/>
      <c r="G30" s="138"/>
      <c r="H30" s="138"/>
      <c r="I30" s="138"/>
      <c r="J30" s="138"/>
      <c r="K30" s="138"/>
      <c r="L30" s="138"/>
      <c r="M30" s="138"/>
      <c r="N30" s="139"/>
      <c r="O30" s="139"/>
    </row>
    <row r="31" spans="2:15" s="81" customFormat="1" ht="16.5" x14ac:dyDescent="0.2">
      <c r="B31" s="620" t="s">
        <v>1312</v>
      </c>
      <c r="C31" s="138"/>
      <c r="D31" s="138"/>
      <c r="E31" s="138"/>
      <c r="F31" s="138"/>
      <c r="G31" s="138"/>
      <c r="H31" s="138"/>
      <c r="I31" s="138"/>
      <c r="J31" s="138"/>
      <c r="K31" s="138"/>
      <c r="L31" s="138"/>
      <c r="M31" s="138"/>
      <c r="N31" s="139"/>
      <c r="O31" s="139"/>
    </row>
    <row r="32" spans="2:15" s="81" customFormat="1" ht="12.75" x14ac:dyDescent="0.2">
      <c r="B32" s="1111" t="s">
        <v>1313</v>
      </c>
      <c r="C32" s="138"/>
      <c r="D32" s="138"/>
      <c r="E32" s="138"/>
      <c r="F32" s="138"/>
      <c r="G32" s="138"/>
      <c r="H32" s="138"/>
      <c r="I32" s="138"/>
      <c r="J32" s="138"/>
      <c r="K32" s="138"/>
      <c r="L32" s="138"/>
      <c r="M32" s="138"/>
      <c r="N32" s="139"/>
      <c r="O32" s="139"/>
    </row>
    <row r="33" spans="2:13" s="81" customFormat="1" ht="15" customHeight="1" x14ac:dyDescent="0.2">
      <c r="B33" s="620" t="s">
        <v>1314</v>
      </c>
      <c r="C33" s="138"/>
      <c r="D33" s="138"/>
      <c r="E33" s="138"/>
      <c r="F33" s="138"/>
      <c r="G33" s="138"/>
      <c r="H33" s="138"/>
      <c r="I33" s="138"/>
      <c r="J33" s="138"/>
      <c r="K33" s="138"/>
      <c r="L33" s="138"/>
      <c r="M33" s="138"/>
    </row>
    <row r="34" spans="2:13" s="81" customFormat="1" ht="15" customHeight="1" x14ac:dyDescent="0.2">
      <c r="B34" s="620" t="s">
        <v>1315</v>
      </c>
      <c r="C34" s="138"/>
      <c r="D34" s="138"/>
      <c r="E34" s="138"/>
      <c r="F34" s="138"/>
      <c r="G34" s="138"/>
      <c r="H34" s="138"/>
      <c r="I34" s="138"/>
      <c r="J34" s="138"/>
      <c r="K34" s="138"/>
      <c r="L34" s="138"/>
      <c r="M34" s="138"/>
    </row>
    <row r="35" spans="2:13" s="81" customFormat="1" ht="15" customHeight="1" x14ac:dyDescent="0.2">
      <c r="B35" s="1111" t="s">
        <v>1316</v>
      </c>
      <c r="C35" s="138"/>
      <c r="D35" s="138"/>
      <c r="E35" s="138"/>
      <c r="F35" s="138"/>
      <c r="G35" s="138"/>
      <c r="H35" s="138"/>
      <c r="I35" s="138"/>
      <c r="J35" s="138"/>
      <c r="K35" s="138"/>
      <c r="L35" s="138"/>
      <c r="M35" s="138"/>
    </row>
    <row r="36" spans="2:13" s="81" customFormat="1" ht="7.35" customHeight="1" x14ac:dyDescent="0.2">
      <c r="B36" s="138"/>
      <c r="C36" s="138"/>
      <c r="D36" s="138"/>
      <c r="E36" s="138"/>
      <c r="F36" s="138"/>
      <c r="G36" s="138"/>
      <c r="H36" s="138"/>
      <c r="I36" s="138"/>
      <c r="J36" s="138"/>
      <c r="K36" s="138"/>
      <c r="L36" s="138"/>
      <c r="M36" s="138"/>
    </row>
    <row r="37" spans="2:13" s="81" customFormat="1" ht="15" customHeight="1" x14ac:dyDescent="0.2">
      <c r="B37" s="2" t="s">
        <v>1317</v>
      </c>
      <c r="C37" s="138"/>
      <c r="D37" s="138"/>
      <c r="E37" s="138"/>
      <c r="F37" s="138"/>
      <c r="G37" s="138"/>
      <c r="H37" s="138"/>
      <c r="I37" s="138"/>
      <c r="J37" s="138"/>
      <c r="K37" s="138"/>
      <c r="L37" s="138"/>
      <c r="M37" s="138"/>
    </row>
    <row r="38" spans="2:13" s="81" customFormat="1" ht="15" customHeight="1" x14ac:dyDescent="0.2">
      <c r="B38" s="138" t="s">
        <v>1318</v>
      </c>
      <c r="C38" s="138"/>
      <c r="D38" s="138"/>
      <c r="E38" s="138"/>
      <c r="F38" s="138"/>
      <c r="G38" s="138"/>
      <c r="H38" s="138"/>
      <c r="I38" s="138"/>
      <c r="J38" s="138"/>
      <c r="K38" s="138"/>
      <c r="L38" s="138"/>
      <c r="M38" s="138"/>
    </row>
    <row r="39" spans="2:13" s="81" customFormat="1" ht="15" customHeight="1" x14ac:dyDescent="0.2">
      <c r="B39" s="1" t="str">
        <f>CONCATENATE("For debt defeased in the CURRENT fiscal year ",+YEAR(Data!$A$3),"-",+YEAR(Data!$A$2),":")</f>
        <v>For debt defeased in the CURRENT fiscal year 2023-2024:</v>
      </c>
      <c r="C39" s="138"/>
      <c r="D39" s="138"/>
      <c r="E39" s="138"/>
      <c r="F39" s="138"/>
      <c r="G39" s="138"/>
      <c r="H39" s="138"/>
      <c r="I39" s="138"/>
      <c r="J39" s="138"/>
      <c r="K39" s="138"/>
      <c r="L39" s="138"/>
      <c r="M39" s="138"/>
    </row>
    <row r="40" spans="2:13" s="81" customFormat="1" ht="14.1" customHeight="1" x14ac:dyDescent="0.2">
      <c r="B40" s="2691" t="s">
        <v>1319</v>
      </c>
      <c r="C40" s="2691"/>
      <c r="D40" s="2691"/>
      <c r="E40" s="2691"/>
      <c r="F40" s="2691"/>
      <c r="G40" s="2691"/>
      <c r="H40" s="2691"/>
      <c r="I40" s="2691"/>
      <c r="J40" s="2691"/>
      <c r="K40" s="2691"/>
      <c r="L40" s="2691"/>
      <c r="M40" s="2691"/>
    </row>
    <row r="41" spans="2:13" s="81" customFormat="1" ht="14.1" customHeight="1" x14ac:dyDescent="0.2">
      <c r="B41" s="2691"/>
      <c r="C41" s="2691"/>
      <c r="D41" s="2691"/>
      <c r="E41" s="2691"/>
      <c r="F41" s="2691"/>
      <c r="G41" s="2691"/>
      <c r="H41" s="2691"/>
      <c r="I41" s="2691"/>
      <c r="J41" s="2691"/>
      <c r="K41" s="2691"/>
      <c r="L41" s="2691"/>
      <c r="M41" s="2691"/>
    </row>
    <row r="42" spans="2:13" s="81" customFormat="1" ht="14.1" customHeight="1" x14ac:dyDescent="0.2">
      <c r="B42" s="396" t="s">
        <v>1320</v>
      </c>
      <c r="C42" s="205"/>
      <c r="D42" s="205"/>
      <c r="E42" s="205"/>
      <c r="F42" s="205"/>
      <c r="G42" s="205"/>
      <c r="H42" s="205"/>
      <c r="I42" s="205"/>
      <c r="J42" s="205"/>
      <c r="K42" s="205"/>
      <c r="L42" s="205"/>
      <c r="M42" s="205"/>
    </row>
    <row r="43" spans="2:13" s="81" customFormat="1" ht="8.1" customHeight="1" thickBot="1" x14ac:dyDescent="0.25">
      <c r="B43" s="206"/>
      <c r="C43" s="206"/>
      <c r="D43" s="206"/>
      <c r="E43" s="206"/>
      <c r="F43" s="206"/>
      <c r="G43" s="206"/>
      <c r="H43" s="206"/>
      <c r="I43" s="206"/>
      <c r="J43" s="206"/>
      <c r="K43" s="206"/>
      <c r="L43" s="206"/>
      <c r="M43" s="206"/>
    </row>
    <row r="44" spans="2:13" s="81" customFormat="1" ht="6" customHeight="1" x14ac:dyDescent="0.2">
      <c r="B44" s="2302"/>
      <c r="C44" s="2302"/>
      <c r="D44" s="2302"/>
      <c r="E44" s="2302"/>
      <c r="F44" s="2302"/>
      <c r="G44" s="2302"/>
      <c r="H44" s="2302"/>
      <c r="I44" s="2302"/>
      <c r="J44" s="2302"/>
      <c r="K44" s="2302"/>
      <c r="L44" s="2302"/>
      <c r="M44" s="2302"/>
    </row>
    <row r="45" spans="2:13" s="81" customFormat="1" ht="15" customHeight="1" x14ac:dyDescent="0.2">
      <c r="B45" s="134" t="s">
        <v>1321</v>
      </c>
      <c r="C45" s="133"/>
      <c r="D45" s="133"/>
      <c r="E45" s="133"/>
      <c r="F45" s="133"/>
      <c r="G45" s="133"/>
      <c r="H45" s="133"/>
      <c r="I45" s="133"/>
      <c r="J45" s="133"/>
      <c r="K45" s="133"/>
      <c r="L45" s="133"/>
      <c r="M45" s="133"/>
    </row>
    <row r="46" spans="2:13" s="81" customFormat="1" ht="14.1" customHeight="1" x14ac:dyDescent="0.2">
      <c r="B46" s="136" t="s">
        <v>1322</v>
      </c>
      <c r="C46" s="135"/>
      <c r="D46" s="135"/>
      <c r="E46" s="135"/>
      <c r="F46" s="135"/>
      <c r="G46" s="135"/>
      <c r="H46" s="135"/>
      <c r="I46" s="135"/>
      <c r="J46" s="135"/>
      <c r="K46" s="133"/>
      <c r="L46" s="133"/>
      <c r="M46" s="133"/>
    </row>
    <row r="47" spans="2:13" s="139" customFormat="1" ht="14.1" customHeight="1" x14ac:dyDescent="0.2">
      <c r="B47" s="137" t="s">
        <v>1323</v>
      </c>
      <c r="C47" s="138"/>
      <c r="D47" s="138"/>
      <c r="E47" s="138"/>
      <c r="F47" s="138"/>
      <c r="G47" s="138"/>
      <c r="H47" s="138"/>
      <c r="I47" s="138"/>
      <c r="J47" s="138"/>
      <c r="K47" s="138"/>
      <c r="L47" s="138"/>
      <c r="M47" s="277"/>
    </row>
    <row r="48" spans="2:13" s="139" customFormat="1" ht="14.1" customHeight="1" x14ac:dyDescent="0.2">
      <c r="B48" s="137" t="s">
        <v>1324</v>
      </c>
      <c r="C48" s="138"/>
      <c r="D48" s="138"/>
      <c r="E48" s="138"/>
      <c r="F48" s="138"/>
      <c r="G48" s="138"/>
      <c r="H48" s="138"/>
      <c r="I48" s="138"/>
      <c r="J48" s="138"/>
      <c r="K48" s="138"/>
      <c r="L48" s="138"/>
      <c r="M48" s="278"/>
    </row>
    <row r="49" spans="2:13" s="139" customFormat="1" ht="14.1" customHeight="1" x14ac:dyDescent="0.2">
      <c r="B49" s="139" t="s">
        <v>1325</v>
      </c>
      <c r="M49" s="208"/>
    </row>
    <row r="50" spans="2:13" s="139" customFormat="1" ht="14.1" customHeight="1" x14ac:dyDescent="0.2">
      <c r="B50" s="137" t="s">
        <v>1326</v>
      </c>
      <c r="C50" s="137"/>
      <c r="K50" s="277"/>
      <c r="M50" s="209"/>
    </row>
    <row r="51" spans="2:13" s="139" customFormat="1" ht="14.1" customHeight="1" x14ac:dyDescent="0.2">
      <c r="B51" s="137" t="s">
        <v>1327</v>
      </c>
      <c r="C51" s="137"/>
      <c r="K51" s="277"/>
      <c r="M51" s="209"/>
    </row>
    <row r="52" spans="2:13" s="139" customFormat="1" ht="14.1" customHeight="1" x14ac:dyDescent="0.2">
      <c r="B52" s="137" t="s">
        <v>1328</v>
      </c>
      <c r="C52" s="137"/>
      <c r="K52" s="277"/>
      <c r="M52" s="209">
        <v>0</v>
      </c>
    </row>
    <row r="53" spans="2:13" s="139" customFormat="1" ht="14.1" customHeight="1" x14ac:dyDescent="0.2">
      <c r="B53" s="137" t="s">
        <v>1329</v>
      </c>
      <c r="C53" s="137"/>
      <c r="K53" s="278"/>
      <c r="M53" s="209"/>
    </row>
    <row r="54" spans="2:13" s="139" customFormat="1" ht="14.1" customHeight="1" x14ac:dyDescent="0.2">
      <c r="B54" s="137" t="s">
        <v>1330</v>
      </c>
      <c r="C54" s="137"/>
      <c r="K54" s="277"/>
      <c r="M54" s="209"/>
    </row>
    <row r="55" spans="2:13" s="139" customFormat="1" ht="14.1" customHeight="1" x14ac:dyDescent="0.2">
      <c r="B55" s="137" t="s">
        <v>1331</v>
      </c>
      <c r="K55" s="278"/>
      <c r="M55" s="209"/>
    </row>
    <row r="56" spans="2:13" s="139" customFormat="1" ht="14.1" customHeight="1" thickBot="1" x14ac:dyDescent="0.25">
      <c r="B56" s="140" t="s">
        <v>1325</v>
      </c>
      <c r="M56" s="618">
        <f>-SUM(K50:K55)</f>
        <v>0</v>
      </c>
    </row>
    <row r="57" spans="2:13" s="139" customFormat="1" ht="14.1" customHeight="1" x14ac:dyDescent="0.2">
      <c r="B57" s="139" t="s">
        <v>1332</v>
      </c>
      <c r="M57" s="931"/>
    </row>
    <row r="58" spans="2:13" s="141" customFormat="1" ht="14.1" customHeight="1" thickBot="1" x14ac:dyDescent="0.25">
      <c r="B58" s="282" t="s">
        <v>1333</v>
      </c>
      <c r="C58" s="139"/>
      <c r="D58" s="139"/>
      <c r="E58" s="139"/>
      <c r="F58" s="139"/>
      <c r="G58" s="139"/>
      <c r="H58" s="139"/>
      <c r="I58" s="139"/>
      <c r="J58" s="139"/>
      <c r="K58" s="139"/>
      <c r="L58" s="139"/>
      <c r="M58" s="882">
        <f>M47+M48+M56+M57</f>
        <v>0</v>
      </c>
    </row>
    <row r="59" spans="2:13" ht="14.1" customHeight="1" thickTop="1" x14ac:dyDescent="0.2">
      <c r="B59" s="139" t="s">
        <v>1334</v>
      </c>
    </row>
    <row r="60" spans="2:13" ht="4.3499999999999996" customHeight="1" x14ac:dyDescent="0.2"/>
    <row r="61" spans="2:13" ht="15" customHeight="1" x14ac:dyDescent="0.2">
      <c r="B61" s="282" t="s">
        <v>1335</v>
      </c>
      <c r="C61" s="139"/>
    </row>
    <row r="62" spans="2:13" ht="15" customHeight="1" x14ac:dyDescent="0.2">
      <c r="B62" s="137" t="s">
        <v>1336</v>
      </c>
      <c r="C62" s="139"/>
      <c r="M62" s="863"/>
    </row>
    <row r="63" spans="2:13" s="81" customFormat="1" ht="15" customHeight="1" x14ac:dyDescent="0.2">
      <c r="B63" s="137" t="s">
        <v>1337</v>
      </c>
      <c r="C63" s="138"/>
      <c r="D63" s="138"/>
      <c r="E63" s="138"/>
      <c r="F63" s="138"/>
      <c r="G63" s="138"/>
      <c r="H63" s="138"/>
      <c r="I63" s="138"/>
      <c r="J63" s="138"/>
      <c r="K63" s="139"/>
      <c r="L63" s="138"/>
      <c r="M63" s="880"/>
    </row>
    <row r="64" spans="2:13" s="81" customFormat="1" ht="15" customHeight="1" x14ac:dyDescent="0.2">
      <c r="B64" s="137" t="s">
        <v>1338</v>
      </c>
      <c r="C64" s="138"/>
      <c r="D64" s="138"/>
      <c r="E64" s="138"/>
      <c r="F64" s="138"/>
      <c r="G64" s="138"/>
      <c r="H64" s="138"/>
      <c r="I64" s="138"/>
      <c r="J64" s="138"/>
      <c r="K64" s="139"/>
      <c r="L64" s="138"/>
      <c r="M64" s="880"/>
    </row>
    <row r="65" spans="2:13" ht="14.25" customHeight="1" thickBot="1" x14ac:dyDescent="0.25">
      <c r="B65" s="137" t="s">
        <v>1339</v>
      </c>
      <c r="C65" s="139"/>
      <c r="M65" s="882">
        <f>M62+M63+M64</f>
        <v>0</v>
      </c>
    </row>
    <row r="66" spans="2:13" ht="18.75" customHeight="1" thickTop="1" x14ac:dyDescent="0.2">
      <c r="B66" s="282" t="s">
        <v>1340</v>
      </c>
      <c r="C66" s="1810"/>
    </row>
    <row r="67" spans="2:13" ht="15" customHeight="1" x14ac:dyDescent="0.2">
      <c r="B67" s="1811" t="s">
        <v>1336</v>
      </c>
      <c r="C67" s="1810"/>
      <c r="M67" s="863"/>
    </row>
    <row r="68" spans="2:13" ht="15" customHeight="1" x14ac:dyDescent="0.2">
      <c r="B68" s="1811" t="s">
        <v>1341</v>
      </c>
      <c r="C68"/>
      <c r="D68"/>
      <c r="E68"/>
      <c r="F68"/>
      <c r="G68"/>
      <c r="H68"/>
      <c r="I68"/>
      <c r="J68"/>
      <c r="K68" s="1810"/>
      <c r="L68"/>
      <c r="M68" s="880"/>
    </row>
    <row r="69" spans="2:13" ht="15" customHeight="1" x14ac:dyDescent="0.2">
      <c r="B69" s="1811" t="s">
        <v>1342</v>
      </c>
      <c r="C69"/>
      <c r="D69"/>
      <c r="E69"/>
      <c r="F69"/>
      <c r="G69"/>
      <c r="H69"/>
      <c r="I69"/>
      <c r="J69"/>
      <c r="K69" s="1810"/>
      <c r="L69"/>
      <c r="M69" s="880"/>
    </row>
    <row r="70" spans="2:13" ht="15" customHeight="1" thickBot="1" x14ac:dyDescent="0.25">
      <c r="B70" s="1811" t="s">
        <v>1343</v>
      </c>
      <c r="C70" s="1810"/>
      <c r="M70" s="882">
        <f>M67+M68+M69</f>
        <v>0</v>
      </c>
    </row>
    <row r="71" spans="2:13" ht="15" customHeight="1" thickTop="1" x14ac:dyDescent="0.2"/>
    <row r="72" spans="2:13" ht="15" customHeight="1" x14ac:dyDescent="0.2"/>
    <row r="73" spans="2:13" ht="15" customHeight="1" x14ac:dyDescent="0.2"/>
    <row r="74" spans="2:13" ht="15" customHeight="1" x14ac:dyDescent="0.2"/>
    <row r="75" spans="2:13" ht="15" customHeight="1" x14ac:dyDescent="0.2"/>
    <row r="76" spans="2:13" ht="15" customHeight="1" x14ac:dyDescent="0.2"/>
    <row r="77" spans="2:13" ht="15" customHeight="1" x14ac:dyDescent="0.2"/>
    <row r="78" spans="2:13" ht="15" customHeight="1" x14ac:dyDescent="0.2"/>
    <row r="79" spans="2:13" ht="15" customHeight="1" x14ac:dyDescent="0.2"/>
    <row r="80" spans="2:13"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sheetData>
  <sheetProtection algorithmName="SHA-512" hashValue="xn9MR4ueOGUYNqQ97sQV8xikDk22xzdY0iMEuFqBcEfS8LnNO8MqoC9bK8z4SdKDr7ZV8+9bmEdYkBn9fJ3FDA==" saltValue="V1AgPALB+rCo/F0DY1kjoA==" spinCount="100000" sheet="1" autoFilter="0"/>
  <customSheetViews>
    <customSheetView guid="{9FCFC836-1CA5-48BF-958D-24D2EA94B219}" showGridLines="0" fitToPage="1" hiddenColumns="1" topLeftCell="B1">
      <selection activeCell="C35" sqref="C35"/>
      <pageMargins left="0" right="0" top="0" bottom="0" header="0" footer="0"/>
      <printOptions horizontalCentered="1"/>
      <pageSetup scale="97" orientation="portrait" horizontalDpi="1200" verticalDpi="1200" r:id="rId1"/>
      <headerFooter alignWithMargins="0">
        <oddFooter>&amp;R&amp;A</oddFooter>
      </headerFooter>
    </customSheetView>
    <customSheetView guid="{BEA4BE86-04D1-4C96-9358-7A260B9D2B2D}" showGridLines="0" fitToPage="1" showRuler="0">
      <selection activeCell="C7" sqref="C7:D7"/>
      <pageMargins left="0" right="0" top="0" bottom="0" header="0" footer="0"/>
      <printOptions horizontalCentered="1"/>
      <pageSetup orientation="portrait" horizontalDpi="4294967292" verticalDpi="4294967292" r:id="rId2"/>
      <headerFooter alignWithMargins="0">
        <oddFooter>&amp;R&amp;A</oddFooter>
      </headerFooter>
    </customSheetView>
    <customSheetView guid="{1250FD07-FF56-4A9D-AF9E-C27124A7EBE9}" showGridLines="0" fitToPage="1" showRuler="0">
      <selection activeCell="C7" sqref="C7:D7"/>
      <pageMargins left="0" right="0" top="0" bottom="0" header="0" footer="0"/>
      <printOptions horizontalCentered="1"/>
      <pageSetup orientation="portrait" horizontalDpi="4294967292" verticalDpi="4294967292" r:id="rId3"/>
      <headerFooter alignWithMargins="0">
        <oddFooter>&amp;R&amp;A</oddFooter>
      </headerFooter>
    </customSheetView>
    <customSheetView guid="{B08879A4-635B-4C39-9937-AC7883D562FC}" showGridLines="0" fitToPage="1" hiddenColumns="1" topLeftCell="B1">
      <selection activeCell="C35" sqref="C35"/>
      <pageMargins left="0" right="0" top="0" bottom="0" header="0" footer="0"/>
      <printOptions horizontalCentered="1"/>
      <pageSetup scale="97" orientation="portrait" horizontalDpi="1200" verticalDpi="1200" r:id="rId4"/>
      <headerFooter alignWithMargins="0">
        <oddFooter>&amp;R&amp;A</oddFooter>
      </headerFooter>
    </customSheetView>
  </customSheetViews>
  <mergeCells count="24">
    <mergeCell ref="B19:I19"/>
    <mergeCell ref="O1:O3"/>
    <mergeCell ref="B1:M1"/>
    <mergeCell ref="B2:M2"/>
    <mergeCell ref="N1:N3"/>
    <mergeCell ref="D5:E5"/>
    <mergeCell ref="K5:M5"/>
    <mergeCell ref="B3:M3"/>
    <mergeCell ref="B40:M41"/>
    <mergeCell ref="K6:M6"/>
    <mergeCell ref="K7:M7"/>
    <mergeCell ref="D7:E7"/>
    <mergeCell ref="K8:M8"/>
    <mergeCell ref="B20:I20"/>
    <mergeCell ref="B21:I21"/>
    <mergeCell ref="B22:I22"/>
    <mergeCell ref="B23:I23"/>
    <mergeCell ref="B29:I29"/>
    <mergeCell ref="B11:M12"/>
    <mergeCell ref="B24:I24"/>
    <mergeCell ref="B25:I25"/>
    <mergeCell ref="B26:I26"/>
    <mergeCell ref="B27:I27"/>
    <mergeCell ref="B28:I28"/>
  </mergeCells>
  <phoneticPr fontId="18" type="noConversion"/>
  <conditionalFormatting sqref="N1:O3">
    <cfRule type="cellIs" dxfId="124" priority="1" stopIfTrue="1" operator="equal">
      <formula>"na"</formula>
    </cfRule>
  </conditionalFormatting>
  <dataValidations count="4">
    <dataValidation type="decimal" operator="lessThanOrEqual" allowBlank="1" showInputMessage="1" showErrorMessage="1" errorTitle="Invalid data!" error="Amount must be negative." sqref="K53" xr:uid="{00000000-0002-0000-1200-000000000000}">
      <formula1>0</formula1>
    </dataValidation>
    <dataValidation type="decimal" operator="greaterThanOrEqual" allowBlank="1" showInputMessage="1" showErrorMessage="1" errorTitle="Invalid Data!" error="Amount must be positive." sqref="K54" xr:uid="{00000000-0002-0000-1200-000001000000}">
      <formula1>0</formula1>
    </dataValidation>
    <dataValidation type="decimal" operator="lessThanOrEqual" allowBlank="1" showInputMessage="1" showErrorMessage="1" errorTitle="Invalid Data!" error="Amount must be negative." sqref="K55 M64" xr:uid="{00000000-0002-0000-1200-000002000000}">
      <formula1>0</formula1>
    </dataValidation>
    <dataValidation type="decimal" operator="greaterThanOrEqual" allowBlank="1" showInputMessage="1" showErrorMessage="1" errorTitle="Invalid Data!" error="Amount must be positive. " sqref="M69" xr:uid="{6615173E-F9FA-4918-BBE1-B2476536AF08}">
      <formula1>0</formula1>
    </dataValidation>
  </dataValidations>
  <hyperlinks>
    <hyperlink ref="B1:M1" location="Index!A1" display="Index!A1" xr:uid="{00000000-0004-0000-1200-000000000000}"/>
  </hyperlinks>
  <pageMargins left="0.6" right="0.6" top="0.5" bottom="0.5" header="0.3" footer="0.3"/>
  <pageSetup scale="80" orientation="portrait" r:id="rId5"/>
  <ignoredErrors>
    <ignoredError sqref="K7:K8" unlocked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dimension ref="A1:K46"/>
  <sheetViews>
    <sheetView showGridLines="0" zoomScaleNormal="100" workbookViewId="0">
      <selection activeCell="P27" sqref="P27"/>
    </sheetView>
  </sheetViews>
  <sheetFormatPr defaultColWidth="9.42578125" defaultRowHeight="12.75" x14ac:dyDescent="0.2"/>
  <cols>
    <col min="7" max="7" width="13.42578125" customWidth="1"/>
    <col min="10" max="10" width="4.5703125" customWidth="1"/>
  </cols>
  <sheetData>
    <row r="1" spans="1:10" ht="15.75" x14ac:dyDescent="0.25">
      <c r="A1" s="2534" t="str">
        <f>+Index!$A$1</f>
        <v xml:space="preserve">                                                               Office of the State Controller                                                                </v>
      </c>
      <c r="B1" s="2534"/>
      <c r="C1" s="2534"/>
      <c r="D1" s="2534"/>
      <c r="E1" s="2534"/>
      <c r="F1" s="2534"/>
      <c r="G1" s="2534"/>
      <c r="H1" s="2534"/>
      <c r="I1" s="2534"/>
      <c r="J1" s="2626" t="str">
        <f>IF(Index!$B$43="na","NA","")</f>
        <v/>
      </c>
    </row>
    <row r="2" spans="1:10" ht="15.75" x14ac:dyDescent="0.25">
      <c r="A2" s="2537" t="str">
        <f>+Index!$A$2</f>
        <v>2024 ACFR Worksheets</v>
      </c>
      <c r="B2" s="2537"/>
      <c r="C2" s="2537"/>
      <c r="D2" s="2537"/>
      <c r="E2" s="2537"/>
      <c r="F2" s="2537"/>
      <c r="G2" s="2537"/>
      <c r="H2" s="2537"/>
      <c r="I2" s="2537"/>
      <c r="J2" s="2626"/>
    </row>
    <row r="3" spans="1:10" ht="15.75" x14ac:dyDescent="0.25">
      <c r="A3" s="2538" t="s">
        <v>6610</v>
      </c>
      <c r="B3" s="2538"/>
      <c r="C3" s="2538"/>
      <c r="D3" s="2538"/>
      <c r="E3" s="2538"/>
      <c r="F3" s="2538"/>
      <c r="G3" s="2538"/>
      <c r="H3" s="2538"/>
      <c r="I3" s="2538"/>
      <c r="J3" s="2626"/>
    </row>
    <row r="4" spans="1:10" x14ac:dyDescent="0.2">
      <c r="A4" s="247"/>
      <c r="B4" s="247"/>
      <c r="C4" s="247"/>
      <c r="D4" s="247"/>
      <c r="E4" s="41"/>
      <c r="F4" s="247"/>
      <c r="G4" s="247"/>
      <c r="H4" s="247"/>
      <c r="I4" s="242"/>
    </row>
    <row r="5" spans="1:10" ht="45.75" customHeight="1" x14ac:dyDescent="0.2">
      <c r="A5" s="2701" t="s">
        <v>6626</v>
      </c>
      <c r="B5" s="2701"/>
      <c r="C5" s="2701"/>
      <c r="D5" s="2701"/>
      <c r="E5" s="2701"/>
      <c r="F5" s="2701"/>
      <c r="G5" s="2701"/>
      <c r="H5" s="2701"/>
      <c r="I5" s="2701"/>
    </row>
    <row r="6" spans="1:10" x14ac:dyDescent="0.2">
      <c r="A6" s="611"/>
      <c r="B6" s="796"/>
      <c r="C6" s="796"/>
      <c r="D6" s="796"/>
      <c r="E6" s="796"/>
      <c r="F6" s="796"/>
      <c r="G6" s="796"/>
      <c r="H6" s="796"/>
      <c r="I6" s="242"/>
    </row>
    <row r="7" spans="1:10" ht="1.5" customHeight="1" x14ac:dyDescent="0.2">
      <c r="A7" s="611"/>
      <c r="B7" s="796"/>
      <c r="C7" s="796"/>
      <c r="D7" s="796"/>
      <c r="E7" s="796"/>
      <c r="F7" s="796"/>
      <c r="G7" s="796"/>
      <c r="H7" s="796"/>
      <c r="I7" s="242"/>
    </row>
    <row r="8" spans="1:10" hidden="1" x14ac:dyDescent="0.2">
      <c r="A8" s="611"/>
      <c r="B8" s="796"/>
      <c r="C8" s="796"/>
      <c r="D8" s="796"/>
      <c r="E8" s="796"/>
      <c r="F8" s="796"/>
      <c r="G8" s="796"/>
      <c r="H8" s="796"/>
      <c r="I8" s="242"/>
    </row>
    <row r="9" spans="1:10" x14ac:dyDescent="0.2">
      <c r="A9" s="41"/>
      <c r="B9" s="612"/>
      <c r="C9" s="612"/>
      <c r="D9" s="245"/>
      <c r="E9" s="796"/>
      <c r="F9" s="790" t="s">
        <v>318</v>
      </c>
      <c r="G9" s="791" t="str">
        <f>+Index!$E$10</f>
        <v>01</v>
      </c>
      <c r="H9" s="2305"/>
      <c r="I9" s="2305"/>
      <c r="J9" s="138"/>
    </row>
    <row r="10" spans="1:10" x14ac:dyDescent="0.2">
      <c r="A10" s="612"/>
      <c r="B10" s="612"/>
      <c r="C10" s="612"/>
      <c r="D10" s="612"/>
      <c r="E10" s="2271"/>
      <c r="F10" s="790" t="s">
        <v>319</v>
      </c>
      <c r="G10" s="792" t="str">
        <f>AgyName</f>
        <v>North Carolina General Assembly</v>
      </c>
      <c r="H10" s="2307"/>
      <c r="I10" s="2307"/>
    </row>
    <row r="11" spans="1:10" x14ac:dyDescent="0.2">
      <c r="A11" s="2700" t="s">
        <v>497</v>
      </c>
      <c r="B11" s="2700"/>
      <c r="C11" s="789" t="s">
        <v>498</v>
      </c>
      <c r="E11" s="247"/>
      <c r="F11" s="790" t="s">
        <v>320</v>
      </c>
      <c r="G11" s="793" t="str">
        <f>CONCATENATE(Index!$E$12," ",Index!$E$14)</f>
        <v xml:space="preserve"> </v>
      </c>
      <c r="H11" s="2306"/>
      <c r="I11" s="2306"/>
    </row>
    <row r="12" spans="1:10" x14ac:dyDescent="0.2">
      <c r="A12" s="2271"/>
      <c r="B12" s="2271"/>
      <c r="C12" s="796"/>
      <c r="D12" s="247"/>
      <c r="E12" s="247"/>
      <c r="F12" s="790" t="s">
        <v>168</v>
      </c>
      <c r="G12" s="793">
        <f>+Index!$E$13</f>
        <v>0</v>
      </c>
      <c r="H12" s="2306"/>
      <c r="I12" s="2306"/>
    </row>
    <row r="13" spans="1:10" ht="13.5" thickBot="1" x14ac:dyDescent="0.25">
      <c r="A13" s="797"/>
      <c r="B13" s="797"/>
      <c r="C13" s="797"/>
      <c r="D13" s="797"/>
      <c r="E13" s="797"/>
      <c r="F13" s="797"/>
      <c r="G13" s="797"/>
      <c r="H13" s="797"/>
      <c r="I13" s="797"/>
    </row>
    <row r="14" spans="1:10" ht="15" x14ac:dyDescent="0.25">
      <c r="A14" s="2273"/>
      <c r="B14" s="2273"/>
      <c r="C14" s="2273"/>
      <c r="D14" s="2273"/>
      <c r="E14" s="2273"/>
      <c r="F14" s="2273"/>
      <c r="G14" s="2273"/>
      <c r="H14" s="2273"/>
      <c r="I14" s="2273"/>
    </row>
    <row r="15" spans="1:10" x14ac:dyDescent="0.2">
      <c r="A15" s="695" t="s">
        <v>6613</v>
      </c>
      <c r="B15" s="695"/>
      <c r="C15" s="695"/>
      <c r="D15" s="695"/>
      <c r="E15" s="695"/>
      <c r="F15" s="695"/>
      <c r="G15" s="695"/>
      <c r="H15" s="695"/>
      <c r="I15" s="695"/>
    </row>
    <row r="16" spans="1:10" x14ac:dyDescent="0.2">
      <c r="A16" s="695" t="s">
        <v>6611</v>
      </c>
      <c r="B16" s="695"/>
      <c r="C16" s="695"/>
      <c r="D16" s="695"/>
      <c r="E16" s="695"/>
      <c r="F16" s="695"/>
      <c r="G16" s="695"/>
      <c r="H16" s="695"/>
      <c r="I16" s="695"/>
    </row>
    <row r="17" spans="1:9" x14ac:dyDescent="0.2">
      <c r="A17" s="695"/>
      <c r="B17" s="695"/>
      <c r="C17" s="695"/>
      <c r="D17" s="695"/>
      <c r="E17" s="695"/>
      <c r="F17" s="695"/>
      <c r="G17" s="695"/>
      <c r="H17" s="695"/>
      <c r="I17" s="695"/>
    </row>
    <row r="18" spans="1:9" x14ac:dyDescent="0.2">
      <c r="A18" s="695" t="s">
        <v>6621</v>
      </c>
      <c r="B18" s="695"/>
      <c r="C18" s="695"/>
      <c r="D18" s="695"/>
      <c r="E18" s="695"/>
      <c r="F18" s="695"/>
      <c r="G18" s="695"/>
      <c r="H18" s="695"/>
      <c r="I18" s="695"/>
    </row>
    <row r="19" spans="1:9" x14ac:dyDescent="0.2">
      <c r="A19" s="695" t="s">
        <v>6612</v>
      </c>
      <c r="B19" s="695"/>
      <c r="C19" s="695"/>
      <c r="D19" s="695"/>
      <c r="E19" s="695"/>
      <c r="F19" s="695"/>
      <c r="G19" s="695"/>
      <c r="H19" s="695"/>
      <c r="I19" s="695"/>
    </row>
    <row r="20" spans="1:9" x14ac:dyDescent="0.2">
      <c r="A20" s="695"/>
      <c r="B20" s="695"/>
      <c r="C20" s="695"/>
      <c r="D20" s="695"/>
      <c r="E20" s="695"/>
      <c r="F20" s="695"/>
      <c r="G20" s="695"/>
      <c r="H20" s="695"/>
      <c r="I20" s="695"/>
    </row>
    <row r="21" spans="1:9" x14ac:dyDescent="0.2">
      <c r="A21" s="695" t="s">
        <v>1344</v>
      </c>
      <c r="B21" s="611"/>
      <c r="C21" s="612"/>
      <c r="D21" s="612"/>
      <c r="E21" s="612"/>
      <c r="F21" s="612"/>
      <c r="G21" s="612"/>
      <c r="H21" s="612"/>
      <c r="I21" s="612"/>
    </row>
    <row r="22" spans="1:9" x14ac:dyDescent="0.2">
      <c r="A22" s="695" t="s">
        <v>1345</v>
      </c>
      <c r="B22" s="611"/>
      <c r="C22" s="612"/>
      <c r="D22" s="612"/>
      <c r="E22" s="612"/>
      <c r="F22" s="612"/>
      <c r="G22" s="612"/>
      <c r="H22" s="612"/>
      <c r="I22" s="612"/>
    </row>
    <row r="23" spans="1:9" x14ac:dyDescent="0.2">
      <c r="A23" s="695" t="s">
        <v>1346</v>
      </c>
      <c r="B23" s="611"/>
      <c r="C23" s="612"/>
      <c r="D23" s="612"/>
      <c r="E23" s="612"/>
      <c r="F23" s="612"/>
      <c r="G23" s="612"/>
      <c r="H23" s="612"/>
      <c r="I23" s="612"/>
    </row>
    <row r="24" spans="1:9" x14ac:dyDescent="0.2">
      <c r="A24" s="612"/>
      <c r="B24" s="695"/>
      <c r="C24" s="695"/>
      <c r="D24" s="138"/>
      <c r="E24" s="138"/>
      <c r="F24" s="138"/>
      <c r="G24" s="138"/>
      <c r="H24" s="138"/>
      <c r="I24" s="138"/>
    </row>
    <row r="25" spans="1:9" x14ac:dyDescent="0.2">
      <c r="A25" s="138" t="s">
        <v>6614</v>
      </c>
      <c r="B25" s="695"/>
      <c r="C25" s="695"/>
      <c r="D25" s="138"/>
      <c r="E25" s="138"/>
      <c r="F25" s="138"/>
      <c r="G25" s="138"/>
      <c r="H25" s="138"/>
      <c r="I25" s="138"/>
    </row>
    <row r="26" spans="1:9" x14ac:dyDescent="0.2">
      <c r="A26" s="612" t="s">
        <v>6615</v>
      </c>
      <c r="B26" s="695"/>
      <c r="C26" s="695"/>
      <c r="D26" s="138"/>
      <c r="E26" s="138"/>
      <c r="F26" s="138"/>
      <c r="G26" s="138"/>
      <c r="H26" s="138"/>
      <c r="I26" s="138"/>
    </row>
    <row r="27" spans="1:9" x14ac:dyDescent="0.2">
      <c r="A27" s="612" t="s">
        <v>6616</v>
      </c>
      <c r="B27" s="695"/>
      <c r="C27" s="695"/>
      <c r="D27" s="138"/>
      <c r="E27" s="138"/>
      <c r="F27" s="138"/>
      <c r="G27" s="138"/>
      <c r="H27" s="138"/>
      <c r="I27" s="138"/>
    </row>
    <row r="28" spans="1:9" x14ac:dyDescent="0.2">
      <c r="A28" s="612"/>
      <c r="B28" s="695"/>
      <c r="C28" s="695"/>
      <c r="D28" s="138"/>
      <c r="E28" s="138"/>
      <c r="F28" s="138"/>
      <c r="G28" s="138"/>
      <c r="H28" s="138"/>
      <c r="I28" s="138"/>
    </row>
    <row r="29" spans="1:9" x14ac:dyDescent="0.2">
      <c r="A29" s="612" t="s">
        <v>6617</v>
      </c>
      <c r="B29" s="695"/>
      <c r="C29" s="695"/>
      <c r="D29" s="138"/>
      <c r="E29" s="138"/>
      <c r="F29" s="138"/>
      <c r="G29" s="138"/>
      <c r="H29" s="138"/>
      <c r="I29" s="138"/>
    </row>
    <row r="30" spans="1:9" x14ac:dyDescent="0.2">
      <c r="A30" s="612" t="s">
        <v>1347</v>
      </c>
      <c r="B30" s="695"/>
      <c r="C30" s="695"/>
      <c r="D30" s="138"/>
      <c r="E30" s="138"/>
      <c r="F30" s="138"/>
      <c r="G30" s="138"/>
      <c r="H30" s="138"/>
      <c r="I30" s="138"/>
    </row>
    <row r="31" spans="1:9" x14ac:dyDescent="0.2">
      <c r="A31" s="612"/>
      <c r="B31" s="695"/>
      <c r="C31" s="695"/>
      <c r="D31" s="138"/>
      <c r="E31" s="138"/>
      <c r="F31" s="138"/>
      <c r="G31" s="138"/>
      <c r="H31" s="138"/>
      <c r="I31" s="138"/>
    </row>
    <row r="32" spans="1:9" x14ac:dyDescent="0.2">
      <c r="A32" s="695" t="s">
        <v>6618</v>
      </c>
      <c r="B32" s="612"/>
      <c r="C32" s="695"/>
      <c r="D32" s="138"/>
      <c r="E32" s="138"/>
      <c r="F32" s="138"/>
      <c r="G32" s="138"/>
      <c r="H32" s="138"/>
      <c r="I32" s="138"/>
    </row>
    <row r="33" spans="1:11" x14ac:dyDescent="0.2">
      <c r="A33" s="2699" t="s">
        <v>1348</v>
      </c>
      <c r="B33" s="2699"/>
      <c r="C33" s="2699"/>
      <c r="D33" s="2699"/>
      <c r="E33" s="138"/>
      <c r="F33" s="138"/>
      <c r="G33" s="138"/>
      <c r="H33" s="138"/>
      <c r="I33" s="138"/>
    </row>
    <row r="34" spans="1:11" x14ac:dyDescent="0.2">
      <c r="A34" s="2449" t="s">
        <v>6619</v>
      </c>
      <c r="B34" s="2449"/>
      <c r="C34" s="2449"/>
      <c r="D34" s="2449"/>
      <c r="E34" s="138"/>
      <c r="F34" s="138"/>
      <c r="G34" s="138"/>
      <c r="H34" s="138"/>
      <c r="I34" s="138"/>
    </row>
    <row r="35" spans="1:11" x14ac:dyDescent="0.2">
      <c r="A35" s="695"/>
      <c r="B35" s="612"/>
      <c r="C35" s="695"/>
      <c r="D35" s="138"/>
      <c r="E35" s="138"/>
      <c r="F35" s="138"/>
      <c r="G35" s="138"/>
      <c r="H35" s="138"/>
      <c r="I35" s="138"/>
    </row>
    <row r="36" spans="1:11" ht="24" customHeight="1" x14ac:dyDescent="0.2">
      <c r="A36" s="2698" t="s">
        <v>6620</v>
      </c>
      <c r="B36" s="2698"/>
      <c r="C36" s="2698"/>
      <c r="D36" s="2698"/>
      <c r="E36" s="2698"/>
      <c r="F36" s="2698"/>
      <c r="G36" s="2698"/>
      <c r="H36" s="2698"/>
      <c r="I36" s="2698"/>
      <c r="J36" s="2698"/>
      <c r="K36" s="2698"/>
    </row>
    <row r="37" spans="1:11" x14ac:dyDescent="0.2">
      <c r="A37" s="695"/>
      <c r="B37" s="611"/>
      <c r="C37" s="612"/>
      <c r="D37" s="612"/>
      <c r="E37" s="612"/>
      <c r="F37" s="612"/>
      <c r="G37" s="612"/>
      <c r="H37" s="612"/>
      <c r="I37" s="612"/>
    </row>
    <row r="38" spans="1:11" x14ac:dyDescent="0.2">
      <c r="A38" s="611"/>
      <c r="B38" s="611"/>
      <c r="C38" s="613" t="s">
        <v>340</v>
      </c>
      <c r="D38" s="813"/>
      <c r="E38" s="612"/>
      <c r="F38" s="612"/>
      <c r="G38" s="612"/>
      <c r="H38" s="612"/>
      <c r="I38" s="612"/>
    </row>
    <row r="39" spans="1:11" x14ac:dyDescent="0.2">
      <c r="A39" s="611"/>
      <c r="B39" s="611"/>
      <c r="C39" s="613" t="s">
        <v>341</v>
      </c>
      <c r="D39" s="813"/>
      <c r="E39" s="612"/>
      <c r="F39" s="612"/>
      <c r="G39" s="612"/>
      <c r="H39" s="612"/>
      <c r="I39" s="612"/>
    </row>
    <row r="40" spans="1:11" x14ac:dyDescent="0.2">
      <c r="A40" s="611"/>
      <c r="B40" s="611"/>
      <c r="C40" s="612"/>
      <c r="D40" s="612"/>
      <c r="E40" s="612"/>
      <c r="F40" s="612"/>
      <c r="G40" s="612"/>
      <c r="H40" s="612"/>
      <c r="I40" s="612"/>
    </row>
    <row r="41" spans="1:11" ht="15.75" x14ac:dyDescent="0.25">
      <c r="A41" s="612"/>
      <c r="B41" s="611"/>
      <c r="C41" s="43"/>
      <c r="D41" s="43"/>
      <c r="E41" s="612"/>
      <c r="F41" s="612"/>
      <c r="G41" s="612"/>
      <c r="H41" s="612"/>
      <c r="I41" s="612"/>
    </row>
    <row r="42" spans="1:11" ht="15.75" x14ac:dyDescent="0.25">
      <c r="A42" s="795" t="s">
        <v>507</v>
      </c>
      <c r="B42" s="611"/>
      <c r="C42" s="43"/>
      <c r="D42" s="43"/>
      <c r="E42" s="612"/>
      <c r="F42" s="612"/>
      <c r="G42" s="612"/>
      <c r="H42" s="612"/>
      <c r="I42" s="612"/>
    </row>
    <row r="43" spans="1:11" x14ac:dyDescent="0.2">
      <c r="A43" s="695" t="s">
        <v>1349</v>
      </c>
      <c r="B43" s="611"/>
      <c r="C43" s="612"/>
      <c r="D43" s="612"/>
      <c r="E43" s="612"/>
      <c r="F43" s="612"/>
      <c r="G43" s="612"/>
      <c r="H43" s="612"/>
      <c r="I43" s="612"/>
    </row>
    <row r="44" spans="1:11" x14ac:dyDescent="0.2">
      <c r="A44" s="695" t="s">
        <v>509</v>
      </c>
      <c r="B44" s="612"/>
      <c r="C44" s="612"/>
      <c r="D44" s="612"/>
      <c r="E44" s="612"/>
      <c r="F44" s="612"/>
      <c r="G44" s="612"/>
      <c r="H44" s="612"/>
      <c r="I44" s="612"/>
    </row>
    <row r="45" spans="1:11" x14ac:dyDescent="0.2">
      <c r="A45" s="611"/>
      <c r="B45" s="611"/>
      <c r="C45" s="612"/>
      <c r="D45" s="612"/>
      <c r="E45" s="612"/>
      <c r="F45" s="612"/>
      <c r="G45" s="612"/>
      <c r="H45" s="612"/>
      <c r="I45" s="612"/>
    </row>
    <row r="46" spans="1:11" x14ac:dyDescent="0.2">
      <c r="A46" s="41"/>
      <c r="B46" s="139"/>
      <c r="C46" s="139"/>
      <c r="D46" s="139"/>
      <c r="E46" s="139"/>
      <c r="F46" s="139"/>
      <c r="G46" s="139"/>
      <c r="H46" s="139"/>
      <c r="I46" s="612"/>
    </row>
  </sheetData>
  <sheetProtection algorithmName="SHA-512" hashValue="txG5S/7tIuWmfYzs8a4vjq7C9ImNs/5VgPCZaaNq5eKKZVvzC7vTuyqsNbxXZTocgN8CaPJwOXkbCwU4MZnM/g==" saltValue="8B1RIgSPc5R0Lrum31668A==" spinCount="100000" sheet="1" autoFilter="0"/>
  <mergeCells count="8">
    <mergeCell ref="A36:K36"/>
    <mergeCell ref="J1:J3"/>
    <mergeCell ref="A33:D33"/>
    <mergeCell ref="A1:I1"/>
    <mergeCell ref="A2:I2"/>
    <mergeCell ref="A3:I3"/>
    <mergeCell ref="A11:B11"/>
    <mergeCell ref="A5:I5"/>
  </mergeCells>
  <conditionalFormatting sqref="J1:J3">
    <cfRule type="cellIs" dxfId="123" priority="1" stopIfTrue="1" operator="equal">
      <formula>"na"</formula>
    </cfRule>
  </conditionalFormatting>
  <hyperlinks>
    <hyperlink ref="A33" r:id="rId1" xr:uid="{00000000-0004-0000-1300-000000000000}"/>
    <hyperlink ref="A1:I1" location="Index!A1" display="Index!A1" xr:uid="{00000000-0004-0000-1300-000001000000}"/>
    <hyperlink ref="A33:D33" r:id="rId2" display="Financial Reporting Update GASB 70" xr:uid="{470EFE45-D35C-48CF-97C2-6FDD911AB4CC}"/>
    <hyperlink ref="A34:D34" r:id="rId3" display="Finanacial Reporting Update GASB 99" xr:uid="{475E4542-EC97-488F-8A3B-7CBF8D44721C}"/>
  </hyperlinks>
  <pageMargins left="0.6" right="0.6" top="0.5" bottom="0.5" header="0.3" footer="0.3"/>
  <pageSetup scale="85" orientation="portrait"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dimension ref="A1:AE44"/>
  <sheetViews>
    <sheetView showGridLines="0" zoomScaleNormal="100" workbookViewId="0">
      <selection activeCell="O19" sqref="O19"/>
    </sheetView>
  </sheetViews>
  <sheetFormatPr defaultColWidth="9.42578125" defaultRowHeight="11.25" x14ac:dyDescent="0.2"/>
  <cols>
    <col min="1" max="1" width="1.5703125" style="28" customWidth="1"/>
    <col min="2" max="2" width="5" style="28" bestFit="1" customWidth="1"/>
    <col min="3" max="3" width="9.5703125" style="28" customWidth="1"/>
    <col min="4" max="4" width="1.5703125" style="28" customWidth="1"/>
    <col min="5" max="5" width="14.5703125" style="28" customWidth="1"/>
    <col min="6" max="6" width="1.42578125" style="28" customWidth="1"/>
    <col min="7" max="7" width="14.5703125" style="28" customWidth="1"/>
    <col min="8" max="8" width="1.42578125" style="28" customWidth="1"/>
    <col min="9" max="9" width="14" style="28" customWidth="1"/>
    <col min="10" max="10" width="1.42578125" style="28" customWidth="1"/>
    <col min="11" max="11" width="14.5703125" style="28" customWidth="1"/>
    <col min="12" max="12" width="1.42578125" style="28" customWidth="1"/>
    <col min="13" max="13" width="8.42578125" style="28" customWidth="1"/>
    <col min="14" max="14" width="1.42578125" style="28" customWidth="1"/>
    <col min="15" max="15" width="8.42578125" style="28" customWidth="1"/>
    <col min="16" max="16" width="1.42578125" style="28" customWidth="1"/>
    <col min="17" max="17" width="32.28515625" style="28" customWidth="1"/>
    <col min="18" max="18" width="11.5703125" style="28" customWidth="1"/>
    <col min="19" max="19" width="24.42578125" style="1325" bestFit="1" customWidth="1"/>
    <col min="20" max="20" width="1.5703125" style="28" customWidth="1"/>
    <col min="21" max="21" width="8.5703125" style="28" customWidth="1"/>
    <col min="22" max="16384" width="9.42578125" style="28"/>
  </cols>
  <sheetData>
    <row r="1" spans="1:31" s="29" customFormat="1" ht="15" customHeight="1" x14ac:dyDescent="0.25">
      <c r="A1" s="2553" t="str">
        <f>+Index!$A$1</f>
        <v xml:space="preserve">                                                               Office of the State Controller                                                                </v>
      </c>
      <c r="B1" s="2553"/>
      <c r="C1" s="2553"/>
      <c r="D1" s="2553"/>
      <c r="E1" s="2553"/>
      <c r="F1" s="2553"/>
      <c r="G1" s="2553"/>
      <c r="H1" s="2553"/>
      <c r="I1" s="2553"/>
      <c r="J1" s="2553"/>
      <c r="K1" s="2553"/>
      <c r="L1" s="2553"/>
      <c r="M1" s="2553"/>
      <c r="N1" s="2553"/>
      <c r="O1" s="2553"/>
      <c r="P1" s="2553"/>
      <c r="Q1" s="2553"/>
      <c r="R1" s="2626" t="str">
        <f>IF(Index!$B$44="na","NA","")</f>
        <v/>
      </c>
      <c r="S1" s="1322"/>
      <c r="V1" s="1327" t="s">
        <v>1350</v>
      </c>
      <c r="AE1" s="30"/>
    </row>
    <row r="2" spans="1:31" s="29" customFormat="1" ht="15" customHeight="1" x14ac:dyDescent="0.25">
      <c r="A2" s="2597" t="str">
        <f>+Index!$A$2</f>
        <v>2024 ACFR Worksheets</v>
      </c>
      <c r="B2" s="2597"/>
      <c r="C2" s="2597"/>
      <c r="D2" s="2597"/>
      <c r="E2" s="2597"/>
      <c r="F2" s="2597"/>
      <c r="G2" s="2597"/>
      <c r="H2" s="2597"/>
      <c r="I2" s="2597"/>
      <c r="J2" s="2597"/>
      <c r="K2" s="2597"/>
      <c r="L2" s="2597"/>
      <c r="M2" s="2597"/>
      <c r="N2" s="2597"/>
      <c r="O2" s="2597"/>
      <c r="P2" s="2597"/>
      <c r="Q2" s="2597"/>
      <c r="R2" s="2626"/>
      <c r="S2" s="1322"/>
    </row>
    <row r="3" spans="1:31" s="29" customFormat="1" ht="15" customHeight="1" x14ac:dyDescent="0.25">
      <c r="A3" s="2597" t="s">
        <v>1351</v>
      </c>
      <c r="B3" s="2597"/>
      <c r="C3" s="2597"/>
      <c r="D3" s="2597"/>
      <c r="E3" s="2597"/>
      <c r="F3" s="2597"/>
      <c r="G3" s="2597"/>
      <c r="H3" s="2597"/>
      <c r="I3" s="2597"/>
      <c r="J3" s="2597"/>
      <c r="K3" s="2597"/>
      <c r="L3" s="2597"/>
      <c r="M3" s="2597"/>
      <c r="N3" s="2597"/>
      <c r="O3" s="2597"/>
      <c r="P3" s="2597"/>
      <c r="Q3" s="2597"/>
      <c r="R3" s="2626"/>
      <c r="S3" s="1322"/>
    </row>
    <row r="4" spans="1:31" s="81" customFormat="1" ht="13.35" customHeight="1" x14ac:dyDescent="0.2">
      <c r="A4" s="139"/>
      <c r="B4" s="139"/>
      <c r="C4" s="139"/>
      <c r="D4" s="139"/>
      <c r="E4" s="139"/>
      <c r="F4" s="139"/>
      <c r="G4" s="139"/>
      <c r="H4" s="2321"/>
      <c r="I4" s="139"/>
      <c r="J4" s="139"/>
      <c r="K4" s="139"/>
      <c r="L4" s="139"/>
      <c r="M4" s="139"/>
      <c r="N4" s="139"/>
      <c r="O4" s="139"/>
      <c r="P4" s="139"/>
      <c r="Q4" s="139"/>
      <c r="R4" s="139"/>
      <c r="S4" s="1323"/>
      <c r="T4" s="139"/>
      <c r="U4" s="139"/>
      <c r="V4" s="139"/>
      <c r="W4" s="139"/>
      <c r="X4" s="139"/>
      <c r="Y4" s="139"/>
      <c r="Z4" s="139"/>
      <c r="AA4" s="139"/>
      <c r="AB4" s="139"/>
      <c r="AC4" s="139"/>
      <c r="AD4" s="139"/>
      <c r="AE4" s="139"/>
    </row>
    <row r="5" spans="1:31" s="81" customFormat="1" ht="15" customHeight="1" x14ac:dyDescent="0.2">
      <c r="A5" s="139"/>
      <c r="B5" s="139"/>
      <c r="C5" s="139"/>
      <c r="D5" s="2321"/>
      <c r="E5" s="139"/>
      <c r="F5" s="139"/>
      <c r="G5" s="139"/>
      <c r="H5" s="139"/>
      <c r="I5" s="139"/>
      <c r="J5" s="1618"/>
      <c r="K5" s="1554" t="s">
        <v>318</v>
      </c>
      <c r="L5" s="2709" t="str">
        <f>Index!E10</f>
        <v>01</v>
      </c>
      <c r="M5" s="2710"/>
      <c r="N5" s="2710"/>
      <c r="O5" s="2710"/>
      <c r="P5" s="2710"/>
      <c r="Q5" s="2710"/>
      <c r="R5" s="1595"/>
      <c r="S5" s="1323"/>
      <c r="T5" s="139"/>
      <c r="U5" s="139"/>
      <c r="V5" s="139"/>
      <c r="W5" s="139"/>
      <c r="X5" s="139"/>
      <c r="Y5" s="139"/>
      <c r="Z5" s="139"/>
      <c r="AA5" s="139"/>
      <c r="AB5" s="139"/>
      <c r="AC5" s="139"/>
      <c r="AD5" s="139"/>
      <c r="AE5" s="139"/>
    </row>
    <row r="6" spans="1:31" s="81" customFormat="1" ht="15" customHeight="1" x14ac:dyDescent="0.2">
      <c r="A6" s="139"/>
      <c r="B6" s="139"/>
      <c r="C6" s="139"/>
      <c r="D6" s="139"/>
      <c r="E6" s="139"/>
      <c r="F6" s="139"/>
      <c r="G6" s="139"/>
      <c r="H6" s="139"/>
      <c r="I6" s="139"/>
      <c r="J6" s="1618"/>
      <c r="K6" s="1554" t="s">
        <v>319</v>
      </c>
      <c r="L6" s="2709" t="str">
        <f>Index!E11</f>
        <v>North Carolina General Assembly</v>
      </c>
      <c r="M6" s="2710"/>
      <c r="N6" s="2710"/>
      <c r="O6" s="2710"/>
      <c r="P6" s="2710"/>
      <c r="Q6" s="2710"/>
      <c r="R6" s="1595"/>
      <c r="S6" s="1323"/>
      <c r="T6" s="139"/>
      <c r="U6" s="139"/>
      <c r="V6" s="139"/>
      <c r="W6" s="139"/>
      <c r="X6" s="139"/>
      <c r="Y6" s="139"/>
      <c r="Z6" s="139"/>
      <c r="AA6" s="139"/>
      <c r="AB6" s="139"/>
      <c r="AC6" s="139"/>
      <c r="AD6" s="139"/>
      <c r="AE6" s="139"/>
    </row>
    <row r="7" spans="1:31" s="81" customFormat="1" ht="15" customHeight="1" x14ac:dyDescent="0.2">
      <c r="A7" s="139" t="s">
        <v>545</v>
      </c>
      <c r="B7" s="139"/>
      <c r="C7" s="139"/>
      <c r="D7" s="2676" t="s">
        <v>498</v>
      </c>
      <c r="E7" s="2677"/>
      <c r="F7" s="139"/>
      <c r="G7" s="139"/>
      <c r="H7" s="139"/>
      <c r="I7" s="139"/>
      <c r="J7" s="1619"/>
      <c r="K7" s="1554" t="s">
        <v>320</v>
      </c>
      <c r="L7" s="2711" t="str">
        <f>CONCATENATE(Index!$E$12, " ", Index!$E$14)</f>
        <v xml:space="preserve"> </v>
      </c>
      <c r="M7" s="2712"/>
      <c r="N7" s="2712"/>
      <c r="O7" s="2712"/>
      <c r="P7" s="2712"/>
      <c r="Q7" s="2712"/>
      <c r="R7" s="1596"/>
      <c r="S7" s="1323"/>
      <c r="T7" s="139"/>
      <c r="U7" s="139"/>
      <c r="V7" s="139"/>
      <c r="W7" s="139"/>
      <c r="X7" s="139"/>
      <c r="Y7" s="139"/>
      <c r="Z7" s="139"/>
      <c r="AA7" s="139"/>
      <c r="AB7" s="139"/>
      <c r="AC7" s="139"/>
      <c r="AD7" s="139"/>
      <c r="AE7" s="139"/>
    </row>
    <row r="8" spans="1:31" s="81" customFormat="1" ht="15" customHeight="1" x14ac:dyDescent="0.2">
      <c r="A8" s="139"/>
      <c r="B8" s="139"/>
      <c r="C8" s="139"/>
      <c r="D8" s="2321"/>
      <c r="E8" s="139"/>
      <c r="F8" s="139"/>
      <c r="G8" s="139"/>
      <c r="H8" s="139"/>
      <c r="I8" s="139"/>
      <c r="J8" s="1620"/>
      <c r="K8" s="1554" t="s">
        <v>168</v>
      </c>
      <c r="L8" s="2713">
        <f>Index!E13</f>
        <v>0</v>
      </c>
      <c r="M8" s="2712"/>
      <c r="N8" s="2712"/>
      <c r="O8" s="2712"/>
      <c r="P8" s="2712"/>
      <c r="Q8" s="2712"/>
      <c r="R8" s="1597"/>
      <c r="S8" s="1323"/>
      <c r="T8" s="139"/>
      <c r="U8" s="139"/>
      <c r="V8" s="139"/>
      <c r="W8" s="139"/>
      <c r="X8" s="139"/>
      <c r="Y8" s="139"/>
      <c r="Z8" s="139"/>
      <c r="AA8" s="139"/>
      <c r="AB8" s="139"/>
      <c r="AC8" s="139"/>
      <c r="AD8" s="139"/>
      <c r="AE8" s="139"/>
    </row>
    <row r="9" spans="1:31" s="81" customFormat="1" ht="6" customHeight="1" thickBot="1" x14ac:dyDescent="0.25">
      <c r="A9" s="1556"/>
      <c r="B9" s="1556"/>
      <c r="C9" s="1556"/>
      <c r="D9" s="1556"/>
      <c r="E9" s="1556"/>
      <c r="F9" s="1556"/>
      <c r="G9" s="1556"/>
      <c r="H9" s="1556"/>
      <c r="I9" s="1556"/>
      <c r="J9" s="1556"/>
      <c r="K9" s="1556"/>
      <c r="L9" s="1556"/>
      <c r="M9" s="1556"/>
      <c r="N9" s="1556"/>
      <c r="O9" s="1556"/>
      <c r="P9" s="1556"/>
      <c r="Q9" s="1556"/>
      <c r="R9" s="139"/>
      <c r="S9" s="1323"/>
      <c r="T9" s="139"/>
      <c r="U9" s="139"/>
      <c r="V9" s="139"/>
      <c r="W9" s="139"/>
      <c r="X9" s="139"/>
      <c r="Y9" s="139"/>
      <c r="Z9" s="139"/>
      <c r="AA9" s="139"/>
      <c r="AB9" s="139"/>
      <c r="AC9" s="139"/>
      <c r="AD9" s="139"/>
      <c r="AE9" s="139"/>
    </row>
    <row r="10" spans="1:31" s="81" customFormat="1" ht="12.75" x14ac:dyDescent="0.2">
      <c r="A10" s="2310"/>
      <c r="B10"/>
      <c r="C10"/>
      <c r="D10"/>
      <c r="E10"/>
      <c r="F10"/>
      <c r="G10" s="1299" t="s">
        <v>1352</v>
      </c>
      <c r="H10" s="1299"/>
      <c r="I10" s="1299" t="s">
        <v>1353</v>
      </c>
      <c r="J10" s="1299"/>
      <c r="K10" s="1299" t="s">
        <v>1354</v>
      </c>
      <c r="L10"/>
      <c r="M10"/>
      <c r="N10"/>
      <c r="O10"/>
      <c r="P10"/>
      <c r="Q10"/>
      <c r="R10" s="139"/>
      <c r="S10" s="1323"/>
      <c r="T10" s="139"/>
      <c r="U10" s="139"/>
      <c r="V10" s="139"/>
      <c r="W10" s="139"/>
      <c r="X10" s="139"/>
      <c r="Y10" s="139"/>
      <c r="Z10" s="139"/>
      <c r="AA10" s="139"/>
      <c r="AB10" s="139"/>
      <c r="AC10" s="139"/>
      <c r="AD10" s="139"/>
      <c r="AE10" s="139"/>
    </row>
    <row r="11" spans="1:31" s="81" customFormat="1" ht="14.1" customHeight="1" x14ac:dyDescent="0.2">
      <c r="A11" s="921" t="s">
        <v>210</v>
      </c>
      <c r="B11" s="139"/>
      <c r="C11" s="139"/>
      <c r="D11" s="139"/>
      <c r="E11" s="139"/>
      <c r="F11" s="139"/>
      <c r="G11" s="2321" t="s">
        <v>1353</v>
      </c>
      <c r="H11" s="2321"/>
      <c r="I11" s="2321" t="s">
        <v>1353</v>
      </c>
      <c r="J11" s="2321"/>
      <c r="K11" s="2321" t="s">
        <v>1355</v>
      </c>
      <c r="L11" s="139"/>
      <c r="M11" s="2716" t="s">
        <v>1356</v>
      </c>
      <c r="N11" s="2716"/>
      <c r="O11" s="139"/>
      <c r="P11" s="139"/>
      <c r="Q11" s="139"/>
      <c r="R11" s="139"/>
      <c r="S11" s="1323"/>
      <c r="T11" s="139"/>
      <c r="U11" s="139"/>
      <c r="V11" s="139"/>
      <c r="W11" s="139"/>
      <c r="X11" s="139"/>
      <c r="Y11" s="139"/>
      <c r="Z11" s="139"/>
      <c r="AA11" s="139"/>
      <c r="AB11" s="139"/>
      <c r="AC11" s="139"/>
      <c r="AD11" s="139"/>
      <c r="AE11" s="139"/>
    </row>
    <row r="12" spans="1:31" s="81" customFormat="1" ht="14.1" customHeight="1" x14ac:dyDescent="0.2">
      <c r="A12" s="2714" t="s">
        <v>1357</v>
      </c>
      <c r="B12" s="2715"/>
      <c r="C12" s="2715"/>
      <c r="D12" s="2715"/>
      <c r="E12" s="2715"/>
      <c r="F12" s="139"/>
      <c r="G12" s="2311" t="s">
        <v>1358</v>
      </c>
      <c r="H12" s="2321"/>
      <c r="I12" s="1621">
        <f>+Data!$A$2</f>
        <v>45473</v>
      </c>
      <c r="J12" s="2321"/>
      <c r="K12" s="2311" t="s">
        <v>1359</v>
      </c>
      <c r="L12" s="139"/>
      <c r="M12" s="2717" t="s">
        <v>1360</v>
      </c>
      <c r="N12" s="2717"/>
      <c r="O12" s="139"/>
      <c r="P12" s="139"/>
      <c r="Q12" s="139"/>
      <c r="R12" s="139"/>
      <c r="S12" s="1324"/>
      <c r="T12" s="2321"/>
      <c r="U12" s="2321"/>
      <c r="V12" s="139"/>
      <c r="W12" s="2697"/>
      <c r="X12" s="2697"/>
      <c r="Y12" s="2697"/>
      <c r="Z12" s="2321"/>
      <c r="AA12" s="2321"/>
      <c r="AB12" s="2321"/>
      <c r="AC12" s="2321"/>
      <c r="AD12" s="2321"/>
      <c r="AE12" s="2321"/>
    </row>
    <row r="13" spans="1:31" s="81" customFormat="1" ht="15" customHeight="1" x14ac:dyDescent="0.2">
      <c r="A13" s="2702" t="s">
        <v>1361</v>
      </c>
      <c r="B13" s="2702"/>
      <c r="C13" s="2702"/>
      <c r="D13" s="2702"/>
      <c r="E13" s="2702"/>
      <c r="F13" s="139"/>
      <c r="G13" s="1245"/>
      <c r="H13" s="139"/>
      <c r="I13" s="1245"/>
      <c r="J13" s="139"/>
      <c r="K13" s="1245"/>
      <c r="L13" s="139"/>
      <c r="M13" s="2708"/>
      <c r="N13" s="2708"/>
      <c r="O13" s="689" t="s">
        <v>922</v>
      </c>
      <c r="P13" s="442" t="s">
        <v>1362</v>
      </c>
      <c r="Q13" s="139"/>
      <c r="R13" s="139"/>
      <c r="S13" s="1323" t="s">
        <v>1361</v>
      </c>
      <c r="T13" s="139"/>
      <c r="U13" s="139"/>
      <c r="V13" s="139"/>
      <c r="W13" s="139"/>
      <c r="X13" s="139"/>
      <c r="Y13" s="139"/>
      <c r="Z13" s="139"/>
      <c r="AA13" s="139"/>
      <c r="AB13" s="139"/>
      <c r="AC13" s="139"/>
      <c r="AD13" s="139"/>
      <c r="AE13" s="139"/>
    </row>
    <row r="14" spans="1:31" s="81" customFormat="1" ht="13.5" customHeight="1" x14ac:dyDescent="0.2">
      <c r="A14" s="2702" t="s">
        <v>1363</v>
      </c>
      <c r="B14" s="2702"/>
      <c r="C14" s="2702"/>
      <c r="D14" s="2702"/>
      <c r="E14" s="2702"/>
      <c r="F14" s="139"/>
      <c r="G14" s="1245"/>
      <c r="H14" s="139"/>
      <c r="I14" s="1245"/>
      <c r="J14" s="139"/>
      <c r="K14" s="1245"/>
      <c r="L14" s="139"/>
      <c r="M14" s="2708"/>
      <c r="N14" s="2708"/>
      <c r="O14" s="139"/>
      <c r="P14" s="442" t="s">
        <v>1364</v>
      </c>
      <c r="Q14" s="139"/>
      <c r="R14" s="139"/>
      <c r="S14" s="1323" t="s">
        <v>1363</v>
      </c>
      <c r="T14" s="139"/>
      <c r="U14" s="139"/>
      <c r="V14" s="139"/>
      <c r="W14" s="139"/>
      <c r="X14" s="139"/>
      <c r="Y14" s="139"/>
      <c r="Z14" s="139"/>
      <c r="AA14" s="139"/>
      <c r="AB14" s="139"/>
      <c r="AC14" s="139"/>
      <c r="AD14" s="139"/>
      <c r="AE14" s="139"/>
    </row>
    <row r="15" spans="1:31" s="81" customFormat="1" ht="13.5" customHeight="1" x14ac:dyDescent="0.2">
      <c r="A15" s="2702" t="s">
        <v>1365</v>
      </c>
      <c r="B15" s="2702"/>
      <c r="C15" s="2702"/>
      <c r="D15" s="2702"/>
      <c r="E15" s="2702"/>
      <c r="F15" s="139"/>
      <c r="G15" s="1245"/>
      <c r="H15" s="139"/>
      <c r="I15" s="1245"/>
      <c r="J15" s="139"/>
      <c r="K15" s="1245"/>
      <c r="L15" s="139"/>
      <c r="M15" s="2708"/>
      <c r="N15" s="2708"/>
      <c r="O15" s="139"/>
      <c r="P15" s="442" t="s">
        <v>1366</v>
      </c>
      <c r="Q15" s="139"/>
      <c r="R15" s="139"/>
      <c r="S15" s="1323" t="s">
        <v>1365</v>
      </c>
      <c r="T15" s="870"/>
      <c r="U15" s="870"/>
      <c r="V15" s="870"/>
      <c r="W15" s="870"/>
      <c r="X15" s="139"/>
      <c r="Y15" s="139"/>
      <c r="Z15" s="139"/>
      <c r="AA15" s="139"/>
      <c r="AB15" s="139"/>
      <c r="AC15" s="139"/>
      <c r="AD15" s="139"/>
      <c r="AE15" s="139"/>
    </row>
    <row r="16" spans="1:31" s="81" customFormat="1" ht="13.5" customHeight="1" x14ac:dyDescent="0.2">
      <c r="A16" s="2702" t="s">
        <v>1367</v>
      </c>
      <c r="B16" s="2702"/>
      <c r="C16" s="2702"/>
      <c r="D16" s="2702"/>
      <c r="E16" s="2702"/>
      <c r="F16" s="139"/>
      <c r="G16" s="1245"/>
      <c r="H16" s="139"/>
      <c r="I16" s="1245"/>
      <c r="J16" s="139"/>
      <c r="K16" s="1245"/>
      <c r="L16" s="139"/>
      <c r="M16" s="2708"/>
      <c r="N16" s="2708"/>
      <c r="O16" s="139"/>
      <c r="P16" s="442" t="s">
        <v>1368</v>
      </c>
      <c r="Q16" s="139"/>
      <c r="R16" s="139"/>
      <c r="S16" s="1323" t="s">
        <v>1367</v>
      </c>
      <c r="T16" s="139"/>
      <c r="U16" s="139"/>
      <c r="V16" s="139"/>
      <c r="W16" s="139"/>
      <c r="X16" s="139"/>
      <c r="Y16" s="139"/>
      <c r="Z16" s="139"/>
      <c r="AA16" s="139"/>
      <c r="AB16" s="139"/>
      <c r="AC16" s="139"/>
      <c r="AD16" s="139"/>
      <c r="AE16" s="139"/>
    </row>
    <row r="17" spans="1:21" s="81" customFormat="1" ht="13.5" customHeight="1" x14ac:dyDescent="0.2">
      <c r="A17" s="2599" t="s">
        <v>1369</v>
      </c>
      <c r="B17" s="2548"/>
      <c r="C17" s="2548"/>
      <c r="D17" s="2548"/>
      <c r="E17" s="2548"/>
      <c r="F17" s="139"/>
      <c r="G17" s="1245"/>
      <c r="H17" s="139"/>
      <c r="I17" s="1245"/>
      <c r="J17" s="139"/>
      <c r="K17" s="1245"/>
      <c r="L17" s="139"/>
      <c r="M17" s="2708"/>
      <c r="N17" s="2708"/>
      <c r="O17" s="139"/>
      <c r="P17" s="442" t="s">
        <v>1370</v>
      </c>
      <c r="Q17" s="139"/>
      <c r="R17" s="139"/>
      <c r="S17" s="1323" t="s">
        <v>1369</v>
      </c>
      <c r="T17" s="139"/>
      <c r="U17" s="139"/>
    </row>
    <row r="18" spans="1:21" s="81" customFormat="1" ht="14.1" customHeight="1" x14ac:dyDescent="0.2">
      <c r="A18" s="2702" t="s">
        <v>1371</v>
      </c>
      <c r="B18" s="2707"/>
      <c r="C18" s="2707"/>
      <c r="D18" s="2707"/>
      <c r="E18" s="2707"/>
      <c r="F18" s="139"/>
      <c r="G18" s="1245"/>
      <c r="H18" s="139"/>
      <c r="I18" s="1245"/>
      <c r="J18" s="139"/>
      <c r="K18" s="1245"/>
      <c r="L18" s="139"/>
      <c r="M18" s="2708"/>
      <c r="N18" s="2708"/>
      <c r="O18" s="139"/>
      <c r="P18" s="139"/>
      <c r="Q18" s="139"/>
      <c r="R18" s="139"/>
      <c r="S18" s="1323" t="s">
        <v>1371</v>
      </c>
      <c r="T18" s="139"/>
      <c r="U18" s="139"/>
    </row>
    <row r="19" spans="1:21" s="81" customFormat="1" ht="14.1" customHeight="1" x14ac:dyDescent="0.2">
      <c r="A19" s="2702" t="s">
        <v>1372</v>
      </c>
      <c r="B19" s="2707"/>
      <c r="C19" s="2707"/>
      <c r="D19" s="2707"/>
      <c r="E19" s="2707"/>
      <c r="F19" s="139"/>
      <c r="G19" s="1245"/>
      <c r="H19" s="139"/>
      <c r="I19" s="1245"/>
      <c r="J19" s="139"/>
      <c r="K19" s="1245"/>
      <c r="L19" s="139"/>
      <c r="M19" s="2708"/>
      <c r="N19" s="2708"/>
      <c r="O19" s="139"/>
      <c r="P19" s="139"/>
      <c r="Q19" s="139"/>
      <c r="R19" s="139"/>
      <c r="S19" s="1323" t="s">
        <v>1372</v>
      </c>
      <c r="T19" s="139"/>
      <c r="U19" s="139"/>
    </row>
    <row r="20" spans="1:21" s="81" customFormat="1" ht="14.1" customHeight="1" x14ac:dyDescent="0.2">
      <c r="A20" s="2706" t="s">
        <v>1373</v>
      </c>
      <c r="B20" s="2548"/>
      <c r="C20" s="2703"/>
      <c r="D20" s="2703"/>
      <c r="E20" s="2703"/>
      <c r="F20" s="139"/>
      <c r="G20" s="1245"/>
      <c r="H20" s="139"/>
      <c r="I20" s="1245"/>
      <c r="J20" s="139"/>
      <c r="K20" s="1245"/>
      <c r="L20" s="139"/>
      <c r="M20" s="2708"/>
      <c r="N20" s="2708"/>
      <c r="O20" s="139"/>
      <c r="P20" s="139"/>
      <c r="Q20" s="139"/>
      <c r="R20" s="139"/>
      <c r="S20" s="1299"/>
      <c r="T20" s="139"/>
      <c r="U20" s="139"/>
    </row>
    <row r="21" spans="1:21" s="81" customFormat="1" ht="14.1" customHeight="1" x14ac:dyDescent="0.2">
      <c r="A21" s="2706" t="s">
        <v>1373</v>
      </c>
      <c r="B21" s="2548"/>
      <c r="C21" s="2704"/>
      <c r="D21" s="2705"/>
      <c r="E21" s="2705"/>
      <c r="F21" s="139"/>
      <c r="G21" s="1585"/>
      <c r="H21" s="139"/>
      <c r="I21" s="1585"/>
      <c r="J21" s="139"/>
      <c r="K21" s="1585"/>
      <c r="L21" s="139"/>
      <c r="M21" s="2708"/>
      <c r="N21" s="2708"/>
      <c r="O21" s="139"/>
      <c r="P21" s="139"/>
      <c r="Q21" s="139"/>
      <c r="R21" s="139"/>
      <c r="S21" s="1299"/>
      <c r="T21" s="139"/>
      <c r="U21" s="139"/>
    </row>
    <row r="22" spans="1:21" s="81" customFormat="1" ht="8.1" customHeight="1" x14ac:dyDescent="0.2">
      <c r="A22" s="1604"/>
      <c r="B22" s="139"/>
      <c r="C22" s="139"/>
      <c r="D22" s="139"/>
      <c r="E22" s="139"/>
      <c r="F22" s="139"/>
      <c r="G22" s="139"/>
      <c r="H22" s="139"/>
      <c r="I22" s="139"/>
      <c r="J22" s="139"/>
      <c r="K22" s="139"/>
      <c r="L22" s="139"/>
      <c r="M22" s="139"/>
      <c r="N22" s="139"/>
      <c r="O22" s="139"/>
      <c r="P22" s="139"/>
      <c r="Q22" s="139"/>
      <c r="R22" s="139"/>
      <c r="S22" s="1323"/>
      <c r="T22" s="139"/>
      <c r="U22" s="139"/>
    </row>
    <row r="23" spans="1:21" s="81" customFormat="1" ht="14.1" customHeight="1" x14ac:dyDescent="0.2">
      <c r="A23" s="921" t="s">
        <v>1374</v>
      </c>
      <c r="B23" s="139"/>
      <c r="C23" s="139"/>
      <c r="D23" s="139"/>
      <c r="E23" s="139"/>
      <c r="F23" s="139"/>
      <c r="G23" s="2321" t="s">
        <v>1353</v>
      </c>
      <c r="H23" s="2321"/>
      <c r="I23" s="2321" t="s">
        <v>1353</v>
      </c>
      <c r="J23" s="2321"/>
      <c r="K23" s="2321" t="s">
        <v>1355</v>
      </c>
      <c r="L23" s="2321"/>
      <c r="M23" s="2321" t="s">
        <v>1375</v>
      </c>
      <c r="N23" s="2321"/>
      <c r="O23" s="2321" t="s">
        <v>1376</v>
      </c>
      <c r="P23" s="2321"/>
      <c r="Q23" s="2321" t="s">
        <v>1377</v>
      </c>
      <c r="R23" s="2321"/>
      <c r="S23" s="2697"/>
      <c r="T23" s="2697"/>
      <c r="U23" s="2697"/>
    </row>
    <row r="24" spans="1:21" s="81" customFormat="1" ht="14.1" customHeight="1" x14ac:dyDescent="0.2">
      <c r="A24" s="2676" t="s">
        <v>1378</v>
      </c>
      <c r="B24" s="2676"/>
      <c r="C24" s="2676"/>
      <c r="D24" s="2676"/>
      <c r="E24" s="2676"/>
      <c r="F24" s="139"/>
      <c r="G24" s="2311" t="s">
        <v>1358</v>
      </c>
      <c r="H24" s="2321"/>
      <c r="I24" s="1621">
        <f>+Data!$A$2</f>
        <v>45473</v>
      </c>
      <c r="J24" s="2321"/>
      <c r="K24" s="2311" t="s">
        <v>1359</v>
      </c>
      <c r="L24" s="2321"/>
      <c r="M24" s="2311" t="s">
        <v>677</v>
      </c>
      <c r="N24" s="2321"/>
      <c r="O24" s="2311" t="s">
        <v>677</v>
      </c>
      <c r="P24" s="2321"/>
      <c r="Q24" s="2321" t="s">
        <v>1379</v>
      </c>
      <c r="R24" s="2321"/>
      <c r="S24" s="1324"/>
      <c r="T24" s="2321"/>
      <c r="U24" s="2321"/>
    </row>
    <row r="25" spans="1:21" s="81" customFormat="1" ht="15" customHeight="1" x14ac:dyDescent="0.2">
      <c r="A25" s="2702" t="s">
        <v>1380</v>
      </c>
      <c r="B25" s="2702"/>
      <c r="C25" s="2702"/>
      <c r="D25" s="2702"/>
      <c r="E25" s="2702"/>
      <c r="F25" s="139"/>
      <c r="G25" s="1245"/>
      <c r="H25" s="139"/>
      <c r="I25" s="1245"/>
      <c r="J25" s="139"/>
      <c r="K25" s="1245"/>
      <c r="L25" s="139"/>
      <c r="M25" s="527"/>
      <c r="N25" s="139"/>
      <c r="O25" s="528"/>
      <c r="P25" s="139"/>
      <c r="Q25" s="515"/>
      <c r="R25" s="513" t="s">
        <v>1381</v>
      </c>
      <c r="S25" s="1323" t="s">
        <v>1382</v>
      </c>
      <c r="T25" s="139"/>
      <c r="U25" s="139"/>
    </row>
    <row r="26" spans="1:21" s="81" customFormat="1" ht="14.1" customHeight="1" x14ac:dyDescent="0.2">
      <c r="A26" s="2702" t="s">
        <v>1380</v>
      </c>
      <c r="B26" s="2702"/>
      <c r="C26" s="2702"/>
      <c r="D26" s="2702"/>
      <c r="E26" s="2702"/>
      <c r="F26" s="139"/>
      <c r="G26" s="1245"/>
      <c r="H26" s="139"/>
      <c r="I26" s="1245"/>
      <c r="J26" s="139"/>
      <c r="K26" s="1245"/>
      <c r="L26" s="139"/>
      <c r="M26" s="528"/>
      <c r="N26" s="139"/>
      <c r="O26" s="528"/>
      <c r="P26" s="139"/>
      <c r="Q26" s="516"/>
      <c r="R26" s="513" t="s">
        <v>1383</v>
      </c>
      <c r="S26" s="1323" t="s">
        <v>1382</v>
      </c>
      <c r="T26" s="139"/>
      <c r="U26" s="139"/>
    </row>
    <row r="27" spans="1:21" s="81" customFormat="1" ht="14.1" customHeight="1" x14ac:dyDescent="0.2">
      <c r="A27" s="2702" t="s">
        <v>1380</v>
      </c>
      <c r="B27" s="2702"/>
      <c r="C27" s="2702"/>
      <c r="D27" s="2702"/>
      <c r="E27" s="2702"/>
      <c r="F27" s="139"/>
      <c r="G27" s="1245"/>
      <c r="H27" s="139"/>
      <c r="I27" s="1245"/>
      <c r="J27" s="139"/>
      <c r="K27" s="1245"/>
      <c r="L27" s="139"/>
      <c r="M27" s="528"/>
      <c r="N27" s="139"/>
      <c r="O27" s="528"/>
      <c r="P27" s="139"/>
      <c r="Q27" s="516"/>
      <c r="R27" s="513" t="s">
        <v>1384</v>
      </c>
      <c r="S27" s="1323" t="s">
        <v>1382</v>
      </c>
      <c r="T27" s="139"/>
      <c r="U27" s="139"/>
    </row>
    <row r="28" spans="1:21" s="81" customFormat="1" ht="14.1" customHeight="1" x14ac:dyDescent="0.2">
      <c r="A28" s="2702" t="s">
        <v>1380</v>
      </c>
      <c r="B28" s="2702"/>
      <c r="C28" s="2702"/>
      <c r="D28" s="2702"/>
      <c r="E28" s="2702"/>
      <c r="F28" s="139"/>
      <c r="G28" s="1245"/>
      <c r="H28" s="139"/>
      <c r="I28" s="1245"/>
      <c r="J28" s="139"/>
      <c r="K28" s="1245"/>
      <c r="L28" s="139"/>
      <c r="M28" s="528"/>
      <c r="N28" s="139"/>
      <c r="O28" s="528"/>
      <c r="P28" s="139"/>
      <c r="Q28" s="516"/>
      <c r="R28" s="513" t="s">
        <v>1385</v>
      </c>
      <c r="S28" s="1323" t="s">
        <v>1382</v>
      </c>
      <c r="T28" s="139"/>
      <c r="U28" s="139"/>
    </row>
    <row r="29" spans="1:21" s="81" customFormat="1" ht="14.1" customHeight="1" x14ac:dyDescent="0.2">
      <c r="A29" s="2702" t="s">
        <v>1380</v>
      </c>
      <c r="B29" s="2702"/>
      <c r="C29" s="2702"/>
      <c r="D29" s="2702"/>
      <c r="E29" s="2702"/>
      <c r="F29" s="139"/>
      <c r="G29" s="1245"/>
      <c r="H29" s="139"/>
      <c r="I29" s="1245"/>
      <c r="J29" s="139"/>
      <c r="K29" s="1245"/>
      <c r="L29" s="139"/>
      <c r="M29" s="528"/>
      <c r="N29" s="139"/>
      <c r="O29" s="528"/>
      <c r="P29" s="139"/>
      <c r="Q29" s="516"/>
      <c r="R29" s="513" t="s">
        <v>1386</v>
      </c>
      <c r="S29" s="1323" t="s">
        <v>1382</v>
      </c>
      <c r="T29" s="139"/>
      <c r="U29" s="139"/>
    </row>
    <row r="30" spans="1:21" s="81" customFormat="1" ht="14.1" customHeight="1" thickBot="1" x14ac:dyDescent="0.25">
      <c r="A30" s="2323" t="s">
        <v>1373</v>
      </c>
      <c r="B30" s="139"/>
      <c r="C30" s="2720"/>
      <c r="D30" s="2720"/>
      <c r="E30" s="2720"/>
      <c r="F30" s="139"/>
      <c r="G30" s="1245"/>
      <c r="H30" s="139"/>
      <c r="I30" s="1582"/>
      <c r="J30" s="139"/>
      <c r="K30" s="1245"/>
      <c r="L30" s="139"/>
      <c r="M30" s="528"/>
      <c r="N30" s="139"/>
      <c r="O30" s="528"/>
      <c r="P30" s="139"/>
      <c r="Q30" s="516"/>
      <c r="R30" s="513" t="s">
        <v>1387</v>
      </c>
      <c r="S30" s="1323" t="s">
        <v>1382</v>
      </c>
      <c r="T30" s="139"/>
      <c r="U30" s="139"/>
    </row>
    <row r="31" spans="1:21" s="81" customFormat="1" ht="14.1" customHeight="1" thickBot="1" x14ac:dyDescent="0.25">
      <c r="A31" s="2323"/>
      <c r="B31" s="139" t="s">
        <v>962</v>
      </c>
      <c r="C31" s="139"/>
      <c r="D31" s="978"/>
      <c r="E31" s="978"/>
      <c r="F31" s="139"/>
      <c r="G31" s="758"/>
      <c r="H31" s="139"/>
      <c r="I31" s="1622">
        <f>SUM(I25:I30)</f>
        <v>0</v>
      </c>
      <c r="J31" s="139"/>
      <c r="K31" s="1246"/>
      <c r="L31" s="139"/>
      <c r="M31" s="979"/>
      <c r="N31" s="139"/>
      <c r="O31" s="979"/>
      <c r="P31" s="139"/>
      <c r="Q31" s="980"/>
      <c r="R31" s="513"/>
      <c r="S31" s="1323"/>
      <c r="T31" s="139"/>
      <c r="U31" s="139"/>
    </row>
    <row r="32" spans="1:21" s="81" customFormat="1" ht="8.1" customHeight="1" thickTop="1" x14ac:dyDescent="0.2">
      <c r="A32" s="870"/>
      <c r="B32" s="139"/>
      <c r="C32" s="139"/>
      <c r="D32" s="139"/>
      <c r="E32" s="139"/>
      <c r="F32" s="139"/>
      <c r="G32" s="139"/>
      <c r="H32" s="139"/>
      <c r="I32" s="139"/>
      <c r="J32" s="139"/>
      <c r="K32" s="139"/>
      <c r="L32" s="139"/>
      <c r="M32" s="139"/>
      <c r="N32" s="139"/>
      <c r="O32" s="139"/>
      <c r="P32" s="139"/>
      <c r="Q32" s="139"/>
      <c r="R32" s="139"/>
      <c r="S32" s="1323"/>
      <c r="T32" s="139"/>
      <c r="U32" s="139"/>
    </row>
    <row r="33" spans="1:21" ht="12.75" x14ac:dyDescent="0.2">
      <c r="A33" s="921" t="s">
        <v>1388</v>
      </c>
      <c r="B33" s="526"/>
      <c r="C33" s="526"/>
      <c r="D33" s="526"/>
      <c r="E33" s="526"/>
      <c r="F33"/>
      <c r="G33" s="2300" t="s">
        <v>1389</v>
      </c>
      <c r="H33"/>
      <c r="I33" s="2300"/>
      <c r="J33"/>
      <c r="K33"/>
      <c r="L33"/>
      <c r="M33"/>
      <c r="N33"/>
      <c r="O33"/>
      <c r="P33"/>
      <c r="Q33"/>
    </row>
    <row r="34" spans="1:21" ht="12.75" x14ac:dyDescent="0.2">
      <c r="A34" s="2714" t="s">
        <v>1390</v>
      </c>
      <c r="B34" s="2714"/>
      <c r="C34" s="2714"/>
      <c r="D34" s="2714"/>
      <c r="E34" s="2714"/>
      <c r="F34"/>
      <c r="G34" s="2325" t="s">
        <v>1391</v>
      </c>
      <c r="H34"/>
      <c r="I34" s="2300"/>
      <c r="J34"/>
      <c r="K34"/>
      <c r="L34"/>
      <c r="M34"/>
      <c r="N34"/>
      <c r="O34"/>
      <c r="P34"/>
      <c r="Q34"/>
    </row>
    <row r="35" spans="1:21" ht="15" customHeight="1" x14ac:dyDescent="0.2">
      <c r="A35" s="870" t="s">
        <v>1392</v>
      </c>
      <c r="B35" s="1603"/>
      <c r="D35" s="870"/>
      <c r="F35" s="870"/>
      <c r="G35" s="517"/>
      <c r="H35" s="870"/>
      <c r="I35" s="1623"/>
      <c r="J35" s="870"/>
      <c r="K35" s="870"/>
      <c r="L35" s="139"/>
      <c r="M35" s="139"/>
      <c r="N35" s="139"/>
      <c r="O35" s="139"/>
      <c r="P35" s="139"/>
      <c r="Q35" s="139"/>
    </row>
    <row r="36" spans="1:21" ht="13.35" customHeight="1" x14ac:dyDescent="0.2">
      <c r="A36" s="921" t="s">
        <v>1393</v>
      </c>
      <c r="D36" s="1604"/>
      <c r="F36" s="870"/>
      <c r="G36" s="1603"/>
      <c r="H36" s="870"/>
      <c r="I36" s="870"/>
      <c r="J36" s="870"/>
      <c r="K36" s="870"/>
      <c r="L36" s="139"/>
      <c r="M36" s="139"/>
      <c r="N36" s="139"/>
      <c r="O36" s="139"/>
      <c r="P36" s="139"/>
      <c r="Q36" s="139"/>
    </row>
    <row r="37" spans="1:21" ht="12.6" customHeight="1" x14ac:dyDescent="0.2">
      <c r="A37" s="2323" t="s">
        <v>1394</v>
      </c>
      <c r="B37" s="1603"/>
      <c r="C37" s="1624"/>
      <c r="D37" s="870"/>
      <c r="F37" s="870"/>
      <c r="G37" s="517"/>
      <c r="H37" s="870"/>
      <c r="I37" s="1623"/>
      <c r="J37" s="870"/>
      <c r="K37" s="870"/>
      <c r="L37" s="139"/>
      <c r="M37" s="139"/>
      <c r="N37" s="139"/>
      <c r="O37" s="139"/>
      <c r="P37" s="139"/>
      <c r="Q37" s="139"/>
    </row>
    <row r="38" spans="1:21" ht="12.6" customHeight="1" x14ac:dyDescent="0.2">
      <c r="A38" s="2323" t="s">
        <v>1395</v>
      </c>
      <c r="B38" s="1603"/>
      <c r="C38" s="1624"/>
      <c r="D38" s="1604"/>
      <c r="F38" s="870"/>
      <c r="G38" s="518"/>
      <c r="H38" s="870"/>
      <c r="I38" s="1623"/>
      <c r="J38" s="870"/>
      <c r="K38" s="870"/>
      <c r="L38" s="139"/>
      <c r="M38" s="139"/>
      <c r="N38" s="139"/>
      <c r="O38" s="139"/>
      <c r="P38" s="139"/>
      <c r="Q38" s="139"/>
    </row>
    <row r="39" spans="1:21" ht="12.6" customHeight="1" x14ac:dyDescent="0.2">
      <c r="A39" s="2323" t="s">
        <v>1396</v>
      </c>
      <c r="B39" s="1604"/>
      <c r="D39" s="870"/>
      <c r="F39" s="870"/>
      <c r="G39" s="518"/>
      <c r="H39" s="870"/>
      <c r="I39" s="1623"/>
      <c r="J39" s="870"/>
      <c r="K39" s="870"/>
      <c r="L39" s="139"/>
      <c r="M39" s="139"/>
      <c r="N39" s="139"/>
      <c r="O39" s="139"/>
      <c r="P39" s="139"/>
      <c r="Q39" s="139"/>
    </row>
    <row r="40" spans="1:21" ht="12" customHeight="1" x14ac:dyDescent="0.2">
      <c r="A40" s="139"/>
      <c r="B40" s="139"/>
      <c r="C40" s="139"/>
      <c r="D40" s="139"/>
      <c r="E40" s="139"/>
      <c r="F40" s="139"/>
      <c r="G40" s="139"/>
      <c r="H40" s="139"/>
      <c r="I40" s="139"/>
      <c r="J40" s="139"/>
      <c r="K40" s="139"/>
      <c r="L40" s="139"/>
      <c r="M40" s="139"/>
      <c r="N40" s="139"/>
      <c r="O40" s="139"/>
      <c r="P40" s="139"/>
      <c r="Q40" s="139"/>
    </row>
    <row r="41" spans="1:21" ht="11.85" customHeight="1" x14ac:dyDescent="0.2">
      <c r="A41" s="2718" t="s">
        <v>1397</v>
      </c>
      <c r="B41" s="2548"/>
      <c r="C41" s="2548"/>
      <c r="D41" s="2548"/>
      <c r="E41" s="2548"/>
      <c r="F41" s="2548"/>
      <c r="G41" s="2548"/>
      <c r="H41" s="2548"/>
      <c r="I41" s="2548"/>
      <c r="J41" s="2548"/>
      <c r="K41" s="2548"/>
      <c r="L41" s="2548"/>
      <c r="M41" s="2548"/>
      <c r="N41" s="2548"/>
      <c r="O41" s="2548"/>
      <c r="P41" s="2548"/>
      <c r="Q41" s="2548"/>
      <c r="R41" s="2548"/>
      <c r="S41" s="1326"/>
      <c r="T41" s="2326"/>
      <c r="U41" s="2326"/>
    </row>
    <row r="42" spans="1:21" ht="11.85" customHeight="1" x14ac:dyDescent="0.2">
      <c r="A42" s="2718" t="s">
        <v>1398</v>
      </c>
      <c r="B42" s="2548"/>
      <c r="C42" s="2548"/>
      <c r="D42" s="2548"/>
      <c r="E42" s="2548"/>
      <c r="F42" s="2548"/>
      <c r="G42" s="2548"/>
      <c r="H42" s="2548"/>
      <c r="I42" s="2548"/>
      <c r="J42" s="2548"/>
      <c r="K42" s="2548"/>
      <c r="L42" s="2548"/>
      <c r="M42" s="2548"/>
      <c r="N42" s="2548"/>
      <c r="O42" s="2548"/>
      <c r="P42" s="2548"/>
      <c r="Q42" s="2548"/>
      <c r="R42" s="2548"/>
      <c r="S42" s="1326"/>
      <c r="T42" s="2326"/>
      <c r="U42" s="2326"/>
    </row>
    <row r="43" spans="1:21" ht="11.85" customHeight="1" x14ac:dyDescent="0.2">
      <c r="A43" s="2719" t="s">
        <v>1399</v>
      </c>
      <c r="B43" s="2552"/>
      <c r="C43" s="2552"/>
      <c r="D43" s="2552"/>
      <c r="E43" s="2552"/>
      <c r="F43" s="2552"/>
      <c r="G43" s="2552"/>
      <c r="H43" s="2552"/>
      <c r="I43" s="2552"/>
      <c r="J43" s="2552"/>
      <c r="K43" s="2552"/>
      <c r="L43" s="2552"/>
      <c r="M43" s="2552"/>
      <c r="N43" s="2552"/>
      <c r="O43" s="2552"/>
      <c r="P43" s="2552"/>
      <c r="Q43" s="2552"/>
      <c r="R43" s="2552"/>
      <c r="S43" s="1326"/>
      <c r="T43" s="2326"/>
      <c r="U43" s="2326"/>
    </row>
    <row r="44" spans="1:21" ht="2.1" customHeight="1" x14ac:dyDescent="0.2"/>
  </sheetData>
  <sheetProtection algorithmName="SHA-512" hashValue="+xN2bGr6XBnqOyXv8dMJToDelmDvksVZv/oOLKxUrsFBH7xTRschjkCVUugCi426psYNms+2Xnx8/4L4O2pnJA==" saltValue="8+vURSXgzeraPOX58CLf9A==" spinCount="100000" sheet="1" autoFilter="0"/>
  <customSheetViews>
    <customSheetView guid="{9FCFC836-1CA5-48BF-958D-24D2EA94B219}" showGridLines="0">
      <selection activeCell="L5" sqref="L5:Q5"/>
      <pageMargins left="0" right="0" top="0" bottom="0" header="0" footer="0"/>
      <pageSetup orientation="landscape" r:id="rId1"/>
      <headerFooter alignWithMargins="0">
        <oddFooter>&amp;R&amp;A</oddFooter>
      </headerFooter>
    </customSheetView>
    <customSheetView guid="{B08879A4-635B-4C39-9937-AC7883D562FC}" showGridLines="0">
      <selection activeCell="L5" sqref="L5:Q5"/>
      <pageMargins left="0" right="0" top="0" bottom="0" header="0" footer="0"/>
      <pageSetup orientation="landscape" r:id="rId2"/>
      <headerFooter alignWithMargins="0">
        <oddFooter>&amp;R&amp;A</oddFooter>
      </headerFooter>
    </customSheetView>
  </customSheetViews>
  <mergeCells count="45">
    <mergeCell ref="A41:R41"/>
    <mergeCell ref="A42:R42"/>
    <mergeCell ref="A43:R43"/>
    <mergeCell ref="A17:E17"/>
    <mergeCell ref="M18:N18"/>
    <mergeCell ref="M20:N20"/>
    <mergeCell ref="A27:E27"/>
    <mergeCell ref="A29:E29"/>
    <mergeCell ref="A20:B20"/>
    <mergeCell ref="M21:N21"/>
    <mergeCell ref="C30:E30"/>
    <mergeCell ref="A34:E34"/>
    <mergeCell ref="A28:E28"/>
    <mergeCell ref="A25:E25"/>
    <mergeCell ref="A26:E26"/>
    <mergeCell ref="A24:E24"/>
    <mergeCell ref="W12:Y12"/>
    <mergeCell ref="M11:N11"/>
    <mergeCell ref="M12:N12"/>
    <mergeCell ref="M13:N13"/>
    <mergeCell ref="M14:N14"/>
    <mergeCell ref="L6:Q6"/>
    <mergeCell ref="D7:E7"/>
    <mergeCell ref="L7:Q7"/>
    <mergeCell ref="L8:Q8"/>
    <mergeCell ref="A13:E13"/>
    <mergeCell ref="A12:E12"/>
    <mergeCell ref="A1:Q1"/>
    <mergeCell ref="R1:R3"/>
    <mergeCell ref="A2:Q2"/>
    <mergeCell ref="A3:Q3"/>
    <mergeCell ref="L5:Q5"/>
    <mergeCell ref="S23:U23"/>
    <mergeCell ref="A14:E14"/>
    <mergeCell ref="A15:E15"/>
    <mergeCell ref="C20:E20"/>
    <mergeCell ref="C21:E21"/>
    <mergeCell ref="A21:B21"/>
    <mergeCell ref="A19:E19"/>
    <mergeCell ref="M15:N15"/>
    <mergeCell ref="M16:N16"/>
    <mergeCell ref="A16:E16"/>
    <mergeCell ref="A18:E18"/>
    <mergeCell ref="M17:N17"/>
    <mergeCell ref="M19:N19"/>
  </mergeCells>
  <conditionalFormatting sqref="R1:R3">
    <cfRule type="cellIs" dxfId="122" priority="1" stopIfTrue="1" operator="equal">
      <formula>"na"</formula>
    </cfRule>
  </conditionalFormatting>
  <hyperlinks>
    <hyperlink ref="A1:Q1" location="Index!A1" display="Index!A1" xr:uid="{00000000-0004-0000-1400-000000000000}"/>
  </hyperlinks>
  <pageMargins left="0.6" right="0.6" top="0.5" bottom="0.5" header="0.3" footer="0.3"/>
  <pageSetup scale="85" orientation="landscape" r:id="rId3"/>
  <ignoredErrors>
    <ignoredError sqref="O13" numberStoredAsText="1"/>
  </ignoredErrors>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8"/>
  <dimension ref="A1:AE41"/>
  <sheetViews>
    <sheetView showGridLines="0" zoomScaleNormal="100" zoomScaleSheetLayoutView="100" workbookViewId="0">
      <selection sqref="A1:Q1"/>
    </sheetView>
  </sheetViews>
  <sheetFormatPr defaultColWidth="9.42578125" defaultRowHeight="11.25" x14ac:dyDescent="0.2"/>
  <cols>
    <col min="1" max="1" width="3" style="28" customWidth="1"/>
    <col min="2" max="2" width="2.5703125" style="28" customWidth="1"/>
    <col min="3" max="3" width="9.42578125" style="28" customWidth="1"/>
    <col min="4" max="4" width="1.5703125" style="28" customWidth="1"/>
    <col min="5" max="5" width="13.42578125" style="28" customWidth="1"/>
    <col min="6" max="6" width="1.42578125" style="28" customWidth="1"/>
    <col min="7" max="7" width="24" style="28" customWidth="1"/>
    <col min="8" max="8" width="1.42578125" style="28" customWidth="1"/>
    <col min="9" max="9" width="14.5703125" style="28" customWidth="1"/>
    <col min="10" max="10" width="1.42578125" style="28" customWidth="1"/>
    <col min="11" max="11" width="16.5703125" style="28" customWidth="1"/>
    <col min="12" max="12" width="1.42578125" style="28" customWidth="1"/>
    <col min="13" max="13" width="14.5703125" style="28" customWidth="1"/>
    <col min="14" max="14" width="1.42578125" style="28" customWidth="1"/>
    <col min="15" max="15" width="9.5703125" style="28" customWidth="1"/>
    <col min="16" max="16" width="1.42578125" style="28" customWidth="1"/>
    <col min="17" max="17" width="9.5703125" style="28" customWidth="1"/>
    <col min="18" max="18" width="4.5703125" style="28" customWidth="1"/>
    <col min="19" max="19" width="3.85546875" style="28" customWidth="1"/>
    <col min="20" max="20" width="1.5703125" style="28" customWidth="1"/>
    <col min="21" max="21" width="8.5703125" style="28" customWidth="1"/>
    <col min="22" max="16384" width="9.42578125" style="28"/>
  </cols>
  <sheetData>
    <row r="1" spans="1:31" s="29" customFormat="1" ht="15" customHeight="1" x14ac:dyDescent="0.25">
      <c r="A1" s="2553" t="str">
        <f>+Index!$A$1</f>
        <v xml:space="preserve">                                                               Office of the State Controller                                                                </v>
      </c>
      <c r="B1" s="2553"/>
      <c r="C1" s="2553"/>
      <c r="D1" s="2553"/>
      <c r="E1" s="2553"/>
      <c r="F1" s="2553"/>
      <c r="G1" s="2553"/>
      <c r="H1" s="2553"/>
      <c r="I1" s="2553"/>
      <c r="J1" s="2553"/>
      <c r="K1" s="2553"/>
      <c r="L1" s="2553"/>
      <c r="M1" s="2553"/>
      <c r="N1" s="2553"/>
      <c r="O1" s="2553"/>
      <c r="P1" s="2553"/>
      <c r="Q1" s="2553"/>
      <c r="R1" s="2626" t="str">
        <f>IF(Index!$B$45="na","NA","")</f>
        <v/>
      </c>
      <c r="AE1" s="30"/>
    </row>
    <row r="2" spans="1:31" s="29" customFormat="1" ht="15" customHeight="1" x14ac:dyDescent="0.25">
      <c r="A2" s="2597" t="str">
        <f>+Index!$A$2</f>
        <v>2024 ACFR Worksheets</v>
      </c>
      <c r="B2" s="2597"/>
      <c r="C2" s="2597"/>
      <c r="D2" s="2597"/>
      <c r="E2" s="2597"/>
      <c r="F2" s="2597"/>
      <c r="G2" s="2597"/>
      <c r="H2" s="2597"/>
      <c r="I2" s="2597"/>
      <c r="J2" s="2597"/>
      <c r="K2" s="2597"/>
      <c r="L2" s="2597"/>
      <c r="M2" s="2597"/>
      <c r="N2" s="2597"/>
      <c r="O2" s="2597"/>
      <c r="P2" s="2597"/>
      <c r="Q2" s="2597"/>
      <c r="R2" s="2626"/>
    </row>
    <row r="3" spans="1:31" s="29" customFormat="1" ht="15" customHeight="1" x14ac:dyDescent="0.25">
      <c r="A3" s="2597" t="s">
        <v>1400</v>
      </c>
      <c r="B3" s="2597"/>
      <c r="C3" s="2597"/>
      <c r="D3" s="2597"/>
      <c r="E3" s="2597"/>
      <c r="F3" s="2597"/>
      <c r="G3" s="2597"/>
      <c r="H3" s="2597"/>
      <c r="I3" s="2597"/>
      <c r="J3" s="2597"/>
      <c r="K3" s="2597"/>
      <c r="L3" s="2597"/>
      <c r="M3" s="2597"/>
      <c r="N3" s="2597"/>
      <c r="O3" s="2597"/>
      <c r="P3" s="2597"/>
      <c r="Q3" s="2597"/>
      <c r="R3" s="2626"/>
    </row>
    <row r="4" spans="1:31" s="81" customFormat="1" ht="15" customHeight="1" x14ac:dyDescent="0.2">
      <c r="A4" s="139"/>
      <c r="B4" s="139"/>
      <c r="C4" s="139"/>
      <c r="D4" s="139"/>
      <c r="E4" s="139"/>
      <c r="F4" s="139"/>
      <c r="G4" s="139"/>
      <c r="H4" s="2321"/>
      <c r="I4" s="139"/>
      <c r="J4" s="139"/>
      <c r="K4" s="139"/>
      <c r="L4" s="139"/>
      <c r="M4" s="139"/>
      <c r="N4" s="139"/>
      <c r="O4" s="139"/>
      <c r="P4" s="139"/>
      <c r="Q4" s="139"/>
      <c r="R4" s="139"/>
      <c r="S4" s="139"/>
      <c r="T4" s="139"/>
      <c r="U4" s="139"/>
      <c r="V4" s="139"/>
      <c r="W4" s="139"/>
      <c r="X4" s="139"/>
      <c r="Y4" s="139"/>
      <c r="Z4" s="139"/>
      <c r="AA4" s="139"/>
      <c r="AB4" s="139"/>
      <c r="AC4" s="139"/>
      <c r="AD4" s="139"/>
      <c r="AE4" s="139"/>
    </row>
    <row r="5" spans="1:31" s="81" customFormat="1" ht="15" customHeight="1" x14ac:dyDescent="0.2">
      <c r="A5" s="139"/>
      <c r="B5" s="139"/>
      <c r="C5" s="139"/>
      <c r="D5" s="2321"/>
      <c r="E5" s="139"/>
      <c r="F5" s="139"/>
      <c r="G5" s="139"/>
      <c r="H5" s="139"/>
      <c r="I5" s="139"/>
      <c r="J5" s="1618"/>
      <c r="K5" s="1554" t="s">
        <v>318</v>
      </c>
      <c r="L5" s="2709" t="str">
        <f>Index!E10</f>
        <v>01</v>
      </c>
      <c r="M5" s="2710"/>
      <c r="N5" s="2710"/>
      <c r="O5" s="2710"/>
      <c r="P5" s="2710"/>
      <c r="Q5" s="2710"/>
      <c r="R5" s="1595"/>
      <c r="S5" s="139"/>
      <c r="T5" s="139"/>
      <c r="U5" s="139"/>
      <c r="V5" s="139"/>
      <c r="W5" s="139"/>
      <c r="X5" s="139"/>
      <c r="Y5" s="139"/>
      <c r="Z5" s="139"/>
      <c r="AA5" s="139"/>
      <c r="AB5" s="139"/>
      <c r="AC5" s="139"/>
      <c r="AD5" s="139"/>
      <c r="AE5" s="139"/>
    </row>
    <row r="6" spans="1:31" s="81" customFormat="1" ht="15" customHeight="1" x14ac:dyDescent="0.2">
      <c r="A6" s="139"/>
      <c r="B6" s="139"/>
      <c r="C6" s="139"/>
      <c r="D6" s="139"/>
      <c r="E6" s="139"/>
      <c r="F6" s="139"/>
      <c r="G6" s="139"/>
      <c r="H6" s="139"/>
      <c r="I6" s="139"/>
      <c r="J6" s="1618"/>
      <c r="K6" s="1554" t="s">
        <v>319</v>
      </c>
      <c r="L6" s="2709" t="str">
        <f>Index!E11</f>
        <v>North Carolina General Assembly</v>
      </c>
      <c r="M6" s="2710"/>
      <c r="N6" s="2710"/>
      <c r="O6" s="2710"/>
      <c r="P6" s="2710"/>
      <c r="Q6" s="2710"/>
      <c r="R6" s="1595"/>
      <c r="S6" s="139"/>
      <c r="T6" s="139"/>
      <c r="U6" s="139"/>
      <c r="V6" s="139"/>
      <c r="W6" s="139"/>
      <c r="X6" s="139"/>
      <c r="Y6" s="139"/>
      <c r="Z6" s="139"/>
      <c r="AA6" s="139"/>
      <c r="AB6" s="139"/>
      <c r="AC6" s="139"/>
      <c r="AD6" s="139"/>
      <c r="AE6" s="139"/>
    </row>
    <row r="7" spans="1:31" s="81" customFormat="1" ht="15" customHeight="1" x14ac:dyDescent="0.2">
      <c r="A7" s="139" t="s">
        <v>545</v>
      </c>
      <c r="B7" s="139"/>
      <c r="C7" s="139"/>
      <c r="D7" s="2676" t="s">
        <v>498</v>
      </c>
      <c r="E7" s="2677"/>
      <c r="F7" s="139"/>
      <c r="G7" s="139"/>
      <c r="H7" s="139"/>
      <c r="I7" s="139"/>
      <c r="J7" s="1619"/>
      <c r="K7" s="1554" t="s">
        <v>320</v>
      </c>
      <c r="L7" s="2711" t="str">
        <f>CONCATENATE(Index!$E$12, " ", Index!$E$14)</f>
        <v xml:space="preserve"> </v>
      </c>
      <c r="M7" s="2712"/>
      <c r="N7" s="2712"/>
      <c r="O7" s="2712"/>
      <c r="P7" s="2712"/>
      <c r="Q7" s="2712"/>
      <c r="R7" s="1596"/>
      <c r="S7" s="139"/>
      <c r="T7" s="139"/>
      <c r="U7" s="139"/>
      <c r="V7" s="139"/>
      <c r="W7" s="139"/>
      <c r="X7" s="139"/>
      <c r="Y7" s="139"/>
      <c r="Z7" s="139"/>
      <c r="AA7" s="139"/>
      <c r="AB7" s="139"/>
      <c r="AC7" s="139"/>
      <c r="AD7" s="139"/>
      <c r="AE7" s="139"/>
    </row>
    <row r="8" spans="1:31" s="81" customFormat="1" ht="15" customHeight="1" x14ac:dyDescent="0.2">
      <c r="A8" s="139"/>
      <c r="B8" s="139"/>
      <c r="C8" s="139"/>
      <c r="D8" s="2321"/>
      <c r="E8" s="139"/>
      <c r="F8" s="139"/>
      <c r="G8" s="139"/>
      <c r="H8" s="139"/>
      <c r="I8" s="139"/>
      <c r="J8" s="1620"/>
      <c r="K8" s="1554" t="s">
        <v>168</v>
      </c>
      <c r="L8" s="2713">
        <f>Index!E13</f>
        <v>0</v>
      </c>
      <c r="M8" s="2712"/>
      <c r="N8" s="2712"/>
      <c r="O8" s="2712"/>
      <c r="P8" s="2712"/>
      <c r="Q8" s="2712"/>
      <c r="R8" s="1597"/>
      <c r="S8" s="139"/>
      <c r="T8" s="139"/>
      <c r="U8" s="139"/>
      <c r="V8" s="139"/>
      <c r="W8" s="139"/>
      <c r="X8" s="139"/>
      <c r="Y8" s="139"/>
      <c r="Z8" s="139"/>
      <c r="AA8" s="139"/>
      <c r="AB8" s="139"/>
      <c r="AC8" s="139"/>
      <c r="AD8" s="139"/>
      <c r="AE8" s="139"/>
    </row>
    <row r="9" spans="1:31" s="81" customFormat="1" ht="6" customHeight="1" thickBot="1" x14ac:dyDescent="0.25">
      <c r="A9" s="1556"/>
      <c r="B9" s="1556"/>
      <c r="C9" s="1556"/>
      <c r="D9" s="1556"/>
      <c r="E9" s="1556"/>
      <c r="F9" s="1556"/>
      <c r="G9" s="1556"/>
      <c r="H9" s="1556"/>
      <c r="I9" s="1556"/>
      <c r="J9" s="1556"/>
      <c r="K9" s="1556"/>
      <c r="L9" s="1556"/>
      <c r="M9" s="1556"/>
      <c r="N9" s="1556"/>
      <c r="O9" s="1556"/>
      <c r="P9" s="1556"/>
      <c r="Q9" s="1556"/>
      <c r="R9" s="139"/>
      <c r="S9" s="139"/>
      <c r="T9" s="139"/>
      <c r="U9" s="139"/>
      <c r="V9" s="139"/>
      <c r="W9" s="139"/>
      <c r="X9" s="139"/>
      <c r="Y9" s="139"/>
      <c r="Z9" s="139"/>
      <c r="AA9" s="139"/>
      <c r="AB9" s="139"/>
      <c r="AC9" s="139"/>
      <c r="AD9" s="139"/>
      <c r="AE9" s="139"/>
    </row>
    <row r="10" spans="1:31" s="81" customFormat="1" ht="12" customHeight="1" x14ac:dyDescent="0.2">
      <c r="A10" s="2310"/>
      <c r="B10"/>
      <c r="C10"/>
      <c r="D10"/>
      <c r="E10"/>
      <c r="F10"/>
      <c r="G10"/>
      <c r="H10"/>
      <c r="I10"/>
      <c r="J10"/>
      <c r="K10"/>
      <c r="L10"/>
      <c r="M10"/>
      <c r="N10"/>
      <c r="O10"/>
      <c r="P10"/>
      <c r="Q10"/>
      <c r="R10" s="139"/>
      <c r="S10" s="139"/>
      <c r="T10" s="139"/>
      <c r="U10" s="139"/>
      <c r="V10" s="139"/>
      <c r="W10" s="139"/>
      <c r="X10" s="139"/>
      <c r="Y10" s="139"/>
      <c r="Z10" s="139"/>
      <c r="AA10" s="139"/>
      <c r="AB10" s="139"/>
      <c r="AC10" s="139"/>
      <c r="AD10" s="139"/>
      <c r="AE10" s="139"/>
    </row>
    <row r="11" spans="1:31" s="81" customFormat="1" ht="14.1" customHeight="1" x14ac:dyDescent="0.2">
      <c r="A11" s="2725"/>
      <c r="B11" s="2725"/>
      <c r="C11" s="2725"/>
      <c r="D11" s="2725"/>
      <c r="E11" s="2725"/>
      <c r="F11" s="139"/>
      <c r="G11" s="139"/>
      <c r="H11" s="139"/>
      <c r="I11" s="139"/>
      <c r="J11" s="139"/>
      <c r="K11" s="139"/>
      <c r="L11" s="139"/>
      <c r="M11" s="139"/>
      <c r="N11" s="139"/>
      <c r="O11" s="2697" t="s">
        <v>1401</v>
      </c>
      <c r="P11" s="2697"/>
      <c r="Q11" s="2697"/>
      <c r="R11" s="139"/>
      <c r="S11" s="2321"/>
      <c r="T11" s="2321"/>
      <c r="U11" s="2321"/>
      <c r="V11" s="139"/>
      <c r="W11" s="139"/>
      <c r="X11" s="139"/>
      <c r="Y11" s="139"/>
      <c r="Z11" s="139"/>
      <c r="AA11" s="139"/>
      <c r="AB11" s="139"/>
      <c r="AC11" s="139"/>
      <c r="AD11" s="139"/>
      <c r="AE11" s="139"/>
    </row>
    <row r="12" spans="1:31" s="81" customFormat="1" ht="14.1" customHeight="1" x14ac:dyDescent="0.2">
      <c r="A12" s="2725"/>
      <c r="B12" s="2725"/>
      <c r="C12" s="2725"/>
      <c r="D12" s="2725"/>
      <c r="E12" s="2725"/>
      <c r="F12" s="139"/>
      <c r="G12" s="2321" t="s">
        <v>1402</v>
      </c>
      <c r="H12" s="2321"/>
      <c r="I12" s="2321" t="s">
        <v>1403</v>
      </c>
      <c r="J12" s="2321"/>
      <c r="K12" s="2321" t="s">
        <v>1401</v>
      </c>
      <c r="L12" s="2321"/>
      <c r="M12" s="2321" t="s">
        <v>1404</v>
      </c>
      <c r="N12" s="2321"/>
      <c r="O12" s="2676" t="s">
        <v>1405</v>
      </c>
      <c r="P12" s="2676"/>
      <c r="Q12" s="2676"/>
      <c r="R12" s="2321"/>
      <c r="S12" s="2697"/>
      <c r="T12" s="2697"/>
      <c r="U12" s="2697"/>
      <c r="V12" s="139"/>
      <c r="W12" s="139"/>
      <c r="X12" s="139"/>
      <c r="Y12" s="139"/>
      <c r="Z12" s="139"/>
      <c r="AA12" s="139"/>
      <c r="AB12" s="139"/>
      <c r="AC12" s="139"/>
      <c r="AD12" s="139"/>
      <c r="AE12" s="139"/>
    </row>
    <row r="13" spans="1:31" s="81" customFormat="1" ht="14.1" customHeight="1" x14ac:dyDescent="0.2">
      <c r="A13" s="2723" t="s">
        <v>1374</v>
      </c>
      <c r="B13" s="2723"/>
      <c r="C13" s="2723"/>
      <c r="D13" s="2723"/>
      <c r="E13" s="2723"/>
      <c r="F13" s="139"/>
      <c r="G13" s="2311" t="s">
        <v>1406</v>
      </c>
      <c r="H13" s="2321"/>
      <c r="I13" s="1621" t="s">
        <v>1407</v>
      </c>
      <c r="J13" s="2321"/>
      <c r="K13" s="2311" t="s">
        <v>1408</v>
      </c>
      <c r="L13" s="2321"/>
      <c r="M13" s="2311" t="s">
        <v>1409</v>
      </c>
      <c r="N13" s="2321"/>
      <c r="O13" s="2311" t="s">
        <v>1410</v>
      </c>
      <c r="P13" s="2321"/>
      <c r="Q13" s="2311" t="s">
        <v>1411</v>
      </c>
      <c r="R13" s="2321"/>
      <c r="S13" s="2321"/>
      <c r="T13" s="2321"/>
      <c r="U13" s="2321"/>
      <c r="V13" s="139"/>
      <c r="W13" s="139"/>
      <c r="X13" s="139"/>
      <c r="Y13" s="139"/>
      <c r="Z13" s="139"/>
      <c r="AA13" s="139"/>
      <c r="AB13" s="139"/>
      <c r="AC13" s="139"/>
      <c r="AD13" s="139"/>
      <c r="AE13" s="139"/>
    </row>
    <row r="14" spans="1:31" s="81" customFormat="1" ht="16.350000000000001" customHeight="1" x14ac:dyDescent="0.25">
      <c r="A14" s="2724" t="s">
        <v>1380</v>
      </c>
      <c r="B14" s="2724"/>
      <c r="C14" s="2724"/>
      <c r="D14" s="2724"/>
      <c r="E14" s="2724"/>
      <c r="F14" s="139"/>
      <c r="G14" s="519"/>
      <c r="H14" s="139"/>
      <c r="I14" s="1245">
        <v>0</v>
      </c>
      <c r="J14" s="139"/>
      <c r="K14" s="519"/>
      <c r="L14" s="139"/>
      <c r="M14" s="1245"/>
      <c r="N14" s="139"/>
      <c r="O14" s="530"/>
      <c r="P14" s="139"/>
      <c r="Q14" s="515"/>
      <c r="R14" s="513"/>
      <c r="S14" s="139"/>
      <c r="T14" s="139"/>
      <c r="U14" s="139"/>
      <c r="V14" s="139"/>
      <c r="W14" s="139"/>
      <c r="X14" s="139"/>
      <c r="Y14" s="139"/>
      <c r="Z14" s="139"/>
      <c r="AA14" s="139"/>
      <c r="AB14" s="139"/>
      <c r="AC14" s="139"/>
      <c r="AD14" s="139"/>
      <c r="AE14" s="139"/>
    </row>
    <row r="15" spans="1:31" s="81" customFormat="1" ht="14.85" customHeight="1" x14ac:dyDescent="0.25">
      <c r="A15" s="2724" t="s">
        <v>1380</v>
      </c>
      <c r="B15" s="2724"/>
      <c r="C15" s="2724"/>
      <c r="D15" s="2724"/>
      <c r="E15" s="2724"/>
      <c r="F15" s="139"/>
      <c r="G15" s="519"/>
      <c r="H15" s="139"/>
      <c r="I15" s="1245">
        <v>0</v>
      </c>
      <c r="J15" s="139"/>
      <c r="K15" s="519"/>
      <c r="L15" s="139"/>
      <c r="M15" s="1245">
        <v>0</v>
      </c>
      <c r="N15" s="139"/>
      <c r="O15" s="530"/>
      <c r="P15" s="139"/>
      <c r="Q15" s="516"/>
      <c r="R15" s="513"/>
      <c r="S15" s="139"/>
      <c r="T15" s="139"/>
      <c r="U15" s="139"/>
      <c r="V15" s="139"/>
      <c r="W15" s="139"/>
      <c r="X15" s="139"/>
      <c r="Y15" s="139"/>
      <c r="Z15" s="139"/>
      <c r="AA15" s="139"/>
      <c r="AB15" s="139"/>
      <c r="AC15" s="139"/>
      <c r="AD15" s="139"/>
      <c r="AE15" s="139"/>
    </row>
    <row r="16" spans="1:31" s="81" customFormat="1" ht="14.85" customHeight="1" x14ac:dyDescent="0.25">
      <c r="A16" s="2724" t="s">
        <v>1380</v>
      </c>
      <c r="B16" s="2724"/>
      <c r="C16" s="2724"/>
      <c r="D16" s="2724"/>
      <c r="E16" s="2724"/>
      <c r="F16" s="139"/>
      <c r="G16" s="519"/>
      <c r="H16" s="139"/>
      <c r="I16" s="1245">
        <v>0</v>
      </c>
      <c r="J16" s="139"/>
      <c r="K16" s="519"/>
      <c r="L16" s="139"/>
      <c r="M16" s="1245">
        <v>0</v>
      </c>
      <c r="N16" s="139"/>
      <c r="O16" s="530"/>
      <c r="P16" s="139"/>
      <c r="Q16" s="516"/>
      <c r="R16" s="513"/>
      <c r="S16" s="139"/>
      <c r="T16" s="139"/>
      <c r="U16" s="139"/>
      <c r="V16" s="139"/>
      <c r="W16" s="139"/>
      <c r="X16" s="139"/>
      <c r="Y16" s="139"/>
      <c r="Z16" s="139"/>
      <c r="AA16" s="139"/>
      <c r="AB16" s="139"/>
      <c r="AC16" s="139"/>
      <c r="AD16" s="139"/>
      <c r="AE16" s="139"/>
    </row>
    <row r="17" spans="1:21" s="81" customFormat="1" ht="14.85" customHeight="1" x14ac:dyDescent="0.25">
      <c r="A17" s="2724" t="s">
        <v>1380</v>
      </c>
      <c r="B17" s="2724"/>
      <c r="C17" s="2724"/>
      <c r="D17" s="2724"/>
      <c r="E17" s="2724"/>
      <c r="F17" s="139"/>
      <c r="G17" s="519"/>
      <c r="H17" s="139"/>
      <c r="I17" s="1245">
        <v>0</v>
      </c>
      <c r="J17" s="139"/>
      <c r="K17" s="519"/>
      <c r="L17" s="139"/>
      <c r="M17" s="1245"/>
      <c r="N17" s="139"/>
      <c r="O17" s="530"/>
      <c r="P17" s="139"/>
      <c r="Q17" s="516"/>
      <c r="R17" s="513"/>
      <c r="S17" s="139"/>
      <c r="T17" s="139"/>
      <c r="U17" s="139"/>
    </row>
    <row r="18" spans="1:21" s="81" customFormat="1" ht="14.85" customHeight="1" x14ac:dyDescent="0.25">
      <c r="A18" s="2724" t="s">
        <v>1380</v>
      </c>
      <c r="B18" s="2724"/>
      <c r="C18" s="2724"/>
      <c r="D18" s="2724"/>
      <c r="E18" s="2724"/>
      <c r="F18" s="139"/>
      <c r="G18" s="519"/>
      <c r="H18" s="139"/>
      <c r="I18" s="1245">
        <v>0</v>
      </c>
      <c r="J18" s="139"/>
      <c r="K18" s="519"/>
      <c r="L18" s="139"/>
      <c r="M18" s="1245"/>
      <c r="N18" s="139"/>
      <c r="O18" s="530"/>
      <c r="P18" s="139"/>
      <c r="Q18" s="516"/>
      <c r="R18" s="513"/>
      <c r="S18" s="139"/>
      <c r="T18" s="139"/>
      <c r="U18" s="139"/>
    </row>
    <row r="19" spans="1:21" s="81" customFormat="1" ht="14.85" customHeight="1" x14ac:dyDescent="0.25">
      <c r="A19" s="514" t="s">
        <v>1373</v>
      </c>
      <c r="B19" s="139"/>
      <c r="C19" s="2703"/>
      <c r="D19" s="2703"/>
      <c r="E19" s="2703"/>
      <c r="F19" s="139"/>
      <c r="G19" s="519"/>
      <c r="H19" s="139"/>
      <c r="I19" s="1245">
        <v>0</v>
      </c>
      <c r="J19" s="139"/>
      <c r="K19" s="519"/>
      <c r="L19" s="139"/>
      <c r="M19" s="1245"/>
      <c r="N19" s="139"/>
      <c r="O19" s="530"/>
      <c r="P19" s="139"/>
      <c r="Q19" s="516"/>
      <c r="R19" s="513"/>
      <c r="S19" s="139"/>
      <c r="T19" s="139"/>
      <c r="U19" s="139"/>
    </row>
    <row r="20" spans="1:21" s="81" customFormat="1" ht="14.85" customHeight="1" x14ac:dyDescent="0.25">
      <c r="A20" s="514" t="s">
        <v>1373</v>
      </c>
      <c r="B20" s="139"/>
      <c r="C20" s="2704"/>
      <c r="D20" s="2704"/>
      <c r="E20" s="2704"/>
      <c r="F20" s="139"/>
      <c r="G20" s="519"/>
      <c r="H20" s="139"/>
      <c r="I20" s="1245">
        <v>0</v>
      </c>
      <c r="J20" s="139"/>
      <c r="K20" s="520"/>
      <c r="L20" s="139"/>
      <c r="M20" s="1245"/>
      <c r="N20" s="139"/>
      <c r="O20" s="530"/>
      <c r="P20" s="139"/>
      <c r="Q20" s="516"/>
      <c r="R20" s="513"/>
      <c r="S20" s="139"/>
      <c r="T20" s="139"/>
      <c r="U20" s="139"/>
    </row>
    <row r="21" spans="1:21" s="81" customFormat="1" ht="4.3499999999999996" customHeight="1" x14ac:dyDescent="0.25">
      <c r="A21" s="514"/>
      <c r="B21" s="139"/>
      <c r="C21" s="521"/>
      <c r="D21" s="521"/>
      <c r="E21" s="521"/>
      <c r="F21" s="139"/>
      <c r="G21" s="1625"/>
      <c r="H21" s="139"/>
      <c r="I21" s="1246"/>
      <c r="J21" s="139"/>
      <c r="K21" s="522"/>
      <c r="L21" s="139"/>
      <c r="M21" s="1246"/>
      <c r="N21" s="139"/>
      <c r="O21" s="523"/>
      <c r="P21" s="139"/>
      <c r="Q21" s="524"/>
      <c r="R21" s="513"/>
      <c r="S21" s="139"/>
      <c r="T21" s="139"/>
      <c r="U21" s="139"/>
    </row>
    <row r="22" spans="1:21" s="81" customFormat="1" ht="14.85" customHeight="1" x14ac:dyDescent="0.25">
      <c r="A22" s="2599" t="s">
        <v>1412</v>
      </c>
      <c r="B22" s="2548"/>
      <c r="C22" s="2548"/>
      <c r="D22" s="2548"/>
      <c r="E22" s="2548"/>
      <c r="F22" s="2548"/>
      <c r="G22" s="2548"/>
      <c r="H22" s="139"/>
      <c r="I22" s="1626">
        <f>-SUM(M14:M20)</f>
        <v>0</v>
      </c>
      <c r="J22" s="139"/>
      <c r="K22" s="522"/>
      <c r="L22" s="139"/>
      <c r="M22" s="1246"/>
      <c r="N22" s="139"/>
      <c r="O22" s="523"/>
      <c r="P22" s="139"/>
      <c r="Q22" s="524"/>
      <c r="R22" s="513"/>
      <c r="S22" s="139"/>
      <c r="T22" s="139"/>
      <c r="U22" s="139"/>
    </row>
    <row r="23" spans="1:21" ht="14.85" customHeight="1" x14ac:dyDescent="0.25">
      <c r="A23" s="2599" t="s">
        <v>1413</v>
      </c>
      <c r="B23" s="2548"/>
      <c r="C23" s="2548"/>
      <c r="D23" s="2548"/>
      <c r="E23" s="2548"/>
      <c r="F23" s="2548"/>
      <c r="G23" s="2548"/>
      <c r="H23" s="139"/>
      <c r="I23" s="1559"/>
      <c r="J23" s="139"/>
      <c r="K23" s="531"/>
      <c r="L23" s="139"/>
      <c r="M23" s="139"/>
      <c r="N23" s="139"/>
      <c r="O23" s="139"/>
      <c r="P23" s="139"/>
      <c r="Q23" s="139"/>
    </row>
    <row r="24" spans="1:21" ht="14.85" customHeight="1" x14ac:dyDescent="0.25">
      <c r="A24" s="2599" t="s">
        <v>1413</v>
      </c>
      <c r="B24" s="2548"/>
      <c r="C24" s="2548"/>
      <c r="D24" s="2548"/>
      <c r="E24" s="2548"/>
      <c r="F24" s="2548"/>
      <c r="G24" s="2548"/>
      <c r="H24" s="139"/>
      <c r="I24" s="1559"/>
      <c r="J24" s="139"/>
      <c r="K24" s="532"/>
      <c r="L24" s="139"/>
      <c r="M24" s="139"/>
      <c r="N24" s="139"/>
      <c r="O24" s="139"/>
      <c r="P24" s="139"/>
      <c r="Q24" s="139"/>
    </row>
    <row r="25" spans="1:21" ht="14.85" customHeight="1" x14ac:dyDescent="0.25">
      <c r="A25" s="2599" t="s">
        <v>1413</v>
      </c>
      <c r="B25" s="2548"/>
      <c r="C25" s="2548"/>
      <c r="D25" s="2548"/>
      <c r="E25" s="2548"/>
      <c r="F25" s="2548"/>
      <c r="G25" s="2548"/>
      <c r="H25" s="139"/>
      <c r="I25" s="1559"/>
      <c r="J25" s="139"/>
      <c r="K25" s="532"/>
      <c r="L25" s="139"/>
      <c r="M25" s="139"/>
      <c r="N25" s="139"/>
      <c r="O25" s="139"/>
      <c r="P25" s="139"/>
      <c r="Q25" s="139"/>
    </row>
    <row r="26" spans="1:21" ht="14.85" customHeight="1" x14ac:dyDescent="0.25">
      <c r="A26" s="2599" t="s">
        <v>1413</v>
      </c>
      <c r="B26" s="2548"/>
      <c r="C26" s="2548"/>
      <c r="D26" s="2548"/>
      <c r="E26" s="2548"/>
      <c r="F26" s="2548"/>
      <c r="G26" s="2548"/>
      <c r="H26" s="139"/>
      <c r="I26" s="1559"/>
      <c r="J26" s="139"/>
      <c r="K26" s="532"/>
      <c r="L26" s="139"/>
      <c r="M26" s="139"/>
      <c r="N26" s="139"/>
      <c r="O26" s="139"/>
      <c r="P26" s="139"/>
      <c r="Q26" s="139"/>
    </row>
    <row r="27" spans="1:21" ht="15" customHeight="1" thickBot="1" x14ac:dyDescent="0.25">
      <c r="A27" s="2721" t="s">
        <v>1414</v>
      </c>
      <c r="B27" s="2721"/>
      <c r="C27" s="2721"/>
      <c r="D27" s="2721"/>
      <c r="E27" s="2721"/>
      <c r="F27" s="2722"/>
      <c r="G27" s="2722"/>
      <c r="I27" s="1561">
        <f>SUM(I14:I26)</f>
        <v>0</v>
      </c>
    </row>
    <row r="28" spans="1:21" ht="12" customHeight="1" thickTop="1" x14ac:dyDescent="0.2"/>
    <row r="29" spans="1:21" ht="12.75" x14ac:dyDescent="0.2">
      <c r="A29" s="2718" t="s">
        <v>1415</v>
      </c>
      <c r="B29" s="2548"/>
      <c r="C29" s="2548"/>
      <c r="D29" s="2548"/>
      <c r="E29" s="2548"/>
      <c r="F29" s="2548"/>
      <c r="G29" s="2548"/>
      <c r="H29" s="2548"/>
      <c r="I29" s="2548"/>
      <c r="J29" s="2548"/>
      <c r="K29" s="2548"/>
      <c r="L29" s="2548"/>
      <c r="M29" s="2548"/>
      <c r="N29" s="2548"/>
      <c r="O29" s="2548"/>
      <c r="P29" s="2548"/>
      <c r="Q29" s="2548"/>
      <c r="R29" s="2548"/>
      <c r="S29" s="2326"/>
      <c r="T29" s="2326"/>
      <c r="U29" s="2326"/>
    </row>
    <row r="30" spans="1:21" ht="12.75" x14ac:dyDescent="0.2">
      <c r="A30" s="2718" t="s">
        <v>1416</v>
      </c>
      <c r="B30" s="2548"/>
      <c r="C30" s="2548"/>
      <c r="D30" s="2548"/>
      <c r="E30" s="2548"/>
      <c r="F30" s="2548"/>
      <c r="G30" s="2548"/>
      <c r="H30" s="2548"/>
      <c r="I30" s="2548"/>
      <c r="J30" s="2548"/>
      <c r="K30" s="2548"/>
      <c r="L30" s="2548"/>
      <c r="M30" s="2548"/>
      <c r="N30" s="2548"/>
      <c r="O30" s="2548"/>
      <c r="P30" s="2548"/>
      <c r="Q30" s="2548"/>
      <c r="R30" s="2548"/>
      <c r="S30" s="2326"/>
      <c r="T30" s="2326"/>
      <c r="U30" s="2326"/>
    </row>
    <row r="31" spans="1:21" ht="12.75" x14ac:dyDescent="0.2">
      <c r="A31" s="2718" t="s">
        <v>1417</v>
      </c>
      <c r="B31" s="2548"/>
      <c r="C31" s="2548"/>
      <c r="D31" s="2548"/>
      <c r="E31" s="2548"/>
      <c r="F31" s="2548"/>
      <c r="G31" s="2548"/>
      <c r="H31" s="2548"/>
      <c r="I31" s="2548"/>
      <c r="J31" s="2548"/>
      <c r="K31" s="2548"/>
      <c r="L31" s="2548"/>
      <c r="M31" s="2548"/>
      <c r="N31" s="2548"/>
      <c r="O31" s="2548"/>
      <c r="P31" s="2548"/>
      <c r="Q31" s="2548"/>
      <c r="R31" s="2548"/>
      <c r="S31" s="2326"/>
      <c r="T31" s="2326"/>
      <c r="U31" s="2326"/>
    </row>
    <row r="32" spans="1:21" ht="10.35" customHeight="1" x14ac:dyDescent="0.2">
      <c r="A32" s="2326"/>
      <c r="B32" s="2326"/>
      <c r="C32" s="2326"/>
      <c r="D32" s="2326"/>
      <c r="E32" s="2326"/>
      <c r="F32" s="2326"/>
      <c r="G32" s="2326"/>
      <c r="H32" s="2326"/>
      <c r="I32" s="2326"/>
      <c r="J32" s="2326"/>
      <c r="K32" s="2326"/>
      <c r="L32" s="2326"/>
      <c r="M32" s="2326"/>
      <c r="N32" s="2326"/>
      <c r="O32" s="2326"/>
      <c r="P32" s="2326"/>
      <c r="Q32" s="2326"/>
      <c r="R32" s="2326"/>
      <c r="S32" s="2326"/>
      <c r="T32" s="2326"/>
      <c r="U32" s="2326"/>
    </row>
    <row r="33" spans="1:17" ht="14.1" customHeight="1" x14ac:dyDescent="0.2"/>
    <row r="34" spans="1:17" ht="12.6" customHeight="1" x14ac:dyDescent="0.2">
      <c r="A34" s="525" t="s">
        <v>922</v>
      </c>
      <c r="B34" s="442" t="s">
        <v>1418</v>
      </c>
      <c r="C34" s="443"/>
      <c r="D34" s="443"/>
      <c r="E34" s="443"/>
      <c r="F34" s="443"/>
      <c r="G34" s="443"/>
      <c r="H34" s="443"/>
      <c r="I34" s="443"/>
      <c r="J34" s="443"/>
      <c r="K34" s="443"/>
      <c r="L34" s="443"/>
      <c r="M34" s="443"/>
      <c r="N34" s="443"/>
      <c r="O34" s="443"/>
      <c r="P34" s="443"/>
      <c r="Q34" s="443"/>
    </row>
    <row r="35" spans="1:17" ht="12.6" customHeight="1" x14ac:dyDescent="0.2">
      <c r="A35" s="525"/>
      <c r="B35" s="442" t="s">
        <v>1419</v>
      </c>
      <c r="C35" s="443"/>
      <c r="D35" s="443"/>
      <c r="E35" s="443"/>
      <c r="F35" s="443"/>
      <c r="G35" s="443"/>
      <c r="H35" s="443"/>
      <c r="I35" s="443"/>
      <c r="J35" s="443"/>
      <c r="K35" s="443"/>
      <c r="L35" s="443"/>
      <c r="M35" s="443"/>
      <c r="N35" s="443"/>
      <c r="O35" s="443"/>
      <c r="P35" s="443"/>
      <c r="Q35" s="443"/>
    </row>
    <row r="36" spans="1:17" ht="6" customHeight="1" x14ac:dyDescent="0.2">
      <c r="A36" s="443"/>
      <c r="B36" s="443"/>
      <c r="C36" s="443"/>
      <c r="D36" s="443"/>
      <c r="E36" s="443"/>
      <c r="F36" s="443"/>
      <c r="G36" s="443"/>
      <c r="H36" s="443"/>
      <c r="I36" s="443"/>
      <c r="J36" s="443"/>
      <c r="K36" s="443"/>
      <c r="L36" s="443"/>
      <c r="M36" s="443"/>
      <c r="N36" s="443"/>
      <c r="O36" s="443"/>
      <c r="P36" s="443"/>
      <c r="Q36" s="443"/>
    </row>
    <row r="37" spans="1:17" ht="12.6" customHeight="1" x14ac:dyDescent="0.2">
      <c r="A37" s="525" t="s">
        <v>1420</v>
      </c>
      <c r="B37" s="442" t="s">
        <v>1421</v>
      </c>
      <c r="C37" s="443"/>
      <c r="D37" s="443"/>
      <c r="E37" s="443"/>
      <c r="F37" s="443"/>
      <c r="G37" s="443"/>
      <c r="H37" s="443"/>
      <c r="I37" s="443"/>
      <c r="J37" s="443"/>
      <c r="K37" s="443"/>
      <c r="L37" s="443"/>
      <c r="M37" s="443"/>
      <c r="N37" s="443"/>
      <c r="O37" s="443"/>
      <c r="P37" s="443"/>
      <c r="Q37" s="443"/>
    </row>
    <row r="38" spans="1:17" ht="12.6" customHeight="1" x14ac:dyDescent="0.2">
      <c r="A38" s="443"/>
      <c r="B38" s="442" t="s">
        <v>1422</v>
      </c>
      <c r="C38" s="443"/>
      <c r="D38" s="443"/>
      <c r="E38" s="443"/>
      <c r="F38" s="443"/>
      <c r="G38" s="443"/>
      <c r="H38" s="443"/>
      <c r="I38" s="443"/>
      <c r="J38" s="443"/>
      <c r="K38" s="443"/>
      <c r="L38" s="443"/>
      <c r="M38" s="443"/>
      <c r="N38" s="443"/>
      <c r="O38" s="443"/>
      <c r="P38" s="443"/>
      <c r="Q38" s="443"/>
    </row>
    <row r="39" spans="1:17" ht="12.6" customHeight="1" x14ac:dyDescent="0.2">
      <c r="A39" s="443"/>
      <c r="B39" s="442" t="s">
        <v>1423</v>
      </c>
      <c r="C39" s="443"/>
      <c r="D39" s="443"/>
      <c r="E39" s="443"/>
      <c r="F39" s="443"/>
      <c r="G39" s="443"/>
      <c r="H39" s="443"/>
      <c r="I39" s="443"/>
      <c r="J39" s="443"/>
      <c r="K39" s="443"/>
      <c r="L39" s="443"/>
      <c r="M39" s="443"/>
      <c r="N39" s="443"/>
      <c r="O39" s="443"/>
      <c r="P39" s="443"/>
      <c r="Q39" s="443"/>
    </row>
    <row r="40" spans="1:17" ht="6" customHeight="1" x14ac:dyDescent="0.2">
      <c r="A40" s="443"/>
      <c r="B40" s="443"/>
      <c r="C40" s="443"/>
      <c r="D40" s="443"/>
      <c r="E40" s="443"/>
      <c r="F40" s="443"/>
      <c r="G40" s="443"/>
      <c r="H40" s="443"/>
      <c r="I40" s="443"/>
      <c r="J40" s="443"/>
      <c r="K40" s="443"/>
      <c r="L40" s="443"/>
      <c r="M40" s="443"/>
      <c r="N40" s="443"/>
      <c r="O40" s="443"/>
      <c r="P40" s="443"/>
      <c r="Q40" s="443"/>
    </row>
    <row r="41" spans="1:17" ht="12.6" customHeight="1" x14ac:dyDescent="0.2">
      <c r="A41" s="525" t="s">
        <v>1424</v>
      </c>
      <c r="B41" s="442" t="s">
        <v>1425</v>
      </c>
      <c r="C41" s="443"/>
      <c r="D41" s="443"/>
      <c r="E41" s="443"/>
      <c r="F41" s="443"/>
      <c r="G41" s="443"/>
      <c r="H41" s="443"/>
      <c r="I41" s="443"/>
      <c r="J41" s="443"/>
      <c r="K41" s="443"/>
      <c r="L41" s="443"/>
      <c r="M41" s="443"/>
      <c r="N41" s="443"/>
      <c r="O41" s="443"/>
      <c r="P41" s="443"/>
      <c r="Q41" s="443"/>
    </row>
  </sheetData>
  <sheetProtection algorithmName="SHA-512" hashValue="K//gi0r2SCjoEf9opSnv8Ya4fwbe8eYvl6E0B5WAn5nk4NCVW7Y/+kOBfCoJtKwwwZ++EC/olKn1NFzbzEemfw==" saltValue="nKUvgC3MQMbTyoQBO+XtMg==" spinCount="100000" sheet="1" autoFilter="0"/>
  <customSheetViews>
    <customSheetView guid="{9FCFC836-1CA5-48BF-958D-24D2EA94B219}" showGridLines="0" fitToPage="1">
      <selection activeCell="D38" sqref="D38"/>
      <pageMargins left="0" right="0" top="0" bottom="0" header="0" footer="0"/>
      <pageSetup orientation="landscape" r:id="rId1"/>
      <headerFooter alignWithMargins="0">
        <oddFooter>&amp;R&amp;A</oddFooter>
      </headerFooter>
    </customSheetView>
    <customSheetView guid="{B08879A4-635B-4C39-9937-AC7883D562FC}" showGridLines="0" fitToPage="1">
      <selection activeCell="D38" sqref="D38"/>
      <pageMargins left="0" right="0" top="0" bottom="0" header="0" footer="0"/>
      <pageSetup orientation="landscape" r:id="rId2"/>
      <headerFooter alignWithMargins="0">
        <oddFooter>&amp;R&amp;A</oddFooter>
      </headerFooter>
    </customSheetView>
  </customSheetViews>
  <mergeCells count="31">
    <mergeCell ref="L6:Q6"/>
    <mergeCell ref="A1:Q1"/>
    <mergeCell ref="R1:R3"/>
    <mergeCell ref="A2:Q2"/>
    <mergeCell ref="A3:Q3"/>
    <mergeCell ref="L5:Q5"/>
    <mergeCell ref="A18:E18"/>
    <mergeCell ref="C19:E19"/>
    <mergeCell ref="C20:E20"/>
    <mergeCell ref="D7:E7"/>
    <mergeCell ref="L7:Q7"/>
    <mergeCell ref="L8:Q8"/>
    <mergeCell ref="A11:E11"/>
    <mergeCell ref="O11:Q11"/>
    <mergeCell ref="A12:E12"/>
    <mergeCell ref="O12:Q12"/>
    <mergeCell ref="A17:E17"/>
    <mergeCell ref="S12:U12"/>
    <mergeCell ref="A13:E13"/>
    <mergeCell ref="A14:E14"/>
    <mergeCell ref="A15:E15"/>
    <mergeCell ref="A16:E16"/>
    <mergeCell ref="A31:R31"/>
    <mergeCell ref="A22:G22"/>
    <mergeCell ref="A23:G23"/>
    <mergeCell ref="A24:G24"/>
    <mergeCell ref="A25:G25"/>
    <mergeCell ref="A26:G26"/>
    <mergeCell ref="A27:G27"/>
    <mergeCell ref="A29:R29"/>
    <mergeCell ref="A30:R30"/>
  </mergeCells>
  <conditionalFormatting sqref="R1:R3">
    <cfRule type="cellIs" dxfId="121" priority="1" stopIfTrue="1" operator="equal">
      <formula>"na"</formula>
    </cfRule>
  </conditionalFormatting>
  <dataValidations count="2">
    <dataValidation type="decimal" operator="lessThanOrEqual" allowBlank="1" showErrorMessage="1" errorTitle="Invalid Data" error="Amount Must Be Negative" promptTitle="Negative Message" prompt="Must Enter a Negative Number" sqref="I23:I26" xr:uid="{00000000-0002-0000-1500-000000000000}">
      <formula1>0</formula1>
    </dataValidation>
    <dataValidation type="decimal" operator="greaterThanOrEqual" allowBlank="1" showErrorMessage="1" errorTitle="Invalid Data" error="Exclude Derivatives with Negative Fair Values (See Note 1)" sqref="I14:I20" xr:uid="{00000000-0002-0000-1500-000001000000}">
      <formula1>0</formula1>
    </dataValidation>
  </dataValidations>
  <hyperlinks>
    <hyperlink ref="A1:Q1" location="Index!A1" display="Index!A1" xr:uid="{00000000-0004-0000-1500-000000000000}"/>
  </hyperlinks>
  <pageMargins left="0.6" right="0.6" top="0.5" bottom="0.5" header="0.3" footer="0.3"/>
  <pageSetup scale="85" orientation="landscape" r:id="rId3"/>
  <ignoredErrors>
    <ignoredError sqref="A34 A37 A41"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1">
    <pageSetUpPr fitToPage="1"/>
  </sheetPr>
  <dimension ref="A1:T1447"/>
  <sheetViews>
    <sheetView showGridLines="0" zoomScaleNormal="100" workbookViewId="0">
      <pane ySplit="4" topLeftCell="A5" activePane="bottomLeft" state="frozen"/>
      <selection activeCell="A2" sqref="A2:G2"/>
      <selection pane="bottomLeft" activeCell="K14" sqref="K14:P14"/>
    </sheetView>
  </sheetViews>
  <sheetFormatPr defaultColWidth="9.42578125" defaultRowHeight="15" x14ac:dyDescent="0.25"/>
  <cols>
    <col min="1" max="1" width="10.42578125" style="622" customWidth="1"/>
    <col min="2" max="2" width="8.42578125" style="622" customWidth="1"/>
    <col min="3" max="3" width="8.5703125" style="622" customWidth="1"/>
    <col min="4" max="4" width="9" style="622" hidden="1" customWidth="1"/>
    <col min="5" max="5" width="9" style="622" customWidth="1"/>
    <col min="6" max="9" width="8.42578125" style="622" customWidth="1"/>
    <col min="10" max="10" width="9.5703125" style="622" customWidth="1"/>
    <col min="11" max="11" width="7.5703125" style="622" customWidth="1"/>
    <col min="12" max="12" width="10.5703125" style="622" customWidth="1"/>
    <col min="13" max="14" width="9.42578125" style="622" customWidth="1"/>
    <col min="15" max="15" width="38" style="622" customWidth="1"/>
    <col min="16" max="16" width="6" style="622" customWidth="1"/>
    <col min="17" max="17" width="2.42578125" style="622" customWidth="1"/>
    <col min="18" max="18" width="9.42578125" style="622" customWidth="1"/>
    <col min="19" max="16384" width="9.42578125" style="622"/>
  </cols>
  <sheetData>
    <row r="1" spans="1:16" ht="15.75" x14ac:dyDescent="0.25">
      <c r="A1" s="2497" t="s">
        <v>159</v>
      </c>
      <c r="B1" s="2497"/>
      <c r="C1" s="2497"/>
      <c r="D1" s="2497"/>
      <c r="E1" s="2497"/>
      <c r="F1" s="2497"/>
      <c r="G1" s="2497"/>
      <c r="H1" s="2497"/>
      <c r="I1" s="2497"/>
      <c r="J1" s="2497"/>
      <c r="K1" s="2497"/>
      <c r="L1" s="2497"/>
      <c r="M1" s="2497"/>
      <c r="N1" s="2497"/>
      <c r="O1" s="2497"/>
      <c r="P1" s="1499"/>
    </row>
    <row r="2" spans="1:16" ht="15.75" x14ac:dyDescent="0.25">
      <c r="A2" s="2498" t="str">
        <f>CONCATENATE(YEAR(Data!A2), " ACFR Worksheets")</f>
        <v>2024 ACFR Worksheets</v>
      </c>
      <c r="B2" s="2498"/>
      <c r="C2" s="2498"/>
      <c r="D2" s="2498"/>
      <c r="E2" s="2498"/>
      <c r="F2" s="2498"/>
      <c r="G2" s="2498"/>
      <c r="H2" s="2498"/>
      <c r="I2" s="2498"/>
      <c r="J2" s="2498"/>
      <c r="K2" s="2498"/>
      <c r="L2" s="2498"/>
      <c r="M2" s="2498"/>
      <c r="N2" s="2498"/>
      <c r="O2" s="2498"/>
      <c r="P2" s="1499"/>
    </row>
    <row r="3" spans="1:16" ht="15.75" x14ac:dyDescent="0.25">
      <c r="A3" s="2498" t="s">
        <v>160</v>
      </c>
      <c r="B3" s="2498"/>
      <c r="C3" s="2498"/>
      <c r="D3" s="2498"/>
      <c r="E3" s="2498"/>
      <c r="F3" s="2498"/>
      <c r="G3" s="2498"/>
      <c r="H3" s="2498"/>
      <c r="I3" s="2498"/>
      <c r="J3" s="2498"/>
      <c r="K3" s="2498"/>
      <c r="L3" s="2498"/>
      <c r="M3" s="2498"/>
      <c r="N3" s="2498"/>
      <c r="O3" s="2498"/>
      <c r="P3" s="1499"/>
    </row>
    <row r="4" spans="1:16" x14ac:dyDescent="0.25">
      <c r="A4" s="1498"/>
      <c r="B4" s="1498"/>
      <c r="C4" s="1498"/>
      <c r="D4" s="1498"/>
      <c r="E4" s="1498"/>
      <c r="F4" s="1498"/>
      <c r="G4" s="624"/>
      <c r="H4" s="624"/>
      <c r="I4" s="624"/>
      <c r="J4" s="1498"/>
      <c r="K4" s="1498"/>
      <c r="L4" s="2504" t="s">
        <v>6670</v>
      </c>
      <c r="M4" s="2505"/>
      <c r="N4" s="2505"/>
      <c r="O4" s="2506"/>
      <c r="P4" s="625"/>
    </row>
    <row r="5" spans="1:16" x14ac:dyDescent="0.25">
      <c r="A5" s="626" t="s">
        <v>161</v>
      </c>
      <c r="B5" s="1498"/>
      <c r="C5" s="1498"/>
      <c r="D5" s="1498"/>
      <c r="E5" s="1498"/>
      <c r="F5" s="1498"/>
      <c r="G5" s="663"/>
      <c r="H5" s="1498"/>
      <c r="I5" s="1498"/>
      <c r="J5" s="621"/>
      <c r="K5" s="1498"/>
      <c r="L5" s="1498"/>
      <c r="M5" s="1498"/>
      <c r="N5" s="1498"/>
      <c r="O5" s="1498"/>
      <c r="P5" s="1499"/>
    </row>
    <row r="6" spans="1:16" x14ac:dyDescent="0.25">
      <c r="A6" s="681" t="s">
        <v>162</v>
      </c>
      <c r="B6" s="679"/>
      <c r="C6" s="1498"/>
      <c r="D6" s="1498"/>
      <c r="E6" s="2501" t="s">
        <v>6633</v>
      </c>
      <c r="F6" s="2501"/>
      <c r="G6" s="2501"/>
      <c r="H6" s="2501"/>
      <c r="I6" s="2501"/>
      <c r="J6" s="2501"/>
      <c r="K6" s="627" t="s">
        <v>163</v>
      </c>
      <c r="L6" s="1498"/>
      <c r="M6" s="1498"/>
      <c r="N6" s="1498"/>
      <c r="O6" s="1498"/>
      <c r="P6" s="1499"/>
    </row>
    <row r="7" spans="1:16" x14ac:dyDescent="0.25">
      <c r="A7" s="679"/>
      <c r="B7" s="679"/>
      <c r="C7" s="1498"/>
      <c r="D7" s="1498"/>
      <c r="E7" s="1498"/>
      <c r="F7" s="1500"/>
      <c r="G7" s="1500"/>
      <c r="H7" s="1500"/>
      <c r="I7" s="1500"/>
      <c r="J7" s="1500"/>
      <c r="K7" s="1498"/>
      <c r="L7" s="1498"/>
      <c r="M7" s="1498"/>
      <c r="N7" s="1498"/>
      <c r="O7" s="1498"/>
      <c r="P7" s="1499"/>
    </row>
    <row r="8" spans="1:16" x14ac:dyDescent="0.25">
      <c r="A8" s="679" t="s">
        <v>164</v>
      </c>
      <c r="B8" s="679"/>
      <c r="C8" s="1498"/>
      <c r="D8" s="1498"/>
      <c r="E8" s="1498"/>
      <c r="F8" s="1498"/>
      <c r="G8" s="1498"/>
      <c r="H8" s="1498"/>
      <c r="I8" s="1498"/>
      <c r="J8" s="1498"/>
      <c r="K8" s="1498"/>
      <c r="L8" s="1498"/>
      <c r="M8" s="1498"/>
      <c r="N8" s="1498"/>
      <c r="O8" s="1498"/>
      <c r="P8" s="1499"/>
    </row>
    <row r="9" spans="1:16" x14ac:dyDescent="0.25">
      <c r="A9" s="679"/>
      <c r="B9" s="679"/>
      <c r="C9" s="1498"/>
      <c r="D9" s="1498"/>
      <c r="E9" s="1498"/>
      <c r="F9" s="1498"/>
      <c r="G9" s="1498"/>
      <c r="H9" s="1498"/>
      <c r="I9" s="1498"/>
      <c r="J9" s="1498"/>
      <c r="K9" s="1498"/>
      <c r="L9" s="1498"/>
      <c r="M9" s="1498"/>
      <c r="N9" s="1498"/>
      <c r="O9" s="1498"/>
      <c r="P9" s="1499"/>
    </row>
    <row r="10" spans="1:16" x14ac:dyDescent="0.25">
      <c r="A10" s="679"/>
      <c r="B10" s="2499" t="s">
        <v>165</v>
      </c>
      <c r="C10" s="2500"/>
      <c r="D10" s="2500"/>
      <c r="E10" s="2502" t="str">
        <f>INDEX(comptable,MATCH(E6,ConcNum,0),2)</f>
        <v>01</v>
      </c>
      <c r="F10" s="2502"/>
      <c r="G10" s="2502"/>
      <c r="H10" s="2502"/>
      <c r="I10" s="2503"/>
      <c r="J10" s="2259"/>
      <c r="K10" s="627" t="str">
        <f ca="1">IF(Errors!D2,"","Invalid filename!  Please rename your file to:")</f>
        <v>Invalid filename!  Please rename your file to:</v>
      </c>
      <c r="L10" s="1498"/>
      <c r="M10" s="627"/>
      <c r="N10" s="627"/>
      <c r="O10" s="627"/>
      <c r="P10" s="1499"/>
    </row>
    <row r="11" spans="1:16" x14ac:dyDescent="0.25">
      <c r="A11" s="679"/>
      <c r="B11" s="2499" t="s">
        <v>166</v>
      </c>
      <c r="C11" s="2500"/>
      <c r="D11" s="2500"/>
      <c r="E11" s="2502" t="str">
        <f>IF(ISNA(MATCH(TEXT(AgyIdx,"00"),compnumtxt,0)),"INVALID COMPANY NUMBER",INDEX(comptable,MATCH(TEXT(AgyIdx,"00"),compnumtxt,0),3))</f>
        <v>North Carolina General Assembly</v>
      </c>
      <c r="F11" s="2502"/>
      <c r="G11" s="2502"/>
      <c r="H11" s="2502"/>
      <c r="I11" s="2503"/>
      <c r="J11" s="2259"/>
      <c r="K11" s="2508" t="str">
        <f ca="1">IF(K10="","",E10&amp;"p.xlsx")</f>
        <v>01p.xlsx</v>
      </c>
      <c r="L11" s="2508"/>
      <c r="M11" s="2508"/>
      <c r="N11" s="2508"/>
      <c r="O11" s="1498"/>
      <c r="P11" s="1499"/>
    </row>
    <row r="12" spans="1:16" x14ac:dyDescent="0.25">
      <c r="A12" s="679"/>
      <c r="B12" s="2499" t="s">
        <v>167</v>
      </c>
      <c r="C12" s="2500"/>
      <c r="D12" s="2500"/>
      <c r="E12" s="2510"/>
      <c r="F12" s="2510"/>
      <c r="G12" s="2510"/>
      <c r="H12" s="2510"/>
      <c r="I12" s="2511"/>
      <c r="J12" s="628"/>
      <c r="K12" s="629" t="str">
        <f>IF(ISBLANK(E12),"Enter preparer name!","")</f>
        <v>Enter preparer name!</v>
      </c>
      <c r="L12" s="1501"/>
      <c r="M12" s="1501"/>
      <c r="N12" s="1501"/>
      <c r="O12" s="1501"/>
      <c r="P12" s="1499"/>
    </row>
    <row r="13" spans="1:16" x14ac:dyDescent="0.25">
      <c r="A13" s="679"/>
      <c r="B13" s="2256" t="s">
        <v>168</v>
      </c>
      <c r="C13" s="2257"/>
      <c r="D13" s="2257"/>
      <c r="E13" s="2509"/>
      <c r="F13" s="2510"/>
      <c r="G13" s="2510"/>
      <c r="H13" s="2510"/>
      <c r="I13" s="2511"/>
      <c r="J13" s="628"/>
      <c r="K13" s="629" t="str">
        <f>IF(ISBLANK(E13),"Enter email address!","")</f>
        <v>Enter email address!</v>
      </c>
      <c r="L13" s="1501"/>
      <c r="M13" s="1501"/>
      <c r="N13" s="1501"/>
      <c r="O13" s="1501"/>
      <c r="P13" s="1499"/>
    </row>
    <row r="14" spans="1:16" ht="31.15" customHeight="1" x14ac:dyDescent="0.25">
      <c r="A14" s="679"/>
      <c r="B14" s="2499" t="s">
        <v>169</v>
      </c>
      <c r="C14" s="2500"/>
      <c r="D14" s="2500"/>
      <c r="E14" s="2510"/>
      <c r="F14" s="2510"/>
      <c r="G14" s="2510"/>
      <c r="H14" s="2510"/>
      <c r="I14" s="2511"/>
      <c r="J14" s="630"/>
      <c r="K14" s="2515" t="str">
        <f>IF(ISBLANK(E14),"Enter preparer phone number, including area code and extension!","")</f>
        <v>Enter preparer phone number, including area code and extension!</v>
      </c>
      <c r="L14" s="2515"/>
      <c r="M14" s="2515"/>
      <c r="N14" s="2515"/>
      <c r="O14" s="2515"/>
      <c r="P14" s="2515"/>
    </row>
    <row r="15" spans="1:16" x14ac:dyDescent="0.25">
      <c r="A15" s="679"/>
      <c r="B15" s="679"/>
      <c r="C15" s="1498"/>
      <c r="D15" s="1498"/>
      <c r="E15" s="1502"/>
      <c r="F15" s="1498"/>
      <c r="G15" s="1498"/>
      <c r="H15" s="1498"/>
      <c r="I15" s="1498"/>
      <c r="J15" s="1501"/>
      <c r="K15" s="1501"/>
      <c r="L15" s="1501"/>
      <c r="M15" s="1501"/>
      <c r="N15" s="1501"/>
      <c r="O15" s="1501"/>
      <c r="P15" s="1499"/>
    </row>
    <row r="16" spans="1:16" ht="42.75" x14ac:dyDescent="0.25">
      <c r="A16" s="682" t="s">
        <v>170</v>
      </c>
      <c r="B16" s="683" t="s">
        <v>171</v>
      </c>
      <c r="C16" s="683" t="s">
        <v>172</v>
      </c>
      <c r="D16" s="633"/>
      <c r="E16" s="2507" t="s">
        <v>173</v>
      </c>
      <c r="F16" s="2507"/>
      <c r="G16" s="2507"/>
      <c r="H16" s="2507"/>
      <c r="I16" s="2507"/>
      <c r="J16" s="2507"/>
      <c r="K16" s="2507"/>
      <c r="L16" s="2507"/>
      <c r="M16" s="2507"/>
      <c r="N16" s="2507"/>
      <c r="O16" s="2507"/>
      <c r="P16" s="2258" t="s">
        <v>174</v>
      </c>
    </row>
    <row r="17" spans="1:20" s="632" customFormat="1" x14ac:dyDescent="0.25">
      <c r="A17" s="684">
        <v>101</v>
      </c>
      <c r="B17" s="685"/>
      <c r="C17" s="1085" t="s">
        <v>175</v>
      </c>
      <c r="D17" s="635"/>
      <c r="E17" s="2485" t="s">
        <v>176</v>
      </c>
      <c r="F17" s="2486"/>
      <c r="G17" s="2486"/>
      <c r="H17" s="2486"/>
      <c r="I17" s="2486"/>
      <c r="J17" s="2486"/>
      <c r="K17" s="2486"/>
      <c r="L17" s="2486"/>
      <c r="M17" s="2486"/>
      <c r="N17" s="2486"/>
      <c r="O17" s="2487"/>
      <c r="P17" s="634"/>
      <c r="Q17" s="1503"/>
      <c r="R17" s="1503"/>
      <c r="S17" s="1503"/>
      <c r="T17" s="1503"/>
    </row>
    <row r="18" spans="1:20" s="632" customFormat="1" x14ac:dyDescent="0.25">
      <c r="A18" s="684">
        <v>105</v>
      </c>
      <c r="B18" s="686"/>
      <c r="C18" s="1085" t="s">
        <v>175</v>
      </c>
      <c r="D18" s="635" t="str">
        <f t="shared" ref="D18:D98" si="0">IF(B18="NA","",IF(Q18&lt;&gt;0,"E",""))</f>
        <v/>
      </c>
      <c r="E18" s="2485" t="s">
        <v>177</v>
      </c>
      <c r="F18" s="2486"/>
      <c r="G18" s="2486"/>
      <c r="H18" s="2486"/>
      <c r="I18" s="2486"/>
      <c r="J18" s="2486"/>
      <c r="K18" s="2486"/>
      <c r="L18" s="2486"/>
      <c r="M18" s="2486"/>
      <c r="N18" s="2486"/>
      <c r="O18" s="2487"/>
      <c r="P18" s="634"/>
      <c r="Q18" s="1503"/>
      <c r="R18" s="1503"/>
      <c r="S18" s="1503"/>
      <c r="T18" s="1503"/>
    </row>
    <row r="19" spans="1:20" s="632" customFormat="1" x14ac:dyDescent="0.25">
      <c r="A19" s="684">
        <v>110</v>
      </c>
      <c r="B19" s="685"/>
      <c r="C19" s="1022"/>
      <c r="D19" s="635" t="str">
        <f>IF(B19="NA","",IF(Q19&lt;&gt;0,"E",""))</f>
        <v/>
      </c>
      <c r="E19" s="2485" t="s">
        <v>178</v>
      </c>
      <c r="F19" s="2486"/>
      <c r="G19" s="2486"/>
      <c r="H19" s="2486"/>
      <c r="I19" s="2486"/>
      <c r="J19" s="2486"/>
      <c r="K19" s="2486"/>
      <c r="L19" s="2486"/>
      <c r="M19" s="2486"/>
      <c r="N19" s="2486"/>
      <c r="O19" s="2487"/>
      <c r="P19" s="634" t="s">
        <v>179</v>
      </c>
      <c r="Q19" s="1503"/>
      <c r="R19" s="1503"/>
      <c r="S19" s="1503"/>
      <c r="T19" s="1503"/>
    </row>
    <row r="20" spans="1:20" s="632" customFormat="1" x14ac:dyDescent="0.25">
      <c r="A20" s="684">
        <v>120</v>
      </c>
      <c r="B20" s="685"/>
      <c r="C20" s="1009"/>
      <c r="D20" s="635" t="str">
        <f>IF(B20="NA","",IF(Q20&lt;&gt;0,"E",""))</f>
        <v/>
      </c>
      <c r="E20" s="2485" t="s">
        <v>180</v>
      </c>
      <c r="F20" s="2486"/>
      <c r="G20" s="2486"/>
      <c r="H20" s="2486"/>
      <c r="I20" s="2486"/>
      <c r="J20" s="2486"/>
      <c r="K20" s="2486"/>
      <c r="L20" s="2486"/>
      <c r="M20" s="2486"/>
      <c r="N20" s="2486"/>
      <c r="O20" s="2487"/>
      <c r="P20" s="634" t="s">
        <v>179</v>
      </c>
      <c r="Q20" s="1503"/>
      <c r="R20" s="1503"/>
      <c r="S20" s="1503"/>
      <c r="T20" s="1503"/>
    </row>
    <row r="21" spans="1:20" s="632" customFormat="1" x14ac:dyDescent="0.25">
      <c r="A21" s="1161">
        <v>201</v>
      </c>
      <c r="B21" s="686"/>
      <c r="C21" s="1022"/>
      <c r="D21" s="635" t="str">
        <f t="shared" si="0"/>
        <v/>
      </c>
      <c r="E21" s="2485" t="s">
        <v>181</v>
      </c>
      <c r="F21" s="2486"/>
      <c r="G21" s="2486"/>
      <c r="H21" s="2486"/>
      <c r="I21" s="2486"/>
      <c r="J21" s="2486"/>
      <c r="K21" s="2486"/>
      <c r="L21" s="2486"/>
      <c r="M21" s="2486"/>
      <c r="N21" s="2486"/>
      <c r="O21" s="2487"/>
      <c r="P21" s="634" t="s">
        <v>182</v>
      </c>
      <c r="Q21" s="1503"/>
      <c r="R21" s="1503"/>
      <c r="S21" s="1503"/>
      <c r="T21" s="1503"/>
    </row>
    <row r="22" spans="1:20" s="632" customFormat="1" x14ac:dyDescent="0.25">
      <c r="A22" s="684">
        <v>202</v>
      </c>
      <c r="B22" s="686"/>
      <c r="C22" s="1022"/>
      <c r="D22" s="635"/>
      <c r="E22" s="2485" t="s">
        <v>183</v>
      </c>
      <c r="F22" s="2486"/>
      <c r="G22" s="2486"/>
      <c r="H22" s="2486"/>
      <c r="I22" s="2486"/>
      <c r="J22" s="2486"/>
      <c r="K22" s="2486"/>
      <c r="L22" s="2486"/>
      <c r="M22" s="2486"/>
      <c r="N22" s="2486"/>
      <c r="O22" s="2487"/>
      <c r="P22" s="634" t="s">
        <v>182</v>
      </c>
      <c r="Q22" s="1503"/>
      <c r="R22" s="1503"/>
      <c r="S22" s="1503"/>
      <c r="T22" s="1503"/>
    </row>
    <row r="23" spans="1:20" s="632" customFormat="1" x14ac:dyDescent="0.25">
      <c r="A23" s="684">
        <v>203</v>
      </c>
      <c r="B23" s="686"/>
      <c r="C23" s="1022"/>
      <c r="D23" s="635"/>
      <c r="E23" s="2485" t="s">
        <v>184</v>
      </c>
      <c r="F23" s="2486"/>
      <c r="G23" s="2486"/>
      <c r="H23" s="2486"/>
      <c r="I23" s="2486"/>
      <c r="J23" s="2486"/>
      <c r="K23" s="2486"/>
      <c r="L23" s="2486"/>
      <c r="M23" s="2486"/>
      <c r="N23" s="2486"/>
      <c r="O23" s="2487"/>
      <c r="P23" s="634" t="s">
        <v>185</v>
      </c>
      <c r="Q23" s="1503"/>
      <c r="R23" s="1503"/>
      <c r="S23" s="1503"/>
      <c r="T23" s="1503"/>
    </row>
    <row r="24" spans="1:20" s="632" customFormat="1" x14ac:dyDescent="0.25">
      <c r="A24" s="684">
        <v>210</v>
      </c>
      <c r="B24" s="686"/>
      <c r="C24" s="1085" t="s">
        <v>175</v>
      </c>
      <c r="D24" s="635" t="str">
        <f t="shared" si="0"/>
        <v/>
      </c>
      <c r="E24" s="2485" t="s">
        <v>186</v>
      </c>
      <c r="F24" s="2486"/>
      <c r="G24" s="2486"/>
      <c r="H24" s="2486"/>
      <c r="I24" s="2486"/>
      <c r="J24" s="2486"/>
      <c r="K24" s="2486"/>
      <c r="L24" s="2486"/>
      <c r="M24" s="2486"/>
      <c r="N24" s="2486"/>
      <c r="O24" s="2487"/>
      <c r="P24" s="634" t="s">
        <v>187</v>
      </c>
      <c r="Q24" s="1503"/>
      <c r="R24" s="1503"/>
      <c r="S24" s="1503"/>
      <c r="T24" s="1503"/>
    </row>
    <row r="25" spans="1:20" s="632" customFormat="1" x14ac:dyDescent="0.25">
      <c r="A25" s="684">
        <v>215</v>
      </c>
      <c r="B25" s="686"/>
      <c r="C25" s="1022"/>
      <c r="D25" s="635" t="str">
        <f t="shared" si="0"/>
        <v/>
      </c>
      <c r="E25" s="2485" t="s">
        <v>188</v>
      </c>
      <c r="F25" s="2486"/>
      <c r="G25" s="2486"/>
      <c r="H25" s="2486"/>
      <c r="I25" s="2486"/>
      <c r="J25" s="2486"/>
      <c r="K25" s="2486"/>
      <c r="L25" s="2486"/>
      <c r="M25" s="2486"/>
      <c r="N25" s="2486"/>
      <c r="O25" s="2487"/>
      <c r="P25" s="634" t="s">
        <v>179</v>
      </c>
      <c r="Q25" s="1503"/>
      <c r="R25" s="1503"/>
      <c r="S25" s="1503"/>
      <c r="T25" s="1503"/>
    </row>
    <row r="26" spans="1:20" s="632" customFormat="1" x14ac:dyDescent="0.25">
      <c r="A26" s="684">
        <v>220</v>
      </c>
      <c r="B26" s="686"/>
      <c r="C26" s="1085" t="s">
        <v>175</v>
      </c>
      <c r="D26" s="635" t="str">
        <f t="shared" si="0"/>
        <v/>
      </c>
      <c r="E26" s="2485" t="s">
        <v>189</v>
      </c>
      <c r="F26" s="2486"/>
      <c r="G26" s="2486"/>
      <c r="H26" s="2486"/>
      <c r="I26" s="2486"/>
      <c r="J26" s="2486"/>
      <c r="K26" s="2486"/>
      <c r="L26" s="2486"/>
      <c r="M26" s="2486"/>
      <c r="N26" s="2486"/>
      <c r="O26" s="2487"/>
      <c r="P26" s="634"/>
      <c r="Q26" s="1503"/>
      <c r="R26" s="1503"/>
      <c r="S26" s="1503"/>
      <c r="T26" s="1503"/>
    </row>
    <row r="27" spans="1:20" s="632" customFormat="1" x14ac:dyDescent="0.25">
      <c r="A27" s="684">
        <v>301</v>
      </c>
      <c r="B27" s="686"/>
      <c r="C27" s="1022"/>
      <c r="D27" s="635" t="str">
        <f t="shared" si="0"/>
        <v/>
      </c>
      <c r="E27" s="2485" t="s">
        <v>190</v>
      </c>
      <c r="F27" s="2486"/>
      <c r="G27" s="2486"/>
      <c r="H27" s="2486"/>
      <c r="I27" s="2486"/>
      <c r="J27" s="2486"/>
      <c r="K27" s="2486"/>
      <c r="L27" s="2486"/>
      <c r="M27" s="2486"/>
      <c r="N27" s="2486"/>
      <c r="O27" s="2487"/>
      <c r="P27" s="634" t="s">
        <v>179</v>
      </c>
      <c r="Q27" s="1503"/>
      <c r="R27" s="1503"/>
      <c r="S27" s="1503"/>
      <c r="T27" s="1839"/>
    </row>
    <row r="28" spans="1:20" s="632" customFormat="1" x14ac:dyDescent="0.25">
      <c r="A28" s="684">
        <v>302</v>
      </c>
      <c r="B28" s="686"/>
      <c r="C28" s="1022"/>
      <c r="D28" s="635"/>
      <c r="E28" s="2252" t="s">
        <v>191</v>
      </c>
      <c r="F28" s="2253"/>
      <c r="G28" s="2253"/>
      <c r="H28" s="2253"/>
      <c r="I28" s="2253"/>
      <c r="J28" s="2253"/>
      <c r="K28" s="2253"/>
      <c r="L28" s="2253"/>
      <c r="M28" s="2253"/>
      <c r="N28" s="2253"/>
      <c r="O28" s="2254"/>
      <c r="P28" s="634" t="s">
        <v>179</v>
      </c>
      <c r="Q28" s="1503"/>
      <c r="R28" s="1503"/>
      <c r="S28" s="1503"/>
      <c r="T28" s="1839"/>
    </row>
    <row r="29" spans="1:20" s="632" customFormat="1" x14ac:dyDescent="0.25">
      <c r="A29" s="684">
        <v>303</v>
      </c>
      <c r="B29" s="686"/>
      <c r="C29" s="1085" t="s">
        <v>175</v>
      </c>
      <c r="D29" s="635"/>
      <c r="E29" s="2252" t="s">
        <v>192</v>
      </c>
      <c r="F29" s="2253"/>
      <c r="G29" s="2253"/>
      <c r="H29" s="2253"/>
      <c r="I29" s="2253"/>
      <c r="J29" s="2253"/>
      <c r="K29" s="2253"/>
      <c r="L29" s="2253"/>
      <c r="M29" s="2253"/>
      <c r="N29" s="2253"/>
      <c r="O29" s="2254"/>
      <c r="P29" s="634" t="s">
        <v>179</v>
      </c>
      <c r="Q29" s="1503"/>
      <c r="R29" s="1503"/>
      <c r="S29" s="1503"/>
      <c r="T29" s="1839"/>
    </row>
    <row r="30" spans="1:20" s="632" customFormat="1" x14ac:dyDescent="0.25">
      <c r="A30" s="684">
        <v>304</v>
      </c>
      <c r="B30" s="686"/>
      <c r="C30" s="1022"/>
      <c r="D30" s="635"/>
      <c r="E30" s="2252" t="s">
        <v>193</v>
      </c>
      <c r="F30" s="2253"/>
      <c r="G30" s="2253"/>
      <c r="H30" s="2253"/>
      <c r="I30" s="2253"/>
      <c r="J30" s="2253"/>
      <c r="K30" s="2253"/>
      <c r="L30" s="2253"/>
      <c r="M30" s="2253"/>
      <c r="N30" s="2253"/>
      <c r="O30" s="2254"/>
      <c r="P30" s="634"/>
      <c r="Q30" s="1503"/>
      <c r="R30" s="1503"/>
      <c r="S30" s="1503"/>
      <c r="T30" s="1839"/>
    </row>
    <row r="31" spans="1:20" s="632" customFormat="1" x14ac:dyDescent="0.25">
      <c r="A31" s="684">
        <v>305</v>
      </c>
      <c r="B31" s="686"/>
      <c r="C31" s="1022"/>
      <c r="D31" s="635" t="str">
        <f t="shared" si="0"/>
        <v/>
      </c>
      <c r="E31" s="2485" t="s">
        <v>194</v>
      </c>
      <c r="F31" s="2486"/>
      <c r="G31" s="2486"/>
      <c r="H31" s="2486"/>
      <c r="I31" s="2486"/>
      <c r="J31" s="2486"/>
      <c r="K31" s="2486"/>
      <c r="L31" s="2486"/>
      <c r="M31" s="2486"/>
      <c r="N31" s="2486"/>
      <c r="O31" s="2487"/>
      <c r="P31" s="634" t="s">
        <v>195</v>
      </c>
      <c r="Q31" s="1503"/>
      <c r="R31" s="1503"/>
      <c r="S31" s="1503"/>
      <c r="T31" s="1503"/>
    </row>
    <row r="32" spans="1:20" s="632" customFormat="1" x14ac:dyDescent="0.25">
      <c r="A32" s="103">
        <v>306</v>
      </c>
      <c r="B32" s="1504" t="s">
        <v>175</v>
      </c>
      <c r="C32" s="1022"/>
      <c r="D32" s="635" t="str">
        <f>IF(B32="NA","",IF(Q32&lt;&gt;0,"E",""))</f>
        <v/>
      </c>
      <c r="E32" s="2512" t="s">
        <v>196</v>
      </c>
      <c r="F32" s="2500"/>
      <c r="G32" s="2500"/>
      <c r="H32" s="2500"/>
      <c r="I32" s="2500"/>
      <c r="J32" s="2500"/>
      <c r="K32" s="2500"/>
      <c r="L32" s="2500"/>
      <c r="M32" s="2500"/>
      <c r="N32" s="2500"/>
      <c r="O32" s="2513"/>
      <c r="P32" s="634" t="s">
        <v>179</v>
      </c>
      <c r="Q32" s="1503"/>
      <c r="R32" s="1503"/>
      <c r="S32" s="1503"/>
      <c r="T32" s="1503"/>
    </row>
    <row r="33" spans="1:20" s="632" customFormat="1" x14ac:dyDescent="0.25">
      <c r="A33" s="684">
        <v>310</v>
      </c>
      <c r="B33" s="686"/>
      <c r="C33" s="1022"/>
      <c r="D33" s="635" t="str">
        <f t="shared" si="0"/>
        <v/>
      </c>
      <c r="E33" s="2485" t="s">
        <v>197</v>
      </c>
      <c r="F33" s="2486"/>
      <c r="G33" s="2486"/>
      <c r="H33" s="2486"/>
      <c r="I33" s="2486"/>
      <c r="J33" s="2486"/>
      <c r="K33" s="2486"/>
      <c r="L33" s="2486"/>
      <c r="M33" s="2486"/>
      <c r="N33" s="2486"/>
      <c r="O33" s="2487"/>
      <c r="P33" s="634" t="s">
        <v>195</v>
      </c>
      <c r="Q33" s="1503"/>
      <c r="R33" s="1503"/>
      <c r="S33" s="1503"/>
      <c r="T33" s="1503"/>
    </row>
    <row r="34" spans="1:20" s="632" customFormat="1" x14ac:dyDescent="0.25">
      <c r="A34" s="103">
        <v>311</v>
      </c>
      <c r="B34" s="1504" t="s">
        <v>175</v>
      </c>
      <c r="C34" s="1022"/>
      <c r="D34" s="635" t="str">
        <f t="shared" si="0"/>
        <v/>
      </c>
      <c r="E34" s="2512" t="s">
        <v>198</v>
      </c>
      <c r="F34" s="2500"/>
      <c r="G34" s="2500"/>
      <c r="H34" s="2500"/>
      <c r="I34" s="2500"/>
      <c r="J34" s="2500"/>
      <c r="K34" s="2500"/>
      <c r="L34" s="2500"/>
      <c r="M34" s="2500"/>
      <c r="N34" s="2500"/>
      <c r="O34" s="2513"/>
      <c r="P34" s="634" t="s">
        <v>179</v>
      </c>
      <c r="Q34" s="1503"/>
      <c r="R34" s="1503"/>
      <c r="S34" s="1503"/>
      <c r="T34" s="1503"/>
    </row>
    <row r="35" spans="1:20" s="632" customFormat="1" x14ac:dyDescent="0.25">
      <c r="A35" s="684">
        <v>315</v>
      </c>
      <c r="B35" s="686"/>
      <c r="C35" s="1085" t="s">
        <v>175</v>
      </c>
      <c r="D35" s="635" t="str">
        <f t="shared" si="0"/>
        <v/>
      </c>
      <c r="E35" s="2494" t="s">
        <v>199</v>
      </c>
      <c r="F35" s="2495"/>
      <c r="G35" s="2495"/>
      <c r="H35" s="2495"/>
      <c r="I35" s="2495"/>
      <c r="J35" s="2495"/>
      <c r="K35" s="2495"/>
      <c r="L35" s="2495"/>
      <c r="M35" s="2495"/>
      <c r="N35" s="2495"/>
      <c r="O35" s="2496"/>
      <c r="P35" s="634"/>
      <c r="Q35" s="1503"/>
      <c r="R35" s="1503"/>
      <c r="S35" s="1503"/>
      <c r="T35" s="1503"/>
    </row>
    <row r="36" spans="1:20" s="632" customFormat="1" x14ac:dyDescent="0.25">
      <c r="A36" s="684">
        <v>320</v>
      </c>
      <c r="B36" s="686"/>
      <c r="C36" s="1085" t="s">
        <v>175</v>
      </c>
      <c r="D36" s="635" t="str">
        <f>IF(B36="NA","",IF(Q36&lt;&gt;0,"E",""))</f>
        <v/>
      </c>
      <c r="E36" s="2494" t="s">
        <v>200</v>
      </c>
      <c r="F36" s="2495"/>
      <c r="G36" s="2495"/>
      <c r="H36" s="2495"/>
      <c r="I36" s="2495"/>
      <c r="J36" s="2495"/>
      <c r="K36" s="2495"/>
      <c r="L36" s="2495"/>
      <c r="M36" s="2495"/>
      <c r="N36" s="2495"/>
      <c r="O36" s="2496"/>
      <c r="P36" s="634"/>
      <c r="Q36" s="1503"/>
      <c r="R36" s="1503"/>
      <c r="S36" s="1503"/>
      <c r="T36" s="1503"/>
    </row>
    <row r="37" spans="1:20" s="632" customFormat="1" x14ac:dyDescent="0.25">
      <c r="A37" s="684">
        <v>322</v>
      </c>
      <c r="B37" s="686"/>
      <c r="C37" s="1022"/>
      <c r="D37" s="635"/>
      <c r="E37" s="2485" t="s">
        <v>201</v>
      </c>
      <c r="F37" s="2486"/>
      <c r="G37" s="2486"/>
      <c r="H37" s="2486"/>
      <c r="I37" s="2486"/>
      <c r="J37" s="2486"/>
      <c r="K37" s="2486"/>
      <c r="L37" s="2486"/>
      <c r="M37" s="2486"/>
      <c r="N37" s="2486"/>
      <c r="O37" s="2487"/>
      <c r="P37" s="634" t="s">
        <v>179</v>
      </c>
      <c r="Q37" s="1503"/>
      <c r="R37" s="1503"/>
      <c r="S37" s="1503"/>
      <c r="T37" s="1503"/>
    </row>
    <row r="38" spans="1:20" s="632" customFormat="1" x14ac:dyDescent="0.25">
      <c r="A38" s="684">
        <v>323</v>
      </c>
      <c r="B38" s="686"/>
      <c r="C38" s="1022"/>
      <c r="D38" s="635"/>
      <c r="E38" s="2491" t="s">
        <v>202</v>
      </c>
      <c r="F38" s="2492"/>
      <c r="G38" s="2492"/>
      <c r="H38" s="2492"/>
      <c r="I38" s="2492"/>
      <c r="J38" s="2492"/>
      <c r="K38" s="2492"/>
      <c r="L38" s="2492"/>
      <c r="M38" s="2492"/>
      <c r="N38" s="2492"/>
      <c r="O38" s="2493"/>
      <c r="P38" s="634" t="s">
        <v>179</v>
      </c>
      <c r="Q38" s="1503"/>
      <c r="R38" s="1503"/>
      <c r="S38" s="1503"/>
      <c r="T38" s="1503"/>
    </row>
    <row r="39" spans="1:20" s="632" customFormat="1" x14ac:dyDescent="0.25">
      <c r="A39" s="634">
        <v>325</v>
      </c>
      <c r="B39" s="686"/>
      <c r="C39" s="1085" t="s">
        <v>175</v>
      </c>
      <c r="D39" s="635" t="str">
        <f t="shared" si="0"/>
        <v/>
      </c>
      <c r="E39" s="2485" t="s">
        <v>203</v>
      </c>
      <c r="F39" s="2486"/>
      <c r="G39" s="2486"/>
      <c r="H39" s="2486"/>
      <c r="I39" s="2486"/>
      <c r="J39" s="2486"/>
      <c r="K39" s="2486"/>
      <c r="L39" s="2486"/>
      <c r="M39" s="2486"/>
      <c r="N39" s="2486"/>
      <c r="O39" s="2487"/>
      <c r="P39" s="634"/>
      <c r="Q39" s="1503"/>
      <c r="R39" s="1503"/>
      <c r="S39" s="1503"/>
      <c r="T39" s="1503"/>
    </row>
    <row r="40" spans="1:20" s="632" customFormat="1" x14ac:dyDescent="0.25">
      <c r="A40" s="103">
        <v>326</v>
      </c>
      <c r="B40" s="1085" t="s">
        <v>175</v>
      </c>
      <c r="C40" s="1022"/>
      <c r="D40" s="635" t="str">
        <f>IF(B40="NA","",IF(Q40&lt;&gt;0,"E",""))</f>
        <v/>
      </c>
      <c r="E40" s="2512" t="s">
        <v>204</v>
      </c>
      <c r="F40" s="2500"/>
      <c r="G40" s="2500"/>
      <c r="H40" s="2500"/>
      <c r="I40" s="2500"/>
      <c r="J40" s="2500"/>
      <c r="K40" s="2500"/>
      <c r="L40" s="2500"/>
      <c r="M40" s="2500"/>
      <c r="N40" s="2500"/>
      <c r="O40" s="2513"/>
      <c r="P40" s="634" t="s">
        <v>179</v>
      </c>
      <c r="Q40" s="1503"/>
      <c r="R40" s="1503"/>
      <c r="S40" s="1503"/>
      <c r="T40" s="1503"/>
    </row>
    <row r="41" spans="1:20" s="632" customFormat="1" x14ac:dyDescent="0.25">
      <c r="A41" s="634">
        <v>330</v>
      </c>
      <c r="B41" s="1009"/>
      <c r="C41" s="1022"/>
      <c r="D41" s="635" t="str">
        <f t="shared" si="0"/>
        <v/>
      </c>
      <c r="E41" s="2485" t="s">
        <v>205</v>
      </c>
      <c r="F41" s="2486"/>
      <c r="G41" s="2486"/>
      <c r="H41" s="2486"/>
      <c r="I41" s="2486"/>
      <c r="J41" s="2486"/>
      <c r="K41" s="2486"/>
      <c r="L41" s="2486"/>
      <c r="M41" s="2486"/>
      <c r="N41" s="2486"/>
      <c r="O41" s="2487"/>
      <c r="P41" s="634" t="s">
        <v>179</v>
      </c>
      <c r="Q41" s="1503"/>
      <c r="R41" s="1503"/>
      <c r="S41" s="1503"/>
      <c r="T41" s="1503"/>
    </row>
    <row r="42" spans="1:20" s="632" customFormat="1" x14ac:dyDescent="0.25">
      <c r="A42" s="103">
        <v>335</v>
      </c>
      <c r="B42" s="1504" t="s">
        <v>175</v>
      </c>
      <c r="C42" s="1022"/>
      <c r="D42" s="635" t="str">
        <f t="shared" si="0"/>
        <v/>
      </c>
      <c r="E42" s="2512" t="s">
        <v>206</v>
      </c>
      <c r="F42" s="2500"/>
      <c r="G42" s="2500"/>
      <c r="H42" s="2500"/>
      <c r="I42" s="2500"/>
      <c r="J42" s="2500"/>
      <c r="K42" s="2500"/>
      <c r="L42" s="2500"/>
      <c r="M42" s="2500"/>
      <c r="N42" s="2500"/>
      <c r="O42" s="2513"/>
      <c r="P42" s="634" t="s">
        <v>179</v>
      </c>
      <c r="Q42" s="1503"/>
      <c r="R42" s="1503"/>
      <c r="S42" s="1503"/>
      <c r="T42" s="1503"/>
    </row>
    <row r="43" spans="1:20" s="632" customFormat="1" x14ac:dyDescent="0.25">
      <c r="A43" s="634">
        <v>338</v>
      </c>
      <c r="B43" s="1009"/>
      <c r="C43" s="1022"/>
      <c r="D43" s="635"/>
      <c r="E43" s="2485" t="s">
        <v>207</v>
      </c>
      <c r="F43" s="2486"/>
      <c r="G43" s="2486"/>
      <c r="H43" s="2486"/>
      <c r="I43" s="2486"/>
      <c r="J43" s="2486"/>
      <c r="K43" s="2486"/>
      <c r="L43" s="2486"/>
      <c r="M43" s="2486"/>
      <c r="N43" s="2486"/>
      <c r="O43" s="2487"/>
      <c r="P43" s="634" t="s">
        <v>179</v>
      </c>
      <c r="Q43" s="1503"/>
      <c r="R43" s="1503"/>
      <c r="S43" s="1503"/>
      <c r="T43" s="1503"/>
    </row>
    <row r="44" spans="1:20" s="632" customFormat="1" x14ac:dyDescent="0.25">
      <c r="A44" s="634">
        <v>340</v>
      </c>
      <c r="B44" s="1009"/>
      <c r="C44" s="1022"/>
      <c r="D44" s="635"/>
      <c r="E44" s="2485" t="s">
        <v>208</v>
      </c>
      <c r="F44" s="2500"/>
      <c r="G44" s="2500"/>
      <c r="H44" s="2500"/>
      <c r="I44" s="2500"/>
      <c r="J44" s="2500"/>
      <c r="K44" s="2500"/>
      <c r="L44" s="2500"/>
      <c r="M44" s="2500"/>
      <c r="N44" s="2500"/>
      <c r="O44" s="2513"/>
      <c r="P44" s="634" t="s">
        <v>179</v>
      </c>
      <c r="Q44" s="1503"/>
      <c r="R44" s="1503"/>
      <c r="S44" s="1503"/>
      <c r="T44" s="1503"/>
    </row>
    <row r="45" spans="1:20" s="632" customFormat="1" x14ac:dyDescent="0.25">
      <c r="A45" s="634">
        <v>341</v>
      </c>
      <c r="B45" s="1009"/>
      <c r="C45" s="1022"/>
      <c r="D45" s="635"/>
      <c r="E45" s="2485" t="s">
        <v>209</v>
      </c>
      <c r="F45" s="2500"/>
      <c r="G45" s="2500"/>
      <c r="H45" s="2500"/>
      <c r="I45" s="2500"/>
      <c r="J45" s="2500"/>
      <c r="K45" s="2500"/>
      <c r="L45" s="2500"/>
      <c r="M45" s="2500"/>
      <c r="N45" s="2500"/>
      <c r="O45" s="2513"/>
      <c r="P45" s="634" t="s">
        <v>179</v>
      </c>
      <c r="Q45" s="1503"/>
      <c r="R45" s="1503"/>
      <c r="S45" s="1503"/>
      <c r="T45" s="1503"/>
    </row>
    <row r="46" spans="1:20" s="632" customFormat="1" x14ac:dyDescent="0.25">
      <c r="A46" s="634">
        <v>342</v>
      </c>
      <c r="B46" s="1009"/>
      <c r="C46" s="1022"/>
      <c r="D46" s="635"/>
      <c r="E46" s="2485" t="s">
        <v>210</v>
      </c>
      <c r="F46" s="2500"/>
      <c r="G46" s="2500"/>
      <c r="H46" s="2500"/>
      <c r="I46" s="2500"/>
      <c r="J46" s="2500"/>
      <c r="K46" s="2500"/>
      <c r="L46" s="2500"/>
      <c r="M46" s="2500"/>
      <c r="N46" s="2500"/>
      <c r="O46" s="2513"/>
      <c r="P46" s="634" t="s">
        <v>179</v>
      </c>
      <c r="Q46" s="1503"/>
      <c r="R46" s="1503"/>
      <c r="S46" s="1503"/>
      <c r="T46" s="1503"/>
    </row>
    <row r="47" spans="1:20" s="632" customFormat="1" x14ac:dyDescent="0.25">
      <c r="A47" s="634">
        <v>345</v>
      </c>
      <c r="B47" s="1505"/>
      <c r="C47" s="1022"/>
      <c r="D47" s="635" t="str">
        <f t="shared" si="0"/>
        <v/>
      </c>
      <c r="E47" s="2485" t="s">
        <v>211</v>
      </c>
      <c r="F47" s="2486"/>
      <c r="G47" s="2486"/>
      <c r="H47" s="2486"/>
      <c r="I47" s="2486"/>
      <c r="J47" s="2486"/>
      <c r="K47" s="2486"/>
      <c r="L47" s="2486"/>
      <c r="M47" s="2486"/>
      <c r="N47" s="2486"/>
      <c r="O47" s="2487"/>
      <c r="P47" s="634" t="s">
        <v>179</v>
      </c>
      <c r="Q47" s="1503"/>
      <c r="R47" s="1503"/>
      <c r="S47" s="1503"/>
      <c r="T47" s="1503"/>
    </row>
    <row r="48" spans="1:20" s="632" customFormat="1" x14ac:dyDescent="0.25">
      <c r="A48" s="634">
        <v>350</v>
      </c>
      <c r="B48" s="1009"/>
      <c r="C48" s="1022"/>
      <c r="D48" s="635" t="str">
        <f t="shared" si="0"/>
        <v/>
      </c>
      <c r="E48" s="2485" t="s">
        <v>212</v>
      </c>
      <c r="F48" s="2486"/>
      <c r="G48" s="2486"/>
      <c r="H48" s="2486"/>
      <c r="I48" s="2486"/>
      <c r="J48" s="2486"/>
      <c r="K48" s="2486"/>
      <c r="L48" s="2486"/>
      <c r="M48" s="2486"/>
      <c r="N48" s="2486"/>
      <c r="O48" s="2487"/>
      <c r="P48" s="634" t="s">
        <v>179</v>
      </c>
      <c r="Q48" s="1503"/>
      <c r="R48" s="1503"/>
      <c r="S48" s="1503"/>
      <c r="T48" s="1503"/>
    </row>
    <row r="49" spans="1:20" s="632" customFormat="1" x14ac:dyDescent="0.25">
      <c r="A49" s="634">
        <v>355</v>
      </c>
      <c r="B49" s="1505"/>
      <c r="C49" s="1022"/>
      <c r="D49" s="635" t="str">
        <f t="shared" si="0"/>
        <v/>
      </c>
      <c r="E49" s="2485" t="s">
        <v>213</v>
      </c>
      <c r="F49" s="2486"/>
      <c r="G49" s="2486"/>
      <c r="H49" s="2486"/>
      <c r="I49" s="2486"/>
      <c r="J49" s="2486"/>
      <c r="K49" s="2486"/>
      <c r="L49" s="2486"/>
      <c r="M49" s="2486"/>
      <c r="N49" s="2486"/>
      <c r="O49" s="2487"/>
      <c r="P49" s="634" t="s">
        <v>179</v>
      </c>
      <c r="Q49" s="1503"/>
      <c r="R49" s="1503"/>
      <c r="S49" s="1503"/>
      <c r="T49" s="1503"/>
    </row>
    <row r="50" spans="1:20" s="632" customFormat="1" x14ac:dyDescent="0.25">
      <c r="A50" s="103">
        <v>360</v>
      </c>
      <c r="B50" s="1504" t="s">
        <v>175</v>
      </c>
      <c r="C50" s="1022"/>
      <c r="D50" s="635" t="str">
        <f t="shared" si="0"/>
        <v/>
      </c>
      <c r="E50" s="2512" t="s">
        <v>214</v>
      </c>
      <c r="F50" s="2500"/>
      <c r="G50" s="2500"/>
      <c r="H50" s="2500"/>
      <c r="I50" s="2500"/>
      <c r="J50" s="2500"/>
      <c r="K50" s="2500"/>
      <c r="L50" s="2500"/>
      <c r="M50" s="2500"/>
      <c r="N50" s="2500"/>
      <c r="O50" s="2513"/>
      <c r="P50" s="634" t="s">
        <v>179</v>
      </c>
      <c r="Q50" s="1503"/>
      <c r="R50" s="1503"/>
      <c r="S50" s="1503"/>
      <c r="T50" s="1503"/>
    </row>
    <row r="51" spans="1:20" s="632" customFormat="1" x14ac:dyDescent="0.25">
      <c r="A51" s="634">
        <v>365</v>
      </c>
      <c r="B51" s="1009"/>
      <c r="C51" s="1022"/>
      <c r="D51" s="635"/>
      <c r="E51" s="2485" t="s">
        <v>215</v>
      </c>
      <c r="F51" s="2486"/>
      <c r="G51" s="2486"/>
      <c r="H51" s="2486"/>
      <c r="I51" s="2486"/>
      <c r="J51" s="2486"/>
      <c r="K51" s="2486"/>
      <c r="L51" s="2486"/>
      <c r="M51" s="2486"/>
      <c r="N51" s="2486"/>
      <c r="O51" s="2487"/>
      <c r="P51" s="634" t="s">
        <v>179</v>
      </c>
      <c r="Q51" s="1503"/>
      <c r="R51" s="1503"/>
      <c r="S51" s="1503"/>
      <c r="T51" s="1503"/>
    </row>
    <row r="52" spans="1:20" s="632" customFormat="1" x14ac:dyDescent="0.25">
      <c r="A52" s="634">
        <v>370</v>
      </c>
      <c r="B52" s="1009"/>
      <c r="C52" s="1085" t="s">
        <v>175</v>
      </c>
      <c r="D52" s="635"/>
      <c r="E52" s="2485" t="s">
        <v>216</v>
      </c>
      <c r="F52" s="2486"/>
      <c r="G52" s="2486"/>
      <c r="H52" s="2486"/>
      <c r="I52" s="2486"/>
      <c r="J52" s="2486"/>
      <c r="K52" s="2486"/>
      <c r="L52" s="2486"/>
      <c r="M52" s="2486"/>
      <c r="N52" s="2486"/>
      <c r="O52" s="2487"/>
      <c r="P52" s="634"/>
      <c r="Q52" s="1503"/>
      <c r="R52" s="1503"/>
      <c r="S52" s="1503"/>
      <c r="T52" s="1503"/>
    </row>
    <row r="53" spans="1:20" s="632" customFormat="1" x14ac:dyDescent="0.25">
      <c r="A53" s="634" t="s">
        <v>217</v>
      </c>
      <c r="B53" s="1009"/>
      <c r="C53" s="1085" t="s">
        <v>175</v>
      </c>
      <c r="D53" s="635"/>
      <c r="E53" s="2514" t="s">
        <v>218</v>
      </c>
      <c r="F53" s="2486"/>
      <c r="G53" s="2486"/>
      <c r="H53" s="2486"/>
      <c r="I53" s="2486"/>
      <c r="J53" s="2486"/>
      <c r="K53" s="2486"/>
      <c r="L53" s="2486"/>
      <c r="M53" s="2486"/>
      <c r="N53" s="2486"/>
      <c r="O53" s="2487"/>
      <c r="P53" s="634"/>
      <c r="Q53" s="1503"/>
      <c r="R53" s="1503"/>
      <c r="S53" s="1503"/>
      <c r="T53" s="1503"/>
    </row>
    <row r="54" spans="1:20" s="632" customFormat="1" x14ac:dyDescent="0.25">
      <c r="A54" s="634" t="s">
        <v>219</v>
      </c>
      <c r="B54" s="1009"/>
      <c r="C54" s="1085" t="s">
        <v>175</v>
      </c>
      <c r="D54" s="635"/>
      <c r="E54" s="2514" t="s">
        <v>220</v>
      </c>
      <c r="F54" s="2486"/>
      <c r="G54" s="2486"/>
      <c r="H54" s="2486"/>
      <c r="I54" s="2486"/>
      <c r="J54" s="2486"/>
      <c r="K54" s="2486"/>
      <c r="L54" s="2486"/>
      <c r="M54" s="2486"/>
      <c r="N54" s="2486"/>
      <c r="O54" s="2487"/>
      <c r="P54" s="634"/>
      <c r="Q54" s="1503"/>
      <c r="R54" s="1503"/>
      <c r="S54" s="1503"/>
      <c r="T54" s="1503"/>
    </row>
    <row r="55" spans="1:20" s="632" customFormat="1" x14ac:dyDescent="0.25">
      <c r="A55" s="634">
        <v>401</v>
      </c>
      <c r="B55" s="1009"/>
      <c r="C55" s="1022"/>
      <c r="D55" s="635" t="str">
        <f t="shared" si="0"/>
        <v/>
      </c>
      <c r="E55" s="2485" t="s">
        <v>221</v>
      </c>
      <c r="F55" s="2486"/>
      <c r="G55" s="2486"/>
      <c r="H55" s="2486"/>
      <c r="I55" s="2486"/>
      <c r="J55" s="2486"/>
      <c r="K55" s="2486"/>
      <c r="L55" s="2486"/>
      <c r="M55" s="2486"/>
      <c r="N55" s="2486"/>
      <c r="O55" s="2487"/>
      <c r="P55" s="634" t="s">
        <v>179</v>
      </c>
      <c r="Q55" s="1503"/>
      <c r="R55" s="1503"/>
      <c r="S55" s="1503"/>
      <c r="T55" s="1503"/>
    </row>
    <row r="56" spans="1:20" s="632" customFormat="1" x14ac:dyDescent="0.25">
      <c r="A56" s="634">
        <v>405</v>
      </c>
      <c r="B56" s="1009"/>
      <c r="C56" s="1022"/>
      <c r="D56" s="635" t="str">
        <f t="shared" si="0"/>
        <v/>
      </c>
      <c r="E56" s="2485" t="s">
        <v>222</v>
      </c>
      <c r="F56" s="2486"/>
      <c r="G56" s="2486"/>
      <c r="H56" s="2486"/>
      <c r="I56" s="2486"/>
      <c r="J56" s="2486"/>
      <c r="K56" s="2486"/>
      <c r="L56" s="2486"/>
      <c r="M56" s="2486"/>
      <c r="N56" s="2486"/>
      <c r="O56" s="2487"/>
      <c r="P56" s="634" t="s">
        <v>179</v>
      </c>
      <c r="Q56" s="1503"/>
      <c r="R56" s="1503"/>
      <c r="S56" s="1503"/>
      <c r="T56" s="1503"/>
    </row>
    <row r="57" spans="1:20" s="632" customFormat="1" x14ac:dyDescent="0.25">
      <c r="A57" s="634">
        <v>410</v>
      </c>
      <c r="B57" s="1009"/>
      <c r="C57" s="1022"/>
      <c r="D57" s="635" t="str">
        <f t="shared" si="0"/>
        <v/>
      </c>
      <c r="E57" s="2485" t="s">
        <v>223</v>
      </c>
      <c r="F57" s="2486"/>
      <c r="G57" s="2486"/>
      <c r="H57" s="2486"/>
      <c r="I57" s="2486"/>
      <c r="J57" s="2486"/>
      <c r="K57" s="2486"/>
      <c r="L57" s="2486"/>
      <c r="M57" s="2486"/>
      <c r="N57" s="2486"/>
      <c r="O57" s="2487"/>
      <c r="P57" s="634" t="s">
        <v>179</v>
      </c>
      <c r="Q57" s="1503"/>
      <c r="R57" s="1503"/>
      <c r="S57" s="1503"/>
      <c r="T57" s="1503"/>
    </row>
    <row r="58" spans="1:20" s="632" customFormat="1" x14ac:dyDescent="0.25">
      <c r="A58" s="634">
        <v>415</v>
      </c>
      <c r="B58" s="1009"/>
      <c r="C58" s="1022"/>
      <c r="D58" s="635" t="str">
        <f t="shared" si="0"/>
        <v/>
      </c>
      <c r="E58" s="2485" t="s">
        <v>224</v>
      </c>
      <c r="F58" s="2486"/>
      <c r="G58" s="2486"/>
      <c r="H58" s="2486"/>
      <c r="I58" s="2486"/>
      <c r="J58" s="2486"/>
      <c r="K58" s="2486"/>
      <c r="L58" s="2486"/>
      <c r="M58" s="2486"/>
      <c r="N58" s="2486"/>
      <c r="O58" s="2487"/>
      <c r="P58" s="634" t="s">
        <v>179</v>
      </c>
      <c r="Q58" s="1503"/>
      <c r="R58" s="1503"/>
      <c r="S58" s="1503"/>
      <c r="T58" s="1503"/>
    </row>
    <row r="59" spans="1:20" s="632" customFormat="1" x14ac:dyDescent="0.25">
      <c r="A59" s="634">
        <v>420</v>
      </c>
      <c r="B59" s="1009"/>
      <c r="C59" s="1022"/>
      <c r="D59" s="635" t="str">
        <f t="shared" si="0"/>
        <v/>
      </c>
      <c r="E59" s="2485" t="s">
        <v>225</v>
      </c>
      <c r="F59" s="2486"/>
      <c r="G59" s="2486"/>
      <c r="H59" s="2486"/>
      <c r="I59" s="2486"/>
      <c r="J59" s="2486"/>
      <c r="K59" s="2486"/>
      <c r="L59" s="2486"/>
      <c r="M59" s="2486"/>
      <c r="N59" s="2486"/>
      <c r="O59" s="2487"/>
      <c r="P59" s="634" t="s">
        <v>179</v>
      </c>
      <c r="Q59" s="1503"/>
      <c r="R59" s="1503"/>
      <c r="S59" s="1503"/>
      <c r="T59" s="1503"/>
    </row>
    <row r="60" spans="1:20" s="632" customFormat="1" x14ac:dyDescent="0.25">
      <c r="A60" s="634">
        <v>425</v>
      </c>
      <c r="B60" s="1505"/>
      <c r="C60" s="1085" t="s">
        <v>175</v>
      </c>
      <c r="D60" s="635"/>
      <c r="E60" s="2485" t="s">
        <v>226</v>
      </c>
      <c r="F60" s="2486"/>
      <c r="G60" s="2486"/>
      <c r="H60" s="2486"/>
      <c r="I60" s="2486"/>
      <c r="J60" s="2486"/>
      <c r="K60" s="2486"/>
      <c r="L60" s="2486"/>
      <c r="M60" s="2486"/>
      <c r="N60" s="2486"/>
      <c r="O60" s="2487"/>
      <c r="P60" s="634"/>
      <c r="Q60" s="1503"/>
      <c r="R60" s="1503"/>
      <c r="S60" s="1503"/>
      <c r="T60" s="1503"/>
    </row>
    <row r="61" spans="1:20" s="632" customFormat="1" x14ac:dyDescent="0.25">
      <c r="A61" s="634" t="s">
        <v>227</v>
      </c>
      <c r="B61" s="1009"/>
      <c r="C61" s="1022"/>
      <c r="D61" s="635" t="str">
        <f t="shared" si="0"/>
        <v/>
      </c>
      <c r="E61" s="2485" t="s">
        <v>228</v>
      </c>
      <c r="F61" s="2486"/>
      <c r="G61" s="2486"/>
      <c r="H61" s="2486"/>
      <c r="I61" s="2486"/>
      <c r="J61" s="2486"/>
      <c r="K61" s="2486"/>
      <c r="L61" s="2486"/>
      <c r="M61" s="2486"/>
      <c r="N61" s="2486"/>
      <c r="O61" s="2487"/>
      <c r="P61" s="634" t="s">
        <v>179</v>
      </c>
      <c r="Q61" s="1503"/>
      <c r="R61" s="1503"/>
      <c r="S61" s="1503"/>
      <c r="T61" s="1503"/>
    </row>
    <row r="62" spans="1:20" s="632" customFormat="1" x14ac:dyDescent="0.25">
      <c r="A62" s="634" t="s">
        <v>229</v>
      </c>
      <c r="B62" s="1009"/>
      <c r="C62" s="1022"/>
      <c r="D62" s="635" t="str">
        <f>IF(B62="NA","",IF(Q62&lt;&gt;0,"E",""))</f>
        <v/>
      </c>
      <c r="E62" s="2485" t="s">
        <v>230</v>
      </c>
      <c r="F62" s="2486"/>
      <c r="G62" s="2486"/>
      <c r="H62" s="2486"/>
      <c r="I62" s="2486"/>
      <c r="J62" s="2486"/>
      <c r="K62" s="2486"/>
      <c r="L62" s="2486"/>
      <c r="M62" s="2486"/>
      <c r="N62" s="2486"/>
      <c r="O62" s="2487"/>
      <c r="P62" s="634" t="s">
        <v>179</v>
      </c>
      <c r="Q62" s="1503"/>
      <c r="R62" s="1503"/>
      <c r="S62" s="1503"/>
      <c r="T62" s="1503"/>
    </row>
    <row r="63" spans="1:20" s="632" customFormat="1" x14ac:dyDescent="0.25">
      <c r="A63" s="634" t="s">
        <v>231</v>
      </c>
      <c r="B63" s="1009"/>
      <c r="C63" s="1022"/>
      <c r="D63" s="635"/>
      <c r="E63" s="2252" t="s">
        <v>232</v>
      </c>
      <c r="F63" s="2253"/>
      <c r="G63" s="2253"/>
      <c r="H63" s="2253"/>
      <c r="I63" s="2253"/>
      <c r="J63" s="2253"/>
      <c r="K63" s="2253"/>
      <c r="L63" s="2253"/>
      <c r="M63" s="2253"/>
      <c r="N63" s="2253"/>
      <c r="O63" s="2254"/>
      <c r="P63" s="634" t="s">
        <v>179</v>
      </c>
      <c r="Q63" s="1503"/>
      <c r="R63" s="1503"/>
      <c r="S63" s="1503"/>
      <c r="T63" s="1503"/>
    </row>
    <row r="64" spans="1:20" s="632" customFormat="1" x14ac:dyDescent="0.25">
      <c r="A64" s="634" t="s">
        <v>233</v>
      </c>
      <c r="B64" s="1009"/>
      <c r="C64" s="1085" t="s">
        <v>175</v>
      </c>
      <c r="D64" s="635" t="str">
        <f t="shared" si="0"/>
        <v/>
      </c>
      <c r="E64" s="2485" t="s">
        <v>234</v>
      </c>
      <c r="F64" s="2486"/>
      <c r="G64" s="2486"/>
      <c r="H64" s="2486"/>
      <c r="I64" s="2486"/>
      <c r="J64" s="2486"/>
      <c r="K64" s="2486"/>
      <c r="L64" s="2486"/>
      <c r="M64" s="2486"/>
      <c r="N64" s="2486"/>
      <c r="O64" s="2487"/>
      <c r="P64" s="634"/>
      <c r="Q64" s="1503"/>
      <c r="R64" s="1503"/>
      <c r="S64" s="1503"/>
      <c r="T64" s="1503"/>
    </row>
    <row r="65" spans="1:20" s="632" customFormat="1" x14ac:dyDescent="0.25">
      <c r="A65" s="634" t="s">
        <v>235</v>
      </c>
      <c r="B65" s="1009"/>
      <c r="C65" s="1085" t="s">
        <v>175</v>
      </c>
      <c r="D65" s="635" t="str">
        <f>IF(B65="NA","",IF(Q65&lt;&gt;0,"E",""))</f>
        <v/>
      </c>
      <c r="E65" s="2485" t="s">
        <v>236</v>
      </c>
      <c r="F65" s="2486"/>
      <c r="G65" s="2486"/>
      <c r="H65" s="2486"/>
      <c r="I65" s="2486"/>
      <c r="J65" s="2486"/>
      <c r="K65" s="2486"/>
      <c r="L65" s="2486"/>
      <c r="M65" s="2486"/>
      <c r="N65" s="2486"/>
      <c r="O65" s="2487"/>
      <c r="P65" s="634"/>
      <c r="Q65" s="1503"/>
      <c r="R65" s="1503"/>
      <c r="S65" s="1503"/>
      <c r="T65" s="1503"/>
    </row>
    <row r="66" spans="1:20" s="632" customFormat="1" x14ac:dyDescent="0.25">
      <c r="A66" s="634" t="s">
        <v>237</v>
      </c>
      <c r="B66" s="1009"/>
      <c r="C66" s="1085" t="s">
        <v>175</v>
      </c>
      <c r="D66" s="635"/>
      <c r="E66" s="2252" t="s">
        <v>238</v>
      </c>
      <c r="F66" s="2253"/>
      <c r="G66" s="2253"/>
      <c r="H66" s="2253"/>
      <c r="I66" s="2253"/>
      <c r="J66" s="2253"/>
      <c r="K66" s="2253"/>
      <c r="L66" s="2253"/>
      <c r="M66" s="2253"/>
      <c r="N66" s="2253"/>
      <c r="O66" s="2254"/>
      <c r="P66" s="634"/>
      <c r="Q66" s="1503"/>
      <c r="R66" s="1503"/>
      <c r="S66" s="1503"/>
      <c r="T66" s="1503"/>
    </row>
    <row r="67" spans="1:20" s="632" customFormat="1" x14ac:dyDescent="0.25">
      <c r="A67" s="634" t="s">
        <v>239</v>
      </c>
      <c r="B67" s="1009"/>
      <c r="C67" s="1085" t="s">
        <v>175</v>
      </c>
      <c r="D67" s="635"/>
      <c r="E67" s="2252" t="s">
        <v>240</v>
      </c>
      <c r="F67" s="2253"/>
      <c r="G67" s="2253"/>
      <c r="H67" s="2253"/>
      <c r="I67" s="2253"/>
      <c r="J67" s="2253"/>
      <c r="K67" s="2253"/>
      <c r="L67" s="2253"/>
      <c r="M67" s="2253"/>
      <c r="N67" s="2253"/>
      <c r="O67" s="2254"/>
      <c r="P67" s="634"/>
      <c r="Q67" s="1503"/>
      <c r="R67" s="1503"/>
      <c r="S67" s="1503"/>
      <c r="T67" s="1503"/>
    </row>
    <row r="68" spans="1:20" s="632" customFormat="1" x14ac:dyDescent="0.25">
      <c r="A68" s="634">
        <v>502</v>
      </c>
      <c r="B68" s="1009"/>
      <c r="C68" s="1085" t="s">
        <v>175</v>
      </c>
      <c r="D68" s="635"/>
      <c r="E68" s="2485" t="s">
        <v>241</v>
      </c>
      <c r="F68" s="2486"/>
      <c r="G68" s="2486"/>
      <c r="H68" s="2486"/>
      <c r="I68" s="2486"/>
      <c r="J68" s="2486"/>
      <c r="K68" s="2486"/>
      <c r="L68" s="2486"/>
      <c r="M68" s="2486"/>
      <c r="N68" s="2486"/>
      <c r="O68" s="2487"/>
      <c r="P68" s="634"/>
      <c r="Q68" s="1503"/>
      <c r="R68" s="1503"/>
      <c r="S68" s="1503"/>
      <c r="T68" s="1503"/>
    </row>
    <row r="69" spans="1:20" s="632" customFormat="1" x14ac:dyDescent="0.25">
      <c r="A69" s="634">
        <v>505</v>
      </c>
      <c r="B69" s="1009"/>
      <c r="C69" s="1085" t="s">
        <v>175</v>
      </c>
      <c r="D69" s="635" t="str">
        <f t="shared" si="0"/>
        <v/>
      </c>
      <c r="E69" s="2485" t="s">
        <v>242</v>
      </c>
      <c r="F69" s="2486"/>
      <c r="G69" s="2486"/>
      <c r="H69" s="2486"/>
      <c r="I69" s="2486"/>
      <c r="J69" s="2486"/>
      <c r="K69" s="2486"/>
      <c r="L69" s="2486"/>
      <c r="M69" s="2486"/>
      <c r="N69" s="2486"/>
      <c r="O69" s="2487"/>
      <c r="P69" s="634"/>
      <c r="Q69" s="1503"/>
      <c r="R69" s="1503"/>
      <c r="S69" s="1503"/>
      <c r="T69" s="1503"/>
    </row>
    <row r="70" spans="1:20" s="632" customFormat="1" x14ac:dyDescent="0.25">
      <c r="A70" s="634">
        <v>510</v>
      </c>
      <c r="B70" s="1009"/>
      <c r="C70" s="1085" t="s">
        <v>175</v>
      </c>
      <c r="D70" s="635" t="str">
        <f t="shared" si="0"/>
        <v/>
      </c>
      <c r="E70" s="2485" t="s">
        <v>243</v>
      </c>
      <c r="F70" s="2486"/>
      <c r="G70" s="2486"/>
      <c r="H70" s="2486"/>
      <c r="I70" s="2486"/>
      <c r="J70" s="2486"/>
      <c r="K70" s="2486"/>
      <c r="L70" s="2486"/>
      <c r="M70" s="2486"/>
      <c r="N70" s="2486"/>
      <c r="O70" s="2487"/>
      <c r="P70" s="634"/>
      <c r="Q70" s="1503"/>
      <c r="R70" s="1503"/>
      <c r="S70" s="1503"/>
      <c r="T70" s="1503"/>
    </row>
    <row r="71" spans="1:20" s="632" customFormat="1" x14ac:dyDescent="0.25">
      <c r="A71" s="634">
        <v>515</v>
      </c>
      <c r="B71" s="1009"/>
      <c r="C71" s="1085" t="s">
        <v>175</v>
      </c>
      <c r="D71" s="635" t="str">
        <f t="shared" si="0"/>
        <v/>
      </c>
      <c r="E71" s="2485" t="s">
        <v>244</v>
      </c>
      <c r="F71" s="2486"/>
      <c r="G71" s="2486"/>
      <c r="H71" s="2486"/>
      <c r="I71" s="2486"/>
      <c r="J71" s="2486"/>
      <c r="K71" s="2486"/>
      <c r="L71" s="2486"/>
      <c r="M71" s="2486"/>
      <c r="N71" s="2486"/>
      <c r="O71" s="2487"/>
      <c r="P71" s="634"/>
      <c r="Q71" s="1503"/>
      <c r="R71" s="1503"/>
      <c r="S71" s="1503"/>
      <c r="T71" s="1503"/>
    </row>
    <row r="72" spans="1:20" s="632" customFormat="1" x14ac:dyDescent="0.25">
      <c r="A72" s="634">
        <v>520</v>
      </c>
      <c r="B72" s="1009"/>
      <c r="C72" s="1085" t="s">
        <v>175</v>
      </c>
      <c r="D72" s="635" t="str">
        <f t="shared" si="0"/>
        <v/>
      </c>
      <c r="E72" s="2485" t="s">
        <v>245</v>
      </c>
      <c r="F72" s="2486"/>
      <c r="G72" s="2486"/>
      <c r="H72" s="2486"/>
      <c r="I72" s="2486"/>
      <c r="J72" s="2486"/>
      <c r="K72" s="2486"/>
      <c r="L72" s="2486"/>
      <c r="M72" s="2486"/>
      <c r="N72" s="2486"/>
      <c r="O72" s="2487"/>
      <c r="P72" s="634"/>
      <c r="Q72" s="1503"/>
      <c r="R72" s="1503"/>
      <c r="S72" s="1503"/>
      <c r="T72" s="1503"/>
    </row>
    <row r="73" spans="1:20" s="632" customFormat="1" x14ac:dyDescent="0.25">
      <c r="A73" s="634">
        <v>525</v>
      </c>
      <c r="B73" s="1009"/>
      <c r="C73" s="1085" t="s">
        <v>175</v>
      </c>
      <c r="D73" s="635" t="str">
        <f t="shared" si="0"/>
        <v/>
      </c>
      <c r="E73" s="2485" t="s">
        <v>246</v>
      </c>
      <c r="F73" s="2486"/>
      <c r="G73" s="2486"/>
      <c r="H73" s="2486"/>
      <c r="I73" s="2486"/>
      <c r="J73" s="2486"/>
      <c r="K73" s="2486"/>
      <c r="L73" s="2486"/>
      <c r="M73" s="2486"/>
      <c r="N73" s="2486"/>
      <c r="O73" s="2487"/>
      <c r="P73" s="634"/>
      <c r="Q73" s="1503"/>
      <c r="R73" s="1503"/>
      <c r="S73" s="1503"/>
      <c r="T73" s="1503"/>
    </row>
    <row r="74" spans="1:20" s="632" customFormat="1" x14ac:dyDescent="0.25">
      <c r="A74" s="634">
        <v>530</v>
      </c>
      <c r="B74" s="1009"/>
      <c r="C74" s="1085" t="s">
        <v>175</v>
      </c>
      <c r="D74" s="635" t="str">
        <f t="shared" si="0"/>
        <v/>
      </c>
      <c r="E74" s="2485" t="s">
        <v>247</v>
      </c>
      <c r="F74" s="2486"/>
      <c r="G74" s="2486"/>
      <c r="H74" s="2486"/>
      <c r="I74" s="2486"/>
      <c r="J74" s="2486"/>
      <c r="K74" s="2486"/>
      <c r="L74" s="2486"/>
      <c r="M74" s="2486"/>
      <c r="N74" s="2486"/>
      <c r="O74" s="2487"/>
      <c r="P74" s="634"/>
      <c r="Q74" s="1503"/>
      <c r="R74" s="1503"/>
      <c r="S74" s="1503"/>
      <c r="T74" s="1503"/>
    </row>
    <row r="75" spans="1:20" s="632" customFormat="1" x14ac:dyDescent="0.25">
      <c r="A75" s="634">
        <v>535</v>
      </c>
      <c r="B75" s="1009"/>
      <c r="C75" s="1085" t="s">
        <v>175</v>
      </c>
      <c r="D75" s="635" t="str">
        <f t="shared" si="0"/>
        <v/>
      </c>
      <c r="E75" s="2485" t="s">
        <v>248</v>
      </c>
      <c r="F75" s="2486"/>
      <c r="G75" s="2486"/>
      <c r="H75" s="2486"/>
      <c r="I75" s="2486"/>
      <c r="J75" s="2486"/>
      <c r="K75" s="2486"/>
      <c r="L75" s="2486"/>
      <c r="M75" s="2486"/>
      <c r="N75" s="2486"/>
      <c r="O75" s="2487"/>
      <c r="P75" s="634"/>
      <c r="Q75" s="1503"/>
      <c r="R75" s="1503"/>
      <c r="S75" s="1503"/>
      <c r="T75" s="1503"/>
    </row>
    <row r="76" spans="1:20" s="632" customFormat="1" x14ac:dyDescent="0.25">
      <c r="A76" s="634">
        <v>536</v>
      </c>
      <c r="B76" s="1009"/>
      <c r="C76" s="1085" t="s">
        <v>175</v>
      </c>
      <c r="D76" s="635"/>
      <c r="E76" s="2485" t="s">
        <v>249</v>
      </c>
      <c r="F76" s="2486"/>
      <c r="G76" s="2486"/>
      <c r="H76" s="2486"/>
      <c r="I76" s="2486"/>
      <c r="J76" s="2486"/>
      <c r="K76" s="2486"/>
      <c r="L76" s="2486"/>
      <c r="M76" s="2486"/>
      <c r="N76" s="2486"/>
      <c r="O76" s="2487"/>
      <c r="P76" s="634"/>
      <c r="Q76" s="1503"/>
      <c r="R76" s="1503"/>
      <c r="S76" s="1503"/>
      <c r="T76" s="1503"/>
    </row>
    <row r="77" spans="1:20" s="632" customFormat="1" x14ac:dyDescent="0.25">
      <c r="A77" s="634">
        <v>542</v>
      </c>
      <c r="B77" s="1009"/>
      <c r="C77" s="1085" t="s">
        <v>175</v>
      </c>
      <c r="D77" s="635"/>
      <c r="E77" s="2485" t="s">
        <v>250</v>
      </c>
      <c r="F77" s="2486"/>
      <c r="G77" s="2486"/>
      <c r="H77" s="2486"/>
      <c r="I77" s="2486"/>
      <c r="J77" s="2486"/>
      <c r="K77" s="2486"/>
      <c r="L77" s="2486"/>
      <c r="M77" s="2486"/>
      <c r="N77" s="2486"/>
      <c r="O77" s="2487"/>
      <c r="P77" s="634"/>
      <c r="Q77" s="1503"/>
      <c r="R77" s="1503"/>
      <c r="S77" s="1503"/>
      <c r="T77" s="1503"/>
    </row>
    <row r="78" spans="1:20" s="632" customFormat="1" x14ac:dyDescent="0.25">
      <c r="A78" s="634">
        <v>565</v>
      </c>
      <c r="B78" s="1009"/>
      <c r="C78" s="1085" t="s">
        <v>175</v>
      </c>
      <c r="D78" s="635" t="str">
        <f t="shared" si="0"/>
        <v/>
      </c>
      <c r="E78" s="2485" t="s">
        <v>251</v>
      </c>
      <c r="F78" s="2486"/>
      <c r="G78" s="2486"/>
      <c r="H78" s="2486"/>
      <c r="I78" s="2486"/>
      <c r="J78" s="2486"/>
      <c r="K78" s="2486"/>
      <c r="L78" s="2486"/>
      <c r="M78" s="2486"/>
      <c r="N78" s="2486"/>
      <c r="O78" s="2487"/>
      <c r="P78" s="634"/>
      <c r="Q78" s="1503"/>
      <c r="R78" s="1503"/>
      <c r="S78" s="1503"/>
      <c r="T78" s="1503"/>
    </row>
    <row r="79" spans="1:20" s="632" customFormat="1" x14ac:dyDescent="0.25">
      <c r="A79" s="634">
        <v>570</v>
      </c>
      <c r="B79" s="1009"/>
      <c r="C79" s="1085" t="s">
        <v>175</v>
      </c>
      <c r="D79" s="635" t="str">
        <f t="shared" si="0"/>
        <v/>
      </c>
      <c r="E79" s="2485" t="s">
        <v>252</v>
      </c>
      <c r="F79" s="2486"/>
      <c r="G79" s="2486"/>
      <c r="H79" s="2486"/>
      <c r="I79" s="2486"/>
      <c r="J79" s="2486"/>
      <c r="K79" s="2486"/>
      <c r="L79" s="2486"/>
      <c r="M79" s="2486"/>
      <c r="N79" s="2486"/>
      <c r="O79" s="2487"/>
      <c r="P79" s="634"/>
      <c r="Q79" s="1503"/>
      <c r="R79" s="1503"/>
      <c r="S79" s="1503"/>
      <c r="T79" s="1503"/>
    </row>
    <row r="80" spans="1:20" s="632" customFormat="1" x14ac:dyDescent="0.25">
      <c r="A80" s="634">
        <v>602</v>
      </c>
      <c r="B80" s="1009"/>
      <c r="C80" s="1085" t="s">
        <v>175</v>
      </c>
      <c r="D80" s="635"/>
      <c r="E80" s="2491" t="s">
        <v>253</v>
      </c>
      <c r="F80" s="2492"/>
      <c r="G80" s="2492"/>
      <c r="H80" s="2492"/>
      <c r="I80" s="2492"/>
      <c r="J80" s="2492"/>
      <c r="K80" s="2492"/>
      <c r="L80" s="2492"/>
      <c r="M80" s="2492"/>
      <c r="N80" s="2492"/>
      <c r="O80" s="2493"/>
      <c r="P80" s="634"/>
      <c r="Q80" s="1503"/>
      <c r="R80" s="1503"/>
      <c r="S80" s="1503"/>
      <c r="T80" s="1503"/>
    </row>
    <row r="81" spans="1:20" s="632" customFormat="1" x14ac:dyDescent="0.25">
      <c r="A81" s="634">
        <v>605</v>
      </c>
      <c r="B81" s="1009"/>
      <c r="C81" s="1085" t="s">
        <v>175</v>
      </c>
      <c r="D81" s="635" t="str">
        <f t="shared" si="0"/>
        <v/>
      </c>
      <c r="E81" s="2529" t="s">
        <v>254</v>
      </c>
      <c r="F81" s="2530"/>
      <c r="G81" s="2530"/>
      <c r="H81" s="2530"/>
      <c r="I81" s="2530"/>
      <c r="J81" s="2530"/>
      <c r="K81" s="2530"/>
      <c r="L81" s="2530"/>
      <c r="M81" s="2530"/>
      <c r="N81" s="2530"/>
      <c r="O81" s="2531"/>
      <c r="P81" s="634"/>
      <c r="Q81" s="1503"/>
      <c r="R81" s="1503"/>
      <c r="S81" s="1503"/>
      <c r="T81" s="1503"/>
    </row>
    <row r="82" spans="1:20" s="632" customFormat="1" x14ac:dyDescent="0.25">
      <c r="A82" s="634">
        <v>610</v>
      </c>
      <c r="B82" s="1009"/>
      <c r="C82" s="1085" t="s">
        <v>175</v>
      </c>
      <c r="D82" s="635" t="str">
        <f t="shared" si="0"/>
        <v/>
      </c>
      <c r="E82" s="2485" t="s">
        <v>255</v>
      </c>
      <c r="F82" s="2486"/>
      <c r="G82" s="2486"/>
      <c r="H82" s="2486"/>
      <c r="I82" s="2486"/>
      <c r="J82" s="2486"/>
      <c r="K82" s="2486"/>
      <c r="L82" s="2486"/>
      <c r="M82" s="2486"/>
      <c r="N82" s="2486"/>
      <c r="O82" s="2487"/>
      <c r="P82" s="634"/>
      <c r="Q82" s="1503"/>
      <c r="R82" s="1503"/>
      <c r="S82" s="1503"/>
      <c r="T82" s="1503"/>
    </row>
    <row r="83" spans="1:20" s="632" customFormat="1" x14ac:dyDescent="0.25">
      <c r="A83" s="634">
        <v>615</v>
      </c>
      <c r="B83" s="1009"/>
      <c r="C83" s="1085" t="s">
        <v>175</v>
      </c>
      <c r="D83" s="635" t="str">
        <f t="shared" si="0"/>
        <v/>
      </c>
      <c r="E83" s="2485" t="s">
        <v>256</v>
      </c>
      <c r="F83" s="2486"/>
      <c r="G83" s="2486"/>
      <c r="H83" s="2486"/>
      <c r="I83" s="2486"/>
      <c r="J83" s="2486"/>
      <c r="K83" s="2486"/>
      <c r="L83" s="2486"/>
      <c r="M83" s="2486"/>
      <c r="N83" s="2486"/>
      <c r="O83" s="2487"/>
      <c r="P83" s="634"/>
      <c r="Q83" s="1503"/>
      <c r="R83" s="1503"/>
      <c r="S83" s="1503"/>
      <c r="T83" s="1503"/>
    </row>
    <row r="84" spans="1:20" s="632" customFormat="1" x14ac:dyDescent="0.25">
      <c r="A84" s="634">
        <v>616</v>
      </c>
      <c r="B84" s="1009"/>
      <c r="C84" s="1085" t="s">
        <v>175</v>
      </c>
      <c r="D84" s="635" t="str">
        <f>IF(B84="NA","",IF(Q84&lt;&gt;0,"E",""))</f>
        <v/>
      </c>
      <c r="E84" s="2485" t="s">
        <v>257</v>
      </c>
      <c r="F84" s="2486"/>
      <c r="G84" s="2486"/>
      <c r="H84" s="2486"/>
      <c r="I84" s="2486"/>
      <c r="J84" s="2486"/>
      <c r="K84" s="2486"/>
      <c r="L84" s="2486"/>
      <c r="M84" s="2486"/>
      <c r="N84" s="2486"/>
      <c r="O84" s="2487"/>
      <c r="P84" s="634"/>
      <c r="Q84" s="1503"/>
      <c r="R84" s="1503"/>
      <c r="S84" s="1503"/>
      <c r="T84" s="1503"/>
    </row>
    <row r="85" spans="1:20" s="632" customFormat="1" x14ac:dyDescent="0.25">
      <c r="A85" s="634">
        <v>620</v>
      </c>
      <c r="B85" s="1009"/>
      <c r="C85" s="1085" t="s">
        <v>175</v>
      </c>
      <c r="D85" s="635" t="str">
        <f t="shared" si="0"/>
        <v/>
      </c>
      <c r="E85" s="2485" t="s">
        <v>258</v>
      </c>
      <c r="F85" s="2486"/>
      <c r="G85" s="2486"/>
      <c r="H85" s="2486"/>
      <c r="I85" s="2486"/>
      <c r="J85" s="2486"/>
      <c r="K85" s="2486"/>
      <c r="L85" s="2486"/>
      <c r="M85" s="2486"/>
      <c r="N85" s="2486"/>
      <c r="O85" s="2487"/>
      <c r="P85" s="634"/>
      <c r="Q85" s="1503"/>
      <c r="R85" s="1503"/>
      <c r="S85" s="1503"/>
      <c r="T85" s="1503"/>
    </row>
    <row r="86" spans="1:20" s="632" customFormat="1" x14ac:dyDescent="0.25">
      <c r="A86" s="634">
        <v>625</v>
      </c>
      <c r="B86" s="1009"/>
      <c r="C86" s="1022"/>
      <c r="D86" s="635" t="str">
        <f t="shared" si="0"/>
        <v/>
      </c>
      <c r="E86" s="2485" t="s">
        <v>259</v>
      </c>
      <c r="F86" s="2486"/>
      <c r="G86" s="2486"/>
      <c r="H86" s="2486"/>
      <c r="I86" s="2486"/>
      <c r="J86" s="2486"/>
      <c r="K86" s="2486"/>
      <c r="L86" s="2486"/>
      <c r="M86" s="2486"/>
      <c r="N86" s="2486"/>
      <c r="O86" s="2487"/>
      <c r="P86" s="634" t="s">
        <v>179</v>
      </c>
      <c r="Q86" s="1503"/>
      <c r="R86" s="1503"/>
      <c r="S86" s="1503"/>
      <c r="T86" s="1503"/>
    </row>
    <row r="87" spans="1:20" s="632" customFormat="1" x14ac:dyDescent="0.25">
      <c r="A87" s="634">
        <v>635</v>
      </c>
      <c r="B87" s="1009"/>
      <c r="C87" s="1085" t="s">
        <v>175</v>
      </c>
      <c r="D87" s="635" t="str">
        <f t="shared" si="0"/>
        <v/>
      </c>
      <c r="E87" s="2485" t="s">
        <v>260</v>
      </c>
      <c r="F87" s="2486"/>
      <c r="G87" s="2486"/>
      <c r="H87" s="2486"/>
      <c r="I87" s="2486"/>
      <c r="J87" s="2486"/>
      <c r="K87" s="2486"/>
      <c r="L87" s="2486"/>
      <c r="M87" s="2486"/>
      <c r="N87" s="2486"/>
      <c r="O87" s="2487"/>
      <c r="P87" s="634"/>
      <c r="Q87" s="1503"/>
      <c r="R87" s="1503"/>
      <c r="S87" s="1503"/>
      <c r="T87" s="1503"/>
    </row>
    <row r="88" spans="1:20" s="632" customFormat="1" x14ac:dyDescent="0.25">
      <c r="A88" s="1031">
        <v>640</v>
      </c>
      <c r="B88" s="1009"/>
      <c r="C88" s="1022"/>
      <c r="D88" s="635"/>
      <c r="E88" s="2491" t="s">
        <v>261</v>
      </c>
      <c r="F88" s="2492"/>
      <c r="G88" s="2492"/>
      <c r="H88" s="2492"/>
      <c r="I88" s="2492"/>
      <c r="J88" s="2492"/>
      <c r="K88" s="2492"/>
      <c r="L88" s="2492"/>
      <c r="M88" s="2492"/>
      <c r="N88" s="2492"/>
      <c r="O88" s="2493"/>
      <c r="P88" s="634" t="s">
        <v>179</v>
      </c>
      <c r="Q88" s="1503"/>
      <c r="R88" s="1503"/>
      <c r="S88" s="1503"/>
      <c r="T88" s="1503"/>
    </row>
    <row r="89" spans="1:20" s="632" customFormat="1" x14ac:dyDescent="0.25">
      <c r="A89" s="634">
        <v>705</v>
      </c>
      <c r="B89" s="1009"/>
      <c r="C89" s="1085" t="s">
        <v>175</v>
      </c>
      <c r="D89" s="635" t="str">
        <f t="shared" si="0"/>
        <v/>
      </c>
      <c r="E89" s="2485" t="s">
        <v>262</v>
      </c>
      <c r="F89" s="2486"/>
      <c r="G89" s="2486"/>
      <c r="H89" s="2486"/>
      <c r="I89" s="2486"/>
      <c r="J89" s="2486"/>
      <c r="K89" s="2486"/>
      <c r="L89" s="2486"/>
      <c r="M89" s="2486"/>
      <c r="N89" s="2486"/>
      <c r="O89" s="2487"/>
      <c r="P89" s="634"/>
      <c r="Q89" s="1503"/>
      <c r="R89" s="1503"/>
      <c r="S89" s="1503"/>
      <c r="T89" s="1503"/>
    </row>
    <row r="90" spans="1:20" s="632" customFormat="1" x14ac:dyDescent="0.25">
      <c r="A90" s="634">
        <v>710</v>
      </c>
      <c r="B90" s="1009"/>
      <c r="C90" s="1085" t="s">
        <v>175</v>
      </c>
      <c r="D90" s="635" t="str">
        <f t="shared" si="0"/>
        <v/>
      </c>
      <c r="E90" s="2485" t="s">
        <v>263</v>
      </c>
      <c r="F90" s="2486"/>
      <c r="G90" s="2486"/>
      <c r="H90" s="2486"/>
      <c r="I90" s="2486"/>
      <c r="J90" s="2486"/>
      <c r="K90" s="2486"/>
      <c r="L90" s="2486"/>
      <c r="M90" s="2486"/>
      <c r="N90" s="2486"/>
      <c r="O90" s="2487"/>
      <c r="P90" s="634"/>
      <c r="Q90" s="1503"/>
      <c r="R90" s="1503"/>
      <c r="S90" s="1503"/>
      <c r="T90" s="1503"/>
    </row>
    <row r="91" spans="1:20" s="632" customFormat="1" x14ac:dyDescent="0.25">
      <c r="A91" s="634">
        <v>715</v>
      </c>
      <c r="B91" s="1009"/>
      <c r="C91" s="1085" t="s">
        <v>175</v>
      </c>
      <c r="D91" s="635" t="str">
        <f t="shared" si="0"/>
        <v/>
      </c>
      <c r="E91" s="2485" t="s">
        <v>264</v>
      </c>
      <c r="F91" s="2486"/>
      <c r="G91" s="2486"/>
      <c r="H91" s="2486"/>
      <c r="I91" s="2486"/>
      <c r="J91" s="2486"/>
      <c r="K91" s="2486"/>
      <c r="L91" s="2486"/>
      <c r="M91" s="2486"/>
      <c r="N91" s="2486"/>
      <c r="O91" s="2487"/>
      <c r="P91" s="634"/>
      <c r="Q91" s="1503"/>
      <c r="R91" s="1503"/>
      <c r="S91" s="1503"/>
      <c r="T91" s="1503"/>
    </row>
    <row r="92" spans="1:20" s="632" customFormat="1" x14ac:dyDescent="0.25">
      <c r="A92" s="634">
        <v>720</v>
      </c>
      <c r="B92" s="1009"/>
      <c r="C92" s="1085" t="s">
        <v>175</v>
      </c>
      <c r="D92" s="635" t="str">
        <f t="shared" si="0"/>
        <v/>
      </c>
      <c r="E92" s="2485" t="s">
        <v>265</v>
      </c>
      <c r="F92" s="2486"/>
      <c r="G92" s="2486"/>
      <c r="H92" s="2486"/>
      <c r="I92" s="2486"/>
      <c r="J92" s="2486"/>
      <c r="K92" s="2486"/>
      <c r="L92" s="2486"/>
      <c r="M92" s="2486"/>
      <c r="N92" s="2486"/>
      <c r="O92" s="2487"/>
      <c r="P92" s="634"/>
      <c r="Q92" s="1503"/>
      <c r="R92" s="1503"/>
      <c r="S92" s="1503"/>
      <c r="T92" s="1503"/>
    </row>
    <row r="93" spans="1:20" s="632" customFormat="1" x14ac:dyDescent="0.25">
      <c r="A93" s="634">
        <v>725</v>
      </c>
      <c r="B93" s="1009"/>
      <c r="C93" s="1085" t="s">
        <v>175</v>
      </c>
      <c r="D93" s="635" t="str">
        <f t="shared" si="0"/>
        <v/>
      </c>
      <c r="E93" s="2485" t="s">
        <v>266</v>
      </c>
      <c r="F93" s="2486"/>
      <c r="G93" s="2486"/>
      <c r="H93" s="2486"/>
      <c r="I93" s="2486"/>
      <c r="J93" s="2486"/>
      <c r="K93" s="2486"/>
      <c r="L93" s="2486"/>
      <c r="M93" s="2486"/>
      <c r="N93" s="2486"/>
      <c r="O93" s="2487"/>
      <c r="P93" s="634"/>
      <c r="Q93" s="1503"/>
      <c r="R93" s="1503"/>
      <c r="S93" s="1503"/>
      <c r="T93" s="1503"/>
    </row>
    <row r="94" spans="1:20" s="632" customFormat="1" x14ac:dyDescent="0.25">
      <c r="A94" s="634">
        <v>730</v>
      </c>
      <c r="B94" s="1009"/>
      <c r="C94" s="1085" t="s">
        <v>175</v>
      </c>
      <c r="D94" s="635" t="str">
        <f t="shared" si="0"/>
        <v/>
      </c>
      <c r="E94" s="2485" t="s">
        <v>267</v>
      </c>
      <c r="F94" s="2486"/>
      <c r="G94" s="2486"/>
      <c r="H94" s="2486"/>
      <c r="I94" s="2486"/>
      <c r="J94" s="2486"/>
      <c r="K94" s="2486"/>
      <c r="L94" s="2486"/>
      <c r="M94" s="2486"/>
      <c r="N94" s="2486"/>
      <c r="O94" s="2487"/>
      <c r="P94" s="634"/>
      <c r="Q94" s="1503"/>
      <c r="R94" s="1503"/>
      <c r="S94" s="1503"/>
      <c r="T94" s="1503"/>
    </row>
    <row r="95" spans="1:20" s="632" customFormat="1" x14ac:dyDescent="0.25">
      <c r="A95" s="634">
        <v>735</v>
      </c>
      <c r="B95" s="1009"/>
      <c r="C95" s="1085" t="s">
        <v>175</v>
      </c>
      <c r="D95" s="635" t="str">
        <f t="shared" si="0"/>
        <v/>
      </c>
      <c r="E95" s="2485" t="s">
        <v>268</v>
      </c>
      <c r="F95" s="2486"/>
      <c r="G95" s="2486"/>
      <c r="H95" s="2486"/>
      <c r="I95" s="2486"/>
      <c r="J95" s="2486"/>
      <c r="K95" s="2486"/>
      <c r="L95" s="2486"/>
      <c r="M95" s="2486"/>
      <c r="N95" s="2486"/>
      <c r="O95" s="2487"/>
      <c r="P95" s="634"/>
      <c r="Q95" s="1503"/>
      <c r="R95" s="1503"/>
      <c r="S95" s="1503"/>
      <c r="T95" s="1503"/>
    </row>
    <row r="96" spans="1:20" s="632" customFormat="1" x14ac:dyDescent="0.25">
      <c r="A96" s="634">
        <v>740</v>
      </c>
      <c r="B96" s="1009"/>
      <c r="C96" s="1085" t="s">
        <v>175</v>
      </c>
      <c r="D96" s="635" t="str">
        <f t="shared" si="0"/>
        <v/>
      </c>
      <c r="E96" s="2485" t="s">
        <v>269</v>
      </c>
      <c r="F96" s="2486"/>
      <c r="G96" s="2486"/>
      <c r="H96" s="2486"/>
      <c r="I96" s="2486"/>
      <c r="J96" s="2486"/>
      <c r="K96" s="2486"/>
      <c r="L96" s="2486"/>
      <c r="M96" s="2486"/>
      <c r="N96" s="2486"/>
      <c r="O96" s="2487"/>
      <c r="P96" s="634"/>
      <c r="Q96" s="1503"/>
      <c r="R96" s="1503"/>
      <c r="S96" s="1503"/>
      <c r="T96" s="1503"/>
    </row>
    <row r="97" spans="1:20" s="632" customFormat="1" x14ac:dyDescent="0.25">
      <c r="A97" s="634">
        <v>745</v>
      </c>
      <c r="B97" s="1009"/>
      <c r="C97" s="1022"/>
      <c r="D97" s="635" t="str">
        <f t="shared" si="0"/>
        <v/>
      </c>
      <c r="E97" s="2485" t="s">
        <v>270</v>
      </c>
      <c r="F97" s="2486"/>
      <c r="G97" s="2486"/>
      <c r="H97" s="2486"/>
      <c r="I97" s="2486"/>
      <c r="J97" s="2486"/>
      <c r="K97" s="2486"/>
      <c r="L97" s="2486"/>
      <c r="M97" s="2486"/>
      <c r="N97" s="2486"/>
      <c r="O97" s="2487"/>
      <c r="P97" s="634" t="s">
        <v>179</v>
      </c>
      <c r="Q97" s="1503"/>
      <c r="R97" s="1503"/>
      <c r="S97" s="1503"/>
      <c r="T97" s="1503"/>
    </row>
    <row r="98" spans="1:20" s="632" customFormat="1" x14ac:dyDescent="0.25">
      <c r="A98" s="103">
        <v>750</v>
      </c>
      <c r="B98" s="1504" t="s">
        <v>175</v>
      </c>
      <c r="C98" s="1022"/>
      <c r="D98" s="635" t="str">
        <f t="shared" si="0"/>
        <v/>
      </c>
      <c r="E98" s="2512" t="s">
        <v>271</v>
      </c>
      <c r="F98" s="2500"/>
      <c r="G98" s="2500"/>
      <c r="H98" s="2500"/>
      <c r="I98" s="2500"/>
      <c r="J98" s="2500"/>
      <c r="K98" s="2500"/>
      <c r="L98" s="2500"/>
      <c r="M98" s="2500"/>
      <c r="N98" s="2500"/>
      <c r="O98" s="2513"/>
      <c r="P98" s="634" t="s">
        <v>179</v>
      </c>
      <c r="Q98" s="1503"/>
      <c r="R98" s="1503"/>
      <c r="S98" s="1503"/>
      <c r="T98" s="1503"/>
    </row>
    <row r="99" spans="1:20" s="632" customFormat="1" x14ac:dyDescent="0.25">
      <c r="A99" s="634">
        <v>755</v>
      </c>
      <c r="B99" s="1009"/>
      <c r="C99" s="1022"/>
      <c r="D99" s="635"/>
      <c r="E99" s="2485" t="s">
        <v>272</v>
      </c>
      <c r="F99" s="2486"/>
      <c r="G99" s="2486"/>
      <c r="H99" s="2486"/>
      <c r="I99" s="2486"/>
      <c r="J99" s="2486"/>
      <c r="K99" s="2486"/>
      <c r="L99" s="2486"/>
      <c r="M99" s="2486"/>
      <c r="N99" s="2486"/>
      <c r="O99" s="2487"/>
      <c r="P99" s="634" t="s">
        <v>179</v>
      </c>
      <c r="Q99" s="1503"/>
      <c r="R99" s="1503"/>
      <c r="S99" s="1503"/>
      <c r="T99" s="1503"/>
    </row>
    <row r="100" spans="1:20" s="632" customFormat="1" x14ac:dyDescent="0.25">
      <c r="A100" s="634">
        <v>756</v>
      </c>
      <c r="B100" s="1009"/>
      <c r="C100" s="1012" t="s">
        <v>175</v>
      </c>
      <c r="D100" s="635" t="str">
        <f>IF(B100="NA","",IF(Q100&lt;&gt;0,"E",""))</f>
        <v/>
      </c>
      <c r="E100" s="2485" t="s">
        <v>273</v>
      </c>
      <c r="F100" s="2486"/>
      <c r="G100" s="2486"/>
      <c r="H100" s="2486"/>
      <c r="I100" s="2486"/>
      <c r="J100" s="2486"/>
      <c r="K100" s="2486"/>
      <c r="L100" s="2486"/>
      <c r="M100" s="2486"/>
      <c r="N100" s="2486"/>
      <c r="O100" s="2487"/>
      <c r="P100" s="634"/>
      <c r="Q100" s="1503"/>
      <c r="R100" s="1503"/>
      <c r="S100" s="1503"/>
      <c r="T100" s="1503"/>
    </row>
    <row r="101" spans="1:20" s="632" customFormat="1" x14ac:dyDescent="0.25">
      <c r="A101" s="634">
        <v>760</v>
      </c>
      <c r="B101" s="1009"/>
      <c r="C101" s="1022"/>
      <c r="D101" s="635"/>
      <c r="E101" s="2485" t="s">
        <v>274</v>
      </c>
      <c r="F101" s="2486"/>
      <c r="G101" s="2486"/>
      <c r="H101" s="2486"/>
      <c r="I101" s="2486"/>
      <c r="J101" s="2486"/>
      <c r="K101" s="2486"/>
      <c r="L101" s="2486"/>
      <c r="M101" s="2486"/>
      <c r="N101" s="2486"/>
      <c r="O101" s="2487"/>
      <c r="P101" s="634" t="s">
        <v>179</v>
      </c>
      <c r="Q101" s="1503"/>
      <c r="R101" s="1503"/>
      <c r="S101" s="1503"/>
      <c r="T101" s="1503"/>
    </row>
    <row r="102" spans="1:20" s="1015" customFormat="1" ht="15" customHeight="1" x14ac:dyDescent="0.2">
      <c r="A102" s="1016">
        <v>765</v>
      </c>
      <c r="B102" s="1021"/>
      <c r="C102" s="1023"/>
      <c r="D102" s="1014"/>
      <c r="E102" s="2488" t="s">
        <v>275</v>
      </c>
      <c r="F102" s="2489"/>
      <c r="G102" s="2489"/>
      <c r="H102" s="2489"/>
      <c r="I102" s="2489"/>
      <c r="J102" s="2489"/>
      <c r="K102" s="2489"/>
      <c r="L102" s="2489"/>
      <c r="M102" s="2489"/>
      <c r="N102" s="2489"/>
      <c r="O102" s="2490"/>
      <c r="P102" s="1016" t="s">
        <v>179</v>
      </c>
      <c r="Q102" s="1506"/>
      <c r="R102" s="1506"/>
      <c r="S102" s="1506"/>
      <c r="T102" s="1506"/>
    </row>
    <row r="103" spans="1:20" s="632" customFormat="1" x14ac:dyDescent="0.25">
      <c r="A103" s="1017">
        <v>905</v>
      </c>
      <c r="B103" s="1009"/>
      <c r="C103" s="1085" t="s">
        <v>175</v>
      </c>
      <c r="D103" s="635" t="str">
        <f>IF(B103="NA","",IF(Q103&lt;&gt;0,"E",""))</f>
        <v/>
      </c>
      <c r="E103" s="2494" t="s">
        <v>276</v>
      </c>
      <c r="F103" s="2495"/>
      <c r="G103" s="2495"/>
      <c r="H103" s="2495"/>
      <c r="I103" s="2495"/>
      <c r="J103" s="2495"/>
      <c r="K103" s="2495"/>
      <c r="L103" s="2495"/>
      <c r="M103" s="2495"/>
      <c r="N103" s="2495"/>
      <c r="O103" s="2496"/>
      <c r="P103" s="634"/>
      <c r="Q103" s="1503"/>
      <c r="R103" s="1503"/>
      <c r="S103" s="1503"/>
      <c r="T103" s="1503"/>
    </row>
    <row r="104" spans="1:20" s="2236" customFormat="1" ht="45" customHeight="1" x14ac:dyDescent="0.2">
      <c r="A104" s="1016" t="s">
        <v>277</v>
      </c>
      <c r="B104" s="1507" t="s">
        <v>278</v>
      </c>
      <c r="C104" s="1508" t="s">
        <v>175</v>
      </c>
      <c r="D104" s="2234"/>
      <c r="E104" s="2525" t="s">
        <v>279</v>
      </c>
      <c r="F104" s="2526"/>
      <c r="G104" s="2526"/>
      <c r="H104" s="2526"/>
      <c r="I104" s="2526"/>
      <c r="J104" s="2526"/>
      <c r="K104" s="2526"/>
      <c r="L104" s="2526"/>
      <c r="M104" s="2526"/>
      <c r="N104" s="2526"/>
      <c r="O104" s="2527"/>
      <c r="P104" s="1017"/>
      <c r="Q104" s="2235"/>
      <c r="R104" s="2235"/>
      <c r="S104" s="2235"/>
      <c r="T104" s="2235"/>
    </row>
    <row r="105" spans="1:20" s="632" customFormat="1" ht="30" customHeight="1" x14ac:dyDescent="0.25">
      <c r="A105" s="634" t="s">
        <v>280</v>
      </c>
      <c r="B105" s="1009"/>
      <c r="C105" s="1085" t="s">
        <v>175</v>
      </c>
      <c r="D105" s="635"/>
      <c r="E105" s="2494" t="s">
        <v>281</v>
      </c>
      <c r="F105" s="2495"/>
      <c r="G105" s="2495"/>
      <c r="H105" s="2495"/>
      <c r="I105" s="2495"/>
      <c r="J105" s="2495"/>
      <c r="K105" s="2495"/>
      <c r="L105" s="2495"/>
      <c r="M105" s="2495"/>
      <c r="N105" s="2495"/>
      <c r="O105" s="2496"/>
      <c r="P105" s="634"/>
      <c r="Q105" s="1503"/>
      <c r="R105" s="1503"/>
      <c r="S105" s="1503"/>
      <c r="T105" s="1503"/>
    </row>
    <row r="106" spans="1:20" s="632" customFormat="1" ht="15" customHeight="1" x14ac:dyDescent="0.25">
      <c r="A106" s="634" t="s">
        <v>282</v>
      </c>
      <c r="B106" s="1009"/>
      <c r="C106" s="1085" t="s">
        <v>175</v>
      </c>
      <c r="D106" s="635"/>
      <c r="E106" s="2494" t="s">
        <v>283</v>
      </c>
      <c r="F106" s="2495"/>
      <c r="G106" s="2495"/>
      <c r="H106" s="2495"/>
      <c r="I106" s="2495"/>
      <c r="J106" s="2495"/>
      <c r="K106" s="2495"/>
      <c r="L106" s="2495"/>
      <c r="M106" s="2495"/>
      <c r="N106" s="2495"/>
      <c r="O106" s="2496"/>
      <c r="P106" s="634"/>
      <c r="Q106" s="667"/>
      <c r="R106" s="1503"/>
      <c r="S106" s="1503"/>
      <c r="T106" s="1503"/>
    </row>
    <row r="107" spans="1:20" s="632" customFormat="1" ht="15" customHeight="1" x14ac:dyDescent="0.25">
      <c r="A107" s="634" t="s">
        <v>284</v>
      </c>
      <c r="B107" s="1009"/>
      <c r="C107" s="1085" t="s">
        <v>175</v>
      </c>
      <c r="D107" s="635"/>
      <c r="E107" s="2494" t="s">
        <v>285</v>
      </c>
      <c r="F107" s="2495"/>
      <c r="G107" s="2495"/>
      <c r="H107" s="2495"/>
      <c r="I107" s="2495"/>
      <c r="J107" s="2495"/>
      <c r="K107" s="2495"/>
      <c r="L107" s="2495"/>
      <c r="M107" s="2495"/>
      <c r="N107" s="2495"/>
      <c r="O107" s="2496"/>
      <c r="P107" s="634"/>
      <c r="Q107" s="667"/>
      <c r="R107" s="1503"/>
      <c r="S107" s="1503"/>
      <c r="T107" s="1503"/>
    </row>
    <row r="108" spans="1:20" s="632" customFormat="1" ht="18" customHeight="1" x14ac:dyDescent="0.25">
      <c r="A108" s="634" t="s">
        <v>286</v>
      </c>
      <c r="B108" s="1009"/>
      <c r="C108" s="1085" t="s">
        <v>175</v>
      </c>
      <c r="D108" s="635"/>
      <c r="E108" s="2482" t="s">
        <v>287</v>
      </c>
      <c r="F108" s="2483"/>
      <c r="G108" s="2483"/>
      <c r="H108" s="2483"/>
      <c r="I108" s="2483"/>
      <c r="J108" s="2483"/>
      <c r="K108" s="2483"/>
      <c r="L108" s="2483"/>
      <c r="M108" s="2483"/>
      <c r="N108" s="2483"/>
      <c r="O108" s="2484"/>
      <c r="P108" s="634"/>
      <c r="Q108" s="667"/>
      <c r="R108" s="1503"/>
      <c r="S108" s="1503"/>
      <c r="T108" s="1503"/>
    </row>
    <row r="109" spans="1:20" s="632" customFormat="1" x14ac:dyDescent="0.25">
      <c r="A109" s="634">
        <v>907</v>
      </c>
      <c r="B109" s="1009"/>
      <c r="C109" s="1085" t="s">
        <v>175</v>
      </c>
      <c r="D109" s="635" t="str">
        <f t="shared" ref="D109:D116" si="1">IF(B109="NA","",IF(Q109&lt;&gt;0,"E",""))</f>
        <v/>
      </c>
      <c r="E109" s="2485" t="s">
        <v>288</v>
      </c>
      <c r="F109" s="2486"/>
      <c r="G109" s="2486"/>
      <c r="H109" s="2486"/>
      <c r="I109" s="2486"/>
      <c r="J109" s="2486"/>
      <c r="K109" s="2486"/>
      <c r="L109" s="2486"/>
      <c r="M109" s="2486"/>
      <c r="N109" s="2486"/>
      <c r="O109" s="2487"/>
      <c r="P109" s="634"/>
      <c r="Q109" s="1503"/>
      <c r="R109" s="1503"/>
      <c r="S109" s="1503"/>
      <c r="T109" s="1503"/>
    </row>
    <row r="110" spans="1:20" s="632" customFormat="1" x14ac:dyDescent="0.25">
      <c r="A110" s="634">
        <v>908</v>
      </c>
      <c r="B110" s="1009"/>
      <c r="C110" s="1085" t="s">
        <v>175</v>
      </c>
      <c r="D110" s="635"/>
      <c r="E110" s="2479" t="s">
        <v>289</v>
      </c>
      <c r="F110" s="2480"/>
      <c r="G110" s="2480"/>
      <c r="H110" s="2480"/>
      <c r="I110" s="2480"/>
      <c r="J110" s="2480"/>
      <c r="K110" s="2480"/>
      <c r="L110" s="2480"/>
      <c r="M110" s="2480"/>
      <c r="N110" s="2480"/>
      <c r="O110" s="2481"/>
      <c r="P110" s="634"/>
      <c r="Q110" s="1503"/>
      <c r="R110" s="1503"/>
      <c r="S110" s="1503"/>
      <c r="T110" s="1503"/>
    </row>
    <row r="111" spans="1:20" s="632" customFormat="1" x14ac:dyDescent="0.25">
      <c r="A111" s="634">
        <v>910</v>
      </c>
      <c r="B111" s="1009"/>
      <c r="C111" s="1085" t="s">
        <v>175</v>
      </c>
      <c r="D111" s="635" t="str">
        <f t="shared" si="1"/>
        <v/>
      </c>
      <c r="E111" s="2485" t="s">
        <v>290</v>
      </c>
      <c r="F111" s="2486"/>
      <c r="G111" s="2486"/>
      <c r="H111" s="2486"/>
      <c r="I111" s="2486"/>
      <c r="J111" s="2486"/>
      <c r="K111" s="2486"/>
      <c r="L111" s="2486"/>
      <c r="M111" s="2486"/>
      <c r="N111" s="2486"/>
      <c r="O111" s="2487"/>
      <c r="P111" s="634"/>
      <c r="Q111" s="1503"/>
      <c r="R111" s="1503"/>
      <c r="S111" s="1503"/>
      <c r="T111" s="1503"/>
    </row>
    <row r="112" spans="1:20" s="632" customFormat="1" x14ac:dyDescent="0.25">
      <c r="A112" s="634" t="s">
        <v>291</v>
      </c>
      <c r="B112" s="1009"/>
      <c r="C112" s="1085" t="s">
        <v>175</v>
      </c>
      <c r="D112" s="635" t="str">
        <f t="shared" si="1"/>
        <v/>
      </c>
      <c r="E112" s="2485" t="s">
        <v>292</v>
      </c>
      <c r="F112" s="2486"/>
      <c r="G112" s="2486"/>
      <c r="H112" s="2486"/>
      <c r="I112" s="2486"/>
      <c r="J112" s="2486"/>
      <c r="K112" s="2486"/>
      <c r="L112" s="2486"/>
      <c r="M112" s="2486"/>
      <c r="N112" s="2486"/>
      <c r="O112" s="2487"/>
      <c r="P112" s="634"/>
      <c r="Q112" s="1503"/>
      <c r="R112" s="1503"/>
      <c r="S112" s="1503"/>
      <c r="T112" s="1503"/>
    </row>
    <row r="113" spans="1:20" s="632" customFormat="1" x14ac:dyDescent="0.25">
      <c r="A113" s="634" t="s">
        <v>293</v>
      </c>
      <c r="B113" s="1009"/>
      <c r="C113" s="1085" t="s">
        <v>175</v>
      </c>
      <c r="D113" s="635" t="str">
        <f t="shared" si="1"/>
        <v/>
      </c>
      <c r="E113" s="2485" t="s">
        <v>294</v>
      </c>
      <c r="F113" s="2486"/>
      <c r="G113" s="2486"/>
      <c r="H113" s="2486"/>
      <c r="I113" s="2486"/>
      <c r="J113" s="2486"/>
      <c r="K113" s="2486"/>
      <c r="L113" s="2486"/>
      <c r="M113" s="2486"/>
      <c r="N113" s="2486"/>
      <c r="O113" s="2487"/>
      <c r="P113" s="634"/>
      <c r="Q113" s="1503"/>
      <c r="R113" s="1503"/>
      <c r="S113" s="1503"/>
      <c r="T113" s="1503"/>
    </row>
    <row r="114" spans="1:20" s="632" customFormat="1" x14ac:dyDescent="0.25">
      <c r="A114" s="634" t="s">
        <v>295</v>
      </c>
      <c r="B114" s="1009"/>
      <c r="C114" s="1085" t="s">
        <v>175</v>
      </c>
      <c r="D114" s="635" t="str">
        <f t="shared" si="1"/>
        <v/>
      </c>
      <c r="E114" s="2485" t="s">
        <v>296</v>
      </c>
      <c r="F114" s="2486"/>
      <c r="G114" s="2486"/>
      <c r="H114" s="2486"/>
      <c r="I114" s="2486"/>
      <c r="J114" s="2486"/>
      <c r="K114" s="2486"/>
      <c r="L114" s="2486"/>
      <c r="M114" s="2486"/>
      <c r="N114" s="2486"/>
      <c r="O114" s="2487"/>
      <c r="P114" s="634"/>
      <c r="Q114" s="1503"/>
      <c r="R114" s="1503"/>
      <c r="S114" s="1503"/>
      <c r="T114" s="1503"/>
    </row>
    <row r="115" spans="1:20" s="632" customFormat="1" x14ac:dyDescent="0.25">
      <c r="A115" s="636" t="s">
        <v>297</v>
      </c>
      <c r="B115" s="1009"/>
      <c r="C115" s="1085" t="s">
        <v>175</v>
      </c>
      <c r="D115" s="635" t="str">
        <f t="shared" si="1"/>
        <v/>
      </c>
      <c r="E115" s="2485" t="s">
        <v>298</v>
      </c>
      <c r="F115" s="2486"/>
      <c r="G115" s="2486"/>
      <c r="H115" s="2486"/>
      <c r="I115" s="2486"/>
      <c r="J115" s="2486"/>
      <c r="K115" s="2486"/>
      <c r="L115" s="2486"/>
      <c r="M115" s="2486"/>
      <c r="N115" s="2486"/>
      <c r="O115" s="2487"/>
      <c r="P115" s="634"/>
      <c r="Q115" s="1503"/>
      <c r="R115" s="1503"/>
      <c r="S115" s="1503"/>
      <c r="T115" s="1503"/>
    </row>
    <row r="116" spans="1:20" s="632" customFormat="1" x14ac:dyDescent="0.25">
      <c r="A116" s="636" t="s">
        <v>299</v>
      </c>
      <c r="B116" s="1009"/>
      <c r="C116" s="1085" t="s">
        <v>175</v>
      </c>
      <c r="D116" s="635" t="str">
        <f t="shared" si="1"/>
        <v/>
      </c>
      <c r="E116" s="2485" t="s">
        <v>300</v>
      </c>
      <c r="F116" s="2486"/>
      <c r="G116" s="2486"/>
      <c r="H116" s="2486"/>
      <c r="I116" s="2486"/>
      <c r="J116" s="2486"/>
      <c r="K116" s="2486"/>
      <c r="L116" s="2486"/>
      <c r="M116" s="2486"/>
      <c r="N116" s="2486"/>
      <c r="O116" s="2487"/>
      <c r="P116" s="634"/>
      <c r="Q116" s="1503"/>
      <c r="R116" s="1503"/>
      <c r="S116" s="1503"/>
      <c r="T116" s="1503"/>
    </row>
    <row r="117" spans="1:20" s="632" customFormat="1" ht="16.5" customHeight="1" x14ac:dyDescent="0.25">
      <c r="A117" s="876" t="s">
        <v>301</v>
      </c>
      <c r="B117" s="1507" t="s">
        <v>278</v>
      </c>
      <c r="C117" s="1085" t="s">
        <v>175</v>
      </c>
      <c r="D117" s="635"/>
      <c r="E117" s="2519" t="s">
        <v>302</v>
      </c>
      <c r="F117" s="2520"/>
      <c r="G117" s="2520"/>
      <c r="H117" s="2520"/>
      <c r="I117" s="2520"/>
      <c r="J117" s="2520"/>
      <c r="K117" s="2520"/>
      <c r="L117" s="2520"/>
      <c r="M117" s="2520"/>
      <c r="N117" s="2520"/>
      <c r="O117" s="2521"/>
      <c r="P117" s="634"/>
      <c r="Q117" s="667"/>
      <c r="R117" s="1503"/>
      <c r="S117" s="1503"/>
      <c r="T117" s="1503"/>
    </row>
    <row r="118" spans="1:20" s="632" customFormat="1" ht="16.5" customHeight="1" x14ac:dyDescent="0.25">
      <c r="A118" s="876" t="s">
        <v>303</v>
      </c>
      <c r="B118" s="1507" t="s">
        <v>278</v>
      </c>
      <c r="C118" s="1085" t="s">
        <v>175</v>
      </c>
      <c r="D118" s="635"/>
      <c r="E118" s="2260" t="s">
        <v>304</v>
      </c>
      <c r="F118" s="2261"/>
      <c r="G118" s="2261"/>
      <c r="H118" s="2261"/>
      <c r="I118" s="2261"/>
      <c r="J118" s="2261"/>
      <c r="K118" s="2261"/>
      <c r="L118" s="2261"/>
      <c r="M118" s="2261"/>
      <c r="N118" s="2261"/>
      <c r="O118" s="2262"/>
      <c r="P118" s="634"/>
      <c r="Q118" s="667"/>
      <c r="R118" s="1503"/>
      <c r="S118" s="1503"/>
      <c r="T118" s="1503"/>
    </row>
    <row r="119" spans="1:20" s="632" customFormat="1" ht="15.75" customHeight="1" x14ac:dyDescent="0.25">
      <c r="A119" s="637" t="s">
        <v>305</v>
      </c>
      <c r="B119" s="1507" t="s">
        <v>278</v>
      </c>
      <c r="C119" s="1085" t="s">
        <v>175</v>
      </c>
      <c r="D119" s="635"/>
      <c r="E119" s="2522" t="s">
        <v>306</v>
      </c>
      <c r="F119" s="2523"/>
      <c r="G119" s="2523"/>
      <c r="H119" s="2523"/>
      <c r="I119" s="2523"/>
      <c r="J119" s="2523"/>
      <c r="K119" s="2523"/>
      <c r="L119" s="2523"/>
      <c r="M119" s="2523"/>
      <c r="N119" s="2523"/>
      <c r="O119" s="2524"/>
      <c r="P119" s="634"/>
      <c r="Q119" s="1503"/>
      <c r="R119" s="1503"/>
      <c r="S119" s="1503"/>
      <c r="T119" s="1503"/>
    </row>
    <row r="120" spans="1:20" s="632" customFormat="1" ht="16.5" customHeight="1" x14ac:dyDescent="0.25">
      <c r="A120" s="875" t="s">
        <v>307</v>
      </c>
      <c r="B120" s="1507" t="s">
        <v>278</v>
      </c>
      <c r="C120" s="1085" t="s">
        <v>175</v>
      </c>
      <c r="D120" s="635"/>
      <c r="E120" s="2519" t="s">
        <v>308</v>
      </c>
      <c r="F120" s="2520"/>
      <c r="G120" s="2520"/>
      <c r="H120" s="2520"/>
      <c r="I120" s="2520"/>
      <c r="J120" s="2520"/>
      <c r="K120" s="2520"/>
      <c r="L120" s="2520"/>
      <c r="M120" s="2520"/>
      <c r="N120" s="2520"/>
      <c r="O120" s="2521"/>
      <c r="P120" s="634"/>
      <c r="Q120" s="667"/>
      <c r="R120" s="1503"/>
      <c r="S120" s="1503"/>
      <c r="T120" s="1503"/>
    </row>
    <row r="121" spans="1:20" s="632" customFormat="1" ht="16.5" customHeight="1" x14ac:dyDescent="0.25">
      <c r="A121" s="637" t="s">
        <v>309</v>
      </c>
      <c r="B121" s="1507" t="s">
        <v>278</v>
      </c>
      <c r="C121" s="1085" t="s">
        <v>175</v>
      </c>
      <c r="D121" s="635"/>
      <c r="E121" s="2485" t="s">
        <v>310</v>
      </c>
      <c r="F121" s="2486"/>
      <c r="G121" s="2486"/>
      <c r="H121" s="2486"/>
      <c r="I121" s="2486"/>
      <c r="J121" s="2486"/>
      <c r="K121" s="2486"/>
      <c r="L121" s="2486"/>
      <c r="M121" s="2486"/>
      <c r="N121" s="2486"/>
      <c r="O121" s="2487"/>
      <c r="P121" s="634"/>
      <c r="Q121" s="667"/>
      <c r="R121" s="1503"/>
      <c r="S121" s="1503"/>
      <c r="T121" s="1503"/>
    </row>
    <row r="122" spans="1:20" s="632" customFormat="1" ht="16.5" customHeight="1" x14ac:dyDescent="0.25">
      <c r="A122" s="637" t="s">
        <v>311</v>
      </c>
      <c r="B122" s="1507" t="s">
        <v>278</v>
      </c>
      <c r="C122" s="1085" t="s">
        <v>175</v>
      </c>
      <c r="D122" s="635"/>
      <c r="E122" s="2485" t="s">
        <v>312</v>
      </c>
      <c r="F122" s="2486"/>
      <c r="G122" s="2486"/>
      <c r="H122" s="2486"/>
      <c r="I122" s="2486"/>
      <c r="J122" s="2486"/>
      <c r="K122" s="2486"/>
      <c r="L122" s="2486"/>
      <c r="M122" s="2486"/>
      <c r="N122" s="2486"/>
      <c r="O122" s="2487"/>
      <c r="P122" s="634"/>
      <c r="Q122" s="667"/>
      <c r="R122" s="1503"/>
      <c r="S122" s="1503"/>
      <c r="T122" s="1503"/>
    </row>
    <row r="123" spans="1:20" ht="12.75" customHeight="1" x14ac:dyDescent="0.25">
      <c r="A123" s="740" t="s">
        <v>313</v>
      </c>
      <c r="B123" s="1498"/>
      <c r="C123" s="1498"/>
      <c r="D123" s="1498"/>
      <c r="E123" s="1498"/>
      <c r="F123" s="1509"/>
      <c r="G123" s="1509"/>
      <c r="H123" s="1498"/>
      <c r="I123" s="2528" t="str">
        <f>CONCATENATE(E10," ",E11)</f>
        <v>01 North Carolina General Assembly</v>
      </c>
      <c r="J123" s="2528"/>
      <c r="K123" s="2528"/>
      <c r="L123" s="2528"/>
      <c r="M123" s="2528"/>
      <c r="N123" s="2528"/>
      <c r="O123" s="2528"/>
      <c r="P123" s="1499"/>
      <c r="Q123" s="1499"/>
      <c r="R123" s="1499"/>
      <c r="S123" s="1499"/>
      <c r="T123" s="1499"/>
    </row>
    <row r="124" spans="1:20" s="632" customFormat="1" x14ac:dyDescent="0.25">
      <c r="A124" s="2518" t="s">
        <v>314</v>
      </c>
      <c r="B124" s="2517"/>
      <c r="C124" s="2517"/>
      <c r="D124" s="2517"/>
      <c r="E124" s="2517"/>
      <c r="F124" s="2517"/>
      <c r="G124" s="2517"/>
      <c r="H124" s="2517"/>
      <c r="I124" s="2517"/>
      <c r="J124" s="2517"/>
      <c r="K124" s="2517"/>
      <c r="L124" s="2517"/>
      <c r="M124" s="2517"/>
      <c r="N124" s="2517"/>
      <c r="O124" s="2517"/>
      <c r="P124" s="2517"/>
      <c r="Q124" s="1503"/>
      <c r="R124" s="1503"/>
      <c r="S124" s="1503"/>
      <c r="T124" s="1503"/>
    </row>
    <row r="125" spans="1:20" x14ac:dyDescent="0.25">
      <c r="A125" s="2516" t="s">
        <v>315</v>
      </c>
      <c r="B125" s="2517"/>
      <c r="C125" s="2517"/>
      <c r="D125" s="2517"/>
      <c r="E125" s="2517"/>
      <c r="F125" s="2517"/>
      <c r="G125" s="2517"/>
      <c r="H125" s="2517"/>
      <c r="I125" s="2517"/>
      <c r="J125" s="2517"/>
      <c r="K125" s="2517"/>
      <c r="L125" s="2517"/>
      <c r="M125" s="2517"/>
      <c r="N125" s="2517"/>
      <c r="O125" s="2517"/>
      <c r="P125" s="2517"/>
      <c r="Q125" s="1499"/>
      <c r="R125" s="1499"/>
      <c r="S125" s="1499"/>
      <c r="T125" s="1499"/>
    </row>
    <row r="129" spans="1:20" x14ac:dyDescent="0.25">
      <c r="A129" s="1499"/>
      <c r="B129" s="1499"/>
      <c r="C129" s="1499"/>
      <c r="D129" s="1499"/>
      <c r="E129" s="1499"/>
      <c r="F129" s="1498"/>
      <c r="G129" s="1498"/>
      <c r="H129" s="1499"/>
      <c r="I129" s="1499"/>
      <c r="J129" s="1499"/>
      <c r="K129" s="1499"/>
      <c r="L129" s="1499"/>
      <c r="M129" s="1499"/>
      <c r="N129" s="1499"/>
      <c r="O129" s="1499"/>
      <c r="P129" s="1499"/>
      <c r="Q129" s="1499"/>
      <c r="R129" s="1499"/>
      <c r="S129" s="1499"/>
      <c r="T129" s="1499"/>
    </row>
    <row r="130" spans="1:20" x14ac:dyDescent="0.25">
      <c r="A130" s="1499"/>
      <c r="B130" s="1499"/>
      <c r="C130" s="1499"/>
      <c r="D130" s="1499"/>
      <c r="E130" s="1499"/>
      <c r="F130" s="1498"/>
      <c r="G130" s="1498"/>
      <c r="H130" s="1499"/>
      <c r="I130" s="1499"/>
      <c r="J130" s="1499"/>
      <c r="K130" s="1499"/>
      <c r="L130" s="1499"/>
      <c r="M130" s="1499"/>
      <c r="N130" s="1499"/>
      <c r="O130" s="1499"/>
      <c r="P130" s="1499"/>
      <c r="Q130" s="1499"/>
      <c r="R130" s="1499"/>
      <c r="S130" s="1499"/>
      <c r="T130" s="1499"/>
    </row>
    <row r="131" spans="1:20" x14ac:dyDescent="0.25">
      <c r="A131" s="1499"/>
      <c r="B131" s="1499"/>
      <c r="C131" s="1499"/>
      <c r="D131" s="1499"/>
      <c r="E131" s="1499"/>
      <c r="F131" s="1498"/>
      <c r="G131" s="1498"/>
      <c r="H131" s="1499"/>
      <c r="I131" s="1499"/>
      <c r="J131" s="1499"/>
      <c r="K131" s="1499"/>
      <c r="L131" s="1499"/>
      <c r="M131" s="1499"/>
      <c r="N131" s="1499"/>
      <c r="O131" s="1499"/>
      <c r="P131" s="1499"/>
      <c r="Q131" s="1499"/>
      <c r="R131" s="1499"/>
      <c r="S131" s="1499"/>
      <c r="T131" s="1499"/>
    </row>
    <row r="132" spans="1:20" x14ac:dyDescent="0.25">
      <c r="A132" s="1499"/>
      <c r="B132" s="1499"/>
      <c r="C132" s="1499"/>
      <c r="D132" s="1499"/>
      <c r="E132" s="1499"/>
      <c r="F132" s="1498"/>
      <c r="G132" s="1498"/>
      <c r="H132" s="1499"/>
      <c r="I132" s="1499"/>
      <c r="J132" s="1499"/>
      <c r="K132" s="1499"/>
      <c r="L132" s="1499"/>
      <c r="M132" s="1499"/>
      <c r="N132" s="1499"/>
      <c r="O132" s="1499"/>
      <c r="P132" s="1499"/>
      <c r="Q132" s="1499"/>
      <c r="R132" s="1499"/>
      <c r="S132" s="1499"/>
      <c r="T132" s="1499"/>
    </row>
    <row r="133" spans="1:20" x14ac:dyDescent="0.25">
      <c r="A133" s="1499"/>
      <c r="B133" s="1499"/>
      <c r="C133" s="1499"/>
      <c r="D133" s="1499"/>
      <c r="E133" s="1499"/>
      <c r="F133" s="1498"/>
      <c r="G133" s="1498"/>
      <c r="H133" s="1499"/>
      <c r="I133" s="1499"/>
      <c r="J133" s="1499"/>
      <c r="K133" s="1499"/>
      <c r="L133" s="1499"/>
      <c r="M133" s="1499"/>
      <c r="N133" s="1499"/>
      <c r="O133" s="1499"/>
      <c r="P133" s="1499"/>
      <c r="Q133" s="1499"/>
      <c r="R133" s="1499"/>
      <c r="S133" s="1499"/>
      <c r="T133" s="1499"/>
    </row>
    <row r="134" spans="1:20" x14ac:dyDescent="0.25">
      <c r="A134" s="1499"/>
      <c r="B134" s="1499"/>
      <c r="C134" s="1499"/>
      <c r="D134" s="1499"/>
      <c r="E134" s="1499"/>
      <c r="F134" s="1498"/>
      <c r="G134" s="1498"/>
      <c r="H134" s="1499"/>
      <c r="I134" s="1499"/>
      <c r="J134" s="1499"/>
      <c r="K134" s="1499"/>
      <c r="L134" s="1499"/>
      <c r="M134" s="1499"/>
      <c r="N134" s="1499"/>
      <c r="O134" s="1499"/>
      <c r="P134" s="1499"/>
      <c r="Q134" s="1499"/>
      <c r="R134" s="1499"/>
      <c r="S134" s="1499"/>
      <c r="T134" s="1499"/>
    </row>
    <row r="1281" spans="1:20" x14ac:dyDescent="0.25">
      <c r="A1281" s="1499"/>
      <c r="B1281" s="1499"/>
      <c r="C1281" s="1499"/>
      <c r="D1281" s="1499"/>
      <c r="E1281" s="1499"/>
      <c r="F1281" s="1499"/>
      <c r="G1281" s="1499"/>
      <c r="H1281" s="1499"/>
      <c r="I1281" s="1499"/>
      <c r="J1281" s="1499"/>
      <c r="K1281" s="1499"/>
      <c r="L1281" s="1499"/>
      <c r="M1281" s="1499"/>
      <c r="N1281" s="1499"/>
      <c r="O1281" s="1499"/>
      <c r="P1281" s="1499"/>
      <c r="Q1281" s="1499"/>
      <c r="R1281" s="1499"/>
      <c r="S1281" s="1499"/>
      <c r="T1281" s="1499"/>
    </row>
    <row r="1291" spans="1:20" s="623" customFormat="1" x14ac:dyDescent="0.25">
      <c r="A1291" s="1510"/>
      <c r="B1291" s="1498"/>
      <c r="C1291" s="1498"/>
      <c r="D1291" s="1498"/>
      <c r="E1291" s="1498"/>
      <c r="F1291" s="1498"/>
      <c r="G1291" s="1498"/>
      <c r="H1291" s="1498"/>
      <c r="I1291" s="1498"/>
      <c r="J1291" s="1498"/>
      <c r="K1291" s="1498"/>
      <c r="L1291" s="1498"/>
      <c r="M1291" s="1498"/>
      <c r="N1291" s="1498"/>
      <c r="O1291" s="1498"/>
      <c r="P1291" s="1498"/>
      <c r="Q1291" s="1498"/>
      <c r="R1291" s="1498"/>
      <c r="S1291" s="1498"/>
      <c r="T1291" s="1498"/>
    </row>
    <row r="1292" spans="1:20" s="623" customFormat="1" x14ac:dyDescent="0.25">
      <c r="A1292" s="1510"/>
      <c r="B1292" s="1510"/>
      <c r="C1292" s="1510"/>
      <c r="D1292" s="1510"/>
      <c r="E1292" s="1498"/>
      <c r="F1292" s="1498"/>
      <c r="G1292" s="1498"/>
      <c r="H1292" s="1498"/>
      <c r="I1292" s="1498"/>
      <c r="J1292" s="1498"/>
      <c r="K1292" s="1498"/>
      <c r="L1292" s="1498"/>
      <c r="M1292" s="1498"/>
      <c r="N1292" s="1498"/>
      <c r="O1292" s="1498"/>
      <c r="P1292" s="1498"/>
      <c r="Q1292" s="1498"/>
      <c r="R1292" s="1498"/>
      <c r="S1292" s="1498"/>
      <c r="T1292" s="1498"/>
    </row>
    <row r="1293" spans="1:20" s="623" customFormat="1" x14ac:dyDescent="0.25">
      <c r="A1293" s="1510"/>
      <c r="B1293" s="1510"/>
      <c r="C1293" s="1510"/>
      <c r="D1293" s="1510"/>
      <c r="E1293" s="1498"/>
      <c r="F1293" s="1498"/>
      <c r="G1293" s="1498"/>
      <c r="H1293" s="1498"/>
      <c r="I1293" s="1498"/>
      <c r="J1293" s="1498"/>
      <c r="K1293" s="1498"/>
      <c r="L1293" s="1498"/>
      <c r="M1293" s="1498"/>
      <c r="N1293" s="1498"/>
      <c r="O1293" s="1498"/>
      <c r="P1293" s="1498"/>
      <c r="Q1293" s="1498"/>
      <c r="R1293" s="1498"/>
      <c r="S1293" s="1498"/>
      <c r="T1293" s="1498"/>
    </row>
    <row r="1294" spans="1:20" s="623" customFormat="1" x14ac:dyDescent="0.25">
      <c r="A1294" s="1510"/>
      <c r="B1294" s="1510"/>
      <c r="C1294" s="1510"/>
      <c r="D1294" s="1510"/>
      <c r="E1294" s="1498"/>
      <c r="F1294" s="1498"/>
      <c r="G1294" s="1498"/>
      <c r="H1294" s="1498"/>
      <c r="I1294" s="1498"/>
      <c r="J1294" s="1498"/>
      <c r="K1294" s="1498"/>
      <c r="L1294" s="1498"/>
      <c r="M1294" s="1498"/>
      <c r="N1294" s="1498"/>
      <c r="O1294" s="1498"/>
      <c r="P1294" s="1498"/>
      <c r="Q1294" s="1498"/>
      <c r="R1294" s="1498"/>
      <c r="S1294" s="1498"/>
      <c r="T1294" s="1498"/>
    </row>
    <row r="1295" spans="1:20" s="623" customFormat="1" x14ac:dyDescent="0.25">
      <c r="A1295" s="1510"/>
      <c r="B1295" s="1510"/>
      <c r="C1295" s="1510"/>
      <c r="D1295" s="1510"/>
      <c r="E1295" s="1498"/>
      <c r="F1295" s="1498"/>
      <c r="G1295" s="1498"/>
      <c r="H1295" s="1498"/>
      <c r="I1295" s="1498"/>
      <c r="J1295" s="1498"/>
      <c r="K1295" s="1498"/>
      <c r="L1295" s="1498"/>
      <c r="M1295" s="1498"/>
      <c r="N1295" s="1498"/>
      <c r="O1295" s="1498"/>
      <c r="P1295" s="1498"/>
      <c r="Q1295" s="1498"/>
      <c r="R1295" s="1498"/>
      <c r="S1295" s="1498"/>
      <c r="T1295" s="1498"/>
    </row>
    <row r="1296" spans="1:20" s="623" customFormat="1" x14ac:dyDescent="0.25">
      <c r="A1296" s="1510"/>
      <c r="B1296" s="1510"/>
      <c r="C1296" s="1510"/>
      <c r="D1296" s="1510"/>
      <c r="E1296" s="1498"/>
      <c r="F1296" s="1498"/>
      <c r="G1296" s="1498"/>
      <c r="H1296" s="1498"/>
      <c r="I1296" s="1498"/>
      <c r="J1296" s="1498"/>
      <c r="K1296" s="1498"/>
      <c r="L1296" s="1498"/>
      <c r="M1296" s="1498"/>
      <c r="N1296" s="1498"/>
      <c r="O1296" s="1498"/>
      <c r="P1296" s="1498"/>
      <c r="Q1296" s="1498"/>
      <c r="R1296" s="1498"/>
      <c r="S1296" s="1498"/>
      <c r="T1296" s="1498"/>
    </row>
    <row r="1297" spans="1:20" s="623" customFormat="1" x14ac:dyDescent="0.25">
      <c r="A1297" s="1510"/>
      <c r="B1297" s="1510"/>
      <c r="C1297" s="1510"/>
      <c r="D1297" s="1510"/>
      <c r="E1297" s="1498"/>
      <c r="F1297" s="1498"/>
      <c r="G1297" s="1498"/>
      <c r="H1297" s="1498"/>
      <c r="I1297" s="1498"/>
      <c r="J1297" s="1498"/>
      <c r="K1297" s="1498"/>
      <c r="L1297" s="1498"/>
      <c r="M1297" s="1498"/>
      <c r="N1297" s="1498"/>
      <c r="O1297" s="1498"/>
      <c r="P1297" s="1498"/>
      <c r="Q1297" s="1498"/>
      <c r="R1297" s="1498"/>
      <c r="S1297" s="1498"/>
      <c r="T1297" s="1498"/>
    </row>
    <row r="1298" spans="1:20" s="623" customFormat="1" x14ac:dyDescent="0.25">
      <c r="A1298" s="1510"/>
      <c r="B1298" s="1510"/>
      <c r="C1298" s="1510"/>
      <c r="D1298" s="1510"/>
      <c r="E1298" s="1498"/>
      <c r="F1298" s="1498"/>
      <c r="G1298" s="1498"/>
      <c r="H1298" s="1498"/>
      <c r="I1298" s="1498"/>
      <c r="J1298" s="1498"/>
      <c r="K1298" s="1498"/>
      <c r="L1298" s="1498"/>
      <c r="M1298" s="1498"/>
      <c r="N1298" s="1498"/>
      <c r="O1298" s="1498"/>
      <c r="P1298" s="1498"/>
      <c r="Q1298" s="1498"/>
      <c r="R1298" s="1498"/>
      <c r="S1298" s="1498"/>
      <c r="T1298" s="1498"/>
    </row>
    <row r="1299" spans="1:20" s="623" customFormat="1" x14ac:dyDescent="0.25">
      <c r="A1299" s="1510"/>
      <c r="B1299" s="1510"/>
      <c r="C1299" s="1510"/>
      <c r="D1299" s="1510"/>
      <c r="E1299" s="1498"/>
      <c r="F1299" s="1498"/>
      <c r="G1299" s="1498"/>
      <c r="H1299" s="1498"/>
      <c r="I1299" s="1498"/>
      <c r="J1299" s="1498"/>
      <c r="K1299" s="1498"/>
      <c r="L1299" s="1498"/>
      <c r="M1299" s="1498"/>
      <c r="N1299" s="1498"/>
      <c r="O1299" s="1498"/>
      <c r="P1299" s="1498"/>
      <c r="Q1299" s="1498"/>
      <c r="R1299" s="1498"/>
      <c r="S1299" s="1498"/>
      <c r="T1299" s="1498"/>
    </row>
    <row r="1300" spans="1:20" s="623" customFormat="1" x14ac:dyDescent="0.25">
      <c r="A1300" s="1510"/>
      <c r="B1300" s="1510"/>
      <c r="C1300" s="1510"/>
      <c r="D1300" s="1510"/>
      <c r="E1300" s="1498"/>
      <c r="F1300" s="1498"/>
      <c r="G1300" s="1498"/>
      <c r="H1300" s="1498"/>
      <c r="I1300" s="1498"/>
      <c r="J1300" s="1498"/>
      <c r="K1300" s="1498"/>
      <c r="L1300" s="1498"/>
      <c r="M1300" s="1498"/>
      <c r="N1300" s="1498"/>
      <c r="O1300" s="1498"/>
      <c r="P1300" s="1498"/>
      <c r="Q1300" s="1498"/>
      <c r="R1300" s="1498"/>
      <c r="S1300" s="1498"/>
      <c r="T1300" s="1498"/>
    </row>
    <row r="1301" spans="1:20" s="623" customFormat="1" x14ac:dyDescent="0.25">
      <c r="A1301" s="1510"/>
      <c r="B1301" s="1510"/>
      <c r="C1301" s="1510"/>
      <c r="D1301" s="1510"/>
      <c r="E1301" s="1498"/>
      <c r="F1301" s="1498"/>
      <c r="G1301" s="1498"/>
      <c r="H1301" s="1498"/>
      <c r="I1301" s="1498"/>
      <c r="J1301" s="1498"/>
      <c r="K1301" s="1498"/>
      <c r="L1301" s="1498"/>
      <c r="M1301" s="1498"/>
      <c r="N1301" s="1498"/>
      <c r="O1301" s="1498"/>
      <c r="P1301" s="1498"/>
      <c r="Q1301" s="1498"/>
      <c r="R1301" s="1498"/>
      <c r="S1301" s="1498"/>
      <c r="T1301" s="1498"/>
    </row>
    <row r="1302" spans="1:20" s="623" customFormat="1" x14ac:dyDescent="0.25">
      <c r="A1302" s="1510"/>
      <c r="B1302" s="1510"/>
      <c r="C1302" s="1510"/>
      <c r="D1302" s="1510"/>
      <c r="E1302" s="1498"/>
      <c r="F1302" s="1498"/>
      <c r="G1302" s="1498"/>
      <c r="H1302" s="1498"/>
      <c r="I1302" s="1498"/>
      <c r="J1302" s="1498"/>
      <c r="K1302" s="1498"/>
      <c r="L1302" s="1498"/>
      <c r="M1302" s="1498"/>
      <c r="N1302" s="1498"/>
      <c r="O1302" s="1498"/>
      <c r="P1302" s="1498"/>
      <c r="Q1302" s="1498"/>
      <c r="R1302" s="1498"/>
      <c r="S1302" s="1498"/>
      <c r="T1302" s="1498"/>
    </row>
    <row r="1303" spans="1:20" s="623" customFormat="1" x14ac:dyDescent="0.25">
      <c r="A1303" s="1510"/>
      <c r="B1303" s="1510"/>
      <c r="C1303" s="1510"/>
      <c r="D1303" s="1510"/>
      <c r="E1303" s="1498"/>
      <c r="F1303" s="1498"/>
      <c r="G1303" s="1498"/>
      <c r="H1303" s="1498"/>
      <c r="I1303" s="1498"/>
      <c r="J1303" s="1498"/>
      <c r="K1303" s="1498"/>
      <c r="L1303" s="1498"/>
      <c r="M1303" s="1498"/>
      <c r="N1303" s="1498"/>
      <c r="O1303" s="1498"/>
      <c r="P1303" s="1498"/>
      <c r="Q1303" s="1498"/>
      <c r="R1303" s="1498"/>
      <c r="S1303" s="1498"/>
      <c r="T1303" s="1498"/>
    </row>
    <row r="1304" spans="1:20" s="623" customFormat="1" x14ac:dyDescent="0.25">
      <c r="A1304" s="1510"/>
      <c r="B1304" s="1510"/>
      <c r="C1304" s="1510"/>
      <c r="D1304" s="1510"/>
      <c r="E1304" s="1498"/>
      <c r="F1304" s="1498"/>
      <c r="G1304" s="1498"/>
      <c r="H1304" s="1498"/>
      <c r="I1304" s="1498"/>
      <c r="J1304" s="1498"/>
      <c r="K1304" s="1498"/>
      <c r="L1304" s="1498"/>
      <c r="M1304" s="1498"/>
      <c r="N1304" s="1498"/>
      <c r="O1304" s="1498"/>
      <c r="P1304" s="1498"/>
      <c r="Q1304" s="1498"/>
      <c r="R1304" s="1498"/>
      <c r="S1304" s="1498"/>
      <c r="T1304" s="1498"/>
    </row>
    <row r="1305" spans="1:20" s="623" customFormat="1" x14ac:dyDescent="0.25">
      <c r="A1305" s="1510"/>
      <c r="B1305" s="1510"/>
      <c r="C1305" s="1510"/>
      <c r="D1305" s="1510"/>
      <c r="E1305" s="1498"/>
      <c r="F1305" s="1498"/>
      <c r="G1305" s="1498"/>
      <c r="H1305" s="1498"/>
      <c r="I1305" s="1498"/>
      <c r="J1305" s="1498"/>
      <c r="K1305" s="1498"/>
      <c r="L1305" s="1498"/>
      <c r="M1305" s="1498"/>
      <c r="N1305" s="1498"/>
      <c r="O1305" s="1498"/>
      <c r="P1305" s="1498"/>
      <c r="Q1305" s="1498"/>
      <c r="R1305" s="1498"/>
      <c r="S1305" s="1498"/>
      <c r="T1305" s="1498"/>
    </row>
    <row r="1306" spans="1:20" s="623" customFormat="1" x14ac:dyDescent="0.25">
      <c r="A1306" s="1510"/>
      <c r="B1306" s="1510"/>
      <c r="C1306" s="1510"/>
      <c r="D1306" s="1510"/>
      <c r="E1306" s="1498"/>
      <c r="F1306" s="1498"/>
      <c r="G1306" s="1498"/>
      <c r="H1306" s="1498"/>
      <c r="I1306" s="1498"/>
      <c r="J1306" s="1498"/>
      <c r="K1306" s="1498"/>
      <c r="L1306" s="1498"/>
      <c r="M1306" s="1498"/>
      <c r="N1306" s="1498"/>
      <c r="O1306" s="1498"/>
      <c r="P1306" s="1498"/>
      <c r="Q1306" s="1498"/>
      <c r="R1306" s="1498"/>
      <c r="S1306" s="1498"/>
      <c r="T1306" s="1498"/>
    </row>
    <row r="1307" spans="1:20" s="623" customFormat="1" x14ac:dyDescent="0.25">
      <c r="A1307" s="1510"/>
      <c r="B1307" s="1510"/>
      <c r="C1307" s="1510"/>
      <c r="D1307" s="1510"/>
      <c r="E1307" s="1498"/>
      <c r="F1307" s="1498"/>
      <c r="G1307" s="1498"/>
      <c r="H1307" s="1498"/>
      <c r="I1307" s="1498"/>
      <c r="J1307" s="1498"/>
      <c r="K1307" s="1498"/>
      <c r="L1307" s="1498"/>
      <c r="M1307" s="1498"/>
      <c r="N1307" s="1498"/>
      <c r="O1307" s="1498"/>
      <c r="P1307" s="1498"/>
      <c r="Q1307" s="1498"/>
      <c r="R1307" s="1498"/>
      <c r="S1307" s="1498"/>
      <c r="T1307" s="1498"/>
    </row>
    <row r="1308" spans="1:20" s="623" customFormat="1" x14ac:dyDescent="0.25">
      <c r="A1308" s="1510"/>
      <c r="B1308" s="1510"/>
      <c r="C1308" s="1510"/>
      <c r="D1308" s="1510"/>
      <c r="E1308" s="1498"/>
      <c r="F1308" s="1498"/>
      <c r="G1308" s="1498"/>
      <c r="H1308" s="1498"/>
      <c r="I1308" s="1498"/>
      <c r="J1308" s="1498"/>
      <c r="K1308" s="1498"/>
      <c r="L1308" s="1498"/>
      <c r="M1308" s="1498"/>
      <c r="N1308" s="1498"/>
      <c r="O1308" s="1498"/>
      <c r="P1308" s="1498"/>
      <c r="Q1308" s="1498"/>
      <c r="R1308" s="1498"/>
      <c r="S1308" s="1498"/>
      <c r="T1308" s="1498"/>
    </row>
    <row r="1309" spans="1:20" s="623" customFormat="1" x14ac:dyDescent="0.25">
      <c r="A1309" s="1510"/>
      <c r="B1309" s="1510"/>
      <c r="C1309" s="1510"/>
      <c r="D1309" s="1510"/>
      <c r="E1309" s="1498"/>
      <c r="F1309" s="1498"/>
      <c r="G1309" s="1498"/>
      <c r="H1309" s="1498"/>
      <c r="I1309" s="1498"/>
      <c r="J1309" s="1498"/>
      <c r="K1309" s="1498"/>
      <c r="L1309" s="1498"/>
      <c r="M1309" s="1498"/>
      <c r="N1309" s="1498"/>
      <c r="O1309" s="1498"/>
      <c r="P1309" s="1498"/>
      <c r="Q1309" s="1498"/>
      <c r="R1309" s="1498"/>
      <c r="S1309" s="1498"/>
      <c r="T1309" s="1498"/>
    </row>
    <row r="1310" spans="1:20" s="623" customFormat="1" x14ac:dyDescent="0.25">
      <c r="A1310" s="1510"/>
      <c r="B1310" s="1510"/>
      <c r="C1310" s="1510"/>
      <c r="D1310" s="1510"/>
      <c r="E1310" s="1498"/>
      <c r="F1310" s="1498"/>
      <c r="G1310" s="1498"/>
      <c r="H1310" s="1498"/>
      <c r="I1310" s="1498"/>
      <c r="J1310" s="1498"/>
      <c r="K1310" s="1498"/>
      <c r="L1310" s="1498"/>
      <c r="M1310" s="1498"/>
      <c r="N1310" s="1498"/>
      <c r="O1310" s="1498"/>
      <c r="P1310" s="1498"/>
      <c r="Q1310" s="1498"/>
      <c r="R1310" s="1498"/>
      <c r="S1310" s="1498"/>
      <c r="T1310" s="1498"/>
    </row>
    <row r="1311" spans="1:20" s="623" customFormat="1" x14ac:dyDescent="0.25">
      <c r="A1311" s="1510"/>
      <c r="B1311" s="1510"/>
      <c r="C1311" s="1510"/>
      <c r="D1311" s="1510"/>
      <c r="E1311" s="1498"/>
      <c r="F1311" s="1498"/>
      <c r="G1311" s="1498"/>
      <c r="H1311" s="1498"/>
      <c r="I1311" s="1498"/>
      <c r="J1311" s="1498"/>
      <c r="K1311" s="1498"/>
      <c r="L1311" s="1498"/>
      <c r="M1311" s="1498"/>
      <c r="N1311" s="1498"/>
      <c r="O1311" s="1498"/>
      <c r="P1311" s="1498"/>
      <c r="Q1311" s="1498"/>
      <c r="R1311" s="1498"/>
      <c r="S1311" s="1498"/>
      <c r="T1311" s="1498"/>
    </row>
    <row r="1312" spans="1:20" s="623" customFormat="1" x14ac:dyDescent="0.25">
      <c r="A1312" s="1510"/>
      <c r="B1312" s="1510"/>
      <c r="C1312" s="1510"/>
      <c r="D1312" s="1510"/>
      <c r="E1312" s="1498"/>
      <c r="F1312" s="1498"/>
      <c r="G1312" s="1498"/>
      <c r="H1312" s="1498"/>
      <c r="I1312" s="1498"/>
      <c r="J1312" s="1498"/>
      <c r="K1312" s="1498"/>
      <c r="L1312" s="1498"/>
      <c r="M1312" s="1498"/>
      <c r="N1312" s="1498"/>
      <c r="O1312" s="1498"/>
      <c r="P1312" s="1498"/>
      <c r="Q1312" s="1498"/>
      <c r="R1312" s="1498"/>
      <c r="S1312" s="1498"/>
      <c r="T1312" s="1498"/>
    </row>
    <row r="1313" spans="1:20" s="623" customFormat="1" x14ac:dyDescent="0.25">
      <c r="A1313" s="1510"/>
      <c r="B1313" s="1510"/>
      <c r="C1313" s="1510"/>
      <c r="D1313" s="1510"/>
      <c r="E1313" s="1498"/>
      <c r="F1313" s="1498"/>
      <c r="G1313" s="1498"/>
      <c r="H1313" s="1498"/>
      <c r="I1313" s="1498"/>
      <c r="J1313" s="1498"/>
      <c r="K1313" s="1498"/>
      <c r="L1313" s="1498"/>
      <c r="M1313" s="1498"/>
      <c r="N1313" s="1498"/>
      <c r="O1313" s="1498"/>
      <c r="P1313" s="1498"/>
      <c r="Q1313" s="1498"/>
      <c r="R1313" s="1498"/>
      <c r="S1313" s="1498"/>
      <c r="T1313" s="1498"/>
    </row>
    <row r="1314" spans="1:20" s="623" customFormat="1" x14ac:dyDescent="0.25">
      <c r="A1314" s="1510"/>
      <c r="B1314" s="1510"/>
      <c r="C1314" s="1510"/>
      <c r="D1314" s="1510"/>
      <c r="E1314" s="1498"/>
      <c r="F1314" s="1498"/>
      <c r="G1314" s="1498"/>
      <c r="H1314" s="1498"/>
      <c r="I1314" s="1498"/>
      <c r="J1314" s="1498"/>
      <c r="K1314" s="1498"/>
      <c r="L1314" s="1498"/>
      <c r="M1314" s="1498"/>
      <c r="N1314" s="1498"/>
      <c r="O1314" s="1498"/>
      <c r="P1314" s="1498"/>
      <c r="Q1314" s="1498"/>
      <c r="R1314" s="1498"/>
      <c r="S1314" s="1498"/>
      <c r="T1314" s="1498"/>
    </row>
    <row r="1315" spans="1:20" s="623" customFormat="1" x14ac:dyDescent="0.25">
      <c r="A1315" s="1510"/>
      <c r="B1315" s="1510"/>
      <c r="C1315" s="1510"/>
      <c r="D1315" s="1510"/>
      <c r="E1315" s="1498"/>
      <c r="F1315" s="1498"/>
      <c r="G1315" s="1498"/>
      <c r="H1315" s="1498"/>
      <c r="I1315" s="1498"/>
      <c r="J1315" s="1498"/>
      <c r="K1315" s="1498"/>
      <c r="L1315" s="1498"/>
      <c r="M1315" s="1498"/>
      <c r="N1315" s="1498"/>
      <c r="O1315" s="1498"/>
      <c r="P1315" s="1498"/>
      <c r="Q1315" s="1498"/>
      <c r="R1315" s="1498"/>
      <c r="S1315" s="1498"/>
      <c r="T1315" s="1498"/>
    </row>
    <row r="1316" spans="1:20" s="623" customFormat="1" x14ac:dyDescent="0.25">
      <c r="A1316" s="1510"/>
      <c r="B1316" s="1510"/>
      <c r="C1316" s="1510"/>
      <c r="D1316" s="1510"/>
      <c r="E1316" s="1498"/>
      <c r="F1316" s="1498"/>
      <c r="G1316" s="1498"/>
      <c r="H1316" s="1498"/>
      <c r="I1316" s="1498"/>
      <c r="J1316" s="1498"/>
      <c r="K1316" s="1498"/>
      <c r="L1316" s="1498"/>
      <c r="M1316" s="1498"/>
      <c r="N1316" s="1498"/>
      <c r="O1316" s="1498"/>
      <c r="P1316" s="1498"/>
      <c r="Q1316" s="1498"/>
      <c r="R1316" s="1498"/>
      <c r="S1316" s="1498"/>
      <c r="T1316" s="1498"/>
    </row>
    <row r="1317" spans="1:20" s="623" customFormat="1" x14ac:dyDescent="0.25">
      <c r="A1317" s="1510"/>
      <c r="B1317" s="1510"/>
      <c r="C1317" s="1510"/>
      <c r="D1317" s="1510"/>
      <c r="E1317" s="1498"/>
      <c r="F1317" s="1498"/>
      <c r="G1317" s="1498"/>
      <c r="H1317" s="1498"/>
      <c r="I1317" s="1498"/>
      <c r="J1317" s="1498"/>
      <c r="K1317" s="1498"/>
      <c r="L1317" s="1498"/>
      <c r="M1317" s="1498"/>
      <c r="N1317" s="1498"/>
      <c r="O1317" s="1498"/>
      <c r="P1317" s="1498"/>
      <c r="Q1317" s="1498"/>
      <c r="R1317" s="1498"/>
      <c r="S1317" s="1498"/>
      <c r="T1317" s="1498"/>
    </row>
    <row r="1318" spans="1:20" s="623" customFormat="1" x14ac:dyDescent="0.25">
      <c r="A1318" s="1510"/>
      <c r="B1318" s="1510"/>
      <c r="C1318" s="1510"/>
      <c r="D1318" s="1510"/>
      <c r="E1318" s="1498"/>
      <c r="F1318" s="1498"/>
      <c r="G1318" s="1498"/>
      <c r="H1318" s="1498"/>
      <c r="I1318" s="1498"/>
      <c r="J1318" s="1498"/>
      <c r="K1318" s="1498"/>
      <c r="L1318" s="1498"/>
      <c r="M1318" s="1498"/>
      <c r="N1318" s="1498"/>
      <c r="O1318" s="1498"/>
      <c r="P1318" s="1498"/>
      <c r="Q1318" s="1498"/>
      <c r="R1318" s="1498"/>
      <c r="S1318" s="1498"/>
      <c r="T1318" s="1498"/>
    </row>
    <row r="1319" spans="1:20" s="623" customFormat="1" x14ac:dyDescent="0.25">
      <c r="A1319" s="1510"/>
      <c r="B1319" s="1510"/>
      <c r="C1319" s="1510"/>
      <c r="D1319" s="1510"/>
      <c r="E1319" s="1498"/>
      <c r="F1319" s="1498"/>
      <c r="G1319" s="1498"/>
      <c r="H1319" s="1498"/>
      <c r="I1319" s="1498"/>
      <c r="J1319" s="1498"/>
      <c r="K1319" s="1498"/>
      <c r="L1319" s="1498"/>
      <c r="M1319" s="1498"/>
      <c r="N1319" s="1498"/>
      <c r="O1319" s="1498"/>
      <c r="P1319" s="1498"/>
      <c r="Q1319" s="1498"/>
      <c r="R1319" s="1498"/>
      <c r="S1319" s="1498"/>
      <c r="T1319" s="1498"/>
    </row>
    <row r="1320" spans="1:20" s="623" customFormat="1" x14ac:dyDescent="0.25">
      <c r="A1320" s="1510"/>
      <c r="B1320" s="1510"/>
      <c r="C1320" s="1510"/>
      <c r="D1320" s="1510"/>
      <c r="E1320" s="1498"/>
      <c r="F1320" s="1498"/>
      <c r="G1320" s="1498"/>
      <c r="H1320" s="1498"/>
      <c r="I1320" s="1498"/>
      <c r="J1320" s="1498"/>
      <c r="K1320" s="1498"/>
      <c r="L1320" s="1498"/>
      <c r="M1320" s="1498"/>
      <c r="N1320" s="1498"/>
      <c r="O1320" s="1498"/>
      <c r="P1320" s="1498"/>
      <c r="Q1320" s="1498"/>
      <c r="R1320" s="1498"/>
      <c r="S1320" s="1498"/>
      <c r="T1320" s="1498"/>
    </row>
    <row r="1321" spans="1:20" s="623" customFormat="1" x14ac:dyDescent="0.25">
      <c r="A1321" s="1510"/>
      <c r="B1321" s="1510"/>
      <c r="C1321" s="1510"/>
      <c r="D1321" s="1510"/>
      <c r="E1321" s="1498"/>
      <c r="F1321" s="1498"/>
      <c r="G1321" s="1498"/>
      <c r="H1321" s="1498"/>
      <c r="I1321" s="1498"/>
      <c r="J1321" s="1498"/>
      <c r="K1321" s="1498"/>
      <c r="L1321" s="1498"/>
      <c r="M1321" s="1498"/>
      <c r="N1321" s="1498"/>
      <c r="O1321" s="1498"/>
      <c r="P1321" s="1498"/>
      <c r="Q1321" s="1498"/>
      <c r="R1321" s="1498"/>
      <c r="S1321" s="1498"/>
      <c r="T1321" s="1498"/>
    </row>
    <row r="1322" spans="1:20" s="623" customFormat="1" x14ac:dyDescent="0.25">
      <c r="A1322" s="1510"/>
      <c r="B1322" s="1510"/>
      <c r="C1322" s="1510"/>
      <c r="D1322" s="1510"/>
      <c r="E1322" s="1498"/>
      <c r="F1322" s="1498"/>
      <c r="G1322" s="1498"/>
      <c r="H1322" s="1498"/>
      <c r="I1322" s="1498"/>
      <c r="J1322" s="1498"/>
      <c r="K1322" s="1498"/>
      <c r="L1322" s="1498"/>
      <c r="M1322" s="1498"/>
      <c r="N1322" s="1498"/>
      <c r="O1322" s="1498"/>
      <c r="P1322" s="1498"/>
      <c r="Q1322" s="1498"/>
      <c r="R1322" s="1498"/>
      <c r="S1322" s="1498"/>
      <c r="T1322" s="1498"/>
    </row>
    <row r="1323" spans="1:20" s="623" customFormat="1" x14ac:dyDescent="0.25">
      <c r="A1323" s="1510"/>
      <c r="B1323" s="1510"/>
      <c r="C1323" s="1510"/>
      <c r="D1323" s="1510"/>
      <c r="E1323" s="1498"/>
      <c r="F1323" s="1498"/>
      <c r="G1323" s="1498"/>
      <c r="H1323" s="1498"/>
      <c r="I1323" s="1498"/>
      <c r="J1323" s="1498"/>
      <c r="K1323" s="1498"/>
      <c r="L1323" s="1498"/>
      <c r="M1323" s="1498"/>
      <c r="N1323" s="1498"/>
      <c r="O1323" s="1498"/>
      <c r="P1323" s="1498"/>
      <c r="Q1323" s="1498"/>
      <c r="R1323" s="1498"/>
      <c r="S1323" s="1498"/>
      <c r="T1323" s="1498"/>
    </row>
    <row r="1324" spans="1:20" s="623" customFormat="1" x14ac:dyDescent="0.25">
      <c r="A1324" s="1510"/>
      <c r="B1324" s="1510"/>
      <c r="C1324" s="1510"/>
      <c r="D1324" s="1510"/>
      <c r="E1324" s="1498"/>
      <c r="F1324" s="1498"/>
      <c r="G1324" s="1498"/>
      <c r="H1324" s="1498"/>
      <c r="I1324" s="1498"/>
      <c r="J1324" s="1498"/>
      <c r="K1324" s="1498"/>
      <c r="L1324" s="1498"/>
      <c r="M1324" s="1498"/>
      <c r="N1324" s="1498"/>
      <c r="O1324" s="1498"/>
      <c r="P1324" s="1498"/>
      <c r="Q1324" s="1498"/>
      <c r="R1324" s="1498"/>
      <c r="S1324" s="1498"/>
      <c r="T1324" s="1498"/>
    </row>
    <row r="1325" spans="1:20" s="623" customFormat="1" x14ac:dyDescent="0.25">
      <c r="A1325" s="1510"/>
      <c r="B1325" s="1510"/>
      <c r="C1325" s="1510"/>
      <c r="D1325" s="1510"/>
      <c r="E1325" s="1498"/>
      <c r="F1325" s="1498"/>
      <c r="G1325" s="1498"/>
      <c r="H1325" s="1498"/>
      <c r="I1325" s="1498"/>
      <c r="J1325" s="1498"/>
      <c r="K1325" s="1498"/>
      <c r="L1325" s="1498"/>
      <c r="M1325" s="1498"/>
      <c r="N1325" s="1498"/>
      <c r="O1325" s="1498"/>
      <c r="P1325" s="1498"/>
      <c r="Q1325" s="1498"/>
      <c r="R1325" s="1498"/>
      <c r="S1325" s="1498"/>
      <c r="T1325" s="1498"/>
    </row>
    <row r="1326" spans="1:20" s="623" customFormat="1" x14ac:dyDescent="0.25">
      <c r="A1326" s="1510"/>
      <c r="B1326" s="1510"/>
      <c r="C1326" s="1510"/>
      <c r="D1326" s="1510"/>
      <c r="E1326" s="1498"/>
      <c r="F1326" s="1498"/>
      <c r="G1326" s="1498"/>
      <c r="H1326" s="1498"/>
      <c r="I1326" s="1498"/>
      <c r="J1326" s="1498"/>
      <c r="K1326" s="1498"/>
      <c r="L1326" s="1498"/>
      <c r="M1326" s="1498"/>
      <c r="N1326" s="1498"/>
      <c r="O1326" s="1498"/>
      <c r="P1326" s="1498"/>
      <c r="Q1326" s="1498"/>
      <c r="R1326" s="1498"/>
      <c r="S1326" s="1498"/>
      <c r="T1326" s="1498"/>
    </row>
    <row r="1327" spans="1:20" s="623" customFormat="1" x14ac:dyDescent="0.25">
      <c r="A1327" s="1510"/>
      <c r="B1327" s="1510"/>
      <c r="C1327" s="1510"/>
      <c r="D1327" s="1510"/>
      <c r="E1327" s="1498"/>
      <c r="F1327" s="1498"/>
      <c r="G1327" s="1498"/>
      <c r="H1327" s="1498"/>
      <c r="I1327" s="1498"/>
      <c r="J1327" s="1498"/>
      <c r="K1327" s="1498"/>
      <c r="L1327" s="1498"/>
      <c r="M1327" s="1498"/>
      <c r="N1327" s="1498"/>
      <c r="O1327" s="1498"/>
      <c r="P1327" s="1498"/>
      <c r="Q1327" s="1498"/>
      <c r="R1327" s="1498"/>
      <c r="S1327" s="1498"/>
      <c r="T1327" s="1498"/>
    </row>
    <row r="1328" spans="1:20" s="623" customFormat="1" x14ac:dyDescent="0.25">
      <c r="A1328" s="1510"/>
      <c r="B1328" s="1510"/>
      <c r="C1328" s="1510"/>
      <c r="D1328" s="1510"/>
      <c r="E1328" s="1498"/>
      <c r="F1328" s="1498"/>
      <c r="G1328" s="1498"/>
      <c r="H1328" s="1498"/>
      <c r="I1328" s="1498"/>
      <c r="J1328" s="1498"/>
      <c r="K1328" s="1498"/>
      <c r="L1328" s="1498"/>
      <c r="M1328" s="1498"/>
      <c r="N1328" s="1498"/>
      <c r="O1328" s="1498"/>
      <c r="P1328" s="1498"/>
      <c r="Q1328" s="1498"/>
      <c r="R1328" s="1498"/>
      <c r="S1328" s="1498"/>
      <c r="T1328" s="1498"/>
    </row>
    <row r="1329" spans="1:20" s="623" customFormat="1" x14ac:dyDescent="0.25">
      <c r="A1329" s="1510"/>
      <c r="B1329" s="1510"/>
      <c r="C1329" s="1510"/>
      <c r="D1329" s="1510"/>
      <c r="E1329" s="1498"/>
      <c r="F1329" s="1498"/>
      <c r="G1329" s="1498"/>
      <c r="H1329" s="1498"/>
      <c r="I1329" s="1498"/>
      <c r="J1329" s="1498"/>
      <c r="K1329" s="1498"/>
      <c r="L1329" s="1498"/>
      <c r="M1329" s="1498"/>
      <c r="N1329" s="1498"/>
      <c r="O1329" s="1498"/>
      <c r="P1329" s="1498"/>
      <c r="Q1329" s="1498"/>
      <c r="R1329" s="1498"/>
      <c r="S1329" s="1498"/>
      <c r="T1329" s="1498"/>
    </row>
    <row r="1330" spans="1:20" s="623" customFormat="1" x14ac:dyDescent="0.25">
      <c r="A1330" s="1510"/>
      <c r="B1330" s="1510"/>
      <c r="C1330" s="1510"/>
      <c r="D1330" s="1510"/>
      <c r="E1330" s="1498"/>
      <c r="F1330" s="1498"/>
      <c r="G1330" s="1498"/>
      <c r="H1330" s="1498"/>
      <c r="I1330" s="1498"/>
      <c r="J1330" s="1498"/>
      <c r="K1330" s="1498"/>
      <c r="L1330" s="1498"/>
      <c r="M1330" s="1498"/>
      <c r="N1330" s="1498"/>
      <c r="O1330" s="1498"/>
      <c r="P1330" s="1498"/>
      <c r="Q1330" s="1498"/>
      <c r="R1330" s="1498"/>
      <c r="S1330" s="1498"/>
      <c r="T1330" s="1498"/>
    </row>
    <row r="1331" spans="1:20" s="623" customFormat="1" x14ac:dyDescent="0.25">
      <c r="A1331" s="1510"/>
      <c r="B1331" s="1510"/>
      <c r="C1331" s="1510"/>
      <c r="D1331" s="1510"/>
      <c r="E1331" s="1498"/>
      <c r="F1331" s="1498"/>
      <c r="G1331" s="1498"/>
      <c r="H1331" s="1498"/>
      <c r="I1331" s="1498"/>
      <c r="J1331" s="1498"/>
      <c r="K1331" s="1498"/>
      <c r="L1331" s="1498"/>
      <c r="M1331" s="1498"/>
      <c r="N1331" s="1498"/>
      <c r="O1331" s="1498"/>
      <c r="P1331" s="1498"/>
      <c r="Q1331" s="1498"/>
      <c r="R1331" s="1498"/>
      <c r="S1331" s="1498"/>
      <c r="T1331" s="1498"/>
    </row>
    <row r="1332" spans="1:20" s="623" customFormat="1" x14ac:dyDescent="0.25">
      <c r="A1332" s="1510"/>
      <c r="B1332" s="1510"/>
      <c r="C1332" s="1510"/>
      <c r="D1332" s="1510"/>
      <c r="E1332" s="1498"/>
      <c r="F1332" s="1498"/>
      <c r="G1332" s="1498"/>
      <c r="H1332" s="1498"/>
      <c r="I1332" s="1498"/>
      <c r="J1332" s="1498"/>
      <c r="K1332" s="1498"/>
      <c r="L1332" s="1498"/>
      <c r="M1332" s="1498"/>
      <c r="N1332" s="1498"/>
      <c r="O1332" s="1498"/>
      <c r="P1332" s="1498"/>
      <c r="Q1332" s="1498"/>
      <c r="R1332" s="1498"/>
      <c r="S1332" s="1498"/>
      <c r="T1332" s="1498"/>
    </row>
    <row r="1333" spans="1:20" s="623" customFormat="1" x14ac:dyDescent="0.25">
      <c r="A1333" s="1510"/>
      <c r="B1333" s="1510"/>
      <c r="C1333" s="1510"/>
      <c r="D1333" s="1510"/>
      <c r="E1333" s="1498"/>
      <c r="F1333" s="1498"/>
      <c r="G1333" s="1498"/>
      <c r="H1333" s="1498"/>
      <c r="I1333" s="1498"/>
      <c r="J1333" s="1498"/>
      <c r="K1333" s="1498"/>
      <c r="L1333" s="1498"/>
      <c r="M1333" s="1498"/>
      <c r="N1333" s="1498"/>
      <c r="O1333" s="1498"/>
      <c r="P1333" s="1498"/>
      <c r="Q1333" s="1498"/>
      <c r="R1333" s="1498"/>
      <c r="S1333" s="1498"/>
      <c r="T1333" s="1498"/>
    </row>
    <row r="1334" spans="1:20" s="623" customFormat="1" x14ac:dyDescent="0.25">
      <c r="A1334" s="1510"/>
      <c r="B1334" s="1510"/>
      <c r="C1334" s="1510"/>
      <c r="D1334" s="1510"/>
      <c r="E1334" s="1498"/>
      <c r="F1334" s="1498"/>
      <c r="G1334" s="1498"/>
      <c r="H1334" s="1498"/>
      <c r="I1334" s="1498"/>
      <c r="J1334" s="1498"/>
      <c r="K1334" s="1498"/>
      <c r="L1334" s="1498"/>
      <c r="M1334" s="1498"/>
      <c r="N1334" s="1498"/>
      <c r="O1334" s="1498"/>
      <c r="P1334" s="1498"/>
      <c r="Q1334" s="1498"/>
      <c r="R1334" s="1498"/>
      <c r="S1334" s="1498"/>
      <c r="T1334" s="1498"/>
    </row>
    <row r="1335" spans="1:20" s="623" customFormat="1" x14ac:dyDescent="0.25">
      <c r="A1335" s="1510"/>
      <c r="B1335" s="1510"/>
      <c r="C1335" s="1510"/>
      <c r="D1335" s="1510"/>
      <c r="E1335" s="1498"/>
      <c r="F1335" s="1498"/>
      <c r="G1335" s="1498"/>
      <c r="H1335" s="1498"/>
      <c r="I1335" s="1498"/>
      <c r="J1335" s="1498"/>
      <c r="K1335" s="1498"/>
      <c r="L1335" s="1498"/>
      <c r="M1335" s="1498"/>
      <c r="N1335" s="1498"/>
      <c r="O1335" s="1498"/>
      <c r="P1335" s="1498"/>
      <c r="Q1335" s="1498"/>
      <c r="R1335" s="1498"/>
      <c r="S1335" s="1498"/>
      <c r="T1335" s="1498"/>
    </row>
    <row r="1336" spans="1:20" s="623" customFormat="1" x14ac:dyDescent="0.25">
      <c r="A1336" s="1510"/>
      <c r="B1336" s="1510"/>
      <c r="C1336" s="1510"/>
      <c r="D1336" s="1510"/>
      <c r="E1336" s="1498"/>
      <c r="F1336" s="1498"/>
      <c r="G1336" s="1498"/>
      <c r="H1336" s="1498"/>
      <c r="I1336" s="1498"/>
      <c r="J1336" s="1498"/>
      <c r="K1336" s="1498"/>
      <c r="L1336" s="1498"/>
      <c r="M1336" s="1498"/>
      <c r="N1336" s="1498"/>
      <c r="O1336" s="1498"/>
      <c r="P1336" s="1498"/>
      <c r="Q1336" s="1498"/>
      <c r="R1336" s="1498"/>
      <c r="S1336" s="1498"/>
      <c r="T1336" s="1498"/>
    </row>
    <row r="1337" spans="1:20" s="623" customFormat="1" x14ac:dyDescent="0.25">
      <c r="A1337" s="1510"/>
      <c r="B1337" s="1510"/>
      <c r="C1337" s="1510"/>
      <c r="D1337" s="1510"/>
      <c r="E1337" s="1498"/>
      <c r="F1337" s="1498"/>
      <c r="G1337" s="1498"/>
      <c r="H1337" s="1498"/>
      <c r="I1337" s="1498"/>
      <c r="J1337" s="1498"/>
      <c r="K1337" s="1498"/>
      <c r="L1337" s="1498"/>
      <c r="M1337" s="1498"/>
      <c r="N1337" s="1498"/>
      <c r="O1337" s="1498"/>
      <c r="P1337" s="1498"/>
      <c r="Q1337" s="1498"/>
      <c r="R1337" s="1498"/>
      <c r="S1337" s="1498"/>
      <c r="T1337" s="1498"/>
    </row>
    <row r="1338" spans="1:20" s="623" customFormat="1" x14ac:dyDescent="0.25">
      <c r="A1338" s="1510"/>
      <c r="B1338" s="1510"/>
      <c r="C1338" s="1510"/>
      <c r="D1338" s="1510"/>
      <c r="E1338" s="1498"/>
      <c r="F1338" s="1498"/>
      <c r="G1338" s="1498"/>
      <c r="H1338" s="1498"/>
      <c r="I1338" s="1498"/>
      <c r="J1338" s="1498"/>
      <c r="K1338" s="1498"/>
      <c r="L1338" s="1498"/>
      <c r="M1338" s="1498"/>
      <c r="N1338" s="1498"/>
      <c r="O1338" s="1498"/>
      <c r="P1338" s="1498"/>
      <c r="Q1338" s="1498"/>
      <c r="R1338" s="1498"/>
      <c r="S1338" s="1498"/>
      <c r="T1338" s="1498"/>
    </row>
    <row r="1339" spans="1:20" s="623" customFormat="1" x14ac:dyDescent="0.25">
      <c r="A1339" s="1510"/>
      <c r="B1339" s="1510"/>
      <c r="C1339" s="1510"/>
      <c r="D1339" s="1510"/>
      <c r="E1339" s="1498"/>
      <c r="F1339" s="1498"/>
      <c r="G1339" s="1498"/>
      <c r="H1339" s="1498"/>
      <c r="I1339" s="1498"/>
      <c r="J1339" s="1498"/>
      <c r="K1339" s="1498"/>
      <c r="L1339" s="1498"/>
      <c r="M1339" s="1498"/>
      <c r="N1339" s="1498"/>
      <c r="O1339" s="1498"/>
      <c r="P1339" s="1498"/>
      <c r="Q1339" s="1498"/>
      <c r="R1339" s="1498"/>
      <c r="S1339" s="1498"/>
      <c r="T1339" s="1498"/>
    </row>
    <row r="1340" spans="1:20" s="623" customFormat="1" x14ac:dyDescent="0.25">
      <c r="A1340" s="1510"/>
      <c r="B1340" s="1510"/>
      <c r="C1340" s="1510"/>
      <c r="D1340" s="1510"/>
      <c r="E1340" s="1498"/>
      <c r="F1340" s="1498"/>
      <c r="G1340" s="1498"/>
      <c r="H1340" s="1498"/>
      <c r="I1340" s="1498"/>
      <c r="J1340" s="1498"/>
      <c r="K1340" s="1498"/>
      <c r="L1340" s="1498"/>
      <c r="M1340" s="1498"/>
      <c r="N1340" s="1498"/>
      <c r="O1340" s="1498"/>
      <c r="P1340" s="1498"/>
      <c r="Q1340" s="1498"/>
      <c r="R1340" s="1498"/>
      <c r="S1340" s="1498"/>
      <c r="T1340" s="1498"/>
    </row>
    <row r="1341" spans="1:20" s="623" customFormat="1" x14ac:dyDescent="0.25">
      <c r="A1341" s="1510"/>
      <c r="B1341" s="1510"/>
      <c r="C1341" s="1510"/>
      <c r="D1341" s="1510"/>
      <c r="E1341" s="1498"/>
      <c r="F1341" s="1498"/>
      <c r="G1341" s="1498"/>
      <c r="H1341" s="1498"/>
      <c r="I1341" s="1498"/>
      <c r="J1341" s="1498"/>
      <c r="K1341" s="1498"/>
      <c r="L1341" s="1498"/>
      <c r="M1341" s="1498"/>
      <c r="N1341" s="1498"/>
      <c r="O1341" s="1498"/>
      <c r="P1341" s="1498"/>
      <c r="Q1341" s="1498"/>
      <c r="R1341" s="1498"/>
      <c r="S1341" s="1498"/>
      <c r="T1341" s="1498"/>
    </row>
    <row r="1342" spans="1:20" s="623" customFormat="1" x14ac:dyDescent="0.25">
      <c r="A1342" s="1510"/>
      <c r="B1342" s="1510"/>
      <c r="C1342" s="1510"/>
      <c r="D1342" s="1510"/>
      <c r="E1342" s="1498"/>
      <c r="F1342" s="1498"/>
      <c r="G1342" s="1498"/>
      <c r="H1342" s="1498"/>
      <c r="I1342" s="1498"/>
      <c r="J1342" s="1498"/>
      <c r="K1342" s="1498"/>
      <c r="L1342" s="1498"/>
      <c r="M1342" s="1498"/>
      <c r="N1342" s="1498"/>
      <c r="O1342" s="1498"/>
      <c r="P1342" s="1498"/>
      <c r="Q1342" s="1498"/>
      <c r="R1342" s="1498"/>
      <c r="S1342" s="1498"/>
      <c r="T1342" s="1498"/>
    </row>
    <row r="1343" spans="1:20" s="623" customFormat="1" x14ac:dyDescent="0.25">
      <c r="A1343" s="1510"/>
      <c r="B1343" s="1510"/>
      <c r="C1343" s="1510"/>
      <c r="D1343" s="1510"/>
      <c r="E1343" s="1498"/>
      <c r="F1343" s="1498"/>
      <c r="G1343" s="1498"/>
      <c r="H1343" s="1498"/>
      <c r="I1343" s="1498"/>
      <c r="J1343" s="1498"/>
      <c r="K1343" s="1498"/>
      <c r="L1343" s="1498"/>
      <c r="M1343" s="1498"/>
      <c r="N1343" s="1498"/>
      <c r="O1343" s="1498"/>
      <c r="P1343" s="1498"/>
      <c r="Q1343" s="1498"/>
      <c r="R1343" s="1498"/>
      <c r="S1343" s="1498"/>
      <c r="T1343" s="1498"/>
    </row>
    <row r="1344" spans="1:20" s="623" customFormat="1" x14ac:dyDescent="0.25">
      <c r="A1344" s="1510"/>
      <c r="B1344" s="1510"/>
      <c r="C1344" s="1510"/>
      <c r="D1344" s="1510"/>
      <c r="E1344" s="1498"/>
      <c r="F1344" s="1498"/>
      <c r="G1344" s="1498"/>
      <c r="H1344" s="1498"/>
      <c r="I1344" s="1498"/>
      <c r="J1344" s="1498"/>
      <c r="K1344" s="1498"/>
      <c r="L1344" s="1498"/>
      <c r="M1344" s="1498"/>
      <c r="N1344" s="1498"/>
      <c r="O1344" s="1498"/>
      <c r="P1344" s="1498"/>
      <c r="Q1344" s="1498"/>
      <c r="R1344" s="1498"/>
      <c r="S1344" s="1498"/>
      <c r="T1344" s="1498"/>
    </row>
    <row r="1345" spans="1:20" s="623" customFormat="1" x14ac:dyDescent="0.25">
      <c r="A1345" s="1510"/>
      <c r="B1345" s="1510"/>
      <c r="C1345" s="1510"/>
      <c r="D1345" s="1510"/>
      <c r="E1345" s="1498"/>
      <c r="F1345" s="1498"/>
      <c r="G1345" s="1498"/>
      <c r="H1345" s="1498"/>
      <c r="I1345" s="1498"/>
      <c r="J1345" s="1498"/>
      <c r="K1345" s="1498"/>
      <c r="L1345" s="1498"/>
      <c r="M1345" s="1498"/>
      <c r="N1345" s="1498"/>
      <c r="O1345" s="1498"/>
      <c r="P1345" s="1498"/>
      <c r="Q1345" s="1498"/>
      <c r="R1345" s="1498"/>
      <c r="S1345" s="1498"/>
      <c r="T1345" s="1498"/>
    </row>
    <row r="1346" spans="1:20" s="623" customFormat="1" x14ac:dyDescent="0.25">
      <c r="A1346" s="1510"/>
      <c r="B1346" s="1510"/>
      <c r="C1346" s="1510"/>
      <c r="D1346" s="1510"/>
      <c r="E1346" s="1498"/>
      <c r="F1346" s="1498"/>
      <c r="G1346" s="1498"/>
      <c r="H1346" s="1498"/>
      <c r="I1346" s="1498"/>
      <c r="J1346" s="1498"/>
      <c r="K1346" s="1498"/>
      <c r="L1346" s="1498"/>
      <c r="M1346" s="1498"/>
      <c r="N1346" s="1498"/>
      <c r="O1346" s="1498"/>
      <c r="P1346" s="1498"/>
      <c r="Q1346" s="1498"/>
      <c r="R1346" s="1498"/>
      <c r="S1346" s="1498"/>
      <c r="T1346" s="1498"/>
    </row>
    <row r="1347" spans="1:20" s="623" customFormat="1" x14ac:dyDescent="0.25">
      <c r="A1347" s="1510"/>
      <c r="B1347" s="1510"/>
      <c r="C1347" s="1510"/>
      <c r="D1347" s="1510"/>
      <c r="E1347" s="1498"/>
      <c r="F1347" s="1498"/>
      <c r="G1347" s="1498"/>
      <c r="H1347" s="1498"/>
      <c r="I1347" s="1498"/>
      <c r="J1347" s="1498"/>
      <c r="K1347" s="1498"/>
      <c r="L1347" s="1498"/>
      <c r="M1347" s="1498"/>
      <c r="N1347" s="1498"/>
      <c r="O1347" s="1498"/>
      <c r="P1347" s="1498"/>
      <c r="Q1347" s="1498"/>
      <c r="R1347" s="1498"/>
      <c r="S1347" s="1498"/>
      <c r="T1347" s="1498"/>
    </row>
    <row r="1348" spans="1:20" s="623" customFormat="1" x14ac:dyDescent="0.25">
      <c r="A1348" s="1510"/>
      <c r="B1348" s="1510"/>
      <c r="C1348" s="1510"/>
      <c r="D1348" s="1510"/>
      <c r="E1348" s="1498"/>
      <c r="F1348" s="1498"/>
      <c r="G1348" s="1498"/>
      <c r="H1348" s="1498"/>
      <c r="I1348" s="1498"/>
      <c r="J1348" s="1498"/>
      <c r="K1348" s="1498"/>
      <c r="L1348" s="1498"/>
      <c r="M1348" s="1498"/>
      <c r="N1348" s="1498"/>
      <c r="O1348" s="1498"/>
      <c r="P1348" s="1498"/>
      <c r="Q1348" s="1498"/>
      <c r="R1348" s="1498"/>
      <c r="S1348" s="1498"/>
      <c r="T1348" s="1498"/>
    </row>
    <row r="1349" spans="1:20" s="623" customFormat="1" x14ac:dyDescent="0.25">
      <c r="A1349" s="1510"/>
      <c r="B1349" s="1510"/>
      <c r="C1349" s="1510"/>
      <c r="D1349" s="1510"/>
      <c r="E1349" s="1498"/>
      <c r="F1349" s="1498"/>
      <c r="G1349" s="1498"/>
      <c r="H1349" s="1498"/>
      <c r="I1349" s="1498"/>
      <c r="J1349" s="1498"/>
      <c r="K1349" s="1498"/>
      <c r="L1349" s="1498"/>
      <c r="M1349" s="1498"/>
      <c r="N1349" s="1498"/>
      <c r="O1349" s="1498"/>
      <c r="P1349" s="1498"/>
      <c r="Q1349" s="1498"/>
      <c r="R1349" s="1498"/>
      <c r="S1349" s="1498"/>
      <c r="T1349" s="1498"/>
    </row>
    <row r="1350" spans="1:20" s="623" customFormat="1" x14ac:dyDescent="0.25">
      <c r="A1350" s="1510"/>
      <c r="B1350" s="1510"/>
      <c r="C1350" s="1510"/>
      <c r="D1350" s="1510"/>
      <c r="E1350" s="1498"/>
      <c r="F1350" s="1498"/>
      <c r="G1350" s="1498"/>
      <c r="H1350" s="1498"/>
      <c r="I1350" s="1498"/>
      <c r="J1350" s="1498"/>
      <c r="K1350" s="1498"/>
      <c r="L1350" s="1498"/>
      <c r="M1350" s="1498"/>
      <c r="N1350" s="1498"/>
      <c r="O1350" s="1498"/>
      <c r="P1350" s="1498"/>
      <c r="Q1350" s="1498"/>
      <c r="R1350" s="1498"/>
      <c r="S1350" s="1498"/>
      <c r="T1350" s="1498"/>
    </row>
    <row r="1351" spans="1:20" s="623" customFormat="1" x14ac:dyDescent="0.25">
      <c r="A1351" s="1510"/>
      <c r="B1351" s="1510"/>
      <c r="C1351" s="1510"/>
      <c r="D1351" s="1510"/>
      <c r="E1351" s="1498"/>
      <c r="F1351" s="1498"/>
      <c r="G1351" s="1498"/>
      <c r="H1351" s="1498"/>
      <c r="I1351" s="1498"/>
      <c r="J1351" s="1498"/>
      <c r="K1351" s="1498"/>
      <c r="L1351" s="1498"/>
      <c r="M1351" s="1498"/>
      <c r="N1351" s="1498"/>
      <c r="O1351" s="1498"/>
      <c r="P1351" s="1498"/>
      <c r="Q1351" s="1498"/>
      <c r="R1351" s="1498"/>
      <c r="S1351" s="1498"/>
      <c r="T1351" s="1498"/>
    </row>
    <row r="1352" spans="1:20" s="623" customFormat="1" x14ac:dyDescent="0.25">
      <c r="A1352" s="1510"/>
      <c r="B1352" s="1510"/>
      <c r="C1352" s="1510"/>
      <c r="D1352" s="1510"/>
      <c r="E1352" s="1498"/>
      <c r="F1352" s="1498"/>
      <c r="G1352" s="1498"/>
      <c r="H1352" s="1498"/>
      <c r="I1352" s="1498"/>
      <c r="J1352" s="1498"/>
      <c r="K1352" s="1498"/>
      <c r="L1352" s="1498"/>
      <c r="M1352" s="1498"/>
      <c r="N1352" s="1498"/>
      <c r="O1352" s="1498"/>
      <c r="P1352" s="1498"/>
      <c r="Q1352" s="1498"/>
      <c r="R1352" s="1498"/>
      <c r="S1352" s="1498"/>
      <c r="T1352" s="1498"/>
    </row>
    <row r="1353" spans="1:20" s="623" customFormat="1" x14ac:dyDescent="0.25">
      <c r="A1353" s="1510"/>
      <c r="B1353" s="1510"/>
      <c r="C1353" s="1510"/>
      <c r="D1353" s="1510"/>
      <c r="E1353" s="1498"/>
      <c r="F1353" s="1498"/>
      <c r="G1353" s="1498"/>
      <c r="H1353" s="1498"/>
      <c r="I1353" s="1498"/>
      <c r="J1353" s="1498"/>
      <c r="K1353" s="1498"/>
      <c r="L1353" s="1498"/>
      <c r="M1353" s="1498"/>
      <c r="N1353" s="1498"/>
      <c r="O1353" s="1498"/>
      <c r="P1353" s="1498"/>
      <c r="Q1353" s="1498"/>
      <c r="R1353" s="1498"/>
      <c r="S1353" s="1498"/>
      <c r="T1353" s="1498"/>
    </row>
    <row r="1354" spans="1:20" s="623" customFormat="1" x14ac:dyDescent="0.25">
      <c r="A1354" s="1510"/>
      <c r="B1354" s="1510"/>
      <c r="C1354" s="1510"/>
      <c r="D1354" s="1510"/>
      <c r="E1354" s="1498"/>
      <c r="F1354" s="1498"/>
      <c r="G1354" s="1498"/>
      <c r="H1354" s="1498"/>
      <c r="I1354" s="1498"/>
      <c r="J1354" s="1498"/>
      <c r="K1354" s="1498"/>
      <c r="L1354" s="1498"/>
      <c r="M1354" s="1498"/>
      <c r="N1354" s="1498"/>
      <c r="O1354" s="1498"/>
      <c r="P1354" s="1498"/>
      <c r="Q1354" s="1498"/>
      <c r="R1354" s="1498"/>
      <c r="S1354" s="1498"/>
      <c r="T1354" s="1498"/>
    </row>
    <row r="1355" spans="1:20" s="623" customFormat="1" x14ac:dyDescent="0.25">
      <c r="A1355" s="1510"/>
      <c r="B1355" s="1510"/>
      <c r="C1355" s="1510"/>
      <c r="D1355" s="1510"/>
      <c r="E1355" s="1498"/>
      <c r="F1355" s="1498"/>
      <c r="G1355" s="1498"/>
      <c r="H1355" s="1498"/>
      <c r="I1355" s="1498"/>
      <c r="J1355" s="1498"/>
      <c r="K1355" s="1498"/>
      <c r="L1355" s="1498"/>
      <c r="M1355" s="1498"/>
      <c r="N1355" s="1498"/>
      <c r="O1355" s="1498"/>
      <c r="P1355" s="1498"/>
      <c r="Q1355" s="1498"/>
      <c r="R1355" s="1498"/>
      <c r="S1355" s="1498"/>
      <c r="T1355" s="1498"/>
    </row>
    <row r="1356" spans="1:20" s="623" customFormat="1" x14ac:dyDescent="0.25">
      <c r="A1356" s="1510"/>
      <c r="B1356" s="1510"/>
      <c r="C1356" s="1510"/>
      <c r="D1356" s="1510"/>
      <c r="E1356" s="1498"/>
      <c r="F1356" s="1498"/>
      <c r="G1356" s="1498"/>
      <c r="H1356" s="1498"/>
      <c r="I1356" s="1498"/>
      <c r="J1356" s="1498"/>
      <c r="K1356" s="1498"/>
      <c r="L1356" s="1498"/>
      <c r="M1356" s="1498"/>
      <c r="N1356" s="1498"/>
      <c r="O1356" s="1498"/>
      <c r="P1356" s="1498"/>
      <c r="Q1356" s="1498"/>
      <c r="R1356" s="1498"/>
      <c r="S1356" s="1498"/>
      <c r="T1356" s="1498"/>
    </row>
    <row r="1357" spans="1:20" s="623" customFormat="1" x14ac:dyDescent="0.25">
      <c r="A1357" s="1510"/>
      <c r="B1357" s="1510"/>
      <c r="C1357" s="1510"/>
      <c r="D1357" s="1510"/>
      <c r="E1357" s="1498"/>
      <c r="F1357" s="1498"/>
      <c r="G1357" s="1498"/>
      <c r="H1357" s="1498"/>
      <c r="I1357" s="1498"/>
      <c r="J1357" s="1498"/>
      <c r="K1357" s="1498"/>
      <c r="L1357" s="1498"/>
      <c r="M1357" s="1498"/>
      <c r="N1357" s="1498"/>
      <c r="O1357" s="1498"/>
      <c r="P1357" s="1498"/>
      <c r="Q1357" s="1498"/>
      <c r="R1357" s="1498"/>
      <c r="S1357" s="1498"/>
      <c r="T1357" s="1498"/>
    </row>
    <row r="1358" spans="1:20" x14ac:dyDescent="0.25">
      <c r="A1358" s="1499"/>
      <c r="B1358" s="1511"/>
      <c r="C1358" s="1511"/>
      <c r="D1358" s="1511"/>
      <c r="E1358" s="1499"/>
      <c r="F1358" s="1499"/>
      <c r="G1358" s="1499"/>
      <c r="H1358" s="1499"/>
      <c r="I1358" s="1499"/>
      <c r="J1358" s="1499"/>
      <c r="K1358" s="1499"/>
      <c r="L1358" s="1499"/>
      <c r="M1358" s="1499"/>
      <c r="N1358" s="1499"/>
      <c r="O1358" s="1499"/>
      <c r="P1358" s="1499"/>
      <c r="Q1358" s="1499"/>
      <c r="R1358" s="1499"/>
      <c r="S1358" s="1499"/>
      <c r="T1358" s="1499"/>
    </row>
    <row r="1359" spans="1:20" x14ac:dyDescent="0.25">
      <c r="A1359" s="1499"/>
      <c r="B1359" s="1511"/>
      <c r="C1359" s="1511"/>
      <c r="D1359" s="1511"/>
      <c r="E1359" s="1499"/>
      <c r="F1359" s="1499"/>
      <c r="G1359" s="1499"/>
      <c r="H1359" s="1499"/>
      <c r="I1359" s="1499"/>
      <c r="J1359" s="1499"/>
      <c r="K1359" s="1499"/>
      <c r="L1359" s="1499"/>
      <c r="M1359" s="1499"/>
      <c r="N1359" s="1499"/>
      <c r="O1359" s="1499"/>
      <c r="P1359" s="1499"/>
      <c r="Q1359" s="1499"/>
      <c r="R1359" s="1499"/>
      <c r="S1359" s="1499"/>
      <c r="T1359" s="1499"/>
    </row>
    <row r="1360" spans="1:20" x14ac:dyDescent="0.25">
      <c r="A1360" s="1499"/>
      <c r="B1360" s="1511"/>
      <c r="C1360" s="1511"/>
      <c r="D1360" s="1511"/>
      <c r="E1360" s="1499"/>
      <c r="F1360" s="1499"/>
      <c r="G1360" s="1499"/>
      <c r="H1360" s="1499"/>
      <c r="I1360" s="1499"/>
      <c r="J1360" s="1499"/>
      <c r="K1360" s="1499"/>
      <c r="L1360" s="1499"/>
      <c r="M1360" s="1499"/>
      <c r="N1360" s="1499"/>
      <c r="O1360" s="1499"/>
      <c r="P1360" s="1499"/>
      <c r="Q1360" s="1499"/>
      <c r="R1360" s="1499"/>
      <c r="S1360" s="1499"/>
      <c r="T1360" s="1499"/>
    </row>
    <row r="1361" spans="1:20" x14ac:dyDescent="0.25">
      <c r="A1361" s="1499"/>
      <c r="B1361" s="1511"/>
      <c r="C1361" s="1511"/>
      <c r="D1361" s="1511"/>
      <c r="E1361" s="1499"/>
      <c r="F1361" s="1499"/>
      <c r="G1361" s="1499"/>
      <c r="H1361" s="1499"/>
      <c r="I1361" s="1499"/>
      <c r="J1361" s="1499"/>
      <c r="K1361" s="1499"/>
      <c r="L1361" s="1499"/>
      <c r="M1361" s="1499"/>
      <c r="N1361" s="1499"/>
      <c r="O1361" s="1499"/>
      <c r="P1361" s="1499"/>
      <c r="Q1361" s="1499"/>
      <c r="R1361" s="1499"/>
      <c r="S1361" s="1499"/>
      <c r="T1361" s="1499"/>
    </row>
    <row r="1362" spans="1:20" x14ac:dyDescent="0.25">
      <c r="A1362" s="1499"/>
      <c r="B1362" s="1511"/>
      <c r="C1362" s="1511"/>
      <c r="D1362" s="1511"/>
      <c r="E1362" s="1499"/>
      <c r="F1362" s="1499"/>
      <c r="G1362" s="1499"/>
      <c r="H1362" s="1499"/>
      <c r="I1362" s="1499"/>
      <c r="J1362" s="1499"/>
      <c r="K1362" s="1499"/>
      <c r="L1362" s="1499"/>
      <c r="M1362" s="1499"/>
      <c r="N1362" s="1499"/>
      <c r="O1362" s="1499"/>
      <c r="P1362" s="1499"/>
      <c r="Q1362" s="1499"/>
      <c r="R1362" s="1499"/>
      <c r="S1362" s="1499"/>
      <c r="T1362" s="1499"/>
    </row>
    <row r="1363" spans="1:20" x14ac:dyDescent="0.25">
      <c r="A1363" s="1499"/>
      <c r="B1363" s="1511"/>
      <c r="C1363" s="1511"/>
      <c r="D1363" s="1511"/>
      <c r="E1363" s="1499"/>
      <c r="F1363" s="1499"/>
      <c r="G1363" s="1499"/>
      <c r="H1363" s="1499"/>
      <c r="I1363" s="1499"/>
      <c r="J1363" s="1499"/>
      <c r="K1363" s="1499"/>
      <c r="L1363" s="1499"/>
      <c r="M1363" s="1499"/>
      <c r="N1363" s="1499"/>
      <c r="O1363" s="1499"/>
      <c r="P1363" s="1499"/>
      <c r="Q1363" s="1499"/>
      <c r="R1363" s="1499"/>
      <c r="S1363" s="1499"/>
      <c r="T1363" s="1499"/>
    </row>
    <row r="1364" spans="1:20" x14ac:dyDescent="0.25">
      <c r="A1364" s="1499"/>
      <c r="B1364" s="1511"/>
      <c r="C1364" s="1511"/>
      <c r="D1364" s="1511"/>
      <c r="E1364" s="1499"/>
      <c r="F1364" s="1499"/>
      <c r="G1364" s="1499"/>
      <c r="H1364" s="1499"/>
      <c r="I1364" s="1499"/>
      <c r="J1364" s="1499"/>
      <c r="K1364" s="1499"/>
      <c r="L1364" s="1499"/>
      <c r="M1364" s="1499"/>
      <c r="N1364" s="1499"/>
      <c r="O1364" s="1499"/>
      <c r="P1364" s="1499"/>
      <c r="Q1364" s="1499"/>
      <c r="R1364" s="1499"/>
      <c r="S1364" s="1499"/>
      <c r="T1364" s="1499"/>
    </row>
    <row r="1365" spans="1:20" x14ac:dyDescent="0.25">
      <c r="A1365" s="1499"/>
      <c r="B1365" s="1511"/>
      <c r="C1365" s="1511"/>
      <c r="D1365" s="1511"/>
      <c r="E1365" s="1499"/>
      <c r="F1365" s="1499"/>
      <c r="G1365" s="1499"/>
      <c r="H1365" s="1499"/>
      <c r="I1365" s="1499"/>
      <c r="J1365" s="1499"/>
      <c r="K1365" s="1499"/>
      <c r="L1365" s="1499"/>
      <c r="M1365" s="1499"/>
      <c r="N1365" s="1499"/>
      <c r="O1365" s="1499"/>
      <c r="P1365" s="1499"/>
      <c r="Q1365" s="1499"/>
      <c r="R1365" s="1499"/>
      <c r="S1365" s="1499"/>
      <c r="T1365" s="1499"/>
    </row>
    <row r="1366" spans="1:20" x14ac:dyDescent="0.25">
      <c r="A1366" s="1499"/>
      <c r="B1366" s="1511"/>
      <c r="C1366" s="1511"/>
      <c r="D1366" s="1511"/>
      <c r="E1366" s="1499"/>
      <c r="F1366" s="1499"/>
      <c r="G1366" s="1499"/>
      <c r="H1366" s="1499"/>
      <c r="I1366" s="1499"/>
      <c r="J1366" s="1499"/>
      <c r="K1366" s="1499"/>
      <c r="L1366" s="1499"/>
      <c r="M1366" s="1499"/>
      <c r="N1366" s="1499"/>
      <c r="O1366" s="1499"/>
      <c r="P1366" s="1499"/>
      <c r="Q1366" s="1499"/>
      <c r="R1366" s="1499"/>
      <c r="S1366" s="1499"/>
      <c r="T1366" s="1499"/>
    </row>
    <row r="1367" spans="1:20" x14ac:dyDescent="0.25">
      <c r="A1367" s="1499"/>
      <c r="B1367" s="1511"/>
      <c r="C1367" s="1511"/>
      <c r="D1367" s="1511"/>
      <c r="E1367" s="1499"/>
      <c r="F1367" s="1499"/>
      <c r="G1367" s="1499"/>
      <c r="H1367" s="1499"/>
      <c r="I1367" s="1499"/>
      <c r="J1367" s="1499"/>
      <c r="K1367" s="1499"/>
      <c r="L1367" s="1499"/>
      <c r="M1367" s="1499"/>
      <c r="N1367" s="1499"/>
      <c r="O1367" s="1499"/>
      <c r="P1367" s="1499"/>
      <c r="Q1367" s="1499"/>
      <c r="R1367" s="1499"/>
      <c r="S1367" s="1499"/>
      <c r="T1367" s="1499"/>
    </row>
    <row r="1368" spans="1:20" x14ac:dyDescent="0.25">
      <c r="A1368" s="1499"/>
      <c r="B1368" s="1511"/>
      <c r="C1368" s="1511"/>
      <c r="D1368" s="1511"/>
      <c r="E1368" s="1499"/>
      <c r="F1368" s="1499"/>
      <c r="G1368" s="1499"/>
      <c r="H1368" s="1499"/>
      <c r="I1368" s="1499"/>
      <c r="J1368" s="1499"/>
      <c r="K1368" s="1499"/>
      <c r="L1368" s="1499"/>
      <c r="M1368" s="1499"/>
      <c r="N1368" s="1499"/>
      <c r="O1368" s="1499"/>
      <c r="P1368" s="1499"/>
      <c r="Q1368" s="1499"/>
      <c r="R1368" s="1499"/>
      <c r="S1368" s="1499"/>
      <c r="T1368" s="1499"/>
    </row>
    <row r="1369" spans="1:20" x14ac:dyDescent="0.25">
      <c r="A1369" s="1499"/>
      <c r="B1369" s="1511"/>
      <c r="C1369" s="1511"/>
      <c r="D1369" s="1511"/>
      <c r="E1369" s="1499"/>
      <c r="F1369" s="1499"/>
      <c r="G1369" s="1499"/>
      <c r="H1369" s="1499"/>
      <c r="I1369" s="1499"/>
      <c r="J1369" s="1499"/>
      <c r="K1369" s="1499"/>
      <c r="L1369" s="1499"/>
      <c r="M1369" s="1499"/>
      <c r="N1369" s="1499"/>
      <c r="O1369" s="1499"/>
      <c r="P1369" s="1499"/>
      <c r="Q1369" s="1499"/>
      <c r="R1369" s="1499"/>
      <c r="S1369" s="1499"/>
      <c r="T1369" s="1499"/>
    </row>
    <row r="1370" spans="1:20" x14ac:dyDescent="0.25">
      <c r="A1370" s="1499"/>
      <c r="B1370" s="1511"/>
      <c r="C1370" s="1511"/>
      <c r="D1370" s="1511"/>
      <c r="E1370" s="1499"/>
      <c r="F1370" s="1499"/>
      <c r="G1370" s="1499"/>
      <c r="H1370" s="1499"/>
      <c r="I1370" s="1499"/>
      <c r="J1370" s="1499"/>
      <c r="K1370" s="1499"/>
      <c r="L1370" s="1499"/>
      <c r="M1370" s="1499"/>
      <c r="N1370" s="1499"/>
      <c r="O1370" s="1499"/>
      <c r="P1370" s="1499"/>
      <c r="Q1370" s="1499"/>
      <c r="R1370" s="1499"/>
      <c r="S1370" s="1499"/>
      <c r="T1370" s="1499"/>
    </row>
    <row r="1371" spans="1:20" x14ac:dyDescent="0.25">
      <c r="A1371" s="1499"/>
      <c r="B1371" s="1511"/>
      <c r="C1371" s="1511"/>
      <c r="D1371" s="1511"/>
      <c r="E1371" s="1499"/>
      <c r="F1371" s="1499"/>
      <c r="G1371" s="1499"/>
      <c r="H1371" s="1499"/>
      <c r="I1371" s="1499"/>
      <c r="J1371" s="1499"/>
      <c r="K1371" s="1499"/>
      <c r="L1371" s="1499"/>
      <c r="M1371" s="1499"/>
      <c r="N1371" s="1499"/>
      <c r="O1371" s="1499"/>
      <c r="P1371" s="1499"/>
      <c r="Q1371" s="1499"/>
      <c r="R1371" s="1499"/>
      <c r="S1371" s="1499"/>
      <c r="T1371" s="1499"/>
    </row>
    <row r="1372" spans="1:20" x14ac:dyDescent="0.25">
      <c r="A1372" s="1499"/>
      <c r="B1372" s="1511"/>
      <c r="C1372" s="1511"/>
      <c r="D1372" s="1511"/>
      <c r="E1372" s="1499"/>
      <c r="F1372" s="1499"/>
      <c r="G1372" s="1499"/>
      <c r="H1372" s="1499"/>
      <c r="I1372" s="1499"/>
      <c r="J1372" s="1499"/>
      <c r="K1372" s="1499"/>
      <c r="L1372" s="1499"/>
      <c r="M1372" s="1499"/>
      <c r="N1372" s="1499"/>
      <c r="O1372" s="1499"/>
      <c r="P1372" s="1499"/>
      <c r="Q1372" s="1499"/>
      <c r="R1372" s="1499"/>
      <c r="S1372" s="1499"/>
      <c r="T1372" s="1499"/>
    </row>
    <row r="1373" spans="1:20" x14ac:dyDescent="0.25">
      <c r="A1373" s="1499"/>
      <c r="B1373" s="1511"/>
      <c r="C1373" s="1511"/>
      <c r="D1373" s="1511"/>
      <c r="E1373" s="1499"/>
      <c r="F1373" s="1499"/>
      <c r="G1373" s="1499"/>
      <c r="H1373" s="1499"/>
      <c r="I1373" s="1499"/>
      <c r="J1373" s="1499"/>
      <c r="K1373" s="1499"/>
      <c r="L1373" s="1499"/>
      <c r="M1373" s="1499"/>
      <c r="N1373" s="1499"/>
      <c r="O1373" s="1499"/>
      <c r="P1373" s="1499"/>
      <c r="Q1373" s="1499"/>
      <c r="R1373" s="1499"/>
      <c r="S1373" s="1499"/>
      <c r="T1373" s="1499"/>
    </row>
    <row r="1374" spans="1:20" x14ac:dyDescent="0.25">
      <c r="A1374" s="1499"/>
      <c r="B1374" s="1511"/>
      <c r="C1374" s="1511"/>
      <c r="D1374" s="1511"/>
      <c r="E1374" s="1499"/>
      <c r="F1374" s="1499"/>
      <c r="G1374" s="1499"/>
      <c r="H1374" s="1499"/>
      <c r="I1374" s="1499"/>
      <c r="J1374" s="1499"/>
      <c r="K1374" s="1499"/>
      <c r="L1374" s="1499"/>
      <c r="M1374" s="1499"/>
      <c r="N1374" s="1499"/>
      <c r="O1374" s="1499"/>
      <c r="P1374" s="1499"/>
      <c r="Q1374" s="1499"/>
      <c r="R1374" s="1499"/>
      <c r="S1374" s="1499"/>
      <c r="T1374" s="1499"/>
    </row>
    <row r="1375" spans="1:20" x14ac:dyDescent="0.25">
      <c r="A1375" s="1499"/>
      <c r="B1375" s="1511"/>
      <c r="C1375" s="1511"/>
      <c r="D1375" s="1511"/>
      <c r="E1375" s="1499"/>
      <c r="F1375" s="1499"/>
      <c r="G1375" s="1499"/>
      <c r="H1375" s="1499"/>
      <c r="I1375" s="1499"/>
      <c r="J1375" s="1499"/>
      <c r="K1375" s="1499"/>
      <c r="L1375" s="1499"/>
      <c r="M1375" s="1499"/>
      <c r="N1375" s="1499"/>
      <c r="O1375" s="1499"/>
      <c r="P1375" s="1499"/>
      <c r="Q1375" s="1499"/>
      <c r="R1375" s="1499"/>
      <c r="S1375" s="1499"/>
      <c r="T1375" s="1499"/>
    </row>
    <row r="1376" spans="1:20" x14ac:dyDescent="0.25">
      <c r="A1376" s="1499"/>
      <c r="B1376" s="1511"/>
      <c r="C1376" s="1511"/>
      <c r="D1376" s="1511"/>
      <c r="E1376" s="1499"/>
      <c r="F1376" s="1499"/>
      <c r="G1376" s="1499"/>
      <c r="H1376" s="1499"/>
      <c r="I1376" s="1499"/>
      <c r="J1376" s="1499"/>
      <c r="K1376" s="1499"/>
      <c r="L1376" s="1499"/>
      <c r="M1376" s="1499"/>
      <c r="N1376" s="1499"/>
      <c r="O1376" s="1499"/>
      <c r="P1376" s="1499"/>
      <c r="Q1376" s="1499"/>
      <c r="R1376" s="1499"/>
      <c r="S1376" s="1499"/>
      <c r="T1376" s="1499"/>
    </row>
    <row r="1377" spans="1:20" x14ac:dyDescent="0.25">
      <c r="A1377" s="1499"/>
      <c r="B1377" s="1511"/>
      <c r="C1377" s="1511"/>
      <c r="D1377" s="1511"/>
      <c r="E1377" s="1499"/>
      <c r="F1377" s="1499"/>
      <c r="G1377" s="1499"/>
      <c r="H1377" s="1499"/>
      <c r="I1377" s="1499"/>
      <c r="J1377" s="1499"/>
      <c r="K1377" s="1499"/>
      <c r="L1377" s="1499"/>
      <c r="M1377" s="1499"/>
      <c r="N1377" s="1499"/>
      <c r="O1377" s="1499"/>
      <c r="P1377" s="1499"/>
      <c r="Q1377" s="1499"/>
      <c r="R1377" s="1499"/>
      <c r="S1377" s="1499"/>
      <c r="T1377" s="1499"/>
    </row>
    <row r="1378" spans="1:20" x14ac:dyDescent="0.25">
      <c r="A1378" s="1499"/>
      <c r="B1378" s="1511"/>
      <c r="C1378" s="1511"/>
      <c r="D1378" s="1511"/>
      <c r="E1378" s="1499"/>
      <c r="F1378" s="1499"/>
      <c r="G1378" s="1499"/>
      <c r="H1378" s="1499"/>
      <c r="I1378" s="1499"/>
      <c r="J1378" s="1499"/>
      <c r="K1378" s="1499"/>
      <c r="L1378" s="1499"/>
      <c r="M1378" s="1499"/>
      <c r="N1378" s="1499"/>
      <c r="O1378" s="1499"/>
      <c r="P1378" s="1499"/>
      <c r="Q1378" s="1499"/>
      <c r="R1378" s="1499"/>
      <c r="S1378" s="1499"/>
      <c r="T1378" s="1499"/>
    </row>
    <row r="1379" spans="1:20" x14ac:dyDescent="0.25">
      <c r="A1379" s="1499"/>
      <c r="B1379" s="1511"/>
      <c r="C1379" s="1511"/>
      <c r="D1379" s="1511"/>
      <c r="E1379" s="1499"/>
      <c r="F1379" s="1499"/>
      <c r="G1379" s="1499"/>
      <c r="H1379" s="1499"/>
      <c r="I1379" s="1499"/>
      <c r="J1379" s="1499"/>
      <c r="K1379" s="1499"/>
      <c r="L1379" s="1499"/>
      <c r="M1379" s="1499"/>
      <c r="N1379" s="1499"/>
      <c r="O1379" s="1499"/>
      <c r="P1379" s="1499"/>
      <c r="Q1379" s="1499"/>
      <c r="R1379" s="1499"/>
      <c r="S1379" s="1499"/>
      <c r="T1379" s="1499"/>
    </row>
    <row r="1380" spans="1:20" x14ac:dyDescent="0.25">
      <c r="A1380" s="1499"/>
      <c r="B1380" s="1511"/>
      <c r="C1380" s="1511"/>
      <c r="D1380" s="1511"/>
      <c r="E1380" s="1499"/>
      <c r="F1380" s="1499"/>
      <c r="G1380" s="1499"/>
      <c r="H1380" s="1499"/>
      <c r="I1380" s="1499"/>
      <c r="J1380" s="1499"/>
      <c r="K1380" s="1499"/>
      <c r="L1380" s="1499"/>
      <c r="M1380" s="1499"/>
      <c r="N1380" s="1499"/>
      <c r="O1380" s="1499"/>
      <c r="P1380" s="1499"/>
      <c r="Q1380" s="1499"/>
      <c r="R1380" s="1499"/>
      <c r="S1380" s="1499"/>
      <c r="T1380" s="1499"/>
    </row>
    <row r="1381" spans="1:20" x14ac:dyDescent="0.25">
      <c r="A1381" s="1499"/>
      <c r="B1381" s="1511"/>
      <c r="C1381" s="1511"/>
      <c r="D1381" s="1511"/>
      <c r="E1381" s="1499"/>
      <c r="F1381" s="1499"/>
      <c r="G1381" s="1499"/>
      <c r="H1381" s="1499"/>
      <c r="I1381" s="1499"/>
      <c r="J1381" s="1499"/>
      <c r="K1381" s="1499"/>
      <c r="L1381" s="1499"/>
      <c r="M1381" s="1499"/>
      <c r="N1381" s="1499"/>
      <c r="O1381" s="1499"/>
      <c r="P1381" s="1499"/>
      <c r="Q1381" s="1499"/>
      <c r="R1381" s="1499"/>
      <c r="S1381" s="1499"/>
      <c r="T1381" s="1499"/>
    </row>
    <row r="1382" spans="1:20" x14ac:dyDescent="0.25">
      <c r="A1382" s="1499"/>
      <c r="B1382" s="1511"/>
      <c r="C1382" s="1511"/>
      <c r="D1382" s="1511"/>
      <c r="E1382" s="1499"/>
      <c r="F1382" s="1499"/>
      <c r="G1382" s="1499"/>
      <c r="H1382" s="1499"/>
      <c r="I1382" s="1499"/>
      <c r="J1382" s="1499"/>
      <c r="K1382" s="1499"/>
      <c r="L1382" s="1499"/>
      <c r="M1382" s="1499"/>
      <c r="N1382" s="1499"/>
      <c r="O1382" s="1499"/>
      <c r="P1382" s="1499"/>
      <c r="Q1382" s="1499"/>
      <c r="R1382" s="1499"/>
      <c r="S1382" s="1499"/>
      <c r="T1382" s="1499"/>
    </row>
    <row r="1383" spans="1:20" x14ac:dyDescent="0.25">
      <c r="A1383" s="1499"/>
      <c r="B1383" s="1511"/>
      <c r="C1383" s="1511"/>
      <c r="D1383" s="1511"/>
      <c r="E1383" s="1499"/>
      <c r="F1383" s="1499"/>
      <c r="G1383" s="1499"/>
      <c r="H1383" s="1499"/>
      <c r="I1383" s="1499"/>
      <c r="J1383" s="1499"/>
      <c r="K1383" s="1499"/>
      <c r="L1383" s="1499"/>
      <c r="M1383" s="1499"/>
      <c r="N1383" s="1499"/>
      <c r="O1383" s="1499"/>
      <c r="P1383" s="1499"/>
      <c r="Q1383" s="1499"/>
      <c r="R1383" s="1499"/>
      <c r="S1383" s="1499"/>
      <c r="T1383" s="1499"/>
    </row>
    <row r="1384" spans="1:20" x14ac:dyDescent="0.25">
      <c r="A1384" s="1499"/>
      <c r="B1384" s="1511"/>
      <c r="C1384" s="1511"/>
      <c r="D1384" s="1511"/>
      <c r="E1384" s="1499"/>
      <c r="F1384" s="1499"/>
      <c r="G1384" s="1499"/>
      <c r="H1384" s="1499"/>
      <c r="I1384" s="1499"/>
      <c r="J1384" s="1499"/>
      <c r="K1384" s="1499"/>
      <c r="L1384" s="1499"/>
      <c r="M1384" s="1499"/>
      <c r="N1384" s="1499"/>
      <c r="O1384" s="1499"/>
      <c r="P1384" s="1499"/>
      <c r="Q1384" s="1499"/>
      <c r="R1384" s="1499"/>
      <c r="S1384" s="1499"/>
      <c r="T1384" s="1499"/>
    </row>
    <row r="1385" spans="1:20" x14ac:dyDescent="0.25">
      <c r="A1385" s="1499"/>
      <c r="B1385" s="1511"/>
      <c r="C1385" s="1511"/>
      <c r="D1385" s="1511"/>
      <c r="E1385" s="1499"/>
      <c r="F1385" s="1499"/>
      <c r="G1385" s="1499"/>
      <c r="H1385" s="1499"/>
      <c r="I1385" s="1499"/>
      <c r="J1385" s="1499"/>
      <c r="K1385" s="1499"/>
      <c r="L1385" s="1499"/>
      <c r="M1385" s="1499"/>
      <c r="N1385" s="1499"/>
      <c r="O1385" s="1499"/>
      <c r="P1385" s="1499"/>
      <c r="Q1385" s="1499"/>
      <c r="R1385" s="1499"/>
      <c r="S1385" s="1499"/>
      <c r="T1385" s="1499"/>
    </row>
    <row r="1386" spans="1:20" x14ac:dyDescent="0.25">
      <c r="A1386" s="1499"/>
      <c r="B1386" s="1511"/>
      <c r="C1386" s="1511"/>
      <c r="D1386" s="1511"/>
      <c r="E1386" s="1499"/>
      <c r="F1386" s="1499"/>
      <c r="G1386" s="1499"/>
      <c r="H1386" s="1499"/>
      <c r="I1386" s="1499"/>
      <c r="J1386" s="1499"/>
      <c r="K1386" s="1499"/>
      <c r="L1386" s="1499"/>
      <c r="M1386" s="1499"/>
      <c r="N1386" s="1499"/>
      <c r="O1386" s="1499"/>
      <c r="P1386" s="1499"/>
      <c r="Q1386" s="1499"/>
      <c r="R1386" s="1499"/>
      <c r="S1386" s="1499"/>
      <c r="T1386" s="1499"/>
    </row>
    <row r="1387" spans="1:20" x14ac:dyDescent="0.25">
      <c r="A1387" s="1499"/>
      <c r="B1387" s="1511"/>
      <c r="C1387" s="1511"/>
      <c r="D1387" s="1511"/>
      <c r="E1387" s="1499"/>
      <c r="F1387" s="1499"/>
      <c r="G1387" s="1499"/>
      <c r="H1387" s="1499"/>
      <c r="I1387" s="1499"/>
      <c r="J1387" s="1499"/>
      <c r="K1387" s="1499"/>
      <c r="L1387" s="1499"/>
      <c r="M1387" s="1499"/>
      <c r="N1387" s="1499"/>
      <c r="O1387" s="1499"/>
      <c r="P1387" s="1499"/>
      <c r="Q1387" s="1499"/>
      <c r="R1387" s="1499"/>
      <c r="S1387" s="1499"/>
      <c r="T1387" s="1499"/>
    </row>
    <row r="1388" spans="1:20" x14ac:dyDescent="0.25">
      <c r="A1388" s="1499"/>
      <c r="B1388" s="1511"/>
      <c r="C1388" s="1511"/>
      <c r="D1388" s="1511"/>
      <c r="E1388" s="1499"/>
      <c r="F1388" s="1499"/>
      <c r="G1388" s="1499"/>
      <c r="H1388" s="1499"/>
      <c r="I1388" s="1499"/>
      <c r="J1388" s="1499"/>
      <c r="K1388" s="1499"/>
      <c r="L1388" s="1499"/>
      <c r="M1388" s="1499"/>
      <c r="N1388" s="1499"/>
      <c r="O1388" s="1499"/>
      <c r="P1388" s="1499"/>
      <c r="Q1388" s="1499"/>
      <c r="R1388" s="1499"/>
      <c r="S1388" s="1499"/>
      <c r="T1388" s="1499"/>
    </row>
    <row r="1389" spans="1:20" x14ac:dyDescent="0.25">
      <c r="A1389" s="1499"/>
      <c r="B1389" s="1511"/>
      <c r="C1389" s="1511"/>
      <c r="D1389" s="1511"/>
      <c r="E1389" s="1499"/>
      <c r="F1389" s="1499"/>
      <c r="G1389" s="1499"/>
      <c r="H1389" s="1499"/>
      <c r="I1389" s="1499"/>
      <c r="J1389" s="1499"/>
      <c r="K1389" s="1499"/>
      <c r="L1389" s="1499"/>
      <c r="M1389" s="1499"/>
      <c r="N1389" s="1499"/>
      <c r="O1389" s="1499"/>
      <c r="P1389" s="1499"/>
      <c r="Q1389" s="1499"/>
      <c r="R1389" s="1499"/>
      <c r="S1389" s="1499"/>
      <c r="T1389" s="1499"/>
    </row>
    <row r="1390" spans="1:20" x14ac:dyDescent="0.25">
      <c r="A1390" s="1499"/>
      <c r="B1390" s="1511"/>
      <c r="C1390" s="1511"/>
      <c r="D1390" s="1511"/>
      <c r="E1390" s="1499"/>
      <c r="F1390" s="1499"/>
      <c r="G1390" s="1499"/>
      <c r="H1390" s="1499"/>
      <c r="I1390" s="1499"/>
      <c r="J1390" s="1499"/>
      <c r="K1390" s="1499"/>
      <c r="L1390" s="1499"/>
      <c r="M1390" s="1499"/>
      <c r="N1390" s="1499"/>
      <c r="O1390" s="1499"/>
      <c r="P1390" s="1499"/>
      <c r="Q1390" s="1499"/>
      <c r="R1390" s="1499"/>
      <c r="S1390" s="1499"/>
      <c r="T1390" s="1499"/>
    </row>
    <row r="1391" spans="1:20" x14ac:dyDescent="0.25">
      <c r="A1391" s="1499"/>
      <c r="B1391" s="1511"/>
      <c r="C1391" s="1511"/>
      <c r="D1391" s="1511"/>
      <c r="E1391" s="1499"/>
      <c r="F1391" s="1499"/>
      <c r="G1391" s="1499"/>
      <c r="H1391" s="1499"/>
      <c r="I1391" s="1499"/>
      <c r="J1391" s="1499"/>
      <c r="K1391" s="1499"/>
      <c r="L1391" s="1499"/>
      <c r="M1391" s="1499"/>
      <c r="N1391" s="1499"/>
      <c r="O1391" s="1499"/>
      <c r="P1391" s="1499"/>
      <c r="Q1391" s="1499"/>
      <c r="R1391" s="1499"/>
      <c r="S1391" s="1499"/>
      <c r="T1391" s="1499"/>
    </row>
    <row r="1392" spans="1:20" x14ac:dyDescent="0.25">
      <c r="A1392" s="1499"/>
      <c r="B1392" s="1511"/>
      <c r="C1392" s="1511"/>
      <c r="D1392" s="1511"/>
      <c r="E1392" s="1499"/>
      <c r="F1392" s="1499"/>
      <c r="G1392" s="1499"/>
      <c r="H1392" s="1499"/>
      <c r="I1392" s="1499"/>
      <c r="J1392" s="1499"/>
      <c r="K1392" s="1499"/>
      <c r="L1392" s="1499"/>
      <c r="M1392" s="1499"/>
      <c r="N1392" s="1499"/>
      <c r="O1392" s="1499"/>
      <c r="P1392" s="1499"/>
      <c r="Q1392" s="1499"/>
      <c r="R1392" s="1499"/>
      <c r="S1392" s="1499"/>
      <c r="T1392" s="1499"/>
    </row>
    <row r="1393" spans="1:20" x14ac:dyDescent="0.25">
      <c r="A1393" s="1499"/>
      <c r="B1393" s="1511"/>
      <c r="C1393" s="1511"/>
      <c r="D1393" s="1511"/>
      <c r="E1393" s="1499"/>
      <c r="F1393" s="1499"/>
      <c r="G1393" s="1499"/>
      <c r="H1393" s="1499"/>
      <c r="I1393" s="1499"/>
      <c r="J1393" s="1499"/>
      <c r="K1393" s="1499"/>
      <c r="L1393" s="1499"/>
      <c r="M1393" s="1499"/>
      <c r="N1393" s="1499"/>
      <c r="O1393" s="1499"/>
      <c r="P1393" s="1499"/>
      <c r="Q1393" s="1499"/>
      <c r="R1393" s="1499"/>
      <c r="S1393" s="1499"/>
      <c r="T1393" s="1499"/>
    </row>
    <row r="1394" spans="1:20" x14ac:dyDescent="0.25">
      <c r="A1394" s="1499"/>
      <c r="B1394" s="1511"/>
      <c r="C1394" s="1511"/>
      <c r="D1394" s="1511"/>
      <c r="E1394" s="1499"/>
      <c r="F1394" s="1499"/>
      <c r="G1394" s="1499"/>
      <c r="H1394" s="1499"/>
      <c r="I1394" s="1499"/>
      <c r="J1394" s="1499"/>
      <c r="K1394" s="1499"/>
      <c r="L1394" s="1499"/>
      <c r="M1394" s="1499"/>
      <c r="N1394" s="1499"/>
      <c r="O1394" s="1499"/>
      <c r="P1394" s="1499"/>
      <c r="Q1394" s="1499"/>
      <c r="R1394" s="1499"/>
      <c r="S1394" s="1499"/>
      <c r="T1394" s="1499"/>
    </row>
    <row r="1395" spans="1:20" x14ac:dyDescent="0.25">
      <c r="A1395" s="1499"/>
      <c r="B1395" s="1511"/>
      <c r="C1395" s="1511"/>
      <c r="D1395" s="1511"/>
      <c r="E1395" s="1499"/>
      <c r="F1395" s="1499"/>
      <c r="G1395" s="1499"/>
      <c r="H1395" s="1499"/>
      <c r="I1395" s="1499"/>
      <c r="J1395" s="1499"/>
      <c r="K1395" s="1499"/>
      <c r="L1395" s="1499"/>
      <c r="M1395" s="1499"/>
      <c r="N1395" s="1499"/>
      <c r="O1395" s="1499"/>
      <c r="P1395" s="1499"/>
      <c r="Q1395" s="1499"/>
      <c r="R1395" s="1499"/>
      <c r="S1395" s="1499"/>
      <c r="T1395" s="1499"/>
    </row>
    <row r="1396" spans="1:20" x14ac:dyDescent="0.25">
      <c r="A1396" s="1499"/>
      <c r="B1396" s="1511"/>
      <c r="C1396" s="1511"/>
      <c r="D1396" s="1511"/>
      <c r="E1396" s="1499"/>
      <c r="F1396" s="1499"/>
      <c r="G1396" s="1499"/>
      <c r="H1396" s="1499"/>
      <c r="I1396" s="1499"/>
      <c r="J1396" s="1499"/>
      <c r="K1396" s="1499"/>
      <c r="L1396" s="1499"/>
      <c r="M1396" s="1499"/>
      <c r="N1396" s="1499"/>
      <c r="O1396" s="1499"/>
      <c r="P1396" s="1499"/>
      <c r="Q1396" s="1499"/>
      <c r="R1396" s="1499"/>
      <c r="S1396" s="1499"/>
      <c r="T1396" s="1499"/>
    </row>
    <row r="1397" spans="1:20" x14ac:dyDescent="0.25">
      <c r="A1397" s="1499"/>
      <c r="B1397" s="1511"/>
      <c r="C1397" s="1511"/>
      <c r="D1397" s="1511"/>
      <c r="E1397" s="1499"/>
      <c r="F1397" s="1499"/>
      <c r="G1397" s="1499"/>
      <c r="H1397" s="1499"/>
      <c r="I1397" s="1499"/>
      <c r="J1397" s="1499"/>
      <c r="K1397" s="1499"/>
      <c r="L1397" s="1499"/>
      <c r="M1397" s="1499"/>
      <c r="N1397" s="1499"/>
      <c r="O1397" s="1499"/>
      <c r="P1397" s="1499"/>
      <c r="Q1397" s="1499"/>
      <c r="R1397" s="1499"/>
      <c r="S1397" s="1499"/>
      <c r="T1397" s="1499"/>
    </row>
    <row r="1398" spans="1:20" x14ac:dyDescent="0.25">
      <c r="A1398" s="1499"/>
      <c r="B1398" s="1511"/>
      <c r="C1398" s="1511"/>
      <c r="D1398" s="1511"/>
      <c r="E1398" s="1499"/>
      <c r="F1398" s="1499"/>
      <c r="G1398" s="1499"/>
      <c r="H1398" s="1499"/>
      <c r="I1398" s="1499"/>
      <c r="J1398" s="1499"/>
      <c r="K1398" s="1499"/>
      <c r="L1398" s="1499"/>
      <c r="M1398" s="1499"/>
      <c r="N1398" s="1499"/>
      <c r="O1398" s="1499"/>
      <c r="P1398" s="1499"/>
      <c r="Q1398" s="1499"/>
      <c r="R1398" s="1499"/>
      <c r="S1398" s="1499"/>
      <c r="T1398" s="1499"/>
    </row>
    <row r="1399" spans="1:20" x14ac:dyDescent="0.25">
      <c r="A1399" s="1499"/>
      <c r="B1399" s="1511"/>
      <c r="C1399" s="1511"/>
      <c r="D1399" s="1511"/>
      <c r="E1399" s="1499"/>
      <c r="F1399" s="1499"/>
      <c r="G1399" s="1499"/>
      <c r="H1399" s="1499"/>
      <c r="I1399" s="1499"/>
      <c r="J1399" s="1499"/>
      <c r="K1399" s="1499"/>
      <c r="L1399" s="1499"/>
      <c r="M1399" s="1499"/>
      <c r="N1399" s="1499"/>
      <c r="O1399" s="1499"/>
      <c r="P1399" s="1499"/>
      <c r="Q1399" s="1499"/>
      <c r="R1399" s="1499"/>
      <c r="S1399" s="1499"/>
      <c r="T1399" s="1499"/>
    </row>
    <row r="1400" spans="1:20" x14ac:dyDescent="0.25">
      <c r="A1400" s="1499"/>
      <c r="B1400" s="1511"/>
      <c r="C1400" s="1511"/>
      <c r="D1400" s="1511"/>
      <c r="E1400" s="1499"/>
      <c r="F1400" s="1499"/>
      <c r="G1400" s="1499"/>
      <c r="H1400" s="1499"/>
      <c r="I1400" s="1499"/>
      <c r="J1400" s="1499"/>
      <c r="K1400" s="1499"/>
      <c r="L1400" s="1499"/>
      <c r="M1400" s="1499"/>
      <c r="N1400" s="1499"/>
      <c r="O1400" s="1499"/>
      <c r="P1400" s="1499"/>
      <c r="Q1400" s="1499"/>
      <c r="R1400" s="1499"/>
      <c r="S1400" s="1499"/>
      <c r="T1400" s="1499"/>
    </row>
    <row r="1401" spans="1:20" x14ac:dyDescent="0.25">
      <c r="A1401" s="1499"/>
      <c r="B1401" s="1511"/>
      <c r="C1401" s="1511"/>
      <c r="D1401" s="1511"/>
      <c r="E1401" s="1499"/>
      <c r="F1401" s="1499"/>
      <c r="G1401" s="1499"/>
      <c r="H1401" s="1499"/>
      <c r="I1401" s="1499"/>
      <c r="J1401" s="1499"/>
      <c r="K1401" s="1499"/>
      <c r="L1401" s="1499"/>
      <c r="M1401" s="1499"/>
      <c r="N1401" s="1499"/>
      <c r="O1401" s="1499"/>
      <c r="P1401" s="1499"/>
      <c r="Q1401" s="1499"/>
      <c r="R1401" s="1499"/>
      <c r="S1401" s="1499"/>
      <c r="T1401" s="1499"/>
    </row>
    <row r="1402" spans="1:20" x14ac:dyDescent="0.25">
      <c r="A1402" s="1499"/>
      <c r="B1402" s="1511"/>
      <c r="C1402" s="1511"/>
      <c r="D1402" s="1511"/>
      <c r="E1402" s="1499"/>
      <c r="F1402" s="1499"/>
      <c r="G1402" s="1499"/>
      <c r="H1402" s="1499"/>
      <c r="I1402" s="1499"/>
      <c r="J1402" s="1499"/>
      <c r="K1402" s="1499"/>
      <c r="L1402" s="1499"/>
      <c r="M1402" s="1499"/>
      <c r="N1402" s="1499"/>
      <c r="O1402" s="1499"/>
      <c r="P1402" s="1499"/>
      <c r="Q1402" s="1499"/>
      <c r="R1402" s="1499"/>
      <c r="S1402" s="1499"/>
      <c r="T1402" s="1499"/>
    </row>
    <row r="1403" spans="1:20" x14ac:dyDescent="0.25">
      <c r="A1403" s="1499"/>
      <c r="B1403" s="1511"/>
      <c r="C1403" s="1511"/>
      <c r="D1403" s="1511"/>
      <c r="E1403" s="1499"/>
      <c r="F1403" s="1499"/>
      <c r="G1403" s="1499"/>
      <c r="H1403" s="1499"/>
      <c r="I1403" s="1499"/>
      <c r="J1403" s="1499"/>
      <c r="K1403" s="1499"/>
      <c r="L1403" s="1499"/>
      <c r="M1403" s="1499"/>
      <c r="N1403" s="1499"/>
      <c r="O1403" s="1499"/>
      <c r="P1403" s="1499"/>
      <c r="Q1403" s="1499"/>
      <c r="R1403" s="1499"/>
      <c r="S1403" s="1499"/>
      <c r="T1403" s="1499"/>
    </row>
    <row r="1404" spans="1:20" x14ac:dyDescent="0.25">
      <c r="A1404" s="1499"/>
      <c r="B1404" s="1511"/>
      <c r="C1404" s="1511"/>
      <c r="D1404" s="1511"/>
      <c r="E1404" s="1499"/>
      <c r="F1404" s="1499"/>
      <c r="G1404" s="1499"/>
      <c r="H1404" s="1499"/>
      <c r="I1404" s="1499"/>
      <c r="J1404" s="1499"/>
      <c r="K1404" s="1499"/>
      <c r="L1404" s="1499"/>
      <c r="M1404" s="1499"/>
      <c r="N1404" s="1499"/>
      <c r="O1404" s="1499"/>
      <c r="P1404" s="1499"/>
      <c r="Q1404" s="1499"/>
      <c r="R1404" s="1499"/>
      <c r="S1404" s="1499"/>
      <c r="T1404" s="1499"/>
    </row>
    <row r="1405" spans="1:20" x14ac:dyDescent="0.25">
      <c r="A1405" s="1499"/>
      <c r="B1405" s="1511"/>
      <c r="C1405" s="1511"/>
      <c r="D1405" s="1511"/>
      <c r="E1405" s="1499"/>
      <c r="F1405" s="1499"/>
      <c r="G1405" s="1499"/>
      <c r="H1405" s="1499"/>
      <c r="I1405" s="1499"/>
      <c r="J1405" s="1499"/>
      <c r="K1405" s="1499"/>
      <c r="L1405" s="1499"/>
      <c r="M1405" s="1499"/>
      <c r="N1405" s="1499"/>
      <c r="O1405" s="1499"/>
      <c r="P1405" s="1499"/>
      <c r="Q1405" s="1499"/>
      <c r="R1405" s="1499"/>
      <c r="S1405" s="1499"/>
      <c r="T1405" s="1499"/>
    </row>
    <row r="1406" spans="1:20" x14ac:dyDescent="0.25">
      <c r="A1406" s="1499"/>
      <c r="B1406" s="1511"/>
      <c r="C1406" s="1511"/>
      <c r="D1406" s="1511"/>
      <c r="E1406" s="1499"/>
      <c r="F1406" s="1499"/>
      <c r="G1406" s="1499"/>
      <c r="H1406" s="1499"/>
      <c r="I1406" s="1499"/>
      <c r="J1406" s="1499"/>
      <c r="K1406" s="1499"/>
      <c r="L1406" s="1499"/>
      <c r="M1406" s="1499"/>
      <c r="N1406" s="1499"/>
      <c r="O1406" s="1499"/>
      <c r="P1406" s="1499"/>
      <c r="Q1406" s="1499"/>
      <c r="R1406" s="1499"/>
      <c r="S1406" s="1499"/>
      <c r="T1406" s="1499"/>
    </row>
    <row r="1407" spans="1:20" x14ac:dyDescent="0.25">
      <c r="A1407" s="1499"/>
      <c r="B1407" s="1511"/>
      <c r="C1407" s="1511"/>
      <c r="D1407" s="1511"/>
      <c r="E1407" s="1499"/>
      <c r="F1407" s="1499"/>
      <c r="G1407" s="1499"/>
      <c r="H1407" s="1499"/>
      <c r="I1407" s="1499"/>
      <c r="J1407" s="1499"/>
      <c r="K1407" s="1499"/>
      <c r="L1407" s="1499"/>
      <c r="M1407" s="1499"/>
      <c r="N1407" s="1499"/>
      <c r="O1407" s="1499"/>
      <c r="P1407" s="1499"/>
      <c r="Q1407" s="1499"/>
      <c r="R1407" s="1499"/>
      <c r="S1407" s="1499"/>
      <c r="T1407" s="1499"/>
    </row>
    <row r="1408" spans="1:20" x14ac:dyDescent="0.25">
      <c r="A1408" s="1499"/>
      <c r="B1408" s="1511"/>
      <c r="C1408" s="1511"/>
      <c r="D1408" s="1511"/>
      <c r="E1408" s="1499"/>
      <c r="F1408" s="1499"/>
      <c r="G1408" s="1499"/>
      <c r="H1408" s="1499"/>
      <c r="I1408" s="1499"/>
      <c r="J1408" s="1499"/>
      <c r="K1408" s="1499"/>
      <c r="L1408" s="1499"/>
      <c r="M1408" s="1499"/>
      <c r="N1408" s="1499"/>
      <c r="O1408" s="1499"/>
      <c r="P1408" s="1499"/>
      <c r="Q1408" s="1499"/>
      <c r="R1408" s="1499"/>
      <c r="S1408" s="1499"/>
      <c r="T1408" s="1499"/>
    </row>
    <row r="1409" spans="1:20" x14ac:dyDescent="0.25">
      <c r="A1409" s="1499"/>
      <c r="B1409" s="1511"/>
      <c r="C1409" s="1511"/>
      <c r="D1409" s="1511"/>
      <c r="E1409" s="1499"/>
      <c r="F1409" s="1499"/>
      <c r="G1409" s="1499"/>
      <c r="H1409" s="1499"/>
      <c r="I1409" s="1499"/>
      <c r="J1409" s="1499"/>
      <c r="K1409" s="1499"/>
      <c r="L1409" s="1499"/>
      <c r="M1409" s="1499"/>
      <c r="N1409" s="1499"/>
      <c r="O1409" s="1499"/>
      <c r="P1409" s="1499"/>
      <c r="Q1409" s="1499"/>
      <c r="R1409" s="1499"/>
      <c r="S1409" s="1499"/>
      <c r="T1409" s="1499"/>
    </row>
    <row r="1410" spans="1:20" x14ac:dyDescent="0.25">
      <c r="A1410" s="1499"/>
      <c r="B1410" s="1511"/>
      <c r="C1410" s="1511"/>
      <c r="D1410" s="1511"/>
      <c r="E1410" s="1499"/>
      <c r="F1410" s="1499"/>
      <c r="G1410" s="1499"/>
      <c r="H1410" s="1499"/>
      <c r="I1410" s="1499"/>
      <c r="J1410" s="1499"/>
      <c r="K1410" s="1499"/>
      <c r="L1410" s="1499"/>
      <c r="M1410" s="1499"/>
      <c r="N1410" s="1499"/>
      <c r="O1410" s="1499"/>
      <c r="P1410" s="1499"/>
      <c r="Q1410" s="1499"/>
      <c r="R1410" s="1499"/>
      <c r="S1410" s="1499"/>
      <c r="T1410" s="1499"/>
    </row>
    <row r="1411" spans="1:20" x14ac:dyDescent="0.25">
      <c r="A1411" s="1499"/>
      <c r="B1411" s="1511"/>
      <c r="C1411" s="1511"/>
      <c r="D1411" s="1511"/>
      <c r="E1411" s="1499"/>
      <c r="F1411" s="1499"/>
      <c r="G1411" s="1499"/>
      <c r="H1411" s="1499"/>
      <c r="I1411" s="1499"/>
      <c r="J1411" s="1499"/>
      <c r="K1411" s="1499"/>
      <c r="L1411" s="1499"/>
      <c r="M1411" s="1499"/>
      <c r="N1411" s="1499"/>
      <c r="O1411" s="1499"/>
      <c r="P1411" s="1499"/>
      <c r="Q1411" s="1499"/>
      <c r="R1411" s="1499"/>
      <c r="S1411" s="1499"/>
      <c r="T1411" s="1499"/>
    </row>
    <row r="1412" spans="1:20" x14ac:dyDescent="0.25">
      <c r="A1412" s="1499"/>
      <c r="B1412" s="1511"/>
      <c r="C1412" s="1511"/>
      <c r="D1412" s="1511"/>
      <c r="E1412" s="1499"/>
      <c r="F1412" s="1499"/>
      <c r="G1412" s="1499"/>
      <c r="H1412" s="1499"/>
      <c r="I1412" s="1499"/>
      <c r="J1412" s="1499"/>
      <c r="K1412" s="1499"/>
      <c r="L1412" s="1499"/>
      <c r="M1412" s="1499"/>
      <c r="N1412" s="1499"/>
      <c r="O1412" s="1499"/>
      <c r="P1412" s="1499"/>
      <c r="Q1412" s="1499"/>
      <c r="R1412" s="1499"/>
      <c r="S1412" s="1499"/>
      <c r="T1412" s="1499"/>
    </row>
    <row r="1413" spans="1:20" x14ac:dyDescent="0.25">
      <c r="A1413" s="1499"/>
      <c r="B1413" s="1511"/>
      <c r="C1413" s="1511"/>
      <c r="D1413" s="1511"/>
      <c r="E1413" s="1499"/>
      <c r="F1413" s="1499"/>
      <c r="G1413" s="1499"/>
      <c r="H1413" s="1499"/>
      <c r="I1413" s="1499"/>
      <c r="J1413" s="1499"/>
      <c r="K1413" s="1499"/>
      <c r="L1413" s="1499"/>
      <c r="M1413" s="1499"/>
      <c r="N1413" s="1499"/>
      <c r="O1413" s="1499"/>
      <c r="P1413" s="1499"/>
      <c r="Q1413" s="1499"/>
      <c r="R1413" s="1499"/>
      <c r="S1413" s="1499"/>
      <c r="T1413" s="1499"/>
    </row>
    <row r="1414" spans="1:20" x14ac:dyDescent="0.25">
      <c r="A1414" s="1499"/>
      <c r="B1414" s="1511"/>
      <c r="C1414" s="1511"/>
      <c r="D1414" s="1511"/>
      <c r="E1414" s="1499"/>
      <c r="F1414" s="1499"/>
      <c r="G1414" s="1499"/>
      <c r="H1414" s="1499"/>
      <c r="I1414" s="1499"/>
      <c r="J1414" s="1499"/>
      <c r="K1414" s="1499"/>
      <c r="L1414" s="1499"/>
      <c r="M1414" s="1499"/>
      <c r="N1414" s="1499"/>
      <c r="O1414" s="1499"/>
      <c r="P1414" s="1499"/>
      <c r="Q1414" s="1499"/>
      <c r="R1414" s="1499"/>
      <c r="S1414" s="1499"/>
      <c r="T1414" s="1499"/>
    </row>
    <row r="1415" spans="1:20" x14ac:dyDescent="0.25">
      <c r="A1415" s="1499"/>
      <c r="B1415" s="1511"/>
      <c r="C1415" s="1511"/>
      <c r="D1415" s="1511"/>
      <c r="E1415" s="1499"/>
      <c r="F1415" s="1499"/>
      <c r="G1415" s="1499"/>
      <c r="H1415" s="1499"/>
      <c r="I1415" s="1499"/>
      <c r="J1415" s="1499"/>
      <c r="K1415" s="1499"/>
      <c r="L1415" s="1499"/>
      <c r="M1415" s="1499"/>
      <c r="N1415" s="1499"/>
      <c r="O1415" s="1499"/>
      <c r="P1415" s="1499"/>
      <c r="Q1415" s="1499"/>
      <c r="R1415" s="1499"/>
      <c r="S1415" s="1499"/>
      <c r="T1415" s="1499"/>
    </row>
    <row r="1416" spans="1:20" x14ac:dyDescent="0.25">
      <c r="A1416" s="1499"/>
      <c r="B1416" s="1511"/>
      <c r="C1416" s="1511"/>
      <c r="D1416" s="1511"/>
      <c r="E1416" s="1499"/>
      <c r="F1416" s="1499"/>
      <c r="G1416" s="1499"/>
      <c r="H1416" s="1499"/>
      <c r="I1416" s="1499"/>
      <c r="J1416" s="1499"/>
      <c r="K1416" s="1499"/>
      <c r="L1416" s="1499"/>
      <c r="M1416" s="1499"/>
      <c r="N1416" s="1499"/>
      <c r="O1416" s="1499"/>
      <c r="P1416" s="1499"/>
      <c r="Q1416" s="1499"/>
      <c r="R1416" s="1499"/>
      <c r="S1416" s="1499"/>
      <c r="T1416" s="1499"/>
    </row>
    <row r="1417" spans="1:20" x14ac:dyDescent="0.25">
      <c r="A1417" s="1499"/>
      <c r="B1417" s="1511"/>
      <c r="C1417" s="1511"/>
      <c r="D1417" s="1511"/>
      <c r="E1417" s="1499"/>
      <c r="F1417" s="1499"/>
      <c r="G1417" s="1499"/>
      <c r="H1417" s="1499"/>
      <c r="I1417" s="1499"/>
      <c r="J1417" s="1499"/>
      <c r="K1417" s="1499"/>
      <c r="L1417" s="1499"/>
      <c r="M1417" s="1499"/>
      <c r="N1417" s="1499"/>
      <c r="O1417" s="1499"/>
      <c r="P1417" s="1499"/>
      <c r="Q1417" s="1499"/>
      <c r="R1417" s="1499"/>
      <c r="S1417" s="1499"/>
      <c r="T1417" s="1499"/>
    </row>
    <row r="1418" spans="1:20" x14ac:dyDescent="0.25">
      <c r="A1418" s="1499"/>
      <c r="B1418" s="1511"/>
      <c r="C1418" s="1511"/>
      <c r="D1418" s="1511"/>
      <c r="E1418" s="1499"/>
      <c r="F1418" s="1499"/>
      <c r="G1418" s="1499"/>
      <c r="H1418" s="1499"/>
      <c r="I1418" s="1499"/>
      <c r="J1418" s="1499"/>
      <c r="K1418" s="1499"/>
      <c r="L1418" s="1499"/>
      <c r="M1418" s="1499"/>
      <c r="N1418" s="1499"/>
      <c r="O1418" s="1499"/>
      <c r="P1418" s="1499"/>
      <c r="Q1418" s="1499"/>
      <c r="R1418" s="1499"/>
      <c r="S1418" s="1499"/>
      <c r="T1418" s="1499"/>
    </row>
    <row r="1419" spans="1:20" x14ac:dyDescent="0.25">
      <c r="A1419" s="1499"/>
      <c r="B1419" s="1511"/>
      <c r="C1419" s="1511"/>
      <c r="D1419" s="1511"/>
      <c r="E1419" s="1499"/>
      <c r="F1419" s="1499"/>
      <c r="G1419" s="1499"/>
      <c r="H1419" s="1499"/>
      <c r="I1419" s="1499"/>
      <c r="J1419" s="1499"/>
      <c r="K1419" s="1499"/>
      <c r="L1419" s="1499"/>
      <c r="M1419" s="1499"/>
      <c r="N1419" s="1499"/>
      <c r="O1419" s="1499"/>
      <c r="P1419" s="1499"/>
      <c r="Q1419" s="1499"/>
      <c r="R1419" s="1499"/>
      <c r="S1419" s="1499"/>
      <c r="T1419" s="1499"/>
    </row>
    <row r="1420" spans="1:20" x14ac:dyDescent="0.25">
      <c r="A1420" s="1499"/>
      <c r="B1420" s="1511"/>
      <c r="C1420" s="1511"/>
      <c r="D1420" s="1511"/>
      <c r="E1420" s="1499"/>
      <c r="F1420" s="1499"/>
      <c r="G1420" s="1499"/>
      <c r="H1420" s="1499"/>
      <c r="I1420" s="1499"/>
      <c r="J1420" s="1499"/>
      <c r="K1420" s="1499"/>
      <c r="L1420" s="1499"/>
      <c r="M1420" s="1499"/>
      <c r="N1420" s="1499"/>
      <c r="O1420" s="1499"/>
      <c r="P1420" s="1499"/>
      <c r="Q1420" s="1499"/>
      <c r="R1420" s="1499"/>
      <c r="S1420" s="1499"/>
      <c r="T1420" s="1499"/>
    </row>
    <row r="1421" spans="1:20" x14ac:dyDescent="0.25">
      <c r="A1421" s="1499"/>
      <c r="B1421" s="1511"/>
      <c r="C1421" s="1511"/>
      <c r="D1421" s="1511"/>
      <c r="E1421" s="1499"/>
      <c r="F1421" s="1499"/>
      <c r="G1421" s="1499"/>
      <c r="H1421" s="1499"/>
      <c r="I1421" s="1499"/>
      <c r="J1421" s="1499"/>
      <c r="K1421" s="1499"/>
      <c r="L1421" s="1499"/>
      <c r="M1421" s="1499"/>
      <c r="N1421" s="1499"/>
      <c r="O1421" s="1499"/>
      <c r="P1421" s="1499"/>
      <c r="Q1421" s="1499"/>
      <c r="R1421" s="1499"/>
      <c r="S1421" s="1499"/>
      <c r="T1421" s="1499"/>
    </row>
    <row r="1422" spans="1:20" x14ac:dyDescent="0.25">
      <c r="A1422" s="1499"/>
      <c r="B1422" s="1511"/>
      <c r="C1422" s="1511"/>
      <c r="D1422" s="1511"/>
      <c r="E1422" s="1499"/>
      <c r="F1422" s="1499"/>
      <c r="G1422" s="1499"/>
      <c r="H1422" s="1499"/>
      <c r="I1422" s="1499"/>
      <c r="J1422" s="1499"/>
      <c r="K1422" s="1499"/>
      <c r="L1422" s="1499"/>
      <c r="M1422" s="1499"/>
      <c r="N1422" s="1499"/>
      <c r="O1422" s="1499"/>
      <c r="P1422" s="1499"/>
      <c r="Q1422" s="1499"/>
      <c r="R1422" s="1499"/>
      <c r="S1422" s="1499"/>
      <c r="T1422" s="1499"/>
    </row>
    <row r="1423" spans="1:20" x14ac:dyDescent="0.25">
      <c r="A1423" s="1499"/>
      <c r="B1423" s="1511"/>
      <c r="C1423" s="1511"/>
      <c r="D1423" s="1511"/>
      <c r="E1423" s="1499"/>
      <c r="F1423" s="1499"/>
      <c r="G1423" s="1499"/>
      <c r="H1423" s="1499"/>
      <c r="I1423" s="1499"/>
      <c r="J1423" s="1499"/>
      <c r="K1423" s="1499"/>
      <c r="L1423" s="1499"/>
      <c r="M1423" s="1499"/>
      <c r="N1423" s="1499"/>
      <c r="O1423" s="1499"/>
      <c r="P1423" s="1499"/>
      <c r="Q1423" s="1499"/>
      <c r="R1423" s="1499"/>
      <c r="S1423" s="1499"/>
      <c r="T1423" s="1499"/>
    </row>
    <row r="1424" spans="1:20" x14ac:dyDescent="0.25">
      <c r="A1424" s="1499"/>
      <c r="B1424" s="1511"/>
      <c r="C1424" s="1511"/>
      <c r="D1424" s="1511"/>
      <c r="E1424" s="1499"/>
      <c r="F1424" s="1499"/>
      <c r="G1424" s="1499"/>
      <c r="H1424" s="1499"/>
      <c r="I1424" s="1499"/>
      <c r="J1424" s="1499"/>
      <c r="K1424" s="1499"/>
      <c r="L1424" s="1499"/>
      <c r="M1424" s="1499"/>
      <c r="N1424" s="1499"/>
      <c r="O1424" s="1499"/>
      <c r="P1424" s="1499"/>
      <c r="Q1424" s="1499"/>
      <c r="R1424" s="1499"/>
      <c r="S1424" s="1499"/>
      <c r="T1424" s="1499"/>
    </row>
    <row r="1425" spans="1:20" x14ac:dyDescent="0.25">
      <c r="A1425" s="1499"/>
      <c r="B1425" s="1511"/>
      <c r="C1425" s="1511"/>
      <c r="D1425" s="1511"/>
      <c r="E1425" s="1499"/>
      <c r="F1425" s="1499"/>
      <c r="G1425" s="1499"/>
      <c r="H1425" s="1499"/>
      <c r="I1425" s="1499"/>
      <c r="J1425" s="1499"/>
      <c r="K1425" s="1499"/>
      <c r="L1425" s="1499"/>
      <c r="M1425" s="1499"/>
      <c r="N1425" s="1499"/>
      <c r="O1425" s="1499"/>
      <c r="P1425" s="1499"/>
      <c r="Q1425" s="1499"/>
      <c r="R1425" s="1499"/>
      <c r="S1425" s="1499"/>
      <c r="T1425" s="1499"/>
    </row>
    <row r="1426" spans="1:20" x14ac:dyDescent="0.25">
      <c r="A1426" s="1499"/>
      <c r="B1426" s="1511"/>
      <c r="C1426" s="1511"/>
      <c r="D1426" s="1511"/>
      <c r="E1426" s="1499"/>
      <c r="F1426" s="1499"/>
      <c r="G1426" s="1499"/>
      <c r="H1426" s="1499"/>
      <c r="I1426" s="1499"/>
      <c r="J1426" s="1499"/>
      <c r="K1426" s="1499"/>
      <c r="L1426" s="1499"/>
      <c r="M1426" s="1499"/>
      <c r="N1426" s="1499"/>
      <c r="O1426" s="1499"/>
      <c r="P1426" s="1499"/>
      <c r="Q1426" s="1499"/>
      <c r="R1426" s="1499"/>
      <c r="S1426" s="1499"/>
      <c r="T1426" s="1499"/>
    </row>
    <row r="1427" spans="1:20" x14ac:dyDescent="0.25">
      <c r="A1427" s="1499"/>
      <c r="B1427" s="1511"/>
      <c r="C1427" s="1511"/>
      <c r="D1427" s="1511"/>
      <c r="E1427" s="1499"/>
      <c r="F1427" s="1499"/>
      <c r="G1427" s="1499"/>
      <c r="H1427" s="1499"/>
      <c r="I1427" s="1499"/>
      <c r="J1427" s="1499"/>
      <c r="K1427" s="1499"/>
      <c r="L1427" s="1499"/>
      <c r="M1427" s="1499"/>
      <c r="N1427" s="1499"/>
      <c r="O1427" s="1499"/>
      <c r="P1427" s="1499"/>
      <c r="Q1427" s="1499"/>
      <c r="R1427" s="1499"/>
      <c r="S1427" s="1499"/>
      <c r="T1427" s="1499"/>
    </row>
    <row r="1428" spans="1:20" x14ac:dyDescent="0.25">
      <c r="A1428" s="1499"/>
      <c r="B1428" s="1511"/>
      <c r="C1428" s="1511"/>
      <c r="D1428" s="1511"/>
      <c r="E1428" s="1499"/>
      <c r="F1428" s="1499"/>
      <c r="G1428" s="1499"/>
      <c r="H1428" s="1499"/>
      <c r="I1428" s="1499"/>
      <c r="J1428" s="1499"/>
      <c r="K1428" s="1499"/>
      <c r="L1428" s="1499"/>
      <c r="M1428" s="1499"/>
      <c r="N1428" s="1499"/>
      <c r="O1428" s="1499"/>
      <c r="P1428" s="1499"/>
      <c r="Q1428" s="1499"/>
      <c r="R1428" s="1499"/>
      <c r="S1428" s="1499"/>
      <c r="T1428" s="1499"/>
    </row>
    <row r="1429" spans="1:20" x14ac:dyDescent="0.25">
      <c r="A1429" s="1499"/>
      <c r="B1429" s="1511"/>
      <c r="C1429" s="1511"/>
      <c r="D1429" s="1511"/>
      <c r="E1429" s="1499"/>
      <c r="F1429" s="1499"/>
      <c r="G1429" s="1499"/>
      <c r="H1429" s="1499"/>
      <c r="I1429" s="1499"/>
      <c r="J1429" s="1499"/>
      <c r="K1429" s="1499"/>
      <c r="L1429" s="1499"/>
      <c r="M1429" s="1499"/>
      <c r="N1429" s="1499"/>
      <c r="O1429" s="1499"/>
      <c r="P1429" s="1499"/>
      <c r="Q1429" s="1499"/>
      <c r="R1429" s="1499"/>
      <c r="S1429" s="1499"/>
      <c r="T1429" s="1499"/>
    </row>
    <row r="1430" spans="1:20" x14ac:dyDescent="0.25">
      <c r="A1430" s="1499"/>
      <c r="B1430" s="1511"/>
      <c r="C1430" s="1511"/>
      <c r="D1430" s="1511"/>
      <c r="E1430" s="1499"/>
      <c r="F1430" s="1499"/>
      <c r="G1430" s="1499"/>
      <c r="H1430" s="1499"/>
      <c r="I1430" s="1499"/>
      <c r="J1430" s="1499"/>
      <c r="K1430" s="1499"/>
      <c r="L1430" s="1499"/>
      <c r="M1430" s="1499"/>
      <c r="N1430" s="1499"/>
      <c r="O1430" s="1499"/>
      <c r="P1430" s="1499"/>
      <c r="Q1430" s="1499"/>
      <c r="R1430" s="1499"/>
      <c r="S1430" s="1499"/>
      <c r="T1430" s="1499"/>
    </row>
    <row r="1431" spans="1:20" x14ac:dyDescent="0.25">
      <c r="A1431" s="1499"/>
      <c r="B1431" s="1511"/>
      <c r="C1431" s="1511"/>
      <c r="D1431" s="1511"/>
      <c r="E1431" s="1499"/>
      <c r="F1431" s="1499"/>
      <c r="G1431" s="1499"/>
      <c r="H1431" s="1499"/>
      <c r="I1431" s="1499"/>
      <c r="J1431" s="1499"/>
      <c r="K1431" s="1499"/>
      <c r="L1431" s="1499"/>
      <c r="M1431" s="1499"/>
      <c r="N1431" s="1499"/>
      <c r="O1431" s="1499"/>
      <c r="P1431" s="1499"/>
      <c r="Q1431" s="1499"/>
      <c r="R1431" s="1499"/>
      <c r="S1431" s="1499"/>
      <c r="T1431" s="1499"/>
    </row>
    <row r="1432" spans="1:20" x14ac:dyDescent="0.25">
      <c r="A1432" s="1499"/>
      <c r="B1432" s="1511"/>
      <c r="C1432" s="1511"/>
      <c r="D1432" s="1511"/>
      <c r="E1432" s="1499"/>
      <c r="F1432" s="1499"/>
      <c r="G1432" s="1499"/>
      <c r="H1432" s="1499"/>
      <c r="I1432" s="1499"/>
      <c r="J1432" s="1499"/>
      <c r="K1432" s="1499"/>
      <c r="L1432" s="1499"/>
      <c r="M1432" s="1499"/>
      <c r="N1432" s="1499"/>
      <c r="O1432" s="1499"/>
      <c r="P1432" s="1499"/>
      <c r="Q1432" s="1499"/>
      <c r="R1432" s="1499"/>
      <c r="S1432" s="1499"/>
      <c r="T1432" s="1499"/>
    </row>
    <row r="1433" spans="1:20" x14ac:dyDescent="0.25">
      <c r="A1433" s="1499"/>
      <c r="B1433" s="1511"/>
      <c r="C1433" s="1511"/>
      <c r="D1433" s="1511"/>
      <c r="E1433" s="1499"/>
      <c r="F1433" s="1499"/>
      <c r="G1433" s="1499"/>
      <c r="H1433" s="1499"/>
      <c r="I1433" s="1499"/>
      <c r="J1433" s="1499"/>
      <c r="K1433" s="1499"/>
      <c r="L1433" s="1499"/>
      <c r="M1433" s="1499"/>
      <c r="N1433" s="1499"/>
      <c r="O1433" s="1499"/>
      <c r="P1433" s="1499"/>
      <c r="Q1433" s="1499"/>
      <c r="R1433" s="1499"/>
      <c r="S1433" s="1499"/>
      <c r="T1433" s="1499"/>
    </row>
    <row r="1434" spans="1:20" x14ac:dyDescent="0.25">
      <c r="A1434" s="1499"/>
      <c r="B1434" s="1511"/>
      <c r="C1434" s="1511"/>
      <c r="D1434" s="1511"/>
      <c r="E1434" s="1499"/>
      <c r="F1434" s="1499"/>
      <c r="G1434" s="1499"/>
      <c r="H1434" s="1499"/>
      <c r="I1434" s="1499"/>
      <c r="J1434" s="1499"/>
      <c r="K1434" s="1499"/>
      <c r="L1434" s="1499"/>
      <c r="M1434" s="1499"/>
      <c r="N1434" s="1499"/>
      <c r="O1434" s="1499"/>
      <c r="P1434" s="1499"/>
      <c r="Q1434" s="1499"/>
      <c r="R1434" s="1499"/>
      <c r="S1434" s="1499"/>
      <c r="T1434" s="1499"/>
    </row>
    <row r="1435" spans="1:20" x14ac:dyDescent="0.25">
      <c r="A1435" s="1499"/>
      <c r="B1435" s="1511"/>
      <c r="C1435" s="1511"/>
      <c r="D1435" s="1511"/>
      <c r="E1435" s="1499"/>
      <c r="F1435" s="1499"/>
      <c r="G1435" s="1499"/>
      <c r="H1435" s="1499"/>
      <c r="I1435" s="1499"/>
      <c r="J1435" s="1499"/>
      <c r="K1435" s="1499"/>
      <c r="L1435" s="1499"/>
      <c r="M1435" s="1499"/>
      <c r="N1435" s="1499"/>
      <c r="O1435" s="1499"/>
      <c r="P1435" s="1499"/>
      <c r="Q1435" s="1499"/>
      <c r="R1435" s="1499"/>
      <c r="S1435" s="1499"/>
      <c r="T1435" s="1499"/>
    </row>
    <row r="1436" spans="1:20" x14ac:dyDescent="0.25">
      <c r="A1436" s="1499"/>
      <c r="B1436" s="1511"/>
      <c r="C1436" s="1511"/>
      <c r="D1436" s="1511"/>
      <c r="E1436" s="1499"/>
      <c r="F1436" s="1499"/>
      <c r="G1436" s="1499"/>
      <c r="H1436" s="1499"/>
      <c r="I1436" s="1499"/>
      <c r="J1436" s="1499"/>
      <c r="K1436" s="1499"/>
      <c r="L1436" s="1499"/>
      <c r="M1436" s="1499"/>
      <c r="N1436" s="1499"/>
      <c r="O1436" s="1499"/>
      <c r="P1436" s="1499"/>
      <c r="Q1436" s="1499"/>
      <c r="R1436" s="1499"/>
      <c r="S1436" s="1499"/>
      <c r="T1436" s="1499"/>
    </row>
    <row r="1437" spans="1:20" x14ac:dyDescent="0.25">
      <c r="A1437" s="1499"/>
      <c r="B1437" s="1511"/>
      <c r="C1437" s="1511"/>
      <c r="D1437" s="1511"/>
      <c r="E1437" s="1499"/>
      <c r="F1437" s="1499"/>
      <c r="G1437" s="1499"/>
      <c r="H1437" s="1499"/>
      <c r="I1437" s="1499"/>
      <c r="J1437" s="1499"/>
      <c r="K1437" s="1499"/>
      <c r="L1437" s="1499"/>
      <c r="M1437" s="1499"/>
      <c r="N1437" s="1499"/>
      <c r="O1437" s="1499"/>
      <c r="P1437" s="1499"/>
      <c r="Q1437" s="1499"/>
      <c r="R1437" s="1499"/>
      <c r="S1437" s="1499"/>
      <c r="T1437" s="1499"/>
    </row>
    <row r="1438" spans="1:20" x14ac:dyDescent="0.25">
      <c r="A1438" s="1499"/>
      <c r="B1438" s="1511"/>
      <c r="C1438" s="1511"/>
      <c r="D1438" s="1511"/>
      <c r="E1438" s="1499"/>
      <c r="F1438" s="1499"/>
      <c r="G1438" s="1499"/>
      <c r="H1438" s="1499"/>
      <c r="I1438" s="1499"/>
      <c r="J1438" s="1499"/>
      <c r="K1438" s="1499"/>
      <c r="L1438" s="1499"/>
      <c r="M1438" s="1499"/>
      <c r="N1438" s="1499"/>
      <c r="O1438" s="1499"/>
      <c r="P1438" s="1499"/>
      <c r="Q1438" s="1499"/>
      <c r="R1438" s="1499"/>
      <c r="S1438" s="1499"/>
      <c r="T1438" s="1499"/>
    </row>
    <row r="1439" spans="1:20" x14ac:dyDescent="0.25">
      <c r="A1439" s="1499"/>
      <c r="B1439" s="1511"/>
      <c r="C1439" s="1511"/>
      <c r="D1439" s="1511"/>
      <c r="E1439" s="1499"/>
      <c r="F1439" s="1499"/>
      <c r="G1439" s="1499"/>
      <c r="H1439" s="1499"/>
      <c r="I1439" s="1499"/>
      <c r="J1439" s="1499"/>
      <c r="K1439" s="1499"/>
      <c r="L1439" s="1499"/>
      <c r="M1439" s="1499"/>
      <c r="N1439" s="1499"/>
      <c r="O1439" s="1499"/>
      <c r="P1439" s="1499"/>
      <c r="Q1439" s="1499"/>
      <c r="R1439" s="1499"/>
      <c r="S1439" s="1499"/>
      <c r="T1439" s="1499"/>
    </row>
    <row r="1440" spans="1:20" x14ac:dyDescent="0.25">
      <c r="A1440" s="1499"/>
      <c r="B1440" s="1511"/>
      <c r="C1440" s="1511"/>
      <c r="D1440" s="1511"/>
      <c r="E1440" s="1499"/>
      <c r="F1440" s="1499"/>
      <c r="G1440" s="1499"/>
      <c r="H1440" s="1499"/>
      <c r="I1440" s="1499"/>
      <c r="J1440" s="1499"/>
      <c r="K1440" s="1499"/>
      <c r="L1440" s="1499"/>
      <c r="M1440" s="1499"/>
      <c r="N1440" s="1499"/>
      <c r="O1440" s="1499"/>
      <c r="P1440" s="1499"/>
      <c r="Q1440" s="1499"/>
      <c r="R1440" s="1499"/>
      <c r="S1440" s="1499"/>
      <c r="T1440" s="1499"/>
    </row>
    <row r="1441" spans="1:20" x14ac:dyDescent="0.25">
      <c r="A1441" s="1499"/>
      <c r="B1441" s="1511"/>
      <c r="C1441" s="1511"/>
      <c r="D1441" s="1511"/>
      <c r="E1441" s="1499"/>
      <c r="F1441" s="1499"/>
      <c r="G1441" s="1499"/>
      <c r="H1441" s="1499"/>
      <c r="I1441" s="1499"/>
      <c r="J1441" s="1499"/>
      <c r="K1441" s="1499"/>
      <c r="L1441" s="1499"/>
      <c r="M1441" s="1499"/>
      <c r="N1441" s="1499"/>
      <c r="O1441" s="1499"/>
      <c r="P1441" s="1499"/>
      <c r="Q1441" s="1499"/>
      <c r="R1441" s="1499"/>
      <c r="S1441" s="1499"/>
      <c r="T1441" s="1499"/>
    </row>
    <row r="1442" spans="1:20" x14ac:dyDescent="0.25">
      <c r="A1442" s="1499"/>
      <c r="B1442" s="1511"/>
      <c r="C1442" s="1511"/>
      <c r="D1442" s="1511"/>
      <c r="E1442" s="1499"/>
      <c r="F1442" s="1499"/>
      <c r="G1442" s="1499"/>
      <c r="H1442" s="1499"/>
      <c r="I1442" s="1499"/>
      <c r="J1442" s="1499"/>
      <c r="K1442" s="1499"/>
      <c r="L1442" s="1499"/>
      <c r="M1442" s="1499"/>
      <c r="N1442" s="1499"/>
      <c r="O1442" s="1499"/>
      <c r="P1442" s="1499"/>
      <c r="Q1442" s="1499"/>
      <c r="R1442" s="1499"/>
      <c r="S1442" s="1499"/>
      <c r="T1442" s="1499"/>
    </row>
    <row r="1443" spans="1:20" x14ac:dyDescent="0.25">
      <c r="A1443" s="1499"/>
      <c r="B1443" s="1511"/>
      <c r="C1443" s="1511"/>
      <c r="D1443" s="1511"/>
      <c r="E1443" s="1499"/>
      <c r="F1443" s="1499"/>
      <c r="G1443" s="1499"/>
      <c r="H1443" s="1499"/>
      <c r="I1443" s="1499"/>
      <c r="J1443" s="1499"/>
      <c r="K1443" s="1499"/>
      <c r="L1443" s="1499"/>
      <c r="M1443" s="1499"/>
      <c r="N1443" s="1499"/>
      <c r="O1443" s="1499"/>
      <c r="P1443" s="1499"/>
      <c r="Q1443" s="1499"/>
      <c r="R1443" s="1499"/>
      <c r="S1443" s="1499"/>
      <c r="T1443" s="1499"/>
    </row>
    <row r="1444" spans="1:20" x14ac:dyDescent="0.25">
      <c r="A1444" s="1499"/>
      <c r="B1444" s="1511"/>
      <c r="C1444" s="1511"/>
      <c r="D1444" s="1511"/>
      <c r="E1444" s="1499"/>
      <c r="F1444" s="1499"/>
      <c r="G1444" s="1499"/>
      <c r="H1444" s="1499"/>
      <c r="I1444" s="1499"/>
      <c r="J1444" s="1499"/>
      <c r="K1444" s="1499"/>
      <c r="L1444" s="1499"/>
      <c r="M1444" s="1499"/>
      <c r="N1444" s="1499"/>
      <c r="O1444" s="1499"/>
      <c r="P1444" s="1499"/>
      <c r="Q1444" s="1499"/>
      <c r="R1444" s="1499"/>
      <c r="S1444" s="1499"/>
      <c r="T1444" s="1499"/>
    </row>
    <row r="1445" spans="1:20" x14ac:dyDescent="0.25">
      <c r="A1445" s="1499"/>
      <c r="B1445" s="1511"/>
      <c r="C1445" s="1511"/>
      <c r="D1445" s="1511"/>
      <c r="E1445" s="1499"/>
      <c r="F1445" s="1499"/>
      <c r="G1445" s="1499"/>
      <c r="H1445" s="1499"/>
      <c r="I1445" s="1499"/>
      <c r="J1445" s="1499"/>
      <c r="K1445" s="1499"/>
      <c r="L1445" s="1499"/>
      <c r="M1445" s="1499"/>
      <c r="N1445" s="1499"/>
      <c r="O1445" s="1499"/>
      <c r="P1445" s="1499"/>
      <c r="Q1445" s="1499"/>
      <c r="R1445" s="1499"/>
      <c r="S1445" s="1499"/>
      <c r="T1445" s="1499"/>
    </row>
    <row r="1446" spans="1:20" x14ac:dyDescent="0.25">
      <c r="A1446" s="1499"/>
      <c r="B1446" s="1511"/>
      <c r="C1446" s="1511"/>
      <c r="D1446" s="1511"/>
      <c r="E1446" s="1499"/>
      <c r="F1446" s="1499"/>
      <c r="G1446" s="1499"/>
      <c r="H1446" s="1499"/>
      <c r="I1446" s="1499"/>
      <c r="J1446" s="1499"/>
      <c r="K1446" s="1499"/>
      <c r="L1446" s="1499"/>
      <c r="M1446" s="1499"/>
      <c r="N1446" s="1499"/>
      <c r="O1446" s="1499"/>
      <c r="P1446" s="1499"/>
      <c r="Q1446" s="1499"/>
      <c r="R1446" s="1499"/>
      <c r="S1446" s="1499"/>
      <c r="T1446" s="1499"/>
    </row>
    <row r="1447" spans="1:20" x14ac:dyDescent="0.25">
      <c r="A1447" s="1499"/>
      <c r="B1447" s="1511"/>
      <c r="C1447" s="1511"/>
      <c r="D1447" s="1511"/>
      <c r="E1447" s="1499"/>
      <c r="F1447" s="1499"/>
      <c r="G1447" s="1499"/>
      <c r="H1447" s="1499"/>
      <c r="I1447" s="1499"/>
      <c r="J1447" s="1499"/>
      <c r="K1447" s="1499"/>
      <c r="L1447" s="1499"/>
      <c r="M1447" s="1499"/>
      <c r="N1447" s="1499"/>
      <c r="O1447" s="1499"/>
      <c r="P1447" s="1499"/>
      <c r="Q1447" s="1499"/>
      <c r="R1447" s="1499"/>
      <c r="S1447" s="1499"/>
      <c r="T1447" s="1499"/>
    </row>
  </sheetData>
  <sheetProtection algorithmName="SHA-512" hashValue="eS/5tNBLXkJ40gVVGiYIsVEUJkMOhhuGIBNBoTxk5Il1ihwpSbSK4w81YXHTGQxI5fwD6qaAI2riWE16Nvnsew==" saltValue="zYl/96axkcrM3j78F0zwbQ==" spinCount="100000" sheet="1" autoFilter="0"/>
  <customSheetViews>
    <customSheetView guid="{9FCFC836-1CA5-48BF-958D-24D2EA94B219}" showGridLines="0" fitToPage="1" hiddenColumns="1">
      <pane ySplit="4" topLeftCell="A5" activePane="bottomLeft" state="frozen"/>
      <selection pane="bottomLeft" sqref="A1:O1"/>
      <pageMargins left="0" right="0" top="0" bottom="0" header="0" footer="0"/>
      <pageSetup scale="69" fitToHeight="2" orientation="portrait" r:id="rId1"/>
    </customSheetView>
    <customSheetView guid="{BEA4BE86-04D1-4C96-9358-7A260B9D2B2D}" showGridLines="0" fitToPage="1" hiddenRows="1" showRuler="0">
      <selection sqref="A1:J1"/>
      <pageMargins left="0" right="0" top="0" bottom="0" header="0" footer="0"/>
      <pageSetup scale="80" fitToHeight="2" orientation="portrait" r:id="rId2"/>
      <headerFooter alignWithMargins="0"/>
    </customSheetView>
    <customSheetView guid="{1250FD07-FF56-4A9D-AF9E-C27124A7EBE9}" showGridLines="0" fitToPage="1" hiddenRows="1" showRuler="0">
      <selection sqref="A1:J1"/>
      <pageMargins left="0" right="0" top="0" bottom="0" header="0" footer="0"/>
      <pageSetup scale="80" fitToHeight="2" orientation="portrait" r:id="rId3"/>
      <headerFooter alignWithMargins="0"/>
    </customSheetView>
    <customSheetView guid="{B08879A4-635B-4C39-9937-AC7883D562FC}" showPageBreaks="1" showGridLines="0" fitToPage="1" printArea="1" hiddenColumns="1">
      <pane ySplit="4" topLeftCell="A5" activePane="bottomLeft" state="frozen"/>
      <selection pane="bottomLeft" sqref="A1:O1"/>
      <pageMargins left="0" right="0" top="0" bottom="0" header="0" footer="0"/>
      <pageSetup scale="68" fitToHeight="2" orientation="portrait" r:id="rId4"/>
    </customSheetView>
  </customSheetViews>
  <mergeCells count="119">
    <mergeCell ref="E114:O114"/>
    <mergeCell ref="E116:O116"/>
    <mergeCell ref="E109:O109"/>
    <mergeCell ref="E106:O106"/>
    <mergeCell ref="E20:O20"/>
    <mergeCell ref="E47:O47"/>
    <mergeCell ref="E45:O45"/>
    <mergeCell ref="E36:O36"/>
    <mergeCell ref="E44:O44"/>
    <mergeCell ref="E35:O35"/>
    <mergeCell ref="E56:O56"/>
    <mergeCell ref="E43:O43"/>
    <mergeCell ref="E46:O46"/>
    <mergeCell ref="E37:O37"/>
    <mergeCell ref="E42:O42"/>
    <mergeCell ref="E90:O90"/>
    <mergeCell ref="E71:O71"/>
    <mergeCell ref="E50:O50"/>
    <mergeCell ref="E40:O40"/>
    <mergeCell ref="E39:O39"/>
    <mergeCell ref="E41:O41"/>
    <mergeCell ref="E86:O86"/>
    <mergeCell ref="E113:O113"/>
    <mergeCell ref="E115:O115"/>
    <mergeCell ref="E72:O72"/>
    <mergeCell ref="E78:O78"/>
    <mergeCell ref="A125:P125"/>
    <mergeCell ref="A124:P124"/>
    <mergeCell ref="E112:O112"/>
    <mergeCell ref="E120:O120"/>
    <mergeCell ref="E119:O119"/>
    <mergeCell ref="E104:O104"/>
    <mergeCell ref="E79:O79"/>
    <mergeCell ref="I123:O123"/>
    <mergeCell ref="E117:O117"/>
    <mergeCell ref="E121:O121"/>
    <mergeCell ref="E122:O122"/>
    <mergeCell ref="E103:O103"/>
    <mergeCell ref="E98:O98"/>
    <mergeCell ref="E85:O85"/>
    <mergeCell ref="E83:O83"/>
    <mergeCell ref="E92:O92"/>
    <mergeCell ref="E87:O87"/>
    <mergeCell ref="E93:O93"/>
    <mergeCell ref="E97:O97"/>
    <mergeCell ref="E81:O81"/>
    <mergeCell ref="E82:O82"/>
    <mergeCell ref="E96:O96"/>
    <mergeCell ref="E60:O60"/>
    <mergeCell ref="E69:O69"/>
    <mergeCell ref="E70:O70"/>
    <mergeCell ref="E64:O64"/>
    <mergeCell ref="E65:O65"/>
    <mergeCell ref="E59:O59"/>
    <mergeCell ref="E57:O57"/>
    <mergeCell ref="E61:O61"/>
    <mergeCell ref="E62:O62"/>
    <mergeCell ref="E68:O68"/>
    <mergeCell ref="K11:N11"/>
    <mergeCell ref="E13:I13"/>
    <mergeCell ref="B12:D12"/>
    <mergeCell ref="E12:I12"/>
    <mergeCell ref="B11:D11"/>
    <mergeCell ref="B14:D14"/>
    <mergeCell ref="E11:I11"/>
    <mergeCell ref="E14:I14"/>
    <mergeCell ref="E58:O58"/>
    <mergeCell ref="E18:O18"/>
    <mergeCell ref="E23:O23"/>
    <mergeCell ref="E22:O22"/>
    <mergeCell ref="E32:O32"/>
    <mergeCell ref="E34:O34"/>
    <mergeCell ref="E38:O38"/>
    <mergeCell ref="E53:O53"/>
    <mergeCell ref="E54:O54"/>
    <mergeCell ref="K14:P14"/>
    <mergeCell ref="E111:O111"/>
    <mergeCell ref="E105:O105"/>
    <mergeCell ref="A1:O1"/>
    <mergeCell ref="A2:O2"/>
    <mergeCell ref="A3:O3"/>
    <mergeCell ref="B10:D10"/>
    <mergeCell ref="E6:J6"/>
    <mergeCell ref="E10:I10"/>
    <mergeCell ref="L4:O4"/>
    <mergeCell ref="E48:O48"/>
    <mergeCell ref="E55:O55"/>
    <mergeCell ref="E51:O51"/>
    <mergeCell ref="E49:O49"/>
    <mergeCell ref="E52:O52"/>
    <mergeCell ref="E16:O16"/>
    <mergeCell ref="E21:O21"/>
    <mergeCell ref="E27:O27"/>
    <mergeCell ref="E26:O26"/>
    <mergeCell ref="E24:O24"/>
    <mergeCell ref="E31:O31"/>
    <mergeCell ref="E33:O33"/>
    <mergeCell ref="E19:O19"/>
    <mergeCell ref="E25:O25"/>
    <mergeCell ref="E17:O17"/>
    <mergeCell ref="E110:O110"/>
    <mergeCell ref="E108:O108"/>
    <mergeCell ref="E89:O89"/>
    <mergeCell ref="E91:O91"/>
    <mergeCell ref="E74:O74"/>
    <mergeCell ref="E75:O75"/>
    <mergeCell ref="E73:O73"/>
    <mergeCell ref="E102:O102"/>
    <mergeCell ref="E99:O99"/>
    <mergeCell ref="E84:O84"/>
    <mergeCell ref="E77:O77"/>
    <mergeCell ref="E88:O88"/>
    <mergeCell ref="E100:O100"/>
    <mergeCell ref="E107:O107"/>
    <mergeCell ref="E101:O101"/>
    <mergeCell ref="E95:O95"/>
    <mergeCell ref="E94:O94"/>
    <mergeCell ref="E80:O80"/>
    <mergeCell ref="E76:O76"/>
  </mergeCells>
  <phoneticPr fontId="18" type="noConversion"/>
  <conditionalFormatting sqref="F12:I12 E12:E14 F14:I14">
    <cfRule type="expression" dxfId="182" priority="1" stopIfTrue="1">
      <formula>ISBLANK(E12)</formula>
    </cfRule>
  </conditionalFormatting>
  <dataValidations count="5">
    <dataValidation type="textLength" operator="equal" allowBlank="1" showInputMessage="1" showErrorMessage="1" errorTitle="Input Error!" error="Leave blank or enter NA." prompt="Leave blank or enter NA." sqref="B99:B103 B48 C42:C43 C37:C38 C34 C25 C22:C23 C19:C20 B43:B46 B41:C41 B33:C33 C46:C51 B18 B35:B39 B21:C21 C105:C122 B51:B59 B22:B31 B105:B116 C30:C32 C27:C28 B61:B97 C68:C103 C55:C59 C61:C63" xr:uid="{00000000-0002-0000-0200-000000000000}">
      <formula1>2</formula1>
    </dataValidation>
    <dataValidation type="list" allowBlank="1" showInputMessage="1" showErrorMessage="1" sqref="F7:J7 E6:J6" xr:uid="{00000000-0002-0000-0200-000001000000}">
      <formula1>ConcNum</formula1>
    </dataValidation>
    <dataValidation type="textLength" operator="equal" allowBlank="1" showInputMessage="1" showErrorMessage="1" errorTitle="Input Error!" error="Leave blank or enter NA." prompt="Leave blank or enter NA._x000a_" sqref="C44:C45" xr:uid="{FC4B8B0B-5495-4CE5-AE64-968550E81B3C}">
      <formula1>2</formula1>
    </dataValidation>
    <dataValidation type="textLength" operator="equal" allowBlank="1" showInputMessage="1" showErrorMessage="1" errorTitle="Input Error" error="Leave blank or enter NA." prompt="Leave blank or enter NA." sqref="C40" xr:uid="{43CF070E-E170-4313-9461-8F2560C11FEB}">
      <formula1>2</formula1>
    </dataValidation>
    <dataValidation operator="equal" allowBlank="1" showErrorMessage="1" sqref="B98 C52:C54 C64:C67 C60" xr:uid="{86C8FC96-CF18-406A-AC01-5DA3D3D785EF}"/>
  </dataValidations>
  <hyperlinks>
    <hyperlink ref="A24" location="'210'!A1" display="'210'!A1" xr:uid="{00000000-0004-0000-0200-000000000000}"/>
    <hyperlink ref="A17" location="'101'!A1" display="'101'!A1" xr:uid="{00000000-0004-0000-0200-000001000000}"/>
    <hyperlink ref="A31" location="'305'!A1" display="'305'!A1" xr:uid="{00000000-0004-0000-0200-000002000000}"/>
    <hyperlink ref="A59" location="'420'!A1" display="'420'!A1" xr:uid="{00000000-0004-0000-0200-000003000000}"/>
    <hyperlink ref="A90" location="'710'!A1" display="'710'!A1" xr:uid="{00000000-0004-0000-0200-000004000000}"/>
    <hyperlink ref="A91" location="'715'!A1" display="'715'!A1" xr:uid="{00000000-0004-0000-0200-000005000000}"/>
    <hyperlink ref="A92" location="'720'!A1" display="'720'!A1" xr:uid="{00000000-0004-0000-0200-000006000000}"/>
    <hyperlink ref="A44" location="'340'!A1" display="'340'!A1" xr:uid="{00000000-0004-0000-0200-000007000000}"/>
    <hyperlink ref="A60" location="'425'!A1" display="'425'!A1" xr:uid="{00000000-0004-0000-0200-000008000000}"/>
    <hyperlink ref="A47" location="'345'!A1" display="'345'!A1" xr:uid="{00000000-0004-0000-0200-000009000000}"/>
    <hyperlink ref="A48" location="'350'!A1" display="'350'!A1" xr:uid="{00000000-0004-0000-0200-00000A000000}"/>
    <hyperlink ref="A49" location="'355'!A1" display="'355'!A1" xr:uid="{00000000-0004-0000-0200-00000B000000}"/>
    <hyperlink ref="A39" location="'325'!A1" display="'325'!A1" xr:uid="{00000000-0004-0000-0200-00000C000000}"/>
    <hyperlink ref="A41" location="'330'!A1" display="'330'!A1" xr:uid="{00000000-0004-0000-0200-00000D000000}"/>
    <hyperlink ref="A69" location="'505'!A1" display="'505'!A1" xr:uid="{00000000-0004-0000-0200-00000E000000}"/>
    <hyperlink ref="A70" location="'510'!A1" display="'510'!A1" xr:uid="{00000000-0004-0000-0200-00000F000000}"/>
    <hyperlink ref="A71" location="'515'!A1" display="'515'!A1" xr:uid="{00000000-0004-0000-0200-000010000000}"/>
    <hyperlink ref="A72" location="'520'!A1" display="'520'!A1" xr:uid="{00000000-0004-0000-0200-000011000000}"/>
    <hyperlink ref="A73" location="'525'!A1" display="'525'!A1" xr:uid="{00000000-0004-0000-0200-000012000000}"/>
    <hyperlink ref="A74" location="'530'!A1" display="'530'!A1" xr:uid="{00000000-0004-0000-0200-000013000000}"/>
    <hyperlink ref="A86" location="'625'!A1" display="'625'!A1" xr:uid="{00000000-0004-0000-0200-000014000000}"/>
    <hyperlink ref="E17:L17" location="'101'!A1" display="Summary of Significant Accounting Policies" xr:uid="{00000000-0004-0000-0200-000015000000}"/>
    <hyperlink ref="E60:L60" location="'425'!A1" display="Net Assets/Fund Balance Deficit" xr:uid="{00000000-0004-0000-0200-000016000000}"/>
    <hyperlink ref="E21:L21" location="'201'!A1" display="Changes in Capital Assets" xr:uid="{00000000-0004-0000-0200-000017000000}"/>
    <hyperlink ref="E24:L24" location="'210'!A1" display="Accumulated Depreciation" xr:uid="{00000000-0004-0000-0200-000018000000}"/>
    <hyperlink ref="E27:L27" location="'301'!A1" display="Leases - Operating and Capital" xr:uid="{00000000-0004-0000-0200-000019000000}"/>
    <hyperlink ref="E31:L31" location="'305'!A1" display="Changes in Long-Term Liabilities and Short-Term Debt (Governmental)" xr:uid="{00000000-0004-0000-0200-00001A000000}"/>
    <hyperlink ref="A55" location="'401'!A1" display="'401'!A1" xr:uid="{00000000-0004-0000-0200-00001B000000}"/>
    <hyperlink ref="E55:L55" location="'401'!A1" display="General Fund" xr:uid="{00000000-0004-0000-0200-00001C000000}"/>
    <hyperlink ref="A56" location="'405'!A1" display="'405'!A1" xr:uid="{00000000-0004-0000-0200-00001D000000}"/>
    <hyperlink ref="E56:L56" location="'405'!A1" display="Special Revenue Fund" xr:uid="{00000000-0004-0000-0200-00001E000000}"/>
    <hyperlink ref="A57" location="'410'!A1" display="'410'!A1" xr:uid="{00000000-0004-0000-0200-00001F000000}"/>
    <hyperlink ref="E57:L57" location="'410'!A1" display="Capital Projects" xr:uid="{00000000-0004-0000-0200-000020000000}"/>
    <hyperlink ref="A58" location="'415'!A1" display="'415'!A1" xr:uid="{00000000-0004-0000-0200-000021000000}"/>
    <hyperlink ref="E58:L58" location="'415'!A1" display="Permanent Funds" xr:uid="{00000000-0004-0000-0200-000022000000}"/>
    <hyperlink ref="E59:L59" location="'420'!A1" display="Restricted and Unrestricted Net Assets - Business Type Activities" xr:uid="{00000000-0004-0000-0200-000023000000}"/>
    <hyperlink ref="E61:L61" location="'430'!A1" display="Fund Equity Restatement (Part 1 of 2)" xr:uid="{00000000-0004-0000-0200-000024000000}"/>
    <hyperlink ref="E47:L47" location="'345'!A1" display="Contingencies" xr:uid="{00000000-0004-0000-0200-000025000000}"/>
    <hyperlink ref="E48:L48" location="'350'!A1" display="Construction and Other Significant Commitments" xr:uid="{00000000-0004-0000-0200-000026000000}"/>
    <hyperlink ref="E49:L49" location="'355'!A1" display="Subsequent Events/Other Items" xr:uid="{00000000-0004-0000-0200-000027000000}"/>
    <hyperlink ref="E39:L39" location="'325'!A1" display="Revenue Bond Coverage" xr:uid="{00000000-0004-0000-0200-000028000000}"/>
    <hyperlink ref="E41:L41" location="'330'!A1" display="Debt Defeasances" xr:uid="{00000000-0004-0000-0200-000029000000}"/>
    <hyperlink ref="A81" location="'605'!A1" display="'605'!A1" xr:uid="{00000000-0004-0000-0200-00002A000000}"/>
    <hyperlink ref="E81:L81" location="'605'!A1" display="University Optional Retirement Program" xr:uid="{00000000-0004-0000-0200-00002B000000}"/>
    <hyperlink ref="A87" location="'635'!A1" display="'635'!A1" xr:uid="{00000000-0004-0000-0200-00002C000000}"/>
    <hyperlink ref="E87:L87" location="'635'!A1" display="Segments" xr:uid="{00000000-0004-0000-0200-00002D000000}"/>
    <hyperlink ref="A82" location="'610'!A1" display="'610'!A1" xr:uid="{00000000-0004-0000-0200-00002E000000}"/>
    <hyperlink ref="E82:L82" location="'610'!A1" display="Significant Transactions Between Component Units and Analysis of Federal Grants" xr:uid="{00000000-0004-0000-0200-00002F000000}"/>
    <hyperlink ref="E35:L35" location="'315'!A1" display="Annual Debt Svc Reqmts - Bonds, COPs, Notes Payable - Without Interest Rate Swaps" xr:uid="{00000000-0004-0000-0200-000030000000}"/>
    <hyperlink ref="A35" location="'315'!A1" display="'315'!A1" xr:uid="{00000000-0004-0000-0200-000031000000}"/>
    <hyperlink ref="E89:L89" location="'705'!A1" display="Cash and Cash Equivalents in Banks Outside the State Treasurer - Method of Collateralization" xr:uid="{00000000-0004-0000-0200-000032000000}"/>
    <hyperlink ref="E44:L44" location="'340'!A1" display="Derivatives Outstanding Not Reported at Fair Value" xr:uid="{00000000-0004-0000-0200-000033000000}"/>
    <hyperlink ref="E69:L69" location="'505'!A1" display="Schedule of Inter-Agency Receivables" xr:uid="{00000000-0004-0000-0200-000036000000}"/>
    <hyperlink ref="E70:L70" location="'510'!A1" display="Schedule of Inter-Agency Payables" xr:uid="{00000000-0004-0000-0200-000037000000}"/>
    <hyperlink ref="E71:L71" location="'515'!A1" display="Schedule of Due From / Restricted Due From Primary Government" xr:uid="{00000000-0004-0000-0200-000038000000}"/>
    <hyperlink ref="E72:L72" location="'520'!A1" display="Schedule of Due To Primary Government" xr:uid="{00000000-0004-0000-0200-000039000000}"/>
    <hyperlink ref="E73:L73" location="'525'!A1" display="Schedule of Due from State of NC Component Units" xr:uid="{00000000-0004-0000-0200-00003A000000}"/>
    <hyperlink ref="E74:L74" location="'530'!A1" display="Schedule of Due to State of NC Component Units" xr:uid="{00000000-0004-0000-0200-00003B000000}"/>
    <hyperlink ref="A85" location="'620'!A1" display="'620'!A1" xr:uid="{00000000-0004-0000-0200-00003C000000}"/>
    <hyperlink ref="E85:L85" location="'620'!A1" display="Analysis of Deferred Revenues" xr:uid="{00000000-0004-0000-0200-00003D000000}"/>
    <hyperlink ref="E86:L86" location="'625'!A1" display="Management Discussion and Analysis Schedule" xr:uid="{00000000-0004-0000-0200-00003E000000}"/>
    <hyperlink ref="A78" location="'565'!A1" display="'565'!A1" xr:uid="{00000000-0004-0000-0200-00003F000000}"/>
    <hyperlink ref="A83" location="'615'!A1" display="'615'!A1" xr:uid="{00000000-0004-0000-0200-000040000000}"/>
    <hyperlink ref="E78:L78" location="'565'!A1" display="Schedule of Interinstitutional Transfers" xr:uid="{00000000-0004-0000-0200-000041000000}"/>
    <hyperlink ref="E83:L83" location="'615'!A1" display="Foundations Survey" xr:uid="{00000000-0004-0000-0200-000042000000}"/>
    <hyperlink ref="A27" location="'301'!A1" display="'301'!A1" xr:uid="{00000000-0004-0000-0200-000043000000}"/>
    <hyperlink ref="E79" location="a3p25!a1" display="a3p25!a1" xr:uid="{00000000-0004-0000-0200-000044000000}"/>
    <hyperlink ref="A79" location="'570'!A1" display="'570'!A1" xr:uid="{00000000-0004-0000-0200-000045000000}"/>
    <hyperlink ref="A75" location="'535'!A1" display="'535'!A1" xr:uid="{00000000-0004-0000-0200-000046000000}"/>
    <hyperlink ref="E75:L75" location="'535'!A1" display="Schedule of Advances" xr:uid="{00000000-0004-0000-0200-000047000000}"/>
    <hyperlink ref="A64" location="'431G'!A1" display="431G" xr:uid="{00000000-0004-0000-0200-000048000000}"/>
    <hyperlink ref="E64:L64" location="'431'!A1" display="Fund Equity Restatement (Part 2 of 2)" xr:uid="{00000000-0004-0000-0200-000049000000}"/>
    <hyperlink ref="A33" location="'310'!A1" display="'310'!A1" xr:uid="{00000000-0004-0000-0200-00004A000000}"/>
    <hyperlink ref="E33:L33" location="'310'!A1" display="Changes in Long-Term Liabilities and Short-Term Debt (Business-Type)" xr:uid="{00000000-0004-0000-0200-00004B000000}"/>
    <hyperlink ref="E79:L79" location="'570'!A1" display="Receivables" xr:uid="{00000000-0004-0000-0200-00004C000000}"/>
    <hyperlink ref="A116" location="Comments!A1" display="Comm" xr:uid="{00000000-0004-0000-0200-00004D000000}"/>
    <hyperlink ref="E116:L116" location="End!A1" display="Your Comments and Suggestions" xr:uid="{00000000-0004-0000-0200-00004E000000}"/>
    <hyperlink ref="E90:L90" location="'710'!A1" display="Investments Held Outside the State Treasurer - Custodial Credit Risk" xr:uid="{00000000-0004-0000-0200-00004F000000}"/>
    <hyperlink ref="E91:L91" location="'715'!A1" display="Investments Held Outside the State Treasurer - Custodial Credit Risk" xr:uid="{00000000-0004-0000-0200-000050000000}"/>
    <hyperlink ref="E92:L92" location="'720'!A1" display="Investments Held Outside the State Treasurer - Interest Rate Risk" xr:uid="{00000000-0004-0000-0200-000051000000}"/>
    <hyperlink ref="E93:L93" location="'725'!A1" display="Investments Held Outside the State Treasurer - Credit Risk (Part 1 of 2)" xr:uid="{00000000-0004-0000-0200-000052000000}"/>
    <hyperlink ref="E94:L94" location="'730'!A1" display="Investments Held Outside the State Treasurer - Additional Level of Detail" xr:uid="{00000000-0004-0000-0200-000053000000}"/>
    <hyperlink ref="A93" location="'725'!A1" display="'725'!A1" xr:uid="{00000000-0004-0000-0200-000054000000}"/>
    <hyperlink ref="A94" location="'730'!A1" display="'730'!A1" xr:uid="{00000000-0004-0000-0200-000055000000}"/>
    <hyperlink ref="A95" location="'735'!A1" display="'735'!A1" xr:uid="{00000000-0004-0000-0200-000056000000}"/>
    <hyperlink ref="A96" location="'740'!A1" display="'740'!A1" xr:uid="{00000000-0004-0000-0200-000057000000}"/>
    <hyperlink ref="A97" location="'745'!A1" display="'745'!A1" xr:uid="{00000000-0004-0000-0200-000058000000}"/>
    <hyperlink ref="E95:L95" location="'735'!A1" display="Investments Held Outside the State Treasurer - Concentration of Credit Risk" xr:uid="{00000000-0004-0000-0200-000059000000}"/>
    <hyperlink ref="E96:L96" location="'740'!A1" display="Investments Held Outside the State Treasurer - Foreign Currency Risk" xr:uid="{00000000-0004-0000-0200-00005A000000}"/>
    <hyperlink ref="E97:L97" location="'745'!A1" display="Investments Held Outside the State Treasurer - Investment Policies" xr:uid="{00000000-0004-0000-0200-00005B000000}"/>
    <hyperlink ref="A89" location="'705'!A1" display="'705'!A1" xr:uid="{00000000-0004-0000-0200-00005C000000}"/>
    <hyperlink ref="E115:O115" location="Explanations!A1" display="Worksheet Explanations" xr:uid="{00000000-0004-0000-0200-00005D000000}"/>
    <hyperlink ref="A115" location="Explanations!A1" display="Exp" xr:uid="{00000000-0004-0000-0200-00005E000000}"/>
    <hyperlink ref="A18" location="'105'!A1" display="'105'!A1" xr:uid="{00000000-0004-0000-0200-00005F000000}"/>
    <hyperlink ref="A25" location="'215'!A1" display="'215'!A1" xr:uid="{00000000-0004-0000-0200-000060000000}"/>
    <hyperlink ref="A26" location="'220'!A1" display="'220'!A1" xr:uid="{00000000-0004-0000-0200-000061000000}"/>
    <hyperlink ref="E25:O25" location="'215'!A1" display="Capital Asset Impairments *** Hyperlink, etc ***" xr:uid="{00000000-0004-0000-0200-000062000000}"/>
    <hyperlink ref="E26:O26" location="'220'!A1" display="Capital Asset Statistics ****NEW****" xr:uid="{00000000-0004-0000-0200-000063000000}"/>
    <hyperlink ref="A103" location="'905'!A1" display="'905'!A1" xr:uid="{00000000-0004-0000-0200-000064000000}"/>
    <hyperlink ref="A106" location="'906-6B'!A1" display="906-6B" xr:uid="{00000000-0004-0000-0200-000065000000}"/>
    <hyperlink ref="A109" location="'907'!A1" display="'907'!A1" xr:uid="{00000000-0004-0000-0200-000066000000}"/>
    <hyperlink ref="A111" location="'910'!A1" display="'910'!A1" xr:uid="{00000000-0004-0000-0200-000067000000}"/>
    <hyperlink ref="A113" location="'911-6B'!A1" display="911-6B" xr:uid="{00000000-0004-0000-0200-000068000000}"/>
    <hyperlink ref="E113:O113" location="'911-6B'!A1" display="Offline Fiduciary Analytical Review  - 6B -  Deferred Comp - Computed Variances" xr:uid="{00000000-0004-0000-0200-000069000000}"/>
    <hyperlink ref="E50:O50" location="'360'!A1" display="Related Party Transactions" xr:uid="{00000000-0004-0000-0200-00006A000000}"/>
    <hyperlink ref="E18:O18" location="'105'!A1" display="Operating Indicators By Function" xr:uid="{00000000-0004-0000-0200-00006B000000}"/>
    <hyperlink ref="E117:O117" location="'All Agencies'!C1" display="List of Agency Names and Numbers " xr:uid="{00000000-0004-0000-0200-00006C000000}"/>
    <hyperlink ref="A117" location="'All Agencies'!C1" display="Agencies" xr:uid="{00000000-0004-0000-0200-00006D000000}"/>
    <hyperlink ref="E116:O116" location="Comments!A1" display="Your Comments and Suggestions" xr:uid="{00000000-0004-0000-0200-00006E000000}"/>
    <hyperlink ref="A119" location="Functional!A1" display="Functional" xr:uid="{00000000-0004-0000-0200-00006F000000}"/>
    <hyperlink ref="E119:O119" location="Functional!A1" display="Functional Table to be used for worksheets 401, 405, and 415" xr:uid="{00000000-0004-0000-0200-000070000000}"/>
    <hyperlink ref="A51" location="'365'!A1" display="'365'!A1" xr:uid="{00000000-0004-0000-0200-000071000000}"/>
    <hyperlink ref="E51:O51" location="'365'!A1" display="Restricted Assets  (new for 2009)" xr:uid="{00000000-0004-0000-0200-000072000000}"/>
    <hyperlink ref="A37" location="'322'!A1" display="'322'!A1" xr:uid="{00000000-0004-0000-0200-000073000000}"/>
    <hyperlink ref="E37:O37" location="'322'!A1" display="Pollution Remediation Obligations (new for 2009)" xr:uid="{00000000-0004-0000-0200-000074000000}"/>
    <hyperlink ref="E36:L36" location="'320'!A1" display="Annual Debt Svc Reqmts - Bonds and COPs Payable - With Interest Rate Swaps" xr:uid="{00000000-0004-0000-0200-000075000000}"/>
    <hyperlink ref="A36" location="'320'!A1" display="'320'!A1" xr:uid="{00000000-0004-0000-0200-000076000000}"/>
    <hyperlink ref="A52" location="'370'!A1" display="'370'!A1" xr:uid="{00000000-0004-0000-0200-000077000000}"/>
    <hyperlink ref="E52:O52" location="'370'!A1" display="Government Wide - Special Indebtedness (new for 2009)" xr:uid="{00000000-0004-0000-0200-000078000000}"/>
    <hyperlink ref="A45" location="'341'!A1" display="'341'!A1" xr:uid="{00000000-0004-0000-0200-000079000000}"/>
    <hyperlink ref="E45:L45" location="'340'!A1" display="Derivatives Outstanding Not Reported at Fair Value" xr:uid="{00000000-0004-0000-0200-00007A000000}"/>
    <hyperlink ref="E45:O45" location="'341'!A1" display="Derivative Disclosures" xr:uid="{00000000-0004-0000-0200-00007B000000}"/>
    <hyperlink ref="A46" location="'342'!A1" display="'342'!A1" xr:uid="{00000000-0004-0000-0200-00007C000000}"/>
    <hyperlink ref="E46:L46" location="'340'!A1" display="Derivatives Outstanding Not Reported at Fair Value" xr:uid="{00000000-0004-0000-0200-00007D000000}"/>
    <hyperlink ref="E46:O46" location="'342'!A1" display="Investment Derivative Instruments Credit Risk" xr:uid="{00000000-0004-0000-0200-00007E000000}"/>
    <hyperlink ref="A105" location="'905Hosp'!A1" display="905Hosp" xr:uid="{00000000-0004-0000-0200-00007F000000}"/>
    <hyperlink ref="A120" location="NetPosition!A1" display="NetPosition" xr:uid="{00000000-0004-0000-0200-000080000000}"/>
    <hyperlink ref="E120:O120" location="NetPosition!A1" display="NetPosition and GASB Table for worksheets 905 &amp; 906" xr:uid="{00000000-0004-0000-0200-000081000000}"/>
    <hyperlink ref="A104" location="'For 905-NCFS Acct Roll-up'!A1" display="For 905-NCFS Acct Roll-up " xr:uid="{00000000-0004-0000-0200-000082000000}"/>
    <hyperlink ref="A112" location="'910Hosp'!A1" display="910Hosp" xr:uid="{00000000-0004-0000-0200-000083000000}"/>
    <hyperlink ref="E112:O112" location="'910Hosp'!A1" display="Offline Proprietary Analytical Review for UNC Health Care Reporting Unit Combined Pkg- Computed Variances" xr:uid="{00000000-0004-0000-0200-000084000000}"/>
    <hyperlink ref="A121" location="PriorYr905!A1" display="PriorYr905" xr:uid="{00000000-0004-0000-0200-000085000000}"/>
    <hyperlink ref="E121:O121" location="PriorYr905!A1" display="Prior Year Propietary Proforma - SNA &amp; SRECNA for Computed Variances 910 worksheet" xr:uid="{00000000-0004-0000-0200-000086000000}"/>
    <hyperlink ref="A122" location="PriorYr906!A1" display="PriorYr906" xr:uid="{00000000-0004-0000-0200-000087000000}"/>
    <hyperlink ref="E122:O122" location="PriorYr906!A1" display="Prior Year Fiduciary Proforma - SNA &amp; SRECNA for Computed Variances 911 worksheet" xr:uid="{00000000-0004-0000-0200-000088000000}"/>
    <hyperlink ref="A107" location="'906-6C'!A1" display="906-6C" xr:uid="{00000000-0004-0000-0200-000089000000}"/>
    <hyperlink ref="A108" location="'906-6BC'!A1" display="906-6B&amp;6C" xr:uid="{00000000-0004-0000-0200-00008A000000}"/>
    <hyperlink ref="A114" location="'911-6C'!A1" display="911-6C" xr:uid="{00000000-0004-0000-0200-00008B000000}"/>
    <hyperlink ref="E114:O114" location="'911-6C'!A1" display="Offline Fiduciary Analytical Review - 6C - 401(k) Computed Variances" xr:uid="{00000000-0004-0000-0200-00008C000000}"/>
    <hyperlink ref="A21" location="'201'!A1" display="'201'!A1" xr:uid="{00000000-0004-0000-0200-00008D000000}"/>
    <hyperlink ref="E19:L19" location="'201'!A1" display="Changes in Capital Assets" xr:uid="{00000000-0004-0000-0200-00008E000000}"/>
    <hyperlink ref="A19" location="'110'!A1" display="'110'!A1" xr:uid="{00000000-0004-0000-0200-00008F000000}"/>
    <hyperlink ref="E19:O19" location="'110'!A1" display="Service Concession Arrangements" xr:uid="{00000000-0004-0000-0200-000090000000}"/>
    <hyperlink ref="A43" location="'338'!A1" display="'338'!A1" xr:uid="{00000000-0004-0000-0200-000091000000}"/>
    <hyperlink ref="E43:L43" location="'340'!A1" display="Derivatives Outstanding Not Reported at Fair Value" xr:uid="{00000000-0004-0000-0200-000092000000}"/>
    <hyperlink ref="E43:O43" location="'338'!A1" display="Nonexchange Financial Guarantees" xr:uid="{00000000-0004-0000-0200-000093000000}"/>
    <hyperlink ref="A62" location="'430BTA'!A1" display="430BTA" xr:uid="{00000000-0004-0000-0200-000094000000}"/>
    <hyperlink ref="E62:L62" location="'430'!A1" display="Fund Equity Restatement (Part 1 of 2)" xr:uid="{00000000-0004-0000-0200-000095000000}"/>
    <hyperlink ref="A61" location="'430G'!A1" display="430G" xr:uid="{00000000-0004-0000-0200-000096000000}"/>
    <hyperlink ref="E61:O61" location="'430G'!A1" display="Fund Equity Restatement Governmental Funds (Part 1 of 2)" xr:uid="{00000000-0004-0000-0200-000097000000}"/>
    <hyperlink ref="E62:O62" location="'430BTA'!A1" display="Fund Equity Restatement Business Type Activities (Part 1 of 2)" xr:uid="{00000000-0004-0000-0200-000098000000}"/>
    <hyperlink ref="A20" location="'120'!A1" display="'120'!A1" xr:uid="{00000000-0004-0000-0200-000099000000}"/>
    <hyperlink ref="E20:O20" location="'120'!A1" display="Government Combinations and Disposals of Government Operations" xr:uid="{00000000-0004-0000-0200-00009A000000}"/>
    <hyperlink ref="A65" location="'431BTA'!A1" display="431BTA" xr:uid="{00000000-0004-0000-0200-00009B000000}"/>
    <hyperlink ref="E65:L65" location="'431'!A1" display="Fund Equity Restatement (Part 2 of 2)" xr:uid="{00000000-0004-0000-0200-00009C000000}"/>
    <hyperlink ref="E64:O64" location="'431G'!A1" display="Restatements Governmental Funds (Part 2 of 2)" xr:uid="{00000000-0004-0000-0200-00009D000000}"/>
    <hyperlink ref="E65:O65" location="'431BTA'!A1" display="Restatements Business Type Activities (Part 2 of 2)" xr:uid="{00000000-0004-0000-0200-00009E000000}"/>
    <hyperlink ref="A99" location="'755'!A1" display="'755'!A1" xr:uid="{00000000-0004-0000-0200-00009F000000}"/>
    <hyperlink ref="E99:O99" location="'755'!A1" display="Investments Held Outside the State Treasurer And Derivatives - Fair Value Measurements" xr:uid="{00000000-0004-0000-0200-0000A0000000}"/>
    <hyperlink ref="A101" location="'760'!A1" display="'760'!A1" xr:uid="{00000000-0004-0000-0200-0000A1000000}"/>
    <hyperlink ref="A102" location="'765'!A1" display="'765'!A1" xr:uid="{00000000-0004-0000-0200-0000A2000000}"/>
    <hyperlink ref="E81:O81" location="'605'!A1" display="University Optional Retirement Program " xr:uid="{00000000-0004-0000-0200-0000A3000000}"/>
    <hyperlink ref="A88" location="'640'!A1" display="'640'!A1" xr:uid="{00000000-0004-0000-0200-0000A4000000}"/>
    <hyperlink ref="E88" location="'640'!A1" display="Tax Abatement" xr:uid="{00000000-0004-0000-0200-0000A5000000}"/>
    <hyperlink ref="A84" location="'616'!A1" display="'616'!A1" xr:uid="{00000000-0004-0000-0200-0000A6000000}"/>
    <hyperlink ref="E84:L84" location="'620'!A1" display="Analysis of Deferred Revenues" xr:uid="{00000000-0004-0000-0200-0000A7000000}"/>
    <hyperlink ref="E84:O84" location="'616'!A1" display="Schedule of Due from / Due to University Component Units   NEW FY 2017" xr:uid="{00000000-0004-0000-0200-0000A8000000}"/>
    <hyperlink ref="A77" location="'542'!Print_Area" display="'542'!Print_Area" xr:uid="{00000000-0004-0000-0200-0000A9000000}"/>
    <hyperlink ref="E77" location="'540'!A1" display="Schedule of Intra-Agency Operating Transfers  NEW FY 2017" xr:uid="{00000000-0004-0000-0200-0000AE000000}"/>
    <hyperlink ref="E100:L100" location="'710'!A1" display="Investments Held Outside the State Treasurer - Custodial Credit Risk" xr:uid="{00000000-0004-0000-0200-0000B3000000}"/>
    <hyperlink ref="E100:O100" location="'756'!A1" display="Investments Held Outside the State Treasurer - Valuation of Investments " xr:uid="{00000000-0004-0000-0200-0000B4000000}"/>
    <hyperlink ref="E102" location="'765'!A1" display="Investments Held Outside the State Treasurer - External Investment Pools and Pool Participants" xr:uid="{00000000-0004-0000-0200-0000B5000000}"/>
    <hyperlink ref="E101" location="'760'!A1" display="Investments Held Outside the State Treasurer - Investments Measured at NAV" xr:uid="{00000000-0004-0000-0200-0000B6000000}"/>
    <hyperlink ref="E108:O108" location="'906-6BC'!A1" display="Offline Fiduciary - Stmt of Net Position &amp; Stmt of Chgs in Net position-Combined DefComp&amp;401(k)(new for 2013)" xr:uid="{00000000-0004-0000-0200-0000B7000000}"/>
    <hyperlink ref="E107:O107" location="'906-6C'!A1" display="Offline Fiduciary - Stmt of Net Position &amp; Stmt of Chgs in Net position NC 401(k)-6C (changes for 2013)" xr:uid="{00000000-0004-0000-0200-0000B8000000}"/>
    <hyperlink ref="E104:O104" location="'For 905-NCFS Acct Roll-up'!A1" display="Roll-up tables for the  11P Stmnt of Net Position &amp;  53P Stmnt of Rev, Exp and Changes in Net Position showing NCAS  accts making  up each caption " xr:uid="{00000000-0004-0000-0200-0000B9000000}"/>
    <hyperlink ref="E105:O105" location="'905Hosp'!A1" display="'905Hosp'!A1" xr:uid="{00000000-0004-0000-0200-0000BA000000}"/>
    <hyperlink ref="E111:O111" location="'910'!A1" display="Offline Proprietary MD&amp;A - Computed Variances" xr:uid="{00000000-0004-0000-0200-0000BB000000}"/>
    <hyperlink ref="E109:O109" location="'907'!A1" display="Offline Agency Funds Proforma - Stmt of Chnages in Assets and Liabilities" xr:uid="{00000000-0004-0000-0200-0000BC000000}"/>
    <hyperlink ref="E106:O106" location="'906-6B'!A1" display="Offline Fiduciary - Stmt of Net Position &amp; Stmt of Chgs in Net position Deferred Comp-6B (changes for 2013)" xr:uid="{00000000-0004-0000-0200-0000BD000000}"/>
    <hyperlink ref="E103:O103" location="'905'!A1" display="Offline Proprietary Proforma - Stmt of Net Assets &amp; Stmt of Revs, Exps and Chgs in Net Assets and Certification of Data file for universities using 905 template (new for 2011)" xr:uid="{00000000-0004-0000-0200-0000BE000000}"/>
    <hyperlink ref="A100" location="'756'!A1" display="'756'!A1" xr:uid="{00000000-0004-0000-0200-0000BF000000}"/>
    <hyperlink ref="A118" location="'OSC Analysts'!A1" display="OSC Analysts" xr:uid="{00000000-0004-0000-0200-0000C0000000}"/>
    <hyperlink ref="E118" location="'OSC Analysts'!A1" display="List of OSC Statewide Accounting Financial Reporting Analyst Names and Numbers" xr:uid="{00000000-0004-0000-0200-0000C1000000}"/>
    <hyperlink ref="E23" location="'202'!A1" display="Governmental Fund Capital Assets" xr:uid="{6412FCA9-5AA5-48AA-90DA-17B6E4616697}"/>
    <hyperlink ref="E22" location="'202'!A1" display="Governmental Fund Capital Assets" xr:uid="{1C13EEC7-68B3-48C6-87DB-338DF7E3283F}"/>
    <hyperlink ref="A22" location="'202'!A1" display="'202'!A1" xr:uid="{FCE26A03-8923-4534-B3E3-493F70E792F1}"/>
    <hyperlink ref="A23" location="'203'!A1" display="'203'!A1" xr:uid="{DF04F2A4-861F-44FF-8947-1CA29D35EEAF}"/>
    <hyperlink ref="E35:O35" location="'315'!A1" display="Annual Debt Svc Reqmts - Bonds, Special Indebtedness, Notes Payable, Notes from Direct Borrowings &amp; Direct Placements - Without Interest Rate Swaps" xr:uid="{18034629-C2BA-4388-BDB3-3CC929647F2F}"/>
    <hyperlink ref="E36:O36" location="'320'!A1" display="Annual Debt Svc Reqmts - Bonds, Special Indebtedness, Notes Payable, Notes from Direct Borrowings &amp; Direct Placements - With Interest Rate Swaps" xr:uid="{41A45703-D09E-4BF4-9586-16FD88CA1170}"/>
    <hyperlink ref="A80" location="'602'!A1" display="'602'!A1" xr:uid="{F9552FBD-07BD-496F-A177-6321A98E298A}"/>
    <hyperlink ref="E80:O80" location="'602'!A1" display="Employer Contribution Amounts for TSERS and OPEB (New FY 2020 for Universities only)" xr:uid="{9FD2A0FA-EBD2-4D4E-83C4-345F7D0E133E}"/>
    <hyperlink ref="A38" location="'323'!A1" display="'323'!A1" xr:uid="{685A4699-5EAD-4116-92F2-D417D3DF4242}"/>
    <hyperlink ref="E38:O38" location="'323'!A1" display="Certain Asset Retirement Obligations" xr:uid="{99737A01-9111-4F4F-A3D7-1AB7647F715E}"/>
    <hyperlink ref="A53" location="'375-A'!A1" display="375-A" xr:uid="{65A527AF-815E-4ECF-B1AF-5A6D407B85AF}"/>
    <hyperlink ref="E53:O53" location="'375-A'!A1" display="Financial Reporting for Federal Coronavirus (COVID-19) Funds " xr:uid="{F100CA2B-2755-413A-9C52-0F8D91DDA760}"/>
    <hyperlink ref="E63" location="'430F'!A1" display="Restatements Fiduciary Activities (Part 1 of 2) (NEW for Fiscal Year 2021)" xr:uid="{27D27304-2A4E-4DA5-9348-E9AC0C0481E1}"/>
    <hyperlink ref="A63" location="'430F'!A1" display="430F" xr:uid="{D1298303-12F2-4E06-B257-5CF8A1C51A97}"/>
    <hyperlink ref="A54" location="'375-B'!A1" display="375-B" xr:uid="{4F400107-57EA-45FE-A61D-4743DCD7105D}"/>
    <hyperlink ref="E54:O54" location="'375-B'!A1" display="Budget Reporting for Federal Coronavirus (COVID-19) Funds " xr:uid="{06F749E1-5A07-48C9-A6C8-D85E58CD841D}"/>
    <hyperlink ref="A28" location="'302'!A1" display="'302'!A1" xr:uid="{165D3BB0-7752-4D08-B8D4-B13C101D9CB5}"/>
    <hyperlink ref="A30" location="'304'!A1" display="'304'!A1" xr:uid="{7E739062-D5B6-4F1C-B8DE-30B92CB7574B}"/>
    <hyperlink ref="A110" location="'908'!Print_Area" display="'908'!Print_Area" xr:uid="{777D2AEA-B613-4C78-9D57-222F3A10D6B8}"/>
    <hyperlink ref="A66" location="'431BTA-CU'!A1" display="431BTA-CU" xr:uid="{1BF45BEC-0C45-4EC3-81B3-876F853BBC82}"/>
    <hyperlink ref="A67" location="'431F'!A1" display="431F" xr:uid="{AFD5D98D-DE0A-486D-93CE-A5B9A923F8DB}"/>
    <hyperlink ref="E66:M66" location="'431BTA-CU'!A1" display="Restatements Business Type Activities - Component Unites (Part 2 of 2) NEW FY 2024" xr:uid="{62769F97-5A1D-485A-AA4E-1DC47DD65D13}"/>
    <hyperlink ref="E67:J67" location="'431F'!A1" display="Restatements Fiduciary Funds (Part 2 of 2) NEW FY 2024" xr:uid="{D6A194FE-6D20-49F5-8DBC-FF53141AB012}"/>
    <hyperlink ref="E30:I30" location="'304'!A1" display="Summary Table for Leases and SBITAs" xr:uid="{8C8BA313-0E00-4C06-A845-4F66BAC0FD0B}"/>
    <hyperlink ref="A29" location="'303'!A1" display="'303'!A1" xr:uid="{38A9F135-6DC7-42D4-9DF1-02D985A617B2}"/>
    <hyperlink ref="E29:K29" location="'303'!A1" display="Public-Private &amp; Public-Public Partnership Arrangements (P3s)" xr:uid="{7DB0D903-41E1-459F-B349-B90DD7522583}"/>
    <hyperlink ref="E77:O77" location="'542'!A1" display="Schedule of Transfers -Summary Explanation (542)    New FY 2024" xr:uid="{A8EFA56E-6F29-4A03-8152-2DB6B699EE05}"/>
    <hyperlink ref="E76:L76" location="'535'!A1" display="Schedule of Advances" xr:uid="{476DC46A-0B8A-46B9-9546-EE8ED777D614}"/>
    <hyperlink ref="E76:O76" location="'536'!A1" display="Schedule of Receivables/Payables" xr:uid="{D32A6B1A-E4EF-4CCD-80F3-945884BE84B0}"/>
    <hyperlink ref="A76" location="'536'!A1" display="'536'!A1" xr:uid="{5B806358-2CBD-4E1F-B48E-9047638C5371}"/>
    <hyperlink ref="A68" location="'502'!A1" display="'502'!A1" xr:uid="{CD13AF19-2E18-41B6-9B81-F5950FAB676F}"/>
    <hyperlink ref="E68" location="'502'!A1" display="SCHEDULE OF DUE TO/FROM -SUMMARY EXPLANATIONS (502)" xr:uid="{C01E90E5-B0C1-4D5E-BAE8-7487E1D6EF97}"/>
    <hyperlink ref="E68:O68" location="'502'!A1" display="Schedule of Due To/From - Summary Explanations (502) NEW FY 2024" xr:uid="{5EB19DD0-256A-49F7-A0FA-321C52018A22}"/>
    <hyperlink ref="E28" location="_Agy302" display="Subscription Based Information Technology Arrangements (SBITAs) " xr:uid="{B21000F7-8D7C-44E8-855B-E88B4DEDE7C6}"/>
  </hyperlinks>
  <pageMargins left="0.6" right="0.6" top="0.5" bottom="0.5" header="0.3" footer="0.3"/>
  <pageSetup scale="75"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0"/>
  <dimension ref="A1:AE40"/>
  <sheetViews>
    <sheetView showGridLines="0" zoomScaleNormal="100" zoomScaleSheetLayoutView="100" workbookViewId="0">
      <selection activeCell="R1" sqref="R1:R3"/>
    </sheetView>
  </sheetViews>
  <sheetFormatPr defaultColWidth="9.42578125" defaultRowHeight="11.25" x14ac:dyDescent="0.2"/>
  <cols>
    <col min="1" max="1" width="3" style="28" customWidth="1"/>
    <col min="2" max="2" width="2.5703125" style="28" customWidth="1"/>
    <col min="3" max="3" width="9.42578125" style="28" customWidth="1"/>
    <col min="4" max="4" width="1.5703125" style="28" customWidth="1"/>
    <col min="5" max="5" width="13.42578125" style="28" customWidth="1"/>
    <col min="6" max="6" width="1.42578125" style="28" customWidth="1"/>
    <col min="7" max="7" width="24" style="28" customWidth="1"/>
    <col min="8" max="8" width="1.42578125" style="28" customWidth="1"/>
    <col min="9" max="9" width="14.5703125" style="28" customWidth="1"/>
    <col min="10" max="10" width="1.42578125" style="28" customWidth="1"/>
    <col min="11" max="11" width="16.5703125" style="28" customWidth="1"/>
    <col min="12" max="12" width="1.42578125" style="28" customWidth="1"/>
    <col min="13" max="13" width="14.5703125" style="28" customWidth="1"/>
    <col min="14" max="14" width="1.42578125" style="28" customWidth="1"/>
    <col min="15" max="15" width="9.5703125" style="28" customWidth="1"/>
    <col min="16" max="16" width="1.42578125" style="28" customWidth="1"/>
    <col min="17" max="17" width="9.5703125" style="28" customWidth="1"/>
    <col min="18" max="18" width="4.5703125" style="28" customWidth="1"/>
    <col min="19" max="19" width="3.5703125" style="28" customWidth="1"/>
    <col min="20" max="20" width="1.5703125" style="28" customWidth="1"/>
    <col min="21" max="21" width="8.5703125" style="28" customWidth="1"/>
    <col min="22" max="16384" width="9.42578125" style="28"/>
  </cols>
  <sheetData>
    <row r="1" spans="1:31" s="29" customFormat="1" ht="15" customHeight="1" x14ac:dyDescent="0.25">
      <c r="A1" s="2553" t="str">
        <f>+Index!$A$1</f>
        <v xml:space="preserve">                                                               Office of the State Controller                                                                </v>
      </c>
      <c r="B1" s="2553"/>
      <c r="C1" s="2553"/>
      <c r="D1" s="2553"/>
      <c r="E1" s="2553"/>
      <c r="F1" s="2553"/>
      <c r="G1" s="2553"/>
      <c r="H1" s="2553"/>
      <c r="I1" s="2553"/>
      <c r="J1" s="2553"/>
      <c r="K1" s="2553"/>
      <c r="L1" s="2553"/>
      <c r="M1" s="2553"/>
      <c r="N1" s="2553"/>
      <c r="O1" s="2553"/>
      <c r="P1" s="2553"/>
      <c r="Q1" s="2553"/>
      <c r="R1" s="2626" t="str">
        <f>IF(Index!$B$46="na","NA","")</f>
        <v/>
      </c>
      <c r="AE1" s="30"/>
    </row>
    <row r="2" spans="1:31" s="29" customFormat="1" ht="15" customHeight="1" x14ac:dyDescent="0.25">
      <c r="A2" s="2597" t="str">
        <f>+Index!$A$2</f>
        <v>2024 ACFR Worksheets</v>
      </c>
      <c r="B2" s="2597"/>
      <c r="C2" s="2597"/>
      <c r="D2" s="2597"/>
      <c r="E2" s="2597"/>
      <c r="F2" s="2597"/>
      <c r="G2" s="2597"/>
      <c r="H2" s="2597"/>
      <c r="I2" s="2597"/>
      <c r="J2" s="2597"/>
      <c r="K2" s="2597"/>
      <c r="L2" s="2597"/>
      <c r="M2" s="2597"/>
      <c r="N2" s="2597"/>
      <c r="O2" s="2597"/>
      <c r="P2" s="2597"/>
      <c r="Q2" s="2597"/>
      <c r="R2" s="2626"/>
    </row>
    <row r="3" spans="1:31" s="29" customFormat="1" ht="15" customHeight="1" x14ac:dyDescent="0.25">
      <c r="A3" s="2597" t="s">
        <v>1426</v>
      </c>
      <c r="B3" s="2597"/>
      <c r="C3" s="2597"/>
      <c r="D3" s="2597"/>
      <c r="E3" s="2597"/>
      <c r="F3" s="2597"/>
      <c r="G3" s="2597"/>
      <c r="H3" s="2597"/>
      <c r="I3" s="2597"/>
      <c r="J3" s="2597"/>
      <c r="K3" s="2597"/>
      <c r="L3" s="2597"/>
      <c r="M3" s="2597"/>
      <c r="N3" s="2597"/>
      <c r="O3" s="2597"/>
      <c r="P3" s="2597"/>
      <c r="Q3" s="2597"/>
      <c r="R3" s="2626"/>
    </row>
    <row r="4" spans="1:31" s="81" customFormat="1" ht="15" customHeight="1" x14ac:dyDescent="0.2">
      <c r="A4" s="139"/>
      <c r="B4" s="139"/>
      <c r="C4" s="139"/>
      <c r="D4" s="139"/>
      <c r="E4" s="139"/>
      <c r="F4" s="139"/>
      <c r="G4" s="139"/>
      <c r="H4" s="2321"/>
      <c r="I4" s="139"/>
      <c r="J4" s="139"/>
      <c r="K4" s="139"/>
      <c r="L4" s="139"/>
      <c r="M4" s="139"/>
      <c r="N4" s="139"/>
      <c r="O4" s="139"/>
      <c r="P4" s="139"/>
      <c r="Q4" s="139"/>
      <c r="R4" s="139"/>
      <c r="S4" s="139"/>
      <c r="T4" s="139"/>
      <c r="U4" s="139"/>
      <c r="V4" s="139"/>
      <c r="W4" s="139"/>
      <c r="X4" s="139"/>
      <c r="Y4" s="139"/>
      <c r="Z4" s="139"/>
      <c r="AA4" s="139"/>
      <c r="AB4" s="139"/>
      <c r="AC4" s="139"/>
      <c r="AD4" s="139"/>
      <c r="AE4" s="139"/>
    </row>
    <row r="5" spans="1:31" s="81" customFormat="1" ht="15" customHeight="1" x14ac:dyDescent="0.2">
      <c r="A5" s="139"/>
      <c r="B5" s="139"/>
      <c r="C5" s="139"/>
      <c r="D5" s="2321"/>
      <c r="E5" s="139"/>
      <c r="F5" s="139"/>
      <c r="G5" s="139"/>
      <c r="H5" s="139"/>
      <c r="I5" s="139"/>
      <c r="J5" s="1618"/>
      <c r="K5" s="1554" t="s">
        <v>318</v>
      </c>
      <c r="L5" s="2709" t="str">
        <f>Index!E10</f>
        <v>01</v>
      </c>
      <c r="M5" s="2710"/>
      <c r="N5" s="2710"/>
      <c r="O5" s="2710"/>
      <c r="P5" s="2710"/>
      <c r="Q5" s="2710"/>
      <c r="R5" s="1595"/>
      <c r="S5" s="139"/>
      <c r="T5" s="139"/>
      <c r="U5" s="139"/>
      <c r="V5" s="139"/>
      <c r="W5" s="139"/>
      <c r="X5" s="139"/>
      <c r="Y5" s="139"/>
      <c r="Z5" s="139"/>
      <c r="AA5" s="139"/>
      <c r="AB5" s="139"/>
      <c r="AC5" s="139"/>
      <c r="AD5" s="139"/>
      <c r="AE5" s="139"/>
    </row>
    <row r="6" spans="1:31" s="81" customFormat="1" ht="15" customHeight="1" x14ac:dyDescent="0.2">
      <c r="A6" s="139"/>
      <c r="B6" s="139"/>
      <c r="C6" s="139"/>
      <c r="D6" s="139"/>
      <c r="E6" s="139"/>
      <c r="F6" s="139"/>
      <c r="G6" s="139"/>
      <c r="H6" s="139"/>
      <c r="I6" s="139"/>
      <c r="J6" s="1618"/>
      <c r="K6" s="1554" t="s">
        <v>319</v>
      </c>
      <c r="L6" s="2709" t="str">
        <f>Index!E11</f>
        <v>North Carolina General Assembly</v>
      </c>
      <c r="M6" s="2710"/>
      <c r="N6" s="2710"/>
      <c r="O6" s="2710"/>
      <c r="P6" s="2710"/>
      <c r="Q6" s="2710"/>
      <c r="R6" s="1595"/>
      <c r="S6" s="139"/>
      <c r="T6" s="139"/>
      <c r="U6" s="139"/>
      <c r="V6" s="139"/>
      <c r="W6" s="139"/>
      <c r="X6" s="139"/>
      <c r="Y6" s="139"/>
      <c r="Z6" s="139"/>
      <c r="AA6" s="139"/>
      <c r="AB6" s="139"/>
      <c r="AC6" s="139"/>
      <c r="AD6" s="139"/>
      <c r="AE6" s="139"/>
    </row>
    <row r="7" spans="1:31" s="81" customFormat="1" ht="15" customHeight="1" x14ac:dyDescent="0.2">
      <c r="A7" s="139" t="s">
        <v>545</v>
      </c>
      <c r="B7" s="139"/>
      <c r="C7" s="139"/>
      <c r="D7" s="2676" t="s">
        <v>498</v>
      </c>
      <c r="E7" s="2677"/>
      <c r="F7" s="139"/>
      <c r="G7" s="139"/>
      <c r="H7" s="139"/>
      <c r="I7" s="139"/>
      <c r="J7" s="1619"/>
      <c r="K7" s="1554" t="s">
        <v>320</v>
      </c>
      <c r="L7" s="2711" t="str">
        <f>CONCATENATE(Index!$E$12, " ", Index!$E$14)</f>
        <v xml:space="preserve"> </v>
      </c>
      <c r="M7" s="2712"/>
      <c r="N7" s="2712"/>
      <c r="O7" s="2712"/>
      <c r="P7" s="2712"/>
      <c r="Q7" s="2712"/>
      <c r="R7" s="1596"/>
      <c r="S7" s="139"/>
      <c r="T7" s="139"/>
      <c r="U7" s="139"/>
      <c r="V7" s="139"/>
      <c r="W7" s="139"/>
      <c r="X7" s="139"/>
      <c r="Y7" s="139"/>
      <c r="Z7" s="139"/>
      <c r="AA7" s="139"/>
      <c r="AB7" s="139"/>
      <c r="AC7" s="139"/>
      <c r="AD7" s="139"/>
      <c r="AE7" s="139"/>
    </row>
    <row r="8" spans="1:31" s="81" customFormat="1" ht="15" customHeight="1" x14ac:dyDescent="0.2">
      <c r="A8" s="139"/>
      <c r="B8" s="139"/>
      <c r="C8" s="139"/>
      <c r="D8" s="2321"/>
      <c r="E8" s="139"/>
      <c r="F8" s="139"/>
      <c r="G8" s="139"/>
      <c r="H8" s="139"/>
      <c r="I8" s="139"/>
      <c r="J8" s="1620"/>
      <c r="K8" s="1554" t="s">
        <v>168</v>
      </c>
      <c r="L8" s="2713">
        <f>Index!E13</f>
        <v>0</v>
      </c>
      <c r="M8" s="2712"/>
      <c r="N8" s="2712"/>
      <c r="O8" s="2712"/>
      <c r="P8" s="2712"/>
      <c r="Q8" s="2712"/>
      <c r="R8" s="1597"/>
      <c r="S8" s="139"/>
      <c r="T8" s="139"/>
      <c r="U8" s="139"/>
      <c r="V8" s="139"/>
      <c r="W8" s="139"/>
      <c r="X8" s="139"/>
      <c r="Y8" s="139"/>
      <c r="Z8" s="139"/>
      <c r="AA8" s="139"/>
      <c r="AB8" s="139"/>
      <c r="AC8" s="139"/>
      <c r="AD8" s="139"/>
      <c r="AE8" s="139"/>
    </row>
    <row r="9" spans="1:31" s="81" customFormat="1" ht="6" customHeight="1" thickBot="1" x14ac:dyDescent="0.25">
      <c r="A9" s="1556"/>
      <c r="B9" s="1556"/>
      <c r="C9" s="1556"/>
      <c r="D9" s="1556"/>
      <c r="E9" s="1556"/>
      <c r="F9" s="1556"/>
      <c r="G9" s="1556"/>
      <c r="H9" s="1556"/>
      <c r="I9" s="1556"/>
      <c r="J9" s="1556"/>
      <c r="K9" s="1556"/>
      <c r="L9" s="1556"/>
      <c r="M9" s="1556"/>
      <c r="N9" s="1556"/>
      <c r="O9" s="1556"/>
      <c r="P9" s="1556"/>
      <c r="Q9" s="1556"/>
      <c r="R9" s="139"/>
      <c r="S9" s="139"/>
      <c r="T9" s="139"/>
      <c r="U9" s="139"/>
      <c r="V9" s="139"/>
      <c r="W9" s="139"/>
      <c r="X9" s="139"/>
      <c r="Y9" s="139"/>
      <c r="Z9" s="139"/>
      <c r="AA9" s="139"/>
      <c r="AB9" s="139"/>
      <c r="AC9" s="139"/>
      <c r="AD9" s="139"/>
      <c r="AE9" s="139"/>
    </row>
    <row r="10" spans="1:31" s="81" customFormat="1" ht="12" customHeight="1" x14ac:dyDescent="0.2">
      <c r="A10" s="2310"/>
      <c r="B10"/>
      <c r="C10"/>
      <c r="D10"/>
      <c r="E10"/>
      <c r="F10"/>
      <c r="G10"/>
      <c r="H10"/>
      <c r="I10"/>
      <c r="J10"/>
      <c r="K10"/>
      <c r="L10"/>
      <c r="M10"/>
      <c r="N10"/>
      <c r="O10"/>
      <c r="P10"/>
      <c r="Q10"/>
      <c r="R10" s="139"/>
      <c r="S10" s="139"/>
      <c r="T10" s="139"/>
      <c r="U10" s="139"/>
      <c r="V10" s="139"/>
      <c r="W10" s="139"/>
      <c r="X10" s="139"/>
      <c r="Y10" s="139"/>
      <c r="Z10" s="139"/>
      <c r="AA10" s="139"/>
      <c r="AB10" s="139"/>
      <c r="AC10" s="139"/>
      <c r="AD10" s="139"/>
      <c r="AE10" s="139"/>
    </row>
    <row r="11" spans="1:31" s="81" customFormat="1" ht="14.1" customHeight="1" x14ac:dyDescent="0.2">
      <c r="A11" s="2725"/>
      <c r="B11" s="2725"/>
      <c r="C11" s="2725"/>
      <c r="D11" s="2725"/>
      <c r="E11" s="2725"/>
      <c r="F11" s="139"/>
      <c r="G11" s="139"/>
      <c r="H11" s="139"/>
      <c r="I11" s="139"/>
      <c r="J11" s="139"/>
      <c r="K11" s="139"/>
      <c r="L11" s="139"/>
      <c r="M11" s="139"/>
      <c r="N11" s="139"/>
      <c r="O11" s="2697" t="s">
        <v>1401</v>
      </c>
      <c r="P11" s="2697"/>
      <c r="Q11" s="2697"/>
      <c r="R11" s="139"/>
      <c r="S11" s="2321"/>
      <c r="T11" s="2321"/>
      <c r="U11" s="2321"/>
      <c r="V11" s="139"/>
      <c r="W11" s="139"/>
      <c r="X11" s="139"/>
      <c r="Y11" s="139"/>
      <c r="Z11" s="139"/>
      <c r="AA11" s="139"/>
      <c r="AB11" s="139"/>
      <c r="AC11" s="139"/>
      <c r="AD11" s="139"/>
      <c r="AE11" s="139"/>
    </row>
    <row r="12" spans="1:31" s="81" customFormat="1" ht="14.1" customHeight="1" x14ac:dyDescent="0.2">
      <c r="A12" s="2725"/>
      <c r="B12" s="2725"/>
      <c r="C12" s="2725"/>
      <c r="D12" s="2725"/>
      <c r="E12" s="2725"/>
      <c r="F12" s="139"/>
      <c r="G12" s="2321" t="s">
        <v>1402</v>
      </c>
      <c r="H12" s="2321"/>
      <c r="I12" s="2321" t="s">
        <v>1403</v>
      </c>
      <c r="J12" s="2321"/>
      <c r="K12" s="2321" t="s">
        <v>1401</v>
      </c>
      <c r="L12" s="2321"/>
      <c r="M12" s="2321" t="s">
        <v>1404</v>
      </c>
      <c r="N12" s="2321"/>
      <c r="O12" s="2676" t="s">
        <v>1405</v>
      </c>
      <c r="P12" s="2676"/>
      <c r="Q12" s="2676"/>
      <c r="R12" s="2321"/>
      <c r="S12" s="2697"/>
      <c r="T12" s="2697"/>
      <c r="U12" s="2697"/>
      <c r="V12" s="139"/>
      <c r="W12" s="139"/>
      <c r="X12" s="139"/>
      <c r="Y12" s="139"/>
      <c r="Z12" s="139"/>
      <c r="AA12" s="139"/>
      <c r="AB12" s="139"/>
      <c r="AC12" s="139"/>
      <c r="AD12" s="139"/>
      <c r="AE12" s="139"/>
    </row>
    <row r="13" spans="1:31" s="81" customFormat="1" ht="14.1" customHeight="1" x14ac:dyDescent="0.2">
      <c r="A13" s="2723" t="s">
        <v>210</v>
      </c>
      <c r="B13" s="2723"/>
      <c r="C13" s="2723"/>
      <c r="D13" s="2723"/>
      <c r="E13" s="2723"/>
      <c r="F13" s="139"/>
      <c r="G13" s="2311" t="s">
        <v>1406</v>
      </c>
      <c r="H13" s="2321"/>
      <c r="I13" s="1621" t="s">
        <v>1407</v>
      </c>
      <c r="J13" s="2321"/>
      <c r="K13" s="2311" t="s">
        <v>1408</v>
      </c>
      <c r="L13" s="2321"/>
      <c r="M13" s="2311" t="s">
        <v>1409</v>
      </c>
      <c r="N13" s="2321"/>
      <c r="O13" s="2311" t="s">
        <v>1410</v>
      </c>
      <c r="P13" s="2321"/>
      <c r="Q13" s="2311" t="s">
        <v>1411</v>
      </c>
      <c r="R13" s="2321"/>
      <c r="S13" s="2321"/>
      <c r="T13" s="2321"/>
      <c r="U13" s="2321"/>
      <c r="V13" s="139"/>
      <c r="W13" s="139"/>
      <c r="X13" s="139"/>
      <c r="Y13" s="139"/>
      <c r="Z13" s="139"/>
      <c r="AA13" s="139"/>
      <c r="AB13" s="139"/>
      <c r="AC13" s="139"/>
      <c r="AD13" s="139"/>
      <c r="AE13" s="139"/>
    </row>
    <row r="14" spans="1:31" s="81" customFormat="1" ht="16.350000000000001" customHeight="1" x14ac:dyDescent="0.25">
      <c r="A14" s="2726" t="s">
        <v>1427</v>
      </c>
      <c r="B14" s="2726"/>
      <c r="C14" s="2726"/>
      <c r="D14" s="2726"/>
      <c r="E14" s="2726"/>
      <c r="F14" s="139"/>
      <c r="G14" s="519"/>
      <c r="H14" s="139"/>
      <c r="I14" s="1245"/>
      <c r="J14" s="139"/>
      <c r="K14" s="519"/>
      <c r="L14" s="139"/>
      <c r="M14" s="1245"/>
      <c r="N14" s="139"/>
      <c r="O14" s="530"/>
      <c r="P14" s="139"/>
      <c r="Q14" s="515"/>
      <c r="R14" s="513"/>
      <c r="S14" s="139"/>
      <c r="T14" s="139"/>
      <c r="U14" s="139"/>
      <c r="V14" s="139"/>
      <c r="W14" s="139"/>
      <c r="X14" s="139"/>
      <c r="Y14" s="139"/>
      <c r="Z14" s="139"/>
      <c r="AA14" s="139"/>
      <c r="AB14" s="139"/>
      <c r="AC14" s="139"/>
      <c r="AD14" s="139"/>
      <c r="AE14" s="139"/>
    </row>
    <row r="15" spans="1:31" s="81" customFormat="1" ht="14.85" customHeight="1" x14ac:dyDescent="0.25">
      <c r="A15" s="2726" t="s">
        <v>1427</v>
      </c>
      <c r="B15" s="2726"/>
      <c r="C15" s="2726"/>
      <c r="D15" s="2726"/>
      <c r="E15" s="2726"/>
      <c r="F15" s="139"/>
      <c r="G15" s="519"/>
      <c r="H15" s="139"/>
      <c r="I15" s="1245"/>
      <c r="J15" s="139"/>
      <c r="K15" s="519"/>
      <c r="L15" s="139"/>
      <c r="M15" s="1245">
        <v>0</v>
      </c>
      <c r="N15" s="139"/>
      <c r="O15" s="530"/>
      <c r="P15" s="139"/>
      <c r="Q15" s="516"/>
      <c r="R15" s="513"/>
      <c r="S15" s="139"/>
      <c r="T15" s="139"/>
      <c r="U15" s="139"/>
      <c r="V15" s="139"/>
      <c r="W15" s="139"/>
      <c r="X15" s="139"/>
      <c r="Y15" s="139"/>
      <c r="Z15" s="139"/>
      <c r="AA15" s="139"/>
      <c r="AB15" s="139"/>
      <c r="AC15" s="139"/>
      <c r="AD15" s="139"/>
      <c r="AE15" s="139"/>
    </row>
    <row r="16" spans="1:31" s="81" customFormat="1" ht="14.85" customHeight="1" x14ac:dyDescent="0.25">
      <c r="A16" s="2726" t="s">
        <v>1427</v>
      </c>
      <c r="B16" s="2726"/>
      <c r="C16" s="2726"/>
      <c r="D16" s="2726"/>
      <c r="E16" s="2726"/>
      <c r="F16" s="139"/>
      <c r="G16" s="519"/>
      <c r="H16" s="139"/>
      <c r="I16" s="1245"/>
      <c r="J16" s="139"/>
      <c r="K16" s="519"/>
      <c r="L16" s="139"/>
      <c r="M16" s="1245">
        <v>0</v>
      </c>
      <c r="N16" s="139"/>
      <c r="O16" s="530"/>
      <c r="P16" s="139"/>
      <c r="Q16" s="516"/>
      <c r="R16" s="513"/>
      <c r="S16" s="139"/>
      <c r="T16" s="139"/>
      <c r="U16" s="139"/>
      <c r="V16" s="139"/>
      <c r="W16" s="139"/>
      <c r="X16" s="139"/>
      <c r="Y16" s="139"/>
      <c r="Z16" s="139"/>
      <c r="AA16" s="139"/>
      <c r="AB16" s="139"/>
      <c r="AC16" s="139"/>
      <c r="AD16" s="139"/>
      <c r="AE16" s="139"/>
    </row>
    <row r="17" spans="1:21" s="81" customFormat="1" ht="14.85" customHeight="1" x14ac:dyDescent="0.25">
      <c r="A17" s="2726" t="s">
        <v>1427</v>
      </c>
      <c r="B17" s="2726"/>
      <c r="C17" s="2726"/>
      <c r="D17" s="2726"/>
      <c r="E17" s="2726"/>
      <c r="F17" s="139"/>
      <c r="G17" s="519"/>
      <c r="H17" s="139"/>
      <c r="I17" s="1245"/>
      <c r="J17" s="139"/>
      <c r="K17" s="519"/>
      <c r="L17" s="139"/>
      <c r="M17" s="1245"/>
      <c r="N17" s="139"/>
      <c r="O17" s="530"/>
      <c r="P17" s="139"/>
      <c r="Q17" s="516"/>
      <c r="R17" s="513"/>
      <c r="S17" s="139"/>
      <c r="T17" s="139"/>
      <c r="U17" s="139"/>
    </row>
    <row r="18" spans="1:21" s="81" customFormat="1" ht="14.85" customHeight="1" x14ac:dyDescent="0.25">
      <c r="A18" s="2726" t="s">
        <v>1427</v>
      </c>
      <c r="B18" s="2726"/>
      <c r="C18" s="2726"/>
      <c r="D18" s="2726"/>
      <c r="E18" s="2726"/>
      <c r="F18" s="139"/>
      <c r="G18" s="519"/>
      <c r="H18" s="139"/>
      <c r="I18" s="1245"/>
      <c r="J18" s="139"/>
      <c r="K18" s="519"/>
      <c r="L18" s="139"/>
      <c r="M18" s="1245"/>
      <c r="N18" s="139"/>
      <c r="O18" s="530"/>
      <c r="P18" s="139"/>
      <c r="Q18" s="516"/>
      <c r="R18" s="513"/>
      <c r="S18" s="139"/>
      <c r="T18" s="139"/>
      <c r="U18" s="139"/>
    </row>
    <row r="19" spans="1:21" s="81" customFormat="1" ht="14.85" customHeight="1" x14ac:dyDescent="0.25">
      <c r="A19" s="533" t="s">
        <v>1373</v>
      </c>
      <c r="B19" s="1627"/>
      <c r="C19" s="2704"/>
      <c r="D19" s="2704"/>
      <c r="E19" s="2704"/>
      <c r="F19" s="139"/>
      <c r="G19" s="519"/>
      <c r="H19" s="139"/>
      <c r="I19" s="1245"/>
      <c r="J19" s="139"/>
      <c r="K19" s="519"/>
      <c r="L19" s="139"/>
      <c r="M19" s="1245"/>
      <c r="N19" s="139"/>
      <c r="O19" s="530"/>
      <c r="P19" s="139"/>
      <c r="Q19" s="516"/>
      <c r="R19" s="513"/>
      <c r="S19" s="139"/>
      <c r="T19" s="139"/>
      <c r="U19" s="139"/>
    </row>
    <row r="20" spans="1:21" s="81" customFormat="1" ht="14.85" customHeight="1" x14ac:dyDescent="0.25">
      <c r="A20" s="533" t="s">
        <v>1373</v>
      </c>
      <c r="B20" s="1627"/>
      <c r="C20" s="2704"/>
      <c r="D20" s="2704"/>
      <c r="E20" s="2704"/>
      <c r="F20" s="139"/>
      <c r="G20" s="519"/>
      <c r="H20" s="139"/>
      <c r="I20" s="1245"/>
      <c r="J20" s="139"/>
      <c r="K20" s="520"/>
      <c r="L20" s="139"/>
      <c r="M20" s="1245"/>
      <c r="N20" s="139"/>
      <c r="O20" s="530"/>
      <c r="P20" s="139"/>
      <c r="Q20" s="516"/>
      <c r="R20" s="513"/>
      <c r="S20" s="139"/>
      <c r="T20" s="139"/>
      <c r="U20" s="139"/>
    </row>
    <row r="21" spans="1:21" s="81" customFormat="1" ht="4.3499999999999996" customHeight="1" x14ac:dyDescent="0.25">
      <c r="A21" s="514"/>
      <c r="B21" s="139"/>
      <c r="C21" s="521"/>
      <c r="D21" s="521"/>
      <c r="E21" s="521"/>
      <c r="F21" s="139"/>
      <c r="G21" s="1625"/>
      <c r="H21" s="139"/>
      <c r="I21" s="1246"/>
      <c r="J21" s="139"/>
      <c r="K21" s="522"/>
      <c r="L21" s="139"/>
      <c r="M21" s="1246"/>
      <c r="N21" s="139"/>
      <c r="O21" s="523"/>
      <c r="P21" s="139"/>
      <c r="Q21" s="524"/>
      <c r="R21" s="513"/>
      <c r="S21" s="139"/>
      <c r="T21" s="139"/>
      <c r="U21" s="139"/>
    </row>
    <row r="22" spans="1:21" s="81" customFormat="1" ht="14.85" customHeight="1" x14ac:dyDescent="0.25">
      <c r="A22" s="2599" t="s">
        <v>1412</v>
      </c>
      <c r="B22" s="2548"/>
      <c r="C22" s="2548"/>
      <c r="D22" s="2548"/>
      <c r="E22" s="2548"/>
      <c r="F22" s="2548"/>
      <c r="G22" s="2548"/>
      <c r="H22" s="139"/>
      <c r="I22" s="1626">
        <f>-SUM(M14:M20)</f>
        <v>0</v>
      </c>
      <c r="J22" s="139"/>
      <c r="K22" s="522"/>
      <c r="L22" s="139"/>
      <c r="M22" s="1246"/>
      <c r="N22" s="139"/>
      <c r="O22" s="523"/>
      <c r="P22" s="139"/>
      <c r="Q22" s="524"/>
      <c r="R22" s="513"/>
      <c r="S22" s="139"/>
      <c r="T22" s="139"/>
      <c r="U22" s="139"/>
    </row>
    <row r="23" spans="1:21" ht="14.85" customHeight="1" x14ac:dyDescent="0.25">
      <c r="A23" s="2599" t="s">
        <v>1413</v>
      </c>
      <c r="B23" s="2548"/>
      <c r="C23" s="2548"/>
      <c r="D23" s="2548"/>
      <c r="E23" s="2548"/>
      <c r="F23" s="2548"/>
      <c r="G23" s="2548"/>
      <c r="H23" s="139"/>
      <c r="I23" s="1559"/>
      <c r="J23" s="139"/>
      <c r="K23" s="531"/>
      <c r="L23" s="139"/>
      <c r="M23" s="139"/>
      <c r="N23" s="139"/>
      <c r="O23" s="139"/>
      <c r="P23" s="139"/>
      <c r="Q23" s="139"/>
    </row>
    <row r="24" spans="1:21" ht="14.85" customHeight="1" x14ac:dyDescent="0.25">
      <c r="A24" s="2599" t="s">
        <v>1413</v>
      </c>
      <c r="B24" s="2548"/>
      <c r="C24" s="2548"/>
      <c r="D24" s="2548"/>
      <c r="E24" s="2548"/>
      <c r="F24" s="2548"/>
      <c r="G24" s="2548"/>
      <c r="H24" s="139"/>
      <c r="I24" s="1559"/>
      <c r="J24" s="139"/>
      <c r="K24" s="532"/>
      <c r="L24" s="139"/>
      <c r="M24" s="139"/>
      <c r="N24" s="139"/>
      <c r="O24" s="139"/>
      <c r="P24" s="139"/>
      <c r="Q24" s="139"/>
    </row>
    <row r="25" spans="1:21" ht="14.85" customHeight="1" x14ac:dyDescent="0.25">
      <c r="A25" s="2599" t="s">
        <v>1413</v>
      </c>
      <c r="B25" s="2548"/>
      <c r="C25" s="2548"/>
      <c r="D25" s="2548"/>
      <c r="E25" s="2548"/>
      <c r="F25" s="2548"/>
      <c r="G25" s="2548"/>
      <c r="H25" s="139"/>
      <c r="I25" s="1559"/>
      <c r="J25" s="139"/>
      <c r="K25" s="532"/>
      <c r="L25" s="139"/>
      <c r="M25" s="139"/>
      <c r="N25" s="139"/>
      <c r="O25" s="139"/>
      <c r="P25" s="139"/>
      <c r="Q25" s="139"/>
    </row>
    <row r="26" spans="1:21" ht="14.85" customHeight="1" x14ac:dyDescent="0.25">
      <c r="A26" s="2599" t="s">
        <v>1413</v>
      </c>
      <c r="B26" s="2548"/>
      <c r="C26" s="2548"/>
      <c r="D26" s="2548"/>
      <c r="E26" s="2548"/>
      <c r="F26" s="2548"/>
      <c r="G26" s="2548"/>
      <c r="H26" s="139"/>
      <c r="I26" s="1559"/>
      <c r="J26" s="139"/>
      <c r="K26" s="532"/>
      <c r="L26" s="139"/>
      <c r="M26" s="139"/>
      <c r="N26" s="139"/>
      <c r="O26" s="139"/>
      <c r="P26" s="139"/>
      <c r="Q26" s="139"/>
    </row>
    <row r="27" spans="1:21" ht="15" customHeight="1" thickBot="1" x14ac:dyDescent="0.25">
      <c r="A27" s="2721" t="s">
        <v>1414</v>
      </c>
      <c r="B27" s="2721"/>
      <c r="C27" s="2721"/>
      <c r="D27" s="2721"/>
      <c r="E27" s="2721"/>
      <c r="F27" s="2722"/>
      <c r="G27" s="2722"/>
      <c r="I27" s="1561">
        <f>SUM(I14:I26)</f>
        <v>0</v>
      </c>
    </row>
    <row r="28" spans="1:21" ht="12" customHeight="1" thickTop="1" x14ac:dyDescent="0.2"/>
    <row r="29" spans="1:21" ht="12.75" x14ac:dyDescent="0.2">
      <c r="A29" s="2718" t="s">
        <v>1428</v>
      </c>
      <c r="B29" s="2548"/>
      <c r="C29" s="2548"/>
      <c r="D29" s="2548"/>
      <c r="E29" s="2548"/>
      <c r="F29" s="2548"/>
      <c r="G29" s="2548"/>
      <c r="H29" s="2548"/>
      <c r="I29" s="2548"/>
      <c r="J29" s="2548"/>
      <c r="K29" s="2548"/>
      <c r="L29" s="2548"/>
      <c r="M29" s="2548"/>
      <c r="N29" s="2548"/>
      <c r="O29" s="2548"/>
      <c r="P29" s="2548"/>
      <c r="Q29" s="2548"/>
      <c r="R29" s="2326"/>
      <c r="S29" s="2326"/>
      <c r="T29" s="2326"/>
      <c r="U29" s="2326"/>
    </row>
    <row r="30" spans="1:21" ht="12.75" x14ac:dyDescent="0.2">
      <c r="A30" s="2718" t="s">
        <v>1429</v>
      </c>
      <c r="B30" s="2548"/>
      <c r="C30" s="2548"/>
      <c r="D30" s="2548"/>
      <c r="E30" s="2548"/>
      <c r="F30" s="2548"/>
      <c r="G30" s="2548"/>
      <c r="H30" s="2548"/>
      <c r="I30" s="2548"/>
      <c r="J30" s="2548"/>
      <c r="K30" s="2548"/>
      <c r="L30" s="2548"/>
      <c r="M30" s="2548"/>
      <c r="N30" s="2548"/>
      <c r="O30" s="2548"/>
      <c r="P30" s="2548"/>
      <c r="Q30" s="2548"/>
      <c r="R30" s="2548"/>
      <c r="S30" s="2326"/>
      <c r="T30" s="2326"/>
      <c r="U30" s="2326"/>
    </row>
    <row r="31" spans="1:21" ht="10.35" customHeight="1" x14ac:dyDescent="0.2">
      <c r="A31" s="2326"/>
      <c r="B31" s="2326"/>
      <c r="C31" s="2326"/>
      <c r="D31" s="2326"/>
      <c r="E31" s="2326"/>
      <c r="F31" s="2326"/>
      <c r="G31" s="2326"/>
      <c r="H31" s="2326"/>
      <c r="I31" s="2326"/>
      <c r="J31" s="2326"/>
      <c r="K31" s="2326"/>
      <c r="L31" s="2326"/>
      <c r="M31" s="2326"/>
      <c r="N31" s="2326"/>
      <c r="O31" s="2326"/>
      <c r="P31" s="2326"/>
      <c r="Q31" s="2326"/>
      <c r="R31" s="2326"/>
      <c r="S31" s="2326"/>
      <c r="T31" s="2326"/>
      <c r="U31" s="2326"/>
    </row>
    <row r="32" spans="1:21" ht="14.1" customHeight="1" x14ac:dyDescent="0.2"/>
    <row r="33" spans="1:17" ht="12" customHeight="1" x14ac:dyDescent="0.2">
      <c r="A33" s="525" t="s">
        <v>922</v>
      </c>
      <c r="B33" s="442" t="s">
        <v>1430</v>
      </c>
      <c r="C33" s="443"/>
      <c r="D33" s="443"/>
      <c r="E33" s="443"/>
      <c r="F33" s="443"/>
      <c r="G33" s="443"/>
      <c r="H33" s="443"/>
      <c r="I33" s="443"/>
      <c r="J33" s="443"/>
      <c r="K33" s="443"/>
      <c r="L33" s="443"/>
      <c r="M33" s="443"/>
      <c r="N33" s="443"/>
      <c r="O33" s="443"/>
      <c r="P33" s="443"/>
      <c r="Q33" s="443"/>
    </row>
    <row r="34" spans="1:17" ht="12" customHeight="1" x14ac:dyDescent="0.2">
      <c r="A34" s="525"/>
      <c r="B34" s="442" t="s">
        <v>1431</v>
      </c>
      <c r="C34" s="443"/>
      <c r="D34" s="443"/>
      <c r="E34" s="443"/>
      <c r="F34" s="443"/>
      <c r="G34" s="443"/>
      <c r="H34" s="443"/>
      <c r="I34" s="443"/>
      <c r="J34" s="443"/>
      <c r="K34" s="443"/>
      <c r="L34" s="443"/>
      <c r="M34" s="443"/>
      <c r="N34" s="443"/>
      <c r="O34" s="443"/>
      <c r="P34" s="443"/>
      <c r="Q34" s="443"/>
    </row>
    <row r="35" spans="1:17" ht="6" customHeight="1" x14ac:dyDescent="0.2">
      <c r="A35" s="443"/>
      <c r="B35" s="442"/>
      <c r="C35" s="443"/>
      <c r="D35" s="443"/>
      <c r="E35" s="443"/>
      <c r="F35" s="443"/>
      <c r="G35" s="443"/>
      <c r="H35" s="443"/>
      <c r="I35" s="443"/>
      <c r="J35" s="443"/>
      <c r="K35" s="443"/>
      <c r="L35" s="443"/>
      <c r="M35" s="443"/>
      <c r="N35" s="443"/>
      <c r="O35" s="443"/>
      <c r="P35" s="443"/>
      <c r="Q35" s="443"/>
    </row>
    <row r="36" spans="1:17" ht="12" customHeight="1" x14ac:dyDescent="0.2">
      <c r="A36" s="525" t="s">
        <v>1420</v>
      </c>
      <c r="B36" s="442" t="s">
        <v>1432</v>
      </c>
      <c r="C36" s="443"/>
      <c r="D36" s="443"/>
      <c r="E36" s="443"/>
      <c r="F36" s="443"/>
      <c r="G36" s="443"/>
      <c r="H36" s="443"/>
      <c r="I36" s="443"/>
      <c r="J36" s="443"/>
      <c r="K36" s="443"/>
      <c r="L36" s="443"/>
      <c r="M36" s="443"/>
      <c r="N36" s="443"/>
      <c r="O36" s="443"/>
      <c r="P36" s="443"/>
      <c r="Q36" s="443"/>
    </row>
    <row r="37" spans="1:17" ht="12" customHeight="1" x14ac:dyDescent="0.2">
      <c r="A37" s="443"/>
      <c r="B37" s="442" t="s">
        <v>1433</v>
      </c>
      <c r="C37" s="443"/>
      <c r="D37" s="443"/>
      <c r="E37" s="443"/>
      <c r="F37" s="443"/>
      <c r="G37" s="443"/>
      <c r="H37" s="443"/>
      <c r="I37" s="443"/>
      <c r="J37" s="443"/>
      <c r="K37" s="443"/>
      <c r="L37" s="443"/>
      <c r="M37" s="443"/>
      <c r="N37" s="443"/>
      <c r="O37" s="443"/>
      <c r="P37" s="443"/>
      <c r="Q37" s="443"/>
    </row>
    <row r="38" spans="1:17" ht="12" customHeight="1" x14ac:dyDescent="0.2">
      <c r="A38" s="443"/>
      <c r="B38" s="442" t="s">
        <v>1423</v>
      </c>
      <c r="C38" s="443"/>
      <c r="D38" s="443"/>
      <c r="E38" s="443"/>
      <c r="F38" s="443"/>
      <c r="G38" s="443"/>
      <c r="H38" s="443"/>
      <c r="I38" s="443"/>
      <c r="J38" s="443"/>
      <c r="K38" s="443"/>
      <c r="L38" s="443"/>
      <c r="M38" s="443"/>
      <c r="N38" s="443"/>
      <c r="O38" s="443"/>
      <c r="P38" s="443"/>
      <c r="Q38" s="443"/>
    </row>
    <row r="39" spans="1:17" ht="6" customHeight="1" x14ac:dyDescent="0.2">
      <c r="A39" s="443"/>
      <c r="B39" s="442"/>
      <c r="C39" s="443"/>
      <c r="D39" s="443"/>
      <c r="E39" s="443"/>
      <c r="F39" s="443"/>
      <c r="G39" s="443"/>
      <c r="H39" s="443"/>
      <c r="I39" s="443"/>
      <c r="J39" s="443"/>
      <c r="K39" s="443"/>
      <c r="L39" s="443"/>
      <c r="M39" s="443"/>
      <c r="N39" s="443"/>
      <c r="O39" s="443"/>
      <c r="P39" s="443"/>
      <c r="Q39" s="443"/>
    </row>
    <row r="40" spans="1:17" ht="12" customHeight="1" x14ac:dyDescent="0.2">
      <c r="A40" s="525" t="s">
        <v>1424</v>
      </c>
      <c r="B40" s="442" t="s">
        <v>1425</v>
      </c>
      <c r="C40" s="443"/>
      <c r="D40" s="443"/>
      <c r="E40" s="443"/>
      <c r="F40" s="443"/>
      <c r="G40" s="443"/>
      <c r="H40" s="443"/>
      <c r="I40" s="443"/>
      <c r="J40" s="443"/>
      <c r="K40" s="443"/>
      <c r="L40" s="443"/>
      <c r="M40" s="443"/>
      <c r="N40" s="443"/>
      <c r="O40" s="443"/>
      <c r="P40" s="443"/>
      <c r="Q40" s="443"/>
    </row>
  </sheetData>
  <sheetProtection algorithmName="SHA-512" hashValue="bnlsku2fPeTcJG/tOd+rFVxY8tIEYPsWoXAIPM0a9+TvVth0N3x3V6L2YfkaK5uaFC1kNKMhEFq0Dj74arqXEQ==" saltValue="JNoIoWnCsiCoTTuR5rOKcg==" spinCount="100000" sheet="1" autoFilter="0"/>
  <customSheetViews>
    <customSheetView guid="{9FCFC836-1CA5-48BF-958D-24D2EA94B219}" showGridLines="0" fitToPage="1">
      <selection activeCell="D38" sqref="D38"/>
      <pageMargins left="0" right="0" top="0" bottom="0" header="0" footer="0"/>
      <pageSetup orientation="landscape" r:id="rId1"/>
      <headerFooter alignWithMargins="0">
        <oddFooter>&amp;R&amp;A</oddFooter>
      </headerFooter>
    </customSheetView>
    <customSheetView guid="{B08879A4-635B-4C39-9937-AC7883D562FC}" showGridLines="0" fitToPage="1">
      <selection activeCell="D38" sqref="D38"/>
      <pageMargins left="0" right="0" top="0" bottom="0" header="0" footer="0"/>
      <pageSetup orientation="landscape" r:id="rId2"/>
      <headerFooter alignWithMargins="0">
        <oddFooter>&amp;R&amp;A</oddFooter>
      </headerFooter>
    </customSheetView>
  </customSheetViews>
  <mergeCells count="30">
    <mergeCell ref="L6:Q6"/>
    <mergeCell ref="A1:Q1"/>
    <mergeCell ref="R1:R3"/>
    <mergeCell ref="A2:Q2"/>
    <mergeCell ref="A3:Q3"/>
    <mergeCell ref="L5:Q5"/>
    <mergeCell ref="C20:E20"/>
    <mergeCell ref="D7:E7"/>
    <mergeCell ref="L7:Q7"/>
    <mergeCell ref="L8:Q8"/>
    <mergeCell ref="A11:E11"/>
    <mergeCell ref="O11:Q11"/>
    <mergeCell ref="A12:E12"/>
    <mergeCell ref="O12:Q12"/>
    <mergeCell ref="A29:Q29"/>
    <mergeCell ref="A30:R30"/>
    <mergeCell ref="S12:U12"/>
    <mergeCell ref="A13:E13"/>
    <mergeCell ref="A14:E14"/>
    <mergeCell ref="A15:E15"/>
    <mergeCell ref="A16:E16"/>
    <mergeCell ref="A17:E17"/>
    <mergeCell ref="A18:E18"/>
    <mergeCell ref="C19:E19"/>
    <mergeCell ref="A22:G22"/>
    <mergeCell ref="A23:G23"/>
    <mergeCell ref="A24:G24"/>
    <mergeCell ref="A25:G25"/>
    <mergeCell ref="A26:G26"/>
    <mergeCell ref="A27:G27"/>
  </mergeCells>
  <conditionalFormatting sqref="R1:R3">
    <cfRule type="cellIs" dxfId="120" priority="1" stopIfTrue="1" operator="equal">
      <formula>"na"</formula>
    </cfRule>
  </conditionalFormatting>
  <dataValidations count="3">
    <dataValidation type="decimal" operator="lessThanOrEqual" allowBlank="1" showErrorMessage="1" errorTitle="Invalid Data" error="Amount Must Be Negative" promptTitle="Negative Message" prompt="Must Enter a Negative Number" sqref="I23:I26" xr:uid="{00000000-0002-0000-1600-000000000000}">
      <formula1>0</formula1>
    </dataValidation>
    <dataValidation type="list" allowBlank="1" sqref="A14:E18" xr:uid="{00000000-0002-0000-1600-000001000000}">
      <formula1>Derivative</formula1>
    </dataValidation>
    <dataValidation type="decimal" operator="greaterThanOrEqual" allowBlank="1" showErrorMessage="1" errorTitle="Invalid Data" error="Exclude Derivatives with Negative Fair Values (See Note 1)" sqref="I14:I20" xr:uid="{00000000-0002-0000-1600-000002000000}">
      <formula1>0</formula1>
    </dataValidation>
  </dataValidations>
  <hyperlinks>
    <hyperlink ref="A1:Q1" location="Index!A1" display="Index!A1" xr:uid="{00000000-0004-0000-1600-000000000000}"/>
  </hyperlinks>
  <pageMargins left="0.6" right="0.6" top="0.5" bottom="0.5" header="0.3" footer="0.3"/>
  <pageSetup scale="85" orientation="landscape" r:id="rId3"/>
  <ignoredErrors>
    <ignoredError sqref="A33 A36 A40"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dimension ref="A1:L103"/>
  <sheetViews>
    <sheetView showGridLines="0" zoomScaleNormal="100" zoomScaleSheetLayoutView="100" workbookViewId="0">
      <selection activeCell="B55" sqref="B55"/>
    </sheetView>
  </sheetViews>
  <sheetFormatPr defaultRowHeight="12.75" x14ac:dyDescent="0.2"/>
  <cols>
    <col min="1" max="1" width="0.42578125" customWidth="1"/>
    <col min="3" max="3" width="8.42578125" customWidth="1"/>
    <col min="6" max="6" width="3.42578125" customWidth="1"/>
    <col min="7" max="7" width="13.42578125" customWidth="1"/>
    <col min="8" max="8" width="12.5703125" customWidth="1"/>
    <col min="10" max="10" width="13.42578125" customWidth="1"/>
    <col min="11" max="11" width="9.5703125" customWidth="1"/>
    <col min="12" max="12" width="4.5703125" customWidth="1"/>
  </cols>
  <sheetData>
    <row r="1" spans="2:12" ht="15" customHeight="1" x14ac:dyDescent="0.25">
      <c r="B1" s="2553" t="str">
        <f>+Index!$A$1</f>
        <v xml:space="preserve">                                                               Office of the State Controller                                                                </v>
      </c>
      <c r="C1" s="2553"/>
      <c r="D1" s="2553"/>
      <c r="E1" s="2553"/>
      <c r="F1" s="2553"/>
      <c r="G1" s="2553"/>
      <c r="H1" s="2553"/>
      <c r="I1" s="2553"/>
      <c r="J1" s="2553"/>
      <c r="K1" s="2553"/>
      <c r="L1" s="2554" t="str">
        <f>IF(Index!$B$47="na","NA","")</f>
        <v/>
      </c>
    </row>
    <row r="2" spans="2:12" ht="15" customHeight="1" x14ac:dyDescent="0.25">
      <c r="B2" s="2532" t="str">
        <f>+Index!$A$2</f>
        <v>2024 ACFR Worksheets</v>
      </c>
      <c r="C2" s="2532"/>
      <c r="D2" s="2532"/>
      <c r="E2" s="2532"/>
      <c r="F2" s="2532"/>
      <c r="G2" s="2532"/>
      <c r="H2" s="2532"/>
      <c r="I2" s="2532"/>
      <c r="J2" s="2532"/>
      <c r="K2" s="2532"/>
      <c r="L2" s="2554"/>
    </row>
    <row r="3" spans="2:12" ht="15" customHeight="1" x14ac:dyDescent="0.25">
      <c r="B3" s="2532" t="s">
        <v>1434</v>
      </c>
      <c r="C3" s="2532"/>
      <c r="D3" s="2532"/>
      <c r="E3" s="2532"/>
      <c r="F3" s="2532"/>
      <c r="G3" s="2532"/>
      <c r="H3" s="2532"/>
      <c r="I3" s="2532"/>
      <c r="J3" s="2532"/>
      <c r="K3" s="2532"/>
      <c r="L3" s="2554"/>
    </row>
    <row r="4" spans="2:12" ht="15" customHeight="1" x14ac:dyDescent="0.3">
      <c r="H4" s="9" t="s">
        <v>50</v>
      </c>
    </row>
    <row r="5" spans="2:12" ht="15" customHeight="1" x14ac:dyDescent="0.25">
      <c r="B5" s="1628"/>
      <c r="C5" s="2359"/>
      <c r="D5" s="2728"/>
      <c r="E5" s="2728"/>
      <c r="G5" s="1629" t="s">
        <v>318</v>
      </c>
      <c r="H5" s="2596" t="str">
        <f>+Index!$E$10</f>
        <v>01</v>
      </c>
      <c r="I5" s="2596"/>
      <c r="J5" s="2596"/>
      <c r="K5" s="2596"/>
    </row>
    <row r="6" spans="2:12" ht="15" customHeight="1" x14ac:dyDescent="0.2">
      <c r="G6" s="1629" t="s">
        <v>319</v>
      </c>
      <c r="H6" s="2628" t="str">
        <f>+Index!$E$11</f>
        <v>North Carolina General Assembly</v>
      </c>
      <c r="I6" s="2628"/>
      <c r="J6" s="2628"/>
      <c r="K6" s="2628"/>
    </row>
    <row r="7" spans="2:12" ht="15" customHeight="1" x14ac:dyDescent="0.25">
      <c r="B7" s="1628" t="s">
        <v>545</v>
      </c>
      <c r="C7" s="2359"/>
      <c r="D7" s="2727" t="s">
        <v>762</v>
      </c>
      <c r="E7" s="2727"/>
      <c r="G7" s="1629" t="s">
        <v>320</v>
      </c>
      <c r="H7" s="2629" t="str">
        <f>CONCATENATE(Index!$E$12," ",Index!$E$14)</f>
        <v xml:space="preserve"> </v>
      </c>
      <c r="I7" s="2629"/>
      <c r="J7" s="2629"/>
      <c r="K7" s="2629"/>
    </row>
    <row r="8" spans="2:12" ht="15" customHeight="1" x14ac:dyDescent="0.25">
      <c r="B8" s="1628"/>
      <c r="C8" s="2359"/>
      <c r="D8" s="2328"/>
      <c r="E8" s="2328"/>
      <c r="G8" s="1629" t="s">
        <v>168</v>
      </c>
      <c r="H8" s="2629">
        <f>+Index!$E$13</f>
        <v>0</v>
      </c>
      <c r="I8" s="2629"/>
      <c r="J8" s="2629"/>
      <c r="K8" s="2629"/>
    </row>
    <row r="9" spans="2:12" ht="7.5" customHeight="1" thickBot="1" x14ac:dyDescent="0.3">
      <c r="B9" s="3"/>
      <c r="C9" s="3"/>
      <c r="D9" s="3"/>
      <c r="E9" s="3"/>
      <c r="F9" s="3"/>
      <c r="G9" s="3"/>
      <c r="H9" s="3"/>
      <c r="I9" s="3"/>
      <c r="J9" s="3"/>
      <c r="K9" s="3"/>
    </row>
    <row r="10" spans="2:12" s="10" customFormat="1" ht="15" customHeight="1" x14ac:dyDescent="0.2">
      <c r="B10" s="77"/>
      <c r="C10" s="77"/>
      <c r="D10" s="77"/>
      <c r="E10" s="77"/>
      <c r="F10" s="77"/>
      <c r="G10" s="77"/>
      <c r="H10" s="77"/>
      <c r="I10" s="77"/>
      <c r="J10" s="77"/>
      <c r="K10" s="77"/>
      <c r="L10" s="138"/>
    </row>
    <row r="11" spans="2:12" s="10" customFormat="1" ht="15" customHeight="1" x14ac:dyDescent="0.2">
      <c r="B11" s="1" t="s">
        <v>1435</v>
      </c>
      <c r="C11" s="138"/>
      <c r="D11" s="138"/>
      <c r="E11" s="138"/>
      <c r="F11" s="138"/>
      <c r="G11" s="138"/>
      <c r="H11" s="138"/>
      <c r="I11" s="138"/>
      <c r="J11" s="138"/>
      <c r="K11" s="138"/>
      <c r="L11" s="138"/>
    </row>
    <row r="12" spans="2:12" s="10" customFormat="1" ht="15" customHeight="1" x14ac:dyDescent="0.2">
      <c r="B12" s="1" t="s">
        <v>1436</v>
      </c>
      <c r="C12" s="138"/>
      <c r="D12" s="138"/>
      <c r="E12" s="138"/>
      <c r="F12" s="138"/>
      <c r="G12" s="138"/>
      <c r="H12" s="138"/>
      <c r="I12" s="138"/>
      <c r="J12" s="138"/>
      <c r="K12" s="138"/>
      <c r="L12" s="138"/>
    </row>
    <row r="13" spans="2:12" s="10" customFormat="1" ht="15" customHeight="1" x14ac:dyDescent="0.2">
      <c r="B13" s="1" t="s">
        <v>1437</v>
      </c>
      <c r="C13" s="138"/>
      <c r="D13" s="138"/>
      <c r="E13" s="138"/>
      <c r="F13" s="138"/>
      <c r="G13" s="138"/>
      <c r="H13" s="138"/>
      <c r="I13" s="138"/>
      <c r="J13" s="138"/>
      <c r="K13" s="138"/>
      <c r="L13" s="138"/>
    </row>
    <row r="14" spans="2:12" s="10" customFormat="1" ht="15" customHeight="1" x14ac:dyDescent="0.2">
      <c r="B14" s="138"/>
      <c r="C14" s="138"/>
      <c r="D14" s="138"/>
      <c r="E14" s="138"/>
      <c r="F14" s="138"/>
      <c r="G14" s="138"/>
      <c r="H14" s="138"/>
      <c r="I14" s="138"/>
      <c r="J14" s="138"/>
      <c r="K14" s="138"/>
      <c r="L14" s="138"/>
    </row>
    <row r="15" spans="2:12" s="10" customFormat="1" ht="15" customHeight="1" x14ac:dyDescent="0.2">
      <c r="B15" s="138" t="s">
        <v>1438</v>
      </c>
      <c r="C15" s="138"/>
      <c r="D15" s="138"/>
      <c r="E15" s="138"/>
      <c r="F15" s="138"/>
      <c r="G15" s="138"/>
      <c r="H15" s="138"/>
      <c r="I15" s="138"/>
      <c r="J15" s="138"/>
      <c r="K15" s="138"/>
      <c r="L15" s="138"/>
    </row>
    <row r="16" spans="2:12" s="10" customFormat="1" ht="15" customHeight="1" x14ac:dyDescent="0.2">
      <c r="B16" s="138" t="s">
        <v>1439</v>
      </c>
      <c r="C16" s="138"/>
      <c r="D16" s="138"/>
      <c r="E16" s="138"/>
      <c r="F16" s="138"/>
      <c r="G16" s="138"/>
      <c r="H16" s="138"/>
      <c r="I16" s="138"/>
      <c r="J16" s="138"/>
      <c r="K16" s="138"/>
      <c r="L16" s="138"/>
    </row>
    <row r="17" spans="2:10" s="10" customFormat="1" ht="15" customHeight="1" x14ac:dyDescent="0.2">
      <c r="B17" s="138" t="s">
        <v>1440</v>
      </c>
      <c r="C17" s="138"/>
      <c r="D17" s="138"/>
      <c r="E17" s="138"/>
      <c r="F17" s="138"/>
      <c r="G17" s="138"/>
      <c r="H17" s="138"/>
      <c r="I17" s="138"/>
      <c r="J17" s="138"/>
    </row>
    <row r="18" spans="2:10" s="10" customFormat="1" ht="15" customHeight="1" x14ac:dyDescent="0.2">
      <c r="B18" s="1197" t="s">
        <v>1441</v>
      </c>
      <c r="C18" s="138"/>
      <c r="D18" s="138"/>
      <c r="E18" s="138"/>
      <c r="F18" s="138"/>
      <c r="G18" s="138"/>
      <c r="H18" s="138"/>
      <c r="I18" s="138"/>
      <c r="J18" s="138"/>
    </row>
    <row r="19" spans="2:10" s="10" customFormat="1" ht="15" customHeight="1" x14ac:dyDescent="0.2">
      <c r="B19" s="138" t="s">
        <v>1442</v>
      </c>
      <c r="C19" s="138"/>
      <c r="D19" s="138"/>
      <c r="E19" s="138"/>
      <c r="F19" s="1"/>
      <c r="G19" s="138"/>
      <c r="H19" s="138"/>
      <c r="I19" s="138"/>
      <c r="J19" s="138"/>
    </row>
    <row r="20" spans="2:10" s="10" customFormat="1" ht="15" customHeight="1" x14ac:dyDescent="0.2">
      <c r="B20" s="138"/>
      <c r="C20" s="138"/>
      <c r="D20" s="138"/>
      <c r="E20" s="138"/>
      <c r="F20" s="138"/>
      <c r="G20" s="138"/>
      <c r="H20" s="138"/>
      <c r="I20" s="138"/>
      <c r="J20" s="138"/>
    </row>
    <row r="21" spans="2:10" s="10" customFormat="1" ht="15" customHeight="1" x14ac:dyDescent="0.2">
      <c r="B21" s="2607" t="s">
        <v>1443</v>
      </c>
      <c r="C21" s="2607"/>
      <c r="D21" s="2607"/>
      <c r="E21" s="2607"/>
      <c r="F21" s="2607"/>
      <c r="G21" s="2607"/>
      <c r="H21" s="2607"/>
      <c r="I21" s="2607"/>
      <c r="J21" s="2607"/>
    </row>
    <row r="22" spans="2:10" s="10" customFormat="1" ht="15" customHeight="1" x14ac:dyDescent="0.2">
      <c r="B22" s="138" t="s">
        <v>1444</v>
      </c>
      <c r="C22" s="138"/>
      <c r="D22" s="138"/>
      <c r="E22" s="138"/>
      <c r="F22" s="138"/>
      <c r="G22" s="138"/>
      <c r="H22" s="138"/>
      <c r="I22" s="138"/>
      <c r="J22" s="138"/>
    </row>
    <row r="23" spans="2:10" s="10" customFormat="1" ht="15" customHeight="1" x14ac:dyDescent="0.2">
      <c r="B23" s="138" t="s">
        <v>1445</v>
      </c>
      <c r="C23" s="138"/>
      <c r="D23" s="138"/>
      <c r="E23" s="138"/>
      <c r="F23" s="138"/>
      <c r="G23" s="138"/>
      <c r="H23" s="138"/>
      <c r="I23" s="138"/>
      <c r="J23" s="138"/>
    </row>
    <row r="24" spans="2:10" s="10" customFormat="1" ht="15" customHeight="1" x14ac:dyDescent="0.2">
      <c r="B24" s="138"/>
      <c r="C24" s="138"/>
      <c r="D24" s="138"/>
      <c r="E24" s="138"/>
      <c r="F24" s="138"/>
      <c r="G24" s="138"/>
      <c r="H24" s="138"/>
      <c r="I24" s="138"/>
      <c r="J24" s="138"/>
    </row>
    <row r="25" spans="2:10" s="10" customFormat="1" ht="15" customHeight="1" x14ac:dyDescent="0.2">
      <c r="B25" s="138" t="s">
        <v>1446</v>
      </c>
      <c r="C25" s="138"/>
      <c r="D25" s="138"/>
      <c r="E25" s="138"/>
      <c r="F25" s="138"/>
      <c r="G25" s="138"/>
      <c r="H25" s="138"/>
      <c r="I25" s="138"/>
      <c r="J25" s="138"/>
    </row>
    <row r="26" spans="2:10" s="10" customFormat="1" ht="15" customHeight="1" x14ac:dyDescent="0.2">
      <c r="B26" s="138" t="s">
        <v>1447</v>
      </c>
      <c r="C26" s="138"/>
      <c r="D26" s="138"/>
      <c r="E26" s="138"/>
      <c r="F26" s="138"/>
      <c r="G26" s="138"/>
      <c r="H26" s="138"/>
      <c r="I26" s="138"/>
      <c r="J26" s="138"/>
    </row>
    <row r="27" spans="2:10" s="10" customFormat="1" ht="15" customHeight="1" x14ac:dyDescent="0.2">
      <c r="B27" s="138"/>
      <c r="C27" s="138"/>
      <c r="D27" s="138"/>
      <c r="E27" s="138"/>
      <c r="F27" s="138"/>
      <c r="G27" s="138"/>
      <c r="H27" s="138"/>
      <c r="I27" s="138"/>
      <c r="J27" s="138"/>
    </row>
    <row r="28" spans="2:10" s="10" customFormat="1" ht="15" customHeight="1" x14ac:dyDescent="0.2">
      <c r="B28" s="1" t="s">
        <v>1448</v>
      </c>
      <c r="C28" s="138"/>
      <c r="D28" s="138"/>
      <c r="E28" s="138"/>
      <c r="F28" s="138"/>
      <c r="G28" s="138"/>
      <c r="H28" s="138"/>
      <c r="I28" s="138"/>
      <c r="J28" s="138"/>
    </row>
    <row r="29" spans="2:10" s="10" customFormat="1" ht="15" customHeight="1" x14ac:dyDescent="0.2">
      <c r="B29" s="138" t="s">
        <v>1449</v>
      </c>
      <c r="C29" s="138"/>
      <c r="D29" s="138"/>
      <c r="E29" s="138"/>
      <c r="F29" s="138"/>
      <c r="G29" s="138"/>
      <c r="H29" s="138"/>
      <c r="I29" s="138"/>
      <c r="J29" s="138"/>
    </row>
    <row r="30" spans="2:10" s="10" customFormat="1" ht="15" customHeight="1" x14ac:dyDescent="0.2">
      <c r="B30" s="138"/>
      <c r="C30" s="138"/>
      <c r="D30" s="138"/>
      <c r="E30" s="138" t="s">
        <v>628</v>
      </c>
      <c r="F30" s="2633"/>
      <c r="G30" s="2633"/>
      <c r="H30" s="1805" t="s">
        <v>620</v>
      </c>
      <c r="I30" s="2633"/>
      <c r="J30" s="2633"/>
    </row>
    <row r="31" spans="2:10" s="10" customFormat="1" ht="15" customHeight="1" x14ac:dyDescent="0.2">
      <c r="B31" s="2731" t="str">
        <f>IF(ISTEXT(F30), "Response for Yes needed", " ")</f>
        <v xml:space="preserve"> </v>
      </c>
      <c r="C31" s="2548"/>
      <c r="D31" s="2548"/>
      <c r="E31" s="138"/>
      <c r="F31" s="138"/>
      <c r="G31" s="1"/>
      <c r="H31" s="138"/>
      <c r="I31" s="2729" t="str">
        <f>IF(AND(ISBLANK(F30),ISBLANK(I30))=TRUE,"Answer Missing"," ")</f>
        <v>Answer Missing</v>
      </c>
      <c r="J31" s="2730"/>
    </row>
    <row r="32" spans="2:10" s="10" customFormat="1" ht="15" customHeight="1" x14ac:dyDescent="0.2">
      <c r="B32" s="138" t="s">
        <v>1450</v>
      </c>
      <c r="C32" s="138"/>
      <c r="D32" s="138"/>
      <c r="E32" s="138"/>
      <c r="F32" s="138"/>
      <c r="G32" s="1"/>
      <c r="H32" s="138"/>
      <c r="I32" s="1"/>
      <c r="J32" s="138"/>
    </row>
    <row r="33" spans="2:11" s="10" customFormat="1" ht="15" customHeight="1" x14ac:dyDescent="0.2">
      <c r="B33" s="138" t="s">
        <v>1451</v>
      </c>
      <c r="C33" s="138"/>
      <c r="D33" s="138"/>
      <c r="E33" s="138"/>
      <c r="F33" s="138"/>
      <c r="G33" s="138"/>
      <c r="H33" s="138"/>
      <c r="I33" s="138"/>
      <c r="J33" s="138"/>
      <c r="K33" s="138"/>
    </row>
    <row r="34" spans="2:11" s="10" customFormat="1" ht="15" customHeight="1" x14ac:dyDescent="0.2">
      <c r="B34" s="138"/>
      <c r="C34" s="138" t="s">
        <v>1452</v>
      </c>
      <c r="D34" s="138"/>
      <c r="E34" s="2733"/>
      <c r="F34" s="2733"/>
      <c r="G34" s="2733"/>
      <c r="H34" s="2733"/>
      <c r="I34" s="2733"/>
      <c r="J34" s="2733"/>
      <c r="K34" s="2733"/>
    </row>
    <row r="35" spans="2:11" s="10" customFormat="1" ht="15" customHeight="1" x14ac:dyDescent="0.2">
      <c r="B35" s="138"/>
      <c r="C35" s="138" t="s">
        <v>1453</v>
      </c>
      <c r="D35" s="138"/>
      <c r="E35" s="2693"/>
      <c r="F35" s="2693"/>
      <c r="G35" s="2693"/>
      <c r="H35" s="2693"/>
      <c r="I35" s="2693"/>
      <c r="J35" s="2693"/>
      <c r="K35" s="2693"/>
    </row>
    <row r="36" spans="2:11" s="10" customFormat="1" ht="15" customHeight="1" x14ac:dyDescent="0.2">
      <c r="B36" s="75"/>
      <c r="C36" s="75"/>
      <c r="D36" s="75"/>
      <c r="E36" s="75"/>
      <c r="F36" s="75"/>
      <c r="G36" s="75"/>
      <c r="H36" s="75"/>
      <c r="I36" s="75"/>
      <c r="J36" s="75"/>
      <c r="K36" s="75"/>
    </row>
    <row r="37" spans="2:11" s="10" customFormat="1" ht="15" customHeight="1" x14ac:dyDescent="0.2">
      <c r="B37" s="2607" t="s">
        <v>1454</v>
      </c>
      <c r="C37" s="2607"/>
      <c r="D37" s="2607"/>
      <c r="E37" s="2607"/>
      <c r="F37" s="2607"/>
      <c r="G37" s="2607"/>
      <c r="H37" s="2607"/>
      <c r="I37" s="2607"/>
      <c r="J37" s="2607"/>
      <c r="K37" s="138"/>
    </row>
    <row r="38" spans="2:11" s="10" customFormat="1" ht="15" customHeight="1" x14ac:dyDescent="0.2">
      <c r="B38" s="138" t="s">
        <v>1455</v>
      </c>
      <c r="C38" s="138"/>
      <c r="D38" s="138"/>
      <c r="E38" s="138"/>
      <c r="F38" s="138"/>
      <c r="G38" s="138"/>
      <c r="H38" s="138"/>
      <c r="I38" s="138"/>
      <c r="J38" s="138"/>
      <c r="K38" s="138"/>
    </row>
    <row r="39" spans="2:11" s="10" customFormat="1" ht="15" customHeight="1" x14ac:dyDescent="0.2">
      <c r="B39" s="138"/>
      <c r="C39" s="138"/>
      <c r="D39" s="138"/>
      <c r="E39" s="138" t="s">
        <v>628</v>
      </c>
      <c r="F39" s="2633"/>
      <c r="G39" s="2633"/>
      <c r="H39" s="1805" t="s">
        <v>620</v>
      </c>
      <c r="I39" s="2633"/>
      <c r="J39" s="2633"/>
      <c r="K39" s="138"/>
    </row>
    <row r="40" spans="2:11" s="10" customFormat="1" ht="15" customHeight="1" x14ac:dyDescent="0.2">
      <c r="B40" s="2731" t="str">
        <f>IF(ISTEXT(F39), "Response for Yes needed", " ")</f>
        <v xml:space="preserve"> </v>
      </c>
      <c r="C40" s="2548"/>
      <c r="D40" s="2548"/>
      <c r="E40" s="138"/>
      <c r="F40" s="138"/>
      <c r="G40" s="1"/>
      <c r="H40" s="138"/>
      <c r="I40" s="2729" t="str">
        <f>IF(AND(ISBLANK(F39),ISBLANK(I39))=TRUE,"Answer Missing"," ")</f>
        <v>Answer Missing</v>
      </c>
      <c r="J40" s="2730"/>
      <c r="K40" s="138"/>
    </row>
    <row r="41" spans="2:11" s="10" customFormat="1" ht="15" customHeight="1" x14ac:dyDescent="0.2">
      <c r="B41" s="138" t="s">
        <v>1456</v>
      </c>
      <c r="C41" s="138"/>
      <c r="D41" s="138"/>
      <c r="E41" s="138"/>
      <c r="F41" s="138"/>
      <c r="G41" s="1"/>
      <c r="H41" s="138"/>
      <c r="I41" s="1"/>
      <c r="J41" s="138"/>
      <c r="K41" s="138"/>
    </row>
    <row r="42" spans="2:11" s="10" customFormat="1" ht="15" customHeight="1" x14ac:dyDescent="0.2">
      <c r="B42" s="138" t="s">
        <v>1457</v>
      </c>
      <c r="C42" s="138"/>
      <c r="D42" s="138"/>
      <c r="E42" s="138"/>
      <c r="F42" s="138"/>
      <c r="G42" s="1"/>
      <c r="H42" s="138"/>
      <c r="I42" s="1"/>
      <c r="J42" s="138"/>
      <c r="K42" s="138"/>
    </row>
    <row r="43" spans="2:11" s="10" customFormat="1" ht="15" customHeight="1" x14ac:dyDescent="0.2">
      <c r="B43" s="2632" t="s">
        <v>1458</v>
      </c>
      <c r="C43" s="2632"/>
      <c r="D43" s="2733"/>
      <c r="E43" s="2733"/>
      <c r="F43" s="2733"/>
      <c r="G43" s="2733"/>
      <c r="H43" s="1805" t="s">
        <v>1459</v>
      </c>
      <c r="I43" s="2732"/>
      <c r="J43" s="2732"/>
      <c r="K43" s="2732"/>
    </row>
    <row r="44" spans="2:11" s="10" customFormat="1" ht="15" customHeight="1" x14ac:dyDescent="0.2">
      <c r="B44" s="75"/>
      <c r="C44" s="75"/>
      <c r="D44" s="75"/>
      <c r="E44" s="75"/>
      <c r="F44" s="75"/>
      <c r="G44" s="75"/>
      <c r="H44" s="75"/>
      <c r="I44" s="75"/>
      <c r="J44" s="75"/>
      <c r="K44" s="75"/>
    </row>
    <row r="45" spans="2:11" s="10" customFormat="1" ht="15" customHeight="1" x14ac:dyDescent="0.2">
      <c r="B45" s="2607" t="s">
        <v>1460</v>
      </c>
      <c r="C45" s="2607"/>
      <c r="D45" s="2607"/>
      <c r="E45" s="2607"/>
      <c r="F45" s="2607"/>
      <c r="G45" s="2607"/>
      <c r="H45" s="2607"/>
      <c r="I45" s="2607"/>
      <c r="J45" s="2607"/>
      <c r="K45" s="138"/>
    </row>
    <row r="46" spans="2:11" s="10" customFormat="1" ht="15" customHeight="1" x14ac:dyDescent="0.2">
      <c r="B46" s="138" t="s">
        <v>1461</v>
      </c>
      <c r="C46" s="138"/>
      <c r="D46" s="138"/>
      <c r="E46" s="138"/>
      <c r="F46" s="138"/>
      <c r="G46" s="1"/>
      <c r="H46" s="138"/>
      <c r="I46" s="1"/>
      <c r="J46" s="138"/>
      <c r="K46" s="138"/>
    </row>
    <row r="47" spans="2:11" s="10" customFormat="1" ht="15" customHeight="1" x14ac:dyDescent="0.2">
      <c r="B47" s="138" t="s">
        <v>1462</v>
      </c>
      <c r="C47" s="138"/>
      <c r="D47" s="138"/>
      <c r="E47" s="138"/>
      <c r="F47" s="138"/>
      <c r="G47" s="1"/>
      <c r="H47" s="138"/>
      <c r="I47" s="1"/>
      <c r="J47" s="138"/>
      <c r="K47" s="138"/>
    </row>
    <row r="48" spans="2:11" s="10" customFormat="1" ht="15" customHeight="1" x14ac:dyDescent="0.2">
      <c r="B48" s="2632"/>
      <c r="C48" s="2632"/>
      <c r="D48" s="2398"/>
      <c r="E48" s="2398"/>
      <c r="F48" s="2398"/>
      <c r="G48" s="1091"/>
      <c r="H48" s="2398"/>
      <c r="I48" s="1091"/>
      <c r="J48" s="2398"/>
      <c r="K48" s="2398"/>
    </row>
    <row r="49" spans="1:11" s="10" customFormat="1" ht="15" customHeight="1" x14ac:dyDescent="0.2">
      <c r="A49" s="138"/>
      <c r="B49" s="1"/>
      <c r="C49" s="1"/>
      <c r="D49" s="1"/>
      <c r="E49" s="1"/>
      <c r="F49" s="1"/>
      <c r="G49" s="1"/>
      <c r="H49" s="1"/>
      <c r="I49" s="1"/>
      <c r="J49" s="1"/>
      <c r="K49" s="1"/>
    </row>
    <row r="50" spans="1:11" s="10" customFormat="1" ht="15" customHeight="1" x14ac:dyDescent="0.2">
      <c r="A50" s="138"/>
      <c r="B50" s="1" t="s">
        <v>1463</v>
      </c>
      <c r="C50" s="2364"/>
      <c r="D50" s="1"/>
      <c r="E50" s="1"/>
      <c r="F50" s="1"/>
      <c r="G50" s="1"/>
      <c r="H50" s="1"/>
      <c r="I50" s="1"/>
      <c r="J50" s="1"/>
      <c r="K50" s="1"/>
    </row>
    <row r="51" spans="1:11" s="10" customFormat="1" ht="15" customHeight="1" x14ac:dyDescent="0.2">
      <c r="A51" s="138"/>
      <c r="B51" s="138" t="s">
        <v>1464</v>
      </c>
      <c r="C51" s="138"/>
      <c r="D51" s="138"/>
      <c r="E51" s="138"/>
      <c r="F51" s="138"/>
      <c r="G51" s="138"/>
      <c r="H51" s="138"/>
      <c r="I51" s="138"/>
      <c r="J51" s="138"/>
      <c r="K51" s="138" t="s">
        <v>1465</v>
      </c>
    </row>
    <row r="52" spans="1:11" s="10" customFormat="1" ht="15" customHeight="1" x14ac:dyDescent="0.2">
      <c r="A52" s="138"/>
      <c r="B52" s="138" t="s">
        <v>1466</v>
      </c>
      <c r="C52" s="138"/>
      <c r="D52" s="138"/>
      <c r="E52" s="138"/>
      <c r="F52" s="138"/>
      <c r="G52" s="138"/>
      <c r="H52" s="138"/>
      <c r="I52" s="138"/>
      <c r="J52" s="138"/>
      <c r="K52" s="2301"/>
    </row>
    <row r="53" spans="1:11" s="10" customFormat="1" ht="15" customHeight="1" x14ac:dyDescent="0.2">
      <c r="A53" s="138"/>
      <c r="B53" s="138" t="s">
        <v>1467</v>
      </c>
      <c r="C53" s="138"/>
      <c r="D53" s="138"/>
      <c r="E53" s="138"/>
      <c r="F53" s="138"/>
      <c r="G53" s="138"/>
      <c r="H53" s="138"/>
      <c r="I53" s="138"/>
      <c r="J53" s="138"/>
      <c r="K53" s="1024"/>
    </row>
    <row r="54" spans="1:11" s="10" customFormat="1" ht="15" customHeight="1" x14ac:dyDescent="0.2">
      <c r="A54" s="138"/>
      <c r="B54" s="138" t="s">
        <v>1468</v>
      </c>
      <c r="C54" s="138"/>
      <c r="D54" s="138"/>
      <c r="E54" s="138"/>
      <c r="F54" s="138"/>
      <c r="G54" s="138"/>
      <c r="H54" s="138"/>
      <c r="I54" s="138"/>
      <c r="J54" s="2547" t="str">
        <f>IF(AND(ISBLANK(K52),ISBLANK(K53))=TRUE,"Answer Missing"," ")</f>
        <v>Answer Missing</v>
      </c>
      <c r="K54" s="2548"/>
    </row>
    <row r="55" spans="1:11" s="10" customFormat="1" ht="15" customHeight="1" x14ac:dyDescent="0.2">
      <c r="A55" s="138"/>
      <c r="B55" s="138"/>
      <c r="C55" s="138"/>
      <c r="D55" s="138"/>
      <c r="E55" s="138"/>
      <c r="F55" s="138"/>
      <c r="G55" s="138"/>
      <c r="H55" s="138"/>
      <c r="I55" s="138"/>
      <c r="J55" s="138"/>
      <c r="K55" s="138"/>
    </row>
    <row r="56" spans="1:11" s="10" customFormat="1" ht="15" customHeight="1" x14ac:dyDescent="0.2">
      <c r="A56" s="138"/>
      <c r="B56" s="138"/>
      <c r="C56" s="138"/>
      <c r="D56" s="138"/>
      <c r="E56" s="138"/>
      <c r="F56" s="138"/>
      <c r="G56" s="138"/>
      <c r="H56" s="138"/>
      <c r="I56" s="138"/>
      <c r="J56" s="138"/>
      <c r="K56" s="138"/>
    </row>
    <row r="57" spans="1:11" s="10" customFormat="1" ht="15" x14ac:dyDescent="0.2">
      <c r="A57" s="421"/>
      <c r="B57" s="421"/>
      <c r="C57" s="138"/>
      <c r="D57" s="421"/>
      <c r="E57" s="138"/>
      <c r="F57" s="138"/>
      <c r="G57" s="138"/>
      <c r="H57" s="138"/>
      <c r="I57" s="138"/>
      <c r="J57" s="138"/>
      <c r="K57" s="138"/>
    </row>
    <row r="58" spans="1:11" s="10" customFormat="1" ht="15" x14ac:dyDescent="0.2">
      <c r="A58" s="421"/>
      <c r="B58" s="421"/>
      <c r="C58" s="138"/>
      <c r="D58" s="421"/>
      <c r="E58" s="138"/>
      <c r="F58" s="138"/>
      <c r="G58" s="138"/>
      <c r="H58" s="138"/>
      <c r="I58" s="138"/>
      <c r="J58" s="138"/>
      <c r="K58" s="138"/>
    </row>
    <row r="59" spans="1:11" s="10" customFormat="1" ht="15" x14ac:dyDescent="0.2">
      <c r="A59" s="421"/>
      <c r="B59" s="421"/>
      <c r="C59" s="138"/>
      <c r="D59" s="421"/>
      <c r="E59" s="138"/>
      <c r="F59" s="138"/>
      <c r="G59" s="138"/>
      <c r="H59" s="138"/>
      <c r="I59" s="138"/>
      <c r="J59" s="138"/>
      <c r="K59" s="138"/>
    </row>
    <row r="60" spans="1:11" s="10" customFormat="1" ht="15" x14ac:dyDescent="0.2">
      <c r="A60" s="421"/>
      <c r="B60" s="421"/>
      <c r="C60" s="138"/>
      <c r="D60" s="421"/>
      <c r="E60" s="138"/>
      <c r="F60" s="138"/>
      <c r="G60" s="138"/>
      <c r="H60" s="138"/>
      <c r="I60" s="138"/>
      <c r="J60" s="138"/>
      <c r="K60" s="138"/>
    </row>
    <row r="61" spans="1:11" s="10" customFormat="1" ht="15" x14ac:dyDescent="0.2">
      <c r="A61" s="421"/>
      <c r="B61" s="421"/>
      <c r="C61" s="138"/>
      <c r="D61" s="421"/>
      <c r="E61" s="138"/>
      <c r="F61" s="138"/>
      <c r="G61" s="138"/>
      <c r="H61" s="138"/>
      <c r="I61" s="138"/>
      <c r="J61" s="138"/>
      <c r="K61" s="138"/>
    </row>
    <row r="62" spans="1:11" s="10" customFormat="1" ht="15" x14ac:dyDescent="0.2">
      <c r="A62" s="421"/>
      <c r="B62" s="421"/>
      <c r="C62" s="138"/>
      <c r="D62" s="421"/>
      <c r="E62" s="138"/>
      <c r="F62" s="138"/>
      <c r="G62" s="138"/>
      <c r="H62" s="138"/>
      <c r="I62" s="138"/>
      <c r="J62" s="138"/>
      <c r="K62" s="138"/>
    </row>
    <row r="63" spans="1:11" s="10" customFormat="1" ht="15" x14ac:dyDescent="0.2">
      <c r="A63" s="421"/>
      <c r="B63" s="421"/>
      <c r="C63" s="138"/>
      <c r="D63" s="421"/>
      <c r="E63" s="138"/>
      <c r="F63" s="138"/>
      <c r="G63" s="138"/>
      <c r="H63" s="138"/>
      <c r="I63" s="138"/>
      <c r="J63" s="138"/>
      <c r="K63" s="138"/>
    </row>
    <row r="64" spans="1:11" s="10" customFormat="1" ht="15" x14ac:dyDescent="0.2">
      <c r="A64" s="421"/>
      <c r="B64" s="421"/>
      <c r="C64" s="138"/>
      <c r="D64" s="421"/>
      <c r="E64" s="138"/>
      <c r="F64" s="138"/>
      <c r="G64" s="138"/>
      <c r="H64" s="138"/>
      <c r="I64" s="138"/>
      <c r="J64" s="138"/>
      <c r="K64" s="138"/>
    </row>
    <row r="65" spans="1:4" s="10" customFormat="1" ht="16.350000000000001" customHeight="1" x14ac:dyDescent="0.2">
      <c r="A65" s="421"/>
      <c r="B65" s="421"/>
      <c r="C65" s="138"/>
      <c r="D65" s="421"/>
    </row>
    <row r="66" spans="1:4" s="10" customFormat="1" ht="15" x14ac:dyDescent="0.2">
      <c r="A66" s="421"/>
      <c r="B66" s="421"/>
      <c r="C66" s="138"/>
      <c r="D66" s="421"/>
    </row>
    <row r="67" spans="1:4" s="10" customFormat="1" ht="15" x14ac:dyDescent="0.2">
      <c r="A67" s="421"/>
      <c r="B67" s="421"/>
      <c r="C67" s="138"/>
      <c r="D67" s="421"/>
    </row>
    <row r="68" spans="1:4" s="10" customFormat="1" ht="10.35" customHeight="1" x14ac:dyDescent="0.2">
      <c r="A68" s="138"/>
      <c r="B68" s="138"/>
      <c r="C68" s="138"/>
      <c r="D68" s="138"/>
    </row>
    <row r="69" spans="1:4" s="10" customFormat="1" x14ac:dyDescent="0.2">
      <c r="A69" s="138"/>
      <c r="B69" s="138"/>
      <c r="C69" s="138"/>
      <c r="D69" s="138"/>
    </row>
    <row r="70" spans="1:4" s="10" customFormat="1" x14ac:dyDescent="0.2">
      <c r="A70" s="138"/>
      <c r="B70" s="138"/>
      <c r="C70" s="138"/>
      <c r="D70" s="138"/>
    </row>
    <row r="71" spans="1:4" s="10" customFormat="1" ht="6" customHeight="1" x14ac:dyDescent="0.2">
      <c r="A71" s="138"/>
      <c r="B71" s="138"/>
      <c r="C71" s="138"/>
      <c r="D71" s="138"/>
    </row>
    <row r="72" spans="1:4" s="10" customFormat="1" ht="12.75" customHeight="1" x14ac:dyDescent="0.2">
      <c r="A72" s="138"/>
      <c r="B72" s="138"/>
      <c r="C72" s="138"/>
      <c r="D72" s="138"/>
    </row>
    <row r="73" spans="1:4" s="10" customFormat="1" x14ac:dyDescent="0.2">
      <c r="A73" s="138"/>
      <c r="B73" s="138"/>
      <c r="C73" s="138"/>
      <c r="D73" s="138"/>
    </row>
    <row r="76" spans="1:4" ht="10.35" customHeight="1" x14ac:dyDescent="0.2"/>
    <row r="77" spans="1:4" ht="12.75" customHeight="1" x14ac:dyDescent="0.2"/>
    <row r="79" spans="1:4" ht="16.350000000000001" customHeight="1" x14ac:dyDescent="0.2"/>
    <row r="80" spans="1:4" ht="6" customHeight="1" x14ac:dyDescent="0.2"/>
    <row r="82" ht="6" customHeight="1" x14ac:dyDescent="0.2"/>
    <row r="83" ht="10.35" customHeight="1" x14ac:dyDescent="0.2"/>
    <row r="84" ht="10.35" customHeight="1" x14ac:dyDescent="0.2"/>
    <row r="85" ht="10.35" customHeight="1" x14ac:dyDescent="0.2"/>
    <row r="86" ht="10.35" customHeight="1" x14ac:dyDescent="0.2"/>
    <row r="87" ht="10.35" customHeight="1" x14ac:dyDescent="0.2"/>
    <row r="88" ht="10.35" customHeight="1" x14ac:dyDescent="0.2"/>
    <row r="89" ht="10.35" customHeight="1" x14ac:dyDescent="0.2"/>
    <row r="90" ht="10.35" customHeight="1" x14ac:dyDescent="0.2"/>
    <row r="91" ht="10.35" customHeight="1" x14ac:dyDescent="0.2"/>
    <row r="92" ht="6" customHeight="1" x14ac:dyDescent="0.2"/>
    <row r="93" ht="10.35" customHeight="1" x14ac:dyDescent="0.2"/>
    <row r="94" ht="10.35" customHeight="1" x14ac:dyDescent="0.2"/>
    <row r="95" ht="10.35" customHeight="1" x14ac:dyDescent="0.2"/>
    <row r="96" ht="10.35" customHeight="1" x14ac:dyDescent="0.2"/>
    <row r="97" ht="10.35" customHeight="1" x14ac:dyDescent="0.2"/>
    <row r="98" ht="6" customHeight="1" x14ac:dyDescent="0.2"/>
    <row r="99" ht="10.35" customHeight="1" x14ac:dyDescent="0.2"/>
    <row r="100" ht="6" customHeight="1" x14ac:dyDescent="0.2"/>
    <row r="103" ht="10.35" customHeight="1" x14ac:dyDescent="0.2"/>
  </sheetData>
  <sheetProtection algorithmName="SHA-512" hashValue="6sk29vjLPy9pZFN9EWSV9Q50SKEudRzSeIMhCUOoOJDJg6E/TeDI6rBXsgY+jDDCsQhqilz6ieHlyBcr3RkoDQ==" saltValue="3+mVWTSsEfIGkW888NAhwg==" spinCount="100000" sheet="1" autoFilter="0"/>
  <customSheetViews>
    <customSheetView guid="{9FCFC836-1CA5-48BF-958D-24D2EA94B219}" showGridLines="0" fitToPage="1" hiddenColumns="1" topLeftCell="B1">
      <selection activeCell="B12" sqref="B12"/>
      <pageMargins left="0" right="0" top="0" bottom="0" header="0" footer="0"/>
      <pageSetup scale="91" orientation="portrait" r:id="rId1"/>
      <headerFooter alignWithMargins="0">
        <oddFooter>&amp;R&amp;A</oddFooter>
      </headerFooter>
    </customSheetView>
    <customSheetView guid="{BEA4BE86-04D1-4C96-9358-7A260B9D2B2D}" showGridLines="0" fitToPage="1" showRuler="0">
      <selection activeCell="A12" sqref="A12"/>
      <pageMargins left="0" right="0" top="0" bottom="0" header="0" footer="0"/>
      <pageSetup scale="92" orientation="portrait" r:id="rId2"/>
      <headerFooter alignWithMargins="0">
        <oddFooter>&amp;R&amp;A</oddFooter>
      </headerFooter>
    </customSheetView>
    <customSheetView guid="{1250FD07-FF56-4A9D-AF9E-C27124A7EBE9}" showGridLines="0" fitToPage="1" showRuler="0">
      <selection activeCell="A12" sqref="A12"/>
      <pageMargins left="0" right="0" top="0" bottom="0" header="0" footer="0"/>
      <pageSetup scale="92" orientation="portrait" r:id="rId3"/>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ageSetup scale="91" orientation="portrait" r:id="rId4"/>
      <headerFooter alignWithMargins="0">
        <oddFooter>&amp;R&amp;A</oddFooter>
      </headerFooter>
    </customSheetView>
  </customSheetViews>
  <mergeCells count="28">
    <mergeCell ref="J54:K54"/>
    <mergeCell ref="I40:J40"/>
    <mergeCell ref="I31:J31"/>
    <mergeCell ref="B31:D31"/>
    <mergeCell ref="B40:D40"/>
    <mergeCell ref="B48:C48"/>
    <mergeCell ref="B45:J45"/>
    <mergeCell ref="E35:K35"/>
    <mergeCell ref="B43:C43"/>
    <mergeCell ref="I39:J39"/>
    <mergeCell ref="I43:K43"/>
    <mergeCell ref="B37:J37"/>
    <mergeCell ref="E34:K34"/>
    <mergeCell ref="D43:G43"/>
    <mergeCell ref="F39:G39"/>
    <mergeCell ref="L1:L3"/>
    <mergeCell ref="B1:K1"/>
    <mergeCell ref="B2:K2"/>
    <mergeCell ref="B3:K3"/>
    <mergeCell ref="H5:K5"/>
    <mergeCell ref="D5:E5"/>
    <mergeCell ref="D7:E7"/>
    <mergeCell ref="H6:K6"/>
    <mergeCell ref="B21:J21"/>
    <mergeCell ref="H7:K7"/>
    <mergeCell ref="I30:J30"/>
    <mergeCell ref="H8:K8"/>
    <mergeCell ref="F30:G30"/>
  </mergeCells>
  <phoneticPr fontId="18" type="noConversion"/>
  <conditionalFormatting sqref="B31">
    <cfRule type="containsText" dxfId="119" priority="3" stopIfTrue="1" operator="containsText" text="Response for Yes needed">
      <formula>NOT(ISERROR(SEARCH("Response for Yes needed",B31)))</formula>
    </cfRule>
    <cfRule type="containsText" dxfId="118" priority="4" stopIfTrue="1" operator="containsText" text="Response for Yes needed">
      <formula>NOT(ISERROR(SEARCH("Response for Yes needed",B31)))</formula>
    </cfRule>
  </conditionalFormatting>
  <conditionalFormatting sqref="B40">
    <cfRule type="containsText" dxfId="117" priority="1" stopIfTrue="1" operator="containsText" text="Response for Yes needed">
      <formula>NOT(ISERROR(SEARCH("Response for Yes needed",B40)))</formula>
    </cfRule>
    <cfRule type="containsText" dxfId="116" priority="2" stopIfTrue="1" operator="containsText" text="Response for Yes needed">
      <formula>NOT(ISERROR(SEARCH("Response for Yes needed",B40)))</formula>
    </cfRule>
  </conditionalFormatting>
  <conditionalFormatting sqref="I31:J31">
    <cfRule type="containsText" dxfId="115" priority="6" stopIfTrue="1" operator="containsText" text="Answer Missing">
      <formula>NOT(ISERROR(SEARCH("Answer Missing",I31)))</formula>
    </cfRule>
  </conditionalFormatting>
  <conditionalFormatting sqref="I40:J40">
    <cfRule type="containsText" dxfId="114" priority="5" stopIfTrue="1" operator="containsText" text="Answer Missing">
      <formula>NOT(ISERROR(SEARCH("Answer Missing",I40)))</formula>
    </cfRule>
  </conditionalFormatting>
  <conditionalFormatting sqref="J54:K54">
    <cfRule type="containsText" dxfId="113" priority="7" stopIfTrue="1" operator="containsText" text="Answer Missing">
      <formula>NOT(ISERROR(SEARCH("Answer Missing",J54)))</formula>
    </cfRule>
  </conditionalFormatting>
  <conditionalFormatting sqref="L1:L3">
    <cfRule type="cellIs" dxfId="112" priority="8" stopIfTrue="1" operator="equal">
      <formula>"na"</formula>
    </cfRule>
  </conditionalFormatting>
  <hyperlinks>
    <hyperlink ref="B1:K1" location="Index!A1" display="Index!A1" xr:uid="{00000000-0004-0000-1700-000000000000}"/>
  </hyperlinks>
  <pageMargins left="0.6" right="0.6" top="0.5" bottom="0.5" header="0.3" footer="0.3"/>
  <pageSetup scale="85" orientation="portrait" r:id="rId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dimension ref="A1:U140"/>
  <sheetViews>
    <sheetView showGridLines="0" zoomScaleNormal="100" workbookViewId="0">
      <selection activeCell="A2" sqref="A2:G2"/>
    </sheetView>
  </sheetViews>
  <sheetFormatPr defaultColWidth="16.5703125" defaultRowHeight="12.75" x14ac:dyDescent="0.2"/>
  <cols>
    <col min="1" max="1" width="11.42578125" style="27" customWidth="1"/>
    <col min="2" max="2" width="3.42578125" style="27" customWidth="1"/>
    <col min="3" max="3" width="13.5703125" style="27" customWidth="1"/>
    <col min="4" max="4" width="17.5703125" style="27" customWidth="1"/>
    <col min="5" max="5" width="23.140625" style="27" customWidth="1"/>
    <col min="6" max="6" width="1.5703125" style="27" customWidth="1"/>
    <col min="7" max="7" width="27.5703125" style="27" customWidth="1"/>
    <col min="8" max="8" width="4.5703125" style="27" customWidth="1"/>
    <col min="9" max="19" width="9.42578125" style="27" customWidth="1"/>
    <col min="20" max="16384" width="16.5703125" style="27"/>
  </cols>
  <sheetData>
    <row r="1" spans="1:21" s="384" customFormat="1" ht="15" customHeight="1" x14ac:dyDescent="0.25">
      <c r="A1" s="2553" t="str">
        <f>+Index!$A$1</f>
        <v xml:space="preserve">                                                               Office of the State Controller                                                                </v>
      </c>
      <c r="B1" s="2553"/>
      <c r="C1" s="2553"/>
      <c r="D1" s="2553"/>
      <c r="E1" s="2553"/>
      <c r="F1" s="2553"/>
      <c r="G1" s="2553"/>
      <c r="H1" s="2554" t="str">
        <f>IF(Index!$B$48="na","NA","")</f>
        <v/>
      </c>
      <c r="I1" s="383"/>
      <c r="J1" s="383"/>
      <c r="K1" s="383"/>
      <c r="L1" s="383"/>
      <c r="M1" s="1630"/>
      <c r="N1" s="1630"/>
      <c r="O1" s="1630"/>
      <c r="P1" s="1630"/>
      <c r="Q1" s="1630"/>
      <c r="R1" s="1630"/>
      <c r="S1" s="1630"/>
      <c r="T1" s="1630"/>
      <c r="U1" s="1630"/>
    </row>
    <row r="2" spans="1:21" s="384" customFormat="1" ht="15" customHeight="1" x14ac:dyDescent="0.3">
      <c r="A2" s="2736" t="str">
        <f>+Index!$A$2</f>
        <v>2024 ACFR Worksheets</v>
      </c>
      <c r="B2" s="2736"/>
      <c r="C2" s="2736"/>
      <c r="D2" s="2736"/>
      <c r="E2" s="2736"/>
      <c r="F2" s="2736"/>
      <c r="G2" s="2736"/>
      <c r="H2" s="2554"/>
      <c r="I2" s="383"/>
      <c r="J2" s="383"/>
      <c r="K2" s="383"/>
      <c r="L2" s="383"/>
      <c r="M2" s="1630"/>
      <c r="N2" s="1630"/>
      <c r="O2" s="1630"/>
      <c r="P2" s="1630"/>
      <c r="Q2" s="1630"/>
      <c r="R2" s="1630"/>
      <c r="S2" s="1630"/>
      <c r="T2" s="1630"/>
      <c r="U2" s="1630"/>
    </row>
    <row r="3" spans="1:21" s="384" customFormat="1" ht="15" customHeight="1" x14ac:dyDescent="0.3">
      <c r="A3" s="2736" t="s">
        <v>1469</v>
      </c>
      <c r="B3" s="2736"/>
      <c r="C3" s="2736"/>
      <c r="D3" s="2736"/>
      <c r="E3" s="2736"/>
      <c r="F3" s="2736"/>
      <c r="G3" s="2736"/>
      <c r="H3" s="2554"/>
      <c r="I3" s="383"/>
      <c r="J3" s="383"/>
      <c r="K3" s="383"/>
      <c r="L3" s="383"/>
      <c r="M3" s="1630"/>
      <c r="N3" s="1630"/>
      <c r="O3" s="1630"/>
      <c r="P3" s="1630"/>
      <c r="Q3" s="1630"/>
      <c r="R3" s="1630"/>
      <c r="S3" s="1630"/>
      <c r="T3" s="1630"/>
      <c r="U3" s="1630"/>
    </row>
    <row r="4" spans="1:21" s="386" customFormat="1" ht="15" customHeight="1" x14ac:dyDescent="0.3">
      <c r="A4" s="1631"/>
      <c r="B4" s="1631"/>
      <c r="C4" s="1631"/>
      <c r="D4" s="1631"/>
      <c r="F4" s="236"/>
      <c r="G4" s="236"/>
      <c r="H4" s="1631"/>
      <c r="I4" s="385"/>
      <c r="J4" s="385"/>
      <c r="K4" s="385"/>
      <c r="L4" s="385"/>
      <c r="M4" s="27"/>
      <c r="N4" s="27"/>
      <c r="O4" s="27"/>
      <c r="P4" s="27"/>
      <c r="Q4" s="27"/>
      <c r="R4" s="27"/>
      <c r="S4" s="27"/>
      <c r="T4" s="27"/>
      <c r="U4" s="27"/>
    </row>
    <row r="5" spans="1:21" s="78" customFormat="1" ht="15" customHeight="1" x14ac:dyDescent="0.2">
      <c r="A5" s="1515"/>
      <c r="B5" s="1516"/>
      <c r="C5" s="1517"/>
      <c r="D5" s="1516"/>
      <c r="E5" s="1518" t="s">
        <v>318</v>
      </c>
      <c r="F5" s="27"/>
      <c r="G5" s="1519" t="str">
        <f>+Index!$E$10</f>
        <v>01</v>
      </c>
      <c r="H5" s="1516"/>
      <c r="I5" s="79" t="s">
        <v>50</v>
      </c>
      <c r="J5" s="79"/>
      <c r="K5" s="79"/>
      <c r="L5" s="1516"/>
      <c r="M5" s="27"/>
      <c r="N5" s="27"/>
      <c r="O5" s="27"/>
      <c r="P5" s="27"/>
      <c r="Q5" s="27"/>
      <c r="R5" s="27"/>
      <c r="S5" s="27"/>
      <c r="T5" s="27"/>
      <c r="U5" s="27"/>
    </row>
    <row r="6" spans="1:21" s="78" customFormat="1" ht="15" customHeight="1" x14ac:dyDescent="0.2">
      <c r="A6" s="27"/>
      <c r="B6" s="27"/>
      <c r="C6" s="27"/>
      <c r="D6" s="27"/>
      <c r="E6" s="1518" t="s">
        <v>319</v>
      </c>
      <c r="F6" s="27"/>
      <c r="G6" s="1519" t="str">
        <f>+Index!$E$11</f>
        <v>North Carolina General Assembly</v>
      </c>
      <c r="H6" s="1517"/>
      <c r="I6" s="1517"/>
      <c r="J6" s="1517"/>
      <c r="K6" s="27"/>
      <c r="L6" s="27"/>
      <c r="M6" s="27"/>
      <c r="N6" s="27"/>
      <c r="O6" s="27"/>
      <c r="P6" s="27"/>
      <c r="Q6" s="27"/>
      <c r="R6" s="27"/>
      <c r="S6" s="27"/>
      <c r="T6" s="27"/>
      <c r="U6" s="27"/>
    </row>
    <row r="7" spans="1:21" s="78" customFormat="1" ht="15" customHeight="1" x14ac:dyDescent="0.25">
      <c r="A7" s="27" t="s">
        <v>545</v>
      </c>
      <c r="B7" s="27"/>
      <c r="C7" s="1632" t="s">
        <v>498</v>
      </c>
      <c r="D7" s="27"/>
      <c r="E7" s="1518" t="s">
        <v>320</v>
      </c>
      <c r="F7" s="27"/>
      <c r="G7" s="1520" t="str">
        <f>CONCATENATE(Index!$E$12," ",Index!$E$14)</f>
        <v xml:space="preserve"> </v>
      </c>
      <c r="H7" s="1517"/>
      <c r="I7" s="385"/>
      <c r="J7" s="385"/>
      <c r="K7" s="27"/>
      <c r="L7" s="27"/>
      <c r="M7" s="27"/>
      <c r="N7" s="27"/>
      <c r="O7" s="27"/>
      <c r="P7" s="27"/>
      <c r="Q7" s="27"/>
      <c r="R7" s="27"/>
      <c r="S7" s="27"/>
      <c r="T7" s="27"/>
      <c r="U7" s="27"/>
    </row>
    <row r="8" spans="1:21" s="78" customFormat="1" ht="15" customHeight="1" x14ac:dyDescent="0.25">
      <c r="A8" s="27"/>
      <c r="B8" s="27"/>
      <c r="C8" s="1517"/>
      <c r="D8" s="27"/>
      <c r="E8" s="1518" t="s">
        <v>168</v>
      </c>
      <c r="F8" s="27"/>
      <c r="G8" s="2299">
        <f>+Index!$E$13</f>
        <v>0</v>
      </c>
      <c r="H8" s="1517"/>
      <c r="I8" s="385"/>
      <c r="J8" s="385"/>
      <c r="K8" s="27"/>
      <c r="L8" s="27"/>
      <c r="M8" s="27"/>
      <c r="N8" s="27"/>
      <c r="O8" s="27"/>
      <c r="P8" s="27"/>
      <c r="Q8" s="27"/>
      <c r="R8" s="27"/>
      <c r="S8" s="27"/>
      <c r="T8" s="27"/>
      <c r="U8" s="27"/>
    </row>
    <row r="9" spans="1:21" s="78" customFormat="1" ht="6.75" customHeight="1" thickBot="1" x14ac:dyDescent="0.25">
      <c r="A9" s="1523"/>
      <c r="B9" s="1523"/>
      <c r="C9" s="1523"/>
      <c r="D9" s="1523"/>
      <c r="E9" s="1523"/>
      <c r="F9" s="1523"/>
      <c r="G9" s="1523"/>
      <c r="H9" s="27"/>
      <c r="I9" s="27"/>
      <c r="J9" s="27"/>
      <c r="K9" s="27"/>
      <c r="L9" s="27"/>
      <c r="M9" s="27"/>
      <c r="N9" s="27"/>
      <c r="O9" s="27"/>
      <c r="P9" s="27"/>
      <c r="Q9" s="27"/>
      <c r="R9" s="27"/>
      <c r="S9" s="27"/>
      <c r="T9" s="27"/>
      <c r="U9" s="27"/>
    </row>
    <row r="10" spans="1:21" s="78" customFormat="1" ht="12.75" customHeight="1" thickBot="1" x14ac:dyDescent="0.25">
      <c r="A10" s="27"/>
      <c r="B10" s="27"/>
      <c r="C10" s="27"/>
      <c r="D10" s="27"/>
      <c r="E10" s="27"/>
      <c r="F10" s="27"/>
      <c r="G10" s="27"/>
      <c r="H10" s="27"/>
      <c r="I10" s="27"/>
      <c r="J10" s="27"/>
      <c r="K10" s="27"/>
      <c r="L10" s="27"/>
      <c r="M10" s="27"/>
      <c r="N10" s="27"/>
      <c r="O10" s="27"/>
      <c r="P10" s="27"/>
      <c r="Q10" s="27"/>
      <c r="R10" s="27"/>
      <c r="S10" s="27"/>
      <c r="T10" s="27"/>
      <c r="U10" s="27"/>
    </row>
    <row r="11" spans="1:21" s="78" customFormat="1" ht="12.75" customHeight="1" thickTop="1" x14ac:dyDescent="0.2">
      <c r="A11" s="786" t="s">
        <v>1470</v>
      </c>
      <c r="B11" s="1633"/>
      <c r="C11" s="1633"/>
      <c r="D11" s="1633"/>
      <c r="E11" s="1634"/>
      <c r="F11" s="1634"/>
      <c r="G11" s="1635"/>
      <c r="H11" s="27"/>
      <c r="I11" s="27"/>
      <c r="J11" s="27"/>
      <c r="K11" s="27"/>
      <c r="L11" s="27"/>
      <c r="M11" s="27"/>
      <c r="N11" s="27"/>
      <c r="O11" s="27"/>
      <c r="P11" s="27"/>
      <c r="Q11" s="27"/>
      <c r="R11" s="27"/>
      <c r="S11" s="27"/>
      <c r="T11" s="27"/>
      <c r="U11" s="27"/>
    </row>
    <row r="12" spans="1:21" s="78" customFormat="1" ht="12.75" customHeight="1" x14ac:dyDescent="0.2">
      <c r="A12" s="787" t="s">
        <v>1471</v>
      </c>
      <c r="B12" s="1636"/>
      <c r="C12" s="1636"/>
      <c r="D12" s="1636"/>
      <c r="E12" s="1637"/>
      <c r="F12" s="1637"/>
      <c r="G12" s="1638"/>
      <c r="H12" s="27"/>
      <c r="I12" s="27"/>
      <c r="J12" s="27"/>
      <c r="K12" s="27"/>
      <c r="L12" s="27"/>
      <c r="M12" s="27"/>
      <c r="N12" s="27"/>
      <c r="O12" s="27"/>
      <c r="P12" s="27"/>
      <c r="Q12" s="27"/>
      <c r="R12" s="27"/>
      <c r="S12" s="27"/>
      <c r="T12" s="27"/>
      <c r="U12" s="27"/>
    </row>
    <row r="13" spans="1:21" s="78" customFormat="1" ht="12.75" customHeight="1" x14ac:dyDescent="0.2">
      <c r="A13" s="787" t="s">
        <v>1472</v>
      </c>
      <c r="B13" s="1636"/>
      <c r="C13" s="1636"/>
      <c r="D13" s="1636"/>
      <c r="E13" s="1637"/>
      <c r="F13" s="1637"/>
      <c r="G13" s="1638"/>
      <c r="H13" s="27"/>
      <c r="I13" s="27"/>
      <c r="J13" s="27"/>
      <c r="K13" s="27"/>
      <c r="L13" s="27"/>
      <c r="M13" s="27"/>
      <c r="N13" s="27"/>
      <c r="O13" s="27"/>
      <c r="P13" s="27"/>
      <c r="Q13" s="27"/>
      <c r="R13" s="27"/>
      <c r="S13" s="27"/>
      <c r="T13" s="27"/>
      <c r="U13" s="27"/>
    </row>
    <row r="14" spans="1:21" s="78" customFormat="1" ht="12.75" customHeight="1" x14ac:dyDescent="0.2">
      <c r="A14" s="787" t="s">
        <v>1473</v>
      </c>
      <c r="B14" s="1636"/>
      <c r="C14" s="1636"/>
      <c r="D14" s="1636"/>
      <c r="E14" s="1637"/>
      <c r="F14" s="1637"/>
      <c r="G14" s="1638"/>
      <c r="H14" s="27"/>
      <c r="I14" s="27"/>
      <c r="J14" s="27"/>
      <c r="K14" s="27"/>
      <c r="L14" s="27"/>
      <c r="M14" s="27"/>
      <c r="N14" s="27"/>
      <c r="O14" s="27"/>
      <c r="P14" s="27"/>
      <c r="Q14" s="27"/>
      <c r="R14" s="27"/>
      <c r="S14" s="27"/>
      <c r="T14" s="27"/>
      <c r="U14" s="27"/>
    </row>
    <row r="15" spans="1:21" s="78" customFormat="1" ht="12.75" customHeight="1" x14ac:dyDescent="0.2">
      <c r="A15" s="787" t="s">
        <v>1474</v>
      </c>
      <c r="B15" s="1636"/>
      <c r="C15" s="1636"/>
      <c r="D15" s="1636"/>
      <c r="E15" s="1637"/>
      <c r="F15" s="1637"/>
      <c r="G15" s="1638"/>
      <c r="H15" s="27"/>
      <c r="I15" s="27"/>
      <c r="J15" s="27"/>
      <c r="K15" s="27"/>
      <c r="L15" s="27"/>
      <c r="M15" s="27"/>
      <c r="N15" s="27"/>
      <c r="O15" s="27"/>
      <c r="P15" s="27"/>
      <c r="Q15" s="27"/>
      <c r="R15" s="27"/>
      <c r="S15" s="27"/>
      <c r="T15" s="27"/>
      <c r="U15" s="27"/>
    </row>
    <row r="16" spans="1:21" s="78" customFormat="1" ht="12.75" customHeight="1" x14ac:dyDescent="0.2">
      <c r="A16" s="787" t="s">
        <v>1475</v>
      </c>
      <c r="B16" s="1636"/>
      <c r="C16" s="1636"/>
      <c r="D16" s="1636"/>
      <c r="E16" s="1637"/>
      <c r="F16" s="1637"/>
      <c r="G16" s="1638"/>
      <c r="H16" s="27"/>
      <c r="I16" s="27"/>
      <c r="J16" s="27"/>
      <c r="K16" s="27"/>
      <c r="L16" s="27"/>
      <c r="M16" s="27"/>
      <c r="N16" s="27"/>
      <c r="O16" s="27"/>
      <c r="P16" s="27"/>
      <c r="Q16" s="27"/>
      <c r="R16" s="27"/>
      <c r="S16" s="27"/>
      <c r="T16" s="27"/>
      <c r="U16" s="27"/>
    </row>
    <row r="17" spans="1:8" s="78" customFormat="1" ht="12.75" customHeight="1" x14ac:dyDescent="0.2">
      <c r="A17" s="787"/>
      <c r="B17" s="1636"/>
      <c r="C17" s="1636"/>
      <c r="D17" s="1636"/>
      <c r="E17" s="1637"/>
      <c r="F17" s="1637"/>
      <c r="G17" s="1638"/>
      <c r="H17" s="27"/>
    </row>
    <row r="18" spans="1:8" s="78" customFormat="1" ht="12.75" customHeight="1" x14ac:dyDescent="0.2">
      <c r="A18" s="787" t="s">
        <v>1476</v>
      </c>
      <c r="B18" s="1636"/>
      <c r="C18" s="1636"/>
      <c r="D18" s="1636"/>
      <c r="E18" s="1637"/>
      <c r="F18" s="1637"/>
      <c r="G18" s="1638"/>
      <c r="H18" s="27"/>
    </row>
    <row r="19" spans="1:8" s="78" customFormat="1" ht="12.75" customHeight="1" thickBot="1" x14ac:dyDescent="0.25">
      <c r="A19" s="788" t="s">
        <v>1477</v>
      </c>
      <c r="B19" s="1639"/>
      <c r="C19" s="1639"/>
      <c r="D19" s="1639"/>
      <c r="E19" s="1639"/>
      <c r="F19" s="1639"/>
      <c r="G19" s="1640"/>
      <c r="H19" s="27"/>
    </row>
    <row r="20" spans="1:8" s="78" customFormat="1" ht="12.75" customHeight="1" thickTop="1" x14ac:dyDescent="0.2">
      <c r="A20" s="27"/>
      <c r="B20" s="27"/>
      <c r="C20" s="27"/>
      <c r="D20" s="27"/>
      <c r="E20" s="27"/>
      <c r="F20" s="27"/>
      <c r="G20" s="27"/>
      <c r="H20" s="27"/>
    </row>
    <row r="21" spans="1:8" s="78" customFormat="1" ht="15" customHeight="1" x14ac:dyDescent="0.25">
      <c r="A21" s="404" t="s">
        <v>1478</v>
      </c>
      <c r="B21" s="27"/>
      <c r="C21" s="27"/>
      <c r="D21" s="27"/>
      <c r="E21" s="27"/>
      <c r="F21" s="27"/>
      <c r="G21" s="27"/>
      <c r="H21" s="27"/>
    </row>
    <row r="22" spans="1:8" s="78" customFormat="1" ht="15" customHeight="1" x14ac:dyDescent="0.2">
      <c r="A22" s="27" t="s">
        <v>1479</v>
      </c>
      <c r="B22" s="27"/>
      <c r="C22" s="27"/>
      <c r="D22" s="27"/>
      <c r="E22" s="27"/>
      <c r="F22" s="27"/>
      <c r="G22" s="27"/>
      <c r="H22" s="27"/>
    </row>
    <row r="23" spans="1:8" s="78" customFormat="1" ht="15" customHeight="1" x14ac:dyDescent="0.2">
      <c r="A23" s="27" t="s">
        <v>1480</v>
      </c>
      <c r="B23" s="27"/>
      <c r="C23" s="27"/>
      <c r="D23" s="27"/>
      <c r="E23" s="27"/>
      <c r="F23" s="27"/>
      <c r="G23" s="27"/>
      <c r="H23" s="27"/>
    </row>
    <row r="24" spans="1:8" s="78" customFormat="1" ht="15" customHeight="1" x14ac:dyDescent="0.2">
      <c r="A24" s="27" t="s">
        <v>1481</v>
      </c>
      <c r="B24" s="27"/>
      <c r="C24" s="27"/>
      <c r="D24" s="27"/>
      <c r="E24" s="27"/>
      <c r="F24" s="27"/>
      <c r="G24" s="27"/>
      <c r="H24" s="27"/>
    </row>
    <row r="25" spans="1:8" s="78" customFormat="1" ht="15" customHeight="1" x14ac:dyDescent="0.2">
      <c r="A25" s="27"/>
      <c r="B25" s="27"/>
      <c r="C25" s="27"/>
      <c r="D25" s="27"/>
      <c r="E25" s="27"/>
      <c r="F25" s="27"/>
      <c r="G25" s="27"/>
      <c r="H25" s="27"/>
    </row>
    <row r="26" spans="1:8" s="78" customFormat="1" ht="15" customHeight="1" x14ac:dyDescent="0.2">
      <c r="A26" s="27" t="s">
        <v>1482</v>
      </c>
      <c r="B26" s="27"/>
      <c r="C26" s="27"/>
      <c r="D26" s="27"/>
      <c r="E26" s="27"/>
      <c r="F26" s="27"/>
      <c r="G26" s="27"/>
      <c r="H26" s="27"/>
    </row>
    <row r="27" spans="1:8" s="78" customFormat="1" ht="12" customHeight="1" x14ac:dyDescent="0.2">
      <c r="A27" s="27"/>
      <c r="B27" s="27"/>
      <c r="C27" s="27"/>
      <c r="D27" s="27"/>
      <c r="E27" s="27"/>
      <c r="F27" s="27"/>
      <c r="G27" s="27"/>
      <c r="H27" s="27"/>
    </row>
    <row r="28" spans="1:8" s="387" customFormat="1" ht="15" customHeight="1" x14ac:dyDescent="0.2">
      <c r="C28" s="387" t="s">
        <v>1483</v>
      </c>
    </row>
    <row r="29" spans="1:8" s="387" customFormat="1" ht="15" customHeight="1" x14ac:dyDescent="0.2">
      <c r="C29" s="387" t="s">
        <v>1484</v>
      </c>
    </row>
    <row r="30" spans="1:8" s="387" customFormat="1" ht="15" customHeight="1" x14ac:dyDescent="0.2">
      <c r="C30" s="387" t="s">
        <v>1485</v>
      </c>
    </row>
    <row r="31" spans="1:8" s="387" customFormat="1" ht="15" customHeight="1" x14ac:dyDescent="0.2">
      <c r="C31" s="387" t="s">
        <v>1486</v>
      </c>
    </row>
    <row r="32" spans="1:8" s="78" customFormat="1" ht="15" customHeight="1" thickBot="1" x14ac:dyDescent="0.25">
      <c r="A32" s="27"/>
      <c r="B32" s="27"/>
      <c r="C32" s="1641" t="s">
        <v>1487</v>
      </c>
      <c r="D32" s="1641"/>
      <c r="E32" s="1641"/>
      <c r="F32" s="27"/>
      <c r="G32" s="27"/>
      <c r="H32" s="354"/>
    </row>
    <row r="33" spans="1:21" s="78" customFormat="1" ht="12" customHeight="1" thickTop="1" x14ac:dyDescent="0.2">
      <c r="A33" s="27"/>
      <c r="B33" s="27"/>
      <c r="C33" s="27"/>
      <c r="D33" s="27"/>
      <c r="E33" s="354"/>
      <c r="F33" s="354"/>
      <c r="G33" s="354"/>
      <c r="H33" s="354"/>
      <c r="I33" s="27"/>
      <c r="J33" s="27"/>
      <c r="K33" s="27"/>
      <c r="L33" s="27"/>
      <c r="M33" s="27"/>
      <c r="N33" s="27"/>
      <c r="O33" s="27"/>
      <c r="P33" s="27"/>
      <c r="Q33" s="27"/>
      <c r="R33" s="27"/>
      <c r="S33" s="27"/>
      <c r="T33" s="27"/>
      <c r="U33" s="27"/>
    </row>
    <row r="34" spans="1:21" s="78" customFormat="1" ht="15" customHeight="1" x14ac:dyDescent="0.2">
      <c r="A34" s="27"/>
      <c r="B34" s="27"/>
      <c r="C34" s="27"/>
      <c r="D34" s="27"/>
      <c r="E34" s="27"/>
      <c r="F34" s="27"/>
      <c r="G34" s="27"/>
      <c r="H34" s="27"/>
      <c r="I34" s="27"/>
      <c r="J34" s="27"/>
      <c r="K34" s="27"/>
      <c r="L34" s="27"/>
      <c r="M34" s="27"/>
      <c r="N34" s="27"/>
      <c r="O34" s="27"/>
      <c r="P34" s="27"/>
      <c r="Q34" s="27"/>
      <c r="R34" s="27"/>
      <c r="S34" s="27"/>
      <c r="T34" s="27"/>
      <c r="U34" s="27"/>
    </row>
    <row r="35" spans="1:21" s="388" customFormat="1" ht="12" customHeight="1" x14ac:dyDescent="0.2">
      <c r="A35" s="27"/>
      <c r="B35" s="27"/>
      <c r="C35" s="27"/>
      <c r="D35" s="27"/>
      <c r="E35" s="27"/>
      <c r="F35" s="1642"/>
      <c r="G35" s="27"/>
      <c r="H35" s="27"/>
      <c r="I35" s="27"/>
      <c r="J35" s="27"/>
      <c r="K35" s="27"/>
      <c r="L35" s="27"/>
      <c r="M35" s="27"/>
      <c r="N35" s="27"/>
      <c r="O35" s="27"/>
      <c r="P35" s="27"/>
      <c r="Q35" s="27"/>
      <c r="R35" s="27"/>
      <c r="S35" s="27"/>
      <c r="T35" s="27"/>
      <c r="U35" s="27"/>
    </row>
    <row r="36" spans="1:21" s="388" customFormat="1" ht="38.25" x14ac:dyDescent="0.2">
      <c r="A36" s="27"/>
      <c r="B36" s="27"/>
      <c r="C36" s="27"/>
      <c r="D36" s="27"/>
      <c r="E36" s="27"/>
      <c r="F36" s="1642"/>
      <c r="G36" s="389" t="s">
        <v>1488</v>
      </c>
      <c r="H36" s="27"/>
      <c r="I36" s="27"/>
      <c r="J36" s="27"/>
      <c r="K36" s="27"/>
      <c r="L36" s="27"/>
      <c r="M36" s="27"/>
      <c r="N36" s="27"/>
      <c r="O36" s="27"/>
      <c r="P36" s="27"/>
      <c r="Q36" s="27"/>
      <c r="R36" s="27"/>
      <c r="S36" s="27"/>
      <c r="T36" s="27"/>
      <c r="U36" s="27"/>
    </row>
    <row r="37" spans="1:21" s="78" customFormat="1" ht="20.100000000000001" customHeight="1" x14ac:dyDescent="0.2">
      <c r="A37" s="27"/>
      <c r="B37" s="2737" t="s">
        <v>1489</v>
      </c>
      <c r="C37" s="2738"/>
      <c r="D37" s="2738"/>
      <c r="E37" s="2738"/>
      <c r="F37" s="27"/>
      <c r="G37" s="1643"/>
      <c r="H37" s="27"/>
      <c r="I37" s="27"/>
      <c r="J37" s="27"/>
      <c r="K37" s="27"/>
      <c r="L37" s="27"/>
      <c r="M37" s="27"/>
      <c r="N37" s="27"/>
      <c r="O37" s="27"/>
      <c r="P37" s="27"/>
      <c r="Q37" s="27"/>
      <c r="R37" s="27"/>
      <c r="S37" s="27"/>
      <c r="T37" s="27"/>
      <c r="U37" s="27"/>
    </row>
    <row r="38" spans="1:21" s="78" customFormat="1" ht="20.100000000000001" customHeight="1" thickBot="1" x14ac:dyDescent="0.25">
      <c r="A38" s="27"/>
      <c r="B38" s="2737" t="s">
        <v>1490</v>
      </c>
      <c r="C38" s="2738"/>
      <c r="D38" s="2738"/>
      <c r="E38" s="2738"/>
      <c r="F38" s="27"/>
      <c r="G38" s="1644"/>
      <c r="H38" s="27"/>
      <c r="I38" s="27"/>
      <c r="J38" s="27"/>
      <c r="K38" s="27"/>
      <c r="L38" s="27"/>
      <c r="M38" s="27"/>
      <c r="N38" s="27"/>
      <c r="O38" s="27"/>
      <c r="P38" s="27"/>
      <c r="Q38" s="27"/>
      <c r="R38" s="27"/>
      <c r="S38" s="27"/>
      <c r="T38" s="27"/>
      <c r="U38" s="27"/>
    </row>
    <row r="39" spans="1:21" s="78" customFormat="1" ht="25.35" customHeight="1" thickBot="1" x14ac:dyDescent="0.25">
      <c r="A39" s="27"/>
      <c r="B39" s="2734" t="s">
        <v>1491</v>
      </c>
      <c r="C39" s="2735"/>
      <c r="D39" s="2735"/>
      <c r="E39" s="2735"/>
      <c r="F39" s="27"/>
      <c r="G39" s="1645">
        <f>SUM(G37:G38)</f>
        <v>0</v>
      </c>
      <c r="H39" s="27"/>
      <c r="I39" s="27"/>
      <c r="J39" s="27"/>
      <c r="K39" s="27"/>
      <c r="L39" s="27"/>
      <c r="M39" s="27"/>
      <c r="N39" s="27"/>
      <c r="O39" s="27"/>
      <c r="P39" s="27"/>
      <c r="Q39" s="27"/>
      <c r="R39" s="27"/>
      <c r="S39" s="27"/>
      <c r="T39" s="27"/>
      <c r="U39" s="27"/>
    </row>
    <row r="40" spans="1:21" s="78" customFormat="1" ht="15" customHeight="1" thickTop="1" x14ac:dyDescent="0.2">
      <c r="A40" s="27"/>
      <c r="B40" s="27"/>
      <c r="C40" s="27"/>
      <c r="D40" s="27"/>
      <c r="E40" s="27"/>
      <c r="F40" s="27"/>
      <c r="G40" s="27"/>
      <c r="H40" s="27"/>
      <c r="I40" s="27"/>
      <c r="J40" s="27"/>
      <c r="K40" s="27"/>
      <c r="L40" s="27"/>
      <c r="M40" s="27"/>
      <c r="N40" s="27"/>
      <c r="O40" s="27"/>
      <c r="P40" s="27"/>
      <c r="Q40" s="27"/>
      <c r="R40" s="27"/>
      <c r="S40" s="27"/>
      <c r="T40" s="27"/>
      <c r="U40" s="27"/>
    </row>
    <row r="41" spans="1:21" s="78" customFormat="1" ht="15" customHeight="1" x14ac:dyDescent="0.2">
      <c r="A41" s="27"/>
      <c r="B41" s="27"/>
      <c r="C41" s="27"/>
      <c r="D41" s="27"/>
      <c r="E41" s="27"/>
      <c r="F41" s="27"/>
      <c r="G41" s="27"/>
      <c r="H41" s="27"/>
      <c r="I41" s="27"/>
      <c r="J41" s="27"/>
      <c r="K41" s="27"/>
      <c r="L41" s="27"/>
      <c r="M41" s="27"/>
      <c r="N41" s="27"/>
      <c r="O41" s="27"/>
      <c r="P41" s="27"/>
      <c r="Q41" s="27"/>
      <c r="R41" s="27"/>
      <c r="S41" s="27"/>
      <c r="T41" s="27"/>
      <c r="U41" s="27"/>
    </row>
    <row r="42" spans="1:21" s="391" customFormat="1" ht="15" customHeight="1" x14ac:dyDescent="0.2">
      <c r="C42" s="390"/>
      <c r="D42" s="390"/>
      <c r="F42" s="390"/>
      <c r="G42" s="390"/>
      <c r="H42" s="390"/>
      <c r="I42" s="390"/>
      <c r="J42" s="390"/>
      <c r="K42" s="390"/>
      <c r="L42" s="390"/>
      <c r="M42" s="390"/>
      <c r="N42" s="390"/>
      <c r="O42" s="390"/>
      <c r="P42" s="390"/>
      <c r="Q42" s="390"/>
      <c r="R42" s="390"/>
      <c r="S42" s="390"/>
      <c r="T42" s="390"/>
      <c r="U42" s="390"/>
    </row>
    <row r="43" spans="1:21" s="391" customFormat="1" ht="15" customHeight="1" x14ac:dyDescent="0.25">
      <c r="A43" s="404" t="s">
        <v>1492</v>
      </c>
      <c r="C43" s="390"/>
      <c r="D43" s="390"/>
      <c r="F43" s="390"/>
      <c r="G43" s="390"/>
      <c r="H43" s="390"/>
      <c r="I43" s="390"/>
      <c r="J43" s="390"/>
      <c r="K43" s="390"/>
      <c r="L43" s="390"/>
      <c r="M43" s="390"/>
      <c r="N43" s="390"/>
      <c r="O43" s="390"/>
      <c r="P43" s="390"/>
      <c r="Q43" s="390"/>
      <c r="R43" s="390"/>
      <c r="S43" s="390"/>
      <c r="T43" s="390"/>
      <c r="U43" s="390"/>
    </row>
    <row r="44" spans="1:21" s="391" customFormat="1" ht="15" customHeight="1" x14ac:dyDescent="0.2">
      <c r="C44" s="390"/>
      <c r="D44" s="390"/>
      <c r="F44" s="390"/>
      <c r="G44" s="390"/>
      <c r="H44" s="390"/>
      <c r="I44" s="390"/>
      <c r="J44" s="390"/>
      <c r="K44" s="390"/>
      <c r="L44" s="390"/>
      <c r="M44" s="390"/>
      <c r="N44" s="390"/>
      <c r="O44" s="390"/>
      <c r="P44" s="390"/>
      <c r="Q44" s="390"/>
      <c r="R44" s="390"/>
      <c r="S44" s="390"/>
      <c r="T44" s="390"/>
      <c r="U44" s="390"/>
    </row>
    <row r="45" spans="1:21" s="391" customFormat="1" ht="25.5" customHeight="1" x14ac:dyDescent="0.2">
      <c r="B45" s="27"/>
      <c r="C45" s="27"/>
      <c r="D45" s="27"/>
      <c r="E45" s="27"/>
      <c r="F45" s="1642"/>
      <c r="G45" s="389" t="s">
        <v>1493</v>
      </c>
      <c r="H45" s="390"/>
      <c r="I45" s="390"/>
      <c r="J45" s="390"/>
      <c r="K45" s="390"/>
      <c r="L45" s="390"/>
      <c r="M45" s="390"/>
      <c r="N45" s="390"/>
      <c r="O45" s="390"/>
      <c r="P45" s="390"/>
      <c r="Q45" s="390"/>
      <c r="R45" s="390"/>
      <c r="S45" s="390"/>
      <c r="T45" s="390"/>
      <c r="U45" s="390"/>
    </row>
    <row r="46" spans="1:21" s="391" customFormat="1" ht="15" customHeight="1" x14ac:dyDescent="0.2">
      <c r="B46" s="2737" t="s">
        <v>1494</v>
      </c>
      <c r="C46" s="2738"/>
      <c r="D46" s="2738"/>
      <c r="E46" s="2738"/>
      <c r="F46" s="27"/>
      <c r="G46" s="1643"/>
      <c r="H46" s="390"/>
      <c r="I46" s="390"/>
      <c r="J46" s="390"/>
      <c r="K46" s="390"/>
      <c r="L46" s="390"/>
      <c r="M46" s="390"/>
      <c r="N46" s="390"/>
      <c r="O46" s="390"/>
      <c r="P46" s="390"/>
      <c r="Q46" s="390"/>
      <c r="R46" s="390"/>
      <c r="S46" s="390"/>
      <c r="T46" s="390"/>
      <c r="U46" s="390"/>
    </row>
    <row r="47" spans="1:21" s="391" customFormat="1" ht="15" customHeight="1" x14ac:dyDescent="0.2">
      <c r="B47" s="1643"/>
      <c r="C47" s="1643"/>
      <c r="D47" s="1643"/>
      <c r="E47" s="1643"/>
      <c r="F47" s="27"/>
      <c r="G47" s="1643"/>
      <c r="H47" s="390"/>
      <c r="I47" s="390"/>
      <c r="J47" s="390"/>
      <c r="K47" s="390"/>
      <c r="L47" s="390"/>
      <c r="M47" s="390"/>
      <c r="N47" s="390"/>
      <c r="O47" s="390"/>
      <c r="P47" s="390"/>
      <c r="Q47" s="390"/>
      <c r="R47" s="390"/>
      <c r="S47" s="390"/>
      <c r="T47" s="390"/>
      <c r="U47" s="390"/>
    </row>
    <row r="48" spans="1:21" s="391" customFormat="1" ht="15" customHeight="1" thickBot="1" x14ac:dyDescent="0.25">
      <c r="B48" s="1643"/>
      <c r="C48" s="1643"/>
      <c r="D48" s="1643"/>
      <c r="E48" s="1643"/>
      <c r="F48" s="27"/>
      <c r="G48" s="1644"/>
      <c r="H48" s="390"/>
      <c r="I48" s="390"/>
      <c r="J48" s="390"/>
      <c r="K48" s="390"/>
      <c r="L48" s="390"/>
      <c r="M48" s="390"/>
      <c r="N48" s="390"/>
      <c r="O48" s="390"/>
      <c r="P48" s="390"/>
      <c r="Q48" s="390"/>
      <c r="R48" s="390"/>
      <c r="S48" s="390"/>
      <c r="T48" s="390"/>
      <c r="U48" s="390"/>
    </row>
    <row r="49" spans="1:21" s="391" customFormat="1" ht="25.5" customHeight="1" thickBot="1" x14ac:dyDescent="0.25">
      <c r="B49" s="2734" t="s">
        <v>1495</v>
      </c>
      <c r="C49" s="2735"/>
      <c r="D49" s="2735"/>
      <c r="E49" s="2735"/>
      <c r="F49" s="27"/>
      <c r="G49" s="1645">
        <f>SUM(G46:G48)</f>
        <v>0</v>
      </c>
      <c r="H49" s="390"/>
      <c r="I49" s="390"/>
      <c r="J49" s="390"/>
      <c r="K49" s="390"/>
      <c r="L49" s="390"/>
      <c r="M49" s="390"/>
      <c r="N49" s="390"/>
      <c r="O49" s="390"/>
      <c r="P49" s="390"/>
      <c r="Q49" s="390"/>
      <c r="R49" s="390"/>
      <c r="S49" s="390"/>
      <c r="T49" s="390"/>
      <c r="U49" s="390"/>
    </row>
    <row r="50" spans="1:21" s="391" customFormat="1" ht="15" customHeight="1" thickTop="1" x14ac:dyDescent="0.2">
      <c r="B50" s="365"/>
      <c r="C50" s="365"/>
      <c r="D50" s="27"/>
      <c r="E50" s="27"/>
      <c r="F50" s="27"/>
      <c r="G50" s="1644"/>
      <c r="H50" s="390"/>
      <c r="I50" s="390"/>
      <c r="J50" s="390"/>
      <c r="K50" s="390"/>
      <c r="L50" s="390"/>
      <c r="M50" s="390"/>
      <c r="N50" s="390"/>
      <c r="O50" s="390"/>
      <c r="P50" s="390"/>
      <c r="Q50" s="390"/>
      <c r="R50" s="390"/>
      <c r="S50" s="390"/>
      <c r="T50" s="390"/>
      <c r="U50" s="390"/>
    </row>
    <row r="51" spans="1:21" s="391" customFormat="1" ht="15" customHeight="1" x14ac:dyDescent="0.2">
      <c r="A51" s="27" t="s">
        <v>1496</v>
      </c>
      <c r="C51" s="390"/>
      <c r="D51" s="390"/>
      <c r="F51" s="390"/>
      <c r="G51" s="390"/>
      <c r="H51" s="390"/>
      <c r="I51" s="390"/>
      <c r="J51" s="390"/>
      <c r="K51" s="390"/>
      <c r="L51" s="390"/>
      <c r="M51" s="390"/>
      <c r="N51" s="390"/>
      <c r="O51" s="390"/>
      <c r="P51" s="390"/>
      <c r="Q51" s="390"/>
      <c r="R51" s="390"/>
      <c r="S51" s="390"/>
      <c r="T51" s="390"/>
      <c r="U51" s="390"/>
    </row>
    <row r="52" spans="1:21" s="391" customFormat="1" ht="15" customHeight="1" x14ac:dyDescent="0.2">
      <c r="A52" s="27" t="s">
        <v>1497</v>
      </c>
      <c r="C52" s="390"/>
      <c r="D52" s="390"/>
      <c r="F52" s="390"/>
      <c r="G52" s="390"/>
      <c r="H52" s="390"/>
      <c r="I52" s="390"/>
      <c r="J52" s="390"/>
      <c r="K52" s="390"/>
      <c r="L52" s="390"/>
      <c r="M52" s="390"/>
      <c r="N52" s="390"/>
      <c r="O52" s="390"/>
      <c r="P52" s="390"/>
      <c r="Q52" s="390"/>
      <c r="R52" s="390"/>
      <c r="S52" s="390"/>
      <c r="T52" s="390"/>
      <c r="U52" s="390"/>
    </row>
    <row r="53" spans="1:21" s="391" customFormat="1" ht="15" customHeight="1" x14ac:dyDescent="0.2">
      <c r="A53" s="27"/>
      <c r="C53" s="390"/>
      <c r="D53" s="390"/>
      <c r="F53" s="390"/>
      <c r="G53" s="390"/>
      <c r="H53" s="390"/>
      <c r="I53" s="390"/>
      <c r="J53" s="390"/>
      <c r="K53" s="390"/>
      <c r="L53" s="390"/>
      <c r="M53" s="390"/>
      <c r="N53" s="390"/>
      <c r="O53" s="390"/>
      <c r="P53" s="390"/>
      <c r="Q53" s="390"/>
      <c r="R53" s="390"/>
      <c r="S53" s="390"/>
      <c r="T53" s="390"/>
      <c r="U53" s="390"/>
    </row>
    <row r="54" spans="1:21" s="391" customFormat="1" ht="15" customHeight="1" x14ac:dyDescent="0.2">
      <c r="A54" s="27"/>
      <c r="E54" s="390"/>
      <c r="F54" s="390"/>
      <c r="H54" s="390"/>
      <c r="I54" s="390"/>
      <c r="J54" s="390"/>
      <c r="K54" s="390"/>
      <c r="L54" s="390"/>
      <c r="M54" s="390"/>
      <c r="N54" s="390"/>
      <c r="O54" s="390"/>
      <c r="P54" s="390"/>
      <c r="Q54" s="390"/>
      <c r="R54" s="390"/>
      <c r="S54" s="390"/>
      <c r="T54" s="390"/>
      <c r="U54" s="390"/>
    </row>
    <row r="55" spans="1:21" s="391" customFormat="1" ht="15" customHeight="1" x14ac:dyDescent="0.2">
      <c r="E55" s="390"/>
      <c r="F55" s="390"/>
      <c r="G55" s="390"/>
      <c r="H55" s="390"/>
      <c r="I55" s="390"/>
      <c r="J55" s="390"/>
      <c r="K55" s="390"/>
      <c r="L55" s="390"/>
      <c r="M55" s="390"/>
      <c r="N55" s="390"/>
      <c r="O55" s="390"/>
      <c r="P55" s="390"/>
      <c r="Q55" s="390"/>
      <c r="R55" s="390"/>
      <c r="S55" s="390"/>
      <c r="T55" s="390"/>
      <c r="U55" s="390"/>
    </row>
    <row r="56" spans="1:21" ht="15" customHeight="1" x14ac:dyDescent="0.2">
      <c r="E56" s="390"/>
      <c r="F56" s="390"/>
      <c r="G56" s="390"/>
      <c r="H56" s="390"/>
      <c r="I56" s="390"/>
      <c r="J56" s="390"/>
      <c r="K56" s="390"/>
      <c r="L56" s="390"/>
      <c r="M56" s="390"/>
      <c r="N56" s="390"/>
      <c r="O56" s="390"/>
      <c r="P56" s="390"/>
      <c r="Q56" s="390"/>
      <c r="R56" s="390"/>
      <c r="S56" s="390"/>
      <c r="T56" s="390"/>
      <c r="U56" s="390"/>
    </row>
    <row r="57" spans="1:21" ht="15" customHeight="1" x14ac:dyDescent="0.2">
      <c r="E57" s="390"/>
      <c r="F57" s="390"/>
      <c r="G57" s="390"/>
      <c r="H57" s="390"/>
      <c r="I57" s="390"/>
      <c r="J57" s="390"/>
      <c r="K57" s="390"/>
      <c r="L57" s="390"/>
      <c r="M57" s="390"/>
      <c r="N57" s="390"/>
      <c r="O57" s="390"/>
      <c r="P57" s="390"/>
      <c r="Q57" s="390"/>
      <c r="R57" s="390"/>
      <c r="S57" s="390"/>
      <c r="T57" s="390"/>
      <c r="U57" s="390"/>
    </row>
    <row r="58" spans="1:21" ht="15" customHeight="1" x14ac:dyDescent="0.2">
      <c r="M58" s="390"/>
      <c r="N58" s="390"/>
      <c r="O58" s="390"/>
      <c r="P58" s="390"/>
      <c r="Q58" s="390"/>
      <c r="R58" s="390"/>
      <c r="S58" s="390"/>
      <c r="T58" s="390"/>
      <c r="U58" s="390"/>
    </row>
    <row r="59" spans="1:21" ht="15" customHeight="1" x14ac:dyDescent="0.2">
      <c r="M59" s="390"/>
      <c r="N59" s="390"/>
      <c r="O59" s="390"/>
      <c r="P59" s="390"/>
      <c r="Q59" s="390"/>
      <c r="R59" s="390"/>
      <c r="S59" s="390"/>
      <c r="T59" s="390"/>
      <c r="U59" s="390"/>
    </row>
    <row r="60" spans="1:21" ht="15" customHeight="1" x14ac:dyDescent="0.2">
      <c r="M60" s="390"/>
      <c r="N60" s="390"/>
      <c r="O60" s="390"/>
      <c r="P60" s="390"/>
      <c r="Q60" s="390"/>
      <c r="R60" s="390"/>
      <c r="S60" s="390"/>
      <c r="T60" s="390"/>
      <c r="U60" s="390"/>
    </row>
    <row r="61" spans="1:21" ht="15" customHeight="1" x14ac:dyDescent="0.2">
      <c r="M61" s="390"/>
      <c r="N61" s="390"/>
      <c r="O61" s="390"/>
      <c r="P61" s="390"/>
      <c r="Q61" s="390"/>
      <c r="R61" s="390"/>
      <c r="S61" s="390"/>
      <c r="T61" s="390"/>
      <c r="U61" s="390"/>
    </row>
    <row r="62" spans="1:21" ht="15" customHeight="1" x14ac:dyDescent="0.2">
      <c r="M62" s="390"/>
      <c r="N62" s="390"/>
      <c r="O62" s="390"/>
      <c r="P62" s="390"/>
      <c r="Q62" s="390"/>
      <c r="R62" s="390"/>
      <c r="S62" s="390"/>
      <c r="T62" s="390"/>
      <c r="U62" s="390"/>
    </row>
    <row r="63" spans="1:21" ht="15" customHeight="1" x14ac:dyDescent="0.2">
      <c r="M63" s="390"/>
      <c r="N63" s="390"/>
      <c r="O63" s="390"/>
      <c r="P63" s="390"/>
      <c r="Q63" s="390"/>
      <c r="R63" s="390"/>
      <c r="S63" s="390"/>
      <c r="T63" s="390"/>
      <c r="U63" s="390"/>
    </row>
    <row r="64" spans="1:21" ht="15" customHeight="1" x14ac:dyDescent="0.2">
      <c r="M64" s="390"/>
      <c r="N64" s="390"/>
      <c r="O64" s="390"/>
      <c r="P64" s="390"/>
      <c r="Q64" s="390"/>
      <c r="R64" s="390"/>
      <c r="S64" s="390"/>
      <c r="T64" s="390"/>
      <c r="U64" s="390"/>
    </row>
    <row r="65" spans="13:21" ht="15" customHeight="1" x14ac:dyDescent="0.2">
      <c r="M65" s="390"/>
      <c r="N65" s="390"/>
      <c r="O65" s="390"/>
      <c r="P65" s="390"/>
      <c r="Q65" s="390"/>
      <c r="R65" s="390"/>
      <c r="S65" s="390"/>
      <c r="T65" s="390"/>
      <c r="U65" s="390"/>
    </row>
    <row r="66" spans="13:21" ht="15" customHeight="1" x14ac:dyDescent="0.2">
      <c r="M66" s="390"/>
      <c r="N66" s="390"/>
      <c r="O66" s="390"/>
      <c r="P66" s="390"/>
      <c r="Q66" s="390"/>
      <c r="R66" s="390"/>
      <c r="S66" s="390"/>
      <c r="T66" s="390"/>
      <c r="U66" s="390"/>
    </row>
    <row r="67" spans="13:21" ht="15" customHeight="1" x14ac:dyDescent="0.2">
      <c r="M67" s="390"/>
      <c r="N67" s="390"/>
      <c r="O67" s="390"/>
      <c r="P67" s="390"/>
      <c r="Q67" s="390"/>
      <c r="R67" s="390"/>
      <c r="S67" s="390"/>
      <c r="T67" s="390"/>
      <c r="U67" s="390"/>
    </row>
    <row r="68" spans="13:21" ht="15" customHeight="1" x14ac:dyDescent="0.2">
      <c r="M68" s="390"/>
      <c r="N68" s="390"/>
      <c r="O68" s="390"/>
      <c r="P68" s="390"/>
      <c r="Q68" s="390"/>
      <c r="R68" s="390"/>
      <c r="S68" s="390"/>
      <c r="T68" s="390"/>
      <c r="U68" s="390"/>
    </row>
    <row r="69" spans="13:21" ht="15" customHeight="1" x14ac:dyDescent="0.2">
      <c r="M69" s="390"/>
      <c r="N69" s="390"/>
      <c r="O69" s="390"/>
      <c r="P69" s="390"/>
      <c r="Q69" s="390"/>
      <c r="R69" s="390"/>
      <c r="S69" s="390"/>
      <c r="T69" s="390"/>
      <c r="U69" s="390"/>
    </row>
    <row r="70" spans="13:21" ht="15" customHeight="1" x14ac:dyDescent="0.2">
      <c r="M70" s="390"/>
      <c r="N70" s="390"/>
      <c r="O70" s="390"/>
      <c r="P70" s="390"/>
      <c r="Q70" s="390"/>
      <c r="R70" s="390"/>
      <c r="S70" s="390"/>
      <c r="T70" s="390"/>
      <c r="U70" s="390"/>
    </row>
    <row r="71" spans="13:21" ht="15" customHeight="1" x14ac:dyDescent="0.2">
      <c r="M71" s="390"/>
      <c r="N71" s="390"/>
      <c r="O71" s="390"/>
      <c r="P71" s="390"/>
      <c r="Q71" s="390"/>
      <c r="R71" s="390"/>
      <c r="S71" s="390"/>
      <c r="T71" s="390"/>
      <c r="U71" s="390"/>
    </row>
    <row r="72" spans="13:21" ht="15" customHeight="1" x14ac:dyDescent="0.2">
      <c r="M72" s="390"/>
      <c r="N72" s="390"/>
      <c r="O72" s="390"/>
      <c r="P72" s="390"/>
      <c r="Q72" s="390"/>
      <c r="R72" s="390"/>
      <c r="S72" s="390"/>
      <c r="T72" s="390"/>
      <c r="U72" s="390"/>
    </row>
    <row r="73" spans="13:21" ht="15" customHeight="1" x14ac:dyDescent="0.2">
      <c r="M73" s="390"/>
      <c r="N73" s="390"/>
      <c r="O73" s="390"/>
      <c r="P73" s="390"/>
      <c r="Q73" s="390"/>
      <c r="R73" s="390"/>
      <c r="S73" s="390"/>
      <c r="T73" s="390"/>
      <c r="U73" s="390"/>
    </row>
    <row r="74" spans="13:21" ht="15" customHeight="1" x14ac:dyDescent="0.2">
      <c r="M74" s="390"/>
      <c r="N74" s="390"/>
      <c r="O74" s="390"/>
      <c r="P74" s="390"/>
      <c r="Q74" s="390"/>
      <c r="R74" s="390"/>
      <c r="S74" s="390"/>
      <c r="T74" s="390"/>
      <c r="U74" s="390"/>
    </row>
    <row r="75" spans="13:21" ht="15" customHeight="1" x14ac:dyDescent="0.2">
      <c r="M75" s="390"/>
      <c r="N75" s="390"/>
      <c r="O75" s="390"/>
      <c r="P75" s="390"/>
      <c r="Q75" s="390"/>
      <c r="R75" s="390"/>
      <c r="S75" s="390"/>
      <c r="T75" s="390"/>
      <c r="U75" s="390"/>
    </row>
    <row r="76" spans="13:21" ht="15" customHeight="1" x14ac:dyDescent="0.2">
      <c r="M76" s="390"/>
      <c r="N76" s="390"/>
      <c r="O76" s="390"/>
      <c r="P76" s="390"/>
      <c r="Q76" s="390"/>
      <c r="R76" s="390"/>
      <c r="S76" s="390"/>
      <c r="T76" s="390"/>
      <c r="U76" s="390"/>
    </row>
    <row r="77" spans="13:21" ht="15" customHeight="1" x14ac:dyDescent="0.2">
      <c r="M77" s="390"/>
      <c r="N77" s="390"/>
      <c r="O77" s="390"/>
      <c r="P77" s="390"/>
      <c r="Q77" s="390"/>
      <c r="R77" s="390"/>
      <c r="S77" s="390"/>
      <c r="T77" s="390"/>
      <c r="U77" s="390"/>
    </row>
    <row r="78" spans="13:21" ht="15" customHeight="1" x14ac:dyDescent="0.2">
      <c r="M78" s="390"/>
      <c r="N78" s="390"/>
      <c r="O78" s="390"/>
      <c r="P78" s="390"/>
      <c r="Q78" s="390"/>
      <c r="R78" s="390"/>
      <c r="S78" s="390"/>
      <c r="T78" s="390"/>
      <c r="U78" s="390"/>
    </row>
    <row r="79" spans="13:21" ht="15" customHeight="1" x14ac:dyDescent="0.2">
      <c r="M79" s="390"/>
      <c r="N79" s="390"/>
      <c r="O79" s="390"/>
      <c r="P79" s="390"/>
      <c r="Q79" s="390"/>
      <c r="R79" s="390"/>
      <c r="S79" s="390"/>
      <c r="T79" s="390"/>
      <c r="U79" s="390"/>
    </row>
    <row r="80" spans="13:21" x14ac:dyDescent="0.2">
      <c r="M80" s="390"/>
      <c r="N80" s="390"/>
      <c r="O80" s="390"/>
      <c r="P80" s="390"/>
      <c r="Q80" s="390"/>
      <c r="R80" s="390"/>
      <c r="S80" s="390"/>
      <c r="T80" s="390"/>
      <c r="U80" s="390"/>
    </row>
    <row r="81" spans="13:21" x14ac:dyDescent="0.2">
      <c r="M81" s="390"/>
      <c r="N81" s="390"/>
      <c r="O81" s="390"/>
      <c r="P81" s="390"/>
      <c r="Q81" s="390"/>
      <c r="R81" s="390"/>
      <c r="S81" s="390"/>
      <c r="T81" s="390"/>
      <c r="U81" s="390"/>
    </row>
    <row r="82" spans="13:21" x14ac:dyDescent="0.2">
      <c r="M82" s="390"/>
      <c r="N82" s="390"/>
      <c r="O82" s="390"/>
      <c r="P82" s="390"/>
      <c r="Q82" s="390"/>
      <c r="R82" s="390"/>
      <c r="S82" s="390"/>
      <c r="T82" s="390"/>
      <c r="U82" s="390"/>
    </row>
    <row r="83" spans="13:21" x14ac:dyDescent="0.2">
      <c r="M83" s="390"/>
      <c r="N83" s="390"/>
      <c r="O83" s="390"/>
      <c r="P83" s="390"/>
      <c r="Q83" s="390"/>
      <c r="R83" s="390"/>
      <c r="S83" s="390"/>
      <c r="T83" s="390"/>
      <c r="U83" s="390"/>
    </row>
    <row r="84" spans="13:21" x14ac:dyDescent="0.2">
      <c r="M84" s="390"/>
      <c r="N84" s="390"/>
      <c r="O84" s="390"/>
      <c r="P84" s="390"/>
      <c r="Q84" s="390"/>
      <c r="R84" s="390"/>
      <c r="S84" s="390"/>
      <c r="T84" s="390"/>
      <c r="U84" s="390"/>
    </row>
    <row r="85" spans="13:21" x14ac:dyDescent="0.2">
      <c r="M85" s="390"/>
      <c r="N85" s="390"/>
      <c r="O85" s="390"/>
      <c r="P85" s="390"/>
      <c r="Q85" s="390"/>
      <c r="R85" s="390"/>
      <c r="S85" s="390"/>
      <c r="T85" s="390"/>
      <c r="U85" s="390"/>
    </row>
    <row r="86" spans="13:21" x14ac:dyDescent="0.2">
      <c r="M86" s="390"/>
      <c r="N86" s="390"/>
      <c r="O86" s="390"/>
      <c r="P86" s="390"/>
      <c r="Q86" s="390"/>
      <c r="R86" s="390"/>
      <c r="S86" s="390"/>
      <c r="T86" s="390"/>
      <c r="U86" s="390"/>
    </row>
    <row r="87" spans="13:21" x14ac:dyDescent="0.2">
      <c r="M87" s="390"/>
      <c r="N87" s="390"/>
      <c r="O87" s="390"/>
      <c r="P87" s="390"/>
      <c r="Q87" s="390"/>
      <c r="R87" s="390"/>
      <c r="S87" s="390"/>
      <c r="T87" s="390"/>
      <c r="U87" s="390"/>
    </row>
    <row r="88" spans="13:21" x14ac:dyDescent="0.2">
      <c r="M88" s="390"/>
      <c r="N88" s="390"/>
      <c r="O88" s="390"/>
      <c r="P88" s="390"/>
      <c r="Q88" s="390"/>
      <c r="R88" s="390"/>
      <c r="S88" s="390"/>
      <c r="T88" s="390"/>
      <c r="U88" s="390"/>
    </row>
    <row r="89" spans="13:21" x14ac:dyDescent="0.2">
      <c r="M89" s="390"/>
      <c r="N89" s="390"/>
      <c r="O89" s="390"/>
      <c r="P89" s="390"/>
      <c r="Q89" s="390"/>
      <c r="R89" s="390"/>
      <c r="S89" s="390"/>
      <c r="T89" s="390"/>
      <c r="U89" s="390"/>
    </row>
    <row r="90" spans="13:21" x14ac:dyDescent="0.2">
      <c r="M90" s="390"/>
      <c r="N90" s="390"/>
      <c r="O90" s="390"/>
      <c r="P90" s="390"/>
      <c r="Q90" s="390"/>
      <c r="R90" s="390"/>
      <c r="S90" s="390"/>
      <c r="T90" s="390"/>
      <c r="U90" s="390"/>
    </row>
    <row r="91" spans="13:21" x14ac:dyDescent="0.2">
      <c r="M91" s="390"/>
      <c r="N91" s="390"/>
      <c r="O91" s="390"/>
      <c r="P91" s="390"/>
      <c r="Q91" s="390"/>
      <c r="R91" s="390"/>
      <c r="S91" s="390"/>
      <c r="T91" s="390"/>
      <c r="U91" s="390"/>
    </row>
    <row r="92" spans="13:21" x14ac:dyDescent="0.2">
      <c r="M92" s="390"/>
      <c r="N92" s="390"/>
      <c r="O92" s="390"/>
      <c r="P92" s="390"/>
      <c r="Q92" s="390"/>
      <c r="R92" s="390"/>
      <c r="S92" s="390"/>
      <c r="T92" s="390"/>
      <c r="U92" s="390"/>
    </row>
    <row r="93" spans="13:21" x14ac:dyDescent="0.2">
      <c r="M93" s="390"/>
      <c r="N93" s="390"/>
      <c r="O93" s="390"/>
      <c r="P93" s="390"/>
      <c r="Q93" s="390"/>
      <c r="R93" s="390"/>
      <c r="S93" s="390"/>
      <c r="T93" s="390"/>
      <c r="U93" s="390"/>
    </row>
    <row r="94" spans="13:21" x14ac:dyDescent="0.2">
      <c r="M94" s="390"/>
      <c r="N94" s="390"/>
      <c r="O94" s="390"/>
      <c r="P94" s="390"/>
      <c r="Q94" s="390"/>
      <c r="R94" s="390"/>
      <c r="S94" s="390"/>
      <c r="T94" s="390"/>
      <c r="U94" s="390"/>
    </row>
    <row r="95" spans="13:21" x14ac:dyDescent="0.2">
      <c r="M95" s="390"/>
      <c r="N95" s="390"/>
      <c r="O95" s="390"/>
      <c r="P95" s="390"/>
      <c r="Q95" s="390"/>
      <c r="R95" s="390"/>
      <c r="S95" s="390"/>
      <c r="T95" s="390"/>
      <c r="U95" s="390"/>
    </row>
    <row r="96" spans="13:21" x14ac:dyDescent="0.2">
      <c r="M96" s="390"/>
      <c r="N96" s="390"/>
      <c r="O96" s="390"/>
      <c r="P96" s="390"/>
      <c r="Q96" s="390"/>
      <c r="R96" s="390"/>
      <c r="S96" s="390"/>
      <c r="T96" s="390"/>
      <c r="U96" s="390"/>
    </row>
    <row r="97" spans="13:21" x14ac:dyDescent="0.2">
      <c r="M97" s="390"/>
      <c r="N97" s="390"/>
      <c r="O97" s="390"/>
      <c r="P97" s="390"/>
      <c r="Q97" s="390"/>
      <c r="R97" s="390"/>
      <c r="S97" s="390"/>
      <c r="T97" s="390"/>
      <c r="U97" s="390"/>
    </row>
    <row r="98" spans="13:21" x14ac:dyDescent="0.2">
      <c r="M98" s="390"/>
      <c r="N98" s="390"/>
      <c r="O98" s="390"/>
      <c r="P98" s="390"/>
      <c r="Q98" s="390"/>
      <c r="R98" s="390"/>
      <c r="S98" s="390"/>
      <c r="T98" s="390"/>
      <c r="U98" s="390"/>
    </row>
    <row r="99" spans="13:21" x14ac:dyDescent="0.2">
      <c r="M99" s="390"/>
      <c r="N99" s="390"/>
      <c r="O99" s="390"/>
      <c r="P99" s="390"/>
      <c r="Q99" s="390"/>
      <c r="R99" s="390"/>
      <c r="S99" s="390"/>
      <c r="T99" s="390"/>
      <c r="U99" s="390"/>
    </row>
    <row r="100" spans="13:21" x14ac:dyDescent="0.2">
      <c r="M100" s="390"/>
      <c r="N100" s="390"/>
      <c r="O100" s="390"/>
      <c r="P100" s="390"/>
      <c r="Q100" s="390"/>
      <c r="R100" s="390"/>
      <c r="S100" s="390"/>
      <c r="T100" s="390"/>
      <c r="U100" s="390"/>
    </row>
    <row r="101" spans="13:21" x14ac:dyDescent="0.2">
      <c r="M101" s="390"/>
      <c r="N101" s="390"/>
      <c r="O101" s="390"/>
      <c r="P101" s="390"/>
      <c r="Q101" s="390"/>
      <c r="R101" s="390"/>
      <c r="S101" s="390"/>
      <c r="T101" s="390"/>
      <c r="U101" s="390"/>
    </row>
    <row r="102" spans="13:21" x14ac:dyDescent="0.2">
      <c r="M102" s="390"/>
      <c r="N102" s="390"/>
      <c r="O102" s="390"/>
      <c r="P102" s="390"/>
      <c r="Q102" s="390"/>
      <c r="R102" s="390"/>
      <c r="S102" s="390"/>
      <c r="T102" s="390"/>
      <c r="U102" s="390"/>
    </row>
    <row r="103" spans="13:21" x14ac:dyDescent="0.2">
      <c r="M103" s="390"/>
      <c r="N103" s="390"/>
      <c r="O103" s="390"/>
      <c r="P103" s="390"/>
      <c r="Q103" s="390"/>
      <c r="R103" s="390"/>
      <c r="S103" s="390"/>
      <c r="T103" s="390"/>
      <c r="U103" s="390"/>
    </row>
    <row r="104" spans="13:21" x14ac:dyDescent="0.2">
      <c r="M104" s="390"/>
      <c r="N104" s="390"/>
      <c r="O104" s="390"/>
      <c r="P104" s="390"/>
      <c r="Q104" s="390"/>
      <c r="R104" s="390"/>
      <c r="S104" s="390"/>
      <c r="T104" s="390"/>
      <c r="U104" s="390"/>
    </row>
    <row r="105" spans="13:21" x14ac:dyDescent="0.2">
      <c r="M105" s="390"/>
      <c r="N105" s="390"/>
      <c r="O105" s="390"/>
      <c r="P105" s="390"/>
      <c r="Q105" s="390"/>
      <c r="R105" s="390"/>
      <c r="S105" s="390"/>
      <c r="T105" s="390"/>
      <c r="U105" s="390"/>
    </row>
    <row r="106" spans="13:21" x14ac:dyDescent="0.2">
      <c r="M106" s="390"/>
      <c r="N106" s="390"/>
      <c r="O106" s="390"/>
      <c r="P106" s="390"/>
      <c r="Q106" s="390"/>
      <c r="R106" s="390"/>
      <c r="S106" s="390"/>
      <c r="T106" s="390"/>
      <c r="U106" s="390"/>
    </row>
    <row r="107" spans="13:21" x14ac:dyDescent="0.2">
      <c r="M107" s="390"/>
      <c r="N107" s="390"/>
      <c r="O107" s="390"/>
      <c r="P107" s="390"/>
      <c r="Q107" s="390"/>
      <c r="R107" s="390"/>
      <c r="S107" s="390"/>
      <c r="T107" s="390"/>
      <c r="U107" s="390"/>
    </row>
    <row r="108" spans="13:21" x14ac:dyDescent="0.2">
      <c r="M108" s="390"/>
      <c r="N108" s="390"/>
      <c r="O108" s="390"/>
      <c r="P108" s="390"/>
      <c r="Q108" s="390"/>
      <c r="R108" s="390"/>
      <c r="S108" s="390"/>
      <c r="T108" s="390"/>
      <c r="U108" s="390"/>
    </row>
    <row r="109" spans="13:21" x14ac:dyDescent="0.2">
      <c r="M109" s="390"/>
      <c r="N109" s="390"/>
      <c r="O109" s="390"/>
      <c r="P109" s="390"/>
      <c r="Q109" s="390"/>
      <c r="R109" s="390"/>
      <c r="S109" s="390"/>
      <c r="T109" s="390"/>
      <c r="U109" s="390"/>
    </row>
    <row r="110" spans="13:21" x14ac:dyDescent="0.2">
      <c r="M110" s="390"/>
      <c r="N110" s="390"/>
      <c r="O110" s="390"/>
      <c r="P110" s="390"/>
      <c r="Q110" s="390"/>
      <c r="R110" s="390"/>
      <c r="S110" s="390"/>
      <c r="T110" s="390"/>
      <c r="U110" s="390"/>
    </row>
    <row r="111" spans="13:21" x14ac:dyDescent="0.2">
      <c r="M111" s="390"/>
      <c r="N111" s="390"/>
      <c r="O111" s="390"/>
      <c r="P111" s="390"/>
      <c r="Q111" s="390"/>
      <c r="R111" s="390"/>
      <c r="S111" s="390"/>
      <c r="T111" s="390"/>
      <c r="U111" s="390"/>
    </row>
    <row r="112" spans="13:21" x14ac:dyDescent="0.2">
      <c r="M112" s="390"/>
      <c r="N112" s="390"/>
      <c r="O112" s="390"/>
      <c r="P112" s="390"/>
      <c r="Q112" s="390"/>
      <c r="R112" s="390"/>
      <c r="S112" s="390"/>
      <c r="T112" s="390"/>
      <c r="U112" s="390"/>
    </row>
    <row r="113" spans="13:21" x14ac:dyDescent="0.2">
      <c r="M113" s="390"/>
      <c r="N113" s="390"/>
      <c r="O113" s="390"/>
      <c r="P113" s="390"/>
      <c r="Q113" s="390"/>
      <c r="R113" s="390"/>
      <c r="S113" s="390"/>
      <c r="T113" s="390"/>
      <c r="U113" s="390"/>
    </row>
    <row r="114" spans="13:21" x14ac:dyDescent="0.2">
      <c r="M114" s="390"/>
      <c r="N114" s="390"/>
      <c r="O114" s="390"/>
      <c r="P114" s="390"/>
      <c r="Q114" s="390"/>
      <c r="R114" s="390"/>
      <c r="S114" s="390"/>
      <c r="T114" s="390"/>
      <c r="U114" s="390"/>
    </row>
    <row r="115" spans="13:21" x14ac:dyDescent="0.2">
      <c r="M115" s="390"/>
      <c r="N115" s="390"/>
      <c r="O115" s="390"/>
      <c r="P115" s="390"/>
      <c r="Q115" s="390"/>
      <c r="R115" s="390"/>
      <c r="S115" s="390"/>
      <c r="T115" s="390"/>
      <c r="U115" s="390"/>
    </row>
    <row r="116" spans="13:21" x14ac:dyDescent="0.2">
      <c r="M116" s="390"/>
      <c r="N116" s="390"/>
      <c r="O116" s="390"/>
      <c r="P116" s="390"/>
      <c r="Q116" s="390"/>
      <c r="R116" s="390"/>
      <c r="S116" s="390"/>
      <c r="T116" s="390"/>
      <c r="U116" s="390"/>
    </row>
    <row r="117" spans="13:21" x14ac:dyDescent="0.2">
      <c r="M117" s="390"/>
      <c r="N117" s="390"/>
      <c r="O117" s="390"/>
      <c r="P117" s="390"/>
      <c r="Q117" s="390"/>
      <c r="R117" s="390"/>
      <c r="S117" s="390"/>
      <c r="T117" s="390"/>
      <c r="U117" s="390"/>
    </row>
    <row r="118" spans="13:21" x14ac:dyDescent="0.2">
      <c r="M118" s="390"/>
      <c r="N118" s="390"/>
      <c r="O118" s="390"/>
      <c r="P118" s="390"/>
      <c r="Q118" s="390"/>
      <c r="R118" s="390"/>
      <c r="S118" s="390"/>
      <c r="T118" s="390"/>
      <c r="U118" s="390"/>
    </row>
    <row r="119" spans="13:21" x14ac:dyDescent="0.2">
      <c r="M119" s="390"/>
      <c r="N119" s="390"/>
      <c r="O119" s="390"/>
      <c r="P119" s="390"/>
      <c r="Q119" s="390"/>
      <c r="R119" s="390"/>
      <c r="S119" s="390"/>
      <c r="T119" s="390"/>
      <c r="U119" s="390"/>
    </row>
    <row r="120" spans="13:21" x14ac:dyDescent="0.2">
      <c r="M120" s="390"/>
      <c r="N120" s="390"/>
      <c r="O120" s="390"/>
      <c r="P120" s="390"/>
      <c r="Q120" s="390"/>
      <c r="R120" s="390"/>
      <c r="S120" s="390"/>
      <c r="T120" s="390"/>
      <c r="U120" s="390"/>
    </row>
    <row r="121" spans="13:21" x14ac:dyDescent="0.2">
      <c r="M121" s="390"/>
      <c r="N121" s="390"/>
      <c r="O121" s="390"/>
      <c r="P121" s="390"/>
      <c r="Q121" s="390"/>
      <c r="R121" s="390"/>
      <c r="S121" s="390"/>
      <c r="T121" s="390"/>
      <c r="U121" s="390"/>
    </row>
    <row r="122" spans="13:21" x14ac:dyDescent="0.2">
      <c r="M122" s="390"/>
      <c r="N122" s="390"/>
      <c r="O122" s="390"/>
      <c r="P122" s="390"/>
      <c r="Q122" s="390"/>
      <c r="R122" s="390"/>
      <c r="S122" s="390"/>
      <c r="T122" s="390"/>
      <c r="U122" s="390"/>
    </row>
    <row r="123" spans="13:21" x14ac:dyDescent="0.2">
      <c r="M123" s="390"/>
      <c r="N123" s="390"/>
      <c r="O123" s="390"/>
      <c r="P123" s="390"/>
      <c r="Q123" s="390"/>
      <c r="R123" s="390"/>
      <c r="S123" s="390"/>
      <c r="T123" s="390"/>
      <c r="U123" s="390"/>
    </row>
    <row r="124" spans="13:21" x14ac:dyDescent="0.2">
      <c r="M124" s="390"/>
      <c r="N124" s="390"/>
      <c r="O124" s="390"/>
      <c r="P124" s="390"/>
      <c r="Q124" s="390"/>
      <c r="R124" s="390"/>
      <c r="S124" s="390"/>
      <c r="T124" s="390"/>
      <c r="U124" s="390"/>
    </row>
    <row r="125" spans="13:21" x14ac:dyDescent="0.2">
      <c r="M125" s="390"/>
      <c r="N125" s="390"/>
      <c r="O125" s="390"/>
      <c r="P125" s="390"/>
      <c r="Q125" s="390"/>
      <c r="R125" s="390"/>
      <c r="S125" s="390"/>
      <c r="T125" s="390"/>
      <c r="U125" s="390"/>
    </row>
    <row r="126" spans="13:21" x14ac:dyDescent="0.2">
      <c r="M126" s="390"/>
      <c r="N126" s="390"/>
      <c r="O126" s="390"/>
      <c r="P126" s="390"/>
      <c r="Q126" s="390"/>
      <c r="R126" s="390"/>
      <c r="S126" s="390"/>
      <c r="T126" s="390"/>
      <c r="U126" s="390"/>
    </row>
    <row r="127" spans="13:21" x14ac:dyDescent="0.2">
      <c r="M127" s="390"/>
      <c r="N127" s="390"/>
      <c r="O127" s="390"/>
      <c r="P127" s="390"/>
      <c r="Q127" s="390"/>
      <c r="R127" s="390"/>
      <c r="S127" s="390"/>
      <c r="T127" s="390"/>
      <c r="U127" s="390"/>
    </row>
    <row r="128" spans="13:21" x14ac:dyDescent="0.2">
      <c r="M128" s="390"/>
      <c r="N128" s="390"/>
      <c r="O128" s="390"/>
      <c r="P128" s="390"/>
      <c r="Q128" s="390"/>
      <c r="R128" s="390"/>
      <c r="S128" s="390"/>
      <c r="T128" s="390"/>
      <c r="U128" s="390"/>
    </row>
    <row r="129" spans="13:21" x14ac:dyDescent="0.2">
      <c r="M129" s="390"/>
      <c r="N129" s="390"/>
      <c r="O129" s="390"/>
      <c r="P129" s="390"/>
      <c r="Q129" s="390"/>
      <c r="R129" s="390"/>
      <c r="S129" s="390"/>
      <c r="T129" s="390"/>
      <c r="U129" s="390"/>
    </row>
    <row r="130" spans="13:21" x14ac:dyDescent="0.2">
      <c r="M130" s="390"/>
      <c r="N130" s="390"/>
      <c r="O130" s="390"/>
      <c r="P130" s="390"/>
      <c r="Q130" s="390"/>
      <c r="R130" s="390"/>
      <c r="S130" s="390"/>
      <c r="T130" s="390"/>
      <c r="U130" s="390"/>
    </row>
    <row r="131" spans="13:21" x14ac:dyDescent="0.2">
      <c r="M131" s="390"/>
      <c r="N131" s="390"/>
      <c r="O131" s="390"/>
      <c r="P131" s="390"/>
      <c r="Q131" s="390"/>
      <c r="R131" s="390"/>
      <c r="S131" s="390"/>
      <c r="T131" s="390"/>
      <c r="U131" s="390"/>
    </row>
    <row r="132" spans="13:21" x14ac:dyDescent="0.2">
      <c r="M132" s="390"/>
      <c r="N132" s="390"/>
      <c r="O132" s="390"/>
      <c r="P132" s="390"/>
      <c r="Q132" s="390"/>
      <c r="R132" s="390"/>
      <c r="S132" s="390"/>
      <c r="T132" s="390"/>
      <c r="U132" s="390"/>
    </row>
    <row r="133" spans="13:21" x14ac:dyDescent="0.2">
      <c r="M133" s="390"/>
      <c r="N133" s="390"/>
      <c r="O133" s="390"/>
      <c r="P133" s="390"/>
      <c r="Q133" s="390"/>
      <c r="R133" s="390"/>
      <c r="S133" s="390"/>
      <c r="T133" s="390"/>
      <c r="U133" s="390"/>
    </row>
    <row r="134" spans="13:21" x14ac:dyDescent="0.2">
      <c r="M134" s="390"/>
      <c r="N134" s="390"/>
      <c r="O134" s="390"/>
      <c r="P134" s="390"/>
      <c r="Q134" s="390"/>
      <c r="R134" s="390"/>
      <c r="S134" s="390"/>
      <c r="T134" s="390"/>
      <c r="U134" s="390"/>
    </row>
    <row r="135" spans="13:21" x14ac:dyDescent="0.2">
      <c r="M135" s="390"/>
      <c r="N135" s="390"/>
      <c r="O135" s="390"/>
      <c r="P135" s="390"/>
      <c r="Q135" s="390"/>
      <c r="R135" s="390"/>
      <c r="S135" s="390"/>
      <c r="T135" s="390"/>
      <c r="U135" s="390"/>
    </row>
    <row r="136" spans="13:21" x14ac:dyDescent="0.2">
      <c r="M136" s="390"/>
      <c r="N136" s="390"/>
      <c r="O136" s="390"/>
      <c r="P136" s="390"/>
      <c r="Q136" s="390"/>
      <c r="R136" s="390"/>
      <c r="S136" s="390"/>
      <c r="T136" s="390"/>
      <c r="U136" s="390"/>
    </row>
    <row r="137" spans="13:21" x14ac:dyDescent="0.2">
      <c r="M137" s="390"/>
      <c r="N137" s="390"/>
      <c r="O137" s="390"/>
      <c r="P137" s="390"/>
      <c r="Q137" s="390"/>
      <c r="R137" s="390"/>
      <c r="S137" s="390"/>
      <c r="T137" s="390"/>
      <c r="U137" s="390"/>
    </row>
    <row r="138" spans="13:21" x14ac:dyDescent="0.2">
      <c r="M138" s="390"/>
      <c r="N138" s="390"/>
      <c r="O138" s="390"/>
      <c r="P138" s="390"/>
      <c r="Q138" s="390"/>
      <c r="R138" s="390"/>
      <c r="S138" s="390"/>
      <c r="T138" s="390"/>
      <c r="U138" s="390"/>
    </row>
    <row r="139" spans="13:21" x14ac:dyDescent="0.2">
      <c r="M139" s="390"/>
      <c r="N139" s="390"/>
      <c r="O139" s="390"/>
      <c r="P139" s="390"/>
      <c r="Q139" s="390"/>
      <c r="R139" s="390"/>
      <c r="S139" s="390"/>
      <c r="T139" s="390"/>
      <c r="U139" s="390"/>
    </row>
    <row r="140" spans="13:21" x14ac:dyDescent="0.2">
      <c r="M140" s="390"/>
      <c r="N140" s="390"/>
      <c r="O140" s="390"/>
      <c r="P140" s="390"/>
      <c r="Q140" s="390"/>
      <c r="R140" s="390"/>
      <c r="S140" s="390"/>
      <c r="T140" s="390"/>
      <c r="U140" s="390"/>
    </row>
  </sheetData>
  <sheetProtection algorithmName="SHA-512" hashValue="OIiHJ3AL48nF2huu9PPvhzdN4T6EX2HM78OqgfGD1hFG0MKORvEM3fV2YY5atbqvbYjZTJbzy26cYrpNN6mCVQ==" saltValue="V8hFTaJmWwEdr1PVjD0nzg==" spinCount="100000" sheet="1" autoFilter="0"/>
  <customSheetViews>
    <customSheetView guid="{9FCFC836-1CA5-48BF-958D-24D2EA94B219}" showGridLines="0" fitToPage="1">
      <selection activeCell="A47" sqref="A47:IV47"/>
      <pageMargins left="0" right="0" top="0" bottom="0" header="0" footer="0"/>
      <printOptions horizontalCentered="1"/>
      <pageSetup orientation="portrait" r:id="rId1"/>
      <headerFooter alignWithMargins="0">
        <oddFooter>&amp;R&amp;A</oddFooter>
      </headerFooter>
    </customSheetView>
    <customSheetView guid="{BEA4BE86-04D1-4C96-9358-7A260B9D2B2D}" showGridLines="0" fitToPage="1" showRuler="0">
      <selection sqref="A1:J3"/>
      <pageMargins left="0" right="0" top="0" bottom="0" header="0" footer="0"/>
      <printOptions horizontalCentered="1"/>
      <pageSetup orientation="portrait" horizontalDpi="300" verticalDpi="300" r:id="rId2"/>
      <headerFooter alignWithMargins="0">
        <oddFooter>&amp;R&amp;A</oddFooter>
      </headerFooter>
    </customSheetView>
    <customSheetView guid="{1250FD07-FF56-4A9D-AF9E-C27124A7EBE9}" showGridLines="0" fitToPage="1" showRuler="0">
      <selection sqref="A1:J3"/>
      <pageMargins left="0" right="0" top="0" bottom="0" header="0" footer="0"/>
      <printOptions horizontalCentered="1"/>
      <pageSetup orientation="portrait" horizontalDpi="300" verticalDpi="300" r:id="rId3"/>
      <headerFooter alignWithMargins="0">
        <oddFooter>&amp;R&amp;A</oddFooter>
      </headerFooter>
    </customSheetView>
    <customSheetView guid="{B08879A4-635B-4C39-9937-AC7883D562FC}" showGridLines="0" fitToPage="1">
      <selection activeCell="A47" sqref="A47:IV47"/>
      <pageMargins left="0" right="0" top="0" bottom="0" header="0" footer="0"/>
      <printOptions horizontalCentered="1"/>
      <pageSetup orientation="portrait" r:id="rId4"/>
      <headerFooter alignWithMargins="0">
        <oddFooter>&amp;R&amp;A</oddFooter>
      </headerFooter>
    </customSheetView>
  </customSheetViews>
  <mergeCells count="9">
    <mergeCell ref="B39:E39"/>
    <mergeCell ref="B49:E49"/>
    <mergeCell ref="H1:H3"/>
    <mergeCell ref="A1:G1"/>
    <mergeCell ref="A3:G3"/>
    <mergeCell ref="A2:G2"/>
    <mergeCell ref="B37:E37"/>
    <mergeCell ref="B38:E38"/>
    <mergeCell ref="B46:E46"/>
  </mergeCells>
  <phoneticPr fontId="18" type="noConversion"/>
  <conditionalFormatting sqref="H1:H3">
    <cfRule type="cellIs" dxfId="111" priority="1" stopIfTrue="1" operator="equal">
      <formula>"na"</formula>
    </cfRule>
  </conditionalFormatting>
  <hyperlinks>
    <hyperlink ref="A1:G1" location="Index!A1" display="Index!A1" xr:uid="{00000000-0004-0000-1800-000000000000}"/>
  </hyperlinks>
  <pageMargins left="0.6" right="0.6" top="0.5" bottom="0.5" header="0.3" footer="0.3"/>
  <pageSetup scale="85" orientation="portrait"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pageSetUpPr fitToPage="1"/>
  </sheetPr>
  <dimension ref="A1:M104"/>
  <sheetViews>
    <sheetView showGridLines="0" topLeftCell="B1" zoomScaleNormal="100" workbookViewId="0">
      <selection activeCell="B2" sqref="B2:L2"/>
    </sheetView>
  </sheetViews>
  <sheetFormatPr defaultColWidth="9.42578125" defaultRowHeight="12.75" x14ac:dyDescent="0.2"/>
  <cols>
    <col min="1" max="1" width="9.42578125" hidden="1" customWidth="1"/>
    <col min="3" max="3" width="8.42578125" customWidth="1"/>
    <col min="6" max="7" width="3.5703125" customWidth="1"/>
    <col min="8" max="8" width="1.5703125" customWidth="1"/>
    <col min="9" max="9" width="13.42578125" customWidth="1"/>
    <col min="10" max="10" width="12.5703125" customWidth="1"/>
    <col min="12" max="12" width="9.5703125" customWidth="1"/>
    <col min="13" max="13" width="4.5703125" customWidth="1"/>
  </cols>
  <sheetData>
    <row r="1" spans="2:13" s="80" customFormat="1" ht="15" customHeight="1" x14ac:dyDescent="0.25">
      <c r="B1" s="2553" t="str">
        <f>+Index!$A$1</f>
        <v xml:space="preserve">                                                               Office of the State Controller                                                                </v>
      </c>
      <c r="C1" s="2553"/>
      <c r="D1" s="2553"/>
      <c r="E1" s="2553"/>
      <c r="F1" s="2553"/>
      <c r="G1" s="2553"/>
      <c r="H1" s="2553"/>
      <c r="I1" s="2553"/>
      <c r="J1" s="2553"/>
      <c r="K1" s="2553"/>
      <c r="L1" s="2553"/>
      <c r="M1" s="2554" t="str">
        <f>IF(Index!$B$49="na","NA","")</f>
        <v/>
      </c>
    </row>
    <row r="2" spans="2:13" s="80" customFormat="1" ht="15" customHeight="1" x14ac:dyDescent="0.25">
      <c r="B2" s="2532" t="str">
        <f>+Index!$A$2</f>
        <v>2024 ACFR Worksheets</v>
      </c>
      <c r="C2" s="2741"/>
      <c r="D2" s="2741"/>
      <c r="E2" s="2741"/>
      <c r="F2" s="2741"/>
      <c r="G2" s="2741"/>
      <c r="H2" s="2741"/>
      <c r="I2" s="2741"/>
      <c r="J2" s="2741"/>
      <c r="K2" s="2741"/>
      <c r="L2" s="2741"/>
      <c r="M2" s="2554"/>
    </row>
    <row r="3" spans="2:13" s="80" customFormat="1" ht="15" customHeight="1" x14ac:dyDescent="0.25">
      <c r="B3" s="2532" t="s">
        <v>1498</v>
      </c>
      <c r="C3" s="2741"/>
      <c r="D3" s="2741"/>
      <c r="E3" s="2741"/>
      <c r="F3" s="2741"/>
      <c r="G3" s="2741"/>
      <c r="H3" s="2741"/>
      <c r="I3" s="2741"/>
      <c r="J3" s="2741"/>
      <c r="K3" s="2741"/>
      <c r="L3" s="2741"/>
      <c r="M3" s="2554"/>
    </row>
    <row r="4" spans="2:13" s="10" customFormat="1" ht="15" customHeight="1" x14ac:dyDescent="0.2">
      <c r="B4" s="138"/>
      <c r="C4" s="138"/>
      <c r="D4" s="138"/>
      <c r="E4" s="138"/>
      <c r="F4" s="138"/>
      <c r="G4" s="138"/>
      <c r="H4" s="138"/>
      <c r="I4" s="138"/>
      <c r="J4" s="1" t="s">
        <v>50</v>
      </c>
      <c r="K4" s="138"/>
      <c r="L4" s="138"/>
      <c r="M4" s="138"/>
    </row>
    <row r="5" spans="2:13" s="10" customFormat="1" ht="15" customHeight="1" x14ac:dyDescent="0.2">
      <c r="B5" s="1628"/>
      <c r="C5" s="77"/>
      <c r="D5" s="2728"/>
      <c r="E5" s="2728"/>
      <c r="F5" s="2328"/>
      <c r="G5" s="2328"/>
      <c r="H5" s="138"/>
      <c r="I5" s="1629" t="s">
        <v>318</v>
      </c>
      <c r="J5" s="2596" t="str">
        <f>+Index!$E$10</f>
        <v>01</v>
      </c>
      <c r="K5" s="2596"/>
      <c r="L5" s="2596"/>
      <c r="M5" s="138"/>
    </row>
    <row r="6" spans="2:13" s="10" customFormat="1" ht="15" customHeight="1" x14ac:dyDescent="0.2">
      <c r="B6" s="138"/>
      <c r="C6" s="138"/>
      <c r="D6" s="138"/>
      <c r="E6" s="138"/>
      <c r="F6" s="138"/>
      <c r="G6" s="138"/>
      <c r="H6" s="138"/>
      <c r="I6" s="1629" t="s">
        <v>319</v>
      </c>
      <c r="J6" s="2628" t="str">
        <f>+Index!$E$11</f>
        <v>North Carolina General Assembly</v>
      </c>
      <c r="K6" s="2628"/>
      <c r="L6" s="2628"/>
      <c r="M6" s="138"/>
    </row>
    <row r="7" spans="2:13" s="10" customFormat="1" ht="15" customHeight="1" x14ac:dyDescent="0.2">
      <c r="B7" s="1628" t="s">
        <v>545</v>
      </c>
      <c r="C7" s="77"/>
      <c r="D7" s="2727" t="s">
        <v>762</v>
      </c>
      <c r="E7" s="2727"/>
      <c r="F7" s="1628"/>
      <c r="G7" s="1628"/>
      <c r="H7" s="138"/>
      <c r="I7" s="1629" t="s">
        <v>320</v>
      </c>
      <c r="J7" s="2629" t="str">
        <f>CONCATENATE(Index!$E$12," ",Index!$E$14)</f>
        <v xml:space="preserve"> </v>
      </c>
      <c r="K7" s="2629"/>
      <c r="L7" s="2629"/>
      <c r="M7" s="138"/>
    </row>
    <row r="8" spans="2:13" s="10" customFormat="1" ht="15" customHeight="1" x14ac:dyDescent="0.2">
      <c r="B8" s="1628"/>
      <c r="C8" s="77"/>
      <c r="D8" s="2328"/>
      <c r="E8" s="2328"/>
      <c r="F8" s="1628"/>
      <c r="G8" s="1628"/>
      <c r="H8" s="138"/>
      <c r="I8" s="1629" t="s">
        <v>168</v>
      </c>
      <c r="J8" s="2629">
        <f>+Index!$E$13</f>
        <v>0</v>
      </c>
      <c r="K8" s="2629"/>
      <c r="L8" s="2629"/>
      <c r="M8" s="138"/>
    </row>
    <row r="9" spans="2:13" s="10" customFormat="1" ht="6.75" customHeight="1" thickBot="1" x14ac:dyDescent="0.25">
      <c r="B9" s="279"/>
      <c r="C9" s="279"/>
      <c r="D9" s="279"/>
      <c r="E9" s="279"/>
      <c r="F9" s="279"/>
      <c r="G9" s="279"/>
      <c r="H9" s="1646"/>
      <c r="I9" s="279"/>
      <c r="J9" s="279"/>
      <c r="K9" s="279"/>
      <c r="L9" s="279"/>
      <c r="M9" s="138"/>
    </row>
    <row r="10" spans="2:13" s="10" customFormat="1" ht="12" customHeight="1" x14ac:dyDescent="0.2">
      <c r="B10" s="77"/>
      <c r="C10" s="77"/>
      <c r="D10" s="77"/>
      <c r="E10" s="77"/>
      <c r="F10" s="77"/>
      <c r="G10" s="77"/>
      <c r="H10" s="138"/>
      <c r="I10" s="77"/>
      <c r="J10" s="77"/>
      <c r="K10" s="77"/>
      <c r="L10" s="77"/>
      <c r="M10" s="138"/>
    </row>
    <row r="11" spans="2:13" s="10" customFormat="1" ht="15" customHeight="1" x14ac:dyDescent="0.25">
      <c r="B11" s="404" t="s">
        <v>1499</v>
      </c>
      <c r="C11" s="138"/>
      <c r="D11" s="138"/>
      <c r="E11" s="138"/>
      <c r="F11" s="138"/>
      <c r="G11" s="138"/>
      <c r="H11" s="138"/>
      <c r="I11" s="138"/>
      <c r="J11" s="138"/>
      <c r="K11" s="138"/>
      <c r="L11" s="138"/>
      <c r="M11" s="138"/>
    </row>
    <row r="12" spans="2:13" s="10" customFormat="1" ht="15" customHeight="1" x14ac:dyDescent="0.2">
      <c r="B12" s="138" t="s">
        <v>1500</v>
      </c>
      <c r="C12" s="138"/>
      <c r="D12" s="138"/>
      <c r="E12" s="138"/>
      <c r="F12" s="138"/>
      <c r="G12" s="138"/>
      <c r="H12" s="138"/>
      <c r="I12" s="138"/>
      <c r="J12" s="138"/>
      <c r="K12" s="138"/>
      <c r="L12" s="138"/>
      <c r="M12" s="138"/>
    </row>
    <row r="13" spans="2:13" s="10" customFormat="1" ht="15" customHeight="1" x14ac:dyDescent="0.2">
      <c r="B13" s="138" t="s">
        <v>1501</v>
      </c>
      <c r="C13" s="138"/>
      <c r="D13" s="138"/>
      <c r="E13" s="138"/>
      <c r="F13" s="138"/>
      <c r="G13" s="138"/>
      <c r="H13" s="138"/>
      <c r="I13" s="138"/>
      <c r="J13" s="138"/>
      <c r="K13" s="138"/>
      <c r="L13" s="138"/>
      <c r="M13" s="138"/>
    </row>
    <row r="14" spans="2:13" s="10" customFormat="1" ht="12" customHeight="1" x14ac:dyDescent="0.2">
      <c r="B14" s="138"/>
      <c r="C14" s="138"/>
      <c r="D14" s="138"/>
      <c r="E14" s="138"/>
      <c r="F14" s="138"/>
      <c r="G14" s="138"/>
      <c r="H14" s="138"/>
      <c r="I14" s="138"/>
      <c r="J14" s="138"/>
      <c r="K14" s="138"/>
      <c r="L14" s="138"/>
      <c r="M14" s="138"/>
    </row>
    <row r="15" spans="2:13" s="10" customFormat="1" ht="15" customHeight="1" x14ac:dyDescent="0.2">
      <c r="B15" s="11" t="s">
        <v>1502</v>
      </c>
      <c r="C15" s="138"/>
      <c r="D15" s="138"/>
      <c r="E15" s="138"/>
      <c r="F15" s="138"/>
      <c r="G15" s="138"/>
      <c r="H15" s="138"/>
      <c r="I15" s="138"/>
      <c r="J15" s="138"/>
      <c r="K15" s="138"/>
      <c r="L15" s="138"/>
      <c r="M15" s="138"/>
    </row>
    <row r="16" spans="2:13" s="10" customFormat="1" ht="15" customHeight="1" x14ac:dyDescent="0.2">
      <c r="B16" s="11" t="s">
        <v>1503</v>
      </c>
      <c r="C16" s="138"/>
      <c r="D16" s="138"/>
      <c r="E16" s="138"/>
      <c r="F16" s="138"/>
      <c r="G16" s="138"/>
      <c r="H16" s="138"/>
      <c r="I16" s="138"/>
      <c r="J16" s="138"/>
      <c r="K16" s="138"/>
      <c r="L16" s="138"/>
      <c r="M16" s="138"/>
    </row>
    <row r="17" spans="2:9" s="10" customFormat="1" ht="15" customHeight="1" x14ac:dyDescent="0.2">
      <c r="B17" s="11" t="s">
        <v>1504</v>
      </c>
      <c r="C17" s="138"/>
      <c r="D17" s="138"/>
      <c r="E17" s="138"/>
      <c r="F17" s="138"/>
      <c r="G17" s="138"/>
      <c r="H17" s="138"/>
      <c r="I17" s="138"/>
    </row>
    <row r="18" spans="2:9" s="10" customFormat="1" ht="12" customHeight="1" x14ac:dyDescent="0.2">
      <c r="B18" s="11"/>
      <c r="C18" s="138"/>
      <c r="D18" s="138"/>
      <c r="E18" s="138"/>
      <c r="F18" s="138"/>
      <c r="G18" s="138"/>
      <c r="H18" s="138"/>
      <c r="I18" s="138"/>
    </row>
    <row r="19" spans="2:9" s="10" customFormat="1" ht="15" customHeight="1" x14ac:dyDescent="0.2">
      <c r="B19" s="138" t="s">
        <v>1505</v>
      </c>
      <c r="C19" s="138"/>
      <c r="D19" s="138"/>
      <c r="E19" s="138"/>
      <c r="F19" s="138"/>
      <c r="G19" s="138"/>
      <c r="H19" s="138"/>
      <c r="I19" s="138"/>
    </row>
    <row r="20" spans="2:9" s="10" customFormat="1" ht="15" customHeight="1" x14ac:dyDescent="0.2">
      <c r="B20" s="138" t="s">
        <v>1506</v>
      </c>
      <c r="C20" s="138"/>
      <c r="D20" s="138"/>
      <c r="E20" s="138"/>
      <c r="F20" s="138"/>
      <c r="G20" s="138"/>
      <c r="H20" s="138"/>
      <c r="I20" s="138"/>
    </row>
    <row r="21" spans="2:9" s="10" customFormat="1" ht="12" customHeight="1" x14ac:dyDescent="0.2">
      <c r="B21" s="138"/>
      <c r="C21" s="138"/>
      <c r="D21" s="138"/>
      <c r="E21" s="138"/>
      <c r="F21" s="138"/>
      <c r="G21" s="138"/>
      <c r="H21" s="138"/>
      <c r="I21" s="138"/>
    </row>
    <row r="22" spans="2:9" s="10" customFormat="1" ht="15" customHeight="1" x14ac:dyDescent="0.2">
      <c r="B22" s="138" t="s">
        <v>1507</v>
      </c>
      <c r="C22" s="138"/>
      <c r="D22" s="138"/>
      <c r="E22" s="138"/>
      <c r="F22" s="138"/>
      <c r="G22" s="138"/>
      <c r="H22" s="138"/>
      <c r="I22" s="138"/>
    </row>
    <row r="23" spans="2:9" s="10" customFormat="1" ht="15" customHeight="1" x14ac:dyDescent="0.2">
      <c r="B23" s="1" t="s">
        <v>1508</v>
      </c>
      <c r="C23" s="138"/>
      <c r="D23" s="138"/>
      <c r="E23" s="138"/>
      <c r="F23" s="138"/>
      <c r="G23" s="138"/>
      <c r="H23" s="138"/>
      <c r="I23" s="138"/>
    </row>
    <row r="24" spans="2:9" s="10" customFormat="1" ht="12" customHeight="1" x14ac:dyDescent="0.2">
      <c r="B24" s="1"/>
      <c r="C24" s="138"/>
      <c r="D24" s="138"/>
      <c r="E24" s="138"/>
      <c r="F24" s="138"/>
      <c r="G24" s="138"/>
      <c r="H24" s="138"/>
      <c r="I24" s="138"/>
    </row>
    <row r="25" spans="2:9" s="10" customFormat="1" ht="15" customHeight="1" x14ac:dyDescent="0.2">
      <c r="B25" s="1" t="s">
        <v>1448</v>
      </c>
      <c r="C25" s="138"/>
      <c r="D25" s="138"/>
      <c r="E25" s="138"/>
      <c r="F25" s="138"/>
      <c r="G25" s="138"/>
      <c r="H25" s="138"/>
      <c r="I25" s="138"/>
    </row>
    <row r="26" spans="2:9" s="10" customFormat="1" ht="15" customHeight="1" x14ac:dyDescent="0.2">
      <c r="B26" s="138" t="s">
        <v>1509</v>
      </c>
      <c r="C26" s="138"/>
      <c r="D26" s="138"/>
      <c r="E26" s="138"/>
      <c r="F26" s="138"/>
      <c r="G26" s="138"/>
      <c r="H26" s="138"/>
      <c r="I26" s="138"/>
    </row>
    <row r="27" spans="2:9" s="10" customFormat="1" ht="15" customHeight="1" x14ac:dyDescent="0.2">
      <c r="B27" s="138" t="s">
        <v>1510</v>
      </c>
      <c r="C27" s="138"/>
      <c r="D27" s="138"/>
      <c r="E27" s="138"/>
      <c r="F27" s="138"/>
      <c r="G27" s="138"/>
      <c r="H27" s="138"/>
      <c r="I27" s="138"/>
    </row>
    <row r="28" spans="2:9" s="10" customFormat="1" ht="12" customHeight="1" x14ac:dyDescent="0.2">
      <c r="B28" s="138"/>
      <c r="C28" s="138"/>
      <c r="D28" s="138"/>
      <c r="E28" s="138"/>
      <c r="F28" s="138"/>
      <c r="G28" s="138"/>
      <c r="H28" s="138"/>
      <c r="I28" s="138"/>
    </row>
    <row r="29" spans="2:9" s="10" customFormat="1" ht="15" customHeight="1" x14ac:dyDescent="0.2">
      <c r="B29" s="2300" t="s">
        <v>628</v>
      </c>
      <c r="C29" s="2301"/>
      <c r="D29" s="2300" t="s">
        <v>620</v>
      </c>
      <c r="E29" s="2301"/>
      <c r="F29" s="138"/>
      <c r="G29" s="2547" t="str">
        <f>IF(AND(ISBLANK(C29),ISBLANK(E29))=TRUE,"Answer Missing"," ")</f>
        <v>Answer Missing</v>
      </c>
      <c r="H29" s="2548"/>
      <c r="I29" s="2548"/>
    </row>
    <row r="30" spans="2:9" s="10" customFormat="1" ht="12" customHeight="1" x14ac:dyDescent="0.2">
      <c r="B30" s="138"/>
      <c r="C30" s="138"/>
      <c r="D30" s="138"/>
      <c r="E30" s="138"/>
      <c r="F30" s="138"/>
      <c r="G30" s="138"/>
      <c r="H30" s="138"/>
      <c r="I30" s="138"/>
    </row>
    <row r="31" spans="2:9" s="10" customFormat="1" ht="15" customHeight="1" x14ac:dyDescent="0.2">
      <c r="B31" s="1" t="s">
        <v>1511</v>
      </c>
      <c r="C31" s="1"/>
      <c r="D31" s="138"/>
      <c r="E31" s="138"/>
      <c r="F31" s="138"/>
      <c r="G31" s="138"/>
      <c r="H31" s="138"/>
      <c r="I31" s="138"/>
    </row>
    <row r="32" spans="2:9" s="10" customFormat="1" ht="15" customHeight="1" x14ac:dyDescent="0.2">
      <c r="B32" s="138" t="s">
        <v>1512</v>
      </c>
      <c r="C32" s="138"/>
      <c r="D32" s="138"/>
      <c r="E32" s="138"/>
      <c r="F32" s="138"/>
      <c r="G32" s="138"/>
      <c r="H32" s="138"/>
      <c r="I32" s="138"/>
    </row>
    <row r="33" spans="2:12" s="10" customFormat="1" ht="15" customHeight="1" x14ac:dyDescent="0.2">
      <c r="B33" s="138"/>
      <c r="C33" s="138"/>
      <c r="D33" s="138"/>
      <c r="E33" s="138"/>
      <c r="F33" s="138"/>
      <c r="G33" s="138"/>
      <c r="H33" s="138"/>
      <c r="I33" s="138"/>
      <c r="J33" s="138"/>
      <c r="K33" s="138"/>
      <c r="L33" s="138"/>
    </row>
    <row r="34" spans="2:12" s="10" customFormat="1" ht="15" customHeight="1" x14ac:dyDescent="0.2">
      <c r="B34" s="138"/>
      <c r="C34" s="138"/>
      <c r="D34" s="138"/>
      <c r="E34" s="138"/>
      <c r="F34" s="138"/>
      <c r="G34" s="138"/>
      <c r="H34" s="138"/>
      <c r="I34" s="138"/>
      <c r="J34" s="138"/>
      <c r="K34" s="138"/>
      <c r="L34" s="138"/>
    </row>
    <row r="35" spans="2:12" s="10" customFormat="1" ht="15" customHeight="1" x14ac:dyDescent="0.25">
      <c r="B35" s="404" t="s">
        <v>1513</v>
      </c>
      <c r="C35" s="138"/>
      <c r="D35" s="138"/>
      <c r="E35" s="138"/>
      <c r="F35" s="138"/>
      <c r="G35" s="138"/>
      <c r="H35" s="138"/>
      <c r="I35" s="138"/>
      <c r="J35" s="138"/>
      <c r="K35" s="138"/>
      <c r="L35" s="138"/>
    </row>
    <row r="36" spans="2:12" s="10" customFormat="1" ht="15" customHeight="1" x14ac:dyDescent="0.2">
      <c r="B36" s="138" t="s">
        <v>1514</v>
      </c>
      <c r="C36" s="138"/>
      <c r="D36" s="138"/>
      <c r="E36" s="138"/>
      <c r="F36" s="138"/>
      <c r="G36" s="138"/>
      <c r="H36" s="138"/>
      <c r="I36" s="138"/>
      <c r="J36" s="138"/>
      <c r="K36" s="138"/>
      <c r="L36" s="138"/>
    </row>
    <row r="37" spans="2:12" s="10" customFormat="1" ht="15" customHeight="1" x14ac:dyDescent="0.2">
      <c r="B37" s="2" t="s">
        <v>1515</v>
      </c>
      <c r="C37" s="138"/>
      <c r="D37" s="138"/>
      <c r="E37" s="138"/>
      <c r="F37" s="138"/>
      <c r="G37" s="138"/>
      <c r="H37" s="138"/>
      <c r="I37" s="138"/>
      <c r="J37" s="138"/>
      <c r="K37" s="138"/>
      <c r="L37" s="138"/>
    </row>
    <row r="38" spans="2:12" s="10" customFormat="1" ht="15" customHeight="1" x14ac:dyDescent="0.2">
      <c r="B38" s="138" t="s">
        <v>1516</v>
      </c>
      <c r="C38" s="138"/>
      <c r="D38" s="138"/>
      <c r="E38" s="138"/>
      <c r="F38" s="138"/>
      <c r="G38" s="138"/>
      <c r="H38" s="138"/>
      <c r="I38" s="138"/>
      <c r="J38" s="138"/>
      <c r="K38" s="138"/>
      <c r="L38" s="138"/>
    </row>
    <row r="39" spans="2:12" s="10" customFormat="1" ht="15" customHeight="1" x14ac:dyDescent="0.2">
      <c r="B39" s="138" t="s">
        <v>1517</v>
      </c>
      <c r="C39" s="138"/>
      <c r="D39" s="138"/>
      <c r="E39" s="138"/>
      <c r="F39" s="138"/>
      <c r="G39" s="138"/>
      <c r="H39" s="138"/>
      <c r="I39" s="138"/>
      <c r="J39" s="138"/>
      <c r="K39" s="138"/>
      <c r="L39" s="138"/>
    </row>
    <row r="40" spans="2:12" s="10" customFormat="1" ht="15" customHeight="1" x14ac:dyDescent="0.2">
      <c r="B40" s="138" t="s">
        <v>1518</v>
      </c>
      <c r="C40" s="138"/>
      <c r="D40" s="138"/>
      <c r="E40" s="138"/>
      <c r="F40" s="138"/>
      <c r="G40" s="138"/>
      <c r="H40" s="138"/>
      <c r="I40" s="138"/>
      <c r="J40" s="138"/>
      <c r="K40" s="138"/>
      <c r="L40" s="138"/>
    </row>
    <row r="41" spans="2:12" s="10" customFormat="1" ht="15" customHeight="1" x14ac:dyDescent="0.2">
      <c r="B41" s="138"/>
      <c r="C41" s="138"/>
      <c r="D41" s="138"/>
      <c r="E41" s="138"/>
      <c r="F41" s="138"/>
      <c r="G41" s="138"/>
      <c r="H41" s="138"/>
      <c r="I41" s="138"/>
      <c r="J41" s="138"/>
      <c r="K41" s="138"/>
      <c r="L41" s="138"/>
    </row>
    <row r="42" spans="2:12" s="10" customFormat="1" ht="15" customHeight="1" x14ac:dyDescent="0.2">
      <c r="B42" s="1" t="s">
        <v>1448</v>
      </c>
      <c r="C42" s="138"/>
      <c r="D42" s="138"/>
      <c r="E42" s="138"/>
      <c r="F42" s="138"/>
      <c r="G42" s="138"/>
      <c r="H42" s="138"/>
      <c r="I42" s="138"/>
      <c r="J42" s="138"/>
      <c r="K42" s="138"/>
      <c r="L42" s="138"/>
    </row>
    <row r="43" spans="2:12" s="10" customFormat="1" ht="15" customHeight="1" x14ac:dyDescent="0.2">
      <c r="B43" s="138" t="s">
        <v>1519</v>
      </c>
      <c r="C43" s="138"/>
      <c r="D43" s="138"/>
      <c r="E43" s="138"/>
      <c r="F43" s="138"/>
      <c r="G43" s="138"/>
      <c r="H43" s="138"/>
      <c r="I43" s="2300" t="s">
        <v>628</v>
      </c>
      <c r="J43" s="2301"/>
      <c r="K43" s="2300" t="s">
        <v>620</v>
      </c>
      <c r="L43" s="2301"/>
    </row>
    <row r="44" spans="2:12" s="10" customFormat="1" ht="15" customHeight="1" x14ac:dyDescent="0.2">
      <c r="B44" s="138"/>
      <c r="C44" s="138"/>
      <c r="D44" s="138"/>
      <c r="E44" s="138"/>
      <c r="F44" s="138"/>
      <c r="G44" s="138"/>
      <c r="H44" s="138"/>
      <c r="I44" s="138"/>
      <c r="J44" s="138"/>
      <c r="K44" s="2547" t="str">
        <f>IF(AND(ISBLANK(J43),ISBLANK(L43))=TRUE,"Answer Missing"," ")</f>
        <v>Answer Missing</v>
      </c>
      <c r="L44" s="2739"/>
    </row>
    <row r="45" spans="2:12" s="10" customFormat="1" ht="15" customHeight="1" x14ac:dyDescent="0.2">
      <c r="B45" s="1" t="s">
        <v>1511</v>
      </c>
      <c r="C45" s="1"/>
      <c r="D45" s="138"/>
      <c r="E45" s="138"/>
      <c r="F45" s="138"/>
      <c r="G45" s="138"/>
      <c r="H45" s="138"/>
      <c r="I45" s="138"/>
      <c r="J45" s="138"/>
      <c r="K45" s="138"/>
      <c r="L45" s="138"/>
    </row>
    <row r="46" spans="2:12" s="10" customFormat="1" ht="15" customHeight="1" x14ac:dyDescent="0.2">
      <c r="B46" s="138" t="s">
        <v>1512</v>
      </c>
      <c r="C46" s="138"/>
      <c r="D46" s="138"/>
      <c r="E46" s="138"/>
      <c r="F46" s="138"/>
      <c r="G46" s="138"/>
      <c r="H46" s="138"/>
      <c r="I46" s="138"/>
      <c r="J46" s="138"/>
      <c r="K46" s="138"/>
      <c r="L46" s="138"/>
    </row>
    <row r="47" spans="2:12" s="10" customFormat="1" ht="15" customHeight="1" x14ac:dyDescent="0.2">
      <c r="B47" s="2740"/>
      <c r="C47" s="2740"/>
      <c r="D47" s="2740"/>
      <c r="E47" s="2740"/>
      <c r="F47" s="2740"/>
      <c r="G47" s="2740"/>
      <c r="H47" s="2740"/>
      <c r="I47" s="2740"/>
      <c r="J47" s="2740"/>
      <c r="K47" s="2740"/>
      <c r="L47" s="2740"/>
    </row>
    <row r="48" spans="2:12" s="10" customFormat="1" ht="15" customHeight="1" x14ac:dyDescent="0.2">
      <c r="B48" s="138"/>
      <c r="C48" s="138"/>
      <c r="D48" s="138"/>
      <c r="E48" s="138"/>
      <c r="F48" s="138"/>
      <c r="G48" s="138"/>
      <c r="H48" s="138"/>
      <c r="I48" s="138"/>
      <c r="J48" s="138"/>
      <c r="K48" s="138"/>
      <c r="L48" s="138"/>
    </row>
    <row r="49" spans="1:12" s="10" customFormat="1" ht="15" customHeight="1" x14ac:dyDescent="0.2">
      <c r="A49" s="138"/>
      <c r="B49" s="138"/>
      <c r="C49" s="138"/>
      <c r="D49" s="138"/>
      <c r="E49" s="138"/>
      <c r="F49" s="138"/>
      <c r="G49" s="138"/>
      <c r="H49" s="138"/>
      <c r="I49" s="138"/>
      <c r="J49" s="138"/>
      <c r="K49" s="138"/>
      <c r="L49" s="138"/>
    </row>
    <row r="50" spans="1:12" s="10" customFormat="1" ht="15" customHeight="1" x14ac:dyDescent="0.2">
      <c r="A50" s="138"/>
      <c r="B50" s="138"/>
      <c r="C50" s="138"/>
      <c r="D50" s="138"/>
      <c r="E50" s="138"/>
      <c r="F50" s="138"/>
      <c r="G50" s="138"/>
      <c r="H50" s="138"/>
      <c r="I50" s="138"/>
      <c r="J50" s="138"/>
      <c r="K50" s="138"/>
      <c r="L50" s="138"/>
    </row>
    <row r="51" spans="1:12" s="10" customFormat="1" ht="15" customHeight="1" x14ac:dyDescent="0.2">
      <c r="A51" s="1317" t="str">
        <f ca="1">MID(CELL("filename",A1),FIND("]",CELL("filename",A1))+1,256)</f>
        <v>355</v>
      </c>
      <c r="B51" s="421" t="s">
        <v>613</v>
      </c>
      <c r="C51" s="1317"/>
      <c r="D51" s="138"/>
      <c r="E51" s="138"/>
      <c r="F51" s="138"/>
      <c r="G51" s="138"/>
      <c r="H51" s="138"/>
      <c r="I51" s="138"/>
      <c r="J51" s="138"/>
      <c r="K51" s="138"/>
      <c r="L51" s="138"/>
    </row>
    <row r="52" spans="1:12" s="10" customFormat="1" ht="15" customHeight="1" x14ac:dyDescent="0.2">
      <c r="A52" s="1317" t="s">
        <v>401</v>
      </c>
      <c r="B52" s="421" t="str">
        <f ca="1">IF(ISNA(INDEX(ErrorTable,MATCH($A$51&amp;$A52&amp;FALSE,ErrorKey,0),6)),"",INDEX(ErrorTable,MATCH($A$51&amp;$A52&amp;FALSE,ErrorKey,0),6))</f>
        <v/>
      </c>
      <c r="C52" s="1317"/>
      <c r="D52" s="138"/>
      <c r="E52" s="138"/>
      <c r="F52" s="138"/>
      <c r="G52" s="138"/>
      <c r="H52" s="138"/>
      <c r="I52" s="138"/>
      <c r="J52" s="138"/>
      <c r="K52" s="138"/>
      <c r="L52" s="138"/>
    </row>
    <row r="53" spans="1:12" s="10" customFormat="1" ht="15" customHeight="1" x14ac:dyDescent="0.2">
      <c r="A53" s="1317" t="s">
        <v>402</v>
      </c>
      <c r="B53" s="421" t="str">
        <f t="shared" ref="B53:B61" ca="1" si="0">IF(ISNA(INDEX(ErrorTable,MATCH($A$51&amp;$A53&amp;FALSE,ErrorKey,0),6)),"",INDEX(ErrorTable,MATCH($A$51&amp;$A53&amp;FALSE,ErrorKey,0),6))</f>
        <v/>
      </c>
      <c r="C53" s="1317"/>
      <c r="D53" s="138"/>
      <c r="E53" s="138"/>
      <c r="F53" s="138"/>
      <c r="G53" s="138"/>
      <c r="H53" s="138"/>
      <c r="I53" s="138"/>
      <c r="J53" s="138"/>
      <c r="K53" s="138"/>
      <c r="L53" s="138"/>
    </row>
    <row r="54" spans="1:12" s="10" customFormat="1" ht="15" customHeight="1" x14ac:dyDescent="0.2">
      <c r="A54" s="1317" t="s">
        <v>403</v>
      </c>
      <c r="B54" s="421" t="str">
        <f t="shared" ca="1" si="0"/>
        <v/>
      </c>
      <c r="C54" s="1317"/>
      <c r="D54" s="138"/>
      <c r="E54" s="138"/>
      <c r="F54" s="138"/>
      <c r="G54" s="138"/>
      <c r="H54" s="138"/>
      <c r="I54" s="138"/>
      <c r="J54" s="138"/>
      <c r="K54" s="138"/>
      <c r="L54" s="138"/>
    </row>
    <row r="55" spans="1:12" s="10" customFormat="1" ht="15" customHeight="1" x14ac:dyDescent="0.2">
      <c r="A55" s="1317" t="s">
        <v>404</v>
      </c>
      <c r="B55" s="421" t="str">
        <f t="shared" ca="1" si="0"/>
        <v/>
      </c>
      <c r="C55" s="1317"/>
      <c r="D55" s="138"/>
      <c r="E55" s="138"/>
      <c r="F55" s="138"/>
      <c r="G55" s="138"/>
      <c r="H55" s="138"/>
      <c r="I55" s="138"/>
      <c r="J55" s="138"/>
      <c r="K55" s="138"/>
      <c r="L55" s="138"/>
    </row>
    <row r="56" spans="1:12" s="10" customFormat="1" ht="15" customHeight="1" x14ac:dyDescent="0.2">
      <c r="A56" s="1317" t="s">
        <v>405</v>
      </c>
      <c r="B56" s="421" t="str">
        <f t="shared" ca="1" si="0"/>
        <v/>
      </c>
      <c r="C56" s="1317"/>
      <c r="D56" s="138"/>
      <c r="E56" s="138"/>
      <c r="F56" s="138"/>
      <c r="G56" s="138"/>
      <c r="H56" s="138"/>
      <c r="I56" s="138"/>
      <c r="J56" s="138"/>
      <c r="K56" s="138"/>
      <c r="L56" s="138"/>
    </row>
    <row r="57" spans="1:12" s="10" customFormat="1" ht="15" customHeight="1" x14ac:dyDescent="0.2">
      <c r="A57" s="1317" t="s">
        <v>406</v>
      </c>
      <c r="B57" s="421" t="str">
        <f t="shared" ca="1" si="0"/>
        <v/>
      </c>
      <c r="C57" s="1317"/>
      <c r="D57" s="138"/>
      <c r="E57" s="138"/>
      <c r="F57" s="138"/>
      <c r="G57" s="138"/>
      <c r="H57" s="138"/>
      <c r="I57" s="138"/>
      <c r="J57" s="138"/>
      <c r="K57" s="138"/>
      <c r="L57" s="138"/>
    </row>
    <row r="58" spans="1:12" s="10" customFormat="1" ht="15" customHeight="1" x14ac:dyDescent="0.2">
      <c r="A58" s="1317" t="s">
        <v>407</v>
      </c>
      <c r="B58" s="421" t="str">
        <f t="shared" ca="1" si="0"/>
        <v/>
      </c>
      <c r="C58" s="1317"/>
      <c r="D58" s="138"/>
      <c r="E58" s="138"/>
      <c r="F58" s="138"/>
      <c r="G58" s="138"/>
      <c r="H58" s="138"/>
      <c r="I58" s="138"/>
      <c r="J58" s="138"/>
      <c r="K58" s="138"/>
      <c r="L58" s="138"/>
    </row>
    <row r="59" spans="1:12" s="10" customFormat="1" ht="15" customHeight="1" x14ac:dyDescent="0.2">
      <c r="A59" s="1317" t="s">
        <v>408</v>
      </c>
      <c r="B59" s="421" t="str">
        <f t="shared" ca="1" si="0"/>
        <v/>
      </c>
      <c r="C59" s="1317"/>
      <c r="D59" s="138"/>
      <c r="E59" s="138"/>
      <c r="F59" s="138"/>
      <c r="G59" s="138"/>
      <c r="H59" s="138"/>
      <c r="I59" s="138"/>
      <c r="J59" s="138"/>
      <c r="K59" s="138"/>
      <c r="L59" s="138"/>
    </row>
    <row r="60" spans="1:12" s="10" customFormat="1" ht="15" customHeight="1" x14ac:dyDescent="0.2">
      <c r="A60" s="1317" t="s">
        <v>409</v>
      </c>
      <c r="B60" s="421" t="str">
        <f t="shared" ca="1" si="0"/>
        <v/>
      </c>
      <c r="C60" s="1317"/>
      <c r="D60" s="138"/>
      <c r="E60" s="138"/>
      <c r="F60" s="138"/>
      <c r="G60" s="138"/>
      <c r="H60" s="138"/>
      <c r="I60" s="138"/>
      <c r="J60" s="138"/>
      <c r="K60" s="138"/>
      <c r="L60" s="138"/>
    </row>
    <row r="61" spans="1:12" s="10" customFormat="1" ht="15" customHeight="1" x14ac:dyDescent="0.2">
      <c r="A61" s="1317" t="s">
        <v>410</v>
      </c>
      <c r="B61" s="421" t="str">
        <f t="shared" ca="1" si="0"/>
        <v/>
      </c>
      <c r="C61" s="1317"/>
      <c r="D61"/>
      <c r="E61"/>
      <c r="F61"/>
      <c r="G61"/>
      <c r="H61"/>
      <c r="I61"/>
      <c r="J61"/>
      <c r="K61"/>
      <c r="L61"/>
    </row>
    <row r="62" spans="1:12" s="10" customFormat="1" ht="15" customHeight="1" x14ac:dyDescent="0.2">
      <c r="A62"/>
      <c r="B62"/>
      <c r="C62"/>
      <c r="D62"/>
      <c r="E62"/>
      <c r="F62"/>
      <c r="G62"/>
      <c r="H62"/>
      <c r="I62"/>
      <c r="J62"/>
      <c r="K62"/>
      <c r="L62"/>
    </row>
    <row r="63" spans="1:12" s="10" customFormat="1" ht="15" customHeight="1" x14ac:dyDescent="0.2">
      <c r="A63"/>
      <c r="B63"/>
      <c r="C63"/>
      <c r="D63"/>
      <c r="E63"/>
      <c r="F63"/>
      <c r="G63"/>
      <c r="H63"/>
      <c r="I63"/>
      <c r="J63"/>
      <c r="K63"/>
      <c r="L63"/>
    </row>
    <row r="64" spans="1:12" s="10" customFormat="1" ht="15" customHeight="1" x14ac:dyDescent="0.2">
      <c r="A64"/>
      <c r="B64"/>
      <c r="C64"/>
      <c r="D64"/>
      <c r="E64"/>
      <c r="F64"/>
      <c r="G64"/>
      <c r="H64"/>
      <c r="I64"/>
      <c r="J64"/>
      <c r="K64"/>
      <c r="L64"/>
    </row>
    <row r="65" spans="1:12" s="10" customFormat="1" ht="15" customHeight="1" x14ac:dyDescent="0.2">
      <c r="A65"/>
      <c r="B65"/>
      <c r="C65"/>
      <c r="D65"/>
      <c r="E65"/>
      <c r="F65"/>
      <c r="G65"/>
      <c r="H65"/>
      <c r="I65"/>
      <c r="J65"/>
      <c r="K65"/>
      <c r="L65"/>
    </row>
    <row r="66" spans="1:12" ht="16.350000000000001" customHeight="1" x14ac:dyDescent="0.2"/>
    <row r="67" spans="1:12" ht="6" customHeight="1" x14ac:dyDescent="0.2"/>
    <row r="69" spans="1:12" ht="10.35" customHeight="1" x14ac:dyDescent="0.2"/>
    <row r="72" spans="1:12" ht="6" customHeight="1" x14ac:dyDescent="0.2"/>
    <row r="73" spans="1:12" ht="12.75" customHeight="1" x14ac:dyDescent="0.2"/>
    <row r="77" spans="1:12" ht="10.35" customHeight="1" x14ac:dyDescent="0.2"/>
    <row r="78" spans="1:12" ht="12.75" customHeight="1" x14ac:dyDescent="0.2"/>
    <row r="80" spans="1:12" ht="16.350000000000001" customHeight="1" x14ac:dyDescent="0.2"/>
    <row r="81" ht="6" customHeight="1" x14ac:dyDescent="0.2"/>
    <row r="83" ht="6" customHeight="1" x14ac:dyDescent="0.2"/>
    <row r="84" ht="10.35" customHeight="1" x14ac:dyDescent="0.2"/>
    <row r="85" ht="10.35" customHeight="1" x14ac:dyDescent="0.2"/>
    <row r="86" ht="10.35" customHeight="1" x14ac:dyDescent="0.2"/>
    <row r="87" ht="10.35" customHeight="1" x14ac:dyDescent="0.2"/>
    <row r="88" ht="10.35" customHeight="1" x14ac:dyDescent="0.2"/>
    <row r="89" ht="10.35" customHeight="1" x14ac:dyDescent="0.2"/>
    <row r="90" ht="10.35" customHeight="1" x14ac:dyDescent="0.2"/>
    <row r="91" ht="10.35" customHeight="1" x14ac:dyDescent="0.2"/>
    <row r="92" ht="10.35" customHeight="1" x14ac:dyDescent="0.2"/>
    <row r="93" ht="6" customHeight="1" x14ac:dyDescent="0.2"/>
    <row r="94" ht="10.35" customHeight="1" x14ac:dyDescent="0.2"/>
    <row r="95" ht="10.35" customHeight="1" x14ac:dyDescent="0.2"/>
    <row r="96" ht="10.35" customHeight="1" x14ac:dyDescent="0.2"/>
    <row r="97" ht="10.35" customHeight="1" x14ac:dyDescent="0.2"/>
    <row r="98" ht="10.35" customHeight="1" x14ac:dyDescent="0.2"/>
    <row r="99" ht="6" customHeight="1" x14ac:dyDescent="0.2"/>
    <row r="100" ht="10.35" customHeight="1" x14ac:dyDescent="0.2"/>
    <row r="101" ht="6" customHeight="1" x14ac:dyDescent="0.2"/>
    <row r="104" ht="10.35" customHeight="1" x14ac:dyDescent="0.2"/>
  </sheetData>
  <sheetProtection algorithmName="SHA-512" hashValue="5yGxVFaoC6l07YJJggSvGOOusT9YQkIIT0bq6wDE0qR1LsgeKgU/Woi6osSIc/Bse5oUC9dLty7f41OQF/m6rw==" saltValue="UxhEZfN4xhgJUL4KbiZC+g==" spinCount="100000" sheet="1" autoFilter="0"/>
  <customSheetViews>
    <customSheetView guid="{9FCFC836-1CA5-48BF-958D-24D2EA94B219}" showGridLines="0" fitToPage="1" hiddenColumns="1" topLeftCell="B1">
      <selection activeCell="B12" sqref="B12"/>
      <rowBreaks count="1" manualBreakCount="1">
        <brk id="47" max="16383" man="1"/>
      </rowBreaks>
      <pageMargins left="0" right="0" top="0" bottom="0" header="0" footer="0"/>
      <pageSetup orientation="portrait" r:id="rId1"/>
      <headerFooter alignWithMargins="0">
        <oddFooter>&amp;R&amp;A</oddFooter>
      </headerFooter>
    </customSheetView>
    <customSheetView guid="{BEA4BE86-04D1-4C96-9358-7A260B9D2B2D}" showGridLines="0" fitToPage="1" showRuler="0">
      <selection sqref="A1:K1"/>
      <rowBreaks count="1" manualBreakCount="1">
        <brk id="46" max="16383" man="1"/>
      </rowBreaks>
      <pageMargins left="0" right="0" top="0" bottom="0" header="0" footer="0"/>
      <pageSetup orientation="portrait" r:id="rId2"/>
      <headerFooter alignWithMargins="0">
        <oddFooter>&amp;R&amp;A</oddFooter>
      </headerFooter>
    </customSheetView>
    <customSheetView guid="{1250FD07-FF56-4A9D-AF9E-C27124A7EBE9}" showGridLines="0" fitToPage="1" showRuler="0">
      <selection sqref="A1:K1"/>
      <rowBreaks count="1" manualBreakCount="1">
        <brk id="46" max="16383" man="1"/>
      </rowBreaks>
      <pageMargins left="0" right="0" top="0" bottom="0" header="0" footer="0"/>
      <pageSetup orientation="portrait" r:id="rId3"/>
      <headerFooter alignWithMargins="0">
        <oddFooter>&amp;R&amp;A</oddFooter>
      </headerFooter>
    </customSheetView>
    <customSheetView guid="{B08879A4-635B-4C39-9937-AC7883D562FC}" showGridLines="0" fitToPage="1" hiddenColumns="1" topLeftCell="B1">
      <selection activeCell="B12" sqref="B12"/>
      <rowBreaks count="1" manualBreakCount="1">
        <brk id="47" max="16383" man="1"/>
      </rowBreaks>
      <pageMargins left="0" right="0" top="0" bottom="0" header="0" footer="0"/>
      <pageSetup orientation="portrait" r:id="rId4"/>
      <headerFooter alignWithMargins="0">
        <oddFooter>&amp;R&amp;A</oddFooter>
      </headerFooter>
    </customSheetView>
  </customSheetViews>
  <mergeCells count="13">
    <mergeCell ref="M1:M3"/>
    <mergeCell ref="G29:I29"/>
    <mergeCell ref="K44:L44"/>
    <mergeCell ref="B47:L47"/>
    <mergeCell ref="B1:L1"/>
    <mergeCell ref="B2:L2"/>
    <mergeCell ref="B3:L3"/>
    <mergeCell ref="J5:L5"/>
    <mergeCell ref="J6:L6"/>
    <mergeCell ref="J7:L7"/>
    <mergeCell ref="D5:E5"/>
    <mergeCell ref="D7:E7"/>
    <mergeCell ref="J8:L8"/>
  </mergeCells>
  <phoneticPr fontId="18" type="noConversion"/>
  <conditionalFormatting sqref="G29:I29">
    <cfRule type="containsText" dxfId="110" priority="1" stopIfTrue="1" operator="containsText" text="Answer Missing">
      <formula>NOT(ISERROR(SEARCH("Answer Missing",G29)))</formula>
    </cfRule>
  </conditionalFormatting>
  <conditionalFormatting sqref="K44:L44">
    <cfRule type="containsText" dxfId="109" priority="2" stopIfTrue="1" operator="containsText" text="Answer Missing">
      <formula>NOT(ISERROR(SEARCH("Answer Missing",K44)))</formula>
    </cfRule>
  </conditionalFormatting>
  <conditionalFormatting sqref="M1:M3">
    <cfRule type="cellIs" dxfId="108" priority="3" stopIfTrue="1" operator="equal">
      <formula>"na"</formula>
    </cfRule>
  </conditionalFormatting>
  <hyperlinks>
    <hyperlink ref="B1:L1" location="Index!A1" display="Index!A1" xr:uid="{00000000-0004-0000-1900-000000000000}"/>
  </hyperlinks>
  <pageMargins left="0.6" right="0.6" top="0.5" bottom="0.5" header="0.3" footer="0.3"/>
  <pageSetup orientation="portrait" r:id="rId5"/>
  <rowBreaks count="1" manualBreakCount="1">
    <brk id="48"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4">
    <pageSetUpPr fitToPage="1"/>
  </sheetPr>
  <dimension ref="A1:L39"/>
  <sheetViews>
    <sheetView showGridLines="0" zoomScaleNormal="100" zoomScaleSheetLayoutView="100" workbookViewId="0">
      <selection activeCell="A27" sqref="A27"/>
    </sheetView>
  </sheetViews>
  <sheetFormatPr defaultRowHeight="12.75" x14ac:dyDescent="0.2"/>
  <cols>
    <col min="1" max="1" width="9.42578125" customWidth="1"/>
    <col min="2" max="2" width="6.42578125" customWidth="1"/>
    <col min="3" max="3" width="10.5703125" customWidth="1"/>
    <col min="4" max="4" width="8" customWidth="1"/>
    <col min="5" max="5" width="6.5703125" customWidth="1"/>
    <col min="6" max="6" width="22.5703125" customWidth="1"/>
    <col min="7" max="7" width="2.42578125" customWidth="1"/>
    <col min="8" max="8" width="20" customWidth="1"/>
    <col min="9" max="9" width="2.42578125" customWidth="1"/>
    <col min="10" max="10" width="16.5703125" customWidth="1"/>
    <col min="11" max="11" width="2.42578125" customWidth="1"/>
    <col min="12" max="12" width="22.5703125" customWidth="1"/>
  </cols>
  <sheetData>
    <row r="1" spans="1:12" ht="15.75" x14ac:dyDescent="0.25">
      <c r="A1" s="2553" t="str">
        <f>+Index!$A$1</f>
        <v xml:space="preserve">                                                               Office of the State Controller                                                                </v>
      </c>
      <c r="B1" s="2553"/>
      <c r="C1" s="2553"/>
      <c r="D1" s="2553"/>
      <c r="E1" s="2553"/>
      <c r="F1" s="2553"/>
      <c r="G1" s="2553"/>
      <c r="H1" s="2553"/>
      <c r="I1" s="2553"/>
      <c r="J1" s="2553"/>
      <c r="K1" s="2553"/>
      <c r="L1" s="2554" t="str">
        <f>IF(Index!$B$51="na","NA","")</f>
        <v/>
      </c>
    </row>
    <row r="2" spans="1:12" ht="15.75" x14ac:dyDescent="0.25">
      <c r="A2" s="2532" t="str">
        <f>+Index!$A$2</f>
        <v>2024 ACFR Worksheets</v>
      </c>
      <c r="B2" s="2548"/>
      <c r="C2" s="2548"/>
      <c r="D2" s="2548"/>
      <c r="E2" s="2548"/>
      <c r="F2" s="2548"/>
      <c r="G2" s="2548"/>
      <c r="H2" s="2548"/>
      <c r="I2" s="2548"/>
      <c r="J2" s="2548"/>
      <c r="K2" s="2548"/>
      <c r="L2" s="2554"/>
    </row>
    <row r="3" spans="1:12" ht="15.75" x14ac:dyDescent="0.25">
      <c r="A3" s="2532" t="s">
        <v>1520</v>
      </c>
      <c r="B3" s="2548"/>
      <c r="C3" s="2548"/>
      <c r="D3" s="2548"/>
      <c r="E3" s="2548"/>
      <c r="F3" s="2548"/>
      <c r="G3" s="2548"/>
      <c r="H3" s="2548"/>
      <c r="I3" s="2548"/>
      <c r="J3" s="2548"/>
      <c r="K3" s="2548"/>
      <c r="L3" s="2554"/>
    </row>
    <row r="4" spans="1:12" x14ac:dyDescent="0.2">
      <c r="A4" s="138"/>
      <c r="B4" s="138"/>
      <c r="C4" s="138"/>
      <c r="D4" s="138"/>
      <c r="E4" s="138"/>
      <c r="F4" s="138"/>
      <c r="G4" s="138"/>
      <c r="H4" s="138"/>
      <c r="I4" s="2746" t="s">
        <v>616</v>
      </c>
      <c r="J4" s="2632"/>
      <c r="K4" s="2632"/>
      <c r="L4" s="2632"/>
    </row>
    <row r="5" spans="1:12" x14ac:dyDescent="0.2">
      <c r="A5" s="1628"/>
      <c r="B5" s="77"/>
      <c r="C5" s="2728"/>
      <c r="D5" s="2728"/>
      <c r="E5" s="2328"/>
      <c r="F5" s="2328"/>
      <c r="G5" s="138"/>
      <c r="H5" s="1629" t="s">
        <v>318</v>
      </c>
      <c r="J5" s="2727" t="str">
        <f>+Index!$E$10</f>
        <v>01</v>
      </c>
      <c r="K5" s="2710"/>
      <c r="L5" s="2710"/>
    </row>
    <row r="6" spans="1:12" x14ac:dyDescent="0.2">
      <c r="A6" s="138"/>
      <c r="B6" s="138"/>
      <c r="C6" s="138"/>
      <c r="D6" s="138"/>
      <c r="E6" s="138"/>
      <c r="F6" s="138"/>
      <c r="G6" s="138"/>
      <c r="H6" s="1629" t="s">
        <v>319</v>
      </c>
      <c r="J6" s="2742" t="str">
        <f>+Index!$E$11</f>
        <v>North Carolina General Assembly</v>
      </c>
      <c r="K6" s="2694"/>
      <c r="L6" s="2694"/>
    </row>
    <row r="7" spans="1:12" x14ac:dyDescent="0.2">
      <c r="A7" s="1628" t="s">
        <v>545</v>
      </c>
      <c r="B7" s="77"/>
      <c r="C7" s="2743"/>
      <c r="D7" s="2743"/>
      <c r="E7" s="1628"/>
      <c r="F7" s="1628"/>
      <c r="G7" s="138"/>
      <c r="H7" s="1629" t="s">
        <v>320</v>
      </c>
      <c r="J7" s="2744" t="str">
        <f>CONCATENATE(Index!$E$12, " ", Index!$E$14)</f>
        <v xml:space="preserve"> </v>
      </c>
      <c r="K7" s="2694"/>
      <c r="L7" s="2694"/>
    </row>
    <row r="8" spans="1:12" x14ac:dyDescent="0.2">
      <c r="A8" s="1628"/>
      <c r="B8" s="77"/>
      <c r="C8" s="2328"/>
      <c r="D8" s="2328"/>
      <c r="E8" s="1628"/>
      <c r="F8" s="1628"/>
      <c r="G8" s="138"/>
      <c r="H8" s="1629" t="s">
        <v>168</v>
      </c>
      <c r="J8" s="2745">
        <f>+Index!$E$13</f>
        <v>0</v>
      </c>
      <c r="K8" s="2710"/>
      <c r="L8" s="2710"/>
    </row>
    <row r="9" spans="1:12" ht="13.5" thickBot="1" x14ac:dyDescent="0.25">
      <c r="A9" s="279"/>
      <c r="B9" s="279"/>
      <c r="C9" s="279"/>
      <c r="D9" s="279"/>
      <c r="E9" s="279"/>
      <c r="F9" s="279"/>
      <c r="G9" s="1646"/>
      <c r="H9" s="279"/>
      <c r="I9" s="279"/>
      <c r="J9" s="279"/>
      <c r="K9" s="279"/>
      <c r="L9" s="279"/>
    </row>
    <row r="10" spans="1:12" ht="6" customHeight="1" x14ac:dyDescent="0.2">
      <c r="A10" s="77"/>
      <c r="B10" s="77"/>
      <c r="C10" s="77"/>
      <c r="D10" s="77"/>
      <c r="E10" s="77"/>
      <c r="F10" s="77"/>
      <c r="G10" s="138"/>
      <c r="H10" s="77"/>
      <c r="I10" s="77"/>
      <c r="J10" s="77"/>
      <c r="K10" s="77"/>
      <c r="L10" s="138"/>
    </row>
    <row r="11" spans="1:12" ht="14.1" customHeight="1" x14ac:dyDescent="0.2">
      <c r="A11" s="138" t="s">
        <v>1521</v>
      </c>
    </row>
    <row r="12" spans="1:12" ht="14.1" customHeight="1" x14ac:dyDescent="0.2">
      <c r="A12" s="138" t="s">
        <v>1522</v>
      </c>
    </row>
    <row r="13" spans="1:12" ht="14.1" customHeight="1" x14ac:dyDescent="0.2">
      <c r="A13" s="138" t="s">
        <v>1523</v>
      </c>
    </row>
    <row r="14" spans="1:12" ht="14.1" customHeight="1" x14ac:dyDescent="0.2">
      <c r="A14" s="138" t="s">
        <v>1524</v>
      </c>
    </row>
    <row r="15" spans="1:12" ht="10.35" customHeight="1" x14ac:dyDescent="0.2"/>
    <row r="16" spans="1:12" ht="14.1" customHeight="1" x14ac:dyDescent="0.2">
      <c r="A16" t="str">
        <f>"-    Resources restricted or designated for the acquisition/construction of the government's own capital assets"</f>
        <v>-    Resources restricted or designated for the acquisition/construction of the government's own capital assets</v>
      </c>
    </row>
    <row r="17" spans="1:12" ht="14.1" customHeight="1" x14ac:dyDescent="0.2">
      <c r="A17" t="str">
        <f>"-    Resources legally segregated for the payment of principal and interest only (as required by debt covenants) and"</f>
        <v>-    Resources legally segregated for the payment of principal and interest only (as required by debt covenants) and</v>
      </c>
    </row>
    <row r="18" spans="1:12" ht="14.1" customHeight="1" x14ac:dyDescent="0.2">
      <c r="A18" s="138" t="s">
        <v>1525</v>
      </c>
    </row>
    <row r="19" spans="1:12" ht="14.1" customHeight="1" x14ac:dyDescent="0.2">
      <c r="A19" t="str">
        <f>"-    Temporarily  invested debt proceeds"</f>
        <v>-    Temporarily  invested debt proceeds</v>
      </c>
      <c r="J19" s="664"/>
    </row>
    <row r="20" spans="1:12" ht="14.1" customHeight="1" x14ac:dyDescent="0.2">
      <c r="A20" t="str">
        <f>"-    Nonexpendable resources of permanent funds"</f>
        <v>-    Nonexpendable resources of permanent funds</v>
      </c>
    </row>
    <row r="21" spans="1:12" ht="10.35" customHeight="1" x14ac:dyDescent="0.2"/>
    <row r="22" spans="1:12" ht="14.1" customHeight="1" x14ac:dyDescent="0.2">
      <c r="A22" s="11" t="s">
        <v>1526</v>
      </c>
      <c r="H22" s="507" t="s">
        <v>1527</v>
      </c>
      <c r="J22" s="664" t="s">
        <v>1528</v>
      </c>
    </row>
    <row r="23" spans="1:12" ht="6" customHeight="1" thickBot="1" x14ac:dyDescent="0.25">
      <c r="A23" s="447"/>
      <c r="B23" s="448"/>
      <c r="C23" s="448"/>
      <c r="D23" s="448"/>
      <c r="E23" s="448"/>
      <c r="F23" s="448"/>
      <c r="G23" s="448"/>
      <c r="H23" s="448"/>
      <c r="I23" s="448"/>
      <c r="J23" s="448"/>
      <c r="K23" s="448"/>
      <c r="L23" s="448"/>
    </row>
    <row r="24" spans="1:12" ht="8.1" customHeight="1" x14ac:dyDescent="0.2"/>
    <row r="25" spans="1:12" ht="15" customHeight="1" x14ac:dyDescent="0.2">
      <c r="A25" s="352" t="s">
        <v>1529</v>
      </c>
      <c r="B25" s="166"/>
      <c r="C25" s="166"/>
      <c r="D25" s="166"/>
      <c r="E25" s="166"/>
      <c r="F25" s="166"/>
      <c r="G25" s="166"/>
      <c r="H25" s="166"/>
      <c r="I25" s="166"/>
      <c r="J25" s="166"/>
      <c r="K25" s="166"/>
      <c r="L25" s="166"/>
    </row>
    <row r="26" spans="1:12" ht="15" customHeight="1" x14ac:dyDescent="0.2">
      <c r="A26" s="352" t="s">
        <v>1530</v>
      </c>
      <c r="B26" s="166"/>
      <c r="C26" s="166"/>
      <c r="D26" s="166"/>
      <c r="E26" s="166"/>
      <c r="F26" s="166"/>
      <c r="G26" s="166"/>
      <c r="H26" s="166"/>
      <c r="I26" s="166"/>
      <c r="J26" s="166"/>
      <c r="K26" s="166"/>
      <c r="L26" s="166"/>
    </row>
    <row r="27" spans="1:12" ht="12.75" customHeight="1" x14ac:dyDescent="0.2">
      <c r="A27" s="1112" t="s">
        <v>1531</v>
      </c>
      <c r="B27" s="1113"/>
      <c r="C27" s="1113"/>
      <c r="D27" s="1113"/>
      <c r="E27" s="1113"/>
      <c r="F27" s="1113"/>
      <c r="G27" s="1113"/>
      <c r="H27" s="1113"/>
      <c r="I27" s="1113"/>
      <c r="J27" s="1113"/>
    </row>
    <row r="28" spans="1:12" ht="15" customHeight="1" x14ac:dyDescent="0.2">
      <c r="A28" s="481" t="s">
        <v>1532</v>
      </c>
    </row>
    <row r="29" spans="1:12" ht="8.1" customHeight="1" x14ac:dyDescent="0.2">
      <c r="A29" s="449"/>
    </row>
    <row r="30" spans="1:12" ht="15" customHeight="1" x14ac:dyDescent="0.2">
      <c r="A30" s="449" t="s">
        <v>1533</v>
      </c>
    </row>
    <row r="31" spans="1:12" ht="8.1" customHeight="1" x14ac:dyDescent="0.2">
      <c r="A31" s="449"/>
    </row>
    <row r="32" spans="1:12" ht="39" customHeight="1" x14ac:dyDescent="0.2">
      <c r="F32" s="334" t="s">
        <v>1534</v>
      </c>
      <c r="H32" s="334" t="s">
        <v>1535</v>
      </c>
      <c r="J32" s="334" t="s">
        <v>1536</v>
      </c>
      <c r="L32" s="334" t="s">
        <v>1537</v>
      </c>
    </row>
    <row r="33" spans="1:12" ht="18" customHeight="1" x14ac:dyDescent="0.2">
      <c r="A33" s="1" t="s">
        <v>1538</v>
      </c>
      <c r="F33" s="461"/>
      <c r="H33" s="461"/>
      <c r="J33" s="461"/>
      <c r="L33" s="461"/>
    </row>
    <row r="34" spans="1:12" ht="18" customHeight="1" x14ac:dyDescent="0.2">
      <c r="A34" s="1" t="s">
        <v>1539</v>
      </c>
      <c r="F34" s="461"/>
      <c r="H34" s="461"/>
      <c r="J34" s="461"/>
      <c r="L34" s="461"/>
    </row>
    <row r="35" spans="1:12" ht="18" customHeight="1" x14ac:dyDescent="0.2">
      <c r="A35" s="1" t="s">
        <v>1540</v>
      </c>
      <c r="F35" s="461"/>
      <c r="H35" s="461"/>
      <c r="J35" s="461"/>
      <c r="L35" s="461"/>
    </row>
    <row r="36" spans="1:12" ht="18" customHeight="1" x14ac:dyDescent="0.2">
      <c r="A36" s="1" t="s">
        <v>1541</v>
      </c>
      <c r="F36" s="461"/>
      <c r="H36" s="461"/>
      <c r="J36" s="461"/>
      <c r="L36" s="461"/>
    </row>
    <row r="37" spans="1:12" ht="18" customHeight="1" x14ac:dyDescent="0.2">
      <c r="A37" s="1" t="s">
        <v>1542</v>
      </c>
      <c r="F37" s="461"/>
      <c r="H37" s="461"/>
      <c r="J37" s="461"/>
      <c r="L37" s="461"/>
    </row>
    <row r="38" spans="1:12" ht="18" customHeight="1" x14ac:dyDescent="0.2">
      <c r="A38" s="1" t="s">
        <v>1543</v>
      </c>
    </row>
    <row r="39" spans="1:12" ht="15" customHeight="1" x14ac:dyDescent="0.2">
      <c r="A39" s="2332"/>
      <c r="B39" s="2266"/>
      <c r="C39" s="2266"/>
      <c r="D39" s="2266"/>
      <c r="F39" s="461"/>
      <c r="H39" s="461"/>
      <c r="J39" s="461"/>
      <c r="L39" s="461"/>
    </row>
  </sheetData>
  <sheetProtection algorithmName="SHA-512" hashValue="pObFiX7tfNGZ4Mkn7l9PxbTP7B83mlyh5P1++2M6P0eBNnJ++LHfiFrxUT4li5aTp+xPzR0vfj+lb79DnoAFNw==" saltValue="3g12Zvku2SVPVl783BVQYw==" spinCount="100000" sheet="1" autoFilter="0"/>
  <customSheetViews>
    <customSheetView guid="{9FCFC836-1CA5-48BF-958D-24D2EA94B219}" showGridLines="0">
      <selection sqref="A1:K1"/>
      <pageMargins left="0" right="0" top="0" bottom="0" header="0" footer="0"/>
      <pageSetup orientation="landscape" r:id="rId1"/>
      <headerFooter>
        <oddFooter>&amp;R&amp;A</oddFooter>
      </headerFooter>
    </customSheetView>
    <customSheetView guid="{B08879A4-635B-4C39-9937-AC7883D562FC}" showGridLines="0">
      <selection sqref="A1:K1"/>
      <pageMargins left="0" right="0" top="0" bottom="0" header="0" footer="0"/>
      <pageSetup orientation="landscape" r:id="rId2"/>
      <headerFooter>
        <oddFooter>&amp;R&amp;A</oddFooter>
      </headerFooter>
    </customSheetView>
  </customSheetViews>
  <mergeCells count="11">
    <mergeCell ref="A1:K1"/>
    <mergeCell ref="L1:L3"/>
    <mergeCell ref="A2:K2"/>
    <mergeCell ref="A3:K3"/>
    <mergeCell ref="I4:L4"/>
    <mergeCell ref="J5:L5"/>
    <mergeCell ref="J6:L6"/>
    <mergeCell ref="C7:D7"/>
    <mergeCell ref="J7:L7"/>
    <mergeCell ref="J8:L8"/>
    <mergeCell ref="C5:D5"/>
  </mergeCells>
  <conditionalFormatting sqref="L1:L3">
    <cfRule type="cellIs" dxfId="107" priority="3" stopIfTrue="1" operator="equal">
      <formula>"na"</formula>
    </cfRule>
  </conditionalFormatting>
  <hyperlinks>
    <hyperlink ref="A1:K1" location="Index!A1" display="Index!A1" xr:uid="{00000000-0004-0000-1A00-000000000000}"/>
    <hyperlink ref="J22" r:id="rId3" xr:uid="{00000000-0004-0000-1A00-000001000000}"/>
  </hyperlinks>
  <pageMargins left="0.6" right="0.6" top="0.5" bottom="0.5" header="0.3" footer="0.3"/>
  <pageSetup scale="98" orientation="landscape"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6">
    <pageSetUpPr fitToPage="1"/>
  </sheetPr>
  <dimension ref="A1:O21"/>
  <sheetViews>
    <sheetView showGridLines="0" zoomScaleNormal="100" zoomScaleSheetLayoutView="100" workbookViewId="0">
      <selection activeCell="A2" sqref="A2:I2"/>
    </sheetView>
  </sheetViews>
  <sheetFormatPr defaultColWidth="9.42578125" defaultRowHeight="10.5" x14ac:dyDescent="0.15"/>
  <cols>
    <col min="1" max="1" width="21.42578125" style="17" customWidth="1"/>
    <col min="2" max="2" width="1.42578125" style="17" customWidth="1"/>
    <col min="3" max="3" width="19.5703125" style="17" bestFit="1" customWidth="1"/>
    <col min="4" max="4" width="1.5703125" style="17" customWidth="1"/>
    <col min="5" max="5" width="19.5703125" style="17" customWidth="1"/>
    <col min="6" max="6" width="1.5703125" style="17" customWidth="1"/>
    <col min="7" max="7" width="20" style="17" customWidth="1"/>
    <col min="8" max="8" width="4" style="17" customWidth="1"/>
    <col min="9" max="9" width="17.5703125" style="17" customWidth="1"/>
    <col min="10" max="10" width="4.5703125" style="17" customWidth="1"/>
    <col min="11" max="11" width="3.42578125" style="17" customWidth="1"/>
    <col min="12" max="14" width="1.5703125" style="17" customWidth="1"/>
    <col min="15" max="15" width="4.5703125" style="17" customWidth="1"/>
    <col min="16" max="17" width="1.5703125" style="17" customWidth="1"/>
    <col min="18" max="16384" width="9.42578125" style="17"/>
  </cols>
  <sheetData>
    <row r="1" spans="1:15" s="16" customFormat="1" ht="25.15" customHeight="1" x14ac:dyDescent="0.25">
      <c r="A1" s="2553" t="str">
        <f>+Index!$A$1</f>
        <v xml:space="preserve">                                                               Office of the State Controller                                                                </v>
      </c>
      <c r="B1" s="2553"/>
      <c r="C1" s="2553"/>
      <c r="D1" s="2553"/>
      <c r="E1" s="2553"/>
      <c r="F1" s="2553"/>
      <c r="G1" s="2553"/>
      <c r="H1" s="2553"/>
      <c r="I1" s="2553"/>
      <c r="J1" s="849" t="str">
        <f>IF(Index!$B$52="na","NA","")</f>
        <v/>
      </c>
    </row>
    <row r="2" spans="1:15" s="16" customFormat="1" ht="15" customHeight="1" x14ac:dyDescent="0.25">
      <c r="A2" s="2748" t="str">
        <f>+Index!$A$2</f>
        <v>2024 ACFR Worksheets</v>
      </c>
      <c r="B2" s="2748"/>
      <c r="C2" s="2748"/>
      <c r="D2" s="2748"/>
      <c r="E2" s="2748"/>
      <c r="F2" s="2748"/>
      <c r="G2" s="2748"/>
      <c r="H2" s="2748"/>
      <c r="I2" s="2748"/>
      <c r="J2" s="849"/>
    </row>
    <row r="3" spans="1:15" s="16" customFormat="1" ht="15" customHeight="1" x14ac:dyDescent="0.25">
      <c r="A3" s="2749" t="s">
        <v>1544</v>
      </c>
      <c r="B3" s="2749"/>
      <c r="C3" s="2749"/>
      <c r="D3" s="2749"/>
      <c r="E3" s="2749"/>
      <c r="F3" s="2749"/>
      <c r="G3" s="2749"/>
      <c r="H3" s="2749"/>
      <c r="I3" s="2749"/>
      <c r="J3" s="849"/>
    </row>
    <row r="4" spans="1:15" s="18" customFormat="1" ht="15" customHeight="1" x14ac:dyDescent="0.2">
      <c r="E4" s="422" t="s">
        <v>1545</v>
      </c>
      <c r="G4" s="422"/>
      <c r="H4" s="422"/>
    </row>
    <row r="5" spans="1:15" s="18" customFormat="1" ht="6" customHeight="1" x14ac:dyDescent="0.2">
      <c r="D5" s="128"/>
      <c r="E5" s="128"/>
      <c r="G5" s="2750"/>
      <c r="H5" s="2750"/>
      <c r="I5" s="2750"/>
    </row>
    <row r="6" spans="1:15" s="18" customFormat="1" ht="15" customHeight="1" x14ac:dyDescent="0.2">
      <c r="A6" s="2389" t="s">
        <v>318</v>
      </c>
      <c r="B6" s="2389"/>
      <c r="C6" s="2388" t="str">
        <f>Index!$E$10</f>
        <v>01</v>
      </c>
      <c r="D6" s="128"/>
      <c r="E6" s="128"/>
      <c r="F6" s="19" t="s">
        <v>319</v>
      </c>
      <c r="G6" s="2751" t="str">
        <f>+Index!$E$11</f>
        <v>North Carolina General Assembly</v>
      </c>
      <c r="H6" s="2751"/>
      <c r="I6" s="2751"/>
    </row>
    <row r="7" spans="1:15" s="18" customFormat="1" ht="15" customHeight="1" x14ac:dyDescent="0.2">
      <c r="D7" s="128"/>
      <c r="E7" s="128"/>
      <c r="F7" s="19" t="s">
        <v>320</v>
      </c>
      <c r="G7" s="2747" t="str">
        <f>CONCATENATE(Index!$E$12," ",Index!$E$14)</f>
        <v xml:space="preserve"> </v>
      </c>
      <c r="H7" s="2747"/>
      <c r="I7" s="2747"/>
    </row>
    <row r="8" spans="1:15" s="18" customFormat="1" ht="15" customHeight="1" x14ac:dyDescent="0.2">
      <c r="C8" s="420"/>
      <c r="D8" s="128"/>
      <c r="E8" s="128"/>
      <c r="F8" s="19" t="s">
        <v>168</v>
      </c>
      <c r="G8" s="2747">
        <f>+Index!$E$13</f>
        <v>0</v>
      </c>
      <c r="H8" s="2747"/>
      <c r="I8" s="2747"/>
    </row>
    <row r="9" spans="1:15" s="18" customFormat="1" ht="6" customHeight="1" thickBot="1" x14ac:dyDescent="0.25">
      <c r="A9" s="76"/>
      <c r="B9" s="76"/>
      <c r="C9" s="76"/>
      <c r="D9" s="76"/>
      <c r="E9" s="76"/>
      <c r="F9" s="76"/>
      <c r="G9" s="76"/>
      <c r="H9" s="76"/>
      <c r="I9" s="76"/>
    </row>
    <row r="10" spans="1:15" s="18" customFormat="1" ht="5.25" customHeight="1" x14ac:dyDescent="0.2"/>
    <row r="11" spans="1:15" s="18" customFormat="1" ht="15.75" customHeight="1" x14ac:dyDescent="0.2">
      <c r="A11" s="465" t="s">
        <v>1546</v>
      </c>
      <c r="B11" s="465"/>
      <c r="C11" s="2352"/>
      <c r="D11" s="2352"/>
      <c r="E11" s="2352"/>
      <c r="F11" s="758"/>
      <c r="G11" s="758"/>
      <c r="H11" s="758"/>
      <c r="I11" s="2297"/>
      <c r="J11" s="758"/>
      <c r="K11" s="758"/>
      <c r="L11" s="758"/>
      <c r="M11" s="758"/>
      <c r="N11" s="758"/>
      <c r="O11" s="758"/>
    </row>
    <row r="12" spans="1:15" s="18" customFormat="1" ht="15.75" customHeight="1" x14ac:dyDescent="0.2">
      <c r="A12" s="466"/>
      <c r="B12" s="466"/>
      <c r="C12" s="466"/>
      <c r="D12" s="466"/>
      <c r="E12" s="467" t="s">
        <v>1547</v>
      </c>
      <c r="F12" s="468"/>
      <c r="G12" s="467" t="s">
        <v>1548</v>
      </c>
      <c r="H12" s="469"/>
      <c r="I12" s="467" t="s">
        <v>962</v>
      </c>
      <c r="J12" s="469"/>
      <c r="K12" s="469"/>
      <c r="L12" s="469"/>
      <c r="M12" s="469"/>
      <c r="N12" s="469"/>
      <c r="O12" s="469"/>
    </row>
    <row r="13" spans="1:15" s="18" customFormat="1" ht="15.75" customHeight="1" x14ac:dyDescent="0.2">
      <c r="A13" s="466"/>
      <c r="B13" s="466"/>
      <c r="C13" s="466"/>
      <c r="D13" s="466"/>
      <c r="E13" s="2297"/>
      <c r="F13" s="468"/>
      <c r="G13" s="2297"/>
      <c r="H13" s="469"/>
      <c r="I13" s="469"/>
      <c r="J13" s="469"/>
      <c r="K13" s="469"/>
      <c r="L13" s="469"/>
      <c r="M13" s="469"/>
      <c r="N13" s="469"/>
      <c r="O13" s="469"/>
    </row>
    <row r="14" spans="1:15" s="18" customFormat="1" ht="15.75" customHeight="1" x14ac:dyDescent="0.2">
      <c r="A14" s="466" t="s">
        <v>1549</v>
      </c>
      <c r="B14" s="466"/>
      <c r="C14" s="466"/>
      <c r="D14" s="466"/>
      <c r="E14" s="470"/>
      <c r="F14" s="469"/>
      <c r="G14" s="470"/>
      <c r="H14" s="469"/>
      <c r="I14" s="471">
        <f>E14+G14</f>
        <v>0</v>
      </c>
      <c r="J14" s="127" t="s">
        <v>1550</v>
      </c>
    </row>
    <row r="15" spans="1:15" s="18" customFormat="1" ht="15.75" customHeight="1" x14ac:dyDescent="0.2">
      <c r="A15" s="466" t="s">
        <v>1551</v>
      </c>
      <c r="B15" s="466"/>
      <c r="C15" s="466"/>
      <c r="D15" s="466"/>
      <c r="E15" s="472"/>
      <c r="F15" s="469"/>
      <c r="G15" s="472"/>
      <c r="H15" s="469"/>
      <c r="I15" s="480">
        <f>E15+G15</f>
        <v>0</v>
      </c>
      <c r="J15" s="469"/>
      <c r="K15" s="469"/>
      <c r="L15" s="469"/>
      <c r="M15" s="469"/>
      <c r="N15" s="469"/>
      <c r="O15" s="469"/>
    </row>
    <row r="16" spans="1:15" s="18" customFormat="1" ht="15.75" customHeight="1" x14ac:dyDescent="0.2">
      <c r="A16" s="466"/>
      <c r="B16" s="466"/>
      <c r="C16" s="466"/>
      <c r="D16" s="466"/>
      <c r="E16" s="473"/>
      <c r="F16" s="469"/>
      <c r="G16" s="473"/>
      <c r="H16" s="469"/>
      <c r="I16" s="469"/>
      <c r="J16" s="469"/>
      <c r="K16" s="469"/>
      <c r="L16" s="469"/>
      <c r="M16" s="469"/>
      <c r="N16" s="469"/>
      <c r="O16" s="469"/>
    </row>
    <row r="17" spans="1:12" s="18" customFormat="1" ht="15.75" customHeight="1" x14ac:dyDescent="0.2">
      <c r="A17" s="475" t="s">
        <v>1552</v>
      </c>
      <c r="B17" s="474"/>
      <c r="C17" s="475"/>
      <c r="D17" s="476"/>
      <c r="E17" s="475"/>
      <c r="F17" s="475"/>
      <c r="L17" s="476"/>
    </row>
    <row r="18" spans="1:12" s="18" customFormat="1" ht="15.75" customHeight="1" x14ac:dyDescent="0.2">
      <c r="A18" s="1223" t="s">
        <v>1553</v>
      </c>
      <c r="B18" s="474"/>
      <c r="C18" s="475"/>
      <c r="D18" s="476"/>
      <c r="E18" s="475"/>
      <c r="F18" s="475"/>
      <c r="G18" s="477" t="s">
        <v>340</v>
      </c>
      <c r="H18" s="478"/>
      <c r="I18" s="477" t="s">
        <v>341</v>
      </c>
      <c r="J18" s="478"/>
      <c r="L18" s="476"/>
    </row>
    <row r="19" spans="1:12" s="18" customFormat="1" ht="15.75" customHeight="1" x14ac:dyDescent="0.25">
      <c r="A19" s="463"/>
      <c r="B19" s="463"/>
      <c r="C19" s="393"/>
      <c r="D19" s="393"/>
      <c r="E19" s="393"/>
      <c r="F19" s="393"/>
      <c r="G19" s="464"/>
    </row>
    <row r="20" spans="1:12" s="18" customFormat="1" ht="15.75" customHeight="1" x14ac:dyDescent="0.2">
      <c r="A20" s="479" t="s">
        <v>1554</v>
      </c>
      <c r="B20" s="479"/>
      <c r="D20" s="469"/>
      <c r="E20" s="469"/>
      <c r="F20" s="469"/>
      <c r="G20" s="477" t="s">
        <v>340</v>
      </c>
      <c r="H20" s="478"/>
      <c r="I20" s="477" t="s">
        <v>341</v>
      </c>
      <c r="J20" s="478"/>
      <c r="L20" s="476"/>
    </row>
    <row r="21" spans="1:12" s="18" customFormat="1" ht="15.75" customHeight="1" x14ac:dyDescent="0.25">
      <c r="A21" s="463"/>
      <c r="B21" s="463"/>
      <c r="C21" s="393"/>
      <c r="D21" s="393"/>
      <c r="E21" s="393"/>
      <c r="F21" s="393"/>
      <c r="G21" s="393"/>
      <c r="H21" s="129"/>
      <c r="I21" s="464"/>
    </row>
  </sheetData>
  <sheetProtection algorithmName="SHA-512" hashValue="s1FX0j9piiydGjGDGJ/n9H/iMsOmc/SXjbBLw4VGcPkVCN5TUNnbSLcL4rvdxE1YdqDBB1RJC2dHJsbz6FbNvw==" saltValue="uNhLQYvhrBDf1IvheH1WTw==" spinCount="100000" sheet="1" autoFilter="0"/>
  <customSheetViews>
    <customSheetView guid="{9FCFC836-1CA5-48BF-958D-24D2EA94B219}" showGridLines="0" fitToPage="1">
      <selection sqref="A1:I1"/>
      <pageMargins left="0" right="0" top="0" bottom="0" header="0" footer="0"/>
      <pageSetup orientation="landscape" r:id="rId1"/>
      <headerFooter>
        <oddFooter>&amp;R&amp;A</oddFooter>
      </headerFooter>
    </customSheetView>
    <customSheetView guid="{B08879A4-635B-4C39-9937-AC7883D562FC}" showGridLines="0" fitToPage="1">
      <selection sqref="A1:I1"/>
      <pageMargins left="0" right="0" top="0" bottom="0" header="0" footer="0"/>
      <pageSetup orientation="landscape" r:id="rId2"/>
      <headerFooter>
        <oddFooter>&amp;R&amp;A</oddFooter>
      </headerFooter>
    </customSheetView>
  </customSheetViews>
  <mergeCells count="7">
    <mergeCell ref="G7:I7"/>
    <mergeCell ref="G8:I8"/>
    <mergeCell ref="A1:I1"/>
    <mergeCell ref="A2:I2"/>
    <mergeCell ref="A3:I3"/>
    <mergeCell ref="G5:I5"/>
    <mergeCell ref="G6:I6"/>
  </mergeCells>
  <conditionalFormatting sqref="J1:J3">
    <cfRule type="cellIs" dxfId="106" priority="1" stopIfTrue="1" operator="equal">
      <formula>"na"</formula>
    </cfRule>
  </conditionalFormatting>
  <hyperlinks>
    <hyperlink ref="A1:I1" location="Index!A1" display="Index!A1" xr:uid="{00000000-0004-0000-1B00-000000000000}"/>
  </hyperlinks>
  <pageMargins left="0.6" right="0.6" top="0.5" bottom="0.5" header="0.3" footer="0.3"/>
  <pageSetup orientation="landscape"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01519-2F49-4692-BDF8-801FBFE1A3F7}">
  <sheetPr codeName="Sheet97">
    <pageSetUpPr fitToPage="1"/>
  </sheetPr>
  <dimension ref="A1:P61"/>
  <sheetViews>
    <sheetView showGridLines="0" zoomScaleNormal="100" zoomScaleSheetLayoutView="100" workbookViewId="0">
      <selection activeCell="A53" sqref="A53"/>
    </sheetView>
  </sheetViews>
  <sheetFormatPr defaultColWidth="9.140625" defaultRowHeight="10.5" x14ac:dyDescent="0.15"/>
  <cols>
    <col min="1" max="1" width="15.42578125" style="17" customWidth="1"/>
    <col min="2" max="2" width="1.140625" style="17" customWidth="1"/>
    <col min="3" max="3" width="17.5703125" style="17" customWidth="1"/>
    <col min="4" max="4" width="1.5703125" style="17" customWidth="1"/>
    <col min="5" max="5" width="22.5703125" style="17" customWidth="1"/>
    <col min="6" max="6" width="1.5703125" style="17" customWidth="1"/>
    <col min="7" max="7" width="24.5703125" style="17" bestFit="1" customWidth="1"/>
    <col min="8" max="8" width="1.5703125" style="17" customWidth="1"/>
    <col min="9" max="9" width="22.5703125" style="17" customWidth="1"/>
    <col min="10" max="10" width="1.5703125" style="17" customWidth="1"/>
    <col min="11" max="11" width="24.42578125" style="17" customWidth="1"/>
    <col min="12" max="12" width="7.5703125" style="17" customWidth="1"/>
    <col min="13" max="15" width="1.5703125" style="17" customWidth="1"/>
    <col min="16" max="16" width="4.85546875" style="17" customWidth="1"/>
    <col min="17" max="18" width="1.5703125" style="17" customWidth="1"/>
    <col min="19" max="257" width="9.140625" style="17"/>
    <col min="258" max="258" width="17.85546875" style="17" customWidth="1"/>
    <col min="259" max="259" width="1.140625" style="17" customWidth="1"/>
    <col min="260" max="260" width="30.140625" style="17" customWidth="1"/>
    <col min="261" max="261" width="1.5703125" style="17" customWidth="1"/>
    <col min="262" max="262" width="21.140625" style="17" customWidth="1"/>
    <col min="263" max="263" width="1.5703125" style="17" customWidth="1"/>
    <col min="264" max="264" width="22.140625" style="17" customWidth="1"/>
    <col min="265" max="265" width="5.85546875" style="17" customWidth="1"/>
    <col min="266" max="266" width="27.42578125" style="17" customWidth="1"/>
    <col min="267" max="267" width="4.5703125" style="17" customWidth="1"/>
    <col min="268" max="268" width="3.140625" style="17" customWidth="1"/>
    <col min="269" max="271" width="1.5703125" style="17" customWidth="1"/>
    <col min="272" max="272" width="4.85546875" style="17" customWidth="1"/>
    <col min="273" max="274" width="1.5703125" style="17" customWidth="1"/>
    <col min="275" max="513" width="9.140625" style="17"/>
    <col min="514" max="514" width="17.85546875" style="17" customWidth="1"/>
    <col min="515" max="515" width="1.140625" style="17" customWidth="1"/>
    <col min="516" max="516" width="30.140625" style="17" customWidth="1"/>
    <col min="517" max="517" width="1.5703125" style="17" customWidth="1"/>
    <col min="518" max="518" width="21.140625" style="17" customWidth="1"/>
    <col min="519" max="519" width="1.5703125" style="17" customWidth="1"/>
    <col min="520" max="520" width="22.140625" style="17" customWidth="1"/>
    <col min="521" max="521" width="5.85546875" style="17" customWidth="1"/>
    <col min="522" max="522" width="27.42578125" style="17" customWidth="1"/>
    <col min="523" max="523" width="4.5703125" style="17" customWidth="1"/>
    <col min="524" max="524" width="3.140625" style="17" customWidth="1"/>
    <col min="525" max="527" width="1.5703125" style="17" customWidth="1"/>
    <col min="528" max="528" width="4.85546875" style="17" customWidth="1"/>
    <col min="529" max="530" width="1.5703125" style="17" customWidth="1"/>
    <col min="531" max="769" width="9.140625" style="17"/>
    <col min="770" max="770" width="17.85546875" style="17" customWidth="1"/>
    <col min="771" max="771" width="1.140625" style="17" customWidth="1"/>
    <col min="772" max="772" width="30.140625" style="17" customWidth="1"/>
    <col min="773" max="773" width="1.5703125" style="17" customWidth="1"/>
    <col min="774" max="774" width="21.140625" style="17" customWidth="1"/>
    <col min="775" max="775" width="1.5703125" style="17" customWidth="1"/>
    <col min="776" max="776" width="22.140625" style="17" customWidth="1"/>
    <col min="777" max="777" width="5.85546875" style="17" customWidth="1"/>
    <col min="778" max="778" width="27.42578125" style="17" customWidth="1"/>
    <col min="779" max="779" width="4.5703125" style="17" customWidth="1"/>
    <col min="780" max="780" width="3.140625" style="17" customWidth="1"/>
    <col min="781" max="783" width="1.5703125" style="17" customWidth="1"/>
    <col min="784" max="784" width="4.85546875" style="17" customWidth="1"/>
    <col min="785" max="786" width="1.5703125" style="17" customWidth="1"/>
    <col min="787" max="1025" width="9.140625" style="17"/>
    <col min="1026" max="1026" width="17.85546875" style="17" customWidth="1"/>
    <col min="1027" max="1027" width="1.140625" style="17" customWidth="1"/>
    <col min="1028" max="1028" width="30.140625" style="17" customWidth="1"/>
    <col min="1029" max="1029" width="1.5703125" style="17" customWidth="1"/>
    <col min="1030" max="1030" width="21.140625" style="17" customWidth="1"/>
    <col min="1031" max="1031" width="1.5703125" style="17" customWidth="1"/>
    <col min="1032" max="1032" width="22.140625" style="17" customWidth="1"/>
    <col min="1033" max="1033" width="5.85546875" style="17" customWidth="1"/>
    <col min="1034" max="1034" width="27.42578125" style="17" customWidth="1"/>
    <col min="1035" max="1035" width="4.5703125" style="17" customWidth="1"/>
    <col min="1036" max="1036" width="3.140625" style="17" customWidth="1"/>
    <col min="1037" max="1039" width="1.5703125" style="17" customWidth="1"/>
    <col min="1040" max="1040" width="4.85546875" style="17" customWidth="1"/>
    <col min="1041" max="1042" width="1.5703125" style="17" customWidth="1"/>
    <col min="1043" max="1281" width="9.140625" style="17"/>
    <col min="1282" max="1282" width="17.85546875" style="17" customWidth="1"/>
    <col min="1283" max="1283" width="1.140625" style="17" customWidth="1"/>
    <col min="1284" max="1284" width="30.140625" style="17" customWidth="1"/>
    <col min="1285" max="1285" width="1.5703125" style="17" customWidth="1"/>
    <col min="1286" max="1286" width="21.140625" style="17" customWidth="1"/>
    <col min="1287" max="1287" width="1.5703125" style="17" customWidth="1"/>
    <col min="1288" max="1288" width="22.140625" style="17" customWidth="1"/>
    <col min="1289" max="1289" width="5.85546875" style="17" customWidth="1"/>
    <col min="1290" max="1290" width="27.42578125" style="17" customWidth="1"/>
    <col min="1291" max="1291" width="4.5703125" style="17" customWidth="1"/>
    <col min="1292" max="1292" width="3.140625" style="17" customWidth="1"/>
    <col min="1293" max="1295" width="1.5703125" style="17" customWidth="1"/>
    <col min="1296" max="1296" width="4.85546875" style="17" customWidth="1"/>
    <col min="1297" max="1298" width="1.5703125" style="17" customWidth="1"/>
    <col min="1299" max="1537" width="9.140625" style="17"/>
    <col min="1538" max="1538" width="17.85546875" style="17" customWidth="1"/>
    <col min="1539" max="1539" width="1.140625" style="17" customWidth="1"/>
    <col min="1540" max="1540" width="30.140625" style="17" customWidth="1"/>
    <col min="1541" max="1541" width="1.5703125" style="17" customWidth="1"/>
    <col min="1542" max="1542" width="21.140625" style="17" customWidth="1"/>
    <col min="1543" max="1543" width="1.5703125" style="17" customWidth="1"/>
    <col min="1544" max="1544" width="22.140625" style="17" customWidth="1"/>
    <col min="1545" max="1545" width="5.85546875" style="17" customWidth="1"/>
    <col min="1546" max="1546" width="27.42578125" style="17" customWidth="1"/>
    <col min="1547" max="1547" width="4.5703125" style="17" customWidth="1"/>
    <col min="1548" max="1548" width="3.140625" style="17" customWidth="1"/>
    <col min="1549" max="1551" width="1.5703125" style="17" customWidth="1"/>
    <col min="1552" max="1552" width="4.85546875" style="17" customWidth="1"/>
    <col min="1553" max="1554" width="1.5703125" style="17" customWidth="1"/>
    <col min="1555" max="1793" width="9.140625" style="17"/>
    <col min="1794" max="1794" width="17.85546875" style="17" customWidth="1"/>
    <col min="1795" max="1795" width="1.140625" style="17" customWidth="1"/>
    <col min="1796" max="1796" width="30.140625" style="17" customWidth="1"/>
    <col min="1797" max="1797" width="1.5703125" style="17" customWidth="1"/>
    <col min="1798" max="1798" width="21.140625" style="17" customWidth="1"/>
    <col min="1799" max="1799" width="1.5703125" style="17" customWidth="1"/>
    <col min="1800" max="1800" width="22.140625" style="17" customWidth="1"/>
    <col min="1801" max="1801" width="5.85546875" style="17" customWidth="1"/>
    <col min="1802" max="1802" width="27.42578125" style="17" customWidth="1"/>
    <col min="1803" max="1803" width="4.5703125" style="17" customWidth="1"/>
    <col min="1804" max="1804" width="3.140625" style="17" customWidth="1"/>
    <col min="1805" max="1807" width="1.5703125" style="17" customWidth="1"/>
    <col min="1808" max="1808" width="4.85546875" style="17" customWidth="1"/>
    <col min="1809" max="1810" width="1.5703125" style="17" customWidth="1"/>
    <col min="1811" max="2049" width="9.140625" style="17"/>
    <col min="2050" max="2050" width="17.85546875" style="17" customWidth="1"/>
    <col min="2051" max="2051" width="1.140625" style="17" customWidth="1"/>
    <col min="2052" max="2052" width="30.140625" style="17" customWidth="1"/>
    <col min="2053" max="2053" width="1.5703125" style="17" customWidth="1"/>
    <col min="2054" max="2054" width="21.140625" style="17" customWidth="1"/>
    <col min="2055" max="2055" width="1.5703125" style="17" customWidth="1"/>
    <col min="2056" max="2056" width="22.140625" style="17" customWidth="1"/>
    <col min="2057" max="2057" width="5.85546875" style="17" customWidth="1"/>
    <col min="2058" max="2058" width="27.42578125" style="17" customWidth="1"/>
    <col min="2059" max="2059" width="4.5703125" style="17" customWidth="1"/>
    <col min="2060" max="2060" width="3.140625" style="17" customWidth="1"/>
    <col min="2061" max="2063" width="1.5703125" style="17" customWidth="1"/>
    <col min="2064" max="2064" width="4.85546875" style="17" customWidth="1"/>
    <col min="2065" max="2066" width="1.5703125" style="17" customWidth="1"/>
    <col min="2067" max="2305" width="9.140625" style="17"/>
    <col min="2306" max="2306" width="17.85546875" style="17" customWidth="1"/>
    <col min="2307" max="2307" width="1.140625" style="17" customWidth="1"/>
    <col min="2308" max="2308" width="30.140625" style="17" customWidth="1"/>
    <col min="2309" max="2309" width="1.5703125" style="17" customWidth="1"/>
    <col min="2310" max="2310" width="21.140625" style="17" customWidth="1"/>
    <col min="2311" max="2311" width="1.5703125" style="17" customWidth="1"/>
    <col min="2312" max="2312" width="22.140625" style="17" customWidth="1"/>
    <col min="2313" max="2313" width="5.85546875" style="17" customWidth="1"/>
    <col min="2314" max="2314" width="27.42578125" style="17" customWidth="1"/>
    <col min="2315" max="2315" width="4.5703125" style="17" customWidth="1"/>
    <col min="2316" max="2316" width="3.140625" style="17" customWidth="1"/>
    <col min="2317" max="2319" width="1.5703125" style="17" customWidth="1"/>
    <col min="2320" max="2320" width="4.85546875" style="17" customWidth="1"/>
    <col min="2321" max="2322" width="1.5703125" style="17" customWidth="1"/>
    <col min="2323" max="2561" width="9.140625" style="17"/>
    <col min="2562" max="2562" width="17.85546875" style="17" customWidth="1"/>
    <col min="2563" max="2563" width="1.140625" style="17" customWidth="1"/>
    <col min="2564" max="2564" width="30.140625" style="17" customWidth="1"/>
    <col min="2565" max="2565" width="1.5703125" style="17" customWidth="1"/>
    <col min="2566" max="2566" width="21.140625" style="17" customWidth="1"/>
    <col min="2567" max="2567" width="1.5703125" style="17" customWidth="1"/>
    <col min="2568" max="2568" width="22.140625" style="17" customWidth="1"/>
    <col min="2569" max="2569" width="5.85546875" style="17" customWidth="1"/>
    <col min="2570" max="2570" width="27.42578125" style="17" customWidth="1"/>
    <col min="2571" max="2571" width="4.5703125" style="17" customWidth="1"/>
    <col min="2572" max="2572" width="3.140625" style="17" customWidth="1"/>
    <col min="2573" max="2575" width="1.5703125" style="17" customWidth="1"/>
    <col min="2576" max="2576" width="4.85546875" style="17" customWidth="1"/>
    <col min="2577" max="2578" width="1.5703125" style="17" customWidth="1"/>
    <col min="2579" max="2817" width="9.140625" style="17"/>
    <col min="2818" max="2818" width="17.85546875" style="17" customWidth="1"/>
    <col min="2819" max="2819" width="1.140625" style="17" customWidth="1"/>
    <col min="2820" max="2820" width="30.140625" style="17" customWidth="1"/>
    <col min="2821" max="2821" width="1.5703125" style="17" customWidth="1"/>
    <col min="2822" max="2822" width="21.140625" style="17" customWidth="1"/>
    <col min="2823" max="2823" width="1.5703125" style="17" customWidth="1"/>
    <col min="2824" max="2824" width="22.140625" style="17" customWidth="1"/>
    <col min="2825" max="2825" width="5.85546875" style="17" customWidth="1"/>
    <col min="2826" max="2826" width="27.42578125" style="17" customWidth="1"/>
    <col min="2827" max="2827" width="4.5703125" style="17" customWidth="1"/>
    <col min="2828" max="2828" width="3.140625" style="17" customWidth="1"/>
    <col min="2829" max="2831" width="1.5703125" style="17" customWidth="1"/>
    <col min="2832" max="2832" width="4.85546875" style="17" customWidth="1"/>
    <col min="2833" max="2834" width="1.5703125" style="17" customWidth="1"/>
    <col min="2835" max="3073" width="9.140625" style="17"/>
    <col min="3074" max="3074" width="17.85546875" style="17" customWidth="1"/>
    <col min="3075" max="3075" width="1.140625" style="17" customWidth="1"/>
    <col min="3076" max="3076" width="30.140625" style="17" customWidth="1"/>
    <col min="3077" max="3077" width="1.5703125" style="17" customWidth="1"/>
    <col min="3078" max="3078" width="21.140625" style="17" customWidth="1"/>
    <col min="3079" max="3079" width="1.5703125" style="17" customWidth="1"/>
    <col min="3080" max="3080" width="22.140625" style="17" customWidth="1"/>
    <col min="3081" max="3081" width="5.85546875" style="17" customWidth="1"/>
    <col min="3082" max="3082" width="27.42578125" style="17" customWidth="1"/>
    <col min="3083" max="3083" width="4.5703125" style="17" customWidth="1"/>
    <col min="3084" max="3084" width="3.140625" style="17" customWidth="1"/>
    <col min="3085" max="3087" width="1.5703125" style="17" customWidth="1"/>
    <col min="3088" max="3088" width="4.85546875" style="17" customWidth="1"/>
    <col min="3089" max="3090" width="1.5703125" style="17" customWidth="1"/>
    <col min="3091" max="3329" width="9.140625" style="17"/>
    <col min="3330" max="3330" width="17.85546875" style="17" customWidth="1"/>
    <col min="3331" max="3331" width="1.140625" style="17" customWidth="1"/>
    <col min="3332" max="3332" width="30.140625" style="17" customWidth="1"/>
    <col min="3333" max="3333" width="1.5703125" style="17" customWidth="1"/>
    <col min="3334" max="3334" width="21.140625" style="17" customWidth="1"/>
    <col min="3335" max="3335" width="1.5703125" style="17" customWidth="1"/>
    <col min="3336" max="3336" width="22.140625" style="17" customWidth="1"/>
    <col min="3337" max="3337" width="5.85546875" style="17" customWidth="1"/>
    <col min="3338" max="3338" width="27.42578125" style="17" customWidth="1"/>
    <col min="3339" max="3339" width="4.5703125" style="17" customWidth="1"/>
    <col min="3340" max="3340" width="3.140625" style="17" customWidth="1"/>
    <col min="3341" max="3343" width="1.5703125" style="17" customWidth="1"/>
    <col min="3344" max="3344" width="4.85546875" style="17" customWidth="1"/>
    <col min="3345" max="3346" width="1.5703125" style="17" customWidth="1"/>
    <col min="3347" max="3585" width="9.140625" style="17"/>
    <col min="3586" max="3586" width="17.85546875" style="17" customWidth="1"/>
    <col min="3587" max="3587" width="1.140625" style="17" customWidth="1"/>
    <col min="3588" max="3588" width="30.140625" style="17" customWidth="1"/>
    <col min="3589" max="3589" width="1.5703125" style="17" customWidth="1"/>
    <col min="3590" max="3590" width="21.140625" style="17" customWidth="1"/>
    <col min="3591" max="3591" width="1.5703125" style="17" customWidth="1"/>
    <col min="3592" max="3592" width="22.140625" style="17" customWidth="1"/>
    <col min="3593" max="3593" width="5.85546875" style="17" customWidth="1"/>
    <col min="3594" max="3594" width="27.42578125" style="17" customWidth="1"/>
    <col min="3595" max="3595" width="4.5703125" style="17" customWidth="1"/>
    <col min="3596" max="3596" width="3.140625" style="17" customWidth="1"/>
    <col min="3597" max="3599" width="1.5703125" style="17" customWidth="1"/>
    <col min="3600" max="3600" width="4.85546875" style="17" customWidth="1"/>
    <col min="3601" max="3602" width="1.5703125" style="17" customWidth="1"/>
    <col min="3603" max="3841" width="9.140625" style="17"/>
    <col min="3842" max="3842" width="17.85546875" style="17" customWidth="1"/>
    <col min="3843" max="3843" width="1.140625" style="17" customWidth="1"/>
    <col min="3844" max="3844" width="30.140625" style="17" customWidth="1"/>
    <col min="3845" max="3845" width="1.5703125" style="17" customWidth="1"/>
    <col min="3846" max="3846" width="21.140625" style="17" customWidth="1"/>
    <col min="3847" max="3847" width="1.5703125" style="17" customWidth="1"/>
    <col min="3848" max="3848" width="22.140625" style="17" customWidth="1"/>
    <col min="3849" max="3849" width="5.85546875" style="17" customWidth="1"/>
    <col min="3850" max="3850" width="27.42578125" style="17" customWidth="1"/>
    <col min="3851" max="3851" width="4.5703125" style="17" customWidth="1"/>
    <col min="3852" max="3852" width="3.140625" style="17" customWidth="1"/>
    <col min="3853" max="3855" width="1.5703125" style="17" customWidth="1"/>
    <col min="3856" max="3856" width="4.85546875" style="17" customWidth="1"/>
    <col min="3857" max="3858" width="1.5703125" style="17" customWidth="1"/>
    <col min="3859" max="4097" width="9.140625" style="17"/>
    <col min="4098" max="4098" width="17.85546875" style="17" customWidth="1"/>
    <col min="4099" max="4099" width="1.140625" style="17" customWidth="1"/>
    <col min="4100" max="4100" width="30.140625" style="17" customWidth="1"/>
    <col min="4101" max="4101" width="1.5703125" style="17" customWidth="1"/>
    <col min="4102" max="4102" width="21.140625" style="17" customWidth="1"/>
    <col min="4103" max="4103" width="1.5703125" style="17" customWidth="1"/>
    <col min="4104" max="4104" width="22.140625" style="17" customWidth="1"/>
    <col min="4105" max="4105" width="5.85546875" style="17" customWidth="1"/>
    <col min="4106" max="4106" width="27.42578125" style="17" customWidth="1"/>
    <col min="4107" max="4107" width="4.5703125" style="17" customWidth="1"/>
    <col min="4108" max="4108" width="3.140625" style="17" customWidth="1"/>
    <col min="4109" max="4111" width="1.5703125" style="17" customWidth="1"/>
    <col min="4112" max="4112" width="4.85546875" style="17" customWidth="1"/>
    <col min="4113" max="4114" width="1.5703125" style="17" customWidth="1"/>
    <col min="4115" max="4353" width="9.140625" style="17"/>
    <col min="4354" max="4354" width="17.85546875" style="17" customWidth="1"/>
    <col min="4355" max="4355" width="1.140625" style="17" customWidth="1"/>
    <col min="4356" max="4356" width="30.140625" style="17" customWidth="1"/>
    <col min="4357" max="4357" width="1.5703125" style="17" customWidth="1"/>
    <col min="4358" max="4358" width="21.140625" style="17" customWidth="1"/>
    <col min="4359" max="4359" width="1.5703125" style="17" customWidth="1"/>
    <col min="4360" max="4360" width="22.140625" style="17" customWidth="1"/>
    <col min="4361" max="4361" width="5.85546875" style="17" customWidth="1"/>
    <col min="4362" max="4362" width="27.42578125" style="17" customWidth="1"/>
    <col min="4363" max="4363" width="4.5703125" style="17" customWidth="1"/>
    <col min="4364" max="4364" width="3.140625" style="17" customWidth="1"/>
    <col min="4365" max="4367" width="1.5703125" style="17" customWidth="1"/>
    <col min="4368" max="4368" width="4.85546875" style="17" customWidth="1"/>
    <col min="4369" max="4370" width="1.5703125" style="17" customWidth="1"/>
    <col min="4371" max="4609" width="9.140625" style="17"/>
    <col min="4610" max="4610" width="17.85546875" style="17" customWidth="1"/>
    <col min="4611" max="4611" width="1.140625" style="17" customWidth="1"/>
    <col min="4612" max="4612" width="30.140625" style="17" customWidth="1"/>
    <col min="4613" max="4613" width="1.5703125" style="17" customWidth="1"/>
    <col min="4614" max="4614" width="21.140625" style="17" customWidth="1"/>
    <col min="4615" max="4615" width="1.5703125" style="17" customWidth="1"/>
    <col min="4616" max="4616" width="22.140625" style="17" customWidth="1"/>
    <col min="4617" max="4617" width="5.85546875" style="17" customWidth="1"/>
    <col min="4618" max="4618" width="27.42578125" style="17" customWidth="1"/>
    <col min="4619" max="4619" width="4.5703125" style="17" customWidth="1"/>
    <col min="4620" max="4620" width="3.140625" style="17" customWidth="1"/>
    <col min="4621" max="4623" width="1.5703125" style="17" customWidth="1"/>
    <col min="4624" max="4624" width="4.85546875" style="17" customWidth="1"/>
    <col min="4625" max="4626" width="1.5703125" style="17" customWidth="1"/>
    <col min="4627" max="4865" width="9.140625" style="17"/>
    <col min="4866" max="4866" width="17.85546875" style="17" customWidth="1"/>
    <col min="4867" max="4867" width="1.140625" style="17" customWidth="1"/>
    <col min="4868" max="4868" width="30.140625" style="17" customWidth="1"/>
    <col min="4869" max="4869" width="1.5703125" style="17" customWidth="1"/>
    <col min="4870" max="4870" width="21.140625" style="17" customWidth="1"/>
    <col min="4871" max="4871" width="1.5703125" style="17" customWidth="1"/>
    <col min="4872" max="4872" width="22.140625" style="17" customWidth="1"/>
    <col min="4873" max="4873" width="5.85546875" style="17" customWidth="1"/>
    <col min="4874" max="4874" width="27.42578125" style="17" customWidth="1"/>
    <col min="4875" max="4875" width="4.5703125" style="17" customWidth="1"/>
    <col min="4876" max="4876" width="3.140625" style="17" customWidth="1"/>
    <col min="4877" max="4879" width="1.5703125" style="17" customWidth="1"/>
    <col min="4880" max="4880" width="4.85546875" style="17" customWidth="1"/>
    <col min="4881" max="4882" width="1.5703125" style="17" customWidth="1"/>
    <col min="4883" max="5121" width="9.140625" style="17"/>
    <col min="5122" max="5122" width="17.85546875" style="17" customWidth="1"/>
    <col min="5123" max="5123" width="1.140625" style="17" customWidth="1"/>
    <col min="5124" max="5124" width="30.140625" style="17" customWidth="1"/>
    <col min="5125" max="5125" width="1.5703125" style="17" customWidth="1"/>
    <col min="5126" max="5126" width="21.140625" style="17" customWidth="1"/>
    <col min="5127" max="5127" width="1.5703125" style="17" customWidth="1"/>
    <col min="5128" max="5128" width="22.140625" style="17" customWidth="1"/>
    <col min="5129" max="5129" width="5.85546875" style="17" customWidth="1"/>
    <col min="5130" max="5130" width="27.42578125" style="17" customWidth="1"/>
    <col min="5131" max="5131" width="4.5703125" style="17" customWidth="1"/>
    <col min="5132" max="5132" width="3.140625" style="17" customWidth="1"/>
    <col min="5133" max="5135" width="1.5703125" style="17" customWidth="1"/>
    <col min="5136" max="5136" width="4.85546875" style="17" customWidth="1"/>
    <col min="5137" max="5138" width="1.5703125" style="17" customWidth="1"/>
    <col min="5139" max="5377" width="9.140625" style="17"/>
    <col min="5378" max="5378" width="17.85546875" style="17" customWidth="1"/>
    <col min="5379" max="5379" width="1.140625" style="17" customWidth="1"/>
    <col min="5380" max="5380" width="30.140625" style="17" customWidth="1"/>
    <col min="5381" max="5381" width="1.5703125" style="17" customWidth="1"/>
    <col min="5382" max="5382" width="21.140625" style="17" customWidth="1"/>
    <col min="5383" max="5383" width="1.5703125" style="17" customWidth="1"/>
    <col min="5384" max="5384" width="22.140625" style="17" customWidth="1"/>
    <col min="5385" max="5385" width="5.85546875" style="17" customWidth="1"/>
    <col min="5386" max="5386" width="27.42578125" style="17" customWidth="1"/>
    <col min="5387" max="5387" width="4.5703125" style="17" customWidth="1"/>
    <col min="5388" max="5388" width="3.140625" style="17" customWidth="1"/>
    <col min="5389" max="5391" width="1.5703125" style="17" customWidth="1"/>
    <col min="5392" max="5392" width="4.85546875" style="17" customWidth="1"/>
    <col min="5393" max="5394" width="1.5703125" style="17" customWidth="1"/>
    <col min="5395" max="5633" width="9.140625" style="17"/>
    <col min="5634" max="5634" width="17.85546875" style="17" customWidth="1"/>
    <col min="5635" max="5635" width="1.140625" style="17" customWidth="1"/>
    <col min="5636" max="5636" width="30.140625" style="17" customWidth="1"/>
    <col min="5637" max="5637" width="1.5703125" style="17" customWidth="1"/>
    <col min="5638" max="5638" width="21.140625" style="17" customWidth="1"/>
    <col min="5639" max="5639" width="1.5703125" style="17" customWidth="1"/>
    <col min="5640" max="5640" width="22.140625" style="17" customWidth="1"/>
    <col min="5641" max="5641" width="5.85546875" style="17" customWidth="1"/>
    <col min="5642" max="5642" width="27.42578125" style="17" customWidth="1"/>
    <col min="5643" max="5643" width="4.5703125" style="17" customWidth="1"/>
    <col min="5644" max="5644" width="3.140625" style="17" customWidth="1"/>
    <col min="5645" max="5647" width="1.5703125" style="17" customWidth="1"/>
    <col min="5648" max="5648" width="4.85546875" style="17" customWidth="1"/>
    <col min="5649" max="5650" width="1.5703125" style="17" customWidth="1"/>
    <col min="5651" max="5889" width="9.140625" style="17"/>
    <col min="5890" max="5890" width="17.85546875" style="17" customWidth="1"/>
    <col min="5891" max="5891" width="1.140625" style="17" customWidth="1"/>
    <col min="5892" max="5892" width="30.140625" style="17" customWidth="1"/>
    <col min="5893" max="5893" width="1.5703125" style="17" customWidth="1"/>
    <col min="5894" max="5894" width="21.140625" style="17" customWidth="1"/>
    <col min="5895" max="5895" width="1.5703125" style="17" customWidth="1"/>
    <col min="5896" max="5896" width="22.140625" style="17" customWidth="1"/>
    <col min="5897" max="5897" width="5.85546875" style="17" customWidth="1"/>
    <col min="5898" max="5898" width="27.42578125" style="17" customWidth="1"/>
    <col min="5899" max="5899" width="4.5703125" style="17" customWidth="1"/>
    <col min="5900" max="5900" width="3.140625" style="17" customWidth="1"/>
    <col min="5901" max="5903" width="1.5703125" style="17" customWidth="1"/>
    <col min="5904" max="5904" width="4.85546875" style="17" customWidth="1"/>
    <col min="5905" max="5906" width="1.5703125" style="17" customWidth="1"/>
    <col min="5907" max="6145" width="9.140625" style="17"/>
    <col min="6146" max="6146" width="17.85546875" style="17" customWidth="1"/>
    <col min="6147" max="6147" width="1.140625" style="17" customWidth="1"/>
    <col min="6148" max="6148" width="30.140625" style="17" customWidth="1"/>
    <col min="6149" max="6149" width="1.5703125" style="17" customWidth="1"/>
    <col min="6150" max="6150" width="21.140625" style="17" customWidth="1"/>
    <col min="6151" max="6151" width="1.5703125" style="17" customWidth="1"/>
    <col min="6152" max="6152" width="22.140625" style="17" customWidth="1"/>
    <col min="6153" max="6153" width="5.85546875" style="17" customWidth="1"/>
    <col min="6154" max="6154" width="27.42578125" style="17" customWidth="1"/>
    <col min="6155" max="6155" width="4.5703125" style="17" customWidth="1"/>
    <col min="6156" max="6156" width="3.140625" style="17" customWidth="1"/>
    <col min="6157" max="6159" width="1.5703125" style="17" customWidth="1"/>
    <col min="6160" max="6160" width="4.85546875" style="17" customWidth="1"/>
    <col min="6161" max="6162" width="1.5703125" style="17" customWidth="1"/>
    <col min="6163" max="6401" width="9.140625" style="17"/>
    <col min="6402" max="6402" width="17.85546875" style="17" customWidth="1"/>
    <col min="6403" max="6403" width="1.140625" style="17" customWidth="1"/>
    <col min="6404" max="6404" width="30.140625" style="17" customWidth="1"/>
    <col min="6405" max="6405" width="1.5703125" style="17" customWidth="1"/>
    <col min="6406" max="6406" width="21.140625" style="17" customWidth="1"/>
    <col min="6407" max="6407" width="1.5703125" style="17" customWidth="1"/>
    <col min="6408" max="6408" width="22.140625" style="17" customWidth="1"/>
    <col min="6409" max="6409" width="5.85546875" style="17" customWidth="1"/>
    <col min="6410" max="6410" width="27.42578125" style="17" customWidth="1"/>
    <col min="6411" max="6411" width="4.5703125" style="17" customWidth="1"/>
    <col min="6412" max="6412" width="3.140625" style="17" customWidth="1"/>
    <col min="6413" max="6415" width="1.5703125" style="17" customWidth="1"/>
    <col min="6416" max="6416" width="4.85546875" style="17" customWidth="1"/>
    <col min="6417" max="6418" width="1.5703125" style="17" customWidth="1"/>
    <col min="6419" max="6657" width="9.140625" style="17"/>
    <col min="6658" max="6658" width="17.85546875" style="17" customWidth="1"/>
    <col min="6659" max="6659" width="1.140625" style="17" customWidth="1"/>
    <col min="6660" max="6660" width="30.140625" style="17" customWidth="1"/>
    <col min="6661" max="6661" width="1.5703125" style="17" customWidth="1"/>
    <col min="6662" max="6662" width="21.140625" style="17" customWidth="1"/>
    <col min="6663" max="6663" width="1.5703125" style="17" customWidth="1"/>
    <col min="6664" max="6664" width="22.140625" style="17" customWidth="1"/>
    <col min="6665" max="6665" width="5.85546875" style="17" customWidth="1"/>
    <col min="6666" max="6666" width="27.42578125" style="17" customWidth="1"/>
    <col min="6667" max="6667" width="4.5703125" style="17" customWidth="1"/>
    <col min="6668" max="6668" width="3.140625" style="17" customWidth="1"/>
    <col min="6669" max="6671" width="1.5703125" style="17" customWidth="1"/>
    <col min="6672" max="6672" width="4.85546875" style="17" customWidth="1"/>
    <col min="6673" max="6674" width="1.5703125" style="17" customWidth="1"/>
    <col min="6675" max="6913" width="9.140625" style="17"/>
    <col min="6914" max="6914" width="17.85546875" style="17" customWidth="1"/>
    <col min="6915" max="6915" width="1.140625" style="17" customWidth="1"/>
    <col min="6916" max="6916" width="30.140625" style="17" customWidth="1"/>
    <col min="6917" max="6917" width="1.5703125" style="17" customWidth="1"/>
    <col min="6918" max="6918" width="21.140625" style="17" customWidth="1"/>
    <col min="6919" max="6919" width="1.5703125" style="17" customWidth="1"/>
    <col min="6920" max="6920" width="22.140625" style="17" customWidth="1"/>
    <col min="6921" max="6921" width="5.85546875" style="17" customWidth="1"/>
    <col min="6922" max="6922" width="27.42578125" style="17" customWidth="1"/>
    <col min="6923" max="6923" width="4.5703125" style="17" customWidth="1"/>
    <col min="6924" max="6924" width="3.140625" style="17" customWidth="1"/>
    <col min="6925" max="6927" width="1.5703125" style="17" customWidth="1"/>
    <col min="6928" max="6928" width="4.85546875" style="17" customWidth="1"/>
    <col min="6929" max="6930" width="1.5703125" style="17" customWidth="1"/>
    <col min="6931" max="7169" width="9.140625" style="17"/>
    <col min="7170" max="7170" width="17.85546875" style="17" customWidth="1"/>
    <col min="7171" max="7171" width="1.140625" style="17" customWidth="1"/>
    <col min="7172" max="7172" width="30.140625" style="17" customWidth="1"/>
    <col min="7173" max="7173" width="1.5703125" style="17" customWidth="1"/>
    <col min="7174" max="7174" width="21.140625" style="17" customWidth="1"/>
    <col min="7175" max="7175" width="1.5703125" style="17" customWidth="1"/>
    <col min="7176" max="7176" width="22.140625" style="17" customWidth="1"/>
    <col min="7177" max="7177" width="5.85546875" style="17" customWidth="1"/>
    <col min="7178" max="7178" width="27.42578125" style="17" customWidth="1"/>
    <col min="7179" max="7179" width="4.5703125" style="17" customWidth="1"/>
    <col min="7180" max="7180" width="3.140625" style="17" customWidth="1"/>
    <col min="7181" max="7183" width="1.5703125" style="17" customWidth="1"/>
    <col min="7184" max="7184" width="4.85546875" style="17" customWidth="1"/>
    <col min="7185" max="7186" width="1.5703125" style="17" customWidth="1"/>
    <col min="7187" max="7425" width="9.140625" style="17"/>
    <col min="7426" max="7426" width="17.85546875" style="17" customWidth="1"/>
    <col min="7427" max="7427" width="1.140625" style="17" customWidth="1"/>
    <col min="7428" max="7428" width="30.140625" style="17" customWidth="1"/>
    <col min="7429" max="7429" width="1.5703125" style="17" customWidth="1"/>
    <col min="7430" max="7430" width="21.140625" style="17" customWidth="1"/>
    <col min="7431" max="7431" width="1.5703125" style="17" customWidth="1"/>
    <col min="7432" max="7432" width="22.140625" style="17" customWidth="1"/>
    <col min="7433" max="7433" width="5.85546875" style="17" customWidth="1"/>
    <col min="7434" max="7434" width="27.42578125" style="17" customWidth="1"/>
    <col min="7435" max="7435" width="4.5703125" style="17" customWidth="1"/>
    <col min="7436" max="7436" width="3.140625" style="17" customWidth="1"/>
    <col min="7437" max="7439" width="1.5703125" style="17" customWidth="1"/>
    <col min="7440" max="7440" width="4.85546875" style="17" customWidth="1"/>
    <col min="7441" max="7442" width="1.5703125" style="17" customWidth="1"/>
    <col min="7443" max="7681" width="9.140625" style="17"/>
    <col min="7682" max="7682" width="17.85546875" style="17" customWidth="1"/>
    <col min="7683" max="7683" width="1.140625" style="17" customWidth="1"/>
    <col min="7684" max="7684" width="30.140625" style="17" customWidth="1"/>
    <col min="7685" max="7685" width="1.5703125" style="17" customWidth="1"/>
    <col min="7686" max="7686" width="21.140625" style="17" customWidth="1"/>
    <col min="7687" max="7687" width="1.5703125" style="17" customWidth="1"/>
    <col min="7688" max="7688" width="22.140625" style="17" customWidth="1"/>
    <col min="7689" max="7689" width="5.85546875" style="17" customWidth="1"/>
    <col min="7690" max="7690" width="27.42578125" style="17" customWidth="1"/>
    <col min="7691" max="7691" width="4.5703125" style="17" customWidth="1"/>
    <col min="7692" max="7692" width="3.140625" style="17" customWidth="1"/>
    <col min="7693" max="7695" width="1.5703125" style="17" customWidth="1"/>
    <col min="7696" max="7696" width="4.85546875" style="17" customWidth="1"/>
    <col min="7697" max="7698" width="1.5703125" style="17" customWidth="1"/>
    <col min="7699" max="7937" width="9.140625" style="17"/>
    <col min="7938" max="7938" width="17.85546875" style="17" customWidth="1"/>
    <col min="7939" max="7939" width="1.140625" style="17" customWidth="1"/>
    <col min="7940" max="7940" width="30.140625" style="17" customWidth="1"/>
    <col min="7941" max="7941" width="1.5703125" style="17" customWidth="1"/>
    <col min="7942" max="7942" width="21.140625" style="17" customWidth="1"/>
    <col min="7943" max="7943" width="1.5703125" style="17" customWidth="1"/>
    <col min="7944" max="7944" width="22.140625" style="17" customWidth="1"/>
    <col min="7945" max="7945" width="5.85546875" style="17" customWidth="1"/>
    <col min="7946" max="7946" width="27.42578125" style="17" customWidth="1"/>
    <col min="7947" max="7947" width="4.5703125" style="17" customWidth="1"/>
    <col min="7948" max="7948" width="3.140625" style="17" customWidth="1"/>
    <col min="7949" max="7951" width="1.5703125" style="17" customWidth="1"/>
    <col min="7952" max="7952" width="4.85546875" style="17" customWidth="1"/>
    <col min="7953" max="7954" width="1.5703125" style="17" customWidth="1"/>
    <col min="7955" max="8193" width="9.140625" style="17"/>
    <col min="8194" max="8194" width="17.85546875" style="17" customWidth="1"/>
    <col min="8195" max="8195" width="1.140625" style="17" customWidth="1"/>
    <col min="8196" max="8196" width="30.140625" style="17" customWidth="1"/>
    <col min="8197" max="8197" width="1.5703125" style="17" customWidth="1"/>
    <col min="8198" max="8198" width="21.140625" style="17" customWidth="1"/>
    <col min="8199" max="8199" width="1.5703125" style="17" customWidth="1"/>
    <col min="8200" max="8200" width="22.140625" style="17" customWidth="1"/>
    <col min="8201" max="8201" width="5.85546875" style="17" customWidth="1"/>
    <col min="8202" max="8202" width="27.42578125" style="17" customWidth="1"/>
    <col min="8203" max="8203" width="4.5703125" style="17" customWidth="1"/>
    <col min="8204" max="8204" width="3.140625" style="17" customWidth="1"/>
    <col min="8205" max="8207" width="1.5703125" style="17" customWidth="1"/>
    <col min="8208" max="8208" width="4.85546875" style="17" customWidth="1"/>
    <col min="8209" max="8210" width="1.5703125" style="17" customWidth="1"/>
    <col min="8211" max="8449" width="9.140625" style="17"/>
    <col min="8450" max="8450" width="17.85546875" style="17" customWidth="1"/>
    <col min="8451" max="8451" width="1.140625" style="17" customWidth="1"/>
    <col min="8452" max="8452" width="30.140625" style="17" customWidth="1"/>
    <col min="8453" max="8453" width="1.5703125" style="17" customWidth="1"/>
    <col min="8454" max="8454" width="21.140625" style="17" customWidth="1"/>
    <col min="8455" max="8455" width="1.5703125" style="17" customWidth="1"/>
    <col min="8456" max="8456" width="22.140625" style="17" customWidth="1"/>
    <col min="8457" max="8457" width="5.85546875" style="17" customWidth="1"/>
    <col min="8458" max="8458" width="27.42578125" style="17" customWidth="1"/>
    <col min="8459" max="8459" width="4.5703125" style="17" customWidth="1"/>
    <col min="8460" max="8460" width="3.140625" style="17" customWidth="1"/>
    <col min="8461" max="8463" width="1.5703125" style="17" customWidth="1"/>
    <col min="8464" max="8464" width="4.85546875" style="17" customWidth="1"/>
    <col min="8465" max="8466" width="1.5703125" style="17" customWidth="1"/>
    <col min="8467" max="8705" width="9.140625" style="17"/>
    <col min="8706" max="8706" width="17.85546875" style="17" customWidth="1"/>
    <col min="8707" max="8707" width="1.140625" style="17" customWidth="1"/>
    <col min="8708" max="8708" width="30.140625" style="17" customWidth="1"/>
    <col min="8709" max="8709" width="1.5703125" style="17" customWidth="1"/>
    <col min="8710" max="8710" width="21.140625" style="17" customWidth="1"/>
    <col min="8711" max="8711" width="1.5703125" style="17" customWidth="1"/>
    <col min="8712" max="8712" width="22.140625" style="17" customWidth="1"/>
    <col min="8713" max="8713" width="5.85546875" style="17" customWidth="1"/>
    <col min="8714" max="8714" width="27.42578125" style="17" customWidth="1"/>
    <col min="8715" max="8715" width="4.5703125" style="17" customWidth="1"/>
    <col min="8716" max="8716" width="3.140625" style="17" customWidth="1"/>
    <col min="8717" max="8719" width="1.5703125" style="17" customWidth="1"/>
    <col min="8720" max="8720" width="4.85546875" style="17" customWidth="1"/>
    <col min="8721" max="8722" width="1.5703125" style="17" customWidth="1"/>
    <col min="8723" max="8961" width="9.140625" style="17"/>
    <col min="8962" max="8962" width="17.85546875" style="17" customWidth="1"/>
    <col min="8963" max="8963" width="1.140625" style="17" customWidth="1"/>
    <col min="8964" max="8964" width="30.140625" style="17" customWidth="1"/>
    <col min="8965" max="8965" width="1.5703125" style="17" customWidth="1"/>
    <col min="8966" max="8966" width="21.140625" style="17" customWidth="1"/>
    <col min="8967" max="8967" width="1.5703125" style="17" customWidth="1"/>
    <col min="8968" max="8968" width="22.140625" style="17" customWidth="1"/>
    <col min="8969" max="8969" width="5.85546875" style="17" customWidth="1"/>
    <col min="8970" max="8970" width="27.42578125" style="17" customWidth="1"/>
    <col min="8971" max="8971" width="4.5703125" style="17" customWidth="1"/>
    <col min="8972" max="8972" width="3.140625" style="17" customWidth="1"/>
    <col min="8973" max="8975" width="1.5703125" style="17" customWidth="1"/>
    <col min="8976" max="8976" width="4.85546875" style="17" customWidth="1"/>
    <col min="8977" max="8978" width="1.5703125" style="17" customWidth="1"/>
    <col min="8979" max="9217" width="9.140625" style="17"/>
    <col min="9218" max="9218" width="17.85546875" style="17" customWidth="1"/>
    <col min="9219" max="9219" width="1.140625" style="17" customWidth="1"/>
    <col min="9220" max="9220" width="30.140625" style="17" customWidth="1"/>
    <col min="9221" max="9221" width="1.5703125" style="17" customWidth="1"/>
    <col min="9222" max="9222" width="21.140625" style="17" customWidth="1"/>
    <col min="9223" max="9223" width="1.5703125" style="17" customWidth="1"/>
    <col min="9224" max="9224" width="22.140625" style="17" customWidth="1"/>
    <col min="9225" max="9225" width="5.85546875" style="17" customWidth="1"/>
    <col min="9226" max="9226" width="27.42578125" style="17" customWidth="1"/>
    <col min="9227" max="9227" width="4.5703125" style="17" customWidth="1"/>
    <col min="9228" max="9228" width="3.140625" style="17" customWidth="1"/>
    <col min="9229" max="9231" width="1.5703125" style="17" customWidth="1"/>
    <col min="9232" max="9232" width="4.85546875" style="17" customWidth="1"/>
    <col min="9233" max="9234" width="1.5703125" style="17" customWidth="1"/>
    <col min="9235" max="9473" width="9.140625" style="17"/>
    <col min="9474" max="9474" width="17.85546875" style="17" customWidth="1"/>
    <col min="9475" max="9475" width="1.140625" style="17" customWidth="1"/>
    <col min="9476" max="9476" width="30.140625" style="17" customWidth="1"/>
    <col min="9477" max="9477" width="1.5703125" style="17" customWidth="1"/>
    <col min="9478" max="9478" width="21.140625" style="17" customWidth="1"/>
    <col min="9479" max="9479" width="1.5703125" style="17" customWidth="1"/>
    <col min="9480" max="9480" width="22.140625" style="17" customWidth="1"/>
    <col min="9481" max="9481" width="5.85546875" style="17" customWidth="1"/>
    <col min="9482" max="9482" width="27.42578125" style="17" customWidth="1"/>
    <col min="9483" max="9483" width="4.5703125" style="17" customWidth="1"/>
    <col min="9484" max="9484" width="3.140625" style="17" customWidth="1"/>
    <col min="9485" max="9487" width="1.5703125" style="17" customWidth="1"/>
    <col min="9488" max="9488" width="4.85546875" style="17" customWidth="1"/>
    <col min="9489" max="9490" width="1.5703125" style="17" customWidth="1"/>
    <col min="9491" max="9729" width="9.140625" style="17"/>
    <col min="9730" max="9730" width="17.85546875" style="17" customWidth="1"/>
    <col min="9731" max="9731" width="1.140625" style="17" customWidth="1"/>
    <col min="9732" max="9732" width="30.140625" style="17" customWidth="1"/>
    <col min="9733" max="9733" width="1.5703125" style="17" customWidth="1"/>
    <col min="9734" max="9734" width="21.140625" style="17" customWidth="1"/>
    <col min="9735" max="9735" width="1.5703125" style="17" customWidth="1"/>
    <col min="9736" max="9736" width="22.140625" style="17" customWidth="1"/>
    <col min="9737" max="9737" width="5.85546875" style="17" customWidth="1"/>
    <col min="9738" max="9738" width="27.42578125" style="17" customWidth="1"/>
    <col min="9739" max="9739" width="4.5703125" style="17" customWidth="1"/>
    <col min="9740" max="9740" width="3.140625" style="17" customWidth="1"/>
    <col min="9741" max="9743" width="1.5703125" style="17" customWidth="1"/>
    <col min="9744" max="9744" width="4.85546875" style="17" customWidth="1"/>
    <col min="9745" max="9746" width="1.5703125" style="17" customWidth="1"/>
    <col min="9747" max="9985" width="9.140625" style="17"/>
    <col min="9986" max="9986" width="17.85546875" style="17" customWidth="1"/>
    <col min="9987" max="9987" width="1.140625" style="17" customWidth="1"/>
    <col min="9988" max="9988" width="30.140625" style="17" customWidth="1"/>
    <col min="9989" max="9989" width="1.5703125" style="17" customWidth="1"/>
    <col min="9990" max="9990" width="21.140625" style="17" customWidth="1"/>
    <col min="9991" max="9991" width="1.5703125" style="17" customWidth="1"/>
    <col min="9992" max="9992" width="22.140625" style="17" customWidth="1"/>
    <col min="9993" max="9993" width="5.85546875" style="17" customWidth="1"/>
    <col min="9994" max="9994" width="27.42578125" style="17" customWidth="1"/>
    <col min="9995" max="9995" width="4.5703125" style="17" customWidth="1"/>
    <col min="9996" max="9996" width="3.140625" style="17" customWidth="1"/>
    <col min="9997" max="9999" width="1.5703125" style="17" customWidth="1"/>
    <col min="10000" max="10000" width="4.85546875" style="17" customWidth="1"/>
    <col min="10001" max="10002" width="1.5703125" style="17" customWidth="1"/>
    <col min="10003" max="10241" width="9.140625" style="17"/>
    <col min="10242" max="10242" width="17.85546875" style="17" customWidth="1"/>
    <col min="10243" max="10243" width="1.140625" style="17" customWidth="1"/>
    <col min="10244" max="10244" width="30.140625" style="17" customWidth="1"/>
    <col min="10245" max="10245" width="1.5703125" style="17" customWidth="1"/>
    <col min="10246" max="10246" width="21.140625" style="17" customWidth="1"/>
    <col min="10247" max="10247" width="1.5703125" style="17" customWidth="1"/>
    <col min="10248" max="10248" width="22.140625" style="17" customWidth="1"/>
    <col min="10249" max="10249" width="5.85546875" style="17" customWidth="1"/>
    <col min="10250" max="10250" width="27.42578125" style="17" customWidth="1"/>
    <col min="10251" max="10251" width="4.5703125" style="17" customWidth="1"/>
    <col min="10252" max="10252" width="3.140625" style="17" customWidth="1"/>
    <col min="10253" max="10255" width="1.5703125" style="17" customWidth="1"/>
    <col min="10256" max="10256" width="4.85546875" style="17" customWidth="1"/>
    <col min="10257" max="10258" width="1.5703125" style="17" customWidth="1"/>
    <col min="10259" max="10497" width="9.140625" style="17"/>
    <col min="10498" max="10498" width="17.85546875" style="17" customWidth="1"/>
    <col min="10499" max="10499" width="1.140625" style="17" customWidth="1"/>
    <col min="10500" max="10500" width="30.140625" style="17" customWidth="1"/>
    <col min="10501" max="10501" width="1.5703125" style="17" customWidth="1"/>
    <col min="10502" max="10502" width="21.140625" style="17" customWidth="1"/>
    <col min="10503" max="10503" width="1.5703125" style="17" customWidth="1"/>
    <col min="10504" max="10504" width="22.140625" style="17" customWidth="1"/>
    <col min="10505" max="10505" width="5.85546875" style="17" customWidth="1"/>
    <col min="10506" max="10506" width="27.42578125" style="17" customWidth="1"/>
    <col min="10507" max="10507" width="4.5703125" style="17" customWidth="1"/>
    <col min="10508" max="10508" width="3.140625" style="17" customWidth="1"/>
    <col min="10509" max="10511" width="1.5703125" style="17" customWidth="1"/>
    <col min="10512" max="10512" width="4.85546875" style="17" customWidth="1"/>
    <col min="10513" max="10514" width="1.5703125" style="17" customWidth="1"/>
    <col min="10515" max="10753" width="9.140625" style="17"/>
    <col min="10754" max="10754" width="17.85546875" style="17" customWidth="1"/>
    <col min="10755" max="10755" width="1.140625" style="17" customWidth="1"/>
    <col min="10756" max="10756" width="30.140625" style="17" customWidth="1"/>
    <col min="10757" max="10757" width="1.5703125" style="17" customWidth="1"/>
    <col min="10758" max="10758" width="21.140625" style="17" customWidth="1"/>
    <col min="10759" max="10759" width="1.5703125" style="17" customWidth="1"/>
    <col min="10760" max="10760" width="22.140625" style="17" customWidth="1"/>
    <col min="10761" max="10761" width="5.85546875" style="17" customWidth="1"/>
    <col min="10762" max="10762" width="27.42578125" style="17" customWidth="1"/>
    <col min="10763" max="10763" width="4.5703125" style="17" customWidth="1"/>
    <col min="10764" max="10764" width="3.140625" style="17" customWidth="1"/>
    <col min="10765" max="10767" width="1.5703125" style="17" customWidth="1"/>
    <col min="10768" max="10768" width="4.85546875" style="17" customWidth="1"/>
    <col min="10769" max="10770" width="1.5703125" style="17" customWidth="1"/>
    <col min="10771" max="11009" width="9.140625" style="17"/>
    <col min="11010" max="11010" width="17.85546875" style="17" customWidth="1"/>
    <col min="11011" max="11011" width="1.140625" style="17" customWidth="1"/>
    <col min="11012" max="11012" width="30.140625" style="17" customWidth="1"/>
    <col min="11013" max="11013" width="1.5703125" style="17" customWidth="1"/>
    <col min="11014" max="11014" width="21.140625" style="17" customWidth="1"/>
    <col min="11015" max="11015" width="1.5703125" style="17" customWidth="1"/>
    <col min="11016" max="11016" width="22.140625" style="17" customWidth="1"/>
    <col min="11017" max="11017" width="5.85546875" style="17" customWidth="1"/>
    <col min="11018" max="11018" width="27.42578125" style="17" customWidth="1"/>
    <col min="11019" max="11019" width="4.5703125" style="17" customWidth="1"/>
    <col min="11020" max="11020" width="3.140625" style="17" customWidth="1"/>
    <col min="11021" max="11023" width="1.5703125" style="17" customWidth="1"/>
    <col min="11024" max="11024" width="4.85546875" style="17" customWidth="1"/>
    <col min="11025" max="11026" width="1.5703125" style="17" customWidth="1"/>
    <col min="11027" max="11265" width="9.140625" style="17"/>
    <col min="11266" max="11266" width="17.85546875" style="17" customWidth="1"/>
    <col min="11267" max="11267" width="1.140625" style="17" customWidth="1"/>
    <col min="11268" max="11268" width="30.140625" style="17" customWidth="1"/>
    <col min="11269" max="11269" width="1.5703125" style="17" customWidth="1"/>
    <col min="11270" max="11270" width="21.140625" style="17" customWidth="1"/>
    <col min="11271" max="11271" width="1.5703125" style="17" customWidth="1"/>
    <col min="11272" max="11272" width="22.140625" style="17" customWidth="1"/>
    <col min="11273" max="11273" width="5.85546875" style="17" customWidth="1"/>
    <col min="11274" max="11274" width="27.42578125" style="17" customWidth="1"/>
    <col min="11275" max="11275" width="4.5703125" style="17" customWidth="1"/>
    <col min="11276" max="11276" width="3.140625" style="17" customWidth="1"/>
    <col min="11277" max="11279" width="1.5703125" style="17" customWidth="1"/>
    <col min="11280" max="11280" width="4.85546875" style="17" customWidth="1"/>
    <col min="11281" max="11282" width="1.5703125" style="17" customWidth="1"/>
    <col min="11283" max="11521" width="9.140625" style="17"/>
    <col min="11522" max="11522" width="17.85546875" style="17" customWidth="1"/>
    <col min="11523" max="11523" width="1.140625" style="17" customWidth="1"/>
    <col min="11524" max="11524" width="30.140625" style="17" customWidth="1"/>
    <col min="11525" max="11525" width="1.5703125" style="17" customWidth="1"/>
    <col min="11526" max="11526" width="21.140625" style="17" customWidth="1"/>
    <col min="11527" max="11527" width="1.5703125" style="17" customWidth="1"/>
    <col min="11528" max="11528" width="22.140625" style="17" customWidth="1"/>
    <col min="11529" max="11529" width="5.85546875" style="17" customWidth="1"/>
    <col min="11530" max="11530" width="27.42578125" style="17" customWidth="1"/>
    <col min="11531" max="11531" width="4.5703125" style="17" customWidth="1"/>
    <col min="11532" max="11532" width="3.140625" style="17" customWidth="1"/>
    <col min="11533" max="11535" width="1.5703125" style="17" customWidth="1"/>
    <col min="11536" max="11536" width="4.85546875" style="17" customWidth="1"/>
    <col min="11537" max="11538" width="1.5703125" style="17" customWidth="1"/>
    <col min="11539" max="11777" width="9.140625" style="17"/>
    <col min="11778" max="11778" width="17.85546875" style="17" customWidth="1"/>
    <col min="11779" max="11779" width="1.140625" style="17" customWidth="1"/>
    <col min="11780" max="11780" width="30.140625" style="17" customWidth="1"/>
    <col min="11781" max="11781" width="1.5703125" style="17" customWidth="1"/>
    <col min="11782" max="11782" width="21.140625" style="17" customWidth="1"/>
    <col min="11783" max="11783" width="1.5703125" style="17" customWidth="1"/>
    <col min="11784" max="11784" width="22.140625" style="17" customWidth="1"/>
    <col min="11785" max="11785" width="5.85546875" style="17" customWidth="1"/>
    <col min="11786" max="11786" width="27.42578125" style="17" customWidth="1"/>
    <col min="11787" max="11787" width="4.5703125" style="17" customWidth="1"/>
    <col min="11788" max="11788" width="3.140625" style="17" customWidth="1"/>
    <col min="11789" max="11791" width="1.5703125" style="17" customWidth="1"/>
    <col min="11792" max="11792" width="4.85546875" style="17" customWidth="1"/>
    <col min="11793" max="11794" width="1.5703125" style="17" customWidth="1"/>
    <col min="11795" max="12033" width="9.140625" style="17"/>
    <col min="12034" max="12034" width="17.85546875" style="17" customWidth="1"/>
    <col min="12035" max="12035" width="1.140625" style="17" customWidth="1"/>
    <col min="12036" max="12036" width="30.140625" style="17" customWidth="1"/>
    <col min="12037" max="12037" width="1.5703125" style="17" customWidth="1"/>
    <col min="12038" max="12038" width="21.140625" style="17" customWidth="1"/>
    <col min="12039" max="12039" width="1.5703125" style="17" customWidth="1"/>
    <col min="12040" max="12040" width="22.140625" style="17" customWidth="1"/>
    <col min="12041" max="12041" width="5.85546875" style="17" customWidth="1"/>
    <col min="12042" max="12042" width="27.42578125" style="17" customWidth="1"/>
    <col min="12043" max="12043" width="4.5703125" style="17" customWidth="1"/>
    <col min="12044" max="12044" width="3.140625" style="17" customWidth="1"/>
    <col min="12045" max="12047" width="1.5703125" style="17" customWidth="1"/>
    <col min="12048" max="12048" width="4.85546875" style="17" customWidth="1"/>
    <col min="12049" max="12050" width="1.5703125" style="17" customWidth="1"/>
    <col min="12051" max="12289" width="9.140625" style="17"/>
    <col min="12290" max="12290" width="17.85546875" style="17" customWidth="1"/>
    <col min="12291" max="12291" width="1.140625" style="17" customWidth="1"/>
    <col min="12292" max="12292" width="30.140625" style="17" customWidth="1"/>
    <col min="12293" max="12293" width="1.5703125" style="17" customWidth="1"/>
    <col min="12294" max="12294" width="21.140625" style="17" customWidth="1"/>
    <col min="12295" max="12295" width="1.5703125" style="17" customWidth="1"/>
    <col min="12296" max="12296" width="22.140625" style="17" customWidth="1"/>
    <col min="12297" max="12297" width="5.85546875" style="17" customWidth="1"/>
    <col min="12298" max="12298" width="27.42578125" style="17" customWidth="1"/>
    <col min="12299" max="12299" width="4.5703125" style="17" customWidth="1"/>
    <col min="12300" max="12300" width="3.140625" style="17" customWidth="1"/>
    <col min="12301" max="12303" width="1.5703125" style="17" customWidth="1"/>
    <col min="12304" max="12304" width="4.85546875" style="17" customWidth="1"/>
    <col min="12305" max="12306" width="1.5703125" style="17" customWidth="1"/>
    <col min="12307" max="12545" width="9.140625" style="17"/>
    <col min="12546" max="12546" width="17.85546875" style="17" customWidth="1"/>
    <col min="12547" max="12547" width="1.140625" style="17" customWidth="1"/>
    <col min="12548" max="12548" width="30.140625" style="17" customWidth="1"/>
    <col min="12549" max="12549" width="1.5703125" style="17" customWidth="1"/>
    <col min="12550" max="12550" width="21.140625" style="17" customWidth="1"/>
    <col min="12551" max="12551" width="1.5703125" style="17" customWidth="1"/>
    <col min="12552" max="12552" width="22.140625" style="17" customWidth="1"/>
    <col min="12553" max="12553" width="5.85546875" style="17" customWidth="1"/>
    <col min="12554" max="12554" width="27.42578125" style="17" customWidth="1"/>
    <col min="12555" max="12555" width="4.5703125" style="17" customWidth="1"/>
    <col min="12556" max="12556" width="3.140625" style="17" customWidth="1"/>
    <col min="12557" max="12559" width="1.5703125" style="17" customWidth="1"/>
    <col min="12560" max="12560" width="4.85546875" style="17" customWidth="1"/>
    <col min="12561" max="12562" width="1.5703125" style="17" customWidth="1"/>
    <col min="12563" max="12801" width="9.140625" style="17"/>
    <col min="12802" max="12802" width="17.85546875" style="17" customWidth="1"/>
    <col min="12803" max="12803" width="1.140625" style="17" customWidth="1"/>
    <col min="12804" max="12804" width="30.140625" style="17" customWidth="1"/>
    <col min="12805" max="12805" width="1.5703125" style="17" customWidth="1"/>
    <col min="12806" max="12806" width="21.140625" style="17" customWidth="1"/>
    <col min="12807" max="12807" width="1.5703125" style="17" customWidth="1"/>
    <col min="12808" max="12808" width="22.140625" style="17" customWidth="1"/>
    <col min="12809" max="12809" width="5.85546875" style="17" customWidth="1"/>
    <col min="12810" max="12810" width="27.42578125" style="17" customWidth="1"/>
    <col min="12811" max="12811" width="4.5703125" style="17" customWidth="1"/>
    <col min="12812" max="12812" width="3.140625" style="17" customWidth="1"/>
    <col min="12813" max="12815" width="1.5703125" style="17" customWidth="1"/>
    <col min="12816" max="12816" width="4.85546875" style="17" customWidth="1"/>
    <col min="12817" max="12818" width="1.5703125" style="17" customWidth="1"/>
    <col min="12819" max="13057" width="9.140625" style="17"/>
    <col min="13058" max="13058" width="17.85546875" style="17" customWidth="1"/>
    <col min="13059" max="13059" width="1.140625" style="17" customWidth="1"/>
    <col min="13060" max="13060" width="30.140625" style="17" customWidth="1"/>
    <col min="13061" max="13061" width="1.5703125" style="17" customWidth="1"/>
    <col min="13062" max="13062" width="21.140625" style="17" customWidth="1"/>
    <col min="13063" max="13063" width="1.5703125" style="17" customWidth="1"/>
    <col min="13064" max="13064" width="22.140625" style="17" customWidth="1"/>
    <col min="13065" max="13065" width="5.85546875" style="17" customWidth="1"/>
    <col min="13066" max="13066" width="27.42578125" style="17" customWidth="1"/>
    <col min="13067" max="13067" width="4.5703125" style="17" customWidth="1"/>
    <col min="13068" max="13068" width="3.140625" style="17" customWidth="1"/>
    <col min="13069" max="13071" width="1.5703125" style="17" customWidth="1"/>
    <col min="13072" max="13072" width="4.85546875" style="17" customWidth="1"/>
    <col min="13073" max="13074" width="1.5703125" style="17" customWidth="1"/>
    <col min="13075" max="13313" width="9.140625" style="17"/>
    <col min="13314" max="13314" width="17.85546875" style="17" customWidth="1"/>
    <col min="13315" max="13315" width="1.140625" style="17" customWidth="1"/>
    <col min="13316" max="13316" width="30.140625" style="17" customWidth="1"/>
    <col min="13317" max="13317" width="1.5703125" style="17" customWidth="1"/>
    <col min="13318" max="13318" width="21.140625" style="17" customWidth="1"/>
    <col min="13319" max="13319" width="1.5703125" style="17" customWidth="1"/>
    <col min="13320" max="13320" width="22.140625" style="17" customWidth="1"/>
    <col min="13321" max="13321" width="5.85546875" style="17" customWidth="1"/>
    <col min="13322" max="13322" width="27.42578125" style="17" customWidth="1"/>
    <col min="13323" max="13323" width="4.5703125" style="17" customWidth="1"/>
    <col min="13324" max="13324" width="3.140625" style="17" customWidth="1"/>
    <col min="13325" max="13327" width="1.5703125" style="17" customWidth="1"/>
    <col min="13328" max="13328" width="4.85546875" style="17" customWidth="1"/>
    <col min="13329" max="13330" width="1.5703125" style="17" customWidth="1"/>
    <col min="13331" max="13569" width="9.140625" style="17"/>
    <col min="13570" max="13570" width="17.85546875" style="17" customWidth="1"/>
    <col min="13571" max="13571" width="1.140625" style="17" customWidth="1"/>
    <col min="13572" max="13572" width="30.140625" style="17" customWidth="1"/>
    <col min="13573" max="13573" width="1.5703125" style="17" customWidth="1"/>
    <col min="13574" max="13574" width="21.140625" style="17" customWidth="1"/>
    <col min="13575" max="13575" width="1.5703125" style="17" customWidth="1"/>
    <col min="13576" max="13576" width="22.140625" style="17" customWidth="1"/>
    <col min="13577" max="13577" width="5.85546875" style="17" customWidth="1"/>
    <col min="13578" max="13578" width="27.42578125" style="17" customWidth="1"/>
    <col min="13579" max="13579" width="4.5703125" style="17" customWidth="1"/>
    <col min="13580" max="13580" width="3.140625" style="17" customWidth="1"/>
    <col min="13581" max="13583" width="1.5703125" style="17" customWidth="1"/>
    <col min="13584" max="13584" width="4.85546875" style="17" customWidth="1"/>
    <col min="13585" max="13586" width="1.5703125" style="17" customWidth="1"/>
    <col min="13587" max="13825" width="9.140625" style="17"/>
    <col min="13826" max="13826" width="17.85546875" style="17" customWidth="1"/>
    <col min="13827" max="13827" width="1.140625" style="17" customWidth="1"/>
    <col min="13828" max="13828" width="30.140625" style="17" customWidth="1"/>
    <col min="13829" max="13829" width="1.5703125" style="17" customWidth="1"/>
    <col min="13830" max="13830" width="21.140625" style="17" customWidth="1"/>
    <col min="13831" max="13831" width="1.5703125" style="17" customWidth="1"/>
    <col min="13832" max="13832" width="22.140625" style="17" customWidth="1"/>
    <col min="13833" max="13833" width="5.85546875" style="17" customWidth="1"/>
    <col min="13834" max="13834" width="27.42578125" style="17" customWidth="1"/>
    <col min="13835" max="13835" width="4.5703125" style="17" customWidth="1"/>
    <col min="13836" max="13836" width="3.140625" style="17" customWidth="1"/>
    <col min="13837" max="13839" width="1.5703125" style="17" customWidth="1"/>
    <col min="13840" max="13840" width="4.85546875" style="17" customWidth="1"/>
    <col min="13841" max="13842" width="1.5703125" style="17" customWidth="1"/>
    <col min="13843" max="14081" width="9.140625" style="17"/>
    <col min="14082" max="14082" width="17.85546875" style="17" customWidth="1"/>
    <col min="14083" max="14083" width="1.140625" style="17" customWidth="1"/>
    <col min="14084" max="14084" width="30.140625" style="17" customWidth="1"/>
    <col min="14085" max="14085" width="1.5703125" style="17" customWidth="1"/>
    <col min="14086" max="14086" width="21.140625" style="17" customWidth="1"/>
    <col min="14087" max="14087" width="1.5703125" style="17" customWidth="1"/>
    <col min="14088" max="14088" width="22.140625" style="17" customWidth="1"/>
    <col min="14089" max="14089" width="5.85546875" style="17" customWidth="1"/>
    <col min="14090" max="14090" width="27.42578125" style="17" customWidth="1"/>
    <col min="14091" max="14091" width="4.5703125" style="17" customWidth="1"/>
    <col min="14092" max="14092" width="3.140625" style="17" customWidth="1"/>
    <col min="14093" max="14095" width="1.5703125" style="17" customWidth="1"/>
    <col min="14096" max="14096" width="4.85546875" style="17" customWidth="1"/>
    <col min="14097" max="14098" width="1.5703125" style="17" customWidth="1"/>
    <col min="14099" max="14337" width="9.140625" style="17"/>
    <col min="14338" max="14338" width="17.85546875" style="17" customWidth="1"/>
    <col min="14339" max="14339" width="1.140625" style="17" customWidth="1"/>
    <col min="14340" max="14340" width="30.140625" style="17" customWidth="1"/>
    <col min="14341" max="14341" width="1.5703125" style="17" customWidth="1"/>
    <col min="14342" max="14342" width="21.140625" style="17" customWidth="1"/>
    <col min="14343" max="14343" width="1.5703125" style="17" customWidth="1"/>
    <col min="14344" max="14344" width="22.140625" style="17" customWidth="1"/>
    <col min="14345" max="14345" width="5.85546875" style="17" customWidth="1"/>
    <col min="14346" max="14346" width="27.42578125" style="17" customWidth="1"/>
    <col min="14347" max="14347" width="4.5703125" style="17" customWidth="1"/>
    <col min="14348" max="14348" width="3.140625" style="17" customWidth="1"/>
    <col min="14349" max="14351" width="1.5703125" style="17" customWidth="1"/>
    <col min="14352" max="14352" width="4.85546875" style="17" customWidth="1"/>
    <col min="14353" max="14354" width="1.5703125" style="17" customWidth="1"/>
    <col min="14355" max="14593" width="9.140625" style="17"/>
    <col min="14594" max="14594" width="17.85546875" style="17" customWidth="1"/>
    <col min="14595" max="14595" width="1.140625" style="17" customWidth="1"/>
    <col min="14596" max="14596" width="30.140625" style="17" customWidth="1"/>
    <col min="14597" max="14597" width="1.5703125" style="17" customWidth="1"/>
    <col min="14598" max="14598" width="21.140625" style="17" customWidth="1"/>
    <col min="14599" max="14599" width="1.5703125" style="17" customWidth="1"/>
    <col min="14600" max="14600" width="22.140625" style="17" customWidth="1"/>
    <col min="14601" max="14601" width="5.85546875" style="17" customWidth="1"/>
    <col min="14602" max="14602" width="27.42578125" style="17" customWidth="1"/>
    <col min="14603" max="14603" width="4.5703125" style="17" customWidth="1"/>
    <col min="14604" max="14604" width="3.140625" style="17" customWidth="1"/>
    <col min="14605" max="14607" width="1.5703125" style="17" customWidth="1"/>
    <col min="14608" max="14608" width="4.85546875" style="17" customWidth="1"/>
    <col min="14609" max="14610" width="1.5703125" style="17" customWidth="1"/>
    <col min="14611" max="14849" width="9.140625" style="17"/>
    <col min="14850" max="14850" width="17.85546875" style="17" customWidth="1"/>
    <col min="14851" max="14851" width="1.140625" style="17" customWidth="1"/>
    <col min="14852" max="14852" width="30.140625" style="17" customWidth="1"/>
    <col min="14853" max="14853" width="1.5703125" style="17" customWidth="1"/>
    <col min="14854" max="14854" width="21.140625" style="17" customWidth="1"/>
    <col min="14855" max="14855" width="1.5703125" style="17" customWidth="1"/>
    <col min="14856" max="14856" width="22.140625" style="17" customWidth="1"/>
    <col min="14857" max="14857" width="5.85546875" style="17" customWidth="1"/>
    <col min="14858" max="14858" width="27.42578125" style="17" customWidth="1"/>
    <col min="14859" max="14859" width="4.5703125" style="17" customWidth="1"/>
    <col min="14860" max="14860" width="3.140625" style="17" customWidth="1"/>
    <col min="14861" max="14863" width="1.5703125" style="17" customWidth="1"/>
    <col min="14864" max="14864" width="4.85546875" style="17" customWidth="1"/>
    <col min="14865" max="14866" width="1.5703125" style="17" customWidth="1"/>
    <col min="14867" max="15105" width="9.140625" style="17"/>
    <col min="15106" max="15106" width="17.85546875" style="17" customWidth="1"/>
    <col min="15107" max="15107" width="1.140625" style="17" customWidth="1"/>
    <col min="15108" max="15108" width="30.140625" style="17" customWidth="1"/>
    <col min="15109" max="15109" width="1.5703125" style="17" customWidth="1"/>
    <col min="15110" max="15110" width="21.140625" style="17" customWidth="1"/>
    <col min="15111" max="15111" width="1.5703125" style="17" customWidth="1"/>
    <col min="15112" max="15112" width="22.140625" style="17" customWidth="1"/>
    <col min="15113" max="15113" width="5.85546875" style="17" customWidth="1"/>
    <col min="15114" max="15114" width="27.42578125" style="17" customWidth="1"/>
    <col min="15115" max="15115" width="4.5703125" style="17" customWidth="1"/>
    <col min="15116" max="15116" width="3.140625" style="17" customWidth="1"/>
    <col min="15117" max="15119" width="1.5703125" style="17" customWidth="1"/>
    <col min="15120" max="15120" width="4.85546875" style="17" customWidth="1"/>
    <col min="15121" max="15122" width="1.5703125" style="17" customWidth="1"/>
    <col min="15123" max="15361" width="9.140625" style="17"/>
    <col min="15362" max="15362" width="17.85546875" style="17" customWidth="1"/>
    <col min="15363" max="15363" width="1.140625" style="17" customWidth="1"/>
    <col min="15364" max="15364" width="30.140625" style="17" customWidth="1"/>
    <col min="15365" max="15365" width="1.5703125" style="17" customWidth="1"/>
    <col min="15366" max="15366" width="21.140625" style="17" customWidth="1"/>
    <col min="15367" max="15367" width="1.5703125" style="17" customWidth="1"/>
    <col min="15368" max="15368" width="22.140625" style="17" customWidth="1"/>
    <col min="15369" max="15369" width="5.85546875" style="17" customWidth="1"/>
    <col min="15370" max="15370" width="27.42578125" style="17" customWidth="1"/>
    <col min="15371" max="15371" width="4.5703125" style="17" customWidth="1"/>
    <col min="15372" max="15372" width="3.140625" style="17" customWidth="1"/>
    <col min="15373" max="15375" width="1.5703125" style="17" customWidth="1"/>
    <col min="15376" max="15376" width="4.85546875" style="17" customWidth="1"/>
    <col min="15377" max="15378" width="1.5703125" style="17" customWidth="1"/>
    <col min="15379" max="15617" width="9.140625" style="17"/>
    <col min="15618" max="15618" width="17.85546875" style="17" customWidth="1"/>
    <col min="15619" max="15619" width="1.140625" style="17" customWidth="1"/>
    <col min="15620" max="15620" width="30.140625" style="17" customWidth="1"/>
    <col min="15621" max="15621" width="1.5703125" style="17" customWidth="1"/>
    <col min="15622" max="15622" width="21.140625" style="17" customWidth="1"/>
    <col min="15623" max="15623" width="1.5703125" style="17" customWidth="1"/>
    <col min="15624" max="15624" width="22.140625" style="17" customWidth="1"/>
    <col min="15625" max="15625" width="5.85546875" style="17" customWidth="1"/>
    <col min="15626" max="15626" width="27.42578125" style="17" customWidth="1"/>
    <col min="15627" max="15627" width="4.5703125" style="17" customWidth="1"/>
    <col min="15628" max="15628" width="3.140625" style="17" customWidth="1"/>
    <col min="15629" max="15631" width="1.5703125" style="17" customWidth="1"/>
    <col min="15632" max="15632" width="4.85546875" style="17" customWidth="1"/>
    <col min="15633" max="15634" width="1.5703125" style="17" customWidth="1"/>
    <col min="15635" max="15873" width="9.140625" style="17"/>
    <col min="15874" max="15874" width="17.85546875" style="17" customWidth="1"/>
    <col min="15875" max="15875" width="1.140625" style="17" customWidth="1"/>
    <col min="15876" max="15876" width="30.140625" style="17" customWidth="1"/>
    <col min="15877" max="15877" width="1.5703125" style="17" customWidth="1"/>
    <col min="15878" max="15878" width="21.140625" style="17" customWidth="1"/>
    <col min="15879" max="15879" width="1.5703125" style="17" customWidth="1"/>
    <col min="15880" max="15880" width="22.140625" style="17" customWidth="1"/>
    <col min="15881" max="15881" width="5.85546875" style="17" customWidth="1"/>
    <col min="15882" max="15882" width="27.42578125" style="17" customWidth="1"/>
    <col min="15883" max="15883" width="4.5703125" style="17" customWidth="1"/>
    <col min="15884" max="15884" width="3.140625" style="17" customWidth="1"/>
    <col min="15885" max="15887" width="1.5703125" style="17" customWidth="1"/>
    <col min="15888" max="15888" width="4.85546875" style="17" customWidth="1"/>
    <col min="15889" max="15890" width="1.5703125" style="17" customWidth="1"/>
    <col min="15891" max="16129" width="9.140625" style="17"/>
    <col min="16130" max="16130" width="17.85546875" style="17" customWidth="1"/>
    <col min="16131" max="16131" width="1.140625" style="17" customWidth="1"/>
    <col min="16132" max="16132" width="30.140625" style="17" customWidth="1"/>
    <col min="16133" max="16133" width="1.5703125" style="17" customWidth="1"/>
    <col min="16134" max="16134" width="21.140625" style="17" customWidth="1"/>
    <col min="16135" max="16135" width="1.5703125" style="17" customWidth="1"/>
    <col min="16136" max="16136" width="22.140625" style="17" customWidth="1"/>
    <col min="16137" max="16137" width="5.85546875" style="17" customWidth="1"/>
    <col min="16138" max="16138" width="27.42578125" style="17" customWidth="1"/>
    <col min="16139" max="16139" width="4.5703125" style="17" customWidth="1"/>
    <col min="16140" max="16140" width="3.140625" style="17" customWidth="1"/>
    <col min="16141" max="16143" width="1.5703125" style="17" customWidth="1"/>
    <col min="16144" max="16144" width="4.85546875" style="17" customWidth="1"/>
    <col min="16145" max="16146" width="1.5703125" style="17" customWidth="1"/>
    <col min="16147" max="16384" width="9.140625" style="17"/>
  </cols>
  <sheetData>
    <row r="1" spans="1:12" s="16" customFormat="1" ht="25.15" customHeight="1" x14ac:dyDescent="0.25">
      <c r="A1" s="2553" t="str">
        <f>+Index!$A$1</f>
        <v xml:space="preserve">                                                               Office of the State Controller                                                                </v>
      </c>
      <c r="B1" s="2754"/>
      <c r="C1" s="2754"/>
      <c r="D1" s="2754"/>
      <c r="E1" s="2754"/>
      <c r="F1" s="2754"/>
      <c r="G1" s="2754"/>
      <c r="H1" s="2754"/>
      <c r="I1" s="2754"/>
      <c r="J1" s="2754"/>
      <c r="K1" s="2754"/>
      <c r="L1" s="2269" t="str">
        <f>IF(Index!$B$53="na","NA","")</f>
        <v/>
      </c>
    </row>
    <row r="2" spans="1:12" s="16" customFormat="1" ht="15.75" x14ac:dyDescent="0.25">
      <c r="A2" s="2748" t="str">
        <f>+Index!$A$2</f>
        <v>2024 ACFR Worksheets</v>
      </c>
      <c r="B2" s="2754"/>
      <c r="C2" s="2754"/>
      <c r="D2" s="2754"/>
      <c r="E2" s="2754"/>
      <c r="F2" s="2754"/>
      <c r="G2" s="2754"/>
      <c r="H2" s="2754"/>
      <c r="I2" s="2754"/>
      <c r="J2" s="2754"/>
      <c r="K2" s="2754"/>
      <c r="L2" s="2269"/>
    </row>
    <row r="3" spans="1:12" s="16" customFormat="1" ht="15.75" x14ac:dyDescent="0.25">
      <c r="A3" s="2749" t="s">
        <v>1555</v>
      </c>
      <c r="B3" s="2754"/>
      <c r="C3" s="2754"/>
      <c r="D3" s="2754"/>
      <c r="E3" s="2754"/>
      <c r="F3" s="2754"/>
      <c r="G3" s="2754"/>
      <c r="H3" s="2754"/>
      <c r="I3" s="2754"/>
      <c r="J3" s="2754"/>
      <c r="K3" s="2754"/>
      <c r="L3" s="2269"/>
    </row>
    <row r="4" spans="1:12" s="18" customFormat="1" ht="15" x14ac:dyDescent="0.25">
      <c r="F4" s="422"/>
      <c r="H4" s="422"/>
      <c r="I4" s="1254" t="s">
        <v>1556</v>
      </c>
    </row>
    <row r="5" spans="1:12" s="18" customFormat="1" ht="6" customHeight="1" x14ac:dyDescent="0.2">
      <c r="D5" s="128"/>
      <c r="E5" s="128"/>
      <c r="G5" s="2750"/>
      <c r="H5" s="2750"/>
      <c r="I5" s="2750"/>
      <c r="J5" s="2336"/>
    </row>
    <row r="6" spans="1:12" s="18" customFormat="1" ht="15" customHeight="1" x14ac:dyDescent="0.2">
      <c r="A6" s="2389" t="s">
        <v>318</v>
      </c>
      <c r="B6" s="2389"/>
      <c r="C6" s="2388" t="str">
        <f>Index!$E$10</f>
        <v>01</v>
      </c>
      <c r="D6" s="128"/>
      <c r="E6" s="128"/>
      <c r="G6" s="19" t="s">
        <v>319</v>
      </c>
      <c r="H6" s="2337"/>
      <c r="I6" s="2751" t="str">
        <f>+Index!$E$11</f>
        <v>North Carolina General Assembly</v>
      </c>
      <c r="J6" s="2751"/>
      <c r="K6" s="2751"/>
    </row>
    <row r="7" spans="1:12" s="18" customFormat="1" ht="15" customHeight="1" x14ac:dyDescent="0.2">
      <c r="D7" s="128"/>
      <c r="E7" s="128"/>
      <c r="G7" s="19" t="s">
        <v>320</v>
      </c>
      <c r="H7" s="2335"/>
      <c r="I7" s="2751" t="str">
        <f>CONCATENATE(Index!$E$12," ",Index!$E$14)</f>
        <v xml:space="preserve"> </v>
      </c>
      <c r="J7" s="2751"/>
      <c r="K7" s="2751"/>
    </row>
    <row r="8" spans="1:12" s="18" customFormat="1" ht="15" customHeight="1" x14ac:dyDescent="0.2">
      <c r="C8" s="420"/>
      <c r="D8" s="128"/>
      <c r="E8" s="128"/>
      <c r="G8" s="19" t="s">
        <v>168</v>
      </c>
      <c r="H8" s="2335"/>
      <c r="I8" s="2751">
        <f>+Index!$E$13</f>
        <v>0</v>
      </c>
      <c r="J8" s="2751"/>
      <c r="K8" s="2751"/>
    </row>
    <row r="9" spans="1:12" s="18" customFormat="1" ht="13.5" thickBot="1" x14ac:dyDescent="0.25">
      <c r="A9" s="76"/>
      <c r="B9" s="76"/>
      <c r="C9" s="76"/>
      <c r="D9" s="76"/>
      <c r="E9" s="76"/>
      <c r="F9" s="76"/>
      <c r="G9" s="76"/>
      <c r="H9" s="76"/>
      <c r="I9" s="76"/>
      <c r="J9" s="76"/>
      <c r="K9" s="76"/>
    </row>
    <row r="10" spans="1:12" s="18" customFormat="1" ht="12.75" x14ac:dyDescent="0.2"/>
    <row r="11" spans="1:12" s="18" customFormat="1" ht="12.75" x14ac:dyDescent="0.2">
      <c r="A11" s="2646" t="s">
        <v>1557</v>
      </c>
      <c r="B11" s="2646"/>
      <c r="C11" s="2646"/>
      <c r="D11" s="2646"/>
      <c r="E11" s="2646"/>
      <c r="F11" s="2646"/>
      <c r="G11" s="2646"/>
      <c r="H11" s="2646"/>
      <c r="I11" s="2646"/>
      <c r="J11" s="2517"/>
      <c r="K11" s="2517"/>
    </row>
    <row r="12" spans="1:12" s="18" customFormat="1" ht="12.75" x14ac:dyDescent="0.2">
      <c r="A12" s="2646" t="s">
        <v>1558</v>
      </c>
      <c r="B12" s="2646"/>
      <c r="C12" s="2646"/>
      <c r="D12" s="2646"/>
      <c r="E12" s="2646"/>
      <c r="F12" s="2646"/>
      <c r="G12" s="2646"/>
      <c r="H12" s="2646"/>
      <c r="I12" s="2646"/>
      <c r="J12" s="2517"/>
      <c r="K12" s="2517"/>
    </row>
    <row r="13" spans="1:12" s="18" customFormat="1" ht="12.75" x14ac:dyDescent="0.2">
      <c r="A13" s="2646" t="s">
        <v>1559</v>
      </c>
      <c r="B13" s="2646"/>
      <c r="C13" s="2646"/>
      <c r="D13" s="2646"/>
      <c r="E13" s="2646"/>
      <c r="F13" s="2646"/>
      <c r="G13" s="2646"/>
      <c r="H13" s="2646"/>
      <c r="I13" s="2646"/>
      <c r="J13" s="2517"/>
      <c r="K13" s="2517"/>
    </row>
    <row r="14" spans="1:12" s="18" customFormat="1" ht="12.75" x14ac:dyDescent="0.2">
      <c r="A14" s="2646" t="s">
        <v>1560</v>
      </c>
      <c r="B14" s="2646"/>
      <c r="C14" s="2646"/>
      <c r="D14" s="2646"/>
      <c r="E14" s="2646"/>
      <c r="F14" s="2646"/>
      <c r="G14" s="2646"/>
      <c r="H14" s="2646"/>
      <c r="I14" s="2646"/>
      <c r="J14" s="2517"/>
      <c r="K14" s="2517"/>
    </row>
    <row r="15" spans="1:12" s="18" customFormat="1" ht="12.75" x14ac:dyDescent="0.2">
      <c r="A15" s="2646" t="s">
        <v>1561</v>
      </c>
      <c r="B15" s="2646"/>
      <c r="C15" s="2646"/>
      <c r="D15" s="2646"/>
      <c r="E15" s="2646"/>
      <c r="F15" s="2646"/>
      <c r="G15" s="2646"/>
      <c r="H15" s="2646"/>
      <c r="I15" s="2646"/>
      <c r="J15" s="2517"/>
      <c r="K15" s="2517"/>
    </row>
    <row r="16" spans="1:12" s="18" customFormat="1" ht="12.75" x14ac:dyDescent="0.2">
      <c r="A16" s="2646" t="s">
        <v>1562</v>
      </c>
      <c r="B16" s="2517"/>
      <c r="C16" s="2517"/>
      <c r="D16" s="2517"/>
      <c r="E16" s="2517"/>
      <c r="F16" s="2517"/>
      <c r="G16" s="2517"/>
      <c r="H16" s="2517"/>
      <c r="I16" s="2517"/>
      <c r="J16" s="2517"/>
      <c r="K16" s="2517"/>
    </row>
    <row r="17" spans="1:11" customFormat="1" ht="12.75" x14ac:dyDescent="0.2">
      <c r="A17" s="2646" t="s">
        <v>1563</v>
      </c>
      <c r="B17" s="2646"/>
      <c r="C17" s="2646"/>
      <c r="D17" s="2646"/>
      <c r="E17" s="2646"/>
      <c r="F17" s="2646"/>
      <c r="G17" s="2646"/>
      <c r="H17" s="2646"/>
      <c r="I17" s="2646"/>
      <c r="J17" s="2646"/>
      <c r="K17" s="2646"/>
    </row>
    <row r="18" spans="1:11" customFormat="1" ht="12.75" x14ac:dyDescent="0.2">
      <c r="A18" s="138"/>
      <c r="B18" s="138"/>
      <c r="C18" s="138"/>
      <c r="D18" s="138"/>
      <c r="E18" s="138"/>
      <c r="F18" s="138"/>
      <c r="G18" s="138"/>
      <c r="H18" s="138"/>
      <c r="I18" s="138"/>
      <c r="J18" s="138"/>
      <c r="K18" s="138"/>
    </row>
    <row r="19" spans="1:11" customFormat="1" ht="15" x14ac:dyDescent="0.25">
      <c r="A19" s="2646" t="s">
        <v>1564</v>
      </c>
      <c r="B19" s="2646"/>
      <c r="C19" s="2646"/>
      <c r="D19" s="2646"/>
      <c r="E19" s="2646"/>
      <c r="F19" s="2646"/>
      <c r="G19" s="2646"/>
      <c r="H19" s="2646"/>
      <c r="I19" s="2646"/>
      <c r="J19" s="2517"/>
      <c r="K19" s="2517"/>
    </row>
    <row r="20" spans="1:11" customFormat="1" ht="12.75" x14ac:dyDescent="0.2">
      <c r="A20" s="2304"/>
      <c r="B20" s="2304"/>
      <c r="C20" s="2304"/>
      <c r="D20" s="2304"/>
      <c r="E20" s="2304"/>
      <c r="F20" s="2304"/>
      <c r="G20" s="2304"/>
      <c r="H20" s="2304"/>
      <c r="I20" s="2304"/>
      <c r="J20" s="138"/>
      <c r="K20" s="138"/>
    </row>
    <row r="21" spans="1:11" customFormat="1" ht="12.75" x14ac:dyDescent="0.2">
      <c r="A21" s="483" t="s">
        <v>340</v>
      </c>
      <c r="B21" s="151"/>
      <c r="C21" s="813"/>
      <c r="D21" s="2426" t="str">
        <f>IF(AND(ISBLANK(C21),ISBLANK(C22))=TRUE,"Answer Missing"," ")</f>
        <v>Answer Missing</v>
      </c>
      <c r="E21" s="1252"/>
      <c r="F21" s="151"/>
      <c r="G21" s="2427" t="str">
        <f>IF(ISTEXT(C21), "Section B Required", " ")</f>
        <v xml:space="preserve"> </v>
      </c>
      <c r="H21" s="2427"/>
      <c r="I21" s="2427"/>
      <c r="J21" s="138"/>
      <c r="K21" s="138"/>
    </row>
    <row r="22" spans="1:11" customFormat="1" ht="12.75" x14ac:dyDescent="0.2">
      <c r="A22" s="483" t="s">
        <v>341</v>
      </c>
      <c r="B22" s="151"/>
      <c r="C22" s="813"/>
      <c r="D22" s="612"/>
      <c r="E22" s="151"/>
      <c r="F22" s="151"/>
      <c r="G22" s="151"/>
      <c r="H22" s="151"/>
      <c r="I22" s="151"/>
      <c r="J22" s="138"/>
      <c r="K22" s="138"/>
    </row>
    <row r="23" spans="1:11" customFormat="1" ht="12.75" x14ac:dyDescent="0.2">
      <c r="A23" s="483"/>
      <c r="B23" s="151"/>
      <c r="C23" s="888"/>
      <c r="D23" s="612"/>
      <c r="E23" s="151"/>
      <c r="F23" s="151"/>
      <c r="G23" s="151"/>
      <c r="H23" s="151"/>
      <c r="I23" s="151"/>
      <c r="J23" s="138"/>
      <c r="K23" s="138"/>
    </row>
    <row r="24" spans="1:11" customFormat="1" ht="15" x14ac:dyDescent="0.25">
      <c r="A24" s="2304" t="s">
        <v>1565</v>
      </c>
      <c r="B24" s="2304"/>
      <c r="C24" s="2304"/>
      <c r="D24" s="2304"/>
      <c r="E24" s="2304"/>
      <c r="F24" s="2304"/>
      <c r="G24" s="2304"/>
      <c r="H24" s="2304"/>
      <c r="I24" s="2304"/>
      <c r="J24" s="138"/>
      <c r="K24" s="138"/>
    </row>
    <row r="25" spans="1:11" s="18" customFormat="1" ht="12.75" x14ac:dyDescent="0.2">
      <c r="A25" s="2646" t="s">
        <v>1566</v>
      </c>
      <c r="B25" s="2646"/>
      <c r="C25" s="2646"/>
      <c r="D25" s="2646"/>
      <c r="E25" s="2646"/>
      <c r="F25" s="2646"/>
      <c r="G25" s="2646"/>
      <c r="H25" s="2646"/>
      <c r="I25" s="2646"/>
      <c r="J25" s="2646"/>
      <c r="K25" s="2646"/>
    </row>
    <row r="26" spans="1:11" s="18" customFormat="1" ht="12.75" x14ac:dyDescent="0.2">
      <c r="A26" s="2339" t="s">
        <v>1567</v>
      </c>
      <c r="B26" s="2304"/>
      <c r="C26" s="2304"/>
      <c r="D26" s="2304"/>
      <c r="E26" s="2304"/>
      <c r="F26" s="2304"/>
      <c r="G26" s="2304"/>
      <c r="H26" s="2304"/>
      <c r="I26" s="2304"/>
      <c r="J26" s="2304"/>
      <c r="K26" s="2304"/>
    </row>
    <row r="27" spans="1:11" s="18" customFormat="1" ht="12.75" x14ac:dyDescent="0.2">
      <c r="A27" s="814"/>
      <c r="B27" s="814"/>
      <c r="C27" s="814"/>
      <c r="D27" s="814"/>
      <c r="E27" s="814"/>
      <c r="F27" s="814"/>
      <c r="G27" s="814"/>
      <c r="H27" s="814"/>
      <c r="I27" s="1240" t="s">
        <v>1568</v>
      </c>
      <c r="J27" s="814"/>
      <c r="K27" s="1240" t="s">
        <v>1569</v>
      </c>
    </row>
    <row r="28" spans="1:11" s="18" customFormat="1" ht="12.75" x14ac:dyDescent="0.2">
      <c r="A28" s="814"/>
      <c r="B28" s="814"/>
      <c r="C28" s="814"/>
      <c r="D28" s="814"/>
      <c r="E28" s="814"/>
      <c r="F28" s="814"/>
      <c r="G28" s="814"/>
      <c r="H28" s="814"/>
      <c r="I28" s="546" t="s">
        <v>1570</v>
      </c>
      <c r="J28" s="814"/>
      <c r="K28" s="546" t="s">
        <v>1570</v>
      </c>
    </row>
    <row r="29" spans="1:11" s="18" customFormat="1" ht="12.75" x14ac:dyDescent="0.2">
      <c r="A29" s="814"/>
      <c r="B29" s="814"/>
      <c r="C29" s="814"/>
      <c r="D29" s="814"/>
      <c r="E29" s="814"/>
      <c r="F29" s="814"/>
      <c r="G29" s="824" t="s">
        <v>1571</v>
      </c>
      <c r="H29" s="814"/>
      <c r="I29" s="546" t="s">
        <v>1572</v>
      </c>
      <c r="J29" s="814"/>
      <c r="K29" s="546" t="s">
        <v>1572</v>
      </c>
    </row>
    <row r="30" spans="1:11" s="464" customFormat="1" ht="15" x14ac:dyDescent="0.25">
      <c r="A30" s="2354" t="s">
        <v>1573</v>
      </c>
      <c r="B30" s="1253"/>
      <c r="C30" s="2354" t="s">
        <v>759</v>
      </c>
      <c r="D30" s="1253"/>
      <c r="E30" s="2354" t="s">
        <v>1574</v>
      </c>
      <c r="F30" s="1253"/>
      <c r="G30" s="2354" t="s">
        <v>1575</v>
      </c>
      <c r="H30" s="1253"/>
      <c r="I30" s="1241" t="s">
        <v>1576</v>
      </c>
      <c r="J30" s="546"/>
      <c r="K30" s="1241" t="s">
        <v>1577</v>
      </c>
    </row>
    <row r="31" spans="1:11" s="18" customFormat="1" ht="12.75" x14ac:dyDescent="0.2">
      <c r="A31" s="1242"/>
      <c r="B31" s="1228"/>
      <c r="C31" s="2368"/>
      <c r="D31" s="1243"/>
      <c r="E31" s="1244"/>
      <c r="F31" s="819"/>
      <c r="G31" s="1244"/>
      <c r="H31" s="2371"/>
      <c r="I31" s="1245"/>
      <c r="J31" s="1246"/>
      <c r="K31" s="1245"/>
    </row>
    <row r="32" spans="1:11" s="18" customFormat="1" ht="12.75" x14ac:dyDescent="0.2">
      <c r="A32" s="1242"/>
      <c r="B32" s="1228"/>
      <c r="C32" s="2368"/>
      <c r="D32" s="1228"/>
      <c r="E32" s="1244"/>
      <c r="F32" s="819"/>
      <c r="G32" s="1244"/>
      <c r="H32" s="2371"/>
      <c r="I32" s="1245"/>
      <c r="J32" s="1246"/>
      <c r="K32" s="1245"/>
    </row>
    <row r="33" spans="1:16" s="18" customFormat="1" ht="12.75" x14ac:dyDescent="0.2">
      <c r="A33" s="1242"/>
      <c r="B33" s="1228"/>
      <c r="C33" s="2368"/>
      <c r="D33" s="1228"/>
      <c r="E33" s="1244"/>
      <c r="F33" s="819"/>
      <c r="G33" s="1244"/>
      <c r="H33" s="2371"/>
      <c r="I33" s="1245"/>
      <c r="J33" s="1246"/>
      <c r="K33" s="1245"/>
    </row>
    <row r="34" spans="1:16" s="18" customFormat="1" ht="12.75" x14ac:dyDescent="0.2">
      <c r="A34" s="1242"/>
      <c r="B34" s="1228"/>
      <c r="C34" s="2368"/>
      <c r="D34" s="1228"/>
      <c r="E34" s="1244"/>
      <c r="F34" s="819"/>
      <c r="G34" s="1244"/>
      <c r="H34" s="2371"/>
      <c r="I34" s="1245"/>
      <c r="J34" s="1246"/>
      <c r="K34" s="1245"/>
    </row>
    <row r="35" spans="1:16" s="18" customFormat="1" ht="9.75" customHeight="1" x14ac:dyDescent="0.2">
      <c r="A35" s="465"/>
      <c r="B35" s="465"/>
      <c r="C35" s="2352"/>
      <c r="D35" s="2352"/>
      <c r="E35" s="2352"/>
      <c r="F35" s="758"/>
      <c r="G35" s="758"/>
      <c r="H35" s="758"/>
      <c r="I35" s="236"/>
      <c r="J35" s="236"/>
      <c r="K35" s="758"/>
      <c r="L35" s="758"/>
      <c r="M35" s="758"/>
      <c r="N35" s="758"/>
      <c r="O35" s="758"/>
      <c r="P35" s="758"/>
    </row>
    <row r="36" spans="1:16" s="18" customFormat="1" ht="12.75" x14ac:dyDescent="0.2">
      <c r="A36" s="2646" t="s">
        <v>1578</v>
      </c>
      <c r="B36" s="2646"/>
      <c r="C36" s="2646"/>
      <c r="D36" s="2646"/>
      <c r="E36" s="2646"/>
      <c r="F36" s="2646"/>
      <c r="G36" s="2646"/>
      <c r="H36" s="2646"/>
      <c r="I36" s="2646"/>
      <c r="J36" s="2517"/>
      <c r="K36" s="2517"/>
      <c r="L36" s="758"/>
      <c r="M36" s="758"/>
      <c r="N36" s="758"/>
      <c r="O36" s="758"/>
      <c r="P36" s="758"/>
    </row>
    <row r="37" spans="1:16" s="18" customFormat="1" ht="12.75" x14ac:dyDescent="0.2">
      <c r="A37" s="2339" t="s">
        <v>1579</v>
      </c>
      <c r="B37" s="2304"/>
      <c r="C37" s="2304"/>
      <c r="D37" s="2304"/>
      <c r="E37" s="2304"/>
      <c r="F37" s="2304"/>
      <c r="G37" s="2304"/>
      <c r="H37" s="2304"/>
      <c r="I37" s="2304"/>
      <c r="J37" s="2304"/>
      <c r="K37" s="758"/>
      <c r="L37" s="758"/>
      <c r="M37" s="758"/>
      <c r="N37" s="758"/>
      <c r="O37" s="758"/>
      <c r="P37" s="758"/>
    </row>
    <row r="38" spans="1:16" s="18" customFormat="1" ht="12.75" x14ac:dyDescent="0.2">
      <c r="A38" s="814"/>
      <c r="B38" s="814"/>
      <c r="C38" s="814"/>
      <c r="D38" s="814"/>
      <c r="E38" s="814"/>
      <c r="F38" s="814"/>
      <c r="G38" s="814"/>
      <c r="H38" s="814"/>
      <c r="I38" s="1240" t="s">
        <v>1568</v>
      </c>
      <c r="J38" s="814"/>
      <c r="K38" s="1240" t="s">
        <v>1569</v>
      </c>
      <c r="L38" s="758"/>
      <c r="M38" s="758"/>
      <c r="N38" s="758"/>
      <c r="O38" s="758"/>
      <c r="P38" s="758"/>
    </row>
    <row r="39" spans="1:16" s="18" customFormat="1" ht="12.75" x14ac:dyDescent="0.2">
      <c r="A39" s="814"/>
      <c r="B39" s="814"/>
      <c r="C39" s="814"/>
      <c r="D39" s="814"/>
      <c r="E39" s="814"/>
      <c r="F39" s="814"/>
      <c r="G39" s="814"/>
      <c r="H39" s="814"/>
      <c r="I39" s="546" t="s">
        <v>1580</v>
      </c>
      <c r="J39" s="814"/>
      <c r="K39" s="546" t="s">
        <v>1580</v>
      </c>
      <c r="L39" s="758"/>
      <c r="M39" s="758"/>
      <c r="N39" s="758"/>
      <c r="O39" s="758"/>
      <c r="P39" s="758"/>
    </row>
    <row r="40" spans="1:16" s="18" customFormat="1" ht="12.75" x14ac:dyDescent="0.2">
      <c r="A40" s="814"/>
      <c r="B40" s="814"/>
      <c r="C40" s="814"/>
      <c r="D40" s="814"/>
      <c r="E40" s="814"/>
      <c r="F40" s="814"/>
      <c r="G40" s="824" t="s">
        <v>1571</v>
      </c>
      <c r="H40" s="814"/>
      <c r="I40" s="546" t="s">
        <v>1572</v>
      </c>
      <c r="J40" s="814"/>
      <c r="K40" s="546" t="s">
        <v>1572</v>
      </c>
      <c r="L40" s="758"/>
      <c r="M40" s="758"/>
      <c r="N40" s="758"/>
      <c r="O40" s="758"/>
      <c r="P40" s="758"/>
    </row>
    <row r="41" spans="1:16" s="18" customFormat="1" ht="12.75" x14ac:dyDescent="0.2">
      <c r="A41" s="2354" t="s">
        <v>1573</v>
      </c>
      <c r="B41" s="1253"/>
      <c r="C41" s="2354" t="s">
        <v>759</v>
      </c>
      <c r="D41" s="1253"/>
      <c r="E41" s="2354" t="s">
        <v>1574</v>
      </c>
      <c r="F41" s="1253"/>
      <c r="G41" s="2354" t="s">
        <v>1575</v>
      </c>
      <c r="H41" s="1253"/>
      <c r="I41" s="1241" t="s">
        <v>1576</v>
      </c>
      <c r="J41" s="546"/>
      <c r="K41" s="1241" t="s">
        <v>1577</v>
      </c>
      <c r="L41" s="758"/>
      <c r="M41" s="758"/>
      <c r="N41" s="758"/>
      <c r="O41" s="758"/>
      <c r="P41" s="758"/>
    </row>
    <row r="42" spans="1:16" s="18" customFormat="1" ht="12.75" x14ac:dyDescent="0.2">
      <c r="A42" s="1242"/>
      <c r="B42" s="1228"/>
      <c r="C42" s="2368"/>
      <c r="D42" s="1243"/>
      <c r="E42" s="1244"/>
      <c r="F42" s="819"/>
      <c r="G42" s="1244"/>
      <c r="H42" s="2371"/>
      <c r="I42" s="1245"/>
      <c r="J42" s="1246"/>
      <c r="K42" s="1245"/>
      <c r="L42" s="758"/>
      <c r="M42" s="758"/>
      <c r="N42" s="758"/>
      <c r="O42" s="758"/>
      <c r="P42" s="758"/>
    </row>
    <row r="43" spans="1:16" s="18" customFormat="1" ht="12.75" x14ac:dyDescent="0.2">
      <c r="A43" s="1242"/>
      <c r="B43" s="1228"/>
      <c r="C43" s="2368"/>
      <c r="D43" s="1228"/>
      <c r="E43" s="1244"/>
      <c r="F43" s="819"/>
      <c r="G43" s="1244"/>
      <c r="H43" s="2371"/>
      <c r="I43" s="1245"/>
      <c r="J43" s="1246"/>
      <c r="K43" s="1245"/>
      <c r="L43" s="758"/>
      <c r="M43" s="758"/>
      <c r="N43" s="758"/>
      <c r="O43" s="758"/>
      <c r="P43" s="758"/>
    </row>
    <row r="44" spans="1:16" s="18" customFormat="1" ht="12.75" x14ac:dyDescent="0.2">
      <c r="A44" s="1242"/>
      <c r="B44" s="1228"/>
      <c r="C44" s="2368"/>
      <c r="D44" s="1228"/>
      <c r="E44" s="1244"/>
      <c r="F44" s="819"/>
      <c r="G44" s="1244"/>
      <c r="H44" s="2371"/>
      <c r="I44" s="1245"/>
      <c r="J44" s="1246"/>
      <c r="K44" s="1245"/>
      <c r="L44" s="758"/>
      <c r="M44" s="758"/>
      <c r="N44" s="758"/>
      <c r="O44" s="758"/>
      <c r="P44" s="758"/>
    </row>
    <row r="45" spans="1:16" s="18" customFormat="1" ht="12.75" x14ac:dyDescent="0.2">
      <c r="A45" s="1242"/>
      <c r="B45" s="1228"/>
      <c r="C45" s="2368"/>
      <c r="D45" s="1228"/>
      <c r="E45" s="1244"/>
      <c r="F45" s="819"/>
      <c r="G45" s="1244"/>
      <c r="H45" s="2371"/>
      <c r="I45" s="1245"/>
      <c r="J45" s="1246"/>
      <c r="K45" s="1245"/>
      <c r="L45" s="758"/>
      <c r="M45" s="758"/>
      <c r="N45" s="758"/>
      <c r="O45" s="758"/>
      <c r="P45" s="758"/>
    </row>
    <row r="46" spans="1:16" s="18" customFormat="1" ht="9.75" customHeight="1" x14ac:dyDescent="0.2">
      <c r="A46" s="465"/>
      <c r="B46" s="465"/>
      <c r="C46" s="2352"/>
      <c r="D46" s="2352"/>
      <c r="E46" s="2352"/>
      <c r="F46" s="758"/>
      <c r="G46" s="758"/>
      <c r="H46" s="758"/>
      <c r="I46" s="236"/>
      <c r="J46" s="236"/>
      <c r="K46" s="758"/>
      <c r="L46" s="758"/>
      <c r="M46" s="758"/>
      <c r="N46" s="758"/>
      <c r="O46" s="758"/>
      <c r="P46" s="758"/>
    </row>
    <row r="47" spans="1:16" s="18" customFormat="1" ht="12.75" x14ac:dyDescent="0.2">
      <c r="A47" s="2646" t="s">
        <v>1581</v>
      </c>
      <c r="B47" s="2646"/>
      <c r="C47" s="2646"/>
      <c r="D47" s="2646"/>
      <c r="E47" s="2646"/>
      <c r="F47" s="2646"/>
      <c r="G47" s="2646"/>
      <c r="H47" s="2646"/>
      <c r="I47" s="2646"/>
      <c r="J47" s="2517"/>
      <c r="K47" s="2517"/>
      <c r="L47" s="758"/>
      <c r="M47" s="758"/>
      <c r="N47" s="758"/>
      <c r="O47" s="758"/>
      <c r="P47" s="758"/>
    </row>
    <row r="48" spans="1:16" s="18" customFormat="1" ht="12.75" x14ac:dyDescent="0.2">
      <c r="A48" s="2753" t="s">
        <v>1582</v>
      </c>
      <c r="B48" s="2753"/>
      <c r="C48" s="2753"/>
      <c r="D48" s="2753"/>
      <c r="E48" s="2753"/>
      <c r="F48" s="2753"/>
      <c r="G48" s="2753"/>
      <c r="H48" s="2753"/>
      <c r="I48" s="2753"/>
      <c r="J48" s="2753"/>
      <c r="K48" s="2753"/>
      <c r="L48" s="758"/>
      <c r="M48" s="758"/>
      <c r="N48" s="758"/>
      <c r="O48" s="758"/>
      <c r="P48" s="758"/>
    </row>
    <row r="49" spans="1:16" s="18" customFormat="1" ht="12.75" x14ac:dyDescent="0.2">
      <c r="A49" s="814"/>
      <c r="B49" s="814"/>
      <c r="C49" s="814"/>
      <c r="D49" s="814"/>
      <c r="E49" s="814"/>
      <c r="F49" s="814"/>
      <c r="G49" s="814"/>
      <c r="H49" s="814"/>
      <c r="I49" s="1240" t="s">
        <v>1569</v>
      </c>
      <c r="J49" s="814"/>
      <c r="K49" s="1240"/>
      <c r="L49" s="758"/>
      <c r="M49" s="758"/>
      <c r="N49" s="758"/>
      <c r="O49" s="758"/>
      <c r="P49" s="758"/>
    </row>
    <row r="50" spans="1:16" ht="12.75" x14ac:dyDescent="0.2">
      <c r="A50" s="814"/>
      <c r="B50" s="814"/>
      <c r="C50" s="814"/>
      <c r="D50" s="814"/>
      <c r="E50" s="814"/>
      <c r="F50" s="814"/>
      <c r="G50" s="814"/>
      <c r="H50" s="814"/>
      <c r="I50" s="546" t="s">
        <v>1580</v>
      </c>
      <c r="J50" s="814"/>
      <c r="K50" s="546"/>
    </row>
    <row r="51" spans="1:16" ht="12.75" x14ac:dyDescent="0.2">
      <c r="A51" s="814"/>
      <c r="B51" s="814"/>
      <c r="C51" s="814"/>
      <c r="D51" s="814"/>
      <c r="E51" s="814"/>
      <c r="F51" s="814"/>
      <c r="G51" s="824" t="s">
        <v>1571</v>
      </c>
      <c r="H51" s="814"/>
      <c r="I51" s="546" t="s">
        <v>1572</v>
      </c>
      <c r="J51" s="814"/>
      <c r="K51" s="546"/>
    </row>
    <row r="52" spans="1:16" ht="12.75" x14ac:dyDescent="0.2">
      <c r="A52" s="2354" t="s">
        <v>1573</v>
      </c>
      <c r="B52" s="1253"/>
      <c r="C52" s="2354" t="s">
        <v>759</v>
      </c>
      <c r="D52" s="1253"/>
      <c r="E52" s="2354" t="s">
        <v>1574</v>
      </c>
      <c r="F52" s="1253"/>
      <c r="G52" s="2354" t="s">
        <v>1575</v>
      </c>
      <c r="H52" s="1253"/>
      <c r="I52" s="1241" t="s">
        <v>1577</v>
      </c>
      <c r="J52" s="546"/>
      <c r="K52" s="1247"/>
    </row>
    <row r="53" spans="1:16" ht="12.75" x14ac:dyDescent="0.2">
      <c r="A53" s="1242"/>
      <c r="B53" s="1228"/>
      <c r="C53" s="2368"/>
      <c r="D53" s="1243"/>
      <c r="E53" s="1244"/>
      <c r="F53" s="819"/>
      <c r="G53" s="1244"/>
      <c r="H53" s="2371"/>
      <c r="I53" s="1245"/>
      <c r="J53" s="1246"/>
      <c r="K53" s="1246"/>
    </row>
    <row r="54" spans="1:16" ht="12.75" x14ac:dyDescent="0.2">
      <c r="A54" s="1242"/>
      <c r="B54" s="1228"/>
      <c r="C54" s="2368"/>
      <c r="D54" s="1228"/>
      <c r="E54" s="1244"/>
      <c r="F54" s="819"/>
      <c r="G54" s="1244"/>
      <c r="H54" s="2371"/>
      <c r="I54" s="1245"/>
      <c r="J54" s="1246"/>
      <c r="K54" s="1246"/>
    </row>
    <row r="55" spans="1:16" ht="12.75" x14ac:dyDescent="0.2">
      <c r="A55" s="1242"/>
      <c r="B55" s="1228"/>
      <c r="C55" s="2368"/>
      <c r="D55" s="1228"/>
      <c r="E55" s="1244"/>
      <c r="F55" s="819"/>
      <c r="G55" s="1244"/>
      <c r="H55" s="2371"/>
      <c r="I55" s="1245"/>
      <c r="J55" s="1246"/>
      <c r="K55" s="1246"/>
    </row>
    <row r="56" spans="1:16" ht="12.75" x14ac:dyDescent="0.2">
      <c r="A56" s="1242"/>
      <c r="B56" s="1228"/>
      <c r="C56" s="2368"/>
      <c r="D56" s="1228"/>
      <c r="E56" s="1244"/>
      <c r="F56" s="819"/>
      <c r="G56" s="1244"/>
      <c r="H56" s="2371"/>
      <c r="I56" s="1245"/>
      <c r="J56" s="1246"/>
      <c r="K56" s="1246"/>
    </row>
    <row r="57" spans="1:16" ht="12.75" x14ac:dyDescent="0.2">
      <c r="A57" s="1248"/>
      <c r="B57" s="393"/>
      <c r="C57" s="393"/>
      <c r="D57" s="18"/>
      <c r="E57" s="1249"/>
      <c r="F57" s="1250"/>
      <c r="G57" s="2752"/>
      <c r="H57" s="2752"/>
      <c r="I57" s="2752"/>
      <c r="J57" s="2338"/>
      <c r="K57" s="18"/>
    </row>
    <row r="58" spans="1:16" ht="12.75" x14ac:dyDescent="0.2">
      <c r="A58" s="1248"/>
      <c r="B58" s="393"/>
      <c r="C58" s="393"/>
      <c r="D58" s="1251"/>
      <c r="E58" s="1249"/>
      <c r="F58" s="1250"/>
      <c r="G58" s="1250"/>
      <c r="H58" s="1250"/>
      <c r="I58" s="1250"/>
      <c r="J58" s="2338"/>
    </row>
    <row r="59" spans="1:16" ht="12.75" x14ac:dyDescent="0.2">
      <c r="A59" s="1248"/>
      <c r="B59" s="393"/>
      <c r="C59" s="393"/>
      <c r="D59" s="393"/>
      <c r="E59" s="1249"/>
      <c r="F59" s="1250"/>
      <c r="G59" s="1250"/>
      <c r="H59" s="1250"/>
      <c r="I59" s="1250"/>
      <c r="J59" s="2338"/>
    </row>
    <row r="60" spans="1:16" ht="12.75" x14ac:dyDescent="0.2">
      <c r="A60" s="1248"/>
      <c r="B60" s="393"/>
      <c r="C60" s="393"/>
      <c r="D60" s="393"/>
      <c r="E60" s="1249"/>
      <c r="F60" s="1250"/>
      <c r="G60" s="1250"/>
      <c r="H60" s="1250"/>
      <c r="I60" s="1250"/>
      <c r="J60" s="2338"/>
    </row>
    <row r="61" spans="1:16" ht="12.75" x14ac:dyDescent="0.2">
      <c r="A61" s="1248"/>
      <c r="B61" s="393"/>
      <c r="C61" s="393"/>
      <c r="D61" s="393"/>
      <c r="E61" s="1249"/>
      <c r="F61" s="1250"/>
      <c r="G61" s="1250"/>
      <c r="H61" s="1250"/>
      <c r="I61" s="1250"/>
      <c r="J61" s="2338"/>
    </row>
  </sheetData>
  <sheetProtection algorithmName="SHA-512" hashValue="zQiaZUjHqVIXsCPZPXQArodOL/8p1SBDyeVGPrF26hcZXskgmSOkT/L+IJHlw4Z8ShuYkGvR8coSKe6bGYEYBw==" saltValue="VtagpIXoTlQgsqcgMN+6AA==" spinCount="100000" sheet="1" autoFilter="0"/>
  <mergeCells count="20">
    <mergeCell ref="A1:K1"/>
    <mergeCell ref="A2:K2"/>
    <mergeCell ref="A3:K3"/>
    <mergeCell ref="I6:K6"/>
    <mergeCell ref="G5:I5"/>
    <mergeCell ref="I7:K7"/>
    <mergeCell ref="I8:K8"/>
    <mergeCell ref="G57:I57"/>
    <mergeCell ref="A15:K15"/>
    <mergeCell ref="A14:K14"/>
    <mergeCell ref="A11:K11"/>
    <mergeCell ref="A12:K12"/>
    <mergeCell ref="A13:K13"/>
    <mergeCell ref="A19:K19"/>
    <mergeCell ref="A16:K16"/>
    <mergeCell ref="A36:K36"/>
    <mergeCell ref="A47:K47"/>
    <mergeCell ref="A48:K48"/>
    <mergeCell ref="A25:K25"/>
    <mergeCell ref="A17:K17"/>
  </mergeCells>
  <conditionalFormatting sqref="D21">
    <cfRule type="containsText" dxfId="105" priority="3" stopIfTrue="1" operator="containsText" text="Answer Missing">
      <formula>NOT(ISERROR(SEARCH("Answer Missing",D21)))</formula>
    </cfRule>
  </conditionalFormatting>
  <conditionalFormatting sqref="G21">
    <cfRule type="containsText" dxfId="104" priority="2" stopIfTrue="1" operator="containsText" text="Answer Missing">
      <formula>NOT(ISERROR(SEARCH("Answer Missing",G21)))</formula>
    </cfRule>
  </conditionalFormatting>
  <conditionalFormatting sqref="L1:L3">
    <cfRule type="cellIs" dxfId="103" priority="1" stopIfTrue="1" operator="equal">
      <formula>"na"</formula>
    </cfRule>
  </conditionalFormatting>
  <hyperlinks>
    <hyperlink ref="A1:I1" location="Index!A1" display="Index!A1" xr:uid="{7D16492F-D665-461A-8D1D-E6E9E8B7D32B}"/>
  </hyperlinks>
  <pageMargins left="0.6" right="0.6" top="0.5" bottom="0.5" header="0.3" footer="0.3"/>
  <pageSetup scale="74"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D8FD6-3F6D-4368-A7DB-152338C512E7}">
  <sheetPr codeName="Sheet98">
    <pageSetUpPr fitToPage="1"/>
  </sheetPr>
  <dimension ref="A1:P60"/>
  <sheetViews>
    <sheetView zoomScaleNormal="100" zoomScaleSheetLayoutView="100" workbookViewId="0">
      <selection activeCell="A36" sqref="A36"/>
    </sheetView>
  </sheetViews>
  <sheetFormatPr defaultColWidth="9.140625" defaultRowHeight="10.5" x14ac:dyDescent="0.15"/>
  <cols>
    <col min="1" max="1" width="15.42578125" style="1450" customWidth="1"/>
    <col min="2" max="2" width="1.140625" style="1450" customWidth="1"/>
    <col min="3" max="3" width="17.5703125" style="1450" customWidth="1"/>
    <col min="4" max="4" width="1.5703125" style="1450" customWidth="1"/>
    <col min="5" max="5" width="22.5703125" style="1450" customWidth="1"/>
    <col min="6" max="6" width="1.5703125" style="1450" customWidth="1"/>
    <col min="7" max="7" width="30.5703125" style="1450" bestFit="1" customWidth="1"/>
    <col min="8" max="8" width="1.5703125" style="1450" customWidth="1"/>
    <col min="9" max="9" width="25.42578125" style="1450" customWidth="1"/>
    <col min="10" max="10" width="1.5703125" style="1450" customWidth="1"/>
    <col min="11" max="11" width="25.140625" style="1450" bestFit="1" customWidth="1"/>
    <col min="12" max="12" width="7.5703125" style="1450" customWidth="1"/>
    <col min="13" max="15" width="1.5703125" style="1450" customWidth="1"/>
    <col min="16" max="16" width="4.85546875" style="1450" customWidth="1"/>
    <col min="17" max="18" width="1.5703125" style="1450" customWidth="1"/>
    <col min="19" max="257" width="9.140625" style="1450"/>
    <col min="258" max="258" width="17.85546875" style="1450" customWidth="1"/>
    <col min="259" max="259" width="1.140625" style="1450" customWidth="1"/>
    <col min="260" max="260" width="30.140625" style="1450" customWidth="1"/>
    <col min="261" max="261" width="1.5703125" style="1450" customWidth="1"/>
    <col min="262" max="262" width="21.140625" style="1450" customWidth="1"/>
    <col min="263" max="263" width="1.5703125" style="1450" customWidth="1"/>
    <col min="264" max="264" width="22.140625" style="1450" customWidth="1"/>
    <col min="265" max="265" width="5.85546875" style="1450" customWidth="1"/>
    <col min="266" max="266" width="27.42578125" style="1450" customWidth="1"/>
    <col min="267" max="267" width="4.5703125" style="1450" customWidth="1"/>
    <col min="268" max="268" width="3.140625" style="1450" customWidth="1"/>
    <col min="269" max="271" width="1.5703125" style="1450" customWidth="1"/>
    <col min="272" max="272" width="4.85546875" style="1450" customWidth="1"/>
    <col min="273" max="274" width="1.5703125" style="1450" customWidth="1"/>
    <col min="275" max="513" width="9.140625" style="1450"/>
    <col min="514" max="514" width="17.85546875" style="1450" customWidth="1"/>
    <col min="515" max="515" width="1.140625" style="1450" customWidth="1"/>
    <col min="516" max="516" width="30.140625" style="1450" customWidth="1"/>
    <col min="517" max="517" width="1.5703125" style="1450" customWidth="1"/>
    <col min="518" max="518" width="21.140625" style="1450" customWidth="1"/>
    <col min="519" max="519" width="1.5703125" style="1450" customWidth="1"/>
    <col min="520" max="520" width="22.140625" style="1450" customWidth="1"/>
    <col min="521" max="521" width="5.85546875" style="1450" customWidth="1"/>
    <col min="522" max="522" width="27.42578125" style="1450" customWidth="1"/>
    <col min="523" max="523" width="4.5703125" style="1450" customWidth="1"/>
    <col min="524" max="524" width="3.140625" style="1450" customWidth="1"/>
    <col min="525" max="527" width="1.5703125" style="1450" customWidth="1"/>
    <col min="528" max="528" width="4.85546875" style="1450" customWidth="1"/>
    <col min="529" max="530" width="1.5703125" style="1450" customWidth="1"/>
    <col min="531" max="769" width="9.140625" style="1450"/>
    <col min="770" max="770" width="17.85546875" style="1450" customWidth="1"/>
    <col min="771" max="771" width="1.140625" style="1450" customWidth="1"/>
    <col min="772" max="772" width="30.140625" style="1450" customWidth="1"/>
    <col min="773" max="773" width="1.5703125" style="1450" customWidth="1"/>
    <col min="774" max="774" width="21.140625" style="1450" customWidth="1"/>
    <col min="775" max="775" width="1.5703125" style="1450" customWidth="1"/>
    <col min="776" max="776" width="22.140625" style="1450" customWidth="1"/>
    <col min="777" max="777" width="5.85546875" style="1450" customWidth="1"/>
    <col min="778" max="778" width="27.42578125" style="1450" customWidth="1"/>
    <col min="779" max="779" width="4.5703125" style="1450" customWidth="1"/>
    <col min="780" max="780" width="3.140625" style="1450" customWidth="1"/>
    <col min="781" max="783" width="1.5703125" style="1450" customWidth="1"/>
    <col min="784" max="784" width="4.85546875" style="1450" customWidth="1"/>
    <col min="785" max="786" width="1.5703125" style="1450" customWidth="1"/>
    <col min="787" max="1025" width="9.140625" style="1450"/>
    <col min="1026" max="1026" width="17.85546875" style="1450" customWidth="1"/>
    <col min="1027" max="1027" width="1.140625" style="1450" customWidth="1"/>
    <col min="1028" max="1028" width="30.140625" style="1450" customWidth="1"/>
    <col min="1029" max="1029" width="1.5703125" style="1450" customWidth="1"/>
    <col min="1030" max="1030" width="21.140625" style="1450" customWidth="1"/>
    <col min="1031" max="1031" width="1.5703125" style="1450" customWidth="1"/>
    <col min="1032" max="1032" width="22.140625" style="1450" customWidth="1"/>
    <col min="1033" max="1033" width="5.85546875" style="1450" customWidth="1"/>
    <col min="1034" max="1034" width="27.42578125" style="1450" customWidth="1"/>
    <col min="1035" max="1035" width="4.5703125" style="1450" customWidth="1"/>
    <col min="1036" max="1036" width="3.140625" style="1450" customWidth="1"/>
    <col min="1037" max="1039" width="1.5703125" style="1450" customWidth="1"/>
    <col min="1040" max="1040" width="4.85546875" style="1450" customWidth="1"/>
    <col min="1041" max="1042" width="1.5703125" style="1450" customWidth="1"/>
    <col min="1043" max="1281" width="9.140625" style="1450"/>
    <col min="1282" max="1282" width="17.85546875" style="1450" customWidth="1"/>
    <col min="1283" max="1283" width="1.140625" style="1450" customWidth="1"/>
    <col min="1284" max="1284" width="30.140625" style="1450" customWidth="1"/>
    <col min="1285" max="1285" width="1.5703125" style="1450" customWidth="1"/>
    <col min="1286" max="1286" width="21.140625" style="1450" customWidth="1"/>
    <col min="1287" max="1287" width="1.5703125" style="1450" customWidth="1"/>
    <col min="1288" max="1288" width="22.140625" style="1450" customWidth="1"/>
    <col min="1289" max="1289" width="5.85546875" style="1450" customWidth="1"/>
    <col min="1290" max="1290" width="27.42578125" style="1450" customWidth="1"/>
    <col min="1291" max="1291" width="4.5703125" style="1450" customWidth="1"/>
    <col min="1292" max="1292" width="3.140625" style="1450" customWidth="1"/>
    <col min="1293" max="1295" width="1.5703125" style="1450" customWidth="1"/>
    <col min="1296" max="1296" width="4.85546875" style="1450" customWidth="1"/>
    <col min="1297" max="1298" width="1.5703125" style="1450" customWidth="1"/>
    <col min="1299" max="1537" width="9.140625" style="1450"/>
    <col min="1538" max="1538" width="17.85546875" style="1450" customWidth="1"/>
    <col min="1539" max="1539" width="1.140625" style="1450" customWidth="1"/>
    <col min="1540" max="1540" width="30.140625" style="1450" customWidth="1"/>
    <col min="1541" max="1541" width="1.5703125" style="1450" customWidth="1"/>
    <col min="1542" max="1542" width="21.140625" style="1450" customWidth="1"/>
    <col min="1543" max="1543" width="1.5703125" style="1450" customWidth="1"/>
    <col min="1544" max="1544" width="22.140625" style="1450" customWidth="1"/>
    <col min="1545" max="1545" width="5.85546875" style="1450" customWidth="1"/>
    <col min="1546" max="1546" width="27.42578125" style="1450" customWidth="1"/>
    <col min="1547" max="1547" width="4.5703125" style="1450" customWidth="1"/>
    <col min="1548" max="1548" width="3.140625" style="1450" customWidth="1"/>
    <col min="1549" max="1551" width="1.5703125" style="1450" customWidth="1"/>
    <col min="1552" max="1552" width="4.85546875" style="1450" customWidth="1"/>
    <col min="1553" max="1554" width="1.5703125" style="1450" customWidth="1"/>
    <col min="1555" max="1793" width="9.140625" style="1450"/>
    <col min="1794" max="1794" width="17.85546875" style="1450" customWidth="1"/>
    <col min="1795" max="1795" width="1.140625" style="1450" customWidth="1"/>
    <col min="1796" max="1796" width="30.140625" style="1450" customWidth="1"/>
    <col min="1797" max="1797" width="1.5703125" style="1450" customWidth="1"/>
    <col min="1798" max="1798" width="21.140625" style="1450" customWidth="1"/>
    <col min="1799" max="1799" width="1.5703125" style="1450" customWidth="1"/>
    <col min="1800" max="1800" width="22.140625" style="1450" customWidth="1"/>
    <col min="1801" max="1801" width="5.85546875" style="1450" customWidth="1"/>
    <col min="1802" max="1802" width="27.42578125" style="1450" customWidth="1"/>
    <col min="1803" max="1803" width="4.5703125" style="1450" customWidth="1"/>
    <col min="1804" max="1804" width="3.140625" style="1450" customWidth="1"/>
    <col min="1805" max="1807" width="1.5703125" style="1450" customWidth="1"/>
    <col min="1808" max="1808" width="4.85546875" style="1450" customWidth="1"/>
    <col min="1809" max="1810" width="1.5703125" style="1450" customWidth="1"/>
    <col min="1811" max="2049" width="9.140625" style="1450"/>
    <col min="2050" max="2050" width="17.85546875" style="1450" customWidth="1"/>
    <col min="2051" max="2051" width="1.140625" style="1450" customWidth="1"/>
    <col min="2052" max="2052" width="30.140625" style="1450" customWidth="1"/>
    <col min="2053" max="2053" width="1.5703125" style="1450" customWidth="1"/>
    <col min="2054" max="2054" width="21.140625" style="1450" customWidth="1"/>
    <col min="2055" max="2055" width="1.5703125" style="1450" customWidth="1"/>
    <col min="2056" max="2056" width="22.140625" style="1450" customWidth="1"/>
    <col min="2057" max="2057" width="5.85546875" style="1450" customWidth="1"/>
    <col min="2058" max="2058" width="27.42578125" style="1450" customWidth="1"/>
    <col min="2059" max="2059" width="4.5703125" style="1450" customWidth="1"/>
    <col min="2060" max="2060" width="3.140625" style="1450" customWidth="1"/>
    <col min="2061" max="2063" width="1.5703125" style="1450" customWidth="1"/>
    <col min="2064" max="2064" width="4.85546875" style="1450" customWidth="1"/>
    <col min="2065" max="2066" width="1.5703125" style="1450" customWidth="1"/>
    <col min="2067" max="2305" width="9.140625" style="1450"/>
    <col min="2306" max="2306" width="17.85546875" style="1450" customWidth="1"/>
    <col min="2307" max="2307" width="1.140625" style="1450" customWidth="1"/>
    <col min="2308" max="2308" width="30.140625" style="1450" customWidth="1"/>
    <col min="2309" max="2309" width="1.5703125" style="1450" customWidth="1"/>
    <col min="2310" max="2310" width="21.140625" style="1450" customWidth="1"/>
    <col min="2311" max="2311" width="1.5703125" style="1450" customWidth="1"/>
    <col min="2312" max="2312" width="22.140625" style="1450" customWidth="1"/>
    <col min="2313" max="2313" width="5.85546875" style="1450" customWidth="1"/>
    <col min="2314" max="2314" width="27.42578125" style="1450" customWidth="1"/>
    <col min="2315" max="2315" width="4.5703125" style="1450" customWidth="1"/>
    <col min="2316" max="2316" width="3.140625" style="1450" customWidth="1"/>
    <col min="2317" max="2319" width="1.5703125" style="1450" customWidth="1"/>
    <col min="2320" max="2320" width="4.85546875" style="1450" customWidth="1"/>
    <col min="2321" max="2322" width="1.5703125" style="1450" customWidth="1"/>
    <col min="2323" max="2561" width="9.140625" style="1450"/>
    <col min="2562" max="2562" width="17.85546875" style="1450" customWidth="1"/>
    <col min="2563" max="2563" width="1.140625" style="1450" customWidth="1"/>
    <col min="2564" max="2564" width="30.140625" style="1450" customWidth="1"/>
    <col min="2565" max="2565" width="1.5703125" style="1450" customWidth="1"/>
    <col min="2566" max="2566" width="21.140625" style="1450" customWidth="1"/>
    <col min="2567" max="2567" width="1.5703125" style="1450" customWidth="1"/>
    <col min="2568" max="2568" width="22.140625" style="1450" customWidth="1"/>
    <col min="2569" max="2569" width="5.85546875" style="1450" customWidth="1"/>
    <col min="2570" max="2570" width="27.42578125" style="1450" customWidth="1"/>
    <col min="2571" max="2571" width="4.5703125" style="1450" customWidth="1"/>
    <col min="2572" max="2572" width="3.140625" style="1450" customWidth="1"/>
    <col min="2573" max="2575" width="1.5703125" style="1450" customWidth="1"/>
    <col min="2576" max="2576" width="4.85546875" style="1450" customWidth="1"/>
    <col min="2577" max="2578" width="1.5703125" style="1450" customWidth="1"/>
    <col min="2579" max="2817" width="9.140625" style="1450"/>
    <col min="2818" max="2818" width="17.85546875" style="1450" customWidth="1"/>
    <col min="2819" max="2819" width="1.140625" style="1450" customWidth="1"/>
    <col min="2820" max="2820" width="30.140625" style="1450" customWidth="1"/>
    <col min="2821" max="2821" width="1.5703125" style="1450" customWidth="1"/>
    <col min="2822" max="2822" width="21.140625" style="1450" customWidth="1"/>
    <col min="2823" max="2823" width="1.5703125" style="1450" customWidth="1"/>
    <col min="2824" max="2824" width="22.140625" style="1450" customWidth="1"/>
    <col min="2825" max="2825" width="5.85546875" style="1450" customWidth="1"/>
    <col min="2826" max="2826" width="27.42578125" style="1450" customWidth="1"/>
    <col min="2827" max="2827" width="4.5703125" style="1450" customWidth="1"/>
    <col min="2828" max="2828" width="3.140625" style="1450" customWidth="1"/>
    <col min="2829" max="2831" width="1.5703125" style="1450" customWidth="1"/>
    <col min="2832" max="2832" width="4.85546875" style="1450" customWidth="1"/>
    <col min="2833" max="2834" width="1.5703125" style="1450" customWidth="1"/>
    <col min="2835" max="3073" width="9.140625" style="1450"/>
    <col min="3074" max="3074" width="17.85546875" style="1450" customWidth="1"/>
    <col min="3075" max="3075" width="1.140625" style="1450" customWidth="1"/>
    <col min="3076" max="3076" width="30.140625" style="1450" customWidth="1"/>
    <col min="3077" max="3077" width="1.5703125" style="1450" customWidth="1"/>
    <col min="3078" max="3078" width="21.140625" style="1450" customWidth="1"/>
    <col min="3079" max="3079" width="1.5703125" style="1450" customWidth="1"/>
    <col min="3080" max="3080" width="22.140625" style="1450" customWidth="1"/>
    <col min="3081" max="3081" width="5.85546875" style="1450" customWidth="1"/>
    <col min="3082" max="3082" width="27.42578125" style="1450" customWidth="1"/>
    <col min="3083" max="3083" width="4.5703125" style="1450" customWidth="1"/>
    <col min="3084" max="3084" width="3.140625" style="1450" customWidth="1"/>
    <col min="3085" max="3087" width="1.5703125" style="1450" customWidth="1"/>
    <col min="3088" max="3088" width="4.85546875" style="1450" customWidth="1"/>
    <col min="3089" max="3090" width="1.5703125" style="1450" customWidth="1"/>
    <col min="3091" max="3329" width="9.140625" style="1450"/>
    <col min="3330" max="3330" width="17.85546875" style="1450" customWidth="1"/>
    <col min="3331" max="3331" width="1.140625" style="1450" customWidth="1"/>
    <col min="3332" max="3332" width="30.140625" style="1450" customWidth="1"/>
    <col min="3333" max="3333" width="1.5703125" style="1450" customWidth="1"/>
    <col min="3334" max="3334" width="21.140625" style="1450" customWidth="1"/>
    <col min="3335" max="3335" width="1.5703125" style="1450" customWidth="1"/>
    <col min="3336" max="3336" width="22.140625" style="1450" customWidth="1"/>
    <col min="3337" max="3337" width="5.85546875" style="1450" customWidth="1"/>
    <col min="3338" max="3338" width="27.42578125" style="1450" customWidth="1"/>
    <col min="3339" max="3339" width="4.5703125" style="1450" customWidth="1"/>
    <col min="3340" max="3340" width="3.140625" style="1450" customWidth="1"/>
    <col min="3341" max="3343" width="1.5703125" style="1450" customWidth="1"/>
    <col min="3344" max="3344" width="4.85546875" style="1450" customWidth="1"/>
    <col min="3345" max="3346" width="1.5703125" style="1450" customWidth="1"/>
    <col min="3347" max="3585" width="9.140625" style="1450"/>
    <col min="3586" max="3586" width="17.85546875" style="1450" customWidth="1"/>
    <col min="3587" max="3587" width="1.140625" style="1450" customWidth="1"/>
    <col min="3588" max="3588" width="30.140625" style="1450" customWidth="1"/>
    <col min="3589" max="3589" width="1.5703125" style="1450" customWidth="1"/>
    <col min="3590" max="3590" width="21.140625" style="1450" customWidth="1"/>
    <col min="3591" max="3591" width="1.5703125" style="1450" customWidth="1"/>
    <col min="3592" max="3592" width="22.140625" style="1450" customWidth="1"/>
    <col min="3593" max="3593" width="5.85546875" style="1450" customWidth="1"/>
    <col min="3594" max="3594" width="27.42578125" style="1450" customWidth="1"/>
    <col min="3595" max="3595" width="4.5703125" style="1450" customWidth="1"/>
    <col min="3596" max="3596" width="3.140625" style="1450" customWidth="1"/>
    <col min="3597" max="3599" width="1.5703125" style="1450" customWidth="1"/>
    <col min="3600" max="3600" width="4.85546875" style="1450" customWidth="1"/>
    <col min="3601" max="3602" width="1.5703125" style="1450" customWidth="1"/>
    <col min="3603" max="3841" width="9.140625" style="1450"/>
    <col min="3842" max="3842" width="17.85546875" style="1450" customWidth="1"/>
    <col min="3843" max="3843" width="1.140625" style="1450" customWidth="1"/>
    <col min="3844" max="3844" width="30.140625" style="1450" customWidth="1"/>
    <col min="3845" max="3845" width="1.5703125" style="1450" customWidth="1"/>
    <col min="3846" max="3846" width="21.140625" style="1450" customWidth="1"/>
    <col min="3847" max="3847" width="1.5703125" style="1450" customWidth="1"/>
    <col min="3848" max="3848" width="22.140625" style="1450" customWidth="1"/>
    <col min="3849" max="3849" width="5.85546875" style="1450" customWidth="1"/>
    <col min="3850" max="3850" width="27.42578125" style="1450" customWidth="1"/>
    <col min="3851" max="3851" width="4.5703125" style="1450" customWidth="1"/>
    <col min="3852" max="3852" width="3.140625" style="1450" customWidth="1"/>
    <col min="3853" max="3855" width="1.5703125" style="1450" customWidth="1"/>
    <col min="3856" max="3856" width="4.85546875" style="1450" customWidth="1"/>
    <col min="3857" max="3858" width="1.5703125" style="1450" customWidth="1"/>
    <col min="3859" max="4097" width="9.140625" style="1450"/>
    <col min="4098" max="4098" width="17.85546875" style="1450" customWidth="1"/>
    <col min="4099" max="4099" width="1.140625" style="1450" customWidth="1"/>
    <col min="4100" max="4100" width="30.140625" style="1450" customWidth="1"/>
    <col min="4101" max="4101" width="1.5703125" style="1450" customWidth="1"/>
    <col min="4102" max="4102" width="21.140625" style="1450" customWidth="1"/>
    <col min="4103" max="4103" width="1.5703125" style="1450" customWidth="1"/>
    <col min="4104" max="4104" width="22.140625" style="1450" customWidth="1"/>
    <col min="4105" max="4105" width="5.85546875" style="1450" customWidth="1"/>
    <col min="4106" max="4106" width="27.42578125" style="1450" customWidth="1"/>
    <col min="4107" max="4107" width="4.5703125" style="1450" customWidth="1"/>
    <col min="4108" max="4108" width="3.140625" style="1450" customWidth="1"/>
    <col min="4109" max="4111" width="1.5703125" style="1450" customWidth="1"/>
    <col min="4112" max="4112" width="4.85546875" style="1450" customWidth="1"/>
    <col min="4113" max="4114" width="1.5703125" style="1450" customWidth="1"/>
    <col min="4115" max="4353" width="9.140625" style="1450"/>
    <col min="4354" max="4354" width="17.85546875" style="1450" customWidth="1"/>
    <col min="4355" max="4355" width="1.140625" style="1450" customWidth="1"/>
    <col min="4356" max="4356" width="30.140625" style="1450" customWidth="1"/>
    <col min="4357" max="4357" width="1.5703125" style="1450" customWidth="1"/>
    <col min="4358" max="4358" width="21.140625" style="1450" customWidth="1"/>
    <col min="4359" max="4359" width="1.5703125" style="1450" customWidth="1"/>
    <col min="4360" max="4360" width="22.140625" style="1450" customWidth="1"/>
    <col min="4361" max="4361" width="5.85546875" style="1450" customWidth="1"/>
    <col min="4362" max="4362" width="27.42578125" style="1450" customWidth="1"/>
    <col min="4363" max="4363" width="4.5703125" style="1450" customWidth="1"/>
    <col min="4364" max="4364" width="3.140625" style="1450" customWidth="1"/>
    <col min="4365" max="4367" width="1.5703125" style="1450" customWidth="1"/>
    <col min="4368" max="4368" width="4.85546875" style="1450" customWidth="1"/>
    <col min="4369" max="4370" width="1.5703125" style="1450" customWidth="1"/>
    <col min="4371" max="4609" width="9.140625" style="1450"/>
    <col min="4610" max="4610" width="17.85546875" style="1450" customWidth="1"/>
    <col min="4611" max="4611" width="1.140625" style="1450" customWidth="1"/>
    <col min="4612" max="4612" width="30.140625" style="1450" customWidth="1"/>
    <col min="4613" max="4613" width="1.5703125" style="1450" customWidth="1"/>
    <col min="4614" max="4614" width="21.140625" style="1450" customWidth="1"/>
    <col min="4615" max="4615" width="1.5703125" style="1450" customWidth="1"/>
    <col min="4616" max="4616" width="22.140625" style="1450" customWidth="1"/>
    <col min="4617" max="4617" width="5.85546875" style="1450" customWidth="1"/>
    <col min="4618" max="4618" width="27.42578125" style="1450" customWidth="1"/>
    <col min="4619" max="4619" width="4.5703125" style="1450" customWidth="1"/>
    <col min="4620" max="4620" width="3.140625" style="1450" customWidth="1"/>
    <col min="4621" max="4623" width="1.5703125" style="1450" customWidth="1"/>
    <col min="4624" max="4624" width="4.85546875" style="1450" customWidth="1"/>
    <col min="4625" max="4626" width="1.5703125" style="1450" customWidth="1"/>
    <col min="4627" max="4865" width="9.140625" style="1450"/>
    <col min="4866" max="4866" width="17.85546875" style="1450" customWidth="1"/>
    <col min="4867" max="4867" width="1.140625" style="1450" customWidth="1"/>
    <col min="4868" max="4868" width="30.140625" style="1450" customWidth="1"/>
    <col min="4869" max="4869" width="1.5703125" style="1450" customWidth="1"/>
    <col min="4870" max="4870" width="21.140625" style="1450" customWidth="1"/>
    <col min="4871" max="4871" width="1.5703125" style="1450" customWidth="1"/>
    <col min="4872" max="4872" width="22.140625" style="1450" customWidth="1"/>
    <col min="4873" max="4873" width="5.85546875" style="1450" customWidth="1"/>
    <col min="4874" max="4874" width="27.42578125" style="1450" customWidth="1"/>
    <col min="4875" max="4875" width="4.5703125" style="1450" customWidth="1"/>
    <col min="4876" max="4876" width="3.140625" style="1450" customWidth="1"/>
    <col min="4877" max="4879" width="1.5703125" style="1450" customWidth="1"/>
    <col min="4880" max="4880" width="4.85546875" style="1450" customWidth="1"/>
    <col min="4881" max="4882" width="1.5703125" style="1450" customWidth="1"/>
    <col min="4883" max="5121" width="9.140625" style="1450"/>
    <col min="5122" max="5122" width="17.85546875" style="1450" customWidth="1"/>
    <col min="5123" max="5123" width="1.140625" style="1450" customWidth="1"/>
    <col min="5124" max="5124" width="30.140625" style="1450" customWidth="1"/>
    <col min="5125" max="5125" width="1.5703125" style="1450" customWidth="1"/>
    <col min="5126" max="5126" width="21.140625" style="1450" customWidth="1"/>
    <col min="5127" max="5127" width="1.5703125" style="1450" customWidth="1"/>
    <col min="5128" max="5128" width="22.140625" style="1450" customWidth="1"/>
    <col min="5129" max="5129" width="5.85546875" style="1450" customWidth="1"/>
    <col min="5130" max="5130" width="27.42578125" style="1450" customWidth="1"/>
    <col min="5131" max="5131" width="4.5703125" style="1450" customWidth="1"/>
    <col min="5132" max="5132" width="3.140625" style="1450" customWidth="1"/>
    <col min="5133" max="5135" width="1.5703125" style="1450" customWidth="1"/>
    <col min="5136" max="5136" width="4.85546875" style="1450" customWidth="1"/>
    <col min="5137" max="5138" width="1.5703125" style="1450" customWidth="1"/>
    <col min="5139" max="5377" width="9.140625" style="1450"/>
    <col min="5378" max="5378" width="17.85546875" style="1450" customWidth="1"/>
    <col min="5379" max="5379" width="1.140625" style="1450" customWidth="1"/>
    <col min="5380" max="5380" width="30.140625" style="1450" customWidth="1"/>
    <col min="5381" max="5381" width="1.5703125" style="1450" customWidth="1"/>
    <col min="5382" max="5382" width="21.140625" style="1450" customWidth="1"/>
    <col min="5383" max="5383" width="1.5703125" style="1450" customWidth="1"/>
    <col min="5384" max="5384" width="22.140625" style="1450" customWidth="1"/>
    <col min="5385" max="5385" width="5.85546875" style="1450" customWidth="1"/>
    <col min="5386" max="5386" width="27.42578125" style="1450" customWidth="1"/>
    <col min="5387" max="5387" width="4.5703125" style="1450" customWidth="1"/>
    <col min="5388" max="5388" width="3.140625" style="1450" customWidth="1"/>
    <col min="5389" max="5391" width="1.5703125" style="1450" customWidth="1"/>
    <col min="5392" max="5392" width="4.85546875" style="1450" customWidth="1"/>
    <col min="5393" max="5394" width="1.5703125" style="1450" customWidth="1"/>
    <col min="5395" max="5633" width="9.140625" style="1450"/>
    <col min="5634" max="5634" width="17.85546875" style="1450" customWidth="1"/>
    <col min="5635" max="5635" width="1.140625" style="1450" customWidth="1"/>
    <col min="5636" max="5636" width="30.140625" style="1450" customWidth="1"/>
    <col min="5637" max="5637" width="1.5703125" style="1450" customWidth="1"/>
    <col min="5638" max="5638" width="21.140625" style="1450" customWidth="1"/>
    <col min="5639" max="5639" width="1.5703125" style="1450" customWidth="1"/>
    <col min="5640" max="5640" width="22.140625" style="1450" customWidth="1"/>
    <col min="5641" max="5641" width="5.85546875" style="1450" customWidth="1"/>
    <col min="5642" max="5642" width="27.42578125" style="1450" customWidth="1"/>
    <col min="5643" max="5643" width="4.5703125" style="1450" customWidth="1"/>
    <col min="5644" max="5644" width="3.140625" style="1450" customWidth="1"/>
    <col min="5645" max="5647" width="1.5703125" style="1450" customWidth="1"/>
    <col min="5648" max="5648" width="4.85546875" style="1450" customWidth="1"/>
    <col min="5649" max="5650" width="1.5703125" style="1450" customWidth="1"/>
    <col min="5651" max="5889" width="9.140625" style="1450"/>
    <col min="5890" max="5890" width="17.85546875" style="1450" customWidth="1"/>
    <col min="5891" max="5891" width="1.140625" style="1450" customWidth="1"/>
    <col min="5892" max="5892" width="30.140625" style="1450" customWidth="1"/>
    <col min="5893" max="5893" width="1.5703125" style="1450" customWidth="1"/>
    <col min="5894" max="5894" width="21.140625" style="1450" customWidth="1"/>
    <col min="5895" max="5895" width="1.5703125" style="1450" customWidth="1"/>
    <col min="5896" max="5896" width="22.140625" style="1450" customWidth="1"/>
    <col min="5897" max="5897" width="5.85546875" style="1450" customWidth="1"/>
    <col min="5898" max="5898" width="27.42578125" style="1450" customWidth="1"/>
    <col min="5899" max="5899" width="4.5703125" style="1450" customWidth="1"/>
    <col min="5900" max="5900" width="3.140625" style="1450" customWidth="1"/>
    <col min="5901" max="5903" width="1.5703125" style="1450" customWidth="1"/>
    <col min="5904" max="5904" width="4.85546875" style="1450" customWidth="1"/>
    <col min="5905" max="5906" width="1.5703125" style="1450" customWidth="1"/>
    <col min="5907" max="6145" width="9.140625" style="1450"/>
    <col min="6146" max="6146" width="17.85546875" style="1450" customWidth="1"/>
    <col min="6147" max="6147" width="1.140625" style="1450" customWidth="1"/>
    <col min="6148" max="6148" width="30.140625" style="1450" customWidth="1"/>
    <col min="6149" max="6149" width="1.5703125" style="1450" customWidth="1"/>
    <col min="6150" max="6150" width="21.140625" style="1450" customWidth="1"/>
    <col min="6151" max="6151" width="1.5703125" style="1450" customWidth="1"/>
    <col min="6152" max="6152" width="22.140625" style="1450" customWidth="1"/>
    <col min="6153" max="6153" width="5.85546875" style="1450" customWidth="1"/>
    <col min="6154" max="6154" width="27.42578125" style="1450" customWidth="1"/>
    <col min="6155" max="6155" width="4.5703125" style="1450" customWidth="1"/>
    <col min="6156" max="6156" width="3.140625" style="1450" customWidth="1"/>
    <col min="6157" max="6159" width="1.5703125" style="1450" customWidth="1"/>
    <col min="6160" max="6160" width="4.85546875" style="1450" customWidth="1"/>
    <col min="6161" max="6162" width="1.5703125" style="1450" customWidth="1"/>
    <col min="6163" max="6401" width="9.140625" style="1450"/>
    <col min="6402" max="6402" width="17.85546875" style="1450" customWidth="1"/>
    <col min="6403" max="6403" width="1.140625" style="1450" customWidth="1"/>
    <col min="6404" max="6404" width="30.140625" style="1450" customWidth="1"/>
    <col min="6405" max="6405" width="1.5703125" style="1450" customWidth="1"/>
    <col min="6406" max="6406" width="21.140625" style="1450" customWidth="1"/>
    <col min="6407" max="6407" width="1.5703125" style="1450" customWidth="1"/>
    <col min="6408" max="6408" width="22.140625" style="1450" customWidth="1"/>
    <col min="6409" max="6409" width="5.85546875" style="1450" customWidth="1"/>
    <col min="6410" max="6410" width="27.42578125" style="1450" customWidth="1"/>
    <col min="6411" max="6411" width="4.5703125" style="1450" customWidth="1"/>
    <col min="6412" max="6412" width="3.140625" style="1450" customWidth="1"/>
    <col min="6413" max="6415" width="1.5703125" style="1450" customWidth="1"/>
    <col min="6416" max="6416" width="4.85546875" style="1450" customWidth="1"/>
    <col min="6417" max="6418" width="1.5703125" style="1450" customWidth="1"/>
    <col min="6419" max="6657" width="9.140625" style="1450"/>
    <col min="6658" max="6658" width="17.85546875" style="1450" customWidth="1"/>
    <col min="6659" max="6659" width="1.140625" style="1450" customWidth="1"/>
    <col min="6660" max="6660" width="30.140625" style="1450" customWidth="1"/>
    <col min="6661" max="6661" width="1.5703125" style="1450" customWidth="1"/>
    <col min="6662" max="6662" width="21.140625" style="1450" customWidth="1"/>
    <col min="6663" max="6663" width="1.5703125" style="1450" customWidth="1"/>
    <col min="6664" max="6664" width="22.140625" style="1450" customWidth="1"/>
    <col min="6665" max="6665" width="5.85546875" style="1450" customWidth="1"/>
    <col min="6666" max="6666" width="27.42578125" style="1450" customWidth="1"/>
    <col min="6667" max="6667" width="4.5703125" style="1450" customWidth="1"/>
    <col min="6668" max="6668" width="3.140625" style="1450" customWidth="1"/>
    <col min="6669" max="6671" width="1.5703125" style="1450" customWidth="1"/>
    <col min="6672" max="6672" width="4.85546875" style="1450" customWidth="1"/>
    <col min="6673" max="6674" width="1.5703125" style="1450" customWidth="1"/>
    <col min="6675" max="6913" width="9.140625" style="1450"/>
    <col min="6914" max="6914" width="17.85546875" style="1450" customWidth="1"/>
    <col min="6915" max="6915" width="1.140625" style="1450" customWidth="1"/>
    <col min="6916" max="6916" width="30.140625" style="1450" customWidth="1"/>
    <col min="6917" max="6917" width="1.5703125" style="1450" customWidth="1"/>
    <col min="6918" max="6918" width="21.140625" style="1450" customWidth="1"/>
    <col min="6919" max="6919" width="1.5703125" style="1450" customWidth="1"/>
    <col min="6920" max="6920" width="22.140625" style="1450" customWidth="1"/>
    <col min="6921" max="6921" width="5.85546875" style="1450" customWidth="1"/>
    <col min="6922" max="6922" width="27.42578125" style="1450" customWidth="1"/>
    <col min="6923" max="6923" width="4.5703125" style="1450" customWidth="1"/>
    <col min="6924" max="6924" width="3.140625" style="1450" customWidth="1"/>
    <col min="6925" max="6927" width="1.5703125" style="1450" customWidth="1"/>
    <col min="6928" max="6928" width="4.85546875" style="1450" customWidth="1"/>
    <col min="6929" max="6930" width="1.5703125" style="1450" customWidth="1"/>
    <col min="6931" max="7169" width="9.140625" style="1450"/>
    <col min="7170" max="7170" width="17.85546875" style="1450" customWidth="1"/>
    <col min="7171" max="7171" width="1.140625" style="1450" customWidth="1"/>
    <col min="7172" max="7172" width="30.140625" style="1450" customWidth="1"/>
    <col min="7173" max="7173" width="1.5703125" style="1450" customWidth="1"/>
    <col min="7174" max="7174" width="21.140625" style="1450" customWidth="1"/>
    <col min="7175" max="7175" width="1.5703125" style="1450" customWidth="1"/>
    <col min="7176" max="7176" width="22.140625" style="1450" customWidth="1"/>
    <col min="7177" max="7177" width="5.85546875" style="1450" customWidth="1"/>
    <col min="7178" max="7178" width="27.42578125" style="1450" customWidth="1"/>
    <col min="7179" max="7179" width="4.5703125" style="1450" customWidth="1"/>
    <col min="7180" max="7180" width="3.140625" style="1450" customWidth="1"/>
    <col min="7181" max="7183" width="1.5703125" style="1450" customWidth="1"/>
    <col min="7184" max="7184" width="4.85546875" style="1450" customWidth="1"/>
    <col min="7185" max="7186" width="1.5703125" style="1450" customWidth="1"/>
    <col min="7187" max="7425" width="9.140625" style="1450"/>
    <col min="7426" max="7426" width="17.85546875" style="1450" customWidth="1"/>
    <col min="7427" max="7427" width="1.140625" style="1450" customWidth="1"/>
    <col min="7428" max="7428" width="30.140625" style="1450" customWidth="1"/>
    <col min="7429" max="7429" width="1.5703125" style="1450" customWidth="1"/>
    <col min="7430" max="7430" width="21.140625" style="1450" customWidth="1"/>
    <col min="7431" max="7431" width="1.5703125" style="1450" customWidth="1"/>
    <col min="7432" max="7432" width="22.140625" style="1450" customWidth="1"/>
    <col min="7433" max="7433" width="5.85546875" style="1450" customWidth="1"/>
    <col min="7434" max="7434" width="27.42578125" style="1450" customWidth="1"/>
    <col min="7435" max="7435" width="4.5703125" style="1450" customWidth="1"/>
    <col min="7436" max="7436" width="3.140625" style="1450" customWidth="1"/>
    <col min="7437" max="7439" width="1.5703125" style="1450" customWidth="1"/>
    <col min="7440" max="7440" width="4.85546875" style="1450" customWidth="1"/>
    <col min="7441" max="7442" width="1.5703125" style="1450" customWidth="1"/>
    <col min="7443" max="7681" width="9.140625" style="1450"/>
    <col min="7682" max="7682" width="17.85546875" style="1450" customWidth="1"/>
    <col min="7683" max="7683" width="1.140625" style="1450" customWidth="1"/>
    <col min="7684" max="7684" width="30.140625" style="1450" customWidth="1"/>
    <col min="7685" max="7685" width="1.5703125" style="1450" customWidth="1"/>
    <col min="7686" max="7686" width="21.140625" style="1450" customWidth="1"/>
    <col min="7687" max="7687" width="1.5703125" style="1450" customWidth="1"/>
    <col min="7688" max="7688" width="22.140625" style="1450" customWidth="1"/>
    <col min="7689" max="7689" width="5.85546875" style="1450" customWidth="1"/>
    <col min="7690" max="7690" width="27.42578125" style="1450" customWidth="1"/>
    <col min="7691" max="7691" width="4.5703125" style="1450" customWidth="1"/>
    <col min="7692" max="7692" width="3.140625" style="1450" customWidth="1"/>
    <col min="7693" max="7695" width="1.5703125" style="1450" customWidth="1"/>
    <col min="7696" max="7696" width="4.85546875" style="1450" customWidth="1"/>
    <col min="7697" max="7698" width="1.5703125" style="1450" customWidth="1"/>
    <col min="7699" max="7937" width="9.140625" style="1450"/>
    <col min="7938" max="7938" width="17.85546875" style="1450" customWidth="1"/>
    <col min="7939" max="7939" width="1.140625" style="1450" customWidth="1"/>
    <col min="7940" max="7940" width="30.140625" style="1450" customWidth="1"/>
    <col min="7941" max="7941" width="1.5703125" style="1450" customWidth="1"/>
    <col min="7942" max="7942" width="21.140625" style="1450" customWidth="1"/>
    <col min="7943" max="7943" width="1.5703125" style="1450" customWidth="1"/>
    <col min="7944" max="7944" width="22.140625" style="1450" customWidth="1"/>
    <col min="7945" max="7945" width="5.85546875" style="1450" customWidth="1"/>
    <col min="7946" max="7946" width="27.42578125" style="1450" customWidth="1"/>
    <col min="7947" max="7947" width="4.5703125" style="1450" customWidth="1"/>
    <col min="7948" max="7948" width="3.140625" style="1450" customWidth="1"/>
    <col min="7949" max="7951" width="1.5703125" style="1450" customWidth="1"/>
    <col min="7952" max="7952" width="4.85546875" style="1450" customWidth="1"/>
    <col min="7953" max="7954" width="1.5703125" style="1450" customWidth="1"/>
    <col min="7955" max="8193" width="9.140625" style="1450"/>
    <col min="8194" max="8194" width="17.85546875" style="1450" customWidth="1"/>
    <col min="8195" max="8195" width="1.140625" style="1450" customWidth="1"/>
    <col min="8196" max="8196" width="30.140625" style="1450" customWidth="1"/>
    <col min="8197" max="8197" width="1.5703125" style="1450" customWidth="1"/>
    <col min="8198" max="8198" width="21.140625" style="1450" customWidth="1"/>
    <col min="8199" max="8199" width="1.5703125" style="1450" customWidth="1"/>
    <col min="8200" max="8200" width="22.140625" style="1450" customWidth="1"/>
    <col min="8201" max="8201" width="5.85546875" style="1450" customWidth="1"/>
    <col min="8202" max="8202" width="27.42578125" style="1450" customWidth="1"/>
    <col min="8203" max="8203" width="4.5703125" style="1450" customWidth="1"/>
    <col min="8204" max="8204" width="3.140625" style="1450" customWidth="1"/>
    <col min="8205" max="8207" width="1.5703125" style="1450" customWidth="1"/>
    <col min="8208" max="8208" width="4.85546875" style="1450" customWidth="1"/>
    <col min="8209" max="8210" width="1.5703125" style="1450" customWidth="1"/>
    <col min="8211" max="8449" width="9.140625" style="1450"/>
    <col min="8450" max="8450" width="17.85546875" style="1450" customWidth="1"/>
    <col min="8451" max="8451" width="1.140625" style="1450" customWidth="1"/>
    <col min="8452" max="8452" width="30.140625" style="1450" customWidth="1"/>
    <col min="8453" max="8453" width="1.5703125" style="1450" customWidth="1"/>
    <col min="8454" max="8454" width="21.140625" style="1450" customWidth="1"/>
    <col min="8455" max="8455" width="1.5703125" style="1450" customWidth="1"/>
    <col min="8456" max="8456" width="22.140625" style="1450" customWidth="1"/>
    <col min="8457" max="8457" width="5.85546875" style="1450" customWidth="1"/>
    <col min="8458" max="8458" width="27.42578125" style="1450" customWidth="1"/>
    <col min="8459" max="8459" width="4.5703125" style="1450" customWidth="1"/>
    <col min="8460" max="8460" width="3.140625" style="1450" customWidth="1"/>
    <col min="8461" max="8463" width="1.5703125" style="1450" customWidth="1"/>
    <col min="8464" max="8464" width="4.85546875" style="1450" customWidth="1"/>
    <col min="8465" max="8466" width="1.5703125" style="1450" customWidth="1"/>
    <col min="8467" max="8705" width="9.140625" style="1450"/>
    <col min="8706" max="8706" width="17.85546875" style="1450" customWidth="1"/>
    <col min="8707" max="8707" width="1.140625" style="1450" customWidth="1"/>
    <col min="8708" max="8708" width="30.140625" style="1450" customWidth="1"/>
    <col min="8709" max="8709" width="1.5703125" style="1450" customWidth="1"/>
    <col min="8710" max="8710" width="21.140625" style="1450" customWidth="1"/>
    <col min="8711" max="8711" width="1.5703125" style="1450" customWidth="1"/>
    <col min="8712" max="8712" width="22.140625" style="1450" customWidth="1"/>
    <col min="8713" max="8713" width="5.85546875" style="1450" customWidth="1"/>
    <col min="8714" max="8714" width="27.42578125" style="1450" customWidth="1"/>
    <col min="8715" max="8715" width="4.5703125" style="1450" customWidth="1"/>
    <col min="8716" max="8716" width="3.140625" style="1450" customWidth="1"/>
    <col min="8717" max="8719" width="1.5703125" style="1450" customWidth="1"/>
    <col min="8720" max="8720" width="4.85546875" style="1450" customWidth="1"/>
    <col min="8721" max="8722" width="1.5703125" style="1450" customWidth="1"/>
    <col min="8723" max="8961" width="9.140625" style="1450"/>
    <col min="8962" max="8962" width="17.85546875" style="1450" customWidth="1"/>
    <col min="8963" max="8963" width="1.140625" style="1450" customWidth="1"/>
    <col min="8964" max="8964" width="30.140625" style="1450" customWidth="1"/>
    <col min="8965" max="8965" width="1.5703125" style="1450" customWidth="1"/>
    <col min="8966" max="8966" width="21.140625" style="1450" customWidth="1"/>
    <col min="8967" max="8967" width="1.5703125" style="1450" customWidth="1"/>
    <col min="8968" max="8968" width="22.140625" style="1450" customWidth="1"/>
    <col min="8969" max="8969" width="5.85546875" style="1450" customWidth="1"/>
    <col min="8970" max="8970" width="27.42578125" style="1450" customWidth="1"/>
    <col min="8971" max="8971" width="4.5703125" style="1450" customWidth="1"/>
    <col min="8972" max="8972" width="3.140625" style="1450" customWidth="1"/>
    <col min="8973" max="8975" width="1.5703125" style="1450" customWidth="1"/>
    <col min="8976" max="8976" width="4.85546875" style="1450" customWidth="1"/>
    <col min="8977" max="8978" width="1.5703125" style="1450" customWidth="1"/>
    <col min="8979" max="9217" width="9.140625" style="1450"/>
    <col min="9218" max="9218" width="17.85546875" style="1450" customWidth="1"/>
    <col min="9219" max="9219" width="1.140625" style="1450" customWidth="1"/>
    <col min="9220" max="9220" width="30.140625" style="1450" customWidth="1"/>
    <col min="9221" max="9221" width="1.5703125" style="1450" customWidth="1"/>
    <col min="9222" max="9222" width="21.140625" style="1450" customWidth="1"/>
    <col min="9223" max="9223" width="1.5703125" style="1450" customWidth="1"/>
    <col min="9224" max="9224" width="22.140625" style="1450" customWidth="1"/>
    <col min="9225" max="9225" width="5.85546875" style="1450" customWidth="1"/>
    <col min="9226" max="9226" width="27.42578125" style="1450" customWidth="1"/>
    <col min="9227" max="9227" width="4.5703125" style="1450" customWidth="1"/>
    <col min="9228" max="9228" width="3.140625" style="1450" customWidth="1"/>
    <col min="9229" max="9231" width="1.5703125" style="1450" customWidth="1"/>
    <col min="9232" max="9232" width="4.85546875" style="1450" customWidth="1"/>
    <col min="9233" max="9234" width="1.5703125" style="1450" customWidth="1"/>
    <col min="9235" max="9473" width="9.140625" style="1450"/>
    <col min="9474" max="9474" width="17.85546875" style="1450" customWidth="1"/>
    <col min="9475" max="9475" width="1.140625" style="1450" customWidth="1"/>
    <col min="9476" max="9476" width="30.140625" style="1450" customWidth="1"/>
    <col min="9477" max="9477" width="1.5703125" style="1450" customWidth="1"/>
    <col min="9478" max="9478" width="21.140625" style="1450" customWidth="1"/>
    <col min="9479" max="9479" width="1.5703125" style="1450" customWidth="1"/>
    <col min="9480" max="9480" width="22.140625" style="1450" customWidth="1"/>
    <col min="9481" max="9481" width="5.85546875" style="1450" customWidth="1"/>
    <col min="9482" max="9482" width="27.42578125" style="1450" customWidth="1"/>
    <col min="9483" max="9483" width="4.5703125" style="1450" customWidth="1"/>
    <col min="9484" max="9484" width="3.140625" style="1450" customWidth="1"/>
    <col min="9485" max="9487" width="1.5703125" style="1450" customWidth="1"/>
    <col min="9488" max="9488" width="4.85546875" style="1450" customWidth="1"/>
    <col min="9489" max="9490" width="1.5703125" style="1450" customWidth="1"/>
    <col min="9491" max="9729" width="9.140625" style="1450"/>
    <col min="9730" max="9730" width="17.85546875" style="1450" customWidth="1"/>
    <col min="9731" max="9731" width="1.140625" style="1450" customWidth="1"/>
    <col min="9732" max="9732" width="30.140625" style="1450" customWidth="1"/>
    <col min="9733" max="9733" width="1.5703125" style="1450" customWidth="1"/>
    <col min="9734" max="9734" width="21.140625" style="1450" customWidth="1"/>
    <col min="9735" max="9735" width="1.5703125" style="1450" customWidth="1"/>
    <col min="9736" max="9736" width="22.140625" style="1450" customWidth="1"/>
    <col min="9737" max="9737" width="5.85546875" style="1450" customWidth="1"/>
    <col min="9738" max="9738" width="27.42578125" style="1450" customWidth="1"/>
    <col min="9739" max="9739" width="4.5703125" style="1450" customWidth="1"/>
    <col min="9740" max="9740" width="3.140625" style="1450" customWidth="1"/>
    <col min="9741" max="9743" width="1.5703125" style="1450" customWidth="1"/>
    <col min="9744" max="9744" width="4.85546875" style="1450" customWidth="1"/>
    <col min="9745" max="9746" width="1.5703125" style="1450" customWidth="1"/>
    <col min="9747" max="9985" width="9.140625" style="1450"/>
    <col min="9986" max="9986" width="17.85546875" style="1450" customWidth="1"/>
    <col min="9987" max="9987" width="1.140625" style="1450" customWidth="1"/>
    <col min="9988" max="9988" width="30.140625" style="1450" customWidth="1"/>
    <col min="9989" max="9989" width="1.5703125" style="1450" customWidth="1"/>
    <col min="9990" max="9990" width="21.140625" style="1450" customWidth="1"/>
    <col min="9991" max="9991" width="1.5703125" style="1450" customWidth="1"/>
    <col min="9992" max="9992" width="22.140625" style="1450" customWidth="1"/>
    <col min="9993" max="9993" width="5.85546875" style="1450" customWidth="1"/>
    <col min="9994" max="9994" width="27.42578125" style="1450" customWidth="1"/>
    <col min="9995" max="9995" width="4.5703125" style="1450" customWidth="1"/>
    <col min="9996" max="9996" width="3.140625" style="1450" customWidth="1"/>
    <col min="9997" max="9999" width="1.5703125" style="1450" customWidth="1"/>
    <col min="10000" max="10000" width="4.85546875" style="1450" customWidth="1"/>
    <col min="10001" max="10002" width="1.5703125" style="1450" customWidth="1"/>
    <col min="10003" max="10241" width="9.140625" style="1450"/>
    <col min="10242" max="10242" width="17.85546875" style="1450" customWidth="1"/>
    <col min="10243" max="10243" width="1.140625" style="1450" customWidth="1"/>
    <col min="10244" max="10244" width="30.140625" style="1450" customWidth="1"/>
    <col min="10245" max="10245" width="1.5703125" style="1450" customWidth="1"/>
    <col min="10246" max="10246" width="21.140625" style="1450" customWidth="1"/>
    <col min="10247" max="10247" width="1.5703125" style="1450" customWidth="1"/>
    <col min="10248" max="10248" width="22.140625" style="1450" customWidth="1"/>
    <col min="10249" max="10249" width="5.85546875" style="1450" customWidth="1"/>
    <col min="10250" max="10250" width="27.42578125" style="1450" customWidth="1"/>
    <col min="10251" max="10251" width="4.5703125" style="1450" customWidth="1"/>
    <col min="10252" max="10252" width="3.140625" style="1450" customWidth="1"/>
    <col min="10253" max="10255" width="1.5703125" style="1450" customWidth="1"/>
    <col min="10256" max="10256" width="4.85546875" style="1450" customWidth="1"/>
    <col min="10257" max="10258" width="1.5703125" style="1450" customWidth="1"/>
    <col min="10259" max="10497" width="9.140625" style="1450"/>
    <col min="10498" max="10498" width="17.85546875" style="1450" customWidth="1"/>
    <col min="10499" max="10499" width="1.140625" style="1450" customWidth="1"/>
    <col min="10500" max="10500" width="30.140625" style="1450" customWidth="1"/>
    <col min="10501" max="10501" width="1.5703125" style="1450" customWidth="1"/>
    <col min="10502" max="10502" width="21.140625" style="1450" customWidth="1"/>
    <col min="10503" max="10503" width="1.5703125" style="1450" customWidth="1"/>
    <col min="10504" max="10504" width="22.140625" style="1450" customWidth="1"/>
    <col min="10505" max="10505" width="5.85546875" style="1450" customWidth="1"/>
    <col min="10506" max="10506" width="27.42578125" style="1450" customWidth="1"/>
    <col min="10507" max="10507" width="4.5703125" style="1450" customWidth="1"/>
    <col min="10508" max="10508" width="3.140625" style="1450" customWidth="1"/>
    <col min="10509" max="10511" width="1.5703125" style="1450" customWidth="1"/>
    <col min="10512" max="10512" width="4.85546875" style="1450" customWidth="1"/>
    <col min="10513" max="10514" width="1.5703125" style="1450" customWidth="1"/>
    <col min="10515" max="10753" width="9.140625" style="1450"/>
    <col min="10754" max="10754" width="17.85546875" style="1450" customWidth="1"/>
    <col min="10755" max="10755" width="1.140625" style="1450" customWidth="1"/>
    <col min="10756" max="10756" width="30.140625" style="1450" customWidth="1"/>
    <col min="10757" max="10757" width="1.5703125" style="1450" customWidth="1"/>
    <col min="10758" max="10758" width="21.140625" style="1450" customWidth="1"/>
    <col min="10759" max="10759" width="1.5703125" style="1450" customWidth="1"/>
    <col min="10760" max="10760" width="22.140625" style="1450" customWidth="1"/>
    <col min="10761" max="10761" width="5.85546875" style="1450" customWidth="1"/>
    <col min="10762" max="10762" width="27.42578125" style="1450" customWidth="1"/>
    <col min="10763" max="10763" width="4.5703125" style="1450" customWidth="1"/>
    <col min="10764" max="10764" width="3.140625" style="1450" customWidth="1"/>
    <col min="10765" max="10767" width="1.5703125" style="1450" customWidth="1"/>
    <col min="10768" max="10768" width="4.85546875" style="1450" customWidth="1"/>
    <col min="10769" max="10770" width="1.5703125" style="1450" customWidth="1"/>
    <col min="10771" max="11009" width="9.140625" style="1450"/>
    <col min="11010" max="11010" width="17.85546875" style="1450" customWidth="1"/>
    <col min="11011" max="11011" width="1.140625" style="1450" customWidth="1"/>
    <col min="11012" max="11012" width="30.140625" style="1450" customWidth="1"/>
    <col min="11013" max="11013" width="1.5703125" style="1450" customWidth="1"/>
    <col min="11014" max="11014" width="21.140625" style="1450" customWidth="1"/>
    <col min="11015" max="11015" width="1.5703125" style="1450" customWidth="1"/>
    <col min="11016" max="11016" width="22.140625" style="1450" customWidth="1"/>
    <col min="11017" max="11017" width="5.85546875" style="1450" customWidth="1"/>
    <col min="11018" max="11018" width="27.42578125" style="1450" customWidth="1"/>
    <col min="11019" max="11019" width="4.5703125" style="1450" customWidth="1"/>
    <col min="11020" max="11020" width="3.140625" style="1450" customWidth="1"/>
    <col min="11021" max="11023" width="1.5703125" style="1450" customWidth="1"/>
    <col min="11024" max="11024" width="4.85546875" style="1450" customWidth="1"/>
    <col min="11025" max="11026" width="1.5703125" style="1450" customWidth="1"/>
    <col min="11027" max="11265" width="9.140625" style="1450"/>
    <col min="11266" max="11266" width="17.85546875" style="1450" customWidth="1"/>
    <col min="11267" max="11267" width="1.140625" style="1450" customWidth="1"/>
    <col min="11268" max="11268" width="30.140625" style="1450" customWidth="1"/>
    <col min="11269" max="11269" width="1.5703125" style="1450" customWidth="1"/>
    <col min="11270" max="11270" width="21.140625" style="1450" customWidth="1"/>
    <col min="11271" max="11271" width="1.5703125" style="1450" customWidth="1"/>
    <col min="11272" max="11272" width="22.140625" style="1450" customWidth="1"/>
    <col min="11273" max="11273" width="5.85546875" style="1450" customWidth="1"/>
    <col min="11274" max="11274" width="27.42578125" style="1450" customWidth="1"/>
    <col min="11275" max="11275" width="4.5703125" style="1450" customWidth="1"/>
    <col min="11276" max="11276" width="3.140625" style="1450" customWidth="1"/>
    <col min="11277" max="11279" width="1.5703125" style="1450" customWidth="1"/>
    <col min="11280" max="11280" width="4.85546875" style="1450" customWidth="1"/>
    <col min="11281" max="11282" width="1.5703125" style="1450" customWidth="1"/>
    <col min="11283" max="11521" width="9.140625" style="1450"/>
    <col min="11522" max="11522" width="17.85546875" style="1450" customWidth="1"/>
    <col min="11523" max="11523" width="1.140625" style="1450" customWidth="1"/>
    <col min="11524" max="11524" width="30.140625" style="1450" customWidth="1"/>
    <col min="11525" max="11525" width="1.5703125" style="1450" customWidth="1"/>
    <col min="11526" max="11526" width="21.140625" style="1450" customWidth="1"/>
    <col min="11527" max="11527" width="1.5703125" style="1450" customWidth="1"/>
    <col min="11528" max="11528" width="22.140625" style="1450" customWidth="1"/>
    <col min="11529" max="11529" width="5.85546875" style="1450" customWidth="1"/>
    <col min="11530" max="11530" width="27.42578125" style="1450" customWidth="1"/>
    <col min="11531" max="11531" width="4.5703125" style="1450" customWidth="1"/>
    <col min="11532" max="11532" width="3.140625" style="1450" customWidth="1"/>
    <col min="11533" max="11535" width="1.5703125" style="1450" customWidth="1"/>
    <col min="11536" max="11536" width="4.85546875" style="1450" customWidth="1"/>
    <col min="11537" max="11538" width="1.5703125" style="1450" customWidth="1"/>
    <col min="11539" max="11777" width="9.140625" style="1450"/>
    <col min="11778" max="11778" width="17.85546875" style="1450" customWidth="1"/>
    <col min="11779" max="11779" width="1.140625" style="1450" customWidth="1"/>
    <col min="11780" max="11780" width="30.140625" style="1450" customWidth="1"/>
    <col min="11781" max="11781" width="1.5703125" style="1450" customWidth="1"/>
    <col min="11782" max="11782" width="21.140625" style="1450" customWidth="1"/>
    <col min="11783" max="11783" width="1.5703125" style="1450" customWidth="1"/>
    <col min="11784" max="11784" width="22.140625" style="1450" customWidth="1"/>
    <col min="11785" max="11785" width="5.85546875" style="1450" customWidth="1"/>
    <col min="11786" max="11786" width="27.42578125" style="1450" customWidth="1"/>
    <col min="11787" max="11787" width="4.5703125" style="1450" customWidth="1"/>
    <col min="11788" max="11788" width="3.140625" style="1450" customWidth="1"/>
    <col min="11789" max="11791" width="1.5703125" style="1450" customWidth="1"/>
    <col min="11792" max="11792" width="4.85546875" style="1450" customWidth="1"/>
    <col min="11793" max="11794" width="1.5703125" style="1450" customWidth="1"/>
    <col min="11795" max="12033" width="9.140625" style="1450"/>
    <col min="12034" max="12034" width="17.85546875" style="1450" customWidth="1"/>
    <col min="12035" max="12035" width="1.140625" style="1450" customWidth="1"/>
    <col min="12036" max="12036" width="30.140625" style="1450" customWidth="1"/>
    <col min="12037" max="12037" width="1.5703125" style="1450" customWidth="1"/>
    <col min="12038" max="12038" width="21.140625" style="1450" customWidth="1"/>
    <col min="12039" max="12039" width="1.5703125" style="1450" customWidth="1"/>
    <col min="12040" max="12040" width="22.140625" style="1450" customWidth="1"/>
    <col min="12041" max="12041" width="5.85546875" style="1450" customWidth="1"/>
    <col min="12042" max="12042" width="27.42578125" style="1450" customWidth="1"/>
    <col min="12043" max="12043" width="4.5703125" style="1450" customWidth="1"/>
    <col min="12044" max="12044" width="3.140625" style="1450" customWidth="1"/>
    <col min="12045" max="12047" width="1.5703125" style="1450" customWidth="1"/>
    <col min="12048" max="12048" width="4.85546875" style="1450" customWidth="1"/>
    <col min="12049" max="12050" width="1.5703125" style="1450" customWidth="1"/>
    <col min="12051" max="12289" width="9.140625" style="1450"/>
    <col min="12290" max="12290" width="17.85546875" style="1450" customWidth="1"/>
    <col min="12291" max="12291" width="1.140625" style="1450" customWidth="1"/>
    <col min="12292" max="12292" width="30.140625" style="1450" customWidth="1"/>
    <col min="12293" max="12293" width="1.5703125" style="1450" customWidth="1"/>
    <col min="12294" max="12294" width="21.140625" style="1450" customWidth="1"/>
    <col min="12295" max="12295" width="1.5703125" style="1450" customWidth="1"/>
    <col min="12296" max="12296" width="22.140625" style="1450" customWidth="1"/>
    <col min="12297" max="12297" width="5.85546875" style="1450" customWidth="1"/>
    <col min="12298" max="12298" width="27.42578125" style="1450" customWidth="1"/>
    <col min="12299" max="12299" width="4.5703125" style="1450" customWidth="1"/>
    <col min="12300" max="12300" width="3.140625" style="1450" customWidth="1"/>
    <col min="12301" max="12303" width="1.5703125" style="1450" customWidth="1"/>
    <col min="12304" max="12304" width="4.85546875" style="1450" customWidth="1"/>
    <col min="12305" max="12306" width="1.5703125" style="1450" customWidth="1"/>
    <col min="12307" max="12545" width="9.140625" style="1450"/>
    <col min="12546" max="12546" width="17.85546875" style="1450" customWidth="1"/>
    <col min="12547" max="12547" width="1.140625" style="1450" customWidth="1"/>
    <col min="12548" max="12548" width="30.140625" style="1450" customWidth="1"/>
    <col min="12549" max="12549" width="1.5703125" style="1450" customWidth="1"/>
    <col min="12550" max="12550" width="21.140625" style="1450" customWidth="1"/>
    <col min="12551" max="12551" width="1.5703125" style="1450" customWidth="1"/>
    <col min="12552" max="12552" width="22.140625" style="1450" customWidth="1"/>
    <col min="12553" max="12553" width="5.85546875" style="1450" customWidth="1"/>
    <col min="12554" max="12554" width="27.42578125" style="1450" customWidth="1"/>
    <col min="12555" max="12555" width="4.5703125" style="1450" customWidth="1"/>
    <col min="12556" max="12556" width="3.140625" style="1450" customWidth="1"/>
    <col min="12557" max="12559" width="1.5703125" style="1450" customWidth="1"/>
    <col min="12560" max="12560" width="4.85546875" style="1450" customWidth="1"/>
    <col min="12561" max="12562" width="1.5703125" style="1450" customWidth="1"/>
    <col min="12563" max="12801" width="9.140625" style="1450"/>
    <col min="12802" max="12802" width="17.85546875" style="1450" customWidth="1"/>
    <col min="12803" max="12803" width="1.140625" style="1450" customWidth="1"/>
    <col min="12804" max="12804" width="30.140625" style="1450" customWidth="1"/>
    <col min="12805" max="12805" width="1.5703125" style="1450" customWidth="1"/>
    <col min="12806" max="12806" width="21.140625" style="1450" customWidth="1"/>
    <col min="12807" max="12807" width="1.5703125" style="1450" customWidth="1"/>
    <col min="12808" max="12808" width="22.140625" style="1450" customWidth="1"/>
    <col min="12809" max="12809" width="5.85546875" style="1450" customWidth="1"/>
    <col min="12810" max="12810" width="27.42578125" style="1450" customWidth="1"/>
    <col min="12811" max="12811" width="4.5703125" style="1450" customWidth="1"/>
    <col min="12812" max="12812" width="3.140625" style="1450" customWidth="1"/>
    <col min="12813" max="12815" width="1.5703125" style="1450" customWidth="1"/>
    <col min="12816" max="12816" width="4.85546875" style="1450" customWidth="1"/>
    <col min="12817" max="12818" width="1.5703125" style="1450" customWidth="1"/>
    <col min="12819" max="13057" width="9.140625" style="1450"/>
    <col min="13058" max="13058" width="17.85546875" style="1450" customWidth="1"/>
    <col min="13059" max="13059" width="1.140625" style="1450" customWidth="1"/>
    <col min="13060" max="13060" width="30.140625" style="1450" customWidth="1"/>
    <col min="13061" max="13061" width="1.5703125" style="1450" customWidth="1"/>
    <col min="13062" max="13062" width="21.140625" style="1450" customWidth="1"/>
    <col min="13063" max="13063" width="1.5703125" style="1450" customWidth="1"/>
    <col min="13064" max="13064" width="22.140625" style="1450" customWidth="1"/>
    <col min="13065" max="13065" width="5.85546875" style="1450" customWidth="1"/>
    <col min="13066" max="13066" width="27.42578125" style="1450" customWidth="1"/>
    <col min="13067" max="13067" width="4.5703125" style="1450" customWidth="1"/>
    <col min="13068" max="13068" width="3.140625" style="1450" customWidth="1"/>
    <col min="13069" max="13071" width="1.5703125" style="1450" customWidth="1"/>
    <col min="13072" max="13072" width="4.85546875" style="1450" customWidth="1"/>
    <col min="13073" max="13074" width="1.5703125" style="1450" customWidth="1"/>
    <col min="13075" max="13313" width="9.140625" style="1450"/>
    <col min="13314" max="13314" width="17.85546875" style="1450" customWidth="1"/>
    <col min="13315" max="13315" width="1.140625" style="1450" customWidth="1"/>
    <col min="13316" max="13316" width="30.140625" style="1450" customWidth="1"/>
    <col min="13317" max="13317" width="1.5703125" style="1450" customWidth="1"/>
    <col min="13318" max="13318" width="21.140625" style="1450" customWidth="1"/>
    <col min="13319" max="13319" width="1.5703125" style="1450" customWidth="1"/>
    <col min="13320" max="13320" width="22.140625" style="1450" customWidth="1"/>
    <col min="13321" max="13321" width="5.85546875" style="1450" customWidth="1"/>
    <col min="13322" max="13322" width="27.42578125" style="1450" customWidth="1"/>
    <col min="13323" max="13323" width="4.5703125" style="1450" customWidth="1"/>
    <col min="13324" max="13324" width="3.140625" style="1450" customWidth="1"/>
    <col min="13325" max="13327" width="1.5703125" style="1450" customWidth="1"/>
    <col min="13328" max="13328" width="4.85546875" style="1450" customWidth="1"/>
    <col min="13329" max="13330" width="1.5703125" style="1450" customWidth="1"/>
    <col min="13331" max="13569" width="9.140625" style="1450"/>
    <col min="13570" max="13570" width="17.85546875" style="1450" customWidth="1"/>
    <col min="13571" max="13571" width="1.140625" style="1450" customWidth="1"/>
    <col min="13572" max="13572" width="30.140625" style="1450" customWidth="1"/>
    <col min="13573" max="13573" width="1.5703125" style="1450" customWidth="1"/>
    <col min="13574" max="13574" width="21.140625" style="1450" customWidth="1"/>
    <col min="13575" max="13575" width="1.5703125" style="1450" customWidth="1"/>
    <col min="13576" max="13576" width="22.140625" style="1450" customWidth="1"/>
    <col min="13577" max="13577" width="5.85546875" style="1450" customWidth="1"/>
    <col min="13578" max="13578" width="27.42578125" style="1450" customWidth="1"/>
    <col min="13579" max="13579" width="4.5703125" style="1450" customWidth="1"/>
    <col min="13580" max="13580" width="3.140625" style="1450" customWidth="1"/>
    <col min="13581" max="13583" width="1.5703125" style="1450" customWidth="1"/>
    <col min="13584" max="13584" width="4.85546875" style="1450" customWidth="1"/>
    <col min="13585" max="13586" width="1.5703125" style="1450" customWidth="1"/>
    <col min="13587" max="13825" width="9.140625" style="1450"/>
    <col min="13826" max="13826" width="17.85546875" style="1450" customWidth="1"/>
    <col min="13827" max="13827" width="1.140625" style="1450" customWidth="1"/>
    <col min="13828" max="13828" width="30.140625" style="1450" customWidth="1"/>
    <col min="13829" max="13829" width="1.5703125" style="1450" customWidth="1"/>
    <col min="13830" max="13830" width="21.140625" style="1450" customWidth="1"/>
    <col min="13831" max="13831" width="1.5703125" style="1450" customWidth="1"/>
    <col min="13832" max="13832" width="22.140625" style="1450" customWidth="1"/>
    <col min="13833" max="13833" width="5.85546875" style="1450" customWidth="1"/>
    <col min="13834" max="13834" width="27.42578125" style="1450" customWidth="1"/>
    <col min="13835" max="13835" width="4.5703125" style="1450" customWidth="1"/>
    <col min="13836" max="13836" width="3.140625" style="1450" customWidth="1"/>
    <col min="13837" max="13839" width="1.5703125" style="1450" customWidth="1"/>
    <col min="13840" max="13840" width="4.85546875" style="1450" customWidth="1"/>
    <col min="13841" max="13842" width="1.5703125" style="1450" customWidth="1"/>
    <col min="13843" max="14081" width="9.140625" style="1450"/>
    <col min="14082" max="14082" width="17.85546875" style="1450" customWidth="1"/>
    <col min="14083" max="14083" width="1.140625" style="1450" customWidth="1"/>
    <col min="14084" max="14084" width="30.140625" style="1450" customWidth="1"/>
    <col min="14085" max="14085" width="1.5703125" style="1450" customWidth="1"/>
    <col min="14086" max="14086" width="21.140625" style="1450" customWidth="1"/>
    <col min="14087" max="14087" width="1.5703125" style="1450" customWidth="1"/>
    <col min="14088" max="14088" width="22.140625" style="1450" customWidth="1"/>
    <col min="14089" max="14089" width="5.85546875" style="1450" customWidth="1"/>
    <col min="14090" max="14090" width="27.42578125" style="1450" customWidth="1"/>
    <col min="14091" max="14091" width="4.5703125" style="1450" customWidth="1"/>
    <col min="14092" max="14092" width="3.140625" style="1450" customWidth="1"/>
    <col min="14093" max="14095" width="1.5703125" style="1450" customWidth="1"/>
    <col min="14096" max="14096" width="4.85546875" style="1450" customWidth="1"/>
    <col min="14097" max="14098" width="1.5703125" style="1450" customWidth="1"/>
    <col min="14099" max="14337" width="9.140625" style="1450"/>
    <col min="14338" max="14338" width="17.85546875" style="1450" customWidth="1"/>
    <col min="14339" max="14339" width="1.140625" style="1450" customWidth="1"/>
    <col min="14340" max="14340" width="30.140625" style="1450" customWidth="1"/>
    <col min="14341" max="14341" width="1.5703125" style="1450" customWidth="1"/>
    <col min="14342" max="14342" width="21.140625" style="1450" customWidth="1"/>
    <col min="14343" max="14343" width="1.5703125" style="1450" customWidth="1"/>
    <col min="14344" max="14344" width="22.140625" style="1450" customWidth="1"/>
    <col min="14345" max="14345" width="5.85546875" style="1450" customWidth="1"/>
    <col min="14346" max="14346" width="27.42578125" style="1450" customWidth="1"/>
    <col min="14347" max="14347" width="4.5703125" style="1450" customWidth="1"/>
    <col min="14348" max="14348" width="3.140625" style="1450" customWidth="1"/>
    <col min="14349" max="14351" width="1.5703125" style="1450" customWidth="1"/>
    <col min="14352" max="14352" width="4.85546875" style="1450" customWidth="1"/>
    <col min="14353" max="14354" width="1.5703125" style="1450" customWidth="1"/>
    <col min="14355" max="14593" width="9.140625" style="1450"/>
    <col min="14594" max="14594" width="17.85546875" style="1450" customWidth="1"/>
    <col min="14595" max="14595" width="1.140625" style="1450" customWidth="1"/>
    <col min="14596" max="14596" width="30.140625" style="1450" customWidth="1"/>
    <col min="14597" max="14597" width="1.5703125" style="1450" customWidth="1"/>
    <col min="14598" max="14598" width="21.140625" style="1450" customWidth="1"/>
    <col min="14599" max="14599" width="1.5703125" style="1450" customWidth="1"/>
    <col min="14600" max="14600" width="22.140625" style="1450" customWidth="1"/>
    <col min="14601" max="14601" width="5.85546875" style="1450" customWidth="1"/>
    <col min="14602" max="14602" width="27.42578125" style="1450" customWidth="1"/>
    <col min="14603" max="14603" width="4.5703125" style="1450" customWidth="1"/>
    <col min="14604" max="14604" width="3.140625" style="1450" customWidth="1"/>
    <col min="14605" max="14607" width="1.5703125" style="1450" customWidth="1"/>
    <col min="14608" max="14608" width="4.85546875" style="1450" customWidth="1"/>
    <col min="14609" max="14610" width="1.5703125" style="1450" customWidth="1"/>
    <col min="14611" max="14849" width="9.140625" style="1450"/>
    <col min="14850" max="14850" width="17.85546875" style="1450" customWidth="1"/>
    <col min="14851" max="14851" width="1.140625" style="1450" customWidth="1"/>
    <col min="14852" max="14852" width="30.140625" style="1450" customWidth="1"/>
    <col min="14853" max="14853" width="1.5703125" style="1450" customWidth="1"/>
    <col min="14854" max="14854" width="21.140625" style="1450" customWidth="1"/>
    <col min="14855" max="14855" width="1.5703125" style="1450" customWidth="1"/>
    <col min="14856" max="14856" width="22.140625" style="1450" customWidth="1"/>
    <col min="14857" max="14857" width="5.85546875" style="1450" customWidth="1"/>
    <col min="14858" max="14858" width="27.42578125" style="1450" customWidth="1"/>
    <col min="14859" max="14859" width="4.5703125" style="1450" customWidth="1"/>
    <col min="14860" max="14860" width="3.140625" style="1450" customWidth="1"/>
    <col min="14861" max="14863" width="1.5703125" style="1450" customWidth="1"/>
    <col min="14864" max="14864" width="4.85546875" style="1450" customWidth="1"/>
    <col min="14865" max="14866" width="1.5703125" style="1450" customWidth="1"/>
    <col min="14867" max="15105" width="9.140625" style="1450"/>
    <col min="15106" max="15106" width="17.85546875" style="1450" customWidth="1"/>
    <col min="15107" max="15107" width="1.140625" style="1450" customWidth="1"/>
    <col min="15108" max="15108" width="30.140625" style="1450" customWidth="1"/>
    <col min="15109" max="15109" width="1.5703125" style="1450" customWidth="1"/>
    <col min="15110" max="15110" width="21.140625" style="1450" customWidth="1"/>
    <col min="15111" max="15111" width="1.5703125" style="1450" customWidth="1"/>
    <col min="15112" max="15112" width="22.140625" style="1450" customWidth="1"/>
    <col min="15113" max="15113" width="5.85546875" style="1450" customWidth="1"/>
    <col min="15114" max="15114" width="27.42578125" style="1450" customWidth="1"/>
    <col min="15115" max="15115" width="4.5703125" style="1450" customWidth="1"/>
    <col min="15116" max="15116" width="3.140625" style="1450" customWidth="1"/>
    <col min="15117" max="15119" width="1.5703125" style="1450" customWidth="1"/>
    <col min="15120" max="15120" width="4.85546875" style="1450" customWidth="1"/>
    <col min="15121" max="15122" width="1.5703125" style="1450" customWidth="1"/>
    <col min="15123" max="15361" width="9.140625" style="1450"/>
    <col min="15362" max="15362" width="17.85546875" style="1450" customWidth="1"/>
    <col min="15363" max="15363" width="1.140625" style="1450" customWidth="1"/>
    <col min="15364" max="15364" width="30.140625" style="1450" customWidth="1"/>
    <col min="15365" max="15365" width="1.5703125" style="1450" customWidth="1"/>
    <col min="15366" max="15366" width="21.140625" style="1450" customWidth="1"/>
    <col min="15367" max="15367" width="1.5703125" style="1450" customWidth="1"/>
    <col min="15368" max="15368" width="22.140625" style="1450" customWidth="1"/>
    <col min="15369" max="15369" width="5.85546875" style="1450" customWidth="1"/>
    <col min="15370" max="15370" width="27.42578125" style="1450" customWidth="1"/>
    <col min="15371" max="15371" width="4.5703125" style="1450" customWidth="1"/>
    <col min="15372" max="15372" width="3.140625" style="1450" customWidth="1"/>
    <col min="15373" max="15375" width="1.5703125" style="1450" customWidth="1"/>
    <col min="15376" max="15376" width="4.85546875" style="1450" customWidth="1"/>
    <col min="15377" max="15378" width="1.5703125" style="1450" customWidth="1"/>
    <col min="15379" max="15617" width="9.140625" style="1450"/>
    <col min="15618" max="15618" width="17.85546875" style="1450" customWidth="1"/>
    <col min="15619" max="15619" width="1.140625" style="1450" customWidth="1"/>
    <col min="15620" max="15620" width="30.140625" style="1450" customWidth="1"/>
    <col min="15621" max="15621" width="1.5703125" style="1450" customWidth="1"/>
    <col min="15622" max="15622" width="21.140625" style="1450" customWidth="1"/>
    <col min="15623" max="15623" width="1.5703125" style="1450" customWidth="1"/>
    <col min="15624" max="15624" width="22.140625" style="1450" customWidth="1"/>
    <col min="15625" max="15625" width="5.85546875" style="1450" customWidth="1"/>
    <col min="15626" max="15626" width="27.42578125" style="1450" customWidth="1"/>
    <col min="15627" max="15627" width="4.5703125" style="1450" customWidth="1"/>
    <col min="15628" max="15628" width="3.140625" style="1450" customWidth="1"/>
    <col min="15629" max="15631" width="1.5703125" style="1450" customWidth="1"/>
    <col min="15632" max="15632" width="4.85546875" style="1450" customWidth="1"/>
    <col min="15633" max="15634" width="1.5703125" style="1450" customWidth="1"/>
    <col min="15635" max="15873" width="9.140625" style="1450"/>
    <col min="15874" max="15874" width="17.85546875" style="1450" customWidth="1"/>
    <col min="15875" max="15875" width="1.140625" style="1450" customWidth="1"/>
    <col min="15876" max="15876" width="30.140625" style="1450" customWidth="1"/>
    <col min="15877" max="15877" width="1.5703125" style="1450" customWidth="1"/>
    <col min="15878" max="15878" width="21.140625" style="1450" customWidth="1"/>
    <col min="15879" max="15879" width="1.5703125" style="1450" customWidth="1"/>
    <col min="15880" max="15880" width="22.140625" style="1450" customWidth="1"/>
    <col min="15881" max="15881" width="5.85546875" style="1450" customWidth="1"/>
    <col min="15882" max="15882" width="27.42578125" style="1450" customWidth="1"/>
    <col min="15883" max="15883" width="4.5703125" style="1450" customWidth="1"/>
    <col min="15884" max="15884" width="3.140625" style="1450" customWidth="1"/>
    <col min="15885" max="15887" width="1.5703125" style="1450" customWidth="1"/>
    <col min="15888" max="15888" width="4.85546875" style="1450" customWidth="1"/>
    <col min="15889" max="15890" width="1.5703125" style="1450" customWidth="1"/>
    <col min="15891" max="16129" width="9.140625" style="1450"/>
    <col min="16130" max="16130" width="17.85546875" style="1450" customWidth="1"/>
    <col min="16131" max="16131" width="1.140625" style="1450" customWidth="1"/>
    <col min="16132" max="16132" width="30.140625" style="1450" customWidth="1"/>
    <col min="16133" max="16133" width="1.5703125" style="1450" customWidth="1"/>
    <col min="16134" max="16134" width="21.140625" style="1450" customWidth="1"/>
    <col min="16135" max="16135" width="1.5703125" style="1450" customWidth="1"/>
    <col min="16136" max="16136" width="22.140625" style="1450" customWidth="1"/>
    <col min="16137" max="16137" width="5.85546875" style="1450" customWidth="1"/>
    <col min="16138" max="16138" width="27.42578125" style="1450" customWidth="1"/>
    <col min="16139" max="16139" width="4.5703125" style="1450" customWidth="1"/>
    <col min="16140" max="16140" width="3.140625" style="1450" customWidth="1"/>
    <col min="16141" max="16143" width="1.5703125" style="1450" customWidth="1"/>
    <col min="16144" max="16144" width="4.85546875" style="1450" customWidth="1"/>
    <col min="16145" max="16146" width="1.5703125" style="1450" customWidth="1"/>
    <col min="16147" max="16384" width="9.140625" style="1450"/>
  </cols>
  <sheetData>
    <row r="1" spans="1:12" s="1451" customFormat="1" ht="25.15" customHeight="1" x14ac:dyDescent="0.25">
      <c r="A1" s="2758" t="str">
        <f>+Index!$A$1</f>
        <v xml:space="preserve">                                                               Office of the State Controller                                                                </v>
      </c>
      <c r="B1" s="2759"/>
      <c r="C1" s="2759"/>
      <c r="D1" s="2759"/>
      <c r="E1" s="2759"/>
      <c r="F1" s="2759"/>
      <c r="G1" s="2759"/>
      <c r="H1" s="2759"/>
      <c r="I1" s="2759"/>
      <c r="J1" s="2759"/>
      <c r="K1" s="2759"/>
      <c r="L1" s="1471" t="str">
        <f>IF(Index!$B$54="na","NA","")</f>
        <v/>
      </c>
    </row>
    <row r="2" spans="1:12" s="1451" customFormat="1" ht="15.75" x14ac:dyDescent="0.25">
      <c r="A2" s="2760" t="str">
        <f>+Index!$A$2</f>
        <v>2024 ACFR Worksheets</v>
      </c>
      <c r="B2" s="2761"/>
      <c r="C2" s="2761"/>
      <c r="D2" s="2761"/>
      <c r="E2" s="2761"/>
      <c r="F2" s="2761"/>
      <c r="G2" s="2761"/>
      <c r="H2" s="2761"/>
      <c r="I2" s="2761"/>
      <c r="J2" s="2761"/>
      <c r="K2" s="2761"/>
      <c r="L2" s="1471"/>
    </row>
    <row r="3" spans="1:12" s="1451" customFormat="1" ht="15.75" x14ac:dyDescent="0.25">
      <c r="A3" s="2760" t="s">
        <v>1583</v>
      </c>
      <c r="B3" s="2761"/>
      <c r="C3" s="2761"/>
      <c r="D3" s="2761"/>
      <c r="E3" s="2761"/>
      <c r="F3" s="2761"/>
      <c r="G3" s="2761"/>
      <c r="H3" s="2761"/>
      <c r="I3" s="2761"/>
      <c r="J3" s="2761"/>
      <c r="K3" s="2761"/>
      <c r="L3" s="1471"/>
    </row>
    <row r="4" spans="1:12" s="1410" customFormat="1" ht="15" x14ac:dyDescent="0.25">
      <c r="F4" s="1411"/>
      <c r="H4" s="1411"/>
      <c r="I4" s="1412" t="s">
        <v>1584</v>
      </c>
    </row>
    <row r="5" spans="1:12" s="1410" customFormat="1" ht="6" customHeight="1" x14ac:dyDescent="0.2">
      <c r="D5" s="1413"/>
      <c r="E5" s="1413"/>
      <c r="G5" s="2762"/>
      <c r="H5" s="2762"/>
      <c r="I5" s="2762"/>
      <c r="J5" s="2344"/>
    </row>
    <row r="6" spans="1:12" s="1410" customFormat="1" ht="15" customHeight="1" x14ac:dyDescent="0.2">
      <c r="A6" s="1825" t="s">
        <v>318</v>
      </c>
      <c r="B6" s="1414"/>
      <c r="C6" s="1826" t="str">
        <f>Index!$E$10</f>
        <v>01</v>
      </c>
      <c r="D6" s="1413"/>
      <c r="E6" s="1413"/>
      <c r="G6" s="1824" t="s">
        <v>319</v>
      </c>
      <c r="H6" s="2345"/>
      <c r="I6" s="2763" t="str">
        <f>+Index!$E$11</f>
        <v>North Carolina General Assembly</v>
      </c>
      <c r="J6" s="2763"/>
      <c r="K6" s="2763"/>
    </row>
    <row r="7" spans="1:12" s="1410" customFormat="1" ht="15" customHeight="1" x14ac:dyDescent="0.2">
      <c r="D7" s="1413"/>
      <c r="E7" s="1413"/>
      <c r="G7" s="1824" t="s">
        <v>320</v>
      </c>
      <c r="H7" s="1415"/>
      <c r="I7" s="2763" t="str">
        <f>CONCATENATE(Index!$E$12," ",Index!$E$14)</f>
        <v xml:space="preserve"> </v>
      </c>
      <c r="J7" s="2763"/>
      <c r="K7" s="2763"/>
    </row>
    <row r="8" spans="1:12" s="1410" customFormat="1" ht="15" customHeight="1" x14ac:dyDescent="0.2">
      <c r="C8" s="1416"/>
      <c r="D8" s="1413"/>
      <c r="E8" s="1413"/>
      <c r="G8" s="1824" t="s">
        <v>168</v>
      </c>
      <c r="H8" s="1415"/>
      <c r="I8" s="2763">
        <f>+Index!$E$13</f>
        <v>0</v>
      </c>
      <c r="J8" s="2763"/>
      <c r="K8" s="2763"/>
    </row>
    <row r="9" spans="1:12" s="1410" customFormat="1" ht="13.5" thickBot="1" x14ac:dyDescent="0.25">
      <c r="A9" s="1417"/>
      <c r="B9" s="1417"/>
      <c r="C9" s="1417"/>
      <c r="D9" s="1417"/>
      <c r="E9" s="1417"/>
      <c r="F9" s="1417"/>
      <c r="G9" s="1417"/>
      <c r="H9" s="1417"/>
      <c r="I9" s="1417"/>
      <c r="J9" s="1417"/>
      <c r="K9" s="1417"/>
    </row>
    <row r="10" spans="1:12" s="1410" customFormat="1" ht="12.75" x14ac:dyDescent="0.2"/>
    <row r="11" spans="1:12" s="1410" customFormat="1" ht="12.75" x14ac:dyDescent="0.2">
      <c r="A11" s="2755" t="s">
        <v>1585</v>
      </c>
      <c r="B11" s="2755"/>
      <c r="C11" s="2755"/>
      <c r="D11" s="2755"/>
      <c r="E11" s="2755"/>
      <c r="F11" s="2755"/>
      <c r="G11" s="2755"/>
      <c r="H11" s="2755"/>
      <c r="I11" s="2755"/>
      <c r="J11" s="2756"/>
      <c r="K11" s="2756"/>
    </row>
    <row r="12" spans="1:12" s="1410" customFormat="1" ht="12.75" x14ac:dyDescent="0.2">
      <c r="A12" s="2764" t="s">
        <v>1586</v>
      </c>
      <c r="B12" s="2755"/>
      <c r="C12" s="2755"/>
      <c r="D12" s="2755"/>
      <c r="E12" s="2755"/>
      <c r="F12" s="2755"/>
      <c r="G12" s="2755"/>
      <c r="H12" s="2755"/>
      <c r="I12" s="2755"/>
      <c r="J12" s="2756"/>
      <c r="K12" s="2756"/>
    </row>
    <row r="13" spans="1:12" s="1410" customFormat="1" ht="12.75" x14ac:dyDescent="0.2">
      <c r="A13" s="2755" t="s">
        <v>1587</v>
      </c>
      <c r="B13" s="2755"/>
      <c r="C13" s="2755"/>
      <c r="D13" s="2755"/>
      <c r="E13" s="2755"/>
      <c r="F13" s="2755"/>
      <c r="G13" s="2755"/>
      <c r="H13" s="2755"/>
      <c r="I13" s="2755"/>
      <c r="J13" s="2756"/>
      <c r="K13" s="2756"/>
    </row>
    <row r="14" spans="1:12" s="1410" customFormat="1" ht="12.75" x14ac:dyDescent="0.2">
      <c r="A14" s="2755" t="s">
        <v>1588</v>
      </c>
      <c r="B14" s="2755"/>
      <c r="C14" s="2755"/>
      <c r="D14" s="2755"/>
      <c r="E14" s="2755"/>
      <c r="F14" s="2755"/>
      <c r="G14" s="2755"/>
      <c r="H14" s="2755"/>
      <c r="I14" s="2755"/>
      <c r="J14" s="2756"/>
      <c r="K14" s="2756"/>
    </row>
    <row r="15" spans="1:12" s="1410" customFormat="1" ht="12.75" x14ac:dyDescent="0.2">
      <c r="A15" s="2755" t="s">
        <v>1589</v>
      </c>
      <c r="B15" s="2755"/>
      <c r="C15" s="2755"/>
      <c r="D15" s="2755"/>
      <c r="E15" s="2755"/>
      <c r="F15" s="2755"/>
      <c r="G15" s="2755"/>
      <c r="H15" s="2755"/>
      <c r="I15" s="2755"/>
      <c r="J15" s="2756"/>
      <c r="K15" s="2756"/>
    </row>
    <row r="16" spans="1:12" s="1410" customFormat="1" ht="12.75" x14ac:dyDescent="0.2">
      <c r="A16" s="2755" t="s">
        <v>1590</v>
      </c>
      <c r="B16" s="2756"/>
      <c r="C16" s="2756"/>
      <c r="D16" s="2756"/>
      <c r="E16" s="2756"/>
      <c r="F16" s="2756"/>
      <c r="G16" s="2756"/>
      <c r="H16" s="2756"/>
      <c r="I16" s="2756"/>
      <c r="J16" s="2756"/>
      <c r="K16" s="2756"/>
    </row>
    <row r="17" spans="1:11" s="1205" customFormat="1" ht="12.75" x14ac:dyDescent="0.2">
      <c r="A17" s="2341"/>
      <c r="B17" s="2341"/>
      <c r="C17" s="2341"/>
      <c r="D17" s="2341"/>
      <c r="E17" s="2341"/>
      <c r="F17" s="2341"/>
      <c r="G17" s="2341"/>
      <c r="H17" s="2341"/>
      <c r="I17" s="2341"/>
      <c r="J17" s="2341"/>
      <c r="K17" s="2341"/>
    </row>
    <row r="18" spans="1:11" s="1205" customFormat="1" ht="15" x14ac:dyDescent="0.25">
      <c r="A18" s="2755" t="s">
        <v>1591</v>
      </c>
      <c r="B18" s="2755"/>
      <c r="C18" s="2755"/>
      <c r="D18" s="2755"/>
      <c r="E18" s="2755"/>
      <c r="F18" s="2755"/>
      <c r="G18" s="2755"/>
      <c r="H18" s="2755"/>
      <c r="I18" s="2755"/>
      <c r="J18" s="2756"/>
      <c r="K18" s="2756"/>
    </row>
    <row r="19" spans="1:11" s="1205" customFormat="1" ht="12.75" x14ac:dyDescent="0.2">
      <c r="A19" s="2340"/>
      <c r="B19" s="2340"/>
      <c r="C19" s="2340"/>
      <c r="D19" s="2340"/>
      <c r="E19" s="2340"/>
      <c r="F19" s="2340"/>
      <c r="G19" s="2340"/>
      <c r="H19" s="2340"/>
      <c r="I19" s="2340"/>
      <c r="J19" s="2341"/>
      <c r="K19" s="2341"/>
    </row>
    <row r="20" spans="1:11" s="1205" customFormat="1" ht="12.75" x14ac:dyDescent="0.2">
      <c r="A20" s="1418" t="s">
        <v>340</v>
      </c>
      <c r="B20" s="1419"/>
      <c r="C20" s="1420"/>
      <c r="D20" s="1421" t="str">
        <f>IF(AND(ISBLANK(C20),ISBLANK(C21))=TRUE,"Answer Missing"," ")</f>
        <v>Answer Missing</v>
      </c>
      <c r="E20" s="1252"/>
      <c r="F20" s="1419"/>
      <c r="G20" s="2346" t="str">
        <f>IF(ISTEXT(C20), "Section B Required", " ")</f>
        <v xml:space="preserve"> </v>
      </c>
      <c r="H20" s="2346"/>
      <c r="I20" s="2346"/>
      <c r="J20" s="2341"/>
      <c r="K20" s="2341"/>
    </row>
    <row r="21" spans="1:11" s="1205" customFormat="1" ht="12.75" x14ac:dyDescent="0.2">
      <c r="A21" s="1418" t="s">
        <v>341</v>
      </c>
      <c r="B21" s="1419"/>
      <c r="C21" s="1420"/>
      <c r="D21" s="1422"/>
      <c r="E21" s="1419"/>
      <c r="F21" s="1419"/>
      <c r="G21" s="1419"/>
      <c r="H21" s="1419"/>
      <c r="I21" s="1419"/>
      <c r="J21" s="2341"/>
      <c r="K21" s="2341"/>
    </row>
    <row r="22" spans="1:11" s="1205" customFormat="1" ht="12.75" x14ac:dyDescent="0.2">
      <c r="A22" s="1418"/>
      <c r="B22" s="1419"/>
      <c r="C22" s="1423"/>
      <c r="D22" s="1422"/>
      <c r="E22" s="1419"/>
      <c r="F22" s="1419"/>
      <c r="G22" s="1419"/>
      <c r="H22" s="1419"/>
      <c r="I22" s="1419"/>
      <c r="J22" s="2341"/>
      <c r="K22" s="2341"/>
    </row>
    <row r="23" spans="1:11" s="1205" customFormat="1" ht="15" x14ac:dyDescent="0.25">
      <c r="A23" s="2340" t="s">
        <v>1565</v>
      </c>
      <c r="B23" s="2340"/>
      <c r="C23" s="2340"/>
      <c r="D23" s="2340"/>
      <c r="E23" s="2340"/>
      <c r="F23" s="2340"/>
      <c r="G23" s="2340"/>
      <c r="H23" s="2340"/>
      <c r="I23" s="2340"/>
      <c r="J23" s="2341"/>
      <c r="K23" s="2341"/>
    </row>
    <row r="24" spans="1:11" s="1410" customFormat="1" ht="12.75" x14ac:dyDescent="0.2">
      <c r="A24" s="2755" t="s">
        <v>1592</v>
      </c>
      <c r="B24" s="2755"/>
      <c r="C24" s="2755"/>
      <c r="D24" s="2755"/>
      <c r="E24" s="2755"/>
      <c r="F24" s="2755"/>
      <c r="G24" s="2755"/>
      <c r="H24" s="2755"/>
      <c r="I24" s="2755"/>
      <c r="J24" s="2755"/>
      <c r="K24" s="2755"/>
    </row>
    <row r="25" spans="1:11" s="1410" customFormat="1" ht="12.75" x14ac:dyDescent="0.2">
      <c r="A25" s="1424" t="s">
        <v>1593</v>
      </c>
      <c r="B25" s="2340"/>
      <c r="C25" s="2340"/>
      <c r="D25" s="2340"/>
      <c r="E25" s="2340"/>
      <c r="F25" s="2340"/>
      <c r="G25" s="2340"/>
      <c r="H25" s="2340"/>
      <c r="I25" s="2340"/>
      <c r="J25" s="2340"/>
      <c r="K25" s="2340"/>
    </row>
    <row r="26" spans="1:11" s="1410" customFormat="1" ht="12.75" x14ac:dyDescent="0.2">
      <c r="A26" s="1425"/>
      <c r="B26" s="1425"/>
      <c r="C26" s="1425"/>
      <c r="D26" s="1425"/>
      <c r="E26" s="1425"/>
      <c r="F26" s="1425"/>
      <c r="G26" s="1425"/>
      <c r="H26" s="1425"/>
      <c r="I26" s="1426" t="s">
        <v>1594</v>
      </c>
      <c r="J26" s="1425"/>
      <c r="K26" s="1426" t="s">
        <v>1595</v>
      </c>
    </row>
    <row r="27" spans="1:11" s="1410" customFormat="1" ht="12.75" x14ac:dyDescent="0.2">
      <c r="A27" s="1425"/>
      <c r="B27" s="1425"/>
      <c r="C27" s="1425"/>
      <c r="D27" s="1425"/>
      <c r="E27" s="1425"/>
      <c r="F27" s="1425"/>
      <c r="G27" s="1425"/>
      <c r="H27" s="1425"/>
      <c r="I27" s="1426" t="s">
        <v>1596</v>
      </c>
      <c r="J27" s="1425"/>
      <c r="K27" s="1426" t="s">
        <v>1596</v>
      </c>
    </row>
    <row r="28" spans="1:11" s="1410" customFormat="1" ht="12.75" x14ac:dyDescent="0.2">
      <c r="A28" s="1425"/>
      <c r="B28" s="1425"/>
      <c r="C28" s="1425"/>
      <c r="D28" s="1425"/>
      <c r="E28" s="1425"/>
      <c r="F28" s="1425"/>
      <c r="G28" s="1426" t="s">
        <v>1597</v>
      </c>
      <c r="H28" s="1425"/>
      <c r="I28" s="1426" t="s">
        <v>1598</v>
      </c>
      <c r="J28" s="1425"/>
      <c r="K28" s="1426" t="s">
        <v>1598</v>
      </c>
    </row>
    <row r="29" spans="1:11" s="1452" customFormat="1" ht="15" x14ac:dyDescent="0.25">
      <c r="A29" s="1427" t="s">
        <v>1573</v>
      </c>
      <c r="B29" s="1428"/>
      <c r="C29" s="1427" t="s">
        <v>759</v>
      </c>
      <c r="D29" s="1428"/>
      <c r="E29" s="1427" t="s">
        <v>1574</v>
      </c>
      <c r="F29" s="1428"/>
      <c r="G29" s="1427" t="s">
        <v>1599</v>
      </c>
      <c r="H29" s="1428"/>
      <c r="I29" s="1429" t="s">
        <v>1577</v>
      </c>
      <c r="J29" s="1426"/>
      <c r="K29" s="1429" t="s">
        <v>1577</v>
      </c>
    </row>
    <row r="30" spans="1:11" s="1410" customFormat="1" ht="12.75" x14ac:dyDescent="0.2">
      <c r="A30" s="1430"/>
      <c r="B30" s="1431"/>
      <c r="C30" s="1432"/>
      <c r="D30" s="1433"/>
      <c r="E30" s="1434"/>
      <c r="F30" s="1435"/>
      <c r="G30" s="1434"/>
      <c r="H30" s="1436"/>
      <c r="I30" s="1437"/>
      <c r="J30" s="1438"/>
      <c r="K30" s="1437"/>
    </row>
    <row r="31" spans="1:11" s="1410" customFormat="1" ht="12.75" x14ac:dyDescent="0.2">
      <c r="A31" s="1430"/>
      <c r="B31" s="1431"/>
      <c r="C31" s="1432"/>
      <c r="D31" s="1431"/>
      <c r="E31" s="1434"/>
      <c r="F31" s="1435"/>
      <c r="G31" s="1434"/>
      <c r="H31" s="1436"/>
      <c r="I31" s="1437"/>
      <c r="J31" s="1438"/>
      <c r="K31" s="1437"/>
    </row>
    <row r="32" spans="1:11" s="1410" customFormat="1" ht="12.75" x14ac:dyDescent="0.2">
      <c r="A32" s="1430"/>
      <c r="B32" s="1431"/>
      <c r="C32" s="1432"/>
      <c r="D32" s="1433"/>
      <c r="E32" s="1434"/>
      <c r="F32" s="1435"/>
      <c r="G32" s="1434"/>
      <c r="H32" s="1436"/>
      <c r="I32" s="1437"/>
      <c r="J32" s="1438"/>
      <c r="K32" s="1437"/>
    </row>
    <row r="33" spans="1:16" s="1410" customFormat="1" ht="12.75" x14ac:dyDescent="0.2">
      <c r="A33" s="1430"/>
      <c r="B33" s="1431"/>
      <c r="C33" s="1432"/>
      <c r="D33" s="1431"/>
      <c r="E33" s="1434"/>
      <c r="F33" s="1435"/>
      <c r="G33" s="1434"/>
      <c r="H33" s="1436"/>
      <c r="I33" s="1437"/>
      <c r="J33" s="1438"/>
      <c r="K33" s="1437"/>
    </row>
    <row r="34" spans="1:16" s="1410" customFormat="1" ht="9.75" customHeight="1" x14ac:dyDescent="0.2">
      <c r="A34" s="1439"/>
      <c r="B34" s="1439"/>
      <c r="C34" s="1440"/>
      <c r="D34" s="1440"/>
      <c r="E34" s="1440"/>
      <c r="F34" s="1441"/>
      <c r="G34" s="1441"/>
      <c r="H34" s="1441"/>
      <c r="I34" s="1442"/>
      <c r="J34" s="1442"/>
      <c r="K34" s="1441"/>
      <c r="L34" s="1441"/>
      <c r="M34" s="1441"/>
      <c r="N34" s="1441"/>
      <c r="O34" s="1441"/>
      <c r="P34" s="1441"/>
    </row>
    <row r="35" spans="1:16" s="1410" customFormat="1" ht="12.75" x14ac:dyDescent="0.2">
      <c r="A35" s="2755" t="s">
        <v>1600</v>
      </c>
      <c r="B35" s="2755"/>
      <c r="C35" s="2755"/>
      <c r="D35" s="2755"/>
      <c r="E35" s="2755"/>
      <c r="F35" s="2755"/>
      <c r="G35" s="2755"/>
      <c r="H35" s="2755"/>
      <c r="I35" s="2755"/>
      <c r="J35" s="2756"/>
      <c r="K35" s="2756"/>
      <c r="L35" s="1441"/>
      <c r="M35" s="1441"/>
      <c r="N35" s="1441"/>
      <c r="O35" s="1441"/>
      <c r="P35" s="1441"/>
    </row>
    <row r="36" spans="1:16" s="1410" customFormat="1" ht="12.75" x14ac:dyDescent="0.2">
      <c r="A36" s="1424" t="s">
        <v>1601</v>
      </c>
      <c r="B36" s="2340"/>
      <c r="C36" s="2340"/>
      <c r="D36" s="2340"/>
      <c r="E36" s="2340"/>
      <c r="F36" s="2340"/>
      <c r="G36" s="2340"/>
      <c r="H36" s="2340"/>
      <c r="I36" s="2340"/>
      <c r="J36" s="2340"/>
      <c r="K36" s="1441"/>
      <c r="L36" s="1441"/>
      <c r="M36" s="1441"/>
      <c r="N36" s="1441"/>
      <c r="O36" s="1441"/>
      <c r="P36" s="1441"/>
    </row>
    <row r="37" spans="1:16" s="1410" customFormat="1" ht="12.75" x14ac:dyDescent="0.2">
      <c r="A37" s="1425"/>
      <c r="B37" s="1425"/>
      <c r="C37" s="1425"/>
      <c r="D37" s="1425"/>
      <c r="E37" s="1425"/>
      <c r="F37" s="1425"/>
      <c r="G37" s="1425"/>
      <c r="H37" s="1425"/>
      <c r="I37" s="1426" t="s">
        <v>1594</v>
      </c>
      <c r="J37" s="1425"/>
      <c r="K37" s="1426" t="s">
        <v>1595</v>
      </c>
      <c r="L37" s="1441"/>
      <c r="M37" s="1441"/>
      <c r="N37" s="1441"/>
      <c r="O37" s="1441"/>
      <c r="P37" s="1441"/>
    </row>
    <row r="38" spans="1:16" s="1410" customFormat="1" ht="12.75" x14ac:dyDescent="0.2">
      <c r="A38" s="1425"/>
      <c r="B38" s="1425"/>
      <c r="C38" s="1425"/>
      <c r="D38" s="1425"/>
      <c r="E38" s="1425"/>
      <c r="F38" s="1425"/>
      <c r="G38" s="1425"/>
      <c r="H38" s="1425"/>
      <c r="I38" s="1426" t="s">
        <v>1596</v>
      </c>
      <c r="J38" s="1425"/>
      <c r="K38" s="1426" t="s">
        <v>1596</v>
      </c>
      <c r="L38" s="1441"/>
      <c r="M38" s="1441"/>
      <c r="N38" s="1441"/>
      <c r="O38" s="1441"/>
      <c r="P38" s="1441"/>
    </row>
    <row r="39" spans="1:16" s="1410" customFormat="1" ht="12.75" x14ac:dyDescent="0.2">
      <c r="A39" s="1425"/>
      <c r="B39" s="1425"/>
      <c r="C39" s="1425"/>
      <c r="D39" s="1425"/>
      <c r="E39" s="1425"/>
      <c r="F39" s="1425"/>
      <c r="G39" s="1426" t="s">
        <v>1597</v>
      </c>
      <c r="H39" s="1425"/>
      <c r="I39" s="1426" t="s">
        <v>1598</v>
      </c>
      <c r="J39" s="1425"/>
      <c r="K39" s="1426" t="s">
        <v>1598</v>
      </c>
      <c r="L39" s="1441"/>
      <c r="M39" s="1441"/>
      <c r="N39" s="1441"/>
      <c r="O39" s="1441"/>
      <c r="P39" s="1441"/>
    </row>
    <row r="40" spans="1:16" s="1410" customFormat="1" ht="12.75" x14ac:dyDescent="0.2">
      <c r="A40" s="1427" t="s">
        <v>1573</v>
      </c>
      <c r="B40" s="1428"/>
      <c r="C40" s="1427" t="s">
        <v>759</v>
      </c>
      <c r="D40" s="1428"/>
      <c r="E40" s="1427" t="s">
        <v>1574</v>
      </c>
      <c r="F40" s="1428"/>
      <c r="G40" s="1427" t="s">
        <v>1599</v>
      </c>
      <c r="H40" s="1428"/>
      <c r="I40" s="1429" t="s">
        <v>1577</v>
      </c>
      <c r="J40" s="1426"/>
      <c r="K40" s="1429" t="s">
        <v>1577</v>
      </c>
      <c r="L40" s="1441"/>
      <c r="M40" s="1441"/>
      <c r="N40" s="1441"/>
      <c r="O40" s="1441"/>
      <c r="P40" s="1441"/>
    </row>
    <row r="41" spans="1:16" s="1410" customFormat="1" ht="12.75" x14ac:dyDescent="0.2">
      <c r="A41" s="1430"/>
      <c r="B41" s="1431"/>
      <c r="C41" s="1432"/>
      <c r="D41" s="1433"/>
      <c r="E41" s="1434"/>
      <c r="F41" s="1435"/>
      <c r="G41" s="1434"/>
      <c r="H41" s="1436"/>
      <c r="I41" s="1437"/>
      <c r="J41" s="1438"/>
      <c r="K41" s="1437"/>
      <c r="L41" s="1441"/>
      <c r="M41" s="1441"/>
      <c r="N41" s="1441"/>
      <c r="O41" s="1441"/>
      <c r="P41" s="1441"/>
    </row>
    <row r="42" spans="1:16" s="1410" customFormat="1" ht="12.75" x14ac:dyDescent="0.2">
      <c r="A42" s="1430"/>
      <c r="B42" s="1431"/>
      <c r="C42" s="1432"/>
      <c r="D42" s="1433"/>
      <c r="E42" s="1434"/>
      <c r="F42" s="1435"/>
      <c r="G42" s="1434"/>
      <c r="H42" s="1436"/>
      <c r="I42" s="1437"/>
      <c r="J42" s="1438"/>
      <c r="K42" s="1437"/>
      <c r="L42" s="1441"/>
      <c r="M42" s="1441"/>
      <c r="N42" s="1441"/>
      <c r="O42" s="1441"/>
      <c r="P42" s="1441"/>
    </row>
    <row r="43" spans="1:16" s="1410" customFormat="1" ht="12.75" x14ac:dyDescent="0.2">
      <c r="A43" s="1430"/>
      <c r="B43" s="1431"/>
      <c r="C43" s="1432"/>
      <c r="D43" s="1431"/>
      <c r="E43" s="1434"/>
      <c r="F43" s="1435"/>
      <c r="G43" s="1434"/>
      <c r="H43" s="1436"/>
      <c r="I43" s="1437"/>
      <c r="J43" s="1438"/>
      <c r="K43" s="1437"/>
      <c r="L43" s="1441"/>
      <c r="M43" s="1441"/>
      <c r="N43" s="1441"/>
      <c r="O43" s="1441"/>
      <c r="P43" s="1441"/>
    </row>
    <row r="44" spans="1:16" s="1410" customFormat="1" ht="12.75" x14ac:dyDescent="0.2">
      <c r="A44" s="1430"/>
      <c r="B44" s="1431"/>
      <c r="C44" s="1432"/>
      <c r="D44" s="1431"/>
      <c r="E44" s="1434"/>
      <c r="F44" s="1435"/>
      <c r="G44" s="1434"/>
      <c r="H44" s="1436"/>
      <c r="I44" s="1437"/>
      <c r="J44" s="1438"/>
      <c r="K44" s="1437"/>
      <c r="L44" s="1441"/>
      <c r="M44" s="1441"/>
      <c r="N44" s="1441"/>
      <c r="O44" s="1441"/>
      <c r="P44" s="1441"/>
    </row>
    <row r="45" spans="1:16" s="1410" customFormat="1" ht="12.75" x14ac:dyDescent="0.2">
      <c r="A45" s="1430"/>
      <c r="B45" s="1431"/>
      <c r="C45" s="1432"/>
      <c r="D45" s="1433"/>
      <c r="E45" s="1434"/>
      <c r="F45" s="1435"/>
      <c r="G45" s="1434"/>
      <c r="H45" s="1436"/>
      <c r="I45" s="1437"/>
      <c r="J45" s="1442"/>
      <c r="K45" s="1437"/>
      <c r="L45" s="1441"/>
      <c r="M45" s="1441"/>
      <c r="N45" s="1441"/>
      <c r="O45" s="1441"/>
      <c r="P45" s="1441"/>
    </row>
    <row r="46" spans="1:16" s="1410" customFormat="1" ht="12.75" x14ac:dyDescent="0.2">
      <c r="A46" s="1430"/>
      <c r="B46" s="1431"/>
      <c r="C46" s="1432"/>
      <c r="D46" s="1433"/>
      <c r="E46" s="1434"/>
      <c r="F46" s="1435"/>
      <c r="G46" s="1434"/>
      <c r="H46" s="1436"/>
      <c r="I46" s="1437"/>
      <c r="J46" s="2341"/>
      <c r="K46" s="1437"/>
      <c r="L46" s="1441"/>
      <c r="M46" s="1441"/>
      <c r="N46" s="1441"/>
      <c r="O46" s="1441"/>
      <c r="P46" s="1441"/>
    </row>
    <row r="47" spans="1:16" s="1410" customFormat="1" ht="12.75" x14ac:dyDescent="0.2">
      <c r="A47" s="1430"/>
      <c r="B47" s="1431"/>
      <c r="C47" s="1432"/>
      <c r="D47" s="1431"/>
      <c r="E47" s="1434"/>
      <c r="F47" s="1435"/>
      <c r="G47" s="1434"/>
      <c r="H47" s="1436"/>
      <c r="I47" s="1437"/>
      <c r="J47" s="2341"/>
      <c r="K47" s="1437"/>
      <c r="L47" s="1441"/>
      <c r="M47" s="1441"/>
      <c r="N47" s="1441"/>
      <c r="O47" s="1441"/>
      <c r="P47" s="1441"/>
    </row>
    <row r="48" spans="1:16" s="1410" customFormat="1" ht="12.75" x14ac:dyDescent="0.2">
      <c r="A48" s="1430"/>
      <c r="B48" s="1431"/>
      <c r="C48" s="1432"/>
      <c r="D48" s="1431"/>
      <c r="E48" s="1434"/>
      <c r="F48" s="1435"/>
      <c r="G48" s="1434"/>
      <c r="H48" s="1436"/>
      <c r="I48" s="1437"/>
      <c r="J48" s="1425"/>
      <c r="K48" s="1437"/>
      <c r="L48" s="1441"/>
      <c r="M48" s="1441"/>
      <c r="N48" s="1441"/>
      <c r="O48" s="1441"/>
      <c r="P48" s="1441"/>
    </row>
    <row r="49" spans="1:11" ht="12.75" x14ac:dyDescent="0.2">
      <c r="A49" s="1430"/>
      <c r="B49" s="1431"/>
      <c r="C49" s="1432"/>
      <c r="D49" s="1433"/>
      <c r="E49" s="1434"/>
      <c r="F49" s="1435"/>
      <c r="G49" s="1434"/>
      <c r="H49" s="1436"/>
      <c r="I49" s="1437"/>
      <c r="J49" s="1425"/>
      <c r="K49" s="1437"/>
    </row>
    <row r="50" spans="1:11" ht="12.75" x14ac:dyDescent="0.2">
      <c r="A50" s="1430"/>
      <c r="B50" s="1431"/>
      <c r="C50" s="1432"/>
      <c r="D50" s="1433"/>
      <c r="E50" s="1434"/>
      <c r="F50" s="1435"/>
      <c r="G50" s="1434"/>
      <c r="H50" s="1436"/>
      <c r="I50" s="1437"/>
      <c r="J50" s="1425"/>
      <c r="K50" s="1437"/>
    </row>
    <row r="51" spans="1:11" ht="12.75" x14ac:dyDescent="0.2">
      <c r="A51" s="1430"/>
      <c r="B51" s="1431"/>
      <c r="C51" s="1432"/>
      <c r="D51" s="1431"/>
      <c r="E51" s="1434"/>
      <c r="F51" s="1435"/>
      <c r="G51" s="1434"/>
      <c r="H51" s="1436"/>
      <c r="I51" s="1437"/>
      <c r="J51" s="1426"/>
      <c r="K51" s="1437"/>
    </row>
    <row r="52" spans="1:11" ht="12.75" x14ac:dyDescent="0.2">
      <c r="A52" s="1430"/>
      <c r="B52" s="1431"/>
      <c r="C52" s="1432"/>
      <c r="D52" s="1431"/>
      <c r="E52" s="1434"/>
      <c r="F52" s="1435"/>
      <c r="G52" s="1434"/>
      <c r="H52" s="1436"/>
      <c r="I52" s="1437"/>
      <c r="J52" s="1438"/>
      <c r="K52" s="1437"/>
    </row>
    <row r="53" spans="1:11" ht="12.75" x14ac:dyDescent="0.2">
      <c r="A53" s="1443"/>
      <c r="B53" s="1431"/>
      <c r="C53" s="1435"/>
      <c r="D53" s="1431"/>
      <c r="E53" s="1444"/>
      <c r="F53" s="1435"/>
      <c r="G53" s="1444"/>
      <c r="H53" s="1436"/>
      <c r="I53" s="1438"/>
      <c r="J53" s="1438"/>
      <c r="K53" s="1438"/>
    </row>
    <row r="54" spans="1:11" ht="12.75" x14ac:dyDescent="0.2">
      <c r="A54" s="1443"/>
      <c r="B54" s="1431"/>
      <c r="C54" s="1435"/>
      <c r="D54" s="1431"/>
      <c r="E54" s="1444"/>
      <c r="F54" s="1435"/>
      <c r="G54" s="1444"/>
      <c r="H54" s="1436"/>
      <c r="I54" s="1438"/>
      <c r="J54" s="1438"/>
      <c r="K54" s="1438"/>
    </row>
    <row r="55" spans="1:11" ht="12.75" x14ac:dyDescent="0.2">
      <c r="A55" s="1443"/>
      <c r="B55" s="1431"/>
      <c r="C55" s="1435"/>
      <c r="D55" s="1431"/>
      <c r="E55" s="1444"/>
      <c r="F55" s="1435"/>
      <c r="G55" s="1444"/>
      <c r="H55" s="1436"/>
      <c r="I55" s="1438"/>
      <c r="J55" s="1438"/>
      <c r="K55" s="1438"/>
    </row>
    <row r="56" spans="1:11" ht="12.75" x14ac:dyDescent="0.2">
      <c r="A56" s="1445"/>
      <c r="B56" s="1446"/>
      <c r="C56" s="1446"/>
      <c r="D56" s="1410"/>
      <c r="E56" s="1447"/>
      <c r="F56" s="1448"/>
      <c r="G56" s="2757"/>
      <c r="H56" s="2757"/>
      <c r="I56" s="2757"/>
      <c r="J56" s="2342"/>
      <c r="K56" s="1410"/>
    </row>
    <row r="57" spans="1:11" ht="12.75" x14ac:dyDescent="0.2">
      <c r="A57" s="1445"/>
      <c r="B57" s="1446"/>
      <c r="C57" s="1446"/>
      <c r="D57" s="1449"/>
      <c r="E57" s="1447"/>
      <c r="F57" s="1448"/>
      <c r="G57" s="1448"/>
      <c r="H57" s="1448"/>
      <c r="I57" s="1448"/>
      <c r="J57" s="2342"/>
    </row>
    <row r="58" spans="1:11" ht="12.75" x14ac:dyDescent="0.2">
      <c r="A58" s="1445"/>
      <c r="B58" s="1446"/>
      <c r="C58" s="1446"/>
      <c r="D58" s="1446"/>
      <c r="E58" s="1447"/>
      <c r="F58" s="1448"/>
      <c r="G58" s="1448"/>
      <c r="H58" s="1448"/>
      <c r="I58" s="1448"/>
      <c r="J58" s="2342"/>
    </row>
    <row r="59" spans="1:11" ht="12.75" x14ac:dyDescent="0.2">
      <c r="A59" s="1445"/>
      <c r="B59" s="1446"/>
      <c r="C59" s="1446"/>
      <c r="D59" s="1446"/>
      <c r="E59" s="1447"/>
      <c r="F59" s="1448"/>
      <c r="G59" s="1448"/>
      <c r="H59" s="1448"/>
      <c r="I59" s="1448"/>
      <c r="J59" s="2342"/>
    </row>
    <row r="60" spans="1:11" ht="12.75" x14ac:dyDescent="0.2">
      <c r="A60" s="1445"/>
      <c r="B60" s="1446"/>
      <c r="C60" s="1446"/>
      <c r="D60" s="1446"/>
      <c r="E60" s="1447"/>
      <c r="F60" s="1448"/>
      <c r="G60" s="1448"/>
      <c r="H60" s="1448"/>
      <c r="I60" s="1448"/>
      <c r="J60" s="2342"/>
    </row>
  </sheetData>
  <sheetProtection algorithmName="SHA-512" hashValue="J7VWKX+GM9Vhwax6+gHPVqiwgOp4hsgybJ0IJuYks+HloklF3euLQ8p+h4w5dr36zUsVdPsNA4IcMxIdzT5t1g==" saltValue="GQuOd4AxUO4XGdjjWKVU9A==" spinCount="100000" sheet="1" autoFilter="0"/>
  <mergeCells count="17">
    <mergeCell ref="A14:K14"/>
    <mergeCell ref="A1:K1"/>
    <mergeCell ref="A2:K2"/>
    <mergeCell ref="A3:K3"/>
    <mergeCell ref="G5:I5"/>
    <mergeCell ref="I6:K6"/>
    <mergeCell ref="I7:K7"/>
    <mergeCell ref="I8:K8"/>
    <mergeCell ref="A11:K11"/>
    <mergeCell ref="A12:K12"/>
    <mergeCell ref="A13:K13"/>
    <mergeCell ref="A15:K15"/>
    <mergeCell ref="A16:K16"/>
    <mergeCell ref="A18:K18"/>
    <mergeCell ref="A35:K35"/>
    <mergeCell ref="G56:I56"/>
    <mergeCell ref="A24:K24"/>
  </mergeCells>
  <conditionalFormatting sqref="D20">
    <cfRule type="containsText" dxfId="102" priority="3" stopIfTrue="1" operator="containsText" text="Answer Missing">
      <formula>NOT(ISERROR(SEARCH("Answer Missing",D20)))</formula>
    </cfRule>
  </conditionalFormatting>
  <conditionalFormatting sqref="G20">
    <cfRule type="containsText" dxfId="101" priority="2" stopIfTrue="1" operator="containsText" text="Answer Missing">
      <formula>NOT(ISERROR(SEARCH("Answer Missing",G20)))</formula>
    </cfRule>
  </conditionalFormatting>
  <conditionalFormatting sqref="L1:L3">
    <cfRule type="cellIs" dxfId="100" priority="1" stopIfTrue="1" operator="equal">
      <formula>"na"</formula>
    </cfRule>
  </conditionalFormatting>
  <hyperlinks>
    <hyperlink ref="A1:K1" location="Index!A1" display="Index!A1" xr:uid="{EB726115-7F79-4F5B-83CB-2EEF820B02FF}"/>
  </hyperlinks>
  <pageMargins left="0.6" right="0.6" top="0.5" bottom="0.5" header="0.3" footer="0.3"/>
  <pageSetup scale="79" orientation="landscape" r:id="rId1"/>
  <rowBreaks count="1" manualBreakCount="1">
    <brk id="53"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8">
    <pageSetUpPr fitToPage="1"/>
  </sheetPr>
  <dimension ref="A1:M50"/>
  <sheetViews>
    <sheetView zoomScaleNormal="100" workbookViewId="0">
      <selection activeCell="A15" sqref="A15"/>
    </sheetView>
  </sheetViews>
  <sheetFormatPr defaultColWidth="9.42578125" defaultRowHeight="15" x14ac:dyDescent="0.25"/>
  <cols>
    <col min="1" max="1" width="12.5703125" style="464" customWidth="1"/>
    <col min="2" max="2" width="8.5703125" style="464" customWidth="1"/>
    <col min="3" max="3" width="12.42578125" style="464" customWidth="1"/>
    <col min="4" max="8" width="15.5703125" style="464" customWidth="1"/>
    <col min="9" max="9" width="1.42578125" style="464" customWidth="1"/>
    <col min="10" max="10" width="4" style="464" customWidth="1"/>
    <col min="11" max="11" width="62.42578125" style="464" customWidth="1"/>
    <col min="12" max="13" width="9.42578125" style="1329"/>
    <col min="14" max="16384" width="9.42578125" style="464"/>
  </cols>
  <sheetData>
    <row r="1" spans="1:9" ht="18" customHeight="1" x14ac:dyDescent="0.25">
      <c r="A1" s="2553" t="str">
        <f>Index!A1</f>
        <v xml:space="preserve">                                                               Office of the State Controller                                                                </v>
      </c>
      <c r="B1" s="2553"/>
      <c r="C1" s="2553"/>
      <c r="D1" s="2553"/>
      <c r="E1" s="2553"/>
      <c r="F1" s="2553"/>
      <c r="G1" s="2553"/>
      <c r="H1" s="2553"/>
      <c r="I1" s="849"/>
    </row>
    <row r="2" spans="1:9" ht="18" customHeight="1" x14ac:dyDescent="0.25">
      <c r="A2" s="2765" t="str">
        <f>Index!A2</f>
        <v>2024 ACFR Worksheets</v>
      </c>
      <c r="B2" s="2765"/>
      <c r="C2" s="2765"/>
      <c r="D2" s="2765"/>
      <c r="E2" s="2765"/>
      <c r="F2" s="2765"/>
      <c r="G2" s="2765"/>
      <c r="H2" s="2765"/>
    </row>
    <row r="3" spans="1:9" ht="18" customHeight="1" x14ac:dyDescent="0.25">
      <c r="A3" s="2765" t="s">
        <v>1602</v>
      </c>
      <c r="B3" s="2765"/>
      <c r="C3" s="2765"/>
      <c r="D3" s="2765"/>
      <c r="E3" s="2765"/>
      <c r="F3" s="2765"/>
      <c r="G3" s="2765"/>
      <c r="H3" s="2765"/>
    </row>
    <row r="4" spans="1:9" ht="18" customHeight="1" x14ac:dyDescent="0.25">
      <c r="A4" s="2765" t="s">
        <v>1603</v>
      </c>
      <c r="B4" s="2765"/>
      <c r="C4" s="2765"/>
      <c r="D4" s="2765"/>
      <c r="E4" s="2765"/>
      <c r="F4" s="2765"/>
      <c r="G4" s="2765"/>
      <c r="H4" s="2765"/>
    </row>
    <row r="5" spans="1:9" ht="18" customHeight="1" x14ac:dyDescent="0.25">
      <c r="A5" s="1044"/>
      <c r="B5" s="1044"/>
      <c r="C5" s="1044"/>
      <c r="D5" s="1044"/>
      <c r="E5" s="1044"/>
      <c r="F5" s="536" t="s">
        <v>1604</v>
      </c>
      <c r="G5" s="1044"/>
      <c r="H5" s="2269" t="str">
        <f>IF(Index!$B$55="na","NA","")</f>
        <v/>
      </c>
    </row>
    <row r="6" spans="1:9" ht="18" customHeight="1" x14ac:dyDescent="0.25">
      <c r="A6" s="1044"/>
      <c r="B6" s="1044"/>
      <c r="C6" s="1647"/>
      <c r="D6" s="1044"/>
      <c r="E6" s="1043" t="s">
        <v>318</v>
      </c>
      <c r="F6" s="2539" t="str">
        <f>+Index!$E$10</f>
        <v>01</v>
      </c>
      <c r="G6" s="2539"/>
      <c r="H6" s="2539"/>
      <c r="I6" s="2539"/>
    </row>
    <row r="7" spans="1:9" ht="18" customHeight="1" x14ac:dyDescent="0.25">
      <c r="A7" s="1044"/>
      <c r="B7" s="1044"/>
      <c r="C7" s="1044"/>
      <c r="D7" s="1044"/>
      <c r="E7" s="1043" t="s">
        <v>319</v>
      </c>
      <c r="F7" s="2535" t="str">
        <f>+Index!$E$11</f>
        <v>North Carolina General Assembly</v>
      </c>
      <c r="G7" s="2535"/>
      <c r="H7" s="2535"/>
      <c r="I7" s="2535"/>
    </row>
    <row r="8" spans="1:9" ht="18" customHeight="1" x14ac:dyDescent="0.25">
      <c r="A8" s="1044" t="s">
        <v>545</v>
      </c>
      <c r="B8" s="1044"/>
      <c r="C8" s="1648" t="s">
        <v>1605</v>
      </c>
      <c r="D8" s="1044"/>
      <c r="E8" s="1043" t="s">
        <v>320</v>
      </c>
      <c r="F8" s="2535" t="str">
        <f>CONCATENATE(Index!$E$12," ",Index!$E$14)</f>
        <v xml:space="preserve"> </v>
      </c>
      <c r="G8" s="2535"/>
      <c r="H8" s="2535"/>
      <c r="I8" s="2535"/>
    </row>
    <row r="9" spans="1:9" ht="18" customHeight="1" x14ac:dyDescent="0.25">
      <c r="A9" s="1044"/>
      <c r="B9" s="1044"/>
      <c r="C9" s="1647"/>
      <c r="D9" s="1044"/>
      <c r="E9" s="1043" t="s">
        <v>168</v>
      </c>
      <c r="F9" s="2535">
        <f>+Index!$E$13</f>
        <v>0</v>
      </c>
      <c r="G9" s="2535"/>
      <c r="H9" s="2535"/>
      <c r="I9" s="2535"/>
    </row>
    <row r="10" spans="1:9" ht="14.1" customHeight="1" thickBot="1" x14ac:dyDescent="0.3">
      <c r="A10" s="1649"/>
      <c r="B10" s="1649"/>
      <c r="C10" s="1649"/>
      <c r="D10" s="1649"/>
      <c r="E10" s="1649"/>
      <c r="F10" s="1649"/>
      <c r="G10" s="1649"/>
      <c r="H10" s="1649"/>
    </row>
    <row r="11" spans="1:9" x14ac:dyDescent="0.25">
      <c r="A11" s="1044"/>
      <c r="B11" s="1044"/>
      <c r="C11" s="1044"/>
      <c r="D11" s="1044"/>
      <c r="E11" s="1044"/>
      <c r="F11" s="1044"/>
      <c r="G11" s="1044"/>
      <c r="H11" s="1044"/>
    </row>
    <row r="12" spans="1:9" x14ac:dyDescent="0.25">
      <c r="A12" s="1044" t="s">
        <v>1527</v>
      </c>
      <c r="B12" s="1044"/>
      <c r="C12" s="1044"/>
      <c r="D12" s="1259" t="s">
        <v>1606</v>
      </c>
      <c r="E12" s="1044"/>
      <c r="G12" s="1044"/>
      <c r="H12" s="1044"/>
    </row>
    <row r="13" spans="1:9" ht="17.100000000000001" customHeight="1" x14ac:dyDescent="0.25">
      <c r="A13" s="1044"/>
      <c r="B13" s="1044"/>
      <c r="C13" s="1044"/>
      <c r="D13" s="1044"/>
      <c r="E13" s="1044"/>
      <c r="F13" s="1044"/>
      <c r="G13" s="1044"/>
      <c r="H13" s="1044"/>
    </row>
    <row r="14" spans="1:9" ht="30" customHeight="1" x14ac:dyDescent="0.25">
      <c r="A14" s="2766" t="s">
        <v>1607</v>
      </c>
      <c r="B14" s="2767"/>
      <c r="C14" s="2768"/>
      <c r="D14" s="2768"/>
      <c r="E14" s="2768"/>
      <c r="F14" s="2768"/>
      <c r="G14" s="2768"/>
      <c r="H14" s="2769"/>
    </row>
    <row r="15" spans="1:9" ht="17.100000000000001" customHeight="1" x14ac:dyDescent="0.25">
      <c r="A15" s="1650"/>
      <c r="B15" s="1650"/>
      <c r="C15" s="537"/>
      <c r="D15" s="537"/>
      <c r="E15" s="537"/>
      <c r="F15" s="537"/>
      <c r="G15" s="537"/>
      <c r="H15" s="537"/>
    </row>
    <row r="16" spans="1:9" x14ac:dyDescent="0.25">
      <c r="A16" s="2773"/>
      <c r="B16" s="2773"/>
      <c r="C16" s="2773"/>
      <c r="D16" s="538" t="s">
        <v>1573</v>
      </c>
      <c r="E16" s="538" t="s">
        <v>1573</v>
      </c>
      <c r="F16" s="538" t="s">
        <v>1573</v>
      </c>
      <c r="G16" s="538" t="s">
        <v>1573</v>
      </c>
      <c r="H16" s="538" t="s">
        <v>1573</v>
      </c>
    </row>
    <row r="17" spans="1:13" x14ac:dyDescent="0.25">
      <c r="A17" s="2770" t="s">
        <v>1608</v>
      </c>
      <c r="B17" s="2770"/>
      <c r="C17" s="2770"/>
      <c r="D17" s="696"/>
      <c r="E17" s="696"/>
      <c r="F17" s="696"/>
      <c r="G17" s="696"/>
      <c r="H17" s="696"/>
    </row>
    <row r="18" spans="1:13" ht="17.100000000000001" customHeight="1" x14ac:dyDescent="0.25">
      <c r="A18" s="465" t="s">
        <v>1609</v>
      </c>
      <c r="B18" s="2353"/>
      <c r="C18" s="2352"/>
      <c r="D18" s="2771"/>
      <c r="E18" s="2771"/>
      <c r="F18" s="2771"/>
      <c r="G18" s="2771"/>
      <c r="H18" s="2771"/>
    </row>
    <row r="19" spans="1:13" ht="17.100000000000001" customHeight="1" x14ac:dyDescent="0.25">
      <c r="A19" s="2353" t="s">
        <v>1610</v>
      </c>
      <c r="B19" s="2353"/>
      <c r="C19" s="2352"/>
      <c r="D19" s="2772"/>
      <c r="E19" s="2772"/>
      <c r="F19" s="2772"/>
      <c r="G19" s="2772"/>
      <c r="H19" s="2772"/>
    </row>
    <row r="20" spans="1:13" ht="31.35" customHeight="1" x14ac:dyDescent="0.25">
      <c r="A20" s="2774" t="s">
        <v>1611</v>
      </c>
      <c r="B20" s="2774"/>
      <c r="C20" s="2774"/>
      <c r="D20" s="1651"/>
      <c r="E20" s="1651"/>
      <c r="F20" s="1651"/>
      <c r="G20" s="1651"/>
      <c r="H20" s="1651"/>
      <c r="J20" s="2779" t="s">
        <v>1612</v>
      </c>
      <c r="K20" s="2779"/>
      <c r="L20" s="1329" t="s">
        <v>1613</v>
      </c>
      <c r="M20" s="1329" t="s">
        <v>680</v>
      </c>
    </row>
    <row r="21" spans="1:13" ht="17.100000000000001" customHeight="1" x14ac:dyDescent="0.25">
      <c r="A21" s="2784" t="s">
        <v>1614</v>
      </c>
      <c r="B21" s="2548"/>
      <c r="C21" s="2785"/>
      <c r="D21" s="1651"/>
      <c r="E21" s="1651"/>
      <c r="F21" s="1651"/>
      <c r="G21" s="1651"/>
      <c r="H21" s="1651"/>
      <c r="J21" s="736" t="s">
        <v>1615</v>
      </c>
      <c r="K21" s="710"/>
      <c r="L21" s="1329" t="s">
        <v>1616</v>
      </c>
      <c r="M21" s="1329" t="s">
        <v>680</v>
      </c>
    </row>
    <row r="22" spans="1:13" ht="17.100000000000001" customHeight="1" x14ac:dyDescent="0.25">
      <c r="A22" s="2774" t="s">
        <v>1617</v>
      </c>
      <c r="B22" s="2774"/>
      <c r="C22" s="2786"/>
      <c r="D22" s="1651"/>
      <c r="E22" s="1651"/>
      <c r="F22" s="1651"/>
      <c r="G22" s="1651"/>
      <c r="H22" s="1651"/>
      <c r="I22" s="540"/>
      <c r="J22" s="2780" t="s">
        <v>1618</v>
      </c>
      <c r="K22" s="2781"/>
      <c r="L22" s="1329" t="s">
        <v>1619</v>
      </c>
      <c r="M22" s="1329" t="s">
        <v>680</v>
      </c>
    </row>
    <row r="23" spans="1:13" ht="17.100000000000001" customHeight="1" x14ac:dyDescent="0.25">
      <c r="A23" s="2775" t="s">
        <v>1620</v>
      </c>
      <c r="B23" s="2776"/>
      <c r="C23" s="2777"/>
      <c r="D23" s="1651"/>
      <c r="E23" s="1651"/>
      <c r="F23" s="1651"/>
      <c r="G23" s="1651"/>
      <c r="H23" s="1651"/>
      <c r="I23" s="540"/>
      <c r="J23" s="2782"/>
      <c r="K23" s="2782"/>
      <c r="L23" s="1329" t="s">
        <v>1621</v>
      </c>
      <c r="M23" s="1329" t="s">
        <v>680</v>
      </c>
    </row>
    <row r="24" spans="1:13" ht="17.100000000000001" customHeight="1" x14ac:dyDescent="0.25">
      <c r="A24" s="2774" t="s">
        <v>1622</v>
      </c>
      <c r="B24" s="2776"/>
      <c r="C24" s="2777"/>
      <c r="D24" s="1651"/>
      <c r="E24" s="1651"/>
      <c r="F24" s="1651"/>
      <c r="G24" s="1651"/>
      <c r="H24" s="1651"/>
      <c r="I24" s="540"/>
      <c r="J24" s="2782"/>
      <c r="K24" s="2782"/>
      <c r="L24" s="1329" t="s">
        <v>1623</v>
      </c>
      <c r="M24" s="1329" t="s">
        <v>680</v>
      </c>
    </row>
    <row r="25" spans="1:13" ht="15.75" customHeight="1" x14ac:dyDescent="0.25">
      <c r="A25" s="2353" t="s">
        <v>1624</v>
      </c>
      <c r="B25" s="2352"/>
      <c r="C25" s="2352"/>
      <c r="D25" s="1652"/>
      <c r="E25" s="1652"/>
      <c r="F25" s="1652"/>
      <c r="G25" s="1652"/>
      <c r="H25" s="1652"/>
      <c r="J25" s="2783"/>
      <c r="K25" s="2783"/>
    </row>
    <row r="26" spans="1:13" ht="17.100000000000001" customHeight="1" x14ac:dyDescent="0.25">
      <c r="A26" s="2778" t="s">
        <v>1625</v>
      </c>
      <c r="B26" s="2778"/>
      <c r="C26" s="2778"/>
      <c r="D26" s="1651"/>
      <c r="E26" s="1651"/>
      <c r="F26" s="1651"/>
      <c r="G26" s="1651"/>
      <c r="H26" s="1651"/>
      <c r="J26" s="540"/>
      <c r="L26" s="1329" t="s">
        <v>1626</v>
      </c>
      <c r="M26" s="1329" t="str">
        <f>IF(A26="General Government","Gen Gov",
IF(A26="Primary and secondary education","Prim Sec Ed",
IF(A26="Higher Education","Higher Ed",
IF(A26="Higher education student aid","Higher Ed stu aid",
IF(A26="Health and human services","HHS",
IF(A26="Economic development","Econ Dev",
IF(A26="Environment and natural resources","ENR",
IF(A26="Public safety, corrections, and regulation","Public Safety",
IF(A26="Transportation","Trans",
IF(A26="Highway construction/preservation","Highway Const",
IF(A26="Highway maintenance","Highway Const",
IF(A26="Debt Service","Debt Serv",
IF(A26="Agriculture","Agric",
IF(A26="Capital projects/repairs and renovations","CapProjectsReno",
IF(A26="Disaster relief (OSC only)","Relief",
IF(A26="Subsequent year's budget (OSC only)","SubsYearBudget",
"No Function"))))))))))))))))</f>
        <v>No Function</v>
      </c>
    </row>
    <row r="27" spans="1:13" ht="17.100000000000001" customHeight="1" x14ac:dyDescent="0.25">
      <c r="A27" s="2778" t="s">
        <v>1625</v>
      </c>
      <c r="B27" s="2778"/>
      <c r="C27" s="2778"/>
      <c r="D27" s="1651">
        <v>0</v>
      </c>
      <c r="E27" s="1651"/>
      <c r="F27" s="1651"/>
      <c r="G27" s="1651"/>
      <c r="H27" s="1651"/>
      <c r="L27" s="1329" t="s">
        <v>1626</v>
      </c>
      <c r="M27" s="1329" t="str">
        <f t="shared" ref="M27:M28" si="0">IF(A27="General Government","Gen Gov",
IF(A27="Primary and secondary education","Prim Sec Ed",
IF(A27="Higher Education","Higher Ed",
IF(A27="Higher education student aid","Higher Ed stu aid",
IF(A27="Health and human services","HHS",
IF(A27="Economic development","Econ Dev",
IF(A27="Environment and natural resources","ENR",
IF(A27="Public safety, corrections, and regulation","Public Safety",
IF(A27="Transportation","Trans",
IF(A27="Highway construction/preservation","Highway Const",
IF(A27="Highway maintenance","Highway Const",
IF(A27="Debt Service","Debt Serv",
IF(A27="Agriculture","Agric",
IF(A27="Capital projects/repairs and renovations","CapProjectsReno",
IF(A27="Disaster relief (OSC only)","Relief",
IF(A27="Subsequent year's budget (OSC only)","SubsYearBudget",
"No Function"))))))))))))))))</f>
        <v>No Function</v>
      </c>
    </row>
    <row r="28" spans="1:13" ht="17.100000000000001" customHeight="1" x14ac:dyDescent="0.25">
      <c r="A28" s="2778" t="s">
        <v>1625</v>
      </c>
      <c r="B28" s="2778"/>
      <c r="C28" s="2778"/>
      <c r="D28" s="1651"/>
      <c r="E28" s="1651"/>
      <c r="F28" s="1651"/>
      <c r="G28" s="1651"/>
      <c r="H28" s="1651"/>
      <c r="L28" s="1329" t="s">
        <v>1626</v>
      </c>
      <c r="M28" s="1329" t="str">
        <f t="shared" si="0"/>
        <v>No Function</v>
      </c>
    </row>
    <row r="29" spans="1:13" ht="17.100000000000001" customHeight="1" x14ac:dyDescent="0.25">
      <c r="A29" s="2353" t="s">
        <v>1627</v>
      </c>
      <c r="B29" s="2350"/>
      <c r="C29" s="2350"/>
      <c r="D29" s="1652"/>
      <c r="E29" s="1652"/>
      <c r="F29" s="1652"/>
      <c r="G29" s="1652"/>
      <c r="H29" s="1652"/>
    </row>
    <row r="30" spans="1:13" ht="17.100000000000001" customHeight="1" x14ac:dyDescent="0.25">
      <c r="A30" s="2778" t="s">
        <v>1625</v>
      </c>
      <c r="B30" s="2778"/>
      <c r="C30" s="2778"/>
      <c r="D30" s="1651"/>
      <c r="E30" s="1651"/>
      <c r="F30" s="1651"/>
      <c r="G30" s="1651"/>
      <c r="H30" s="1651"/>
      <c r="L30" s="1329" t="s">
        <v>1628</v>
      </c>
      <c r="M30" s="1329" t="str">
        <f>IF(A30="General Government","Gen Gov",
IF(A30="Primary and secondary education","Prim Sec Ed",
IF(A30="Higher Education","Higher Ed",
IF(A30="Higher education student aid","Higher Ed stu aid",
IF(A30="Health and human services","HHS",
IF(A30="Economic development","Econ Dev",
IF(A30="Environment and natural resources","ENR",
IF(A30="Public safety, corrections, and regulation","Public Safety",
IF(A30="Public school capital projects/repairs &amp; renovations","Public school capital proj repair and reno",
IF(A30="Transportation","Trans",
IF(A30="Highway construction/preservation","Highway Const",
IF(A30="Highway maintenance","Highway Const",
IF(A30="Debt Service","Debt Serv",
IF(A30="Agriculture","Agric",
IF(A30="Capital projects/repairs and renovations","CapProjectsReno",
IF(A30="Disaster relief (OSC only)","Relief",
IF(A30="Subsequent year's budget (OSC only)","SubsYearBudget",
"No Function")))))))))))))))))</f>
        <v>No Function</v>
      </c>
    </row>
    <row r="31" spans="1:13" ht="17.100000000000001" customHeight="1" x14ac:dyDescent="0.25">
      <c r="A31" s="2778" t="s">
        <v>1625</v>
      </c>
      <c r="B31" s="2778"/>
      <c r="C31" s="2778"/>
      <c r="D31" s="1651"/>
      <c r="E31" s="1651"/>
      <c r="F31" s="1651"/>
      <c r="G31" s="1651"/>
      <c r="H31" s="1651"/>
      <c r="L31" s="1329" t="s">
        <v>1628</v>
      </c>
      <c r="M31" s="1329" t="str">
        <f>IF(A31="General Government","Gen Gov",
IF(A31="Primary and secondary education","Prim Sec Ed",
IF(A31="Higher Education","Higher Ed",
IF(A31="Higher education student aid","Higher Ed stu aid",
IF(A31="Health and human services","HHS",
IF(A31="Economic development","Econ Dev",
IF(A31="Environment and natural resources","ENR",
IF(A31="Public safety, corrections, and regulation","Public Safety",
IF(A31="Public school capital projects/repairs &amp; renovations","Public school capital proj repair and reno",
IF(A31="Transportation","Trans",
IF(A31="Highway construction/preservation","Highway Const",
IF(A31="Highway maintenance","Highway Const",
IF(A31="Debt Service","Debt Serv",
IF(A31="Agriculture","Agric",
IF(A31="Capital projects/repairs and renovations","CapProjectsReno",
IF(A31="Disaster relief (OSC only)","Relief",
IF(A31="Subsequent year's budget (OSC only)","SubsYearBudget",
"No Function")))))))))))))))))</f>
        <v>No Function</v>
      </c>
    </row>
    <row r="32" spans="1:13" ht="17.100000000000001" customHeight="1" x14ac:dyDescent="0.25">
      <c r="A32" s="2778" t="s">
        <v>1625</v>
      </c>
      <c r="B32" s="2778"/>
      <c r="C32" s="2778"/>
      <c r="D32" s="1651"/>
      <c r="E32" s="1651"/>
      <c r="F32" s="1651"/>
      <c r="G32" s="1651"/>
      <c r="H32" s="1651"/>
      <c r="L32" s="1329" t="s">
        <v>1628</v>
      </c>
      <c r="M32" s="1329" t="str">
        <f t="shared" ref="M32:M34" si="1">IF(A32="General Government","Gen Gov",
IF(A32="Primary and secondary education","Prim Sec Ed",
IF(A32="Higher Education","Higher Ed",
IF(A32="Higher education student aid","Higher Ed stu aid",
IF(A32="Health and human services","HHS",
IF(A32="Economic development","Econ Dev",
IF(A32="Environment and natural resources","ENR",
IF(A32="Public safety, corrections, and regulation","Public Safety",
IF(A32="Public school capital projects/repairs &amp; renovations","Public school capital proj repair and reno",
IF(A32="Transportation","Trans",
IF(A32="Highway construction/preservation","Highway Const",
IF(A32="Highway maintenance","Highway Const",
IF(A32="Debt Service","Debt Serv",
IF(A32="Agriculture","Agric",
IF(A32="Capital projects/repairs and renovations","CapProjectsReno",
IF(A32="Disaster relief (OSC only)","Relief",
IF(A32="Subsequent year's budget (OSC only)","SubsYearBudget",
"No Function")))))))))))))))))</f>
        <v>No Function</v>
      </c>
    </row>
    <row r="33" spans="1:13" ht="17.100000000000001" customHeight="1" x14ac:dyDescent="0.25">
      <c r="A33" s="2787" t="s">
        <v>1625</v>
      </c>
      <c r="B33" s="2787"/>
      <c r="C33" s="2788"/>
      <c r="D33" s="1651"/>
      <c r="E33" s="1651"/>
      <c r="F33" s="1651"/>
      <c r="G33" s="1651"/>
      <c r="H33" s="1651"/>
      <c r="L33" s="1329" t="s">
        <v>1628</v>
      </c>
      <c r="M33" s="1329" t="str">
        <f t="shared" si="1"/>
        <v>No Function</v>
      </c>
    </row>
    <row r="34" spans="1:13" ht="17.100000000000001" customHeight="1" x14ac:dyDescent="0.25">
      <c r="A34" s="2778" t="s">
        <v>1625</v>
      </c>
      <c r="B34" s="2778"/>
      <c r="C34" s="2778"/>
      <c r="D34" s="1651"/>
      <c r="E34" s="1651"/>
      <c r="F34" s="1651"/>
      <c r="G34" s="1651"/>
      <c r="H34" s="1651"/>
      <c r="L34" s="1329" t="s">
        <v>1628</v>
      </c>
      <c r="M34" s="1329" t="str">
        <f t="shared" si="1"/>
        <v>No Function</v>
      </c>
    </row>
    <row r="35" spans="1:13" ht="17.100000000000001" customHeight="1" x14ac:dyDescent="0.25">
      <c r="A35" s="2353" t="s">
        <v>1629</v>
      </c>
      <c r="B35" s="2350"/>
      <c r="C35" s="2350"/>
      <c r="D35" s="1652"/>
      <c r="E35" s="1652"/>
      <c r="F35" s="1652"/>
      <c r="G35" s="1652"/>
      <c r="H35" s="1652"/>
    </row>
    <row r="36" spans="1:13" ht="17.100000000000001" customHeight="1" x14ac:dyDescent="0.25">
      <c r="A36" s="2778" t="s">
        <v>1625</v>
      </c>
      <c r="B36" s="2778"/>
      <c r="C36" s="2778"/>
      <c r="D36" s="1651"/>
      <c r="E36" s="1651"/>
      <c r="F36" s="1651"/>
      <c r="G36" s="1651"/>
      <c r="H36" s="1651"/>
      <c r="L36" s="1329" t="s">
        <v>1630</v>
      </c>
      <c r="M36" s="1329" t="str">
        <f t="shared" ref="M36:M37" si="2">IF(A36="General Government","Gen Gov",
IF(A36="Primary and secondary education","Prim Sec Ed",
IF(A36="Higher Education","Higher Ed",
IF(A36="Higher education student aid","Higher Ed stu aid",
IF(A36="Health and human services","HHS",
IF(A36="Economic development","Econ Dev",
IF(A36="Environment and natural resources","ENR",
IF(A36="Public safety, corrections, and regulation","Public Safety",
IF(A36="Transportation","Trans",
IF(A36="Highway construction/preservation","Highway Const",
IF(A36="Highway maintenance","Highway Const",
IF(A36="Debt Service","Debt Serv",
IF(A36="Agriculture","Agric",
IF(A36="Capital projects/repairs and renovations","CapProjectsReno",
IF(A36="Disaster relief (OSC only)","Relief",
IF(A36="Subsequent year's budget (OSC only)","SubsYearBudget",
"No Function"))))))))))))))))</f>
        <v>No Function</v>
      </c>
    </row>
    <row r="37" spans="1:13" ht="17.100000000000001" customHeight="1" x14ac:dyDescent="0.25">
      <c r="A37" s="2778" t="s">
        <v>1625</v>
      </c>
      <c r="B37" s="2778"/>
      <c r="C37" s="2778"/>
      <c r="D37" s="1651"/>
      <c r="E37" s="1651"/>
      <c r="F37" s="1651"/>
      <c r="G37" s="1651"/>
      <c r="H37" s="1651"/>
      <c r="L37" s="1329" t="s">
        <v>1630</v>
      </c>
      <c r="M37" s="1329" t="str">
        <f t="shared" si="2"/>
        <v>No Function</v>
      </c>
    </row>
    <row r="38" spans="1:13" ht="17.100000000000001" customHeight="1" x14ac:dyDescent="0.25">
      <c r="A38" s="2790" t="s">
        <v>1631</v>
      </c>
      <c r="B38" s="2791"/>
      <c r="C38" s="2792"/>
      <c r="D38" s="1653"/>
      <c r="E38" s="1653"/>
      <c r="F38" s="1653"/>
      <c r="G38" s="1653"/>
      <c r="H38" s="1653"/>
      <c r="J38" s="2793"/>
      <c r="K38" s="2794"/>
      <c r="L38" s="1329" t="s">
        <v>1631</v>
      </c>
      <c r="M38" s="1329" t="s">
        <v>680</v>
      </c>
    </row>
    <row r="39" spans="1:13" ht="28.5" customHeight="1" thickBot="1" x14ac:dyDescent="0.3">
      <c r="A39" s="2795" t="s">
        <v>1632</v>
      </c>
      <c r="B39" s="2794"/>
      <c r="C39" s="2786"/>
      <c r="D39" s="1654">
        <f>SUM(D20:D24)+SUM(D26:D28)+SUM(D30:D34)+SUM(D36:D38)</f>
        <v>0</v>
      </c>
      <c r="E39" s="1654">
        <f>SUM(E20:E24)+SUM(E26:E28)+SUM(E30:E34)+SUM(E36:E38)</f>
        <v>0</v>
      </c>
      <c r="F39" s="1654">
        <f>SUM(F20:F24)+SUM(F26:F28)+SUM(F30:F34)+SUM(F36:F38)</f>
        <v>0</v>
      </c>
      <c r="G39" s="1654">
        <f>SUM(G20:G24)+SUM(G26:G28)+SUM(G30:G34)+SUM(G36:G38)</f>
        <v>0</v>
      </c>
      <c r="H39" s="1654">
        <f>SUM(H20:H24)+SUM(H26:H28)+SUM(H30:H34)+SUM(H36:H38)</f>
        <v>0</v>
      </c>
      <c r="J39" s="2794"/>
      <c r="K39" s="2794"/>
    </row>
    <row r="40" spans="1:13" ht="12.75" customHeight="1" thickTop="1" x14ac:dyDescent="0.25">
      <c r="A40" s="541"/>
      <c r="B40" s="541"/>
      <c r="C40" s="541"/>
      <c r="D40" s="541"/>
      <c r="E40" s="541"/>
      <c r="F40" s="541"/>
      <c r="G40" s="541"/>
      <c r="H40" s="541"/>
    </row>
    <row r="41" spans="1:13" ht="12.75" customHeight="1" x14ac:dyDescent="0.25">
      <c r="A41" s="465" t="s">
        <v>1633</v>
      </c>
      <c r="B41" s="1655" t="s">
        <v>1634</v>
      </c>
      <c r="C41" s="2352"/>
      <c r="D41" s="2353"/>
      <c r="E41" s="2353"/>
      <c r="F41" s="2353"/>
      <c r="G41" s="2353"/>
      <c r="H41" s="2353"/>
    </row>
    <row r="42" spans="1:13" ht="12.75" customHeight="1" x14ac:dyDescent="0.25">
      <c r="A42" s="465"/>
      <c r="B42" s="1655" t="s">
        <v>1635</v>
      </c>
      <c r="C42" s="2352"/>
      <c r="D42" s="2353"/>
      <c r="E42" s="2353"/>
      <c r="F42" s="2353"/>
      <c r="G42" s="2353"/>
      <c r="H42" s="2353"/>
    </row>
    <row r="43" spans="1:13" ht="12.75" customHeight="1" x14ac:dyDescent="0.25">
      <c r="A43" s="465"/>
      <c r="B43" s="1655" t="s">
        <v>1636</v>
      </c>
      <c r="C43" s="2352"/>
      <c r="D43" s="2353"/>
      <c r="E43" s="2353"/>
      <c r="F43" s="2353"/>
      <c r="G43" s="2353"/>
      <c r="H43" s="2353"/>
    </row>
    <row r="44" spans="1:13" ht="15" customHeight="1" x14ac:dyDescent="0.25">
      <c r="A44" s="465" t="s">
        <v>1637</v>
      </c>
      <c r="B44" s="1655" t="s">
        <v>1638</v>
      </c>
      <c r="C44" s="2352"/>
      <c r="D44" s="2353"/>
      <c r="E44" s="2353"/>
      <c r="F44" s="2353"/>
      <c r="G44" s="2353"/>
      <c r="H44" s="2353"/>
    </row>
    <row r="45" spans="1:13" ht="12.75" customHeight="1" x14ac:dyDescent="0.25">
      <c r="A45" s="465"/>
      <c r="B45" s="2352"/>
      <c r="C45" s="2352"/>
      <c r="D45" s="2353"/>
      <c r="E45" s="2353"/>
      <c r="F45" s="2353"/>
      <c r="G45" s="2353"/>
      <c r="H45" s="2353"/>
    </row>
    <row r="46" spans="1:13" x14ac:dyDescent="0.25">
      <c r="D46" s="2796" t="s">
        <v>1639</v>
      </c>
      <c r="E46" s="2796"/>
      <c r="F46" s="2796"/>
      <c r="G46" s="2796"/>
      <c r="H46" s="2796"/>
    </row>
    <row r="47" spans="1:13" ht="17.100000000000001" customHeight="1" x14ac:dyDescent="0.25">
      <c r="A47" s="2353" t="s">
        <v>1626</v>
      </c>
      <c r="B47" s="2353"/>
      <c r="C47" s="2353"/>
      <c r="D47" s="829">
        <f>D26+D27+D28+D21</f>
        <v>0</v>
      </c>
      <c r="E47" s="829">
        <f>E26+E27+E28+E21</f>
        <v>0</v>
      </c>
      <c r="F47" s="829">
        <f>F26+F27+F28+F21</f>
        <v>0</v>
      </c>
      <c r="G47" s="829">
        <f>G26+G27+G28+G21</f>
        <v>0</v>
      </c>
      <c r="H47" s="829">
        <f>H26+H27+H28+H21</f>
        <v>0</v>
      </c>
    </row>
    <row r="48" spans="1:13" ht="17.100000000000001" customHeight="1" x14ac:dyDescent="0.25">
      <c r="A48" s="2353" t="s">
        <v>1640</v>
      </c>
      <c r="B48" s="2353"/>
      <c r="C48" s="2353"/>
      <c r="D48" s="829">
        <f>D20+SUM(D22:D24)+SUM(D30:D34)+SUM(D36:D38)</f>
        <v>0</v>
      </c>
      <c r="E48" s="829">
        <f>E20+SUM(E22:E24)+SUM(E30:E34)+SUM(E36:E38)</f>
        <v>0</v>
      </c>
      <c r="F48" s="829">
        <f>F20+SUM(F22:F24)+SUM(F30:F34)+SUM(F36:F38)</f>
        <v>0</v>
      </c>
      <c r="G48" s="829">
        <f>G20+SUM(G22:G24)+SUM(G30:G34)+SUM(G36:G38)</f>
        <v>0</v>
      </c>
      <c r="H48" s="829">
        <f>H20+SUM(H22:H24)+SUM(H30:H34)+SUM(H36:H38)</f>
        <v>0</v>
      </c>
    </row>
    <row r="49" spans="1:8" ht="17.100000000000001" customHeight="1" thickBot="1" x14ac:dyDescent="0.3">
      <c r="A49" s="2353" t="s">
        <v>1641</v>
      </c>
      <c r="B49" s="2353"/>
      <c r="C49" s="2353"/>
      <c r="D49" s="1656">
        <f>SUM(D47:D48)</f>
        <v>0</v>
      </c>
      <c r="E49" s="1656">
        <f>SUM(E47:E48)</f>
        <v>0</v>
      </c>
      <c r="F49" s="1656">
        <f>SUM(F47:F48)</f>
        <v>0</v>
      </c>
      <c r="G49" s="1656">
        <f>SUM(G47:G48)</f>
        <v>0</v>
      </c>
      <c r="H49" s="1656">
        <f>SUM(H47:H48)</f>
        <v>0</v>
      </c>
    </row>
    <row r="50" spans="1:8" ht="17.100000000000001" customHeight="1" thickTop="1" x14ac:dyDescent="0.25">
      <c r="A50" s="2789" t="s">
        <v>1642</v>
      </c>
      <c r="B50" s="2789"/>
      <c r="C50" s="2789"/>
      <c r="D50" s="542"/>
      <c r="E50" s="1657"/>
      <c r="F50" s="1657"/>
      <c r="G50" s="1657"/>
      <c r="H50" s="1657"/>
    </row>
  </sheetData>
  <sheetProtection algorithmName="SHA-512" hashValue="33hMdFKmDK+Ppz5zNYJ4xNKjmCPePvDHXXv9/Pt3pAF6yF96zANxxpoH2S90J6l2oJ0uG3+7RrHP8T1VU0GWPg==" saltValue="YqYdsnyDtIwWm146hIRskQ==" spinCount="100000" sheet="1" autoFilter="0"/>
  <customSheetViews>
    <customSheetView guid="{9FCFC836-1CA5-48BF-958D-24D2EA94B219}" fitToPage="1">
      <selection activeCell="A17" sqref="A17:C17"/>
      <pageMargins left="0" right="0" top="0" bottom="0" header="0" footer="0"/>
      <pageSetup scale="83" orientation="portrait" r:id="rId1"/>
      <headerFooter alignWithMargins="0">
        <oddFooter>&amp;R&amp;A</oddFooter>
      </headerFooter>
    </customSheetView>
    <customSheetView guid="{B08879A4-635B-4C39-9937-AC7883D562FC}" fitToPage="1">
      <selection activeCell="A17" sqref="A17:C17"/>
      <pageMargins left="0" right="0" top="0" bottom="0" header="0" footer="0"/>
      <pageSetup scale="83" orientation="portrait" r:id="rId2"/>
      <headerFooter alignWithMargins="0">
        <oddFooter>&amp;R&amp;A</oddFooter>
      </headerFooter>
    </customSheetView>
  </customSheetViews>
  <mergeCells count="38">
    <mergeCell ref="A50:C50"/>
    <mergeCell ref="A36:C36"/>
    <mergeCell ref="A37:C37"/>
    <mergeCell ref="A38:C38"/>
    <mergeCell ref="J38:K39"/>
    <mergeCell ref="A39:C39"/>
    <mergeCell ref="D46:H46"/>
    <mergeCell ref="A27:C27"/>
    <mergeCell ref="A28:C28"/>
    <mergeCell ref="A30:C30"/>
    <mergeCell ref="A32:C32"/>
    <mergeCell ref="A34:C34"/>
    <mergeCell ref="A31:C31"/>
    <mergeCell ref="A33:C33"/>
    <mergeCell ref="A23:C23"/>
    <mergeCell ref="A24:C24"/>
    <mergeCell ref="A26:C26"/>
    <mergeCell ref="J20:K20"/>
    <mergeCell ref="J22:K25"/>
    <mergeCell ref="A21:C21"/>
    <mergeCell ref="A22:C22"/>
    <mergeCell ref="A14:H14"/>
    <mergeCell ref="A17:C17"/>
    <mergeCell ref="D18:D19"/>
    <mergeCell ref="A16:C16"/>
    <mergeCell ref="A20:C20"/>
    <mergeCell ref="E18:E19"/>
    <mergeCell ref="F18:F19"/>
    <mergeCell ref="G18:G19"/>
    <mergeCell ref="H18:H19"/>
    <mergeCell ref="F7:I7"/>
    <mergeCell ref="F8:I8"/>
    <mergeCell ref="F9:I9"/>
    <mergeCell ref="A1:H1"/>
    <mergeCell ref="A2:H2"/>
    <mergeCell ref="A3:H3"/>
    <mergeCell ref="A4:H4"/>
    <mergeCell ref="F6:I6"/>
  </mergeCells>
  <conditionalFormatting sqref="H5">
    <cfRule type="cellIs" dxfId="99" priority="1" stopIfTrue="1" operator="equal">
      <formula>"na"</formula>
    </cfRule>
  </conditionalFormatting>
  <conditionalFormatting sqref="I1">
    <cfRule type="cellIs" dxfId="98" priority="2" stopIfTrue="1" operator="equal">
      <formula>"na"</formula>
    </cfRule>
  </conditionalFormatting>
  <dataValidations count="5">
    <dataValidation type="decimal" operator="greaterThanOrEqual" allowBlank="1" showInputMessage="1" showErrorMessage="1" errorTitle="Invalid Data" error="Amount cannot be negative" sqref="D26:H28 D20:H24 D30:H34 D36:H37" xr:uid="{00000000-0002-0000-1C00-000000000000}">
      <formula1>0</formula1>
    </dataValidation>
    <dataValidation type="list" allowBlank="1" showInputMessage="1" showErrorMessage="1" sqref="A26:A28 B35:C35 B26:C29" xr:uid="{00000000-0002-0000-1C00-000001000000}">
      <formula1>function</formula1>
    </dataValidation>
    <dataValidation type="textLength" operator="equal" allowBlank="1" showInputMessage="1" showErrorMessage="1" errorTitle="Invalid data!" error="GASB number must be 4 digits." sqref="D17:H17" xr:uid="{00000000-0002-0000-1C00-000002000000}">
      <formula1>4</formula1>
    </dataValidation>
    <dataValidation type="list" allowBlank="1" showInputMessage="1" showErrorMessage="1" sqref="A30:A34 B30:C32 B34:C34" xr:uid="{00000000-0002-0000-1C00-000003000000}">
      <formula1>functionC</formula1>
    </dataValidation>
    <dataValidation type="list" allowBlank="1" showInputMessage="1" showErrorMessage="1" sqref="A36:C37" xr:uid="{00000000-0002-0000-1C00-000004000000}">
      <formula1>functionA</formula1>
    </dataValidation>
  </dataValidations>
  <hyperlinks>
    <hyperlink ref="A1:H1" location="Index!A1" display="Index!A1" xr:uid="{00000000-0004-0000-1C00-000000000000}"/>
    <hyperlink ref="D12" r:id="rId3" display="https://www.osc.nc.gov/1015-statewide-accounting-policy-fund-balance-reporting" xr:uid="{25D6A107-8A30-410F-BA63-98B35CCEBF2C}"/>
  </hyperlinks>
  <pageMargins left="0.6" right="0.6" top="0.5" bottom="0.5" header="0.3" footer="0.3"/>
  <pageSetup scale="84" fitToHeight="0" orientation="portrait"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9">
    <pageSetUpPr fitToPage="1"/>
  </sheetPr>
  <dimension ref="A1:M47"/>
  <sheetViews>
    <sheetView zoomScaleNormal="100" workbookViewId="0">
      <selection activeCell="A15" sqref="A15"/>
    </sheetView>
  </sheetViews>
  <sheetFormatPr defaultColWidth="9.42578125" defaultRowHeight="15" x14ac:dyDescent="0.25"/>
  <cols>
    <col min="1" max="1" width="12.5703125" style="464" customWidth="1"/>
    <col min="2" max="2" width="8.5703125" style="464" customWidth="1"/>
    <col min="3" max="3" width="12.42578125" style="464" customWidth="1"/>
    <col min="4" max="8" width="15.5703125" style="464" customWidth="1"/>
    <col min="9" max="9" width="1.42578125" style="464" customWidth="1"/>
    <col min="10" max="10" width="4" style="464" customWidth="1"/>
    <col min="11" max="11" width="52.5703125" style="464" customWidth="1"/>
    <col min="12" max="12" width="15.7109375" style="464" customWidth="1"/>
    <col min="13" max="13" width="21" style="464" customWidth="1"/>
    <col min="14" max="16384" width="9.42578125" style="464"/>
  </cols>
  <sheetData>
    <row r="1" spans="1:9" ht="18" customHeight="1" x14ac:dyDescent="0.25">
      <c r="A1" s="2553" t="str">
        <f>Index!A1</f>
        <v xml:space="preserve">                                                               Office of the State Controller                                                                </v>
      </c>
      <c r="B1" s="2553"/>
      <c r="C1" s="2553"/>
      <c r="D1" s="2553"/>
      <c r="E1" s="2553"/>
      <c r="F1" s="2553"/>
      <c r="G1" s="2553"/>
      <c r="H1" s="2553"/>
      <c r="I1" s="2269"/>
    </row>
    <row r="2" spans="1:9" ht="18" customHeight="1" x14ac:dyDescent="0.25">
      <c r="A2" s="2765" t="str">
        <f>Index!A2</f>
        <v>2024 ACFR Worksheets</v>
      </c>
      <c r="B2" s="2765"/>
      <c r="C2" s="2765"/>
      <c r="D2" s="2765"/>
      <c r="E2" s="2765"/>
      <c r="F2" s="2765"/>
      <c r="G2" s="2765"/>
      <c r="H2" s="2765"/>
    </row>
    <row r="3" spans="1:9" ht="18" customHeight="1" x14ac:dyDescent="0.25">
      <c r="A3" s="2765" t="s">
        <v>1602</v>
      </c>
      <c r="B3" s="2765"/>
      <c r="C3" s="2765"/>
      <c r="D3" s="2765"/>
      <c r="E3" s="2765"/>
      <c r="F3" s="2765"/>
      <c r="G3" s="2765"/>
      <c r="H3" s="2765"/>
    </row>
    <row r="4" spans="1:9" ht="18" customHeight="1" x14ac:dyDescent="0.25">
      <c r="A4" s="2765" t="s">
        <v>1643</v>
      </c>
      <c r="B4" s="2765"/>
      <c r="C4" s="2765"/>
      <c r="D4" s="2765"/>
      <c r="E4" s="2765"/>
      <c r="F4" s="2765"/>
      <c r="G4" s="2765"/>
      <c r="H4" s="2765"/>
      <c r="I4" s="2347"/>
    </row>
    <row r="5" spans="1:9" ht="18" customHeight="1" x14ac:dyDescent="0.25">
      <c r="A5" s="1044"/>
      <c r="B5" s="1044"/>
      <c r="C5" s="1044"/>
      <c r="D5" s="1044"/>
      <c r="E5" s="1044"/>
      <c r="F5" s="536" t="s">
        <v>1604</v>
      </c>
      <c r="G5" s="1044"/>
      <c r="H5" s="853" t="str">
        <f>IF(Index!$B$56="na","NA","")</f>
        <v/>
      </c>
      <c r="I5" s="1044"/>
    </row>
    <row r="6" spans="1:9" ht="18" customHeight="1" x14ac:dyDescent="0.25">
      <c r="A6" s="1044"/>
      <c r="B6" s="1044"/>
      <c r="C6" s="1647"/>
      <c r="D6" s="1044"/>
      <c r="E6" s="1043" t="s">
        <v>318</v>
      </c>
      <c r="F6" s="2539" t="str">
        <f>+Index!$E$10</f>
        <v>01</v>
      </c>
      <c r="G6" s="2539"/>
      <c r="H6" s="2539"/>
      <c r="I6" s="2539"/>
    </row>
    <row r="7" spans="1:9" ht="18" customHeight="1" x14ac:dyDescent="0.25">
      <c r="A7" s="1044"/>
      <c r="B7" s="1044"/>
      <c r="C7" s="1044"/>
      <c r="D7" s="1044"/>
      <c r="E7" s="1043" t="s">
        <v>319</v>
      </c>
      <c r="F7" s="2535" t="str">
        <f>+Index!$E$11</f>
        <v>North Carolina General Assembly</v>
      </c>
      <c r="G7" s="2535"/>
      <c r="H7" s="2535"/>
      <c r="I7" s="2535"/>
    </row>
    <row r="8" spans="1:9" ht="18" customHeight="1" x14ac:dyDescent="0.25">
      <c r="A8" s="1044" t="s">
        <v>545</v>
      </c>
      <c r="B8" s="1044"/>
      <c r="C8" s="1648" t="s">
        <v>1644</v>
      </c>
      <c r="D8" s="1044"/>
      <c r="E8" s="1043" t="s">
        <v>320</v>
      </c>
      <c r="F8" s="2536" t="str">
        <f>CONCATENATE(Index!$E$12," ",Index!$E$14)</f>
        <v xml:space="preserve"> </v>
      </c>
      <c r="G8" s="2536"/>
      <c r="H8" s="2536"/>
      <c r="I8" s="2536"/>
    </row>
    <row r="9" spans="1:9" ht="18" customHeight="1" x14ac:dyDescent="0.25">
      <c r="A9" s="1044"/>
      <c r="B9" s="1044"/>
      <c r="C9" s="1647"/>
      <c r="D9" s="1044"/>
      <c r="E9" s="1043" t="s">
        <v>168</v>
      </c>
      <c r="F9" s="2536">
        <f>+Index!$E$13</f>
        <v>0</v>
      </c>
      <c r="G9" s="2536"/>
      <c r="H9" s="2536"/>
      <c r="I9" s="2536"/>
    </row>
    <row r="10" spans="1:9" ht="14.1" customHeight="1" thickBot="1" x14ac:dyDescent="0.3">
      <c r="A10" s="1649"/>
      <c r="B10" s="1649"/>
      <c r="C10" s="1649"/>
      <c r="D10" s="1649"/>
      <c r="E10" s="1649"/>
      <c r="F10" s="1649"/>
      <c r="G10" s="1649"/>
      <c r="H10" s="1649"/>
      <c r="I10" s="1044"/>
    </row>
    <row r="11" spans="1:9" x14ac:dyDescent="0.25">
      <c r="A11" s="1044"/>
      <c r="B11" s="1044"/>
      <c r="C11" s="1044"/>
      <c r="D11" s="1044"/>
      <c r="E11" s="1044"/>
      <c r="F11" s="1044"/>
      <c r="G11" s="1044"/>
      <c r="H11" s="1044"/>
      <c r="I11" s="1044"/>
    </row>
    <row r="12" spans="1:9" x14ac:dyDescent="0.25">
      <c r="B12" s="1044"/>
      <c r="C12" s="1043" t="s">
        <v>1527</v>
      </c>
      <c r="D12" s="664" t="s">
        <v>1645</v>
      </c>
      <c r="E12" s="1044"/>
      <c r="G12" s="1044"/>
      <c r="H12" s="1044"/>
      <c r="I12" s="1044"/>
    </row>
    <row r="13" spans="1:9" ht="17.100000000000001" customHeight="1" x14ac:dyDescent="0.25">
      <c r="A13" s="1044"/>
      <c r="B13" s="1044"/>
      <c r="C13" s="1044"/>
      <c r="D13" s="1044"/>
      <c r="E13" s="1044"/>
      <c r="F13" s="1044"/>
      <c r="G13" s="1044"/>
      <c r="H13" s="1044"/>
      <c r="I13" s="1044"/>
    </row>
    <row r="14" spans="1:9" ht="30" customHeight="1" x14ac:dyDescent="0.25">
      <c r="A14" s="2766" t="s">
        <v>1607</v>
      </c>
      <c r="B14" s="2767"/>
      <c r="C14" s="2768"/>
      <c r="D14" s="2768"/>
      <c r="E14" s="2768"/>
      <c r="F14" s="2768"/>
      <c r="G14" s="2768"/>
      <c r="H14" s="2769"/>
      <c r="I14" s="537"/>
    </row>
    <row r="15" spans="1:9" ht="17.100000000000001" customHeight="1" x14ac:dyDescent="0.25">
      <c r="A15" s="1650"/>
      <c r="B15" s="1650"/>
      <c r="C15" s="537"/>
      <c r="D15" s="537"/>
      <c r="E15" s="537"/>
      <c r="F15" s="537"/>
      <c r="G15" s="537"/>
      <c r="H15" s="537"/>
      <c r="I15" s="537"/>
    </row>
    <row r="16" spans="1:9" x14ac:dyDescent="0.25">
      <c r="A16" s="1044"/>
      <c r="B16" s="1044"/>
      <c r="C16" s="1044"/>
      <c r="D16" s="538" t="s">
        <v>1573</v>
      </c>
      <c r="E16" s="539" t="s">
        <v>1573</v>
      </c>
      <c r="F16" s="539" t="s">
        <v>1573</v>
      </c>
      <c r="G16" s="539" t="s">
        <v>1573</v>
      </c>
      <c r="H16" s="539" t="s">
        <v>1573</v>
      </c>
      <c r="I16" s="543"/>
    </row>
    <row r="17" spans="1:13" x14ac:dyDescent="0.25">
      <c r="A17" s="2770" t="s">
        <v>1608</v>
      </c>
      <c r="B17" s="2770"/>
      <c r="C17" s="2770"/>
      <c r="D17" s="696"/>
      <c r="E17" s="1658"/>
      <c r="F17" s="696"/>
      <c r="G17" s="696"/>
      <c r="H17" s="1659"/>
      <c r="I17" s="1660"/>
    </row>
    <row r="18" spans="1:13" ht="17.100000000000001" customHeight="1" x14ac:dyDescent="0.25">
      <c r="A18" s="465" t="s">
        <v>1609</v>
      </c>
      <c r="B18" s="2353"/>
      <c r="C18" s="2352"/>
      <c r="D18" s="2771"/>
      <c r="E18" s="2771"/>
      <c r="F18" s="2771"/>
      <c r="G18" s="2771"/>
      <c r="H18" s="2771"/>
      <c r="I18" s="1661"/>
    </row>
    <row r="19" spans="1:13" ht="17.100000000000001" customHeight="1" x14ac:dyDescent="0.25">
      <c r="A19" s="2353" t="s">
        <v>1610</v>
      </c>
      <c r="B19" s="2353"/>
      <c r="C19" s="2352"/>
      <c r="D19" s="2772"/>
      <c r="E19" s="2772"/>
      <c r="F19" s="2772"/>
      <c r="G19" s="2772"/>
      <c r="H19" s="2772"/>
      <c r="I19" s="1661"/>
    </row>
    <row r="20" spans="1:13" ht="28.35" customHeight="1" x14ac:dyDescent="0.25">
      <c r="A20" s="2774" t="s">
        <v>1611</v>
      </c>
      <c r="B20" s="2774"/>
      <c r="C20" s="2774"/>
      <c r="D20" s="1662"/>
      <c r="E20" s="1662"/>
      <c r="F20" s="1662"/>
      <c r="G20" s="1662"/>
      <c r="H20" s="1663"/>
      <c r="I20" s="1661"/>
      <c r="J20" s="2779" t="s">
        <v>1612</v>
      </c>
      <c r="K20" s="2779"/>
      <c r="L20" s="1329" t="s">
        <v>1613</v>
      </c>
      <c r="M20" s="1329" t="s">
        <v>680</v>
      </c>
    </row>
    <row r="21" spans="1:13" ht="17.100000000000001" customHeight="1" x14ac:dyDescent="0.25">
      <c r="A21" s="2784" t="s">
        <v>1614</v>
      </c>
      <c r="B21" s="2548"/>
      <c r="C21" s="2785"/>
      <c r="D21" s="1662"/>
      <c r="E21" s="1662"/>
      <c r="F21" s="1662"/>
      <c r="G21" s="1662"/>
      <c r="H21" s="1663"/>
      <c r="I21" s="1661"/>
      <c r="J21" s="2797" t="s">
        <v>1615</v>
      </c>
      <c r="K21" s="2694"/>
      <c r="L21" s="1329" t="s">
        <v>1616</v>
      </c>
      <c r="M21" s="1329" t="s">
        <v>680</v>
      </c>
    </row>
    <row r="22" spans="1:13" ht="17.100000000000001" customHeight="1" x14ac:dyDescent="0.25">
      <c r="A22" s="2353" t="s">
        <v>1624</v>
      </c>
      <c r="B22" s="2352"/>
      <c r="C22" s="2352"/>
      <c r="D22" s="1664"/>
      <c r="E22" s="1652"/>
      <c r="F22" s="1652"/>
      <c r="G22" s="1652"/>
      <c r="H22" s="1652"/>
      <c r="I22" s="1661"/>
      <c r="J22" s="2782"/>
      <c r="K22" s="2782"/>
      <c r="L22" s="1329"/>
      <c r="M22" s="1329"/>
    </row>
    <row r="23" spans="1:13" ht="17.100000000000001" customHeight="1" x14ac:dyDescent="0.25">
      <c r="A23" s="2778" t="s">
        <v>1625</v>
      </c>
      <c r="B23" s="2778"/>
      <c r="C23" s="2778"/>
      <c r="D23" s="1662"/>
      <c r="E23" s="1662"/>
      <c r="F23" s="1662"/>
      <c r="G23" s="1662"/>
      <c r="H23" s="1663"/>
      <c r="I23" s="1661"/>
      <c r="J23" s="2782"/>
      <c r="K23" s="2782"/>
      <c r="L23" s="1329" t="s">
        <v>1626</v>
      </c>
      <c r="M23" s="1329" t="str">
        <f>IF(A23="General Government","Gen Gov",
IF(A23="Primary and secondary education","Prim Sec Ed",
IF(A23="Higher Education","Higher Ed",
IF(A23="Higher education student aid","Higher Ed stu aid",
IF(A23="Health and human services","HHS",
IF(A23="Economic development","Econ Dev",
IF(A23="Environment and natural resources","ENR",
IF(A23="Public safety, corrections, and regulation","Public Safety",
IF(A23="Transportation","Trans",
IF(A23="Highway construction/preservation","Highway Const",
IF(A23="Highway maintenance","Highway Const",
IF(A23="Debt Service","Debt Serv",
IF(A23="Agriculture","Agric",
IF(A23="Capital projects/repairs and renovations","CapProjectsReno",
IF(A23="Disaster relief (OSC only)","Relief",
IF(A23="Subsequent year's budget (OSC only)","SubsYearBudget",
"No Function"))))))))))))))))</f>
        <v>No Function</v>
      </c>
    </row>
    <row r="24" spans="1:13" ht="17.100000000000001" customHeight="1" x14ac:dyDescent="0.25">
      <c r="A24" s="2778" t="s">
        <v>1625</v>
      </c>
      <c r="B24" s="2778"/>
      <c r="C24" s="2778"/>
      <c r="D24" s="1662"/>
      <c r="E24" s="1662"/>
      <c r="F24" s="1662"/>
      <c r="G24" s="1662"/>
      <c r="H24" s="1663"/>
      <c r="I24" s="1661"/>
      <c r="J24" s="2783"/>
      <c r="K24" s="2783"/>
      <c r="L24" s="1329" t="s">
        <v>1626</v>
      </c>
      <c r="M24" s="1329" t="str">
        <f t="shared" ref="M24:M34" si="0">IF(A24="General Government","Gen Gov",
IF(A24="Primary and secondary education","Prim Sec Ed",
IF(A24="Higher Education","Higher Ed",
IF(A24="Higher education student aid","Higher Ed stu aid",
IF(A24="Health and human services","HHS",
IF(A24="Economic development","Econ Dev",
IF(A24="Environment and natural resources","ENR",
IF(A24="Public safety, corrections, and regulation","Public Safety",
IF(A24="Transportation","Trans",
IF(A24="Highway construction/preservation","Highway Const",
IF(A24="Highway maintenance","Highway Const",
IF(A24="Debt Service","Debt Serv",
IF(A24="Agriculture","Agric",
IF(A24="Capital projects/repairs and renovations","CapProjectsReno",
IF(A24="Disaster relief (OSC only)","Relief",
IF(A24="Subsequent year's budget (OSC only)","SubsYearBudget",
"No Function"))))))))))))))))</f>
        <v>No Function</v>
      </c>
    </row>
    <row r="25" spans="1:13" ht="17.100000000000001" customHeight="1" x14ac:dyDescent="0.25">
      <c r="A25" s="2778" t="s">
        <v>1625</v>
      </c>
      <c r="B25" s="2778"/>
      <c r="C25" s="2778"/>
      <c r="D25" s="1662"/>
      <c r="E25" s="1662"/>
      <c r="F25" s="1662"/>
      <c r="G25" s="1662"/>
      <c r="H25" s="1663"/>
      <c r="I25" s="1661"/>
      <c r="J25" s="2320"/>
      <c r="K25" s="2320"/>
      <c r="L25" s="1329" t="s">
        <v>1626</v>
      </c>
      <c r="M25" s="1329" t="str">
        <f t="shared" si="0"/>
        <v>No Function</v>
      </c>
    </row>
    <row r="26" spans="1:13" ht="17.100000000000001" customHeight="1" x14ac:dyDescent="0.25">
      <c r="A26" s="2778" t="s">
        <v>1625</v>
      </c>
      <c r="B26" s="2778"/>
      <c r="C26" s="2778"/>
      <c r="D26" s="1662"/>
      <c r="E26" s="1662"/>
      <c r="F26" s="1662"/>
      <c r="G26" s="1662"/>
      <c r="H26" s="1663"/>
      <c r="I26" s="1661"/>
      <c r="L26" s="1329" t="s">
        <v>1626</v>
      </c>
      <c r="M26" s="1329" t="str">
        <f t="shared" si="0"/>
        <v>No Function</v>
      </c>
    </row>
    <row r="27" spans="1:13" ht="17.100000000000001" customHeight="1" x14ac:dyDescent="0.25">
      <c r="A27" s="2353" t="s">
        <v>1627</v>
      </c>
      <c r="B27" s="2350"/>
      <c r="C27" s="2350"/>
      <c r="D27" s="1664"/>
      <c r="E27" s="1664"/>
      <c r="F27" s="1664"/>
      <c r="G27" s="1664"/>
      <c r="H27" s="1652"/>
      <c r="I27" s="1661"/>
      <c r="L27" s="1329"/>
      <c r="M27" s="1329"/>
    </row>
    <row r="28" spans="1:13" ht="17.100000000000001" customHeight="1" x14ac:dyDescent="0.25">
      <c r="A28" s="2778" t="s">
        <v>1625</v>
      </c>
      <c r="B28" s="2778"/>
      <c r="C28" s="2778"/>
      <c r="D28" s="1662"/>
      <c r="E28" s="1662"/>
      <c r="F28" s="1662"/>
      <c r="G28" s="1662"/>
      <c r="H28" s="1663"/>
      <c r="I28" s="1661"/>
      <c r="L28" s="1329" t="s">
        <v>1628</v>
      </c>
      <c r="M28" s="1329" t="str">
        <f t="shared" si="0"/>
        <v>No Function</v>
      </c>
    </row>
    <row r="29" spans="1:13" ht="17.100000000000001" customHeight="1" x14ac:dyDescent="0.25">
      <c r="A29" s="2778" t="s">
        <v>1625</v>
      </c>
      <c r="B29" s="2778"/>
      <c r="C29" s="2778"/>
      <c r="D29" s="1662"/>
      <c r="E29" s="1662"/>
      <c r="F29" s="1662"/>
      <c r="G29" s="1662"/>
      <c r="H29" s="1663"/>
      <c r="I29" s="1661"/>
      <c r="L29" s="1329" t="s">
        <v>1628</v>
      </c>
      <c r="M29" s="1329" t="str">
        <f t="shared" si="0"/>
        <v>No Function</v>
      </c>
    </row>
    <row r="30" spans="1:13" ht="17.100000000000001" customHeight="1" x14ac:dyDescent="0.25">
      <c r="A30" s="2778" t="s">
        <v>1625</v>
      </c>
      <c r="B30" s="2778"/>
      <c r="C30" s="2778"/>
      <c r="D30" s="1662"/>
      <c r="E30" s="1662"/>
      <c r="F30" s="1662"/>
      <c r="G30" s="1662"/>
      <c r="H30" s="1663"/>
      <c r="I30" s="1661"/>
      <c r="L30" s="1329" t="s">
        <v>1628</v>
      </c>
      <c r="M30" s="1329" t="str">
        <f t="shared" si="0"/>
        <v>No Function</v>
      </c>
    </row>
    <row r="31" spans="1:13" ht="17.100000000000001" customHeight="1" x14ac:dyDescent="0.25">
      <c r="A31" s="2353" t="s">
        <v>1629</v>
      </c>
      <c r="B31" s="2350"/>
      <c r="C31" s="2350"/>
      <c r="D31" s="1664"/>
      <c r="E31" s="1664"/>
      <c r="F31" s="1664"/>
      <c r="G31" s="1664"/>
      <c r="H31" s="1652"/>
      <c r="I31" s="1661"/>
      <c r="L31" s="1329"/>
      <c r="M31" s="1329"/>
    </row>
    <row r="32" spans="1:13" ht="17.100000000000001" customHeight="1" x14ac:dyDescent="0.25">
      <c r="A32" s="2778" t="s">
        <v>1625</v>
      </c>
      <c r="B32" s="2778"/>
      <c r="C32" s="2778"/>
      <c r="D32" s="1662"/>
      <c r="E32" s="1662"/>
      <c r="F32" s="1662"/>
      <c r="G32" s="1662"/>
      <c r="H32" s="1663"/>
      <c r="I32" s="1661"/>
      <c r="L32" s="1329" t="s">
        <v>1630</v>
      </c>
      <c r="M32" s="1329" t="str">
        <f t="shared" si="0"/>
        <v>No Function</v>
      </c>
    </row>
    <row r="33" spans="1:13" ht="17.100000000000001" customHeight="1" x14ac:dyDescent="0.25">
      <c r="A33" s="2778" t="s">
        <v>1625</v>
      </c>
      <c r="B33" s="2778"/>
      <c r="C33" s="2778"/>
      <c r="D33" s="1662"/>
      <c r="E33" s="1662"/>
      <c r="F33" s="1662"/>
      <c r="G33" s="1662"/>
      <c r="H33" s="1663"/>
      <c r="I33" s="1661"/>
      <c r="L33" s="1329" t="s">
        <v>1630</v>
      </c>
      <c r="M33" s="1329" t="str">
        <f t="shared" si="0"/>
        <v>No Function</v>
      </c>
    </row>
    <row r="34" spans="1:13" ht="17.100000000000001" customHeight="1" x14ac:dyDescent="0.25">
      <c r="A34" s="2778" t="s">
        <v>1625</v>
      </c>
      <c r="B34" s="2778"/>
      <c r="C34" s="2778"/>
      <c r="D34" s="1662"/>
      <c r="E34" s="1662"/>
      <c r="F34" s="1662"/>
      <c r="G34" s="1662"/>
      <c r="H34" s="1663"/>
      <c r="I34" s="1661"/>
      <c r="L34" s="1329" t="s">
        <v>1630</v>
      </c>
      <c r="M34" s="1329" t="str">
        <f t="shared" si="0"/>
        <v>No Function</v>
      </c>
    </row>
    <row r="35" spans="1:13" ht="17.100000000000001" customHeight="1" x14ac:dyDescent="0.25">
      <c r="A35" s="2790" t="s">
        <v>1646</v>
      </c>
      <c r="B35" s="2791"/>
      <c r="C35" s="2792"/>
      <c r="D35" s="1662"/>
      <c r="E35" s="1662"/>
      <c r="F35" s="1662"/>
      <c r="G35" s="1662"/>
      <c r="H35" s="1663"/>
      <c r="I35" s="1661"/>
      <c r="J35" s="2793" t="s">
        <v>1647</v>
      </c>
      <c r="K35" s="2794"/>
      <c r="L35" s="1329" t="s">
        <v>1631</v>
      </c>
      <c r="M35" s="1329" t="s">
        <v>680</v>
      </c>
    </row>
    <row r="36" spans="1:13" ht="27.75" customHeight="1" thickBot="1" x14ac:dyDescent="0.3">
      <c r="A36" s="2795" t="s">
        <v>1632</v>
      </c>
      <c r="B36" s="2794"/>
      <c r="C36" s="2786"/>
      <c r="D36" s="1654">
        <f>D20+D21+SUM(D23:D26)+SUM(D28:D30)+SUM(D32:D35)</f>
        <v>0</v>
      </c>
      <c r="E36" s="1654">
        <f>E20+E21+SUM(E23:E26)+SUM(E28:E30)+SUM(E32:E35)</f>
        <v>0</v>
      </c>
      <c r="F36" s="1654">
        <f>F20+F21+SUM(F23:F26)+SUM(F28:F30)+SUM(F32:F35)</f>
        <v>0</v>
      </c>
      <c r="G36" s="1654">
        <f>G20+G21+SUM(G23:G26)+SUM(G28:G30)+SUM(G32:G35)</f>
        <v>0</v>
      </c>
      <c r="H36" s="1654">
        <f>H20+H21+SUM(H23:H26)+SUM(H28:H30)+SUM(H32:H35)</f>
        <v>0</v>
      </c>
      <c r="I36" s="1665"/>
      <c r="J36" s="2794"/>
      <c r="K36" s="2794"/>
    </row>
    <row r="37" spans="1:13" ht="12.75" customHeight="1" thickTop="1" x14ac:dyDescent="0.25">
      <c r="A37" s="541"/>
      <c r="B37" s="541"/>
      <c r="C37" s="541"/>
      <c r="D37" s="541"/>
      <c r="E37" s="541"/>
      <c r="F37" s="541"/>
      <c r="G37" s="541"/>
      <c r="H37" s="541"/>
      <c r="I37" s="541"/>
      <c r="J37" s="544"/>
      <c r="K37" s="544"/>
    </row>
    <row r="38" spans="1:13" ht="12.75" customHeight="1" x14ac:dyDescent="0.25">
      <c r="A38" s="465" t="s">
        <v>1633</v>
      </c>
      <c r="B38" s="1655" t="s">
        <v>1634</v>
      </c>
      <c r="C38" s="2352"/>
      <c r="D38" s="2353"/>
      <c r="E38" s="2353"/>
      <c r="F38" s="2353"/>
      <c r="G38" s="2353"/>
      <c r="H38" s="2353"/>
      <c r="I38" s="2353"/>
      <c r="J38" s="545"/>
    </row>
    <row r="39" spans="1:13" ht="12.75" customHeight="1" x14ac:dyDescent="0.25">
      <c r="A39" s="465"/>
      <c r="B39" s="1655" t="s">
        <v>1635</v>
      </c>
      <c r="C39" s="2352"/>
      <c r="D39" s="2353"/>
      <c r="E39" s="2353"/>
      <c r="F39" s="2353"/>
      <c r="G39" s="2353"/>
      <c r="H39" s="2353"/>
      <c r="I39" s="2353"/>
    </row>
    <row r="40" spans="1:13" ht="12.75" customHeight="1" x14ac:dyDescent="0.25">
      <c r="A40" s="465"/>
      <c r="B40" s="1655" t="s">
        <v>1636</v>
      </c>
      <c r="C40" s="2352"/>
      <c r="D40" s="2353"/>
      <c r="E40" s="2353"/>
      <c r="F40" s="2353"/>
      <c r="G40" s="2353"/>
      <c r="H40" s="2353"/>
      <c r="I40" s="2353"/>
    </row>
    <row r="41" spans="1:13" ht="15" customHeight="1" x14ac:dyDescent="0.25">
      <c r="A41" s="465" t="s">
        <v>1637</v>
      </c>
      <c r="B41" s="1655" t="s">
        <v>1638</v>
      </c>
      <c r="C41" s="2352"/>
      <c r="D41" s="2353"/>
      <c r="E41" s="2353"/>
      <c r="F41" s="2353"/>
      <c r="G41" s="2353"/>
      <c r="H41" s="2353"/>
      <c r="I41" s="2353"/>
    </row>
    <row r="42" spans="1:13" ht="12.75" customHeight="1" x14ac:dyDescent="0.25">
      <c r="A42" s="465"/>
      <c r="B42" s="2352"/>
      <c r="C42" s="2352"/>
      <c r="D42" s="2353"/>
      <c r="E42" s="2353"/>
      <c r="F42" s="2353"/>
      <c r="G42" s="2353"/>
      <c r="H42" s="2353"/>
      <c r="I42" s="2353"/>
    </row>
    <row r="43" spans="1:13" x14ac:dyDescent="0.25">
      <c r="D43" s="2796" t="s">
        <v>1639</v>
      </c>
      <c r="E43" s="2796"/>
      <c r="F43" s="2796"/>
      <c r="G43" s="2796"/>
      <c r="H43" s="2796"/>
      <c r="I43" s="546"/>
    </row>
    <row r="44" spans="1:13" ht="17.100000000000001" customHeight="1" x14ac:dyDescent="0.25">
      <c r="A44" s="2353" t="s">
        <v>1626</v>
      </c>
      <c r="B44" s="2353"/>
      <c r="C44" s="2353"/>
      <c r="D44" s="829">
        <f>D23+D24+D25+D26+D21</f>
        <v>0</v>
      </c>
      <c r="E44" s="829">
        <f t="shared" ref="E44:H44" si="1">E23+E24+E25+E26+E21</f>
        <v>0</v>
      </c>
      <c r="F44" s="829">
        <f t="shared" si="1"/>
        <v>0</v>
      </c>
      <c r="G44" s="829">
        <f t="shared" si="1"/>
        <v>0</v>
      </c>
      <c r="H44" s="829">
        <f t="shared" si="1"/>
        <v>0</v>
      </c>
      <c r="I44" s="547"/>
    </row>
    <row r="45" spans="1:13" ht="17.100000000000001" customHeight="1" x14ac:dyDescent="0.25">
      <c r="A45" s="2353" t="s">
        <v>1640</v>
      </c>
      <c r="B45" s="2353"/>
      <c r="C45" s="2353"/>
      <c r="D45" s="829">
        <f>D20+SUM(D28:D30)+SUM(D32:D35)</f>
        <v>0</v>
      </c>
      <c r="E45" s="829">
        <f>E20+SUM(E28:E30)+SUM(E32:E35)</f>
        <v>0</v>
      </c>
      <c r="F45" s="829">
        <f>F20+SUM(F28:F30)+SUM(F32:F35)</f>
        <v>0</v>
      </c>
      <c r="G45" s="829">
        <f>G20+SUM(G28:G30)+SUM(G32:G35)</f>
        <v>0</v>
      </c>
      <c r="H45" s="829">
        <f>H20+SUM(H28:H30)+SUM(H32:H35)</f>
        <v>0</v>
      </c>
      <c r="I45" s="1666"/>
    </row>
    <row r="46" spans="1:13" ht="17.100000000000001" customHeight="1" thickBot="1" x14ac:dyDescent="0.3">
      <c r="A46" s="2353" t="s">
        <v>1641</v>
      </c>
      <c r="B46" s="2353"/>
      <c r="C46" s="2353"/>
      <c r="D46" s="1656">
        <f>SUM(D44:D45)</f>
        <v>0</v>
      </c>
      <c r="E46" s="1656">
        <f>SUM(E44:E45)</f>
        <v>0</v>
      </c>
      <c r="F46" s="1656">
        <f>SUM(F44:F45)</f>
        <v>0</v>
      </c>
      <c r="G46" s="1656">
        <f>SUM(G44:G45)</f>
        <v>0</v>
      </c>
      <c r="H46" s="1656">
        <f>SUM(H44:H45)</f>
        <v>0</v>
      </c>
      <c r="I46" s="1666"/>
    </row>
    <row r="47" spans="1:13" ht="17.100000000000001" customHeight="1" thickTop="1" x14ac:dyDescent="0.25">
      <c r="A47" s="2789" t="s">
        <v>1642</v>
      </c>
      <c r="B47" s="2789"/>
      <c r="C47" s="2789"/>
      <c r="D47" s="542"/>
      <c r="E47" s="542" t="str">
        <f>IF(E48&lt;&gt;0,"Out of Balance","")</f>
        <v/>
      </c>
      <c r="F47" s="542" t="str">
        <f>IF(F48&lt;&gt;0,"Out of Balance","")</f>
        <v/>
      </c>
      <c r="G47" s="542" t="str">
        <f>IF(G48&lt;&gt;0,"Out of Balance","")</f>
        <v/>
      </c>
      <c r="H47" s="542" t="str">
        <f>IF(H48&lt;&gt;0,"Out of Balance","")</f>
        <v/>
      </c>
      <c r="I47" s="542"/>
    </row>
  </sheetData>
  <sheetProtection algorithmName="SHA-512" hashValue="J8MlyJbd4WPtlWyWcVfiz+FPygdPY3j2S9hcn3534ZXvhtYSK3rrf+eKz7tifGBnuowyWKLTf+IsHTrXVqGdYA==" saltValue="jUI0+mSnLfwEUNZjePspww==" spinCount="100000" sheet="1" autoFilter="0"/>
  <customSheetViews>
    <customSheetView guid="{9FCFC836-1CA5-48BF-958D-24D2EA94B219}" fitToPage="1" topLeftCell="A16">
      <selection activeCell="A26" sqref="A26:C26"/>
      <pageMargins left="0" right="0" top="0" bottom="0" header="0" footer="0"/>
      <pageSetup scale="83" orientation="portrait" r:id="rId1"/>
      <headerFooter>
        <oddFooter>&amp;R&amp;A</oddFooter>
      </headerFooter>
    </customSheetView>
    <customSheetView guid="{B08879A4-635B-4C39-9937-AC7883D562FC}" fitToPage="1" topLeftCell="A16">
      <selection activeCell="A26" sqref="A26:C26"/>
      <pageMargins left="0" right="0" top="0" bottom="0" header="0" footer="0"/>
      <pageSetup scale="83" orientation="portrait" r:id="rId2"/>
      <headerFooter>
        <oddFooter>&amp;R&amp;A</oddFooter>
      </headerFooter>
    </customSheetView>
  </customSheetViews>
  <mergeCells count="35">
    <mergeCell ref="D43:H43"/>
    <mergeCell ref="A47:C47"/>
    <mergeCell ref="A30:C30"/>
    <mergeCell ref="A32:C32"/>
    <mergeCell ref="A33:C33"/>
    <mergeCell ref="A34:C34"/>
    <mergeCell ref="A35:C35"/>
    <mergeCell ref="J35:K36"/>
    <mergeCell ref="A36:C36"/>
    <mergeCell ref="A20:C20"/>
    <mergeCell ref="A23:C23"/>
    <mergeCell ref="A24:C24"/>
    <mergeCell ref="A26:C26"/>
    <mergeCell ref="A28:C28"/>
    <mergeCell ref="A29:C29"/>
    <mergeCell ref="J20:K20"/>
    <mergeCell ref="A21:C21"/>
    <mergeCell ref="A25:C25"/>
    <mergeCell ref="A1:H1"/>
    <mergeCell ref="A2:H2"/>
    <mergeCell ref="A3:H3"/>
    <mergeCell ref="A4:H4"/>
    <mergeCell ref="F6:I6"/>
    <mergeCell ref="A14:H14"/>
    <mergeCell ref="J22:K24"/>
    <mergeCell ref="J21:K21"/>
    <mergeCell ref="F7:I7"/>
    <mergeCell ref="F8:I8"/>
    <mergeCell ref="F9:I9"/>
    <mergeCell ref="A17:C17"/>
    <mergeCell ref="D18:D19"/>
    <mergeCell ref="E18:E19"/>
    <mergeCell ref="F18:F19"/>
    <mergeCell ref="G18:G19"/>
    <mergeCell ref="H18:H19"/>
  </mergeCells>
  <conditionalFormatting sqref="H5">
    <cfRule type="containsText" dxfId="97" priority="1" stopIfTrue="1" operator="containsText" text="NA">
      <formula>NOT(ISERROR(SEARCH("NA",H5)))</formula>
    </cfRule>
  </conditionalFormatting>
  <conditionalFormatting sqref="I1">
    <cfRule type="cellIs" dxfId="96" priority="2" stopIfTrue="1" operator="equal">
      <formula>"na"</formula>
    </cfRule>
  </conditionalFormatting>
  <conditionalFormatting sqref="I2:J3">
    <cfRule type="cellIs" dxfId="95" priority="3" stopIfTrue="1" operator="equal">
      <formula>"na"</formula>
    </cfRule>
  </conditionalFormatting>
  <dataValidations count="6">
    <dataValidation type="textLength" operator="equal" allowBlank="1" showInputMessage="1" showErrorMessage="1" errorTitle="Invalid data!" error="GASB number must be 4 digits." sqref="D17:I17" xr:uid="{00000000-0002-0000-1D00-000000000000}">
      <formula1>4</formula1>
    </dataValidation>
    <dataValidation type="decimal" operator="lessThanOrEqual" allowBlank="1" showInputMessage="1" showErrorMessage="1" errorTitle="Invalid Data" error="Cannot have positive &quot;Unassigned&quot; fund balance in funds other than the General Fund" sqref="D35:I35" xr:uid="{00000000-0002-0000-1D00-000001000000}">
      <formula1>0</formula1>
    </dataValidation>
    <dataValidation type="list" allowBlank="1" showInputMessage="1" showErrorMessage="1" sqref="B31:C31 B23:C27 A23:A26" xr:uid="{00000000-0002-0000-1D00-000002000000}">
      <formula1>function</formula1>
    </dataValidation>
    <dataValidation type="decimal" operator="greaterThanOrEqual" allowBlank="1" showInputMessage="1" showErrorMessage="1" errorTitle="Invalid Data" error="Amount cannot be negative" sqref="D23:I26 D28:I30 D32:I34 D20:I21" xr:uid="{00000000-0002-0000-1D00-000003000000}">
      <formula1>0</formula1>
    </dataValidation>
    <dataValidation type="list" allowBlank="1" showInputMessage="1" showErrorMessage="1" sqref="A28:C30" xr:uid="{00000000-0002-0000-1D00-000004000000}">
      <formula1>functionC</formula1>
    </dataValidation>
    <dataValidation type="list" allowBlank="1" showInputMessage="1" showErrorMessage="1" sqref="A32:C34" xr:uid="{00000000-0002-0000-1D00-000005000000}">
      <formula1>functionA</formula1>
    </dataValidation>
  </dataValidations>
  <hyperlinks>
    <hyperlink ref="A1:H1" location="Index!A1" display="Index!A1" xr:uid="{00000000-0004-0000-1D00-000000000000}"/>
    <hyperlink ref="D12" r:id="rId3" xr:uid="{00000000-0004-0000-1D00-000001000000}"/>
  </hyperlinks>
  <pageMargins left="0.6" right="0.6" top="0.5" bottom="0.5" header="0.3" footer="0.3"/>
  <pageSetup scale="84" fitToHeight="0"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D9F27-0C6F-4870-BA55-887DBFDD3F09}">
  <sheetPr codeName="Sheet99">
    <pageSetUpPr fitToPage="1"/>
  </sheetPr>
  <dimension ref="A1:P114"/>
  <sheetViews>
    <sheetView zoomScale="145" zoomScaleNormal="145" workbookViewId="0">
      <selection activeCell="H15" sqref="H15"/>
    </sheetView>
  </sheetViews>
  <sheetFormatPr defaultRowHeight="12.75" x14ac:dyDescent="0.2"/>
  <cols>
    <col min="12" max="12" width="13.28515625" customWidth="1"/>
  </cols>
  <sheetData>
    <row r="1" spans="1:14" ht="15.75" x14ac:dyDescent="0.25">
      <c r="A1" s="2532" t="s">
        <v>0</v>
      </c>
      <c r="B1" s="2532"/>
      <c r="C1" s="2532"/>
      <c r="D1" s="2532"/>
      <c r="E1" s="2532"/>
      <c r="F1" s="2532"/>
      <c r="G1" s="2532"/>
      <c r="H1" s="2532"/>
      <c r="I1" s="2532"/>
      <c r="J1" s="2532"/>
      <c r="K1" s="2532"/>
      <c r="L1" s="2532"/>
      <c r="M1" s="2532"/>
      <c r="N1" s="2532"/>
    </row>
    <row r="2" spans="1:14" ht="15.75" x14ac:dyDescent="0.25">
      <c r="A2" s="2532" t="str">
        <f>CONCATENATE(YEAR(Data!A2)," ACFR Worksheets")</f>
        <v>2024 ACFR Worksheets</v>
      </c>
      <c r="B2" s="2532"/>
      <c r="C2" s="2532"/>
      <c r="D2" s="2532"/>
      <c r="E2" s="2532"/>
      <c r="F2" s="2532"/>
      <c r="G2" s="2532"/>
      <c r="H2" s="2532"/>
      <c r="I2" s="2532"/>
      <c r="J2" s="2532"/>
      <c r="K2" s="2532"/>
      <c r="L2" s="2532"/>
      <c r="M2" s="2532"/>
      <c r="N2" s="1397"/>
    </row>
    <row r="3" spans="1:14" ht="16.5" thickBot="1" x14ac:dyDescent="0.3">
      <c r="A3" s="2532" t="s">
        <v>60</v>
      </c>
      <c r="B3" s="2532"/>
      <c r="C3" s="2532"/>
      <c r="D3" s="2532"/>
      <c r="E3" s="2532"/>
      <c r="F3" s="2532"/>
      <c r="G3" s="2532"/>
      <c r="H3" s="2532"/>
      <c r="I3" s="2532"/>
      <c r="J3" s="2532"/>
      <c r="K3" s="2532"/>
      <c r="L3" s="2532"/>
      <c r="M3" s="2532"/>
      <c r="N3" s="1397"/>
    </row>
    <row r="4" spans="1:14" x14ac:dyDescent="0.2">
      <c r="B4" s="1386"/>
      <c r="C4" s="1389"/>
      <c r="D4" s="1389"/>
      <c r="E4" s="1389"/>
      <c r="F4" s="1389"/>
      <c r="G4" s="1389"/>
      <c r="H4" s="1389"/>
      <c r="I4" s="1389"/>
      <c r="J4" s="1389"/>
      <c r="K4" s="1389"/>
      <c r="L4" s="1389"/>
      <c r="M4" s="1392"/>
    </row>
    <row r="5" spans="1:14" x14ac:dyDescent="0.2">
      <c r="B5" s="1387"/>
      <c r="M5" s="1393"/>
    </row>
    <row r="6" spans="1:14" ht="15.75" thickBot="1" x14ac:dyDescent="0.3">
      <c r="B6" s="1387"/>
      <c r="C6" s="1390" t="s">
        <v>61</v>
      </c>
      <c r="D6" s="1390"/>
      <c r="M6" s="1394" t="str">
        <f>AgyIdx</f>
        <v>01</v>
      </c>
    </row>
    <row r="7" spans="1:14" ht="15" x14ac:dyDescent="0.25">
      <c r="B7" s="1387"/>
      <c r="C7" s="1390"/>
      <c r="D7" s="1390"/>
      <c r="M7" s="1393"/>
    </row>
    <row r="8" spans="1:14" ht="15.75" thickBot="1" x14ac:dyDescent="0.3">
      <c r="B8" s="1387"/>
      <c r="C8" s="1391" t="s">
        <v>62</v>
      </c>
      <c r="D8" s="1390"/>
      <c r="M8" s="1395" t="str">
        <f>'905'!P1</f>
        <v/>
      </c>
    </row>
    <row r="9" spans="1:14" ht="15" x14ac:dyDescent="0.25">
      <c r="B9" s="1387"/>
      <c r="C9" s="1391" t="s">
        <v>63</v>
      </c>
      <c r="D9" s="1390"/>
      <c r="M9" s="1393"/>
    </row>
    <row r="10" spans="1:14" ht="15.75" thickBot="1" x14ac:dyDescent="0.3">
      <c r="B10" s="1387"/>
      <c r="C10" s="1391" t="s">
        <v>64</v>
      </c>
      <c r="D10" s="1390"/>
      <c r="M10" s="1395" t="str">
        <f>'905'!P2</f>
        <v>0100</v>
      </c>
    </row>
    <row r="11" spans="1:14" ht="15" x14ac:dyDescent="0.25">
      <c r="B11" s="1387"/>
      <c r="C11" s="1892" t="s">
        <v>65</v>
      </c>
      <c r="D11" s="1893"/>
      <c r="E11" s="1893"/>
      <c r="F11" s="1893"/>
      <c r="G11" s="1893"/>
      <c r="H11" s="1893"/>
      <c r="I11" s="1893"/>
      <c r="J11" s="1893"/>
      <c r="K11" s="1893"/>
      <c r="L11" s="1893"/>
      <c r="M11" s="1393"/>
    </row>
    <row r="12" spans="1:14" ht="15" x14ac:dyDescent="0.25">
      <c r="B12" s="1387"/>
      <c r="C12" s="352" t="s">
        <v>66</v>
      </c>
      <c r="D12" s="1390"/>
      <c r="M12" s="1398" t="str">
        <f>IF(ISBLANK('101'!F17),"ERROR","OK")</f>
        <v>ERROR</v>
      </c>
    </row>
    <row r="13" spans="1:14" ht="15" x14ac:dyDescent="0.25">
      <c r="B13" s="1387"/>
      <c r="C13" s="352" t="s">
        <v>67</v>
      </c>
      <c r="D13" s="1390"/>
      <c r="M13" s="1396" t="str">
        <f>IF('101'!J25="",IF('101'!L25="","ERROR","OK"),IF('101'!L25="","OK","ERROR"))</f>
        <v>ERROR</v>
      </c>
    </row>
    <row r="14" spans="1:14" ht="15" x14ac:dyDescent="0.25">
      <c r="B14" s="1387"/>
      <c r="C14" s="352" t="s">
        <v>68</v>
      </c>
      <c r="D14" s="1390"/>
      <c r="M14" s="1396" t="str">
        <f>IF('101'!L25="",IF('101'!J25="","ERROR",IF('101'!G26="","OK","ERROR")),IF('101'!G26="","ERROR","OK"))</f>
        <v>ERROR</v>
      </c>
    </row>
    <row r="15" spans="1:14" ht="15" x14ac:dyDescent="0.25">
      <c r="B15" s="1387"/>
      <c r="C15" s="352" t="s">
        <v>69</v>
      </c>
      <c r="D15" s="1390"/>
      <c r="M15" s="1396" t="str">
        <f>IF('101'!J30="",IF('101'!L30="","ERROR","OK"),IF('101'!L30="","OK","ERROR"))</f>
        <v>ERROR</v>
      </c>
    </row>
    <row r="16" spans="1:14" ht="15" x14ac:dyDescent="0.25">
      <c r="B16" s="1387"/>
      <c r="C16" s="352" t="s">
        <v>70</v>
      </c>
      <c r="D16" s="1390"/>
      <c r="M16" s="1396" t="str">
        <f>IF('101'!J30="",IF('101'!L30="","ERROR",IF('101'!F31="","OK","ERROR")),IF('101'!F31="","ERROR","OK"))</f>
        <v>ERROR</v>
      </c>
    </row>
    <row r="17" spans="2:13" ht="15" x14ac:dyDescent="0.25">
      <c r="B17" s="1387"/>
      <c r="C17" s="352" t="s">
        <v>71</v>
      </c>
      <c r="D17" s="1390"/>
      <c r="M17" s="1396" t="str">
        <f>IF('101'!L30="",IF('101'!J30="","ERROR",IF('101'!E32="","OK","ERROR")),IF('101'!E32="","ERROR","OK"))</f>
        <v>ERROR</v>
      </c>
    </row>
    <row r="18" spans="2:13" ht="15" x14ac:dyDescent="0.25">
      <c r="B18" s="1387"/>
      <c r="C18" s="352" t="s">
        <v>72</v>
      </c>
      <c r="D18" s="1390"/>
      <c r="M18" s="1396" t="str">
        <f>IF('101'!J33="",IF('101'!L33="","ERROR","OK"),IF('101'!L33="","OK","ERROR"))</f>
        <v>ERROR</v>
      </c>
    </row>
    <row r="19" spans="2:13" ht="15" x14ac:dyDescent="0.25">
      <c r="B19" s="1387"/>
      <c r="C19" s="352" t="s">
        <v>73</v>
      </c>
      <c r="D19" s="1390"/>
      <c r="M19" s="1396" t="str">
        <f>IF(AND(ISBLANK('101'!H35),ISBLANK('101'!J35),ISBLANK('101'!L35))=TRUE,"ERROR",IF(COUNTIF('101'!H35:L35,"")&gt;1,"OK","ERROR"))</f>
        <v>ERROR</v>
      </c>
    </row>
    <row r="20" spans="2:13" ht="15" x14ac:dyDescent="0.25">
      <c r="B20" s="1387"/>
      <c r="C20" s="352" t="s">
        <v>74</v>
      </c>
      <c r="D20" s="1390"/>
      <c r="M20" s="1396" t="str">
        <f>IF('101'!L35&lt;&gt;"","OK",IF('101'!J35="",IF('101'!H35="","ERROR",IF('101'!F36="","OK","ERROR")),IF('101'!F36="","ERROR","OK")))</f>
        <v>ERROR</v>
      </c>
    </row>
    <row r="21" spans="2:13" ht="15" x14ac:dyDescent="0.25">
      <c r="B21" s="1387"/>
      <c r="C21" s="352" t="s">
        <v>75</v>
      </c>
      <c r="D21" s="1390"/>
      <c r="M21" s="1396" t="str">
        <f>IF('101'!J40="",IF('101'!L40="","ERROR","OK"),IF('101'!L40="","OK","ERROR"))</f>
        <v>ERROR</v>
      </c>
    </row>
    <row r="22" spans="2:13" ht="15" x14ac:dyDescent="0.25">
      <c r="B22" s="1387"/>
      <c r="C22" s="352" t="s">
        <v>76</v>
      </c>
      <c r="D22" s="1390"/>
      <c r="M22" s="1396" t="str">
        <f>IF('101'!J41="",IF('101'!L41="","ERROR","OK"),IF('101'!L41="","OK","ERROR"))</f>
        <v>ERROR</v>
      </c>
    </row>
    <row r="23" spans="2:13" ht="15" x14ac:dyDescent="0.25">
      <c r="B23" s="1387"/>
      <c r="C23" s="352" t="s">
        <v>77</v>
      </c>
      <c r="D23" s="1390"/>
      <c r="M23" s="1396" t="str">
        <f>IF('101'!L40="",IF('101'!J40="","ERROR",IF('101'!G42="","OK","ERROR")),IF('101'!G42="","ERROR","OK"))</f>
        <v>ERROR</v>
      </c>
    </row>
    <row r="24" spans="2:13" ht="15" x14ac:dyDescent="0.25">
      <c r="B24" s="1387"/>
      <c r="C24" s="352" t="s">
        <v>78</v>
      </c>
      <c r="D24" s="1390"/>
      <c r="M24" s="1396" t="str">
        <f>IF(ISBLANK('101'!D47),"ERROR","OK")</f>
        <v>ERROR</v>
      </c>
    </row>
    <row r="25" spans="2:13" ht="15" x14ac:dyDescent="0.25">
      <c r="B25" s="1387"/>
      <c r="C25" s="352" t="s">
        <v>79</v>
      </c>
      <c r="D25" s="1390"/>
      <c r="M25" s="1396" t="str">
        <f>IF('101'!J60="",IF('101'!L60="","ERROR","OK"),IF('101'!L60="","OK","ERROR"))</f>
        <v>ERROR</v>
      </c>
    </row>
    <row r="26" spans="2:13" ht="15" x14ac:dyDescent="0.25">
      <c r="B26" s="1387"/>
      <c r="C26" s="352" t="s">
        <v>80</v>
      </c>
      <c r="D26" s="1390"/>
      <c r="M26" s="1396" t="str">
        <f>IF('101'!J60="",IF('101'!L60="","ERROR",IF('101'!C62="","OK","ERROR")),IF('101'!C62="","ERROR","OK"))</f>
        <v>ERROR</v>
      </c>
    </row>
    <row r="27" spans="2:13" ht="15" x14ac:dyDescent="0.25">
      <c r="B27" s="1387"/>
      <c r="C27" s="352" t="s">
        <v>81</v>
      </c>
      <c r="D27" s="1390"/>
      <c r="M27" s="1396" t="str">
        <f>IF(AND(ISBLANK('101'!H68),ISBLANK('101'!J68),ISBLANK('101'!L68))=TRUE,"ERROR",IF(COUNTIF('101'!H68:L68,"")&gt;1,"OK","ERROR"))</f>
        <v>ERROR</v>
      </c>
    </row>
    <row r="28" spans="2:13" ht="15" x14ac:dyDescent="0.25">
      <c r="B28" s="1387"/>
      <c r="C28" s="352" t="s">
        <v>82</v>
      </c>
      <c r="D28" s="1390"/>
      <c r="M28" s="1396" t="str">
        <f>IF('101'!J72="",IF('101'!L72="","ERROR","OK"),IF('101'!L72="","OK","ERROR"))</f>
        <v>ERROR</v>
      </c>
    </row>
    <row r="29" spans="2:13" ht="15" x14ac:dyDescent="0.25">
      <c r="B29" s="1387"/>
      <c r="C29" s="352" t="s">
        <v>83</v>
      </c>
      <c r="D29" s="1390"/>
      <c r="M29" s="1396" t="str">
        <f>IF('101'!J72="",IF('101'!L72="","ERROR",IF('101'!F73="","OK","ERROR")),IF('101'!F73="","ERROR","OK"))</f>
        <v>ERROR</v>
      </c>
    </row>
    <row r="30" spans="2:13" ht="15" x14ac:dyDescent="0.25">
      <c r="B30" s="1387"/>
      <c r="C30" s="352" t="s">
        <v>84</v>
      </c>
      <c r="D30" s="1390"/>
      <c r="M30" s="1396" t="str">
        <f>IF(AND(ISBLANK('101'!H77),ISBLANK('101'!J77),ISBLANK('101'!L77))=TRUE,"ERROR",IF(COUNTIF('101'!H77:L77,"")&gt;1,"OK","ERROR"))</f>
        <v>ERROR</v>
      </c>
    </row>
    <row r="31" spans="2:13" ht="15" x14ac:dyDescent="0.25">
      <c r="B31" s="1387"/>
      <c r="C31" s="352" t="s">
        <v>85</v>
      </c>
      <c r="D31" s="1390"/>
      <c r="M31" s="1396" t="str">
        <f>IF('101'!H77="","OK",IF('101'!E78="","ERROR","OK"))</f>
        <v>OK</v>
      </c>
    </row>
    <row r="32" spans="2:13" x14ac:dyDescent="0.2">
      <c r="B32" s="1387"/>
      <c r="C32" s="352" t="s">
        <v>86</v>
      </c>
      <c r="D32" s="352"/>
      <c r="M32" s="1396" t="str">
        <f>IF('110'!E23="",IF('110'!E24="","ERROR","OK"),IF('110'!E24="","OK","ERROR"))</f>
        <v>ERROR</v>
      </c>
    </row>
    <row r="33" spans="2:14" x14ac:dyDescent="0.2">
      <c r="B33" s="1387"/>
      <c r="C33" s="352" t="s">
        <v>87</v>
      </c>
      <c r="D33" s="352"/>
      <c r="M33" s="1396" t="str">
        <f>IF('120'!E31="",IF('120'!E32="","ERROR","OK"),IF('120'!E32="","OK","ERROR"))</f>
        <v>ERROR</v>
      </c>
    </row>
    <row r="34" spans="2:14" ht="15" x14ac:dyDescent="0.25">
      <c r="B34" s="1387"/>
      <c r="C34" s="352" t="s">
        <v>88</v>
      </c>
      <c r="D34" s="1390"/>
      <c r="M34" s="1396" t="str">
        <f>IF('120'!E31="",IF(COUNTA('120'!D37:D40)&gt;0,"ERROR","OK"),IF(COUNTA('120'!D37:D40)=1,"OK","ERROR"))</f>
        <v>OK</v>
      </c>
    </row>
    <row r="35" spans="2:14" ht="15" x14ac:dyDescent="0.25">
      <c r="B35" s="1387"/>
      <c r="C35" s="352" t="s">
        <v>6649</v>
      </c>
      <c r="D35" s="1390"/>
      <c r="M35" s="1396" t="str">
        <f>IF('201'!U1="NA","OK",IF(AND(ISBLANK('201'!L11),ISBLANK('201'!P11),ISBLANK('201'!T11))=TRUE,"ERROR",IF(COUNTIF('201'!L11:T11,"")&gt;3,"OK","ERROR")))</f>
        <v>ERROR</v>
      </c>
    </row>
    <row r="36" spans="2:14" ht="15" x14ac:dyDescent="0.25">
      <c r="B36" s="1387"/>
      <c r="C36" s="352" t="s">
        <v>89</v>
      </c>
      <c r="D36" s="1390"/>
      <c r="M36" s="1396" t="str">
        <f>IF('201'!R44=0,"OK","ERROR")</f>
        <v>OK</v>
      </c>
    </row>
    <row r="37" spans="2:14" x14ac:dyDescent="0.2">
      <c r="B37" s="1387"/>
      <c r="C37" s="352" t="s">
        <v>90</v>
      </c>
      <c r="D37" s="352"/>
      <c r="M37" s="1396" t="str">
        <f>IF('202'!T1="NA","OK",IF('202'!E14="",IF('202'!I14="","ERROR","OK"),IF('202'!I14="","OK","ERROR")))</f>
        <v>ERROR</v>
      </c>
    </row>
    <row r="38" spans="2:14" ht="15" x14ac:dyDescent="0.25">
      <c r="B38" s="1387"/>
      <c r="C38" s="352" t="s">
        <v>91</v>
      </c>
      <c r="D38" s="1390"/>
      <c r="M38" s="1396" t="str">
        <f>IF('202'!T1="NA","OK",IF('202'!E14="",IF('202'!I14="","ERROR",IF('202'!E18="","OK","ERROR")),IF('202'!E18="","ERROR","OK")))</f>
        <v>ERROR</v>
      </c>
    </row>
    <row r="39" spans="2:14" x14ac:dyDescent="0.2">
      <c r="B39" s="1387"/>
      <c r="C39" s="352" t="s">
        <v>92</v>
      </c>
      <c r="D39" s="352"/>
      <c r="M39" s="1396" t="str">
        <f>IF('202'!T1="NA","OK",IF('202'!E14="",IF('202'!I14="","ERROR",IF('202'!G20="","OK","ERROR")),IF('202'!G20="","ERROR","OK")))</f>
        <v>ERROR</v>
      </c>
    </row>
    <row r="40" spans="2:14" x14ac:dyDescent="0.2">
      <c r="B40" s="1387"/>
      <c r="C40" s="352" t="s">
        <v>93</v>
      </c>
      <c r="D40" s="352"/>
      <c r="M40" s="1396" t="str">
        <f>IF('202'!T1="NA","OK",IF(AND(ISBLANK('202'!E23),ISBLANK('202'!I23),ISBLANK('202'!M23))=TRUE,"ERROR",IF(COUNTIF('202'!E23:M23,"")&gt;5,"OK","ERROR")))</f>
        <v>OK</v>
      </c>
    </row>
    <row r="41" spans="2:14" ht="15" x14ac:dyDescent="0.25">
      <c r="B41" s="1387"/>
      <c r="C41" s="352" t="s">
        <v>94</v>
      </c>
      <c r="D41" s="1390"/>
      <c r="M41" s="1396" t="str">
        <f>IF('202'!T1="NA","OK",IF('202'!I23="","OK",IF('202'!C26="","ERROR","OK")))</f>
        <v>OK</v>
      </c>
    </row>
    <row r="42" spans="2:14" x14ac:dyDescent="0.2">
      <c r="B42" s="1387"/>
      <c r="C42" s="352" t="s">
        <v>95</v>
      </c>
      <c r="D42" s="352"/>
      <c r="M42" s="1396" t="str">
        <f>IF('202'!T1="NA","OK",IF('202'!M28="",IF('202'!Q28="","ERROR","OK"),IF('202'!Q28="","OK","ERROR")))</f>
        <v>ERROR</v>
      </c>
    </row>
    <row r="43" spans="2:14" ht="15" x14ac:dyDescent="0.25">
      <c r="B43" s="1387"/>
      <c r="C43" s="352" t="s">
        <v>96</v>
      </c>
      <c r="D43" s="1390"/>
      <c r="M43" s="1396" t="str">
        <f>IF('202'!T1="NA","OK",IF('202'!M28="",IF('202'!Q28="","ERROR",IF('202'!E34="","OK","ERROR")),IF('202'!E34="","ERROR","OK")))</f>
        <v>ERROR</v>
      </c>
      <c r="N43" t="s">
        <v>50</v>
      </c>
    </row>
    <row r="44" spans="2:14" x14ac:dyDescent="0.2">
      <c r="B44" s="1387"/>
      <c r="C44" s="352" t="s">
        <v>97</v>
      </c>
      <c r="D44" s="352"/>
      <c r="M44" s="1396" t="str">
        <f>IF('202'!T1="NA","OK",IF(AND(ISBLANK('202'!E44),ISBLANK('202'!I44),ISBLANK('202'!M44))=TRUE,"ERROR",IF(COUNTIF('202'!E44:M44,"")&gt;5,"OK","ERROR")))</f>
        <v>ERROR</v>
      </c>
    </row>
    <row r="45" spans="2:14" ht="15" x14ac:dyDescent="0.25">
      <c r="B45" s="1387"/>
      <c r="C45" s="352" t="s">
        <v>98</v>
      </c>
      <c r="D45" s="1390"/>
      <c r="M45" s="1396" t="str">
        <f>IF('202'!T1="NA","OK",IF('202'!I44="","OK",IF('202'!C47="","ERROR","OK")))</f>
        <v>OK</v>
      </c>
    </row>
    <row r="46" spans="2:14" x14ac:dyDescent="0.2">
      <c r="B46" s="1387"/>
      <c r="C46" s="352" t="s">
        <v>99</v>
      </c>
      <c r="D46" s="352"/>
      <c r="M46" s="1396" t="str">
        <f>IF('202'!T1="NA","OK",IF('202'!M49="",IF('202'!Q49="","ERROR","OK"),IF('202'!Q49="","OK","ERROR")))</f>
        <v>ERROR</v>
      </c>
    </row>
    <row r="47" spans="2:14" ht="15" x14ac:dyDescent="0.25">
      <c r="B47" s="1387"/>
      <c r="C47" s="352" t="s">
        <v>100</v>
      </c>
      <c r="D47" s="1390"/>
      <c r="M47" s="1396" t="str">
        <f>IF('202'!T1="NA","OK",IF('202'!M49="",IF('202'!Q49="","ERROR",IF('202'!E55="","OK","ERROR")),IF('202'!E55="","ERROR","OK")))</f>
        <v>ERROR</v>
      </c>
    </row>
    <row r="48" spans="2:14" x14ac:dyDescent="0.2">
      <c r="B48" s="1387"/>
      <c r="C48" s="352" t="s">
        <v>101</v>
      </c>
      <c r="D48" s="352"/>
      <c r="M48" s="1396" t="str">
        <f>IF('202'!T1="NA","OK",IF('202'!M57="",IF('202'!Q57="","ERROR","OK"),IF('202'!Q57="","OK","ERROR")))</f>
        <v>ERROR</v>
      </c>
    </row>
    <row r="49" spans="2:16" ht="15" x14ac:dyDescent="0.25">
      <c r="B49" s="1387"/>
      <c r="C49" s="352" t="s">
        <v>102</v>
      </c>
      <c r="D49" s="1390"/>
      <c r="M49" s="1396" t="str">
        <f>IF('202'!T1="NA","OK",IF('202'!M57="",IF('202'!Q57="","ERROR",IF('202'!E63="","OK","ERROR")),IF('202'!E63="","ERROR","OK")))</f>
        <v>ERROR</v>
      </c>
    </row>
    <row r="50" spans="2:16" x14ac:dyDescent="0.2">
      <c r="B50" s="1387"/>
      <c r="C50" s="352" t="s">
        <v>103</v>
      </c>
      <c r="D50" s="352"/>
      <c r="M50" s="1396" t="str">
        <f>IF('202'!T1="NA","OK",IF(AND(ISBLANK('202'!E69),ISBLANK('202'!I69),ISBLANK('202'!M69))=TRUE,"ERROR",IF(COUNTIF('202'!E69:M69,"")&gt;5,"OK","ERROR")))</f>
        <v>ERROR</v>
      </c>
    </row>
    <row r="51" spans="2:16" ht="15" x14ac:dyDescent="0.25">
      <c r="B51" s="1387"/>
      <c r="C51" s="352" t="s">
        <v>104</v>
      </c>
      <c r="D51" s="1390"/>
      <c r="M51" s="1396" t="str">
        <f>IF('202'!T1="NA","OK",IF('202'!I69="","OK",IF('202'!C72="","ERROR","OK")))</f>
        <v>OK</v>
      </c>
    </row>
    <row r="52" spans="2:16" x14ac:dyDescent="0.2">
      <c r="B52" s="1387"/>
      <c r="C52" s="352" t="s">
        <v>105</v>
      </c>
      <c r="D52" s="352"/>
      <c r="M52" s="1396" t="str">
        <f>IF('203'!T1="NA","OK",IF('203'!E15="",IF('203'!I15="","ERROR","OK"),IF('203'!Q15="","OK","ERROR")))</f>
        <v>ERROR</v>
      </c>
    </row>
    <row r="53" spans="2:16" x14ac:dyDescent="0.2">
      <c r="B53" s="1387"/>
      <c r="C53" s="352" t="s">
        <v>6647</v>
      </c>
      <c r="D53" s="352"/>
      <c r="M53" s="1396" t="str">
        <f>IF('203'!T1="NA","OK",IF(AND(ISBLANK('203'!E22),ISBLANK('203'!H22),ISBLANK('203'!K22))=TRUE,"ERROR",IF(COUNTIF('203'!E22:K22,"")&gt;3,"OK","ERROR")))</f>
        <v>ERROR</v>
      </c>
    </row>
    <row r="54" spans="2:16" ht="15" x14ac:dyDescent="0.25">
      <c r="B54" s="1387"/>
      <c r="C54" s="352" t="s">
        <v>106</v>
      </c>
      <c r="D54" s="1390"/>
      <c r="M54" s="1396" t="str">
        <f>IF('203'!T1="NA","OK",IF('203'!K22="X","OK",IF('203'!E22="",IF('203'!H22="","ERROR",IF('203'!C29="","OK","ERROR")),IF('203'!C29="","ERROR","OK"))))</f>
        <v>ERROR</v>
      </c>
    </row>
    <row r="55" spans="2:16" x14ac:dyDescent="0.2">
      <c r="B55" s="1387"/>
      <c r="C55" s="352" t="s">
        <v>6648</v>
      </c>
      <c r="D55" s="352"/>
      <c r="M55" s="1396" t="str">
        <f>IF('203'!T1="NA","OK",IF(AND(ISBLANK('203'!E40),ISBLANK('203'!H40),ISBLANK('203'!K40))=TRUE,"ERROR",IF(COUNTIF('203'!E40:K40,"")&gt;3,"OK","ERROR")))</f>
        <v>ERROR</v>
      </c>
    </row>
    <row r="56" spans="2:16" ht="15" x14ac:dyDescent="0.25">
      <c r="B56" s="1387"/>
      <c r="C56" s="352" t="s">
        <v>107</v>
      </c>
      <c r="D56" s="1390"/>
      <c r="M56" s="1396" t="str">
        <f>IF('203'!T1="NA","OK",IF('203'!K40="X","OK",IF('203'!E40="",IF('203'!H40="","ERROR",IF('203'!C46="","OK","ERROR")),IF('203'!C46="","ERROR","OK"))))</f>
        <v>ERROR</v>
      </c>
    </row>
    <row r="57" spans="2:16" x14ac:dyDescent="0.2">
      <c r="B57" s="1387"/>
      <c r="C57" s="352" t="s">
        <v>6651</v>
      </c>
      <c r="D57" s="352"/>
      <c r="M57" s="1396" t="str">
        <f>IF('203'!T1="NA","OK",IF(AND(ISBLANK('203'!E55),ISBLANK('203'!H55),ISBLANK('203'!K55))=TRUE,"ERROR",IF(COUNTIF('203'!E55:K55,"")&gt;3,"OK","ERROR")))</f>
        <v>ERROR</v>
      </c>
    </row>
    <row r="58" spans="2:16" ht="15" x14ac:dyDescent="0.25">
      <c r="B58" s="1387"/>
      <c r="C58" s="352" t="s">
        <v>6650</v>
      </c>
      <c r="D58" s="1390"/>
      <c r="M58" s="1396" t="str">
        <f>IF('203'!T1="NA","OK",IF('203'!K55="X","OK",IF('203'!E55="",IF('203'!H55="","ERROR",IF('203'!C58="","OK","ERROR")),IF('203'!C58="","ERROR","OK"))))</f>
        <v>ERROR</v>
      </c>
    </row>
    <row r="59" spans="2:16" ht="15" x14ac:dyDescent="0.25">
      <c r="B59" s="1387"/>
      <c r="C59" s="352" t="s">
        <v>6652</v>
      </c>
      <c r="D59" s="1390"/>
      <c r="M59" s="1396" t="str">
        <f>IF('203'!T1="NA","OK",IF('203'!E68="",IF('203'!H68="","ERROR","OK"),IF('203'!H68="","OK","ERROR")))</f>
        <v>ERROR</v>
      </c>
    </row>
    <row r="60" spans="2:16" x14ac:dyDescent="0.2">
      <c r="B60" s="1387"/>
      <c r="C60" s="352" t="s">
        <v>108</v>
      </c>
      <c r="D60" s="352"/>
      <c r="M60" s="1398" t="str">
        <f>IF('203'!T1="NA","OK",IF(ISBLANK('203'!C88),"ERROR","OK"))</f>
        <v>ERROR</v>
      </c>
    </row>
    <row r="61" spans="2:16" x14ac:dyDescent="0.2">
      <c r="B61" s="1387"/>
      <c r="C61" s="352" t="s">
        <v>109</v>
      </c>
      <c r="D61" s="352"/>
      <c r="E61" s="352"/>
      <c r="M61" s="1398" t="str">
        <f>IF('301'!AK1="NA","OK",IF('301'!H53="",IF('301'!P53="","ERROR","OK"),IF('301'!P53="","OK","ERROR")))</f>
        <v>ERROR</v>
      </c>
    </row>
    <row r="62" spans="2:16" x14ac:dyDescent="0.2">
      <c r="B62" s="1387"/>
      <c r="C62" s="352" t="s">
        <v>110</v>
      </c>
      <c r="D62" s="352"/>
      <c r="E62" s="352"/>
      <c r="M62" s="1398" t="str">
        <f>IF('301'!AK1="NA","OK",IF('301'!H53="",IF('301'!P53="","ERROR",IF('301'!H55="","OK","ERROR")),IF('301'!H55="","ERROR","OK")))</f>
        <v>ERROR</v>
      </c>
    </row>
    <row r="63" spans="2:16" x14ac:dyDescent="0.2">
      <c r="B63" s="1387"/>
      <c r="C63" s="352" t="s">
        <v>111</v>
      </c>
      <c r="D63" s="352"/>
      <c r="E63" s="352"/>
      <c r="M63" s="1398" t="str">
        <f>IF('301'!AK1="NA","OK",IF(AND(ISBLANK('301'!E60),ISBLANK('301'!H60),ISBLANK('301'!N60))=TRUE,"ERROR",IF(COUNTIF('301'!E60:N60,"")&gt;6,"OK","ERROR")))</f>
        <v>ERROR</v>
      </c>
    </row>
    <row r="64" spans="2:16" x14ac:dyDescent="0.2">
      <c r="B64" s="1387"/>
      <c r="C64" s="352" t="s">
        <v>110</v>
      </c>
      <c r="D64" s="352"/>
      <c r="E64" s="352"/>
      <c r="M64" s="1398" t="str">
        <f>IF('301'!E60="","OK",IF('301'!H62="","ERROR","OK"))</f>
        <v>OK</v>
      </c>
      <c r="P64" t="s">
        <v>50</v>
      </c>
    </row>
    <row r="65" spans="2:13" x14ac:dyDescent="0.2">
      <c r="B65" s="1387"/>
      <c r="C65" s="352" t="s">
        <v>112</v>
      </c>
      <c r="D65" s="352"/>
      <c r="E65" s="352"/>
      <c r="M65" s="1398" t="str">
        <f>IF('301'!AK1="NA","OK",IF('301'!H69="",IF('301'!P69="","ERROR","OK"),IF('301'!P69="","OK","ERROR")))</f>
        <v>ERROR</v>
      </c>
    </row>
    <row r="66" spans="2:13" x14ac:dyDescent="0.2">
      <c r="B66" s="1387"/>
      <c r="C66" s="352" t="s">
        <v>113</v>
      </c>
      <c r="D66" s="352"/>
      <c r="E66" s="352"/>
      <c r="M66" s="1398" t="str">
        <f>IF('301'!AK1="NA","OK",IF('301'!H74="",IF('301'!P74="","ERROR","OK"),IF('301'!P74="","OK","ERROR")))</f>
        <v>ERROR</v>
      </c>
    </row>
    <row r="67" spans="2:13" x14ac:dyDescent="0.2">
      <c r="B67" s="1387"/>
      <c r="C67" s="352" t="s">
        <v>110</v>
      </c>
      <c r="D67" s="352"/>
      <c r="E67" s="352"/>
      <c r="M67" s="1398" t="str">
        <f>IF('301'!H74="","OK",IF('301'!H76="","ERROR","OK"))</f>
        <v>OK</v>
      </c>
    </row>
    <row r="68" spans="2:13" x14ac:dyDescent="0.2">
      <c r="B68" s="1387"/>
      <c r="C68" s="352" t="s">
        <v>114</v>
      </c>
      <c r="D68" s="352"/>
      <c r="E68" s="352"/>
      <c r="M68" s="1398" t="str">
        <f>IF('301'!AK1="NA","OK",IF(AND(ISBLANK('301'!E81),ISBLANK('301'!H81),ISBLANK('301'!N81))=TRUE,"ERROR",IF(COUNTIF('301'!E81:N81,"")&gt;6,"OK","ERROR")))</f>
        <v>ERROR</v>
      </c>
    </row>
    <row r="69" spans="2:13" x14ac:dyDescent="0.2">
      <c r="B69" s="1387"/>
      <c r="C69" s="352" t="s">
        <v>110</v>
      </c>
      <c r="D69" s="352"/>
      <c r="E69" s="352"/>
      <c r="M69" s="1398" t="str">
        <f>IF('301'!E81="","OK",IF('301'!H83="","ERROR","OK"))</f>
        <v>OK</v>
      </c>
    </row>
    <row r="70" spans="2:13" x14ac:dyDescent="0.2">
      <c r="B70" s="1387"/>
      <c r="C70" s="352" t="s">
        <v>115</v>
      </c>
      <c r="D70" s="352"/>
      <c r="E70" s="352"/>
      <c r="F70" s="352"/>
      <c r="G70" s="352"/>
      <c r="H70" s="352"/>
      <c r="I70" s="352"/>
      <c r="J70" s="352"/>
      <c r="K70" s="352"/>
      <c r="M70" s="1398" t="str">
        <f>IF('304'!T1="NA","OK",IF('304'!F24=('305'!M28+'310'!M27)*-1,"OK","ERROR"))</f>
        <v>OK</v>
      </c>
    </row>
    <row r="71" spans="2:13" x14ac:dyDescent="0.2">
      <c r="B71" s="1387"/>
      <c r="C71" s="352" t="s">
        <v>116</v>
      </c>
      <c r="D71" s="352"/>
      <c r="E71" s="352"/>
      <c r="F71" s="352"/>
      <c r="G71" s="352"/>
      <c r="H71" s="352"/>
      <c r="I71" s="352"/>
      <c r="J71" s="352"/>
      <c r="K71" s="352"/>
      <c r="M71" s="1398" t="str">
        <f>IF('304'!T1="NA","OK",IF('304'!H24=('305'!O28+'310'!O27)*-1,"OK","ERROR"))</f>
        <v>OK</v>
      </c>
    </row>
    <row r="72" spans="2:13" x14ac:dyDescent="0.2">
      <c r="B72" s="1387"/>
      <c r="C72" s="352" t="s">
        <v>117</v>
      </c>
      <c r="D72" s="352"/>
      <c r="E72" s="352"/>
      <c r="F72" s="352"/>
      <c r="G72" s="352"/>
      <c r="H72" s="352"/>
      <c r="I72" s="352"/>
      <c r="J72" s="352"/>
      <c r="K72" s="352"/>
      <c r="M72" s="1398" t="str">
        <f>IF('304'!T1="NA","OK",IF('304'!F47=('305'!M29+'310'!M28)*-1,"OK","ERROR"))</f>
        <v>OK</v>
      </c>
    </row>
    <row r="73" spans="2:13" x14ac:dyDescent="0.2">
      <c r="B73" s="1387"/>
      <c r="C73" s="352" t="s">
        <v>118</v>
      </c>
      <c r="D73" s="352"/>
      <c r="E73" s="352"/>
      <c r="F73" s="352"/>
      <c r="G73" s="352"/>
      <c r="H73" s="352"/>
      <c r="I73" s="352"/>
      <c r="J73" s="352"/>
      <c r="K73" s="352"/>
      <c r="M73" s="1398" t="str">
        <f>IF('304'!T1="NA","OK",IF('304'!H47=('305'!O29+'310'!O28)*-1,"OK","ERROR"))</f>
        <v>OK</v>
      </c>
    </row>
    <row r="74" spans="2:13" x14ac:dyDescent="0.2">
      <c r="B74" s="1387"/>
      <c r="C74" s="352" t="s">
        <v>119</v>
      </c>
      <c r="D74" s="352"/>
      <c r="M74" s="1398" t="str">
        <f>IF('305'!P1="NA","OK",IF('305'!K45="",IF('305'!O45="","ERROR","OK"),IF('305'!O45="","OK","ERROR")))</f>
        <v>ERROR</v>
      </c>
    </row>
    <row r="75" spans="2:13" x14ac:dyDescent="0.2">
      <c r="B75" s="1387"/>
      <c r="C75" s="352" t="s">
        <v>120</v>
      </c>
      <c r="D75" s="352"/>
      <c r="M75" s="1396" t="str">
        <f>IF('322'!N1="NA","OK",IF('322'!C28="",IF('322'!C29="","ERROR","OK"),IF('203'!C33="","OK","ERROR")))</f>
        <v>ERROR</v>
      </c>
    </row>
    <row r="76" spans="2:13" x14ac:dyDescent="0.2">
      <c r="B76" s="1387"/>
      <c r="C76" s="352" t="s">
        <v>121</v>
      </c>
      <c r="D76" s="352"/>
      <c r="M76" s="1398" t="str">
        <f>IF('330'!O1="NA","OK",IF('330'!M58='330'!M63,"OK","ERROR"))</f>
        <v>OK</v>
      </c>
    </row>
    <row r="77" spans="2:13" x14ac:dyDescent="0.2">
      <c r="B77" s="1387"/>
      <c r="C77" s="352" t="s">
        <v>122</v>
      </c>
      <c r="D77" s="352"/>
      <c r="M77" s="1396" t="str">
        <f>IF('338'!J1="NA","OK",IF('338'!D38="",IF('338'!D39="","ERROR","OK"),IF('338'!D39="","OK","ERROR")))</f>
        <v>ERROR</v>
      </c>
    </row>
    <row r="78" spans="2:13" x14ac:dyDescent="0.2">
      <c r="B78" s="1387"/>
      <c r="C78" s="352" t="s">
        <v>123</v>
      </c>
      <c r="D78" s="352"/>
      <c r="M78" s="1396" t="str">
        <f>IF('345'!F30="",IF('345'!I30="","ERROR","OK"),IF('345'!I30="","OK","ERROR"))</f>
        <v>ERROR</v>
      </c>
    </row>
    <row r="79" spans="2:13" x14ac:dyDescent="0.2">
      <c r="B79" s="1387"/>
      <c r="C79" s="352" t="s">
        <v>124</v>
      </c>
      <c r="D79" s="352"/>
      <c r="M79" s="1396" t="str">
        <f>IF('345'!F39="",IF('345'!I39="","ERROR","OK"),IF('345'!I39="","OK","ERROR"))</f>
        <v>ERROR</v>
      </c>
    </row>
    <row r="80" spans="2:13" ht="15" x14ac:dyDescent="0.25">
      <c r="B80" s="1387"/>
      <c r="C80" s="352" t="s">
        <v>125</v>
      </c>
      <c r="D80" s="1390"/>
      <c r="M80" s="1396" t="str">
        <f>IF('345'!F39="",IF('345'!I39="","ERROR",IF('345'!D43="","OK","ERROR")),IF('345'!D43="","ERROR","OK"))</f>
        <v>ERROR</v>
      </c>
    </row>
    <row r="81" spans="2:13" x14ac:dyDescent="0.2">
      <c r="B81" s="1387"/>
      <c r="C81" s="352" t="s">
        <v>126</v>
      </c>
      <c r="D81" s="352"/>
      <c r="M81" s="1396" t="str">
        <f>IF('345'!K52="",IF('345'!K53="","ERROR","OK"),IF('345'!K53="","OK","ERROR"))</f>
        <v>ERROR</v>
      </c>
    </row>
    <row r="82" spans="2:13" x14ac:dyDescent="0.2">
      <c r="B82" s="1387"/>
      <c r="C82" s="352" t="s">
        <v>127</v>
      </c>
      <c r="D82" s="352"/>
      <c r="M82" s="1396" t="str">
        <f>IF('355'!C29="",IF('355'!E29="","ERROR","OK"),IF('355'!E29="","OK","ERROR"))</f>
        <v>ERROR</v>
      </c>
    </row>
    <row r="83" spans="2:13" x14ac:dyDescent="0.2">
      <c r="B83" s="1387"/>
      <c r="C83" s="352" t="s">
        <v>128</v>
      </c>
      <c r="D83" s="352"/>
      <c r="M83" s="1396" t="str">
        <f>IF('355'!J43="",IF('355'!L43="","ERROR","OK"),IF('355'!L43="","OK","ERROR"))</f>
        <v>ERROR</v>
      </c>
    </row>
    <row r="84" spans="2:13" x14ac:dyDescent="0.2">
      <c r="B84" s="1387"/>
      <c r="C84" s="352" t="s">
        <v>129</v>
      </c>
      <c r="D84" s="352"/>
      <c r="M84" s="1396" t="str">
        <f>IF('370'!J1="NA","OK",IF('370'!H18="",IF('370'!J18="","ERROR","OK"),IF('370'!J18="","OK","ERROR")))</f>
        <v>ERROR</v>
      </c>
    </row>
    <row r="85" spans="2:13" x14ac:dyDescent="0.2">
      <c r="B85" s="1387"/>
      <c r="C85" s="352" t="s">
        <v>130</v>
      </c>
      <c r="D85" s="352"/>
      <c r="M85" s="1396" t="str">
        <f>IF('370'!J1="NA","OK",IF('370'!H20="",IF('370'!J20="","ERROR","OK"),IF('370'!J20="","OK","ERROR")))</f>
        <v>ERROR</v>
      </c>
    </row>
    <row r="86" spans="2:13" x14ac:dyDescent="0.2">
      <c r="B86" s="1387"/>
      <c r="C86" s="352" t="s">
        <v>131</v>
      </c>
      <c r="D86" s="352"/>
      <c r="M86" s="1396" t="str">
        <f>IF('375-A'!L1="NA","OK",IF('375-A'!C21="",IF('375-A'!C22="","ERROR","OK"),IF('375-A'!C22="","OK","ERROR")))</f>
        <v>ERROR</v>
      </c>
    </row>
    <row r="87" spans="2:13" ht="15" x14ac:dyDescent="0.25">
      <c r="B87" s="1387"/>
      <c r="C87" s="352" t="s">
        <v>132</v>
      </c>
      <c r="D87" s="1390"/>
      <c r="M87" s="1396" t="str">
        <f>IF('375-A'!L1="NA","OK",IF('375-A'!C21="",IF('375-A'!C22="","ERROR",IF('375-A'!A31="","OK","ERROR")),IF('375-A'!A31="","ERROR","OK")))</f>
        <v>ERROR</v>
      </c>
    </row>
    <row r="88" spans="2:13" x14ac:dyDescent="0.2">
      <c r="B88" s="1387"/>
      <c r="C88" s="352" t="s">
        <v>133</v>
      </c>
      <c r="D88" s="352"/>
      <c r="M88" s="1396" t="str">
        <f>IF('375-B'!L1="NA","OK",IF('375-B'!C20="",IF('375-B'!C21="","ERROR","OK"),IF('375-B'!C21="","OK","ERROR")))</f>
        <v>ERROR</v>
      </c>
    </row>
    <row r="89" spans="2:13" ht="15" x14ac:dyDescent="0.25">
      <c r="B89" s="1387"/>
      <c r="C89" s="352" t="s">
        <v>134</v>
      </c>
      <c r="D89" s="1390"/>
      <c r="M89" s="1396" t="str">
        <f>IF('375-B'!L1="NA","OK",IF('375-B'!C20="",IF('375-B'!C21="","ERROR",IF('375-B'!A30="","OK","ERROR")),IF('375-B'!A30="","ERROR","OK")))</f>
        <v>ERROR</v>
      </c>
    </row>
    <row r="90" spans="2:13" x14ac:dyDescent="0.2">
      <c r="B90" s="1387"/>
      <c r="C90" s="352" t="s">
        <v>135</v>
      </c>
      <c r="D90" s="352"/>
      <c r="M90" s="1396" t="str">
        <f>IF('425'!D17="",IF('425'!H17="","ERROR","OK"),IF('425'!H17="","OK","ERROR"))</f>
        <v>ERROR</v>
      </c>
    </row>
    <row r="91" spans="2:13" ht="15" x14ac:dyDescent="0.25">
      <c r="B91" s="1387"/>
      <c r="C91" s="352" t="s">
        <v>136</v>
      </c>
      <c r="D91" s="1390"/>
      <c r="M91" s="1396" t="str">
        <f>IF('425'!D17="",IF('425'!H17="","ERROR",IF('425'!B20="","ERROR","OK")),IF('425'!B20="","OK","ERROR"))</f>
        <v>ERROR</v>
      </c>
    </row>
    <row r="92" spans="2:13" hidden="1" x14ac:dyDescent="0.2">
      <c r="B92" s="1387"/>
      <c r="C92" s="352" t="s">
        <v>137</v>
      </c>
      <c r="D92" s="352"/>
      <c r="M92" s="1396" t="str">
        <f>IF('542'!AI1="NA","OK",IF('542'!H29='542'!P29,"OK","ERROR"))</f>
        <v>OK</v>
      </c>
    </row>
    <row r="93" spans="2:13" hidden="1" x14ac:dyDescent="0.2">
      <c r="B93" s="1387"/>
      <c r="C93" s="352" t="s">
        <v>138</v>
      </c>
      <c r="M93" s="1396" t="e">
        <f>IF(#REF!="NA","OK",IF(#REF!=#REF!,"OK","ERROR"))</f>
        <v>#REF!</v>
      </c>
    </row>
    <row r="94" spans="2:13" hidden="1" x14ac:dyDescent="0.2">
      <c r="B94" s="1387"/>
      <c r="C94" s="352" t="s">
        <v>139</v>
      </c>
      <c r="M94" s="1396" t="e">
        <f>IF(#REF!="NA","OK",IF(#REF!=#REF!,"OK","ERROR"))</f>
        <v>#REF!</v>
      </c>
    </row>
    <row r="95" spans="2:13" x14ac:dyDescent="0.2">
      <c r="B95" s="1387"/>
      <c r="C95" s="352" t="s">
        <v>140</v>
      </c>
      <c r="D95" s="352"/>
      <c r="M95" s="1396" t="str">
        <f>IF('602'!P1="NA","OK",IF('602'!K14&lt;0.01,"ERROR",IF('602'!K31&lt;0.01,"ERROR",IF('602'!K48&lt;0.01,"ERROR","OK"))))</f>
        <v>ERROR</v>
      </c>
    </row>
    <row r="96" spans="2:13" x14ac:dyDescent="0.2">
      <c r="B96" s="1387"/>
      <c r="C96" s="352" t="s">
        <v>141</v>
      </c>
      <c r="D96" s="352"/>
      <c r="M96" s="1398" t="str">
        <f>IF('605'!P1="NA","OK",IF(ISBLANK('605'!M35),"ERROR","OK"))</f>
        <v>ERROR</v>
      </c>
    </row>
    <row r="97" spans="2:14" x14ac:dyDescent="0.2">
      <c r="B97" s="1387"/>
      <c r="C97" s="352" t="s">
        <v>142</v>
      </c>
      <c r="D97" s="352"/>
      <c r="M97" s="1398" t="str">
        <f>IF('610'!I1="NA","OK",IF(ISBLANK('610'!G28),"ERROR","OK"))</f>
        <v>ERROR</v>
      </c>
    </row>
    <row r="98" spans="2:14" x14ac:dyDescent="0.2">
      <c r="B98" s="1387"/>
      <c r="C98" s="352" t="s">
        <v>143</v>
      </c>
      <c r="D98" s="352"/>
      <c r="M98" s="1398" t="str">
        <f>IF('616'!M1="NA","OK",IF('616'!D30='905'!F25,"OK","ERROR"))</f>
        <v>OK</v>
      </c>
    </row>
    <row r="99" spans="2:14" x14ac:dyDescent="0.2">
      <c r="B99" s="1387"/>
      <c r="C99" s="352" t="s">
        <v>144</v>
      </c>
      <c r="D99" s="352"/>
      <c r="M99" s="1398" t="str">
        <f>IF('616'!M1="NA","OK",IF('616'!D47='905'!F115,"OK","ERROR"))</f>
        <v>OK</v>
      </c>
    </row>
    <row r="100" spans="2:14" x14ac:dyDescent="0.2">
      <c r="B100" s="1387"/>
      <c r="C100" s="352" t="s">
        <v>145</v>
      </c>
      <c r="M100" s="1398" t="str">
        <f>IF('710'!S1="NA","OK",IF('710'!K38=('710'!M38+'710'!O38+'710'!Q38),"OK","ERROR"))</f>
        <v>OK</v>
      </c>
    </row>
    <row r="101" spans="2:14" x14ac:dyDescent="0.2">
      <c r="B101" s="1387"/>
      <c r="C101" s="352" t="s">
        <v>146</v>
      </c>
      <c r="M101" s="1398" t="str">
        <f ca="1">IF('720'!R1="NA","OK",IF('720'!I35=('720'!K35+'720'!M35+'720'!O35+'720'!Q35),"OK","ERROR"))</f>
        <v>OK</v>
      </c>
    </row>
    <row r="102" spans="2:14" x14ac:dyDescent="0.2">
      <c r="B102" s="1387"/>
      <c r="C102" s="352" t="s">
        <v>147</v>
      </c>
      <c r="M102" s="1398" t="str">
        <f>IF('725'!R4="NA","OK",IF(AND(ISBLANK('725'!J37),ISBLANK('725'!N37),ISBLANK('725'!R37))=TRUE,"ERROR",IF(COUNTA('725'!J37:R37,"")&gt;4,"ERROR","OK")))</f>
        <v>ERROR</v>
      </c>
      <c r="N102" t="s">
        <v>50</v>
      </c>
    </row>
    <row r="103" spans="2:14" x14ac:dyDescent="0.2">
      <c r="B103" s="1387"/>
      <c r="C103" s="352" t="s">
        <v>148</v>
      </c>
      <c r="M103" s="1398" t="str">
        <f>IF('725'!R4="NA","OK",IF('725'!J37="","OK",IF('725'!D42="","ERROR","OK")))</f>
        <v>OK</v>
      </c>
    </row>
    <row r="104" spans="2:14" x14ac:dyDescent="0.2">
      <c r="B104" s="1387"/>
      <c r="C104" s="352" t="s">
        <v>149</v>
      </c>
      <c r="M104" s="1398" t="str">
        <f>IF('755'!U1="NA","OK",IF('755'!O80="",IF('755'!O81="","ERROR","OK"),IF('755'!O81="","OK","ERROR")))</f>
        <v>ERROR</v>
      </c>
    </row>
    <row r="105" spans="2:14" x14ac:dyDescent="0.2">
      <c r="B105" s="1387"/>
      <c r="C105" s="352" t="s">
        <v>150</v>
      </c>
      <c r="M105" s="1398" t="str">
        <f>IF('755'!U1="NA","OK",IF('755'!O83="",IF('755'!O84="","ERROR","OK"),IF('755'!O84="","OK","ERROR")))</f>
        <v>ERROR</v>
      </c>
    </row>
    <row r="106" spans="2:14" x14ac:dyDescent="0.2">
      <c r="B106" s="1387"/>
      <c r="C106" s="352" t="s">
        <v>151</v>
      </c>
      <c r="M106" s="1398" t="str">
        <f>IF('765'!J1="NA","OK",IF('765'!D33="",IF('765'!D34="","ERROR","OK"),IF('765'!D34="","OK","ERROR")))</f>
        <v>ERROR</v>
      </c>
    </row>
    <row r="107" spans="2:14" x14ac:dyDescent="0.2">
      <c r="B107" s="1387"/>
      <c r="C107" s="352" t="s">
        <v>152</v>
      </c>
      <c r="M107" s="1398" t="str">
        <f>IF('765'!J1="NA","OK",IF('765'!D48="",IF('765'!D49="","ERROR","OK"),IF('765'!D49="","OK","ERROR")))</f>
        <v>ERROR</v>
      </c>
    </row>
    <row r="108" spans="2:14" x14ac:dyDescent="0.2">
      <c r="B108" s="1387"/>
      <c r="C108" s="352" t="s">
        <v>153</v>
      </c>
      <c r="M108" s="1399" t="str">
        <f>IF('905'!H1="NA","OK",IF('905'!F198="0","OK","ERROR"))</f>
        <v>OK</v>
      </c>
    </row>
    <row r="109" spans="2:14" x14ac:dyDescent="0.2">
      <c r="B109" s="1387"/>
      <c r="C109" s="352" t="s">
        <v>154</v>
      </c>
      <c r="M109" s="1399" t="str">
        <f>IF('905'!H1="NA","OK",IF('905'!F265="OK","OK","ERROR"))</f>
        <v>ERROR</v>
      </c>
    </row>
    <row r="110" spans="2:14" x14ac:dyDescent="0.2">
      <c r="B110" s="1387"/>
      <c r="C110" s="352" t="s">
        <v>155</v>
      </c>
      <c r="M110" s="1398" t="str">
        <f>IF('905'!H1="NA","OK",IF(ISBLANK('905'!A274),"ERROR","OK"))</f>
        <v>ERROR</v>
      </c>
    </row>
    <row r="111" spans="2:14" x14ac:dyDescent="0.2">
      <c r="B111" s="1387"/>
      <c r="C111" s="352" t="s">
        <v>156</v>
      </c>
      <c r="M111" s="1398" t="str">
        <f>IF('906-6B'!K1="NA","OK",IF('906-6B'!J87='906-6B'!J56,"OK","ERROR"))</f>
        <v>ERROR</v>
      </c>
    </row>
    <row r="112" spans="2:14" x14ac:dyDescent="0.2">
      <c r="B112" s="1387"/>
      <c r="C112" s="352" t="s">
        <v>157</v>
      </c>
      <c r="M112" s="1398" t="str">
        <f>IF('906-6C'!K1="NA","OK",IF('906-6C'!J87='906-6C'!J56,"OK","ERROR"))</f>
        <v>ERROR</v>
      </c>
    </row>
    <row r="113" spans="2:14" x14ac:dyDescent="0.2">
      <c r="B113" s="1387"/>
      <c r="C113" s="352" t="s">
        <v>158</v>
      </c>
      <c r="M113" s="1398" t="str">
        <f>IF('906-6BC'!K1="NA","OK",IF('906-6BC'!J88='906-6BC'!J57,"OK","ERROR"))</f>
        <v>ERROR</v>
      </c>
      <c r="N113" t="s">
        <v>50</v>
      </c>
    </row>
    <row r="114" spans="2:14" ht="13.5" thickBot="1" x14ac:dyDescent="0.25">
      <c r="B114" s="1388"/>
      <c r="C114" s="448"/>
      <c r="D114" s="448"/>
      <c r="E114" s="448"/>
      <c r="F114" s="448"/>
      <c r="G114" s="448"/>
      <c r="H114" s="448"/>
      <c r="I114" s="448"/>
      <c r="J114" s="448"/>
      <c r="K114" s="448"/>
      <c r="L114" s="448"/>
      <c r="M114" s="1395"/>
    </row>
  </sheetData>
  <sheetProtection algorithmName="SHA-512" hashValue="7Z9vu5Jxth3/Gt2edaKQI9V3c0R2XHilUHHegYpDj2bAwtkBDHO0RA1wxj8GgoaSyg+w8uc7BVZnJEcE3zwyxQ==" saltValue="7MaH2x+1VECK6wDqExCedg==" spinCount="100000" sheet="1" autoFilter="0"/>
  <mergeCells count="3">
    <mergeCell ref="A1:N1"/>
    <mergeCell ref="A2:M2"/>
    <mergeCell ref="A3:M3"/>
  </mergeCells>
  <conditionalFormatting sqref="M12:M113">
    <cfRule type="cellIs" dxfId="181" priority="1" operator="equal">
      <formula>"ERROR"</formula>
    </cfRule>
    <cfRule type="cellIs" dxfId="180" priority="2" operator="equal">
      <formula>"OK"</formula>
    </cfRule>
  </conditionalFormatting>
  <pageMargins left="0.6" right="0.6" top="0.5" bottom="0.5" header="0.3" footer="0.3"/>
  <pageSetup scale="77" fitToHeight="0" orientation="portrait" r:id="rId1"/>
  <ignoredErrors>
    <ignoredError sqref="M57" formula="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1">
    <pageSetUpPr fitToPage="1"/>
  </sheetPr>
  <dimension ref="A1:M54"/>
  <sheetViews>
    <sheetView zoomScaleNormal="100" workbookViewId="0">
      <selection activeCell="A15" sqref="A15"/>
    </sheetView>
  </sheetViews>
  <sheetFormatPr defaultColWidth="9.42578125" defaultRowHeight="15" x14ac:dyDescent="0.25"/>
  <cols>
    <col min="1" max="1" width="12.5703125" style="464" customWidth="1"/>
    <col min="2" max="2" width="8.5703125" style="464" customWidth="1"/>
    <col min="3" max="3" width="12.42578125" style="464" customWidth="1"/>
    <col min="4" max="8" width="15.5703125" style="464" customWidth="1"/>
    <col min="9" max="9" width="1.42578125" style="464" customWidth="1"/>
    <col min="10" max="10" width="4" style="464" customWidth="1"/>
    <col min="11" max="11" width="52.5703125" style="464" customWidth="1"/>
    <col min="12" max="16384" width="9.42578125" style="464"/>
  </cols>
  <sheetData>
    <row r="1" spans="1:9" ht="18" customHeight="1" x14ac:dyDescent="0.25">
      <c r="A1" s="2553" t="str">
        <f>Index!A1</f>
        <v xml:space="preserve">                                                               Office of the State Controller                                                                </v>
      </c>
      <c r="B1" s="2553"/>
      <c r="C1" s="2553"/>
      <c r="D1" s="2553"/>
      <c r="E1" s="2553"/>
      <c r="F1" s="2553"/>
      <c r="G1" s="2553"/>
      <c r="H1" s="2553"/>
      <c r="I1" s="849"/>
    </row>
    <row r="2" spans="1:9" ht="18" customHeight="1" x14ac:dyDescent="0.25">
      <c r="A2" s="2765" t="str">
        <f>Index!A2</f>
        <v>2024 ACFR Worksheets</v>
      </c>
      <c r="B2" s="2765"/>
      <c r="C2" s="2765"/>
      <c r="D2" s="2765"/>
      <c r="E2" s="2765"/>
      <c r="F2" s="2765"/>
      <c r="G2" s="2765"/>
      <c r="H2" s="2765"/>
    </row>
    <row r="3" spans="1:9" ht="18" customHeight="1" x14ac:dyDescent="0.25">
      <c r="A3" s="2765" t="s">
        <v>1602</v>
      </c>
      <c r="B3" s="2765"/>
      <c r="C3" s="2765"/>
      <c r="D3" s="2765"/>
      <c r="E3" s="2765"/>
      <c r="F3" s="2765"/>
      <c r="G3" s="2765"/>
      <c r="H3" s="2765"/>
    </row>
    <row r="4" spans="1:9" ht="18" customHeight="1" x14ac:dyDescent="0.25">
      <c r="A4" s="2765" t="s">
        <v>1648</v>
      </c>
      <c r="B4" s="2765"/>
      <c r="C4" s="2765"/>
      <c r="D4" s="2765"/>
      <c r="E4" s="2765"/>
      <c r="F4" s="2765"/>
      <c r="G4" s="2765"/>
      <c r="H4" s="2765"/>
    </row>
    <row r="5" spans="1:9" ht="18" customHeight="1" x14ac:dyDescent="0.25">
      <c r="A5" s="1044"/>
      <c r="B5" s="1044"/>
      <c r="C5" s="1044"/>
      <c r="D5" s="1044"/>
      <c r="E5" s="1044"/>
      <c r="F5" s="536" t="s">
        <v>1604</v>
      </c>
      <c r="G5" s="1044"/>
      <c r="H5" s="2269" t="str">
        <f>IF(Index!$B$57="na","NA","")</f>
        <v/>
      </c>
    </row>
    <row r="6" spans="1:9" ht="18" customHeight="1" x14ac:dyDescent="0.25">
      <c r="A6" s="1044"/>
      <c r="B6" s="1044"/>
      <c r="C6" s="1647"/>
      <c r="D6" s="1044"/>
      <c r="E6" s="1043" t="s">
        <v>318</v>
      </c>
      <c r="F6" s="2539" t="str">
        <f>+Index!$E$10</f>
        <v>01</v>
      </c>
      <c r="G6" s="2539"/>
      <c r="H6" s="2539"/>
      <c r="I6" s="2539"/>
    </row>
    <row r="7" spans="1:9" ht="18" customHeight="1" x14ac:dyDescent="0.25">
      <c r="A7" s="1044"/>
      <c r="B7" s="1044"/>
      <c r="C7" s="1044"/>
      <c r="D7" s="1044"/>
      <c r="E7" s="1043" t="s">
        <v>319</v>
      </c>
      <c r="F7" s="2535" t="str">
        <f>+Index!$E$11</f>
        <v>North Carolina General Assembly</v>
      </c>
      <c r="G7" s="2535"/>
      <c r="H7" s="2535"/>
      <c r="I7" s="2535"/>
    </row>
    <row r="8" spans="1:9" ht="18" customHeight="1" x14ac:dyDescent="0.25">
      <c r="A8" s="1044" t="s">
        <v>545</v>
      </c>
      <c r="B8" s="1044"/>
      <c r="C8" s="1648" t="s">
        <v>1649</v>
      </c>
      <c r="D8" s="1044"/>
      <c r="E8" s="1043" t="s">
        <v>320</v>
      </c>
      <c r="F8" s="2536" t="str">
        <f>CONCATENATE(Index!$E$12," ",Index!$E$14)</f>
        <v xml:space="preserve"> </v>
      </c>
      <c r="G8" s="2536"/>
      <c r="H8" s="2536"/>
      <c r="I8" s="2536"/>
    </row>
    <row r="9" spans="1:9" ht="18" customHeight="1" x14ac:dyDescent="0.25">
      <c r="A9" s="1044"/>
      <c r="B9" s="1044"/>
      <c r="C9" s="1647"/>
      <c r="D9" s="1044"/>
      <c r="E9" s="1043" t="s">
        <v>168</v>
      </c>
      <c r="F9" s="2536">
        <f>+Index!$E$13</f>
        <v>0</v>
      </c>
      <c r="G9" s="2536"/>
      <c r="H9" s="2536"/>
      <c r="I9" s="2536"/>
    </row>
    <row r="10" spans="1:9" ht="14.1" customHeight="1" thickBot="1" x14ac:dyDescent="0.3">
      <c r="A10" s="1649"/>
      <c r="B10" s="1649"/>
      <c r="C10" s="1649"/>
      <c r="D10" s="1649"/>
      <c r="E10" s="1649"/>
      <c r="F10" s="1649"/>
      <c r="G10" s="1649"/>
      <c r="H10" s="1649"/>
    </row>
    <row r="11" spans="1:9" x14ac:dyDescent="0.25">
      <c r="A11" s="1044"/>
      <c r="B11" s="1044"/>
      <c r="C11" s="1044"/>
      <c r="D11" s="1044"/>
      <c r="E11" s="1044"/>
      <c r="F11" s="1044"/>
      <c r="G11" s="1044"/>
      <c r="H11" s="1044"/>
    </row>
    <row r="12" spans="1:9" x14ac:dyDescent="0.25">
      <c r="C12" s="1043" t="s">
        <v>1650</v>
      </c>
      <c r="D12" s="664" t="s">
        <v>1645</v>
      </c>
      <c r="E12" s="1044"/>
      <c r="G12" s="1044"/>
      <c r="H12" s="1044"/>
    </row>
    <row r="13" spans="1:9" ht="17.100000000000001" customHeight="1" x14ac:dyDescent="0.25">
      <c r="A13" s="1044"/>
      <c r="B13" s="1044"/>
      <c r="C13" s="1044"/>
      <c r="D13" s="1044"/>
      <c r="E13" s="1044"/>
      <c r="F13" s="1044"/>
      <c r="G13" s="1044"/>
      <c r="H13" s="1044"/>
    </row>
    <row r="14" spans="1:9" ht="30" customHeight="1" x14ac:dyDescent="0.25">
      <c r="A14" s="2766" t="s">
        <v>1607</v>
      </c>
      <c r="B14" s="2767"/>
      <c r="C14" s="2768"/>
      <c r="D14" s="2768"/>
      <c r="E14" s="2768"/>
      <c r="F14" s="2768"/>
      <c r="G14" s="2768"/>
      <c r="H14" s="2769"/>
    </row>
    <row r="15" spans="1:9" ht="17.100000000000001" customHeight="1" x14ac:dyDescent="0.25">
      <c r="A15" s="1650"/>
      <c r="B15" s="1650"/>
      <c r="C15" s="537"/>
      <c r="D15" s="537"/>
      <c r="E15" s="537"/>
      <c r="F15" s="537"/>
      <c r="G15" s="537"/>
      <c r="H15" s="537"/>
    </row>
    <row r="16" spans="1:9" x14ac:dyDescent="0.25">
      <c r="A16" s="1044"/>
      <c r="B16" s="1044"/>
      <c r="C16" s="1044"/>
      <c r="D16" s="538" t="s">
        <v>1573</v>
      </c>
      <c r="E16" s="539" t="s">
        <v>1573</v>
      </c>
      <c r="F16" s="539" t="s">
        <v>1573</v>
      </c>
      <c r="G16" s="539" t="s">
        <v>1573</v>
      </c>
      <c r="H16" s="539" t="s">
        <v>1573</v>
      </c>
    </row>
    <row r="17" spans="1:13" x14ac:dyDescent="0.25">
      <c r="A17" s="2770" t="s">
        <v>1608</v>
      </c>
      <c r="B17" s="2770"/>
      <c r="C17" s="2770"/>
      <c r="D17" s="696"/>
      <c r="E17" s="1658"/>
      <c r="F17" s="696"/>
      <c r="G17" s="696"/>
      <c r="H17" s="1659"/>
    </row>
    <row r="18" spans="1:13" ht="17.100000000000001" customHeight="1" x14ac:dyDescent="0.25">
      <c r="A18" s="465" t="s">
        <v>1609</v>
      </c>
      <c r="B18" s="2353"/>
      <c r="C18" s="2352"/>
      <c r="D18" s="2771"/>
      <c r="E18" s="2771"/>
      <c r="F18" s="2771"/>
      <c r="G18" s="2771"/>
      <c r="H18" s="2771"/>
    </row>
    <row r="19" spans="1:13" ht="17.100000000000001" customHeight="1" x14ac:dyDescent="0.25">
      <c r="A19" s="2353" t="s">
        <v>1610</v>
      </c>
      <c r="B19" s="2353"/>
      <c r="C19" s="2352"/>
      <c r="D19" s="2772"/>
      <c r="E19" s="2772"/>
      <c r="F19" s="2772"/>
      <c r="G19" s="2772"/>
      <c r="H19" s="2772"/>
    </row>
    <row r="20" spans="1:13" ht="28.35" customHeight="1" x14ac:dyDescent="0.25">
      <c r="A20" s="2774" t="s">
        <v>1611</v>
      </c>
      <c r="B20" s="2774"/>
      <c r="C20" s="2774"/>
      <c r="D20" s="1662"/>
      <c r="E20" s="1662"/>
      <c r="F20" s="1662"/>
      <c r="G20" s="1662"/>
      <c r="H20" s="1663"/>
      <c r="J20" s="2779" t="s">
        <v>1612</v>
      </c>
      <c r="K20" s="2779"/>
      <c r="L20" s="1330" t="s">
        <v>1613</v>
      </c>
      <c r="M20" s="1330" t="s">
        <v>680</v>
      </c>
    </row>
    <row r="21" spans="1:13" ht="17.100000000000001" customHeight="1" x14ac:dyDescent="0.25">
      <c r="A21" s="2784" t="s">
        <v>1614</v>
      </c>
      <c r="B21" s="2548"/>
      <c r="C21" s="2785"/>
      <c r="D21" s="1662"/>
      <c r="E21" s="1662"/>
      <c r="F21" s="1662"/>
      <c r="G21" s="1662"/>
      <c r="H21" s="1663"/>
      <c r="J21" s="2797" t="s">
        <v>1615</v>
      </c>
      <c r="K21" s="2694"/>
      <c r="L21" s="1330" t="s">
        <v>1616</v>
      </c>
      <c r="M21" s="1330" t="s">
        <v>680</v>
      </c>
    </row>
    <row r="22" spans="1:13" ht="17.100000000000001" customHeight="1" x14ac:dyDescent="0.25">
      <c r="A22" s="2353" t="s">
        <v>1624</v>
      </c>
      <c r="B22" s="2352"/>
      <c r="C22" s="2352"/>
      <c r="D22" s="1664"/>
      <c r="E22" s="1652"/>
      <c r="F22" s="1652"/>
      <c r="G22" s="1652"/>
      <c r="H22" s="1652"/>
      <c r="J22" s="2351"/>
      <c r="K22" s="2351"/>
      <c r="L22" s="1330"/>
      <c r="M22" s="1330"/>
    </row>
    <row r="23" spans="1:13" ht="17.100000000000001" customHeight="1" x14ac:dyDescent="0.25">
      <c r="A23" s="2784" t="s">
        <v>1651</v>
      </c>
      <c r="B23" s="2784"/>
      <c r="C23" s="2784"/>
      <c r="D23" s="1662"/>
      <c r="E23" s="1662"/>
      <c r="F23" s="1662"/>
      <c r="G23" s="1662"/>
      <c r="H23" s="1663"/>
      <c r="J23" s="2351"/>
      <c r="K23" s="2351"/>
      <c r="L23" s="1330" t="s">
        <v>1626</v>
      </c>
      <c r="M23" s="1330" t="s">
        <v>1652</v>
      </c>
    </row>
    <row r="24" spans="1:13" ht="17.100000000000001" customHeight="1" x14ac:dyDescent="0.25">
      <c r="A24" s="2784" t="s">
        <v>1653</v>
      </c>
      <c r="B24" s="2784"/>
      <c r="C24" s="2784"/>
      <c r="D24" s="1662"/>
      <c r="E24" s="1662"/>
      <c r="F24" s="1662"/>
      <c r="G24" s="1662"/>
      <c r="H24" s="1663"/>
      <c r="J24" s="2320"/>
      <c r="K24" s="2320"/>
      <c r="L24" s="1330" t="s">
        <v>1626</v>
      </c>
      <c r="M24" s="1330" t="s">
        <v>1654</v>
      </c>
    </row>
    <row r="25" spans="1:13" ht="17.100000000000001" customHeight="1" x14ac:dyDescent="0.25">
      <c r="A25" s="2784" t="s">
        <v>1655</v>
      </c>
      <c r="B25" s="2784"/>
      <c r="C25" s="2784"/>
      <c r="D25" s="1662"/>
      <c r="E25" s="1662"/>
      <c r="F25" s="1662"/>
      <c r="G25" s="1662"/>
      <c r="H25" s="1663"/>
      <c r="L25" s="1330" t="s">
        <v>1626</v>
      </c>
      <c r="M25" s="1330" t="s">
        <v>1656</v>
      </c>
    </row>
    <row r="26" spans="1:13" ht="17.100000000000001" customHeight="1" x14ac:dyDescent="0.25">
      <c r="A26" s="2353" t="s">
        <v>1627</v>
      </c>
      <c r="B26" s="2350"/>
      <c r="C26" s="2350"/>
      <c r="D26" s="1664"/>
      <c r="E26" s="1664"/>
      <c r="F26" s="1664"/>
      <c r="G26" s="1664"/>
      <c r="H26" s="1652"/>
      <c r="L26" s="1330"/>
      <c r="M26" s="1330"/>
    </row>
    <row r="27" spans="1:13" ht="17.100000000000001" customHeight="1" x14ac:dyDescent="0.25">
      <c r="A27" s="2784" t="s">
        <v>1651</v>
      </c>
      <c r="B27" s="2784"/>
      <c r="C27" s="2784"/>
      <c r="D27" s="1662"/>
      <c r="E27" s="1662"/>
      <c r="F27" s="1662"/>
      <c r="G27" s="1662"/>
      <c r="H27" s="1663"/>
      <c r="L27" s="1330" t="s">
        <v>1628</v>
      </c>
      <c r="M27" s="1330" t="s">
        <v>1652</v>
      </c>
    </row>
    <row r="28" spans="1:13" ht="17.100000000000001" customHeight="1" x14ac:dyDescent="0.25">
      <c r="A28" s="2784" t="s">
        <v>415</v>
      </c>
      <c r="B28" s="2784"/>
      <c r="C28" s="2784"/>
      <c r="D28" s="1662"/>
      <c r="E28" s="1662"/>
      <c r="F28" s="1662"/>
      <c r="G28" s="1662"/>
      <c r="H28" s="1663"/>
      <c r="L28" s="1330" t="s">
        <v>1628</v>
      </c>
      <c r="M28" s="1330" t="s">
        <v>763</v>
      </c>
    </row>
    <row r="29" spans="1:13" ht="17.100000000000001" customHeight="1" x14ac:dyDescent="0.25">
      <c r="A29" s="2784" t="s">
        <v>1655</v>
      </c>
      <c r="B29" s="2784"/>
      <c r="C29" s="2784"/>
      <c r="D29" s="1662"/>
      <c r="E29" s="1662"/>
      <c r="F29" s="1662"/>
      <c r="G29" s="1662"/>
      <c r="H29" s="1663"/>
      <c r="L29" s="1330" t="s">
        <v>1628</v>
      </c>
      <c r="M29" s="1330" t="s">
        <v>1656</v>
      </c>
    </row>
    <row r="30" spans="1:13" ht="17.100000000000001" customHeight="1" x14ac:dyDescent="0.25">
      <c r="A30" s="2353" t="s">
        <v>1629</v>
      </c>
      <c r="B30" s="2350"/>
      <c r="C30" s="2350"/>
      <c r="D30" s="1664"/>
      <c r="E30" s="1664"/>
      <c r="F30" s="1664"/>
      <c r="G30" s="1664"/>
      <c r="H30" s="1652"/>
      <c r="L30" s="1330"/>
      <c r="M30" s="1330"/>
    </row>
    <row r="31" spans="1:13" ht="17.100000000000001" customHeight="1" x14ac:dyDescent="0.25">
      <c r="A31" s="2784" t="s">
        <v>1651</v>
      </c>
      <c r="B31" s="2784"/>
      <c r="C31" s="2784"/>
      <c r="D31" s="1662"/>
      <c r="E31" s="1662"/>
      <c r="F31" s="1662"/>
      <c r="G31" s="1662"/>
      <c r="H31" s="1663"/>
      <c r="L31" s="1330" t="s">
        <v>1630</v>
      </c>
      <c r="M31" s="1330" t="s">
        <v>1652</v>
      </c>
    </row>
    <row r="32" spans="1:13" ht="17.100000000000001" customHeight="1" x14ac:dyDescent="0.25">
      <c r="A32" s="2784" t="s">
        <v>415</v>
      </c>
      <c r="B32" s="2784"/>
      <c r="C32" s="2784"/>
      <c r="D32" s="1662"/>
      <c r="E32" s="1662"/>
      <c r="F32" s="1662"/>
      <c r="G32" s="1662"/>
      <c r="H32" s="1663"/>
      <c r="L32" s="1330" t="s">
        <v>1630</v>
      </c>
      <c r="M32" s="1330" t="s">
        <v>763</v>
      </c>
    </row>
    <row r="33" spans="1:13" ht="17.100000000000001" customHeight="1" x14ac:dyDescent="0.25">
      <c r="A33" s="2784" t="s">
        <v>1655</v>
      </c>
      <c r="B33" s="2784"/>
      <c r="C33" s="2784"/>
      <c r="D33" s="1662"/>
      <c r="E33" s="1662"/>
      <c r="F33" s="1662"/>
      <c r="G33" s="1662"/>
      <c r="H33" s="1663"/>
      <c r="L33" s="1330" t="s">
        <v>1630</v>
      </c>
      <c r="M33" s="1330" t="s">
        <v>1656</v>
      </c>
    </row>
    <row r="34" spans="1:13" ht="17.100000000000001" customHeight="1" x14ac:dyDescent="0.25">
      <c r="A34" s="2790" t="s">
        <v>1646</v>
      </c>
      <c r="B34" s="2791"/>
      <c r="C34" s="2792"/>
      <c r="D34" s="1662"/>
      <c r="E34" s="1662"/>
      <c r="F34" s="1662"/>
      <c r="G34" s="1662"/>
      <c r="H34" s="1663"/>
      <c r="I34" s="540"/>
      <c r="J34" s="2793" t="s">
        <v>1647</v>
      </c>
      <c r="K34" s="2794"/>
      <c r="L34" s="1330" t="s">
        <v>1631</v>
      </c>
      <c r="M34" s="1330" t="s">
        <v>680</v>
      </c>
    </row>
    <row r="35" spans="1:13" ht="29.25" customHeight="1" thickBot="1" x14ac:dyDescent="0.3">
      <c r="A35" s="2795" t="s">
        <v>1632</v>
      </c>
      <c r="B35" s="2794"/>
      <c r="C35" s="2786"/>
      <c r="D35" s="1654">
        <f>SUM(D20:D21)+SUM(D23:D25)+SUM(D27:D29)+SUM(D31:D34)</f>
        <v>0</v>
      </c>
      <c r="E35" s="1654">
        <f>SUM(E20:E21)+SUM(E23:E25)+SUM(E27:E29)+SUM(E31:E34)</f>
        <v>0</v>
      </c>
      <c r="F35" s="1654">
        <f>SUM(F20:F21)+SUM(F23:F25)+SUM(F27:F29)+SUM(F31:F34)</f>
        <v>0</v>
      </c>
      <c r="G35" s="1654">
        <f>SUM(G20:G21)+SUM(G23:G25)+SUM(G27:G29)+SUM(G31:G34)</f>
        <v>0</v>
      </c>
      <c r="H35" s="1654">
        <f>SUM(H20:H21)+SUM(H23:H25)+SUM(H27:H29)+SUM(H31:H34)</f>
        <v>0</v>
      </c>
      <c r="J35" s="2794"/>
      <c r="K35" s="2794"/>
    </row>
    <row r="36" spans="1:13" ht="12.75" customHeight="1" thickTop="1" x14ac:dyDescent="0.25">
      <c r="A36" s="541"/>
      <c r="B36" s="541"/>
      <c r="C36" s="541"/>
      <c r="D36" s="541"/>
      <c r="E36" s="541"/>
      <c r="F36" s="541"/>
      <c r="G36" s="541"/>
      <c r="H36" s="541"/>
    </row>
    <row r="37" spans="1:13" ht="12.75" customHeight="1" x14ac:dyDescent="0.25">
      <c r="A37" s="465" t="s">
        <v>1633</v>
      </c>
      <c r="B37" s="1655" t="s">
        <v>1634</v>
      </c>
      <c r="C37" s="2352"/>
      <c r="D37" s="2353"/>
      <c r="E37" s="2353"/>
      <c r="F37" s="2353"/>
      <c r="G37" s="2353"/>
      <c r="H37" s="2353"/>
    </row>
    <row r="38" spans="1:13" ht="12.75" customHeight="1" x14ac:dyDescent="0.25">
      <c r="A38" s="465"/>
      <c r="B38" s="1655" t="s">
        <v>1635</v>
      </c>
      <c r="C38" s="2352"/>
      <c r="D38" s="2353"/>
      <c r="E38" s="2353"/>
      <c r="F38" s="2353"/>
      <c r="G38" s="2353"/>
      <c r="H38" s="2353"/>
    </row>
    <row r="39" spans="1:13" ht="12.75" customHeight="1" x14ac:dyDescent="0.25">
      <c r="A39" s="465"/>
      <c r="B39" s="1655" t="s">
        <v>1636</v>
      </c>
      <c r="C39" s="2352"/>
      <c r="D39" s="2353"/>
      <c r="E39" s="2353"/>
      <c r="F39" s="2353"/>
      <c r="G39" s="2353"/>
      <c r="H39" s="2353"/>
    </row>
    <row r="40" spans="1:13" ht="15" customHeight="1" x14ac:dyDescent="0.25">
      <c r="A40" s="465" t="s">
        <v>1637</v>
      </c>
      <c r="B40" s="1655" t="s">
        <v>1638</v>
      </c>
      <c r="C40" s="2352"/>
      <c r="D40" s="2353"/>
      <c r="E40" s="2353"/>
      <c r="F40" s="2353"/>
      <c r="G40" s="2353"/>
      <c r="H40" s="2353"/>
    </row>
    <row r="41" spans="1:13" ht="12.75" customHeight="1" x14ac:dyDescent="0.25">
      <c r="A41" s="465"/>
      <c r="B41" s="2352"/>
      <c r="C41" s="2352"/>
      <c r="D41" s="2353"/>
      <c r="E41" s="2353"/>
      <c r="F41" s="2353"/>
      <c r="G41" s="2353"/>
      <c r="H41" s="2353"/>
    </row>
    <row r="42" spans="1:13" x14ac:dyDescent="0.25">
      <c r="D42" s="2796" t="s">
        <v>1639</v>
      </c>
      <c r="E42" s="2796"/>
      <c r="F42" s="2796"/>
      <c r="G42" s="2796"/>
      <c r="H42" s="2796"/>
    </row>
    <row r="43" spans="1:13" ht="17.100000000000001" customHeight="1" x14ac:dyDescent="0.25">
      <c r="A43" s="2353" t="s">
        <v>1626</v>
      </c>
      <c r="B43" s="2353"/>
      <c r="C43" s="2353"/>
      <c r="D43" s="829">
        <f>D23+D24+D25+D21</f>
        <v>0</v>
      </c>
      <c r="E43" s="829">
        <f>E23+E24+E25+E21</f>
        <v>0</v>
      </c>
      <c r="F43" s="829">
        <f>F23+F24+F25+F21</f>
        <v>0</v>
      </c>
      <c r="G43" s="829">
        <f>G23+G24+G25+G21</f>
        <v>0</v>
      </c>
      <c r="H43" s="829">
        <f>H23+H24+H25+H21</f>
        <v>0</v>
      </c>
    </row>
    <row r="44" spans="1:13" ht="17.100000000000001" customHeight="1" thickBot="1" x14ac:dyDescent="0.3">
      <c r="A44" s="2353" t="s">
        <v>1640</v>
      </c>
      <c r="B44" s="2353"/>
      <c r="C44" s="2353"/>
      <c r="D44" s="830">
        <f>D20+SUM(D27:D29)+SUM(D31:D34)</f>
        <v>0</v>
      </c>
      <c r="E44" s="830">
        <f>E20+SUM(E27:E29)+SUM(E31:E34)</f>
        <v>0</v>
      </c>
      <c r="F44" s="830">
        <f>F20+SUM(F27:F29)+SUM(F31:F34)</f>
        <v>0</v>
      </c>
      <c r="G44" s="830">
        <f>G20+SUM(G27:G29)+SUM(G31:G34)</f>
        <v>0</v>
      </c>
      <c r="H44" s="830">
        <f>H20+SUM(H27:H29)+SUM(H31:H34)</f>
        <v>0</v>
      </c>
    </row>
    <row r="45" spans="1:13" ht="17.100000000000001" customHeight="1" thickBot="1" x14ac:dyDescent="0.3">
      <c r="A45" s="2353" t="s">
        <v>1641</v>
      </c>
      <c r="B45" s="2353"/>
      <c r="C45" s="2353"/>
      <c r="D45" s="1656">
        <f>SUM(D43:D44)</f>
        <v>0</v>
      </c>
      <c r="E45" s="1656">
        <f>SUM(E43:E44)</f>
        <v>0</v>
      </c>
      <c r="F45" s="1656">
        <f>SUM(F43:F44)</f>
        <v>0</v>
      </c>
      <c r="G45" s="1656">
        <f>SUM(G43:G44)</f>
        <v>0</v>
      </c>
      <c r="H45" s="1656">
        <f>SUM(H43:H44)</f>
        <v>0</v>
      </c>
    </row>
    <row r="46" spans="1:13" ht="17.100000000000001" customHeight="1" thickTop="1" x14ac:dyDescent="0.25">
      <c r="A46" s="2789" t="s">
        <v>1642</v>
      </c>
      <c r="B46" s="2789"/>
      <c r="C46" s="2789"/>
      <c r="D46" s="542"/>
      <c r="E46" s="542" t="str">
        <f>IF(E47&lt;&gt;0,"Out of Balance","")</f>
        <v/>
      </c>
      <c r="F46" s="542" t="str">
        <f>IF(F47&lt;&gt;0,"Out of Balance","")</f>
        <v/>
      </c>
      <c r="G46" s="542" t="str">
        <f>IF(G47&lt;&gt;0,"Out of Balance","")</f>
        <v/>
      </c>
      <c r="H46" s="542" t="str">
        <f>IF(H47&lt;&gt;0,"Out of Balance","")</f>
        <v/>
      </c>
    </row>
    <row r="48" spans="1:13" x14ac:dyDescent="0.25">
      <c r="A48" s="138" t="s">
        <v>1657</v>
      </c>
      <c r="B48"/>
      <c r="C48"/>
      <c r="D48"/>
      <c r="E48"/>
      <c r="F48"/>
    </row>
    <row r="49" spans="1:8" x14ac:dyDescent="0.25">
      <c r="A49" s="138" t="s">
        <v>1658</v>
      </c>
      <c r="B49"/>
      <c r="C49"/>
      <c r="D49"/>
      <c r="E49"/>
      <c r="F49"/>
    </row>
    <row r="50" spans="1:8" ht="7.5" customHeight="1" x14ac:dyDescent="0.25">
      <c r="A50" s="138"/>
      <c r="B50"/>
      <c r="C50"/>
      <c r="D50"/>
      <c r="E50"/>
      <c r="F50"/>
    </row>
    <row r="51" spans="1:8" x14ac:dyDescent="0.25">
      <c r="A51" s="2332"/>
      <c r="B51" s="2332"/>
      <c r="C51" s="2332"/>
      <c r="D51" s="2332"/>
      <c r="E51" s="2332"/>
      <c r="F51" s="2332"/>
      <c r="G51" s="2332"/>
      <c r="H51" s="2332"/>
    </row>
    <row r="52" spans="1:8" x14ac:dyDescent="0.25">
      <c r="A52" s="2318"/>
      <c r="B52" s="2318"/>
      <c r="C52" s="2318"/>
      <c r="D52" s="2318"/>
      <c r="E52" s="2318"/>
      <c r="F52" s="2318"/>
      <c r="G52" s="2318"/>
      <c r="H52" s="2318"/>
    </row>
    <row r="53" spans="1:8" x14ac:dyDescent="0.25">
      <c r="A53" s="2318"/>
      <c r="B53" s="2318"/>
      <c r="C53" s="2318"/>
      <c r="D53" s="2318"/>
      <c r="E53" s="2318"/>
      <c r="F53" s="2318"/>
      <c r="G53" s="2318"/>
      <c r="H53" s="2318"/>
    </row>
    <row r="54" spans="1:8" x14ac:dyDescent="0.25">
      <c r="A54" s="2318"/>
      <c r="B54" s="2318"/>
      <c r="C54" s="2318"/>
      <c r="D54" s="2318"/>
      <c r="E54" s="2318"/>
      <c r="F54" s="2318"/>
      <c r="G54" s="2318"/>
      <c r="H54" s="2318"/>
    </row>
  </sheetData>
  <sheetProtection algorithmName="SHA-512" hashValue="/g11qifTvVjISHEuU5vnYyHXaJvbVYjKxph1TjkChjr+KoYnvKFH5cjK6j05pHftqlTynrXW7TdqbOJSViISTg==" saltValue="f44DA6Gb4mHbJmLc70mqGg==" spinCount="100000" sheet="1" autoFilter="0"/>
  <customSheetViews>
    <customSheetView guid="{9FCFC836-1CA5-48BF-958D-24D2EA94B219}" fitToPage="1" topLeftCell="A13">
      <selection activeCell="A28" sqref="A28:C28"/>
      <pageMargins left="0" right="0" top="0" bottom="0" header="0" footer="0"/>
      <pageSetup scale="83" orientation="portrait" r:id="rId1"/>
      <headerFooter>
        <oddFooter>&amp;R&amp;A</oddFooter>
      </headerFooter>
    </customSheetView>
    <customSheetView guid="{B08879A4-635B-4C39-9937-AC7883D562FC}" fitToPage="1" topLeftCell="A13">
      <selection activeCell="A28" sqref="A28:C28"/>
      <pageMargins left="0" right="0" top="0" bottom="0" header="0" footer="0"/>
      <pageSetup scale="83" orientation="portrait" r:id="rId2"/>
      <headerFooter>
        <oddFooter>&amp;R&amp;A</oddFooter>
      </headerFooter>
    </customSheetView>
  </customSheetViews>
  <mergeCells count="33">
    <mergeCell ref="D42:H42"/>
    <mergeCell ref="A46:C46"/>
    <mergeCell ref="A29:C29"/>
    <mergeCell ref="A31:C31"/>
    <mergeCell ref="A32:C32"/>
    <mergeCell ref="A33:C33"/>
    <mergeCell ref="A34:C34"/>
    <mergeCell ref="J34:K35"/>
    <mergeCell ref="A35:C35"/>
    <mergeCell ref="A20:C20"/>
    <mergeCell ref="A23:C23"/>
    <mergeCell ref="A24:C24"/>
    <mergeCell ref="A25:C25"/>
    <mergeCell ref="A27:C27"/>
    <mergeCell ref="A28:C28"/>
    <mergeCell ref="J20:K20"/>
    <mergeCell ref="A21:C21"/>
    <mergeCell ref="A1:H1"/>
    <mergeCell ref="A2:H2"/>
    <mergeCell ref="A3:H3"/>
    <mergeCell ref="A4:H4"/>
    <mergeCell ref="F6:I6"/>
    <mergeCell ref="A14:H14"/>
    <mergeCell ref="J21:K21"/>
    <mergeCell ref="F7:I7"/>
    <mergeCell ref="F8:I8"/>
    <mergeCell ref="F9:I9"/>
    <mergeCell ref="A17:C17"/>
    <mergeCell ref="D18:D19"/>
    <mergeCell ref="E18:E19"/>
    <mergeCell ref="F18:F19"/>
    <mergeCell ref="G18:G19"/>
    <mergeCell ref="H18:H19"/>
  </mergeCells>
  <conditionalFormatting sqref="H5">
    <cfRule type="cellIs" dxfId="94" priority="1" stopIfTrue="1" operator="equal">
      <formula>"na"</formula>
    </cfRule>
  </conditionalFormatting>
  <conditionalFormatting sqref="I1:I3">
    <cfRule type="cellIs" dxfId="93" priority="4" stopIfTrue="1" operator="equal">
      <formula>"na"</formula>
    </cfRule>
  </conditionalFormatting>
  <conditionalFormatting sqref="I2:J3">
    <cfRule type="cellIs" dxfId="92" priority="5" stopIfTrue="1" operator="equal">
      <formula>"na"</formula>
    </cfRule>
  </conditionalFormatting>
  <dataValidations count="4">
    <dataValidation type="decimal" operator="greaterThanOrEqual" allowBlank="1" showInputMessage="1" showErrorMessage="1" errorTitle="Invalid Data" error="Amount cannot be negative" sqref="D23:H25 D20:H21 D31:H33 D27:H29" xr:uid="{00000000-0002-0000-1E00-000000000000}">
      <formula1>0</formula1>
    </dataValidation>
    <dataValidation type="list" allowBlank="1" showInputMessage="1" showErrorMessage="1" sqref="B30:C30 B26:C26" xr:uid="{00000000-0002-0000-1E00-000001000000}">
      <formula1>function</formula1>
    </dataValidation>
    <dataValidation type="decimal" operator="lessThanOrEqual" allowBlank="1" showInputMessage="1" showErrorMessage="1" errorTitle="Invalid Data" error="Cannot have positive &quot;Unassigned&quot; fund balance in funds other than the General Fund" sqref="D34:H34" xr:uid="{00000000-0002-0000-1E00-000002000000}">
      <formula1>0</formula1>
    </dataValidation>
    <dataValidation type="textLength" operator="equal" allowBlank="1" showInputMessage="1" showErrorMessage="1" errorTitle="Invalid data!" error="GASB number must be 4 digits." sqref="D17:H17" xr:uid="{00000000-0002-0000-1E00-000003000000}">
      <formula1>4</formula1>
    </dataValidation>
  </dataValidations>
  <hyperlinks>
    <hyperlink ref="A1:H1" location="Index!A1" display="Index!A1" xr:uid="{00000000-0004-0000-1E00-000000000000}"/>
    <hyperlink ref="D12" r:id="rId3" xr:uid="{E2ABBDA3-5EAB-42B5-B541-EF5D7E55E48E}"/>
  </hyperlinks>
  <pageMargins left="0.6" right="0.6" top="0.5" bottom="0.5" header="0.3" footer="0.3"/>
  <pageSetup scale="84" fitToHeight="0" orientation="portrait" r:id="rId4"/>
  <rowBreaks count="1" manualBreakCount="1">
    <brk id="55" max="8"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2">
    <pageSetUpPr fitToPage="1"/>
  </sheetPr>
  <dimension ref="A1:M49"/>
  <sheetViews>
    <sheetView zoomScaleNormal="100" workbookViewId="0">
      <selection activeCell="A15" sqref="A15"/>
    </sheetView>
  </sheetViews>
  <sheetFormatPr defaultColWidth="9.42578125" defaultRowHeight="15" x14ac:dyDescent="0.25"/>
  <cols>
    <col min="1" max="1" width="12.5703125" style="464" customWidth="1"/>
    <col min="2" max="2" width="8.5703125" style="464" customWidth="1"/>
    <col min="3" max="3" width="12.42578125" style="464" customWidth="1"/>
    <col min="4" max="8" width="15.5703125" style="464" customWidth="1"/>
    <col min="9" max="9" width="1.42578125" style="464" customWidth="1"/>
    <col min="10" max="10" width="4" style="464" customWidth="1"/>
    <col min="11" max="11" width="52.5703125" style="464" customWidth="1"/>
    <col min="12" max="13" width="11.85546875" style="464" bestFit="1" customWidth="1"/>
    <col min="14" max="16384" width="9.42578125" style="464"/>
  </cols>
  <sheetData>
    <row r="1" spans="1:9" ht="18" customHeight="1" x14ac:dyDescent="0.25">
      <c r="A1" s="2553" t="str">
        <f>Index!A1</f>
        <v xml:space="preserve">                                                               Office of the State Controller                                                                </v>
      </c>
      <c r="B1" s="2553"/>
      <c r="C1" s="2553"/>
      <c r="D1" s="2553"/>
      <c r="E1" s="2553"/>
      <c r="F1" s="2553"/>
      <c r="G1" s="2553"/>
      <c r="H1" s="2553"/>
      <c r="I1" s="849"/>
    </row>
    <row r="2" spans="1:9" ht="18" customHeight="1" x14ac:dyDescent="0.25">
      <c r="A2" s="2765" t="str">
        <f>Index!A2</f>
        <v>2024 ACFR Worksheets</v>
      </c>
      <c r="B2" s="2765"/>
      <c r="C2" s="2765"/>
      <c r="D2" s="2765"/>
      <c r="E2" s="2765"/>
      <c r="F2" s="2765"/>
      <c r="G2" s="2765"/>
      <c r="H2" s="2765"/>
    </row>
    <row r="3" spans="1:9" ht="18" customHeight="1" x14ac:dyDescent="0.25">
      <c r="A3" s="2765" t="s">
        <v>1602</v>
      </c>
      <c r="B3" s="2765"/>
      <c r="C3" s="2765"/>
      <c r="D3" s="2765"/>
      <c r="E3" s="2765"/>
      <c r="F3" s="2765"/>
      <c r="G3" s="2765"/>
      <c r="H3" s="2765"/>
    </row>
    <row r="4" spans="1:9" ht="18" customHeight="1" x14ac:dyDescent="0.25">
      <c r="A4" s="2765" t="s">
        <v>1659</v>
      </c>
      <c r="B4" s="2765"/>
      <c r="C4" s="2765"/>
      <c r="D4" s="2765"/>
      <c r="E4" s="2765"/>
      <c r="F4" s="2765"/>
      <c r="G4" s="2765"/>
      <c r="H4" s="2765"/>
    </row>
    <row r="5" spans="1:9" ht="18" customHeight="1" x14ac:dyDescent="0.25">
      <c r="A5" s="1044"/>
      <c r="B5" s="1044"/>
      <c r="C5" s="1044"/>
      <c r="D5" s="1044"/>
      <c r="E5" s="1044"/>
      <c r="F5" s="536" t="s">
        <v>1604</v>
      </c>
      <c r="G5" s="1044"/>
      <c r="H5" s="853" t="str">
        <f>IF(Index!$B$58="na", "NA", "")</f>
        <v/>
      </c>
    </row>
    <row r="6" spans="1:9" ht="18" customHeight="1" x14ac:dyDescent="0.25">
      <c r="A6" s="1044"/>
      <c r="B6" s="1044"/>
      <c r="C6" s="1647"/>
      <c r="D6" s="1044"/>
      <c r="E6" s="1043" t="s">
        <v>318</v>
      </c>
      <c r="F6" s="2539" t="str">
        <f>+Index!$E$10</f>
        <v>01</v>
      </c>
      <c r="G6" s="2539"/>
      <c r="H6" s="2539"/>
      <c r="I6" s="2539"/>
    </row>
    <row r="7" spans="1:9" ht="18" customHeight="1" x14ac:dyDescent="0.25">
      <c r="A7" s="1044"/>
      <c r="B7" s="1044"/>
      <c r="C7" s="1044"/>
      <c r="D7" s="1044"/>
      <c r="E7" s="1043" t="s">
        <v>319</v>
      </c>
      <c r="F7" s="2535" t="str">
        <f>+Index!$E$11</f>
        <v>North Carolina General Assembly</v>
      </c>
      <c r="G7" s="2535"/>
      <c r="H7" s="2535"/>
      <c r="I7" s="2535"/>
    </row>
    <row r="8" spans="1:9" ht="18" customHeight="1" x14ac:dyDescent="0.25">
      <c r="A8" s="1044" t="s">
        <v>545</v>
      </c>
      <c r="B8" s="1044"/>
      <c r="C8" s="1648" t="s">
        <v>1660</v>
      </c>
      <c r="D8" s="1044"/>
      <c r="E8" s="1043" t="s">
        <v>320</v>
      </c>
      <c r="F8" s="2536" t="str">
        <f>CONCATENATE(Index!$E$12," ",Index!$E$14)</f>
        <v xml:space="preserve"> </v>
      </c>
      <c r="G8" s="2536"/>
      <c r="H8" s="2536"/>
      <c r="I8" s="2536"/>
    </row>
    <row r="9" spans="1:9" ht="18" customHeight="1" x14ac:dyDescent="0.25">
      <c r="A9" s="1044"/>
      <c r="B9" s="1044"/>
      <c r="C9" s="1647"/>
      <c r="D9" s="1044"/>
      <c r="E9" s="1043" t="s">
        <v>168</v>
      </c>
      <c r="F9" s="2536">
        <f>+Index!$E$13</f>
        <v>0</v>
      </c>
      <c r="G9" s="2536"/>
      <c r="H9" s="2536"/>
      <c r="I9" s="2536"/>
    </row>
    <row r="10" spans="1:9" ht="14.1" customHeight="1" thickBot="1" x14ac:dyDescent="0.3">
      <c r="A10" s="1649"/>
      <c r="B10" s="1649"/>
      <c r="C10" s="1649"/>
      <c r="D10" s="1649"/>
      <c r="E10" s="1649"/>
      <c r="F10" s="1649"/>
      <c r="G10" s="1649"/>
      <c r="H10" s="1649"/>
    </row>
    <row r="11" spans="1:9" x14ac:dyDescent="0.25">
      <c r="A11" s="1044"/>
      <c r="B11" s="1044"/>
      <c r="C11" s="1044"/>
      <c r="D11" s="1044"/>
      <c r="E11" s="1044"/>
      <c r="F11" s="1044"/>
      <c r="G11" s="1044"/>
      <c r="H11" s="1044"/>
    </row>
    <row r="12" spans="1:9" x14ac:dyDescent="0.25">
      <c r="A12" s="1044" t="s">
        <v>1527</v>
      </c>
      <c r="B12" s="1044"/>
      <c r="C12" s="664" t="s">
        <v>1645</v>
      </c>
      <c r="D12" s="664"/>
      <c r="E12" s="1044"/>
      <c r="G12" s="1044"/>
      <c r="H12" s="1044"/>
    </row>
    <row r="13" spans="1:9" ht="17.100000000000001" customHeight="1" x14ac:dyDescent="0.25">
      <c r="A13" s="1044"/>
      <c r="B13" s="1044"/>
      <c r="C13" s="1044"/>
      <c r="D13" s="1044"/>
      <c r="E13" s="1044"/>
      <c r="F13" s="1044"/>
      <c r="G13" s="1044"/>
      <c r="H13" s="1044"/>
    </row>
    <row r="14" spans="1:9" ht="30" customHeight="1" x14ac:dyDescent="0.25">
      <c r="A14" s="2766" t="s">
        <v>1607</v>
      </c>
      <c r="B14" s="2767"/>
      <c r="C14" s="2768"/>
      <c r="D14" s="2768"/>
      <c r="E14" s="2768"/>
      <c r="F14" s="2768"/>
      <c r="G14" s="2768"/>
      <c r="H14" s="2769"/>
    </row>
    <row r="15" spans="1:9" ht="17.100000000000001" customHeight="1" x14ac:dyDescent="0.25">
      <c r="A15" s="1650"/>
      <c r="B15" s="1650"/>
      <c r="C15" s="537"/>
      <c r="D15" s="537"/>
      <c r="E15" s="537"/>
      <c r="F15" s="537"/>
      <c r="G15" s="537"/>
      <c r="H15" s="537"/>
    </row>
    <row r="16" spans="1:9" x14ac:dyDescent="0.25">
      <c r="A16" s="1044"/>
      <c r="B16" s="1044"/>
      <c r="C16" s="1044"/>
      <c r="D16" s="538" t="s">
        <v>1573</v>
      </c>
      <c r="E16" s="539" t="s">
        <v>1573</v>
      </c>
      <c r="F16" s="539" t="s">
        <v>1573</v>
      </c>
      <c r="G16" s="539" t="s">
        <v>1573</v>
      </c>
      <c r="H16" s="539" t="s">
        <v>1573</v>
      </c>
    </row>
    <row r="17" spans="1:13" x14ac:dyDescent="0.25">
      <c r="A17" s="2770" t="s">
        <v>1608</v>
      </c>
      <c r="B17" s="2770"/>
      <c r="C17" s="2770"/>
      <c r="D17" s="696"/>
      <c r="E17" s="1658"/>
      <c r="F17" s="696"/>
      <c r="G17" s="696"/>
      <c r="H17" s="1659"/>
    </row>
    <row r="18" spans="1:13" ht="17.100000000000001" customHeight="1" x14ac:dyDescent="0.25">
      <c r="A18" s="465" t="s">
        <v>1609</v>
      </c>
      <c r="B18" s="2353"/>
      <c r="C18" s="2352"/>
      <c r="D18" s="2771"/>
      <c r="E18" s="2771"/>
      <c r="F18" s="2771"/>
      <c r="G18" s="2771"/>
      <c r="H18" s="2771"/>
    </row>
    <row r="19" spans="1:13" ht="17.100000000000001" customHeight="1" x14ac:dyDescent="0.25">
      <c r="A19" s="2353" t="s">
        <v>1610</v>
      </c>
      <c r="B19" s="2353"/>
      <c r="C19" s="2352"/>
      <c r="D19" s="2772"/>
      <c r="E19" s="2772"/>
      <c r="F19" s="2772"/>
      <c r="G19" s="2772"/>
      <c r="H19" s="2772"/>
      <c r="L19" s="1329"/>
    </row>
    <row r="20" spans="1:13" ht="17.100000000000001" customHeight="1" x14ac:dyDescent="0.25">
      <c r="A20" s="2774" t="s">
        <v>1661</v>
      </c>
      <c r="B20" s="2774"/>
      <c r="C20" s="2774"/>
      <c r="D20" s="1664"/>
      <c r="E20" s="1652"/>
      <c r="F20" s="1652"/>
      <c r="G20" s="1652"/>
      <c r="H20" s="1652"/>
      <c r="L20" s="1329"/>
      <c r="M20" s="1329"/>
    </row>
    <row r="21" spans="1:13" ht="17.100000000000001" customHeight="1" x14ac:dyDescent="0.25">
      <c r="A21" s="2778" t="s">
        <v>1625</v>
      </c>
      <c r="B21" s="2778"/>
      <c r="C21" s="2778"/>
      <c r="D21" s="1662"/>
      <c r="E21" s="1662"/>
      <c r="F21" s="1662"/>
      <c r="G21" s="1662"/>
      <c r="H21" s="1663"/>
      <c r="L21" s="1329" t="s">
        <v>1616</v>
      </c>
      <c r="M21" s="1329" t="str">
        <f t="shared" ref="M21" si="0">IF(A21="General Government","Gen Gov",
IF(A21="Primary and secondary education","Prim Sec Ed",
IF(A21="Higher Education","Higher Ed",
IF(A21="Higher education student aid","Higher Ed stu aid",
IF(A21="Health and human services","HHS",
IF(A21="Economic development","Econ Dev",
IF(A21="Environment and natural resources","ENR",
IF(A21="Public safety, corrections, and regulation","Public Safety",
IF(A21="Transportation","Trans",
IF(A21="Highway construction/preservation","Highway Const",
IF(A21="Highway maintenance","Highway Const",
IF(A21="Debt Service","Debt Serv",
IF(A21="Agriculture","Agric",
IF(A21="Capital projects/repairs and renovations","CapProjectsReno",
IF(A21="Disaster relief (OSC only)","Relief",
IF(A21="Subsequent year's budget (OSC only)","SubsYearBudget",
"No Function"))))))))))))))))</f>
        <v>No Function</v>
      </c>
    </row>
    <row r="22" spans="1:13" ht="28.35" customHeight="1" x14ac:dyDescent="0.25">
      <c r="A22" s="2774" t="s">
        <v>1662</v>
      </c>
      <c r="B22" s="2774"/>
      <c r="C22" s="2774"/>
      <c r="D22" s="1662"/>
      <c r="E22" s="1662"/>
      <c r="F22" s="1662"/>
      <c r="G22" s="1662"/>
      <c r="H22" s="1663"/>
      <c r="J22" s="2779" t="s">
        <v>1663</v>
      </c>
      <c r="K22" s="2779"/>
      <c r="L22" s="1329" t="s">
        <v>1613</v>
      </c>
      <c r="M22" s="1329" t="s">
        <v>680</v>
      </c>
    </row>
    <row r="23" spans="1:13" ht="17.100000000000001" customHeight="1" x14ac:dyDescent="0.25">
      <c r="A23" s="2353" t="s">
        <v>1624</v>
      </c>
      <c r="B23" s="2352"/>
      <c r="C23" s="2352"/>
      <c r="D23" s="1664"/>
      <c r="E23" s="1652"/>
      <c r="F23" s="1652"/>
      <c r="G23" s="1652"/>
      <c r="H23" s="1652"/>
      <c r="J23" s="2782"/>
      <c r="K23" s="2782"/>
      <c r="L23" s="1329"/>
      <c r="M23" s="1329"/>
    </row>
    <row r="24" spans="1:13" ht="17.100000000000001" customHeight="1" x14ac:dyDescent="0.25">
      <c r="A24" s="2778" t="s">
        <v>1625</v>
      </c>
      <c r="B24" s="2778"/>
      <c r="C24" s="2778"/>
      <c r="D24" s="1662"/>
      <c r="E24" s="1662"/>
      <c r="F24" s="1662"/>
      <c r="G24" s="1662"/>
      <c r="H24" s="1662"/>
      <c r="J24" s="2782"/>
      <c r="K24" s="2782"/>
      <c r="L24" s="1329" t="s">
        <v>1626</v>
      </c>
      <c r="M24" s="1329" t="str">
        <f>IF(A24="General Government","Gen Gov",
IF(A24="Primary and secondary education","Prim Sec Ed",
IF(A24="Higher Education","Higher Ed",
IF(A24="Higher education student aid","Higher Ed stu aid",
IF(A24="Health and human services","HHS",
IF(A24="Economic development","Econ Dev",
IF(A24="Environment and natural resources","ENR",
IF(A24="Public safety, corrections, and regulation","Public Safety",
IF(A24="Transportation","Trans",
IF(A24="Highway construction/preservation","Highway Const",
IF(A24="Highway maintenance","Highway Const",
IF(A24="Debt Service","Debt Serv",
IF(A24="Agriculture","Agric",
IF(A24="Capital projects/repairs and renovations","CapProjectsReno",
IF(A24="Disaster relief (OSC only)","Relief",
IF(A24="Subsequent year's budget (OSC only)","SubsYearBudget",
"No Function"))))))))))))))))</f>
        <v>No Function</v>
      </c>
    </row>
    <row r="25" spans="1:13" ht="17.100000000000001" customHeight="1" x14ac:dyDescent="0.25">
      <c r="A25" s="2778" t="s">
        <v>1625</v>
      </c>
      <c r="B25" s="2778"/>
      <c r="C25" s="2778"/>
      <c r="D25" s="1662"/>
      <c r="E25" s="1662"/>
      <c r="F25" s="1662"/>
      <c r="G25" s="1662"/>
      <c r="H25" s="1663"/>
      <c r="J25" s="2783"/>
      <c r="K25" s="2783"/>
      <c r="L25" s="1329" t="s">
        <v>1626</v>
      </c>
      <c r="M25" s="1329" t="str">
        <f t="shared" ref="M25:M34" si="1">IF(A25="General Government","Gen Gov",
IF(A25="Primary and secondary education","Prim Sec Ed",
IF(A25="Higher Education","Higher Ed",
IF(A25="Higher education student aid","Higher Ed stu aid",
IF(A25="Health and human services","HHS",
IF(A25="Economic development","Econ Dev",
IF(A25="Environment and natural resources","ENR",
IF(A25="Public safety, corrections, and regulation","Public Safety",
IF(A25="Transportation","Trans",
IF(A25="Highway construction/preservation","Highway Const",
IF(A25="Highway maintenance","Highway Const",
IF(A25="Debt Service","Debt Serv",
IF(A25="Agriculture","Agric",
IF(A25="Capital projects/repairs and renovations","CapProjectsReno",
IF(A25="Disaster relief (OSC only)","Relief",
IF(A25="Subsequent year's budget (OSC only)","SubsYearBudget",
"No Function"))))))))))))))))</f>
        <v>No Function</v>
      </c>
    </row>
    <row r="26" spans="1:13" ht="17.100000000000001" customHeight="1" x14ac:dyDescent="0.25">
      <c r="A26" s="2778" t="s">
        <v>1625</v>
      </c>
      <c r="B26" s="2778"/>
      <c r="C26" s="2778"/>
      <c r="D26" s="1662"/>
      <c r="E26" s="1662"/>
      <c r="F26" s="1662"/>
      <c r="G26" s="1662"/>
      <c r="H26" s="1663"/>
      <c r="L26" s="1329" t="s">
        <v>1626</v>
      </c>
      <c r="M26" s="1329" t="str">
        <f t="shared" si="1"/>
        <v>No Function</v>
      </c>
    </row>
    <row r="27" spans="1:13" ht="17.100000000000001" customHeight="1" x14ac:dyDescent="0.25">
      <c r="A27" s="2353" t="s">
        <v>1627</v>
      </c>
      <c r="B27" s="2350"/>
      <c r="C27" s="2350"/>
      <c r="D27" s="1664"/>
      <c r="E27" s="1664"/>
      <c r="F27" s="1664"/>
      <c r="G27" s="1664"/>
      <c r="H27" s="1652"/>
      <c r="L27" s="1329"/>
      <c r="M27" s="1329"/>
    </row>
    <row r="28" spans="1:13" ht="17.100000000000001" customHeight="1" x14ac:dyDescent="0.25">
      <c r="A28" s="2778" t="s">
        <v>1625</v>
      </c>
      <c r="B28" s="2778"/>
      <c r="C28" s="2778"/>
      <c r="D28" s="1662"/>
      <c r="E28" s="1662"/>
      <c r="F28" s="1662"/>
      <c r="G28" s="1662"/>
      <c r="H28" s="1663"/>
      <c r="L28" s="1329" t="s">
        <v>1628</v>
      </c>
      <c r="M28" s="1329" t="str">
        <f t="shared" si="1"/>
        <v>No Function</v>
      </c>
    </row>
    <row r="29" spans="1:13" ht="17.100000000000001" customHeight="1" x14ac:dyDescent="0.25">
      <c r="A29" s="2778" t="s">
        <v>1625</v>
      </c>
      <c r="B29" s="2778"/>
      <c r="C29" s="2778"/>
      <c r="D29" s="1662"/>
      <c r="E29" s="1662"/>
      <c r="F29" s="1662"/>
      <c r="G29" s="1662"/>
      <c r="H29" s="1662"/>
      <c r="L29" s="1329" t="s">
        <v>1628</v>
      </c>
      <c r="M29" s="1329" t="str">
        <f t="shared" si="1"/>
        <v>No Function</v>
      </c>
    </row>
    <row r="30" spans="1:13" ht="17.100000000000001" customHeight="1" x14ac:dyDescent="0.25">
      <c r="A30" s="2778" t="s">
        <v>1625</v>
      </c>
      <c r="B30" s="2778"/>
      <c r="C30" s="2778"/>
      <c r="D30" s="1662"/>
      <c r="E30" s="1662"/>
      <c r="F30" s="1662"/>
      <c r="G30" s="1662"/>
      <c r="H30" s="1663"/>
      <c r="L30" s="1329" t="s">
        <v>1628</v>
      </c>
      <c r="M30" s="1329" t="str">
        <f t="shared" si="1"/>
        <v>No Function</v>
      </c>
    </row>
    <row r="31" spans="1:13" ht="17.100000000000001" customHeight="1" x14ac:dyDescent="0.25">
      <c r="A31" s="2353" t="s">
        <v>1629</v>
      </c>
      <c r="B31" s="2350"/>
      <c r="C31" s="2350"/>
      <c r="D31" s="1664"/>
      <c r="E31" s="1664"/>
      <c r="F31" s="1664"/>
      <c r="G31" s="1664"/>
      <c r="H31" s="1652"/>
      <c r="L31" s="1329"/>
      <c r="M31" s="1329"/>
    </row>
    <row r="32" spans="1:13" ht="17.100000000000001" customHeight="1" x14ac:dyDescent="0.25">
      <c r="A32" s="2778" t="s">
        <v>1625</v>
      </c>
      <c r="B32" s="2778"/>
      <c r="C32" s="2778"/>
      <c r="D32" s="1662"/>
      <c r="E32" s="1662"/>
      <c r="F32" s="1662"/>
      <c r="G32" s="1662"/>
      <c r="H32" s="1663"/>
      <c r="L32" s="1329" t="s">
        <v>1630</v>
      </c>
      <c r="M32" s="1329" t="str">
        <f t="shared" si="1"/>
        <v>No Function</v>
      </c>
    </row>
    <row r="33" spans="1:13" ht="17.100000000000001" customHeight="1" x14ac:dyDescent="0.25">
      <c r="A33" s="2778" t="s">
        <v>1625</v>
      </c>
      <c r="B33" s="2778"/>
      <c r="C33" s="2778"/>
      <c r="D33" s="1662"/>
      <c r="E33" s="1662"/>
      <c r="F33" s="1662"/>
      <c r="G33" s="1662"/>
      <c r="H33" s="1663"/>
      <c r="L33" s="1329" t="s">
        <v>1630</v>
      </c>
      <c r="M33" s="1329" t="str">
        <f t="shared" si="1"/>
        <v>No Function</v>
      </c>
    </row>
    <row r="34" spans="1:13" ht="17.100000000000001" customHeight="1" x14ac:dyDescent="0.25">
      <c r="A34" s="2778" t="s">
        <v>1625</v>
      </c>
      <c r="B34" s="2778"/>
      <c r="C34" s="2778"/>
      <c r="D34" s="1662"/>
      <c r="E34" s="1662"/>
      <c r="F34" s="1662"/>
      <c r="G34" s="1662"/>
      <c r="H34" s="1663"/>
      <c r="L34" s="1329" t="s">
        <v>1630</v>
      </c>
      <c r="M34" s="1329" t="str">
        <f t="shared" si="1"/>
        <v>No Function</v>
      </c>
    </row>
    <row r="35" spans="1:13" ht="17.100000000000001" customHeight="1" x14ac:dyDescent="0.25">
      <c r="A35" s="2790" t="s">
        <v>1646</v>
      </c>
      <c r="B35" s="2791"/>
      <c r="C35" s="2792"/>
      <c r="D35" s="1662"/>
      <c r="E35" s="1662"/>
      <c r="F35" s="1662"/>
      <c r="G35" s="1662"/>
      <c r="H35" s="1663"/>
      <c r="I35" s="540"/>
      <c r="J35" s="2793" t="s">
        <v>1647</v>
      </c>
      <c r="K35" s="2794"/>
      <c r="L35" s="1329" t="s">
        <v>1631</v>
      </c>
      <c r="M35" s="1329" t="s">
        <v>680</v>
      </c>
    </row>
    <row r="36" spans="1:13" ht="27.75" customHeight="1" thickBot="1" x14ac:dyDescent="0.3">
      <c r="A36" s="2795" t="s">
        <v>1632</v>
      </c>
      <c r="B36" s="2794"/>
      <c r="C36" s="2786"/>
      <c r="D36" s="1654">
        <f>SUM(D21:D22)+SUM(D24:D26)+SUM(D28:D30)+SUM(D32:D35)</f>
        <v>0</v>
      </c>
      <c r="E36" s="1654">
        <f t="shared" ref="E36:H36" si="2">SUM(E21:E22)+SUM(E24:E26)+SUM(E28:E30)+SUM(E32:E35)</f>
        <v>0</v>
      </c>
      <c r="F36" s="1654">
        <f t="shared" si="2"/>
        <v>0</v>
      </c>
      <c r="G36" s="1654">
        <f t="shared" si="2"/>
        <v>0</v>
      </c>
      <c r="H36" s="1654">
        <f t="shared" si="2"/>
        <v>0</v>
      </c>
      <c r="J36" s="2794"/>
      <c r="K36" s="2794"/>
    </row>
    <row r="37" spans="1:13" ht="12.75" customHeight="1" thickTop="1" x14ac:dyDescent="0.25">
      <c r="A37" s="541"/>
      <c r="B37" s="541"/>
      <c r="C37" s="541"/>
      <c r="D37" s="541"/>
      <c r="E37" s="541"/>
      <c r="F37" s="541"/>
      <c r="G37" s="541"/>
      <c r="H37" s="541"/>
    </row>
    <row r="38" spans="1:13" ht="12.75" customHeight="1" x14ac:dyDescent="0.25">
      <c r="A38" s="465" t="s">
        <v>1633</v>
      </c>
      <c r="B38" s="1655" t="s">
        <v>1634</v>
      </c>
      <c r="C38" s="2352"/>
      <c r="D38" s="2353"/>
      <c r="E38" s="2353"/>
      <c r="F38" s="2353"/>
      <c r="G38" s="2353"/>
      <c r="H38" s="2353"/>
    </row>
    <row r="39" spans="1:13" ht="12.75" customHeight="1" x14ac:dyDescent="0.25">
      <c r="A39" s="465"/>
      <c r="B39" s="1655" t="s">
        <v>1635</v>
      </c>
      <c r="C39" s="2352"/>
      <c r="D39" s="2353"/>
      <c r="E39" s="2353"/>
      <c r="F39" s="2353"/>
      <c r="G39" s="2353"/>
      <c r="H39" s="2353"/>
    </row>
    <row r="40" spans="1:13" ht="12.75" customHeight="1" x14ac:dyDescent="0.25">
      <c r="A40" s="465"/>
      <c r="B40" s="1655" t="s">
        <v>1636</v>
      </c>
      <c r="C40" s="2352"/>
      <c r="D40" s="2353"/>
      <c r="E40" s="2353"/>
      <c r="F40" s="2353"/>
      <c r="G40" s="2353"/>
      <c r="H40" s="2353"/>
    </row>
    <row r="41" spans="1:13" ht="15" customHeight="1" x14ac:dyDescent="0.25">
      <c r="A41" s="465" t="s">
        <v>1637</v>
      </c>
      <c r="B41" s="1655" t="s">
        <v>1638</v>
      </c>
      <c r="C41" s="2352"/>
      <c r="D41" s="2353"/>
      <c r="E41" s="2353"/>
      <c r="F41" s="2353"/>
      <c r="G41" s="2353"/>
      <c r="H41" s="2353"/>
    </row>
    <row r="42" spans="1:13" ht="12.75" customHeight="1" x14ac:dyDescent="0.25">
      <c r="A42" s="465"/>
      <c r="B42" s="2352"/>
      <c r="C42" s="2352"/>
      <c r="D42" s="2353"/>
      <c r="E42" s="2353"/>
      <c r="F42" s="2353"/>
      <c r="G42" s="2353"/>
      <c r="H42" s="2353"/>
    </row>
    <row r="43" spans="1:13" x14ac:dyDescent="0.25">
      <c r="D43" s="2796" t="s">
        <v>1639</v>
      </c>
      <c r="E43" s="2796"/>
      <c r="F43" s="2796"/>
      <c r="G43" s="2796"/>
      <c r="H43" s="2796"/>
    </row>
    <row r="44" spans="1:13" ht="17.100000000000001" customHeight="1" x14ac:dyDescent="0.25">
      <c r="A44" s="2353" t="s">
        <v>1626</v>
      </c>
      <c r="B44" s="2353"/>
      <c r="C44" s="2353"/>
      <c r="D44" s="829">
        <f>D21+D24+D25+D26</f>
        <v>0</v>
      </c>
      <c r="E44" s="829">
        <f t="shared" ref="E44:H44" si="3">E21+E24+E25+E26</f>
        <v>0</v>
      </c>
      <c r="F44" s="829">
        <f t="shared" si="3"/>
        <v>0</v>
      </c>
      <c r="G44" s="829">
        <f t="shared" si="3"/>
        <v>0</v>
      </c>
      <c r="H44" s="829">
        <f t="shared" si="3"/>
        <v>0</v>
      </c>
    </row>
    <row r="45" spans="1:13" ht="17.100000000000001" customHeight="1" thickBot="1" x14ac:dyDescent="0.3">
      <c r="A45" s="2353" t="s">
        <v>1640</v>
      </c>
      <c r="B45" s="2353"/>
      <c r="C45" s="2353"/>
      <c r="D45" s="830">
        <f>D22+SUM(D28:D30)+SUM(D32:D35)</f>
        <v>0</v>
      </c>
      <c r="E45" s="830">
        <f>E22+SUM(E28:E30)+SUM(E32:E35)</f>
        <v>0</v>
      </c>
      <c r="F45" s="830">
        <f>F22+SUM(F28:F30)+SUM(F32:F35)</f>
        <v>0</v>
      </c>
      <c r="G45" s="830">
        <f>G22+SUM(G28:G30)+SUM(G32:G35)</f>
        <v>0</v>
      </c>
      <c r="H45" s="830">
        <f>H22+SUM(H28:H30)+SUM(H32:H35)</f>
        <v>0</v>
      </c>
    </row>
    <row r="46" spans="1:13" ht="17.100000000000001" customHeight="1" thickBot="1" x14ac:dyDescent="0.3">
      <c r="A46" s="2353" t="s">
        <v>1641</v>
      </c>
      <c r="B46" s="2353"/>
      <c r="C46" s="2353"/>
      <c r="D46" s="1656">
        <f>SUM(D44:D45)</f>
        <v>0</v>
      </c>
      <c r="E46" s="1656">
        <f>SUM(E44:E45)</f>
        <v>0</v>
      </c>
      <c r="F46" s="1656">
        <f>SUM(F44:F45)</f>
        <v>0</v>
      </c>
      <c r="G46" s="1656">
        <f>SUM(G44:G45)</f>
        <v>0</v>
      </c>
      <c r="H46" s="1656">
        <f>SUM(H44:H45)</f>
        <v>0</v>
      </c>
    </row>
    <row r="47" spans="1:13" ht="17.100000000000001" customHeight="1" thickTop="1" x14ac:dyDescent="0.25">
      <c r="A47" s="2789" t="s">
        <v>1642</v>
      </c>
      <c r="B47" s="2789"/>
      <c r="C47" s="2789"/>
      <c r="D47" s="542"/>
      <c r="E47" s="542" t="str">
        <f>IF(E48&lt;&gt;0,"Out of Balance","")</f>
        <v/>
      </c>
      <c r="F47" s="542" t="str">
        <f>IF(F48&lt;&gt;0,"Out of Balance","")</f>
        <v/>
      </c>
      <c r="G47" s="542" t="str">
        <f>IF(G48&lt;&gt;0,"Out of Balance","")</f>
        <v/>
      </c>
      <c r="H47" s="542" t="str">
        <f>IF(H48&lt;&gt;0,"Out of Balance","")</f>
        <v/>
      </c>
    </row>
    <row r="48" spans="1:13" x14ac:dyDescent="0.25">
      <c r="J48" s="2799" t="s">
        <v>1664</v>
      </c>
      <c r="K48" s="2799"/>
    </row>
    <row r="49" spans="1:11" x14ac:dyDescent="0.25">
      <c r="A49" s="2798" t="s">
        <v>1665</v>
      </c>
      <c r="B49" s="2798"/>
      <c r="C49" s="464" t="s">
        <v>1666</v>
      </c>
      <c r="G49" s="859"/>
      <c r="H49" s="1667">
        <v>0</v>
      </c>
      <c r="J49" s="2799"/>
      <c r="K49" s="2799"/>
    </row>
  </sheetData>
  <sheetProtection algorithmName="SHA-512" hashValue="/jBiInmc7wsPAHvEELJCIa9VaBSeY3qc0QlV0kwn757EvTh57VJd0HrGfz7P10CC/iR+BtLb1bZJrW+ytlGJMA==" saltValue="snhVYrDBpIsKVwEtVgSJ9A==" spinCount="100000" sheet="1" autoFilter="0"/>
  <customSheetViews>
    <customSheetView guid="{9FCFC836-1CA5-48BF-958D-24D2EA94B219}" fitToPage="1" topLeftCell="A16">
      <selection activeCell="A29" sqref="A29:C29"/>
      <pageMargins left="0" right="0" top="0" bottom="0" header="0" footer="0"/>
      <pageSetup scale="83" orientation="portrait" r:id="rId1"/>
      <headerFooter>
        <oddFooter>&amp;R&amp;A</oddFooter>
      </headerFooter>
    </customSheetView>
    <customSheetView guid="{B08879A4-635B-4C39-9937-AC7883D562FC}" fitToPage="1" topLeftCell="A16">
      <selection activeCell="A29" sqref="A29:C29"/>
      <pageMargins left="0" right="0" top="0" bottom="0" header="0" footer="0"/>
      <pageSetup scale="83" orientation="portrait" r:id="rId2"/>
      <headerFooter>
        <oddFooter>&amp;R&amp;A</oddFooter>
      </headerFooter>
    </customSheetView>
  </customSheetViews>
  <mergeCells count="36">
    <mergeCell ref="J23:K25"/>
    <mergeCell ref="J22:K22"/>
    <mergeCell ref="J35:K36"/>
    <mergeCell ref="A36:C36"/>
    <mergeCell ref="D43:H43"/>
    <mergeCell ref="A28:C28"/>
    <mergeCell ref="A26:C26"/>
    <mergeCell ref="A47:C47"/>
    <mergeCell ref="A29:C29"/>
    <mergeCell ref="A30:C30"/>
    <mergeCell ref="A32:C32"/>
    <mergeCell ref="A33:C33"/>
    <mergeCell ref="A34:C34"/>
    <mergeCell ref="A35:C35"/>
    <mergeCell ref="A49:B49"/>
    <mergeCell ref="J48:K49"/>
    <mergeCell ref="F7:I7"/>
    <mergeCell ref="F8:I8"/>
    <mergeCell ref="F9:I9"/>
    <mergeCell ref="A14:H14"/>
    <mergeCell ref="A17:C17"/>
    <mergeCell ref="D18:D19"/>
    <mergeCell ref="E18:E19"/>
    <mergeCell ref="F18:F19"/>
    <mergeCell ref="G18:G19"/>
    <mergeCell ref="H18:H19"/>
    <mergeCell ref="A20:C20"/>
    <mergeCell ref="A22:C22"/>
    <mergeCell ref="A24:C24"/>
    <mergeCell ref="A25:C25"/>
    <mergeCell ref="A21:C21"/>
    <mergeCell ref="A1:H1"/>
    <mergeCell ref="A2:H2"/>
    <mergeCell ref="A3:H3"/>
    <mergeCell ref="A4:H4"/>
    <mergeCell ref="F6:I6"/>
  </mergeCells>
  <conditionalFormatting sqref="H5">
    <cfRule type="containsText" dxfId="91" priority="1" stopIfTrue="1" operator="containsText" text="NA">
      <formula>NOT(ISERROR(SEARCH("NA",H5)))</formula>
    </cfRule>
  </conditionalFormatting>
  <conditionalFormatting sqref="I1:I3">
    <cfRule type="cellIs" dxfId="90" priority="2" stopIfTrue="1" operator="equal">
      <formula>"na"</formula>
    </cfRule>
  </conditionalFormatting>
  <conditionalFormatting sqref="I2:J3">
    <cfRule type="cellIs" dxfId="89" priority="3" stopIfTrue="1" operator="equal">
      <formula>"na"</formula>
    </cfRule>
  </conditionalFormatting>
  <dataValidations count="6">
    <dataValidation type="textLength" operator="equal" allowBlank="1" showInputMessage="1" showErrorMessage="1" errorTitle="Invalid data!" error="GASB number must be 4 digits." sqref="D17:H17" xr:uid="{00000000-0002-0000-1F00-000000000000}">
      <formula1>4</formula1>
    </dataValidation>
    <dataValidation type="decimal" operator="lessThanOrEqual" allowBlank="1" showInputMessage="1" showErrorMessage="1" errorTitle="Invalid Data" error="Cannot have positive &quot;Unassigned&quot; fund balance in funds other than the General Fund" sqref="D35:H35" xr:uid="{00000000-0002-0000-1F00-000001000000}">
      <formula1>0</formula1>
    </dataValidation>
    <dataValidation type="list" allowBlank="1" showInputMessage="1" showErrorMessage="1" sqref="A24:A26 B31:C31 B24:C27" xr:uid="{00000000-0002-0000-1F00-000002000000}">
      <formula1>function</formula1>
    </dataValidation>
    <dataValidation type="decimal" operator="greaterThanOrEqual" allowBlank="1" showInputMessage="1" showErrorMessage="1" errorTitle="Invalid Data" error="Amount cannot be negative" sqref="D24:H26 D20:H22 D32:H34 D28:H30" xr:uid="{00000000-0002-0000-1F00-000003000000}">
      <formula1>0</formula1>
    </dataValidation>
    <dataValidation type="list" allowBlank="1" showInputMessage="1" showErrorMessage="1" sqref="A28:C30" xr:uid="{00000000-0002-0000-1F00-000004000000}">
      <formula1>functionC</formula1>
    </dataValidation>
    <dataValidation type="list" allowBlank="1" showInputMessage="1" showErrorMessage="1" sqref="A32:C34" xr:uid="{00000000-0002-0000-1F00-000005000000}">
      <formula1>functionA</formula1>
    </dataValidation>
  </dataValidations>
  <hyperlinks>
    <hyperlink ref="A1:H1" location="Index!A1" display="Index!A1" xr:uid="{00000000-0004-0000-1F00-000000000000}"/>
    <hyperlink ref="C12" r:id="rId3" xr:uid="{77930991-B629-4D77-9F2B-7C254676310D}"/>
  </hyperlinks>
  <pageMargins left="0.6" right="0.6" top="0.5" bottom="0.5" header="0.3" footer="0.3"/>
  <pageSetup scale="84" fitToHeight="0" orientation="portrait" r:id="rId4"/>
  <extLst>
    <ext xmlns:x14="http://schemas.microsoft.com/office/spreadsheetml/2009/9/main" uri="{CCE6A557-97BC-4b89-ADB6-D9C93CAAB3DF}">
      <x14:dataValidations xmlns:xm="http://schemas.microsoft.com/office/excel/2006/main" count="1">
        <x14:dataValidation type="list" allowBlank="1" showInputMessage="1" showErrorMessage="1" xr:uid="{39FD1D67-0F11-4339-B45B-E372FD100200}">
          <x14:formula1>
            <xm:f>Notes!$H$51:$H$53</xm:f>
          </x14:formula1>
          <xm:sqref>A21:C21</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6"/>
  <dimension ref="A1:O37"/>
  <sheetViews>
    <sheetView topLeftCell="B1" zoomScaleNormal="100" zoomScaleSheetLayoutView="90" workbookViewId="0">
      <selection activeCell="I13" sqref="I13"/>
    </sheetView>
  </sheetViews>
  <sheetFormatPr defaultRowHeight="12.75" x14ac:dyDescent="0.2"/>
  <cols>
    <col min="1" max="1" width="9.42578125" hidden="1" customWidth="1"/>
    <col min="2" max="2" width="13.5703125" customWidth="1"/>
    <col min="3" max="3" width="8.5703125" customWidth="1"/>
    <col min="4" max="4" width="15.42578125" customWidth="1"/>
    <col min="5" max="7" width="20.42578125" customWidth="1"/>
    <col min="8" max="8" width="20" customWidth="1"/>
    <col min="9" max="9" width="20.42578125" customWidth="1"/>
    <col min="10" max="10" width="4.42578125" customWidth="1"/>
    <col min="11" max="11" width="15.5703125" customWidth="1"/>
    <col min="12" max="12" width="27.42578125" bestFit="1" customWidth="1"/>
    <col min="13" max="13" width="11.85546875" bestFit="1" customWidth="1"/>
  </cols>
  <sheetData>
    <row r="1" spans="1:15" s="72" customFormat="1" ht="15" customHeight="1" x14ac:dyDescent="0.25">
      <c r="A1" s="401"/>
      <c r="B1" s="2553" t="str">
        <f>Index!A1</f>
        <v xml:space="preserve">                                                               Office of the State Controller                                                                </v>
      </c>
      <c r="C1" s="2553"/>
      <c r="D1" s="2553"/>
      <c r="E1" s="2553"/>
      <c r="F1" s="2553"/>
      <c r="G1" s="2553"/>
      <c r="H1" s="2553"/>
      <c r="I1" s="2553"/>
      <c r="J1" s="438"/>
      <c r="K1" s="438"/>
      <c r="L1" s="438"/>
      <c r="M1" s="849"/>
      <c r="N1" s="80"/>
      <c r="O1" s="1367" t="s">
        <v>1667</v>
      </c>
    </row>
    <row r="2" spans="1:15" s="72" customFormat="1" ht="15" customHeight="1" x14ac:dyDescent="0.25">
      <c r="A2" s="80"/>
      <c r="B2" s="2802" t="str">
        <f>+Index!$A$2</f>
        <v>2024 ACFR Worksheets</v>
      </c>
      <c r="C2" s="2802"/>
      <c r="D2" s="2802"/>
      <c r="E2" s="2802"/>
      <c r="F2" s="2802"/>
      <c r="G2" s="2802"/>
      <c r="H2" s="2802"/>
      <c r="I2" s="2802"/>
      <c r="J2" s="1182"/>
      <c r="K2" s="1182"/>
      <c r="L2" s="1368"/>
      <c r="M2" s="849"/>
      <c r="N2" s="80"/>
      <c r="O2" s="80"/>
    </row>
    <row r="3" spans="1:15" s="72" customFormat="1" ht="15" customHeight="1" x14ac:dyDescent="0.25">
      <c r="A3" s="80"/>
      <c r="B3" s="80"/>
      <c r="C3" s="2355"/>
      <c r="D3" s="2355"/>
      <c r="E3" s="2355"/>
      <c r="F3" s="2355" t="s">
        <v>1668</v>
      </c>
      <c r="G3" s="2355"/>
      <c r="H3" s="2355"/>
      <c r="I3" s="853" t="str">
        <f>IF(Index!$B$59="na", "NA", "")</f>
        <v/>
      </c>
      <c r="J3" s="1182"/>
      <c r="K3" s="1182"/>
      <c r="L3" s="1368"/>
      <c r="M3" s="849"/>
      <c r="N3" s="80"/>
      <c r="O3" s="80"/>
    </row>
    <row r="4" spans="1:15" s="72" customFormat="1" ht="15" customHeight="1" x14ac:dyDescent="0.25">
      <c r="A4" s="80"/>
      <c r="B4" s="2802" t="s">
        <v>1669</v>
      </c>
      <c r="C4" s="2802"/>
      <c r="D4" s="2802"/>
      <c r="E4" s="2802"/>
      <c r="F4" s="2802"/>
      <c r="G4" s="2802"/>
      <c r="H4" s="2802"/>
      <c r="I4" s="2802"/>
      <c r="J4" s="1182"/>
      <c r="K4" s="1182"/>
      <c r="L4" s="1368"/>
      <c r="M4" s="80"/>
      <c r="N4" s="80"/>
      <c r="O4" s="80"/>
    </row>
    <row r="5" spans="1:15" s="72" customFormat="1" ht="15" customHeight="1" x14ac:dyDescent="0.25">
      <c r="A5" s="80"/>
      <c r="B5" s="2355"/>
      <c r="C5" s="2355"/>
      <c r="D5" s="2355"/>
      <c r="E5" s="2355"/>
      <c r="F5" s="2355"/>
      <c r="G5" s="1181" t="s">
        <v>1670</v>
      </c>
      <c r="H5" s="80"/>
      <c r="I5" s="2355"/>
      <c r="J5" s="2355"/>
      <c r="K5" s="2355"/>
      <c r="L5" s="2347"/>
      <c r="M5" s="80"/>
      <c r="N5" s="80"/>
      <c r="O5" s="80"/>
    </row>
    <row r="6" spans="1:15" s="72" customFormat="1" ht="16.5" customHeight="1" x14ac:dyDescent="0.25">
      <c r="A6" s="80"/>
      <c r="B6" s="1183" t="s">
        <v>320</v>
      </c>
      <c r="C6" s="2805" t="str">
        <f>CONCATENATE(Index!$E$12," ",Index!$E$14)</f>
        <v xml:space="preserve"> </v>
      </c>
      <c r="D6" s="2805"/>
      <c r="E6" s="2805"/>
      <c r="F6" s="1668" t="s">
        <v>318</v>
      </c>
      <c r="G6" s="2803" t="str">
        <f>+Index!$E$10</f>
        <v>01</v>
      </c>
      <c r="H6" s="2803"/>
      <c r="I6" s="2803"/>
      <c r="J6" s="80"/>
      <c r="K6" s="80"/>
      <c r="L6" s="2347"/>
      <c r="M6" s="80"/>
      <c r="N6" s="80"/>
      <c r="O6" s="80"/>
    </row>
    <row r="7" spans="1:15" s="74" customFormat="1" ht="15.75" customHeight="1" x14ac:dyDescent="0.2">
      <c r="A7" s="138"/>
      <c r="B7" s="1668" t="s">
        <v>168</v>
      </c>
      <c r="C7" s="2806">
        <f>+Index!$E$13</f>
        <v>0</v>
      </c>
      <c r="D7" s="2806"/>
      <c r="E7" s="2806"/>
      <c r="F7" s="1668" t="s">
        <v>319</v>
      </c>
      <c r="G7" s="2804" t="str">
        <f>+Index!$E$11</f>
        <v>North Carolina General Assembly</v>
      </c>
      <c r="H7" s="2804"/>
      <c r="I7" s="2804"/>
      <c r="J7" s="73"/>
      <c r="K7" s="73"/>
      <c r="L7" s="541"/>
      <c r="M7" s="138"/>
      <c r="N7" s="138"/>
      <c r="O7" s="138"/>
    </row>
    <row r="8" spans="1:15" s="70" customFormat="1" ht="18" hidden="1" customHeight="1" x14ac:dyDescent="0.2">
      <c r="A8" s="138"/>
      <c r="B8" s="138"/>
      <c r="C8" s="138"/>
      <c r="D8" s="138"/>
      <c r="E8" s="138"/>
      <c r="F8" s="138"/>
      <c r="G8" s="138"/>
      <c r="H8" s="138"/>
      <c r="I8" s="138"/>
      <c r="J8" s="1668"/>
      <c r="K8" s="2800"/>
      <c r="L8" s="2800"/>
      <c r="M8" s="138"/>
      <c r="N8" s="138"/>
      <c r="O8" s="138"/>
    </row>
    <row r="9" spans="1:15" s="70" customFormat="1" ht="9.75" customHeight="1" thickBot="1" x14ac:dyDescent="0.25">
      <c r="A9" s="138"/>
      <c r="B9" s="1646"/>
      <c r="C9" s="1646"/>
      <c r="D9" s="1646"/>
      <c r="E9" s="1646"/>
      <c r="F9" s="1646"/>
      <c r="G9" s="1646"/>
      <c r="H9" s="1646"/>
      <c r="I9" s="1646"/>
      <c r="J9" s="1668"/>
      <c r="K9" s="1669"/>
      <c r="L9" s="1369"/>
      <c r="M9" s="138"/>
      <c r="N9" s="138"/>
      <c r="O9" s="138"/>
    </row>
    <row r="10" spans="1:15" s="70" customFormat="1" ht="15" customHeight="1" x14ac:dyDescent="0.25">
      <c r="A10" s="138"/>
      <c r="B10" s="1044" t="s">
        <v>1527</v>
      </c>
      <c r="C10" s="1044"/>
      <c r="D10" s="1044"/>
      <c r="E10" s="664" t="s">
        <v>1671</v>
      </c>
      <c r="F10" s="1044"/>
      <c r="G10" s="464"/>
      <c r="H10" s="1044"/>
      <c r="I10" s="1044"/>
      <c r="J10" s="138"/>
      <c r="K10" s="1668"/>
      <c r="L10" s="1369"/>
      <c r="M10" s="138"/>
      <c r="N10" s="138"/>
      <c r="O10" s="138"/>
    </row>
    <row r="11" spans="1:15" s="70" customFormat="1" ht="18" customHeight="1" x14ac:dyDescent="0.2">
      <c r="A11" s="138"/>
      <c r="B11" s="1044"/>
      <c r="C11" s="1044"/>
      <c r="D11" s="1044"/>
      <c r="E11" s="1044"/>
      <c r="F11" s="1044"/>
      <c r="G11" s="1044"/>
      <c r="H11" s="1044"/>
      <c r="I11" s="1044"/>
      <c r="J11"/>
      <c r="K11"/>
      <c r="L11"/>
      <c r="M11" s="138"/>
      <c r="N11" s="138"/>
      <c r="O11" s="138"/>
    </row>
    <row r="12" spans="1:15" s="70" customFormat="1" ht="15" customHeight="1" x14ac:dyDescent="0.2">
      <c r="A12" s="138"/>
      <c r="B12" s="2766" t="s">
        <v>1672</v>
      </c>
      <c r="C12" s="2767"/>
      <c r="D12" s="2768"/>
      <c r="E12" s="2768"/>
      <c r="F12" s="2768"/>
      <c r="G12" s="2768"/>
      <c r="H12" s="2768"/>
      <c r="I12" s="2769"/>
      <c r="J12"/>
      <c r="K12"/>
      <c r="L12"/>
      <c r="M12" s="138"/>
      <c r="N12" s="138"/>
      <c r="O12" s="138"/>
    </row>
    <row r="13" spans="1:15" s="70" customFormat="1" ht="18" customHeight="1" x14ac:dyDescent="0.2">
      <c r="A13" s="138"/>
      <c r="B13" s="1650"/>
      <c r="C13" s="1650"/>
      <c r="D13" s="2348"/>
      <c r="E13" s="1194"/>
      <c r="F13" s="1194"/>
      <c r="G13" s="1194"/>
      <c r="H13" s="1194"/>
      <c r="I13" s="1194"/>
      <c r="J13"/>
      <c r="K13"/>
      <c r="L13"/>
      <c r="M13" s="138"/>
      <c r="N13" s="138"/>
      <c r="O13" s="138"/>
    </row>
    <row r="14" spans="1:15" s="70" customFormat="1" ht="18" customHeight="1" x14ac:dyDescent="0.2">
      <c r="A14" s="138"/>
      <c r="B14" s="2773"/>
      <c r="C14" s="2773"/>
      <c r="D14" s="2773"/>
      <c r="E14" s="538" t="s">
        <v>1573</v>
      </c>
      <c r="F14" s="538" t="s">
        <v>1573</v>
      </c>
      <c r="G14" s="538" t="s">
        <v>1573</v>
      </c>
      <c r="H14" s="538" t="s">
        <v>1573</v>
      </c>
      <c r="I14" s="538" t="s">
        <v>1573</v>
      </c>
      <c r="J14"/>
      <c r="K14"/>
      <c r="L14"/>
      <c r="M14" s="138"/>
      <c r="N14" s="138"/>
      <c r="O14" s="138"/>
    </row>
    <row r="15" spans="1:15" s="70" customFormat="1" ht="18" customHeight="1" x14ac:dyDescent="0.2">
      <c r="A15" s="138"/>
      <c r="B15" s="2770" t="s">
        <v>1608</v>
      </c>
      <c r="C15" s="2770"/>
      <c r="D15" s="2770"/>
      <c r="E15" s="696"/>
      <c r="F15" s="696"/>
      <c r="G15" s="696"/>
      <c r="H15" s="696"/>
      <c r="I15" s="696"/>
      <c r="J15"/>
      <c r="K15"/>
      <c r="L15"/>
      <c r="M15" s="138"/>
      <c r="N15" s="138"/>
      <c r="O15" s="138"/>
    </row>
    <row r="16" spans="1:15" s="70" customFormat="1" ht="18" customHeight="1" x14ac:dyDescent="0.2">
      <c r="A16" s="138"/>
      <c r="B16" s="465" t="s">
        <v>1673</v>
      </c>
      <c r="C16" s="2353"/>
      <c r="D16" s="2352"/>
      <c r="E16" s="1670"/>
      <c r="F16" s="1670"/>
      <c r="G16" s="1670"/>
      <c r="H16" s="1670"/>
      <c r="I16" s="1670"/>
      <c r="J16"/>
      <c r="K16"/>
      <c r="L16"/>
      <c r="M16" s="138"/>
      <c r="N16" s="138"/>
      <c r="O16" s="138"/>
    </row>
    <row r="17" spans="1:15" s="70" customFormat="1" ht="18" customHeight="1" x14ac:dyDescent="0.25">
      <c r="A17" s="138"/>
      <c r="B17" s="2795" t="s">
        <v>1674</v>
      </c>
      <c r="C17" s="2795"/>
      <c r="D17" s="2801"/>
      <c r="E17" s="1651"/>
      <c r="F17" s="1651"/>
      <c r="G17" s="1651"/>
      <c r="H17" s="1651"/>
      <c r="I17" s="1651"/>
      <c r="J17"/>
      <c r="K17"/>
      <c r="L17" s="1329" t="s">
        <v>1675</v>
      </c>
      <c r="M17" s="1329" t="s">
        <v>680</v>
      </c>
      <c r="N17" s="138"/>
      <c r="O17" s="138"/>
    </row>
    <row r="18" spans="1:15" s="70" customFormat="1" ht="18" customHeight="1" x14ac:dyDescent="0.25">
      <c r="A18" s="138"/>
      <c r="B18" s="2353" t="s">
        <v>1676</v>
      </c>
      <c r="C18" s="2352"/>
      <c r="D18" s="2352"/>
      <c r="E18" s="1652"/>
      <c r="F18" s="1652"/>
      <c r="G18" s="1652"/>
      <c r="H18" s="1652"/>
      <c r="I18" s="1652"/>
      <c r="J18"/>
      <c r="K18"/>
      <c r="L18" s="1329"/>
      <c r="M18" s="1329"/>
      <c r="N18" s="138"/>
      <c r="O18" s="138"/>
    </row>
    <row r="19" spans="1:15" s="70" customFormat="1" ht="18" customHeight="1" x14ac:dyDescent="0.25">
      <c r="A19" s="138"/>
      <c r="B19" s="2778" t="s">
        <v>1625</v>
      </c>
      <c r="C19" s="2778"/>
      <c r="D19" s="2778"/>
      <c r="E19" s="1651"/>
      <c r="F19" s="1651"/>
      <c r="G19" s="1651"/>
      <c r="H19" s="1651"/>
      <c r="I19" s="1651"/>
      <c r="J19"/>
      <c r="K19"/>
      <c r="L19" s="1329" t="s">
        <v>1677</v>
      </c>
      <c r="M19" s="1329" t="str">
        <f>IF(B19="General Government","Gen Gov",
IF(B19="Primary and secondary education","Prim Sec Ed",
IF(B19="Higher Education","Higher Ed",
IF(B19="Higher education student aid","Higher Ed stu aid",
IF(B19="Health and human services","HHS",
IF(B19="Economic development","Econ Dev",
IF(B19="Environment and natural resources","ENR",
IF(B19="Public safety, corrections, and regulation","Public Safety",
IF(B19="Transportation","Trans",
IF(B19="Highway construction/preservation","Highway Const",
IF(B19="Highway maintenance","Highway Const",
IF(B19="Debt Service","Debt Serv",
IF(B19="Agriculture","Agric",
IF(B19="Capital projects/repairs and renovations","CapProjectsReno",
IF(B19="Disaster relief (OSC only)","Relief",
IF(B19="Subsequent year's budget (OSC only)","SubsYearBudget",
IF(B19="Other purposes","OthPur",
"No Function")))))))))))))))))</f>
        <v>No Function</v>
      </c>
      <c r="N19" s="138"/>
      <c r="O19" s="138"/>
    </row>
    <row r="20" spans="1:15" s="70" customFormat="1" ht="18" customHeight="1" x14ac:dyDescent="0.25">
      <c r="A20" s="138"/>
      <c r="B20" s="2778" t="s">
        <v>1625</v>
      </c>
      <c r="C20" s="2778"/>
      <c r="D20" s="2778"/>
      <c r="E20" s="1651"/>
      <c r="F20" s="1651"/>
      <c r="G20" s="1651"/>
      <c r="H20" s="1651"/>
      <c r="I20" s="1651"/>
      <c r="J20"/>
      <c r="K20"/>
      <c r="L20" s="1329" t="s">
        <v>1677</v>
      </c>
      <c r="M20" s="1329" t="str">
        <f t="shared" ref="M20:M21" si="0">IF(B20="General Government","Gen Gov",
IF(B20="Primary and secondary education","Prim Sec Ed",
IF(B20="Higher Education","Higher Ed",
IF(B20="Higher education student aid","Higher Ed stu aid",
IF(B20="Health and human services","HHS",
IF(B20="Economic development","Econ Dev",
IF(B20="Environment and natural resources","ENR",
IF(B20="Public safety, corrections, and regulation","Public Safety",
IF(B20="Transportation","Trans",
IF(B20="Highway construction/preservation","Highway Const",
IF(B20="Highway maintenance","Highway Const",
IF(B20="Debt Service","Debt Serv",
IF(B20="Agriculture","Agric",
IF(B20="Capital projects/repairs and renovations","CapProjectsReno",
IF(B20="Disaster relief (OSC only)","Relief",
IF(B20="Subsequent year's budget (OSC only)","SubsYearBudget",
"No Function"))))))))))))))))</f>
        <v>No Function</v>
      </c>
      <c r="N20" s="138"/>
      <c r="O20" s="138"/>
    </row>
    <row r="21" spans="1:15" s="70" customFormat="1" ht="18" customHeight="1" x14ac:dyDescent="0.25">
      <c r="A21" s="138"/>
      <c r="B21" s="2778" t="s">
        <v>1625</v>
      </c>
      <c r="C21" s="2778"/>
      <c r="D21" s="2778"/>
      <c r="E21" s="1651"/>
      <c r="F21" s="1651"/>
      <c r="G21" s="1651"/>
      <c r="H21" s="1651"/>
      <c r="I21" s="1651"/>
      <c r="J21"/>
      <c r="K21"/>
      <c r="L21" s="1329" t="s">
        <v>1677</v>
      </c>
      <c r="M21" s="1329" t="str">
        <f t="shared" si="0"/>
        <v>No Function</v>
      </c>
      <c r="N21" s="138"/>
      <c r="O21" s="138"/>
    </row>
    <row r="22" spans="1:15" ht="18" customHeight="1" x14ac:dyDescent="0.25">
      <c r="B22" s="2790" t="s">
        <v>1678</v>
      </c>
      <c r="C22" s="2791"/>
      <c r="D22" s="2792"/>
      <c r="E22" s="1653"/>
      <c r="F22" s="1653"/>
      <c r="G22" s="1653"/>
      <c r="H22" s="1653"/>
      <c r="I22" s="1653"/>
      <c r="L22" s="1329" t="s">
        <v>1679</v>
      </c>
      <c r="M22" s="1329" t="str">
        <f t="shared" ref="M22" si="1">IF(B22="Primary and secondary education","Prim Sec Ed",IF(B22="Economic development","Econ Dev",IF(B22="Environment and natural resources","ENR",IF(B22="Public safety, corrections, and regulation","Public Safety",IF(B22="Transportation","Trans",IF(B22="Agriculture","Agric",IF(B22="Debt service","Debt Serv",IF(B22="Other purposes","OthPur",IF(B22="Capital projects/repairs and renovations","CapProjectsReno","No Function")))))))))</f>
        <v>No Function</v>
      </c>
    </row>
    <row r="23" spans="1:15" ht="18" customHeight="1" thickBot="1" x14ac:dyDescent="0.3">
      <c r="B23" s="2353" t="s">
        <v>1641</v>
      </c>
      <c r="C23" s="464"/>
      <c r="D23" s="2349"/>
      <c r="E23" s="1654">
        <f>SUM(E17:E17)+SUM(E19:E21)+SUM(E22:E22)</f>
        <v>0</v>
      </c>
      <c r="F23" s="1654">
        <f>SUM(F17:F17)+SUM(F19:F21)+SUM(F22:F22)</f>
        <v>0</v>
      </c>
      <c r="G23" s="1654">
        <f>SUM(G17:G17)+SUM(G19:G21)+SUM(G22:G22)</f>
        <v>0</v>
      </c>
      <c r="H23" s="1654">
        <f>SUM(H17:H17)+SUM(H19:H21)+SUM(H22:H22)</f>
        <v>0</v>
      </c>
      <c r="I23" s="1654">
        <f>SUM(I17:I17)+SUM(I19:I21)+SUM(I22:I22)</f>
        <v>0</v>
      </c>
    </row>
    <row r="24" spans="1:15" ht="18" customHeight="1" thickTop="1" x14ac:dyDescent="0.2">
      <c r="B24" s="1180" t="s">
        <v>1680</v>
      </c>
      <c r="C24" s="541"/>
      <c r="D24" s="541"/>
      <c r="E24" s="541"/>
      <c r="F24" s="541"/>
      <c r="G24" s="541"/>
      <c r="H24" s="541"/>
      <c r="I24" s="541"/>
    </row>
    <row r="25" spans="1:15" x14ac:dyDescent="0.2">
      <c r="B25" s="1180"/>
      <c r="C25" s="541"/>
      <c r="D25" s="541"/>
      <c r="E25" s="541"/>
      <c r="F25" s="541"/>
      <c r="G25" s="541"/>
      <c r="H25" s="541"/>
      <c r="I25" s="541"/>
    </row>
    <row r="26" spans="1:15" ht="15" x14ac:dyDescent="0.2">
      <c r="A26" s="421" t="str">
        <f ca="1">MID(CELL("filename",A1),FIND("]",CELL("filename",A1))+1,256)</f>
        <v>420</v>
      </c>
      <c r="B26" s="465" t="s">
        <v>1633</v>
      </c>
      <c r="C26" s="1655" t="s">
        <v>1634</v>
      </c>
      <c r="D26" s="2352"/>
      <c r="E26" s="2353"/>
      <c r="F26" s="2353"/>
      <c r="G26" s="2353"/>
      <c r="H26" s="2353"/>
      <c r="I26" s="2353"/>
    </row>
    <row r="27" spans="1:15" ht="15" x14ac:dyDescent="0.2">
      <c r="A27" s="421" t="s">
        <v>401</v>
      </c>
      <c r="B27" s="465"/>
      <c r="C27" s="1655" t="s">
        <v>1635</v>
      </c>
      <c r="D27" s="2352"/>
      <c r="E27" s="2353"/>
      <c r="F27" s="2353"/>
      <c r="G27" s="2353"/>
      <c r="H27" s="2353"/>
      <c r="I27" s="2353"/>
    </row>
    <row r="28" spans="1:15" ht="15" x14ac:dyDescent="0.2">
      <c r="A28" s="421" t="s">
        <v>402</v>
      </c>
      <c r="B28" s="465"/>
      <c r="C28" s="1655" t="s">
        <v>1636</v>
      </c>
      <c r="D28" s="2352"/>
      <c r="E28" s="2353"/>
      <c r="F28" s="2353"/>
      <c r="G28" s="2353"/>
      <c r="H28" s="2353"/>
      <c r="I28" s="2353"/>
    </row>
    <row r="29" spans="1:15" ht="15" x14ac:dyDescent="0.2">
      <c r="A29" s="421" t="s">
        <v>403</v>
      </c>
      <c r="B29" s="465" t="s">
        <v>1637</v>
      </c>
      <c r="C29" s="1655" t="s">
        <v>1638</v>
      </c>
      <c r="D29" s="2352"/>
      <c r="E29" s="2353"/>
      <c r="F29" s="2353"/>
      <c r="G29" s="2353"/>
      <c r="H29" s="2353"/>
      <c r="I29" s="2353"/>
    </row>
    <row r="30" spans="1:15" ht="15" x14ac:dyDescent="0.2">
      <c r="A30" s="421" t="s">
        <v>404</v>
      </c>
      <c r="B30" s="465"/>
      <c r="C30" s="2352"/>
      <c r="D30" s="2352"/>
      <c r="E30" s="2353"/>
      <c r="F30" s="2353"/>
      <c r="G30" s="2353"/>
      <c r="H30" s="2353"/>
      <c r="I30" s="2353"/>
    </row>
    <row r="31" spans="1:15" ht="15" x14ac:dyDescent="0.2">
      <c r="A31" s="421" t="s">
        <v>410</v>
      </c>
      <c r="B31" s="1"/>
    </row>
    <row r="32" spans="1:15" x14ac:dyDescent="0.2">
      <c r="B32" s="1" t="s">
        <v>1681</v>
      </c>
    </row>
    <row r="33" spans="2:9" ht="17.25" customHeight="1" x14ac:dyDescent="0.2">
      <c r="B33" s="138" t="s">
        <v>1682</v>
      </c>
      <c r="E33" s="2334" t="s">
        <v>1677</v>
      </c>
      <c r="F33" s="1195"/>
    </row>
    <row r="34" spans="2:9" ht="17.25" customHeight="1" x14ac:dyDescent="0.2">
      <c r="C34" s="138"/>
      <c r="E34" s="2334" t="s">
        <v>1683</v>
      </c>
      <c r="F34" s="1195"/>
    </row>
    <row r="35" spans="2:9" ht="17.25" customHeight="1" thickBot="1" x14ac:dyDescent="0.25">
      <c r="C35" s="1179"/>
      <c r="E35" s="2334" t="s">
        <v>1684</v>
      </c>
      <c r="F35" s="1374">
        <f>F33+F34</f>
        <v>0</v>
      </c>
    </row>
    <row r="36" spans="2:9" ht="13.5" thickTop="1" x14ac:dyDescent="0.2"/>
    <row r="37" spans="2:9" ht="54" customHeight="1" x14ac:dyDescent="0.2">
      <c r="B37" s="2601" t="s">
        <v>1685</v>
      </c>
      <c r="C37" s="2601"/>
      <c r="D37" s="2601"/>
      <c r="E37" s="2601"/>
      <c r="F37" s="2601"/>
      <c r="G37" s="2601"/>
      <c r="H37" s="2601"/>
      <c r="I37" s="2601"/>
    </row>
  </sheetData>
  <sheetProtection algorithmName="SHA-512" hashValue="hfFP92aVB/VlLqf3lPmPd5kdhZekrwi6o/4Ha2HKCtl5ESIXltPJ27Zd9XhbWNA5TL8Z3PuBxpTF9nRVmFJopw==" saltValue="rPzJllglCBHugF3fFopxfA==" spinCount="100000" sheet="1" autoFilter="0"/>
  <customSheetViews>
    <customSheetView guid="{9FCFC836-1CA5-48BF-958D-24D2EA94B219}" showGridLines="0" fitToPage="1" hiddenColumns="1" topLeftCell="B1">
      <selection activeCell="B12" sqref="B12"/>
      <pageMargins left="0" right="0" top="0" bottom="0" header="0" footer="0"/>
      <pageSetup scale="94" orientation="portrait" r:id="rId1"/>
      <headerFooter alignWithMargins="0">
        <oddFooter>&amp;R&amp;A</oddFooter>
      </headerFooter>
    </customSheetView>
    <customSheetView guid="{BEA4BE86-04D1-4C96-9358-7A260B9D2B2D}" showGridLines="0" fitToPage="1" showRuler="0">
      <selection activeCell="A36" sqref="A36"/>
      <pageMargins left="0" right="0" top="0" bottom="0" header="0" footer="0"/>
      <pageSetup scale="96" orientation="portrait" r:id="rId2"/>
      <headerFooter alignWithMargins="0">
        <oddFooter>&amp;R&amp;A</oddFooter>
      </headerFooter>
    </customSheetView>
    <customSheetView guid="{1250FD07-FF56-4A9D-AF9E-C27124A7EBE9}" showGridLines="0" fitToPage="1" showRuler="0">
      <selection activeCell="A36" sqref="A36"/>
      <pageMargins left="0" right="0" top="0" bottom="0" header="0" footer="0"/>
      <pageSetup scale="96" orientation="portrait" r:id="rId3"/>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ageSetup scale="94" orientation="portrait" r:id="rId4"/>
      <headerFooter alignWithMargins="0">
        <oddFooter>&amp;R&amp;A</oddFooter>
      </headerFooter>
    </customSheetView>
  </customSheetViews>
  <mergeCells count="17">
    <mergeCell ref="B1:I1"/>
    <mergeCell ref="B2:I2"/>
    <mergeCell ref="B4:I4"/>
    <mergeCell ref="G6:I6"/>
    <mergeCell ref="G7:I7"/>
    <mergeCell ref="C6:E6"/>
    <mergeCell ref="C7:E7"/>
    <mergeCell ref="B37:I37"/>
    <mergeCell ref="K8:L8"/>
    <mergeCell ref="B12:I12"/>
    <mergeCell ref="B14:D14"/>
    <mergeCell ref="B15:D15"/>
    <mergeCell ref="B17:D17"/>
    <mergeCell ref="B22:D22"/>
    <mergeCell ref="B20:D20"/>
    <mergeCell ref="B21:D21"/>
    <mergeCell ref="B19:D19"/>
  </mergeCells>
  <phoneticPr fontId="18" type="noConversion"/>
  <conditionalFormatting sqref="I3">
    <cfRule type="containsText" dxfId="88" priority="2" stopIfTrue="1" operator="containsText" text="NA">
      <formula>NOT(ISERROR(SEARCH("NA",I3)))</formula>
    </cfRule>
  </conditionalFormatting>
  <conditionalFormatting sqref="M1:M3">
    <cfRule type="cellIs" dxfId="87" priority="1" stopIfTrue="1" operator="equal">
      <formula>"na"</formula>
    </cfRule>
  </conditionalFormatting>
  <dataValidations count="2">
    <dataValidation type="textLength" operator="equal" allowBlank="1" showInputMessage="1" showErrorMessage="1" errorTitle="Invalid data!" error="GASB number must be 4 digits." sqref="E15:I15" xr:uid="{7155A138-E42D-47CC-A886-6B85227A4DC9}">
      <formula1>4</formula1>
    </dataValidation>
    <dataValidation type="decimal" operator="greaterThanOrEqual" allowBlank="1" showInputMessage="1" showErrorMessage="1" errorTitle="Invalid Data" error="Amount cannot be negative" sqref="E19:I21 E17:I17" xr:uid="{445D06A1-53BD-4D93-9BB3-E57278D13FEE}">
      <formula1>0</formula1>
    </dataValidation>
  </dataValidations>
  <hyperlinks>
    <hyperlink ref="E10" r:id="rId5" xr:uid="{FEC799E1-E6A4-4A0C-819E-5B52DCF7AAB0}"/>
    <hyperlink ref="B1:I1" location="Index!A1" display="Index!A1" xr:uid="{987435E2-D5ED-4401-AEC1-C3A2E73B08F7}"/>
  </hyperlinks>
  <pageMargins left="0.6" right="0.6" top="0.5" bottom="0.5" header="0.3" footer="0.3"/>
  <pageSetup scale="85" fitToHeight="0" orientation="landscape" r:id="rId6"/>
  <extLst>
    <ext xmlns:x14="http://schemas.microsoft.com/office/spreadsheetml/2009/9/main" uri="{CCE6A557-97BC-4b89-ADB6-D9C93CAAB3DF}">
      <x14:dataValidations xmlns:xm="http://schemas.microsoft.com/office/excel/2006/main" count="1">
        <x14:dataValidation type="list" allowBlank="1" showInputMessage="1" showErrorMessage="1" xr:uid="{17AFD2D8-39BF-4E55-8A6C-1D2F3207E72B}">
          <x14:formula1>
            <xm:f>Notes!$S$11:$S$21</xm:f>
          </x14:formula1>
          <xm:sqref>B19:D21</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1">
    <pageSetUpPr fitToPage="1"/>
  </sheetPr>
  <dimension ref="A1:L35"/>
  <sheetViews>
    <sheetView showGridLines="0" zoomScaleNormal="100" workbookViewId="0">
      <selection activeCell="B19" sqref="B19:E19"/>
    </sheetView>
  </sheetViews>
  <sheetFormatPr defaultColWidth="9.42578125" defaultRowHeight="12.75" x14ac:dyDescent="0.2"/>
  <cols>
    <col min="1" max="1" width="3.5703125" style="41" customWidth="1"/>
    <col min="2" max="2" width="10.42578125" style="41" customWidth="1"/>
    <col min="3" max="3" width="1.42578125" style="41" customWidth="1"/>
    <col min="4" max="4" width="6.5703125" style="41" customWidth="1"/>
    <col min="5" max="5" width="9.42578125" style="41"/>
    <col min="6" max="6" width="0.5703125" style="41" customWidth="1"/>
    <col min="7" max="7" width="13.42578125" style="41" customWidth="1"/>
    <col min="8" max="8" width="9.42578125" style="41"/>
    <col min="9" max="9" width="9" style="41" customWidth="1"/>
    <col min="10" max="10" width="9.42578125" style="41"/>
    <col min="11" max="11" width="16.42578125" style="41" customWidth="1"/>
    <col min="12" max="12" width="4.5703125" style="41" customWidth="1"/>
    <col min="13" max="16384" width="9.42578125" style="41"/>
  </cols>
  <sheetData>
    <row r="1" spans="1:12" s="43" customFormat="1" ht="15.75" x14ac:dyDescent="0.25">
      <c r="B1" s="2553" t="str">
        <f>+Index!$A$1</f>
        <v xml:space="preserve">                                                               Office of the State Controller                                                                </v>
      </c>
      <c r="C1" s="2553"/>
      <c r="D1" s="2553"/>
      <c r="E1" s="2553"/>
      <c r="F1" s="2553"/>
      <c r="G1" s="2553"/>
      <c r="H1" s="2553"/>
      <c r="I1" s="2553"/>
      <c r="J1" s="2553"/>
      <c r="K1" s="2553"/>
      <c r="L1" s="2554"/>
    </row>
    <row r="2" spans="1:12" s="43" customFormat="1" ht="15.75" x14ac:dyDescent="0.25">
      <c r="B2" s="2564" t="str">
        <f>+Index!$A$2</f>
        <v>2024 ACFR Worksheets</v>
      </c>
      <c r="C2" s="2807"/>
      <c r="D2" s="2807"/>
      <c r="E2" s="2807"/>
      <c r="F2" s="2807"/>
      <c r="G2" s="2807"/>
      <c r="H2" s="2807"/>
      <c r="I2" s="2807"/>
      <c r="J2" s="2807"/>
      <c r="K2" s="2807"/>
      <c r="L2" s="2554"/>
    </row>
    <row r="3" spans="1:12" s="43" customFormat="1" ht="15.75" x14ac:dyDescent="0.25">
      <c r="B3" s="2564" t="s">
        <v>1686</v>
      </c>
      <c r="C3" s="2807"/>
      <c r="D3" s="2807"/>
      <c r="E3" s="2807"/>
      <c r="F3" s="2807"/>
      <c r="G3" s="2807"/>
      <c r="H3" s="2807"/>
      <c r="I3" s="2807"/>
      <c r="J3" s="2807"/>
      <c r="K3" s="2807"/>
      <c r="L3" s="2554"/>
    </row>
    <row r="4" spans="1:12" ht="15.75" customHeight="1" x14ac:dyDescent="0.3">
      <c r="I4" s="44" t="s">
        <v>50</v>
      </c>
    </row>
    <row r="5" spans="1:12" ht="15.75" x14ac:dyDescent="0.25">
      <c r="B5" s="1671" t="s">
        <v>1687</v>
      </c>
      <c r="C5" s="45"/>
      <c r="D5" s="1671" t="s">
        <v>762</v>
      </c>
      <c r="E5" s="45"/>
      <c r="H5" s="1672" t="s">
        <v>318</v>
      </c>
      <c r="I5" s="2809" t="str">
        <f>+Index!$E$10</f>
        <v>01</v>
      </c>
      <c r="J5" s="2809"/>
      <c r="K5" s="2809"/>
      <c r="L5" s="46"/>
    </row>
    <row r="6" spans="1:12" ht="15.75" x14ac:dyDescent="0.25">
      <c r="C6" s="45"/>
      <c r="E6" s="47"/>
      <c r="H6" s="1672" t="s">
        <v>319</v>
      </c>
      <c r="I6" s="2809" t="str">
        <f>+Index!$E$11</f>
        <v>North Carolina General Assembly</v>
      </c>
      <c r="J6" s="2809"/>
      <c r="K6" s="2809"/>
      <c r="L6" s="46"/>
    </row>
    <row r="7" spans="1:12" ht="15.75" x14ac:dyDescent="0.25">
      <c r="B7" s="1671"/>
      <c r="C7" s="45"/>
      <c r="E7" s="1673"/>
      <c r="H7" s="1672" t="s">
        <v>320</v>
      </c>
      <c r="I7" s="2812" t="str">
        <f>CONCATENATE(Index!$E$12," ",Index!$E$14)</f>
        <v xml:space="preserve"> </v>
      </c>
      <c r="J7" s="2812"/>
      <c r="K7" s="2812"/>
      <c r="L7" s="46"/>
    </row>
    <row r="8" spans="1:12" ht="15.75" x14ac:dyDescent="0.25">
      <c r="B8" s="1671"/>
      <c r="C8" s="45"/>
      <c r="E8" s="1673"/>
      <c r="H8" s="1672" t="s">
        <v>168</v>
      </c>
      <c r="I8" s="2808">
        <f>+Index!$E$13</f>
        <v>0</v>
      </c>
      <c r="J8" s="2808"/>
      <c r="K8" s="2808"/>
      <c r="L8" s="46"/>
    </row>
    <row r="9" spans="1:12" ht="7.5" customHeight="1" thickBot="1" x14ac:dyDescent="0.3">
      <c r="A9" s="48"/>
      <c r="B9" s="48"/>
      <c r="C9" s="48"/>
      <c r="D9" s="48"/>
      <c r="E9" s="48"/>
      <c r="F9" s="48"/>
      <c r="G9" s="48"/>
      <c r="H9" s="48"/>
      <c r="I9" s="48"/>
      <c r="J9" s="48"/>
      <c r="K9" s="48"/>
    </row>
    <row r="10" spans="1:12" ht="7.5" customHeight="1" x14ac:dyDescent="0.25">
      <c r="B10" s="45"/>
      <c r="C10" s="45"/>
      <c r="D10" s="45"/>
      <c r="E10" s="45"/>
      <c r="F10" s="45"/>
      <c r="G10" s="45"/>
      <c r="H10" s="45"/>
      <c r="I10" s="45"/>
      <c r="J10" s="45"/>
      <c r="K10" s="45"/>
    </row>
    <row r="11" spans="1:12" ht="15" customHeight="1" x14ac:dyDescent="0.25">
      <c r="A11" s="2274"/>
      <c r="B11" s="491" t="s">
        <v>1688</v>
      </c>
      <c r="C11" s="45"/>
      <c r="D11" s="45"/>
      <c r="E11" s="45"/>
      <c r="F11" s="45"/>
      <c r="G11" s="45"/>
      <c r="H11" s="45"/>
      <c r="I11" s="45"/>
      <c r="J11" s="45"/>
      <c r="K11" s="45"/>
    </row>
    <row r="12" spans="1:12" ht="15" customHeight="1" x14ac:dyDescent="0.25">
      <c r="A12" s="2274"/>
      <c r="B12" s="491"/>
      <c r="C12" s="45"/>
      <c r="D12" s="45"/>
      <c r="E12" s="45"/>
      <c r="F12" s="45"/>
      <c r="G12" s="45"/>
      <c r="H12" s="45"/>
      <c r="I12" s="45"/>
      <c r="J12" s="45"/>
      <c r="K12" s="45"/>
    </row>
    <row r="13" spans="1:12" ht="12.75" customHeight="1" x14ac:dyDescent="0.25">
      <c r="B13" s="612" t="s">
        <v>1689</v>
      </c>
      <c r="C13" s="45"/>
      <c r="D13" s="45"/>
      <c r="E13" s="45"/>
      <c r="F13" s="45"/>
      <c r="G13" s="45"/>
      <c r="H13" s="45"/>
      <c r="I13" s="45"/>
      <c r="J13" s="45"/>
      <c r="K13" s="45"/>
    </row>
    <row r="14" spans="1:12" ht="12.75" customHeight="1" x14ac:dyDescent="0.25">
      <c r="B14" s="612"/>
      <c r="C14" s="45"/>
      <c r="D14" s="45"/>
      <c r="E14" s="45"/>
      <c r="F14" s="45"/>
      <c r="G14" s="45"/>
      <c r="H14" s="45"/>
      <c r="I14" s="45"/>
      <c r="J14" s="45"/>
      <c r="K14" s="45"/>
    </row>
    <row r="15" spans="1:12" ht="110.25" customHeight="1" x14ac:dyDescent="0.2">
      <c r="B15" s="2814" t="s">
        <v>1690</v>
      </c>
      <c r="C15" s="2815"/>
      <c r="D15" s="2815"/>
      <c r="E15" s="2815"/>
      <c r="F15" s="2815"/>
      <c r="G15" s="2815"/>
      <c r="H15" s="2815"/>
      <c r="I15" s="2815"/>
      <c r="J15" s="2815"/>
      <c r="K15" s="2815"/>
    </row>
    <row r="16" spans="1:12" ht="15" customHeight="1" x14ac:dyDescent="0.2"/>
    <row r="17" spans="2:11" ht="15" customHeight="1" x14ac:dyDescent="0.25">
      <c r="B17" s="483" t="s">
        <v>341</v>
      </c>
      <c r="C17" s="482"/>
      <c r="D17" s="834"/>
      <c r="G17" s="483" t="s">
        <v>340</v>
      </c>
      <c r="H17" s="834"/>
      <c r="I17" s="485" t="s">
        <v>1691</v>
      </c>
      <c r="J17" s="45"/>
      <c r="K17" s="45"/>
    </row>
    <row r="18" spans="2:11" ht="15" customHeight="1" x14ac:dyDescent="0.25">
      <c r="B18" s="483"/>
      <c r="C18" s="482"/>
      <c r="D18" s="484"/>
      <c r="G18" s="484"/>
      <c r="H18" s="2813" t="str">
        <f>IF(AND(ISBLANK(D17),ISBLANK(H17))=TRUE,"Answer Missing"," ")</f>
        <v>Answer Missing</v>
      </c>
      <c r="I18" s="2707"/>
      <c r="J18" s="45"/>
      <c r="K18" s="45"/>
    </row>
    <row r="19" spans="2:11" ht="15" customHeight="1" x14ac:dyDescent="0.25">
      <c r="B19" s="2816" t="str">
        <f>IF(ISTEXT(H17), "Response for Yes needed", " ")</f>
        <v xml:space="preserve"> </v>
      </c>
      <c r="C19" s="2817"/>
      <c r="D19" s="2817"/>
      <c r="E19" s="2548"/>
      <c r="H19" s="484"/>
      <c r="I19" s="485"/>
      <c r="J19" s="45"/>
      <c r="K19" s="45"/>
    </row>
    <row r="20" spans="2:11" ht="18" customHeight="1" x14ac:dyDescent="0.2">
      <c r="B20" s="2810"/>
      <c r="C20" s="2811"/>
      <c r="D20" s="2811"/>
      <c r="E20" s="2811"/>
      <c r="F20" s="2811"/>
      <c r="G20" s="2811"/>
      <c r="H20" s="2811"/>
      <c r="I20" s="2811"/>
      <c r="J20" s="2811"/>
      <c r="K20" s="2811"/>
    </row>
    <row r="21" spans="2:11" ht="18" customHeight="1" x14ac:dyDescent="0.2">
      <c r="B21" s="2810"/>
      <c r="C21" s="2811"/>
      <c r="D21" s="2811"/>
      <c r="E21" s="2811"/>
      <c r="F21" s="2811"/>
      <c r="G21" s="2811"/>
      <c r="H21" s="2811"/>
      <c r="I21" s="2811"/>
      <c r="J21" s="2811"/>
      <c r="K21" s="2811"/>
    </row>
    <row r="22" spans="2:11" ht="18" customHeight="1" x14ac:dyDescent="0.2">
      <c r="B22" s="2810"/>
      <c r="C22" s="2811"/>
      <c r="D22" s="2811"/>
      <c r="E22" s="2811"/>
      <c r="F22" s="2811"/>
      <c r="G22" s="2811"/>
      <c r="H22" s="2811"/>
      <c r="I22" s="2811"/>
      <c r="J22" s="2811"/>
      <c r="K22" s="2811"/>
    </row>
    <row r="23" spans="2:11" ht="18" customHeight="1" x14ac:dyDescent="0.2">
      <c r="B23" s="2810"/>
      <c r="C23" s="2811"/>
      <c r="D23" s="2811"/>
      <c r="E23" s="2811"/>
      <c r="F23" s="2811"/>
      <c r="G23" s="2811"/>
      <c r="H23" s="2811"/>
      <c r="I23" s="2811"/>
      <c r="J23" s="2811"/>
      <c r="K23" s="2811"/>
    </row>
    <row r="24" spans="2:11" ht="18" customHeight="1" x14ac:dyDescent="0.2">
      <c r="B24" s="2810"/>
      <c r="C24" s="2811"/>
      <c r="D24" s="2811"/>
      <c r="E24" s="2811"/>
      <c r="F24" s="2811"/>
      <c r="G24" s="2811"/>
      <c r="H24" s="2811"/>
      <c r="I24" s="2811"/>
      <c r="J24" s="2811"/>
      <c r="K24" s="2811"/>
    </row>
    <row r="25" spans="2:11" ht="18" customHeight="1" x14ac:dyDescent="0.2">
      <c r="B25" s="2810"/>
      <c r="C25" s="2811"/>
      <c r="D25" s="2811"/>
      <c r="E25" s="2811"/>
      <c r="F25" s="2811"/>
      <c r="G25" s="2811"/>
      <c r="H25" s="2811"/>
      <c r="I25" s="2811"/>
      <c r="J25" s="2811"/>
      <c r="K25" s="2811"/>
    </row>
    <row r="26" spans="2:11" ht="18" customHeight="1" x14ac:dyDescent="0.2">
      <c r="B26" s="2810"/>
      <c r="C26" s="2811"/>
      <c r="D26" s="2811"/>
      <c r="E26" s="2811"/>
      <c r="F26" s="2811"/>
      <c r="G26" s="2811"/>
      <c r="H26" s="2811"/>
      <c r="I26" s="2811"/>
      <c r="J26" s="2811"/>
      <c r="K26" s="2811"/>
    </row>
    <row r="27" spans="2:11" ht="18" customHeight="1" x14ac:dyDescent="0.2">
      <c r="B27" s="2810"/>
      <c r="C27" s="2811"/>
      <c r="D27" s="2811"/>
      <c r="E27" s="2811"/>
      <c r="F27" s="2811"/>
      <c r="G27" s="2811"/>
      <c r="H27" s="2811"/>
      <c r="I27" s="2811"/>
      <c r="J27" s="2811"/>
      <c r="K27" s="2811"/>
    </row>
    <row r="28" spans="2:11" ht="18" customHeight="1" x14ac:dyDescent="0.2">
      <c r="B28" s="2810"/>
      <c r="C28" s="2811"/>
      <c r="D28" s="2811"/>
      <c r="E28" s="2811"/>
      <c r="F28" s="2811"/>
      <c r="G28" s="2811"/>
      <c r="H28" s="2811"/>
      <c r="I28" s="2811"/>
      <c r="J28" s="2811"/>
      <c r="K28" s="2811"/>
    </row>
    <row r="29" spans="2:11" ht="18" customHeight="1" x14ac:dyDescent="0.2">
      <c r="B29" s="2810"/>
      <c r="C29" s="2811"/>
      <c r="D29" s="2811"/>
      <c r="E29" s="2811"/>
      <c r="F29" s="2811"/>
      <c r="G29" s="2811"/>
      <c r="H29" s="2811"/>
      <c r="I29" s="2811"/>
      <c r="J29" s="2811"/>
      <c r="K29" s="2811"/>
    </row>
    <row r="30" spans="2:11" ht="18" customHeight="1" x14ac:dyDescent="0.2">
      <c r="B30" s="2810"/>
      <c r="C30" s="2811"/>
      <c r="D30" s="2811"/>
      <c r="E30" s="2811"/>
      <c r="F30" s="2811"/>
      <c r="G30" s="2811"/>
      <c r="H30" s="2811"/>
      <c r="I30" s="2811"/>
      <c r="J30" s="2811"/>
      <c r="K30" s="2811"/>
    </row>
    <row r="31" spans="2:11" ht="18" customHeight="1" x14ac:dyDescent="0.2">
      <c r="B31" s="2810"/>
      <c r="C31" s="2811"/>
      <c r="D31" s="2811"/>
      <c r="E31" s="2811"/>
      <c r="F31" s="2811"/>
      <c r="G31" s="2811"/>
      <c r="H31" s="2811"/>
      <c r="I31" s="2811"/>
      <c r="J31" s="2811"/>
      <c r="K31" s="2811"/>
    </row>
    <row r="32" spans="2:11" ht="18" customHeight="1" x14ac:dyDescent="0.2">
      <c r="B32" s="2810"/>
      <c r="C32" s="2811"/>
      <c r="D32" s="2811"/>
      <c r="E32" s="2811"/>
      <c r="F32" s="2811"/>
      <c r="G32" s="2811"/>
      <c r="H32" s="2811"/>
      <c r="I32" s="2811"/>
      <c r="J32" s="2811"/>
      <c r="K32" s="2811"/>
    </row>
    <row r="33" spans="2:11" ht="18" customHeight="1" x14ac:dyDescent="0.2">
      <c r="B33" s="2810"/>
      <c r="C33" s="2811"/>
      <c r="D33" s="2811"/>
      <c r="E33" s="2811"/>
      <c r="F33" s="2811"/>
      <c r="G33" s="2811"/>
      <c r="H33" s="2811"/>
      <c r="I33" s="2811"/>
      <c r="J33" s="2811"/>
      <c r="K33" s="2811"/>
    </row>
    <row r="34" spans="2:11" ht="18" customHeight="1" x14ac:dyDescent="0.2">
      <c r="B34" s="2810"/>
      <c r="C34" s="2811"/>
      <c r="D34" s="2811"/>
      <c r="E34" s="2811"/>
      <c r="F34" s="2811"/>
      <c r="G34" s="2811"/>
      <c r="H34" s="2811"/>
      <c r="I34" s="2811"/>
      <c r="J34" s="2811"/>
      <c r="K34" s="2811"/>
    </row>
    <row r="35" spans="2:11" ht="18" customHeight="1" x14ac:dyDescent="0.2">
      <c r="B35" s="2810"/>
      <c r="C35" s="2811"/>
      <c r="D35" s="2811"/>
      <c r="E35" s="2811"/>
      <c r="F35" s="2811"/>
      <c r="G35" s="2811"/>
      <c r="H35" s="2811"/>
      <c r="I35" s="2811"/>
      <c r="J35" s="2811"/>
      <c r="K35" s="2811"/>
    </row>
  </sheetData>
  <sheetProtection algorithmName="SHA-512" hashValue="9hj/hwh8+aYuJMvVmiL7WfVPifPPkbh3wy0wPNsmX08jTCZfR4YG7vEh7A98YoMMv8EEXxtWCZHvC5EHbf/R0w==" saltValue="1E+fQ28iTJtx7hYs9Irb1Q==" spinCount="100000" sheet="1" autoFilter="0"/>
  <customSheetViews>
    <customSheetView guid="{9FCFC836-1CA5-48BF-958D-24D2EA94B219}" showGridLines="0" fitToPage="1">
      <pageMargins left="0" right="0" top="0" bottom="0" header="0" footer="0"/>
      <pageSetup scale="96" orientation="portrait" r:id="rId1"/>
      <headerFooter alignWithMargins="0">
        <oddFooter>&amp;R&amp;A</oddFooter>
      </headerFooter>
    </customSheetView>
    <customSheetView guid="{BEA4BE86-04D1-4C96-9358-7A260B9D2B2D}" showGridLines="0" fitToPage="1" showRuler="0">
      <selection sqref="A1:J1"/>
      <pageMargins left="0" right="0" top="0" bottom="0" header="0" footer="0"/>
      <pageSetup orientation="portrait" r:id="rId2"/>
      <headerFooter alignWithMargins="0">
        <oddFooter>&amp;R&amp;A</oddFooter>
      </headerFooter>
    </customSheetView>
    <customSheetView guid="{1250FD07-FF56-4A9D-AF9E-C27124A7EBE9}" showGridLines="0" fitToPage="1" showRuler="0">
      <selection sqref="A1:J1"/>
      <pageMargins left="0" right="0" top="0" bottom="0" header="0" footer="0"/>
      <pageSetup orientation="portrait" r:id="rId3"/>
      <headerFooter alignWithMargins="0">
        <oddFooter>&amp;R&amp;A</oddFooter>
      </headerFooter>
    </customSheetView>
    <customSheetView guid="{B08879A4-635B-4C39-9937-AC7883D562FC}" showGridLines="0" fitToPage="1">
      <pageMargins left="0" right="0" top="0" bottom="0" header="0" footer="0"/>
      <pageSetup scale="96" orientation="portrait" r:id="rId4"/>
      <headerFooter alignWithMargins="0">
        <oddFooter>&amp;R&amp;A</oddFooter>
      </headerFooter>
    </customSheetView>
  </customSheetViews>
  <mergeCells count="27">
    <mergeCell ref="B26:K26"/>
    <mergeCell ref="B34:K34"/>
    <mergeCell ref="B35:K35"/>
    <mergeCell ref="B28:K28"/>
    <mergeCell ref="B29:K29"/>
    <mergeCell ref="B30:K30"/>
    <mergeCell ref="B31:K31"/>
    <mergeCell ref="B32:K32"/>
    <mergeCell ref="B33:K33"/>
    <mergeCell ref="B27:K27"/>
    <mergeCell ref="B25:K25"/>
    <mergeCell ref="I7:K7"/>
    <mergeCell ref="B20:K20"/>
    <mergeCell ref="H18:I18"/>
    <mergeCell ref="B15:K15"/>
    <mergeCell ref="B19:E19"/>
    <mergeCell ref="B21:K21"/>
    <mergeCell ref="B22:K22"/>
    <mergeCell ref="B23:K23"/>
    <mergeCell ref="B24:K24"/>
    <mergeCell ref="L1:L3"/>
    <mergeCell ref="B1:K1"/>
    <mergeCell ref="B2:K2"/>
    <mergeCell ref="B3:K3"/>
    <mergeCell ref="I8:K8"/>
    <mergeCell ref="I5:K5"/>
    <mergeCell ref="I6:K6"/>
  </mergeCells>
  <phoneticPr fontId="18" type="noConversion"/>
  <conditionalFormatting sqref="B19">
    <cfRule type="containsText" dxfId="86" priority="3" stopIfTrue="1" operator="containsText" text="Response for Yes needed">
      <formula>NOT(ISERROR(SEARCH("Response for Yes needed",B19)))</formula>
    </cfRule>
  </conditionalFormatting>
  <conditionalFormatting sqref="B19:E19">
    <cfRule type="containsText" dxfId="85" priority="1" stopIfTrue="1" operator="containsText" text="Response for Yes needed">
      <formula>NOT(ISERROR(SEARCH("Response for Yes needed",B19)))</formula>
    </cfRule>
  </conditionalFormatting>
  <conditionalFormatting sqref="H18:I18">
    <cfRule type="containsText" dxfId="84" priority="4" stopIfTrue="1" operator="containsText" text="Answer Missing">
      <formula>NOT(ISERROR(SEARCH("Answer Missing",H18)))</formula>
    </cfRule>
  </conditionalFormatting>
  <conditionalFormatting sqref="L1:L3">
    <cfRule type="cellIs" dxfId="83" priority="5" stopIfTrue="1" operator="equal">
      <formula>"na"</formula>
    </cfRule>
  </conditionalFormatting>
  <dataValidations count="1">
    <dataValidation allowBlank="1" sqref="B20:K35" xr:uid="{00000000-0002-0000-2100-000000000000}"/>
  </dataValidations>
  <hyperlinks>
    <hyperlink ref="B1:K1" location="Index!A1" display="Index!A1" xr:uid="{00000000-0004-0000-2100-000000000000}"/>
  </hyperlinks>
  <pageMargins left="0.6" right="0.6" top="0.5" bottom="0.5" header="0.3" footer="0.3"/>
  <pageSetup orientation="portrait" r:id="rId5"/>
  <ignoredErrors>
    <ignoredError sqref="B19" unlockedFormula="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3">
    <pageSetUpPr fitToPage="1"/>
  </sheetPr>
  <dimension ref="A1:S62"/>
  <sheetViews>
    <sheetView zoomScale="90" zoomScaleNormal="90" zoomScaleSheetLayoutView="100" workbookViewId="0">
      <selection activeCell="F24" sqref="F24:G24"/>
    </sheetView>
  </sheetViews>
  <sheetFormatPr defaultRowHeight="12.75" x14ac:dyDescent="0.2"/>
  <cols>
    <col min="1" max="1" width="12.5703125" customWidth="1"/>
    <col min="2" max="2" width="0.5703125" customWidth="1"/>
    <col min="4" max="4" width="13.7109375" customWidth="1"/>
    <col min="5" max="5" width="0.5703125" customWidth="1"/>
    <col min="6" max="6" width="13.7109375" customWidth="1"/>
    <col min="7" max="7" width="13.28515625" customWidth="1"/>
    <col min="8" max="8" width="0.5703125" customWidth="1"/>
    <col min="9" max="9" width="15.28515625" customWidth="1"/>
    <col min="10" max="10" width="10.42578125" customWidth="1"/>
    <col min="11" max="11" width="0.5703125" customWidth="1"/>
    <col min="13" max="13" width="12.140625" customWidth="1"/>
    <col min="14" max="14" width="0.5703125" customWidth="1"/>
    <col min="17" max="17" width="15.7109375" customWidth="1"/>
    <col min="18" max="18" width="25.28515625" customWidth="1"/>
    <col min="19" max="19" width="7.5703125" customWidth="1"/>
  </cols>
  <sheetData>
    <row r="1" spans="1:19" ht="15.75" x14ac:dyDescent="0.25">
      <c r="A1" s="2553" t="str">
        <f>+Index!$A$1</f>
        <v xml:space="preserve">                                                               Office of the State Controller                                                                </v>
      </c>
      <c r="B1" s="2553"/>
      <c r="C1" s="2553"/>
      <c r="D1" s="2553"/>
      <c r="E1" s="2553"/>
      <c r="F1" s="2553"/>
      <c r="G1" s="2553"/>
      <c r="H1" s="2553"/>
      <c r="I1" s="2553"/>
      <c r="J1" s="2553"/>
      <c r="K1" s="2553"/>
      <c r="L1" s="2553"/>
      <c r="M1" s="2553"/>
      <c r="N1" s="2553"/>
      <c r="O1" s="2553"/>
      <c r="P1" s="2553"/>
      <c r="Q1" s="2553"/>
      <c r="R1" s="2553"/>
      <c r="S1" s="2554" t="s">
        <v>50</v>
      </c>
    </row>
    <row r="2" spans="1:19" ht="15.75" x14ac:dyDescent="0.25">
      <c r="A2" s="2823" t="str">
        <f>+Index!$A$2</f>
        <v>2024 ACFR Worksheets</v>
      </c>
      <c r="B2" s="2823"/>
      <c r="C2" s="2823"/>
      <c r="D2" s="2823"/>
      <c r="E2" s="2823"/>
      <c r="F2" s="2823"/>
      <c r="G2" s="2823"/>
      <c r="H2" s="2823"/>
      <c r="I2" s="2823"/>
      <c r="J2" s="2823"/>
      <c r="K2" s="2823"/>
      <c r="L2" s="2823"/>
      <c r="M2" s="2823"/>
      <c r="N2" s="2823"/>
      <c r="O2" s="2823"/>
      <c r="P2" s="2823"/>
      <c r="Q2" s="2823"/>
      <c r="R2" s="2823"/>
      <c r="S2" s="2554"/>
    </row>
    <row r="3" spans="1:19" ht="15.75" x14ac:dyDescent="0.25">
      <c r="A3" s="2749" t="s">
        <v>1692</v>
      </c>
      <c r="B3" s="2749"/>
      <c r="C3" s="2749"/>
      <c r="D3" s="2749"/>
      <c r="E3" s="2749"/>
      <c r="F3" s="2749"/>
      <c r="G3" s="2749"/>
      <c r="H3" s="2749"/>
      <c r="I3" s="2749"/>
      <c r="J3" s="2749"/>
      <c r="K3" s="2749"/>
      <c r="L3" s="2749"/>
      <c r="M3" s="2749"/>
      <c r="N3" s="2749"/>
      <c r="O3" s="2749"/>
      <c r="P3" s="2749"/>
      <c r="Q3" s="2749"/>
      <c r="R3" s="2749"/>
      <c r="S3" s="2554"/>
    </row>
    <row r="4" spans="1:19" ht="15.75" x14ac:dyDescent="0.25">
      <c r="A4" s="2824" t="s">
        <v>1693</v>
      </c>
      <c r="B4" s="2749"/>
      <c r="C4" s="2749"/>
      <c r="D4" s="2749"/>
      <c r="E4" s="2749"/>
      <c r="F4" s="2749"/>
      <c r="G4" s="2749"/>
      <c r="H4" s="2749"/>
      <c r="I4" s="2749"/>
      <c r="J4" s="2749"/>
      <c r="K4" s="2749"/>
      <c r="L4" s="2749"/>
      <c r="M4" s="2749"/>
      <c r="N4" s="2749"/>
      <c r="O4" s="2749"/>
      <c r="P4" s="2749"/>
      <c r="Q4" s="2749"/>
      <c r="R4" s="2749"/>
      <c r="S4" s="2269"/>
    </row>
    <row r="5" spans="1:19" ht="7.5" customHeight="1" x14ac:dyDescent="0.2">
      <c r="A5" s="18"/>
      <c r="B5" s="18"/>
      <c r="C5" s="18"/>
      <c r="D5" s="18"/>
      <c r="E5" s="18"/>
      <c r="F5" s="18"/>
      <c r="G5" s="18"/>
      <c r="H5" s="18"/>
      <c r="I5" s="18"/>
      <c r="J5" s="18"/>
      <c r="K5" s="18"/>
      <c r="L5" s="18"/>
      <c r="M5" s="18"/>
      <c r="N5" s="18"/>
      <c r="O5" s="18"/>
      <c r="P5" s="18"/>
      <c r="Q5" s="18"/>
      <c r="R5" s="2554" t="str">
        <f>IF(Index!$B$61="na","NA","")</f>
        <v/>
      </c>
    </row>
    <row r="6" spans="1:19" x14ac:dyDescent="0.2">
      <c r="A6" s="2369" t="s">
        <v>318</v>
      </c>
      <c r="B6" s="814"/>
      <c r="C6" s="814"/>
      <c r="D6" s="2821" t="str">
        <f>+Index!$E$10</f>
        <v>01</v>
      </c>
      <c r="E6" s="2821"/>
      <c r="F6" s="2821"/>
      <c r="G6" s="814"/>
      <c r="H6" s="814"/>
      <c r="I6" s="814"/>
      <c r="J6" s="815" t="s">
        <v>319</v>
      </c>
      <c r="K6" s="128"/>
      <c r="L6" s="2596" t="str">
        <f>+Index!$E$11</f>
        <v>North Carolina General Assembly</v>
      </c>
      <c r="M6" s="2596"/>
      <c r="N6" s="2596"/>
      <c r="O6" s="2596"/>
      <c r="P6" s="2596"/>
      <c r="R6" s="2554"/>
    </row>
    <row r="7" spans="1:19" x14ac:dyDescent="0.2">
      <c r="A7" s="138"/>
      <c r="B7" s="814"/>
      <c r="C7" s="814"/>
      <c r="D7" s="814"/>
      <c r="E7" s="814"/>
      <c r="F7" s="814"/>
      <c r="G7" s="814"/>
      <c r="H7" s="814"/>
      <c r="I7" s="814"/>
      <c r="J7" s="815" t="s">
        <v>320</v>
      </c>
      <c r="K7" s="18"/>
      <c r="L7" s="2629" t="str">
        <f>CONCATENATE(Index!$E$12,"",Index!$E$14)</f>
        <v/>
      </c>
      <c r="M7" s="2629"/>
      <c r="N7" s="2629"/>
      <c r="O7" s="2629"/>
      <c r="P7" s="2629"/>
      <c r="R7" s="2554"/>
    </row>
    <row r="8" spans="1:19" x14ac:dyDescent="0.2">
      <c r="A8" s="814" t="s">
        <v>545</v>
      </c>
      <c r="B8" s="814"/>
      <c r="C8" s="814"/>
      <c r="D8" s="2821" t="s">
        <v>498</v>
      </c>
      <c r="E8" s="2822"/>
      <c r="F8" s="2822"/>
      <c r="G8" s="814"/>
      <c r="H8" s="814"/>
      <c r="I8" s="814"/>
      <c r="J8" s="815" t="s">
        <v>168</v>
      </c>
      <c r="K8" s="128"/>
      <c r="L8" s="2629">
        <f>+Index!$E$13</f>
        <v>0</v>
      </c>
      <c r="M8" s="2629"/>
      <c r="N8" s="2629"/>
      <c r="O8" s="2629"/>
      <c r="P8" s="2629"/>
    </row>
    <row r="9" spans="1:19" ht="13.5" thickBot="1" x14ac:dyDescent="0.25">
      <c r="A9" s="76"/>
      <c r="B9" s="76"/>
      <c r="C9" s="76"/>
      <c r="D9" s="76"/>
      <c r="E9" s="76"/>
      <c r="F9" s="76"/>
      <c r="G9" s="76"/>
      <c r="H9" s="76"/>
      <c r="I9" s="76"/>
      <c r="J9" s="76"/>
      <c r="K9" s="76"/>
      <c r="L9" s="76"/>
      <c r="M9" s="76"/>
      <c r="N9" s="76"/>
      <c r="O9" s="76"/>
      <c r="P9" s="76"/>
      <c r="Q9" s="76"/>
      <c r="R9" s="76"/>
    </row>
    <row r="10" spans="1:19" ht="7.5" customHeight="1" x14ac:dyDescent="0.2">
      <c r="A10" s="18"/>
      <c r="B10" s="18"/>
      <c r="C10" s="18"/>
      <c r="D10" s="18"/>
      <c r="E10" s="18"/>
      <c r="F10" s="18"/>
      <c r="G10" s="18"/>
      <c r="H10" s="18"/>
      <c r="I10" s="18"/>
      <c r="J10" s="18"/>
      <c r="K10" s="18"/>
      <c r="L10" s="18"/>
      <c r="M10" s="18"/>
      <c r="N10" s="18"/>
      <c r="O10" s="18"/>
      <c r="P10" s="18"/>
      <c r="Q10" s="18"/>
      <c r="R10" s="18"/>
    </row>
    <row r="11" spans="1:19" x14ac:dyDescent="0.2">
      <c r="A11" s="2360" t="s">
        <v>1694</v>
      </c>
      <c r="B11" s="2360"/>
      <c r="C11" s="2360"/>
      <c r="D11" s="2360"/>
      <c r="E11" s="2360"/>
      <c r="F11" s="2360"/>
      <c r="G11" s="2360"/>
      <c r="H11" s="2360"/>
      <c r="I11" s="2360"/>
      <c r="J11" s="2360"/>
      <c r="K11" s="2360"/>
      <c r="L11" s="2360"/>
      <c r="M11" s="2360"/>
      <c r="N11" s="2360"/>
      <c r="O11" s="2360"/>
      <c r="P11" s="2360"/>
      <c r="Q11" s="2360"/>
      <c r="R11" s="2360"/>
    </row>
    <row r="12" spans="1:19" x14ac:dyDescent="0.2">
      <c r="A12" s="2826" t="s">
        <v>1695</v>
      </c>
      <c r="B12" s="2826"/>
      <c r="C12" s="2826"/>
      <c r="D12" s="2826"/>
      <c r="E12" s="2826"/>
      <c r="F12" s="2826"/>
      <c r="G12" s="2826"/>
      <c r="H12" s="2826"/>
      <c r="I12" s="2826"/>
      <c r="J12" s="2826"/>
      <c r="K12" s="2826"/>
      <c r="L12" s="2826"/>
      <c r="M12" s="2826"/>
      <c r="N12" s="2826"/>
      <c r="O12" s="2826"/>
      <c r="P12" s="2826"/>
      <c r="Q12" s="2826"/>
      <c r="R12" s="2826"/>
    </row>
    <row r="13" spans="1:19" ht="6.75" customHeight="1" x14ac:dyDescent="0.2">
      <c r="A13" s="2369"/>
      <c r="B13" s="2369"/>
      <c r="C13" s="2369"/>
      <c r="D13" s="2369"/>
      <c r="E13" s="2369"/>
      <c r="F13" s="2369"/>
      <c r="G13" s="2369"/>
      <c r="H13" s="2369"/>
      <c r="I13" s="2369"/>
      <c r="J13" s="2369"/>
      <c r="K13" s="2369"/>
      <c r="L13" s="2369"/>
      <c r="M13" s="2369"/>
      <c r="N13" s="2369"/>
      <c r="O13" s="2369"/>
      <c r="P13" s="2369"/>
      <c r="Q13" s="2369"/>
      <c r="R13" s="2369"/>
    </row>
    <row r="14" spans="1:19" ht="15.75" x14ac:dyDescent="0.25">
      <c r="A14" s="814" t="s">
        <v>1696</v>
      </c>
      <c r="B14" s="814"/>
      <c r="C14" s="814"/>
      <c r="D14" s="814"/>
      <c r="E14" s="814"/>
      <c r="F14" s="814"/>
      <c r="G14" s="814"/>
      <c r="H14" s="814"/>
      <c r="I14" s="814"/>
      <c r="J14" s="814"/>
      <c r="K14" s="814"/>
      <c r="L14" s="814"/>
      <c r="M14" s="814"/>
      <c r="N14" s="814"/>
      <c r="O14" s="2825" t="s">
        <v>1697</v>
      </c>
      <c r="P14" s="2825"/>
      <c r="Q14" s="2825"/>
      <c r="R14" s="2825"/>
    </row>
    <row r="15" spans="1:19" x14ac:dyDescent="0.2">
      <c r="A15" s="814"/>
      <c r="B15" s="814"/>
      <c r="C15" s="814"/>
      <c r="D15" s="814"/>
      <c r="E15" s="814"/>
      <c r="F15" s="814"/>
      <c r="G15" s="814"/>
      <c r="H15" s="814"/>
      <c r="I15" s="814"/>
      <c r="J15" s="814"/>
      <c r="K15" s="814"/>
      <c r="L15" s="814"/>
      <c r="M15" s="814"/>
      <c r="N15" s="814"/>
      <c r="O15" s="814"/>
      <c r="P15" s="814"/>
      <c r="Q15" s="814"/>
      <c r="R15" s="814"/>
    </row>
    <row r="16" spans="1:19" x14ac:dyDescent="0.2">
      <c r="A16" s="814"/>
      <c r="B16" s="814"/>
      <c r="C16" s="2820" t="s">
        <v>1573</v>
      </c>
      <c r="D16" s="2820"/>
      <c r="E16" s="814"/>
      <c r="F16" s="2820" t="s">
        <v>1698</v>
      </c>
      <c r="G16" s="2820"/>
      <c r="H16" s="814"/>
      <c r="I16" s="2820" t="s">
        <v>1699</v>
      </c>
      <c r="J16" s="2820"/>
      <c r="K16" s="814"/>
      <c r="L16" s="2820"/>
      <c r="M16" s="2820"/>
      <c r="N16" s="814"/>
      <c r="O16" s="814"/>
      <c r="P16" s="814"/>
      <c r="Q16" s="814"/>
      <c r="R16" s="814"/>
    </row>
    <row r="17" spans="1:18" ht="14.25" customHeight="1" x14ac:dyDescent="0.2">
      <c r="A17" s="814"/>
      <c r="B17" s="814"/>
      <c r="C17" s="2821" t="s">
        <v>1700</v>
      </c>
      <c r="D17" s="2821"/>
      <c r="E17" s="814"/>
      <c r="F17" s="2821" t="s">
        <v>1701</v>
      </c>
      <c r="G17" s="2821"/>
      <c r="H17" s="814"/>
      <c r="I17" s="2821" t="s">
        <v>1702</v>
      </c>
      <c r="J17" s="2821"/>
      <c r="K17" s="814"/>
      <c r="L17" s="2821" t="s">
        <v>1703</v>
      </c>
      <c r="M17" s="2821"/>
      <c r="N17" s="814"/>
      <c r="O17" s="814"/>
      <c r="P17" s="814"/>
      <c r="Q17" s="814"/>
      <c r="R17" s="814"/>
    </row>
    <row r="18" spans="1:18" ht="12.75" hidden="1" customHeight="1" x14ac:dyDescent="0.2">
      <c r="A18" s="814"/>
      <c r="B18" s="814"/>
      <c r="C18" s="138"/>
      <c r="D18" s="138"/>
      <c r="E18" s="814"/>
      <c r="F18" s="2828" t="s">
        <v>50</v>
      </c>
      <c r="G18" s="2828"/>
      <c r="H18" s="814"/>
      <c r="I18" s="2828" t="s">
        <v>50</v>
      </c>
      <c r="J18" s="2828"/>
      <c r="K18" s="814"/>
      <c r="L18" s="138"/>
      <c r="M18" s="138"/>
      <c r="N18" s="814"/>
      <c r="O18" s="814"/>
      <c r="P18" s="814"/>
      <c r="Q18" s="814"/>
      <c r="R18" s="814"/>
    </row>
    <row r="19" spans="1:18" ht="13.5" hidden="1" thickBot="1" x14ac:dyDescent="0.25">
      <c r="A19" s="814"/>
      <c r="B19" s="814"/>
      <c r="C19" s="816" t="s">
        <v>50</v>
      </c>
      <c r="D19" s="816" t="s">
        <v>50</v>
      </c>
      <c r="E19" s="814"/>
      <c r="F19" s="816" t="s">
        <v>50</v>
      </c>
      <c r="G19" s="816"/>
      <c r="H19" s="814"/>
      <c r="I19" s="816" t="s">
        <v>50</v>
      </c>
      <c r="J19" s="816"/>
      <c r="K19" s="814"/>
      <c r="L19" s="816" t="s">
        <v>50</v>
      </c>
      <c r="M19" s="816"/>
      <c r="N19" s="814"/>
      <c r="O19" s="814"/>
      <c r="P19" s="814"/>
      <c r="Q19" s="814"/>
      <c r="R19" s="814"/>
    </row>
    <row r="20" spans="1:18" hidden="1" x14ac:dyDescent="0.2">
      <c r="A20" s="814"/>
      <c r="B20" s="814"/>
      <c r="C20" s="817"/>
      <c r="D20" s="817"/>
      <c r="E20" s="814"/>
      <c r="F20" s="817"/>
      <c r="G20" s="817"/>
      <c r="H20" s="814"/>
      <c r="I20" s="817"/>
      <c r="J20" s="817"/>
      <c r="K20" s="814"/>
      <c r="L20" s="817"/>
      <c r="M20" s="817"/>
      <c r="N20" s="814"/>
      <c r="O20" s="814"/>
      <c r="P20" s="814"/>
      <c r="Q20" s="814"/>
      <c r="R20" s="814"/>
    </row>
    <row r="21" spans="1:18" x14ac:dyDescent="0.2">
      <c r="A21" s="2357" t="s">
        <v>1573</v>
      </c>
      <c r="B21" s="2357"/>
      <c r="C21" s="2831" t="s">
        <v>1704</v>
      </c>
      <c r="D21" s="2831"/>
      <c r="E21" s="2357"/>
      <c r="F21" s="2831" t="s">
        <v>1704</v>
      </c>
      <c r="G21" s="2831"/>
      <c r="H21" s="2357"/>
      <c r="I21" s="2831" t="s">
        <v>1705</v>
      </c>
      <c r="J21" s="2831"/>
      <c r="K21" s="2357"/>
      <c r="L21" s="2831" t="s">
        <v>1704</v>
      </c>
      <c r="M21" s="2831"/>
      <c r="N21" s="2357"/>
      <c r="O21" s="2829" t="s">
        <v>1706</v>
      </c>
      <c r="P21" s="2829"/>
      <c r="Q21" s="2829"/>
      <c r="R21" s="2829"/>
    </row>
    <row r="22" spans="1:18" x14ac:dyDescent="0.2">
      <c r="A22" s="2357" t="s">
        <v>1707</v>
      </c>
      <c r="B22" s="2357"/>
      <c r="C22" s="2833">
        <v>45108</v>
      </c>
      <c r="D22" s="2833"/>
      <c r="E22" s="2357"/>
      <c r="F22" s="2833">
        <v>45108</v>
      </c>
      <c r="G22" s="2833"/>
      <c r="H22" s="2357"/>
      <c r="I22" s="2833">
        <v>45108</v>
      </c>
      <c r="J22" s="2833"/>
      <c r="K22" s="2357"/>
      <c r="L22" s="2833">
        <v>45108</v>
      </c>
      <c r="M22" s="2833"/>
      <c r="N22" s="2357"/>
      <c r="O22" s="2829" t="s">
        <v>1708</v>
      </c>
      <c r="P22" s="2829"/>
      <c r="Q22" s="2829"/>
      <c r="R22" s="2829"/>
    </row>
    <row r="23" spans="1:18" x14ac:dyDescent="0.2">
      <c r="A23" s="2358" t="s">
        <v>1709</v>
      </c>
      <c r="B23" s="2357"/>
      <c r="C23" s="818" t="s">
        <v>1710</v>
      </c>
      <c r="D23" s="818"/>
      <c r="E23" s="2357"/>
      <c r="F23" s="818" t="s">
        <v>1711</v>
      </c>
      <c r="G23" s="818"/>
      <c r="H23" s="2357"/>
      <c r="I23" s="818" t="s">
        <v>1711</v>
      </c>
      <c r="J23" s="818"/>
      <c r="K23" s="2357"/>
      <c r="L23" s="2820" t="s">
        <v>1710</v>
      </c>
      <c r="M23" s="2820"/>
      <c r="N23" s="2357"/>
      <c r="O23" s="2821" t="s">
        <v>1712</v>
      </c>
      <c r="P23" s="2821"/>
      <c r="Q23" s="2821"/>
      <c r="R23" s="2821"/>
    </row>
    <row r="24" spans="1:18" ht="14.85" customHeight="1" x14ac:dyDescent="0.2">
      <c r="A24" s="2179">
        <v>5100</v>
      </c>
      <c r="B24" s="819"/>
      <c r="C24" s="2832"/>
      <c r="D24" s="2832"/>
      <c r="E24" s="819"/>
      <c r="F24" s="2827">
        <v>0</v>
      </c>
      <c r="G24" s="2827"/>
      <c r="H24" s="2357"/>
      <c r="I24" s="2830"/>
      <c r="J24" s="2830"/>
      <c r="K24" s="814"/>
      <c r="L24" s="2830"/>
      <c r="M24" s="2830"/>
      <c r="N24" s="814" t="s">
        <v>50</v>
      </c>
      <c r="O24" s="2370" t="s">
        <v>1713</v>
      </c>
      <c r="P24" s="2370"/>
      <c r="Q24" s="2370"/>
      <c r="R24" s="2370"/>
    </row>
    <row r="25" spans="1:18" ht="14.85" customHeight="1" x14ac:dyDescent="0.2">
      <c r="A25" s="2189" t="s">
        <v>1714</v>
      </c>
      <c r="B25" s="819"/>
      <c r="C25" s="2839" t="s">
        <v>50</v>
      </c>
      <c r="D25" s="2839"/>
      <c r="E25" s="819"/>
      <c r="F25" s="2827"/>
      <c r="G25" s="2827"/>
      <c r="H25" s="2357"/>
      <c r="I25" s="2827"/>
      <c r="J25" s="2827"/>
      <c r="K25" s="814"/>
      <c r="L25" s="2827">
        <v>0</v>
      </c>
      <c r="M25" s="2827"/>
      <c r="N25" s="814" t="s">
        <v>50</v>
      </c>
      <c r="O25" s="2819"/>
      <c r="P25" s="2819"/>
      <c r="Q25" s="2819"/>
      <c r="R25" s="2819"/>
    </row>
    <row r="26" spans="1:18" ht="14.85" customHeight="1" x14ac:dyDescent="0.2">
      <c r="A26" s="2189" t="s">
        <v>1714</v>
      </c>
      <c r="B26" s="819"/>
      <c r="C26" s="2834" t="s">
        <v>50</v>
      </c>
      <c r="D26" s="2834"/>
      <c r="E26" s="819"/>
      <c r="F26" s="2827">
        <v>0</v>
      </c>
      <c r="G26" s="2827"/>
      <c r="H26" s="2357"/>
      <c r="I26" s="2834"/>
      <c r="J26" s="2834"/>
      <c r="K26" s="814"/>
      <c r="L26" s="2834"/>
      <c r="M26" s="2834"/>
      <c r="N26" s="814"/>
      <c r="O26" s="2819"/>
      <c r="P26" s="2819"/>
      <c r="Q26" s="2819"/>
      <c r="R26" s="2819"/>
    </row>
    <row r="27" spans="1:18" ht="14.85" customHeight="1" x14ac:dyDescent="0.2">
      <c r="A27" s="2189" t="s">
        <v>1714</v>
      </c>
      <c r="B27" s="819"/>
      <c r="C27" s="2834" t="s">
        <v>50</v>
      </c>
      <c r="D27" s="2834"/>
      <c r="E27" s="819"/>
      <c r="F27" s="2827"/>
      <c r="G27" s="2827"/>
      <c r="H27" s="2357"/>
      <c r="I27" s="2834"/>
      <c r="J27" s="2834"/>
      <c r="K27" s="814"/>
      <c r="L27" s="2834"/>
      <c r="M27" s="2834"/>
      <c r="N27" s="814"/>
      <c r="O27" s="2819"/>
      <c r="P27" s="2819"/>
      <c r="Q27" s="2819"/>
      <c r="R27" s="2819"/>
    </row>
    <row r="28" spans="1:18" ht="14.85" customHeight="1" x14ac:dyDescent="0.2">
      <c r="A28" s="2189" t="s">
        <v>1714</v>
      </c>
      <c r="B28" s="819"/>
      <c r="C28" s="2834"/>
      <c r="D28" s="2834"/>
      <c r="E28" s="819"/>
      <c r="F28" s="2827"/>
      <c r="G28" s="2827"/>
      <c r="H28" s="1796"/>
      <c r="I28" s="2834">
        <v>0</v>
      </c>
      <c r="J28" s="2834"/>
      <c r="K28" s="814"/>
      <c r="L28" s="2834"/>
      <c r="M28" s="2834"/>
      <c r="N28" s="814"/>
      <c r="O28" s="2819"/>
      <c r="P28" s="2819"/>
      <c r="Q28" s="2819"/>
      <c r="R28" s="2819"/>
    </row>
    <row r="29" spans="1:18" ht="14.85" customHeight="1" x14ac:dyDescent="0.2">
      <c r="A29" s="2189" t="s">
        <v>1714</v>
      </c>
      <c r="B29" s="819"/>
      <c r="C29" s="2834"/>
      <c r="D29" s="2834"/>
      <c r="E29" s="819"/>
      <c r="F29" s="2827"/>
      <c r="G29" s="2827"/>
      <c r="H29" s="2357"/>
      <c r="I29" s="2834"/>
      <c r="J29" s="2834"/>
      <c r="K29" s="814"/>
      <c r="L29" s="2834"/>
      <c r="M29" s="2834"/>
      <c r="N29" s="814"/>
      <c r="O29" s="2819"/>
      <c r="P29" s="2819"/>
      <c r="Q29" s="2819"/>
      <c r="R29" s="2819"/>
    </row>
    <row r="30" spans="1:18" ht="14.85" customHeight="1" x14ac:dyDescent="0.2">
      <c r="A30" s="2189" t="s">
        <v>1714</v>
      </c>
      <c r="B30" s="819"/>
      <c r="C30" s="2827"/>
      <c r="D30" s="2827"/>
      <c r="E30" s="819"/>
      <c r="F30" s="2827"/>
      <c r="G30" s="2827"/>
      <c r="H30" s="2357"/>
      <c r="I30" s="2827"/>
      <c r="J30" s="2827"/>
      <c r="K30" s="814"/>
      <c r="L30" s="2827"/>
      <c r="M30" s="2827"/>
      <c r="N30" s="814"/>
      <c r="O30" s="2818"/>
      <c r="P30" s="2818"/>
      <c r="Q30" s="2818"/>
      <c r="R30" s="2818"/>
    </row>
    <row r="31" spans="1:18" ht="14.85" customHeight="1" x14ac:dyDescent="0.2">
      <c r="A31" s="2189" t="s">
        <v>1714</v>
      </c>
      <c r="B31" s="819"/>
      <c r="C31" s="2827"/>
      <c r="D31" s="2827"/>
      <c r="E31" s="819"/>
      <c r="F31" s="2827"/>
      <c r="G31" s="2827"/>
      <c r="H31" s="2357"/>
      <c r="I31" s="2827"/>
      <c r="J31" s="2827"/>
      <c r="K31" s="814"/>
      <c r="L31" s="2827"/>
      <c r="M31" s="2827"/>
      <c r="N31" s="814"/>
      <c r="O31" s="2819"/>
      <c r="P31" s="2819"/>
      <c r="Q31" s="2819"/>
      <c r="R31" s="2819"/>
    </row>
    <row r="32" spans="1:18" ht="14.85" customHeight="1" x14ac:dyDescent="0.2">
      <c r="A32" s="2189" t="s">
        <v>1714</v>
      </c>
      <c r="B32" s="819"/>
      <c r="C32" s="2827"/>
      <c r="D32" s="2827"/>
      <c r="E32" s="819"/>
      <c r="F32" s="2827"/>
      <c r="G32" s="2827"/>
      <c r="H32" s="2357"/>
      <c r="I32" s="2827"/>
      <c r="J32" s="2827"/>
      <c r="K32" s="814"/>
      <c r="L32" s="2827"/>
      <c r="M32" s="2827"/>
      <c r="N32" s="814"/>
      <c r="O32" s="2819"/>
      <c r="P32" s="2819"/>
      <c r="Q32" s="2819"/>
      <c r="R32" s="2819"/>
    </row>
    <row r="33" spans="1:18" ht="14.85" customHeight="1" x14ac:dyDescent="0.2">
      <c r="A33" s="2189" t="s">
        <v>1714</v>
      </c>
      <c r="B33" s="819"/>
      <c r="C33" s="2827"/>
      <c r="D33" s="2827"/>
      <c r="E33" s="819"/>
      <c r="F33" s="2827"/>
      <c r="G33" s="2827"/>
      <c r="H33" s="2357"/>
      <c r="I33" s="2827"/>
      <c r="J33" s="2827"/>
      <c r="K33" s="814"/>
      <c r="L33" s="2827"/>
      <c r="M33" s="2827"/>
      <c r="N33" s="814"/>
      <c r="O33" s="2819"/>
      <c r="P33" s="2819"/>
      <c r="Q33" s="2819"/>
      <c r="R33" s="2819"/>
    </row>
    <row r="34" spans="1:18" ht="14.85" customHeight="1" x14ac:dyDescent="0.2">
      <c r="A34" s="2189" t="s">
        <v>1714</v>
      </c>
      <c r="B34" s="819"/>
      <c r="C34" s="2827"/>
      <c r="D34" s="2827"/>
      <c r="E34" s="819"/>
      <c r="F34" s="2827">
        <v>0</v>
      </c>
      <c r="G34" s="2827"/>
      <c r="H34" s="2357"/>
      <c r="I34" s="2827"/>
      <c r="J34" s="2827"/>
      <c r="K34" s="814"/>
      <c r="L34" s="2827"/>
      <c r="M34" s="2827"/>
      <c r="N34" s="814"/>
      <c r="O34" s="2819"/>
      <c r="P34" s="2819"/>
      <c r="Q34" s="2819"/>
      <c r="R34" s="2819"/>
    </row>
    <row r="35" spans="1:18" ht="14.85" customHeight="1" x14ac:dyDescent="0.2">
      <c r="A35" s="2189" t="s">
        <v>1714</v>
      </c>
      <c r="B35" s="819"/>
      <c r="C35" s="2827"/>
      <c r="D35" s="2827"/>
      <c r="E35" s="819"/>
      <c r="F35" s="2827"/>
      <c r="G35" s="2827"/>
      <c r="H35" s="2357"/>
      <c r="I35" s="2827"/>
      <c r="J35" s="2827"/>
      <c r="K35" s="814"/>
      <c r="L35" s="2827"/>
      <c r="M35" s="2827"/>
      <c r="N35" s="814"/>
      <c r="O35" s="2819"/>
      <c r="P35" s="2819"/>
      <c r="Q35" s="2819"/>
      <c r="R35" s="2819"/>
    </row>
    <row r="36" spans="1:18" ht="14.85" customHeight="1" thickBot="1" x14ac:dyDescent="0.25">
      <c r="A36" s="819"/>
      <c r="B36" s="819"/>
      <c r="C36" s="2837">
        <f>SUM(C24:D35)</f>
        <v>0</v>
      </c>
      <c r="D36" s="2837"/>
      <c r="E36" s="819"/>
      <c r="F36" s="2837">
        <f>SUM(F24:G35)</f>
        <v>0</v>
      </c>
      <c r="G36" s="2837"/>
      <c r="H36" s="2357"/>
      <c r="I36" s="2837">
        <f>SUM(I24:J35)</f>
        <v>0</v>
      </c>
      <c r="J36" s="2837"/>
      <c r="K36" s="814"/>
      <c r="L36" s="2837">
        <f>SUM(L24:M35)</f>
        <v>0</v>
      </c>
      <c r="M36" s="2837"/>
      <c r="N36" s="814"/>
      <c r="O36" s="2819"/>
      <c r="P36" s="2819"/>
      <c r="Q36" s="2819"/>
      <c r="R36" s="2819"/>
    </row>
    <row r="37" spans="1:18" ht="25.15" customHeight="1" thickTop="1" x14ac:dyDescent="0.2">
      <c r="A37" s="2369"/>
      <c r="B37" s="819"/>
      <c r="C37" s="2820" t="s">
        <v>1715</v>
      </c>
      <c r="D37" s="2820"/>
      <c r="E37" s="2357"/>
      <c r="F37" s="2820" t="s">
        <v>1716</v>
      </c>
      <c r="G37" s="2820"/>
      <c r="H37" s="2357"/>
      <c r="I37" s="2820" t="s">
        <v>1717</v>
      </c>
      <c r="J37" s="2820"/>
      <c r="K37" s="814"/>
      <c r="L37" s="2820" t="s">
        <v>1718</v>
      </c>
      <c r="M37" s="2820"/>
      <c r="N37" s="814"/>
      <c r="O37" s="2838" t="s">
        <v>1719</v>
      </c>
      <c r="P37" s="2838"/>
      <c r="Q37" s="2838"/>
      <c r="R37" s="2838"/>
    </row>
    <row r="38" spans="1:18" ht="14.25" customHeight="1" x14ac:dyDescent="0.2">
      <c r="G38" s="1104" t="str">
        <f>IF(F36=SUM('203'!M29:M32,+'203'!M83+'202'!G34+'202'!G55+'202'!G63)," ","ERROR**")</f>
        <v xml:space="preserve"> </v>
      </c>
      <c r="J38" s="1104" t="str">
        <f>IF(I36=-SUM('305'!G17:G41)," ","ERROR**")</f>
        <v xml:space="preserve"> </v>
      </c>
      <c r="M38" s="1104"/>
    </row>
    <row r="39" spans="1:18" ht="8.25" customHeight="1" x14ac:dyDescent="0.2">
      <c r="G39" s="1104"/>
      <c r="J39" s="1104"/>
      <c r="M39" s="1104"/>
    </row>
    <row r="40" spans="1:18" ht="41.25" customHeight="1" x14ac:dyDescent="0.2">
      <c r="A40" s="1674"/>
      <c r="D40" s="1675" t="s">
        <v>1720</v>
      </c>
      <c r="F40" s="1675" t="s">
        <v>1721</v>
      </c>
      <c r="G40" s="1675" t="s">
        <v>1722</v>
      </c>
      <c r="I40" s="2239" t="s">
        <v>1723</v>
      </c>
      <c r="J40" s="1675"/>
    </row>
    <row r="41" spans="1:18" ht="25.5" x14ac:dyDescent="0.2">
      <c r="A41" s="1674"/>
      <c r="C41" s="1220"/>
      <c r="D41" s="2207" t="s">
        <v>1724</v>
      </c>
      <c r="E41" s="1"/>
      <c r="F41" s="2210" t="s">
        <v>1701</v>
      </c>
      <c r="G41" s="2208" t="s">
        <v>1702</v>
      </c>
      <c r="H41" s="2287"/>
      <c r="I41" s="2208" t="s">
        <v>1703</v>
      </c>
      <c r="J41" s="1675"/>
    </row>
    <row r="42" spans="1:18" x14ac:dyDescent="0.2">
      <c r="A42" s="1674"/>
      <c r="C42" s="2240" cm="1">
        <f t="array" ref="C42:C43">_xlfn.UNIQUE(A24:A35,FALSE,FALSE)</f>
        <v>5100</v>
      </c>
      <c r="D42" s="2241">
        <f t="shared" ref="D42:D50" si="0">SUMIF($A$24:$A$35,C42,$C$24:$D$35)</f>
        <v>0</v>
      </c>
      <c r="E42" s="2242"/>
      <c r="F42" s="2241">
        <f>SUMIF($A$24:$A$35,C42,$F$24:$G$35)</f>
        <v>0</v>
      </c>
      <c r="G42" s="2241">
        <f>SUMIF($A$24:$A$35,C42,$I$24:$J$35)</f>
        <v>0</v>
      </c>
      <c r="H42" s="2242"/>
      <c r="I42" s="2241">
        <f t="shared" ref="I42:I47" si="1">SUMIF($A$24:$A$35,C42,$L$24:$M$35)</f>
        <v>0</v>
      </c>
      <c r="J42" s="1675"/>
    </row>
    <row r="43" spans="1:18" x14ac:dyDescent="0.2">
      <c r="A43" s="1674"/>
      <c r="C43" s="2240" t="str">
        <v>Select GASB</v>
      </c>
      <c r="D43" s="2241">
        <f t="shared" si="0"/>
        <v>0</v>
      </c>
      <c r="E43" s="2242"/>
      <c r="F43" s="2241">
        <f t="shared" ref="F43:F51" si="2">SUMIF($A$24:$A$35,C43,$F$24:$G$35)</f>
        <v>0</v>
      </c>
      <c r="G43" s="2241">
        <f t="shared" ref="G43:G51" si="3">SUMIF($A$24:$A$35,C43,$I$24:$J$35)</f>
        <v>0</v>
      </c>
      <c r="H43" s="2242"/>
      <c r="I43" s="2241">
        <f t="shared" si="1"/>
        <v>0</v>
      </c>
      <c r="J43" s="1675"/>
    </row>
    <row r="44" spans="1:18" x14ac:dyDescent="0.2">
      <c r="A44" s="1674"/>
      <c r="C44" s="2240"/>
      <c r="D44" s="2241">
        <f t="shared" si="0"/>
        <v>0</v>
      </c>
      <c r="E44" s="2242"/>
      <c r="F44" s="2241">
        <f t="shared" si="2"/>
        <v>0</v>
      </c>
      <c r="G44" s="2241">
        <f t="shared" si="3"/>
        <v>0</v>
      </c>
      <c r="H44" s="2242"/>
      <c r="I44" s="2241">
        <f t="shared" si="1"/>
        <v>0</v>
      </c>
      <c r="J44" s="1675"/>
    </row>
    <row r="45" spans="1:18" x14ac:dyDescent="0.2">
      <c r="A45" s="1674"/>
      <c r="C45" s="2240"/>
      <c r="D45" s="2241">
        <f t="shared" si="0"/>
        <v>0</v>
      </c>
      <c r="E45" s="2242"/>
      <c r="F45" s="2241">
        <f t="shared" si="2"/>
        <v>0</v>
      </c>
      <c r="G45" s="2241">
        <f t="shared" si="3"/>
        <v>0</v>
      </c>
      <c r="H45" s="2242"/>
      <c r="I45" s="2241">
        <f t="shared" si="1"/>
        <v>0</v>
      </c>
      <c r="J45" s="1675"/>
    </row>
    <row r="46" spans="1:18" x14ac:dyDescent="0.2">
      <c r="A46" s="1674"/>
      <c r="C46" s="2240"/>
      <c r="D46" s="2241">
        <f t="shared" si="0"/>
        <v>0</v>
      </c>
      <c r="E46" s="2242"/>
      <c r="F46" s="2241">
        <f t="shared" si="2"/>
        <v>0</v>
      </c>
      <c r="G46" s="2241">
        <f t="shared" si="3"/>
        <v>0</v>
      </c>
      <c r="H46" s="2242"/>
      <c r="I46" s="2241">
        <f t="shared" si="1"/>
        <v>0</v>
      </c>
      <c r="J46" s="1675"/>
    </row>
    <row r="47" spans="1:18" x14ac:dyDescent="0.2">
      <c r="A47" s="1674"/>
      <c r="C47" s="2240"/>
      <c r="D47" s="2241">
        <f t="shared" si="0"/>
        <v>0</v>
      </c>
      <c r="E47" s="2242"/>
      <c r="F47" s="2241">
        <f t="shared" si="2"/>
        <v>0</v>
      </c>
      <c r="G47" s="2241">
        <f t="shared" si="3"/>
        <v>0</v>
      </c>
      <c r="H47" s="2242"/>
      <c r="I47" s="2241">
        <f t="shared" si="1"/>
        <v>0</v>
      </c>
      <c r="J47" s="1675"/>
    </row>
    <row r="48" spans="1:18" x14ac:dyDescent="0.2">
      <c r="A48" s="1674"/>
      <c r="C48" s="2240"/>
      <c r="D48" s="2241">
        <f t="shared" si="0"/>
        <v>0</v>
      </c>
      <c r="E48" s="2242"/>
      <c r="F48" s="2241">
        <f t="shared" si="2"/>
        <v>0</v>
      </c>
      <c r="G48" s="2241">
        <f t="shared" si="3"/>
        <v>0</v>
      </c>
      <c r="H48" s="2242"/>
      <c r="I48" s="2241">
        <f t="shared" ref="I48:I51" si="4">SUMIF($A$24:$A$35,C48,$L$24:$M$35)</f>
        <v>0</v>
      </c>
      <c r="J48" s="1675"/>
    </row>
    <row r="49" spans="1:18" x14ac:dyDescent="0.2">
      <c r="A49" s="1674"/>
      <c r="C49" s="2240"/>
      <c r="D49" s="2241">
        <f t="shared" si="0"/>
        <v>0</v>
      </c>
      <c r="E49" s="2242"/>
      <c r="F49" s="2241">
        <f t="shared" si="2"/>
        <v>0</v>
      </c>
      <c r="G49" s="2241">
        <f t="shared" si="3"/>
        <v>0</v>
      </c>
      <c r="H49" s="2242"/>
      <c r="I49" s="2241">
        <f t="shared" si="4"/>
        <v>0</v>
      </c>
      <c r="J49" s="1675"/>
    </row>
    <row r="50" spans="1:18" x14ac:dyDescent="0.2">
      <c r="A50" s="1674"/>
      <c r="C50" s="2240"/>
      <c r="D50" s="2241">
        <f t="shared" si="0"/>
        <v>0</v>
      </c>
      <c r="E50" s="2242"/>
      <c r="F50" s="2241">
        <f t="shared" si="2"/>
        <v>0</v>
      </c>
      <c r="G50" s="2241">
        <f t="shared" si="3"/>
        <v>0</v>
      </c>
      <c r="H50" s="2242"/>
      <c r="I50" s="2241">
        <f t="shared" si="4"/>
        <v>0</v>
      </c>
      <c r="J50" s="1675"/>
    </row>
    <row r="51" spans="1:18" x14ac:dyDescent="0.2">
      <c r="A51" s="1674"/>
      <c r="C51" s="2240"/>
      <c r="D51" s="2241">
        <f>SUMIF($A$24:$A$35,#REF!,$C$24:$D$35)</f>
        <v>0</v>
      </c>
      <c r="E51" s="2242"/>
      <c r="F51" s="2241">
        <f t="shared" si="2"/>
        <v>0</v>
      </c>
      <c r="G51" s="2241">
        <f t="shared" si="3"/>
        <v>0</v>
      </c>
      <c r="H51" s="2242"/>
      <c r="I51" s="2241">
        <f t="shared" si="4"/>
        <v>0</v>
      </c>
      <c r="J51" s="1675"/>
    </row>
    <row r="52" spans="1:18" x14ac:dyDescent="0.2">
      <c r="A52" s="1" t="s">
        <v>1725</v>
      </c>
      <c r="B52" s="138"/>
      <c r="C52" s="138"/>
      <c r="D52" s="138"/>
      <c r="E52" s="138"/>
      <c r="F52" s="138"/>
      <c r="G52" s="138"/>
      <c r="H52" s="138"/>
      <c r="I52" s="138"/>
      <c r="J52" s="138"/>
      <c r="K52" s="138"/>
      <c r="L52" s="138"/>
      <c r="M52" s="138"/>
      <c r="N52" s="138"/>
      <c r="O52" s="138"/>
      <c r="P52" s="138"/>
      <c r="Q52" s="138"/>
      <c r="R52" s="820"/>
    </row>
    <row r="53" spans="1:18" x14ac:dyDescent="0.2">
      <c r="A53" s="2835" t="s">
        <v>1726</v>
      </c>
      <c r="B53" s="2835"/>
      <c r="C53" s="2835"/>
      <c r="D53" s="2835"/>
      <c r="E53" s="2835"/>
      <c r="F53" s="2835"/>
      <c r="G53" s="2835"/>
      <c r="H53" s="2835"/>
      <c r="I53" s="2835"/>
      <c r="J53" s="2835"/>
      <c r="K53" s="2835"/>
      <c r="L53" s="2835"/>
      <c r="M53" s="2835"/>
      <c r="N53" s="2835"/>
      <c r="O53" s="2835"/>
      <c r="P53" s="2835"/>
      <c r="Q53" s="2836"/>
      <c r="R53" s="2836"/>
    </row>
    <row r="54" spans="1:18" ht="14.85" customHeight="1" x14ac:dyDescent="0.2">
      <c r="A54" s="2835" t="s">
        <v>1727</v>
      </c>
      <c r="B54" s="2836"/>
      <c r="C54" s="2836"/>
      <c r="D54" s="2836"/>
      <c r="E54" s="2836"/>
      <c r="F54" s="2836"/>
      <c r="G54" s="2836"/>
      <c r="H54" s="2836"/>
      <c r="I54" s="2836"/>
      <c r="J54" s="2836"/>
      <c r="K54" s="2836"/>
      <c r="L54" s="2836"/>
      <c r="M54" s="2836"/>
      <c r="N54" s="2836"/>
      <c r="O54" s="2836"/>
      <c r="P54" s="2836"/>
      <c r="Q54" s="2836"/>
      <c r="R54" s="2836"/>
    </row>
    <row r="55" spans="1:18" ht="14.85" customHeight="1" x14ac:dyDescent="0.2"/>
    <row r="56" spans="1:18" ht="14.85" customHeight="1" x14ac:dyDescent="0.2"/>
    <row r="57" spans="1:18" ht="14.85" customHeight="1" x14ac:dyDescent="0.2"/>
    <row r="58" spans="1:18" ht="14.85" customHeight="1" x14ac:dyDescent="0.2"/>
    <row r="59" spans="1:18" ht="14.85" customHeight="1" x14ac:dyDescent="0.2"/>
    <row r="60" spans="1:18" ht="14.85" customHeight="1" x14ac:dyDescent="0.2"/>
    <row r="62" spans="1:18" s="10" customFormat="1" x14ac:dyDescent="0.2">
      <c r="A62" s="138"/>
      <c r="B62" s="138"/>
      <c r="C62" s="138"/>
      <c r="D62" s="138"/>
      <c r="E62" s="138"/>
      <c r="F62" s="138"/>
      <c r="G62" s="138"/>
      <c r="H62" s="138"/>
      <c r="I62" s="138"/>
      <c r="J62" s="138"/>
      <c r="K62" s="138"/>
      <c r="L62" s="138"/>
      <c r="M62" s="138"/>
      <c r="N62" s="138"/>
      <c r="O62" s="138"/>
      <c r="P62" s="138"/>
      <c r="Q62" s="138"/>
      <c r="R62" s="138"/>
    </row>
  </sheetData>
  <sheetProtection autoFilter="0"/>
  <customSheetViews>
    <customSheetView guid="{9FCFC836-1CA5-48BF-958D-24D2EA94B219}" fitToPage="1" hiddenRows="1">
      <selection sqref="A1:R1"/>
      <pageMargins left="0" right="0" top="0" bottom="0" header="0" footer="0"/>
      <pageSetup scale="77" orientation="landscape" r:id="rId1"/>
      <headerFooter alignWithMargins="0">
        <oddFooter>&amp;R&amp;A</oddFooter>
      </headerFooter>
    </customSheetView>
    <customSheetView guid="{B08879A4-635B-4C39-9937-AC7883D562FC}" fitToPage="1" hiddenRows="1">
      <selection sqref="A1:R1"/>
      <pageMargins left="0" right="0" top="0" bottom="0" header="0" footer="0"/>
      <pageSetup scale="77" orientation="landscape" r:id="rId2"/>
      <headerFooter alignWithMargins="0">
        <oddFooter>&amp;R&amp;A</oddFooter>
      </headerFooter>
    </customSheetView>
  </customSheetViews>
  <mergeCells count="106">
    <mergeCell ref="C25:D25"/>
    <mergeCell ref="C32:D32"/>
    <mergeCell ref="F31:G31"/>
    <mergeCell ref="C35:D35"/>
    <mergeCell ref="C28:D28"/>
    <mergeCell ref="F32:G32"/>
    <mergeCell ref="C30:D30"/>
    <mergeCell ref="C29:D29"/>
    <mergeCell ref="F29:G29"/>
    <mergeCell ref="F30:G30"/>
    <mergeCell ref="F26:G26"/>
    <mergeCell ref="C26:D26"/>
    <mergeCell ref="C27:D27"/>
    <mergeCell ref="F27:G27"/>
    <mergeCell ref="A54:R54"/>
    <mergeCell ref="F36:G36"/>
    <mergeCell ref="I33:J33"/>
    <mergeCell ref="L35:M35"/>
    <mergeCell ref="I35:J35"/>
    <mergeCell ref="O37:R37"/>
    <mergeCell ref="I34:J34"/>
    <mergeCell ref="L34:M34"/>
    <mergeCell ref="L33:M33"/>
    <mergeCell ref="O35:R35"/>
    <mergeCell ref="O36:R36"/>
    <mergeCell ref="C34:D34"/>
    <mergeCell ref="A53:R53"/>
    <mergeCell ref="F34:G34"/>
    <mergeCell ref="F37:G37"/>
    <mergeCell ref="F35:G35"/>
    <mergeCell ref="I37:J37"/>
    <mergeCell ref="I36:J36"/>
    <mergeCell ref="L36:M36"/>
    <mergeCell ref="L37:M37"/>
    <mergeCell ref="C36:D36"/>
    <mergeCell ref="C37:D37"/>
    <mergeCell ref="C33:D33"/>
    <mergeCell ref="F33:G33"/>
    <mergeCell ref="I17:J17"/>
    <mergeCell ref="F17:G17"/>
    <mergeCell ref="C17:D17"/>
    <mergeCell ref="I18:J18"/>
    <mergeCell ref="L17:M17"/>
    <mergeCell ref="I30:J30"/>
    <mergeCell ref="I29:J29"/>
    <mergeCell ref="I31:J31"/>
    <mergeCell ref="I32:J32"/>
    <mergeCell ref="L29:M29"/>
    <mergeCell ref="L30:M30"/>
    <mergeCell ref="L26:M26"/>
    <mergeCell ref="L25:M25"/>
    <mergeCell ref="I28:J28"/>
    <mergeCell ref="I26:J26"/>
    <mergeCell ref="I25:J25"/>
    <mergeCell ref="L27:M27"/>
    <mergeCell ref="I27:J27"/>
    <mergeCell ref="L31:M31"/>
    <mergeCell ref="L32:M32"/>
    <mergeCell ref="L28:M28"/>
    <mergeCell ref="F28:G28"/>
    <mergeCell ref="C31:D31"/>
    <mergeCell ref="F25:G25"/>
    <mergeCell ref="F24:G24"/>
    <mergeCell ref="O23:R23"/>
    <mergeCell ref="F18:G18"/>
    <mergeCell ref="O22:R22"/>
    <mergeCell ref="O21:R21"/>
    <mergeCell ref="I24:J24"/>
    <mergeCell ref="L23:M23"/>
    <mergeCell ref="L24:M24"/>
    <mergeCell ref="C21:D21"/>
    <mergeCell ref="F21:G21"/>
    <mergeCell ref="I21:J21"/>
    <mergeCell ref="C24:D24"/>
    <mergeCell ref="L22:M22"/>
    <mergeCell ref="L21:M21"/>
    <mergeCell ref="I22:J22"/>
    <mergeCell ref="F22:G22"/>
    <mergeCell ref="C22:D22"/>
    <mergeCell ref="C16:D16"/>
    <mergeCell ref="S1:S3"/>
    <mergeCell ref="A1:R1"/>
    <mergeCell ref="D8:F8"/>
    <mergeCell ref="A2:R2"/>
    <mergeCell ref="A3:R3"/>
    <mergeCell ref="D6:F6"/>
    <mergeCell ref="L6:P6"/>
    <mergeCell ref="L7:P7"/>
    <mergeCell ref="L8:P8"/>
    <mergeCell ref="A4:R4"/>
    <mergeCell ref="R5:R7"/>
    <mergeCell ref="L16:M16"/>
    <mergeCell ref="F16:G16"/>
    <mergeCell ref="I16:J16"/>
    <mergeCell ref="O14:R14"/>
    <mergeCell ref="A12:R12"/>
    <mergeCell ref="O30:R30"/>
    <mergeCell ref="O31:R31"/>
    <mergeCell ref="O32:R32"/>
    <mergeCell ref="O33:R33"/>
    <mergeCell ref="O34:R34"/>
    <mergeCell ref="O25:R25"/>
    <mergeCell ref="O26:R26"/>
    <mergeCell ref="O27:R27"/>
    <mergeCell ref="O28:R28"/>
    <mergeCell ref="O29:R29"/>
  </mergeCells>
  <phoneticPr fontId="0" type="noConversion"/>
  <conditionalFormatting sqref="R5:R7">
    <cfRule type="cellIs" dxfId="82" priority="1" stopIfTrue="1" operator="equal">
      <formula>"na"</formula>
    </cfRule>
  </conditionalFormatting>
  <conditionalFormatting sqref="S1:S4">
    <cfRule type="cellIs" dxfId="81" priority="2" stopIfTrue="1" operator="equal">
      <formula>"na"</formula>
    </cfRule>
  </conditionalFormatting>
  <hyperlinks>
    <hyperlink ref="A1:R1" location="Index!A1" display="Index!A1" xr:uid="{00000000-0004-0000-2200-000000000000}"/>
  </hyperlinks>
  <pageMargins left="0.6" right="0.6" top="0.5" bottom="0.5" header="0.3" footer="0.3"/>
  <pageSetup scale="74" fitToHeight="0" orientation="landscape" r:id="rId3"/>
  <extLst>
    <ext xmlns:x14="http://schemas.microsoft.com/office/spreadsheetml/2009/9/main" uri="{CCE6A557-97BC-4b89-ADB6-D9C93CAAB3DF}">
      <x14:dataValidations xmlns:xm="http://schemas.microsoft.com/office/excel/2006/main" count="1">
        <x14:dataValidation type="list" allowBlank="1" showInputMessage="1" showErrorMessage="1" xr:uid="{7F974CCE-1149-4A88-ABF4-2150FA5C0877}">
          <x14:formula1>
            <xm:f>Notes!$J$13:$J$37</xm:f>
          </x14:formula1>
          <xm:sqref>A25:A35</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pageSetUpPr fitToPage="1"/>
  </sheetPr>
  <dimension ref="A1:S50"/>
  <sheetViews>
    <sheetView zoomScaleNormal="100" zoomScaleSheetLayoutView="100" workbookViewId="0">
      <selection activeCell="D8" sqref="D8:F8"/>
    </sheetView>
  </sheetViews>
  <sheetFormatPr defaultRowHeight="12.75" x14ac:dyDescent="0.2"/>
  <cols>
    <col min="2" max="2" width="0.5703125" customWidth="1"/>
    <col min="4" max="4" width="9.140625" customWidth="1"/>
    <col min="5" max="5" width="0.5703125" customWidth="1"/>
    <col min="7" max="7" width="12" customWidth="1"/>
    <col min="8" max="8" width="0.5703125" customWidth="1"/>
    <col min="10" max="10" width="14.42578125" customWidth="1"/>
    <col min="11" max="11" width="0.5703125" customWidth="1"/>
    <col min="13" max="13" width="13.140625" customWidth="1"/>
    <col min="14" max="14" width="0.5703125" customWidth="1"/>
    <col min="17" max="17" width="9.42578125" customWidth="1"/>
    <col min="18" max="18" width="28.28515625" customWidth="1"/>
    <col min="19" max="19" width="7.5703125" customWidth="1"/>
  </cols>
  <sheetData>
    <row r="1" spans="1:19" ht="15.75" x14ac:dyDescent="0.25">
      <c r="A1" s="2553" t="str">
        <f>+Index!$A$1</f>
        <v xml:space="preserve">                                                               Office of the State Controller                                                                </v>
      </c>
      <c r="B1" s="2553"/>
      <c r="C1" s="2553"/>
      <c r="D1" s="2553"/>
      <c r="E1" s="2553"/>
      <c r="F1" s="2553"/>
      <c r="G1" s="2553"/>
      <c r="H1" s="2553"/>
      <c r="I1" s="2553"/>
      <c r="J1" s="2553"/>
      <c r="K1" s="2553"/>
      <c r="L1" s="2553"/>
      <c r="M1" s="2553"/>
      <c r="N1" s="2553"/>
      <c r="O1" s="2553"/>
      <c r="P1" s="2553"/>
      <c r="Q1" s="2553"/>
      <c r="R1" s="2553"/>
      <c r="S1" s="2554" t="s">
        <v>50</v>
      </c>
    </row>
    <row r="2" spans="1:19" ht="15.75" x14ac:dyDescent="0.25">
      <c r="A2" s="2823" t="str">
        <f>+Index!$A$2</f>
        <v>2024 ACFR Worksheets</v>
      </c>
      <c r="B2" s="2823"/>
      <c r="C2" s="2823"/>
      <c r="D2" s="2823"/>
      <c r="E2" s="2823"/>
      <c r="F2" s="2823"/>
      <c r="G2" s="2823"/>
      <c r="H2" s="2823"/>
      <c r="I2" s="2823"/>
      <c r="J2" s="2823"/>
      <c r="K2" s="2823"/>
      <c r="L2" s="2823"/>
      <c r="M2" s="2823"/>
      <c r="N2" s="2823"/>
      <c r="O2" s="2823"/>
      <c r="P2" s="2823"/>
      <c r="Q2" s="2823"/>
      <c r="R2" s="2823"/>
      <c r="S2" s="2554"/>
    </row>
    <row r="3" spans="1:19" ht="15.75" x14ac:dyDescent="0.25">
      <c r="A3" s="2749" t="s">
        <v>1728</v>
      </c>
      <c r="B3" s="2749"/>
      <c r="C3" s="2749"/>
      <c r="D3" s="2749"/>
      <c r="E3" s="2749"/>
      <c r="F3" s="2749"/>
      <c r="G3" s="2749"/>
      <c r="H3" s="2749"/>
      <c r="I3" s="2749"/>
      <c r="J3" s="2749"/>
      <c r="K3" s="2749"/>
      <c r="L3" s="2749"/>
      <c r="M3" s="2749"/>
      <c r="N3" s="2749"/>
      <c r="O3" s="2749"/>
      <c r="P3" s="2749"/>
      <c r="Q3" s="2749"/>
      <c r="R3" s="2749"/>
      <c r="S3" s="2554"/>
    </row>
    <row r="4" spans="1:19" ht="15.75" x14ac:dyDescent="0.25">
      <c r="A4" s="2824" t="s">
        <v>1693</v>
      </c>
      <c r="B4" s="2749"/>
      <c r="C4" s="2749"/>
      <c r="D4" s="2749"/>
      <c r="E4" s="2749"/>
      <c r="F4" s="2749"/>
      <c r="G4" s="2749"/>
      <c r="H4" s="2749"/>
      <c r="I4" s="2749"/>
      <c r="J4" s="2749"/>
      <c r="K4" s="2749"/>
      <c r="L4" s="2749"/>
      <c r="M4" s="2749"/>
      <c r="N4" s="2749"/>
      <c r="O4" s="2749"/>
      <c r="P4" s="2749"/>
      <c r="Q4" s="2749"/>
      <c r="R4" s="2749"/>
      <c r="S4" s="2269"/>
    </row>
    <row r="5" spans="1:19" x14ac:dyDescent="0.2">
      <c r="A5" s="18"/>
      <c r="B5" s="18"/>
      <c r="C5" s="18"/>
      <c r="D5" s="18"/>
      <c r="E5" s="18"/>
      <c r="F5" s="18"/>
      <c r="G5" s="18"/>
      <c r="H5" s="18"/>
      <c r="I5" s="18"/>
      <c r="J5" s="18"/>
      <c r="K5" s="18"/>
      <c r="L5" s="18"/>
      <c r="M5" s="18"/>
      <c r="N5" s="18"/>
      <c r="O5" s="18"/>
      <c r="P5" s="18"/>
      <c r="Q5" s="18"/>
      <c r="R5" s="2554" t="str">
        <f>IF(Index!$B$62="na","NA","")</f>
        <v/>
      </c>
    </row>
    <row r="6" spans="1:19" x14ac:dyDescent="0.2">
      <c r="A6" s="2369" t="s">
        <v>318</v>
      </c>
      <c r="B6" s="814"/>
      <c r="C6" s="814"/>
      <c r="D6" s="2821" t="str">
        <f>+Index!$E$10</f>
        <v>01</v>
      </c>
      <c r="E6" s="2821"/>
      <c r="F6" s="2821"/>
      <c r="G6" s="814"/>
      <c r="H6" s="814"/>
      <c r="I6" s="814"/>
      <c r="J6" s="815" t="s">
        <v>319</v>
      </c>
      <c r="K6" s="128"/>
      <c r="L6" s="2596" t="str">
        <f>+Index!$E$11</f>
        <v>North Carolina General Assembly</v>
      </c>
      <c r="M6" s="2596"/>
      <c r="N6" s="2596"/>
      <c r="O6" s="2596"/>
      <c r="P6" s="2596"/>
      <c r="R6" s="2554"/>
    </row>
    <row r="7" spans="1:19" x14ac:dyDescent="0.2">
      <c r="A7" s="138"/>
      <c r="B7" s="814"/>
      <c r="C7" s="814"/>
      <c r="D7" s="814"/>
      <c r="E7" s="814"/>
      <c r="F7" s="814"/>
      <c r="G7" s="814"/>
      <c r="H7" s="814"/>
      <c r="I7" s="814"/>
      <c r="J7" s="815" t="s">
        <v>320</v>
      </c>
      <c r="K7" s="18"/>
      <c r="L7" s="2629" t="str">
        <f>CONCATENATE(Index!$E$12,"",Index!$E$14)</f>
        <v/>
      </c>
      <c r="M7" s="2629"/>
      <c r="N7" s="2629"/>
      <c r="O7" s="2629"/>
      <c r="P7" s="2629"/>
      <c r="R7" s="2554"/>
    </row>
    <row r="8" spans="1:19" x14ac:dyDescent="0.2">
      <c r="A8" s="814" t="s">
        <v>545</v>
      </c>
      <c r="B8" s="814"/>
      <c r="C8" s="814"/>
      <c r="D8" s="2845"/>
      <c r="E8" s="2733"/>
      <c r="F8" s="2733"/>
      <c r="G8" s="814"/>
      <c r="H8" s="814"/>
      <c r="I8" s="814"/>
      <c r="J8" s="815" t="s">
        <v>168</v>
      </c>
      <c r="K8" s="128"/>
      <c r="L8" s="2629">
        <f>+Index!$E$13</f>
        <v>0</v>
      </c>
      <c r="M8" s="2629"/>
      <c r="N8" s="2629"/>
      <c r="O8" s="2629"/>
      <c r="P8" s="2629"/>
    </row>
    <row r="9" spans="1:19" ht="13.5" thickBot="1" x14ac:dyDescent="0.25">
      <c r="A9" s="76"/>
      <c r="B9" s="76"/>
      <c r="C9" s="76"/>
      <c r="D9" s="76"/>
      <c r="E9" s="76"/>
      <c r="F9" s="76"/>
      <c r="G9" s="76"/>
      <c r="H9" s="76"/>
      <c r="I9" s="76"/>
      <c r="J9" s="76"/>
      <c r="K9" s="76"/>
      <c r="L9" s="76"/>
      <c r="M9" s="76"/>
      <c r="N9" s="76"/>
      <c r="O9" s="76"/>
      <c r="P9" s="76"/>
      <c r="Q9" s="76"/>
      <c r="R9" s="76"/>
    </row>
    <row r="10" spans="1:19" x14ac:dyDescent="0.2">
      <c r="A10" s="18"/>
      <c r="B10" s="18"/>
      <c r="C10" s="18"/>
      <c r="D10" s="18"/>
      <c r="E10" s="18"/>
      <c r="F10" s="18"/>
      <c r="G10" s="18"/>
      <c r="H10" s="18"/>
      <c r="I10" s="18"/>
      <c r="J10" s="18"/>
      <c r="K10" s="18"/>
      <c r="L10" s="18"/>
      <c r="M10" s="18"/>
      <c r="N10" s="18"/>
      <c r="O10" s="18"/>
      <c r="P10" s="18"/>
      <c r="Q10" s="18"/>
      <c r="R10" s="18"/>
    </row>
    <row r="11" spans="1:19" x14ac:dyDescent="0.2">
      <c r="A11" s="2846" t="s">
        <v>1729</v>
      </c>
      <c r="B11" s="2846"/>
      <c r="C11" s="2846"/>
      <c r="D11" s="2846"/>
      <c r="E11" s="2846"/>
      <c r="F11" s="2846"/>
      <c r="G11" s="2846"/>
      <c r="H11" s="2846"/>
      <c r="I11" s="2846"/>
      <c r="J11" s="2846"/>
      <c r="K11" s="2846"/>
      <c r="L11" s="2846"/>
      <c r="M11" s="2846"/>
      <c r="N11" s="2846"/>
      <c r="O11" s="2846"/>
      <c r="P11" s="2846"/>
      <c r="Q11" s="2846"/>
      <c r="R11" s="814"/>
    </row>
    <row r="12" spans="1:19" x14ac:dyDescent="0.2">
      <c r="A12" s="2846" t="s">
        <v>1730</v>
      </c>
      <c r="B12" s="2846"/>
      <c r="C12" s="2846"/>
      <c r="D12" s="2846"/>
      <c r="E12" s="2846"/>
      <c r="F12" s="2846"/>
      <c r="G12" s="2846"/>
      <c r="H12" s="2846"/>
      <c r="I12" s="2846"/>
      <c r="J12" s="2846"/>
      <c r="K12" s="2846"/>
      <c r="L12" s="2846"/>
      <c r="M12" s="2846"/>
      <c r="N12" s="2846"/>
      <c r="O12" s="2846"/>
      <c r="P12" s="2846"/>
      <c r="Q12" s="2846"/>
      <c r="R12" s="814"/>
    </row>
    <row r="13" spans="1:19" x14ac:dyDescent="0.2">
      <c r="A13" s="814"/>
      <c r="B13" s="814"/>
      <c r="C13" s="814"/>
      <c r="D13" s="814"/>
      <c r="E13" s="814"/>
      <c r="F13" s="814"/>
      <c r="G13" s="814"/>
      <c r="H13" s="814"/>
      <c r="I13" s="814"/>
      <c r="J13" s="814"/>
      <c r="K13" s="814"/>
      <c r="L13" s="814"/>
      <c r="M13" s="814"/>
      <c r="N13" s="814"/>
      <c r="O13" s="814"/>
      <c r="P13" s="814"/>
      <c r="Q13" s="814"/>
      <c r="R13" s="814"/>
    </row>
    <row r="14" spans="1:19" ht="11.1" customHeight="1" x14ac:dyDescent="0.2">
      <c r="A14" s="814"/>
      <c r="B14" s="814"/>
      <c r="C14" s="814"/>
      <c r="D14" s="814"/>
      <c r="E14" s="814"/>
      <c r="F14" s="814"/>
      <c r="G14" s="814"/>
      <c r="H14" s="814"/>
      <c r="I14" s="814"/>
      <c r="J14" s="814"/>
      <c r="K14" s="814"/>
      <c r="L14" s="814"/>
      <c r="M14" s="814"/>
      <c r="N14" s="814"/>
      <c r="O14" s="814"/>
      <c r="P14" s="814"/>
      <c r="Q14" s="814"/>
      <c r="R14" s="814"/>
    </row>
    <row r="15" spans="1:19" ht="14.85" customHeight="1" x14ac:dyDescent="0.2">
      <c r="A15" s="2369" t="s">
        <v>1731</v>
      </c>
      <c r="B15" s="819"/>
      <c r="C15" s="2367"/>
      <c r="D15" s="2367"/>
      <c r="E15" s="819"/>
      <c r="F15" s="2367"/>
      <c r="G15" s="2367"/>
      <c r="H15" s="2357"/>
      <c r="I15" s="2367"/>
      <c r="J15" s="2367"/>
      <c r="K15" s="814"/>
      <c r="L15" s="2367"/>
      <c r="M15" s="2367"/>
      <c r="N15" s="814"/>
      <c r="O15" s="2366"/>
      <c r="P15" s="2366"/>
      <c r="Q15" s="2366"/>
      <c r="R15" s="2366"/>
    </row>
    <row r="16" spans="1:19" ht="14.25" customHeight="1" x14ac:dyDescent="0.2">
      <c r="A16" s="819"/>
      <c r="B16" s="819"/>
      <c r="C16" s="2843"/>
      <c r="D16" s="2843"/>
      <c r="E16" s="819"/>
      <c r="F16" s="2843"/>
      <c r="G16" s="2843"/>
      <c r="H16" s="2357"/>
      <c r="I16" s="2843"/>
      <c r="J16" s="2843"/>
      <c r="K16" s="814"/>
      <c r="L16" s="2843"/>
      <c r="M16" s="2843"/>
      <c r="N16" s="814"/>
      <c r="O16" s="2829" t="s">
        <v>1732</v>
      </c>
      <c r="P16" s="2829"/>
      <c r="Q16" s="2829"/>
      <c r="R16" s="2829"/>
    </row>
    <row r="17" spans="1:18" x14ac:dyDescent="0.2">
      <c r="A17" s="814"/>
      <c r="B17" s="814"/>
      <c r="C17" s="2820" t="s">
        <v>1573</v>
      </c>
      <c r="D17" s="2820"/>
      <c r="E17" s="814"/>
      <c r="F17" s="2820" t="s">
        <v>1733</v>
      </c>
      <c r="G17" s="2820"/>
      <c r="H17" s="814"/>
      <c r="I17" s="2820" t="s">
        <v>1734</v>
      </c>
      <c r="J17" s="2820"/>
      <c r="K17" s="814"/>
      <c r="L17" s="2820"/>
      <c r="M17" s="2820"/>
      <c r="N17" s="814"/>
      <c r="O17" s="814"/>
      <c r="P17" s="814"/>
      <c r="Q17" s="814"/>
      <c r="R17" s="814"/>
    </row>
    <row r="18" spans="1:18" ht="14.25" customHeight="1" x14ac:dyDescent="0.2">
      <c r="A18" s="814"/>
      <c r="B18" s="814"/>
      <c r="C18" s="2821" t="s">
        <v>1700</v>
      </c>
      <c r="D18" s="2821"/>
      <c r="E18" s="814"/>
      <c r="F18" s="2821" t="s">
        <v>1735</v>
      </c>
      <c r="G18" s="2821"/>
      <c r="H18" s="814"/>
      <c r="I18" s="2821" t="s">
        <v>1735</v>
      </c>
      <c r="J18" s="2821"/>
      <c r="K18" s="814"/>
      <c r="L18" s="2821" t="s">
        <v>1703</v>
      </c>
      <c r="M18" s="2821"/>
      <c r="N18" s="814"/>
      <c r="O18" s="814"/>
      <c r="P18" s="814"/>
      <c r="Q18" s="814"/>
      <c r="R18" s="814"/>
    </row>
    <row r="19" spans="1:18" ht="12.75" hidden="1" customHeight="1" x14ac:dyDescent="0.2">
      <c r="A19" s="814"/>
      <c r="B19" s="814"/>
      <c r="C19" s="138"/>
      <c r="D19" s="138"/>
      <c r="E19" s="814"/>
      <c r="F19" s="2821" t="s">
        <v>50</v>
      </c>
      <c r="G19" s="2821"/>
      <c r="H19" s="814"/>
      <c r="I19" s="2821" t="s">
        <v>50</v>
      </c>
      <c r="J19" s="2821"/>
      <c r="K19" s="814"/>
      <c r="L19" s="138"/>
      <c r="M19" s="138"/>
      <c r="N19" s="814"/>
      <c r="O19" s="814"/>
      <c r="P19" s="814"/>
      <c r="Q19" s="814"/>
      <c r="R19" s="814"/>
    </row>
    <row r="20" spans="1:18" ht="13.5" hidden="1" customHeight="1" thickBot="1" x14ac:dyDescent="0.25">
      <c r="A20" s="814"/>
      <c r="B20" s="814"/>
      <c r="C20" s="816" t="s">
        <v>50</v>
      </c>
      <c r="D20" s="816" t="s">
        <v>50</v>
      </c>
      <c r="E20" s="814"/>
      <c r="F20" s="816" t="s">
        <v>50</v>
      </c>
      <c r="G20" s="816"/>
      <c r="H20" s="814"/>
      <c r="I20" s="816" t="s">
        <v>50</v>
      </c>
      <c r="J20" s="816"/>
      <c r="K20" s="814"/>
      <c r="L20" s="816" t="s">
        <v>50</v>
      </c>
      <c r="M20" s="816"/>
      <c r="N20" s="814"/>
      <c r="O20" s="814"/>
      <c r="P20" s="814"/>
      <c r="Q20" s="814"/>
      <c r="R20" s="814"/>
    </row>
    <row r="21" spans="1:18" ht="12.75" hidden="1" customHeight="1" x14ac:dyDescent="0.2">
      <c r="A21" s="814"/>
      <c r="B21" s="814"/>
      <c r="C21" s="817"/>
      <c r="D21" s="817"/>
      <c r="E21" s="814"/>
      <c r="F21" s="817"/>
      <c r="G21" s="817"/>
      <c r="H21" s="814"/>
      <c r="I21" s="817"/>
      <c r="J21" s="817"/>
      <c r="K21" s="814"/>
      <c r="L21" s="817"/>
      <c r="M21" s="817"/>
      <c r="N21" s="814"/>
      <c r="O21" s="814"/>
      <c r="P21" s="814"/>
      <c r="Q21" s="814"/>
      <c r="R21" s="814"/>
    </row>
    <row r="22" spans="1:18" x14ac:dyDescent="0.2">
      <c r="A22" s="2357" t="s">
        <v>1573</v>
      </c>
      <c r="B22" s="2357"/>
      <c r="C22" s="2831" t="s">
        <v>1705</v>
      </c>
      <c r="D22" s="2831"/>
      <c r="E22" s="2357"/>
      <c r="F22" s="2831" t="s">
        <v>1704</v>
      </c>
      <c r="G22" s="2831"/>
      <c r="H22" s="2357"/>
      <c r="I22" s="2831" t="s">
        <v>1704</v>
      </c>
      <c r="J22" s="2831"/>
      <c r="K22" s="2357"/>
      <c r="L22" s="2831" t="s">
        <v>1705</v>
      </c>
      <c r="M22" s="2831"/>
      <c r="N22" s="2357"/>
      <c r="O22" s="2849" t="s">
        <v>1706</v>
      </c>
      <c r="P22" s="2849"/>
      <c r="Q22" s="2849"/>
      <c r="R22" s="2849"/>
    </row>
    <row r="23" spans="1:18" x14ac:dyDescent="0.2">
      <c r="A23" s="2357" t="s">
        <v>1707</v>
      </c>
      <c r="B23" s="2357"/>
      <c r="C23" s="2833">
        <v>45108</v>
      </c>
      <c r="D23" s="2833"/>
      <c r="E23" s="2357"/>
      <c r="F23" s="2833">
        <v>45108</v>
      </c>
      <c r="G23" s="2833"/>
      <c r="H23" s="2357"/>
      <c r="I23" s="2833">
        <v>45108</v>
      </c>
      <c r="J23" s="2833"/>
      <c r="K23" s="2357"/>
      <c r="L23" s="2833">
        <v>45108</v>
      </c>
      <c r="M23" s="2833"/>
      <c r="N23" s="2357"/>
      <c r="O23" s="2849" t="s">
        <v>1736</v>
      </c>
      <c r="P23" s="2849"/>
      <c r="Q23" s="2849"/>
      <c r="R23" s="2849"/>
    </row>
    <row r="24" spans="1:18" x14ac:dyDescent="0.2">
      <c r="A24" s="2358" t="s">
        <v>1709</v>
      </c>
      <c r="B24" s="2357"/>
      <c r="C24" s="818" t="s">
        <v>1710</v>
      </c>
      <c r="D24" s="818"/>
      <c r="E24" s="2357"/>
      <c r="F24" s="818" t="s">
        <v>1711</v>
      </c>
      <c r="G24" s="818"/>
      <c r="H24" s="2357"/>
      <c r="I24" s="818" t="s">
        <v>1711</v>
      </c>
      <c r="J24" s="818"/>
      <c r="K24" s="2357"/>
      <c r="L24" s="2820" t="s">
        <v>1710</v>
      </c>
      <c r="M24" s="2820"/>
      <c r="N24" s="2357"/>
      <c r="O24" s="2821" t="s">
        <v>1712</v>
      </c>
      <c r="P24" s="2821"/>
      <c r="Q24" s="2821"/>
      <c r="R24" s="2821"/>
    </row>
    <row r="25" spans="1:18" ht="14.85" customHeight="1" x14ac:dyDescent="0.2">
      <c r="A25" s="2074" t="s">
        <v>50</v>
      </c>
      <c r="B25" s="819"/>
      <c r="C25" s="2830" t="s">
        <v>50</v>
      </c>
      <c r="D25" s="2830"/>
      <c r="E25" s="2357"/>
      <c r="F25" s="2827">
        <v>0</v>
      </c>
      <c r="G25" s="2827"/>
      <c r="H25" s="2357"/>
      <c r="I25" s="2847" t="s">
        <v>50</v>
      </c>
      <c r="J25" s="2847"/>
      <c r="K25" s="814"/>
      <c r="L25" s="2847"/>
      <c r="M25" s="2847"/>
      <c r="N25" s="814"/>
      <c r="O25" s="2848" t="s">
        <v>1713</v>
      </c>
      <c r="P25" s="2848"/>
      <c r="Q25" s="2848"/>
      <c r="R25" s="2848"/>
    </row>
    <row r="26" spans="1:18" ht="14.85" customHeight="1" x14ac:dyDescent="0.2">
      <c r="A26" s="2368"/>
      <c r="B26" s="819"/>
      <c r="C26" s="2827"/>
      <c r="D26" s="2827"/>
      <c r="E26" s="2357"/>
      <c r="F26" s="2850"/>
      <c r="G26" s="2850"/>
      <c r="H26" s="2357"/>
      <c r="I26" s="2827"/>
      <c r="J26" s="2827"/>
      <c r="K26" s="814"/>
      <c r="L26" s="2834"/>
      <c r="M26" s="2834"/>
      <c r="N26" s="814"/>
      <c r="O26" s="2840"/>
      <c r="P26" s="2840"/>
      <c r="Q26" s="2840"/>
      <c r="R26" s="2840"/>
    </row>
    <row r="27" spans="1:18" ht="14.85" customHeight="1" x14ac:dyDescent="0.2">
      <c r="A27" s="2368"/>
      <c r="B27" s="819"/>
      <c r="C27" s="2827"/>
      <c r="D27" s="2827"/>
      <c r="E27" s="819"/>
      <c r="F27" s="2834"/>
      <c r="G27" s="2834"/>
      <c r="H27" s="1796"/>
      <c r="I27" s="2834"/>
      <c r="J27" s="2834"/>
      <c r="K27" s="814"/>
      <c r="L27" s="2834"/>
      <c r="M27" s="2834"/>
      <c r="N27" s="814"/>
      <c r="O27" s="2840" t="s">
        <v>50</v>
      </c>
      <c r="P27" s="2840"/>
      <c r="Q27" s="2840"/>
      <c r="R27" s="2840"/>
    </row>
    <row r="28" spans="1:18" ht="14.85" customHeight="1" x14ac:dyDescent="0.2">
      <c r="A28" s="2368"/>
      <c r="B28" s="819"/>
      <c r="C28" s="2827"/>
      <c r="D28" s="2827"/>
      <c r="E28" s="819"/>
      <c r="F28" s="2834"/>
      <c r="G28" s="2834"/>
      <c r="H28" s="1796"/>
      <c r="I28" s="2834"/>
      <c r="J28" s="2834"/>
      <c r="K28" s="814"/>
      <c r="L28" s="2834"/>
      <c r="M28" s="2834"/>
      <c r="N28" s="814"/>
      <c r="O28" s="2840" t="s">
        <v>50</v>
      </c>
      <c r="P28" s="2840"/>
      <c r="Q28" s="2840"/>
      <c r="R28" s="2840"/>
    </row>
    <row r="29" spans="1:18" ht="14.85" customHeight="1" x14ac:dyDescent="0.2">
      <c r="A29" s="2368"/>
      <c r="B29" s="819"/>
      <c r="C29" s="2827"/>
      <c r="D29" s="2827"/>
      <c r="E29" s="819"/>
      <c r="F29" s="2834"/>
      <c r="G29" s="2834"/>
      <c r="H29" s="1796"/>
      <c r="I29" s="2834"/>
      <c r="J29" s="2834"/>
      <c r="K29" s="814"/>
      <c r="L29" s="2834"/>
      <c r="M29" s="2834"/>
      <c r="N29" s="814"/>
      <c r="O29" s="2840" t="s">
        <v>50</v>
      </c>
      <c r="P29" s="2840"/>
      <c r="Q29" s="2840"/>
      <c r="R29" s="2840"/>
    </row>
    <row r="30" spans="1:18" ht="14.85" customHeight="1" x14ac:dyDescent="0.2">
      <c r="A30" s="2368"/>
      <c r="B30" s="819"/>
      <c r="C30" s="2827"/>
      <c r="D30" s="2827"/>
      <c r="E30" s="819"/>
      <c r="F30" s="2827"/>
      <c r="G30" s="2827"/>
      <c r="H30" s="1796"/>
      <c r="I30" s="2834"/>
      <c r="J30" s="2834"/>
      <c r="K30" s="814"/>
      <c r="L30" s="2827"/>
      <c r="M30" s="2827"/>
      <c r="N30" s="814"/>
      <c r="O30" s="2840" t="s">
        <v>50</v>
      </c>
      <c r="P30" s="2840"/>
      <c r="Q30" s="2840"/>
      <c r="R30" s="2840"/>
    </row>
    <row r="31" spans="1:18" ht="14.85" customHeight="1" x14ac:dyDescent="0.2">
      <c r="A31" s="2368"/>
      <c r="B31" s="819"/>
      <c r="C31" s="2827"/>
      <c r="D31" s="2827"/>
      <c r="E31" s="819"/>
      <c r="F31" s="2827"/>
      <c r="G31" s="2827"/>
      <c r="H31" s="2357"/>
      <c r="I31" s="2827"/>
      <c r="J31" s="2827"/>
      <c r="K31" s="814"/>
      <c r="L31" s="2827"/>
      <c r="M31" s="2827"/>
      <c r="N31" s="814"/>
      <c r="O31" s="2840"/>
      <c r="P31" s="2840"/>
      <c r="Q31" s="2840"/>
      <c r="R31" s="2840"/>
    </row>
    <row r="32" spans="1:18" ht="14.85" customHeight="1" x14ac:dyDescent="0.2">
      <c r="A32" s="2368"/>
      <c r="B32" s="819"/>
      <c r="C32" s="2827" t="s">
        <v>50</v>
      </c>
      <c r="D32" s="2827"/>
      <c r="E32" s="819"/>
      <c r="F32" s="2827"/>
      <c r="G32" s="2827"/>
      <c r="H32" s="2357"/>
      <c r="I32" s="2827"/>
      <c r="J32" s="2827"/>
      <c r="K32" s="814"/>
      <c r="L32" s="2827" t="s">
        <v>50</v>
      </c>
      <c r="M32" s="2827"/>
      <c r="N32" s="814"/>
      <c r="O32" s="2840" t="s">
        <v>50</v>
      </c>
      <c r="P32" s="2840"/>
      <c r="Q32" s="2840"/>
      <c r="R32" s="2840"/>
    </row>
    <row r="33" spans="1:18" ht="14.85" customHeight="1" x14ac:dyDescent="0.2">
      <c r="A33" s="2368"/>
      <c r="B33" s="819"/>
      <c r="C33" s="2827"/>
      <c r="D33" s="2827"/>
      <c r="E33" s="819"/>
      <c r="F33" s="2827">
        <v>0</v>
      </c>
      <c r="G33" s="2827"/>
      <c r="H33" s="2357"/>
      <c r="I33" s="2827">
        <v>0</v>
      </c>
      <c r="J33" s="2827"/>
      <c r="K33" s="814"/>
      <c r="L33" s="2827"/>
      <c r="M33" s="2827"/>
      <c r="N33" s="814"/>
      <c r="O33" s="2840"/>
      <c r="P33" s="2840"/>
      <c r="Q33" s="2840"/>
      <c r="R33" s="2840"/>
    </row>
    <row r="34" spans="1:18" ht="14.85" customHeight="1" x14ac:dyDescent="0.2">
      <c r="A34" s="2368"/>
      <c r="B34" s="819"/>
      <c r="C34" s="2827"/>
      <c r="D34" s="2827"/>
      <c r="E34" s="819"/>
      <c r="F34" s="2827"/>
      <c r="G34" s="2827"/>
      <c r="H34" s="2357"/>
      <c r="I34" s="2827"/>
      <c r="J34" s="2827"/>
      <c r="K34" s="814"/>
      <c r="L34" s="2827"/>
      <c r="M34" s="2827"/>
      <c r="N34" s="814"/>
      <c r="O34" s="2840"/>
      <c r="P34" s="2840"/>
      <c r="Q34" s="2840"/>
      <c r="R34" s="2840"/>
    </row>
    <row r="35" spans="1:18" ht="14.85" customHeight="1" x14ac:dyDescent="0.2">
      <c r="A35" s="2368"/>
      <c r="B35" s="819"/>
      <c r="C35" s="2827"/>
      <c r="D35" s="2827"/>
      <c r="E35" s="819"/>
      <c r="F35" s="2827"/>
      <c r="G35" s="2827"/>
      <c r="H35" s="2357"/>
      <c r="I35" s="2827"/>
      <c r="J35" s="2827"/>
      <c r="K35" s="814"/>
      <c r="L35" s="2827"/>
      <c r="M35" s="2827"/>
      <c r="N35" s="814"/>
      <c r="O35" s="2840"/>
      <c r="P35" s="2840"/>
      <c r="Q35" s="2840"/>
      <c r="R35" s="2840"/>
    </row>
    <row r="36" spans="1:18" ht="4.5" customHeight="1" x14ac:dyDescent="0.2">
      <c r="A36" s="2357"/>
      <c r="B36" s="2357"/>
      <c r="C36" s="2851"/>
      <c r="D36" s="2851"/>
      <c r="E36" s="2357"/>
      <c r="F36" s="2851"/>
      <c r="G36" s="2851"/>
      <c r="H36" s="2357"/>
      <c r="I36" s="2851"/>
      <c r="J36" s="2851"/>
      <c r="K36" s="814"/>
      <c r="L36" s="2851"/>
      <c r="M36" s="2851"/>
      <c r="N36" s="814"/>
      <c r="O36" s="814"/>
      <c r="P36" s="814"/>
      <c r="Q36" s="814"/>
      <c r="R36" s="814"/>
    </row>
    <row r="37" spans="1:18" ht="14.85" customHeight="1" x14ac:dyDescent="0.2">
      <c r="A37" s="2357" t="s">
        <v>1737</v>
      </c>
      <c r="B37" s="819"/>
      <c r="C37" s="2844">
        <f>SUM(C25:D35)</f>
        <v>0</v>
      </c>
      <c r="D37" s="2844"/>
      <c r="E37" s="835"/>
      <c r="F37" s="2844">
        <f>SUM(F25:G35)</f>
        <v>0</v>
      </c>
      <c r="G37" s="2844"/>
      <c r="H37" s="836"/>
      <c r="I37" s="2844">
        <f>SUM(I25:J35)</f>
        <v>0</v>
      </c>
      <c r="J37" s="2844"/>
      <c r="K37" s="837"/>
      <c r="L37" s="2844">
        <f>SUM(L25:M35)</f>
        <v>0</v>
      </c>
      <c r="M37" s="2844"/>
      <c r="N37" s="814"/>
      <c r="O37" s="2366"/>
      <c r="P37" s="2366"/>
      <c r="Q37" s="2366"/>
      <c r="R37" s="2366"/>
    </row>
    <row r="38" spans="1:18" ht="14.85" customHeight="1" x14ac:dyDescent="0.2">
      <c r="F38" s="845"/>
      <c r="G38" s="1674" t="str">
        <f>IF(F37=(SUM('201'!F44,-'210'!I34)),"","ERROR*")</f>
        <v/>
      </c>
      <c r="I38" s="845"/>
      <c r="J38" s="1676" t="str">
        <f>IF(I37=(-SUM('310'!G17:G43)),"","ERROR**")</f>
        <v/>
      </c>
    </row>
    <row r="39" spans="1:18" ht="14.85" customHeight="1" x14ac:dyDescent="0.2">
      <c r="A39" s="819" t="s">
        <v>50</v>
      </c>
      <c r="B39" s="819"/>
      <c r="M39" s="814"/>
      <c r="N39" s="814"/>
      <c r="O39" s="2366"/>
      <c r="P39" s="2366"/>
      <c r="Q39" s="2366"/>
      <c r="R39" s="2366"/>
    </row>
    <row r="40" spans="1:18" ht="14.85" customHeight="1" thickBot="1" x14ac:dyDescent="0.25">
      <c r="A40" s="819"/>
      <c r="B40" s="819"/>
      <c r="C40" s="2837">
        <f>F37+I37+L37</f>
        <v>0</v>
      </c>
      <c r="D40" s="2837"/>
      <c r="E40" s="819"/>
      <c r="F40" s="2372" t="s">
        <v>1738</v>
      </c>
      <c r="G40" s="2372"/>
      <c r="H40" s="1677"/>
      <c r="I40" s="2372"/>
      <c r="J40" s="2372"/>
      <c r="K40" s="2372"/>
      <c r="L40" s="2372"/>
      <c r="M40" s="814"/>
      <c r="N40" s="814"/>
      <c r="O40" s="814"/>
      <c r="P40" s="814"/>
      <c r="Q40" s="814"/>
      <c r="R40" s="2366"/>
    </row>
    <row r="41" spans="1:18" ht="14.85" customHeight="1" thickTop="1" x14ac:dyDescent="0.2">
      <c r="A41" s="819"/>
      <c r="B41" s="819"/>
      <c r="C41" s="2367"/>
      <c r="D41" s="2367"/>
      <c r="E41" s="819"/>
      <c r="F41" s="2367"/>
      <c r="G41" s="2367"/>
      <c r="H41" s="2357"/>
      <c r="I41" s="2367"/>
      <c r="J41" s="2367"/>
      <c r="K41" s="814"/>
      <c r="L41" s="2367"/>
      <c r="M41" s="2367"/>
      <c r="N41" s="814"/>
      <c r="O41" s="2366"/>
      <c r="P41" s="2366"/>
      <c r="Q41" s="2366"/>
      <c r="R41" s="2366"/>
    </row>
    <row r="42" spans="1:18" ht="14.85" customHeight="1" x14ac:dyDescent="0.2">
      <c r="A42" s="1678" t="str">
        <f>IF(G38="ERROR*","ERROR*: Fund Equity Restatements listed above for Capital Assets does not equal the sum of the adjustments shown on worksheet 201 and 210.","")</f>
        <v/>
      </c>
      <c r="B42" s="819"/>
      <c r="C42" s="2367"/>
      <c r="D42" s="2367"/>
      <c r="E42" s="819"/>
      <c r="F42" s="2367"/>
      <c r="G42" s="2367"/>
      <c r="H42" s="2357"/>
      <c r="I42" s="2367"/>
      <c r="J42" s="2367"/>
      <c r="K42" s="814"/>
      <c r="L42" s="2367"/>
      <c r="M42" s="2367"/>
      <c r="N42" s="814"/>
      <c r="O42" s="2366"/>
      <c r="P42" s="2366"/>
      <c r="Q42" s="2366"/>
      <c r="R42" s="2366"/>
    </row>
    <row r="43" spans="1:18" x14ac:dyDescent="0.2">
      <c r="A43" s="1678" t="str">
        <f>IF(J38="ERROR**","ERROR**: Fund Equity Restatements listed above for Long Term/Short Term Transactions does not equal the sum of the adjustments shown on worksheet 310.","")</f>
        <v/>
      </c>
      <c r="B43" s="819"/>
      <c r="D43" s="2206"/>
      <c r="E43" s="1"/>
      <c r="F43" s="205"/>
      <c r="G43" s="1"/>
      <c r="H43" s="1"/>
      <c r="I43" s="1"/>
      <c r="J43" s="2367"/>
      <c r="K43" s="814"/>
      <c r="L43" s="2367"/>
      <c r="M43" s="2367"/>
      <c r="N43" s="814"/>
      <c r="O43" s="2366"/>
      <c r="P43" s="2366"/>
      <c r="Q43" s="2366"/>
      <c r="R43" s="2366"/>
    </row>
    <row r="44" spans="1:18" ht="14.85" customHeight="1" x14ac:dyDescent="0.2">
      <c r="A44" s="819"/>
      <c r="B44" s="819"/>
      <c r="C44" s="2843"/>
      <c r="D44" s="2843"/>
      <c r="E44" s="819"/>
      <c r="F44" s="2843"/>
      <c r="G44" s="2843"/>
      <c r="H44" s="2357"/>
      <c r="I44" s="2843"/>
      <c r="J44" s="2843"/>
      <c r="K44" s="814"/>
      <c r="L44" s="2843"/>
      <c r="M44" s="2843"/>
      <c r="N44" s="814"/>
      <c r="O44" s="2842"/>
      <c r="P44" s="2842"/>
      <c r="Q44" s="2842"/>
      <c r="R44" s="2842"/>
    </row>
    <row r="45" spans="1:18" x14ac:dyDescent="0.2">
      <c r="A45" s="138" t="s">
        <v>1725</v>
      </c>
      <c r="B45" s="138"/>
      <c r="C45" s="138"/>
      <c r="D45" s="138"/>
      <c r="E45" s="138"/>
      <c r="F45" s="138"/>
      <c r="G45" s="138"/>
      <c r="H45" s="138"/>
      <c r="I45" s="138"/>
      <c r="J45" s="138"/>
      <c r="K45" s="138"/>
      <c r="L45" s="138"/>
      <c r="M45" s="138"/>
      <c r="N45" s="138"/>
      <c r="O45" s="138"/>
      <c r="P45" s="138"/>
      <c r="Q45" s="138"/>
      <c r="R45" s="820"/>
    </row>
    <row r="46" spans="1:18" x14ac:dyDescent="0.2">
      <c r="A46" s="2841" t="s">
        <v>1739</v>
      </c>
      <c r="B46" s="2841"/>
      <c r="C46" s="2841"/>
      <c r="D46" s="2841"/>
      <c r="E46" s="2841"/>
      <c r="F46" s="2841"/>
      <c r="G46" s="2841"/>
      <c r="H46" s="2841"/>
      <c r="I46" s="2841"/>
      <c r="J46" s="2841"/>
      <c r="K46" s="2841"/>
      <c r="L46" s="2841"/>
      <c r="M46" s="2841"/>
      <c r="N46" s="2841"/>
      <c r="O46" s="2841"/>
      <c r="P46" s="2841"/>
      <c r="Q46" s="2841"/>
      <c r="R46" s="2841"/>
    </row>
    <row r="47" spans="1:18" x14ac:dyDescent="0.2">
      <c r="A47" s="2841" t="s">
        <v>1740</v>
      </c>
      <c r="B47" s="2841"/>
      <c r="C47" s="2841"/>
      <c r="D47" s="2841"/>
      <c r="E47" s="2841"/>
      <c r="F47" s="2841"/>
      <c r="G47" s="2841"/>
      <c r="H47" s="2841"/>
      <c r="I47" s="2841"/>
      <c r="J47" s="2841"/>
      <c r="K47" s="2841"/>
      <c r="L47" s="2841"/>
      <c r="M47" s="2841"/>
      <c r="N47" s="2841"/>
      <c r="O47" s="2841"/>
      <c r="P47" s="2841"/>
      <c r="Q47" s="2841"/>
      <c r="R47" s="2841"/>
    </row>
    <row r="48" spans="1:18" x14ac:dyDescent="0.2">
      <c r="A48" s="2365"/>
    </row>
    <row r="49" spans="1:1" x14ac:dyDescent="0.2">
      <c r="A49" s="2365"/>
    </row>
    <row r="50" spans="1:1" x14ac:dyDescent="0.2">
      <c r="A50" s="138"/>
    </row>
  </sheetData>
  <sheetProtection algorithmName="SHA-512" hashValue="SroP/A9Ze1pKuEfnjkAuHeFfEX7aYdn/zlYbQsJOaZ6wKum2vBlQEr1YAh7K72vkYtxfKS3oGWI2Yb63NB6GwQ==" saltValue="Kmo6NGeg8zZR4Fc65y4duw==" spinCount="100000" sheet="1" autoFilter="0"/>
  <mergeCells count="111">
    <mergeCell ref="C35:D35"/>
    <mergeCell ref="F35:G35"/>
    <mergeCell ref="I35:J35"/>
    <mergeCell ref="L35:M35"/>
    <mergeCell ref="O35:R35"/>
    <mergeCell ref="C40:D40"/>
    <mergeCell ref="C37:D37"/>
    <mergeCell ref="C33:D33"/>
    <mergeCell ref="F33:G33"/>
    <mergeCell ref="I33:J33"/>
    <mergeCell ref="L33:M33"/>
    <mergeCell ref="O33:R33"/>
    <mergeCell ref="C34:D34"/>
    <mergeCell ref="F34:G34"/>
    <mergeCell ref="I34:J34"/>
    <mergeCell ref="L34:M34"/>
    <mergeCell ref="O34:R34"/>
    <mergeCell ref="C36:D36"/>
    <mergeCell ref="F36:G36"/>
    <mergeCell ref="I36:J36"/>
    <mergeCell ref="L36:M36"/>
    <mergeCell ref="O28:R28"/>
    <mergeCell ref="C29:D29"/>
    <mergeCell ref="F29:G29"/>
    <mergeCell ref="I29:J29"/>
    <mergeCell ref="L29:M29"/>
    <mergeCell ref="O29:R29"/>
    <mergeCell ref="C31:D31"/>
    <mergeCell ref="F31:G31"/>
    <mergeCell ref="I31:J31"/>
    <mergeCell ref="L31:M31"/>
    <mergeCell ref="O31:R31"/>
    <mergeCell ref="C28:D28"/>
    <mergeCell ref="F28:G28"/>
    <mergeCell ref="C18:D18"/>
    <mergeCell ref="F18:G18"/>
    <mergeCell ref="I18:J18"/>
    <mergeCell ref="L18:M18"/>
    <mergeCell ref="F19:G19"/>
    <mergeCell ref="I19:J19"/>
    <mergeCell ref="L24:M24"/>
    <mergeCell ref="C27:D27"/>
    <mergeCell ref="F27:G27"/>
    <mergeCell ref="I27:J27"/>
    <mergeCell ref="L27:M27"/>
    <mergeCell ref="C26:D26"/>
    <mergeCell ref="F26:G26"/>
    <mergeCell ref="I26:J26"/>
    <mergeCell ref="L26:M26"/>
    <mergeCell ref="O24:R24"/>
    <mergeCell ref="C25:D25"/>
    <mergeCell ref="F25:G25"/>
    <mergeCell ref="I25:J25"/>
    <mergeCell ref="L25:M25"/>
    <mergeCell ref="O25:R25"/>
    <mergeCell ref="C22:D22"/>
    <mergeCell ref="F22:G22"/>
    <mergeCell ref="I22:J22"/>
    <mergeCell ref="L22:M22"/>
    <mergeCell ref="C23:D23"/>
    <mergeCell ref="F23:G23"/>
    <mergeCell ref="I23:J23"/>
    <mergeCell ref="L23:M23"/>
    <mergeCell ref="O22:R22"/>
    <mergeCell ref="O23:R23"/>
    <mergeCell ref="S1:S3"/>
    <mergeCell ref="A2:R2"/>
    <mergeCell ref="A3:R3"/>
    <mergeCell ref="D6:F6"/>
    <mergeCell ref="L6:P6"/>
    <mergeCell ref="L7:P7"/>
    <mergeCell ref="A4:R4"/>
    <mergeCell ref="O16:R16"/>
    <mergeCell ref="C17:D17"/>
    <mergeCell ref="F17:G17"/>
    <mergeCell ref="I17:J17"/>
    <mergeCell ref="L17:M17"/>
    <mergeCell ref="C16:D16"/>
    <mergeCell ref="F16:G16"/>
    <mergeCell ref="I16:J16"/>
    <mergeCell ref="L16:M16"/>
    <mergeCell ref="R5:R7"/>
    <mergeCell ref="A1:R1"/>
    <mergeCell ref="D8:F8"/>
    <mergeCell ref="L8:P8"/>
    <mergeCell ref="A11:Q11"/>
    <mergeCell ref="A12:Q12"/>
    <mergeCell ref="O26:R26"/>
    <mergeCell ref="O27:R27"/>
    <mergeCell ref="C32:D32"/>
    <mergeCell ref="F32:G32"/>
    <mergeCell ref="A47:R47"/>
    <mergeCell ref="A46:R46"/>
    <mergeCell ref="O44:R44"/>
    <mergeCell ref="L44:M44"/>
    <mergeCell ref="I44:J44"/>
    <mergeCell ref="F44:G44"/>
    <mergeCell ref="C44:D44"/>
    <mergeCell ref="F37:G37"/>
    <mergeCell ref="I37:J37"/>
    <mergeCell ref="L37:M37"/>
    <mergeCell ref="I32:J32"/>
    <mergeCell ref="L32:M32"/>
    <mergeCell ref="O32:R32"/>
    <mergeCell ref="C30:D30"/>
    <mergeCell ref="F30:G30"/>
    <mergeCell ref="I30:J30"/>
    <mergeCell ref="L30:M30"/>
    <mergeCell ref="O30:R30"/>
    <mergeCell ref="I28:J28"/>
    <mergeCell ref="L28:M28"/>
  </mergeCells>
  <conditionalFormatting sqref="R5:R7">
    <cfRule type="cellIs" dxfId="80" priority="1" stopIfTrue="1" operator="equal">
      <formula>"na"</formula>
    </cfRule>
  </conditionalFormatting>
  <conditionalFormatting sqref="S1:S4">
    <cfRule type="cellIs" dxfId="79" priority="2" stopIfTrue="1" operator="equal">
      <formula>"na"</formula>
    </cfRule>
  </conditionalFormatting>
  <hyperlinks>
    <hyperlink ref="A1:Q1" location="Index!A1" display="Index!A1" xr:uid="{00000000-0004-0000-2300-000000000000}"/>
  </hyperlinks>
  <pageMargins left="0.6" right="0.6" top="0.5" bottom="0.5" header="0.3" footer="0.3"/>
  <pageSetup scale="83"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1BD44-D1F0-45EF-8827-D5490C0DEC55}">
  <sheetPr codeName="Sheet95"/>
  <dimension ref="A1:U35"/>
  <sheetViews>
    <sheetView zoomScale="90" zoomScaleNormal="90" workbookViewId="0">
      <selection activeCell="C15" sqref="C15:J16"/>
    </sheetView>
  </sheetViews>
  <sheetFormatPr defaultColWidth="9.140625" defaultRowHeight="12.75" x14ac:dyDescent="0.2"/>
  <cols>
    <col min="1" max="1" width="9.5703125" customWidth="1"/>
    <col min="2" max="2" width="0.5703125" customWidth="1"/>
    <col min="3" max="3" width="9.42578125" customWidth="1"/>
    <col min="5" max="5" width="0.5703125" customWidth="1"/>
    <col min="7" max="7" width="0.5703125" customWidth="1"/>
    <col min="8" max="8" width="12" customWidth="1"/>
    <col min="9" max="9" width="0.5703125" customWidth="1"/>
    <col min="10" max="10" width="13.28515625" customWidth="1"/>
    <col min="11" max="11" width="0.5703125" customWidth="1"/>
    <col min="12" max="12" width="16" customWidth="1"/>
    <col min="13" max="13" width="0.5703125" customWidth="1"/>
    <col min="15" max="15" width="11" customWidth="1"/>
    <col min="16" max="16" width="0.5703125" customWidth="1"/>
    <col min="18" max="18" width="9.5703125" customWidth="1"/>
    <col min="19" max="19" width="4.7109375" customWidth="1"/>
    <col min="20" max="20" width="21.7109375" customWidth="1"/>
    <col min="21" max="21" width="11.85546875" customWidth="1"/>
  </cols>
  <sheetData>
    <row r="1" spans="1:21" ht="15.75" x14ac:dyDescent="0.25">
      <c r="A1" s="2553" t="str">
        <f>+Index!$A$1</f>
        <v xml:space="preserve">                                                               Office of the State Controller                                                                </v>
      </c>
      <c r="B1" s="2553"/>
      <c r="C1" s="2553"/>
      <c r="D1" s="2553"/>
      <c r="E1" s="2553"/>
      <c r="F1" s="2553"/>
      <c r="G1" s="2553"/>
      <c r="H1" s="2553"/>
      <c r="I1" s="2553"/>
      <c r="J1" s="2553"/>
      <c r="K1" s="2553"/>
      <c r="L1" s="2553"/>
      <c r="M1" s="2553"/>
      <c r="N1" s="2553"/>
      <c r="O1" s="2553"/>
      <c r="P1" s="2553"/>
      <c r="Q1" s="2553"/>
      <c r="R1" s="2553"/>
      <c r="S1" s="2553"/>
      <c r="T1" s="2553"/>
      <c r="U1" s="2554"/>
    </row>
    <row r="2" spans="1:21" ht="15.75" x14ac:dyDescent="0.25">
      <c r="A2" s="2823" t="str">
        <f>+Index!$A$2</f>
        <v>2024 ACFR Worksheets</v>
      </c>
      <c r="B2" s="2823"/>
      <c r="C2" s="2823"/>
      <c r="D2" s="2823"/>
      <c r="E2" s="2823"/>
      <c r="F2" s="2823"/>
      <c r="G2" s="2823"/>
      <c r="H2" s="2823"/>
      <c r="I2" s="2823"/>
      <c r="J2" s="2823"/>
      <c r="K2" s="2823"/>
      <c r="L2" s="2823"/>
      <c r="M2" s="2823"/>
      <c r="N2" s="2823"/>
      <c r="O2" s="2823"/>
      <c r="P2" s="2823"/>
      <c r="Q2" s="2823"/>
      <c r="R2" s="2823"/>
      <c r="S2" s="2823"/>
      <c r="T2" s="2823"/>
      <c r="U2" s="2554"/>
    </row>
    <row r="3" spans="1:21" ht="15.75" x14ac:dyDescent="0.25">
      <c r="A3" s="2749" t="s">
        <v>1741</v>
      </c>
      <c r="B3" s="2749"/>
      <c r="C3" s="2749"/>
      <c r="D3" s="2749"/>
      <c r="E3" s="2749"/>
      <c r="F3" s="2749"/>
      <c r="G3" s="2749"/>
      <c r="H3" s="2749"/>
      <c r="I3" s="2749"/>
      <c r="J3" s="2749"/>
      <c r="K3" s="2749"/>
      <c r="L3" s="2749"/>
      <c r="M3" s="2749"/>
      <c r="N3" s="2749"/>
      <c r="O3" s="2749"/>
      <c r="P3" s="2749"/>
      <c r="Q3" s="2749"/>
      <c r="R3" s="2749"/>
      <c r="S3" s="2749"/>
      <c r="T3" s="2749"/>
      <c r="U3" s="2554"/>
    </row>
    <row r="4" spans="1:21" ht="15.75" x14ac:dyDescent="0.25">
      <c r="A4" s="2824" t="s">
        <v>1742</v>
      </c>
      <c r="B4" s="2749"/>
      <c r="C4" s="2749"/>
      <c r="D4" s="2749"/>
      <c r="E4" s="2749"/>
      <c r="F4" s="2749"/>
      <c r="G4" s="2749"/>
      <c r="H4" s="2749"/>
      <c r="I4" s="2749"/>
      <c r="J4" s="2749"/>
      <c r="K4" s="2749"/>
      <c r="L4" s="2749"/>
      <c r="M4" s="2749"/>
      <c r="N4" s="2749"/>
      <c r="O4" s="2749"/>
      <c r="P4" s="2749"/>
      <c r="Q4" s="2749"/>
      <c r="R4" s="2749"/>
      <c r="S4" s="2749"/>
      <c r="T4" s="2749"/>
      <c r="U4" s="2269"/>
    </row>
    <row r="5" spans="1:21" ht="12.75" customHeight="1" x14ac:dyDescent="0.2">
      <c r="A5" s="18"/>
      <c r="B5" s="18"/>
      <c r="C5" s="18"/>
      <c r="D5" s="18"/>
      <c r="E5" s="18"/>
      <c r="F5" s="18"/>
      <c r="G5" s="18"/>
      <c r="H5" s="18"/>
      <c r="I5" s="18"/>
      <c r="J5" s="18"/>
      <c r="K5" s="18"/>
      <c r="L5" s="18"/>
      <c r="M5" s="18"/>
      <c r="N5" s="18"/>
      <c r="O5" s="18"/>
      <c r="P5" s="18"/>
      <c r="Q5" s="18"/>
      <c r="R5" s="18"/>
      <c r="T5" s="1231" t="s">
        <v>1604</v>
      </c>
    </row>
    <row r="6" spans="1:21" ht="12.75" customHeight="1" x14ac:dyDescent="0.2">
      <c r="A6" s="2369" t="s">
        <v>318</v>
      </c>
      <c r="B6" s="814"/>
      <c r="C6" s="814"/>
      <c r="D6" s="2821" t="str">
        <f>+Index!$E$10</f>
        <v>01</v>
      </c>
      <c r="E6" s="2821"/>
      <c r="F6" s="2821"/>
      <c r="G6" s="2357"/>
      <c r="H6" s="814"/>
      <c r="I6" s="814"/>
      <c r="J6" s="814"/>
      <c r="K6" s="814"/>
      <c r="L6" s="815" t="s">
        <v>319</v>
      </c>
      <c r="M6" s="128"/>
      <c r="N6" s="2596" t="str">
        <f>+Index!$E$11</f>
        <v>North Carolina General Assembly</v>
      </c>
      <c r="O6" s="2596"/>
      <c r="P6" s="2596"/>
      <c r="Q6" s="2596"/>
      <c r="R6" s="2596"/>
      <c r="T6" s="2554" t="str">
        <f>IF(Index!$B$63="na","NA","")</f>
        <v/>
      </c>
    </row>
    <row r="7" spans="1:21" ht="12.75" customHeight="1" x14ac:dyDescent="0.2">
      <c r="A7" s="138"/>
      <c r="B7" s="814"/>
      <c r="C7" s="814"/>
      <c r="D7" s="814"/>
      <c r="E7" s="814"/>
      <c r="F7" s="814"/>
      <c r="G7" s="814"/>
      <c r="H7" s="814"/>
      <c r="I7" s="814"/>
      <c r="J7" s="814"/>
      <c r="K7" s="814"/>
      <c r="L7" s="815" t="s">
        <v>320</v>
      </c>
      <c r="M7" s="18"/>
      <c r="N7" s="2629" t="str">
        <f>CONCATENATE(Index!$E$12,"",Index!$E$14)</f>
        <v/>
      </c>
      <c r="O7" s="2629"/>
      <c r="P7" s="2629"/>
      <c r="Q7" s="2629"/>
      <c r="R7" s="2629"/>
      <c r="T7" s="2554"/>
    </row>
    <row r="8" spans="1:21" x14ac:dyDescent="0.2">
      <c r="A8" s="814" t="s">
        <v>545</v>
      </c>
      <c r="B8" s="814"/>
      <c r="C8" s="814"/>
      <c r="D8" s="2845"/>
      <c r="E8" s="2733"/>
      <c r="F8" s="2733"/>
      <c r="G8" s="2398"/>
      <c r="H8" s="814"/>
      <c r="I8" s="814"/>
      <c r="J8" s="814"/>
      <c r="K8" s="814"/>
      <c r="L8" s="815" t="s">
        <v>168</v>
      </c>
      <c r="M8" s="128"/>
      <c r="N8" s="2629">
        <f>+Index!$E$13</f>
        <v>0</v>
      </c>
      <c r="O8" s="2629"/>
      <c r="P8" s="2629"/>
      <c r="Q8" s="2629"/>
      <c r="R8" s="2629"/>
      <c r="T8" s="2554"/>
    </row>
    <row r="9" spans="1:21" ht="13.5" thickBot="1" x14ac:dyDescent="0.25">
      <c r="A9" s="76"/>
      <c r="B9" s="76"/>
      <c r="C9" s="76"/>
      <c r="D9" s="76"/>
      <c r="E9" s="76"/>
      <c r="F9" s="76"/>
      <c r="G9" s="76"/>
      <c r="H9" s="76"/>
      <c r="I9" s="76"/>
      <c r="J9" s="76"/>
      <c r="K9" s="76"/>
      <c r="L9" s="76"/>
      <c r="M9" s="76"/>
      <c r="N9" s="76"/>
      <c r="O9" s="76"/>
      <c r="P9" s="76"/>
      <c r="Q9" s="76"/>
      <c r="R9" s="76"/>
      <c r="S9" s="76"/>
      <c r="T9" s="76"/>
    </row>
    <row r="10" spans="1:21" x14ac:dyDescent="0.2">
      <c r="A10" s="18"/>
      <c r="B10" s="18"/>
      <c r="C10" s="18"/>
      <c r="D10" s="18"/>
      <c r="E10" s="18"/>
      <c r="F10" s="18"/>
      <c r="G10" s="18"/>
      <c r="H10" s="18"/>
      <c r="I10" s="18"/>
      <c r="J10" s="18"/>
      <c r="K10" s="18"/>
      <c r="L10" s="18"/>
      <c r="M10" s="18"/>
      <c r="N10" s="18"/>
      <c r="O10" s="18"/>
      <c r="P10" s="18"/>
      <c r="Q10" s="18"/>
      <c r="R10" s="18"/>
      <c r="S10" s="18"/>
      <c r="T10" s="18"/>
    </row>
    <row r="11" spans="1:21" x14ac:dyDescent="0.2">
      <c r="A11" s="2846" t="s">
        <v>1743</v>
      </c>
      <c r="B11" s="2846"/>
      <c r="C11" s="2846"/>
      <c r="D11" s="2846"/>
      <c r="E11" s="2846"/>
      <c r="F11" s="2846"/>
      <c r="G11" s="2846"/>
      <c r="H11" s="2846"/>
      <c r="I11" s="2846"/>
      <c r="J11" s="2846"/>
      <c r="K11" s="814"/>
      <c r="L11" s="814"/>
      <c r="M11" s="814"/>
      <c r="N11" s="814"/>
      <c r="O11" s="814"/>
      <c r="P11" s="814"/>
      <c r="Q11" s="814"/>
      <c r="R11" s="814"/>
      <c r="S11" s="814"/>
      <c r="T11" s="814"/>
    </row>
    <row r="12" spans="1:21" x14ac:dyDescent="0.2">
      <c r="A12" s="814"/>
      <c r="B12" s="814"/>
      <c r="C12" s="814"/>
      <c r="D12" s="814"/>
      <c r="E12" s="814"/>
      <c r="F12" s="814"/>
      <c r="G12" s="814"/>
      <c r="H12" s="814"/>
      <c r="I12" s="814"/>
      <c r="J12" s="814"/>
      <c r="K12" s="814"/>
      <c r="L12" s="814"/>
      <c r="M12" s="814"/>
      <c r="N12" s="814"/>
      <c r="O12" s="814"/>
      <c r="P12" s="814"/>
      <c r="Q12" s="814"/>
      <c r="R12" s="814"/>
      <c r="S12" s="814"/>
      <c r="T12" s="814"/>
    </row>
    <row r="13" spans="1:21" ht="14.85" customHeight="1" x14ac:dyDescent="0.25">
      <c r="A13" s="2369" t="s">
        <v>1744</v>
      </c>
      <c r="B13" s="819"/>
      <c r="C13" s="2367"/>
      <c r="D13" s="2367"/>
      <c r="E13" s="819"/>
      <c r="F13" s="2367"/>
      <c r="G13" s="2367"/>
      <c r="H13" s="2367"/>
      <c r="I13" s="2357"/>
      <c r="J13" s="2367"/>
      <c r="K13" s="2367"/>
      <c r="L13" s="2367"/>
      <c r="M13" s="814"/>
      <c r="N13" s="2157" t="s">
        <v>1732</v>
      </c>
      <c r="O13" s="2157"/>
      <c r="P13" s="2157"/>
      <c r="Q13" s="2157"/>
      <c r="R13" s="2158"/>
      <c r="S13" s="2158"/>
      <c r="T13" s="2158"/>
    </row>
    <row r="14" spans="1:21" ht="14.25" customHeight="1" x14ac:dyDescent="0.2">
      <c r="A14" s="819"/>
      <c r="B14" s="819"/>
      <c r="C14" s="2843"/>
      <c r="D14" s="2843"/>
      <c r="E14" s="819"/>
      <c r="F14" s="2367"/>
      <c r="G14" s="2367"/>
      <c r="H14" s="2367"/>
      <c r="I14" s="2357"/>
      <c r="J14" s="2367"/>
      <c r="K14" s="2367"/>
      <c r="L14" s="2367"/>
      <c r="M14" s="814"/>
      <c r="N14" s="2843"/>
      <c r="O14" s="2843"/>
      <c r="P14" s="814"/>
      <c r="Q14" s="2366"/>
      <c r="R14" s="2366"/>
      <c r="S14" s="2366"/>
      <c r="T14" s="2366"/>
    </row>
    <row r="15" spans="1:21" x14ac:dyDescent="0.2">
      <c r="A15" s="814"/>
      <c r="B15" s="814"/>
      <c r="C15" s="2820" t="s">
        <v>1573</v>
      </c>
      <c r="D15" s="2820"/>
      <c r="E15" s="2820"/>
      <c r="F15" s="2820"/>
      <c r="G15" s="814"/>
      <c r="H15" s="814"/>
      <c r="I15" s="814"/>
      <c r="J15" s="814"/>
      <c r="K15" s="814"/>
      <c r="L15" s="814"/>
      <c r="M15" s="814"/>
      <c r="N15" s="2820"/>
      <c r="O15" s="2820"/>
      <c r="P15" s="814"/>
      <c r="Q15" s="814"/>
      <c r="R15" s="814"/>
      <c r="S15" s="814"/>
      <c r="T15" s="814"/>
    </row>
    <row r="16" spans="1:21" ht="14.25" customHeight="1" x14ac:dyDescent="0.2">
      <c r="A16" s="814"/>
      <c r="B16" s="814"/>
      <c r="C16" s="2821" t="s">
        <v>1700</v>
      </c>
      <c r="D16" s="2821"/>
      <c r="E16" s="2821"/>
      <c r="F16" s="2821"/>
      <c r="G16" s="1225"/>
      <c r="H16" s="2821" t="s">
        <v>1703</v>
      </c>
      <c r="I16" s="2821"/>
      <c r="J16" s="2821"/>
      <c r="K16" s="2358"/>
      <c r="L16" s="1225"/>
      <c r="M16" s="1225"/>
      <c r="N16" s="2821"/>
      <c r="O16" s="2821"/>
      <c r="P16" s="1225"/>
      <c r="Q16" s="1225"/>
      <c r="R16" s="1225"/>
      <c r="S16" s="1225"/>
      <c r="T16" s="1225"/>
    </row>
    <row r="17" spans="1:20" ht="12.75" hidden="1" customHeight="1" x14ac:dyDescent="0.2">
      <c r="A17" s="814"/>
      <c r="B17" s="814"/>
      <c r="C17" s="138"/>
      <c r="D17" s="138"/>
      <c r="E17" s="814"/>
      <c r="F17" s="1225"/>
      <c r="G17" s="2370"/>
      <c r="H17" s="138"/>
      <c r="I17" s="138"/>
      <c r="J17" s="2370"/>
      <c r="K17" s="2370"/>
      <c r="L17" s="1225"/>
      <c r="M17" s="814"/>
      <c r="N17" s="138"/>
      <c r="O17" s="138"/>
      <c r="P17" s="814"/>
      <c r="Q17" s="814"/>
      <c r="R17" s="814"/>
      <c r="S17" s="814"/>
      <c r="T17" s="814"/>
    </row>
    <row r="18" spans="1:20" ht="13.5" hidden="1" customHeight="1" thickBot="1" x14ac:dyDescent="0.25">
      <c r="A18" s="814"/>
      <c r="B18" s="814"/>
      <c r="C18" s="816" t="s">
        <v>50</v>
      </c>
      <c r="D18" s="816" t="s">
        <v>50</v>
      </c>
      <c r="E18" s="814"/>
      <c r="F18" s="1224"/>
      <c r="G18" s="1224"/>
      <c r="H18" s="816" t="s">
        <v>50</v>
      </c>
      <c r="I18" s="816"/>
      <c r="J18" s="1224"/>
      <c r="K18" s="1224"/>
      <c r="L18" s="1224"/>
      <c r="M18" s="814"/>
      <c r="N18" s="816"/>
      <c r="O18" s="816"/>
      <c r="P18" s="814"/>
      <c r="Q18" s="814"/>
      <c r="R18" s="814"/>
      <c r="S18" s="814"/>
      <c r="T18" s="814"/>
    </row>
    <row r="19" spans="1:20" ht="12.75" hidden="1" customHeight="1" x14ac:dyDescent="0.2">
      <c r="A19" s="814"/>
      <c r="B19" s="814"/>
      <c r="C19" s="817"/>
      <c r="D19" s="817"/>
      <c r="E19" s="814"/>
      <c r="F19" s="2357"/>
      <c r="G19" s="2357"/>
      <c r="H19" s="817"/>
      <c r="I19" s="817"/>
      <c r="J19" s="2357"/>
      <c r="K19" s="2357"/>
      <c r="L19" s="2357"/>
      <c r="M19" s="814"/>
      <c r="N19" s="817"/>
      <c r="O19" s="817"/>
      <c r="P19" s="814"/>
      <c r="Q19" s="814"/>
      <c r="R19" s="814"/>
      <c r="S19" s="814"/>
      <c r="T19" s="814"/>
    </row>
    <row r="20" spans="1:20" ht="63.75" customHeight="1" x14ac:dyDescent="0.2">
      <c r="A20" s="2357" t="s">
        <v>1573</v>
      </c>
      <c r="B20" s="2357"/>
      <c r="C20" s="2831" t="s">
        <v>1705</v>
      </c>
      <c r="D20" s="2831"/>
      <c r="E20" s="2831"/>
      <c r="F20" s="2831"/>
      <c r="G20" s="1226"/>
      <c r="H20" s="2831" t="s">
        <v>1705</v>
      </c>
      <c r="I20" s="2831"/>
      <c r="J20" s="2831"/>
      <c r="K20" s="2362"/>
      <c r="L20" s="2855" t="s">
        <v>1745</v>
      </c>
      <c r="M20" s="2855"/>
      <c r="N20" s="2855"/>
      <c r="O20" s="2855"/>
      <c r="P20" s="2855"/>
      <c r="Q20" s="2855"/>
      <c r="R20" s="2855"/>
      <c r="S20" s="2855"/>
      <c r="T20" s="2855"/>
    </row>
    <row r="21" spans="1:20" x14ac:dyDescent="0.2">
      <c r="A21" s="2357" t="s">
        <v>1707</v>
      </c>
      <c r="B21" s="2357"/>
      <c r="C21" s="2833">
        <v>45108</v>
      </c>
      <c r="D21" s="2833"/>
      <c r="E21" s="2833"/>
      <c r="F21" s="2833"/>
      <c r="G21" s="1227"/>
      <c r="H21" s="2833">
        <v>45108</v>
      </c>
      <c r="I21" s="2833"/>
      <c r="J21" s="2833"/>
      <c r="K21" s="2363"/>
      <c r="L21" s="2856" t="s">
        <v>1746</v>
      </c>
      <c r="M21" s="2856"/>
      <c r="N21" s="2856"/>
      <c r="O21" s="2856"/>
      <c r="P21" s="2856"/>
      <c r="Q21" s="2856"/>
      <c r="R21" s="2856"/>
      <c r="S21" s="2856"/>
      <c r="T21" s="2856"/>
    </row>
    <row r="22" spans="1:20" x14ac:dyDescent="0.2">
      <c r="A22" s="2358" t="s">
        <v>1709</v>
      </c>
      <c r="B22" s="2357"/>
      <c r="C22" s="2821" t="s">
        <v>1710</v>
      </c>
      <c r="D22" s="2821"/>
      <c r="E22" s="2821"/>
      <c r="F22" s="2821"/>
      <c r="G22" s="2357"/>
      <c r="H22" s="2821" t="s">
        <v>1710</v>
      </c>
      <c r="I22" s="2821"/>
      <c r="J22" s="2821"/>
      <c r="K22" s="2358"/>
      <c r="L22" s="2858" t="s">
        <v>1712</v>
      </c>
      <c r="M22" s="2858"/>
      <c r="N22" s="2858"/>
      <c r="O22" s="2858"/>
      <c r="P22" s="2858"/>
      <c r="Q22" s="2858"/>
      <c r="R22" s="2858"/>
      <c r="S22" s="2858"/>
      <c r="T22" s="2858"/>
    </row>
    <row r="23" spans="1:20" ht="14.85" customHeight="1" x14ac:dyDescent="0.2">
      <c r="A23" s="2074" t="s">
        <v>50</v>
      </c>
      <c r="B23" s="2367"/>
      <c r="C23" s="2832" t="s">
        <v>50</v>
      </c>
      <c r="D23" s="2832"/>
      <c r="E23" s="2832"/>
      <c r="F23" s="2832"/>
      <c r="G23" s="2367"/>
      <c r="H23" s="2852"/>
      <c r="I23" s="2852"/>
      <c r="J23" s="2852"/>
      <c r="K23" s="814"/>
      <c r="L23" s="2859" t="s">
        <v>1713</v>
      </c>
      <c r="M23" s="2859"/>
      <c r="N23" s="2859"/>
      <c r="O23" s="2859"/>
      <c r="P23" s="2859"/>
      <c r="Q23" s="2859"/>
      <c r="R23" s="2859"/>
      <c r="S23" s="2859"/>
      <c r="T23" s="2859"/>
    </row>
    <row r="24" spans="1:20" ht="14.85" customHeight="1" x14ac:dyDescent="0.2">
      <c r="A24" s="2368"/>
      <c r="B24" s="819"/>
      <c r="C24" s="2852" t="s">
        <v>50</v>
      </c>
      <c r="D24" s="2852"/>
      <c r="E24" s="2852"/>
      <c r="F24" s="2852"/>
      <c r="G24" s="2367"/>
      <c r="H24" s="2852"/>
      <c r="I24" s="2852"/>
      <c r="J24" s="2852"/>
      <c r="K24" s="814"/>
      <c r="L24" s="2819"/>
      <c r="M24" s="2819"/>
      <c r="N24" s="2819"/>
      <c r="O24" s="2819"/>
      <c r="P24" s="2819"/>
      <c r="Q24" s="2819"/>
      <c r="R24" s="2819"/>
      <c r="S24" s="2819"/>
      <c r="T24" s="2819"/>
    </row>
    <row r="25" spans="1:20" ht="14.85" customHeight="1" x14ac:dyDescent="0.2">
      <c r="A25" s="2368"/>
      <c r="B25" s="819"/>
      <c r="C25" s="2852" t="s">
        <v>50</v>
      </c>
      <c r="D25" s="2852"/>
      <c r="E25" s="2852"/>
      <c r="F25" s="2852"/>
      <c r="G25" s="2367"/>
      <c r="H25" s="2852"/>
      <c r="I25" s="2852"/>
      <c r="J25" s="2852"/>
      <c r="K25" s="1228"/>
      <c r="L25" s="2819" t="s">
        <v>50</v>
      </c>
      <c r="M25" s="2819"/>
      <c r="N25" s="2819"/>
      <c r="O25" s="2819"/>
      <c r="P25" s="2819"/>
      <c r="Q25" s="2819"/>
      <c r="R25" s="2819"/>
      <c r="S25" s="2819"/>
      <c r="T25" s="2819"/>
    </row>
    <row r="26" spans="1:20" ht="14.85" customHeight="1" x14ac:dyDescent="0.2">
      <c r="A26" s="2368"/>
      <c r="B26" s="819"/>
      <c r="C26" s="2852"/>
      <c r="D26" s="2852"/>
      <c r="E26" s="2852"/>
      <c r="F26" s="2852"/>
      <c r="G26" s="2367"/>
      <c r="H26" s="2852"/>
      <c r="I26" s="2852"/>
      <c r="J26" s="2852"/>
      <c r="K26" s="1228"/>
      <c r="L26" s="2819" t="s">
        <v>50</v>
      </c>
      <c r="M26" s="2819"/>
      <c r="N26" s="2819"/>
      <c r="O26" s="2819"/>
      <c r="P26" s="2819"/>
      <c r="Q26" s="2819"/>
      <c r="R26" s="2819"/>
      <c r="S26" s="2819"/>
      <c r="T26" s="2819"/>
    </row>
    <row r="27" spans="1:20" ht="14.85" customHeight="1" x14ac:dyDescent="0.2">
      <c r="A27" s="2368"/>
      <c r="B27" s="819"/>
      <c r="C27" s="2852"/>
      <c r="D27" s="2852"/>
      <c r="E27" s="2852"/>
      <c r="F27" s="2852"/>
      <c r="G27" s="2367"/>
      <c r="H27" s="2852"/>
      <c r="I27" s="2852"/>
      <c r="J27" s="2852"/>
      <c r="K27" s="1228"/>
      <c r="L27" s="2819"/>
      <c r="M27" s="2819"/>
      <c r="N27" s="2819"/>
      <c r="O27" s="2819"/>
      <c r="P27" s="2819"/>
      <c r="Q27" s="2819"/>
      <c r="R27" s="2819"/>
      <c r="S27" s="2819"/>
      <c r="T27" s="2819"/>
    </row>
    <row r="28" spans="1:20" ht="14.85" customHeight="1" x14ac:dyDescent="0.2">
      <c r="A28" s="1229"/>
      <c r="B28" s="819"/>
      <c r="C28" s="2852"/>
      <c r="D28" s="2852"/>
      <c r="E28" s="2852"/>
      <c r="F28" s="2852"/>
      <c r="G28" s="2367"/>
      <c r="H28" s="2852"/>
      <c r="I28" s="2852"/>
      <c r="J28" s="2852"/>
      <c r="K28" s="1228"/>
      <c r="L28" s="2819" t="s">
        <v>50</v>
      </c>
      <c r="M28" s="2819"/>
      <c r="N28" s="2819"/>
      <c r="O28" s="2819"/>
      <c r="P28" s="2819"/>
      <c r="Q28" s="2819"/>
      <c r="R28" s="2819"/>
      <c r="S28" s="2819"/>
      <c r="T28" s="2819"/>
    </row>
    <row r="29" spans="1:20" ht="14.85" customHeight="1" x14ac:dyDescent="0.2">
      <c r="A29" s="2368"/>
      <c r="B29" s="819"/>
      <c r="C29" s="2852" t="s">
        <v>50</v>
      </c>
      <c r="D29" s="2852"/>
      <c r="E29" s="2852"/>
      <c r="F29" s="2852"/>
      <c r="G29" s="2367"/>
      <c r="H29" s="2852"/>
      <c r="I29" s="2852"/>
      <c r="J29" s="2852"/>
      <c r="K29" s="1228"/>
      <c r="L29" s="2819" t="s">
        <v>50</v>
      </c>
      <c r="M29" s="2819"/>
      <c r="N29" s="2819"/>
      <c r="O29" s="2819"/>
      <c r="P29" s="2819"/>
      <c r="Q29" s="2819"/>
      <c r="R29" s="2819"/>
      <c r="S29" s="2819"/>
      <c r="T29" s="2819"/>
    </row>
    <row r="30" spans="1:20" ht="14.85" customHeight="1" x14ac:dyDescent="0.2">
      <c r="A30" s="2368"/>
      <c r="B30" s="819"/>
      <c r="C30" s="2852"/>
      <c r="D30" s="2852"/>
      <c r="E30" s="2852"/>
      <c r="F30" s="2852"/>
      <c r="G30" s="2367"/>
      <c r="H30" s="2852"/>
      <c r="I30" s="2852"/>
      <c r="J30" s="2852"/>
      <c r="K30" s="1228"/>
      <c r="L30" s="2819" t="s">
        <v>50</v>
      </c>
      <c r="M30" s="2819"/>
      <c r="N30" s="2819"/>
      <c r="O30" s="2819"/>
      <c r="P30" s="2819"/>
      <c r="Q30" s="2819"/>
      <c r="R30" s="2819"/>
      <c r="S30" s="2819"/>
      <c r="T30" s="2819"/>
    </row>
    <row r="31" spans="1:20" ht="14.85" customHeight="1" x14ac:dyDescent="0.2">
      <c r="A31" s="2368"/>
      <c r="B31" s="819"/>
      <c r="C31" s="2852"/>
      <c r="D31" s="2852"/>
      <c r="E31" s="2852"/>
      <c r="F31" s="2852"/>
      <c r="G31" s="2367"/>
      <c r="H31" s="2852"/>
      <c r="I31" s="2852"/>
      <c r="J31" s="2852"/>
      <c r="K31" s="1228"/>
      <c r="L31" s="2819"/>
      <c r="M31" s="2819"/>
      <c r="N31" s="2819"/>
      <c r="O31" s="2819"/>
      <c r="P31" s="2819"/>
      <c r="Q31" s="2819"/>
      <c r="R31" s="2819"/>
      <c r="S31" s="2819"/>
      <c r="T31" s="2819"/>
    </row>
    <row r="32" spans="1:20" ht="14.85" customHeight="1" x14ac:dyDescent="0.2">
      <c r="A32" s="1229"/>
      <c r="B32" s="819"/>
      <c r="C32" s="2852"/>
      <c r="D32" s="2852"/>
      <c r="E32" s="2852"/>
      <c r="F32" s="2852"/>
      <c r="G32" s="2367"/>
      <c r="H32" s="2852"/>
      <c r="I32" s="2852"/>
      <c r="J32" s="2852"/>
      <c r="K32" s="1228"/>
      <c r="L32" s="2819" t="s">
        <v>50</v>
      </c>
      <c r="M32" s="2819"/>
      <c r="N32" s="2819"/>
      <c r="O32" s="2819"/>
      <c r="P32" s="2819"/>
      <c r="Q32" s="2819"/>
      <c r="R32" s="2819"/>
      <c r="S32" s="2819"/>
      <c r="T32" s="2819"/>
    </row>
    <row r="33" spans="1:20" ht="14.85" customHeight="1" thickBot="1" x14ac:dyDescent="0.25">
      <c r="A33" s="2357" t="s">
        <v>1737</v>
      </c>
      <c r="B33" s="819"/>
      <c r="C33" s="2853">
        <f>SUM(C23:F32)</f>
        <v>0</v>
      </c>
      <c r="D33" s="2853"/>
      <c r="E33" s="2853"/>
      <c r="F33" s="2853"/>
      <c r="G33" s="823"/>
      <c r="H33" s="2853">
        <f>SUM(H23:K32)</f>
        <v>0</v>
      </c>
      <c r="I33" s="2853"/>
      <c r="J33" s="2853"/>
      <c r="K33" s="1230"/>
      <c r="L33" s="2857"/>
      <c r="M33" s="2857"/>
      <c r="N33" s="2857"/>
      <c r="O33" s="2857"/>
      <c r="P33" s="2857"/>
      <c r="Q33" s="2857"/>
      <c r="R33" s="2857"/>
      <c r="S33" s="2857"/>
      <c r="T33" s="2857"/>
    </row>
    <row r="34" spans="1:20" ht="14.85" customHeight="1" thickTop="1" x14ac:dyDescent="0.2">
      <c r="C34" s="2854" t="s">
        <v>1715</v>
      </c>
      <c r="D34" s="2854"/>
      <c r="E34" s="2854"/>
      <c r="F34" s="2854"/>
      <c r="G34" s="845"/>
      <c r="H34" s="2854" t="s">
        <v>1747</v>
      </c>
      <c r="I34" s="2854"/>
      <c r="J34" s="2854"/>
      <c r="K34" s="2820"/>
      <c r="L34" s="2372" t="s">
        <v>1748</v>
      </c>
    </row>
    <row r="35" spans="1:20" ht="14.85" customHeight="1" x14ac:dyDescent="0.2">
      <c r="A35" s="819" t="s">
        <v>50</v>
      </c>
      <c r="B35" s="819"/>
      <c r="O35" s="2366"/>
      <c r="P35" s="814"/>
      <c r="Q35" s="2366"/>
      <c r="R35" s="2366"/>
      <c r="S35" s="2366"/>
      <c r="T35" s="2366"/>
    </row>
  </sheetData>
  <sheetProtection algorithmName="SHA-512" hashValue="Sdbjt16cF38OIOdXI2Q53FjQROwEaKlXPXANqONUym/957Fm+LhHh0zc+hGYvDldeSeVROGVXMT7bxx94RyI5g==" saltValue="7GOfN+JMEH1zNQGZhddSFw==" spinCount="100000" sheet="1" autoFilter="0"/>
  <mergeCells count="63">
    <mergeCell ref="T6:T8"/>
    <mergeCell ref="L24:T24"/>
    <mergeCell ref="L33:T33"/>
    <mergeCell ref="L26:T26"/>
    <mergeCell ref="L27:T27"/>
    <mergeCell ref="L28:T28"/>
    <mergeCell ref="L25:T25"/>
    <mergeCell ref="L29:T29"/>
    <mergeCell ref="L30:T30"/>
    <mergeCell ref="L31:T31"/>
    <mergeCell ref="L32:T32"/>
    <mergeCell ref="L22:T22"/>
    <mergeCell ref="L23:T23"/>
    <mergeCell ref="H20:J20"/>
    <mergeCell ref="H21:J21"/>
    <mergeCell ref="H22:J22"/>
    <mergeCell ref="L20:T20"/>
    <mergeCell ref="L21:T21"/>
    <mergeCell ref="A1:T1"/>
    <mergeCell ref="U1:U3"/>
    <mergeCell ref="A2:T2"/>
    <mergeCell ref="A3:T3"/>
    <mergeCell ref="A4:T4"/>
    <mergeCell ref="D6:F6"/>
    <mergeCell ref="N6:R6"/>
    <mergeCell ref="N7:R7"/>
    <mergeCell ref="N15:O15"/>
    <mergeCell ref="N16:O16"/>
    <mergeCell ref="D8:F8"/>
    <mergeCell ref="N8:R8"/>
    <mergeCell ref="A11:J11"/>
    <mergeCell ref="C14:D14"/>
    <mergeCell ref="N14:O14"/>
    <mergeCell ref="C15:F15"/>
    <mergeCell ref="C16:F16"/>
    <mergeCell ref="H16:J16"/>
    <mergeCell ref="C34:F34"/>
    <mergeCell ref="C33:F33"/>
    <mergeCell ref="C32:F32"/>
    <mergeCell ref="C20:F20"/>
    <mergeCell ref="C21:F21"/>
    <mergeCell ref="C22:F22"/>
    <mergeCell ref="H27:J27"/>
    <mergeCell ref="C28:F28"/>
    <mergeCell ref="H28:J28"/>
    <mergeCell ref="C30:F30"/>
    <mergeCell ref="C31:F31"/>
    <mergeCell ref="H24:J24"/>
    <mergeCell ref="H32:J32"/>
    <mergeCell ref="H33:J33"/>
    <mergeCell ref="H34:K34"/>
    <mergeCell ref="C23:F23"/>
    <mergeCell ref="C24:F24"/>
    <mergeCell ref="H23:J23"/>
    <mergeCell ref="H30:J30"/>
    <mergeCell ref="H31:J31"/>
    <mergeCell ref="C25:F25"/>
    <mergeCell ref="C29:F29"/>
    <mergeCell ref="H29:J29"/>
    <mergeCell ref="H25:J25"/>
    <mergeCell ref="C26:F26"/>
    <mergeCell ref="H26:J26"/>
    <mergeCell ref="C27:F27"/>
  </mergeCells>
  <conditionalFormatting sqref="T5:T8">
    <cfRule type="cellIs" dxfId="78" priority="1" stopIfTrue="1" operator="equal">
      <formula>"na"</formula>
    </cfRule>
  </conditionalFormatting>
  <conditionalFormatting sqref="U1:U4">
    <cfRule type="cellIs" dxfId="77" priority="2" stopIfTrue="1" operator="equal">
      <formula>"na"</formula>
    </cfRule>
  </conditionalFormatting>
  <hyperlinks>
    <hyperlink ref="A1:T1" location="Index!A1" display="Index!A1" xr:uid="{412B4CD5-B3A3-4D9C-986D-C1C47590D00B}"/>
  </hyperlinks>
  <pageMargins left="0.6" right="0.6" top="0.5" bottom="0.5" header="0.3" footer="0.3"/>
  <pageSetup scale="85"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8"/>
  <dimension ref="A1:P184"/>
  <sheetViews>
    <sheetView showGridLines="0" topLeftCell="A81" zoomScaleNormal="100" zoomScaleSheetLayoutView="100" workbookViewId="0">
      <selection activeCell="J17" sqref="J17"/>
    </sheetView>
  </sheetViews>
  <sheetFormatPr defaultColWidth="9.42578125" defaultRowHeight="10.5" x14ac:dyDescent="0.15"/>
  <cols>
    <col min="1" max="1" width="27.85546875" style="17" customWidth="1"/>
    <col min="2" max="2" width="16.5703125" style="17" customWidth="1"/>
    <col min="3" max="3" width="1.5703125" style="17" customWidth="1"/>
    <col min="4" max="4" width="15.5703125" style="17" customWidth="1"/>
    <col min="5" max="5" width="1.5703125" style="17" customWidth="1"/>
    <col min="6" max="6" width="16.5703125" style="17" customWidth="1"/>
    <col min="7" max="7" width="1.5703125" style="17" customWidth="1"/>
    <col min="8" max="8" width="12.5703125" style="17" customWidth="1"/>
    <col min="9" max="9" width="4.5703125" style="17" customWidth="1"/>
    <col min="10" max="10" width="25.28515625" style="17" customWidth="1"/>
    <col min="11" max="16" width="1.5703125" style="17" customWidth="1"/>
    <col min="17" max="16384" width="9.42578125" style="17"/>
  </cols>
  <sheetData>
    <row r="1" spans="1:12" s="43" customFormat="1" ht="15.75" x14ac:dyDescent="0.25">
      <c r="A1" s="2553" t="str">
        <f>Index!A1</f>
        <v xml:space="preserve">                                                               Office of the State Controller                                                                </v>
      </c>
      <c r="B1" s="2553"/>
      <c r="C1" s="2553"/>
      <c r="D1" s="2553"/>
      <c r="E1" s="2553"/>
      <c r="F1" s="2553"/>
      <c r="G1" s="2553"/>
      <c r="H1" s="2553"/>
      <c r="I1"/>
      <c r="J1"/>
      <c r="K1"/>
      <c r="L1" s="2268"/>
    </row>
    <row r="2" spans="1:12" s="16" customFormat="1" ht="15" customHeight="1" x14ac:dyDescent="0.25">
      <c r="A2" s="2823" t="str">
        <f>+Index!$A$2</f>
        <v>2024 ACFR Worksheets</v>
      </c>
      <c r="B2" s="2823"/>
      <c r="C2" s="2823"/>
      <c r="D2" s="2823"/>
      <c r="E2" s="2823"/>
      <c r="F2" s="2823"/>
      <c r="G2" s="2823"/>
      <c r="H2" s="2823"/>
    </row>
    <row r="3" spans="1:12" s="16" customFormat="1" ht="15" customHeight="1" x14ac:dyDescent="0.25">
      <c r="A3" s="2823" t="s">
        <v>1749</v>
      </c>
      <c r="B3" s="2823"/>
      <c r="C3" s="2823"/>
      <c r="D3" s="2823"/>
      <c r="E3" s="2823"/>
      <c r="F3" s="2823"/>
      <c r="G3" s="2823"/>
      <c r="H3" s="2823"/>
    </row>
    <row r="4" spans="1:12" s="18" customFormat="1" ht="15" customHeight="1" x14ac:dyDescent="0.25">
      <c r="A4" s="2862" t="s">
        <v>1750</v>
      </c>
      <c r="B4" s="2862"/>
      <c r="C4" s="2862"/>
      <c r="D4" s="2862"/>
      <c r="E4" s="2862"/>
      <c r="F4" s="2862"/>
      <c r="G4" s="2862"/>
      <c r="H4" s="2862"/>
      <c r="J4" s="488"/>
      <c r="K4" s="488"/>
    </row>
    <row r="5" spans="1:12" s="18" customFormat="1" ht="6" customHeight="1" x14ac:dyDescent="0.2">
      <c r="C5" s="128"/>
      <c r="D5" s="128"/>
      <c r="F5" s="2865"/>
      <c r="G5" s="2865"/>
      <c r="H5" s="2865"/>
    </row>
    <row r="6" spans="1:12" s="18" customFormat="1" ht="15" customHeight="1" x14ac:dyDescent="0.2">
      <c r="A6" s="2369" t="s">
        <v>318</v>
      </c>
      <c r="B6" s="2358" t="str">
        <f>Index!$E$10</f>
        <v>01</v>
      </c>
      <c r="C6" s="2357"/>
      <c r="D6" s="2357"/>
      <c r="E6" s="815" t="s">
        <v>319</v>
      </c>
      <c r="F6" s="2596" t="str">
        <f>+Index!$E$11</f>
        <v>North Carolina General Assembly</v>
      </c>
      <c r="G6" s="2596"/>
      <c r="H6" s="2596"/>
    </row>
    <row r="7" spans="1:12" s="18" customFormat="1" ht="15" customHeight="1" x14ac:dyDescent="0.2">
      <c r="A7" s="2188" t="s">
        <v>543</v>
      </c>
      <c r="B7" s="2213" t="s">
        <v>1751</v>
      </c>
      <c r="C7" s="2357"/>
      <c r="D7" s="2357"/>
      <c r="E7" s="815" t="s">
        <v>320</v>
      </c>
      <c r="F7" s="2629" t="str">
        <f>CONCATENATE(Index!$E$12,"",Index!$E$14)</f>
        <v/>
      </c>
      <c r="G7" s="2629"/>
      <c r="H7" s="2629"/>
    </row>
    <row r="8" spans="1:12" s="18" customFormat="1" ht="15" customHeight="1" x14ac:dyDescent="0.2">
      <c r="A8" s="2188" t="s">
        <v>545</v>
      </c>
      <c r="B8" s="2189" t="s">
        <v>1714</v>
      </c>
      <c r="C8" s="2357"/>
      <c r="D8" s="2357"/>
      <c r="E8" s="815" t="s">
        <v>168</v>
      </c>
      <c r="F8" s="2629">
        <f>+Index!$E$13</f>
        <v>0</v>
      </c>
      <c r="G8" s="2629"/>
      <c r="H8" s="2629"/>
    </row>
    <row r="9" spans="1:12" s="18" customFormat="1" ht="6" customHeight="1" thickBot="1" x14ac:dyDescent="0.25">
      <c r="A9" s="76"/>
      <c r="B9" s="76"/>
      <c r="C9" s="76"/>
      <c r="D9" s="76"/>
      <c r="E9" s="76"/>
      <c r="F9" s="76"/>
      <c r="G9" s="76"/>
      <c r="H9" s="76"/>
    </row>
    <row r="10" spans="1:12" s="18" customFormat="1" ht="5.25" customHeight="1" x14ac:dyDescent="0.2"/>
    <row r="11" spans="1:12" s="18" customFormat="1" ht="26.45" customHeight="1" x14ac:dyDescent="0.2">
      <c r="A11" s="2866" t="s">
        <v>1752</v>
      </c>
      <c r="B11" s="2866"/>
      <c r="C11" s="2866"/>
      <c r="D11" s="2866"/>
      <c r="E11" s="2866"/>
      <c r="F11" s="2866"/>
      <c r="G11" s="2866"/>
      <c r="H11" s="2866"/>
    </row>
    <row r="12" spans="1:12" s="18" customFormat="1" ht="12" customHeight="1" x14ac:dyDescent="0.2"/>
    <row r="13" spans="1:12" s="18" customFormat="1" ht="15.75" customHeight="1" x14ac:dyDescent="0.25">
      <c r="B13" s="2185" t="s">
        <v>1753</v>
      </c>
      <c r="C13" s="2185"/>
      <c r="D13" s="2185"/>
    </row>
    <row r="14" spans="1:12" s="18" customFormat="1" ht="15" customHeight="1" x14ac:dyDescent="0.2">
      <c r="A14" s="1985"/>
      <c r="B14" s="2177" t="s">
        <v>1754</v>
      </c>
      <c r="C14" s="2177"/>
      <c r="D14" s="2177" t="s">
        <v>1755</v>
      </c>
      <c r="F14" s="2177" t="s">
        <v>1756</v>
      </c>
    </row>
    <row r="15" spans="1:12" customFormat="1" ht="12.75" customHeight="1" x14ac:dyDescent="0.2">
      <c r="B15" s="2287" t="s">
        <v>1757</v>
      </c>
      <c r="F15" s="2287" t="s">
        <v>1758</v>
      </c>
      <c r="H15" s="2177" t="s">
        <v>1759</v>
      </c>
    </row>
    <row r="16" spans="1:12" customFormat="1" ht="12.75" customHeight="1" x14ac:dyDescent="0.2">
      <c r="A16" s="17"/>
      <c r="B16" s="423">
        <v>45108</v>
      </c>
      <c r="D16" s="2317" t="s">
        <v>1760</v>
      </c>
      <c r="F16" s="2317" t="s">
        <v>1761</v>
      </c>
      <c r="H16" t="s">
        <v>1762</v>
      </c>
    </row>
    <row r="17" spans="1:14" customFormat="1" ht="15" customHeight="1" x14ac:dyDescent="0.2">
      <c r="A17" s="965" t="s">
        <v>1763</v>
      </c>
      <c r="B17" s="824"/>
      <c r="C17" s="825"/>
      <c r="D17" s="825"/>
      <c r="E17" s="824"/>
      <c r="F17" s="814"/>
    </row>
    <row r="18" spans="1:14" customFormat="1" ht="12.75" customHeight="1" x14ac:dyDescent="0.2">
      <c r="A18" s="828" t="s">
        <v>1764</v>
      </c>
      <c r="B18" s="823">
        <v>0</v>
      </c>
      <c r="C18" s="826"/>
      <c r="D18" s="823">
        <v>0</v>
      </c>
      <c r="E18" s="826"/>
      <c r="F18" s="823"/>
      <c r="H18" s="17"/>
      <c r="I18" s="17"/>
    </row>
    <row r="19" spans="1:14" customFormat="1" ht="12.75" customHeight="1" x14ac:dyDescent="0.2">
      <c r="A19" s="2214" t="s">
        <v>1765</v>
      </c>
      <c r="B19" s="822">
        <v>0</v>
      </c>
      <c r="C19" s="826"/>
      <c r="D19" s="822">
        <v>0</v>
      </c>
      <c r="E19" s="826"/>
      <c r="F19" s="1088">
        <f t="shared" ref="F19:F27" si="0">B19+D19</f>
        <v>0</v>
      </c>
      <c r="H19" s="2215" t="s">
        <v>1766</v>
      </c>
      <c r="I19" s="2187"/>
      <c r="J19" s="2187"/>
    </row>
    <row r="20" spans="1:14" customFormat="1" ht="12.75" customHeight="1" x14ac:dyDescent="0.2">
      <c r="A20" s="2214" t="s">
        <v>1765</v>
      </c>
      <c r="B20" s="822"/>
      <c r="C20" s="826"/>
      <c r="D20" s="822"/>
      <c r="E20" s="826"/>
      <c r="F20" s="1088">
        <f t="shared" si="0"/>
        <v>0</v>
      </c>
      <c r="H20" s="2215" t="s">
        <v>1766</v>
      </c>
    </row>
    <row r="21" spans="1:14" customFormat="1" ht="12.75" customHeight="1" x14ac:dyDescent="0.2">
      <c r="A21" s="2214" t="s">
        <v>1765</v>
      </c>
      <c r="B21" s="822">
        <v>0</v>
      </c>
      <c r="C21" s="826"/>
      <c r="D21" s="822">
        <v>0</v>
      </c>
      <c r="E21" s="826"/>
      <c r="F21" s="1088">
        <f t="shared" si="0"/>
        <v>0</v>
      </c>
      <c r="H21" s="2215" t="s">
        <v>1766</v>
      </c>
    </row>
    <row r="22" spans="1:14" customFormat="1" ht="12.75" customHeight="1" x14ac:dyDescent="0.2">
      <c r="A22" s="2214" t="s">
        <v>1765</v>
      </c>
      <c r="B22" s="822">
        <v>0</v>
      </c>
      <c r="C22" s="826"/>
      <c r="D22" s="822">
        <v>0</v>
      </c>
      <c r="E22" s="826"/>
      <c r="F22" s="1088">
        <f t="shared" si="0"/>
        <v>0</v>
      </c>
      <c r="H22" s="2215" t="s">
        <v>1766</v>
      </c>
    </row>
    <row r="23" spans="1:14" customFormat="1" ht="12.75" customHeight="1" x14ac:dyDescent="0.2">
      <c r="A23" s="2214" t="s">
        <v>1765</v>
      </c>
      <c r="B23" s="822">
        <v>0</v>
      </c>
      <c r="C23" s="826"/>
      <c r="D23" s="822">
        <v>0</v>
      </c>
      <c r="E23" s="826"/>
      <c r="F23" s="1088">
        <f t="shared" si="0"/>
        <v>0</v>
      </c>
      <c r="H23" s="2215" t="s">
        <v>1766</v>
      </c>
    </row>
    <row r="24" spans="1:14" customFormat="1" ht="12.75" customHeight="1" x14ac:dyDescent="0.2">
      <c r="A24" s="828" t="s">
        <v>1767</v>
      </c>
      <c r="B24" s="823">
        <f>SUM(B19:B23)</f>
        <v>0</v>
      </c>
      <c r="C24" s="826"/>
      <c r="D24" s="823">
        <f>SUM(D19:D23)</f>
        <v>0</v>
      </c>
      <c r="E24" s="826"/>
      <c r="F24" s="1088">
        <f t="shared" si="0"/>
        <v>0</v>
      </c>
    </row>
    <row r="25" spans="1:14" customFormat="1" ht="12.75" customHeight="1" x14ac:dyDescent="0.2">
      <c r="A25" s="828" t="s">
        <v>1768</v>
      </c>
      <c r="B25" s="1992">
        <v>0</v>
      </c>
      <c r="C25" s="823"/>
      <c r="D25" s="1992">
        <v>0</v>
      </c>
      <c r="E25" s="823"/>
      <c r="F25" s="1992">
        <f t="shared" si="0"/>
        <v>0</v>
      </c>
    </row>
    <row r="26" spans="1:14" customFormat="1" ht="12.75" customHeight="1" x14ac:dyDescent="0.2">
      <c r="A26" s="2214" t="s">
        <v>1765</v>
      </c>
      <c r="B26" s="822">
        <v>0</v>
      </c>
      <c r="C26" s="2367"/>
      <c r="D26" s="822">
        <v>0</v>
      </c>
      <c r="E26" s="2367"/>
      <c r="F26" s="1088">
        <f t="shared" si="0"/>
        <v>0</v>
      </c>
      <c r="H26" s="2215" t="s">
        <v>1766</v>
      </c>
    </row>
    <row r="27" spans="1:14" customFormat="1" ht="12.75" customHeight="1" x14ac:dyDescent="0.2">
      <c r="A27" s="2214" t="s">
        <v>1765</v>
      </c>
      <c r="B27" s="822">
        <v>0</v>
      </c>
      <c r="C27" s="2367"/>
      <c r="D27" s="822">
        <v>0</v>
      </c>
      <c r="E27" s="2367"/>
      <c r="F27" s="1088">
        <f t="shared" si="0"/>
        <v>0</v>
      </c>
      <c r="H27" s="2215" t="s">
        <v>1766</v>
      </c>
      <c r="N27" s="357"/>
    </row>
    <row r="28" spans="1:14" customFormat="1" ht="14.1" customHeight="1" thickBot="1" x14ac:dyDescent="0.25">
      <c r="A28" s="828" t="s">
        <v>1769</v>
      </c>
      <c r="B28" s="1219">
        <f>B24+B26+B27</f>
        <v>0</v>
      </c>
      <c r="C28" s="2367" t="s">
        <v>50</v>
      </c>
      <c r="D28" s="1219">
        <f>D24+D26+D27</f>
        <v>0</v>
      </c>
      <c r="E28" s="2367" t="s">
        <v>50</v>
      </c>
      <c r="F28" s="1219">
        <f>F24+F26+F27</f>
        <v>0</v>
      </c>
    </row>
    <row r="29" spans="1:14" customFormat="1" ht="8.1" customHeight="1" x14ac:dyDescent="0.2">
      <c r="A29" s="821"/>
      <c r="B29" s="2367"/>
      <c r="C29" s="2367"/>
      <c r="D29" s="2367"/>
      <c r="E29" s="2367"/>
      <c r="F29" s="2367"/>
    </row>
    <row r="30" spans="1:14" customFormat="1" ht="12.75" customHeight="1" x14ac:dyDescent="0.2">
      <c r="A30" s="828" t="s">
        <v>1770</v>
      </c>
      <c r="B30" s="2367">
        <v>0</v>
      </c>
      <c r="C30" s="2367"/>
      <c r="D30" s="2367">
        <v>0</v>
      </c>
      <c r="E30" s="2367"/>
      <c r="F30" s="823">
        <f>B30+D30</f>
        <v>0</v>
      </c>
    </row>
    <row r="31" spans="1:14" customFormat="1" ht="12.75" customHeight="1" x14ac:dyDescent="0.2">
      <c r="A31" s="2214" t="s">
        <v>1765</v>
      </c>
      <c r="B31" s="822">
        <v>0</v>
      </c>
      <c r="C31" s="2367"/>
      <c r="D31" s="822">
        <v>0</v>
      </c>
      <c r="E31" s="2367"/>
      <c r="F31" s="1088">
        <f>B31+D31</f>
        <v>0</v>
      </c>
      <c r="H31" s="2215" t="s">
        <v>1766</v>
      </c>
    </row>
    <row r="32" spans="1:14" customFormat="1" ht="6.75" customHeight="1" x14ac:dyDescent="0.2">
      <c r="A32" s="821" t="s">
        <v>50</v>
      </c>
      <c r="B32" s="2367" t="s">
        <v>50</v>
      </c>
      <c r="C32" s="2367" t="s">
        <v>50</v>
      </c>
      <c r="D32" s="2367" t="s">
        <v>50</v>
      </c>
      <c r="E32" s="2367" t="s">
        <v>50</v>
      </c>
      <c r="F32" s="2367" t="s">
        <v>50</v>
      </c>
    </row>
    <row r="33" spans="1:10" customFormat="1" ht="12.75" customHeight="1" x14ac:dyDescent="0.2">
      <c r="A33" s="828" t="s">
        <v>1771</v>
      </c>
      <c r="B33" s="17"/>
      <c r="C33" s="17"/>
      <c r="D33" s="17"/>
      <c r="E33" s="17"/>
      <c r="F33" s="17"/>
    </row>
    <row r="34" spans="1:10" customFormat="1" ht="12.75" customHeight="1" x14ac:dyDescent="0.2">
      <c r="A34" s="2214" t="s">
        <v>1765</v>
      </c>
      <c r="B34" s="822">
        <v>0</v>
      </c>
      <c r="C34" s="2367"/>
      <c r="D34" s="822">
        <v>0</v>
      </c>
      <c r="E34" s="2367"/>
      <c r="F34" s="1088">
        <f>B34+D34</f>
        <v>0</v>
      </c>
      <c r="H34" s="2215" t="s">
        <v>1766</v>
      </c>
    </row>
    <row r="35" spans="1:10" customFormat="1" ht="12.75" customHeight="1" x14ac:dyDescent="0.2">
      <c r="A35" s="2214" t="s">
        <v>1765</v>
      </c>
      <c r="B35" s="822">
        <v>0</v>
      </c>
      <c r="C35" s="2367"/>
      <c r="D35" s="822">
        <v>0</v>
      </c>
      <c r="E35" s="2367"/>
      <c r="F35" s="1088">
        <f>B35+D35</f>
        <v>0</v>
      </c>
      <c r="H35" s="2215" t="s">
        <v>1766</v>
      </c>
    </row>
    <row r="36" spans="1:10" customFormat="1" ht="12.75" customHeight="1" x14ac:dyDescent="0.2">
      <c r="A36" s="828" t="s">
        <v>1772</v>
      </c>
      <c r="B36" s="823">
        <f>SUM(B34:B35)</f>
        <v>0</v>
      </c>
      <c r="C36" s="2367"/>
      <c r="D36" s="823">
        <f>SUM(D34:D35)</f>
        <v>0</v>
      </c>
      <c r="E36" s="2367"/>
      <c r="F36" s="1088">
        <f>B36+D36</f>
        <v>0</v>
      </c>
    </row>
    <row r="37" spans="1:10" customFormat="1" ht="12.75" customHeight="1" x14ac:dyDescent="0.2">
      <c r="A37" s="828" t="s">
        <v>1773</v>
      </c>
      <c r="B37" s="1992"/>
      <c r="C37" s="2367"/>
      <c r="D37" s="1992"/>
      <c r="E37" s="2367"/>
      <c r="F37" s="1992"/>
    </row>
    <row r="38" spans="1:10" customFormat="1" ht="12.75" customHeight="1" x14ac:dyDescent="0.2">
      <c r="A38" s="2214" t="s">
        <v>1765</v>
      </c>
      <c r="B38" s="822"/>
      <c r="C38" s="2367"/>
      <c r="D38" s="822"/>
      <c r="E38" s="2367"/>
      <c r="F38" s="1088">
        <f>B38+D38</f>
        <v>0</v>
      </c>
      <c r="H38" s="2215" t="s">
        <v>1766</v>
      </c>
    </row>
    <row r="39" spans="1:10" s="18" customFormat="1" ht="12.75" customHeight="1" x14ac:dyDescent="0.2">
      <c r="A39" s="2214" t="s">
        <v>1765</v>
      </c>
      <c r="B39" s="822">
        <v>0</v>
      </c>
      <c r="C39" s="2367"/>
      <c r="D39" s="822">
        <v>0</v>
      </c>
      <c r="E39" s="2367"/>
      <c r="F39" s="1088">
        <f>B39+D39</f>
        <v>0</v>
      </c>
      <c r="G39" s="814"/>
      <c r="H39" s="2215" t="s">
        <v>1766</v>
      </c>
      <c r="I39" s="814"/>
      <c r="J39" s="814"/>
    </row>
    <row r="40" spans="1:10" s="18" customFormat="1" ht="14.1" customHeight="1" thickBot="1" x14ac:dyDescent="0.25">
      <c r="A40" s="828" t="s">
        <v>1774</v>
      </c>
      <c r="B40" s="1219">
        <f>B39+B38+B36</f>
        <v>0</v>
      </c>
      <c r="C40" s="2367" t="s">
        <v>50</v>
      </c>
      <c r="D40" s="1219">
        <f>D39+D38+D36</f>
        <v>0</v>
      </c>
      <c r="E40" s="2367" t="s">
        <v>50</v>
      </c>
      <c r="F40" s="1219">
        <f>F39+F38+F36</f>
        <v>0</v>
      </c>
      <c r="G40" s="827"/>
      <c r="H40" s="138"/>
      <c r="I40" s="814"/>
      <c r="J40" s="814"/>
    </row>
    <row r="41" spans="1:10" s="18" customFormat="1" ht="16.5" customHeight="1" x14ac:dyDescent="0.2">
      <c r="A41" s="828" t="s">
        <v>1775</v>
      </c>
      <c r="B41" s="2367"/>
      <c r="C41" s="2367"/>
      <c r="D41" s="2367"/>
      <c r="E41" s="2367"/>
      <c r="F41" s="2367"/>
      <c r="G41" s="823"/>
      <c r="H41" s="138"/>
      <c r="I41" s="814"/>
      <c r="J41" s="814"/>
    </row>
    <row r="42" spans="1:10" s="18" customFormat="1" ht="14.1" customHeight="1" x14ac:dyDescent="0.2">
      <c r="A42" s="2214" t="s">
        <v>1765</v>
      </c>
      <c r="B42" s="822">
        <v>0</v>
      </c>
      <c r="C42" s="2367" t="s">
        <v>50</v>
      </c>
      <c r="D42" s="822">
        <v>0</v>
      </c>
      <c r="E42" s="2367" t="s">
        <v>50</v>
      </c>
      <c r="F42" s="1088">
        <f>B42+D42</f>
        <v>0</v>
      </c>
      <c r="G42" s="823"/>
      <c r="H42" s="2215" t="s">
        <v>1766</v>
      </c>
      <c r="I42" s="814"/>
      <c r="J42" s="814"/>
    </row>
    <row r="43" spans="1:10" s="18" customFormat="1" ht="15.75" customHeight="1" x14ac:dyDescent="0.2">
      <c r="A43" s="828" t="s">
        <v>1776</v>
      </c>
      <c r="B43" s="2367"/>
      <c r="C43" s="2367"/>
      <c r="D43" s="2367"/>
      <c r="E43" s="2367"/>
      <c r="F43" s="2367"/>
      <c r="G43" s="823"/>
      <c r="H43" s="138"/>
      <c r="I43" s="814"/>
      <c r="J43" s="814"/>
    </row>
    <row r="44" spans="1:10" s="18" customFormat="1" ht="12.75" customHeight="1" x14ac:dyDescent="0.2">
      <c r="A44" s="821" t="s">
        <v>1777</v>
      </c>
      <c r="B44" s="822">
        <v>0</v>
      </c>
      <c r="C44" s="2367"/>
      <c r="D44" s="822">
        <v>0</v>
      </c>
      <c r="E44" s="2367"/>
      <c r="F44" s="1088">
        <f>B44+D44</f>
        <v>0</v>
      </c>
      <c r="G44" s="823"/>
      <c r="H44" s="2215" t="s">
        <v>1766</v>
      </c>
      <c r="I44" s="814"/>
      <c r="J44" s="814"/>
    </row>
    <row r="45" spans="1:10" s="18" customFormat="1" ht="12.75" customHeight="1" x14ac:dyDescent="0.2">
      <c r="A45" s="821" t="s">
        <v>1778</v>
      </c>
      <c r="B45" s="2361">
        <v>0</v>
      </c>
      <c r="C45" s="2367"/>
      <c r="D45" s="822">
        <v>0</v>
      </c>
      <c r="E45" s="2367"/>
      <c r="F45" s="1088">
        <f>B45+D45</f>
        <v>0</v>
      </c>
      <c r="G45" s="823"/>
      <c r="H45" s="2215" t="s">
        <v>1766</v>
      </c>
      <c r="I45" s="814"/>
      <c r="J45" s="814"/>
    </row>
    <row r="46" spans="1:10" s="18" customFormat="1" ht="12.75" customHeight="1" x14ac:dyDescent="0.2">
      <c r="A46" s="821" t="s">
        <v>1779</v>
      </c>
      <c r="B46" s="822">
        <v>0</v>
      </c>
      <c r="C46" s="2367"/>
      <c r="D46" s="822">
        <v>0</v>
      </c>
      <c r="E46" s="2367"/>
      <c r="F46" s="1088">
        <f>B46+D46</f>
        <v>0</v>
      </c>
      <c r="G46" s="823"/>
      <c r="H46" s="2215" t="s">
        <v>1766</v>
      </c>
      <c r="I46" s="814"/>
      <c r="J46" s="814"/>
    </row>
    <row r="47" spans="1:10" s="18" customFormat="1" ht="14.1" customHeight="1" thickBot="1" x14ac:dyDescent="0.25">
      <c r="A47" s="828" t="s">
        <v>1641</v>
      </c>
      <c r="B47" s="1090">
        <f>B44+B45+B46</f>
        <v>0</v>
      </c>
      <c r="C47" s="2367"/>
      <c r="D47" s="1090">
        <f>SUM(D44:D46)</f>
        <v>0</v>
      </c>
      <c r="E47" s="2367"/>
      <c r="F47" s="1090">
        <f>F44+F45+F46</f>
        <v>0</v>
      </c>
      <c r="G47" s="823"/>
      <c r="H47" s="138"/>
      <c r="I47" s="814"/>
      <c r="J47" s="814"/>
    </row>
    <row r="48" spans="1:10" s="18" customFormat="1" ht="8.1" customHeight="1" thickTop="1" x14ac:dyDescent="0.2">
      <c r="A48" s="821"/>
      <c r="B48" s="2367"/>
      <c r="C48" s="2367"/>
      <c r="D48" s="2367"/>
      <c r="E48" s="2367"/>
      <c r="F48" s="2367"/>
      <c r="G48" s="823"/>
      <c r="H48" s="138"/>
      <c r="I48" s="814"/>
      <c r="J48" s="814"/>
    </row>
    <row r="49" spans="1:10" s="18" customFormat="1" ht="14.1" customHeight="1" thickBot="1" x14ac:dyDescent="0.25">
      <c r="A49" s="966" t="s">
        <v>1780</v>
      </c>
      <c r="B49" s="2367"/>
      <c r="C49" s="2367"/>
      <c r="D49" s="1089">
        <f>SUM(D28+D31)-SUM(D40+D42)</f>
        <v>0</v>
      </c>
      <c r="E49" s="2367"/>
      <c r="F49" s="2367"/>
      <c r="G49" s="823"/>
      <c r="H49" s="138"/>
      <c r="I49" s="814"/>
      <c r="J49" s="814"/>
    </row>
    <row r="50" spans="1:10" s="18" customFormat="1" ht="12" customHeight="1" thickTop="1" x14ac:dyDescent="0.2">
      <c r="A50" s="821"/>
      <c r="B50" s="2367"/>
      <c r="C50" s="2367"/>
      <c r="D50" s="2367"/>
      <c r="E50" s="2367"/>
      <c r="F50" s="2367"/>
      <c r="G50" s="823"/>
      <c r="H50" s="138"/>
      <c r="I50" s="814"/>
      <c r="J50" s="814"/>
    </row>
    <row r="51" spans="1:10" s="18" customFormat="1" ht="12.75" x14ac:dyDescent="0.2">
      <c r="A51" s="965" t="s">
        <v>1781</v>
      </c>
      <c r="B51" s="2367"/>
      <c r="C51" s="2367"/>
      <c r="D51" s="2367"/>
      <c r="E51" s="2367"/>
      <c r="F51" s="2367"/>
      <c r="G51" s="823"/>
      <c r="H51" s="138"/>
      <c r="I51" s="814"/>
      <c r="J51" s="814"/>
    </row>
    <row r="52" spans="1:10" s="18" customFormat="1" ht="12.75" x14ac:dyDescent="0.2">
      <c r="A52" s="967" t="s">
        <v>1782</v>
      </c>
      <c r="B52" s="2367"/>
      <c r="C52" s="2367"/>
      <c r="D52" s="2367"/>
      <c r="E52" s="2367"/>
      <c r="F52" s="2367"/>
      <c r="G52" s="823"/>
      <c r="H52" s="138"/>
      <c r="I52" s="814"/>
      <c r="J52" s="814"/>
    </row>
    <row r="53" spans="1:10" s="18" customFormat="1" ht="14.1" customHeight="1" x14ac:dyDescent="0.2">
      <c r="A53" s="828" t="s">
        <v>1783</v>
      </c>
      <c r="B53" s="2367"/>
      <c r="C53" s="2367"/>
      <c r="D53" s="2367"/>
      <c r="E53" s="2367"/>
      <c r="F53" s="2367"/>
      <c r="G53" s="823"/>
      <c r="H53" s="138"/>
      <c r="I53" s="814"/>
      <c r="J53" s="814"/>
    </row>
    <row r="54" spans="1:10" s="18" customFormat="1" ht="14.1" customHeight="1" x14ac:dyDescent="0.2">
      <c r="A54" s="821" t="s">
        <v>6558</v>
      </c>
      <c r="B54" s="822">
        <v>0</v>
      </c>
      <c r="C54" s="2367"/>
      <c r="D54" s="822">
        <v>0</v>
      </c>
      <c r="E54" s="2367"/>
      <c r="F54" s="1088">
        <f>B54+D54</f>
        <v>0</v>
      </c>
      <c r="G54" s="823"/>
      <c r="H54" s="2215" t="s">
        <v>1766</v>
      </c>
      <c r="I54" s="814"/>
      <c r="J54" s="814"/>
    </row>
    <row r="55" spans="1:10" s="18" customFormat="1" ht="14.1" customHeight="1" x14ac:dyDescent="0.2">
      <c r="A55" s="821" t="s">
        <v>6559</v>
      </c>
      <c r="B55" s="822">
        <v>0</v>
      </c>
      <c r="C55" s="2367"/>
      <c r="D55" s="822">
        <v>0</v>
      </c>
      <c r="E55" s="2367"/>
      <c r="F55" s="1088">
        <f>B55+D55</f>
        <v>0</v>
      </c>
      <c r="G55" s="823"/>
      <c r="H55" s="2215" t="s">
        <v>1766</v>
      </c>
      <c r="I55" s="814"/>
      <c r="J55" s="814"/>
    </row>
    <row r="56" spans="1:10" s="18" customFormat="1" ht="14.1" customHeight="1" x14ac:dyDescent="0.2">
      <c r="A56" s="821" t="s">
        <v>6560</v>
      </c>
      <c r="B56" s="822">
        <v>0</v>
      </c>
      <c r="C56" s="2367"/>
      <c r="D56" s="822">
        <v>0</v>
      </c>
      <c r="E56" s="2367"/>
      <c r="F56" s="1088">
        <f>B56+D56</f>
        <v>0</v>
      </c>
      <c r="G56" s="823"/>
      <c r="H56" s="2215" t="s">
        <v>1766</v>
      </c>
      <c r="I56" s="814"/>
      <c r="J56" s="814"/>
    </row>
    <row r="57" spans="1:10" s="18" customFormat="1" ht="14.1" customHeight="1" x14ac:dyDescent="0.2">
      <c r="A57" s="821" t="s">
        <v>6561</v>
      </c>
      <c r="B57" s="822">
        <v>0</v>
      </c>
      <c r="C57" s="2367"/>
      <c r="D57" s="822">
        <v>0</v>
      </c>
      <c r="E57" s="2367"/>
      <c r="F57" s="1088">
        <f>B57+D57</f>
        <v>0</v>
      </c>
      <c r="G57" s="823"/>
      <c r="H57" s="2215" t="s">
        <v>1766</v>
      </c>
      <c r="I57" s="814"/>
      <c r="J57" s="814"/>
    </row>
    <row r="58" spans="1:10" s="18" customFormat="1" ht="14.1" customHeight="1" x14ac:dyDescent="0.2">
      <c r="A58" s="828" t="s">
        <v>1784</v>
      </c>
      <c r="B58" s="2367">
        <v>0</v>
      </c>
      <c r="C58" s="2367"/>
      <c r="D58" s="2367">
        <v>0</v>
      </c>
      <c r="E58" s="2367"/>
      <c r="F58" s="2367" t="s">
        <v>50</v>
      </c>
      <c r="G58" s="823"/>
      <c r="H58" s="138"/>
      <c r="I58" s="820"/>
      <c r="J58" s="814"/>
    </row>
    <row r="59" spans="1:10" s="18" customFormat="1" ht="14.1" customHeight="1" x14ac:dyDescent="0.2">
      <c r="A59" s="821" t="s">
        <v>6562</v>
      </c>
      <c r="B59" s="822">
        <v>0</v>
      </c>
      <c r="C59" s="2367"/>
      <c r="D59" s="822">
        <v>0</v>
      </c>
      <c r="E59" s="2367"/>
      <c r="F59" s="1088">
        <f>B59+D59</f>
        <v>0</v>
      </c>
      <c r="G59" s="823"/>
      <c r="H59" s="2215" t="s">
        <v>1766</v>
      </c>
      <c r="I59" s="814"/>
      <c r="J59" s="814"/>
    </row>
    <row r="60" spans="1:10" s="18" customFormat="1" ht="14.1" customHeight="1" x14ac:dyDescent="0.2">
      <c r="A60" s="828" t="s">
        <v>1785</v>
      </c>
      <c r="B60" s="2367"/>
      <c r="C60" s="2367"/>
      <c r="D60" s="2367">
        <v>0</v>
      </c>
      <c r="E60" s="2367"/>
      <c r="F60" s="2367"/>
      <c r="G60" s="823"/>
      <c r="H60" s="138"/>
      <c r="I60" s="814"/>
      <c r="J60" s="814"/>
    </row>
    <row r="61" spans="1:10" s="18" customFormat="1" ht="14.1" customHeight="1" x14ac:dyDescent="0.2">
      <c r="A61" s="821" t="s">
        <v>6563</v>
      </c>
      <c r="B61" s="822">
        <v>0</v>
      </c>
      <c r="C61" s="2367"/>
      <c r="D61" s="822">
        <v>0</v>
      </c>
      <c r="E61" s="2367"/>
      <c r="F61" s="1088">
        <f>B61+D61</f>
        <v>0</v>
      </c>
      <c r="G61" s="823"/>
      <c r="H61" s="2215" t="s">
        <v>1766</v>
      </c>
      <c r="I61" s="814"/>
      <c r="J61" s="814"/>
    </row>
    <row r="62" spans="1:10" s="18" customFormat="1" ht="14.1" customHeight="1" x14ac:dyDescent="0.2">
      <c r="A62" s="821" t="s">
        <v>6564</v>
      </c>
      <c r="B62" s="822">
        <v>0</v>
      </c>
      <c r="C62" s="2367"/>
      <c r="D62" s="822">
        <v>0</v>
      </c>
      <c r="E62" s="2367"/>
      <c r="F62" s="1088">
        <f t="shared" ref="F62:F73" si="1">B62+D62</f>
        <v>0</v>
      </c>
      <c r="G62" s="823"/>
      <c r="H62" s="2215" t="s">
        <v>1766</v>
      </c>
      <c r="I62" s="814"/>
      <c r="J62" s="814"/>
    </row>
    <row r="63" spans="1:10" s="18" customFormat="1" ht="14.1" customHeight="1" x14ac:dyDescent="0.2">
      <c r="A63" s="821" t="s">
        <v>6565</v>
      </c>
      <c r="B63" s="822">
        <v>0</v>
      </c>
      <c r="C63" s="2367"/>
      <c r="D63" s="822">
        <v>0</v>
      </c>
      <c r="E63" s="2367"/>
      <c r="F63" s="1088">
        <f t="shared" si="1"/>
        <v>0</v>
      </c>
      <c r="G63" s="823"/>
      <c r="H63" s="2215" t="s">
        <v>1766</v>
      </c>
      <c r="I63" s="814"/>
      <c r="J63" s="814"/>
    </row>
    <row r="64" spans="1:10" s="18" customFormat="1" ht="14.1" customHeight="1" x14ac:dyDescent="0.2">
      <c r="A64" s="821" t="s">
        <v>6566</v>
      </c>
      <c r="B64" s="822">
        <v>0</v>
      </c>
      <c r="C64" s="2367"/>
      <c r="D64" s="822">
        <v>0</v>
      </c>
      <c r="E64" s="2367"/>
      <c r="F64" s="1088">
        <f t="shared" si="1"/>
        <v>0</v>
      </c>
      <c r="G64" s="823"/>
      <c r="H64" s="2215" t="s">
        <v>1766</v>
      </c>
      <c r="I64" s="814"/>
      <c r="J64" s="814"/>
    </row>
    <row r="65" spans="1:10" s="18" customFormat="1" ht="14.1" customHeight="1" x14ac:dyDescent="0.2">
      <c r="A65" s="821" t="s">
        <v>6567</v>
      </c>
      <c r="B65" s="822">
        <v>0</v>
      </c>
      <c r="C65" s="2367"/>
      <c r="D65" s="822">
        <v>0</v>
      </c>
      <c r="E65" s="2367"/>
      <c r="F65" s="1088">
        <f t="shared" si="1"/>
        <v>0</v>
      </c>
      <c r="G65" s="823"/>
      <c r="H65" s="2215" t="s">
        <v>1766</v>
      </c>
      <c r="I65" s="814"/>
      <c r="J65" s="814"/>
    </row>
    <row r="66" spans="1:10" s="18" customFormat="1" ht="14.1" customHeight="1" x14ac:dyDescent="0.2">
      <c r="A66" s="821" t="s">
        <v>6568</v>
      </c>
      <c r="B66" s="822">
        <v>0</v>
      </c>
      <c r="C66" s="2367"/>
      <c r="D66" s="822">
        <v>0</v>
      </c>
      <c r="E66" s="2367"/>
      <c r="F66" s="1088">
        <f t="shared" si="1"/>
        <v>0</v>
      </c>
      <c r="G66" s="823"/>
      <c r="H66" s="2215" t="s">
        <v>1766</v>
      </c>
      <c r="I66" s="814"/>
      <c r="J66" s="814"/>
    </row>
    <row r="67" spans="1:10" s="18" customFormat="1" ht="14.1" customHeight="1" x14ac:dyDescent="0.2">
      <c r="A67" s="821" t="s">
        <v>6569</v>
      </c>
      <c r="B67" s="822">
        <v>0</v>
      </c>
      <c r="C67" s="2367"/>
      <c r="D67" s="822">
        <v>0</v>
      </c>
      <c r="E67" s="2367"/>
      <c r="F67" s="1088">
        <f t="shared" si="1"/>
        <v>0</v>
      </c>
      <c r="G67" s="823"/>
      <c r="H67" s="2215" t="s">
        <v>1766</v>
      </c>
      <c r="I67" s="814"/>
      <c r="J67" s="814"/>
    </row>
    <row r="68" spans="1:10" s="18" customFormat="1" ht="14.1" customHeight="1" x14ac:dyDescent="0.2">
      <c r="A68" s="821" t="s">
        <v>6570</v>
      </c>
      <c r="B68" s="822">
        <v>0</v>
      </c>
      <c r="C68" s="2367"/>
      <c r="D68" s="822">
        <v>0</v>
      </c>
      <c r="E68" s="2367"/>
      <c r="F68" s="1088">
        <f t="shared" si="1"/>
        <v>0</v>
      </c>
      <c r="G68" s="823"/>
      <c r="H68" s="2215" t="s">
        <v>1766</v>
      </c>
      <c r="I68" s="814"/>
      <c r="J68" s="814"/>
    </row>
    <row r="69" spans="1:10" s="18" customFormat="1" ht="14.1" customHeight="1" x14ac:dyDescent="0.2">
      <c r="A69" s="821" t="s">
        <v>6571</v>
      </c>
      <c r="B69" s="822">
        <v>0</v>
      </c>
      <c r="C69" s="2367"/>
      <c r="D69" s="822">
        <v>0</v>
      </c>
      <c r="E69" s="2367"/>
      <c r="F69" s="1088">
        <f t="shared" si="1"/>
        <v>0</v>
      </c>
      <c r="G69" s="823"/>
      <c r="H69" s="2215" t="s">
        <v>1766</v>
      </c>
      <c r="I69" s="814"/>
      <c r="J69" s="814"/>
    </row>
    <row r="70" spans="1:10" s="18" customFormat="1" ht="14.1" customHeight="1" x14ac:dyDescent="0.2">
      <c r="A70" s="821" t="s">
        <v>6572</v>
      </c>
      <c r="B70" s="822">
        <v>0</v>
      </c>
      <c r="C70" s="2367"/>
      <c r="D70" s="822">
        <v>0</v>
      </c>
      <c r="E70" s="2367"/>
      <c r="F70" s="1088">
        <f t="shared" si="1"/>
        <v>0</v>
      </c>
      <c r="G70" s="823"/>
      <c r="H70" s="2215" t="s">
        <v>1766</v>
      </c>
      <c r="I70" s="814"/>
      <c r="J70" s="814"/>
    </row>
    <row r="71" spans="1:10" s="18" customFormat="1" ht="14.1" customHeight="1" x14ac:dyDescent="0.2">
      <c r="A71" s="821" t="s">
        <v>1786</v>
      </c>
      <c r="B71" s="822">
        <v>0</v>
      </c>
      <c r="C71" s="2367"/>
      <c r="D71" s="822">
        <v>0</v>
      </c>
      <c r="E71" s="2367"/>
      <c r="F71" s="1088">
        <f t="shared" si="1"/>
        <v>0</v>
      </c>
      <c r="G71" s="823"/>
      <c r="H71" s="2215" t="s">
        <v>1766</v>
      </c>
      <c r="I71" s="814"/>
      <c r="J71" s="814"/>
    </row>
    <row r="72" spans="1:10" s="18" customFormat="1" ht="14.1" customHeight="1" x14ac:dyDescent="0.2">
      <c r="A72" s="821" t="s">
        <v>1787</v>
      </c>
      <c r="B72" s="822">
        <v>0</v>
      </c>
      <c r="C72" s="2367"/>
      <c r="D72" s="822">
        <v>0</v>
      </c>
      <c r="E72" s="2367"/>
      <c r="F72" s="1088">
        <f>B72+D72</f>
        <v>0</v>
      </c>
      <c r="G72" s="823"/>
      <c r="H72" s="2215" t="s">
        <v>1766</v>
      </c>
      <c r="I72" s="814"/>
      <c r="J72" s="814"/>
    </row>
    <row r="73" spans="1:10" s="18" customFormat="1" ht="14.1" customHeight="1" x14ac:dyDescent="0.2">
      <c r="A73" s="821" t="s">
        <v>1788</v>
      </c>
      <c r="B73" s="822">
        <v>0</v>
      </c>
      <c r="C73" s="2367"/>
      <c r="D73" s="822">
        <v>0</v>
      </c>
      <c r="E73" s="2367"/>
      <c r="F73" s="1088">
        <f t="shared" si="1"/>
        <v>0</v>
      </c>
      <c r="G73" s="823"/>
      <c r="H73" s="2215" t="s">
        <v>1766</v>
      </c>
      <c r="I73" s="820"/>
      <c r="J73" s="814"/>
    </row>
    <row r="74" spans="1:10" s="18" customFormat="1" ht="14.1" customHeight="1" thickBot="1" x14ac:dyDescent="0.25">
      <c r="A74" s="828" t="s">
        <v>1789</v>
      </c>
      <c r="B74" s="1090">
        <f>B54+B55+B56+B57+B59+B61+B62+B63+B64+B65+B66+B67+B68+B69+B70+B71+B72+B73</f>
        <v>0</v>
      </c>
      <c r="C74" s="2367"/>
      <c r="D74" s="1090">
        <f>D54+D55+D56+D57+D59+D61+D62+D63+D64+D65+D66+D67+D68+D69+D70+D71+D72+D73</f>
        <v>0</v>
      </c>
      <c r="E74" s="2367"/>
      <c r="F74" s="1090">
        <f>F54+F55+F56+F57+F59+F61+F62+F63+F64+F65+F66+F67+F68+F69+F70+F71+F72+F73</f>
        <v>0</v>
      </c>
      <c r="G74" s="823"/>
      <c r="H74" s="138"/>
      <c r="I74" s="820"/>
      <c r="J74" s="814"/>
    </row>
    <row r="75" spans="1:10" s="18" customFormat="1" ht="8.1" customHeight="1" thickTop="1" x14ac:dyDescent="0.2">
      <c r="A75" s="821"/>
      <c r="B75" s="2367"/>
      <c r="C75" s="2367"/>
      <c r="D75" s="2367"/>
      <c r="E75" s="2367"/>
      <c r="F75" s="2367"/>
      <c r="G75" s="823"/>
      <c r="H75" s="138"/>
      <c r="I75" s="820"/>
      <c r="J75" s="814"/>
    </row>
    <row r="76" spans="1:10" s="18" customFormat="1" ht="12.75" x14ac:dyDescent="0.2">
      <c r="A76" s="967" t="s">
        <v>1790</v>
      </c>
      <c r="B76" s="2367"/>
      <c r="C76" s="2367"/>
      <c r="D76" s="2367"/>
      <c r="E76" s="2367"/>
      <c r="F76" s="2367"/>
      <c r="G76" s="823"/>
      <c r="H76" s="138"/>
      <c r="I76" s="814"/>
      <c r="J76" s="814"/>
    </row>
    <row r="77" spans="1:10" s="18" customFormat="1" ht="12.75" customHeight="1" x14ac:dyDescent="0.2">
      <c r="A77" s="821" t="s">
        <v>1791</v>
      </c>
      <c r="B77" s="2367" t="s">
        <v>50</v>
      </c>
      <c r="C77" s="2367" t="s">
        <v>50</v>
      </c>
      <c r="D77" s="2367" t="s">
        <v>50</v>
      </c>
      <c r="E77" s="2367" t="s">
        <v>50</v>
      </c>
      <c r="F77" s="2367" t="s">
        <v>50</v>
      </c>
      <c r="G77" s="823"/>
      <c r="H77" s="138"/>
      <c r="I77" s="814"/>
      <c r="J77" s="814"/>
    </row>
    <row r="78" spans="1:10" s="18" customFormat="1" ht="12.75" customHeight="1" x14ac:dyDescent="0.2">
      <c r="A78" s="821" t="s">
        <v>6573</v>
      </c>
      <c r="B78" s="822">
        <v>0</v>
      </c>
      <c r="C78" s="2367"/>
      <c r="D78" s="822">
        <v>0</v>
      </c>
      <c r="E78" s="2367"/>
      <c r="F78" s="1088">
        <f t="shared" ref="F78:F88" si="2">B78+D78</f>
        <v>0</v>
      </c>
      <c r="G78" s="823"/>
      <c r="H78" s="2215" t="s">
        <v>1766</v>
      </c>
      <c r="I78" s="814"/>
      <c r="J78" s="814"/>
    </row>
    <row r="79" spans="1:10" s="18" customFormat="1" ht="12.75" customHeight="1" x14ac:dyDescent="0.2">
      <c r="A79" s="821" t="s">
        <v>6574</v>
      </c>
      <c r="B79" s="822">
        <v>0</v>
      </c>
      <c r="C79" s="2367"/>
      <c r="D79" s="822">
        <v>0</v>
      </c>
      <c r="E79" s="2367"/>
      <c r="F79" s="1088">
        <f t="shared" si="2"/>
        <v>0</v>
      </c>
      <c r="G79" s="823"/>
      <c r="H79" s="2215" t="s">
        <v>1766</v>
      </c>
      <c r="I79" s="814"/>
      <c r="J79" s="814"/>
    </row>
    <row r="80" spans="1:10" s="18" customFormat="1" ht="12.75" customHeight="1" x14ac:dyDescent="0.2">
      <c r="A80" s="821" t="s">
        <v>6575</v>
      </c>
      <c r="B80" s="822">
        <v>0</v>
      </c>
      <c r="C80" s="2367"/>
      <c r="D80" s="822">
        <v>0</v>
      </c>
      <c r="E80" s="2367"/>
      <c r="F80" s="1088">
        <f t="shared" si="2"/>
        <v>0</v>
      </c>
      <c r="G80" s="823"/>
      <c r="H80" s="2215" t="s">
        <v>1766</v>
      </c>
      <c r="I80" s="814"/>
      <c r="J80" s="814"/>
    </row>
    <row r="81" spans="1:10" s="18" customFormat="1" ht="12.75" customHeight="1" x14ac:dyDescent="0.2">
      <c r="A81" s="821" t="s">
        <v>6576</v>
      </c>
      <c r="B81" s="822">
        <v>0</v>
      </c>
      <c r="C81" s="2367"/>
      <c r="D81" s="822">
        <v>0</v>
      </c>
      <c r="E81" s="2367"/>
      <c r="F81" s="1088">
        <f t="shared" si="2"/>
        <v>0</v>
      </c>
      <c r="G81" s="823"/>
      <c r="H81" s="2215" t="s">
        <v>1766</v>
      </c>
      <c r="I81" s="814"/>
      <c r="J81" s="814"/>
    </row>
    <row r="82" spans="1:10" s="18" customFormat="1" ht="12.75" customHeight="1" x14ac:dyDescent="0.2">
      <c r="A82" s="821" t="s">
        <v>6577</v>
      </c>
      <c r="B82" s="822">
        <v>0</v>
      </c>
      <c r="C82" s="2367"/>
      <c r="D82" s="822">
        <v>0</v>
      </c>
      <c r="E82" s="2367"/>
      <c r="F82" s="1088">
        <f t="shared" si="2"/>
        <v>0</v>
      </c>
      <c r="G82" s="823"/>
      <c r="H82" s="2215" t="s">
        <v>1766</v>
      </c>
      <c r="I82" s="814"/>
      <c r="J82" s="814"/>
    </row>
    <row r="83" spans="1:10" s="18" customFormat="1" ht="12.75" customHeight="1" x14ac:dyDescent="0.2">
      <c r="A83" s="821" t="s">
        <v>6578</v>
      </c>
      <c r="B83" s="822">
        <v>0</v>
      </c>
      <c r="C83" s="2367"/>
      <c r="D83" s="822">
        <v>0</v>
      </c>
      <c r="E83" s="2367"/>
      <c r="F83" s="1088">
        <f t="shared" si="2"/>
        <v>0</v>
      </c>
      <c r="G83" s="823"/>
      <c r="H83" s="2215" t="s">
        <v>1766</v>
      </c>
      <c r="I83" s="814"/>
      <c r="J83" s="814"/>
    </row>
    <row r="84" spans="1:10" s="18" customFormat="1" ht="12.75" customHeight="1" x14ac:dyDescent="0.2">
      <c r="A84" s="821" t="s">
        <v>6603</v>
      </c>
      <c r="B84" s="822">
        <v>0</v>
      </c>
      <c r="C84" s="2367"/>
      <c r="D84" s="822">
        <v>0</v>
      </c>
      <c r="E84" s="2367"/>
      <c r="F84" s="1088">
        <f t="shared" si="2"/>
        <v>0</v>
      </c>
      <c r="G84" s="823"/>
      <c r="H84" s="2215" t="s">
        <v>1766</v>
      </c>
      <c r="I84" s="814"/>
      <c r="J84" s="814"/>
    </row>
    <row r="85" spans="1:10" s="18" customFormat="1" ht="12.75" customHeight="1" x14ac:dyDescent="0.2">
      <c r="A85" s="821" t="s">
        <v>6579</v>
      </c>
      <c r="B85" s="822">
        <v>0</v>
      </c>
      <c r="C85" s="2367"/>
      <c r="D85" s="822">
        <v>0</v>
      </c>
      <c r="E85" s="2367"/>
      <c r="F85" s="1088">
        <f t="shared" si="2"/>
        <v>0</v>
      </c>
      <c r="G85" s="823"/>
      <c r="H85" s="2215" t="s">
        <v>1766</v>
      </c>
      <c r="I85" s="814"/>
      <c r="J85" s="814"/>
    </row>
    <row r="86" spans="1:10" s="18" customFormat="1" ht="12.75" customHeight="1" x14ac:dyDescent="0.2">
      <c r="A86" s="821" t="s">
        <v>6580</v>
      </c>
      <c r="B86" s="822">
        <v>0</v>
      </c>
      <c r="C86" s="2367"/>
      <c r="D86" s="822">
        <v>0</v>
      </c>
      <c r="E86" s="2367"/>
      <c r="F86" s="1088">
        <f t="shared" si="2"/>
        <v>0</v>
      </c>
      <c r="G86" s="823"/>
      <c r="H86" s="2215" t="s">
        <v>1766</v>
      </c>
      <c r="I86" s="814"/>
      <c r="J86" s="814"/>
    </row>
    <row r="87" spans="1:10" s="18" customFormat="1" ht="12.75" customHeight="1" x14ac:dyDescent="0.2">
      <c r="A87" s="821" t="s">
        <v>1792</v>
      </c>
      <c r="B87" s="822">
        <v>0</v>
      </c>
      <c r="C87" s="2367"/>
      <c r="D87" s="822">
        <v>0</v>
      </c>
      <c r="E87" s="2367"/>
      <c r="F87" s="1088">
        <f t="shared" si="2"/>
        <v>0</v>
      </c>
      <c r="G87" s="823"/>
      <c r="H87" s="2215" t="s">
        <v>1766</v>
      </c>
      <c r="I87" s="814"/>
      <c r="J87" s="814"/>
    </row>
    <row r="88" spans="1:10" s="18" customFormat="1" ht="14.1" customHeight="1" thickBot="1" x14ac:dyDescent="0.25">
      <c r="A88" s="828" t="s">
        <v>1793</v>
      </c>
      <c r="B88" s="1090">
        <f>B78+B79+B80+B81+B82+B83+B84+B85+B86+B87</f>
        <v>0</v>
      </c>
      <c r="C88" s="2367"/>
      <c r="D88" s="1090">
        <f>D78+D79+D80+D81+D82+D83+D84+D85+D86+D87</f>
        <v>0</v>
      </c>
      <c r="E88" s="2367"/>
      <c r="F88" s="1090">
        <f t="shared" si="2"/>
        <v>0</v>
      </c>
      <c r="G88" s="823"/>
      <c r="H88" s="138"/>
      <c r="I88" s="814"/>
      <c r="J88" s="814"/>
    </row>
    <row r="89" spans="1:10" s="18" customFormat="1" ht="9" customHeight="1" thickTop="1" x14ac:dyDescent="0.2">
      <c r="A89" s="828"/>
      <c r="B89" s="2367"/>
      <c r="C89" s="2367"/>
      <c r="D89" s="2367"/>
      <c r="E89" s="2367"/>
      <c r="F89" s="2367"/>
      <c r="G89" s="823"/>
      <c r="H89" s="138"/>
      <c r="I89" s="814"/>
      <c r="J89" s="814"/>
    </row>
    <row r="90" spans="1:10" s="18" customFormat="1" ht="14.1" customHeight="1" x14ac:dyDescent="0.2">
      <c r="A90" s="821" t="s">
        <v>1794</v>
      </c>
      <c r="B90" s="822">
        <v>0</v>
      </c>
      <c r="C90" s="2367"/>
      <c r="D90" s="822">
        <v>0</v>
      </c>
      <c r="E90" s="2367"/>
      <c r="F90" s="1088">
        <f>B90+D90</f>
        <v>0</v>
      </c>
      <c r="G90" s="823"/>
      <c r="H90" s="2215" t="s">
        <v>1766</v>
      </c>
      <c r="I90" s="814"/>
      <c r="J90" s="814"/>
    </row>
    <row r="91" spans="1:10" s="18" customFormat="1" ht="14.1" customHeight="1" x14ac:dyDescent="0.2">
      <c r="A91" s="821" t="s">
        <v>1795</v>
      </c>
      <c r="B91" s="822">
        <v>0</v>
      </c>
      <c r="C91" s="2367"/>
      <c r="D91" s="822">
        <v>0</v>
      </c>
      <c r="E91" s="2367"/>
      <c r="F91" s="1088">
        <f>B91+D91</f>
        <v>0</v>
      </c>
      <c r="G91" s="823"/>
      <c r="H91" s="2215" t="s">
        <v>1766</v>
      </c>
      <c r="I91" s="814"/>
      <c r="J91" s="814"/>
    </row>
    <row r="92" spans="1:10" s="18" customFormat="1" ht="14.1" customHeight="1" x14ac:dyDescent="0.2">
      <c r="A92" s="821" t="s">
        <v>1796</v>
      </c>
      <c r="B92" s="822">
        <v>0</v>
      </c>
      <c r="C92" s="2367"/>
      <c r="D92" s="822">
        <v>0</v>
      </c>
      <c r="E92" s="2367"/>
      <c r="F92" s="1088">
        <f>B92+D92</f>
        <v>0</v>
      </c>
      <c r="G92" s="823"/>
      <c r="H92" s="2215" t="s">
        <v>1766</v>
      </c>
      <c r="I92" s="814"/>
      <c r="J92" s="814"/>
    </row>
    <row r="93" spans="1:10" s="18" customFormat="1" ht="14.1" customHeight="1" x14ac:dyDescent="0.2">
      <c r="A93" s="821" t="s">
        <v>1797</v>
      </c>
      <c r="B93" s="822">
        <v>0</v>
      </c>
      <c r="C93" s="2367"/>
      <c r="D93" s="2367">
        <v>0</v>
      </c>
      <c r="E93" s="2367"/>
      <c r="F93" s="1088">
        <f>B93+D93</f>
        <v>0</v>
      </c>
      <c r="G93" s="823"/>
      <c r="H93" s="2215" t="s">
        <v>1766</v>
      </c>
      <c r="I93" s="814"/>
      <c r="J93" s="814"/>
    </row>
    <row r="94" spans="1:10" s="18" customFormat="1" ht="7.5" customHeight="1" x14ac:dyDescent="0.2">
      <c r="A94" s="821"/>
      <c r="B94" s="2367"/>
      <c r="C94" s="2367"/>
      <c r="D94" s="1010"/>
      <c r="E94" s="2367"/>
      <c r="F94" s="2367"/>
      <c r="G94" s="823"/>
      <c r="H94" s="138"/>
      <c r="I94" s="814"/>
      <c r="J94" s="814"/>
    </row>
    <row r="95" spans="1:10" s="18" customFormat="1" ht="14.1" customHeight="1" thickBot="1" x14ac:dyDescent="0.25">
      <c r="A95" s="828" t="s">
        <v>1798</v>
      </c>
      <c r="B95" s="2367" t="s">
        <v>50</v>
      </c>
      <c r="C95" s="2367"/>
      <c r="D95" s="1089">
        <f>D74-D88+D90+D91-D92+D93</f>
        <v>0</v>
      </c>
      <c r="E95" s="2367"/>
      <c r="F95" s="2367" t="s">
        <v>50</v>
      </c>
      <c r="G95" s="823"/>
      <c r="H95" s="138"/>
      <c r="I95" s="814"/>
      <c r="J95" s="814"/>
    </row>
    <row r="96" spans="1:10" s="18" customFormat="1" ht="10.35" customHeight="1" thickTop="1" x14ac:dyDescent="0.2">
      <c r="A96" s="814"/>
      <c r="B96" s="814"/>
      <c r="C96" s="814"/>
      <c r="D96" s="814"/>
      <c r="E96" s="814"/>
      <c r="F96" s="814"/>
      <c r="G96" s="814"/>
      <c r="H96" s="138"/>
      <c r="I96" s="814"/>
      <c r="J96" s="814"/>
    </row>
    <row r="97" spans="1:10" s="18" customFormat="1" ht="12.75" x14ac:dyDescent="0.2">
      <c r="A97" s="2863" t="s">
        <v>1799</v>
      </c>
      <c r="B97" s="2864"/>
      <c r="C97" s="2864"/>
      <c r="D97" s="2864"/>
      <c r="E97" s="2864"/>
      <c r="F97" s="2864"/>
      <c r="G97" s="2864"/>
      <c r="H97" s="2864"/>
      <c r="I97" s="2864"/>
      <c r="J97" s="2864"/>
    </row>
    <row r="98" spans="1:10" s="18" customFormat="1" ht="12.75" x14ac:dyDescent="0.2">
      <c r="A98" s="2372" t="s">
        <v>1800</v>
      </c>
      <c r="B98" s="2372"/>
      <c r="C98" s="2372"/>
      <c r="D98" s="2372"/>
      <c r="E98" s="2372"/>
      <c r="F98" s="2372"/>
      <c r="G98" s="2372"/>
      <c r="H98" s="2373"/>
      <c r="I98" s="2372"/>
      <c r="J98" s="2372"/>
    </row>
    <row r="99" spans="1:10" s="18" customFormat="1" ht="12.75" x14ac:dyDescent="0.2">
      <c r="H99"/>
    </row>
    <row r="100" spans="1:10" ht="15" x14ac:dyDescent="0.25">
      <c r="A100" s="2860" t="s">
        <v>1801</v>
      </c>
      <c r="B100" s="2860"/>
      <c r="C100" s="2860"/>
      <c r="D100" s="2860"/>
      <c r="E100" s="2860"/>
      <c r="F100" s="2860"/>
      <c r="G100" s="2860"/>
      <c r="H100" s="2860"/>
      <c r="I100" s="2860"/>
    </row>
    <row r="101" spans="1:10" ht="12.75" x14ac:dyDescent="0.2">
      <c r="A101" s="18"/>
      <c r="B101" s="2861"/>
      <c r="C101" s="2861"/>
      <c r="D101" s="2861"/>
      <c r="E101" s="2861"/>
      <c r="F101" s="2861"/>
      <c r="G101" s="18"/>
      <c r="H101" s="2178"/>
      <c r="I101" s="18"/>
    </row>
    <row r="102" spans="1:10" ht="12.75" x14ac:dyDescent="0.2">
      <c r="A102"/>
      <c r="B102" s="2287" t="s">
        <v>1757</v>
      </c>
      <c r="C102"/>
      <c r="D102"/>
      <c r="E102"/>
      <c r="F102" s="2287" t="s">
        <v>1758</v>
      </c>
      <c r="G102"/>
      <c r="H102"/>
      <c r="I102"/>
    </row>
    <row r="103" spans="1:10" ht="12.75" x14ac:dyDescent="0.2">
      <c r="A103"/>
      <c r="B103" s="423">
        <v>45108</v>
      </c>
      <c r="C103"/>
      <c r="D103" s="2317" t="s">
        <v>1760</v>
      </c>
      <c r="E103"/>
      <c r="F103" s="2317" t="s">
        <v>1761</v>
      </c>
      <c r="G103"/>
      <c r="H103" t="s">
        <v>1762</v>
      </c>
      <c r="I103"/>
    </row>
    <row r="104" spans="1:10" ht="12.75" x14ac:dyDescent="0.2">
      <c r="A104" s="965" t="s">
        <v>1763</v>
      </c>
      <c r="B104" s="824"/>
      <c r="C104" s="825"/>
      <c r="D104" s="825"/>
      <c r="E104" s="824"/>
      <c r="F104" s="2165"/>
      <c r="G104"/>
      <c r="H104"/>
      <c r="I104"/>
    </row>
    <row r="105" spans="1:10" ht="12.75" x14ac:dyDescent="0.2">
      <c r="A105" s="828" t="s">
        <v>1764</v>
      </c>
      <c r="B105" s="2169"/>
      <c r="C105" s="826"/>
      <c r="D105" s="2169">
        <v>0</v>
      </c>
      <c r="E105" s="826"/>
      <c r="F105" s="2169">
        <f>B105+D105</f>
        <v>0</v>
      </c>
      <c r="G105"/>
      <c r="H105"/>
      <c r="I105"/>
    </row>
    <row r="106" spans="1:10" ht="12.75" x14ac:dyDescent="0.2">
      <c r="A106" s="2214" t="s">
        <v>1765</v>
      </c>
      <c r="B106" s="822">
        <v>0</v>
      </c>
      <c r="C106" s="826"/>
      <c r="D106" s="822">
        <v>0</v>
      </c>
      <c r="E106" s="826"/>
      <c r="F106" s="1088">
        <f>B106+D106</f>
        <v>0</v>
      </c>
      <c r="G106"/>
      <c r="H106" s="2215" t="s">
        <v>1766</v>
      </c>
      <c r="I106"/>
    </row>
    <row r="107" spans="1:10" ht="12.75" x14ac:dyDescent="0.2">
      <c r="A107" s="2214" t="s">
        <v>1765</v>
      </c>
      <c r="B107" s="822"/>
      <c r="C107" s="826"/>
      <c r="D107" s="822"/>
      <c r="E107" s="826"/>
      <c r="F107" s="1088"/>
      <c r="G107"/>
      <c r="H107" s="2215" t="s">
        <v>1766</v>
      </c>
      <c r="I107"/>
    </row>
    <row r="108" spans="1:10" ht="12.75" x14ac:dyDescent="0.2">
      <c r="A108" s="2214" t="s">
        <v>1765</v>
      </c>
      <c r="B108" s="822">
        <v>0</v>
      </c>
      <c r="C108" s="826"/>
      <c r="D108" s="822">
        <v>0</v>
      </c>
      <c r="E108" s="826"/>
      <c r="F108" s="1088">
        <f t="shared" ref="F108:F115" si="3">B108+D108</f>
        <v>0</v>
      </c>
      <c r="G108"/>
      <c r="H108" s="2215" t="s">
        <v>1766</v>
      </c>
      <c r="I108"/>
    </row>
    <row r="109" spans="1:10" ht="12.75" x14ac:dyDescent="0.2">
      <c r="A109" s="2214" t="s">
        <v>1765</v>
      </c>
      <c r="B109" s="822">
        <v>0</v>
      </c>
      <c r="C109" s="826"/>
      <c r="D109" s="822">
        <v>0</v>
      </c>
      <c r="E109" s="826"/>
      <c r="F109" s="1088">
        <f t="shared" si="3"/>
        <v>0</v>
      </c>
      <c r="G109"/>
      <c r="H109" s="2215" t="s">
        <v>1766</v>
      </c>
      <c r="I109"/>
    </row>
    <row r="110" spans="1:10" ht="12.75" x14ac:dyDescent="0.2">
      <c r="A110" s="2214" t="s">
        <v>1765</v>
      </c>
      <c r="B110" s="822">
        <v>0</v>
      </c>
      <c r="C110" s="826"/>
      <c r="D110" s="822">
        <v>0</v>
      </c>
      <c r="E110" s="826"/>
      <c r="F110" s="1088">
        <f t="shared" si="3"/>
        <v>0</v>
      </c>
      <c r="G110"/>
      <c r="H110" s="2215" t="s">
        <v>1766</v>
      </c>
      <c r="I110"/>
    </row>
    <row r="111" spans="1:10" ht="12.75" x14ac:dyDescent="0.2">
      <c r="A111" s="828" t="s">
        <v>1767</v>
      </c>
      <c r="B111" s="2170">
        <f>SUM(B106:B110)</f>
        <v>0</v>
      </c>
      <c r="C111" s="826"/>
      <c r="D111" s="2170">
        <f>SUM(D106:D110)</f>
        <v>0</v>
      </c>
      <c r="E111" s="826"/>
      <c r="F111" s="1088">
        <f t="shared" si="3"/>
        <v>0</v>
      </c>
      <c r="G111"/>
      <c r="H111"/>
      <c r="I111"/>
    </row>
    <row r="112" spans="1:10" ht="12.75" x14ac:dyDescent="0.2">
      <c r="A112" s="828" t="s">
        <v>1768</v>
      </c>
      <c r="B112" s="2168">
        <v>0</v>
      </c>
      <c r="C112" s="2169"/>
      <c r="D112" s="2168">
        <v>0</v>
      </c>
      <c r="E112" s="2169"/>
      <c r="F112" s="2168">
        <f t="shared" si="3"/>
        <v>0</v>
      </c>
      <c r="G112"/>
      <c r="H112"/>
      <c r="I112"/>
    </row>
    <row r="113" spans="1:9" ht="12.75" x14ac:dyDescent="0.2">
      <c r="A113" s="2214" t="s">
        <v>1765</v>
      </c>
      <c r="B113" s="2166">
        <v>0</v>
      </c>
      <c r="C113" s="2170"/>
      <c r="D113" s="2166">
        <v>0</v>
      </c>
      <c r="E113" s="2170"/>
      <c r="F113" s="2167">
        <f t="shared" si="3"/>
        <v>0</v>
      </c>
      <c r="G113"/>
      <c r="H113" s="2215" t="s">
        <v>1766</v>
      </c>
      <c r="I113"/>
    </row>
    <row r="114" spans="1:9" ht="12.75" x14ac:dyDescent="0.2">
      <c r="A114" s="2214" t="s">
        <v>1765</v>
      </c>
      <c r="B114" s="2166">
        <v>0</v>
      </c>
      <c r="C114" s="2170"/>
      <c r="D114" s="2166">
        <v>0</v>
      </c>
      <c r="E114" s="2170"/>
      <c r="F114" s="2167">
        <f t="shared" si="3"/>
        <v>0</v>
      </c>
      <c r="G114"/>
      <c r="H114" s="2215" t="s">
        <v>1766</v>
      </c>
      <c r="I114"/>
    </row>
    <row r="115" spans="1:9" ht="13.5" thickBot="1" x14ac:dyDescent="0.25">
      <c r="A115" s="828" t="s">
        <v>1769</v>
      </c>
      <c r="B115" s="2171">
        <f>B111+B113+B114</f>
        <v>0</v>
      </c>
      <c r="C115" s="2170" t="s">
        <v>50</v>
      </c>
      <c r="D115" s="2171">
        <f>D111+D113+D114</f>
        <v>0</v>
      </c>
      <c r="E115" s="2170" t="s">
        <v>50</v>
      </c>
      <c r="F115" s="2171">
        <f t="shared" si="3"/>
        <v>0</v>
      </c>
      <c r="G115"/>
      <c r="H115"/>
      <c r="I115"/>
    </row>
    <row r="116" spans="1:9" ht="12.75" x14ac:dyDescent="0.2">
      <c r="A116" s="821"/>
      <c r="B116" s="2170"/>
      <c r="C116" s="2170"/>
      <c r="D116" s="2170"/>
      <c r="E116" s="2170"/>
      <c r="F116" s="2170"/>
      <c r="G116"/>
      <c r="H116"/>
      <c r="I116"/>
    </row>
    <row r="117" spans="1:9" ht="12.75" x14ac:dyDescent="0.2">
      <c r="A117" s="828" t="s">
        <v>1770</v>
      </c>
      <c r="B117" s="2170">
        <v>0</v>
      </c>
      <c r="C117" s="2170"/>
      <c r="D117" s="2170">
        <v>0</v>
      </c>
      <c r="E117" s="2170"/>
      <c r="F117" s="2169">
        <f>B117+D117</f>
        <v>0</v>
      </c>
      <c r="G117"/>
      <c r="H117"/>
      <c r="I117"/>
    </row>
    <row r="118" spans="1:9" ht="12.75" x14ac:dyDescent="0.2">
      <c r="A118" s="2214" t="s">
        <v>1765</v>
      </c>
      <c r="B118" s="2166">
        <v>0</v>
      </c>
      <c r="C118" s="2170"/>
      <c r="D118" s="2166">
        <v>0</v>
      </c>
      <c r="E118" s="2170"/>
      <c r="F118" s="2167">
        <f>B118+D118</f>
        <v>0</v>
      </c>
      <c r="G118"/>
      <c r="H118" s="2215" t="s">
        <v>1766</v>
      </c>
      <c r="I118"/>
    </row>
    <row r="119" spans="1:9" ht="12.75" x14ac:dyDescent="0.2">
      <c r="A119" s="821" t="s">
        <v>50</v>
      </c>
      <c r="B119" s="2170" t="s">
        <v>50</v>
      </c>
      <c r="C119" s="2170" t="s">
        <v>50</v>
      </c>
      <c r="D119" s="2170" t="s">
        <v>50</v>
      </c>
      <c r="E119" s="2170" t="s">
        <v>50</v>
      </c>
      <c r="F119" s="2170" t="s">
        <v>50</v>
      </c>
      <c r="G119"/>
      <c r="H119"/>
      <c r="I119"/>
    </row>
    <row r="120" spans="1:9" ht="12.75" x14ac:dyDescent="0.2">
      <c r="A120" s="828" t="s">
        <v>1771</v>
      </c>
      <c r="G120"/>
      <c r="H120"/>
      <c r="I120"/>
    </row>
    <row r="121" spans="1:9" ht="12.75" x14ac:dyDescent="0.2">
      <c r="A121" s="2214" t="s">
        <v>1765</v>
      </c>
      <c r="B121" s="2166">
        <v>0</v>
      </c>
      <c r="C121" s="2170"/>
      <c r="D121" s="2166">
        <v>0</v>
      </c>
      <c r="E121" s="2170"/>
      <c r="F121" s="2167">
        <f>B121+D121</f>
        <v>0</v>
      </c>
      <c r="G121"/>
      <c r="H121" s="2215" t="s">
        <v>1766</v>
      </c>
      <c r="I121"/>
    </row>
    <row r="122" spans="1:9" ht="12.75" x14ac:dyDescent="0.2">
      <c r="A122" s="2214" t="s">
        <v>1765</v>
      </c>
      <c r="B122" s="2166">
        <v>0</v>
      </c>
      <c r="C122" s="2170"/>
      <c r="D122" s="2166">
        <v>0</v>
      </c>
      <c r="E122" s="2170"/>
      <c r="F122" s="2167">
        <f>B122+D122</f>
        <v>0</v>
      </c>
      <c r="G122"/>
      <c r="H122" s="2215" t="s">
        <v>1766</v>
      </c>
      <c r="I122"/>
    </row>
    <row r="123" spans="1:9" ht="12.75" x14ac:dyDescent="0.2">
      <c r="A123" s="828" t="s">
        <v>1772</v>
      </c>
      <c r="B123" s="2170">
        <f>SUM(B121:B122)</f>
        <v>0</v>
      </c>
      <c r="C123" s="2170"/>
      <c r="D123" s="2170">
        <f>SUM(D121:D122)</f>
        <v>0</v>
      </c>
      <c r="E123" s="2170"/>
      <c r="F123" s="2167">
        <f>B123+D123</f>
        <v>0</v>
      </c>
      <c r="G123"/>
      <c r="H123"/>
      <c r="I123"/>
    </row>
    <row r="124" spans="1:9" ht="12.75" x14ac:dyDescent="0.2">
      <c r="A124" s="828" t="s">
        <v>1773</v>
      </c>
      <c r="B124" s="2168"/>
      <c r="C124" s="2170"/>
      <c r="D124" s="2168"/>
      <c r="E124" s="2170"/>
      <c r="F124" s="2168"/>
      <c r="G124"/>
      <c r="H124"/>
      <c r="I124"/>
    </row>
    <row r="125" spans="1:9" ht="12.75" x14ac:dyDescent="0.2">
      <c r="A125" s="2214" t="s">
        <v>1765</v>
      </c>
      <c r="B125" s="2166"/>
      <c r="C125" s="2170"/>
      <c r="D125" s="2166"/>
      <c r="E125" s="2170"/>
      <c r="F125" s="2167">
        <f>B125+D125</f>
        <v>0</v>
      </c>
      <c r="G125"/>
      <c r="H125" s="2215" t="s">
        <v>1766</v>
      </c>
      <c r="I125"/>
    </row>
    <row r="126" spans="1:9" ht="12.75" x14ac:dyDescent="0.2">
      <c r="A126" s="2214" t="s">
        <v>1765</v>
      </c>
      <c r="B126" s="2166">
        <v>0</v>
      </c>
      <c r="C126" s="2170"/>
      <c r="D126" s="2166">
        <v>0</v>
      </c>
      <c r="E126" s="2170"/>
      <c r="F126" s="2167">
        <f>B126+D126</f>
        <v>0</v>
      </c>
      <c r="G126" s="2165"/>
      <c r="H126" s="2215" t="s">
        <v>1766</v>
      </c>
      <c r="I126" s="18"/>
    </row>
    <row r="127" spans="1:9" ht="13.5" thickBot="1" x14ac:dyDescent="0.25">
      <c r="A127" s="828" t="s">
        <v>1774</v>
      </c>
      <c r="B127" s="2171">
        <f>B126+B125+B123</f>
        <v>0</v>
      </c>
      <c r="C127" s="2170" t="s">
        <v>50</v>
      </c>
      <c r="D127" s="2171">
        <f>D126+D125+D123</f>
        <v>0</v>
      </c>
      <c r="E127" s="2170" t="s">
        <v>50</v>
      </c>
      <c r="F127" s="2171">
        <f>F126+F125+F123</f>
        <v>0</v>
      </c>
      <c r="G127" s="827"/>
      <c r="H127"/>
      <c r="I127" s="18"/>
    </row>
    <row r="128" spans="1:9" ht="12.75" x14ac:dyDescent="0.2">
      <c r="A128" s="828" t="s">
        <v>1775</v>
      </c>
      <c r="B128" s="2170"/>
      <c r="C128" s="2170"/>
      <c r="D128" s="2170"/>
      <c r="E128" s="2170"/>
      <c r="F128" s="2170"/>
      <c r="G128" s="2169"/>
      <c r="H128"/>
      <c r="I128" s="18"/>
    </row>
    <row r="129" spans="1:16" ht="12.75" x14ac:dyDescent="0.2">
      <c r="A129" s="2214" t="s">
        <v>1765</v>
      </c>
      <c r="B129" s="2166">
        <v>0</v>
      </c>
      <c r="C129" s="2170" t="s">
        <v>50</v>
      </c>
      <c r="D129" s="2166">
        <v>0</v>
      </c>
      <c r="E129" s="2170" t="s">
        <v>50</v>
      </c>
      <c r="F129" s="2167">
        <f>B129+D129</f>
        <v>0</v>
      </c>
      <c r="G129" s="2169"/>
      <c r="H129" s="2215" t="s">
        <v>1766</v>
      </c>
      <c r="I129" s="18"/>
    </row>
    <row r="130" spans="1:16" ht="12.75" x14ac:dyDescent="0.2">
      <c r="A130" s="828" t="s">
        <v>1776</v>
      </c>
      <c r="B130" s="2170"/>
      <c r="C130" s="2170"/>
      <c r="D130" s="2170"/>
      <c r="E130" s="2170"/>
      <c r="F130" s="2170"/>
      <c r="G130" s="2169"/>
      <c r="H130"/>
      <c r="I130" s="18"/>
    </row>
    <row r="131" spans="1:16" ht="12.75" x14ac:dyDescent="0.2">
      <c r="A131" s="821" t="s">
        <v>1777</v>
      </c>
      <c r="B131" s="2166">
        <v>0</v>
      </c>
      <c r="C131" s="2170"/>
      <c r="D131" s="2166">
        <v>0</v>
      </c>
      <c r="E131" s="2170"/>
      <c r="F131" s="2167">
        <f>B131+D131</f>
        <v>0</v>
      </c>
      <c r="G131" s="2169"/>
      <c r="H131" s="2215" t="s">
        <v>1766</v>
      </c>
      <c r="I131" s="18"/>
    </row>
    <row r="132" spans="1:16" ht="12.75" x14ac:dyDescent="0.2">
      <c r="A132" s="821" t="s">
        <v>1778</v>
      </c>
      <c r="B132" s="2172">
        <v>0</v>
      </c>
      <c r="C132" s="2170"/>
      <c r="D132" s="2166">
        <v>0</v>
      </c>
      <c r="E132" s="2170"/>
      <c r="F132" s="2167">
        <f>B132+D132</f>
        <v>0</v>
      </c>
      <c r="G132" s="2169"/>
      <c r="H132" s="2215" t="s">
        <v>1766</v>
      </c>
      <c r="I132" s="18"/>
    </row>
    <row r="133" spans="1:16" ht="12.75" x14ac:dyDescent="0.2">
      <c r="A133" s="821" t="s">
        <v>1779</v>
      </c>
      <c r="B133" s="2166">
        <v>0</v>
      </c>
      <c r="C133" s="2170"/>
      <c r="D133" s="2166">
        <v>0</v>
      </c>
      <c r="E133" s="2170"/>
      <c r="F133" s="2167">
        <f>B133+D133</f>
        <v>0</v>
      </c>
      <c r="G133" s="2169"/>
      <c r="H133" s="2215" t="s">
        <v>1766</v>
      </c>
      <c r="I133" s="18"/>
    </row>
    <row r="134" spans="1:16" ht="13.5" thickBot="1" x14ac:dyDescent="0.25">
      <c r="A134" s="828" t="s">
        <v>1641</v>
      </c>
      <c r="B134" s="2173">
        <f>B131+B132+B133</f>
        <v>0</v>
      </c>
      <c r="C134" s="2170"/>
      <c r="D134" s="2173">
        <f>SUM(D131:D133)</f>
        <v>0</v>
      </c>
      <c r="E134" s="2170"/>
      <c r="F134" s="2173">
        <f>F131+F132+F133</f>
        <v>0</v>
      </c>
      <c r="G134" s="2169"/>
      <c r="H134"/>
      <c r="I134" s="18"/>
    </row>
    <row r="135" spans="1:16" ht="13.5" thickTop="1" x14ac:dyDescent="0.2">
      <c r="A135" s="821"/>
      <c r="B135" s="2170"/>
      <c r="C135" s="2170"/>
      <c r="D135" s="2170"/>
      <c r="E135" s="2170"/>
      <c r="F135" s="2170"/>
      <c r="G135" s="2169"/>
      <c r="H135"/>
      <c r="I135" s="18"/>
    </row>
    <row r="136" spans="1:16" ht="13.5" thickBot="1" x14ac:dyDescent="0.25">
      <c r="A136" s="966" t="s">
        <v>1780</v>
      </c>
      <c r="B136" s="2170"/>
      <c r="C136" s="2170"/>
      <c r="D136" s="1089">
        <f>SUM(D115+D118)-SUM(D127+D129)</f>
        <v>0</v>
      </c>
      <c r="E136" s="2170"/>
      <c r="F136" s="2170"/>
      <c r="G136" s="2169"/>
      <c r="H136"/>
      <c r="I136" s="18"/>
      <c r="P136" s="2216"/>
    </row>
    <row r="137" spans="1:16" ht="13.5" thickTop="1" x14ac:dyDescent="0.2">
      <c r="A137" s="821"/>
      <c r="B137" s="2170"/>
      <c r="C137" s="2170"/>
      <c r="D137" s="2170"/>
      <c r="E137" s="2170"/>
      <c r="F137" s="2170"/>
      <c r="G137" s="2169"/>
      <c r="H137"/>
      <c r="I137" s="18"/>
      <c r="J137" s="2216"/>
    </row>
    <row r="138" spans="1:16" ht="12.75" x14ac:dyDescent="0.2">
      <c r="A138" s="965" t="s">
        <v>1781</v>
      </c>
      <c r="B138" s="2170"/>
      <c r="C138" s="2170"/>
      <c r="D138" s="2170"/>
      <c r="E138" s="2170"/>
      <c r="F138" s="2170"/>
      <c r="G138" s="2169"/>
      <c r="H138"/>
      <c r="I138" s="18"/>
    </row>
    <row r="139" spans="1:16" ht="12.75" x14ac:dyDescent="0.2">
      <c r="A139" s="967" t="s">
        <v>1782</v>
      </c>
      <c r="B139" s="2170"/>
      <c r="C139" s="2170"/>
      <c r="D139" s="2170"/>
      <c r="E139" s="2170"/>
      <c r="F139" s="2170"/>
      <c r="G139" s="2169"/>
      <c r="H139"/>
      <c r="I139" s="18"/>
    </row>
    <row r="140" spans="1:16" ht="12.75" x14ac:dyDescent="0.2">
      <c r="A140" s="828" t="s">
        <v>1783</v>
      </c>
      <c r="B140" s="2170"/>
      <c r="C140" s="2170"/>
      <c r="D140" s="2170"/>
      <c r="E140" s="2170"/>
      <c r="F140" s="2170"/>
      <c r="G140" s="2169"/>
      <c r="H140"/>
      <c r="I140" s="18"/>
    </row>
    <row r="141" spans="1:16" ht="12.75" x14ac:dyDescent="0.2">
      <c r="A141" s="821" t="s">
        <v>6558</v>
      </c>
      <c r="B141" s="2166">
        <v>0</v>
      </c>
      <c r="C141" s="2170"/>
      <c r="D141" s="2166">
        <v>0</v>
      </c>
      <c r="E141" s="2170"/>
      <c r="F141" s="2167">
        <f>B141+D141</f>
        <v>0</v>
      </c>
      <c r="G141" s="2169"/>
      <c r="H141" s="2215" t="s">
        <v>1766</v>
      </c>
      <c r="I141" s="18"/>
    </row>
    <row r="142" spans="1:16" ht="12.75" x14ac:dyDescent="0.2">
      <c r="A142" s="821" t="s">
        <v>6559</v>
      </c>
      <c r="B142" s="2166">
        <v>0</v>
      </c>
      <c r="C142" s="2170"/>
      <c r="D142" s="2166">
        <v>0</v>
      </c>
      <c r="E142" s="2170"/>
      <c r="F142" s="2167">
        <f>B142+D142</f>
        <v>0</v>
      </c>
      <c r="G142" s="2169"/>
      <c r="H142" s="2215" t="s">
        <v>1766</v>
      </c>
      <c r="I142" s="18"/>
    </row>
    <row r="143" spans="1:16" ht="12.75" x14ac:dyDescent="0.2">
      <c r="A143" s="821" t="s">
        <v>6560</v>
      </c>
      <c r="B143" s="2166">
        <v>0</v>
      </c>
      <c r="C143" s="2170"/>
      <c r="D143" s="2166">
        <v>0</v>
      </c>
      <c r="E143" s="2170"/>
      <c r="F143" s="2167">
        <f>B143+D143</f>
        <v>0</v>
      </c>
      <c r="G143" s="2169"/>
      <c r="H143" s="2215" t="s">
        <v>1766</v>
      </c>
      <c r="I143" s="18"/>
    </row>
    <row r="144" spans="1:16" ht="12.75" x14ac:dyDescent="0.2">
      <c r="A144" s="821" t="s">
        <v>6561</v>
      </c>
      <c r="B144" s="2166">
        <v>0</v>
      </c>
      <c r="C144" s="2170"/>
      <c r="D144" s="2166">
        <v>0</v>
      </c>
      <c r="E144" s="2170"/>
      <c r="F144" s="2167">
        <f>B144+D144</f>
        <v>0</v>
      </c>
      <c r="G144" s="2169"/>
      <c r="H144" s="2215" t="s">
        <v>1766</v>
      </c>
      <c r="I144" s="18"/>
    </row>
    <row r="145" spans="1:10" ht="12.75" x14ac:dyDescent="0.2">
      <c r="A145" s="828" t="s">
        <v>1784</v>
      </c>
      <c r="B145" s="2170">
        <v>0</v>
      </c>
      <c r="C145" s="2170"/>
      <c r="D145" s="2170">
        <v>0</v>
      </c>
      <c r="E145" s="2170"/>
      <c r="F145" s="2170" t="s">
        <v>50</v>
      </c>
      <c r="G145" s="2169"/>
      <c r="H145"/>
      <c r="I145" s="18"/>
    </row>
    <row r="146" spans="1:10" ht="12.75" x14ac:dyDescent="0.2">
      <c r="A146" s="821" t="s">
        <v>6562</v>
      </c>
      <c r="B146" s="2166">
        <v>0</v>
      </c>
      <c r="C146" s="2170"/>
      <c r="D146" s="2166">
        <v>0</v>
      </c>
      <c r="E146" s="2170"/>
      <c r="F146" s="2167">
        <f>B146+D146</f>
        <v>0</v>
      </c>
      <c r="G146" s="2169"/>
      <c r="H146" s="2215" t="s">
        <v>1766</v>
      </c>
      <c r="I146" s="18"/>
    </row>
    <row r="147" spans="1:10" ht="12.75" x14ac:dyDescent="0.2">
      <c r="A147" s="828" t="s">
        <v>1785</v>
      </c>
      <c r="B147" s="2170"/>
      <c r="C147" s="2170"/>
      <c r="D147" s="2170">
        <v>0</v>
      </c>
      <c r="E147" s="2170"/>
      <c r="F147" s="2170"/>
      <c r="G147" s="2169"/>
      <c r="H147"/>
      <c r="I147" s="18"/>
    </row>
    <row r="148" spans="1:10" ht="12.75" x14ac:dyDescent="0.2">
      <c r="A148" s="821" t="s">
        <v>6563</v>
      </c>
      <c r="B148" s="2166">
        <v>0</v>
      </c>
      <c r="C148" s="2170"/>
      <c r="D148" s="2166">
        <v>0</v>
      </c>
      <c r="E148" s="2170"/>
      <c r="F148" s="2167">
        <f t="shared" ref="F148:F158" si="4">B148+D148</f>
        <v>0</v>
      </c>
      <c r="G148" s="2169"/>
      <c r="H148" s="2215" t="s">
        <v>1766</v>
      </c>
      <c r="I148" s="18"/>
    </row>
    <row r="149" spans="1:10" ht="12.75" x14ac:dyDescent="0.2">
      <c r="A149" s="821" t="s">
        <v>6564</v>
      </c>
      <c r="B149" s="2166">
        <v>0</v>
      </c>
      <c r="C149" s="2170"/>
      <c r="D149" s="2166">
        <v>0</v>
      </c>
      <c r="E149" s="2170"/>
      <c r="F149" s="2167">
        <f t="shared" si="4"/>
        <v>0</v>
      </c>
      <c r="G149" s="2169"/>
      <c r="H149" s="2215" t="s">
        <v>1766</v>
      </c>
      <c r="I149" s="18"/>
    </row>
    <row r="150" spans="1:10" ht="12.75" x14ac:dyDescent="0.2">
      <c r="A150" s="821" t="s">
        <v>6565</v>
      </c>
      <c r="B150" s="2166">
        <v>0</v>
      </c>
      <c r="C150" s="2170"/>
      <c r="D150" s="2166">
        <v>0</v>
      </c>
      <c r="E150" s="2170"/>
      <c r="F150" s="2167">
        <f t="shared" si="4"/>
        <v>0</v>
      </c>
      <c r="G150" s="2169"/>
      <c r="H150" s="2215" t="s">
        <v>1766</v>
      </c>
      <c r="I150" s="18"/>
    </row>
    <row r="151" spans="1:10" ht="12.75" x14ac:dyDescent="0.2">
      <c r="A151" s="821" t="s">
        <v>6566</v>
      </c>
      <c r="B151" s="2166">
        <v>0</v>
      </c>
      <c r="C151" s="2170"/>
      <c r="D151" s="2166">
        <v>0</v>
      </c>
      <c r="E151" s="2170"/>
      <c r="F151" s="2167">
        <f t="shared" si="4"/>
        <v>0</v>
      </c>
      <c r="G151" s="2169"/>
      <c r="H151" s="2215" t="s">
        <v>1766</v>
      </c>
      <c r="I151" s="18"/>
    </row>
    <row r="152" spans="1:10" ht="12.75" x14ac:dyDescent="0.2">
      <c r="A152" s="821" t="s">
        <v>6567</v>
      </c>
      <c r="B152" s="2166">
        <v>0</v>
      </c>
      <c r="C152" s="2170"/>
      <c r="D152" s="2166">
        <v>0</v>
      </c>
      <c r="E152" s="2170"/>
      <c r="F152" s="2167">
        <f t="shared" si="4"/>
        <v>0</v>
      </c>
      <c r="G152" s="2169"/>
      <c r="H152" s="2215" t="s">
        <v>1766</v>
      </c>
      <c r="I152" s="18"/>
    </row>
    <row r="153" spans="1:10" ht="12.75" x14ac:dyDescent="0.2">
      <c r="A153" s="821" t="s">
        <v>6568</v>
      </c>
      <c r="B153" s="2166">
        <v>0</v>
      </c>
      <c r="C153" s="2170"/>
      <c r="D153" s="2166">
        <v>0</v>
      </c>
      <c r="E153" s="2170"/>
      <c r="F153" s="2167">
        <f t="shared" si="4"/>
        <v>0</v>
      </c>
      <c r="G153" s="2169"/>
      <c r="H153" s="2215" t="s">
        <v>1766</v>
      </c>
      <c r="I153" s="18"/>
    </row>
    <row r="154" spans="1:10" ht="12.75" x14ac:dyDescent="0.2">
      <c r="A154" s="821" t="s">
        <v>6569</v>
      </c>
      <c r="B154" s="2166">
        <v>0</v>
      </c>
      <c r="C154" s="2170"/>
      <c r="D154" s="2166">
        <v>0</v>
      </c>
      <c r="E154" s="2170"/>
      <c r="F154" s="2167">
        <f t="shared" si="4"/>
        <v>0</v>
      </c>
      <c r="G154" s="2169"/>
      <c r="H154" s="2215" t="s">
        <v>1766</v>
      </c>
      <c r="I154" s="18"/>
      <c r="J154" s="2216"/>
    </row>
    <row r="155" spans="1:10" ht="12.75" x14ac:dyDescent="0.2">
      <c r="A155" s="821" t="s">
        <v>6570</v>
      </c>
      <c r="B155" s="2166">
        <v>0</v>
      </c>
      <c r="C155" s="2170"/>
      <c r="D155" s="2166">
        <v>0</v>
      </c>
      <c r="E155" s="2170"/>
      <c r="F155" s="2167">
        <f t="shared" si="4"/>
        <v>0</v>
      </c>
      <c r="G155" s="2169"/>
      <c r="H155" s="2215" t="s">
        <v>1766</v>
      </c>
      <c r="I155" s="18"/>
    </row>
    <row r="156" spans="1:10" ht="12.75" x14ac:dyDescent="0.2">
      <c r="A156" s="821" t="s">
        <v>6571</v>
      </c>
      <c r="B156" s="2166">
        <v>0</v>
      </c>
      <c r="C156" s="2170"/>
      <c r="D156" s="2166">
        <v>0</v>
      </c>
      <c r="E156" s="2170"/>
      <c r="F156" s="2167">
        <f t="shared" si="4"/>
        <v>0</v>
      </c>
      <c r="G156" s="2169"/>
      <c r="H156" s="2215" t="s">
        <v>1766</v>
      </c>
      <c r="I156" s="18"/>
    </row>
    <row r="157" spans="1:10" ht="12.75" x14ac:dyDescent="0.2">
      <c r="A157" s="821" t="s">
        <v>6572</v>
      </c>
      <c r="B157" s="2166">
        <v>0</v>
      </c>
      <c r="C157" s="2170"/>
      <c r="D157" s="2166">
        <v>0</v>
      </c>
      <c r="E157" s="2170"/>
      <c r="F157" s="2167">
        <f t="shared" si="4"/>
        <v>0</v>
      </c>
      <c r="G157" s="2169"/>
      <c r="H157" s="2215" t="s">
        <v>1766</v>
      </c>
      <c r="I157" s="18"/>
    </row>
    <row r="158" spans="1:10" ht="12.75" x14ac:dyDescent="0.2">
      <c r="A158" s="821" t="s">
        <v>1786</v>
      </c>
      <c r="B158" s="2166">
        <v>0</v>
      </c>
      <c r="C158" s="2170"/>
      <c r="D158" s="2166">
        <v>0</v>
      </c>
      <c r="E158" s="2170"/>
      <c r="F158" s="2167">
        <f t="shared" si="4"/>
        <v>0</v>
      </c>
      <c r="G158" s="2169"/>
      <c r="H158" s="2215" t="s">
        <v>1766</v>
      </c>
      <c r="I158" s="18"/>
    </row>
    <row r="159" spans="1:10" ht="12.75" x14ac:dyDescent="0.2">
      <c r="A159" s="821" t="s">
        <v>1787</v>
      </c>
      <c r="B159" s="2166">
        <v>0</v>
      </c>
      <c r="C159" s="2170"/>
      <c r="D159" s="2166">
        <v>0</v>
      </c>
      <c r="E159" s="2170"/>
      <c r="F159" s="2167">
        <f>B159+D159</f>
        <v>0</v>
      </c>
      <c r="G159" s="2169"/>
      <c r="H159" s="2215" t="s">
        <v>1766</v>
      </c>
      <c r="I159" s="18"/>
    </row>
    <row r="160" spans="1:10" ht="12.75" x14ac:dyDescent="0.2">
      <c r="A160" s="821" t="s">
        <v>1788</v>
      </c>
      <c r="B160" s="2166">
        <v>0</v>
      </c>
      <c r="C160" s="2170"/>
      <c r="D160" s="2166">
        <v>0</v>
      </c>
      <c r="E160" s="2170"/>
      <c r="F160" s="2167">
        <f>B160+D160</f>
        <v>0</v>
      </c>
      <c r="G160" s="2169"/>
      <c r="H160" s="2215" t="s">
        <v>1766</v>
      </c>
      <c r="I160" s="18"/>
    </row>
    <row r="161" spans="1:9" ht="13.5" thickBot="1" x14ac:dyDescent="0.25">
      <c r="A161" s="828" t="s">
        <v>1789</v>
      </c>
      <c r="B161" s="2173">
        <f>B141+B142+B143+B144+B146+B148+B149+B150+B151+B152+B153+B154+B155+B156+B157+B158+B159+B160</f>
        <v>0</v>
      </c>
      <c r="C161" s="2170"/>
      <c r="D161" s="2173">
        <f>D141+D142+D143+D144+D146+D148+D149+D150+D151+D152+D153+D154+D155+D156+D157+D158+D159+D160</f>
        <v>0</v>
      </c>
      <c r="E161" s="2170"/>
      <c r="F161" s="2173">
        <f>F141+F142+F143+F144+F146+F148+F149+F150+F151+F152+F153+F154+F155+F156+F157+F158+F159+F160</f>
        <v>0</v>
      </c>
      <c r="G161" s="2169"/>
      <c r="H161"/>
      <c r="I161" s="18"/>
    </row>
    <row r="162" spans="1:9" ht="13.5" thickTop="1" x14ac:dyDescent="0.2">
      <c r="A162" s="821"/>
      <c r="B162" s="2170"/>
      <c r="C162" s="2170"/>
      <c r="D162" s="2170"/>
      <c r="E162" s="2170"/>
      <c r="F162" s="2170"/>
      <c r="G162" s="2169"/>
      <c r="H162"/>
      <c r="I162" s="18"/>
    </row>
    <row r="163" spans="1:9" ht="12.75" x14ac:dyDescent="0.2">
      <c r="A163" s="967" t="s">
        <v>1790</v>
      </c>
      <c r="B163" s="2170"/>
      <c r="C163" s="2170"/>
      <c r="D163" s="2170"/>
      <c r="E163" s="2170"/>
      <c r="F163" s="2170"/>
      <c r="G163" s="2169"/>
      <c r="H163"/>
      <c r="I163" s="18"/>
    </row>
    <row r="164" spans="1:9" ht="12.75" x14ac:dyDescent="0.2">
      <c r="A164" s="821" t="s">
        <v>1791</v>
      </c>
      <c r="B164" s="2170" t="s">
        <v>50</v>
      </c>
      <c r="C164" s="2170" t="s">
        <v>50</v>
      </c>
      <c r="D164" s="2170" t="s">
        <v>50</v>
      </c>
      <c r="E164" s="2170" t="s">
        <v>50</v>
      </c>
      <c r="F164" s="2170" t="s">
        <v>50</v>
      </c>
      <c r="G164" s="2169"/>
      <c r="H164"/>
      <c r="I164" s="18"/>
    </row>
    <row r="165" spans="1:9" ht="12.75" x14ac:dyDescent="0.2">
      <c r="A165" s="821" t="s">
        <v>6573</v>
      </c>
      <c r="B165" s="2166">
        <v>0</v>
      </c>
      <c r="C165" s="2170"/>
      <c r="D165" s="2166">
        <v>0</v>
      </c>
      <c r="E165" s="2170"/>
      <c r="F165" s="2167">
        <f t="shared" ref="F165:F175" si="5">B165+D165</f>
        <v>0</v>
      </c>
      <c r="G165" s="2169"/>
      <c r="H165" s="2215" t="s">
        <v>1766</v>
      </c>
      <c r="I165" s="18"/>
    </row>
    <row r="166" spans="1:9" ht="12.75" x14ac:dyDescent="0.2">
      <c r="A166" s="821" t="s">
        <v>6574</v>
      </c>
      <c r="B166" s="2166">
        <v>0</v>
      </c>
      <c r="C166" s="2170"/>
      <c r="D166" s="2166">
        <v>0</v>
      </c>
      <c r="E166" s="2170"/>
      <c r="F166" s="2167">
        <f t="shared" si="5"/>
        <v>0</v>
      </c>
      <c r="G166" s="2169"/>
      <c r="H166" s="2215" t="s">
        <v>1766</v>
      </c>
      <c r="I166" s="18"/>
    </row>
    <row r="167" spans="1:9" ht="12.75" x14ac:dyDescent="0.2">
      <c r="A167" s="821" t="s">
        <v>6575</v>
      </c>
      <c r="B167" s="2166">
        <v>0</v>
      </c>
      <c r="C167" s="2170"/>
      <c r="D167" s="2166">
        <v>0</v>
      </c>
      <c r="E167" s="2170"/>
      <c r="F167" s="2167">
        <f t="shared" si="5"/>
        <v>0</v>
      </c>
      <c r="G167" s="2169"/>
      <c r="H167" s="2215" t="s">
        <v>1766</v>
      </c>
      <c r="I167" s="18"/>
    </row>
    <row r="168" spans="1:9" ht="12.75" x14ac:dyDescent="0.2">
      <c r="A168" s="821" t="s">
        <v>6576</v>
      </c>
      <c r="B168" s="2166">
        <v>0</v>
      </c>
      <c r="C168" s="2170"/>
      <c r="D168" s="2166">
        <v>0</v>
      </c>
      <c r="E168" s="2170"/>
      <c r="F168" s="2167">
        <f t="shared" si="5"/>
        <v>0</v>
      </c>
      <c r="G168" s="2169"/>
      <c r="H168" s="2215" t="s">
        <v>1766</v>
      </c>
      <c r="I168" s="18"/>
    </row>
    <row r="169" spans="1:9" ht="12.75" x14ac:dyDescent="0.2">
      <c r="A169" s="821" t="s">
        <v>6577</v>
      </c>
      <c r="B169" s="2166">
        <v>0</v>
      </c>
      <c r="C169" s="2170"/>
      <c r="D169" s="2166">
        <v>0</v>
      </c>
      <c r="E169" s="2170"/>
      <c r="F169" s="2167">
        <f t="shared" si="5"/>
        <v>0</v>
      </c>
      <c r="G169" s="2169"/>
      <c r="H169" s="2215" t="s">
        <v>1766</v>
      </c>
      <c r="I169" s="18"/>
    </row>
    <row r="170" spans="1:9" ht="12.75" x14ac:dyDescent="0.2">
      <c r="A170" s="821" t="s">
        <v>6578</v>
      </c>
      <c r="B170" s="2166">
        <v>0</v>
      </c>
      <c r="C170" s="2170"/>
      <c r="D170" s="2166">
        <v>0</v>
      </c>
      <c r="E170" s="2170"/>
      <c r="F170" s="2167">
        <f t="shared" si="5"/>
        <v>0</v>
      </c>
      <c r="G170" s="2169"/>
      <c r="H170" s="2215" t="s">
        <v>1766</v>
      </c>
      <c r="I170" s="18"/>
    </row>
    <row r="171" spans="1:9" ht="12.75" x14ac:dyDescent="0.2">
      <c r="A171" s="821" t="s">
        <v>6603</v>
      </c>
      <c r="B171" s="2166">
        <v>0</v>
      </c>
      <c r="C171" s="2170"/>
      <c r="D171" s="2166">
        <v>0</v>
      </c>
      <c r="E171" s="2170"/>
      <c r="F171" s="2167">
        <f t="shared" si="5"/>
        <v>0</v>
      </c>
      <c r="G171" s="2169"/>
      <c r="H171" s="2215" t="s">
        <v>1766</v>
      </c>
      <c r="I171" s="18"/>
    </row>
    <row r="172" spans="1:9" ht="12.75" x14ac:dyDescent="0.2">
      <c r="A172" s="821" t="s">
        <v>6579</v>
      </c>
      <c r="B172" s="2166">
        <v>0</v>
      </c>
      <c r="C172" s="2170"/>
      <c r="D172" s="2166">
        <v>0</v>
      </c>
      <c r="E172" s="2170"/>
      <c r="F172" s="2167">
        <f t="shared" si="5"/>
        <v>0</v>
      </c>
      <c r="G172" s="2169"/>
      <c r="H172" s="2215" t="s">
        <v>1766</v>
      </c>
      <c r="I172" s="18"/>
    </row>
    <row r="173" spans="1:9" ht="12.75" x14ac:dyDescent="0.2">
      <c r="A173" s="821" t="s">
        <v>6580</v>
      </c>
      <c r="B173" s="2166">
        <v>0</v>
      </c>
      <c r="C173" s="2170"/>
      <c r="D173" s="2166">
        <v>0</v>
      </c>
      <c r="E173" s="2170"/>
      <c r="F173" s="2167">
        <f t="shared" si="5"/>
        <v>0</v>
      </c>
      <c r="G173" s="2169"/>
      <c r="H173" s="2215" t="s">
        <v>1766</v>
      </c>
      <c r="I173" s="18"/>
    </row>
    <row r="174" spans="1:9" ht="12.75" x14ac:dyDescent="0.2">
      <c r="A174" s="821" t="s">
        <v>1792</v>
      </c>
      <c r="B174" s="2166">
        <v>0</v>
      </c>
      <c r="C174" s="2170"/>
      <c r="D174" s="2166">
        <v>0</v>
      </c>
      <c r="E174" s="2170"/>
      <c r="F174" s="2167">
        <f t="shared" si="5"/>
        <v>0</v>
      </c>
      <c r="G174" s="2169"/>
      <c r="H174" s="2215" t="s">
        <v>1766</v>
      </c>
      <c r="I174" s="18"/>
    </row>
    <row r="175" spans="1:9" ht="13.5" thickBot="1" x14ac:dyDescent="0.25">
      <c r="A175" s="828" t="s">
        <v>1793</v>
      </c>
      <c r="B175" s="2173">
        <f>B165+B166+B167+B168+B169+B170+B171+B172+B173+B174</f>
        <v>0</v>
      </c>
      <c r="C175" s="2170"/>
      <c r="D175" s="2173">
        <f>D165+D166+D167+D168+D169+D170+D171+D172+D173+D174</f>
        <v>0</v>
      </c>
      <c r="E175" s="2170"/>
      <c r="F175" s="2173">
        <f t="shared" si="5"/>
        <v>0</v>
      </c>
      <c r="G175" s="2169"/>
      <c r="H175"/>
      <c r="I175" s="18"/>
    </row>
    <row r="176" spans="1:9" ht="13.5" thickTop="1" x14ac:dyDescent="0.2">
      <c r="A176" s="828"/>
      <c r="B176" s="2170"/>
      <c r="C176" s="2170"/>
      <c r="D176" s="2170"/>
      <c r="E176" s="2170"/>
      <c r="F176" s="2170"/>
      <c r="G176" s="2169"/>
      <c r="H176"/>
      <c r="I176" s="18"/>
    </row>
    <row r="177" spans="1:9" ht="12.75" x14ac:dyDescent="0.2">
      <c r="A177" s="821" t="s">
        <v>1794</v>
      </c>
      <c r="B177" s="2166">
        <v>0</v>
      </c>
      <c r="C177" s="2170"/>
      <c r="D177" s="2166">
        <v>0</v>
      </c>
      <c r="E177" s="2170"/>
      <c r="F177" s="2167">
        <f>B177+D177</f>
        <v>0</v>
      </c>
      <c r="G177" s="2169"/>
      <c r="H177" s="2215" t="s">
        <v>1766</v>
      </c>
      <c r="I177" s="18"/>
    </row>
    <row r="178" spans="1:9" ht="12.75" x14ac:dyDescent="0.2">
      <c r="A178" s="821" t="s">
        <v>1795</v>
      </c>
      <c r="B178" s="2166">
        <v>0</v>
      </c>
      <c r="C178" s="2170"/>
      <c r="D178" s="2166">
        <v>0</v>
      </c>
      <c r="E178" s="2170"/>
      <c r="F178" s="2167">
        <f>B178+D178</f>
        <v>0</v>
      </c>
      <c r="G178" s="2169"/>
      <c r="H178" s="2215" t="s">
        <v>1766</v>
      </c>
      <c r="I178" s="18"/>
    </row>
    <row r="179" spans="1:9" ht="12.75" x14ac:dyDescent="0.2">
      <c r="A179" s="821" t="s">
        <v>1796</v>
      </c>
      <c r="B179" s="2166">
        <v>0</v>
      </c>
      <c r="C179" s="2170"/>
      <c r="D179" s="2166">
        <v>0</v>
      </c>
      <c r="E179" s="2170"/>
      <c r="F179" s="2167">
        <f>B179+D179</f>
        <v>0</v>
      </c>
      <c r="G179" s="2169"/>
      <c r="H179" s="2215" t="s">
        <v>1766</v>
      </c>
      <c r="I179" s="18"/>
    </row>
    <row r="180" spans="1:9" ht="12.75" x14ac:dyDescent="0.2">
      <c r="A180" s="821" t="s">
        <v>1797</v>
      </c>
      <c r="B180" s="2166">
        <v>0</v>
      </c>
      <c r="C180" s="2170"/>
      <c r="D180" s="2170">
        <v>0</v>
      </c>
      <c r="E180" s="2170"/>
      <c r="F180" s="2167">
        <f>B180+D180</f>
        <v>0</v>
      </c>
      <c r="G180" s="2169"/>
      <c r="H180" s="2215" t="s">
        <v>1766</v>
      </c>
      <c r="I180" s="18"/>
    </row>
    <row r="181" spans="1:9" ht="12.75" x14ac:dyDescent="0.2">
      <c r="A181" s="821"/>
      <c r="B181" s="2170"/>
      <c r="C181" s="2170"/>
      <c r="D181" s="2174"/>
      <c r="E181" s="2170"/>
      <c r="F181" s="2170"/>
      <c r="G181" s="2169"/>
      <c r="H181"/>
      <c r="I181" s="18"/>
    </row>
    <row r="182" spans="1:9" ht="13.5" thickBot="1" x14ac:dyDescent="0.25">
      <c r="A182" s="828" t="s">
        <v>1798</v>
      </c>
      <c r="B182" s="2170" t="s">
        <v>50</v>
      </c>
      <c r="C182" s="2170"/>
      <c r="D182" s="1089">
        <f>D161-D175+D177+D178-D179+D180</f>
        <v>0</v>
      </c>
      <c r="E182" s="2170"/>
      <c r="F182" s="2170" t="s">
        <v>50</v>
      </c>
      <c r="G182" s="2169"/>
      <c r="H182"/>
      <c r="I182" s="18"/>
    </row>
    <row r="183" spans="1:9" ht="11.25" thickTop="1" x14ac:dyDescent="0.15"/>
    <row r="184" spans="1:9" ht="12.75" x14ac:dyDescent="0.2">
      <c r="A184" s="846" t="s">
        <v>1802</v>
      </c>
      <c r="D184" s="2186">
        <f>D49+D136</f>
        <v>0</v>
      </c>
      <c r="H184" s="846" t="s">
        <v>1803</v>
      </c>
    </row>
  </sheetData>
  <sheetProtection algorithmName="SHA-512" hashValue="VkzGM1s4HRL0wvM8TrfcpYhpFWgDig91J8E2bxcvovp5KAuug91uOr857xJmyrJ0QBn+N6FG0l6XPyr2GS7UwQ==" saltValue="5+pv1VqIB58r59jVGh9ERQ==" spinCount="100000" sheet="1" autoFilter="0"/>
  <customSheetViews>
    <customSheetView guid="{9FCFC836-1CA5-48BF-958D-24D2EA94B219}" showGridLines="0" fitToPage="1">
      <selection activeCell="B12" sqref="B12"/>
      <pageMargins left="0" right="0" top="0" bottom="0" header="0" footer="0"/>
      <pageSetup scale="72" orientation="portrait" r:id="rId1"/>
      <headerFooter alignWithMargins="0">
        <oddFooter>&amp;R431</oddFooter>
      </headerFooter>
    </customSheetView>
    <customSheetView guid="{BEA4BE86-04D1-4C96-9358-7A260B9D2B2D}" showGridLines="0" fitToPage="1" showRuler="0">
      <selection sqref="A1:H1"/>
      <pageMargins left="0" right="0" top="0" bottom="0" header="0" footer="0"/>
      <pageSetup scale="92" orientation="portrait" r:id="rId2"/>
      <headerFooter alignWithMargins="0">
        <oddFooter>&amp;R431</oddFooter>
      </headerFooter>
    </customSheetView>
    <customSheetView guid="{1250FD07-FF56-4A9D-AF9E-C27124A7EBE9}" showGridLines="0" fitToPage="1" showRuler="0">
      <selection sqref="A1:H1"/>
      <pageMargins left="0" right="0" top="0" bottom="0" header="0" footer="0"/>
      <pageSetup scale="92" orientation="portrait" r:id="rId3"/>
      <headerFooter alignWithMargins="0">
        <oddFooter>&amp;R431</oddFooter>
      </headerFooter>
    </customSheetView>
    <customSheetView guid="{B08879A4-635B-4C39-9937-AC7883D562FC}" showGridLines="0" fitToPage="1">
      <selection activeCell="B12" sqref="B12"/>
      <pageMargins left="0" right="0" top="0" bottom="0" header="0" footer="0"/>
      <pageSetup scale="72" orientation="portrait" r:id="rId4"/>
      <headerFooter alignWithMargins="0">
        <oddFooter>&amp;R431</oddFooter>
      </headerFooter>
    </customSheetView>
  </customSheetViews>
  <mergeCells count="12">
    <mergeCell ref="A100:I100"/>
    <mergeCell ref="B101:F101"/>
    <mergeCell ref="A1:H1"/>
    <mergeCell ref="A4:H4"/>
    <mergeCell ref="A97:J97"/>
    <mergeCell ref="F8:H8"/>
    <mergeCell ref="F5:H5"/>
    <mergeCell ref="F6:H6"/>
    <mergeCell ref="F7:H7"/>
    <mergeCell ref="A2:H2"/>
    <mergeCell ref="A3:H3"/>
    <mergeCell ref="A11:H11"/>
  </mergeCells>
  <phoneticPr fontId="18" type="noConversion"/>
  <conditionalFormatting sqref="L1">
    <cfRule type="cellIs" dxfId="76" priority="3" stopIfTrue="1" operator="equal">
      <formula>"na"</formula>
    </cfRule>
  </conditionalFormatting>
  <hyperlinks>
    <hyperlink ref="A1:H1" location="Index!A1" display="Index!A1" xr:uid="{00000000-0004-0000-2400-000000000000}"/>
  </hyperlinks>
  <pageMargins left="0.6" right="0.6" top="0.5" bottom="0.5" header="0.3" footer="0.3"/>
  <pageSetup scale="55" fitToHeight="0" orientation="portrait" r:id="rId5"/>
  <rowBreaks count="1" manualBreakCount="1">
    <brk id="98" max="9" man="1"/>
  </rowBreaks>
  <extLst>
    <ext xmlns:x14="http://schemas.microsoft.com/office/spreadsheetml/2009/9/main" uri="{CCE6A557-97BC-4b89-ADB6-D9C93CAAB3DF}">
      <x14:dataValidations xmlns:xm="http://schemas.microsoft.com/office/excel/2006/main" count="10">
        <x14:dataValidation type="list" allowBlank="1" showInputMessage="1" showErrorMessage="1" xr:uid="{77CA44BE-88DB-4010-AB8F-579511F7197D}">
          <x14:formula1>
            <xm:f>Notes!$R$261:$R$282</xm:f>
          </x14:formula1>
          <xm:sqref>A26:A27 A113:A114</xm:sqref>
        </x14:dataValidation>
        <x14:dataValidation type="list" allowBlank="1" showInputMessage="1" showErrorMessage="1" xr:uid="{0BD91EF3-3EF2-436C-8B66-D1D1A6CFD801}">
          <x14:formula1>
            <xm:f>Notes!$R$285:$R$286</xm:f>
          </x14:formula1>
          <xm:sqref>A31 A118</xm:sqref>
        </x14:dataValidation>
        <x14:dataValidation type="list" allowBlank="1" showInputMessage="1" showErrorMessage="1" xr:uid="{CB1E9539-D868-4F61-87DE-3F0C83BD7347}">
          <x14:formula1>
            <xm:f>Notes!$R$289:$R$303</xm:f>
          </x14:formula1>
          <xm:sqref>A38:A39 A125:A126</xm:sqref>
        </x14:dataValidation>
        <x14:dataValidation type="list" allowBlank="1" showInputMessage="1" showErrorMessage="1" xr:uid="{6FB95E26-6C8E-46B7-BC0B-ED82D3D8F2A4}">
          <x14:formula1>
            <xm:f>Notes!$R$306:$R$309</xm:f>
          </x14:formula1>
          <xm:sqref>A42 A129</xm:sqref>
        </x14:dataValidation>
        <x14:dataValidation type="list" allowBlank="1" showInputMessage="1" showErrorMessage="1" xr:uid="{E6DA4297-A204-4DD3-8ED3-95BCB6DCBC2A}">
          <x14:formula1>
            <xm:f>Notes!$J$13:$J$37</xm:f>
          </x14:formula1>
          <xm:sqref>B8</xm:sqref>
        </x14:dataValidation>
        <x14:dataValidation type="list" allowBlank="1" showInputMessage="1" showErrorMessage="1" xr:uid="{8EBCA2A8-A405-47F0-A33E-4B64F09D78D8}">
          <x14:formula1>
            <xm:f>Notes!$K$13:$K$27</xm:f>
          </x14:formula1>
          <xm:sqref>B7</xm:sqref>
        </x14:dataValidation>
        <x14:dataValidation type="list" allowBlank="1" showInputMessage="1" showErrorMessage="1" xr:uid="{E068734E-DE37-46B6-984E-7241FD25BCA4}">
          <x14:formula1>
            <xm:f>Notes!$J$79:$J$90</xm:f>
          </x14:formula1>
          <xm:sqref>A34:A35 A121:A122</xm:sqref>
        </x14:dataValidation>
        <x14:dataValidation type="list" allowBlank="1" showInputMessage="1" showErrorMessage="1" xr:uid="{015599C5-AC84-4CA0-9142-25EC553F6924}">
          <x14:formula1>
            <xm:f>Notes!$J$93:$J$105</xm:f>
          </x14:formula1>
          <xm:sqref>H19:H23 H90:H93 H78:H87 H61:H73 H59 H54:H57 H44:H46 H42 H38:H39 H34:H35 H31 H26:H27</xm:sqref>
        </x14:dataValidation>
        <x14:dataValidation type="list" allowBlank="1" showInputMessage="1" showErrorMessage="1" xr:uid="{BC207F15-35C3-4326-92E8-8205B3775857}">
          <x14:formula1>
            <xm:f>Notes!$J$108:$J$110</xm:f>
          </x14:formula1>
          <xm:sqref>H106:H110 H177:H180 H165:H174 H148:H160 H146 H141:H144 H131:H133 H129 H125:H126 H121:H122 H118 H113:H114</xm:sqref>
        </x14:dataValidation>
        <x14:dataValidation type="list" allowBlank="1" showInputMessage="1" showErrorMessage="1" xr:uid="{B9214661-3D3A-4F1C-8E39-DCE69334231B}">
          <x14:formula1>
            <xm:f>Notes!$J$58:$J$76</xm:f>
          </x14:formula1>
          <xm:sqref>A19:A23 A106:A110</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5">
    <pageSetUpPr fitToPage="1"/>
  </sheetPr>
  <dimension ref="A1:S139"/>
  <sheetViews>
    <sheetView showGridLines="0" topLeftCell="A99" zoomScaleNormal="100" zoomScaleSheetLayoutView="100" workbookViewId="0">
      <selection activeCell="J6" sqref="J6"/>
    </sheetView>
  </sheetViews>
  <sheetFormatPr defaultColWidth="9.42578125" defaultRowHeight="10.5" x14ac:dyDescent="0.15"/>
  <cols>
    <col min="1" max="1" width="31.42578125" style="17" customWidth="1"/>
    <col min="2" max="2" width="16.5703125" style="17" customWidth="1"/>
    <col min="3" max="3" width="1.5703125" style="17" customWidth="1"/>
    <col min="4" max="4" width="15.5703125" style="17" customWidth="1"/>
    <col min="5" max="5" width="1.5703125" style="17" customWidth="1"/>
    <col min="6" max="6" width="16.5703125" style="17" customWidth="1"/>
    <col min="7" max="7" width="1.5703125" style="17" customWidth="1"/>
    <col min="8" max="8" width="12.5703125" style="17" customWidth="1"/>
    <col min="9" max="9" width="4.5703125" style="17" customWidth="1"/>
    <col min="10" max="10" width="31.7109375" style="17" customWidth="1"/>
    <col min="11" max="16" width="1.5703125" style="17" customWidth="1"/>
    <col min="17" max="16384" width="9.42578125" style="17"/>
  </cols>
  <sheetData>
    <row r="1" spans="1:19" s="186" customFormat="1" ht="15.75" x14ac:dyDescent="0.25">
      <c r="A1" s="2553" t="str">
        <f>Index!A1</f>
        <v xml:space="preserve">                                                               Office of the State Controller                                                                </v>
      </c>
      <c r="B1" s="2553"/>
      <c r="C1" s="2553"/>
      <c r="D1" s="2553"/>
      <c r="E1" s="2553"/>
      <c r="F1" s="2553"/>
      <c r="G1" s="2553"/>
      <c r="H1" s="2553"/>
      <c r="I1" s="2441"/>
      <c r="J1" s="2441"/>
      <c r="K1" s="2441"/>
      <c r="L1" s="2441"/>
      <c r="M1" s="2441"/>
      <c r="N1" s="2441"/>
      <c r="O1" s="2441"/>
      <c r="P1" s="2441"/>
      <c r="Q1" s="2441"/>
      <c r="R1" s="2441"/>
      <c r="S1" s="962"/>
    </row>
    <row r="2" spans="1:19" s="16" customFormat="1" ht="15" customHeight="1" x14ac:dyDescent="0.25">
      <c r="A2" s="2823" t="str">
        <f>+Index!$A$2</f>
        <v>2024 ACFR Worksheets</v>
      </c>
      <c r="B2" s="2823"/>
      <c r="C2" s="2823"/>
      <c r="D2" s="2823"/>
      <c r="E2" s="2823"/>
      <c r="F2" s="2823"/>
      <c r="G2" s="2823"/>
      <c r="H2" s="2823"/>
      <c r="I2" s="2554" t="str">
        <f>IF(Index!$B$65="na","NA","")</f>
        <v/>
      </c>
    </row>
    <row r="3" spans="1:19" s="16" customFormat="1" ht="15" customHeight="1" x14ac:dyDescent="0.25">
      <c r="A3" s="2749" t="s">
        <v>1804</v>
      </c>
      <c r="B3" s="2749"/>
      <c r="C3" s="2749"/>
      <c r="D3" s="2749"/>
      <c r="E3" s="2749"/>
      <c r="F3" s="2749"/>
      <c r="G3" s="2749"/>
      <c r="H3" s="2749"/>
      <c r="I3" s="2554"/>
    </row>
    <row r="4" spans="1:19" s="18" customFormat="1" ht="15" customHeight="1" x14ac:dyDescent="0.25">
      <c r="A4" s="2867" t="s">
        <v>1805</v>
      </c>
      <c r="B4" s="2867"/>
      <c r="C4" s="2867"/>
      <c r="D4" s="2867"/>
      <c r="E4" s="2867"/>
      <c r="F4" s="2867"/>
      <c r="G4" s="2867"/>
      <c r="H4" s="2867"/>
      <c r="I4" s="2554"/>
      <c r="J4" s="488"/>
      <c r="K4" s="488"/>
    </row>
    <row r="5" spans="1:19" s="18" customFormat="1" ht="6" customHeight="1" x14ac:dyDescent="0.2">
      <c r="C5" s="128"/>
      <c r="D5" s="128"/>
      <c r="F5" s="2865"/>
      <c r="G5" s="2865"/>
      <c r="H5" s="2865"/>
    </row>
    <row r="6" spans="1:19" s="18" customFormat="1" ht="15" customHeight="1" x14ac:dyDescent="0.2">
      <c r="A6" s="2369" t="s">
        <v>318</v>
      </c>
      <c r="B6" s="2358" t="str">
        <f>Index!$E$10</f>
        <v>01</v>
      </c>
      <c r="C6" s="2357"/>
      <c r="D6" s="2357"/>
      <c r="E6" s="815" t="s">
        <v>319</v>
      </c>
      <c r="F6" s="2596" t="str">
        <f>+Index!$E$11</f>
        <v>North Carolina General Assembly</v>
      </c>
      <c r="G6" s="2596"/>
      <c r="H6" s="2596"/>
    </row>
    <row r="7" spans="1:19" s="18" customFormat="1" ht="15" customHeight="1" x14ac:dyDescent="0.2">
      <c r="A7" s="2190" t="s">
        <v>543</v>
      </c>
      <c r="B7" s="2246" t="s">
        <v>1751</v>
      </c>
      <c r="C7" s="2357"/>
      <c r="D7" s="2357"/>
      <c r="E7" s="815" t="s">
        <v>320</v>
      </c>
      <c r="F7" s="2629" t="str">
        <f>CONCATENATE(Index!$E$12,"",Index!$E$14)</f>
        <v/>
      </c>
      <c r="G7" s="2629"/>
      <c r="H7" s="2629"/>
    </row>
    <row r="8" spans="1:19" s="18" customFormat="1" ht="15" customHeight="1" x14ac:dyDescent="0.2">
      <c r="A8" s="2190" t="s">
        <v>545</v>
      </c>
      <c r="B8" s="2189" t="s">
        <v>1714</v>
      </c>
      <c r="C8" s="2357"/>
      <c r="D8" s="2357"/>
      <c r="E8" s="815" t="s">
        <v>168</v>
      </c>
      <c r="F8" s="2629">
        <f>+Index!$E$13</f>
        <v>0</v>
      </c>
      <c r="G8" s="2629"/>
      <c r="H8" s="2629"/>
    </row>
    <row r="9" spans="1:19" s="18" customFormat="1" ht="6" customHeight="1" thickBot="1" x14ac:dyDescent="0.25">
      <c r="A9" s="76"/>
      <c r="B9" s="76"/>
      <c r="C9" s="76"/>
      <c r="D9" s="76"/>
      <c r="E9" s="76"/>
      <c r="F9" s="76"/>
      <c r="G9" s="76"/>
      <c r="H9" s="76"/>
    </row>
    <row r="10" spans="1:19" s="18" customFormat="1" ht="5.25" customHeight="1" x14ac:dyDescent="0.2"/>
    <row r="11" spans="1:19" s="18" customFormat="1" ht="15" customHeight="1" x14ac:dyDescent="0.2">
      <c r="A11" s="846" t="s">
        <v>1806</v>
      </c>
      <c r="B11" s="846"/>
      <c r="C11" s="846"/>
      <c r="D11" s="846"/>
      <c r="E11" s="846"/>
      <c r="F11" s="846"/>
    </row>
    <row r="12" spans="1:19" s="18" customFormat="1" ht="15" customHeight="1" x14ac:dyDescent="0.2">
      <c r="A12" s="846"/>
      <c r="B12" s="846"/>
      <c r="C12" s="846"/>
      <c r="D12" s="846"/>
      <c r="E12" s="846"/>
      <c r="F12" s="846"/>
    </row>
    <row r="13" spans="1:19" s="18" customFormat="1" ht="15" customHeight="1" x14ac:dyDescent="0.25">
      <c r="B13" s="2185" t="s">
        <v>1753</v>
      </c>
      <c r="C13" s="2185"/>
      <c r="D13" s="2185"/>
    </row>
    <row r="14" spans="1:19" s="18" customFormat="1" ht="15" customHeight="1" x14ac:dyDescent="0.2">
      <c r="A14" s="1985"/>
      <c r="B14" s="2177" t="s">
        <v>1754</v>
      </c>
      <c r="C14" s="2177"/>
      <c r="D14" s="2177" t="s">
        <v>1755</v>
      </c>
      <c r="F14" s="2177" t="s">
        <v>1756</v>
      </c>
    </row>
    <row r="15" spans="1:19" customFormat="1" ht="15" customHeight="1" x14ac:dyDescent="0.2">
      <c r="B15" s="2287" t="s">
        <v>1757</v>
      </c>
      <c r="F15" s="2287" t="s">
        <v>1758</v>
      </c>
      <c r="H15" s="2177" t="s">
        <v>1759</v>
      </c>
    </row>
    <row r="16" spans="1:19" customFormat="1" ht="15" customHeight="1" x14ac:dyDescent="0.2">
      <c r="B16" s="423">
        <v>45108</v>
      </c>
      <c r="D16" s="2317" t="s">
        <v>1760</v>
      </c>
      <c r="F16" s="2317" t="s">
        <v>1761</v>
      </c>
      <c r="H16" s="138" t="s">
        <v>1762</v>
      </c>
    </row>
    <row r="17" spans="1:8" customFormat="1" ht="15" customHeight="1" x14ac:dyDescent="0.2">
      <c r="A17" s="1" t="s">
        <v>1807</v>
      </c>
      <c r="B17" s="1087"/>
      <c r="D17" s="2287"/>
      <c r="F17" s="2287"/>
    </row>
    <row r="18" spans="1:8" customFormat="1" ht="15" customHeight="1" x14ac:dyDescent="0.2">
      <c r="A18" s="357" t="s">
        <v>1765</v>
      </c>
      <c r="B18" s="337">
        <v>0</v>
      </c>
      <c r="C18" s="138"/>
      <c r="D18" s="337">
        <v>0</v>
      </c>
      <c r="F18" s="1088">
        <f>B18+D18</f>
        <v>0</v>
      </c>
      <c r="H18" s="2217" t="s">
        <v>1766</v>
      </c>
    </row>
    <row r="19" spans="1:8" customFormat="1" ht="15" customHeight="1" x14ac:dyDescent="0.2">
      <c r="A19" s="357" t="s">
        <v>1765</v>
      </c>
      <c r="B19" s="337">
        <v>0</v>
      </c>
      <c r="C19" s="138"/>
      <c r="D19" s="337">
        <v>0</v>
      </c>
      <c r="F19" s="1088">
        <f>B19+D19</f>
        <v>0</v>
      </c>
      <c r="H19" s="2217" t="s">
        <v>1766</v>
      </c>
    </row>
    <row r="20" spans="1:8" customFormat="1" ht="15" customHeight="1" x14ac:dyDescent="0.2">
      <c r="A20" s="1" t="s">
        <v>1808</v>
      </c>
      <c r="B20" s="336"/>
      <c r="C20" s="138"/>
      <c r="D20" s="336"/>
      <c r="F20" s="2287"/>
    </row>
    <row r="21" spans="1:8" customFormat="1" ht="15" customHeight="1" x14ac:dyDescent="0.2">
      <c r="A21" s="357" t="s">
        <v>1765</v>
      </c>
      <c r="B21" s="337">
        <v>0</v>
      </c>
      <c r="C21" s="138"/>
      <c r="D21" s="337">
        <v>0</v>
      </c>
      <c r="F21" s="1088">
        <f>B21+D21</f>
        <v>0</v>
      </c>
      <c r="H21" s="2217" t="s">
        <v>1766</v>
      </c>
    </row>
    <row r="22" spans="1:8" customFormat="1" ht="15" customHeight="1" x14ac:dyDescent="0.2">
      <c r="A22" s="357" t="s">
        <v>1765</v>
      </c>
      <c r="B22" s="337">
        <v>0</v>
      </c>
      <c r="C22" s="138"/>
      <c r="D22" s="337">
        <v>0</v>
      </c>
      <c r="F22" s="1088">
        <f>B22+D22</f>
        <v>0</v>
      </c>
      <c r="H22" s="2217" t="s">
        <v>1766</v>
      </c>
    </row>
    <row r="23" spans="1:8" customFormat="1" ht="15" customHeight="1" x14ac:dyDescent="0.2">
      <c r="A23" s="1" t="s">
        <v>1764</v>
      </c>
      <c r="B23" s="2191"/>
      <c r="C23" s="138"/>
      <c r="D23" s="2191"/>
      <c r="F23" s="1992"/>
    </row>
    <row r="24" spans="1:8" customFormat="1" ht="15" customHeight="1" x14ac:dyDescent="0.2">
      <c r="A24" s="2398" t="s">
        <v>1765</v>
      </c>
      <c r="B24" s="337"/>
      <c r="C24" s="138"/>
      <c r="D24" s="337"/>
      <c r="F24" s="1088">
        <f t="shared" ref="F24:F29" si="0">B24+D24</f>
        <v>0</v>
      </c>
      <c r="H24" s="2217" t="s">
        <v>1766</v>
      </c>
    </row>
    <row r="25" spans="1:8" customFormat="1" ht="15" customHeight="1" x14ac:dyDescent="0.2">
      <c r="A25" s="2398" t="s">
        <v>1765</v>
      </c>
      <c r="B25" s="337"/>
      <c r="C25" s="138"/>
      <c r="D25" s="337"/>
      <c r="F25" s="1088">
        <f t="shared" si="0"/>
        <v>0</v>
      </c>
      <c r="H25" s="2217" t="s">
        <v>1766</v>
      </c>
    </row>
    <row r="26" spans="1:8" customFormat="1" ht="15" customHeight="1" x14ac:dyDescent="0.2">
      <c r="A26" s="2398" t="s">
        <v>1765</v>
      </c>
      <c r="B26" s="337"/>
      <c r="C26" s="138"/>
      <c r="D26" s="337"/>
      <c r="F26" s="1088">
        <f t="shared" si="0"/>
        <v>0</v>
      </c>
      <c r="H26" s="2217" t="s">
        <v>1766</v>
      </c>
    </row>
    <row r="27" spans="1:8" customFormat="1" ht="15" customHeight="1" x14ac:dyDescent="0.2">
      <c r="A27" s="2398" t="s">
        <v>1765</v>
      </c>
      <c r="B27" s="337"/>
      <c r="C27" s="138"/>
      <c r="D27" s="337"/>
      <c r="F27" s="1088">
        <f t="shared" si="0"/>
        <v>0</v>
      </c>
      <c r="H27" s="2217" t="s">
        <v>1766</v>
      </c>
    </row>
    <row r="28" spans="1:8" customFormat="1" ht="15" customHeight="1" x14ac:dyDescent="0.2">
      <c r="A28" s="2398" t="s">
        <v>1765</v>
      </c>
      <c r="B28" s="337"/>
      <c r="C28" s="138"/>
      <c r="D28" s="337"/>
      <c r="F28" s="1088">
        <f t="shared" si="0"/>
        <v>0</v>
      </c>
      <c r="H28" s="2217" t="s">
        <v>1766</v>
      </c>
    </row>
    <row r="29" spans="1:8" customFormat="1" ht="15" customHeight="1" x14ac:dyDescent="0.2">
      <c r="A29" s="1" t="s">
        <v>1809</v>
      </c>
      <c r="B29" s="337">
        <f>SUM(B24:B28)</f>
        <v>0</v>
      </c>
      <c r="C29" s="138"/>
      <c r="D29" s="337">
        <f>SUM(D24:D28)</f>
        <v>0</v>
      </c>
      <c r="F29" s="1088">
        <f t="shared" si="0"/>
        <v>0</v>
      </c>
    </row>
    <row r="30" spans="1:8" customFormat="1" ht="15" customHeight="1" x14ac:dyDescent="0.2">
      <c r="A30" s="1" t="s">
        <v>1810</v>
      </c>
      <c r="B30" s="336"/>
      <c r="C30" s="138"/>
      <c r="D30" s="336"/>
      <c r="F30" s="2287"/>
    </row>
    <row r="31" spans="1:8" customFormat="1" ht="15" customHeight="1" x14ac:dyDescent="0.2">
      <c r="A31" s="2398" t="s">
        <v>1765</v>
      </c>
      <c r="B31" s="337">
        <v>0</v>
      </c>
      <c r="C31" s="138"/>
      <c r="D31" s="337">
        <v>0</v>
      </c>
      <c r="F31" s="1088">
        <f>B31+D31</f>
        <v>0</v>
      </c>
      <c r="H31" s="2217" t="s">
        <v>1766</v>
      </c>
    </row>
    <row r="32" spans="1:8" customFormat="1" ht="15" customHeight="1" x14ac:dyDescent="0.2">
      <c r="A32" s="1" t="s">
        <v>1811</v>
      </c>
      <c r="B32" s="336"/>
      <c r="C32" s="138"/>
      <c r="D32" s="336"/>
      <c r="F32" s="2287"/>
    </row>
    <row r="33" spans="1:10" customFormat="1" ht="15" customHeight="1" x14ac:dyDescent="0.2">
      <c r="A33" s="357" t="s">
        <v>1765</v>
      </c>
      <c r="B33" s="337">
        <v>0</v>
      </c>
      <c r="C33" s="138"/>
      <c r="D33" s="337">
        <v>0</v>
      </c>
      <c r="F33" s="1088">
        <f>B33+D33</f>
        <v>0</v>
      </c>
      <c r="H33" s="2217" t="s">
        <v>1766</v>
      </c>
    </row>
    <row r="34" spans="1:10" customFormat="1" ht="15" customHeight="1" x14ac:dyDescent="0.2">
      <c r="A34" s="357" t="s">
        <v>1765</v>
      </c>
      <c r="B34" s="337">
        <v>0</v>
      </c>
      <c r="C34" s="138"/>
      <c r="D34" s="337">
        <v>0</v>
      </c>
      <c r="F34" s="1088">
        <f>B34+D34</f>
        <v>0</v>
      </c>
      <c r="H34" s="2217" t="s">
        <v>1766</v>
      </c>
    </row>
    <row r="35" spans="1:10" customFormat="1" ht="15" customHeight="1" x14ac:dyDescent="0.2">
      <c r="A35" s="1" t="s">
        <v>1812</v>
      </c>
      <c r="B35" s="336"/>
      <c r="C35" s="138"/>
      <c r="D35" s="336"/>
      <c r="F35" s="2287"/>
    </row>
    <row r="36" spans="1:10" customFormat="1" ht="15" customHeight="1" x14ac:dyDescent="0.2">
      <c r="A36" s="357" t="s">
        <v>1765</v>
      </c>
      <c r="B36" s="337">
        <v>0</v>
      </c>
      <c r="C36" s="138"/>
      <c r="D36" s="337">
        <v>0</v>
      </c>
      <c r="F36" s="1088">
        <f>B36+D36</f>
        <v>0</v>
      </c>
      <c r="H36" s="2217" t="s">
        <v>1766</v>
      </c>
    </row>
    <row r="37" spans="1:10" customFormat="1" ht="15" customHeight="1" x14ac:dyDescent="0.2">
      <c r="A37" s="357" t="s">
        <v>1765</v>
      </c>
      <c r="B37" s="337">
        <v>0</v>
      </c>
      <c r="C37" s="138"/>
      <c r="D37" s="337">
        <v>0</v>
      </c>
      <c r="F37" s="1088">
        <f>B37+D37</f>
        <v>0</v>
      </c>
      <c r="H37" s="2217" t="s">
        <v>1766</v>
      </c>
    </row>
    <row r="38" spans="1:10" customFormat="1" ht="15" customHeight="1" x14ac:dyDescent="0.2">
      <c r="A38" s="1" t="s">
        <v>1813</v>
      </c>
      <c r="B38" s="336"/>
      <c r="C38" s="138"/>
      <c r="D38" s="336"/>
      <c r="F38" s="2287"/>
    </row>
    <row r="39" spans="1:10" customFormat="1" ht="15" customHeight="1" x14ac:dyDescent="0.2">
      <c r="A39" s="2398" t="s">
        <v>1765</v>
      </c>
      <c r="B39" s="337">
        <v>0</v>
      </c>
      <c r="C39" s="138"/>
      <c r="D39" s="337">
        <v>0</v>
      </c>
      <c r="F39" s="1088">
        <f>B39+D39</f>
        <v>0</v>
      </c>
      <c r="H39" s="2217" t="s">
        <v>1766</v>
      </c>
    </row>
    <row r="40" spans="1:10" customFormat="1" ht="15" customHeight="1" x14ac:dyDescent="0.2">
      <c r="A40" s="1" t="s">
        <v>1814</v>
      </c>
      <c r="B40" s="336"/>
      <c r="C40" s="138"/>
      <c r="D40" s="336"/>
      <c r="F40" s="2287"/>
    </row>
    <row r="41" spans="1:10" customFormat="1" ht="15" customHeight="1" x14ac:dyDescent="0.2">
      <c r="A41" s="138" t="s">
        <v>1777</v>
      </c>
      <c r="B41" s="337">
        <v>0</v>
      </c>
      <c r="C41" s="138"/>
      <c r="D41" s="337">
        <v>0</v>
      </c>
      <c r="F41" s="1088">
        <f>B41+D41</f>
        <v>0</v>
      </c>
      <c r="H41" s="2217" t="s">
        <v>1766</v>
      </c>
    </row>
    <row r="42" spans="1:10" customFormat="1" ht="15" customHeight="1" x14ac:dyDescent="0.2">
      <c r="A42" s="138" t="s">
        <v>1815</v>
      </c>
      <c r="B42" s="337">
        <v>0</v>
      </c>
      <c r="C42" s="138"/>
      <c r="D42" s="337">
        <v>0</v>
      </c>
      <c r="F42" s="1088">
        <f>B42+D42</f>
        <v>0</v>
      </c>
      <c r="H42" s="2217" t="s">
        <v>1766</v>
      </c>
    </row>
    <row r="43" spans="1:10" customFormat="1" ht="15" customHeight="1" x14ac:dyDescent="0.2">
      <c r="A43" s="138" t="s">
        <v>1816</v>
      </c>
      <c r="B43" s="337">
        <v>0</v>
      </c>
      <c r="C43" s="138"/>
      <c r="D43" s="337">
        <v>0</v>
      </c>
      <c r="F43" s="1088">
        <f>B43+D43</f>
        <v>0</v>
      </c>
      <c r="H43" s="2217" t="s">
        <v>1766</v>
      </c>
    </row>
    <row r="44" spans="1:10" customFormat="1" ht="15" customHeight="1" x14ac:dyDescent="0.2">
      <c r="B44" s="1087"/>
      <c r="D44" s="2287"/>
      <c r="F44" s="2287"/>
    </row>
    <row r="45" spans="1:10" customFormat="1" ht="15" customHeight="1" thickBot="1" x14ac:dyDescent="0.25">
      <c r="A45" s="1" t="s">
        <v>1817</v>
      </c>
      <c r="B45" s="1087"/>
      <c r="D45" s="1089">
        <f>SUM(SUM(D18:D22)+D29+D31)-SUM(D33:D39)</f>
        <v>0</v>
      </c>
      <c r="F45" s="2287"/>
    </row>
    <row r="46" spans="1:10" customFormat="1" ht="15" customHeight="1" thickTop="1" x14ac:dyDescent="0.2">
      <c r="B46" s="1087"/>
      <c r="D46" s="2287"/>
      <c r="F46" s="2287"/>
    </row>
    <row r="47" spans="1:10" s="18" customFormat="1" ht="12.75" x14ac:dyDescent="0.2">
      <c r="A47" s="965" t="s">
        <v>1781</v>
      </c>
      <c r="B47" s="2367"/>
      <c r="C47" s="2367"/>
      <c r="D47" s="2367"/>
      <c r="E47" s="2367"/>
      <c r="F47" s="2367"/>
      <c r="G47" s="823"/>
      <c r="H47" s="138"/>
      <c r="I47" s="814"/>
      <c r="J47" s="814"/>
    </row>
    <row r="48" spans="1:10" s="18" customFormat="1" ht="12.75" customHeight="1" x14ac:dyDescent="0.2">
      <c r="A48" s="828" t="s">
        <v>1783</v>
      </c>
      <c r="B48" s="2367"/>
      <c r="C48" s="2367"/>
      <c r="D48" s="2367"/>
      <c r="E48" s="2367"/>
      <c r="F48" s="2367"/>
      <c r="G48" s="823"/>
      <c r="H48" s="138"/>
      <c r="I48" s="814"/>
      <c r="J48" s="814"/>
    </row>
    <row r="49" spans="1:10" s="18" customFormat="1" ht="12.75" customHeight="1" x14ac:dyDescent="0.2">
      <c r="A49" s="821" t="s">
        <v>6558</v>
      </c>
      <c r="B49" s="822">
        <v>0</v>
      </c>
      <c r="C49" s="2367"/>
      <c r="D49" s="822">
        <v>0</v>
      </c>
      <c r="E49" s="2367"/>
      <c r="F49" s="1088">
        <f>B49+D49</f>
        <v>0</v>
      </c>
      <c r="G49" s="823"/>
      <c r="H49" s="2217" t="s">
        <v>1766</v>
      </c>
      <c r="I49" s="814"/>
      <c r="J49" s="814"/>
    </row>
    <row r="50" spans="1:10" s="18" customFormat="1" ht="12.75" customHeight="1" x14ac:dyDescent="0.2">
      <c r="A50" s="821" t="s">
        <v>6559</v>
      </c>
      <c r="B50" s="822">
        <v>0</v>
      </c>
      <c r="C50" s="2367"/>
      <c r="D50" s="822"/>
      <c r="E50" s="2367"/>
      <c r="F50" s="1088">
        <f>B50+D50</f>
        <v>0</v>
      </c>
      <c r="G50" s="823"/>
      <c r="H50" s="2217" t="s">
        <v>1766</v>
      </c>
      <c r="I50" s="814"/>
      <c r="J50" s="814"/>
    </row>
    <row r="51" spans="1:10" s="18" customFormat="1" ht="12.75" customHeight="1" x14ac:dyDescent="0.2">
      <c r="A51" s="821" t="s">
        <v>6560</v>
      </c>
      <c r="B51" s="822">
        <v>0</v>
      </c>
      <c r="C51" s="2367"/>
      <c r="D51" s="822"/>
      <c r="E51" s="2367"/>
      <c r="F51" s="1088">
        <f>B51+D51</f>
        <v>0</v>
      </c>
      <c r="G51" s="823"/>
      <c r="H51" s="2217" t="s">
        <v>1766</v>
      </c>
      <c r="I51" s="814"/>
      <c r="J51" s="814"/>
    </row>
    <row r="52" spans="1:10" s="18" customFormat="1" ht="12.75" customHeight="1" x14ac:dyDescent="0.2">
      <c r="A52" s="821" t="s">
        <v>6561</v>
      </c>
      <c r="B52" s="822">
        <v>0</v>
      </c>
      <c r="C52" s="2367"/>
      <c r="D52" s="822"/>
      <c r="E52" s="2367"/>
      <c r="F52" s="1088">
        <f>B52+D52</f>
        <v>0</v>
      </c>
      <c r="G52" s="823"/>
      <c r="H52" s="2217" t="s">
        <v>1766</v>
      </c>
      <c r="I52" s="814"/>
      <c r="J52" s="814"/>
    </row>
    <row r="53" spans="1:10" s="18" customFormat="1" ht="12.75" customHeight="1" x14ac:dyDescent="0.2">
      <c r="A53" s="828" t="s">
        <v>1784</v>
      </c>
      <c r="B53" s="2367">
        <v>0</v>
      </c>
      <c r="C53" s="2367"/>
      <c r="D53" s="2367">
        <v>0</v>
      </c>
      <c r="E53" s="2367"/>
      <c r="F53" s="823" t="s">
        <v>50</v>
      </c>
      <c r="G53" s="823"/>
      <c r="H53" s="138"/>
      <c r="I53" s="820"/>
      <c r="J53" s="814"/>
    </row>
    <row r="54" spans="1:10" s="18" customFormat="1" ht="12.75" customHeight="1" x14ac:dyDescent="0.2">
      <c r="A54" s="821" t="s">
        <v>6562</v>
      </c>
      <c r="B54" s="822">
        <v>0</v>
      </c>
      <c r="C54" s="2367"/>
      <c r="D54" s="822"/>
      <c r="E54" s="2367"/>
      <c r="F54" s="1088">
        <f>B54+D54</f>
        <v>0</v>
      </c>
      <c r="G54" s="823"/>
      <c r="H54" s="2217" t="s">
        <v>1766</v>
      </c>
      <c r="I54" s="814"/>
      <c r="J54" s="814"/>
    </row>
    <row r="55" spans="1:10" s="18" customFormat="1" ht="14.1" customHeight="1" thickBot="1" x14ac:dyDescent="0.25">
      <c r="A55" s="828" t="s">
        <v>1789</v>
      </c>
      <c r="B55" s="1090">
        <f>B49+B50+B51+B52+B54</f>
        <v>0</v>
      </c>
      <c r="C55" s="2367"/>
      <c r="D55" s="1090">
        <f>D49+D50+D51+D52+D54</f>
        <v>0</v>
      </c>
      <c r="E55" s="2367"/>
      <c r="F55" s="1090">
        <f>F49+F50+F51+F52+F54</f>
        <v>0</v>
      </c>
      <c r="G55" s="823"/>
      <c r="H55" s="138"/>
      <c r="I55" s="820"/>
      <c r="J55" s="814"/>
    </row>
    <row r="56" spans="1:10" s="18" customFormat="1" ht="8.1" customHeight="1" thickTop="1" x14ac:dyDescent="0.2">
      <c r="A56" s="828"/>
      <c r="B56" s="2367"/>
      <c r="C56" s="2367"/>
      <c r="D56" s="2367"/>
      <c r="E56" s="2367"/>
      <c r="F56" s="823"/>
      <c r="G56" s="823"/>
      <c r="H56" s="138"/>
      <c r="I56" s="820"/>
      <c r="J56" s="814"/>
    </row>
    <row r="57" spans="1:10" s="18" customFormat="1" ht="12.75" customHeight="1" x14ac:dyDescent="0.2">
      <c r="A57" s="828" t="s">
        <v>1790</v>
      </c>
      <c r="B57" s="2367"/>
      <c r="C57" s="2367"/>
      <c r="D57" s="2367"/>
      <c r="E57" s="2367"/>
      <c r="F57" s="823"/>
      <c r="G57" s="823"/>
      <c r="H57" s="138"/>
      <c r="I57" s="814"/>
      <c r="J57" s="814"/>
    </row>
    <row r="58" spans="1:10" s="18" customFormat="1" ht="12.75" customHeight="1" x14ac:dyDescent="0.2">
      <c r="A58" s="821" t="s">
        <v>1818</v>
      </c>
      <c r="B58" s="822">
        <v>0</v>
      </c>
      <c r="C58" s="2367"/>
      <c r="D58" s="822">
        <v>0</v>
      </c>
      <c r="E58" s="2367"/>
      <c r="F58" s="1088">
        <f>B58+D58</f>
        <v>0</v>
      </c>
      <c r="G58" s="823"/>
      <c r="H58" s="2217" t="s">
        <v>1766</v>
      </c>
      <c r="I58" s="814"/>
      <c r="J58" s="814"/>
    </row>
    <row r="59" spans="1:10" s="18" customFormat="1" ht="12.75" customHeight="1" x14ac:dyDescent="0.2">
      <c r="A59" s="821" t="s">
        <v>1819</v>
      </c>
      <c r="B59" s="822">
        <v>0</v>
      </c>
      <c r="C59" s="2367"/>
      <c r="D59" s="822"/>
      <c r="E59" s="2367"/>
      <c r="F59" s="1088">
        <f t="shared" ref="F59:F70" si="1">B59+D59</f>
        <v>0</v>
      </c>
      <c r="G59" s="823"/>
      <c r="H59" s="2217" t="s">
        <v>1766</v>
      </c>
      <c r="I59" s="814"/>
      <c r="J59" s="814"/>
    </row>
    <row r="60" spans="1:10" s="18" customFormat="1" ht="12.75" customHeight="1" x14ac:dyDescent="0.2">
      <c r="A60" s="821" t="s">
        <v>1820</v>
      </c>
      <c r="B60" s="822">
        <v>0</v>
      </c>
      <c r="C60" s="2367"/>
      <c r="D60" s="822"/>
      <c r="E60" s="2367"/>
      <c r="F60" s="1088">
        <f t="shared" si="1"/>
        <v>0</v>
      </c>
      <c r="G60" s="823"/>
      <c r="H60" s="2217" t="s">
        <v>1766</v>
      </c>
      <c r="I60" s="814"/>
      <c r="J60" s="814"/>
    </row>
    <row r="61" spans="1:10" s="18" customFormat="1" ht="12.75" customHeight="1" x14ac:dyDescent="0.2">
      <c r="A61" s="821" t="s">
        <v>1821</v>
      </c>
      <c r="B61" s="822">
        <v>0</v>
      </c>
      <c r="C61" s="2367"/>
      <c r="D61" s="822"/>
      <c r="E61" s="2367"/>
      <c r="F61" s="1088">
        <f t="shared" si="1"/>
        <v>0</v>
      </c>
      <c r="G61" s="823"/>
      <c r="H61" s="2217" t="s">
        <v>1766</v>
      </c>
      <c r="I61" s="814"/>
      <c r="J61" s="814"/>
    </row>
    <row r="62" spans="1:10" s="18" customFormat="1" ht="12.75" customHeight="1" x14ac:dyDescent="0.2">
      <c r="A62" s="821" t="s">
        <v>1822</v>
      </c>
      <c r="B62" s="822">
        <v>0</v>
      </c>
      <c r="C62" s="2367"/>
      <c r="D62" s="822"/>
      <c r="E62" s="2367"/>
      <c r="F62" s="1088">
        <f t="shared" si="1"/>
        <v>0</v>
      </c>
      <c r="G62" s="823"/>
      <c r="H62" s="2217" t="s">
        <v>1766</v>
      </c>
      <c r="I62" s="814"/>
      <c r="J62" s="814"/>
    </row>
    <row r="63" spans="1:10" s="18" customFormat="1" ht="12.75" customHeight="1" x14ac:dyDescent="0.2">
      <c r="A63" s="821" t="s">
        <v>1823</v>
      </c>
      <c r="B63" s="822">
        <v>0</v>
      </c>
      <c r="C63" s="2367"/>
      <c r="D63" s="822"/>
      <c r="E63" s="2367"/>
      <c r="F63" s="1088">
        <f t="shared" si="1"/>
        <v>0</v>
      </c>
      <c r="G63" s="823"/>
      <c r="H63" s="2217" t="s">
        <v>1766</v>
      </c>
      <c r="I63" s="814"/>
      <c r="J63" s="814"/>
    </row>
    <row r="64" spans="1:10" s="18" customFormat="1" ht="12.75" customHeight="1" x14ac:dyDescent="0.2">
      <c r="A64" s="821" t="s">
        <v>1824</v>
      </c>
      <c r="B64" s="822">
        <v>0</v>
      </c>
      <c r="C64" s="2367"/>
      <c r="D64" s="822"/>
      <c r="E64" s="2367"/>
      <c r="F64" s="1088">
        <f t="shared" si="1"/>
        <v>0</v>
      </c>
      <c r="G64" s="823"/>
      <c r="H64" s="2217" t="s">
        <v>1766</v>
      </c>
      <c r="I64" s="814"/>
      <c r="J64" s="814"/>
    </row>
    <row r="65" spans="1:10" s="18" customFormat="1" ht="12.75" customHeight="1" x14ac:dyDescent="0.2">
      <c r="A65" s="821" t="s">
        <v>1825</v>
      </c>
      <c r="B65" s="822">
        <v>0</v>
      </c>
      <c r="C65" s="2367"/>
      <c r="D65" s="822"/>
      <c r="E65" s="2367"/>
      <c r="F65" s="1088">
        <f t="shared" si="1"/>
        <v>0</v>
      </c>
      <c r="G65" s="823"/>
      <c r="H65" s="2217" t="s">
        <v>1766</v>
      </c>
      <c r="I65" s="814"/>
      <c r="J65" s="814"/>
    </row>
    <row r="66" spans="1:10" s="18" customFormat="1" ht="14.1" customHeight="1" thickBot="1" x14ac:dyDescent="0.25">
      <c r="A66" s="828" t="s">
        <v>1793</v>
      </c>
      <c r="B66" s="1090">
        <f>B58+B59+B60+B61+B62+B63+B64+B65</f>
        <v>0</v>
      </c>
      <c r="C66" s="2367"/>
      <c r="D66" s="1090">
        <f>D58+D59+D60+D61+D62+D63+D64+D65</f>
        <v>0</v>
      </c>
      <c r="E66" s="2367"/>
      <c r="F66" s="1090">
        <f>B66+D66</f>
        <v>0</v>
      </c>
      <c r="G66" s="823"/>
      <c r="H66" s="138"/>
      <c r="I66" s="814"/>
      <c r="J66" s="814"/>
    </row>
    <row r="67" spans="1:10" s="18" customFormat="1" ht="8.25" customHeight="1" thickTop="1" x14ac:dyDescent="0.2">
      <c r="A67" s="963"/>
      <c r="B67" s="2367"/>
      <c r="C67" s="2367"/>
      <c r="D67" s="2367"/>
      <c r="E67" s="2367"/>
      <c r="F67" s="823"/>
      <c r="G67" s="823"/>
      <c r="H67" s="138"/>
      <c r="I67" s="814"/>
      <c r="J67" s="814"/>
    </row>
    <row r="68" spans="1:10" s="18" customFormat="1" ht="12.75" customHeight="1" x14ac:dyDescent="0.2">
      <c r="A68" s="821" t="s">
        <v>1795</v>
      </c>
      <c r="B68" s="822">
        <v>0</v>
      </c>
      <c r="C68" s="2367"/>
      <c r="D68" s="822">
        <v>0</v>
      </c>
      <c r="E68" s="2367"/>
      <c r="F68" s="1088">
        <f t="shared" si="1"/>
        <v>0</v>
      </c>
      <c r="G68" s="823"/>
      <c r="H68" s="2217" t="s">
        <v>1766</v>
      </c>
      <c r="I68" s="814"/>
      <c r="J68" s="814"/>
    </row>
    <row r="69" spans="1:10" s="18" customFormat="1" ht="12.75" customHeight="1" x14ac:dyDescent="0.2">
      <c r="A69" s="821" t="s">
        <v>1796</v>
      </c>
      <c r="B69" s="822">
        <v>0</v>
      </c>
      <c r="C69" s="2367"/>
      <c r="D69" s="822">
        <v>0</v>
      </c>
      <c r="E69" s="2367"/>
      <c r="F69" s="1088">
        <f t="shared" si="1"/>
        <v>0</v>
      </c>
      <c r="G69" s="823"/>
      <c r="H69" s="2217" t="s">
        <v>1766</v>
      </c>
      <c r="I69" s="814"/>
      <c r="J69" s="814"/>
    </row>
    <row r="70" spans="1:10" s="18" customFormat="1" ht="12.75" customHeight="1" x14ac:dyDescent="0.2">
      <c r="A70" s="821" t="s">
        <v>1826</v>
      </c>
      <c r="B70" s="822">
        <v>0</v>
      </c>
      <c r="C70" s="2367"/>
      <c r="D70" s="2367">
        <v>0</v>
      </c>
      <c r="E70" s="2367"/>
      <c r="F70" s="1088">
        <f t="shared" si="1"/>
        <v>0</v>
      </c>
      <c r="G70" s="823"/>
      <c r="H70" s="2217" t="s">
        <v>1766</v>
      </c>
      <c r="I70" s="814"/>
      <c r="J70" s="814"/>
    </row>
    <row r="71" spans="1:10" s="18" customFormat="1" ht="7.5" customHeight="1" x14ac:dyDescent="0.2">
      <c r="A71" s="821"/>
      <c r="B71" s="2367"/>
      <c r="C71" s="2367"/>
      <c r="D71" s="1010"/>
      <c r="E71" s="2367"/>
      <c r="F71" s="2367"/>
      <c r="G71" s="823"/>
      <c r="H71" s="138"/>
      <c r="I71" s="814"/>
      <c r="J71" s="814"/>
    </row>
    <row r="72" spans="1:10" s="18" customFormat="1" ht="14.1" customHeight="1" thickBot="1" x14ac:dyDescent="0.25">
      <c r="A72" s="828" t="s">
        <v>1798</v>
      </c>
      <c r="B72" s="2367" t="s">
        <v>50</v>
      </c>
      <c r="C72" s="2367"/>
      <c r="D72" s="1089">
        <f>D55-D66+D68-D69+D70</f>
        <v>0</v>
      </c>
      <c r="E72" s="2367"/>
      <c r="F72" s="2367" t="s">
        <v>50</v>
      </c>
      <c r="G72" s="823"/>
      <c r="H72" s="138"/>
      <c r="I72" s="814"/>
      <c r="J72" s="814"/>
    </row>
    <row r="73" spans="1:10" s="18" customFormat="1" ht="8.1" customHeight="1" thickTop="1" x14ac:dyDescent="0.2">
      <c r="A73" s="814"/>
      <c r="B73" s="814"/>
      <c r="C73" s="814"/>
      <c r="D73" s="814"/>
      <c r="E73" s="814"/>
      <c r="F73" s="814"/>
      <c r="G73" s="814"/>
      <c r="H73" s="138"/>
      <c r="I73" s="814"/>
      <c r="J73" s="814"/>
    </row>
    <row r="74" spans="1:10" s="18" customFormat="1" ht="12.75" x14ac:dyDescent="0.2">
      <c r="A74" s="2863" t="s">
        <v>1799</v>
      </c>
      <c r="B74" s="2864"/>
      <c r="C74" s="2864"/>
      <c r="D74" s="2864"/>
      <c r="E74" s="2864"/>
      <c r="F74" s="2864"/>
      <c r="G74" s="2864"/>
      <c r="H74" s="2864"/>
      <c r="I74" s="2864"/>
      <c r="J74" s="2864"/>
    </row>
    <row r="75" spans="1:10" s="18" customFormat="1" ht="12.75" x14ac:dyDescent="0.2">
      <c r="A75" s="2372" t="s">
        <v>1800</v>
      </c>
      <c r="B75" s="2372"/>
      <c r="C75" s="2372"/>
      <c r="D75" s="2372"/>
      <c r="E75" s="2372"/>
      <c r="F75" s="2372"/>
      <c r="G75" s="2372"/>
      <c r="H75" s="2373"/>
      <c r="I75" s="2372"/>
      <c r="J75" s="2372"/>
    </row>
    <row r="76" spans="1:10" s="18" customFormat="1" ht="12.75" x14ac:dyDescent="0.2">
      <c r="H76"/>
    </row>
    <row r="77" spans="1:10" ht="15" x14ac:dyDescent="0.25">
      <c r="A77" s="2860" t="s">
        <v>1801</v>
      </c>
      <c r="B77" s="2860"/>
      <c r="C77" s="2860"/>
      <c r="D77" s="2860"/>
      <c r="E77" s="2860"/>
      <c r="F77" s="2860"/>
      <c r="G77" s="2860"/>
      <c r="H77" s="2860"/>
      <c r="I77" s="2860"/>
      <c r="J77" s="18"/>
    </row>
    <row r="78" spans="1:10" ht="12.75" x14ac:dyDescent="0.2">
      <c r="A78" s="18"/>
      <c r="B78" s="2861"/>
      <c r="C78" s="2861"/>
      <c r="D78" s="2861"/>
      <c r="E78" s="2861"/>
      <c r="F78" s="2861"/>
      <c r="G78" s="18"/>
      <c r="H78" s="2178"/>
      <c r="I78" s="18"/>
      <c r="J78" s="18"/>
    </row>
    <row r="79" spans="1:10" ht="12.75" x14ac:dyDescent="0.2">
      <c r="A79"/>
      <c r="B79" s="2287" t="s">
        <v>1757</v>
      </c>
      <c r="C79"/>
      <c r="D79"/>
      <c r="E79"/>
      <c r="F79" s="2287" t="s">
        <v>1758</v>
      </c>
      <c r="G79"/>
      <c r="H79"/>
      <c r="I79"/>
      <c r="J79"/>
    </row>
    <row r="80" spans="1:10" ht="12.75" x14ac:dyDescent="0.2">
      <c r="A80"/>
      <c r="B80" s="423">
        <v>45108</v>
      </c>
      <c r="C80"/>
      <c r="D80" s="2317" t="s">
        <v>1760</v>
      </c>
      <c r="E80"/>
      <c r="F80" s="2317" t="s">
        <v>1761</v>
      </c>
      <c r="G80"/>
      <c r="H80" s="138" t="s">
        <v>1762</v>
      </c>
      <c r="I80"/>
      <c r="J80"/>
    </row>
    <row r="81" spans="1:10" ht="12.75" x14ac:dyDescent="0.2">
      <c r="A81" s="1" t="s">
        <v>1807</v>
      </c>
      <c r="B81" s="1087"/>
      <c r="C81"/>
      <c r="D81" s="2287"/>
      <c r="E81"/>
      <c r="F81" s="2287"/>
      <c r="G81"/>
      <c r="H81"/>
      <c r="I81"/>
      <c r="J81"/>
    </row>
    <row r="82" spans="1:10" ht="12.75" x14ac:dyDescent="0.2">
      <c r="A82" s="357" t="s">
        <v>1765</v>
      </c>
      <c r="B82" s="337"/>
      <c r="C82" s="138"/>
      <c r="D82" s="337"/>
      <c r="E82"/>
      <c r="F82" s="1088">
        <f>B82+D82</f>
        <v>0</v>
      </c>
      <c r="G82"/>
      <c r="H82" s="2217" t="s">
        <v>1766</v>
      </c>
      <c r="I82"/>
      <c r="J82"/>
    </row>
    <row r="83" spans="1:10" ht="12.75" x14ac:dyDescent="0.2">
      <c r="A83" s="357" t="s">
        <v>1765</v>
      </c>
      <c r="B83" s="337"/>
      <c r="C83" s="138"/>
      <c r="D83" s="337"/>
      <c r="E83"/>
      <c r="F83" s="1088">
        <f>B83+D83</f>
        <v>0</v>
      </c>
      <c r="G83"/>
      <c r="H83" s="2217" t="s">
        <v>1766</v>
      </c>
      <c r="I83"/>
      <c r="J83"/>
    </row>
    <row r="84" spans="1:10" ht="12.75" x14ac:dyDescent="0.2">
      <c r="A84" s="1" t="s">
        <v>1808</v>
      </c>
      <c r="B84" s="336"/>
      <c r="C84" s="138"/>
      <c r="D84" s="336"/>
      <c r="E84"/>
      <c r="F84" s="2287"/>
      <c r="G84"/>
      <c r="H84"/>
      <c r="I84"/>
      <c r="J84"/>
    </row>
    <row r="85" spans="1:10" ht="12.75" x14ac:dyDescent="0.2">
      <c r="A85" s="357" t="s">
        <v>1765</v>
      </c>
      <c r="B85" s="337"/>
      <c r="C85" s="138"/>
      <c r="D85" s="337"/>
      <c r="E85"/>
      <c r="F85" s="1088">
        <f>B85+D85</f>
        <v>0</v>
      </c>
      <c r="G85"/>
      <c r="H85" s="2217" t="s">
        <v>1766</v>
      </c>
      <c r="I85"/>
      <c r="J85"/>
    </row>
    <row r="86" spans="1:10" ht="12.75" x14ac:dyDescent="0.2">
      <c r="A86" s="357" t="s">
        <v>1765</v>
      </c>
      <c r="B86" s="337"/>
      <c r="C86" s="138"/>
      <c r="D86" s="337"/>
      <c r="E86"/>
      <c r="F86" s="1088">
        <f>B86+D86</f>
        <v>0</v>
      </c>
      <c r="G86"/>
      <c r="H86" s="2217" t="s">
        <v>1766</v>
      </c>
      <c r="I86"/>
      <c r="J86"/>
    </row>
    <row r="87" spans="1:10" ht="12.75" x14ac:dyDescent="0.2">
      <c r="A87" s="1" t="s">
        <v>1764</v>
      </c>
      <c r="B87" s="2191"/>
      <c r="C87" s="138"/>
      <c r="D87" s="2191"/>
      <c r="E87"/>
      <c r="F87" s="1992"/>
      <c r="G87"/>
      <c r="H87"/>
      <c r="I87"/>
      <c r="J87"/>
    </row>
    <row r="88" spans="1:10" ht="12.75" x14ac:dyDescent="0.2">
      <c r="A88" s="2398" t="s">
        <v>1765</v>
      </c>
      <c r="B88" s="337"/>
      <c r="C88" s="138"/>
      <c r="D88" s="337"/>
      <c r="E88"/>
      <c r="F88" s="1088">
        <f t="shared" ref="F88:F93" si="2">B88+D88</f>
        <v>0</v>
      </c>
      <c r="G88"/>
      <c r="H88" s="2217" t="s">
        <v>1766</v>
      </c>
      <c r="I88"/>
      <c r="J88"/>
    </row>
    <row r="89" spans="1:10" ht="12.75" x14ac:dyDescent="0.2">
      <c r="A89" s="2398" t="s">
        <v>1765</v>
      </c>
      <c r="B89" s="337"/>
      <c r="C89" s="138"/>
      <c r="D89" s="337"/>
      <c r="E89"/>
      <c r="F89" s="1088">
        <f t="shared" si="2"/>
        <v>0</v>
      </c>
      <c r="G89"/>
      <c r="H89" s="2217" t="s">
        <v>1766</v>
      </c>
      <c r="I89"/>
      <c r="J89"/>
    </row>
    <row r="90" spans="1:10" ht="12.75" x14ac:dyDescent="0.2">
      <c r="A90" s="2398" t="s">
        <v>1765</v>
      </c>
      <c r="B90" s="337"/>
      <c r="C90" s="138"/>
      <c r="D90" s="337"/>
      <c r="E90"/>
      <c r="F90" s="1088">
        <f t="shared" si="2"/>
        <v>0</v>
      </c>
      <c r="G90"/>
      <c r="H90" s="2217" t="s">
        <v>1766</v>
      </c>
      <c r="I90"/>
      <c r="J90"/>
    </row>
    <row r="91" spans="1:10" ht="12.75" x14ac:dyDescent="0.2">
      <c r="A91" s="2398" t="s">
        <v>1765</v>
      </c>
      <c r="B91" s="337"/>
      <c r="C91" s="138"/>
      <c r="D91" s="337"/>
      <c r="E91"/>
      <c r="F91" s="1088">
        <f t="shared" si="2"/>
        <v>0</v>
      </c>
      <c r="G91"/>
      <c r="H91" s="2217" t="s">
        <v>1766</v>
      </c>
      <c r="I91"/>
      <c r="J91"/>
    </row>
    <row r="92" spans="1:10" ht="12.75" x14ac:dyDescent="0.2">
      <c r="A92" s="2398" t="s">
        <v>1765</v>
      </c>
      <c r="B92" s="337"/>
      <c r="C92" s="138"/>
      <c r="D92" s="337"/>
      <c r="E92"/>
      <c r="F92" s="1088">
        <f t="shared" si="2"/>
        <v>0</v>
      </c>
      <c r="G92"/>
      <c r="H92" s="2217" t="s">
        <v>1766</v>
      </c>
      <c r="I92"/>
      <c r="J92"/>
    </row>
    <row r="93" spans="1:10" ht="12.75" x14ac:dyDescent="0.2">
      <c r="A93" s="1" t="s">
        <v>1809</v>
      </c>
      <c r="B93" s="337">
        <f>SUM(B88:B92)</f>
        <v>0</v>
      </c>
      <c r="C93" s="138"/>
      <c r="D93" s="337">
        <f>SUM(D88:D92)</f>
        <v>0</v>
      </c>
      <c r="E93"/>
      <c r="F93" s="1088">
        <f t="shared" si="2"/>
        <v>0</v>
      </c>
      <c r="G93"/>
      <c r="H93"/>
      <c r="I93"/>
      <c r="J93"/>
    </row>
    <row r="94" spans="1:10" ht="12.75" x14ac:dyDescent="0.2">
      <c r="A94" s="1" t="s">
        <v>1810</v>
      </c>
      <c r="B94" s="336"/>
      <c r="C94" s="138"/>
      <c r="D94" s="336"/>
      <c r="E94"/>
      <c r="F94" s="2287"/>
      <c r="G94"/>
      <c r="H94"/>
      <c r="I94"/>
      <c r="J94"/>
    </row>
    <row r="95" spans="1:10" ht="12.75" x14ac:dyDescent="0.2">
      <c r="A95" s="2398" t="s">
        <v>1765</v>
      </c>
      <c r="B95" s="337"/>
      <c r="C95" s="138"/>
      <c r="D95" s="337"/>
      <c r="E95"/>
      <c r="F95" s="1088">
        <f>B95+D95</f>
        <v>0</v>
      </c>
      <c r="G95"/>
      <c r="H95" s="2217" t="s">
        <v>1766</v>
      </c>
      <c r="I95"/>
      <c r="J95"/>
    </row>
    <row r="96" spans="1:10" ht="12.75" x14ac:dyDescent="0.2">
      <c r="A96" s="1" t="s">
        <v>1811</v>
      </c>
      <c r="B96" s="336"/>
      <c r="C96" s="138"/>
      <c r="D96" s="336"/>
      <c r="E96"/>
      <c r="F96" s="2287"/>
      <c r="G96"/>
      <c r="H96"/>
      <c r="I96"/>
      <c r="J96"/>
    </row>
    <row r="97" spans="1:10" ht="12.75" x14ac:dyDescent="0.2">
      <c r="A97" s="357" t="s">
        <v>1765</v>
      </c>
      <c r="B97" s="337"/>
      <c r="C97" s="138"/>
      <c r="D97" s="337"/>
      <c r="E97"/>
      <c r="F97" s="1088">
        <f>B97+D97</f>
        <v>0</v>
      </c>
      <c r="G97"/>
      <c r="H97" s="2217" t="s">
        <v>1766</v>
      </c>
      <c r="I97"/>
      <c r="J97"/>
    </row>
    <row r="98" spans="1:10" ht="12.75" x14ac:dyDescent="0.2">
      <c r="A98" s="357" t="s">
        <v>1765</v>
      </c>
      <c r="B98" s="337"/>
      <c r="C98" s="138"/>
      <c r="D98" s="337"/>
      <c r="E98"/>
      <c r="F98" s="1088">
        <f>B98+D98</f>
        <v>0</v>
      </c>
      <c r="G98"/>
      <c r="H98" s="2217" t="s">
        <v>1766</v>
      </c>
      <c r="I98"/>
      <c r="J98"/>
    </row>
    <row r="99" spans="1:10" ht="12.75" x14ac:dyDescent="0.2">
      <c r="A99" s="1" t="s">
        <v>1812</v>
      </c>
      <c r="B99" s="336"/>
      <c r="C99" s="138"/>
      <c r="D99" s="336"/>
      <c r="E99"/>
      <c r="F99" s="2287"/>
      <c r="G99"/>
      <c r="H99"/>
      <c r="I99"/>
      <c r="J99"/>
    </row>
    <row r="100" spans="1:10" ht="12.75" x14ac:dyDescent="0.2">
      <c r="A100" s="357" t="s">
        <v>1765</v>
      </c>
      <c r="B100" s="337"/>
      <c r="C100" s="138"/>
      <c r="D100" s="337"/>
      <c r="E100"/>
      <c r="F100" s="1088">
        <f>B100+D100</f>
        <v>0</v>
      </c>
      <c r="G100"/>
      <c r="H100" s="2217" t="s">
        <v>1766</v>
      </c>
      <c r="I100"/>
      <c r="J100"/>
    </row>
    <row r="101" spans="1:10" ht="12.75" x14ac:dyDescent="0.2">
      <c r="A101" s="357" t="s">
        <v>1765</v>
      </c>
      <c r="B101" s="337"/>
      <c r="C101" s="138"/>
      <c r="D101" s="337"/>
      <c r="E101"/>
      <c r="F101" s="1088">
        <f>B101+D101</f>
        <v>0</v>
      </c>
      <c r="G101"/>
      <c r="H101" s="2217" t="s">
        <v>1766</v>
      </c>
      <c r="I101"/>
      <c r="J101"/>
    </row>
    <row r="102" spans="1:10" ht="12.75" x14ac:dyDescent="0.2">
      <c r="A102" s="1" t="s">
        <v>1813</v>
      </c>
      <c r="B102" s="336"/>
      <c r="C102" s="138"/>
      <c r="D102" s="336"/>
      <c r="E102"/>
      <c r="F102" s="2287"/>
      <c r="G102"/>
      <c r="H102"/>
      <c r="I102"/>
      <c r="J102"/>
    </row>
    <row r="103" spans="1:10" ht="12.75" x14ac:dyDescent="0.2">
      <c r="A103" s="2398" t="s">
        <v>1765</v>
      </c>
      <c r="B103" s="337"/>
      <c r="C103" s="138"/>
      <c r="D103" s="337"/>
      <c r="E103"/>
      <c r="F103" s="1088">
        <f>B103+D103</f>
        <v>0</v>
      </c>
      <c r="G103"/>
      <c r="H103" s="2217" t="s">
        <v>1766</v>
      </c>
      <c r="I103"/>
      <c r="J103"/>
    </row>
    <row r="104" spans="1:10" ht="12.75" x14ac:dyDescent="0.2">
      <c r="A104" s="1" t="s">
        <v>1814</v>
      </c>
      <c r="B104" s="336"/>
      <c r="C104" s="138"/>
      <c r="D104" s="336"/>
      <c r="E104"/>
      <c r="F104" s="2287"/>
      <c r="G104"/>
      <c r="H104"/>
      <c r="I104"/>
      <c r="J104"/>
    </row>
    <row r="105" spans="1:10" ht="12.75" x14ac:dyDescent="0.2">
      <c r="A105" s="138" t="s">
        <v>1777</v>
      </c>
      <c r="B105" s="337"/>
      <c r="C105" s="138"/>
      <c r="D105" s="337"/>
      <c r="E105"/>
      <c r="F105" s="1088">
        <f>B105+D105</f>
        <v>0</v>
      </c>
      <c r="G105"/>
      <c r="H105" s="2217" t="s">
        <v>1766</v>
      </c>
      <c r="I105"/>
      <c r="J105"/>
    </row>
    <row r="106" spans="1:10" ht="12.75" x14ac:dyDescent="0.2">
      <c r="A106" s="138" t="s">
        <v>1815</v>
      </c>
      <c r="B106" s="337"/>
      <c r="C106" s="138"/>
      <c r="D106" s="337"/>
      <c r="E106"/>
      <c r="F106" s="1088">
        <f>B106+D106</f>
        <v>0</v>
      </c>
      <c r="G106"/>
      <c r="H106" s="2217" t="s">
        <v>1766</v>
      </c>
      <c r="I106"/>
      <c r="J106"/>
    </row>
    <row r="107" spans="1:10" ht="12.75" x14ac:dyDescent="0.2">
      <c r="A107" s="138" t="s">
        <v>1816</v>
      </c>
      <c r="B107" s="337"/>
      <c r="C107" s="138"/>
      <c r="D107" s="337"/>
      <c r="E107"/>
      <c r="F107" s="1088">
        <f>B107+D107</f>
        <v>0</v>
      </c>
      <c r="G107"/>
      <c r="H107" s="2217" t="s">
        <v>1766</v>
      </c>
      <c r="I107"/>
      <c r="J107"/>
    </row>
    <row r="108" spans="1:10" ht="12.75" x14ac:dyDescent="0.2">
      <c r="A108"/>
      <c r="B108" s="1087"/>
      <c r="C108"/>
      <c r="D108" s="2287"/>
      <c r="E108"/>
      <c r="F108" s="2287"/>
      <c r="G108"/>
      <c r="H108"/>
      <c r="I108"/>
      <c r="J108"/>
    </row>
    <row r="109" spans="1:10" ht="13.5" thickBot="1" x14ac:dyDescent="0.25">
      <c r="A109" s="1" t="s">
        <v>1817</v>
      </c>
      <c r="B109" s="1087"/>
      <c r="C109"/>
      <c r="D109" s="1089">
        <f>SUM(SUM(D82:D86)+D93+D95)-SUM(D97:D103)</f>
        <v>0</v>
      </c>
      <c r="E109"/>
      <c r="F109" s="2287"/>
      <c r="G109"/>
      <c r="H109"/>
      <c r="I109"/>
      <c r="J109"/>
    </row>
    <row r="110" spans="1:10" ht="13.5" thickTop="1" x14ac:dyDescent="0.2">
      <c r="A110"/>
      <c r="B110" s="1087"/>
      <c r="C110"/>
      <c r="D110" s="2287"/>
      <c r="E110"/>
      <c r="F110" s="2287"/>
      <c r="G110"/>
      <c r="H110"/>
      <c r="I110"/>
      <c r="J110"/>
    </row>
    <row r="111" spans="1:10" ht="12.75" x14ac:dyDescent="0.2">
      <c r="A111" s="965" t="s">
        <v>1781</v>
      </c>
      <c r="B111" s="2367"/>
      <c r="C111" s="2367"/>
      <c r="D111" s="2367"/>
      <c r="E111" s="2367"/>
      <c r="F111" s="2367"/>
      <c r="G111" s="823"/>
      <c r="H111" s="138"/>
      <c r="I111" s="814"/>
      <c r="J111" s="814"/>
    </row>
    <row r="112" spans="1:10" ht="12.75" x14ac:dyDescent="0.2">
      <c r="A112" s="828" t="s">
        <v>1783</v>
      </c>
      <c r="B112" s="2367"/>
      <c r="C112" s="2367"/>
      <c r="D112" s="2367"/>
      <c r="E112" s="2367"/>
      <c r="F112" s="2367"/>
      <c r="G112" s="823"/>
      <c r="H112" s="138"/>
      <c r="I112" s="814"/>
      <c r="J112" s="814"/>
    </row>
    <row r="113" spans="1:10" ht="12.75" x14ac:dyDescent="0.2">
      <c r="A113" s="821" t="s">
        <v>6558</v>
      </c>
      <c r="B113" s="822">
        <v>0</v>
      </c>
      <c r="C113" s="2367"/>
      <c r="D113" s="822">
        <v>0</v>
      </c>
      <c r="E113" s="2367"/>
      <c r="F113" s="1088">
        <f>B113+D113</f>
        <v>0</v>
      </c>
      <c r="G113" s="823"/>
      <c r="H113" s="2217" t="s">
        <v>1766</v>
      </c>
      <c r="I113" s="814"/>
      <c r="J113" s="814"/>
    </row>
    <row r="114" spans="1:10" ht="12.75" x14ac:dyDescent="0.2">
      <c r="A114" s="821" t="s">
        <v>6559</v>
      </c>
      <c r="B114" s="822">
        <v>0</v>
      </c>
      <c r="C114" s="2367"/>
      <c r="D114" s="822"/>
      <c r="E114" s="2367"/>
      <c r="F114" s="1088">
        <f>B114+D114</f>
        <v>0</v>
      </c>
      <c r="G114" s="823"/>
      <c r="H114" s="2217" t="s">
        <v>1766</v>
      </c>
      <c r="I114" s="814"/>
      <c r="J114" s="814"/>
    </row>
    <row r="115" spans="1:10" ht="12.75" x14ac:dyDescent="0.2">
      <c r="A115" s="821" t="s">
        <v>6560</v>
      </c>
      <c r="B115" s="822">
        <v>0</v>
      </c>
      <c r="C115" s="2367"/>
      <c r="D115" s="822"/>
      <c r="E115" s="2367"/>
      <c r="F115" s="1088">
        <f>B115+D115</f>
        <v>0</v>
      </c>
      <c r="G115" s="823"/>
      <c r="H115" s="2217" t="s">
        <v>1766</v>
      </c>
      <c r="I115" s="814"/>
      <c r="J115" s="814"/>
    </row>
    <row r="116" spans="1:10" ht="12.75" x14ac:dyDescent="0.2">
      <c r="A116" s="821" t="s">
        <v>6561</v>
      </c>
      <c r="B116" s="822">
        <v>0</v>
      </c>
      <c r="C116" s="2367"/>
      <c r="D116" s="822"/>
      <c r="E116" s="2367"/>
      <c r="F116" s="1088">
        <f>B116+D116</f>
        <v>0</v>
      </c>
      <c r="G116" s="823"/>
      <c r="H116" s="2217" t="s">
        <v>1766</v>
      </c>
      <c r="I116" s="814"/>
      <c r="J116" s="814"/>
    </row>
    <row r="117" spans="1:10" ht="12.75" x14ac:dyDescent="0.2">
      <c r="A117" s="828" t="s">
        <v>1784</v>
      </c>
      <c r="B117" s="2367">
        <v>0</v>
      </c>
      <c r="C117" s="2367"/>
      <c r="D117" s="2367">
        <v>0</v>
      </c>
      <c r="E117" s="2367"/>
      <c r="F117" s="823" t="s">
        <v>50</v>
      </c>
      <c r="G117" s="823"/>
      <c r="H117" s="138"/>
      <c r="I117" s="820"/>
      <c r="J117" s="814"/>
    </row>
    <row r="118" spans="1:10" ht="12.75" x14ac:dyDescent="0.2">
      <c r="A118" s="821" t="s">
        <v>6562</v>
      </c>
      <c r="B118" s="822">
        <v>0</v>
      </c>
      <c r="C118" s="2367"/>
      <c r="D118" s="822"/>
      <c r="E118" s="2367"/>
      <c r="F118" s="1088">
        <f>B118+D118</f>
        <v>0</v>
      </c>
      <c r="G118" s="823"/>
      <c r="H118" s="2217" t="s">
        <v>1766</v>
      </c>
      <c r="I118" s="814"/>
      <c r="J118" s="814"/>
    </row>
    <row r="119" spans="1:10" ht="13.5" thickBot="1" x14ac:dyDescent="0.25">
      <c r="A119" s="828" t="s">
        <v>1789</v>
      </c>
      <c r="B119" s="1090">
        <f>B113+B114+B115+B116+B118</f>
        <v>0</v>
      </c>
      <c r="C119" s="2367"/>
      <c r="D119" s="1090">
        <f>D113+D114+D115+D116+D118</f>
        <v>0</v>
      </c>
      <c r="E119" s="2367"/>
      <c r="F119" s="1090">
        <f>F113+F114+F115+F116+F118</f>
        <v>0</v>
      </c>
      <c r="G119" s="823"/>
      <c r="H119" s="138"/>
      <c r="I119" s="820"/>
      <c r="J119" s="814"/>
    </row>
    <row r="120" spans="1:10" ht="13.5" thickTop="1" x14ac:dyDescent="0.2">
      <c r="A120" s="828"/>
      <c r="B120" s="2367"/>
      <c r="C120" s="2367"/>
      <c r="D120" s="2367"/>
      <c r="E120" s="2367"/>
      <c r="F120" s="823"/>
      <c r="G120" s="823"/>
      <c r="H120" s="138"/>
      <c r="I120" s="820"/>
      <c r="J120" s="814"/>
    </row>
    <row r="121" spans="1:10" ht="12.75" x14ac:dyDescent="0.2">
      <c r="A121" s="828" t="s">
        <v>1790</v>
      </c>
      <c r="B121" s="2367"/>
      <c r="C121" s="2367"/>
      <c r="D121" s="2367"/>
      <c r="E121" s="2367"/>
      <c r="F121" s="823"/>
      <c r="G121" s="823"/>
      <c r="H121" s="138"/>
      <c r="I121" s="814"/>
      <c r="J121" s="814"/>
    </row>
    <row r="122" spans="1:10" ht="12.75" x14ac:dyDescent="0.2">
      <c r="A122" s="821" t="s">
        <v>1818</v>
      </c>
      <c r="B122" s="822">
        <v>0</v>
      </c>
      <c r="C122" s="2367"/>
      <c r="D122" s="822">
        <v>0</v>
      </c>
      <c r="E122" s="2367"/>
      <c r="F122" s="1088">
        <f>B122+D122</f>
        <v>0</v>
      </c>
      <c r="G122" s="823"/>
      <c r="H122" s="2217" t="s">
        <v>1766</v>
      </c>
      <c r="I122" s="814"/>
      <c r="J122" s="814"/>
    </row>
    <row r="123" spans="1:10" ht="12.75" x14ac:dyDescent="0.2">
      <c r="A123" s="821" t="s">
        <v>1819</v>
      </c>
      <c r="B123" s="822">
        <v>0</v>
      </c>
      <c r="C123" s="2367"/>
      <c r="D123" s="822"/>
      <c r="E123" s="2367"/>
      <c r="F123" s="1088">
        <f t="shared" ref="F123:F129" si="3">B123+D123</f>
        <v>0</v>
      </c>
      <c r="G123" s="823"/>
      <c r="H123" s="2217" t="s">
        <v>1766</v>
      </c>
      <c r="I123" s="814"/>
      <c r="J123" s="814"/>
    </row>
    <row r="124" spans="1:10" ht="12.75" x14ac:dyDescent="0.2">
      <c r="A124" s="821" t="s">
        <v>1820</v>
      </c>
      <c r="B124" s="822">
        <v>0</v>
      </c>
      <c r="C124" s="2367"/>
      <c r="D124" s="822"/>
      <c r="E124" s="2367"/>
      <c r="F124" s="1088">
        <f t="shared" si="3"/>
        <v>0</v>
      </c>
      <c r="G124" s="823"/>
      <c r="H124" s="2217" t="s">
        <v>1766</v>
      </c>
      <c r="I124" s="814"/>
      <c r="J124" s="814"/>
    </row>
    <row r="125" spans="1:10" ht="12.75" x14ac:dyDescent="0.2">
      <c r="A125" s="821" t="s">
        <v>1821</v>
      </c>
      <c r="B125" s="822">
        <v>0</v>
      </c>
      <c r="C125" s="2367"/>
      <c r="D125" s="822"/>
      <c r="E125" s="2367"/>
      <c r="F125" s="1088">
        <f t="shared" si="3"/>
        <v>0</v>
      </c>
      <c r="G125" s="823"/>
      <c r="H125" s="2217" t="s">
        <v>1766</v>
      </c>
      <c r="I125" s="814"/>
      <c r="J125" s="814"/>
    </row>
    <row r="126" spans="1:10" ht="12.75" x14ac:dyDescent="0.2">
      <c r="A126" s="821" t="s">
        <v>1822</v>
      </c>
      <c r="B126" s="822">
        <v>0</v>
      </c>
      <c r="C126" s="2367"/>
      <c r="D126" s="822"/>
      <c r="E126" s="2367"/>
      <c r="F126" s="1088">
        <f t="shared" si="3"/>
        <v>0</v>
      </c>
      <c r="G126" s="823"/>
      <c r="H126" s="2217" t="s">
        <v>1766</v>
      </c>
      <c r="I126" s="814"/>
      <c r="J126" s="814"/>
    </row>
    <row r="127" spans="1:10" ht="12.75" x14ac:dyDescent="0.2">
      <c r="A127" s="821" t="s">
        <v>1823</v>
      </c>
      <c r="B127" s="822">
        <v>0</v>
      </c>
      <c r="C127" s="2367"/>
      <c r="D127" s="822"/>
      <c r="E127" s="2367"/>
      <c r="F127" s="1088">
        <f t="shared" si="3"/>
        <v>0</v>
      </c>
      <c r="G127" s="823"/>
      <c r="H127" s="2217" t="s">
        <v>1766</v>
      </c>
      <c r="I127" s="814"/>
      <c r="J127" s="814"/>
    </row>
    <row r="128" spans="1:10" ht="12.75" x14ac:dyDescent="0.2">
      <c r="A128" s="821" t="s">
        <v>1824</v>
      </c>
      <c r="B128" s="822">
        <v>0</v>
      </c>
      <c r="C128" s="2367"/>
      <c r="D128" s="822"/>
      <c r="E128" s="2367"/>
      <c r="F128" s="1088">
        <f t="shared" si="3"/>
        <v>0</v>
      </c>
      <c r="G128" s="823"/>
      <c r="H128" s="2217" t="s">
        <v>1766</v>
      </c>
      <c r="I128" s="814"/>
      <c r="J128" s="814"/>
    </row>
    <row r="129" spans="1:10" ht="12.75" x14ac:dyDescent="0.2">
      <c r="A129" s="821" t="s">
        <v>1825</v>
      </c>
      <c r="B129" s="822">
        <v>0</v>
      </c>
      <c r="C129" s="2367"/>
      <c r="D129" s="822"/>
      <c r="E129" s="2367"/>
      <c r="F129" s="1088">
        <f t="shared" si="3"/>
        <v>0</v>
      </c>
      <c r="G129" s="823"/>
      <c r="H129" s="2217" t="s">
        <v>1766</v>
      </c>
      <c r="I129" s="814"/>
      <c r="J129" s="814"/>
    </row>
    <row r="130" spans="1:10" ht="13.5" thickBot="1" x14ac:dyDescent="0.25">
      <c r="A130" s="828" t="s">
        <v>1793</v>
      </c>
      <c r="B130" s="1090">
        <f>B122+B123+B124+B125+B126+B127+B128+B129</f>
        <v>0</v>
      </c>
      <c r="C130" s="2367"/>
      <c r="D130" s="1090">
        <f>D122+D123+D124+D125+D126+D127+D128+D129</f>
        <v>0</v>
      </c>
      <c r="E130" s="2367"/>
      <c r="F130" s="1090">
        <f>B130+D130</f>
        <v>0</v>
      </c>
      <c r="G130" s="823"/>
      <c r="H130" s="138"/>
      <c r="I130" s="814"/>
      <c r="J130" s="814"/>
    </row>
    <row r="131" spans="1:10" ht="13.5" thickTop="1" x14ac:dyDescent="0.2">
      <c r="A131" s="963"/>
      <c r="B131" s="2367"/>
      <c r="C131" s="2367"/>
      <c r="D131" s="2367"/>
      <c r="E131" s="2367"/>
      <c r="F131" s="823"/>
      <c r="G131" s="823"/>
      <c r="H131" s="138"/>
      <c r="I131" s="814"/>
      <c r="J131" s="814"/>
    </row>
    <row r="132" spans="1:10" ht="12.75" x14ac:dyDescent="0.2">
      <c r="A132" s="821" t="s">
        <v>1795</v>
      </c>
      <c r="B132" s="822">
        <v>0</v>
      </c>
      <c r="C132" s="2367"/>
      <c r="D132" s="822">
        <v>0</v>
      </c>
      <c r="E132" s="2367"/>
      <c r="F132" s="1088">
        <f t="shared" ref="F132:F134" si="4">B132+D132</f>
        <v>0</v>
      </c>
      <c r="G132" s="823"/>
      <c r="H132" s="2217" t="s">
        <v>1766</v>
      </c>
      <c r="I132" s="814"/>
      <c r="J132" s="814"/>
    </row>
    <row r="133" spans="1:10" ht="12.75" x14ac:dyDescent="0.2">
      <c r="A133" s="821" t="s">
        <v>1796</v>
      </c>
      <c r="B133" s="822">
        <v>0</v>
      </c>
      <c r="C133" s="2367"/>
      <c r="D133" s="822">
        <v>0</v>
      </c>
      <c r="E133" s="2367"/>
      <c r="F133" s="1088">
        <f t="shared" si="4"/>
        <v>0</v>
      </c>
      <c r="G133" s="823"/>
      <c r="H133" s="2217" t="s">
        <v>1766</v>
      </c>
      <c r="I133" s="814"/>
      <c r="J133" s="814"/>
    </row>
    <row r="134" spans="1:10" ht="12.75" x14ac:dyDescent="0.2">
      <c r="A134" s="821" t="s">
        <v>1826</v>
      </c>
      <c r="B134" s="822">
        <v>0</v>
      </c>
      <c r="C134" s="2367"/>
      <c r="D134" s="2367">
        <v>0</v>
      </c>
      <c r="E134" s="2367"/>
      <c r="F134" s="1088">
        <f t="shared" si="4"/>
        <v>0</v>
      </c>
      <c r="G134" s="823"/>
      <c r="H134" s="2217" t="s">
        <v>1766</v>
      </c>
      <c r="I134" s="814"/>
      <c r="J134" s="814"/>
    </row>
    <row r="135" spans="1:10" ht="12.75" x14ac:dyDescent="0.2">
      <c r="A135" s="821"/>
      <c r="B135" s="2367"/>
      <c r="C135" s="2367"/>
      <c r="D135" s="1010"/>
      <c r="E135" s="2367"/>
      <c r="F135" s="2367"/>
      <c r="G135" s="823"/>
      <c r="H135" s="138"/>
      <c r="I135" s="814"/>
      <c r="J135" s="814"/>
    </row>
    <row r="136" spans="1:10" ht="13.5" thickBot="1" x14ac:dyDescent="0.25">
      <c r="A136" s="828" t="s">
        <v>1798</v>
      </c>
      <c r="B136" s="2367" t="s">
        <v>50</v>
      </c>
      <c r="C136" s="2367"/>
      <c r="D136" s="1089">
        <f>D119-D130+D132-D133+D134</f>
        <v>0</v>
      </c>
      <c r="E136" s="2367"/>
      <c r="F136" s="2367" t="s">
        <v>50</v>
      </c>
      <c r="G136" s="823"/>
      <c r="H136" s="138"/>
      <c r="I136" s="814"/>
      <c r="J136" s="814"/>
    </row>
    <row r="137" spans="1:10" ht="13.5" thickTop="1" x14ac:dyDescent="0.2">
      <c r="A137" s="814"/>
      <c r="B137" s="814"/>
      <c r="C137" s="814"/>
      <c r="D137" s="814"/>
      <c r="E137" s="814"/>
      <c r="F137" s="814"/>
      <c r="G137" s="814"/>
      <c r="H137" s="138"/>
      <c r="I137" s="814"/>
      <c r="J137" s="814"/>
    </row>
    <row r="138" spans="1:10" ht="12.75" x14ac:dyDescent="0.2">
      <c r="A138" s="846" t="s">
        <v>1827</v>
      </c>
      <c r="B138" s="2373"/>
      <c r="C138" s="2373"/>
      <c r="D138" s="2192">
        <f>D109+D45</f>
        <v>0</v>
      </c>
      <c r="E138" s="2373"/>
      <c r="F138" s="2373"/>
      <c r="G138" s="2373"/>
      <c r="H138" s="846" t="s">
        <v>1828</v>
      </c>
    </row>
    <row r="139" spans="1:10" ht="12.75" x14ac:dyDescent="0.2">
      <c r="A139" s="2372"/>
      <c r="B139" s="2372"/>
      <c r="C139" s="2372"/>
      <c r="D139" s="2372"/>
      <c r="E139" s="2372"/>
      <c r="F139" s="2372"/>
      <c r="G139" s="2372"/>
      <c r="H139" s="2373"/>
      <c r="I139" s="2372"/>
      <c r="J139" s="2372"/>
    </row>
  </sheetData>
  <sheetProtection algorithmName="SHA-512" hashValue="miu25t4q9tcBB5BdXdhah/EZrUUhMf4XRmwnd7z1t225BZtyC+v26U3uS74XLOqpNPtIaXY7L3imLysH9zJBNg==" saltValue="yWz72Eriazt0s3+1sNt/Fg==" spinCount="100000" sheet="1" autoFilter="0"/>
  <mergeCells count="12">
    <mergeCell ref="B78:F78"/>
    <mergeCell ref="A77:I77"/>
    <mergeCell ref="A1:H1"/>
    <mergeCell ref="A4:H4"/>
    <mergeCell ref="F7:H7"/>
    <mergeCell ref="F8:H8"/>
    <mergeCell ref="A74:J74"/>
    <mergeCell ref="A2:H2"/>
    <mergeCell ref="A3:H3"/>
    <mergeCell ref="F5:H5"/>
    <mergeCell ref="F6:H6"/>
    <mergeCell ref="I2:I4"/>
  </mergeCells>
  <conditionalFormatting sqref="I2:I4">
    <cfRule type="cellIs" dxfId="75" priority="1" stopIfTrue="1" operator="equal">
      <formula>"na"</formula>
    </cfRule>
  </conditionalFormatting>
  <conditionalFormatting sqref="S1">
    <cfRule type="cellIs" dxfId="74" priority="3" stopIfTrue="1" operator="equal">
      <formula>"na"</formula>
    </cfRule>
  </conditionalFormatting>
  <dataValidations count="3">
    <dataValidation type="list" allowBlank="1" showInputMessage="1" showErrorMessage="1" sqref="A33:A34 A97:A98" xr:uid="{00000000-0002-0000-2500-000002000000}">
      <formula1>CurrentLiabilities</formula1>
    </dataValidation>
    <dataValidation type="list" allowBlank="1" showInputMessage="1" showErrorMessage="1" sqref="A36:A37 A100:A101" xr:uid="{00000000-0002-0000-2500-000003000000}">
      <formula1>NoncurrentLiabilities</formula1>
    </dataValidation>
    <dataValidation type="list" allowBlank="1" showInputMessage="1" showErrorMessage="1" sqref="A31 A95" xr:uid="{00000000-0002-0000-2500-000004000000}">
      <formula1>DeferredOutflows</formula1>
    </dataValidation>
  </dataValidations>
  <hyperlinks>
    <hyperlink ref="A1:H1" location="Index!A1" display="Index!A1" xr:uid="{00000000-0004-0000-2500-000000000000}"/>
  </hyperlinks>
  <pageMargins left="0.6" right="0.6" top="0.5" bottom="0.5" header="0.3" footer="0.3"/>
  <pageSetup scale="70" fitToHeight="0" orientation="portrait" r:id="rId1"/>
  <rowBreaks count="1" manualBreakCount="1">
    <brk id="76" max="9" man="1"/>
  </rowBreak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2500-000000000000}">
          <x14:formula1>
            <xm:f>Notes!$R$4:$R$22</xm:f>
          </x14:formula1>
          <xm:sqref>A18:A19 A82:A83</xm:sqref>
        </x14:dataValidation>
        <x14:dataValidation type="list" allowBlank="1" showInputMessage="1" showErrorMessage="1" xr:uid="{00000000-0002-0000-2500-000001000000}">
          <x14:formula1>
            <xm:f>Notes!$R$25:$R$34</xm:f>
          </x14:formula1>
          <xm:sqref>A21:A22 A85:A86</xm:sqref>
        </x14:dataValidation>
        <x14:dataValidation type="list" allowBlank="1" showInputMessage="1" showErrorMessage="1" xr:uid="{E5787500-58E2-4D6F-AEE0-FE7E47F3FB35}">
          <x14:formula1>
            <xm:f>Notes!$R$81:$R$87</xm:f>
          </x14:formula1>
          <xm:sqref>A39 A103</xm:sqref>
        </x14:dataValidation>
        <x14:dataValidation type="list" allowBlank="1" showInputMessage="1" showErrorMessage="1" xr:uid="{AE4B566F-DC35-4E10-8153-0CD7902FED62}">
          <x14:formula1>
            <xm:f>Notes!$J$113:$J$135</xm:f>
          </x14:formula1>
          <xm:sqref>B8</xm:sqref>
        </x14:dataValidation>
        <x14:dataValidation type="list" allowBlank="1" showInputMessage="1" showErrorMessage="1" xr:uid="{17DF7FD1-499C-4F71-A84D-8F87398DE566}">
          <x14:formula1>
            <xm:f>Notes!$J$93:$J$105</xm:f>
          </x14:formula1>
          <xm:sqref>H18:H19 H68:H70 H58:H65 H54 H49:H52 H41:H43 H39 H36:H37 H33:H34 H31 H24:H28 H21:H22</xm:sqref>
        </x14:dataValidation>
        <x14:dataValidation type="list" allowBlank="1" showInputMessage="1" showErrorMessage="1" xr:uid="{450C712B-552D-49FE-A21B-9D5B07629706}">
          <x14:formula1>
            <xm:f>Notes!$J$108:$J$110</xm:f>
          </x14:formula1>
          <xm:sqref>H82:H83 H132:H134 H122:H129 H118 H113:H116 H105:H107 H103 H100:H101 H97:H98 H95 H88:H92 H85:H86</xm:sqref>
        </x14:dataValidation>
        <x14:dataValidation type="list" allowBlank="1" showInputMessage="1" showErrorMessage="1" xr:uid="{36D750CE-119A-4AE8-8D18-254C1B2A73B0}">
          <x14:formula1>
            <xm:f>Notes!$K$30:$K$32</xm:f>
          </x14:formula1>
          <xm:sqref>B7</xm:sqref>
        </x14:dataValidation>
        <x14:dataValidation type="list" allowBlank="1" showInputMessage="1" showErrorMessage="1" xr:uid="{23AF8640-A085-49F4-B48B-8978693D64B5}">
          <x14:formula1>
            <xm:f>Notes!$J$58:$J$76</xm:f>
          </x14:formula1>
          <xm:sqref>A24:A28 A88:A92</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CAB9C-3090-49BB-BAFC-4BBB50B255A1}">
  <sheetPr codeName="Sheet87">
    <pageSetUpPr fitToPage="1"/>
  </sheetPr>
  <dimension ref="A1:S140"/>
  <sheetViews>
    <sheetView showGridLines="0" topLeftCell="A35" zoomScaleNormal="100" zoomScaleSheetLayoutView="100" workbookViewId="0">
      <selection activeCell="D71" sqref="D71"/>
    </sheetView>
  </sheetViews>
  <sheetFormatPr defaultColWidth="9.42578125" defaultRowHeight="10.5" x14ac:dyDescent="0.15"/>
  <cols>
    <col min="1" max="1" width="31.42578125" style="17" customWidth="1"/>
    <col min="2" max="2" width="16.5703125" style="17" customWidth="1"/>
    <col min="3" max="3" width="1.5703125" style="17" customWidth="1"/>
    <col min="4" max="4" width="15.5703125" style="17" customWidth="1"/>
    <col min="5" max="5" width="1.5703125" style="17" customWidth="1"/>
    <col min="6" max="6" width="16.5703125" style="17" customWidth="1"/>
    <col min="7" max="7" width="1.5703125" style="17" customWidth="1"/>
    <col min="8" max="8" width="12.5703125" style="17" customWidth="1"/>
    <col min="9" max="9" width="4.5703125" style="17" customWidth="1"/>
    <col min="10" max="10" width="23.5703125" style="17" customWidth="1"/>
    <col min="11" max="16" width="1.5703125" style="17" customWidth="1"/>
    <col min="17" max="16384" width="9.42578125" style="17"/>
  </cols>
  <sheetData>
    <row r="1" spans="1:19" s="186" customFormat="1" ht="15.75" x14ac:dyDescent="0.25">
      <c r="A1" s="2553" t="str">
        <f>Index!A1</f>
        <v xml:space="preserve">                                                               Office of the State Controller                                                                </v>
      </c>
      <c r="B1" s="2553"/>
      <c r="C1" s="2553"/>
      <c r="D1" s="2553"/>
      <c r="E1" s="2553"/>
      <c r="F1" s="2553"/>
      <c r="G1" s="2553"/>
      <c r="H1" s="2553"/>
      <c r="I1" s="2441"/>
      <c r="J1" s="2441"/>
      <c r="K1" s="2441"/>
      <c r="L1" s="2441"/>
      <c r="M1" s="2441"/>
      <c r="N1" s="2441"/>
      <c r="O1" s="2441"/>
      <c r="P1" s="2441"/>
      <c r="Q1" s="2441"/>
      <c r="R1" s="2441"/>
      <c r="S1" s="962"/>
    </row>
    <row r="2" spans="1:19" s="16" customFormat="1" ht="15" customHeight="1" x14ac:dyDescent="0.25">
      <c r="A2" s="2823" t="str">
        <f>+Index!$A$2</f>
        <v>2024 ACFR Worksheets</v>
      </c>
      <c r="B2" s="2823"/>
      <c r="C2" s="2823"/>
      <c r="D2" s="2823"/>
      <c r="E2" s="2823"/>
      <c r="F2" s="2823"/>
      <c r="G2" s="2823"/>
      <c r="H2" s="2823"/>
      <c r="I2" s="2554" t="str">
        <f>IF(Index!$B$66="na","NA","")</f>
        <v/>
      </c>
    </row>
    <row r="3" spans="1:19" s="16" customFormat="1" ht="15" customHeight="1" x14ac:dyDescent="0.25">
      <c r="A3" s="2749" t="s">
        <v>1829</v>
      </c>
      <c r="B3" s="2749"/>
      <c r="C3" s="2749"/>
      <c r="D3" s="2749"/>
      <c r="E3" s="2749"/>
      <c r="F3" s="2749"/>
      <c r="G3" s="2749"/>
      <c r="H3" s="2749"/>
      <c r="I3" s="2554"/>
    </row>
    <row r="4" spans="1:19" s="18" customFormat="1" ht="15" customHeight="1" x14ac:dyDescent="0.25">
      <c r="A4" s="2867" t="s">
        <v>1830</v>
      </c>
      <c r="B4" s="2867"/>
      <c r="C4" s="2867"/>
      <c r="D4" s="2867"/>
      <c r="E4" s="2867"/>
      <c r="F4" s="2867"/>
      <c r="G4" s="2867"/>
      <c r="H4" s="2867"/>
      <c r="I4" s="2554"/>
      <c r="J4" s="488"/>
      <c r="K4" s="488"/>
    </row>
    <row r="5" spans="1:19" s="18" customFormat="1" ht="6" customHeight="1" x14ac:dyDescent="0.2">
      <c r="C5" s="128"/>
      <c r="D5" s="128"/>
      <c r="F5" s="2865"/>
      <c r="G5" s="2865"/>
      <c r="H5" s="2865"/>
    </row>
    <row r="6" spans="1:19" s="18" customFormat="1" ht="15" customHeight="1" x14ac:dyDescent="0.2">
      <c r="A6" s="2369" t="s">
        <v>318</v>
      </c>
      <c r="B6" s="2358" t="str">
        <f>Index!$E$10</f>
        <v>01</v>
      </c>
      <c r="C6" s="2357"/>
      <c r="D6" s="2357"/>
      <c r="E6" s="815" t="s">
        <v>319</v>
      </c>
      <c r="F6" s="2596" t="str">
        <f>+Index!$E$11</f>
        <v>North Carolina General Assembly</v>
      </c>
      <c r="G6" s="2596"/>
      <c r="H6" s="2596"/>
    </row>
    <row r="7" spans="1:19" s="18" customFormat="1" ht="12" customHeight="1" x14ac:dyDescent="0.2">
      <c r="A7" s="814"/>
      <c r="B7" s="814"/>
      <c r="C7" s="2357"/>
      <c r="D7" s="2357"/>
      <c r="E7" s="815" t="s">
        <v>320</v>
      </c>
      <c r="F7" s="2629" t="str">
        <f>CONCATENATE(Index!$E$12,"",Index!$E$14)</f>
        <v/>
      </c>
      <c r="G7" s="2629"/>
      <c r="H7" s="2629"/>
    </row>
    <row r="8" spans="1:19" s="18" customFormat="1" ht="14.25" customHeight="1" x14ac:dyDescent="0.2">
      <c r="A8" s="814" t="s">
        <v>545</v>
      </c>
      <c r="B8" s="2368" t="s">
        <v>50</v>
      </c>
      <c r="C8" s="2357"/>
      <c r="D8" s="2357"/>
      <c r="E8" s="815" t="s">
        <v>168</v>
      </c>
      <c r="F8" s="2629">
        <f>+Index!$E$13</f>
        <v>0</v>
      </c>
      <c r="G8" s="2629"/>
      <c r="H8" s="2629"/>
    </row>
    <row r="9" spans="1:19" s="18" customFormat="1" ht="6" customHeight="1" thickBot="1" x14ac:dyDescent="0.25">
      <c r="A9" s="76"/>
      <c r="B9" s="76"/>
      <c r="C9" s="76"/>
      <c r="D9" s="76"/>
      <c r="E9" s="76"/>
      <c r="F9" s="76"/>
      <c r="G9" s="76"/>
      <c r="H9" s="76"/>
    </row>
    <row r="10" spans="1:19" s="18" customFormat="1" ht="5.25" customHeight="1" x14ac:dyDescent="0.2"/>
    <row r="11" spans="1:19" s="18" customFormat="1" ht="15" customHeight="1" x14ac:dyDescent="0.2">
      <c r="A11" s="846" t="s">
        <v>1831</v>
      </c>
      <c r="B11" s="846"/>
      <c r="C11" s="846"/>
      <c r="D11" s="846"/>
      <c r="E11" s="846"/>
      <c r="F11" s="846"/>
    </row>
    <row r="12" spans="1:19" s="18" customFormat="1" ht="3" customHeight="1" x14ac:dyDescent="0.2">
      <c r="A12" s="846"/>
      <c r="B12" s="846"/>
      <c r="C12" s="846"/>
      <c r="D12" s="846"/>
      <c r="E12" s="846"/>
      <c r="F12" s="846"/>
    </row>
    <row r="13" spans="1:19" s="18" customFormat="1" ht="14.25" customHeight="1" x14ac:dyDescent="0.25">
      <c r="B13" s="2185" t="s">
        <v>1753</v>
      </c>
      <c r="C13" s="2185"/>
      <c r="D13" s="2185"/>
    </row>
    <row r="14" spans="1:19" s="18" customFormat="1" ht="15" customHeight="1" x14ac:dyDescent="0.2">
      <c r="A14" s="1985"/>
      <c r="B14" s="2177" t="s">
        <v>1754</v>
      </c>
      <c r="C14" s="2177"/>
      <c r="D14" s="2177" t="s">
        <v>1755</v>
      </c>
      <c r="F14" s="2177" t="s">
        <v>1756</v>
      </c>
    </row>
    <row r="15" spans="1:19" customFormat="1" ht="15" customHeight="1" x14ac:dyDescent="0.2">
      <c r="B15" s="2287" t="s">
        <v>1757</v>
      </c>
      <c r="F15" s="2287" t="s">
        <v>1758</v>
      </c>
    </row>
    <row r="16" spans="1:19" customFormat="1" ht="12.75" x14ac:dyDescent="0.2">
      <c r="B16" s="423">
        <v>45108</v>
      </c>
      <c r="D16" s="2317" t="s">
        <v>1760</v>
      </c>
      <c r="F16" s="2317" t="s">
        <v>1761</v>
      </c>
      <c r="H16" s="2177" t="s">
        <v>1759</v>
      </c>
    </row>
    <row r="17" spans="1:8" customFormat="1" ht="15" customHeight="1" x14ac:dyDescent="0.2">
      <c r="A17" s="1" t="s">
        <v>555</v>
      </c>
      <c r="B17" s="1087"/>
      <c r="D17" s="2287"/>
      <c r="F17" s="2287"/>
    </row>
    <row r="18" spans="1:8" customFormat="1" ht="15" customHeight="1" x14ac:dyDescent="0.2">
      <c r="A18" s="357" t="s">
        <v>1765</v>
      </c>
      <c r="B18" s="337"/>
      <c r="C18" s="138"/>
      <c r="D18" s="337"/>
      <c r="F18" s="1088">
        <f t="shared" ref="F18:F30" si="0">B18+D18</f>
        <v>0</v>
      </c>
      <c r="H18" s="2217" t="s">
        <v>1766</v>
      </c>
    </row>
    <row r="19" spans="1:8" customFormat="1" ht="15" customHeight="1" x14ac:dyDescent="0.2">
      <c r="A19" s="357" t="s">
        <v>1765</v>
      </c>
      <c r="B19" s="337"/>
      <c r="C19" s="138"/>
      <c r="D19" s="337"/>
      <c r="F19" s="1088">
        <f t="shared" si="0"/>
        <v>0</v>
      </c>
      <c r="H19" s="2217" t="s">
        <v>1832</v>
      </c>
    </row>
    <row r="20" spans="1:8" customFormat="1" ht="15" customHeight="1" x14ac:dyDescent="0.2">
      <c r="A20" s="357" t="s">
        <v>1765</v>
      </c>
      <c r="B20" s="337"/>
      <c r="C20" s="138"/>
      <c r="D20" s="337"/>
      <c r="F20" s="1088">
        <f t="shared" si="0"/>
        <v>0</v>
      </c>
      <c r="H20" s="2217" t="s">
        <v>1832</v>
      </c>
    </row>
    <row r="21" spans="1:8" customFormat="1" ht="15" customHeight="1" x14ac:dyDescent="0.2">
      <c r="A21" s="1" t="s">
        <v>1833</v>
      </c>
      <c r="B21" s="2191"/>
      <c r="C21" s="138"/>
      <c r="D21" s="2191"/>
      <c r="F21" s="1992"/>
    </row>
    <row r="22" spans="1:8" customFormat="1" ht="15" customHeight="1" x14ac:dyDescent="0.2">
      <c r="A22" s="2398" t="s">
        <v>1765</v>
      </c>
      <c r="B22" s="337"/>
      <c r="C22" s="138"/>
      <c r="D22" s="337"/>
      <c r="F22" s="1088">
        <f t="shared" si="0"/>
        <v>0</v>
      </c>
      <c r="H22" s="2217" t="s">
        <v>1832</v>
      </c>
    </row>
    <row r="23" spans="1:8" customFormat="1" ht="15" customHeight="1" x14ac:dyDescent="0.2">
      <c r="A23" s="2398" t="s">
        <v>1765</v>
      </c>
      <c r="B23" s="337"/>
      <c r="C23" s="138"/>
      <c r="D23" s="337"/>
      <c r="F23" s="1088">
        <f t="shared" si="0"/>
        <v>0</v>
      </c>
      <c r="H23" s="2217" t="s">
        <v>1832</v>
      </c>
    </row>
    <row r="24" spans="1:8" customFormat="1" ht="15" customHeight="1" x14ac:dyDescent="0.2">
      <c r="A24" s="1" t="s">
        <v>1834</v>
      </c>
      <c r="B24" s="337">
        <f>SUM(B22:B23)</f>
        <v>0</v>
      </c>
      <c r="C24" s="138"/>
      <c r="D24" s="2193">
        <f>SUM(D22:D23)</f>
        <v>0</v>
      </c>
      <c r="F24" s="1088">
        <f t="shared" si="0"/>
        <v>0</v>
      </c>
    </row>
    <row r="25" spans="1:8" customFormat="1" ht="15" customHeight="1" x14ac:dyDescent="0.2">
      <c r="A25" s="1" t="s">
        <v>1835</v>
      </c>
      <c r="B25" s="2191"/>
      <c r="C25" s="138"/>
      <c r="D25" s="2191"/>
      <c r="F25" s="1992"/>
    </row>
    <row r="26" spans="1:8" customFormat="1" ht="15" customHeight="1" x14ac:dyDescent="0.2">
      <c r="A26" s="2398" t="s">
        <v>1765</v>
      </c>
      <c r="B26" s="337"/>
      <c r="C26" s="138"/>
      <c r="D26" s="337"/>
      <c r="F26" s="1088">
        <f t="shared" si="0"/>
        <v>0</v>
      </c>
      <c r="H26" s="2217" t="s">
        <v>1832</v>
      </c>
    </row>
    <row r="27" spans="1:8" customFormat="1" ht="15" customHeight="1" x14ac:dyDescent="0.2">
      <c r="A27" s="2398" t="s">
        <v>1765</v>
      </c>
      <c r="B27" s="337"/>
      <c r="C27" s="138"/>
      <c r="D27" s="337"/>
      <c r="F27" s="1088">
        <f t="shared" si="0"/>
        <v>0</v>
      </c>
      <c r="H27" s="2217" t="s">
        <v>1832</v>
      </c>
    </row>
    <row r="28" spans="1:8" customFormat="1" ht="15" customHeight="1" x14ac:dyDescent="0.2">
      <c r="A28" s="2398" t="s">
        <v>1765</v>
      </c>
      <c r="B28" s="337"/>
      <c r="C28" s="138"/>
      <c r="D28" s="337"/>
      <c r="F28" s="1088">
        <f t="shared" si="0"/>
        <v>0</v>
      </c>
      <c r="H28" s="2217" t="s">
        <v>1832</v>
      </c>
    </row>
    <row r="29" spans="1:8" customFormat="1" ht="15" customHeight="1" x14ac:dyDescent="0.2">
      <c r="A29" s="2398" t="s">
        <v>1765</v>
      </c>
      <c r="B29" s="337"/>
      <c r="C29" s="138"/>
      <c r="D29" s="337"/>
      <c r="F29" s="1088">
        <f t="shared" si="0"/>
        <v>0</v>
      </c>
      <c r="H29" s="2217" t="s">
        <v>1832</v>
      </c>
    </row>
    <row r="30" spans="1:8" customFormat="1" ht="15" customHeight="1" x14ac:dyDescent="0.2">
      <c r="A30" s="1" t="s">
        <v>1836</v>
      </c>
      <c r="B30" s="337">
        <f>SUM(B26:B29)</f>
        <v>0</v>
      </c>
      <c r="C30" s="138"/>
      <c r="D30" s="2193">
        <f>SUM(D26:D29)</f>
        <v>0</v>
      </c>
      <c r="F30" s="1088">
        <f t="shared" si="0"/>
        <v>0</v>
      </c>
    </row>
    <row r="31" spans="1:8" customFormat="1" ht="15" customHeight="1" x14ac:dyDescent="0.2">
      <c r="A31" s="1" t="s">
        <v>1810</v>
      </c>
      <c r="B31" s="336"/>
      <c r="C31" s="138"/>
      <c r="D31" s="336"/>
      <c r="F31" s="2287"/>
    </row>
    <row r="32" spans="1:8" customFormat="1" ht="15" customHeight="1" x14ac:dyDescent="0.2">
      <c r="A32" s="2398" t="s">
        <v>1765</v>
      </c>
      <c r="B32" s="337"/>
      <c r="C32" s="138"/>
      <c r="D32" s="337"/>
      <c r="F32" s="1088">
        <f>B32+D32</f>
        <v>0</v>
      </c>
      <c r="H32" s="2217" t="s">
        <v>1832</v>
      </c>
    </row>
    <row r="33" spans="1:10" customFormat="1" ht="15" customHeight="1" x14ac:dyDescent="0.2">
      <c r="A33" s="1" t="s">
        <v>1837</v>
      </c>
      <c r="B33" s="336"/>
      <c r="C33" s="138"/>
      <c r="D33" s="336"/>
      <c r="F33" s="2287"/>
    </row>
    <row r="34" spans="1:10" customFormat="1" ht="15" customHeight="1" x14ac:dyDescent="0.2">
      <c r="A34" s="357" t="s">
        <v>1765</v>
      </c>
      <c r="B34" s="337"/>
      <c r="C34" s="138"/>
      <c r="D34" s="337"/>
      <c r="F34" s="1088">
        <f>B34+D34</f>
        <v>0</v>
      </c>
      <c r="H34" s="2217" t="s">
        <v>1832</v>
      </c>
    </row>
    <row r="35" spans="1:10" customFormat="1" ht="15" customHeight="1" x14ac:dyDescent="0.2">
      <c r="A35" s="357" t="s">
        <v>1765</v>
      </c>
      <c r="B35" s="337"/>
      <c r="C35" s="138"/>
      <c r="D35" s="337"/>
      <c r="F35" s="1088">
        <f>B35+D35</f>
        <v>0</v>
      </c>
      <c r="H35" s="2217" t="s">
        <v>1832</v>
      </c>
    </row>
    <row r="36" spans="1:10" customFormat="1" ht="15" customHeight="1" x14ac:dyDescent="0.2">
      <c r="A36" s="357" t="s">
        <v>1765</v>
      </c>
      <c r="B36" s="337"/>
      <c r="C36" s="138"/>
      <c r="D36" s="337"/>
      <c r="F36" s="1088">
        <f>B36+D36</f>
        <v>0</v>
      </c>
      <c r="H36" s="2217" t="s">
        <v>1832</v>
      </c>
    </row>
    <row r="37" spans="1:10" customFormat="1" ht="15" customHeight="1" x14ac:dyDescent="0.2">
      <c r="A37" s="1" t="s">
        <v>1813</v>
      </c>
      <c r="B37" s="336"/>
      <c r="C37" s="138"/>
      <c r="D37" s="336"/>
      <c r="F37" s="2287"/>
    </row>
    <row r="38" spans="1:10" customFormat="1" ht="15" customHeight="1" x14ac:dyDescent="0.2">
      <c r="A38" s="2398" t="s">
        <v>1765</v>
      </c>
      <c r="B38" s="337"/>
      <c r="C38" s="138"/>
      <c r="D38" s="337"/>
      <c r="F38" s="1088">
        <f>B38+D38</f>
        <v>0</v>
      </c>
      <c r="H38" s="2217" t="s">
        <v>1832</v>
      </c>
    </row>
    <row r="39" spans="1:10" customFormat="1" ht="15" customHeight="1" x14ac:dyDescent="0.2">
      <c r="A39" s="2398" t="s">
        <v>1765</v>
      </c>
      <c r="B39" s="337"/>
      <c r="C39" s="138"/>
      <c r="D39" s="337"/>
      <c r="F39" s="1088">
        <f>B39+D39</f>
        <v>0</v>
      </c>
      <c r="H39" s="2217" t="s">
        <v>1832</v>
      </c>
    </row>
    <row r="40" spans="1:10" customFormat="1" ht="15" customHeight="1" x14ac:dyDescent="0.2">
      <c r="A40" s="1" t="s">
        <v>1814</v>
      </c>
      <c r="B40" s="336"/>
      <c r="C40" s="138"/>
      <c r="D40" s="336"/>
      <c r="F40" s="2287"/>
    </row>
    <row r="41" spans="1:10" customFormat="1" ht="15" customHeight="1" x14ac:dyDescent="0.2">
      <c r="A41" s="138" t="s">
        <v>1777</v>
      </c>
      <c r="B41" s="337"/>
      <c r="C41" s="138"/>
      <c r="D41" s="337"/>
      <c r="F41" s="1088">
        <f>B41+D41</f>
        <v>0</v>
      </c>
      <c r="H41" s="2217" t="s">
        <v>1766</v>
      </c>
    </row>
    <row r="42" spans="1:10" customFormat="1" ht="15" customHeight="1" x14ac:dyDescent="0.2">
      <c r="A42" s="138" t="s">
        <v>1838</v>
      </c>
      <c r="B42" s="337"/>
      <c r="C42" s="138"/>
      <c r="D42" s="337"/>
      <c r="F42" s="1088">
        <f>B42+D42</f>
        <v>0</v>
      </c>
      <c r="H42" s="2217" t="s">
        <v>1832</v>
      </c>
    </row>
    <row r="43" spans="1:10" customFormat="1" ht="15" customHeight="1" x14ac:dyDescent="0.2">
      <c r="A43" s="138" t="s">
        <v>1839</v>
      </c>
      <c r="B43" s="337"/>
      <c r="C43" s="138"/>
      <c r="D43" s="337"/>
      <c r="F43" s="1088">
        <f>B43+D43</f>
        <v>0</v>
      </c>
      <c r="H43" s="2217" t="s">
        <v>1832</v>
      </c>
    </row>
    <row r="44" spans="1:10" customFormat="1" ht="15" customHeight="1" x14ac:dyDescent="0.2">
      <c r="A44" s="138" t="s">
        <v>1816</v>
      </c>
      <c r="B44" s="337"/>
      <c r="C44" s="138"/>
      <c r="D44" s="337"/>
      <c r="F44" s="1088">
        <f>B44+D44</f>
        <v>0</v>
      </c>
      <c r="H44" s="2217" t="s">
        <v>1832</v>
      </c>
    </row>
    <row r="45" spans="1:10" customFormat="1" ht="8.25" customHeight="1" x14ac:dyDescent="0.2">
      <c r="B45" s="1087"/>
      <c r="D45" s="2287"/>
      <c r="F45" s="2287"/>
    </row>
    <row r="46" spans="1:10" customFormat="1" ht="15" customHeight="1" thickBot="1" x14ac:dyDescent="0.25">
      <c r="A46" s="1" t="s">
        <v>1817</v>
      </c>
      <c r="B46" s="1087"/>
      <c r="D46" s="1089">
        <f>SUM(SUM(D18:D20)+D24+D30+D32)-SUM(D34:D39)</f>
        <v>0</v>
      </c>
      <c r="F46" s="2287"/>
    </row>
    <row r="47" spans="1:10" customFormat="1" ht="6" customHeight="1" thickTop="1" x14ac:dyDescent="0.2">
      <c r="B47" s="1087"/>
      <c r="D47" s="2287"/>
      <c r="F47" s="2287"/>
    </row>
    <row r="48" spans="1:10" s="18" customFormat="1" ht="12.75" x14ac:dyDescent="0.2">
      <c r="A48" s="965" t="s">
        <v>1781</v>
      </c>
      <c r="B48" s="2367"/>
      <c r="C48" s="2367"/>
      <c r="D48" s="2367"/>
      <c r="E48" s="2367"/>
      <c r="F48" s="2367"/>
      <c r="G48" s="823"/>
      <c r="H48" s="138"/>
      <c r="I48" s="814"/>
      <c r="J48" s="814"/>
    </row>
    <row r="49" spans="1:10" s="18" customFormat="1" ht="12.75" customHeight="1" x14ac:dyDescent="0.2">
      <c r="A49" s="828" t="s">
        <v>1783</v>
      </c>
      <c r="B49" s="2367"/>
      <c r="C49" s="2367"/>
      <c r="D49" s="2367"/>
      <c r="E49" s="2367"/>
      <c r="F49" s="2367"/>
      <c r="G49" s="823"/>
      <c r="H49" s="138"/>
      <c r="I49" s="814"/>
      <c r="J49" s="814"/>
    </row>
    <row r="50" spans="1:10" s="18" customFormat="1" ht="12.75" customHeight="1" x14ac:dyDescent="0.2">
      <c r="A50" s="1991" t="s">
        <v>6558</v>
      </c>
      <c r="B50" s="822">
        <v>0</v>
      </c>
      <c r="C50" s="2367"/>
      <c r="D50" s="822"/>
      <c r="E50" s="2367"/>
      <c r="F50" s="1088">
        <f t="shared" ref="F50:F57" si="1">B50+D50</f>
        <v>0</v>
      </c>
      <c r="G50" s="823"/>
      <c r="H50" s="2217" t="s">
        <v>1832</v>
      </c>
      <c r="I50" s="814"/>
      <c r="J50" s="814"/>
    </row>
    <row r="51" spans="1:10" s="18" customFormat="1" ht="12.75" customHeight="1" x14ac:dyDescent="0.2">
      <c r="A51" s="1991" t="s">
        <v>6581</v>
      </c>
      <c r="B51" s="823">
        <v>0</v>
      </c>
      <c r="C51" s="823"/>
      <c r="D51" s="823"/>
      <c r="E51" s="823"/>
      <c r="F51" s="823">
        <f t="shared" si="1"/>
        <v>0</v>
      </c>
      <c r="G51" s="823"/>
      <c r="H51" s="138"/>
      <c r="I51" s="814"/>
      <c r="J51" s="814"/>
    </row>
    <row r="52" spans="1:10" s="18" customFormat="1" ht="12.75" customHeight="1" x14ac:dyDescent="0.2">
      <c r="A52" s="821" t="s">
        <v>6582</v>
      </c>
      <c r="B52" s="822"/>
      <c r="C52" s="2367"/>
      <c r="D52" s="822"/>
      <c r="E52" s="2367"/>
      <c r="F52" s="1088">
        <f t="shared" si="1"/>
        <v>0</v>
      </c>
      <c r="G52" s="823"/>
      <c r="H52" s="2217" t="s">
        <v>1832</v>
      </c>
      <c r="I52" s="814"/>
      <c r="J52" s="814"/>
    </row>
    <row r="53" spans="1:10" s="18" customFormat="1" ht="12.75" customHeight="1" x14ac:dyDescent="0.2">
      <c r="A53" s="821" t="s">
        <v>6583</v>
      </c>
      <c r="B53" s="822"/>
      <c r="C53" s="2367"/>
      <c r="D53" s="822"/>
      <c r="E53" s="2367"/>
      <c r="F53" s="1088">
        <f t="shared" si="1"/>
        <v>0</v>
      </c>
      <c r="G53" s="823"/>
      <c r="H53" s="2217" t="s">
        <v>1832</v>
      </c>
      <c r="I53" s="814"/>
      <c r="J53" s="814"/>
    </row>
    <row r="54" spans="1:10" s="18" customFormat="1" ht="12.75" customHeight="1" x14ac:dyDescent="0.2">
      <c r="A54" s="821" t="s">
        <v>1857</v>
      </c>
      <c r="B54" s="822"/>
      <c r="C54" s="2367"/>
      <c r="D54" s="822"/>
      <c r="E54" s="2367"/>
      <c r="F54" s="1088">
        <f t="shared" si="1"/>
        <v>0</v>
      </c>
      <c r="G54" s="823"/>
      <c r="H54" s="2217" t="s">
        <v>1832</v>
      </c>
      <c r="I54" s="814"/>
      <c r="J54" s="814"/>
    </row>
    <row r="55" spans="1:10" s="18" customFormat="1" ht="12.75" customHeight="1" x14ac:dyDescent="0.2">
      <c r="A55" s="1991" t="s">
        <v>6584</v>
      </c>
      <c r="B55" s="823"/>
      <c r="C55" s="823"/>
      <c r="D55" s="823"/>
      <c r="E55" s="823"/>
      <c r="F55" s="823">
        <f t="shared" si="1"/>
        <v>0</v>
      </c>
      <c r="G55" s="823"/>
      <c r="H55" s="138"/>
      <c r="I55" s="814"/>
      <c r="J55" s="814"/>
    </row>
    <row r="56" spans="1:10" s="18" customFormat="1" ht="12.75" customHeight="1" x14ac:dyDescent="0.2">
      <c r="A56" s="821" t="s">
        <v>6585</v>
      </c>
      <c r="B56" s="822"/>
      <c r="C56" s="2367"/>
      <c r="D56" s="822"/>
      <c r="E56" s="2367"/>
      <c r="F56" s="1088">
        <f t="shared" si="1"/>
        <v>0</v>
      </c>
      <c r="G56" s="823"/>
      <c r="H56" s="2217" t="s">
        <v>1832</v>
      </c>
      <c r="I56" s="814"/>
      <c r="J56" s="814"/>
    </row>
    <row r="57" spans="1:10" s="18" customFormat="1" ht="12.75" customHeight="1" x14ac:dyDescent="0.2">
      <c r="A57" s="821" t="s">
        <v>6586</v>
      </c>
      <c r="B57" s="822"/>
      <c r="C57" s="2367"/>
      <c r="D57" s="822"/>
      <c r="E57" s="2367"/>
      <c r="F57" s="1088">
        <f t="shared" si="1"/>
        <v>0</v>
      </c>
      <c r="G57" s="823"/>
      <c r="H57" s="2217" t="s">
        <v>1832</v>
      </c>
      <c r="I57" s="814"/>
      <c r="J57" s="814"/>
    </row>
    <row r="58" spans="1:10" s="18" customFormat="1" ht="12.75" customHeight="1" x14ac:dyDescent="0.2">
      <c r="A58" s="828" t="s">
        <v>1840</v>
      </c>
      <c r="B58" s="823">
        <v>0</v>
      </c>
      <c r="C58" s="823"/>
      <c r="D58" s="823">
        <v>0</v>
      </c>
      <c r="E58" s="823"/>
      <c r="F58" s="1992"/>
      <c r="G58" s="823"/>
      <c r="H58" s="138"/>
      <c r="I58" s="820"/>
      <c r="J58" s="814"/>
    </row>
    <row r="59" spans="1:10" s="18" customFormat="1" ht="12.75" customHeight="1" x14ac:dyDescent="0.2">
      <c r="A59" s="821" t="s">
        <v>6587</v>
      </c>
      <c r="B59" s="822">
        <v>0</v>
      </c>
      <c r="C59" s="2367"/>
      <c r="D59" s="822"/>
      <c r="E59" s="2367"/>
      <c r="F59" s="1088">
        <f>B59+D59</f>
        <v>0</v>
      </c>
      <c r="G59" s="823"/>
      <c r="H59" s="2217" t="s">
        <v>1832</v>
      </c>
      <c r="I59" s="820"/>
      <c r="J59" s="814"/>
    </row>
    <row r="60" spans="1:10" s="18" customFormat="1" ht="12.75" customHeight="1" x14ac:dyDescent="0.2">
      <c r="A60" s="821" t="s">
        <v>6588</v>
      </c>
      <c r="B60" s="822">
        <v>0</v>
      </c>
      <c r="C60" s="2367"/>
      <c r="D60" s="822"/>
      <c r="E60" s="2367"/>
      <c r="F60" s="1088">
        <f>B60+D60</f>
        <v>0</v>
      </c>
      <c r="G60" s="823"/>
      <c r="H60" s="2217" t="s">
        <v>1832</v>
      </c>
      <c r="I60" s="820"/>
      <c r="J60" s="814"/>
    </row>
    <row r="61" spans="1:10" s="18" customFormat="1" ht="12.75" customHeight="1" x14ac:dyDescent="0.2">
      <c r="A61" s="821" t="s">
        <v>6589</v>
      </c>
      <c r="B61" s="822">
        <v>0</v>
      </c>
      <c r="C61" s="2367"/>
      <c r="D61" s="822"/>
      <c r="E61" s="2367"/>
      <c r="F61" s="1088">
        <f>B61+D61</f>
        <v>0</v>
      </c>
      <c r="G61" s="823"/>
      <c r="H61" s="2217" t="s">
        <v>1832</v>
      </c>
      <c r="I61" s="820"/>
      <c r="J61" s="814"/>
    </row>
    <row r="62" spans="1:10" s="18" customFormat="1" ht="12.75" customHeight="1" x14ac:dyDescent="0.2">
      <c r="A62" s="821" t="s">
        <v>6590</v>
      </c>
      <c r="B62" s="822">
        <v>0</v>
      </c>
      <c r="C62" s="2367"/>
      <c r="D62" s="822"/>
      <c r="E62" s="2367"/>
      <c r="F62" s="1088">
        <f>B62+D62</f>
        <v>0</v>
      </c>
      <c r="G62" s="823"/>
      <c r="H62" s="2217" t="s">
        <v>1832</v>
      </c>
      <c r="I62" s="820"/>
      <c r="J62" s="814"/>
    </row>
    <row r="63" spans="1:10" s="18" customFormat="1" ht="12.75" customHeight="1" x14ac:dyDescent="0.2">
      <c r="A63" s="821" t="s">
        <v>6562</v>
      </c>
      <c r="B63" s="822">
        <v>0</v>
      </c>
      <c r="C63" s="2367"/>
      <c r="D63" s="822"/>
      <c r="E63" s="2367"/>
      <c r="F63" s="1088">
        <f>B63+D63</f>
        <v>0</v>
      </c>
      <c r="G63" s="823"/>
      <c r="H63" s="2217" t="s">
        <v>1832</v>
      </c>
      <c r="I63" s="814"/>
      <c r="J63" s="814"/>
    </row>
    <row r="64" spans="1:10" s="18" customFormat="1" ht="12.75" customHeight="1" x14ac:dyDescent="0.2">
      <c r="A64" s="828" t="s">
        <v>1841</v>
      </c>
      <c r="B64" s="2367"/>
      <c r="C64" s="2367"/>
      <c r="D64" s="2367"/>
      <c r="E64" s="2367"/>
      <c r="F64" s="823"/>
      <c r="G64" s="823"/>
      <c r="H64" s="2217" t="s">
        <v>1832</v>
      </c>
      <c r="I64" s="814"/>
      <c r="J64" s="814"/>
    </row>
    <row r="65" spans="1:10" s="18" customFormat="1" ht="14.1" customHeight="1" thickBot="1" x14ac:dyDescent="0.25">
      <c r="A65" s="828" t="s">
        <v>1842</v>
      </c>
      <c r="B65" s="1090">
        <f>B50+B441+B53+B54+B56+B57+B59+B60+B61+B62+B63+B64</f>
        <v>0</v>
      </c>
      <c r="C65" s="823"/>
      <c r="D65" s="1090">
        <f>D50+D52+D53+D54+D56+D57+D59+D60+D61+D62+D63+D64</f>
        <v>0</v>
      </c>
      <c r="E65" s="823"/>
      <c r="F65" s="1090">
        <f>F50+F441+F53+F54+F56+F57+F59+F60+F61+F62+F63+F64</f>
        <v>0</v>
      </c>
      <c r="G65" s="823"/>
      <c r="H65" s="138"/>
      <c r="I65" s="820"/>
      <c r="J65" s="814"/>
    </row>
    <row r="66" spans="1:10" s="18" customFormat="1" ht="8.1" customHeight="1" thickTop="1" x14ac:dyDescent="0.2">
      <c r="A66" s="828"/>
      <c r="B66" s="2367"/>
      <c r="C66" s="2367"/>
      <c r="D66" s="2367"/>
      <c r="E66" s="2367"/>
      <c r="F66" s="823"/>
      <c r="G66" s="823"/>
      <c r="H66" s="138"/>
      <c r="I66" s="820"/>
      <c r="J66" s="814"/>
    </row>
    <row r="67" spans="1:10" s="18" customFormat="1" ht="12.75" customHeight="1" thickBot="1" x14ac:dyDescent="0.25">
      <c r="A67" s="828" t="s">
        <v>1843</v>
      </c>
      <c r="B67" s="1993">
        <v>0</v>
      </c>
      <c r="C67" s="2367"/>
      <c r="D67" s="1993"/>
      <c r="E67" s="2367"/>
      <c r="F67" s="1994">
        <f>B67+D67</f>
        <v>0</v>
      </c>
      <c r="G67" s="823"/>
      <c r="H67" s="2217" t="s">
        <v>1832</v>
      </c>
      <c r="I67" s="814"/>
      <c r="J67" s="814"/>
    </row>
    <row r="68" spans="1:10" s="18" customFormat="1" ht="8.25" customHeight="1" thickTop="1" x14ac:dyDescent="0.2">
      <c r="A68" s="963"/>
      <c r="B68" s="2367"/>
      <c r="C68" s="2367"/>
      <c r="D68" s="2367"/>
      <c r="E68" s="2367"/>
      <c r="F68" s="823"/>
      <c r="G68" s="823"/>
      <c r="H68" s="138"/>
      <c r="I68" s="814"/>
      <c r="J68" s="814"/>
    </row>
    <row r="69" spans="1:10" s="18" customFormat="1" ht="12.75" customHeight="1" thickBot="1" x14ac:dyDescent="0.25">
      <c r="A69" s="828" t="s">
        <v>6668</v>
      </c>
      <c r="B69" s="1993"/>
      <c r="C69" s="2367"/>
      <c r="D69" s="1993"/>
      <c r="E69" s="2367"/>
      <c r="F69" s="1994">
        <f>B69+D69</f>
        <v>0</v>
      </c>
      <c r="G69" s="823"/>
      <c r="H69" s="2217" t="s">
        <v>1832</v>
      </c>
      <c r="I69" s="814"/>
      <c r="J69" s="814"/>
    </row>
    <row r="70" spans="1:10" s="18" customFormat="1" ht="7.5" customHeight="1" thickTop="1" x14ac:dyDescent="0.2">
      <c r="A70" s="821"/>
      <c r="B70" s="2367"/>
      <c r="C70" s="2367"/>
      <c r="D70" s="1010"/>
      <c r="E70" s="2367"/>
      <c r="F70" s="2367"/>
      <c r="G70" s="823"/>
      <c r="H70" s="138"/>
      <c r="I70" s="814"/>
      <c r="J70" s="814"/>
    </row>
    <row r="71" spans="1:10" s="18" customFormat="1" ht="14.1" customHeight="1" thickBot="1" x14ac:dyDescent="0.25">
      <c r="A71" s="828" t="s">
        <v>1798</v>
      </c>
      <c r="B71" s="2367" t="s">
        <v>50</v>
      </c>
      <c r="C71" s="2367"/>
      <c r="D71" s="1089">
        <f>D65-D67+D69</f>
        <v>0</v>
      </c>
      <c r="E71" s="2367"/>
      <c r="F71" s="2367" t="s">
        <v>50</v>
      </c>
      <c r="G71" s="823"/>
      <c r="H71" s="138"/>
      <c r="I71" s="814"/>
      <c r="J71" s="814"/>
    </row>
    <row r="72" spans="1:10" s="18" customFormat="1" ht="8.1" customHeight="1" thickTop="1" x14ac:dyDescent="0.2">
      <c r="A72" s="814"/>
      <c r="B72" s="814"/>
      <c r="C72" s="814"/>
      <c r="D72" s="814"/>
      <c r="E72" s="814"/>
      <c r="F72" s="814"/>
      <c r="G72" s="814"/>
      <c r="H72" s="138"/>
      <c r="I72" s="814"/>
      <c r="J72" s="814"/>
    </row>
    <row r="73" spans="1:10" s="18" customFormat="1" ht="12.75" x14ac:dyDescent="0.2">
      <c r="A73" s="2863" t="s">
        <v>1799</v>
      </c>
      <c r="B73" s="2864"/>
      <c r="C73" s="2864"/>
      <c r="D73" s="2864"/>
      <c r="E73" s="2864"/>
      <c r="F73" s="2864"/>
      <c r="G73" s="2864"/>
      <c r="H73" s="2864"/>
      <c r="I73" s="2864"/>
      <c r="J73" s="2864"/>
    </row>
    <row r="74" spans="1:10" s="18" customFormat="1" ht="12.75" x14ac:dyDescent="0.2">
      <c r="A74" s="2372" t="s">
        <v>1800</v>
      </c>
      <c r="B74" s="2372"/>
      <c r="C74" s="2372"/>
      <c r="D74" s="2372"/>
      <c r="E74" s="2372"/>
      <c r="F74" s="2372"/>
      <c r="G74" s="2372"/>
      <c r="H74" s="2373"/>
      <c r="I74" s="2372"/>
      <c r="J74" s="2372"/>
    </row>
    <row r="75" spans="1:10" s="18" customFormat="1" ht="12.75" x14ac:dyDescent="0.2">
      <c r="H75"/>
    </row>
    <row r="76" spans="1:10" ht="15" x14ac:dyDescent="0.25">
      <c r="A76" s="18"/>
      <c r="B76" s="2185" t="s">
        <v>1845</v>
      </c>
      <c r="C76" s="2185"/>
      <c r="D76" s="2185"/>
      <c r="E76" s="18"/>
      <c r="F76" s="18"/>
      <c r="G76" s="18"/>
      <c r="H76" s="18"/>
      <c r="I76" s="18"/>
    </row>
    <row r="77" spans="1:10" ht="12.75" x14ac:dyDescent="0.2">
      <c r="A77" s="1985"/>
      <c r="B77" s="2177"/>
      <c r="C77" s="2177"/>
      <c r="D77" s="2177"/>
      <c r="E77" s="18"/>
      <c r="F77" s="2177"/>
      <c r="G77" s="18"/>
      <c r="H77" s="2177"/>
      <c r="I77" s="18"/>
    </row>
    <row r="78" spans="1:10" ht="12.75" x14ac:dyDescent="0.2">
      <c r="A78"/>
      <c r="B78" s="2287" t="s">
        <v>1757</v>
      </c>
      <c r="C78"/>
      <c r="D78"/>
      <c r="E78"/>
      <c r="F78" s="2287" t="s">
        <v>1758</v>
      </c>
      <c r="G78"/>
      <c r="H78"/>
      <c r="I78"/>
    </row>
    <row r="79" spans="1:10" ht="12.75" x14ac:dyDescent="0.2">
      <c r="A79"/>
      <c r="B79" s="423">
        <v>45108</v>
      </c>
      <c r="C79"/>
      <c r="D79" s="2317" t="s">
        <v>1760</v>
      </c>
      <c r="E79"/>
      <c r="F79" s="2317" t="s">
        <v>1761</v>
      </c>
      <c r="G79"/>
      <c r="H79"/>
      <c r="I79"/>
    </row>
    <row r="80" spans="1:10" ht="12.75" x14ac:dyDescent="0.2">
      <c r="A80" s="1" t="s">
        <v>555</v>
      </c>
      <c r="B80" s="1087"/>
      <c r="C80"/>
      <c r="D80" s="2287"/>
      <c r="E80"/>
      <c r="F80" s="2287"/>
      <c r="G80"/>
      <c r="H80"/>
      <c r="I80"/>
    </row>
    <row r="81" spans="1:9" ht="12.75" x14ac:dyDescent="0.2">
      <c r="A81" s="357" t="s">
        <v>1765</v>
      </c>
      <c r="B81" s="337"/>
      <c r="C81" s="138"/>
      <c r="D81" s="337"/>
      <c r="E81"/>
      <c r="F81" s="1088">
        <f t="shared" ref="F81:F84" si="2">B81+D81</f>
        <v>0</v>
      </c>
      <c r="G81"/>
      <c r="H81" s="2217" t="s">
        <v>1832</v>
      </c>
      <c r="I81"/>
    </row>
    <row r="82" spans="1:9" ht="12.75" x14ac:dyDescent="0.2">
      <c r="A82" s="357" t="s">
        <v>1765</v>
      </c>
      <c r="B82" s="337"/>
      <c r="C82" s="138"/>
      <c r="D82" s="337"/>
      <c r="E82"/>
      <c r="F82" s="1088">
        <f t="shared" si="2"/>
        <v>0</v>
      </c>
      <c r="G82"/>
      <c r="H82" s="2217" t="s">
        <v>1832</v>
      </c>
      <c r="I82"/>
    </row>
    <row r="83" spans="1:9" ht="12.75" x14ac:dyDescent="0.2">
      <c r="A83" s="357" t="s">
        <v>1765</v>
      </c>
      <c r="B83" s="337"/>
      <c r="C83" s="138"/>
      <c r="D83" s="337"/>
      <c r="E83"/>
      <c r="F83" s="1088">
        <f t="shared" si="2"/>
        <v>0</v>
      </c>
      <c r="G83"/>
      <c r="H83" s="2217" t="s">
        <v>1832</v>
      </c>
      <c r="I83"/>
    </row>
    <row r="84" spans="1:9" ht="12.75" x14ac:dyDescent="0.2">
      <c r="A84" s="357" t="s">
        <v>1765</v>
      </c>
      <c r="B84" s="337"/>
      <c r="C84" s="138"/>
      <c r="D84" s="337"/>
      <c r="E84"/>
      <c r="F84" s="1088">
        <f t="shared" si="2"/>
        <v>0</v>
      </c>
      <c r="G84"/>
      <c r="H84" s="2217" t="s">
        <v>1832</v>
      </c>
      <c r="I84"/>
    </row>
    <row r="85" spans="1:9" ht="12.75" x14ac:dyDescent="0.2">
      <c r="A85" s="1" t="s">
        <v>1833</v>
      </c>
      <c r="B85" s="2191"/>
      <c r="C85" s="138"/>
      <c r="D85" s="2191"/>
      <c r="E85"/>
      <c r="F85" s="1992"/>
      <c r="G85"/>
      <c r="H85"/>
      <c r="I85"/>
    </row>
    <row r="86" spans="1:9" ht="12.75" x14ac:dyDescent="0.2">
      <c r="A86" s="2398" t="s">
        <v>1765</v>
      </c>
      <c r="B86" s="337"/>
      <c r="C86" s="138"/>
      <c r="D86" s="337"/>
      <c r="E86"/>
      <c r="F86" s="1088">
        <f t="shared" ref="F86:F88" si="3">B86+D86</f>
        <v>0</v>
      </c>
      <c r="G86"/>
      <c r="H86" s="2217" t="s">
        <v>1832</v>
      </c>
      <c r="I86"/>
    </row>
    <row r="87" spans="1:9" ht="12.75" x14ac:dyDescent="0.2">
      <c r="A87" s="2398" t="s">
        <v>1765</v>
      </c>
      <c r="B87" s="337"/>
      <c r="C87" s="138"/>
      <c r="D87" s="337"/>
      <c r="E87"/>
      <c r="F87" s="1088">
        <f t="shared" si="3"/>
        <v>0</v>
      </c>
      <c r="G87"/>
      <c r="H87" s="2217" t="s">
        <v>1832</v>
      </c>
      <c r="I87"/>
    </row>
    <row r="88" spans="1:9" ht="12.75" x14ac:dyDescent="0.2">
      <c r="A88" s="1" t="s">
        <v>1834</v>
      </c>
      <c r="B88" s="337">
        <f>SUM(B86:B87)</f>
        <v>0</v>
      </c>
      <c r="C88" s="138"/>
      <c r="D88" s="2193">
        <f>SUM(D86:D87)</f>
        <v>0</v>
      </c>
      <c r="E88"/>
      <c r="F88" s="1088">
        <f t="shared" si="3"/>
        <v>0</v>
      </c>
      <c r="G88"/>
      <c r="H88"/>
      <c r="I88"/>
    </row>
    <row r="89" spans="1:9" ht="12.75" x14ac:dyDescent="0.2">
      <c r="A89" s="1" t="s">
        <v>1835</v>
      </c>
      <c r="B89" s="2191"/>
      <c r="C89" s="138"/>
      <c r="D89" s="2191"/>
      <c r="E89"/>
      <c r="F89" s="1992"/>
      <c r="G89"/>
      <c r="H89"/>
      <c r="I89"/>
    </row>
    <row r="90" spans="1:9" ht="12.75" x14ac:dyDescent="0.2">
      <c r="A90" s="2398" t="s">
        <v>1765</v>
      </c>
      <c r="B90" s="337"/>
      <c r="C90" s="138"/>
      <c r="D90" s="337"/>
      <c r="E90"/>
      <c r="F90" s="1088">
        <f t="shared" ref="F90:F94" si="4">B90+D90</f>
        <v>0</v>
      </c>
      <c r="G90"/>
      <c r="H90" s="2217" t="s">
        <v>1832</v>
      </c>
      <c r="I90"/>
    </row>
    <row r="91" spans="1:9" ht="12.75" x14ac:dyDescent="0.2">
      <c r="A91" s="2398" t="s">
        <v>1765</v>
      </c>
      <c r="B91" s="337"/>
      <c r="C91" s="138"/>
      <c r="D91" s="337"/>
      <c r="E91"/>
      <c r="F91" s="1088">
        <f t="shared" si="4"/>
        <v>0</v>
      </c>
      <c r="G91"/>
      <c r="H91" s="2217" t="s">
        <v>1832</v>
      </c>
      <c r="I91"/>
    </row>
    <row r="92" spans="1:9" ht="12.75" x14ac:dyDescent="0.2">
      <c r="A92" s="2398" t="s">
        <v>1765</v>
      </c>
      <c r="B92" s="337"/>
      <c r="C92" s="138"/>
      <c r="D92" s="337"/>
      <c r="E92"/>
      <c r="F92" s="1088">
        <f t="shared" si="4"/>
        <v>0</v>
      </c>
      <c r="G92"/>
      <c r="H92" s="2217" t="s">
        <v>1832</v>
      </c>
      <c r="I92"/>
    </row>
    <row r="93" spans="1:9" ht="12.75" x14ac:dyDescent="0.2">
      <c r="A93" s="2398" t="s">
        <v>1765</v>
      </c>
      <c r="B93" s="337"/>
      <c r="C93" s="138"/>
      <c r="D93" s="337"/>
      <c r="E93"/>
      <c r="F93" s="1088">
        <f t="shared" si="4"/>
        <v>0</v>
      </c>
      <c r="G93"/>
      <c r="H93" s="2217" t="s">
        <v>1832</v>
      </c>
      <c r="I93"/>
    </row>
    <row r="94" spans="1:9" ht="12.75" x14ac:dyDescent="0.2">
      <c r="A94" s="1" t="s">
        <v>1836</v>
      </c>
      <c r="B94" s="337">
        <f>SUM(B90:B93)</f>
        <v>0</v>
      </c>
      <c r="C94" s="138"/>
      <c r="D94" s="2193">
        <f>SUM(D90:D93)</f>
        <v>0</v>
      </c>
      <c r="E94"/>
      <c r="F94" s="1088">
        <f t="shared" si="4"/>
        <v>0</v>
      </c>
      <c r="G94"/>
      <c r="H94"/>
      <c r="I94"/>
    </row>
    <row r="95" spans="1:9" ht="12.75" x14ac:dyDescent="0.2">
      <c r="A95" s="1" t="s">
        <v>1810</v>
      </c>
      <c r="B95" s="336"/>
      <c r="C95" s="138"/>
      <c r="D95" s="336"/>
      <c r="E95"/>
      <c r="F95" s="2287"/>
      <c r="G95"/>
      <c r="H95"/>
      <c r="I95"/>
    </row>
    <row r="96" spans="1:9" ht="12.75" x14ac:dyDescent="0.2">
      <c r="A96" s="2398" t="s">
        <v>1765</v>
      </c>
      <c r="B96" s="337"/>
      <c r="C96" s="138"/>
      <c r="D96" s="337"/>
      <c r="E96"/>
      <c r="F96" s="1088">
        <f>B96+D96</f>
        <v>0</v>
      </c>
      <c r="G96"/>
      <c r="H96" s="2217" t="s">
        <v>1832</v>
      </c>
      <c r="I96"/>
    </row>
    <row r="97" spans="1:9" ht="12.75" x14ac:dyDescent="0.2">
      <c r="A97" s="2398" t="s">
        <v>1765</v>
      </c>
      <c r="B97" s="337"/>
      <c r="C97" s="138"/>
      <c r="D97" s="337"/>
      <c r="E97"/>
      <c r="F97" s="1088">
        <f>B97+D97</f>
        <v>0</v>
      </c>
      <c r="G97"/>
      <c r="H97" s="2217" t="s">
        <v>1832</v>
      </c>
      <c r="I97"/>
    </row>
    <row r="98" spans="1:9" ht="12.75" x14ac:dyDescent="0.2">
      <c r="A98" s="1" t="s">
        <v>1837</v>
      </c>
      <c r="B98" s="336"/>
      <c r="C98" s="138"/>
      <c r="D98" s="336"/>
      <c r="E98"/>
      <c r="F98" s="2287"/>
      <c r="G98"/>
      <c r="H98"/>
      <c r="I98"/>
    </row>
    <row r="99" spans="1:9" ht="12.75" x14ac:dyDescent="0.2">
      <c r="A99" s="357" t="s">
        <v>1765</v>
      </c>
      <c r="B99" s="337"/>
      <c r="C99" s="138"/>
      <c r="D99" s="337"/>
      <c r="E99"/>
      <c r="F99" s="1088">
        <f>B99+D99</f>
        <v>0</v>
      </c>
      <c r="G99"/>
      <c r="H99" s="2217" t="s">
        <v>1832</v>
      </c>
      <c r="I99"/>
    </row>
    <row r="100" spans="1:9" ht="12.75" x14ac:dyDescent="0.2">
      <c r="A100" s="357" t="s">
        <v>1765</v>
      </c>
      <c r="B100" s="337"/>
      <c r="C100" s="138"/>
      <c r="D100" s="337"/>
      <c r="E100"/>
      <c r="F100" s="1088">
        <f>B100+D100</f>
        <v>0</v>
      </c>
      <c r="G100"/>
      <c r="H100" s="2217" t="s">
        <v>1832</v>
      </c>
      <c r="I100"/>
    </row>
    <row r="101" spans="1:9" ht="12.75" x14ac:dyDescent="0.2">
      <c r="A101" s="357" t="s">
        <v>1765</v>
      </c>
      <c r="B101" s="337"/>
      <c r="C101" s="138"/>
      <c r="D101" s="337"/>
      <c r="E101"/>
      <c r="F101" s="1088">
        <f>B101+D101</f>
        <v>0</v>
      </c>
      <c r="G101"/>
      <c r="H101" s="2217" t="s">
        <v>1832</v>
      </c>
      <c r="I101"/>
    </row>
    <row r="102" spans="1:9" ht="12.75" x14ac:dyDescent="0.2">
      <c r="A102" s="357" t="s">
        <v>1765</v>
      </c>
      <c r="B102" s="337"/>
      <c r="C102" s="138"/>
      <c r="D102" s="337"/>
      <c r="E102"/>
      <c r="F102" s="1088">
        <f>B102+D102</f>
        <v>0</v>
      </c>
      <c r="G102"/>
      <c r="H102" s="2217" t="s">
        <v>1832</v>
      </c>
      <c r="I102"/>
    </row>
    <row r="103" spans="1:9" ht="12.75" x14ac:dyDescent="0.2">
      <c r="A103" s="1" t="s">
        <v>1813</v>
      </c>
      <c r="B103" s="336"/>
      <c r="C103" s="138"/>
      <c r="D103" s="336"/>
      <c r="E103"/>
      <c r="F103" s="2287"/>
      <c r="G103"/>
      <c r="H103"/>
      <c r="I103"/>
    </row>
    <row r="104" spans="1:9" ht="12.75" x14ac:dyDescent="0.2">
      <c r="A104" s="2398" t="s">
        <v>1765</v>
      </c>
      <c r="B104" s="337"/>
      <c r="C104" s="138"/>
      <c r="D104" s="337"/>
      <c r="E104"/>
      <c r="F104" s="1088">
        <f>B104+D104</f>
        <v>0</v>
      </c>
      <c r="G104"/>
      <c r="H104" s="2217" t="s">
        <v>1832</v>
      </c>
      <c r="I104"/>
    </row>
    <row r="105" spans="1:9" ht="12.75" x14ac:dyDescent="0.2">
      <c r="A105" s="2398" t="s">
        <v>1765</v>
      </c>
      <c r="B105" s="337"/>
      <c r="C105" s="138"/>
      <c r="D105" s="337"/>
      <c r="E105"/>
      <c r="F105" s="1088">
        <f>B105+D105</f>
        <v>0</v>
      </c>
      <c r="G105"/>
      <c r="H105" s="2217" t="s">
        <v>1832</v>
      </c>
      <c r="I105"/>
    </row>
    <row r="106" spans="1:9" ht="12.75" x14ac:dyDescent="0.2">
      <c r="A106" s="1" t="s">
        <v>1814</v>
      </c>
      <c r="B106" s="336"/>
      <c r="C106" s="138"/>
      <c r="D106" s="336"/>
      <c r="E106"/>
      <c r="F106" s="2287"/>
      <c r="G106"/>
      <c r="H106"/>
      <c r="I106"/>
    </row>
    <row r="107" spans="1:9" ht="12.75" x14ac:dyDescent="0.2">
      <c r="A107" s="138" t="s">
        <v>1777</v>
      </c>
      <c r="B107" s="337"/>
      <c r="C107" s="138"/>
      <c r="D107" s="337"/>
      <c r="E107"/>
      <c r="F107" s="1088">
        <f>B107+D107</f>
        <v>0</v>
      </c>
      <c r="G107"/>
      <c r="H107" s="2217" t="s">
        <v>1832</v>
      </c>
      <c r="I107"/>
    </row>
    <row r="108" spans="1:9" ht="12.75" x14ac:dyDescent="0.2">
      <c r="A108" s="138" t="s">
        <v>1838</v>
      </c>
      <c r="B108" s="337"/>
      <c r="C108" s="138"/>
      <c r="D108" s="337"/>
      <c r="E108"/>
      <c r="F108" s="1088">
        <f>B108+D108</f>
        <v>0</v>
      </c>
      <c r="G108"/>
      <c r="H108" s="2217" t="s">
        <v>1832</v>
      </c>
      <c r="I108"/>
    </row>
    <row r="109" spans="1:9" ht="12.75" x14ac:dyDescent="0.2">
      <c r="A109" s="138" t="s">
        <v>1839</v>
      </c>
      <c r="B109" s="337"/>
      <c r="C109" s="138"/>
      <c r="D109" s="337"/>
      <c r="E109"/>
      <c r="F109" s="1088">
        <f>B109+D109</f>
        <v>0</v>
      </c>
      <c r="G109"/>
      <c r="H109" s="2217" t="s">
        <v>1832</v>
      </c>
      <c r="I109"/>
    </row>
    <row r="110" spans="1:9" ht="12.75" x14ac:dyDescent="0.2">
      <c r="A110" s="138" t="s">
        <v>1816</v>
      </c>
      <c r="B110" s="337"/>
      <c r="C110" s="138"/>
      <c r="D110" s="337"/>
      <c r="E110"/>
      <c r="F110" s="1088">
        <f>B110+D110</f>
        <v>0</v>
      </c>
      <c r="G110"/>
      <c r="H110" s="2217" t="s">
        <v>1832</v>
      </c>
      <c r="I110"/>
    </row>
    <row r="111" spans="1:9" ht="12.75" x14ac:dyDescent="0.2">
      <c r="A111"/>
      <c r="B111" s="1087"/>
      <c r="C111"/>
      <c r="D111" s="2287"/>
      <c r="E111"/>
      <c r="F111" s="2287"/>
      <c r="G111"/>
      <c r="H111"/>
      <c r="I111"/>
    </row>
    <row r="112" spans="1:9" ht="13.5" thickBot="1" x14ac:dyDescent="0.25">
      <c r="A112" s="1" t="s">
        <v>1817</v>
      </c>
      <c r="B112" s="1087"/>
      <c r="C112"/>
      <c r="D112" s="1089">
        <f>SUM(SUM(D81:D84)+D88+D94+D96+D97)-SUM(D99:D105)</f>
        <v>0</v>
      </c>
      <c r="E112"/>
      <c r="F112" s="2287"/>
      <c r="G112"/>
      <c r="H112"/>
      <c r="I112"/>
    </row>
    <row r="113" spans="1:9" ht="13.5" thickTop="1" x14ac:dyDescent="0.2">
      <c r="A113"/>
      <c r="B113" s="1087"/>
      <c r="C113"/>
      <c r="D113" s="2287"/>
      <c r="E113"/>
      <c r="F113" s="2287"/>
      <c r="G113"/>
      <c r="H113"/>
      <c r="I113"/>
    </row>
    <row r="114" spans="1:9" ht="12.75" x14ac:dyDescent="0.2">
      <c r="A114" s="965" t="s">
        <v>1781</v>
      </c>
      <c r="B114" s="2367"/>
      <c r="C114" s="2367"/>
      <c r="D114" s="2367"/>
      <c r="E114" s="2367"/>
      <c r="F114" s="2367"/>
      <c r="G114" s="823"/>
      <c r="H114" s="138"/>
      <c r="I114" s="814"/>
    </row>
    <row r="115" spans="1:9" ht="12.75" x14ac:dyDescent="0.2">
      <c r="A115" s="828" t="s">
        <v>1783</v>
      </c>
      <c r="B115" s="2367"/>
      <c r="C115" s="2367"/>
      <c r="D115" s="2367"/>
      <c r="E115" s="2367"/>
      <c r="F115" s="2367"/>
      <c r="G115" s="823"/>
      <c r="H115" s="138"/>
      <c r="I115" s="814"/>
    </row>
    <row r="116" spans="1:9" ht="12.75" x14ac:dyDescent="0.2">
      <c r="A116" s="1991" t="s">
        <v>6558</v>
      </c>
      <c r="B116" s="822">
        <v>0</v>
      </c>
      <c r="C116" s="2367"/>
      <c r="D116" s="822">
        <v>0</v>
      </c>
      <c r="E116" s="2367"/>
      <c r="F116" s="1088">
        <f t="shared" ref="F116:F123" si="5">B116+D116</f>
        <v>0</v>
      </c>
      <c r="G116" s="823"/>
      <c r="H116" s="2217" t="s">
        <v>1832</v>
      </c>
      <c r="I116" s="814"/>
    </row>
    <row r="117" spans="1:9" ht="12.75" x14ac:dyDescent="0.2">
      <c r="A117" s="1991" t="s">
        <v>6581</v>
      </c>
      <c r="B117" s="823"/>
      <c r="C117" s="823"/>
      <c r="D117" s="823"/>
      <c r="E117" s="823"/>
      <c r="F117" s="823"/>
      <c r="G117" s="823"/>
      <c r="H117" s="138"/>
      <c r="I117" s="814"/>
    </row>
    <row r="118" spans="1:9" ht="12.75" x14ac:dyDescent="0.2">
      <c r="A118" s="821" t="s">
        <v>6582</v>
      </c>
      <c r="B118" s="822"/>
      <c r="C118" s="2367"/>
      <c r="D118" s="822"/>
      <c r="E118" s="2367"/>
      <c r="F118" s="1088">
        <f t="shared" si="5"/>
        <v>0</v>
      </c>
      <c r="G118" s="823"/>
      <c r="H118" s="2217" t="s">
        <v>1832</v>
      </c>
      <c r="I118" s="814"/>
    </row>
    <row r="119" spans="1:9" ht="12.75" x14ac:dyDescent="0.2">
      <c r="A119" s="821" t="s">
        <v>6583</v>
      </c>
      <c r="B119" s="822"/>
      <c r="C119" s="2367"/>
      <c r="D119" s="822"/>
      <c r="E119" s="2367"/>
      <c r="F119" s="1088">
        <f t="shared" si="5"/>
        <v>0</v>
      </c>
      <c r="G119" s="823"/>
      <c r="H119" s="2217" t="s">
        <v>1832</v>
      </c>
      <c r="I119" s="814"/>
    </row>
    <row r="120" spans="1:9" ht="12.75" x14ac:dyDescent="0.2">
      <c r="A120" s="821" t="s">
        <v>1857</v>
      </c>
      <c r="B120" s="822"/>
      <c r="C120" s="2367"/>
      <c r="D120" s="822"/>
      <c r="E120" s="2367"/>
      <c r="F120" s="1088">
        <f t="shared" si="5"/>
        <v>0</v>
      </c>
      <c r="G120" s="823"/>
      <c r="H120" s="2217" t="s">
        <v>1832</v>
      </c>
      <c r="I120" s="814"/>
    </row>
    <row r="121" spans="1:9" ht="12.75" x14ac:dyDescent="0.2">
      <c r="A121" s="1991" t="s">
        <v>6584</v>
      </c>
      <c r="B121" s="823"/>
      <c r="C121" s="823"/>
      <c r="D121" s="823"/>
      <c r="E121" s="823"/>
      <c r="F121" s="823"/>
      <c r="G121" s="823"/>
      <c r="H121" s="138"/>
      <c r="I121" s="814"/>
    </row>
    <row r="122" spans="1:9" ht="12.75" x14ac:dyDescent="0.2">
      <c r="A122" s="821" t="s">
        <v>6585</v>
      </c>
      <c r="B122" s="822"/>
      <c r="C122" s="2367"/>
      <c r="D122" s="822"/>
      <c r="E122" s="2367"/>
      <c r="F122" s="1088">
        <f t="shared" si="5"/>
        <v>0</v>
      </c>
      <c r="G122" s="823"/>
      <c r="H122" s="2217" t="s">
        <v>1832</v>
      </c>
      <c r="I122" s="814"/>
    </row>
    <row r="123" spans="1:9" ht="12.75" x14ac:dyDescent="0.2">
      <c r="A123" s="821" t="s">
        <v>6586</v>
      </c>
      <c r="B123" s="822"/>
      <c r="C123" s="2367"/>
      <c r="D123" s="822"/>
      <c r="E123" s="2367"/>
      <c r="F123" s="1088">
        <f t="shared" si="5"/>
        <v>0</v>
      </c>
      <c r="G123" s="823"/>
      <c r="H123" s="2217" t="s">
        <v>1832</v>
      </c>
      <c r="I123" s="814"/>
    </row>
    <row r="124" spans="1:9" ht="12.75" x14ac:dyDescent="0.2">
      <c r="A124" s="828" t="s">
        <v>1840</v>
      </c>
      <c r="B124" s="823">
        <v>0</v>
      </c>
      <c r="C124" s="823"/>
      <c r="D124" s="823"/>
      <c r="E124" s="823"/>
      <c r="F124" s="1992"/>
      <c r="G124" s="823"/>
      <c r="H124" s="138"/>
      <c r="I124" s="820"/>
    </row>
    <row r="125" spans="1:9" ht="12.75" x14ac:dyDescent="0.2">
      <c r="A125" s="821" t="s">
        <v>6587</v>
      </c>
      <c r="B125" s="822">
        <v>0</v>
      </c>
      <c r="C125" s="2367"/>
      <c r="D125" s="822"/>
      <c r="E125" s="2367"/>
      <c r="F125" s="1088">
        <f>B125+D125</f>
        <v>0</v>
      </c>
      <c r="G125" s="823"/>
      <c r="H125" s="2217" t="s">
        <v>1832</v>
      </c>
      <c r="I125" s="820"/>
    </row>
    <row r="126" spans="1:9" ht="12.75" x14ac:dyDescent="0.2">
      <c r="A126" s="821" t="s">
        <v>6588</v>
      </c>
      <c r="B126" s="822">
        <v>0</v>
      </c>
      <c r="C126" s="2367"/>
      <c r="D126" s="822"/>
      <c r="E126" s="2367"/>
      <c r="F126" s="1088">
        <f>B126+D126</f>
        <v>0</v>
      </c>
      <c r="G126" s="823"/>
      <c r="H126" s="2217" t="s">
        <v>1832</v>
      </c>
      <c r="I126" s="820"/>
    </row>
    <row r="127" spans="1:9" ht="12.75" x14ac:dyDescent="0.2">
      <c r="A127" s="821" t="s">
        <v>6589</v>
      </c>
      <c r="B127" s="822">
        <v>0</v>
      </c>
      <c r="C127" s="2367"/>
      <c r="D127" s="822"/>
      <c r="E127" s="2367"/>
      <c r="F127" s="1088">
        <f>B127+D127</f>
        <v>0</v>
      </c>
      <c r="G127" s="823"/>
      <c r="H127" s="2217" t="s">
        <v>1832</v>
      </c>
      <c r="I127" s="820"/>
    </row>
    <row r="128" spans="1:9" ht="12.75" x14ac:dyDescent="0.2">
      <c r="A128" s="821" t="s">
        <v>6590</v>
      </c>
      <c r="B128" s="822">
        <v>0</v>
      </c>
      <c r="C128" s="2367"/>
      <c r="D128" s="822"/>
      <c r="E128" s="2367"/>
      <c r="F128" s="1088">
        <f>B128+D128</f>
        <v>0</v>
      </c>
      <c r="G128" s="823"/>
      <c r="H128" s="2217" t="s">
        <v>1832</v>
      </c>
      <c r="I128" s="820"/>
    </row>
    <row r="129" spans="1:9" ht="12.75" x14ac:dyDescent="0.2">
      <c r="A129" s="821" t="s">
        <v>6562</v>
      </c>
      <c r="B129" s="822">
        <v>0</v>
      </c>
      <c r="C129" s="2367"/>
      <c r="D129" s="822"/>
      <c r="E129" s="2367"/>
      <c r="F129" s="1088">
        <f>B129+D129</f>
        <v>0</v>
      </c>
      <c r="G129" s="823"/>
      <c r="H129" s="2217" t="s">
        <v>1832</v>
      </c>
      <c r="I129" s="814"/>
    </row>
    <row r="130" spans="1:9" ht="12.75" x14ac:dyDescent="0.2">
      <c r="A130" s="828" t="s">
        <v>1841</v>
      </c>
      <c r="B130" s="2367"/>
      <c r="C130" s="2367"/>
      <c r="D130" s="2367"/>
      <c r="E130" s="2367"/>
      <c r="F130" s="823"/>
      <c r="G130" s="823"/>
      <c r="H130" s="2217" t="s">
        <v>1832</v>
      </c>
      <c r="I130" s="814"/>
    </row>
    <row r="131" spans="1:9" ht="13.5" thickBot="1" x14ac:dyDescent="0.25">
      <c r="A131" s="828" t="s">
        <v>1842</v>
      </c>
      <c r="B131" s="1090">
        <f>B116+B509+B119+B120+B122+B123+B125+B126+B127+B128+B129+B130</f>
        <v>0</v>
      </c>
      <c r="C131" s="823"/>
      <c r="D131" s="1090">
        <f>D116+D118+D119+D120+D122+D123+D125+D126+D127+D128+D129+D130</f>
        <v>0</v>
      </c>
      <c r="E131" s="823"/>
      <c r="F131" s="1090">
        <f>F116+F509+F119+F120+F122+F123+F125+F126+F127+F128+F129+F130</f>
        <v>0</v>
      </c>
      <c r="G131" s="823"/>
      <c r="H131" s="138"/>
      <c r="I131" s="820"/>
    </row>
    <row r="132" spans="1:9" ht="13.5" thickTop="1" x14ac:dyDescent="0.2">
      <c r="A132" s="828"/>
      <c r="B132" s="2367"/>
      <c r="C132" s="2367"/>
      <c r="D132" s="2367"/>
      <c r="E132" s="2367"/>
      <c r="F132" s="823"/>
      <c r="G132" s="823"/>
      <c r="H132" s="138"/>
      <c r="I132" s="820"/>
    </row>
    <row r="133" spans="1:9" ht="12.75" x14ac:dyDescent="0.2">
      <c r="A133" s="828"/>
      <c r="B133" s="2367"/>
      <c r="C133" s="2367"/>
      <c r="D133" s="2367"/>
      <c r="E133" s="2367"/>
      <c r="F133" s="823"/>
      <c r="G133" s="823"/>
      <c r="H133" s="138"/>
      <c r="I133" s="814"/>
    </row>
    <row r="134" spans="1:9" ht="13.5" thickBot="1" x14ac:dyDescent="0.25">
      <c r="A134" s="828" t="s">
        <v>1843</v>
      </c>
      <c r="B134" s="1993">
        <v>0</v>
      </c>
      <c r="C134" s="2367"/>
      <c r="D134" s="1993">
        <v>0</v>
      </c>
      <c r="E134" s="2367"/>
      <c r="F134" s="1994">
        <f>B134+D134</f>
        <v>0</v>
      </c>
      <c r="G134" s="823"/>
      <c r="H134" s="2217" t="s">
        <v>1832</v>
      </c>
      <c r="I134" s="814"/>
    </row>
    <row r="135" spans="1:9" ht="13.5" thickTop="1" x14ac:dyDescent="0.2">
      <c r="A135" s="963"/>
      <c r="B135" s="2367"/>
      <c r="C135" s="2367"/>
      <c r="D135" s="2367"/>
      <c r="E135" s="2367"/>
      <c r="F135" s="823"/>
      <c r="G135" s="823"/>
      <c r="H135" s="138"/>
      <c r="I135" s="814"/>
    </row>
    <row r="136" spans="1:9" ht="13.5" thickBot="1" x14ac:dyDescent="0.25">
      <c r="A136" s="828" t="s">
        <v>6668</v>
      </c>
      <c r="B136" s="1993"/>
      <c r="C136" s="2367"/>
      <c r="D136" s="1993"/>
      <c r="E136" s="2367"/>
      <c r="F136" s="1994">
        <f>B136+D136</f>
        <v>0</v>
      </c>
      <c r="G136" s="823"/>
      <c r="H136" s="2217" t="s">
        <v>1832</v>
      </c>
      <c r="I136" s="814"/>
    </row>
    <row r="137" spans="1:9" ht="13.5" thickTop="1" x14ac:dyDescent="0.2">
      <c r="A137" s="821"/>
      <c r="B137" s="2367"/>
      <c r="C137" s="2367"/>
      <c r="D137" s="1010"/>
      <c r="E137" s="2367"/>
      <c r="F137" s="2367"/>
      <c r="G137" s="823"/>
      <c r="H137" s="138"/>
      <c r="I137" s="814"/>
    </row>
    <row r="138" spans="1:9" ht="13.5" thickBot="1" x14ac:dyDescent="0.25">
      <c r="A138" s="828" t="s">
        <v>1798</v>
      </c>
      <c r="B138" s="2367" t="s">
        <v>50</v>
      </c>
      <c r="C138" s="2367"/>
      <c r="D138" s="1089">
        <f>D131-D134+D136</f>
        <v>0</v>
      </c>
      <c r="E138" s="2367"/>
      <c r="F138" s="2367" t="s">
        <v>50</v>
      </c>
      <c r="G138" s="823"/>
      <c r="H138" s="138"/>
      <c r="I138" s="814"/>
    </row>
    <row r="139" spans="1:9" ht="8.25" customHeight="1" thickTop="1" x14ac:dyDescent="0.15"/>
    <row r="140" spans="1:9" ht="12" x14ac:dyDescent="0.2">
      <c r="A140" s="966" t="s">
        <v>1846</v>
      </c>
      <c r="D140" s="2205">
        <f>D112+D46</f>
        <v>0</v>
      </c>
      <c r="F140" s="828" t="s">
        <v>1847</v>
      </c>
    </row>
  </sheetData>
  <sheetProtection algorithmName="SHA-512" hashValue="8h6TD3EbwUIErKu7An9zoU5UMLb2N8lPIwQc2Y8LqPeNrvAt767HpkM1zw/XsCC+QvC0eQ18zTBHZKrJ515mtw==" saltValue="OX+I+knnowK4DJUnHr4UvA==" spinCount="100000" sheet="1" autoFilter="0"/>
  <dataConsolidate/>
  <mergeCells count="10">
    <mergeCell ref="A1:H1"/>
    <mergeCell ref="A2:H2"/>
    <mergeCell ref="I2:I4"/>
    <mergeCell ref="A3:H3"/>
    <mergeCell ref="A4:H4"/>
    <mergeCell ref="F6:H6"/>
    <mergeCell ref="F7:H7"/>
    <mergeCell ref="F8:H8"/>
    <mergeCell ref="A73:J73"/>
    <mergeCell ref="F5:H5"/>
  </mergeCells>
  <conditionalFormatting sqref="I2:I4">
    <cfRule type="cellIs" dxfId="73" priority="1" stopIfTrue="1" operator="equal">
      <formula>"na"</formula>
    </cfRule>
  </conditionalFormatting>
  <conditionalFormatting sqref="S1">
    <cfRule type="cellIs" dxfId="72" priority="2" stopIfTrue="1" operator="equal">
      <formula>"na"</formula>
    </cfRule>
  </conditionalFormatting>
  <hyperlinks>
    <hyperlink ref="A1:H1" location="Index!A1" display="Index!A1" xr:uid="{11F1EC95-B019-4278-AD62-FF4A217B496D}"/>
  </hyperlinks>
  <pageMargins left="0.6" right="0.6" top="0.5" bottom="0.5" header="0.3" footer="0.3"/>
  <pageSetup scale="74" fitToHeight="0" orientation="portrait" r:id="rId1"/>
  <rowBreaks count="1" manualBreakCount="1">
    <brk id="74" max="9" man="1"/>
  </rowBreaks>
  <extLst>
    <ext xmlns:x14="http://schemas.microsoft.com/office/spreadsheetml/2009/9/main" uri="{CCE6A557-97BC-4b89-ADB6-D9C93CAAB3DF}">
      <x14:dataValidations xmlns:xm="http://schemas.microsoft.com/office/excel/2006/main" count="7">
        <x14:dataValidation type="list" allowBlank="1" showInputMessage="1" showErrorMessage="1" xr:uid="{9EA4F58A-B6E5-478A-93BA-D1B27F3F35AE}">
          <x14:formula1>
            <xm:f>Notes!$R$115:$R$121</xm:f>
          </x14:formula1>
          <xm:sqref>A96:A97 A32</xm:sqref>
        </x14:dataValidation>
        <x14:dataValidation type="list" allowBlank="1" showInputMessage="1" showErrorMessage="1" xr:uid="{FF055C61-A034-43D3-AC13-9DEBD2363C66}">
          <x14:formula1>
            <xm:f>Notes!$R$162:$R$170</xm:f>
          </x14:formula1>
          <xm:sqref>A38:A39 A104:A105</xm:sqref>
        </x14:dataValidation>
        <x14:dataValidation type="list" allowBlank="1" showInputMessage="1" showErrorMessage="1" xr:uid="{31F961E5-B014-40FF-BDD4-D81852D632DB}">
          <x14:formula1>
            <xm:f>Notes!$R$92:$R$112</xm:f>
          </x14:formula1>
          <xm:sqref>A81:A84 A18:A20</xm:sqref>
        </x14:dataValidation>
        <x14:dataValidation type="list" allowBlank="1" showInputMessage="1" showErrorMessage="1" xr:uid="{AB734DD6-027E-4D41-8B9F-8AF8997F8E31}">
          <x14:formula1>
            <xm:f>Notes!$J$93:$J$105</xm:f>
          </x14:formula1>
          <xm:sqref>H67 H32 H34:H36 H18:H20 H59:H64 H56:H57 H52:H54 H50 H41:H44 H38:H39 H26:H29 H22:H23 H69</xm:sqref>
        </x14:dataValidation>
        <x14:dataValidation type="list" allowBlank="1" showInputMessage="1" showErrorMessage="1" xr:uid="{2A12D776-0882-41EB-B191-C45C505B5F86}">
          <x14:formula1>
            <xm:f>Notes!$J$108:$J$110</xm:f>
          </x14:formula1>
          <xm:sqref>H81:H84 H134 H125:H130 H122:H123 H118:H120 H116 H107:H110 H104:H105 H99:H102 H96:H97 H90:H93 H86:H87 H136</xm:sqref>
        </x14:dataValidation>
        <x14:dataValidation type="list" allowBlank="1" showInputMessage="1" showErrorMessage="1" xr:uid="{0161B564-7EF4-44F2-9796-850B89973144}">
          <x14:formula1>
            <xm:f>Notes!$R$125:$R$159</xm:f>
          </x14:formula1>
          <xm:sqref>A99:A102 A34:A36</xm:sqref>
        </x14:dataValidation>
        <x14:dataValidation type="list" allowBlank="1" showInputMessage="1" showErrorMessage="1" xr:uid="{CD19E9E9-41EB-41C4-B5CE-D49D9E5C8DAD}">
          <x14:formula1>
            <xm:f>Notes!$J$58:$J$76</xm:f>
          </x14:formula1>
          <xm:sqref>A22:A23 A90:A93 A86:A87 A26:A29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1:O101"/>
  <sheetViews>
    <sheetView showGridLines="0" topLeftCell="B1" zoomScaleNormal="100" workbookViewId="0">
      <selection activeCell="N11" sqref="N11"/>
    </sheetView>
  </sheetViews>
  <sheetFormatPr defaultColWidth="9.42578125" defaultRowHeight="12.75" x14ac:dyDescent="0.2"/>
  <cols>
    <col min="1" max="1" width="9" style="41" hidden="1" customWidth="1"/>
    <col min="2" max="3" width="3.42578125" style="41" customWidth="1"/>
    <col min="4" max="4" width="14.5703125" style="41" customWidth="1"/>
    <col min="5" max="5" width="9.42578125" style="41"/>
    <col min="6" max="6" width="12.5703125" style="41" customWidth="1"/>
    <col min="7" max="7" width="7.5703125" style="41" customWidth="1"/>
    <col min="8" max="8" width="8.5703125" style="41" customWidth="1"/>
    <col min="9" max="9" width="7.42578125" style="41" customWidth="1"/>
    <col min="10" max="10" width="8.42578125" style="41" customWidth="1"/>
    <col min="11" max="11" width="7" style="41" customWidth="1"/>
    <col min="12" max="12" width="8.42578125" style="41" customWidth="1"/>
    <col min="13" max="13" width="7.42578125" style="41" customWidth="1"/>
    <col min="14" max="14" width="10.42578125" style="41" customWidth="1"/>
    <col min="15" max="15" width="14.42578125" style="41" customWidth="1"/>
    <col min="16" max="16384" width="9.42578125" style="41"/>
  </cols>
  <sheetData>
    <row r="1" spans="1:13" ht="15.75" x14ac:dyDescent="0.25">
      <c r="A1" s="41" t="str">
        <f t="shared" ref="A1:A47" si="0">AgyIdx</f>
        <v>01</v>
      </c>
      <c r="B1" s="2534" t="str">
        <f>+Index!$A$1</f>
        <v xml:space="preserve">                                                               Office of the State Controller                                                                </v>
      </c>
      <c r="C1" s="2534"/>
      <c r="D1" s="2534"/>
      <c r="E1" s="2534"/>
      <c r="F1" s="2534"/>
      <c r="G1" s="2534"/>
      <c r="H1" s="2534"/>
      <c r="I1" s="2534"/>
      <c r="J1" s="2534"/>
      <c r="K1" s="2534"/>
      <c r="L1" s="2534"/>
      <c r="M1" s="2533" t="str">
        <f>IF(Index!$B$17="na","NA","")</f>
        <v/>
      </c>
    </row>
    <row r="2" spans="1:13" ht="15.75" x14ac:dyDescent="0.25">
      <c r="A2" s="41" t="str">
        <f t="shared" si="0"/>
        <v>01</v>
      </c>
      <c r="B2" s="2537" t="str">
        <f>+Index!$A$2</f>
        <v>2024 ACFR Worksheets</v>
      </c>
      <c r="C2" s="2537"/>
      <c r="D2" s="2537"/>
      <c r="E2" s="2537"/>
      <c r="F2" s="2537"/>
      <c r="G2" s="2537"/>
      <c r="H2" s="2537"/>
      <c r="I2" s="2537"/>
      <c r="J2" s="2537"/>
      <c r="K2" s="2537"/>
      <c r="L2" s="2537"/>
      <c r="M2" s="2533"/>
    </row>
    <row r="3" spans="1:13" ht="15.75" x14ac:dyDescent="0.25">
      <c r="A3" s="41" t="str">
        <f t="shared" si="0"/>
        <v>01</v>
      </c>
      <c r="B3" s="2538" t="s">
        <v>316</v>
      </c>
      <c r="C3" s="2538"/>
      <c r="D3" s="2538"/>
      <c r="E3" s="2538"/>
      <c r="F3" s="2538"/>
      <c r="G3" s="2538"/>
      <c r="H3" s="2538"/>
      <c r="I3" s="2538"/>
      <c r="J3" s="2538"/>
      <c r="K3" s="2538"/>
      <c r="L3" s="2538"/>
      <c r="M3" s="2533"/>
    </row>
    <row r="4" spans="1:13" ht="6.75" customHeight="1" x14ac:dyDescent="0.25">
      <c r="A4" s="41" t="str">
        <f t="shared" si="0"/>
        <v>01</v>
      </c>
      <c r="B4" s="241"/>
      <c r="C4" s="241"/>
      <c r="D4" s="241"/>
      <c r="E4" s="241"/>
      <c r="F4" s="241"/>
      <c r="G4" s="241"/>
      <c r="H4" s="241"/>
      <c r="I4" s="241"/>
      <c r="J4" s="241"/>
      <c r="K4" s="241"/>
      <c r="L4" s="242"/>
      <c r="M4" s="243"/>
    </row>
    <row r="5" spans="1:13" ht="15.75" x14ac:dyDescent="0.25">
      <c r="A5" s="41" t="str">
        <f t="shared" si="0"/>
        <v>01</v>
      </c>
      <c r="B5" s="2271" t="s">
        <v>317</v>
      </c>
      <c r="C5" s="2271"/>
      <c r="D5" s="244"/>
      <c r="E5" s="245"/>
      <c r="F5" s="2263"/>
      <c r="G5" s="2263"/>
      <c r="H5" s="790" t="s">
        <v>318</v>
      </c>
      <c r="I5" s="2539" t="str">
        <f>+Index!$E$10</f>
        <v>01</v>
      </c>
      <c r="J5" s="2539"/>
      <c r="K5" s="2539"/>
      <c r="L5" s="2539"/>
    </row>
    <row r="6" spans="1:13" ht="15.75" x14ac:dyDescent="0.25">
      <c r="A6" s="41" t="str">
        <f t="shared" si="0"/>
        <v>01</v>
      </c>
      <c r="F6" s="246"/>
      <c r="G6" s="2263"/>
      <c r="H6" s="790" t="s">
        <v>319</v>
      </c>
      <c r="I6" s="2535" t="str">
        <f>AgyName</f>
        <v>North Carolina General Assembly</v>
      </c>
      <c r="J6" s="2535"/>
      <c r="K6" s="2535"/>
      <c r="L6" s="2535"/>
    </row>
    <row r="7" spans="1:13" ht="15.75" x14ac:dyDescent="0.25">
      <c r="A7" s="41" t="str">
        <f t="shared" si="0"/>
        <v>01</v>
      </c>
      <c r="B7" s="2271"/>
      <c r="C7" s="2271"/>
      <c r="D7" s="2263"/>
      <c r="E7" s="247"/>
      <c r="F7" s="247"/>
      <c r="G7" s="2263"/>
      <c r="H7" s="790" t="s">
        <v>320</v>
      </c>
      <c r="I7" s="2536" t="str">
        <f>CONCATENATE(Index!$E$12," ",Index!$E$14)</f>
        <v xml:space="preserve"> </v>
      </c>
      <c r="J7" s="2536"/>
      <c r="K7" s="2536"/>
      <c r="L7" s="2536"/>
    </row>
    <row r="8" spans="1:13" ht="15.75" x14ac:dyDescent="0.25">
      <c r="A8" s="41" t="str">
        <f t="shared" si="0"/>
        <v>01</v>
      </c>
      <c r="B8" s="2271"/>
      <c r="C8" s="2271"/>
      <c r="D8" s="2263"/>
      <c r="E8" s="247"/>
      <c r="F8" s="247"/>
      <c r="G8" s="2263"/>
      <c r="H8" s="790" t="s">
        <v>168</v>
      </c>
      <c r="I8" s="2536">
        <f>+Index!$E$13</f>
        <v>0</v>
      </c>
      <c r="J8" s="2536"/>
      <c r="K8" s="2536"/>
      <c r="L8" s="2536"/>
    </row>
    <row r="9" spans="1:13" ht="6" customHeight="1" thickBot="1" x14ac:dyDescent="0.3">
      <c r="A9" s="41" t="str">
        <f t="shared" si="0"/>
        <v>01</v>
      </c>
      <c r="B9" s="248"/>
      <c r="C9" s="248"/>
      <c r="D9" s="248"/>
      <c r="E9" s="248"/>
      <c r="F9" s="248"/>
      <c r="G9" s="248"/>
      <c r="H9" s="248"/>
      <c r="I9" s="248"/>
      <c r="J9" s="248"/>
      <c r="K9" s="248"/>
      <c r="L9" s="248"/>
    </row>
    <row r="10" spans="1:13" ht="4.5" customHeight="1" x14ac:dyDescent="0.25">
      <c r="A10" s="41" t="str">
        <f t="shared" si="0"/>
        <v>01</v>
      </c>
      <c r="B10" s="2263"/>
      <c r="C10" s="2263"/>
      <c r="D10" s="2263"/>
      <c r="E10" s="2263"/>
      <c r="F10" s="2263"/>
      <c r="G10" s="2263"/>
      <c r="H10" s="2263"/>
      <c r="I10" s="2263"/>
      <c r="J10" s="2263"/>
      <c r="K10" s="2263"/>
      <c r="L10" s="2263"/>
    </row>
    <row r="11" spans="1:13" ht="12" customHeight="1" x14ac:dyDescent="0.2">
      <c r="A11" s="41" t="str">
        <f t="shared" si="0"/>
        <v>01</v>
      </c>
      <c r="B11" s="688" t="s">
        <v>321</v>
      </c>
      <c r="C11" s="688" t="s">
        <v>322</v>
      </c>
      <c r="D11" s="512"/>
      <c r="E11" s="512"/>
      <c r="F11" s="512"/>
      <c r="G11" s="512"/>
      <c r="H11" s="512"/>
      <c r="I11" s="512"/>
      <c r="J11" s="512"/>
      <c r="K11" s="512"/>
      <c r="L11" s="512"/>
    </row>
    <row r="12" spans="1:13" ht="12" customHeight="1" x14ac:dyDescent="0.2">
      <c r="A12" s="41" t="str">
        <f t="shared" si="0"/>
        <v>01</v>
      </c>
      <c r="B12" s="688"/>
      <c r="C12" s="512" t="s">
        <v>323</v>
      </c>
      <c r="D12" s="512"/>
      <c r="E12" s="512"/>
      <c r="F12" s="512"/>
      <c r="G12" s="512"/>
      <c r="H12" s="512"/>
      <c r="I12" s="512"/>
      <c r="J12" s="512"/>
      <c r="K12" s="512"/>
      <c r="L12" s="512"/>
    </row>
    <row r="13" spans="1:13" ht="12" customHeight="1" x14ac:dyDescent="0.2">
      <c r="A13" s="41" t="str">
        <f t="shared" si="0"/>
        <v>01</v>
      </c>
      <c r="B13" s="512"/>
      <c r="C13" s="249" t="s">
        <v>324</v>
      </c>
      <c r="D13" s="512" t="s">
        <v>325</v>
      </c>
      <c r="E13" s="512"/>
      <c r="F13" s="1512" t="s">
        <v>324</v>
      </c>
      <c r="G13" s="512" t="s">
        <v>326</v>
      </c>
      <c r="H13" s="512"/>
      <c r="I13" s="1191"/>
      <c r="J13" s="1456"/>
      <c r="K13" s="1191"/>
      <c r="L13" s="1456"/>
    </row>
    <row r="14" spans="1:13" ht="12" customHeight="1" x14ac:dyDescent="0.2">
      <c r="A14" s="41" t="str">
        <f t="shared" si="0"/>
        <v>01</v>
      </c>
      <c r="B14" s="512"/>
      <c r="C14" s="249" t="s">
        <v>324</v>
      </c>
      <c r="D14" s="512" t="s">
        <v>327</v>
      </c>
      <c r="E14" s="512"/>
      <c r="F14" s="1512" t="s">
        <v>324</v>
      </c>
      <c r="G14" s="512" t="s">
        <v>328</v>
      </c>
      <c r="H14" s="512"/>
      <c r="I14" s="1191"/>
      <c r="J14" s="1456"/>
      <c r="K14" s="1191"/>
      <c r="L14" s="1456"/>
    </row>
    <row r="15" spans="1:13" ht="12" customHeight="1" x14ac:dyDescent="0.2">
      <c r="A15" s="41" t="str">
        <f t="shared" si="0"/>
        <v>01</v>
      </c>
      <c r="B15" s="512"/>
      <c r="C15" s="512" t="s">
        <v>329</v>
      </c>
      <c r="E15" s="512"/>
      <c r="F15" s="512"/>
      <c r="G15" s="512"/>
      <c r="H15" s="512"/>
      <c r="I15" s="1191"/>
      <c r="J15" s="1456"/>
      <c r="K15" s="1191"/>
      <c r="L15" s="1456"/>
    </row>
    <row r="16" spans="1:13" ht="12" customHeight="1" x14ac:dyDescent="0.2">
      <c r="A16" s="41" t="str">
        <f t="shared" si="0"/>
        <v>01</v>
      </c>
      <c r="B16" s="512"/>
      <c r="C16" s="512"/>
      <c r="D16" s="2264" t="s">
        <v>330</v>
      </c>
      <c r="E16" s="512"/>
      <c r="F16" s="2543" t="s">
        <v>331</v>
      </c>
      <c r="G16" s="2543"/>
      <c r="H16" s="2543"/>
      <c r="I16" s="2543"/>
      <c r="J16" s="2543"/>
      <c r="K16" s="2543"/>
      <c r="L16" s="2543"/>
    </row>
    <row r="17" spans="1:15" ht="12" customHeight="1" x14ac:dyDescent="0.2">
      <c r="A17" s="41" t="str">
        <f t="shared" si="0"/>
        <v>01</v>
      </c>
      <c r="B17" s="512"/>
      <c r="C17" s="512"/>
      <c r="D17" s="930"/>
      <c r="E17" s="512"/>
      <c r="F17" s="2541"/>
      <c r="G17" s="2541"/>
      <c r="H17" s="2541"/>
      <c r="I17" s="2541"/>
      <c r="J17" s="2541"/>
      <c r="K17" s="2541"/>
      <c r="L17" s="2541"/>
      <c r="N17" s="2547" t="str">
        <f>IF(ISBLANK($F$17)=TRUE,"Valuation Missing"," ")</f>
        <v>Valuation Missing</v>
      </c>
      <c r="O17" s="2548"/>
    </row>
    <row r="18" spans="1:15" ht="12" customHeight="1" x14ac:dyDescent="0.2">
      <c r="A18" s="41" t="str">
        <f t="shared" si="0"/>
        <v>01</v>
      </c>
      <c r="B18" s="512"/>
      <c r="C18" s="512"/>
      <c r="D18" s="1513"/>
      <c r="E18" s="512"/>
      <c r="F18" s="2542"/>
      <c r="G18" s="2542"/>
      <c r="H18" s="2542"/>
      <c r="I18" s="2542"/>
      <c r="J18" s="2542"/>
      <c r="K18" s="2542"/>
      <c r="L18" s="2542"/>
    </row>
    <row r="19" spans="1:15" ht="5.0999999999999996" customHeight="1" x14ac:dyDescent="0.2">
      <c r="A19" s="41" t="str">
        <f t="shared" si="0"/>
        <v>01</v>
      </c>
      <c r="B19" s="512"/>
      <c r="C19" s="512"/>
      <c r="D19" s="512"/>
      <c r="E19" s="512"/>
      <c r="F19" s="512"/>
      <c r="G19" s="512"/>
      <c r="H19" s="512"/>
      <c r="I19" s="1191"/>
      <c r="J19" s="1456"/>
      <c r="K19" s="1191"/>
      <c r="L19" s="1456"/>
    </row>
    <row r="20" spans="1:15" ht="12" customHeight="1" x14ac:dyDescent="0.2">
      <c r="A20" s="41" t="str">
        <f t="shared" si="0"/>
        <v>01</v>
      </c>
      <c r="B20" s="688" t="s">
        <v>332</v>
      </c>
      <c r="C20" s="688" t="s">
        <v>333</v>
      </c>
      <c r="D20" s="512"/>
      <c r="E20" s="512"/>
      <c r="F20" s="512"/>
      <c r="G20" s="512"/>
      <c r="H20" s="512"/>
      <c r="I20" s="512"/>
      <c r="J20" s="512"/>
      <c r="K20" s="512"/>
      <c r="L20" s="512"/>
    </row>
    <row r="21" spans="1:15" ht="12" customHeight="1" x14ac:dyDescent="0.2">
      <c r="A21" s="41" t="str">
        <f t="shared" si="0"/>
        <v>01</v>
      </c>
      <c r="B21" s="512"/>
      <c r="C21" s="250" t="s">
        <v>334</v>
      </c>
      <c r="E21" s="512"/>
      <c r="F21" s="512"/>
      <c r="G21" s="512"/>
      <c r="H21" s="1191"/>
      <c r="I21" s="1456"/>
      <c r="J21" s="1191"/>
      <c r="K21" s="1456"/>
      <c r="L21" s="512"/>
    </row>
    <row r="22" spans="1:15" ht="12" customHeight="1" x14ac:dyDescent="0.2">
      <c r="A22" s="41" t="str">
        <f t="shared" si="0"/>
        <v>01</v>
      </c>
      <c r="B22" s="512"/>
      <c r="C22" s="512" t="s">
        <v>335</v>
      </c>
      <c r="E22" s="512"/>
      <c r="F22" s="512"/>
      <c r="G22" s="512"/>
      <c r="H22" s="1191"/>
      <c r="I22" s="1456"/>
      <c r="J22" s="1191"/>
      <c r="K22" s="1456"/>
      <c r="L22" s="512"/>
    </row>
    <row r="23" spans="1:15" ht="12" customHeight="1" x14ac:dyDescent="0.2">
      <c r="A23" s="41" t="str">
        <f t="shared" si="0"/>
        <v>01</v>
      </c>
      <c r="B23" s="512"/>
      <c r="C23" s="512" t="s">
        <v>336</v>
      </c>
      <c r="E23" s="512"/>
      <c r="F23" s="512"/>
      <c r="G23" s="512"/>
      <c r="H23" s="1191"/>
      <c r="I23" s="1456"/>
      <c r="J23" s="1191"/>
      <c r="K23" s="1456"/>
      <c r="L23" s="512"/>
    </row>
    <row r="24" spans="1:15" ht="12" customHeight="1" x14ac:dyDescent="0.2">
      <c r="B24" s="512"/>
      <c r="C24" s="512" t="s">
        <v>337</v>
      </c>
      <c r="E24" s="512"/>
      <c r="F24" s="512"/>
      <c r="G24" s="512"/>
      <c r="H24" s="1191"/>
      <c r="I24" s="1456"/>
      <c r="J24" s="1191"/>
      <c r="K24" s="1456"/>
      <c r="L24" s="512"/>
    </row>
    <row r="25" spans="1:15" ht="16.350000000000001" customHeight="1" x14ac:dyDescent="0.2">
      <c r="A25" s="41" t="str">
        <f t="shared" si="0"/>
        <v>01</v>
      </c>
      <c r="B25" s="512"/>
      <c r="C25" s="41" t="s">
        <v>338</v>
      </c>
      <c r="D25" s="512" t="s">
        <v>339</v>
      </c>
      <c r="E25" s="512"/>
      <c r="F25" s="512"/>
      <c r="G25" s="512"/>
      <c r="H25" s="1191"/>
      <c r="I25" s="1191" t="s">
        <v>340</v>
      </c>
      <c r="J25" s="511"/>
      <c r="K25" s="1191" t="s">
        <v>341</v>
      </c>
      <c r="L25" s="511"/>
      <c r="N25" s="2547" t="str">
        <f>IF(AND(ISBLANK($J$25),ISBLANK($L$25))=TRUE,"Answer Missing"," ")</f>
        <v>Answer Missing</v>
      </c>
      <c r="O25" s="2548"/>
    </row>
    <row r="26" spans="1:15" ht="16.350000000000001" customHeight="1" x14ac:dyDescent="0.2">
      <c r="A26" s="41" t="str">
        <f t="shared" si="0"/>
        <v>01</v>
      </c>
      <c r="B26" s="512"/>
      <c r="D26" s="688" t="s">
        <v>342</v>
      </c>
      <c r="E26" s="512"/>
      <c r="F26" s="512"/>
      <c r="G26" s="2540"/>
      <c r="H26" s="2541"/>
      <c r="I26" s="2541"/>
      <c r="J26" s="2541"/>
      <c r="K26" s="2541"/>
      <c r="L26" s="2541"/>
    </row>
    <row r="27" spans="1:15" ht="16.350000000000001" customHeight="1" x14ac:dyDescent="0.2">
      <c r="B27" s="512"/>
      <c r="C27" s="512" t="s">
        <v>343</v>
      </c>
      <c r="D27" s="688"/>
      <c r="E27" s="512"/>
      <c r="F27" s="512"/>
      <c r="G27" s="1455"/>
      <c r="H27" s="1457"/>
      <c r="I27" s="1457"/>
      <c r="J27" s="1457"/>
      <c r="K27" s="1457"/>
      <c r="L27" s="1457"/>
    </row>
    <row r="28" spans="1:15" ht="12" customHeight="1" x14ac:dyDescent="0.2">
      <c r="B28" s="512"/>
      <c r="C28" s="512" t="s">
        <v>344</v>
      </c>
      <c r="D28" s="688"/>
      <c r="E28" s="512"/>
      <c r="F28" s="512"/>
      <c r="G28" s="1455"/>
      <c r="H28" s="1457"/>
      <c r="I28" s="1457"/>
      <c r="J28" s="1457"/>
      <c r="K28" s="1457"/>
      <c r="L28" s="1457"/>
    </row>
    <row r="29" spans="1:15" x14ac:dyDescent="0.2">
      <c r="B29" s="512"/>
      <c r="C29" s="2159" t="s">
        <v>6607</v>
      </c>
      <c r="D29" s="688"/>
      <c r="E29" s="512"/>
      <c r="F29" s="512"/>
      <c r="G29" s="1455"/>
      <c r="H29" s="1457"/>
      <c r="I29" s="1457"/>
      <c r="J29" s="1457"/>
      <c r="K29" s="1457"/>
      <c r="L29" s="1457"/>
    </row>
    <row r="30" spans="1:15" x14ac:dyDescent="0.2">
      <c r="A30" s="41" t="str">
        <f>AgyIdx</f>
        <v>01</v>
      </c>
      <c r="B30" s="512"/>
      <c r="C30" s="41" t="s">
        <v>345</v>
      </c>
      <c r="D30" s="2448" t="s">
        <v>346</v>
      </c>
      <c r="E30" s="512"/>
      <c r="F30" s="512"/>
      <c r="G30" s="512"/>
      <c r="H30" s="1191"/>
      <c r="I30" s="1191" t="s">
        <v>340</v>
      </c>
      <c r="J30" s="511"/>
      <c r="K30" s="1191" t="s">
        <v>341</v>
      </c>
      <c r="L30" s="511"/>
      <c r="N30" s="2547" t="str">
        <f>IF(AND(ISBLANK($J$30),ISBLANK($L$30))=TRUE,"Answer Missing"," ")</f>
        <v>Answer Missing</v>
      </c>
      <c r="O30" s="2548"/>
    </row>
    <row r="31" spans="1:15" x14ac:dyDescent="0.2">
      <c r="B31" s="512"/>
      <c r="D31" s="2125" t="s">
        <v>347</v>
      </c>
      <c r="E31" s="512"/>
      <c r="F31" s="2544"/>
      <c r="G31" s="2544"/>
      <c r="H31" s="2544"/>
      <c r="I31" s="2544"/>
      <c r="J31" s="2544"/>
      <c r="K31" s="2544"/>
      <c r="L31" s="2544"/>
      <c r="N31" s="2265"/>
      <c r="O31"/>
    </row>
    <row r="32" spans="1:15" x14ac:dyDescent="0.2">
      <c r="B32" s="512"/>
      <c r="D32" s="2125" t="s">
        <v>348</v>
      </c>
      <c r="E32" s="2545"/>
      <c r="F32" s="2545"/>
      <c r="G32" s="2545"/>
      <c r="H32" s="2545"/>
      <c r="I32" s="2545"/>
      <c r="J32" s="2545"/>
      <c r="K32" s="2545"/>
      <c r="L32" s="2545"/>
      <c r="N32" s="2265"/>
      <c r="O32"/>
    </row>
    <row r="33" spans="1:15" x14ac:dyDescent="0.2">
      <c r="B33" s="512"/>
      <c r="C33" s="41" t="s">
        <v>349</v>
      </c>
      <c r="D33" s="2159" t="s">
        <v>350</v>
      </c>
      <c r="E33" s="512"/>
      <c r="F33" s="512"/>
      <c r="G33" s="1455"/>
      <c r="H33" s="1457"/>
      <c r="I33" s="1191" t="s">
        <v>340</v>
      </c>
      <c r="J33" s="2126"/>
      <c r="K33" s="1191" t="s">
        <v>341</v>
      </c>
      <c r="L33" s="2126"/>
      <c r="N33" s="2547" t="str">
        <f>IF(AND(ISBLANK($J$33),ISBLANK($L$33))=TRUE,"Answer Missing"," ")</f>
        <v>Answer Missing</v>
      </c>
      <c r="O33" s="2548"/>
    </row>
    <row r="34" spans="1:15" x14ac:dyDescent="0.2">
      <c r="B34" s="512"/>
      <c r="C34" s="41" t="s">
        <v>351</v>
      </c>
      <c r="D34" s="2125" t="s">
        <v>352</v>
      </c>
      <c r="E34" s="512"/>
      <c r="F34" s="512"/>
      <c r="G34" s="1455"/>
      <c r="H34" s="1457"/>
      <c r="I34" s="1191"/>
      <c r="J34" s="1514"/>
      <c r="K34" s="1191"/>
      <c r="L34" s="1514"/>
      <c r="N34" s="2265"/>
      <c r="O34"/>
    </row>
    <row r="35" spans="1:15" x14ac:dyDescent="0.2">
      <c r="B35" s="512"/>
      <c r="D35" s="2125"/>
      <c r="E35" s="512"/>
      <c r="F35" s="512"/>
      <c r="G35" s="508" t="s">
        <v>340</v>
      </c>
      <c r="H35" s="930"/>
      <c r="I35" s="1191" t="s">
        <v>341</v>
      </c>
      <c r="J35" s="511"/>
      <c r="K35" s="1191" t="s">
        <v>175</v>
      </c>
      <c r="L35" s="2267"/>
      <c r="N35" s="2547" t="str">
        <f>IF(AND(ISBLANK($H$35),ISBLANK($J$35),ISBLANK($L$35))=TRUE,"Answer Missing"," ")</f>
        <v>Answer Missing</v>
      </c>
      <c r="O35" s="2548"/>
    </row>
    <row r="36" spans="1:15" x14ac:dyDescent="0.2">
      <c r="B36" s="512"/>
      <c r="D36" s="2125" t="s">
        <v>353</v>
      </c>
      <c r="E36" s="512"/>
      <c r="F36" s="2546"/>
      <c r="G36" s="2546"/>
      <c r="H36" s="2546"/>
      <c r="I36" s="2546"/>
      <c r="J36" s="2546"/>
      <c r="K36" s="2546"/>
      <c r="L36" s="2546"/>
      <c r="N36" s="2265"/>
      <c r="O36"/>
    </row>
    <row r="37" spans="1:15" ht="16.350000000000001" customHeight="1" x14ac:dyDescent="0.2">
      <c r="B37" s="512"/>
      <c r="C37" s="250" t="s">
        <v>354</v>
      </c>
      <c r="D37" s="688"/>
      <c r="E37" s="512"/>
      <c r="F37" s="512"/>
      <c r="G37" s="1455"/>
      <c r="H37" s="1457"/>
      <c r="I37" s="1457"/>
      <c r="J37" s="1457"/>
      <c r="K37" s="1457"/>
      <c r="L37" s="1457"/>
    </row>
    <row r="38" spans="1:15" x14ac:dyDescent="0.2">
      <c r="B38" s="512"/>
      <c r="C38" s="512" t="s">
        <v>355</v>
      </c>
      <c r="D38" s="688"/>
      <c r="E38" s="512"/>
      <c r="F38" s="512"/>
      <c r="G38" s="1455"/>
      <c r="H38" s="1457"/>
      <c r="I38" s="1457"/>
      <c r="J38" s="1457"/>
      <c r="K38" s="1457"/>
      <c r="L38" s="1457"/>
    </row>
    <row r="39" spans="1:15" x14ac:dyDescent="0.2">
      <c r="B39" s="512"/>
      <c r="C39" s="512" t="s">
        <v>356</v>
      </c>
      <c r="D39" s="688"/>
      <c r="E39" s="512"/>
      <c r="F39" s="512"/>
      <c r="G39" s="1455"/>
      <c r="H39" s="1457"/>
      <c r="I39" s="1457"/>
      <c r="J39" s="1457"/>
      <c r="K39" s="1457"/>
      <c r="L39" s="1457"/>
    </row>
    <row r="40" spans="1:15" x14ac:dyDescent="0.2">
      <c r="B40" s="512"/>
      <c r="C40" s="41" t="s">
        <v>357</v>
      </c>
      <c r="D40" s="512" t="s">
        <v>358</v>
      </c>
      <c r="E40" s="512"/>
      <c r="F40" s="512"/>
      <c r="G40" s="512"/>
      <c r="H40" s="1191"/>
      <c r="I40" s="1191" t="s">
        <v>340</v>
      </c>
      <c r="J40" s="511"/>
      <c r="K40" s="1191" t="s">
        <v>341</v>
      </c>
      <c r="L40" s="511"/>
      <c r="N40" s="2547" t="str">
        <f>IF(AND(ISBLANK($J$40),ISBLANK($L$40))=TRUE,"Answer Missing"," ")</f>
        <v>Answer Missing</v>
      </c>
      <c r="O40" s="2548"/>
    </row>
    <row r="41" spans="1:15" x14ac:dyDescent="0.2">
      <c r="B41" s="512"/>
      <c r="C41" s="41" t="s">
        <v>359</v>
      </c>
      <c r="D41" s="512" t="s">
        <v>360</v>
      </c>
      <c r="E41" s="512"/>
      <c r="F41" s="512"/>
      <c r="G41" s="512"/>
      <c r="H41" s="1191"/>
      <c r="I41" s="1191" t="s">
        <v>340</v>
      </c>
      <c r="J41" s="511"/>
      <c r="K41" s="1191" t="s">
        <v>341</v>
      </c>
      <c r="L41" s="511"/>
      <c r="N41" s="2547" t="str">
        <f>IF(AND(ISBLANK($J$41),ISBLANK($L$41))=TRUE,"Answer Missing"," ")</f>
        <v>Answer Missing</v>
      </c>
      <c r="O41" s="2548"/>
    </row>
    <row r="42" spans="1:15" x14ac:dyDescent="0.2">
      <c r="B42" s="512"/>
      <c r="D42" s="688" t="s">
        <v>342</v>
      </c>
      <c r="E42" s="512"/>
      <c r="F42" s="512"/>
      <c r="G42" s="2540"/>
      <c r="H42" s="2541"/>
      <c r="I42" s="2541"/>
      <c r="J42" s="2541"/>
      <c r="K42" s="2541"/>
      <c r="L42" s="2541"/>
    </row>
    <row r="43" spans="1:15" x14ac:dyDescent="0.2">
      <c r="B43" s="512"/>
      <c r="D43" s="688"/>
      <c r="E43" s="512"/>
      <c r="F43" s="512"/>
      <c r="G43" s="1455"/>
      <c r="H43" s="1457"/>
      <c r="I43" s="1457"/>
      <c r="J43" s="1457"/>
      <c r="K43" s="1457"/>
      <c r="L43" s="1457"/>
    </row>
    <row r="44" spans="1:15" ht="12" customHeight="1" x14ac:dyDescent="0.2">
      <c r="A44" s="41" t="str">
        <f t="shared" si="0"/>
        <v>01</v>
      </c>
      <c r="B44" s="512"/>
      <c r="C44" s="250" t="s">
        <v>361</v>
      </c>
      <c r="D44" s="512"/>
      <c r="E44" s="512"/>
      <c r="F44" s="512"/>
      <c r="G44" s="512"/>
      <c r="H44" s="1191"/>
      <c r="I44" s="1191"/>
      <c r="J44" s="1456"/>
      <c r="K44" s="1191"/>
      <c r="L44" s="1456"/>
    </row>
    <row r="45" spans="1:15" ht="12" customHeight="1" x14ac:dyDescent="0.2">
      <c r="A45" s="41" t="str">
        <f t="shared" si="0"/>
        <v>01</v>
      </c>
      <c r="B45" s="512"/>
      <c r="C45" s="512" t="s">
        <v>362</v>
      </c>
      <c r="E45" s="512"/>
      <c r="F45" s="512"/>
      <c r="G45" s="512"/>
      <c r="H45" s="1191"/>
      <c r="I45" s="1191"/>
      <c r="J45" s="1456"/>
      <c r="K45" s="1191"/>
      <c r="L45" s="1456"/>
    </row>
    <row r="46" spans="1:15" ht="12" customHeight="1" x14ac:dyDescent="0.2">
      <c r="A46" s="41" t="str">
        <f t="shared" si="0"/>
        <v>01</v>
      </c>
      <c r="B46" s="512"/>
      <c r="C46" s="41" t="s">
        <v>363</v>
      </c>
      <c r="D46" s="512" t="s">
        <v>364</v>
      </c>
      <c r="E46" s="512"/>
      <c r="F46" s="512"/>
      <c r="G46" s="512"/>
      <c r="H46" s="1191"/>
      <c r="I46" s="1191"/>
      <c r="J46" s="1456"/>
      <c r="K46" s="1191"/>
      <c r="L46" s="1456"/>
    </row>
    <row r="47" spans="1:15" ht="12" customHeight="1" x14ac:dyDescent="0.2">
      <c r="A47" s="41" t="str">
        <f t="shared" si="0"/>
        <v>01</v>
      </c>
      <c r="B47" s="512"/>
      <c r="C47" s="512"/>
      <c r="D47" s="2541"/>
      <c r="E47" s="2541"/>
      <c r="F47" s="2541"/>
      <c r="G47" s="2541"/>
      <c r="H47" s="2541"/>
      <c r="I47" s="2541"/>
      <c r="J47" s="2541"/>
      <c r="K47" s="2541"/>
      <c r="L47" s="2541"/>
    </row>
    <row r="48" spans="1:15" ht="12" customHeight="1" x14ac:dyDescent="0.2">
      <c r="A48" s="41" t="str">
        <f t="shared" ref="A48:A80" si="1">AgyIdx</f>
        <v>01</v>
      </c>
      <c r="B48" s="512"/>
      <c r="C48" s="512"/>
      <c r="D48" s="2542"/>
      <c r="E48" s="2542"/>
      <c r="F48" s="2542"/>
      <c r="G48" s="2542"/>
      <c r="H48" s="2542"/>
      <c r="I48" s="2542"/>
      <c r="J48" s="2542"/>
      <c r="K48" s="2542"/>
      <c r="L48" s="2542"/>
    </row>
    <row r="49" spans="1:15" ht="5.0999999999999996" customHeight="1" x14ac:dyDescent="0.2">
      <c r="A49" s="41" t="str">
        <f t="shared" si="1"/>
        <v>01</v>
      </c>
      <c r="B49" s="512"/>
      <c r="C49" s="512"/>
      <c r="D49" s="512"/>
      <c r="E49" s="512"/>
      <c r="F49" s="512"/>
      <c r="G49" s="512"/>
      <c r="H49" s="1191"/>
      <c r="I49" s="1456"/>
      <c r="J49" s="1191"/>
      <c r="K49" s="1456"/>
      <c r="L49" s="512"/>
    </row>
    <row r="50" spans="1:15" ht="12" customHeight="1" x14ac:dyDescent="0.2">
      <c r="A50" s="41" t="str">
        <f t="shared" si="1"/>
        <v>01</v>
      </c>
      <c r="B50" s="688" t="s">
        <v>365</v>
      </c>
      <c r="C50" s="688" t="s">
        <v>366</v>
      </c>
      <c r="D50" s="512"/>
      <c r="E50" s="512"/>
      <c r="F50" s="512"/>
      <c r="G50" s="512"/>
      <c r="H50" s="512"/>
      <c r="I50" s="512"/>
      <c r="J50" s="512"/>
      <c r="K50" s="512"/>
      <c r="L50" s="512"/>
    </row>
    <row r="51" spans="1:15" ht="12" customHeight="1" x14ac:dyDescent="0.2">
      <c r="A51" s="41" t="str">
        <f t="shared" si="1"/>
        <v>01</v>
      </c>
      <c r="B51" s="512"/>
      <c r="C51" s="512" t="s">
        <v>367</v>
      </c>
      <c r="D51" s="512"/>
      <c r="E51" s="512"/>
      <c r="F51" s="512"/>
      <c r="G51" s="512"/>
      <c r="H51" s="512"/>
      <c r="I51" s="512"/>
      <c r="J51" s="512"/>
      <c r="K51" s="512"/>
      <c r="L51" s="512"/>
    </row>
    <row r="52" spans="1:15" ht="12" customHeight="1" x14ac:dyDescent="0.2">
      <c r="A52" s="41" t="str">
        <f t="shared" si="1"/>
        <v>01</v>
      </c>
      <c r="B52" s="512"/>
      <c r="C52" s="512" t="s">
        <v>368</v>
      </c>
      <c r="D52" s="512"/>
      <c r="E52" s="512"/>
      <c r="F52" s="512"/>
      <c r="G52" s="512"/>
      <c r="H52" s="512"/>
      <c r="I52" s="512"/>
      <c r="J52" s="512"/>
      <c r="K52" s="512"/>
      <c r="L52" s="512"/>
    </row>
    <row r="53" spans="1:15" ht="12" customHeight="1" x14ac:dyDescent="0.2">
      <c r="A53" s="41" t="str">
        <f t="shared" si="1"/>
        <v>01</v>
      </c>
      <c r="B53" s="512"/>
      <c r="C53" s="512" t="s">
        <v>369</v>
      </c>
      <c r="D53" s="512"/>
      <c r="E53" s="512"/>
      <c r="F53" s="512"/>
      <c r="G53" s="512"/>
      <c r="H53" s="512"/>
      <c r="I53" s="512"/>
      <c r="J53" s="512"/>
      <c r="K53" s="512"/>
      <c r="L53" s="512"/>
    </row>
    <row r="54" spans="1:15" ht="12" customHeight="1" x14ac:dyDescent="0.2">
      <c r="A54" s="41" t="str">
        <f t="shared" si="1"/>
        <v>01</v>
      </c>
      <c r="B54" s="512"/>
      <c r="C54" s="512" t="s">
        <v>370</v>
      </c>
      <c r="D54" s="512"/>
      <c r="E54" s="512"/>
      <c r="F54" s="512"/>
      <c r="G54" s="512"/>
      <c r="H54" s="512"/>
      <c r="I54" s="512"/>
      <c r="J54" s="512"/>
      <c r="K54" s="512"/>
      <c r="L54" s="512"/>
    </row>
    <row r="55" spans="1:15" ht="12" customHeight="1" x14ac:dyDescent="0.2">
      <c r="A55" s="41" t="str">
        <f t="shared" si="1"/>
        <v>01</v>
      </c>
      <c r="B55" s="512"/>
      <c r="C55" s="512"/>
      <c r="D55" s="512" t="s">
        <v>371</v>
      </c>
      <c r="E55" s="512"/>
      <c r="F55" s="512"/>
      <c r="G55" s="2541"/>
      <c r="H55" s="2541"/>
      <c r="I55" s="2541"/>
      <c r="J55" s="2541"/>
      <c r="K55" s="2541"/>
      <c r="L55" s="2541"/>
    </row>
    <row r="56" spans="1:15" ht="12" customHeight="1" x14ac:dyDescent="0.2">
      <c r="A56" s="41" t="str">
        <f t="shared" si="1"/>
        <v>01</v>
      </c>
      <c r="B56" s="512"/>
      <c r="C56" s="512"/>
      <c r="D56" s="512" t="s">
        <v>372</v>
      </c>
      <c r="E56" s="512"/>
      <c r="F56" s="512"/>
      <c r="G56" s="2541"/>
      <c r="H56" s="2541"/>
      <c r="I56" s="2541"/>
      <c r="J56" s="2541"/>
      <c r="K56" s="2541"/>
      <c r="L56" s="2541"/>
    </row>
    <row r="57" spans="1:15" x14ac:dyDescent="0.2">
      <c r="B57" s="512"/>
      <c r="C57" s="512"/>
      <c r="D57" s="512"/>
      <c r="E57" s="512"/>
      <c r="F57" s="512"/>
      <c r="G57" s="512"/>
      <c r="H57" s="512"/>
      <c r="I57" s="512"/>
      <c r="J57" s="512"/>
      <c r="K57" s="512"/>
      <c r="L57" s="512"/>
    </row>
    <row r="58" spans="1:15" ht="12" customHeight="1" x14ac:dyDescent="0.2">
      <c r="A58" s="41" t="str">
        <f t="shared" si="1"/>
        <v>01</v>
      </c>
      <c r="B58" s="688" t="s">
        <v>373</v>
      </c>
      <c r="C58" s="688" t="s">
        <v>374</v>
      </c>
      <c r="D58" s="512"/>
      <c r="E58" s="512"/>
      <c r="F58" s="512"/>
      <c r="G58" s="512"/>
      <c r="H58" s="512"/>
      <c r="I58" s="512"/>
      <c r="J58" s="512"/>
      <c r="K58" s="512"/>
      <c r="L58" s="512"/>
    </row>
    <row r="59" spans="1:15" ht="12" customHeight="1" x14ac:dyDescent="0.2">
      <c r="A59" s="41" t="str">
        <f t="shared" si="1"/>
        <v>01</v>
      </c>
      <c r="B59" s="512"/>
      <c r="C59" s="512" t="s">
        <v>375</v>
      </c>
      <c r="D59" s="512"/>
      <c r="E59" s="512"/>
      <c r="F59" s="512"/>
      <c r="G59" s="512"/>
      <c r="H59" s="512"/>
      <c r="I59" s="512"/>
      <c r="J59" s="512"/>
      <c r="K59" s="512"/>
      <c r="L59" s="512"/>
    </row>
    <row r="60" spans="1:15" ht="12" customHeight="1" x14ac:dyDescent="0.2">
      <c r="A60" s="41" t="str">
        <f t="shared" si="1"/>
        <v>01</v>
      </c>
      <c r="B60" s="512"/>
      <c r="C60" s="512" t="s">
        <v>376</v>
      </c>
      <c r="D60" s="512"/>
      <c r="E60" s="512"/>
      <c r="F60" s="512"/>
      <c r="G60" s="512"/>
      <c r="H60" s="512"/>
      <c r="I60" s="1191" t="s">
        <v>340</v>
      </c>
      <c r="J60" s="511"/>
      <c r="K60" s="1191" t="s">
        <v>341</v>
      </c>
      <c r="L60" s="511"/>
      <c r="N60" s="2547" t="str">
        <f>IF(AND(ISBLANK($J$60),ISBLANK($L$60))=TRUE,"Answer Missing"," ")</f>
        <v>Answer Missing</v>
      </c>
      <c r="O60" s="2548"/>
    </row>
    <row r="61" spans="1:15" ht="12" customHeight="1" x14ac:dyDescent="0.2">
      <c r="A61" s="41" t="str">
        <f t="shared" si="1"/>
        <v>01</v>
      </c>
      <c r="B61" s="512"/>
      <c r="C61" s="688" t="s">
        <v>377</v>
      </c>
      <c r="D61" s="512"/>
      <c r="E61" s="512"/>
      <c r="F61" s="512"/>
      <c r="G61" s="512"/>
      <c r="H61" s="512"/>
      <c r="I61" s="512"/>
      <c r="J61" s="512"/>
      <c r="K61" s="512"/>
      <c r="L61" s="512"/>
    </row>
    <row r="62" spans="1:15" ht="12" customHeight="1" x14ac:dyDescent="0.2">
      <c r="A62" s="41" t="str">
        <f t="shared" si="1"/>
        <v>01</v>
      </c>
      <c r="B62" s="512"/>
      <c r="C62" s="2541"/>
      <c r="D62" s="2541"/>
      <c r="E62" s="2541"/>
      <c r="F62" s="2541"/>
      <c r="G62" s="2541"/>
      <c r="H62" s="2541"/>
      <c r="I62" s="2541"/>
      <c r="J62" s="2541"/>
      <c r="K62" s="2541"/>
      <c r="L62" s="2541"/>
      <c r="M62" s="2356"/>
      <c r="N62" s="2552" t="str">
        <f>IF(ISTEXT(J60), "Response for Yes needed", " ")</f>
        <v xml:space="preserve"> </v>
      </c>
      <c r="O62" s="2552"/>
    </row>
    <row r="63" spans="1:15" ht="12" customHeight="1" x14ac:dyDescent="0.2">
      <c r="A63" s="41" t="str">
        <f t="shared" si="1"/>
        <v>01</v>
      </c>
      <c r="B63" s="512"/>
      <c r="C63" s="2541"/>
      <c r="D63" s="2541"/>
      <c r="E63" s="2541"/>
      <c r="F63" s="2541"/>
      <c r="G63" s="2541"/>
      <c r="H63" s="2541"/>
      <c r="I63" s="2541"/>
      <c r="J63" s="2541"/>
      <c r="K63" s="2541"/>
      <c r="L63" s="2541"/>
    </row>
    <row r="64" spans="1:15" x14ac:dyDescent="0.2">
      <c r="A64" s="41" t="str">
        <f t="shared" si="1"/>
        <v>01</v>
      </c>
      <c r="B64" s="512"/>
      <c r="C64" s="512"/>
      <c r="D64" s="512"/>
      <c r="E64" s="512"/>
      <c r="F64" s="512"/>
      <c r="G64" s="512"/>
      <c r="H64" s="512"/>
      <c r="I64" s="512"/>
      <c r="J64" s="512"/>
      <c r="K64" s="512"/>
      <c r="L64" s="512"/>
    </row>
    <row r="65" spans="1:15" ht="12" customHeight="1" x14ac:dyDescent="0.2">
      <c r="A65" s="41" t="str">
        <f t="shared" si="1"/>
        <v>01</v>
      </c>
      <c r="B65" s="688" t="s">
        <v>378</v>
      </c>
      <c r="C65" s="688" t="s">
        <v>379</v>
      </c>
      <c r="D65" s="512"/>
      <c r="E65" s="512"/>
      <c r="F65" s="512"/>
      <c r="G65" s="512"/>
      <c r="H65" s="512"/>
      <c r="I65" s="512"/>
      <c r="J65" s="512"/>
      <c r="K65" s="512"/>
      <c r="L65" s="512"/>
    </row>
    <row r="66" spans="1:15" ht="12" customHeight="1" x14ac:dyDescent="0.2">
      <c r="A66" s="41" t="str">
        <f t="shared" si="1"/>
        <v>01</v>
      </c>
      <c r="B66" s="512"/>
      <c r="C66" s="512" t="s">
        <v>380</v>
      </c>
      <c r="D66" s="512"/>
      <c r="E66" s="512"/>
      <c r="F66" s="512"/>
      <c r="G66" s="512"/>
      <c r="H66" s="512"/>
      <c r="I66" s="512"/>
      <c r="J66" s="512"/>
      <c r="K66" s="512"/>
      <c r="L66" s="512"/>
    </row>
    <row r="67" spans="1:15" ht="12" customHeight="1" x14ac:dyDescent="0.2">
      <c r="A67" s="41" t="str">
        <f t="shared" si="1"/>
        <v>01</v>
      </c>
      <c r="B67" s="512"/>
      <c r="C67" s="512" t="s">
        <v>381</v>
      </c>
      <c r="D67" s="512"/>
      <c r="E67" s="512"/>
      <c r="F67" s="512"/>
      <c r="G67" s="512"/>
      <c r="H67" s="512"/>
      <c r="I67" s="512"/>
      <c r="J67" s="512"/>
      <c r="K67" s="512"/>
      <c r="L67" s="512"/>
    </row>
    <row r="68" spans="1:15" ht="14.1" customHeight="1" x14ac:dyDescent="0.2">
      <c r="A68" s="41" t="str">
        <f t="shared" si="1"/>
        <v>01</v>
      </c>
      <c r="B68" s="512"/>
      <c r="C68" s="512"/>
      <c r="D68" s="512"/>
      <c r="E68" s="512"/>
      <c r="F68" s="512"/>
      <c r="G68" s="508" t="s">
        <v>340</v>
      </c>
      <c r="H68" s="930"/>
      <c r="I68" s="1191" t="s">
        <v>341</v>
      </c>
      <c r="J68" s="511"/>
      <c r="K68" s="1191" t="s">
        <v>175</v>
      </c>
      <c r="L68" s="2267"/>
      <c r="N68" s="2547" t="str">
        <f>IF(AND(ISBLANK($H$68),ISBLANK($J$68),ISBLANK($L$68))=TRUE,"Answer Missing"," ")</f>
        <v>Answer Missing</v>
      </c>
      <c r="O68" s="2548"/>
    </row>
    <row r="69" spans="1:15" ht="5.0999999999999996" customHeight="1" x14ac:dyDescent="0.2">
      <c r="A69" s="41" t="str">
        <f t="shared" si="1"/>
        <v>01</v>
      </c>
    </row>
    <row r="70" spans="1:15" ht="12" customHeight="1" x14ac:dyDescent="0.2">
      <c r="A70" s="41" t="str">
        <f t="shared" si="1"/>
        <v>01</v>
      </c>
      <c r="B70" s="688" t="s">
        <v>382</v>
      </c>
      <c r="C70" s="688" t="s">
        <v>383</v>
      </c>
      <c r="D70" s="512"/>
      <c r="E70" s="512"/>
      <c r="F70" s="512"/>
      <c r="G70" s="512"/>
      <c r="H70" s="512"/>
      <c r="I70" s="512"/>
      <c r="J70" s="512"/>
      <c r="K70" s="512"/>
      <c r="L70" s="512"/>
    </row>
    <row r="71" spans="1:15" x14ac:dyDescent="0.2">
      <c r="A71" s="41" t="str">
        <f t="shared" si="1"/>
        <v>01</v>
      </c>
      <c r="C71" s="509" t="s">
        <v>384</v>
      </c>
      <c r="I71" s="1191"/>
      <c r="J71" s="1514"/>
      <c r="K71" s="1191"/>
      <c r="L71" s="510"/>
    </row>
    <row r="72" spans="1:15" x14ac:dyDescent="0.2">
      <c r="A72" s="41" t="str">
        <f t="shared" si="1"/>
        <v>01</v>
      </c>
      <c r="C72" s="509" t="s">
        <v>385</v>
      </c>
      <c r="I72" s="1191" t="s">
        <v>340</v>
      </c>
      <c r="J72" s="511"/>
      <c r="K72" s="1191" t="s">
        <v>341</v>
      </c>
      <c r="L72" s="2267"/>
      <c r="N72" s="2547" t="str">
        <f>IF(AND(ISBLANK($J$72),ISBLANK($L$72))=TRUE,"Answer Missing"," ")</f>
        <v>Answer Missing</v>
      </c>
      <c r="O72" s="2548"/>
    </row>
    <row r="73" spans="1:15" ht="16.5" customHeight="1" x14ac:dyDescent="0.2">
      <c r="A73" s="41" t="str">
        <f t="shared" si="1"/>
        <v>01</v>
      </c>
      <c r="D73" s="512" t="s">
        <v>386</v>
      </c>
      <c r="F73" s="2551"/>
      <c r="G73" s="2551"/>
      <c r="H73" s="2551"/>
      <c r="I73" s="2551"/>
      <c r="J73" s="2551"/>
      <c r="K73" s="2551"/>
      <c r="L73" s="2551"/>
    </row>
    <row r="74" spans="1:15" ht="5.0999999999999996" customHeight="1" x14ac:dyDescent="0.2">
      <c r="A74" s="41" t="str">
        <f t="shared" si="1"/>
        <v>01</v>
      </c>
    </row>
    <row r="75" spans="1:15" x14ac:dyDescent="0.2">
      <c r="A75" s="41" t="str">
        <f t="shared" si="1"/>
        <v>01</v>
      </c>
      <c r="B75" s="688" t="s">
        <v>387</v>
      </c>
      <c r="C75" s="512" t="s">
        <v>388</v>
      </c>
    </row>
    <row r="76" spans="1:15" x14ac:dyDescent="0.2">
      <c r="A76" s="41" t="str">
        <f t="shared" si="1"/>
        <v>01</v>
      </c>
      <c r="B76" s="688"/>
      <c r="C76" s="512" t="s">
        <v>389</v>
      </c>
    </row>
    <row r="77" spans="1:15" x14ac:dyDescent="0.2">
      <c r="A77" s="41" t="str">
        <f t="shared" si="1"/>
        <v>01</v>
      </c>
      <c r="C77" s="512" t="s">
        <v>390</v>
      </c>
      <c r="G77" s="508" t="s">
        <v>340</v>
      </c>
      <c r="H77" s="930"/>
      <c r="I77" s="1191" t="s">
        <v>341</v>
      </c>
      <c r="J77" s="511"/>
      <c r="K77" s="1191" t="s">
        <v>175</v>
      </c>
      <c r="L77" s="2267"/>
      <c r="N77" s="2547" t="str">
        <f>IF(AND(ISBLANK($H$77),ISBLANK($J$77),ISBLANK($L$77))=TRUE,"Answer Missing"," ")</f>
        <v>Answer Missing</v>
      </c>
      <c r="O77" s="2548"/>
    </row>
    <row r="78" spans="1:15" ht="16.5" customHeight="1" x14ac:dyDescent="0.2">
      <c r="A78" s="41" t="str">
        <f t="shared" si="1"/>
        <v>01</v>
      </c>
      <c r="C78" s="512" t="s">
        <v>391</v>
      </c>
      <c r="E78" s="2549"/>
      <c r="F78" s="2550"/>
      <c r="G78" s="2550"/>
      <c r="H78" s="2550"/>
      <c r="I78" s="2550"/>
      <c r="J78" s="2550"/>
      <c r="K78" s="2550"/>
      <c r="L78" s="2550"/>
    </row>
    <row r="79" spans="1:15" ht="11.1" customHeight="1" x14ac:dyDescent="0.2">
      <c r="C79" s="512"/>
      <c r="E79" s="687"/>
      <c r="F79" s="357"/>
      <c r="G79" s="357"/>
      <c r="H79" s="357"/>
      <c r="I79" s="357"/>
      <c r="J79" s="357"/>
      <c r="K79" s="357"/>
      <c r="L79" s="357"/>
    </row>
    <row r="80" spans="1:15" x14ac:dyDescent="0.2">
      <c r="A80" s="41" t="str">
        <f t="shared" si="1"/>
        <v>01</v>
      </c>
      <c r="B80" s="688" t="s">
        <v>392</v>
      </c>
      <c r="C80" s="2162" t="s">
        <v>393</v>
      </c>
    </row>
    <row r="81" spans="1:12" x14ac:dyDescent="0.2">
      <c r="B81" s="688"/>
      <c r="C81" s="512" t="s">
        <v>394</v>
      </c>
    </row>
    <row r="82" spans="1:12" x14ac:dyDescent="0.2">
      <c r="B82" s="688"/>
      <c r="C82" s="512" t="s">
        <v>395</v>
      </c>
    </row>
    <row r="83" spans="1:12" x14ac:dyDescent="0.2">
      <c r="B83" s="688"/>
      <c r="C83" s="512" t="s">
        <v>396</v>
      </c>
    </row>
    <row r="84" spans="1:12" x14ac:dyDescent="0.2">
      <c r="B84" s="688"/>
      <c r="C84" s="512" t="s">
        <v>397</v>
      </c>
    </row>
    <row r="85" spans="1:12" ht="6" customHeight="1" x14ac:dyDescent="0.2">
      <c r="B85" s="688"/>
      <c r="C85" s="512"/>
    </row>
    <row r="86" spans="1:12" x14ac:dyDescent="0.2">
      <c r="B86" s="688"/>
      <c r="C86" s="512" t="s">
        <v>398</v>
      </c>
    </row>
    <row r="87" spans="1:12" x14ac:dyDescent="0.2">
      <c r="B87" s="688"/>
      <c r="C87" s="512" t="s">
        <v>399</v>
      </c>
      <c r="I87" s="1191" t="s">
        <v>340</v>
      </c>
      <c r="J87" s="511"/>
      <c r="K87" s="1191" t="s">
        <v>341</v>
      </c>
      <c r="L87" s="2267"/>
    </row>
    <row r="88" spans="1:12" x14ac:dyDescent="0.2">
      <c r="B88" s="688"/>
      <c r="C88" s="512" t="s">
        <v>400</v>
      </c>
    </row>
    <row r="89" spans="1:12" x14ac:dyDescent="0.2">
      <c r="B89" s="688"/>
    </row>
    <row r="90" spans="1:12" x14ac:dyDescent="0.2">
      <c r="B90" s="688"/>
    </row>
    <row r="91" spans="1:12" ht="15" x14ac:dyDescent="0.2">
      <c r="A91" s="421" t="str">
        <f ca="1">MID(CELL("filename",A1),FIND("]",CELL("filename",A1))+1,256)</f>
        <v>101</v>
      </c>
      <c r="B91" s="421"/>
      <c r="C91" s="421"/>
    </row>
    <row r="92" spans="1:12" ht="15" x14ac:dyDescent="0.2">
      <c r="A92" s="421" t="s">
        <v>401</v>
      </c>
      <c r="B92" s="421" t="str">
        <f t="shared" ref="B92:B101" ca="1" si="2">IF(ISNA(INDEX(ErrorTable,MATCH($A$91&amp;$A92&amp;FALSE,ErrorKey,0),6)),"",INDEX(ErrorTable,MATCH($A$91&amp;$A92&amp;FALSE,ErrorKey,0),6))</f>
        <v/>
      </c>
      <c r="C92" s="421"/>
    </row>
    <row r="93" spans="1:12" ht="15" x14ac:dyDescent="0.2">
      <c r="A93" s="421" t="s">
        <v>402</v>
      </c>
      <c r="B93" s="421" t="str">
        <f t="shared" ca="1" si="2"/>
        <v/>
      </c>
      <c r="C93" s="421"/>
    </row>
    <row r="94" spans="1:12" ht="15" x14ac:dyDescent="0.2">
      <c r="A94" s="421" t="s">
        <v>403</v>
      </c>
      <c r="B94" s="421" t="str">
        <f t="shared" ca="1" si="2"/>
        <v/>
      </c>
      <c r="C94" s="421"/>
    </row>
    <row r="95" spans="1:12" ht="15" x14ac:dyDescent="0.2">
      <c r="A95" s="421" t="s">
        <v>404</v>
      </c>
      <c r="B95" s="421" t="str">
        <f t="shared" ca="1" si="2"/>
        <v/>
      </c>
      <c r="C95" s="421"/>
    </row>
    <row r="96" spans="1:12" ht="15" x14ac:dyDescent="0.2">
      <c r="A96" s="421" t="s">
        <v>405</v>
      </c>
      <c r="B96" s="421" t="str">
        <f t="shared" ca="1" si="2"/>
        <v/>
      </c>
      <c r="C96" s="421"/>
    </row>
    <row r="97" spans="1:3" ht="15" x14ac:dyDescent="0.2">
      <c r="A97" s="421" t="s">
        <v>406</v>
      </c>
      <c r="B97" s="421" t="str">
        <f t="shared" ca="1" si="2"/>
        <v/>
      </c>
      <c r="C97" s="421"/>
    </row>
    <row r="98" spans="1:3" ht="15" x14ac:dyDescent="0.2">
      <c r="A98" s="421" t="s">
        <v>407</v>
      </c>
      <c r="B98" s="421" t="str">
        <f t="shared" ca="1" si="2"/>
        <v/>
      </c>
      <c r="C98" s="421"/>
    </row>
    <row r="99" spans="1:3" ht="15" x14ac:dyDescent="0.2">
      <c r="A99" s="421" t="s">
        <v>408</v>
      </c>
      <c r="B99" s="421" t="str">
        <f t="shared" ca="1" si="2"/>
        <v/>
      </c>
      <c r="C99" s="421"/>
    </row>
    <row r="100" spans="1:3" ht="15" x14ac:dyDescent="0.2">
      <c r="A100" s="421" t="s">
        <v>409</v>
      </c>
      <c r="B100" s="421" t="str">
        <f t="shared" ca="1" si="2"/>
        <v/>
      </c>
      <c r="C100" s="421"/>
    </row>
    <row r="101" spans="1:3" ht="15" x14ac:dyDescent="0.2">
      <c r="A101" s="421" t="s">
        <v>410</v>
      </c>
      <c r="B101" s="421" t="str">
        <f t="shared" ca="1" si="2"/>
        <v/>
      </c>
      <c r="C101" s="421"/>
    </row>
  </sheetData>
  <sheetProtection algorithmName="SHA-512" hashValue="EDepVbmURty5glFdShedAqBi5ilMxvRnUH6ILSk4ZagKJcGYCxAdiBanpVq+jQzjEE188vmiSZF/7pesIAkI2Q==" saltValue="TJSspwX9Ff3UIRHX8tCliA==" spinCount="100000" sheet="1" autoFilter="0"/>
  <customSheetViews>
    <customSheetView guid="{9FCFC836-1CA5-48BF-958D-24D2EA94B219}" showGridLines="0" fitToPage="1" hiddenColumns="1" topLeftCell="B1">
      <selection activeCell="I7" sqref="I7:L7"/>
      <pageMargins left="0" right="0" top="0" bottom="0" header="0" footer="0"/>
      <pageSetup scale="93" orientation="portrait" r:id="rId1"/>
      <headerFooter alignWithMargins="0">
        <oddFooter>&amp;R&amp;A</oddFooter>
      </headerFooter>
    </customSheetView>
    <customSheetView guid="{BEA4BE86-04D1-4C96-9358-7A260B9D2B2D}" showGridLines="0" fitToPage="1" showRuler="0">
      <selection sqref="A1:K1"/>
      <pageMargins left="0" right="0" top="0" bottom="0" header="0" footer="0"/>
      <pageSetup orientation="portrait" r:id="rId2"/>
      <headerFooter alignWithMargins="0">
        <oddFooter>&amp;R&amp;A</oddFooter>
      </headerFooter>
    </customSheetView>
    <customSheetView guid="{1250FD07-FF56-4A9D-AF9E-C27124A7EBE9}" showGridLines="0" fitToPage="1" showRuler="0">
      <selection sqref="A1:K1"/>
      <pageMargins left="0" right="0" top="0" bottom="0" header="0" footer="0"/>
      <pageSetup orientation="portrait" r:id="rId3"/>
      <headerFooter alignWithMargins="0">
        <oddFooter>&amp;R&amp;A</oddFooter>
      </headerFooter>
    </customSheetView>
    <customSheetView guid="{B08879A4-635B-4C39-9937-AC7883D562FC}" showGridLines="0" fitToPage="1" hiddenColumns="1" topLeftCell="B1">
      <selection activeCell="I7" sqref="I7:L7"/>
      <pageMargins left="0" right="0" top="0" bottom="0" header="0" footer="0"/>
      <pageSetup scale="93" orientation="portrait" r:id="rId4"/>
      <headerFooter alignWithMargins="0">
        <oddFooter>&amp;R&amp;A</oddFooter>
      </headerFooter>
    </customSheetView>
  </customSheetViews>
  <mergeCells count="36">
    <mergeCell ref="N17:O17"/>
    <mergeCell ref="N25:O25"/>
    <mergeCell ref="N60:O60"/>
    <mergeCell ref="N68:O68"/>
    <mergeCell ref="N72:O72"/>
    <mergeCell ref="N40:O40"/>
    <mergeCell ref="N41:O41"/>
    <mergeCell ref="N30:O30"/>
    <mergeCell ref="N33:O33"/>
    <mergeCell ref="N35:O35"/>
    <mergeCell ref="N77:O77"/>
    <mergeCell ref="E78:L78"/>
    <mergeCell ref="G55:L55"/>
    <mergeCell ref="G56:L56"/>
    <mergeCell ref="C62:L62"/>
    <mergeCell ref="C63:L63"/>
    <mergeCell ref="F73:L73"/>
    <mergeCell ref="N62:O62"/>
    <mergeCell ref="G26:L26"/>
    <mergeCell ref="D47:L47"/>
    <mergeCell ref="D48:L48"/>
    <mergeCell ref="I8:L8"/>
    <mergeCell ref="F17:L17"/>
    <mergeCell ref="F18:L18"/>
    <mergeCell ref="F16:L16"/>
    <mergeCell ref="G42:L42"/>
    <mergeCell ref="F31:L31"/>
    <mergeCell ref="E32:L32"/>
    <mergeCell ref="F36:L36"/>
    <mergeCell ref="M1:M3"/>
    <mergeCell ref="B1:L1"/>
    <mergeCell ref="I6:L6"/>
    <mergeCell ref="I7:L7"/>
    <mergeCell ref="B2:L2"/>
    <mergeCell ref="B3:L3"/>
    <mergeCell ref="I5:L5"/>
  </mergeCells>
  <phoneticPr fontId="18" type="noConversion"/>
  <conditionalFormatting sqref="M1:M3">
    <cfRule type="cellIs" dxfId="179" priority="15" stopIfTrue="1" operator="equal">
      <formula>"na"</formula>
    </cfRule>
  </conditionalFormatting>
  <conditionalFormatting sqref="M62">
    <cfRule type="containsText" dxfId="178" priority="10" stopIfTrue="1" operator="containsText" text="Response for Yes needed">
      <formula>NOT(ISERROR(SEARCH("Response for Yes needed",M62)))</formula>
    </cfRule>
  </conditionalFormatting>
  <conditionalFormatting sqref="M62:N62">
    <cfRule type="containsText" dxfId="177" priority="9" stopIfTrue="1" operator="containsText" text="Response for Yes needed">
      <formula>NOT(ISERROR(SEARCH("Response for Yes needed",M62)))</formula>
    </cfRule>
  </conditionalFormatting>
  <conditionalFormatting sqref="N17">
    <cfRule type="containsText" dxfId="176" priority="4" stopIfTrue="1" operator="containsText" text="Answer Missing">
      <formula>NOT(ISERROR(SEARCH("Answer Missing",N17)))</formula>
    </cfRule>
  </conditionalFormatting>
  <conditionalFormatting sqref="N25:N41">
    <cfRule type="containsText" dxfId="175" priority="1" stopIfTrue="1" operator="containsText" text="Answer Missing">
      <formula>NOT(ISERROR(SEARCH("Answer Missing",N25)))</formula>
    </cfRule>
  </conditionalFormatting>
  <conditionalFormatting sqref="N60">
    <cfRule type="containsText" dxfId="174" priority="11" stopIfTrue="1" operator="containsText" text="Answer Missing">
      <formula>NOT(ISERROR(SEARCH("Answer Missing",N60)))</formula>
    </cfRule>
  </conditionalFormatting>
  <conditionalFormatting sqref="N68">
    <cfRule type="containsText" dxfId="173" priority="8" stopIfTrue="1" operator="containsText" text="Answer Missing">
      <formula>NOT(ISERROR(SEARCH("Answer Missing",N68)))</formula>
    </cfRule>
  </conditionalFormatting>
  <conditionalFormatting sqref="N72">
    <cfRule type="containsText" dxfId="172" priority="7" stopIfTrue="1" operator="containsText" text="Answer Missing">
      <formula>NOT(ISERROR(SEARCH("Answer Missing",N72)))</formula>
    </cfRule>
  </conditionalFormatting>
  <conditionalFormatting sqref="N77">
    <cfRule type="containsText" dxfId="171" priority="5" stopIfTrue="1" operator="containsText" text="Answer Missing">
      <formula>NOT(ISERROR(SEARCH("Answer Missing",N77)))</formula>
    </cfRule>
  </conditionalFormatting>
  <conditionalFormatting sqref="N17:O17">
    <cfRule type="containsText" dxfId="170" priority="3" operator="containsText" text="Valuation Missing">
      <formula>NOT(ISERROR(SEARCH("Valuation Missing",N17)))</formula>
    </cfRule>
  </conditionalFormatting>
  <hyperlinks>
    <hyperlink ref="B1:L1" location="Index!A1" display="Index!A1" xr:uid="{00000000-0004-0000-0300-000000000000}"/>
  </hyperlinks>
  <pageMargins left="0.6" right="0.6" top="0.5" bottom="0.5" header="0.3" footer="0.3"/>
  <pageSetup scale="85" orientation="portrait" r:id="rId5"/>
  <ignoredErrors>
    <ignoredError sqref="I7:I8" unlockedFormula="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357D0-316D-4124-885E-F9751F744244}">
  <sheetPr codeName="Sheet88">
    <pageSetUpPr fitToPage="1"/>
  </sheetPr>
  <dimension ref="A1:S110"/>
  <sheetViews>
    <sheetView showGridLines="0" zoomScaleNormal="100" zoomScaleSheetLayoutView="100" workbookViewId="0">
      <selection activeCell="Q14" sqref="Q14"/>
    </sheetView>
  </sheetViews>
  <sheetFormatPr defaultColWidth="9.42578125" defaultRowHeight="10.5" x14ac:dyDescent="0.15"/>
  <cols>
    <col min="1" max="1" width="31.42578125" style="17" customWidth="1"/>
    <col min="2" max="2" width="16.5703125" style="17" customWidth="1"/>
    <col min="3" max="3" width="1.5703125" style="17" customWidth="1"/>
    <col min="4" max="4" width="15.5703125" style="17" customWidth="1"/>
    <col min="5" max="5" width="1.5703125" style="17" customWidth="1"/>
    <col min="6" max="6" width="16.5703125" style="17" customWidth="1"/>
    <col min="7" max="7" width="1.5703125" style="17" customWidth="1"/>
    <col min="8" max="8" width="12.5703125" style="17" customWidth="1"/>
    <col min="9" max="9" width="4.5703125" style="17" customWidth="1"/>
    <col min="10" max="10" width="17.42578125" style="17" customWidth="1"/>
    <col min="11" max="16" width="1.5703125" style="17" customWidth="1"/>
    <col min="17" max="16384" width="9.42578125" style="17"/>
  </cols>
  <sheetData>
    <row r="1" spans="1:19" s="186" customFormat="1" ht="15.75" x14ac:dyDescent="0.25">
      <c r="A1" s="2553" t="str">
        <f>Index!A1</f>
        <v xml:space="preserve">                                                               Office of the State Controller                                                                </v>
      </c>
      <c r="B1" s="2553"/>
      <c r="C1" s="2553"/>
      <c r="D1" s="2553"/>
      <c r="E1" s="2553"/>
      <c r="F1" s="2553"/>
      <c r="G1" s="2553"/>
      <c r="H1" s="2553"/>
      <c r="I1" s="2441"/>
      <c r="J1" s="2441"/>
      <c r="K1" s="2441"/>
      <c r="L1" s="2441"/>
      <c r="M1" s="2441"/>
      <c r="N1" s="2441"/>
      <c r="O1" s="2441"/>
      <c r="P1" s="2441"/>
      <c r="Q1" s="2441"/>
      <c r="R1" s="2441"/>
      <c r="S1" s="962"/>
    </row>
    <row r="2" spans="1:19" s="16" customFormat="1" ht="15" customHeight="1" x14ac:dyDescent="0.25">
      <c r="A2" s="2823" t="str">
        <f>+Index!$A$2</f>
        <v>2024 ACFR Worksheets</v>
      </c>
      <c r="B2" s="2823"/>
      <c r="C2" s="2823"/>
      <c r="D2" s="2823"/>
      <c r="E2" s="2823"/>
      <c r="F2" s="2823"/>
      <c r="G2" s="2823"/>
      <c r="H2" s="2823"/>
      <c r="I2" s="2554" t="str">
        <f>IF(Index!$B$67="na","NA","")</f>
        <v/>
      </c>
    </row>
    <row r="3" spans="1:19" s="16" customFormat="1" ht="15" customHeight="1" x14ac:dyDescent="0.25">
      <c r="A3" s="2749" t="s">
        <v>1848</v>
      </c>
      <c r="B3" s="2749"/>
      <c r="C3" s="2749"/>
      <c r="D3" s="2749"/>
      <c r="E3" s="2749"/>
      <c r="F3" s="2749"/>
      <c r="G3" s="2749"/>
      <c r="H3" s="2749"/>
      <c r="I3" s="2554"/>
    </row>
    <row r="4" spans="1:19" s="18" customFormat="1" ht="15" customHeight="1" x14ac:dyDescent="0.25">
      <c r="A4" s="2867" t="s">
        <v>1849</v>
      </c>
      <c r="B4" s="2867"/>
      <c r="C4" s="2867"/>
      <c r="D4" s="2867"/>
      <c r="E4" s="2867"/>
      <c r="F4" s="2867"/>
      <c r="G4" s="2867"/>
      <c r="H4" s="2867"/>
      <c r="I4" s="2554"/>
      <c r="J4" s="488"/>
      <c r="K4" s="488"/>
    </row>
    <row r="5" spans="1:19" s="18" customFormat="1" ht="6" customHeight="1" x14ac:dyDescent="0.2">
      <c r="C5" s="128"/>
      <c r="D5" s="128"/>
      <c r="F5" s="2865"/>
      <c r="G5" s="2865"/>
      <c r="H5" s="2865"/>
    </row>
    <row r="6" spans="1:19" s="18" customFormat="1" ht="15" customHeight="1" x14ac:dyDescent="0.2">
      <c r="A6" s="2369" t="s">
        <v>318</v>
      </c>
      <c r="B6" s="2358" t="str">
        <f>Index!$E$10</f>
        <v>01</v>
      </c>
      <c r="C6" s="2357"/>
      <c r="D6" s="2357"/>
      <c r="E6" s="815" t="s">
        <v>319</v>
      </c>
      <c r="F6" s="2596" t="str">
        <f>+Index!$E$11</f>
        <v>North Carolina General Assembly</v>
      </c>
      <c r="G6" s="2596"/>
      <c r="H6" s="2596"/>
    </row>
    <row r="7" spans="1:19" s="18" customFormat="1" ht="15" customHeight="1" x14ac:dyDescent="0.2">
      <c r="A7" s="814"/>
      <c r="B7" s="814"/>
      <c r="C7" s="2357"/>
      <c r="D7" s="2357"/>
      <c r="E7" s="815" t="s">
        <v>320</v>
      </c>
      <c r="F7" s="2629" t="str">
        <f>CONCATENATE(Index!$E$12,"",Index!$E$14)</f>
        <v/>
      </c>
      <c r="G7" s="2629"/>
      <c r="H7" s="2629"/>
    </row>
    <row r="8" spans="1:19" s="18" customFormat="1" ht="15" customHeight="1" x14ac:dyDescent="0.2">
      <c r="A8" s="2194" t="s">
        <v>545</v>
      </c>
      <c r="B8" s="2195" t="s">
        <v>1714</v>
      </c>
      <c r="C8" s="2357"/>
      <c r="D8" s="2357"/>
      <c r="E8" s="815" t="s">
        <v>168</v>
      </c>
      <c r="F8" s="2629">
        <f>+Index!$E$13</f>
        <v>0</v>
      </c>
      <c r="G8" s="2629"/>
      <c r="H8" s="2629"/>
    </row>
    <row r="9" spans="1:19" s="18" customFormat="1" ht="6" customHeight="1" thickBot="1" x14ac:dyDescent="0.25">
      <c r="A9" s="76"/>
      <c r="B9" s="76"/>
      <c r="C9" s="76"/>
      <c r="D9" s="76"/>
      <c r="E9" s="76"/>
      <c r="F9" s="76"/>
      <c r="G9" s="76"/>
      <c r="H9" s="76"/>
    </row>
    <row r="10" spans="1:19" s="18" customFormat="1" ht="5.25" customHeight="1" x14ac:dyDescent="0.2"/>
    <row r="11" spans="1:19" s="18" customFormat="1" ht="15" customHeight="1" x14ac:dyDescent="0.2">
      <c r="A11" s="846" t="s">
        <v>1806</v>
      </c>
      <c r="B11" s="846"/>
      <c r="C11" s="846"/>
      <c r="D11" s="846"/>
      <c r="E11" s="846"/>
      <c r="F11" s="846"/>
    </row>
    <row r="12" spans="1:19" s="18" customFormat="1" ht="15" customHeight="1" x14ac:dyDescent="0.2">
      <c r="A12" s="846"/>
      <c r="B12" s="846"/>
      <c r="C12" s="846"/>
      <c r="D12" s="846"/>
      <c r="E12" s="846"/>
      <c r="F12" s="846"/>
    </row>
    <row r="13" spans="1:19" s="18" customFormat="1" ht="15" customHeight="1" x14ac:dyDescent="0.25">
      <c r="B13" s="2185" t="s">
        <v>1753</v>
      </c>
      <c r="C13" s="2185"/>
      <c r="D13" s="2185"/>
    </row>
    <row r="14" spans="1:19" s="18" customFormat="1" ht="15" customHeight="1" x14ac:dyDescent="0.2">
      <c r="A14" s="1985"/>
      <c r="B14" s="2177" t="s">
        <v>1754</v>
      </c>
      <c r="C14" s="2177"/>
      <c r="D14" s="2177" t="s">
        <v>1755</v>
      </c>
      <c r="F14" s="2177" t="s">
        <v>1756</v>
      </c>
    </row>
    <row r="15" spans="1:19" customFormat="1" ht="15" customHeight="1" x14ac:dyDescent="0.2">
      <c r="B15" s="2287" t="s">
        <v>1757</v>
      </c>
      <c r="F15" s="2287" t="s">
        <v>1758</v>
      </c>
    </row>
    <row r="16" spans="1:19" customFormat="1" ht="15" customHeight="1" x14ac:dyDescent="0.2">
      <c r="B16" s="423">
        <v>45108</v>
      </c>
      <c r="D16" s="2317" t="s">
        <v>1760</v>
      </c>
      <c r="F16" s="2317" t="s">
        <v>1761</v>
      </c>
      <c r="H16" s="2177" t="s">
        <v>1759</v>
      </c>
    </row>
    <row r="17" spans="1:8" customFormat="1" ht="15" customHeight="1" x14ac:dyDescent="0.2">
      <c r="A17" s="1" t="s">
        <v>555</v>
      </c>
      <c r="B17" s="1087"/>
      <c r="D17" s="2287"/>
      <c r="F17" s="2287"/>
    </row>
    <row r="18" spans="1:8" customFormat="1" ht="15" customHeight="1" x14ac:dyDescent="0.2">
      <c r="A18" s="357" t="s">
        <v>1765</v>
      </c>
      <c r="B18" s="337"/>
      <c r="C18" s="2398"/>
      <c r="D18" s="337"/>
      <c r="F18" s="1088">
        <f t="shared" ref="F18" si="0">B18+D18</f>
        <v>0</v>
      </c>
      <c r="H18" s="2217" t="s">
        <v>1832</v>
      </c>
    </row>
    <row r="19" spans="1:8" customFormat="1" ht="15" customHeight="1" x14ac:dyDescent="0.2">
      <c r="A19" s="357" t="s">
        <v>1765</v>
      </c>
      <c r="B19" s="337"/>
      <c r="C19" s="2398"/>
      <c r="D19" s="337"/>
      <c r="F19" s="1088">
        <f t="shared" ref="F19:F21" si="1">B19+D19</f>
        <v>0</v>
      </c>
      <c r="H19" s="2217" t="s">
        <v>1832</v>
      </c>
    </row>
    <row r="20" spans="1:8" customFormat="1" ht="15" customHeight="1" x14ac:dyDescent="0.2">
      <c r="A20" s="357" t="s">
        <v>1765</v>
      </c>
      <c r="B20" s="337"/>
      <c r="C20" s="2398"/>
      <c r="D20" s="337"/>
      <c r="F20" s="1088">
        <f t="shared" si="1"/>
        <v>0</v>
      </c>
      <c r="H20" s="2217" t="s">
        <v>1832</v>
      </c>
    </row>
    <row r="21" spans="1:8" customFormat="1" ht="15" customHeight="1" x14ac:dyDescent="0.2">
      <c r="A21" s="357" t="s">
        <v>1765</v>
      </c>
      <c r="B21" s="337"/>
      <c r="C21" s="2398"/>
      <c r="D21" s="337"/>
      <c r="F21" s="1088">
        <f t="shared" si="1"/>
        <v>0</v>
      </c>
      <c r="H21" s="2217" t="s">
        <v>1832</v>
      </c>
    </row>
    <row r="22" spans="1:8" customFormat="1" ht="15" customHeight="1" x14ac:dyDescent="0.2">
      <c r="A22" s="1" t="s">
        <v>1837</v>
      </c>
      <c r="B22" s="336"/>
      <c r="C22" s="2398"/>
      <c r="D22" s="336"/>
      <c r="F22" s="2287"/>
    </row>
    <row r="23" spans="1:8" customFormat="1" ht="15" customHeight="1" x14ac:dyDescent="0.2">
      <c r="A23" s="357" t="s">
        <v>1765</v>
      </c>
      <c r="B23" s="337"/>
      <c r="C23" s="2398"/>
      <c r="D23" s="337"/>
      <c r="F23" s="1088">
        <f>B23+D23</f>
        <v>0</v>
      </c>
      <c r="H23" s="2217" t="s">
        <v>1832</v>
      </c>
    </row>
    <row r="24" spans="1:8" customFormat="1" ht="15" customHeight="1" x14ac:dyDescent="0.2">
      <c r="A24" s="357" t="s">
        <v>1765</v>
      </c>
      <c r="B24" s="337"/>
      <c r="C24" s="2398"/>
      <c r="D24" s="337"/>
      <c r="F24" s="1088">
        <f>B24+D24</f>
        <v>0</v>
      </c>
      <c r="H24" s="2217" t="s">
        <v>1832</v>
      </c>
    </row>
    <row r="25" spans="1:8" customFormat="1" ht="15" customHeight="1" x14ac:dyDescent="0.2">
      <c r="A25" s="357" t="s">
        <v>1765</v>
      </c>
      <c r="B25" s="337"/>
      <c r="C25" s="2398"/>
      <c r="D25" s="337"/>
      <c r="F25" s="1088">
        <f>B25+D25</f>
        <v>0</v>
      </c>
      <c r="H25" s="2217" t="s">
        <v>1832</v>
      </c>
    </row>
    <row r="26" spans="1:8" customFormat="1" ht="15" customHeight="1" x14ac:dyDescent="0.2">
      <c r="A26" s="357" t="s">
        <v>1765</v>
      </c>
      <c r="B26" s="337"/>
      <c r="C26" s="2398"/>
      <c r="D26" s="337"/>
      <c r="F26" s="1088">
        <f>B26+D26</f>
        <v>0</v>
      </c>
      <c r="H26" s="2217" t="s">
        <v>1832</v>
      </c>
    </row>
    <row r="27" spans="1:8" customFormat="1" ht="15" customHeight="1" x14ac:dyDescent="0.2">
      <c r="A27" s="1" t="s">
        <v>1814</v>
      </c>
      <c r="B27" s="336"/>
      <c r="C27" s="2398"/>
      <c r="D27" s="336"/>
      <c r="F27" s="2287"/>
    </row>
    <row r="28" spans="1:8" customFormat="1" ht="15" customHeight="1" x14ac:dyDescent="0.2">
      <c r="A28" s="138" t="s">
        <v>1815</v>
      </c>
      <c r="B28" s="336"/>
      <c r="C28" s="2398"/>
      <c r="D28" s="336"/>
      <c r="F28" s="2287"/>
    </row>
    <row r="29" spans="1:8" customFormat="1" ht="15" customHeight="1" x14ac:dyDescent="0.2">
      <c r="A29" s="357" t="s">
        <v>1765</v>
      </c>
      <c r="B29" s="337"/>
      <c r="C29" s="2398"/>
      <c r="D29" s="337"/>
      <c r="F29" s="1088">
        <f>B29+D29</f>
        <v>0</v>
      </c>
      <c r="H29" s="2217" t="s">
        <v>1832</v>
      </c>
    </row>
    <row r="30" spans="1:8" customFormat="1" ht="15" customHeight="1" x14ac:dyDescent="0.2">
      <c r="B30" s="1087"/>
      <c r="D30" s="2287"/>
      <c r="F30" s="2287"/>
    </row>
    <row r="31" spans="1:8" customFormat="1" ht="15" customHeight="1" thickBot="1" x14ac:dyDescent="0.25">
      <c r="A31" s="1" t="s">
        <v>1817</v>
      </c>
      <c r="B31" s="1087"/>
      <c r="D31" s="1089">
        <f>SUM(D18:D21)-SUM(D23:D26)</f>
        <v>0</v>
      </c>
      <c r="F31" s="2287"/>
    </row>
    <row r="32" spans="1:8" customFormat="1" ht="15" customHeight="1" thickTop="1" x14ac:dyDescent="0.2">
      <c r="B32" s="1087"/>
      <c r="D32" s="2287"/>
      <c r="F32" s="2287"/>
    </row>
    <row r="33" spans="1:10" s="18" customFormat="1" ht="12.75" x14ac:dyDescent="0.2">
      <c r="A33" s="965" t="s">
        <v>1781</v>
      </c>
      <c r="B33" s="2367"/>
      <c r="C33" s="2367"/>
      <c r="D33" s="2367"/>
      <c r="E33" s="2367"/>
      <c r="F33" s="2367"/>
      <c r="G33" s="823"/>
      <c r="H33" s="138"/>
      <c r="I33" s="814"/>
      <c r="J33" s="814"/>
    </row>
    <row r="34" spans="1:10" s="18" customFormat="1" ht="12.75" customHeight="1" x14ac:dyDescent="0.2">
      <c r="A34" s="846" t="s">
        <v>548</v>
      </c>
      <c r="B34" s="2367"/>
      <c r="C34" s="2367"/>
      <c r="D34" s="2367"/>
      <c r="E34" s="2367"/>
      <c r="F34" s="2367"/>
      <c r="G34" s="823"/>
      <c r="H34" s="138"/>
      <c r="I34" s="814"/>
      <c r="J34" s="814"/>
    </row>
    <row r="35" spans="1:10" s="18" customFormat="1" ht="12.75" customHeight="1" x14ac:dyDescent="0.2">
      <c r="A35" s="1995" t="s">
        <v>1850</v>
      </c>
      <c r="B35" s="2367">
        <v>0</v>
      </c>
      <c r="C35" s="2367"/>
      <c r="D35" s="2367">
        <v>0</v>
      </c>
      <c r="E35" s="2367"/>
      <c r="F35" s="823">
        <f>B35+D35</f>
        <v>0</v>
      </c>
      <c r="G35" s="823"/>
      <c r="H35" s="138"/>
      <c r="I35" s="814"/>
      <c r="J35" s="814"/>
    </row>
    <row r="36" spans="1:10" s="18" customFormat="1" ht="12.75" customHeight="1" x14ac:dyDescent="0.2">
      <c r="A36" s="357" t="s">
        <v>1765</v>
      </c>
      <c r="B36" s="822">
        <v>0</v>
      </c>
      <c r="C36" s="2367"/>
      <c r="D36" s="822">
        <v>0</v>
      </c>
      <c r="E36" s="2367"/>
      <c r="F36" s="1088">
        <f>B36+D36</f>
        <v>0</v>
      </c>
      <c r="G36" s="823"/>
      <c r="H36" s="2217" t="s">
        <v>1832</v>
      </c>
      <c r="I36" s="814"/>
      <c r="J36" s="814"/>
    </row>
    <row r="37" spans="1:10" s="18" customFormat="1" ht="12.75" customHeight="1" x14ac:dyDescent="0.2">
      <c r="A37" s="357" t="s">
        <v>1765</v>
      </c>
      <c r="B37" s="822">
        <v>0</v>
      </c>
      <c r="C37" s="2367"/>
      <c r="D37" s="822">
        <v>0</v>
      </c>
      <c r="E37" s="2367"/>
      <c r="F37" s="1088">
        <f t="shared" ref="F37" si="2">B37+D37</f>
        <v>0</v>
      </c>
      <c r="G37" s="823"/>
      <c r="H37" s="2217" t="s">
        <v>1832</v>
      </c>
      <c r="I37" s="814"/>
      <c r="J37" s="814"/>
    </row>
    <row r="38" spans="1:10" s="18" customFormat="1" ht="12.75" customHeight="1" x14ac:dyDescent="0.2">
      <c r="A38" s="1995" t="s">
        <v>1851</v>
      </c>
      <c r="B38" s="823">
        <v>0</v>
      </c>
      <c r="C38" s="823"/>
      <c r="D38" s="823"/>
      <c r="E38" s="823"/>
      <c r="F38" s="823">
        <f t="shared" ref="F38:F45" si="3">B38+D38</f>
        <v>0</v>
      </c>
      <c r="G38" s="823"/>
      <c r="H38" s="138"/>
      <c r="I38" s="814"/>
      <c r="J38" s="814"/>
    </row>
    <row r="39" spans="1:10" s="18" customFormat="1" ht="12.75" customHeight="1" x14ac:dyDescent="0.2">
      <c r="A39" s="357" t="s">
        <v>1765</v>
      </c>
      <c r="B39" s="822"/>
      <c r="C39" s="2367"/>
      <c r="D39" s="822"/>
      <c r="E39" s="2367"/>
      <c r="F39" s="1088">
        <f t="shared" si="3"/>
        <v>0</v>
      </c>
      <c r="G39" s="823"/>
      <c r="H39" s="2217" t="s">
        <v>1832</v>
      </c>
      <c r="I39" s="814"/>
      <c r="J39" s="814"/>
    </row>
    <row r="40" spans="1:10" s="18" customFormat="1" ht="12.75" customHeight="1" x14ac:dyDescent="0.2">
      <c r="A40" s="357" t="s">
        <v>1765</v>
      </c>
      <c r="B40" s="822"/>
      <c r="C40" s="2367"/>
      <c r="D40" s="822"/>
      <c r="E40" s="2367"/>
      <c r="F40" s="1088">
        <f t="shared" si="3"/>
        <v>0</v>
      </c>
      <c r="G40" s="823"/>
      <c r="H40" s="2217" t="s">
        <v>1832</v>
      </c>
      <c r="I40" s="814"/>
      <c r="J40" s="814"/>
    </row>
    <row r="41" spans="1:10" s="18" customFormat="1" ht="12.75" customHeight="1" x14ac:dyDescent="0.2">
      <c r="A41" s="821" t="s">
        <v>1852</v>
      </c>
      <c r="B41" s="822"/>
      <c r="C41" s="2367"/>
      <c r="D41" s="822"/>
      <c r="E41" s="2367"/>
      <c r="F41" s="1088">
        <f t="shared" si="3"/>
        <v>0</v>
      </c>
      <c r="G41" s="823"/>
      <c r="H41" s="2217" t="s">
        <v>1832</v>
      </c>
      <c r="I41" s="814"/>
      <c r="J41" s="814"/>
    </row>
    <row r="42" spans="1:10" s="18" customFormat="1" ht="12.75" customHeight="1" x14ac:dyDescent="0.2">
      <c r="A42" s="1995" t="s">
        <v>1853</v>
      </c>
      <c r="B42" s="823"/>
      <c r="C42" s="823"/>
      <c r="D42" s="823"/>
      <c r="E42" s="823"/>
      <c r="F42" s="823">
        <f t="shared" si="3"/>
        <v>0</v>
      </c>
      <c r="G42" s="823"/>
      <c r="H42" s="138"/>
      <c r="I42" s="814"/>
      <c r="J42" s="814"/>
    </row>
    <row r="43" spans="1:10" s="18" customFormat="1" ht="12.75" customHeight="1" x14ac:dyDescent="0.2">
      <c r="A43" s="357" t="s">
        <v>1765</v>
      </c>
      <c r="B43" s="822"/>
      <c r="C43" s="2367"/>
      <c r="D43" s="822"/>
      <c r="E43" s="2367"/>
      <c r="F43" s="1088">
        <f t="shared" si="3"/>
        <v>0</v>
      </c>
      <c r="G43" s="823"/>
      <c r="H43" s="2217" t="s">
        <v>1832</v>
      </c>
      <c r="I43" s="814"/>
      <c r="J43" s="814"/>
    </row>
    <row r="44" spans="1:10" s="18" customFormat="1" ht="12.75" customHeight="1" x14ac:dyDescent="0.2">
      <c r="A44" s="357" t="s">
        <v>1765</v>
      </c>
      <c r="B44" s="822"/>
      <c r="C44" s="2367"/>
      <c r="D44" s="822"/>
      <c r="E44" s="2367"/>
      <c r="F44" s="1088">
        <f t="shared" si="3"/>
        <v>0</v>
      </c>
      <c r="G44" s="823"/>
      <c r="H44" s="2217" t="s">
        <v>1832</v>
      </c>
      <c r="I44" s="814"/>
      <c r="J44" s="814"/>
    </row>
    <row r="45" spans="1:10" s="18" customFormat="1" ht="12.75" customHeight="1" x14ac:dyDescent="0.2">
      <c r="A45" s="357" t="s">
        <v>1765</v>
      </c>
      <c r="B45" s="822">
        <v>0</v>
      </c>
      <c r="C45" s="2367"/>
      <c r="D45" s="822"/>
      <c r="E45" s="2367"/>
      <c r="F45" s="1088">
        <f t="shared" si="3"/>
        <v>0</v>
      </c>
      <c r="G45" s="823"/>
      <c r="H45" s="2217" t="s">
        <v>1832</v>
      </c>
      <c r="I45" s="820"/>
      <c r="J45" s="814"/>
    </row>
    <row r="46" spans="1:10" s="18" customFormat="1" ht="14.1" customHeight="1" thickBot="1" x14ac:dyDescent="0.25">
      <c r="A46" s="846" t="s">
        <v>1854</v>
      </c>
      <c r="B46" s="1090">
        <f>SUM(B36:B45)</f>
        <v>0</v>
      </c>
      <c r="C46" s="823"/>
      <c r="D46" s="1090">
        <f>SUM(D36:D45)</f>
        <v>0</v>
      </c>
      <c r="E46" s="823"/>
      <c r="F46" s="1090">
        <f>SUM(F36:F45)</f>
        <v>0</v>
      </c>
      <c r="G46" s="823"/>
      <c r="H46" s="138"/>
      <c r="I46" s="820"/>
      <c r="J46" s="814"/>
    </row>
    <row r="47" spans="1:10" s="18" customFormat="1" ht="15.75" customHeight="1" thickTop="1" x14ac:dyDescent="0.2">
      <c r="A47" s="846" t="s">
        <v>1855</v>
      </c>
      <c r="B47" s="2367"/>
      <c r="C47" s="2367"/>
      <c r="D47" s="2367"/>
      <c r="E47" s="2367"/>
      <c r="F47" s="823"/>
      <c r="G47" s="823"/>
      <c r="H47" s="138"/>
      <c r="I47" s="820"/>
      <c r="J47" s="814"/>
    </row>
    <row r="48" spans="1:10" s="18" customFormat="1" ht="12.75" customHeight="1" x14ac:dyDescent="0.2">
      <c r="A48" s="357" t="s">
        <v>1765</v>
      </c>
      <c r="B48" s="822"/>
      <c r="C48" s="2367"/>
      <c r="D48" s="822"/>
      <c r="E48" s="2367"/>
      <c r="F48" s="1088">
        <f>B48+D48</f>
        <v>0</v>
      </c>
      <c r="G48" s="823"/>
      <c r="H48" s="2217" t="s">
        <v>1832</v>
      </c>
      <c r="I48" s="820"/>
      <c r="J48" s="814"/>
    </row>
    <row r="49" spans="1:10" s="18" customFormat="1" ht="12" customHeight="1" x14ac:dyDescent="0.2">
      <c r="A49" s="357" t="s">
        <v>1765</v>
      </c>
      <c r="B49" s="822"/>
      <c r="C49" s="2367"/>
      <c r="D49" s="822"/>
      <c r="E49" s="2367"/>
      <c r="F49" s="1088">
        <f>B49+D49</f>
        <v>0</v>
      </c>
      <c r="G49" s="823"/>
      <c r="H49" s="2217" t="s">
        <v>1832</v>
      </c>
      <c r="I49" s="820"/>
      <c r="J49" s="814"/>
    </row>
    <row r="50" spans="1:10" s="18" customFormat="1" ht="12.75" customHeight="1" x14ac:dyDescent="0.2">
      <c r="A50" s="357" t="s">
        <v>1765</v>
      </c>
      <c r="B50" s="822">
        <v>0</v>
      </c>
      <c r="C50" s="2367"/>
      <c r="D50" s="822"/>
      <c r="E50" s="2367"/>
      <c r="F50" s="1088">
        <f>B50+D50</f>
        <v>0</v>
      </c>
      <c r="G50" s="823"/>
      <c r="H50" s="2217" t="s">
        <v>1832</v>
      </c>
      <c r="I50" s="820"/>
      <c r="J50" s="814"/>
    </row>
    <row r="51" spans="1:10" s="18" customFormat="1" ht="13.5" customHeight="1" x14ac:dyDescent="0.2">
      <c r="A51" s="357" t="s">
        <v>1765</v>
      </c>
      <c r="B51" s="822">
        <v>0</v>
      </c>
      <c r="C51" s="2367"/>
      <c r="D51" s="822"/>
      <c r="E51" s="2367"/>
      <c r="F51" s="1088">
        <f>B51+D51</f>
        <v>0</v>
      </c>
      <c r="G51" s="823"/>
      <c r="H51" s="2217" t="s">
        <v>1832</v>
      </c>
      <c r="I51" s="820"/>
      <c r="J51" s="814"/>
    </row>
    <row r="52" spans="1:10" s="18" customFormat="1" ht="13.5" customHeight="1" x14ac:dyDescent="0.2">
      <c r="A52" s="828"/>
      <c r="B52" s="2367"/>
      <c r="C52" s="2367"/>
      <c r="D52" s="2367"/>
      <c r="E52" s="2367"/>
      <c r="F52" s="823"/>
      <c r="G52" s="823"/>
      <c r="H52" s="138"/>
      <c r="I52" s="814"/>
      <c r="J52" s="814"/>
    </row>
    <row r="53" spans="1:10" s="18" customFormat="1" ht="12.75" customHeight="1" thickBot="1" x14ac:dyDescent="0.25">
      <c r="A53" s="846" t="s">
        <v>1856</v>
      </c>
      <c r="B53" s="1994">
        <f>SUM(B50:B52)</f>
        <v>0</v>
      </c>
      <c r="C53" s="823"/>
      <c r="D53" s="1994">
        <f>SUM(D48:D51)</f>
        <v>0</v>
      </c>
      <c r="E53" s="823"/>
      <c r="F53" s="1994">
        <f>SUM(F50:F52)</f>
        <v>0</v>
      </c>
      <c r="G53" s="823"/>
      <c r="H53" s="138"/>
      <c r="I53" s="814"/>
      <c r="J53" s="814"/>
    </row>
    <row r="54" spans="1:10" s="18" customFormat="1" ht="8.25" customHeight="1" thickTop="1" x14ac:dyDescent="0.2">
      <c r="A54" s="963"/>
      <c r="B54" s="2367"/>
      <c r="C54" s="2367"/>
      <c r="D54" s="2367"/>
      <c r="E54" s="2367"/>
      <c r="F54" s="823"/>
      <c r="G54" s="823"/>
      <c r="H54" s="138"/>
      <c r="I54" s="814"/>
      <c r="J54" s="814"/>
    </row>
    <row r="55" spans="1:10" s="18" customFormat="1" ht="12.75" customHeight="1" thickBot="1" x14ac:dyDescent="0.25">
      <c r="A55" s="828" t="s">
        <v>1844</v>
      </c>
      <c r="B55" s="1994">
        <f>B46-B53</f>
        <v>0</v>
      </c>
      <c r="C55" s="823"/>
      <c r="D55" s="1994">
        <f>D46-D53</f>
        <v>0</v>
      </c>
      <c r="E55" s="823"/>
      <c r="F55" s="1994">
        <f>F46-F53</f>
        <v>0</v>
      </c>
      <c r="G55" s="823"/>
      <c r="H55" s="138"/>
      <c r="I55" s="814"/>
      <c r="J55" s="814"/>
    </row>
    <row r="56" spans="1:10" s="18" customFormat="1" ht="7.5" customHeight="1" thickTop="1" x14ac:dyDescent="0.2">
      <c r="A56" s="821"/>
      <c r="B56" s="2367"/>
      <c r="C56" s="2367"/>
      <c r="D56" s="1010"/>
      <c r="E56" s="2367"/>
      <c r="F56" s="2367"/>
      <c r="G56" s="823"/>
      <c r="H56" s="138"/>
      <c r="I56" s="814"/>
      <c r="J56" s="814"/>
    </row>
    <row r="57" spans="1:10" s="18" customFormat="1" ht="14.1" customHeight="1" thickBot="1" x14ac:dyDescent="0.25">
      <c r="A57" s="828" t="s">
        <v>1798</v>
      </c>
      <c r="B57" s="2367" t="s">
        <v>50</v>
      </c>
      <c r="C57" s="2367"/>
      <c r="D57" s="1089">
        <f>D46-D53</f>
        <v>0</v>
      </c>
      <c r="E57" s="2367"/>
      <c r="F57" s="2367" t="s">
        <v>50</v>
      </c>
      <c r="G57" s="823"/>
      <c r="H57" s="138"/>
      <c r="I57" s="814"/>
      <c r="J57" s="814"/>
    </row>
    <row r="58" spans="1:10" s="18" customFormat="1" ht="8.1" customHeight="1" thickTop="1" x14ac:dyDescent="0.2">
      <c r="A58" s="814"/>
      <c r="B58" s="814"/>
      <c r="C58" s="814"/>
      <c r="D58" s="814"/>
      <c r="E58" s="814"/>
      <c r="F58" s="814"/>
      <c r="G58" s="814"/>
      <c r="H58" s="138"/>
      <c r="I58" s="814"/>
      <c r="J58" s="814"/>
    </row>
    <row r="59" spans="1:10" s="18" customFormat="1" ht="12.75" x14ac:dyDescent="0.2">
      <c r="A59" s="2863" t="s">
        <v>1799</v>
      </c>
      <c r="B59" s="2864"/>
      <c r="C59" s="2864"/>
      <c r="D59" s="2864"/>
      <c r="E59" s="2864"/>
      <c r="F59" s="2864"/>
      <c r="G59" s="2864"/>
      <c r="H59" s="2864"/>
      <c r="I59" s="2864"/>
      <c r="J59" s="2864"/>
    </row>
    <row r="60" spans="1:10" s="18" customFormat="1" ht="12.75" x14ac:dyDescent="0.2">
      <c r="A60" s="2372" t="s">
        <v>1800</v>
      </c>
      <c r="B60" s="2372"/>
      <c r="C60" s="2372"/>
      <c r="D60" s="2372"/>
      <c r="E60" s="2372"/>
      <c r="F60" s="2372"/>
      <c r="G60" s="2372"/>
      <c r="H60" s="2373"/>
      <c r="I60" s="2372"/>
      <c r="J60" s="2372"/>
    </row>
    <row r="61" spans="1:10" s="18" customFormat="1" ht="12.75" x14ac:dyDescent="0.2">
      <c r="H61"/>
    </row>
    <row r="62" spans="1:10" ht="15" x14ac:dyDescent="0.25">
      <c r="A62" s="18"/>
      <c r="B62" s="2185" t="s">
        <v>1845</v>
      </c>
      <c r="C62" s="2185"/>
      <c r="D62" s="2185"/>
      <c r="E62" s="18"/>
      <c r="F62" s="18"/>
      <c r="G62" s="18"/>
      <c r="H62" s="18"/>
      <c r="I62" s="18"/>
      <c r="J62" s="18"/>
    </row>
    <row r="63" spans="1:10" ht="12.75" x14ac:dyDescent="0.2">
      <c r="A63" s="18"/>
      <c r="B63" s="2861"/>
      <c r="C63" s="2861"/>
      <c r="D63" s="2861"/>
      <c r="E63" s="2861"/>
      <c r="F63" s="2861"/>
      <c r="G63" s="18"/>
      <c r="H63" s="2178"/>
      <c r="I63" s="18"/>
      <c r="J63" s="18"/>
    </row>
    <row r="64" spans="1:10" ht="12.75" x14ac:dyDescent="0.2">
      <c r="A64"/>
      <c r="B64" s="2287" t="s">
        <v>1757</v>
      </c>
      <c r="C64"/>
      <c r="D64"/>
      <c r="E64"/>
      <c r="F64" s="2287" t="s">
        <v>1758</v>
      </c>
      <c r="G64"/>
      <c r="H64"/>
      <c r="I64"/>
      <c r="J64"/>
    </row>
    <row r="65" spans="1:10" ht="12.75" x14ac:dyDescent="0.2">
      <c r="A65"/>
      <c r="B65" s="423">
        <v>45108</v>
      </c>
      <c r="C65"/>
      <c r="D65" s="2317" t="s">
        <v>1760</v>
      </c>
      <c r="E65"/>
      <c r="F65" s="2317" t="s">
        <v>1761</v>
      </c>
      <c r="G65"/>
      <c r="H65"/>
      <c r="I65"/>
      <c r="J65"/>
    </row>
    <row r="66" spans="1:10" ht="12.75" x14ac:dyDescent="0.2">
      <c r="A66" s="1" t="s">
        <v>555</v>
      </c>
      <c r="B66" s="1087"/>
      <c r="C66"/>
      <c r="D66" s="2287"/>
      <c r="E66"/>
      <c r="F66" s="2287"/>
      <c r="G66"/>
      <c r="H66"/>
      <c r="I66"/>
      <c r="J66"/>
    </row>
    <row r="67" spans="1:10" ht="12.75" x14ac:dyDescent="0.2">
      <c r="A67" s="357" t="s">
        <v>1765</v>
      </c>
      <c r="B67" s="337"/>
      <c r="C67" s="2398"/>
      <c r="D67" s="337"/>
      <c r="E67"/>
      <c r="F67" s="1088">
        <f t="shared" ref="F67:F70" si="4">B67+D67</f>
        <v>0</v>
      </c>
      <c r="G67"/>
      <c r="H67" s="2217" t="s">
        <v>1832</v>
      </c>
      <c r="I67"/>
      <c r="J67"/>
    </row>
    <row r="68" spans="1:10" ht="12.75" x14ac:dyDescent="0.2">
      <c r="A68" s="357" t="s">
        <v>1765</v>
      </c>
      <c r="B68" s="337"/>
      <c r="C68" s="2398"/>
      <c r="D68" s="337"/>
      <c r="E68"/>
      <c r="F68" s="1088">
        <f t="shared" si="4"/>
        <v>0</v>
      </c>
      <c r="G68"/>
      <c r="H68" s="2217" t="s">
        <v>1832</v>
      </c>
      <c r="I68"/>
      <c r="J68"/>
    </row>
    <row r="69" spans="1:10" ht="12.75" x14ac:dyDescent="0.2">
      <c r="A69" s="357" t="s">
        <v>1765</v>
      </c>
      <c r="B69" s="337"/>
      <c r="C69" s="2398"/>
      <c r="D69" s="337"/>
      <c r="E69"/>
      <c r="F69" s="1088">
        <f t="shared" si="4"/>
        <v>0</v>
      </c>
      <c r="G69"/>
      <c r="H69" s="2217" t="s">
        <v>1832</v>
      </c>
      <c r="I69"/>
      <c r="J69"/>
    </row>
    <row r="70" spans="1:10" ht="12.75" x14ac:dyDescent="0.2">
      <c r="A70" s="357" t="s">
        <v>1765</v>
      </c>
      <c r="B70" s="337"/>
      <c r="C70" s="2398"/>
      <c r="D70" s="337"/>
      <c r="E70"/>
      <c r="F70" s="1088">
        <f t="shared" si="4"/>
        <v>0</v>
      </c>
      <c r="G70"/>
      <c r="H70" s="2217" t="s">
        <v>1832</v>
      </c>
      <c r="I70"/>
      <c r="J70"/>
    </row>
    <row r="71" spans="1:10" ht="12.75" x14ac:dyDescent="0.2">
      <c r="A71" s="1" t="s">
        <v>1837</v>
      </c>
      <c r="B71" s="336"/>
      <c r="C71" s="2398"/>
      <c r="D71" s="336"/>
      <c r="E71"/>
      <c r="F71" s="2287"/>
      <c r="G71"/>
      <c r="H71"/>
      <c r="I71"/>
      <c r="J71"/>
    </row>
    <row r="72" spans="1:10" ht="12.75" x14ac:dyDescent="0.2">
      <c r="A72" s="357" t="s">
        <v>1765</v>
      </c>
      <c r="B72" s="337"/>
      <c r="C72" s="2398"/>
      <c r="D72" s="337"/>
      <c r="E72"/>
      <c r="F72" s="1088">
        <f>B72+D72</f>
        <v>0</v>
      </c>
      <c r="G72"/>
      <c r="H72" s="2217" t="s">
        <v>1832</v>
      </c>
      <c r="I72"/>
      <c r="J72"/>
    </row>
    <row r="73" spans="1:10" ht="12.75" x14ac:dyDescent="0.2">
      <c r="A73" s="357" t="s">
        <v>1765</v>
      </c>
      <c r="B73" s="337"/>
      <c r="C73" s="2398"/>
      <c r="D73" s="337"/>
      <c r="E73"/>
      <c r="F73" s="1088">
        <f>B73+D73</f>
        <v>0</v>
      </c>
      <c r="G73"/>
      <c r="H73" s="2217" t="s">
        <v>1832</v>
      </c>
      <c r="I73"/>
      <c r="J73"/>
    </row>
    <row r="74" spans="1:10" ht="12.75" x14ac:dyDescent="0.2">
      <c r="A74" s="357" t="s">
        <v>1765</v>
      </c>
      <c r="B74" s="337"/>
      <c r="C74" s="2398"/>
      <c r="D74" s="337"/>
      <c r="E74"/>
      <c r="F74" s="1088">
        <f>B74+D74</f>
        <v>0</v>
      </c>
      <c r="G74"/>
      <c r="H74" s="2217" t="s">
        <v>1832</v>
      </c>
      <c r="I74"/>
      <c r="J74"/>
    </row>
    <row r="75" spans="1:10" ht="12.75" x14ac:dyDescent="0.2">
      <c r="A75" s="357" t="s">
        <v>1765</v>
      </c>
      <c r="B75" s="337"/>
      <c r="C75" s="2398"/>
      <c r="D75" s="337"/>
      <c r="E75"/>
      <c r="F75" s="1088">
        <f>B75+D75</f>
        <v>0</v>
      </c>
      <c r="G75"/>
      <c r="H75" s="2217" t="s">
        <v>1832</v>
      </c>
      <c r="I75"/>
      <c r="J75"/>
    </row>
    <row r="76" spans="1:10" ht="12.75" x14ac:dyDescent="0.2">
      <c r="A76" s="1" t="s">
        <v>1814</v>
      </c>
      <c r="B76" s="336"/>
      <c r="C76" s="2398"/>
      <c r="D76" s="336"/>
      <c r="E76"/>
      <c r="F76" s="2287"/>
      <c r="G76"/>
      <c r="H76"/>
      <c r="I76"/>
      <c r="J76"/>
    </row>
    <row r="77" spans="1:10" ht="12.75" x14ac:dyDescent="0.2">
      <c r="A77" s="138" t="s">
        <v>1815</v>
      </c>
      <c r="B77" s="336"/>
      <c r="C77" s="2398"/>
      <c r="D77" s="336"/>
      <c r="E77"/>
      <c r="F77" s="2287"/>
      <c r="G77"/>
      <c r="H77"/>
      <c r="I77"/>
      <c r="J77"/>
    </row>
    <row r="78" spans="1:10" ht="12.75" x14ac:dyDescent="0.2">
      <c r="A78" s="357" t="s">
        <v>1765</v>
      </c>
      <c r="B78" s="337"/>
      <c r="C78" s="2398"/>
      <c r="D78" s="337"/>
      <c r="E78"/>
      <c r="F78" s="1088">
        <f>B78+D78</f>
        <v>0</v>
      </c>
      <c r="G78"/>
      <c r="H78" s="2217" t="s">
        <v>1832</v>
      </c>
      <c r="I78"/>
      <c r="J78"/>
    </row>
    <row r="79" spans="1:10" ht="12.75" x14ac:dyDescent="0.2">
      <c r="A79"/>
      <c r="B79" s="1087"/>
      <c r="C79"/>
      <c r="D79" s="2287"/>
      <c r="E79"/>
      <c r="F79" s="2287"/>
      <c r="G79"/>
      <c r="H79"/>
      <c r="I79"/>
      <c r="J79"/>
    </row>
    <row r="80" spans="1:10" ht="13.5" thickBot="1" x14ac:dyDescent="0.25">
      <c r="A80" s="1" t="s">
        <v>1817</v>
      </c>
      <c r="B80" s="1087"/>
      <c r="C80"/>
      <c r="D80" s="1089">
        <f>SUM(D67:D70)-SUM(D72:D75)</f>
        <v>0</v>
      </c>
      <c r="E80"/>
      <c r="F80" s="2287"/>
      <c r="G80"/>
      <c r="H80"/>
      <c r="I80"/>
      <c r="J80"/>
    </row>
    <row r="81" spans="1:10" ht="13.5" thickTop="1" x14ac:dyDescent="0.2">
      <c r="A81"/>
      <c r="B81" s="1087"/>
      <c r="C81"/>
      <c r="D81" s="2287"/>
      <c r="E81"/>
      <c r="F81" s="2287"/>
      <c r="G81"/>
      <c r="H81"/>
      <c r="I81"/>
      <c r="J81"/>
    </row>
    <row r="82" spans="1:10" ht="12.75" x14ac:dyDescent="0.2">
      <c r="A82" s="965" t="s">
        <v>1781</v>
      </c>
      <c r="B82" s="2367"/>
      <c r="C82" s="2367"/>
      <c r="D82" s="2367"/>
      <c r="E82" s="2367"/>
      <c r="F82" s="2367"/>
      <c r="G82" s="823"/>
      <c r="H82" s="138"/>
      <c r="I82" s="814"/>
      <c r="J82" s="814"/>
    </row>
    <row r="83" spans="1:10" ht="12.75" x14ac:dyDescent="0.2">
      <c r="A83" s="846" t="s">
        <v>548</v>
      </c>
      <c r="B83" s="2367"/>
      <c r="C83" s="2367"/>
      <c r="D83" s="2367"/>
      <c r="E83" s="2367"/>
      <c r="F83" s="2367"/>
      <c r="G83" s="823"/>
      <c r="H83" s="138"/>
      <c r="I83" s="814"/>
      <c r="J83" s="814"/>
    </row>
    <row r="84" spans="1:10" ht="12.75" x14ac:dyDescent="0.2">
      <c r="A84" s="1995" t="s">
        <v>1850</v>
      </c>
      <c r="B84" s="2367">
        <v>0</v>
      </c>
      <c r="C84" s="2367"/>
      <c r="D84" s="2367">
        <v>0</v>
      </c>
      <c r="E84" s="2367"/>
      <c r="F84" s="823">
        <f>B84+D84</f>
        <v>0</v>
      </c>
      <c r="G84" s="823"/>
      <c r="H84" s="138"/>
      <c r="I84" s="814"/>
      <c r="J84" s="814"/>
    </row>
    <row r="85" spans="1:10" ht="12.75" x14ac:dyDescent="0.2">
      <c r="A85" s="357" t="s">
        <v>1765</v>
      </c>
      <c r="B85" s="822">
        <v>0</v>
      </c>
      <c r="C85" s="2367"/>
      <c r="D85" s="822">
        <v>0</v>
      </c>
      <c r="E85" s="2367"/>
      <c r="F85" s="1088">
        <f>B85+D85</f>
        <v>0</v>
      </c>
      <c r="G85" s="823"/>
      <c r="H85" s="2217" t="s">
        <v>1832</v>
      </c>
      <c r="I85" s="814"/>
      <c r="J85" s="814"/>
    </row>
    <row r="86" spans="1:10" ht="12.75" x14ac:dyDescent="0.2">
      <c r="A86" s="357" t="s">
        <v>1765</v>
      </c>
      <c r="B86" s="822">
        <v>0</v>
      </c>
      <c r="C86" s="2367"/>
      <c r="D86" s="822">
        <v>0</v>
      </c>
      <c r="E86" s="2367"/>
      <c r="F86" s="1088">
        <f t="shared" ref="F86:F94" si="5">B86+D86</f>
        <v>0</v>
      </c>
      <c r="G86" s="823"/>
      <c r="H86" s="2217" t="s">
        <v>1832</v>
      </c>
      <c r="I86" s="814"/>
      <c r="J86" s="814"/>
    </row>
    <row r="87" spans="1:10" ht="12.75" x14ac:dyDescent="0.2">
      <c r="A87" s="1995" t="s">
        <v>1851</v>
      </c>
      <c r="B87" s="823">
        <v>0</v>
      </c>
      <c r="C87" s="823"/>
      <c r="D87" s="823"/>
      <c r="E87" s="823"/>
      <c r="F87" s="823">
        <f t="shared" si="5"/>
        <v>0</v>
      </c>
      <c r="G87" s="823"/>
      <c r="H87" s="138"/>
      <c r="I87" s="814"/>
      <c r="J87" s="814"/>
    </row>
    <row r="88" spans="1:10" ht="12.75" x14ac:dyDescent="0.2">
      <c r="A88" s="357" t="s">
        <v>1765</v>
      </c>
      <c r="B88" s="822"/>
      <c r="C88" s="2367"/>
      <c r="D88" s="822"/>
      <c r="E88" s="2367"/>
      <c r="F88" s="1088">
        <f t="shared" si="5"/>
        <v>0</v>
      </c>
      <c r="G88" s="823"/>
      <c r="H88" s="2217" t="s">
        <v>1832</v>
      </c>
      <c r="I88" s="814"/>
      <c r="J88" s="814"/>
    </row>
    <row r="89" spans="1:10" ht="12.75" x14ac:dyDescent="0.2">
      <c r="A89" s="357" t="s">
        <v>1765</v>
      </c>
      <c r="B89" s="822"/>
      <c r="C89" s="2367"/>
      <c r="D89" s="822"/>
      <c r="E89" s="2367"/>
      <c r="F89" s="1088">
        <f t="shared" si="5"/>
        <v>0</v>
      </c>
      <c r="G89" s="823"/>
      <c r="H89" s="2217" t="s">
        <v>1832</v>
      </c>
      <c r="I89" s="814"/>
      <c r="J89" s="814"/>
    </row>
    <row r="90" spans="1:10" ht="12.75" x14ac:dyDescent="0.2">
      <c r="A90" s="821" t="s">
        <v>1857</v>
      </c>
      <c r="B90" s="822"/>
      <c r="C90" s="2367"/>
      <c r="D90" s="822"/>
      <c r="E90" s="2367"/>
      <c r="F90" s="1088">
        <f t="shared" si="5"/>
        <v>0</v>
      </c>
      <c r="G90" s="823"/>
      <c r="H90" s="2217" t="s">
        <v>1832</v>
      </c>
      <c r="I90" s="814"/>
      <c r="J90" s="814"/>
    </row>
    <row r="91" spans="1:10" ht="12.75" x14ac:dyDescent="0.2">
      <c r="A91" s="1995" t="s">
        <v>1853</v>
      </c>
      <c r="B91" s="823"/>
      <c r="C91" s="823"/>
      <c r="D91" s="823"/>
      <c r="E91" s="823"/>
      <c r="F91" s="823">
        <f t="shared" si="5"/>
        <v>0</v>
      </c>
      <c r="G91" s="823"/>
      <c r="H91" s="138"/>
      <c r="I91" s="814"/>
      <c r="J91" s="814"/>
    </row>
    <row r="92" spans="1:10" ht="12.75" x14ac:dyDescent="0.2">
      <c r="A92" s="357" t="s">
        <v>1765</v>
      </c>
      <c r="B92" s="822"/>
      <c r="C92" s="2367"/>
      <c r="D92" s="822"/>
      <c r="E92" s="2367"/>
      <c r="F92" s="1088">
        <f t="shared" si="5"/>
        <v>0</v>
      </c>
      <c r="G92" s="823"/>
      <c r="H92" s="2217" t="s">
        <v>1832</v>
      </c>
      <c r="I92" s="814"/>
      <c r="J92" s="814"/>
    </row>
    <row r="93" spans="1:10" ht="12.75" x14ac:dyDescent="0.2">
      <c r="A93" s="357" t="s">
        <v>1765</v>
      </c>
      <c r="B93" s="822"/>
      <c r="C93" s="2367"/>
      <c r="D93" s="822"/>
      <c r="E93" s="2367"/>
      <c r="F93" s="1088">
        <f t="shared" si="5"/>
        <v>0</v>
      </c>
      <c r="G93" s="823"/>
      <c r="H93" s="2217" t="s">
        <v>1832</v>
      </c>
      <c r="I93" s="814"/>
      <c r="J93" s="814"/>
    </row>
    <row r="94" spans="1:10" ht="12.75" x14ac:dyDescent="0.2">
      <c r="A94" s="357" t="s">
        <v>1765</v>
      </c>
      <c r="B94" s="822">
        <v>0</v>
      </c>
      <c r="C94" s="2367"/>
      <c r="D94" s="822"/>
      <c r="E94" s="2367"/>
      <c r="F94" s="1088">
        <f t="shared" si="5"/>
        <v>0</v>
      </c>
      <c r="G94" s="823"/>
      <c r="H94" s="2217" t="s">
        <v>1832</v>
      </c>
      <c r="I94" s="820"/>
      <c r="J94" s="814"/>
    </row>
    <row r="95" spans="1:10" ht="13.5" thickBot="1" x14ac:dyDescent="0.25">
      <c r="A95" s="846" t="s">
        <v>1854</v>
      </c>
      <c r="B95" s="1090">
        <f>SUM(B85:B94)</f>
        <v>0</v>
      </c>
      <c r="C95" s="823"/>
      <c r="D95" s="1090">
        <f>SUM(D85:D94)</f>
        <v>0</v>
      </c>
      <c r="E95" s="823"/>
      <c r="F95" s="1090">
        <f>SUM(F85:F94)</f>
        <v>0</v>
      </c>
      <c r="G95" s="823"/>
      <c r="H95" s="138"/>
      <c r="I95" s="820"/>
      <c r="J95" s="814"/>
    </row>
    <row r="96" spans="1:10" ht="13.5" thickTop="1" x14ac:dyDescent="0.2">
      <c r="A96" s="846" t="s">
        <v>1855</v>
      </c>
      <c r="B96" s="2367"/>
      <c r="C96" s="2367"/>
      <c r="D96" s="2367"/>
      <c r="E96" s="2367"/>
      <c r="F96" s="823"/>
      <c r="G96" s="823"/>
      <c r="H96" s="138"/>
      <c r="I96" s="820"/>
      <c r="J96" s="814"/>
    </row>
    <row r="97" spans="1:10" ht="12.75" x14ac:dyDescent="0.2">
      <c r="A97" s="357" t="s">
        <v>1765</v>
      </c>
      <c r="B97" s="822"/>
      <c r="C97" s="2367"/>
      <c r="D97" s="822"/>
      <c r="E97" s="2367"/>
      <c r="F97" s="1088">
        <f>B97+D97</f>
        <v>0</v>
      </c>
      <c r="G97" s="823"/>
      <c r="H97" s="2217" t="s">
        <v>1832</v>
      </c>
      <c r="I97" s="820"/>
      <c r="J97" s="814"/>
    </row>
    <row r="98" spans="1:10" ht="12.75" x14ac:dyDescent="0.2">
      <c r="A98" s="357" t="s">
        <v>1765</v>
      </c>
      <c r="B98" s="822"/>
      <c r="C98" s="2367"/>
      <c r="D98" s="822"/>
      <c r="E98" s="2367"/>
      <c r="F98" s="1088">
        <f>B98+D98</f>
        <v>0</v>
      </c>
      <c r="G98" s="823"/>
      <c r="H98" s="2217" t="s">
        <v>1832</v>
      </c>
      <c r="I98" s="820"/>
      <c r="J98" s="814"/>
    </row>
    <row r="99" spans="1:10" ht="12.75" x14ac:dyDescent="0.2">
      <c r="A99" s="357" t="s">
        <v>1765</v>
      </c>
      <c r="B99" s="822">
        <v>0</v>
      </c>
      <c r="C99" s="2367"/>
      <c r="D99" s="822"/>
      <c r="E99" s="2367"/>
      <c r="F99" s="1088">
        <f>B99+D99</f>
        <v>0</v>
      </c>
      <c r="G99" s="823"/>
      <c r="H99" s="2217" t="s">
        <v>1832</v>
      </c>
      <c r="I99" s="820"/>
      <c r="J99" s="814"/>
    </row>
    <row r="100" spans="1:10" ht="12.75" x14ac:dyDescent="0.2">
      <c r="A100" s="357" t="s">
        <v>1765</v>
      </c>
      <c r="B100" s="822">
        <v>0</v>
      </c>
      <c r="C100" s="2367"/>
      <c r="D100" s="822"/>
      <c r="E100" s="2367"/>
      <c r="F100" s="1088">
        <f>B100+D100</f>
        <v>0</v>
      </c>
      <c r="G100" s="823"/>
      <c r="H100" s="2217" t="s">
        <v>1832</v>
      </c>
      <c r="I100" s="820"/>
      <c r="J100" s="814"/>
    </row>
    <row r="101" spans="1:10" ht="12.75" x14ac:dyDescent="0.2">
      <c r="A101" s="828"/>
      <c r="B101" s="2367"/>
      <c r="C101" s="2367"/>
      <c r="D101" s="2367"/>
      <c r="E101" s="2367"/>
      <c r="F101" s="823"/>
      <c r="G101" s="823"/>
      <c r="H101" s="138"/>
      <c r="I101" s="814"/>
      <c r="J101" s="814"/>
    </row>
    <row r="102" spans="1:10" ht="13.5" thickBot="1" x14ac:dyDescent="0.25">
      <c r="A102" s="846" t="s">
        <v>1856</v>
      </c>
      <c r="B102" s="1994">
        <f>SUM(B99:B101)</f>
        <v>0</v>
      </c>
      <c r="C102" s="823"/>
      <c r="D102" s="1994">
        <f>SUM(D97:D100)</f>
        <v>0</v>
      </c>
      <c r="E102" s="823"/>
      <c r="F102" s="1994">
        <f>SUM(F99:F101)</f>
        <v>0</v>
      </c>
      <c r="G102" s="823"/>
      <c r="H102" s="138"/>
      <c r="I102" s="814"/>
      <c r="J102" s="814"/>
    </row>
    <row r="103" spans="1:10" ht="13.5" thickTop="1" x14ac:dyDescent="0.2">
      <c r="A103" s="963"/>
      <c r="B103" s="2367"/>
      <c r="C103" s="2367"/>
      <c r="D103" s="2367"/>
      <c r="E103" s="2367"/>
      <c r="F103" s="823"/>
      <c r="G103" s="823"/>
      <c r="H103" s="138"/>
      <c r="I103" s="814"/>
      <c r="J103" s="814"/>
    </row>
    <row r="104" spans="1:10" ht="13.5" thickBot="1" x14ac:dyDescent="0.25">
      <c r="A104" s="828" t="s">
        <v>1844</v>
      </c>
      <c r="B104" s="1994">
        <f>B95-B102</f>
        <v>0</v>
      </c>
      <c r="C104" s="823"/>
      <c r="D104" s="1994">
        <f>D95-D102</f>
        <v>0</v>
      </c>
      <c r="E104" s="823"/>
      <c r="F104" s="1994">
        <f>F95-F102</f>
        <v>0</v>
      </c>
      <c r="G104" s="823"/>
      <c r="H104" s="138"/>
      <c r="I104" s="814"/>
      <c r="J104" s="814"/>
    </row>
    <row r="105" spans="1:10" ht="8.25" customHeight="1" thickTop="1" x14ac:dyDescent="0.2">
      <c r="A105" s="821"/>
      <c r="B105" s="2367"/>
      <c r="C105" s="2367"/>
      <c r="D105" s="1010"/>
      <c r="E105" s="2367"/>
      <c r="F105" s="2367"/>
      <c r="G105" s="823"/>
      <c r="H105" s="138"/>
      <c r="I105" s="814"/>
      <c r="J105" s="814"/>
    </row>
    <row r="106" spans="1:10" ht="13.5" thickBot="1" x14ac:dyDescent="0.25">
      <c r="A106" s="828" t="s">
        <v>1798</v>
      </c>
      <c r="B106" s="2367" t="s">
        <v>50</v>
      </c>
      <c r="C106" s="2367"/>
      <c r="D106" s="1089">
        <f>D95-D102</f>
        <v>0</v>
      </c>
      <c r="E106" s="2367"/>
      <c r="F106" s="2367" t="s">
        <v>50</v>
      </c>
      <c r="G106" s="823"/>
      <c r="H106" s="138"/>
      <c r="I106" s="814"/>
      <c r="J106" s="814"/>
    </row>
    <row r="107" spans="1:10" ht="13.5" thickTop="1" x14ac:dyDescent="0.2">
      <c r="A107" s="828"/>
      <c r="B107" s="2367"/>
      <c r="C107" s="2367"/>
      <c r="D107" s="827"/>
      <c r="E107" s="2367"/>
      <c r="F107" s="2367"/>
      <c r="G107" s="823"/>
      <c r="H107" s="138"/>
      <c r="I107" s="814"/>
      <c r="J107" s="814"/>
    </row>
    <row r="108" spans="1:10" ht="12.75" x14ac:dyDescent="0.2">
      <c r="A108" s="846" t="s">
        <v>1846</v>
      </c>
      <c r="B108" s="814"/>
      <c r="C108" s="814"/>
      <c r="D108" s="2186">
        <f>D80+D31</f>
        <v>0</v>
      </c>
      <c r="E108" s="814"/>
      <c r="F108" s="846" t="s">
        <v>1858</v>
      </c>
      <c r="G108" s="814"/>
      <c r="H108" s="138"/>
      <c r="I108" s="814"/>
      <c r="J108" s="814"/>
    </row>
    <row r="109" spans="1:10" ht="12.75" x14ac:dyDescent="0.2">
      <c r="A109" s="2863" t="s">
        <v>1799</v>
      </c>
      <c r="B109" s="2864"/>
      <c r="C109" s="2864"/>
      <c r="D109" s="2864"/>
      <c r="E109" s="2864"/>
      <c r="F109" s="2864"/>
      <c r="G109" s="2864"/>
      <c r="H109" s="2864"/>
      <c r="I109" s="2864"/>
      <c r="J109" s="2864"/>
    </row>
    <row r="110" spans="1:10" ht="12.75" x14ac:dyDescent="0.2">
      <c r="A110" s="2372" t="s">
        <v>1800</v>
      </c>
      <c r="B110" s="2372"/>
      <c r="C110" s="2372"/>
      <c r="D110" s="2372"/>
      <c r="E110" s="2372"/>
      <c r="F110" s="2372"/>
      <c r="G110" s="2372"/>
      <c r="H110" s="2373"/>
      <c r="I110" s="2372"/>
      <c r="J110" s="2372"/>
    </row>
  </sheetData>
  <sheetProtection algorithmName="SHA-512" hashValue="NraZgRTukT8z5iRPB/eH9vJCCB1HUqzW2sftjciuCSgUAl4D+Lom0QxKTqRNZr3FVHzvmmC0oniAHbqpKokb3w==" saltValue="R22FtAS0nxfXGBh8a473+g==" spinCount="100000" sheet="1" autoFilter="0"/>
  <dataConsolidate/>
  <mergeCells count="12">
    <mergeCell ref="B63:F63"/>
    <mergeCell ref="A109:J109"/>
    <mergeCell ref="F6:H6"/>
    <mergeCell ref="F7:H7"/>
    <mergeCell ref="F8:H8"/>
    <mergeCell ref="A59:J59"/>
    <mergeCell ref="F5:H5"/>
    <mergeCell ref="A1:H1"/>
    <mergeCell ref="A2:H2"/>
    <mergeCell ref="I2:I4"/>
    <mergeCell ref="A3:H3"/>
    <mergeCell ref="A4:H4"/>
  </mergeCells>
  <conditionalFormatting sqref="I2:I4">
    <cfRule type="cellIs" dxfId="71" priority="1" stopIfTrue="1" operator="equal">
      <formula>"na"</formula>
    </cfRule>
  </conditionalFormatting>
  <conditionalFormatting sqref="S1">
    <cfRule type="cellIs" dxfId="70" priority="2" stopIfTrue="1" operator="equal">
      <formula>"na"</formula>
    </cfRule>
  </conditionalFormatting>
  <hyperlinks>
    <hyperlink ref="A1:H1" location="Index!A1" display="Index!A1" xr:uid="{CEB685A8-85B4-4748-969C-01AFB362553B}"/>
  </hyperlinks>
  <pageMargins left="0.6" right="0.6" top="0.5" bottom="0.5" header="0.3" footer="0.3"/>
  <pageSetup scale="78" fitToHeight="0" orientation="portrait" r:id="rId1"/>
  <rowBreaks count="1" manualBreakCount="1">
    <brk id="61" max="9" man="1"/>
  </rowBreaks>
  <extLst>
    <ext xmlns:x14="http://schemas.microsoft.com/office/spreadsheetml/2009/9/main" uri="{CCE6A557-97BC-4b89-ADB6-D9C93CAAB3DF}">
      <x14:dataValidations xmlns:xm="http://schemas.microsoft.com/office/excel/2006/main" count="10">
        <x14:dataValidation type="list" allowBlank="1" showInputMessage="1" showErrorMessage="1" xr:uid="{63024D5A-055C-4C2A-A38F-AB73131FA786}">
          <x14:formula1>
            <xm:f>Notes!$R$175:$R$197</xm:f>
          </x14:formula1>
          <xm:sqref>A18:A21 A67:A70</xm:sqref>
        </x14:dataValidation>
        <x14:dataValidation type="list" allowBlank="1" showInputMessage="1" showErrorMessage="1" xr:uid="{00BA7F1C-149D-4740-BB93-F347F9F7F220}">
          <x14:formula1>
            <xm:f>Notes!$R$200:$R$206</xm:f>
          </x14:formula1>
          <xm:sqref>A23:A26 A72:A75</xm:sqref>
        </x14:dataValidation>
        <x14:dataValidation type="list" allowBlank="1" showInputMessage="1" showErrorMessage="1" xr:uid="{D78A7631-BFB5-4989-88EA-62727AAE7FF4}">
          <x14:formula1>
            <xm:f>Notes!$R$209:$R$214</xm:f>
          </x14:formula1>
          <xm:sqref>A29 A78</xm:sqref>
        </x14:dataValidation>
        <x14:dataValidation type="list" allowBlank="1" showInputMessage="1" showErrorMessage="1" xr:uid="{B6C1137A-9D9D-4C3F-B15D-DAF4C5923928}">
          <x14:formula1>
            <xm:f>Notes!$R$218:$R$222</xm:f>
          </x14:formula1>
          <xm:sqref>A36:A37 A85:A86</xm:sqref>
        </x14:dataValidation>
        <x14:dataValidation type="list" allowBlank="1" showInputMessage="1" showErrorMessage="1" xr:uid="{FDABF068-13A4-4D2D-92F7-B00A567D4988}">
          <x14:formula1>
            <xm:f>Notes!$R$225:$R$229</xm:f>
          </x14:formula1>
          <xm:sqref>A39:A40 A88:A89</xm:sqref>
        </x14:dataValidation>
        <x14:dataValidation type="list" allowBlank="1" showInputMessage="1" showErrorMessage="1" xr:uid="{E6419C82-3415-466B-B5C7-3E5F481BF57A}">
          <x14:formula1>
            <xm:f>Notes!$R$232:$R$240</xm:f>
          </x14:formula1>
          <xm:sqref>A43:A45 A92:A94</xm:sqref>
        </x14:dataValidation>
        <x14:dataValidation type="list" allowBlank="1" showInputMessage="1" showErrorMessage="1" xr:uid="{0171B104-705A-4327-ADF4-1C4E58A52A5B}">
          <x14:formula1>
            <xm:f>Notes!$R$243:$R$256</xm:f>
          </x14:formula1>
          <xm:sqref>A48:A51 A97:A100</xm:sqref>
        </x14:dataValidation>
        <x14:dataValidation type="list" allowBlank="1" showInputMessage="1" showErrorMessage="1" xr:uid="{53EEEB2C-B0F4-4D23-864A-31CA0D645080}">
          <x14:formula1>
            <xm:f>Notes!$J$138:$J$161</xm:f>
          </x14:formula1>
          <xm:sqref>B8</xm:sqref>
        </x14:dataValidation>
        <x14:dataValidation type="list" allowBlank="1" showInputMessage="1" showErrorMessage="1" xr:uid="{1E761FE8-31DF-4AD4-8E0C-E814996AB23A}">
          <x14:formula1>
            <xm:f>Notes!$J$93:$J$105</xm:f>
          </x14:formula1>
          <xm:sqref>H18:H21 H48:H51 H43:H45 H39:H41 H36:H37 H29 H23:H26</xm:sqref>
        </x14:dataValidation>
        <x14:dataValidation type="list" allowBlank="1" showInputMessage="1" showErrorMessage="1" xr:uid="{02B10754-A066-43EE-923B-EC16092B9D13}">
          <x14:formula1>
            <xm:f>Notes!$J$108:$J$110</xm:f>
          </x14:formula1>
          <xm:sqref>H67:H70 H97:H100 H92:H94 H88:H90 H85:H86 H78 H72:H75</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25536-5C49-489B-A293-C9FB3CB24838}">
  <sheetPr codeName="Sheet89">
    <pageSetUpPr fitToPage="1"/>
  </sheetPr>
  <dimension ref="A1:U52"/>
  <sheetViews>
    <sheetView topLeftCell="B1" zoomScaleNormal="100" workbookViewId="0">
      <selection activeCell="L6" activeCellId="2" sqref="D6:H6 L5:P5 L6:P6"/>
    </sheetView>
  </sheetViews>
  <sheetFormatPr defaultRowHeight="15.75" x14ac:dyDescent="0.25"/>
  <cols>
    <col min="1" max="1" width="0" style="1068" hidden="1" customWidth="1"/>
    <col min="2" max="2" width="11.42578125" style="1068" customWidth="1"/>
    <col min="3" max="3" width="1.5703125" style="1068" customWidth="1"/>
    <col min="4" max="4" width="10.28515625" style="1068" customWidth="1"/>
    <col min="5" max="5" width="1.5703125" style="1068" customWidth="1"/>
    <col min="6" max="6" width="13" style="1068" customWidth="1"/>
    <col min="7" max="7" width="1.5703125" style="1068" customWidth="1"/>
    <col min="8" max="8" width="20.5703125" style="1068" customWidth="1"/>
    <col min="9" max="9" width="2.5703125" style="1068" customWidth="1"/>
    <col min="10" max="10" width="12.42578125" style="1068" customWidth="1"/>
    <col min="11" max="11" width="1.5703125" style="1068" customWidth="1"/>
    <col min="12" max="12" width="10.5703125" style="1068" customWidth="1"/>
    <col min="13" max="13" width="1.5703125" style="1068" customWidth="1"/>
    <col min="14" max="14" width="12.5703125" style="1068" customWidth="1"/>
    <col min="15" max="15" width="1.5703125" style="1068" customWidth="1"/>
    <col min="16" max="16" width="51.85546875" style="1068" customWidth="1"/>
    <col min="17" max="19" width="0" style="1068" hidden="1" customWidth="1"/>
    <col min="20" max="20" width="8.7109375" style="1068" bestFit="1" customWidth="1"/>
    <col min="21" max="241" width="9.140625" style="1068" bestFit="1"/>
    <col min="242" max="242" width="0" style="1068" hidden="1" customWidth="1"/>
    <col min="243" max="243" width="11.42578125" style="1068" customWidth="1"/>
    <col min="244" max="244" width="1.5703125" style="1068" customWidth="1"/>
    <col min="245" max="245" width="7.42578125" style="1068" bestFit="1" customWidth="1"/>
    <col min="246" max="246" width="1.5703125" style="1068" customWidth="1"/>
    <col min="247" max="247" width="12.5703125" style="1068" customWidth="1"/>
    <col min="248" max="248" width="1.5703125" style="1068" customWidth="1"/>
    <col min="249" max="249" width="20.5703125" style="1068" customWidth="1"/>
    <col min="250" max="250" width="2.5703125" style="1068" customWidth="1"/>
    <col min="251" max="251" width="10.5703125" style="1068" customWidth="1"/>
    <col min="252" max="252" width="1.5703125" style="1068" customWidth="1"/>
    <col min="253" max="253" width="10.5703125" style="1068" customWidth="1"/>
    <col min="254" max="254" width="1.5703125" style="1068" customWidth="1"/>
    <col min="255" max="255" width="12.5703125" style="1068" customWidth="1"/>
    <col min="256" max="256" width="1.5703125" style="1068" customWidth="1"/>
    <col min="257" max="257" width="22.5703125" style="1068" customWidth="1"/>
    <col min="258" max="258" width="4.5703125" style="1068" customWidth="1"/>
    <col min="259" max="272" width="0" style="1068" hidden="1" customWidth="1"/>
    <col min="273" max="497" width="9.140625" style="1068" bestFit="1"/>
    <col min="498" max="498" width="0" style="1068" hidden="1" customWidth="1"/>
    <col min="499" max="499" width="11.42578125" style="1068" customWidth="1"/>
    <col min="500" max="500" width="1.5703125" style="1068" customWidth="1"/>
    <col min="501" max="501" width="7.42578125" style="1068" bestFit="1" customWidth="1"/>
    <col min="502" max="502" width="1.5703125" style="1068" customWidth="1"/>
    <col min="503" max="503" width="12.5703125" style="1068" customWidth="1"/>
    <col min="504" max="504" width="1.5703125" style="1068" customWidth="1"/>
    <col min="505" max="505" width="20.5703125" style="1068" customWidth="1"/>
    <col min="506" max="506" width="2.5703125" style="1068" customWidth="1"/>
    <col min="507" max="507" width="10.5703125" style="1068" customWidth="1"/>
    <col min="508" max="508" width="1.5703125" style="1068" customWidth="1"/>
    <col min="509" max="509" width="10.5703125" style="1068" customWidth="1"/>
    <col min="510" max="510" width="1.5703125" style="1068" customWidth="1"/>
    <col min="511" max="511" width="12.5703125" style="1068" customWidth="1"/>
    <col min="512" max="512" width="1.5703125" style="1068" customWidth="1"/>
    <col min="513" max="513" width="22.5703125" style="1068" customWidth="1"/>
    <col min="514" max="514" width="4.5703125" style="1068" customWidth="1"/>
    <col min="515" max="528" width="0" style="1068" hidden="1" customWidth="1"/>
    <col min="529" max="753" width="9.140625" style="1068" bestFit="1"/>
    <col min="754" max="754" width="0" style="1068" hidden="1" customWidth="1"/>
    <col min="755" max="755" width="11.42578125" style="1068" customWidth="1"/>
    <col min="756" max="756" width="1.5703125" style="1068" customWidth="1"/>
    <col min="757" max="757" width="7.42578125" style="1068" bestFit="1" customWidth="1"/>
    <col min="758" max="758" width="1.5703125" style="1068" customWidth="1"/>
    <col min="759" max="759" width="12.5703125" style="1068" customWidth="1"/>
    <col min="760" max="760" width="1.5703125" style="1068" customWidth="1"/>
    <col min="761" max="761" width="20.5703125" style="1068" customWidth="1"/>
    <col min="762" max="762" width="2.5703125" style="1068" customWidth="1"/>
    <col min="763" max="763" width="10.5703125" style="1068" customWidth="1"/>
    <col min="764" max="764" width="1.5703125" style="1068" customWidth="1"/>
    <col min="765" max="765" width="10.5703125" style="1068" customWidth="1"/>
    <col min="766" max="766" width="1.5703125" style="1068" customWidth="1"/>
    <col min="767" max="767" width="12.5703125" style="1068" customWidth="1"/>
    <col min="768" max="768" width="1.5703125" style="1068" customWidth="1"/>
    <col min="769" max="769" width="22.5703125" style="1068" customWidth="1"/>
    <col min="770" max="770" width="4.5703125" style="1068" customWidth="1"/>
    <col min="771" max="784" width="0" style="1068" hidden="1" customWidth="1"/>
    <col min="785" max="1009" width="9.140625" style="1068" bestFit="1"/>
    <col min="1010" max="1010" width="0" style="1068" hidden="1" customWidth="1"/>
    <col min="1011" max="1011" width="11.42578125" style="1068" customWidth="1"/>
    <col min="1012" max="1012" width="1.5703125" style="1068" customWidth="1"/>
    <col min="1013" max="1013" width="7.42578125" style="1068" bestFit="1" customWidth="1"/>
    <col min="1014" max="1014" width="1.5703125" style="1068" customWidth="1"/>
    <col min="1015" max="1015" width="12.5703125" style="1068" customWidth="1"/>
    <col min="1016" max="1016" width="1.5703125" style="1068" customWidth="1"/>
    <col min="1017" max="1017" width="20.5703125" style="1068" customWidth="1"/>
    <col min="1018" max="1018" width="2.5703125" style="1068" customWidth="1"/>
    <col min="1019" max="1019" width="10.5703125" style="1068" customWidth="1"/>
    <col min="1020" max="1020" width="1.5703125" style="1068" customWidth="1"/>
    <col min="1021" max="1021" width="10.5703125" style="1068" customWidth="1"/>
    <col min="1022" max="1022" width="1.5703125" style="1068" customWidth="1"/>
    <col min="1023" max="1023" width="12.5703125" style="1068" customWidth="1"/>
    <col min="1024" max="1024" width="1.5703125" style="1068" customWidth="1"/>
    <col min="1025" max="1025" width="22.5703125" style="1068" customWidth="1"/>
    <col min="1026" max="1026" width="4.5703125" style="1068" customWidth="1"/>
    <col min="1027" max="1040" width="0" style="1068" hidden="1" customWidth="1"/>
    <col min="1041" max="1265" width="9.140625" style="1068" bestFit="1"/>
    <col min="1266" max="1266" width="0" style="1068" hidden="1" customWidth="1"/>
    <col min="1267" max="1267" width="11.42578125" style="1068" customWidth="1"/>
    <col min="1268" max="1268" width="1.5703125" style="1068" customWidth="1"/>
    <col min="1269" max="1269" width="7.42578125" style="1068" bestFit="1" customWidth="1"/>
    <col min="1270" max="1270" width="1.5703125" style="1068" customWidth="1"/>
    <col min="1271" max="1271" width="12.5703125" style="1068" customWidth="1"/>
    <col min="1272" max="1272" width="1.5703125" style="1068" customWidth="1"/>
    <col min="1273" max="1273" width="20.5703125" style="1068" customWidth="1"/>
    <col min="1274" max="1274" width="2.5703125" style="1068" customWidth="1"/>
    <col min="1275" max="1275" width="10.5703125" style="1068" customWidth="1"/>
    <col min="1276" max="1276" width="1.5703125" style="1068" customWidth="1"/>
    <col min="1277" max="1277" width="10.5703125" style="1068" customWidth="1"/>
    <col min="1278" max="1278" width="1.5703125" style="1068" customWidth="1"/>
    <col min="1279" max="1279" width="12.5703125" style="1068" customWidth="1"/>
    <col min="1280" max="1280" width="1.5703125" style="1068" customWidth="1"/>
    <col min="1281" max="1281" width="22.5703125" style="1068" customWidth="1"/>
    <col min="1282" max="1282" width="4.5703125" style="1068" customWidth="1"/>
    <col min="1283" max="1296" width="0" style="1068" hidden="1" customWidth="1"/>
    <col min="1297" max="1521" width="9.140625" style="1068" bestFit="1"/>
    <col min="1522" max="1522" width="0" style="1068" hidden="1" customWidth="1"/>
    <col min="1523" max="1523" width="11.42578125" style="1068" customWidth="1"/>
    <col min="1524" max="1524" width="1.5703125" style="1068" customWidth="1"/>
    <col min="1525" max="1525" width="7.42578125" style="1068" bestFit="1" customWidth="1"/>
    <col min="1526" max="1526" width="1.5703125" style="1068" customWidth="1"/>
    <col min="1527" max="1527" width="12.5703125" style="1068" customWidth="1"/>
    <col min="1528" max="1528" width="1.5703125" style="1068" customWidth="1"/>
    <col min="1529" max="1529" width="20.5703125" style="1068" customWidth="1"/>
    <col min="1530" max="1530" width="2.5703125" style="1068" customWidth="1"/>
    <col min="1531" max="1531" width="10.5703125" style="1068" customWidth="1"/>
    <col min="1532" max="1532" width="1.5703125" style="1068" customWidth="1"/>
    <col min="1533" max="1533" width="10.5703125" style="1068" customWidth="1"/>
    <col min="1534" max="1534" width="1.5703125" style="1068" customWidth="1"/>
    <col min="1535" max="1535" width="12.5703125" style="1068" customWidth="1"/>
    <col min="1536" max="1536" width="1.5703125" style="1068" customWidth="1"/>
    <col min="1537" max="1537" width="22.5703125" style="1068" customWidth="1"/>
    <col min="1538" max="1538" width="4.5703125" style="1068" customWidth="1"/>
    <col min="1539" max="1552" width="0" style="1068" hidden="1" customWidth="1"/>
    <col min="1553" max="1777" width="9.140625" style="1068" bestFit="1"/>
    <col min="1778" max="1778" width="0" style="1068" hidden="1" customWidth="1"/>
    <col min="1779" max="1779" width="11.42578125" style="1068" customWidth="1"/>
    <col min="1780" max="1780" width="1.5703125" style="1068" customWidth="1"/>
    <col min="1781" max="1781" width="7.42578125" style="1068" bestFit="1" customWidth="1"/>
    <col min="1782" max="1782" width="1.5703125" style="1068" customWidth="1"/>
    <col min="1783" max="1783" width="12.5703125" style="1068" customWidth="1"/>
    <col min="1784" max="1784" width="1.5703125" style="1068" customWidth="1"/>
    <col min="1785" max="1785" width="20.5703125" style="1068" customWidth="1"/>
    <col min="1786" max="1786" width="2.5703125" style="1068" customWidth="1"/>
    <col min="1787" max="1787" width="10.5703125" style="1068" customWidth="1"/>
    <col min="1788" max="1788" width="1.5703125" style="1068" customWidth="1"/>
    <col min="1789" max="1789" width="10.5703125" style="1068" customWidth="1"/>
    <col min="1790" max="1790" width="1.5703125" style="1068" customWidth="1"/>
    <col min="1791" max="1791" width="12.5703125" style="1068" customWidth="1"/>
    <col min="1792" max="1792" width="1.5703125" style="1068" customWidth="1"/>
    <col min="1793" max="1793" width="22.5703125" style="1068" customWidth="1"/>
    <col min="1794" max="1794" width="4.5703125" style="1068" customWidth="1"/>
    <col min="1795" max="1808" width="0" style="1068" hidden="1" customWidth="1"/>
    <col min="1809" max="2033" width="9.140625" style="1068" bestFit="1"/>
    <col min="2034" max="2034" width="0" style="1068" hidden="1" customWidth="1"/>
    <col min="2035" max="2035" width="11.42578125" style="1068" customWidth="1"/>
    <col min="2036" max="2036" width="1.5703125" style="1068" customWidth="1"/>
    <col min="2037" max="2037" width="7.42578125" style="1068" bestFit="1" customWidth="1"/>
    <col min="2038" max="2038" width="1.5703125" style="1068" customWidth="1"/>
    <col min="2039" max="2039" width="12.5703125" style="1068" customWidth="1"/>
    <col min="2040" max="2040" width="1.5703125" style="1068" customWidth="1"/>
    <col min="2041" max="2041" width="20.5703125" style="1068" customWidth="1"/>
    <col min="2042" max="2042" width="2.5703125" style="1068" customWidth="1"/>
    <col min="2043" max="2043" width="10.5703125" style="1068" customWidth="1"/>
    <col min="2044" max="2044" width="1.5703125" style="1068" customWidth="1"/>
    <col min="2045" max="2045" width="10.5703125" style="1068" customWidth="1"/>
    <col min="2046" max="2046" width="1.5703125" style="1068" customWidth="1"/>
    <col min="2047" max="2047" width="12.5703125" style="1068" customWidth="1"/>
    <col min="2048" max="2048" width="1.5703125" style="1068" customWidth="1"/>
    <col min="2049" max="2049" width="22.5703125" style="1068" customWidth="1"/>
    <col min="2050" max="2050" width="4.5703125" style="1068" customWidth="1"/>
    <col min="2051" max="2064" width="0" style="1068" hidden="1" customWidth="1"/>
    <col min="2065" max="2289" width="9.140625" style="1068" bestFit="1"/>
    <col min="2290" max="2290" width="0" style="1068" hidden="1" customWidth="1"/>
    <col min="2291" max="2291" width="11.42578125" style="1068" customWidth="1"/>
    <col min="2292" max="2292" width="1.5703125" style="1068" customWidth="1"/>
    <col min="2293" max="2293" width="7.42578125" style="1068" bestFit="1" customWidth="1"/>
    <col min="2294" max="2294" width="1.5703125" style="1068" customWidth="1"/>
    <col min="2295" max="2295" width="12.5703125" style="1068" customWidth="1"/>
    <col min="2296" max="2296" width="1.5703125" style="1068" customWidth="1"/>
    <col min="2297" max="2297" width="20.5703125" style="1068" customWidth="1"/>
    <col min="2298" max="2298" width="2.5703125" style="1068" customWidth="1"/>
    <col min="2299" max="2299" width="10.5703125" style="1068" customWidth="1"/>
    <col min="2300" max="2300" width="1.5703125" style="1068" customWidth="1"/>
    <col min="2301" max="2301" width="10.5703125" style="1068" customWidth="1"/>
    <col min="2302" max="2302" width="1.5703125" style="1068" customWidth="1"/>
    <col min="2303" max="2303" width="12.5703125" style="1068" customWidth="1"/>
    <col min="2304" max="2304" width="1.5703125" style="1068" customWidth="1"/>
    <col min="2305" max="2305" width="22.5703125" style="1068" customWidth="1"/>
    <col min="2306" max="2306" width="4.5703125" style="1068" customWidth="1"/>
    <col min="2307" max="2320" width="0" style="1068" hidden="1" customWidth="1"/>
    <col min="2321" max="2545" width="9.140625" style="1068" bestFit="1"/>
    <col min="2546" max="2546" width="0" style="1068" hidden="1" customWidth="1"/>
    <col min="2547" max="2547" width="11.42578125" style="1068" customWidth="1"/>
    <col min="2548" max="2548" width="1.5703125" style="1068" customWidth="1"/>
    <col min="2549" max="2549" width="7.42578125" style="1068" bestFit="1" customWidth="1"/>
    <col min="2550" max="2550" width="1.5703125" style="1068" customWidth="1"/>
    <col min="2551" max="2551" width="12.5703125" style="1068" customWidth="1"/>
    <col min="2552" max="2552" width="1.5703125" style="1068" customWidth="1"/>
    <col min="2553" max="2553" width="20.5703125" style="1068" customWidth="1"/>
    <col min="2554" max="2554" width="2.5703125" style="1068" customWidth="1"/>
    <col min="2555" max="2555" width="10.5703125" style="1068" customWidth="1"/>
    <col min="2556" max="2556" width="1.5703125" style="1068" customWidth="1"/>
    <col min="2557" max="2557" width="10.5703125" style="1068" customWidth="1"/>
    <col min="2558" max="2558" width="1.5703125" style="1068" customWidth="1"/>
    <col min="2559" max="2559" width="12.5703125" style="1068" customWidth="1"/>
    <col min="2560" max="2560" width="1.5703125" style="1068" customWidth="1"/>
    <col min="2561" max="2561" width="22.5703125" style="1068" customWidth="1"/>
    <col min="2562" max="2562" width="4.5703125" style="1068" customWidth="1"/>
    <col min="2563" max="2576" width="0" style="1068" hidden="1" customWidth="1"/>
    <col min="2577" max="2801" width="9.140625" style="1068" bestFit="1"/>
    <col min="2802" max="2802" width="0" style="1068" hidden="1" customWidth="1"/>
    <col min="2803" max="2803" width="11.42578125" style="1068" customWidth="1"/>
    <col min="2804" max="2804" width="1.5703125" style="1068" customWidth="1"/>
    <col min="2805" max="2805" width="7.42578125" style="1068" bestFit="1" customWidth="1"/>
    <col min="2806" max="2806" width="1.5703125" style="1068" customWidth="1"/>
    <col min="2807" max="2807" width="12.5703125" style="1068" customWidth="1"/>
    <col min="2808" max="2808" width="1.5703125" style="1068" customWidth="1"/>
    <col min="2809" max="2809" width="20.5703125" style="1068" customWidth="1"/>
    <col min="2810" max="2810" width="2.5703125" style="1068" customWidth="1"/>
    <col min="2811" max="2811" width="10.5703125" style="1068" customWidth="1"/>
    <col min="2812" max="2812" width="1.5703125" style="1068" customWidth="1"/>
    <col min="2813" max="2813" width="10.5703125" style="1068" customWidth="1"/>
    <col min="2814" max="2814" width="1.5703125" style="1068" customWidth="1"/>
    <col min="2815" max="2815" width="12.5703125" style="1068" customWidth="1"/>
    <col min="2816" max="2816" width="1.5703125" style="1068" customWidth="1"/>
    <col min="2817" max="2817" width="22.5703125" style="1068" customWidth="1"/>
    <col min="2818" max="2818" width="4.5703125" style="1068" customWidth="1"/>
    <col min="2819" max="2832" width="0" style="1068" hidden="1" customWidth="1"/>
    <col min="2833" max="3057" width="9.140625" style="1068" bestFit="1"/>
    <col min="3058" max="3058" width="0" style="1068" hidden="1" customWidth="1"/>
    <col min="3059" max="3059" width="11.42578125" style="1068" customWidth="1"/>
    <col min="3060" max="3060" width="1.5703125" style="1068" customWidth="1"/>
    <col min="3061" max="3061" width="7.42578125" style="1068" bestFit="1" customWidth="1"/>
    <col min="3062" max="3062" width="1.5703125" style="1068" customWidth="1"/>
    <col min="3063" max="3063" width="12.5703125" style="1068" customWidth="1"/>
    <col min="3064" max="3064" width="1.5703125" style="1068" customWidth="1"/>
    <col min="3065" max="3065" width="20.5703125" style="1068" customWidth="1"/>
    <col min="3066" max="3066" width="2.5703125" style="1068" customWidth="1"/>
    <col min="3067" max="3067" width="10.5703125" style="1068" customWidth="1"/>
    <col min="3068" max="3068" width="1.5703125" style="1068" customWidth="1"/>
    <col min="3069" max="3069" width="10.5703125" style="1068" customWidth="1"/>
    <col min="3070" max="3070" width="1.5703125" style="1068" customWidth="1"/>
    <col min="3071" max="3071" width="12.5703125" style="1068" customWidth="1"/>
    <col min="3072" max="3072" width="1.5703125" style="1068" customWidth="1"/>
    <col min="3073" max="3073" width="22.5703125" style="1068" customWidth="1"/>
    <col min="3074" max="3074" width="4.5703125" style="1068" customWidth="1"/>
    <col min="3075" max="3088" width="0" style="1068" hidden="1" customWidth="1"/>
    <col min="3089" max="3313" width="9.140625" style="1068" bestFit="1"/>
    <col min="3314" max="3314" width="0" style="1068" hidden="1" customWidth="1"/>
    <col min="3315" max="3315" width="11.42578125" style="1068" customWidth="1"/>
    <col min="3316" max="3316" width="1.5703125" style="1068" customWidth="1"/>
    <col min="3317" max="3317" width="7.42578125" style="1068" bestFit="1" customWidth="1"/>
    <col min="3318" max="3318" width="1.5703125" style="1068" customWidth="1"/>
    <col min="3319" max="3319" width="12.5703125" style="1068" customWidth="1"/>
    <col min="3320" max="3320" width="1.5703125" style="1068" customWidth="1"/>
    <col min="3321" max="3321" width="20.5703125" style="1068" customWidth="1"/>
    <col min="3322" max="3322" width="2.5703125" style="1068" customWidth="1"/>
    <col min="3323" max="3323" width="10.5703125" style="1068" customWidth="1"/>
    <col min="3324" max="3324" width="1.5703125" style="1068" customWidth="1"/>
    <col min="3325" max="3325" width="10.5703125" style="1068" customWidth="1"/>
    <col min="3326" max="3326" width="1.5703125" style="1068" customWidth="1"/>
    <col min="3327" max="3327" width="12.5703125" style="1068" customWidth="1"/>
    <col min="3328" max="3328" width="1.5703125" style="1068" customWidth="1"/>
    <col min="3329" max="3329" width="22.5703125" style="1068" customWidth="1"/>
    <col min="3330" max="3330" width="4.5703125" style="1068" customWidth="1"/>
    <col min="3331" max="3344" width="0" style="1068" hidden="1" customWidth="1"/>
    <col min="3345" max="3569" width="9.140625" style="1068" bestFit="1"/>
    <col min="3570" max="3570" width="0" style="1068" hidden="1" customWidth="1"/>
    <col min="3571" max="3571" width="11.42578125" style="1068" customWidth="1"/>
    <col min="3572" max="3572" width="1.5703125" style="1068" customWidth="1"/>
    <col min="3573" max="3573" width="7.42578125" style="1068" bestFit="1" customWidth="1"/>
    <col min="3574" max="3574" width="1.5703125" style="1068" customWidth="1"/>
    <col min="3575" max="3575" width="12.5703125" style="1068" customWidth="1"/>
    <col min="3576" max="3576" width="1.5703125" style="1068" customWidth="1"/>
    <col min="3577" max="3577" width="20.5703125" style="1068" customWidth="1"/>
    <col min="3578" max="3578" width="2.5703125" style="1068" customWidth="1"/>
    <col min="3579" max="3579" width="10.5703125" style="1068" customWidth="1"/>
    <col min="3580" max="3580" width="1.5703125" style="1068" customWidth="1"/>
    <col min="3581" max="3581" width="10.5703125" style="1068" customWidth="1"/>
    <col min="3582" max="3582" width="1.5703125" style="1068" customWidth="1"/>
    <col min="3583" max="3583" width="12.5703125" style="1068" customWidth="1"/>
    <col min="3584" max="3584" width="1.5703125" style="1068" customWidth="1"/>
    <col min="3585" max="3585" width="22.5703125" style="1068" customWidth="1"/>
    <col min="3586" max="3586" width="4.5703125" style="1068" customWidth="1"/>
    <col min="3587" max="3600" width="0" style="1068" hidden="1" customWidth="1"/>
    <col min="3601" max="3825" width="9.140625" style="1068" bestFit="1"/>
    <col min="3826" max="3826" width="0" style="1068" hidden="1" customWidth="1"/>
    <col min="3827" max="3827" width="11.42578125" style="1068" customWidth="1"/>
    <col min="3828" max="3828" width="1.5703125" style="1068" customWidth="1"/>
    <col min="3829" max="3829" width="7.42578125" style="1068" bestFit="1" customWidth="1"/>
    <col min="3830" max="3830" width="1.5703125" style="1068" customWidth="1"/>
    <col min="3831" max="3831" width="12.5703125" style="1068" customWidth="1"/>
    <col min="3832" max="3832" width="1.5703125" style="1068" customWidth="1"/>
    <col min="3833" max="3833" width="20.5703125" style="1068" customWidth="1"/>
    <col min="3834" max="3834" width="2.5703125" style="1068" customWidth="1"/>
    <col min="3835" max="3835" width="10.5703125" style="1068" customWidth="1"/>
    <col min="3836" max="3836" width="1.5703125" style="1068" customWidth="1"/>
    <col min="3837" max="3837" width="10.5703125" style="1068" customWidth="1"/>
    <col min="3838" max="3838" width="1.5703125" style="1068" customWidth="1"/>
    <col min="3839" max="3839" width="12.5703125" style="1068" customWidth="1"/>
    <col min="3840" max="3840" width="1.5703125" style="1068" customWidth="1"/>
    <col min="3841" max="3841" width="22.5703125" style="1068" customWidth="1"/>
    <col min="3842" max="3842" width="4.5703125" style="1068" customWidth="1"/>
    <col min="3843" max="3856" width="0" style="1068" hidden="1" customWidth="1"/>
    <col min="3857" max="4081" width="9.140625" style="1068" bestFit="1"/>
    <col min="4082" max="4082" width="0" style="1068" hidden="1" customWidth="1"/>
    <col min="4083" max="4083" width="11.42578125" style="1068" customWidth="1"/>
    <col min="4084" max="4084" width="1.5703125" style="1068" customWidth="1"/>
    <col min="4085" max="4085" width="7.42578125" style="1068" bestFit="1" customWidth="1"/>
    <col min="4086" max="4086" width="1.5703125" style="1068" customWidth="1"/>
    <col min="4087" max="4087" width="12.5703125" style="1068" customWidth="1"/>
    <col min="4088" max="4088" width="1.5703125" style="1068" customWidth="1"/>
    <col min="4089" max="4089" width="20.5703125" style="1068" customWidth="1"/>
    <col min="4090" max="4090" width="2.5703125" style="1068" customWidth="1"/>
    <col min="4091" max="4091" width="10.5703125" style="1068" customWidth="1"/>
    <col min="4092" max="4092" width="1.5703125" style="1068" customWidth="1"/>
    <col min="4093" max="4093" width="10.5703125" style="1068" customWidth="1"/>
    <col min="4094" max="4094" width="1.5703125" style="1068" customWidth="1"/>
    <col min="4095" max="4095" width="12.5703125" style="1068" customWidth="1"/>
    <col min="4096" max="4096" width="1.5703125" style="1068" customWidth="1"/>
    <col min="4097" max="4097" width="22.5703125" style="1068" customWidth="1"/>
    <col min="4098" max="4098" width="4.5703125" style="1068" customWidth="1"/>
    <col min="4099" max="4112" width="0" style="1068" hidden="1" customWidth="1"/>
    <col min="4113" max="4337" width="9.140625" style="1068" bestFit="1"/>
    <col min="4338" max="4338" width="0" style="1068" hidden="1" customWidth="1"/>
    <col min="4339" max="4339" width="11.42578125" style="1068" customWidth="1"/>
    <col min="4340" max="4340" width="1.5703125" style="1068" customWidth="1"/>
    <col min="4341" max="4341" width="7.42578125" style="1068" bestFit="1" customWidth="1"/>
    <col min="4342" max="4342" width="1.5703125" style="1068" customWidth="1"/>
    <col min="4343" max="4343" width="12.5703125" style="1068" customWidth="1"/>
    <col min="4344" max="4344" width="1.5703125" style="1068" customWidth="1"/>
    <col min="4345" max="4345" width="20.5703125" style="1068" customWidth="1"/>
    <col min="4346" max="4346" width="2.5703125" style="1068" customWidth="1"/>
    <col min="4347" max="4347" width="10.5703125" style="1068" customWidth="1"/>
    <col min="4348" max="4348" width="1.5703125" style="1068" customWidth="1"/>
    <col min="4349" max="4349" width="10.5703125" style="1068" customWidth="1"/>
    <col min="4350" max="4350" width="1.5703125" style="1068" customWidth="1"/>
    <col min="4351" max="4351" width="12.5703125" style="1068" customWidth="1"/>
    <col min="4352" max="4352" width="1.5703125" style="1068" customWidth="1"/>
    <col min="4353" max="4353" width="22.5703125" style="1068" customWidth="1"/>
    <col min="4354" max="4354" width="4.5703125" style="1068" customWidth="1"/>
    <col min="4355" max="4368" width="0" style="1068" hidden="1" customWidth="1"/>
    <col min="4369" max="4593" width="9.140625" style="1068" bestFit="1"/>
    <col min="4594" max="4594" width="0" style="1068" hidden="1" customWidth="1"/>
    <col min="4595" max="4595" width="11.42578125" style="1068" customWidth="1"/>
    <col min="4596" max="4596" width="1.5703125" style="1068" customWidth="1"/>
    <col min="4597" max="4597" width="7.42578125" style="1068" bestFit="1" customWidth="1"/>
    <col min="4598" max="4598" width="1.5703125" style="1068" customWidth="1"/>
    <col min="4599" max="4599" width="12.5703125" style="1068" customWidth="1"/>
    <col min="4600" max="4600" width="1.5703125" style="1068" customWidth="1"/>
    <col min="4601" max="4601" width="20.5703125" style="1068" customWidth="1"/>
    <col min="4602" max="4602" width="2.5703125" style="1068" customWidth="1"/>
    <col min="4603" max="4603" width="10.5703125" style="1068" customWidth="1"/>
    <col min="4604" max="4604" width="1.5703125" style="1068" customWidth="1"/>
    <col min="4605" max="4605" width="10.5703125" style="1068" customWidth="1"/>
    <col min="4606" max="4606" width="1.5703125" style="1068" customWidth="1"/>
    <col min="4607" max="4607" width="12.5703125" style="1068" customWidth="1"/>
    <col min="4608" max="4608" width="1.5703125" style="1068" customWidth="1"/>
    <col min="4609" max="4609" width="22.5703125" style="1068" customWidth="1"/>
    <col min="4610" max="4610" width="4.5703125" style="1068" customWidth="1"/>
    <col min="4611" max="4624" width="0" style="1068" hidden="1" customWidth="1"/>
    <col min="4625" max="4849" width="9.140625" style="1068" bestFit="1"/>
    <col min="4850" max="4850" width="0" style="1068" hidden="1" customWidth="1"/>
    <col min="4851" max="4851" width="11.42578125" style="1068" customWidth="1"/>
    <col min="4852" max="4852" width="1.5703125" style="1068" customWidth="1"/>
    <col min="4853" max="4853" width="7.42578125" style="1068" bestFit="1" customWidth="1"/>
    <col min="4854" max="4854" width="1.5703125" style="1068" customWidth="1"/>
    <col min="4855" max="4855" width="12.5703125" style="1068" customWidth="1"/>
    <col min="4856" max="4856" width="1.5703125" style="1068" customWidth="1"/>
    <col min="4857" max="4857" width="20.5703125" style="1068" customWidth="1"/>
    <col min="4858" max="4858" width="2.5703125" style="1068" customWidth="1"/>
    <col min="4859" max="4859" width="10.5703125" style="1068" customWidth="1"/>
    <col min="4860" max="4860" width="1.5703125" style="1068" customWidth="1"/>
    <col min="4861" max="4861" width="10.5703125" style="1068" customWidth="1"/>
    <col min="4862" max="4862" width="1.5703125" style="1068" customWidth="1"/>
    <col min="4863" max="4863" width="12.5703125" style="1068" customWidth="1"/>
    <col min="4864" max="4864" width="1.5703125" style="1068" customWidth="1"/>
    <col min="4865" max="4865" width="22.5703125" style="1068" customWidth="1"/>
    <col min="4866" max="4866" width="4.5703125" style="1068" customWidth="1"/>
    <col min="4867" max="4880" width="0" style="1068" hidden="1" customWidth="1"/>
    <col min="4881" max="5105" width="9.140625" style="1068" bestFit="1"/>
    <col min="5106" max="5106" width="0" style="1068" hidden="1" customWidth="1"/>
    <col min="5107" max="5107" width="11.42578125" style="1068" customWidth="1"/>
    <col min="5108" max="5108" width="1.5703125" style="1068" customWidth="1"/>
    <col min="5109" max="5109" width="7.42578125" style="1068" bestFit="1" customWidth="1"/>
    <col min="5110" max="5110" width="1.5703125" style="1068" customWidth="1"/>
    <col min="5111" max="5111" width="12.5703125" style="1068" customWidth="1"/>
    <col min="5112" max="5112" width="1.5703125" style="1068" customWidth="1"/>
    <col min="5113" max="5113" width="20.5703125" style="1068" customWidth="1"/>
    <col min="5114" max="5114" width="2.5703125" style="1068" customWidth="1"/>
    <col min="5115" max="5115" width="10.5703125" style="1068" customWidth="1"/>
    <col min="5116" max="5116" width="1.5703125" style="1068" customWidth="1"/>
    <col min="5117" max="5117" width="10.5703125" style="1068" customWidth="1"/>
    <col min="5118" max="5118" width="1.5703125" style="1068" customWidth="1"/>
    <col min="5119" max="5119" width="12.5703125" style="1068" customWidth="1"/>
    <col min="5120" max="5120" width="1.5703125" style="1068" customWidth="1"/>
    <col min="5121" max="5121" width="22.5703125" style="1068" customWidth="1"/>
    <col min="5122" max="5122" width="4.5703125" style="1068" customWidth="1"/>
    <col min="5123" max="5136" width="0" style="1068" hidden="1" customWidth="1"/>
    <col min="5137" max="5361" width="9.140625" style="1068" bestFit="1"/>
    <col min="5362" max="5362" width="0" style="1068" hidden="1" customWidth="1"/>
    <col min="5363" max="5363" width="11.42578125" style="1068" customWidth="1"/>
    <col min="5364" max="5364" width="1.5703125" style="1068" customWidth="1"/>
    <col min="5365" max="5365" width="7.42578125" style="1068" bestFit="1" customWidth="1"/>
    <col min="5366" max="5366" width="1.5703125" style="1068" customWidth="1"/>
    <col min="5367" max="5367" width="12.5703125" style="1068" customWidth="1"/>
    <col min="5368" max="5368" width="1.5703125" style="1068" customWidth="1"/>
    <col min="5369" max="5369" width="20.5703125" style="1068" customWidth="1"/>
    <col min="5370" max="5370" width="2.5703125" style="1068" customWidth="1"/>
    <col min="5371" max="5371" width="10.5703125" style="1068" customWidth="1"/>
    <col min="5372" max="5372" width="1.5703125" style="1068" customWidth="1"/>
    <col min="5373" max="5373" width="10.5703125" style="1068" customWidth="1"/>
    <col min="5374" max="5374" width="1.5703125" style="1068" customWidth="1"/>
    <col min="5375" max="5375" width="12.5703125" style="1068" customWidth="1"/>
    <col min="5376" max="5376" width="1.5703125" style="1068" customWidth="1"/>
    <col min="5377" max="5377" width="22.5703125" style="1068" customWidth="1"/>
    <col min="5378" max="5378" width="4.5703125" style="1068" customWidth="1"/>
    <col min="5379" max="5392" width="0" style="1068" hidden="1" customWidth="1"/>
    <col min="5393" max="5617" width="9.140625" style="1068" bestFit="1"/>
    <col min="5618" max="5618" width="0" style="1068" hidden="1" customWidth="1"/>
    <col min="5619" max="5619" width="11.42578125" style="1068" customWidth="1"/>
    <col min="5620" max="5620" width="1.5703125" style="1068" customWidth="1"/>
    <col min="5621" max="5621" width="7.42578125" style="1068" bestFit="1" customWidth="1"/>
    <col min="5622" max="5622" width="1.5703125" style="1068" customWidth="1"/>
    <col min="5623" max="5623" width="12.5703125" style="1068" customWidth="1"/>
    <col min="5624" max="5624" width="1.5703125" style="1068" customWidth="1"/>
    <col min="5625" max="5625" width="20.5703125" style="1068" customWidth="1"/>
    <col min="5626" max="5626" width="2.5703125" style="1068" customWidth="1"/>
    <col min="5627" max="5627" width="10.5703125" style="1068" customWidth="1"/>
    <col min="5628" max="5628" width="1.5703125" style="1068" customWidth="1"/>
    <col min="5629" max="5629" width="10.5703125" style="1068" customWidth="1"/>
    <col min="5630" max="5630" width="1.5703125" style="1068" customWidth="1"/>
    <col min="5631" max="5631" width="12.5703125" style="1068" customWidth="1"/>
    <col min="5632" max="5632" width="1.5703125" style="1068" customWidth="1"/>
    <col min="5633" max="5633" width="22.5703125" style="1068" customWidth="1"/>
    <col min="5634" max="5634" width="4.5703125" style="1068" customWidth="1"/>
    <col min="5635" max="5648" width="0" style="1068" hidden="1" customWidth="1"/>
    <col min="5649" max="5873" width="9.140625" style="1068" bestFit="1"/>
    <col min="5874" max="5874" width="0" style="1068" hidden="1" customWidth="1"/>
    <col min="5875" max="5875" width="11.42578125" style="1068" customWidth="1"/>
    <col min="5876" max="5876" width="1.5703125" style="1068" customWidth="1"/>
    <col min="5877" max="5877" width="7.42578125" style="1068" bestFit="1" customWidth="1"/>
    <col min="5878" max="5878" width="1.5703125" style="1068" customWidth="1"/>
    <col min="5879" max="5879" width="12.5703125" style="1068" customWidth="1"/>
    <col min="5880" max="5880" width="1.5703125" style="1068" customWidth="1"/>
    <col min="5881" max="5881" width="20.5703125" style="1068" customWidth="1"/>
    <col min="5882" max="5882" width="2.5703125" style="1068" customWidth="1"/>
    <col min="5883" max="5883" width="10.5703125" style="1068" customWidth="1"/>
    <col min="5884" max="5884" width="1.5703125" style="1068" customWidth="1"/>
    <col min="5885" max="5885" width="10.5703125" style="1068" customWidth="1"/>
    <col min="5886" max="5886" width="1.5703125" style="1068" customWidth="1"/>
    <col min="5887" max="5887" width="12.5703125" style="1068" customWidth="1"/>
    <col min="5888" max="5888" width="1.5703125" style="1068" customWidth="1"/>
    <col min="5889" max="5889" width="22.5703125" style="1068" customWidth="1"/>
    <col min="5890" max="5890" width="4.5703125" style="1068" customWidth="1"/>
    <col min="5891" max="5904" width="0" style="1068" hidden="1" customWidth="1"/>
    <col min="5905" max="6129" width="9.140625" style="1068" bestFit="1"/>
    <col min="6130" max="6130" width="0" style="1068" hidden="1" customWidth="1"/>
    <col min="6131" max="6131" width="11.42578125" style="1068" customWidth="1"/>
    <col min="6132" max="6132" width="1.5703125" style="1068" customWidth="1"/>
    <col min="6133" max="6133" width="7.42578125" style="1068" bestFit="1" customWidth="1"/>
    <col min="6134" max="6134" width="1.5703125" style="1068" customWidth="1"/>
    <col min="6135" max="6135" width="12.5703125" style="1068" customWidth="1"/>
    <col min="6136" max="6136" width="1.5703125" style="1068" customWidth="1"/>
    <col min="6137" max="6137" width="20.5703125" style="1068" customWidth="1"/>
    <col min="6138" max="6138" width="2.5703125" style="1068" customWidth="1"/>
    <col min="6139" max="6139" width="10.5703125" style="1068" customWidth="1"/>
    <col min="6140" max="6140" width="1.5703125" style="1068" customWidth="1"/>
    <col min="6141" max="6141" width="10.5703125" style="1068" customWidth="1"/>
    <col min="6142" max="6142" width="1.5703125" style="1068" customWidth="1"/>
    <col min="6143" max="6143" width="12.5703125" style="1068" customWidth="1"/>
    <col min="6144" max="6144" width="1.5703125" style="1068" customWidth="1"/>
    <col min="6145" max="6145" width="22.5703125" style="1068" customWidth="1"/>
    <col min="6146" max="6146" width="4.5703125" style="1068" customWidth="1"/>
    <col min="6147" max="6160" width="0" style="1068" hidden="1" customWidth="1"/>
    <col min="6161" max="6385" width="9.140625" style="1068" bestFit="1"/>
    <col min="6386" max="6386" width="0" style="1068" hidden="1" customWidth="1"/>
    <col min="6387" max="6387" width="11.42578125" style="1068" customWidth="1"/>
    <col min="6388" max="6388" width="1.5703125" style="1068" customWidth="1"/>
    <col min="6389" max="6389" width="7.42578125" style="1068" bestFit="1" customWidth="1"/>
    <col min="6390" max="6390" width="1.5703125" style="1068" customWidth="1"/>
    <col min="6391" max="6391" width="12.5703125" style="1068" customWidth="1"/>
    <col min="6392" max="6392" width="1.5703125" style="1068" customWidth="1"/>
    <col min="6393" max="6393" width="20.5703125" style="1068" customWidth="1"/>
    <col min="6394" max="6394" width="2.5703125" style="1068" customWidth="1"/>
    <col min="6395" max="6395" width="10.5703125" style="1068" customWidth="1"/>
    <col min="6396" max="6396" width="1.5703125" style="1068" customWidth="1"/>
    <col min="6397" max="6397" width="10.5703125" style="1068" customWidth="1"/>
    <col min="6398" max="6398" width="1.5703125" style="1068" customWidth="1"/>
    <col min="6399" max="6399" width="12.5703125" style="1068" customWidth="1"/>
    <col min="6400" max="6400" width="1.5703125" style="1068" customWidth="1"/>
    <col min="6401" max="6401" width="22.5703125" style="1068" customWidth="1"/>
    <col min="6402" max="6402" width="4.5703125" style="1068" customWidth="1"/>
    <col min="6403" max="6416" width="0" style="1068" hidden="1" customWidth="1"/>
    <col min="6417" max="6641" width="9.140625" style="1068" bestFit="1"/>
    <col min="6642" max="6642" width="0" style="1068" hidden="1" customWidth="1"/>
    <col min="6643" max="6643" width="11.42578125" style="1068" customWidth="1"/>
    <col min="6644" max="6644" width="1.5703125" style="1068" customWidth="1"/>
    <col min="6645" max="6645" width="7.42578125" style="1068" bestFit="1" customWidth="1"/>
    <col min="6646" max="6646" width="1.5703125" style="1068" customWidth="1"/>
    <col min="6647" max="6647" width="12.5703125" style="1068" customWidth="1"/>
    <col min="6648" max="6648" width="1.5703125" style="1068" customWidth="1"/>
    <col min="6649" max="6649" width="20.5703125" style="1068" customWidth="1"/>
    <col min="6650" max="6650" width="2.5703125" style="1068" customWidth="1"/>
    <col min="6651" max="6651" width="10.5703125" style="1068" customWidth="1"/>
    <col min="6652" max="6652" width="1.5703125" style="1068" customWidth="1"/>
    <col min="6653" max="6653" width="10.5703125" style="1068" customWidth="1"/>
    <col min="6654" max="6654" width="1.5703125" style="1068" customWidth="1"/>
    <col min="6655" max="6655" width="12.5703125" style="1068" customWidth="1"/>
    <col min="6656" max="6656" width="1.5703125" style="1068" customWidth="1"/>
    <col min="6657" max="6657" width="22.5703125" style="1068" customWidth="1"/>
    <col min="6658" max="6658" width="4.5703125" style="1068" customWidth="1"/>
    <col min="6659" max="6672" width="0" style="1068" hidden="1" customWidth="1"/>
    <col min="6673" max="6897" width="9.140625" style="1068" bestFit="1"/>
    <col min="6898" max="6898" width="0" style="1068" hidden="1" customWidth="1"/>
    <col min="6899" max="6899" width="11.42578125" style="1068" customWidth="1"/>
    <col min="6900" max="6900" width="1.5703125" style="1068" customWidth="1"/>
    <col min="6901" max="6901" width="7.42578125" style="1068" bestFit="1" customWidth="1"/>
    <col min="6902" max="6902" width="1.5703125" style="1068" customWidth="1"/>
    <col min="6903" max="6903" width="12.5703125" style="1068" customWidth="1"/>
    <col min="6904" max="6904" width="1.5703125" style="1068" customWidth="1"/>
    <col min="6905" max="6905" width="20.5703125" style="1068" customWidth="1"/>
    <col min="6906" max="6906" width="2.5703125" style="1068" customWidth="1"/>
    <col min="6907" max="6907" width="10.5703125" style="1068" customWidth="1"/>
    <col min="6908" max="6908" width="1.5703125" style="1068" customWidth="1"/>
    <col min="6909" max="6909" width="10.5703125" style="1068" customWidth="1"/>
    <col min="6910" max="6910" width="1.5703125" style="1068" customWidth="1"/>
    <col min="6911" max="6911" width="12.5703125" style="1068" customWidth="1"/>
    <col min="6912" max="6912" width="1.5703125" style="1068" customWidth="1"/>
    <col min="6913" max="6913" width="22.5703125" style="1068" customWidth="1"/>
    <col min="6914" max="6914" width="4.5703125" style="1068" customWidth="1"/>
    <col min="6915" max="6928" width="0" style="1068" hidden="1" customWidth="1"/>
    <col min="6929" max="7153" width="9.140625" style="1068" bestFit="1"/>
    <col min="7154" max="7154" width="0" style="1068" hidden="1" customWidth="1"/>
    <col min="7155" max="7155" width="11.42578125" style="1068" customWidth="1"/>
    <col min="7156" max="7156" width="1.5703125" style="1068" customWidth="1"/>
    <col min="7157" max="7157" width="7.42578125" style="1068" bestFit="1" customWidth="1"/>
    <col min="7158" max="7158" width="1.5703125" style="1068" customWidth="1"/>
    <col min="7159" max="7159" width="12.5703125" style="1068" customWidth="1"/>
    <col min="7160" max="7160" width="1.5703125" style="1068" customWidth="1"/>
    <col min="7161" max="7161" width="20.5703125" style="1068" customWidth="1"/>
    <col min="7162" max="7162" width="2.5703125" style="1068" customWidth="1"/>
    <col min="7163" max="7163" width="10.5703125" style="1068" customWidth="1"/>
    <col min="7164" max="7164" width="1.5703125" style="1068" customWidth="1"/>
    <col min="7165" max="7165" width="10.5703125" style="1068" customWidth="1"/>
    <col min="7166" max="7166" width="1.5703125" style="1068" customWidth="1"/>
    <col min="7167" max="7167" width="12.5703125" style="1068" customWidth="1"/>
    <col min="7168" max="7168" width="1.5703125" style="1068" customWidth="1"/>
    <col min="7169" max="7169" width="22.5703125" style="1068" customWidth="1"/>
    <col min="7170" max="7170" width="4.5703125" style="1068" customWidth="1"/>
    <col min="7171" max="7184" width="0" style="1068" hidden="1" customWidth="1"/>
    <col min="7185" max="7409" width="9.140625" style="1068" bestFit="1"/>
    <col min="7410" max="7410" width="0" style="1068" hidden="1" customWidth="1"/>
    <col min="7411" max="7411" width="11.42578125" style="1068" customWidth="1"/>
    <col min="7412" max="7412" width="1.5703125" style="1068" customWidth="1"/>
    <col min="7413" max="7413" width="7.42578125" style="1068" bestFit="1" customWidth="1"/>
    <col min="7414" max="7414" width="1.5703125" style="1068" customWidth="1"/>
    <col min="7415" max="7415" width="12.5703125" style="1068" customWidth="1"/>
    <col min="7416" max="7416" width="1.5703125" style="1068" customWidth="1"/>
    <col min="7417" max="7417" width="20.5703125" style="1068" customWidth="1"/>
    <col min="7418" max="7418" width="2.5703125" style="1068" customWidth="1"/>
    <col min="7419" max="7419" width="10.5703125" style="1068" customWidth="1"/>
    <col min="7420" max="7420" width="1.5703125" style="1068" customWidth="1"/>
    <col min="7421" max="7421" width="10.5703125" style="1068" customWidth="1"/>
    <col min="7422" max="7422" width="1.5703125" style="1068" customWidth="1"/>
    <col min="7423" max="7423" width="12.5703125" style="1068" customWidth="1"/>
    <col min="7424" max="7424" width="1.5703125" style="1068" customWidth="1"/>
    <col min="7425" max="7425" width="22.5703125" style="1068" customWidth="1"/>
    <col min="7426" max="7426" width="4.5703125" style="1068" customWidth="1"/>
    <col min="7427" max="7440" width="0" style="1068" hidden="1" customWidth="1"/>
    <col min="7441" max="7665" width="9.140625" style="1068" bestFit="1"/>
    <col min="7666" max="7666" width="0" style="1068" hidden="1" customWidth="1"/>
    <col min="7667" max="7667" width="11.42578125" style="1068" customWidth="1"/>
    <col min="7668" max="7668" width="1.5703125" style="1068" customWidth="1"/>
    <col min="7669" max="7669" width="7.42578125" style="1068" bestFit="1" customWidth="1"/>
    <col min="7670" max="7670" width="1.5703125" style="1068" customWidth="1"/>
    <col min="7671" max="7671" width="12.5703125" style="1068" customWidth="1"/>
    <col min="7672" max="7672" width="1.5703125" style="1068" customWidth="1"/>
    <col min="7673" max="7673" width="20.5703125" style="1068" customWidth="1"/>
    <col min="7674" max="7674" width="2.5703125" style="1068" customWidth="1"/>
    <col min="7675" max="7675" width="10.5703125" style="1068" customWidth="1"/>
    <col min="7676" max="7676" width="1.5703125" style="1068" customWidth="1"/>
    <col min="7677" max="7677" width="10.5703125" style="1068" customWidth="1"/>
    <col min="7678" max="7678" width="1.5703125" style="1068" customWidth="1"/>
    <col min="7679" max="7679" width="12.5703125" style="1068" customWidth="1"/>
    <col min="7680" max="7680" width="1.5703125" style="1068" customWidth="1"/>
    <col min="7681" max="7681" width="22.5703125" style="1068" customWidth="1"/>
    <col min="7682" max="7682" width="4.5703125" style="1068" customWidth="1"/>
    <col min="7683" max="7696" width="0" style="1068" hidden="1" customWidth="1"/>
    <col min="7697" max="7921" width="9.140625" style="1068" bestFit="1"/>
    <col min="7922" max="7922" width="0" style="1068" hidden="1" customWidth="1"/>
    <col min="7923" max="7923" width="11.42578125" style="1068" customWidth="1"/>
    <col min="7924" max="7924" width="1.5703125" style="1068" customWidth="1"/>
    <col min="7925" max="7925" width="7.42578125" style="1068" bestFit="1" customWidth="1"/>
    <col min="7926" max="7926" width="1.5703125" style="1068" customWidth="1"/>
    <col min="7927" max="7927" width="12.5703125" style="1068" customWidth="1"/>
    <col min="7928" max="7928" width="1.5703125" style="1068" customWidth="1"/>
    <col min="7929" max="7929" width="20.5703125" style="1068" customWidth="1"/>
    <col min="7930" max="7930" width="2.5703125" style="1068" customWidth="1"/>
    <col min="7931" max="7931" width="10.5703125" style="1068" customWidth="1"/>
    <col min="7932" max="7932" width="1.5703125" style="1068" customWidth="1"/>
    <col min="7933" max="7933" width="10.5703125" style="1068" customWidth="1"/>
    <col min="7934" max="7934" width="1.5703125" style="1068" customWidth="1"/>
    <col min="7935" max="7935" width="12.5703125" style="1068" customWidth="1"/>
    <col min="7936" max="7936" width="1.5703125" style="1068" customWidth="1"/>
    <col min="7937" max="7937" width="22.5703125" style="1068" customWidth="1"/>
    <col min="7938" max="7938" width="4.5703125" style="1068" customWidth="1"/>
    <col min="7939" max="7952" width="0" style="1068" hidden="1" customWidth="1"/>
    <col min="7953" max="8177" width="9.140625" style="1068" bestFit="1"/>
    <col min="8178" max="8178" width="0" style="1068" hidden="1" customWidth="1"/>
    <col min="8179" max="8179" width="11.42578125" style="1068" customWidth="1"/>
    <col min="8180" max="8180" width="1.5703125" style="1068" customWidth="1"/>
    <col min="8181" max="8181" width="7.42578125" style="1068" bestFit="1" customWidth="1"/>
    <col min="8182" max="8182" width="1.5703125" style="1068" customWidth="1"/>
    <col min="8183" max="8183" width="12.5703125" style="1068" customWidth="1"/>
    <col min="8184" max="8184" width="1.5703125" style="1068" customWidth="1"/>
    <col min="8185" max="8185" width="20.5703125" style="1068" customWidth="1"/>
    <col min="8186" max="8186" width="2.5703125" style="1068" customWidth="1"/>
    <col min="8187" max="8187" width="10.5703125" style="1068" customWidth="1"/>
    <col min="8188" max="8188" width="1.5703125" style="1068" customWidth="1"/>
    <col min="8189" max="8189" width="10.5703125" style="1068" customWidth="1"/>
    <col min="8190" max="8190" width="1.5703125" style="1068" customWidth="1"/>
    <col min="8191" max="8191" width="12.5703125" style="1068" customWidth="1"/>
    <col min="8192" max="8192" width="1.5703125" style="1068" customWidth="1"/>
    <col min="8193" max="8193" width="22.5703125" style="1068" customWidth="1"/>
    <col min="8194" max="8194" width="4.5703125" style="1068" customWidth="1"/>
    <col min="8195" max="8208" width="0" style="1068" hidden="1" customWidth="1"/>
    <col min="8209" max="8433" width="9.140625" style="1068" bestFit="1"/>
    <col min="8434" max="8434" width="0" style="1068" hidden="1" customWidth="1"/>
    <col min="8435" max="8435" width="11.42578125" style="1068" customWidth="1"/>
    <col min="8436" max="8436" width="1.5703125" style="1068" customWidth="1"/>
    <col min="8437" max="8437" width="7.42578125" style="1068" bestFit="1" customWidth="1"/>
    <col min="8438" max="8438" width="1.5703125" style="1068" customWidth="1"/>
    <col min="8439" max="8439" width="12.5703125" style="1068" customWidth="1"/>
    <col min="8440" max="8440" width="1.5703125" style="1068" customWidth="1"/>
    <col min="8441" max="8441" width="20.5703125" style="1068" customWidth="1"/>
    <col min="8442" max="8442" width="2.5703125" style="1068" customWidth="1"/>
    <col min="8443" max="8443" width="10.5703125" style="1068" customWidth="1"/>
    <col min="8444" max="8444" width="1.5703125" style="1068" customWidth="1"/>
    <col min="8445" max="8445" width="10.5703125" style="1068" customWidth="1"/>
    <col min="8446" max="8446" width="1.5703125" style="1068" customWidth="1"/>
    <col min="8447" max="8447" width="12.5703125" style="1068" customWidth="1"/>
    <col min="8448" max="8448" width="1.5703125" style="1068" customWidth="1"/>
    <col min="8449" max="8449" width="22.5703125" style="1068" customWidth="1"/>
    <col min="8450" max="8450" width="4.5703125" style="1068" customWidth="1"/>
    <col min="8451" max="8464" width="0" style="1068" hidden="1" customWidth="1"/>
    <col min="8465" max="8689" width="9.140625" style="1068" bestFit="1"/>
    <col min="8690" max="8690" width="0" style="1068" hidden="1" customWidth="1"/>
    <col min="8691" max="8691" width="11.42578125" style="1068" customWidth="1"/>
    <col min="8692" max="8692" width="1.5703125" style="1068" customWidth="1"/>
    <col min="8693" max="8693" width="7.42578125" style="1068" bestFit="1" customWidth="1"/>
    <col min="8694" max="8694" width="1.5703125" style="1068" customWidth="1"/>
    <col min="8695" max="8695" width="12.5703125" style="1068" customWidth="1"/>
    <col min="8696" max="8696" width="1.5703125" style="1068" customWidth="1"/>
    <col min="8697" max="8697" width="20.5703125" style="1068" customWidth="1"/>
    <col min="8698" max="8698" width="2.5703125" style="1068" customWidth="1"/>
    <col min="8699" max="8699" width="10.5703125" style="1068" customWidth="1"/>
    <col min="8700" max="8700" width="1.5703125" style="1068" customWidth="1"/>
    <col min="8701" max="8701" width="10.5703125" style="1068" customWidth="1"/>
    <col min="8702" max="8702" width="1.5703125" style="1068" customWidth="1"/>
    <col min="8703" max="8703" width="12.5703125" style="1068" customWidth="1"/>
    <col min="8704" max="8704" width="1.5703125" style="1068" customWidth="1"/>
    <col min="8705" max="8705" width="22.5703125" style="1068" customWidth="1"/>
    <col min="8706" max="8706" width="4.5703125" style="1068" customWidth="1"/>
    <col min="8707" max="8720" width="0" style="1068" hidden="1" customWidth="1"/>
    <col min="8721" max="8945" width="9.140625" style="1068" bestFit="1"/>
    <col min="8946" max="8946" width="0" style="1068" hidden="1" customWidth="1"/>
    <col min="8947" max="8947" width="11.42578125" style="1068" customWidth="1"/>
    <col min="8948" max="8948" width="1.5703125" style="1068" customWidth="1"/>
    <col min="8949" max="8949" width="7.42578125" style="1068" bestFit="1" customWidth="1"/>
    <col min="8950" max="8950" width="1.5703125" style="1068" customWidth="1"/>
    <col min="8951" max="8951" width="12.5703125" style="1068" customWidth="1"/>
    <col min="8952" max="8952" width="1.5703125" style="1068" customWidth="1"/>
    <col min="8953" max="8953" width="20.5703125" style="1068" customWidth="1"/>
    <col min="8954" max="8954" width="2.5703125" style="1068" customWidth="1"/>
    <col min="8955" max="8955" width="10.5703125" style="1068" customWidth="1"/>
    <col min="8956" max="8956" width="1.5703125" style="1068" customWidth="1"/>
    <col min="8957" max="8957" width="10.5703125" style="1068" customWidth="1"/>
    <col min="8958" max="8958" width="1.5703125" style="1068" customWidth="1"/>
    <col min="8959" max="8959" width="12.5703125" style="1068" customWidth="1"/>
    <col min="8960" max="8960" width="1.5703125" style="1068" customWidth="1"/>
    <col min="8961" max="8961" width="22.5703125" style="1068" customWidth="1"/>
    <col min="8962" max="8962" width="4.5703125" style="1068" customWidth="1"/>
    <col min="8963" max="8976" width="0" style="1068" hidden="1" customWidth="1"/>
    <col min="8977" max="9201" width="9.140625" style="1068" bestFit="1"/>
    <col min="9202" max="9202" width="0" style="1068" hidden="1" customWidth="1"/>
    <col min="9203" max="9203" width="11.42578125" style="1068" customWidth="1"/>
    <col min="9204" max="9204" width="1.5703125" style="1068" customWidth="1"/>
    <col min="9205" max="9205" width="7.42578125" style="1068" bestFit="1" customWidth="1"/>
    <col min="9206" max="9206" width="1.5703125" style="1068" customWidth="1"/>
    <col min="9207" max="9207" width="12.5703125" style="1068" customWidth="1"/>
    <col min="9208" max="9208" width="1.5703125" style="1068" customWidth="1"/>
    <col min="9209" max="9209" width="20.5703125" style="1068" customWidth="1"/>
    <col min="9210" max="9210" width="2.5703125" style="1068" customWidth="1"/>
    <col min="9211" max="9211" width="10.5703125" style="1068" customWidth="1"/>
    <col min="9212" max="9212" width="1.5703125" style="1068" customWidth="1"/>
    <col min="9213" max="9213" width="10.5703125" style="1068" customWidth="1"/>
    <col min="9214" max="9214" width="1.5703125" style="1068" customWidth="1"/>
    <col min="9215" max="9215" width="12.5703125" style="1068" customWidth="1"/>
    <col min="9216" max="9216" width="1.5703125" style="1068" customWidth="1"/>
    <col min="9217" max="9217" width="22.5703125" style="1068" customWidth="1"/>
    <col min="9218" max="9218" width="4.5703125" style="1068" customWidth="1"/>
    <col min="9219" max="9232" width="0" style="1068" hidden="1" customWidth="1"/>
    <col min="9233" max="9457" width="9.140625" style="1068" bestFit="1"/>
    <col min="9458" max="9458" width="0" style="1068" hidden="1" customWidth="1"/>
    <col min="9459" max="9459" width="11.42578125" style="1068" customWidth="1"/>
    <col min="9460" max="9460" width="1.5703125" style="1068" customWidth="1"/>
    <col min="9461" max="9461" width="7.42578125" style="1068" bestFit="1" customWidth="1"/>
    <col min="9462" max="9462" width="1.5703125" style="1068" customWidth="1"/>
    <col min="9463" max="9463" width="12.5703125" style="1068" customWidth="1"/>
    <col min="9464" max="9464" width="1.5703125" style="1068" customWidth="1"/>
    <col min="9465" max="9465" width="20.5703125" style="1068" customWidth="1"/>
    <col min="9466" max="9466" width="2.5703125" style="1068" customWidth="1"/>
    <col min="9467" max="9467" width="10.5703125" style="1068" customWidth="1"/>
    <col min="9468" max="9468" width="1.5703125" style="1068" customWidth="1"/>
    <col min="9469" max="9469" width="10.5703125" style="1068" customWidth="1"/>
    <col min="9470" max="9470" width="1.5703125" style="1068" customWidth="1"/>
    <col min="9471" max="9471" width="12.5703125" style="1068" customWidth="1"/>
    <col min="9472" max="9472" width="1.5703125" style="1068" customWidth="1"/>
    <col min="9473" max="9473" width="22.5703125" style="1068" customWidth="1"/>
    <col min="9474" max="9474" width="4.5703125" style="1068" customWidth="1"/>
    <col min="9475" max="9488" width="0" style="1068" hidden="1" customWidth="1"/>
    <col min="9489" max="9713" width="9.140625" style="1068" bestFit="1"/>
    <col min="9714" max="9714" width="0" style="1068" hidden="1" customWidth="1"/>
    <col min="9715" max="9715" width="11.42578125" style="1068" customWidth="1"/>
    <col min="9716" max="9716" width="1.5703125" style="1068" customWidth="1"/>
    <col min="9717" max="9717" width="7.42578125" style="1068" bestFit="1" customWidth="1"/>
    <col min="9718" max="9718" width="1.5703125" style="1068" customWidth="1"/>
    <col min="9719" max="9719" width="12.5703125" style="1068" customWidth="1"/>
    <col min="9720" max="9720" width="1.5703125" style="1068" customWidth="1"/>
    <col min="9721" max="9721" width="20.5703125" style="1068" customWidth="1"/>
    <col min="9722" max="9722" width="2.5703125" style="1068" customWidth="1"/>
    <col min="9723" max="9723" width="10.5703125" style="1068" customWidth="1"/>
    <col min="9724" max="9724" width="1.5703125" style="1068" customWidth="1"/>
    <col min="9725" max="9725" width="10.5703125" style="1068" customWidth="1"/>
    <col min="9726" max="9726" width="1.5703125" style="1068" customWidth="1"/>
    <col min="9727" max="9727" width="12.5703125" style="1068" customWidth="1"/>
    <col min="9728" max="9728" width="1.5703125" style="1068" customWidth="1"/>
    <col min="9729" max="9729" width="22.5703125" style="1068" customWidth="1"/>
    <col min="9730" max="9730" width="4.5703125" style="1068" customWidth="1"/>
    <col min="9731" max="9744" width="0" style="1068" hidden="1" customWidth="1"/>
    <col min="9745" max="9969" width="9.140625" style="1068" bestFit="1"/>
    <col min="9970" max="9970" width="0" style="1068" hidden="1" customWidth="1"/>
    <col min="9971" max="9971" width="11.42578125" style="1068" customWidth="1"/>
    <col min="9972" max="9972" width="1.5703125" style="1068" customWidth="1"/>
    <col min="9973" max="9973" width="7.42578125" style="1068" bestFit="1" customWidth="1"/>
    <col min="9974" max="9974" width="1.5703125" style="1068" customWidth="1"/>
    <col min="9975" max="9975" width="12.5703125" style="1068" customWidth="1"/>
    <col min="9976" max="9976" width="1.5703125" style="1068" customWidth="1"/>
    <col min="9977" max="9977" width="20.5703125" style="1068" customWidth="1"/>
    <col min="9978" max="9978" width="2.5703125" style="1068" customWidth="1"/>
    <col min="9979" max="9979" width="10.5703125" style="1068" customWidth="1"/>
    <col min="9980" max="9980" width="1.5703125" style="1068" customWidth="1"/>
    <col min="9981" max="9981" width="10.5703125" style="1068" customWidth="1"/>
    <col min="9982" max="9982" width="1.5703125" style="1068" customWidth="1"/>
    <col min="9983" max="9983" width="12.5703125" style="1068" customWidth="1"/>
    <col min="9984" max="9984" width="1.5703125" style="1068" customWidth="1"/>
    <col min="9985" max="9985" width="22.5703125" style="1068" customWidth="1"/>
    <col min="9986" max="9986" width="4.5703125" style="1068" customWidth="1"/>
    <col min="9987" max="10000" width="0" style="1068" hidden="1" customWidth="1"/>
    <col min="10001" max="10225" width="9.140625" style="1068" bestFit="1"/>
    <col min="10226" max="10226" width="0" style="1068" hidden="1" customWidth="1"/>
    <col min="10227" max="10227" width="11.42578125" style="1068" customWidth="1"/>
    <col min="10228" max="10228" width="1.5703125" style="1068" customWidth="1"/>
    <col min="10229" max="10229" width="7.42578125" style="1068" bestFit="1" customWidth="1"/>
    <col min="10230" max="10230" width="1.5703125" style="1068" customWidth="1"/>
    <col min="10231" max="10231" width="12.5703125" style="1068" customWidth="1"/>
    <col min="10232" max="10232" width="1.5703125" style="1068" customWidth="1"/>
    <col min="10233" max="10233" width="20.5703125" style="1068" customWidth="1"/>
    <col min="10234" max="10234" width="2.5703125" style="1068" customWidth="1"/>
    <col min="10235" max="10235" width="10.5703125" style="1068" customWidth="1"/>
    <col min="10236" max="10236" width="1.5703125" style="1068" customWidth="1"/>
    <col min="10237" max="10237" width="10.5703125" style="1068" customWidth="1"/>
    <col min="10238" max="10238" width="1.5703125" style="1068" customWidth="1"/>
    <col min="10239" max="10239" width="12.5703125" style="1068" customWidth="1"/>
    <col min="10240" max="10240" width="1.5703125" style="1068" customWidth="1"/>
    <col min="10241" max="10241" width="22.5703125" style="1068" customWidth="1"/>
    <col min="10242" max="10242" width="4.5703125" style="1068" customWidth="1"/>
    <col min="10243" max="10256" width="0" style="1068" hidden="1" customWidth="1"/>
    <col min="10257" max="10481" width="9.140625" style="1068" bestFit="1"/>
    <col min="10482" max="10482" width="0" style="1068" hidden="1" customWidth="1"/>
    <col min="10483" max="10483" width="11.42578125" style="1068" customWidth="1"/>
    <col min="10484" max="10484" width="1.5703125" style="1068" customWidth="1"/>
    <col min="10485" max="10485" width="7.42578125" style="1068" bestFit="1" customWidth="1"/>
    <col min="10486" max="10486" width="1.5703125" style="1068" customWidth="1"/>
    <col min="10487" max="10487" width="12.5703125" style="1068" customWidth="1"/>
    <col min="10488" max="10488" width="1.5703125" style="1068" customWidth="1"/>
    <col min="10489" max="10489" width="20.5703125" style="1068" customWidth="1"/>
    <col min="10490" max="10490" width="2.5703125" style="1068" customWidth="1"/>
    <col min="10491" max="10491" width="10.5703125" style="1068" customWidth="1"/>
    <col min="10492" max="10492" width="1.5703125" style="1068" customWidth="1"/>
    <col min="10493" max="10493" width="10.5703125" style="1068" customWidth="1"/>
    <col min="10494" max="10494" width="1.5703125" style="1068" customWidth="1"/>
    <col min="10495" max="10495" width="12.5703125" style="1068" customWidth="1"/>
    <col min="10496" max="10496" width="1.5703125" style="1068" customWidth="1"/>
    <col min="10497" max="10497" width="22.5703125" style="1068" customWidth="1"/>
    <col min="10498" max="10498" width="4.5703125" style="1068" customWidth="1"/>
    <col min="10499" max="10512" width="0" style="1068" hidden="1" customWidth="1"/>
    <col min="10513" max="10737" width="9.140625" style="1068" bestFit="1"/>
    <col min="10738" max="10738" width="0" style="1068" hidden="1" customWidth="1"/>
    <col min="10739" max="10739" width="11.42578125" style="1068" customWidth="1"/>
    <col min="10740" max="10740" width="1.5703125" style="1068" customWidth="1"/>
    <col min="10741" max="10741" width="7.42578125" style="1068" bestFit="1" customWidth="1"/>
    <col min="10742" max="10742" width="1.5703125" style="1068" customWidth="1"/>
    <col min="10743" max="10743" width="12.5703125" style="1068" customWidth="1"/>
    <col min="10744" max="10744" width="1.5703125" style="1068" customWidth="1"/>
    <col min="10745" max="10745" width="20.5703125" style="1068" customWidth="1"/>
    <col min="10746" max="10746" width="2.5703125" style="1068" customWidth="1"/>
    <col min="10747" max="10747" width="10.5703125" style="1068" customWidth="1"/>
    <col min="10748" max="10748" width="1.5703125" style="1068" customWidth="1"/>
    <col min="10749" max="10749" width="10.5703125" style="1068" customWidth="1"/>
    <col min="10750" max="10750" width="1.5703125" style="1068" customWidth="1"/>
    <col min="10751" max="10751" width="12.5703125" style="1068" customWidth="1"/>
    <col min="10752" max="10752" width="1.5703125" style="1068" customWidth="1"/>
    <col min="10753" max="10753" width="22.5703125" style="1068" customWidth="1"/>
    <col min="10754" max="10754" width="4.5703125" style="1068" customWidth="1"/>
    <col min="10755" max="10768" width="0" style="1068" hidden="1" customWidth="1"/>
    <col min="10769" max="10993" width="9.140625" style="1068" bestFit="1"/>
    <col min="10994" max="10994" width="0" style="1068" hidden="1" customWidth="1"/>
    <col min="10995" max="10995" width="11.42578125" style="1068" customWidth="1"/>
    <col min="10996" max="10996" width="1.5703125" style="1068" customWidth="1"/>
    <col min="10997" max="10997" width="7.42578125" style="1068" bestFit="1" customWidth="1"/>
    <col min="10998" max="10998" width="1.5703125" style="1068" customWidth="1"/>
    <col min="10999" max="10999" width="12.5703125" style="1068" customWidth="1"/>
    <col min="11000" max="11000" width="1.5703125" style="1068" customWidth="1"/>
    <col min="11001" max="11001" width="20.5703125" style="1068" customWidth="1"/>
    <col min="11002" max="11002" width="2.5703125" style="1068" customWidth="1"/>
    <col min="11003" max="11003" width="10.5703125" style="1068" customWidth="1"/>
    <col min="11004" max="11004" width="1.5703125" style="1068" customWidth="1"/>
    <col min="11005" max="11005" width="10.5703125" style="1068" customWidth="1"/>
    <col min="11006" max="11006" width="1.5703125" style="1068" customWidth="1"/>
    <col min="11007" max="11007" width="12.5703125" style="1068" customWidth="1"/>
    <col min="11008" max="11008" width="1.5703125" style="1068" customWidth="1"/>
    <col min="11009" max="11009" width="22.5703125" style="1068" customWidth="1"/>
    <col min="11010" max="11010" width="4.5703125" style="1068" customWidth="1"/>
    <col min="11011" max="11024" width="0" style="1068" hidden="1" customWidth="1"/>
    <col min="11025" max="11249" width="9.140625" style="1068" bestFit="1"/>
    <col min="11250" max="11250" width="0" style="1068" hidden="1" customWidth="1"/>
    <col min="11251" max="11251" width="11.42578125" style="1068" customWidth="1"/>
    <col min="11252" max="11252" width="1.5703125" style="1068" customWidth="1"/>
    <col min="11253" max="11253" width="7.42578125" style="1068" bestFit="1" customWidth="1"/>
    <col min="11254" max="11254" width="1.5703125" style="1068" customWidth="1"/>
    <col min="11255" max="11255" width="12.5703125" style="1068" customWidth="1"/>
    <col min="11256" max="11256" width="1.5703125" style="1068" customWidth="1"/>
    <col min="11257" max="11257" width="20.5703125" style="1068" customWidth="1"/>
    <col min="11258" max="11258" width="2.5703125" style="1068" customWidth="1"/>
    <col min="11259" max="11259" width="10.5703125" style="1068" customWidth="1"/>
    <col min="11260" max="11260" width="1.5703125" style="1068" customWidth="1"/>
    <col min="11261" max="11261" width="10.5703125" style="1068" customWidth="1"/>
    <col min="11262" max="11262" width="1.5703125" style="1068" customWidth="1"/>
    <col min="11263" max="11263" width="12.5703125" style="1068" customWidth="1"/>
    <col min="11264" max="11264" width="1.5703125" style="1068" customWidth="1"/>
    <col min="11265" max="11265" width="22.5703125" style="1068" customWidth="1"/>
    <col min="11266" max="11266" width="4.5703125" style="1068" customWidth="1"/>
    <col min="11267" max="11280" width="0" style="1068" hidden="1" customWidth="1"/>
    <col min="11281" max="11505" width="9.140625" style="1068" bestFit="1"/>
    <col min="11506" max="11506" width="0" style="1068" hidden="1" customWidth="1"/>
    <col min="11507" max="11507" width="11.42578125" style="1068" customWidth="1"/>
    <col min="11508" max="11508" width="1.5703125" style="1068" customWidth="1"/>
    <col min="11509" max="11509" width="7.42578125" style="1068" bestFit="1" customWidth="1"/>
    <col min="11510" max="11510" width="1.5703125" style="1068" customWidth="1"/>
    <col min="11511" max="11511" width="12.5703125" style="1068" customWidth="1"/>
    <col min="11512" max="11512" width="1.5703125" style="1068" customWidth="1"/>
    <col min="11513" max="11513" width="20.5703125" style="1068" customWidth="1"/>
    <col min="11514" max="11514" width="2.5703125" style="1068" customWidth="1"/>
    <col min="11515" max="11515" width="10.5703125" style="1068" customWidth="1"/>
    <col min="11516" max="11516" width="1.5703125" style="1068" customWidth="1"/>
    <col min="11517" max="11517" width="10.5703125" style="1068" customWidth="1"/>
    <col min="11518" max="11518" width="1.5703125" style="1068" customWidth="1"/>
    <col min="11519" max="11519" width="12.5703125" style="1068" customWidth="1"/>
    <col min="11520" max="11520" width="1.5703125" style="1068" customWidth="1"/>
    <col min="11521" max="11521" width="22.5703125" style="1068" customWidth="1"/>
    <col min="11522" max="11522" width="4.5703125" style="1068" customWidth="1"/>
    <col min="11523" max="11536" width="0" style="1068" hidden="1" customWidth="1"/>
    <col min="11537" max="11761" width="9.140625" style="1068" bestFit="1"/>
    <col min="11762" max="11762" width="0" style="1068" hidden="1" customWidth="1"/>
    <col min="11763" max="11763" width="11.42578125" style="1068" customWidth="1"/>
    <col min="11764" max="11764" width="1.5703125" style="1068" customWidth="1"/>
    <col min="11765" max="11765" width="7.42578125" style="1068" bestFit="1" customWidth="1"/>
    <col min="11766" max="11766" width="1.5703125" style="1068" customWidth="1"/>
    <col min="11767" max="11767" width="12.5703125" style="1068" customWidth="1"/>
    <col min="11768" max="11768" width="1.5703125" style="1068" customWidth="1"/>
    <col min="11769" max="11769" width="20.5703125" style="1068" customWidth="1"/>
    <col min="11770" max="11770" width="2.5703125" style="1068" customWidth="1"/>
    <col min="11771" max="11771" width="10.5703125" style="1068" customWidth="1"/>
    <col min="11772" max="11772" width="1.5703125" style="1068" customWidth="1"/>
    <col min="11773" max="11773" width="10.5703125" style="1068" customWidth="1"/>
    <col min="11774" max="11774" width="1.5703125" style="1068" customWidth="1"/>
    <col min="11775" max="11775" width="12.5703125" style="1068" customWidth="1"/>
    <col min="11776" max="11776" width="1.5703125" style="1068" customWidth="1"/>
    <col min="11777" max="11777" width="22.5703125" style="1068" customWidth="1"/>
    <col min="11778" max="11778" width="4.5703125" style="1068" customWidth="1"/>
    <col min="11779" max="11792" width="0" style="1068" hidden="1" customWidth="1"/>
    <col min="11793" max="12017" width="9.140625" style="1068" bestFit="1"/>
    <col min="12018" max="12018" width="0" style="1068" hidden="1" customWidth="1"/>
    <col min="12019" max="12019" width="11.42578125" style="1068" customWidth="1"/>
    <col min="12020" max="12020" width="1.5703125" style="1068" customWidth="1"/>
    <col min="12021" max="12021" width="7.42578125" style="1068" bestFit="1" customWidth="1"/>
    <col min="12022" max="12022" width="1.5703125" style="1068" customWidth="1"/>
    <col min="12023" max="12023" width="12.5703125" style="1068" customWidth="1"/>
    <col min="12024" max="12024" width="1.5703125" style="1068" customWidth="1"/>
    <col min="12025" max="12025" width="20.5703125" style="1068" customWidth="1"/>
    <col min="12026" max="12026" width="2.5703125" style="1068" customWidth="1"/>
    <col min="12027" max="12027" width="10.5703125" style="1068" customWidth="1"/>
    <col min="12028" max="12028" width="1.5703125" style="1068" customWidth="1"/>
    <col min="12029" max="12029" width="10.5703125" style="1068" customWidth="1"/>
    <col min="12030" max="12030" width="1.5703125" style="1068" customWidth="1"/>
    <col min="12031" max="12031" width="12.5703125" style="1068" customWidth="1"/>
    <col min="12032" max="12032" width="1.5703125" style="1068" customWidth="1"/>
    <col min="12033" max="12033" width="22.5703125" style="1068" customWidth="1"/>
    <col min="12034" max="12034" width="4.5703125" style="1068" customWidth="1"/>
    <col min="12035" max="12048" width="0" style="1068" hidden="1" customWidth="1"/>
    <col min="12049" max="12273" width="9.140625" style="1068" bestFit="1"/>
    <col min="12274" max="12274" width="0" style="1068" hidden="1" customWidth="1"/>
    <col min="12275" max="12275" width="11.42578125" style="1068" customWidth="1"/>
    <col min="12276" max="12276" width="1.5703125" style="1068" customWidth="1"/>
    <col min="12277" max="12277" width="7.42578125" style="1068" bestFit="1" customWidth="1"/>
    <col min="12278" max="12278" width="1.5703125" style="1068" customWidth="1"/>
    <col min="12279" max="12279" width="12.5703125" style="1068" customWidth="1"/>
    <col min="12280" max="12280" width="1.5703125" style="1068" customWidth="1"/>
    <col min="12281" max="12281" width="20.5703125" style="1068" customWidth="1"/>
    <col min="12282" max="12282" width="2.5703125" style="1068" customWidth="1"/>
    <col min="12283" max="12283" width="10.5703125" style="1068" customWidth="1"/>
    <col min="12284" max="12284" width="1.5703125" style="1068" customWidth="1"/>
    <col min="12285" max="12285" width="10.5703125" style="1068" customWidth="1"/>
    <col min="12286" max="12286" width="1.5703125" style="1068" customWidth="1"/>
    <col min="12287" max="12287" width="12.5703125" style="1068" customWidth="1"/>
    <col min="12288" max="12288" width="1.5703125" style="1068" customWidth="1"/>
    <col min="12289" max="12289" width="22.5703125" style="1068" customWidth="1"/>
    <col min="12290" max="12290" width="4.5703125" style="1068" customWidth="1"/>
    <col min="12291" max="12304" width="0" style="1068" hidden="1" customWidth="1"/>
    <col min="12305" max="12529" width="9.140625" style="1068" bestFit="1"/>
    <col min="12530" max="12530" width="0" style="1068" hidden="1" customWidth="1"/>
    <col min="12531" max="12531" width="11.42578125" style="1068" customWidth="1"/>
    <col min="12532" max="12532" width="1.5703125" style="1068" customWidth="1"/>
    <col min="12533" max="12533" width="7.42578125" style="1068" bestFit="1" customWidth="1"/>
    <col min="12534" max="12534" width="1.5703125" style="1068" customWidth="1"/>
    <col min="12535" max="12535" width="12.5703125" style="1068" customWidth="1"/>
    <col min="12536" max="12536" width="1.5703125" style="1068" customWidth="1"/>
    <col min="12537" max="12537" width="20.5703125" style="1068" customWidth="1"/>
    <col min="12538" max="12538" width="2.5703125" style="1068" customWidth="1"/>
    <col min="12539" max="12539" width="10.5703125" style="1068" customWidth="1"/>
    <col min="12540" max="12540" width="1.5703125" style="1068" customWidth="1"/>
    <col min="12541" max="12541" width="10.5703125" style="1068" customWidth="1"/>
    <col min="12542" max="12542" width="1.5703125" style="1068" customWidth="1"/>
    <col min="12543" max="12543" width="12.5703125" style="1068" customWidth="1"/>
    <col min="12544" max="12544" width="1.5703125" style="1068" customWidth="1"/>
    <col min="12545" max="12545" width="22.5703125" style="1068" customWidth="1"/>
    <col min="12546" max="12546" width="4.5703125" style="1068" customWidth="1"/>
    <col min="12547" max="12560" width="0" style="1068" hidden="1" customWidth="1"/>
    <col min="12561" max="12785" width="9.140625" style="1068" bestFit="1"/>
    <col min="12786" max="12786" width="0" style="1068" hidden="1" customWidth="1"/>
    <col min="12787" max="12787" width="11.42578125" style="1068" customWidth="1"/>
    <col min="12788" max="12788" width="1.5703125" style="1068" customWidth="1"/>
    <col min="12789" max="12789" width="7.42578125" style="1068" bestFit="1" customWidth="1"/>
    <col min="12790" max="12790" width="1.5703125" style="1068" customWidth="1"/>
    <col min="12791" max="12791" width="12.5703125" style="1068" customWidth="1"/>
    <col min="12792" max="12792" width="1.5703125" style="1068" customWidth="1"/>
    <col min="12793" max="12793" width="20.5703125" style="1068" customWidth="1"/>
    <col min="12794" max="12794" width="2.5703125" style="1068" customWidth="1"/>
    <col min="12795" max="12795" width="10.5703125" style="1068" customWidth="1"/>
    <col min="12796" max="12796" width="1.5703125" style="1068" customWidth="1"/>
    <col min="12797" max="12797" width="10.5703125" style="1068" customWidth="1"/>
    <col min="12798" max="12798" width="1.5703125" style="1068" customWidth="1"/>
    <col min="12799" max="12799" width="12.5703125" style="1068" customWidth="1"/>
    <col min="12800" max="12800" width="1.5703125" style="1068" customWidth="1"/>
    <col min="12801" max="12801" width="22.5703125" style="1068" customWidth="1"/>
    <col min="12802" max="12802" width="4.5703125" style="1068" customWidth="1"/>
    <col min="12803" max="12816" width="0" style="1068" hidden="1" customWidth="1"/>
    <col min="12817" max="13041" width="9.140625" style="1068" bestFit="1"/>
    <col min="13042" max="13042" width="0" style="1068" hidden="1" customWidth="1"/>
    <col min="13043" max="13043" width="11.42578125" style="1068" customWidth="1"/>
    <col min="13044" max="13044" width="1.5703125" style="1068" customWidth="1"/>
    <col min="13045" max="13045" width="7.42578125" style="1068" bestFit="1" customWidth="1"/>
    <col min="13046" max="13046" width="1.5703125" style="1068" customWidth="1"/>
    <col min="13047" max="13047" width="12.5703125" style="1068" customWidth="1"/>
    <col min="13048" max="13048" width="1.5703125" style="1068" customWidth="1"/>
    <col min="13049" max="13049" width="20.5703125" style="1068" customWidth="1"/>
    <col min="13050" max="13050" width="2.5703125" style="1068" customWidth="1"/>
    <col min="13051" max="13051" width="10.5703125" style="1068" customWidth="1"/>
    <col min="13052" max="13052" width="1.5703125" style="1068" customWidth="1"/>
    <col min="13053" max="13053" width="10.5703125" style="1068" customWidth="1"/>
    <col min="13054" max="13054" width="1.5703125" style="1068" customWidth="1"/>
    <col min="13055" max="13055" width="12.5703125" style="1068" customWidth="1"/>
    <col min="13056" max="13056" width="1.5703125" style="1068" customWidth="1"/>
    <col min="13057" max="13057" width="22.5703125" style="1068" customWidth="1"/>
    <col min="13058" max="13058" width="4.5703125" style="1068" customWidth="1"/>
    <col min="13059" max="13072" width="0" style="1068" hidden="1" customWidth="1"/>
    <col min="13073" max="13297" width="9.140625" style="1068" bestFit="1"/>
    <col min="13298" max="13298" width="0" style="1068" hidden="1" customWidth="1"/>
    <col min="13299" max="13299" width="11.42578125" style="1068" customWidth="1"/>
    <col min="13300" max="13300" width="1.5703125" style="1068" customWidth="1"/>
    <col min="13301" max="13301" width="7.42578125" style="1068" bestFit="1" customWidth="1"/>
    <col min="13302" max="13302" width="1.5703125" style="1068" customWidth="1"/>
    <col min="13303" max="13303" width="12.5703125" style="1068" customWidth="1"/>
    <col min="13304" max="13304" width="1.5703125" style="1068" customWidth="1"/>
    <col min="13305" max="13305" width="20.5703125" style="1068" customWidth="1"/>
    <col min="13306" max="13306" width="2.5703125" style="1068" customWidth="1"/>
    <col min="13307" max="13307" width="10.5703125" style="1068" customWidth="1"/>
    <col min="13308" max="13308" width="1.5703125" style="1068" customWidth="1"/>
    <col min="13309" max="13309" width="10.5703125" style="1068" customWidth="1"/>
    <col min="13310" max="13310" width="1.5703125" style="1068" customWidth="1"/>
    <col min="13311" max="13311" width="12.5703125" style="1068" customWidth="1"/>
    <col min="13312" max="13312" width="1.5703125" style="1068" customWidth="1"/>
    <col min="13313" max="13313" width="22.5703125" style="1068" customWidth="1"/>
    <col min="13314" max="13314" width="4.5703125" style="1068" customWidth="1"/>
    <col min="13315" max="13328" width="0" style="1068" hidden="1" customWidth="1"/>
    <col min="13329" max="13553" width="9.140625" style="1068" bestFit="1"/>
    <col min="13554" max="13554" width="0" style="1068" hidden="1" customWidth="1"/>
    <col min="13555" max="13555" width="11.42578125" style="1068" customWidth="1"/>
    <col min="13556" max="13556" width="1.5703125" style="1068" customWidth="1"/>
    <col min="13557" max="13557" width="7.42578125" style="1068" bestFit="1" customWidth="1"/>
    <col min="13558" max="13558" width="1.5703125" style="1068" customWidth="1"/>
    <col min="13559" max="13559" width="12.5703125" style="1068" customWidth="1"/>
    <col min="13560" max="13560" width="1.5703125" style="1068" customWidth="1"/>
    <col min="13561" max="13561" width="20.5703125" style="1068" customWidth="1"/>
    <col min="13562" max="13562" width="2.5703125" style="1068" customWidth="1"/>
    <col min="13563" max="13563" width="10.5703125" style="1068" customWidth="1"/>
    <col min="13564" max="13564" width="1.5703125" style="1068" customWidth="1"/>
    <col min="13565" max="13565" width="10.5703125" style="1068" customWidth="1"/>
    <col min="13566" max="13566" width="1.5703125" style="1068" customWidth="1"/>
    <col min="13567" max="13567" width="12.5703125" style="1068" customWidth="1"/>
    <col min="13568" max="13568" width="1.5703125" style="1068" customWidth="1"/>
    <col min="13569" max="13569" width="22.5703125" style="1068" customWidth="1"/>
    <col min="13570" max="13570" width="4.5703125" style="1068" customWidth="1"/>
    <col min="13571" max="13584" width="0" style="1068" hidden="1" customWidth="1"/>
    <col min="13585" max="13809" width="9.140625" style="1068" bestFit="1"/>
    <col min="13810" max="13810" width="0" style="1068" hidden="1" customWidth="1"/>
    <col min="13811" max="13811" width="11.42578125" style="1068" customWidth="1"/>
    <col min="13812" max="13812" width="1.5703125" style="1068" customWidth="1"/>
    <col min="13813" max="13813" width="7.42578125" style="1068" bestFit="1" customWidth="1"/>
    <col min="13814" max="13814" width="1.5703125" style="1068" customWidth="1"/>
    <col min="13815" max="13815" width="12.5703125" style="1068" customWidth="1"/>
    <col min="13816" max="13816" width="1.5703125" style="1068" customWidth="1"/>
    <col min="13817" max="13817" width="20.5703125" style="1068" customWidth="1"/>
    <col min="13818" max="13818" width="2.5703125" style="1068" customWidth="1"/>
    <col min="13819" max="13819" width="10.5703125" style="1068" customWidth="1"/>
    <col min="13820" max="13820" width="1.5703125" style="1068" customWidth="1"/>
    <col min="13821" max="13821" width="10.5703125" style="1068" customWidth="1"/>
    <col min="13822" max="13822" width="1.5703125" style="1068" customWidth="1"/>
    <col min="13823" max="13823" width="12.5703125" style="1068" customWidth="1"/>
    <col min="13824" max="13824" width="1.5703125" style="1068" customWidth="1"/>
    <col min="13825" max="13825" width="22.5703125" style="1068" customWidth="1"/>
    <col min="13826" max="13826" width="4.5703125" style="1068" customWidth="1"/>
    <col min="13827" max="13840" width="0" style="1068" hidden="1" customWidth="1"/>
    <col min="13841" max="14065" width="9.140625" style="1068" bestFit="1"/>
    <col min="14066" max="14066" width="0" style="1068" hidden="1" customWidth="1"/>
    <col min="14067" max="14067" width="11.42578125" style="1068" customWidth="1"/>
    <col min="14068" max="14068" width="1.5703125" style="1068" customWidth="1"/>
    <col min="14069" max="14069" width="7.42578125" style="1068" bestFit="1" customWidth="1"/>
    <col min="14070" max="14070" width="1.5703125" style="1068" customWidth="1"/>
    <col min="14071" max="14071" width="12.5703125" style="1068" customWidth="1"/>
    <col min="14072" max="14072" width="1.5703125" style="1068" customWidth="1"/>
    <col min="14073" max="14073" width="20.5703125" style="1068" customWidth="1"/>
    <col min="14074" max="14074" width="2.5703125" style="1068" customWidth="1"/>
    <col min="14075" max="14075" width="10.5703125" style="1068" customWidth="1"/>
    <col min="14076" max="14076" width="1.5703125" style="1068" customWidth="1"/>
    <col min="14077" max="14077" width="10.5703125" style="1068" customWidth="1"/>
    <col min="14078" max="14078" width="1.5703125" style="1068" customWidth="1"/>
    <col min="14079" max="14079" width="12.5703125" style="1068" customWidth="1"/>
    <col min="14080" max="14080" width="1.5703125" style="1068" customWidth="1"/>
    <col min="14081" max="14081" width="22.5703125" style="1068" customWidth="1"/>
    <col min="14082" max="14082" width="4.5703125" style="1068" customWidth="1"/>
    <col min="14083" max="14096" width="0" style="1068" hidden="1" customWidth="1"/>
    <col min="14097" max="14321" width="9.140625" style="1068" bestFit="1"/>
    <col min="14322" max="14322" width="0" style="1068" hidden="1" customWidth="1"/>
    <col min="14323" max="14323" width="11.42578125" style="1068" customWidth="1"/>
    <col min="14324" max="14324" width="1.5703125" style="1068" customWidth="1"/>
    <col min="14325" max="14325" width="7.42578125" style="1068" bestFit="1" customWidth="1"/>
    <col min="14326" max="14326" width="1.5703125" style="1068" customWidth="1"/>
    <col min="14327" max="14327" width="12.5703125" style="1068" customWidth="1"/>
    <col min="14328" max="14328" width="1.5703125" style="1068" customWidth="1"/>
    <col min="14329" max="14329" width="20.5703125" style="1068" customWidth="1"/>
    <col min="14330" max="14330" width="2.5703125" style="1068" customWidth="1"/>
    <col min="14331" max="14331" width="10.5703125" style="1068" customWidth="1"/>
    <col min="14332" max="14332" width="1.5703125" style="1068" customWidth="1"/>
    <col min="14333" max="14333" width="10.5703125" style="1068" customWidth="1"/>
    <col min="14334" max="14334" width="1.5703125" style="1068" customWidth="1"/>
    <col min="14335" max="14335" width="12.5703125" style="1068" customWidth="1"/>
    <col min="14336" max="14336" width="1.5703125" style="1068" customWidth="1"/>
    <col min="14337" max="14337" width="22.5703125" style="1068" customWidth="1"/>
    <col min="14338" max="14338" width="4.5703125" style="1068" customWidth="1"/>
    <col min="14339" max="14352" width="0" style="1068" hidden="1" customWidth="1"/>
    <col min="14353" max="14577" width="9.140625" style="1068" bestFit="1"/>
    <col min="14578" max="14578" width="0" style="1068" hidden="1" customWidth="1"/>
    <col min="14579" max="14579" width="11.42578125" style="1068" customWidth="1"/>
    <col min="14580" max="14580" width="1.5703125" style="1068" customWidth="1"/>
    <col min="14581" max="14581" width="7.42578125" style="1068" bestFit="1" customWidth="1"/>
    <col min="14582" max="14582" width="1.5703125" style="1068" customWidth="1"/>
    <col min="14583" max="14583" width="12.5703125" style="1068" customWidth="1"/>
    <col min="14584" max="14584" width="1.5703125" style="1068" customWidth="1"/>
    <col min="14585" max="14585" width="20.5703125" style="1068" customWidth="1"/>
    <col min="14586" max="14586" width="2.5703125" style="1068" customWidth="1"/>
    <col min="14587" max="14587" width="10.5703125" style="1068" customWidth="1"/>
    <col min="14588" max="14588" width="1.5703125" style="1068" customWidth="1"/>
    <col min="14589" max="14589" width="10.5703125" style="1068" customWidth="1"/>
    <col min="14590" max="14590" width="1.5703125" style="1068" customWidth="1"/>
    <col min="14591" max="14591" width="12.5703125" style="1068" customWidth="1"/>
    <col min="14592" max="14592" width="1.5703125" style="1068" customWidth="1"/>
    <col min="14593" max="14593" width="22.5703125" style="1068" customWidth="1"/>
    <col min="14594" max="14594" width="4.5703125" style="1068" customWidth="1"/>
    <col min="14595" max="14608" width="0" style="1068" hidden="1" customWidth="1"/>
    <col min="14609" max="14833" width="9.140625" style="1068" bestFit="1"/>
    <col min="14834" max="14834" width="0" style="1068" hidden="1" customWidth="1"/>
    <col min="14835" max="14835" width="11.42578125" style="1068" customWidth="1"/>
    <col min="14836" max="14836" width="1.5703125" style="1068" customWidth="1"/>
    <col min="14837" max="14837" width="7.42578125" style="1068" bestFit="1" customWidth="1"/>
    <col min="14838" max="14838" width="1.5703125" style="1068" customWidth="1"/>
    <col min="14839" max="14839" width="12.5703125" style="1068" customWidth="1"/>
    <col min="14840" max="14840" width="1.5703125" style="1068" customWidth="1"/>
    <col min="14841" max="14841" width="20.5703125" style="1068" customWidth="1"/>
    <col min="14842" max="14842" width="2.5703125" style="1068" customWidth="1"/>
    <col min="14843" max="14843" width="10.5703125" style="1068" customWidth="1"/>
    <col min="14844" max="14844" width="1.5703125" style="1068" customWidth="1"/>
    <col min="14845" max="14845" width="10.5703125" style="1068" customWidth="1"/>
    <col min="14846" max="14846" width="1.5703125" style="1068" customWidth="1"/>
    <col min="14847" max="14847" width="12.5703125" style="1068" customWidth="1"/>
    <col min="14848" max="14848" width="1.5703125" style="1068" customWidth="1"/>
    <col min="14849" max="14849" width="22.5703125" style="1068" customWidth="1"/>
    <col min="14850" max="14850" width="4.5703125" style="1068" customWidth="1"/>
    <col min="14851" max="14864" width="0" style="1068" hidden="1" customWidth="1"/>
    <col min="14865" max="15089" width="9.140625" style="1068" bestFit="1"/>
    <col min="15090" max="15090" width="0" style="1068" hidden="1" customWidth="1"/>
    <col min="15091" max="15091" width="11.42578125" style="1068" customWidth="1"/>
    <col min="15092" max="15092" width="1.5703125" style="1068" customWidth="1"/>
    <col min="15093" max="15093" width="7.42578125" style="1068" bestFit="1" customWidth="1"/>
    <col min="15094" max="15094" width="1.5703125" style="1068" customWidth="1"/>
    <col min="15095" max="15095" width="12.5703125" style="1068" customWidth="1"/>
    <col min="15096" max="15096" width="1.5703125" style="1068" customWidth="1"/>
    <col min="15097" max="15097" width="20.5703125" style="1068" customWidth="1"/>
    <col min="15098" max="15098" width="2.5703125" style="1068" customWidth="1"/>
    <col min="15099" max="15099" width="10.5703125" style="1068" customWidth="1"/>
    <col min="15100" max="15100" width="1.5703125" style="1068" customWidth="1"/>
    <col min="15101" max="15101" width="10.5703125" style="1068" customWidth="1"/>
    <col min="15102" max="15102" width="1.5703125" style="1068" customWidth="1"/>
    <col min="15103" max="15103" width="12.5703125" style="1068" customWidth="1"/>
    <col min="15104" max="15104" width="1.5703125" style="1068" customWidth="1"/>
    <col min="15105" max="15105" width="22.5703125" style="1068" customWidth="1"/>
    <col min="15106" max="15106" width="4.5703125" style="1068" customWidth="1"/>
    <col min="15107" max="15120" width="0" style="1068" hidden="1" customWidth="1"/>
    <col min="15121" max="15345" width="9.140625" style="1068" bestFit="1"/>
    <col min="15346" max="15346" width="0" style="1068" hidden="1" customWidth="1"/>
    <col min="15347" max="15347" width="11.42578125" style="1068" customWidth="1"/>
    <col min="15348" max="15348" width="1.5703125" style="1068" customWidth="1"/>
    <col min="15349" max="15349" width="7.42578125" style="1068" bestFit="1" customWidth="1"/>
    <col min="15350" max="15350" width="1.5703125" style="1068" customWidth="1"/>
    <col min="15351" max="15351" width="12.5703125" style="1068" customWidth="1"/>
    <col min="15352" max="15352" width="1.5703125" style="1068" customWidth="1"/>
    <col min="15353" max="15353" width="20.5703125" style="1068" customWidth="1"/>
    <col min="15354" max="15354" width="2.5703125" style="1068" customWidth="1"/>
    <col min="15355" max="15355" width="10.5703125" style="1068" customWidth="1"/>
    <col min="15356" max="15356" width="1.5703125" style="1068" customWidth="1"/>
    <col min="15357" max="15357" width="10.5703125" style="1068" customWidth="1"/>
    <col min="15358" max="15358" width="1.5703125" style="1068" customWidth="1"/>
    <col min="15359" max="15359" width="12.5703125" style="1068" customWidth="1"/>
    <col min="15360" max="15360" width="1.5703125" style="1068" customWidth="1"/>
    <col min="15361" max="15361" width="22.5703125" style="1068" customWidth="1"/>
    <col min="15362" max="15362" width="4.5703125" style="1068" customWidth="1"/>
    <col min="15363" max="15376" width="0" style="1068" hidden="1" customWidth="1"/>
    <col min="15377" max="15601" width="9.140625" style="1068" bestFit="1"/>
    <col min="15602" max="15602" width="0" style="1068" hidden="1" customWidth="1"/>
    <col min="15603" max="15603" width="11.42578125" style="1068" customWidth="1"/>
    <col min="15604" max="15604" width="1.5703125" style="1068" customWidth="1"/>
    <col min="15605" max="15605" width="7.42578125" style="1068" bestFit="1" customWidth="1"/>
    <col min="15606" max="15606" width="1.5703125" style="1068" customWidth="1"/>
    <col min="15607" max="15607" width="12.5703125" style="1068" customWidth="1"/>
    <col min="15608" max="15608" width="1.5703125" style="1068" customWidth="1"/>
    <col min="15609" max="15609" width="20.5703125" style="1068" customWidth="1"/>
    <col min="15610" max="15610" width="2.5703125" style="1068" customWidth="1"/>
    <col min="15611" max="15611" width="10.5703125" style="1068" customWidth="1"/>
    <col min="15612" max="15612" width="1.5703125" style="1068" customWidth="1"/>
    <col min="15613" max="15613" width="10.5703125" style="1068" customWidth="1"/>
    <col min="15614" max="15614" width="1.5703125" style="1068" customWidth="1"/>
    <col min="15615" max="15615" width="12.5703125" style="1068" customWidth="1"/>
    <col min="15616" max="15616" width="1.5703125" style="1068" customWidth="1"/>
    <col min="15617" max="15617" width="22.5703125" style="1068" customWidth="1"/>
    <col min="15618" max="15618" width="4.5703125" style="1068" customWidth="1"/>
    <col min="15619" max="15632" width="0" style="1068" hidden="1" customWidth="1"/>
    <col min="15633" max="15857" width="9.140625" style="1068" bestFit="1"/>
    <col min="15858" max="15858" width="0" style="1068" hidden="1" customWidth="1"/>
    <col min="15859" max="15859" width="11.42578125" style="1068" customWidth="1"/>
    <col min="15860" max="15860" width="1.5703125" style="1068" customWidth="1"/>
    <col min="15861" max="15861" width="7.42578125" style="1068" bestFit="1" customWidth="1"/>
    <col min="15862" max="15862" width="1.5703125" style="1068" customWidth="1"/>
    <col min="15863" max="15863" width="12.5703125" style="1068" customWidth="1"/>
    <col min="15864" max="15864" width="1.5703125" style="1068" customWidth="1"/>
    <col min="15865" max="15865" width="20.5703125" style="1068" customWidth="1"/>
    <col min="15866" max="15866" width="2.5703125" style="1068" customWidth="1"/>
    <col min="15867" max="15867" width="10.5703125" style="1068" customWidth="1"/>
    <col min="15868" max="15868" width="1.5703125" style="1068" customWidth="1"/>
    <col min="15869" max="15869" width="10.5703125" style="1068" customWidth="1"/>
    <col min="15870" max="15870" width="1.5703125" style="1068" customWidth="1"/>
    <col min="15871" max="15871" width="12.5703125" style="1068" customWidth="1"/>
    <col min="15872" max="15872" width="1.5703125" style="1068" customWidth="1"/>
    <col min="15873" max="15873" width="22.5703125" style="1068" customWidth="1"/>
    <col min="15874" max="15874" width="4.5703125" style="1068" customWidth="1"/>
    <col min="15875" max="15888" width="0" style="1068" hidden="1" customWidth="1"/>
    <col min="15889" max="16113" width="9.140625" style="1068" bestFit="1"/>
    <col min="16114" max="16114" width="0" style="1068" hidden="1" customWidth="1"/>
    <col min="16115" max="16115" width="11.42578125" style="1068" customWidth="1"/>
    <col min="16116" max="16116" width="1.5703125" style="1068" customWidth="1"/>
    <col min="16117" max="16117" width="7.42578125" style="1068" bestFit="1" customWidth="1"/>
    <col min="16118" max="16118" width="1.5703125" style="1068" customWidth="1"/>
    <col min="16119" max="16119" width="12.5703125" style="1068" customWidth="1"/>
    <col min="16120" max="16120" width="1.5703125" style="1068" customWidth="1"/>
    <col min="16121" max="16121" width="20.5703125" style="1068" customWidth="1"/>
    <col min="16122" max="16122" width="2.5703125" style="1068" customWidth="1"/>
    <col min="16123" max="16123" width="10.5703125" style="1068" customWidth="1"/>
    <col min="16124" max="16124" width="1.5703125" style="1068" customWidth="1"/>
    <col min="16125" max="16125" width="10.5703125" style="1068" customWidth="1"/>
    <col min="16126" max="16126" width="1.5703125" style="1068" customWidth="1"/>
    <col min="16127" max="16127" width="12.5703125" style="1068" customWidth="1"/>
    <col min="16128" max="16128" width="1.5703125" style="1068" customWidth="1"/>
    <col min="16129" max="16129" width="22.5703125" style="1068" customWidth="1"/>
    <col min="16130" max="16130" width="4.5703125" style="1068" customWidth="1"/>
    <col min="16131" max="16144" width="0" style="1068" hidden="1" customWidth="1"/>
    <col min="16145" max="16369" width="9.140625" style="1068" bestFit="1"/>
    <col min="16370" max="16384" width="9.140625" style="1068"/>
  </cols>
  <sheetData>
    <row r="1" spans="2:20" x14ac:dyDescent="0.25">
      <c r="B1" s="2870" t="str">
        <f>Index!A1</f>
        <v xml:space="preserve">                                                               Office of the State Controller                                                                </v>
      </c>
      <c r="C1" s="2870"/>
      <c r="D1" s="2870"/>
      <c r="E1" s="2870"/>
      <c r="F1" s="2870"/>
      <c r="G1" s="2870"/>
      <c r="H1" s="2870"/>
      <c r="I1" s="2870"/>
      <c r="J1" s="2870"/>
      <c r="K1" s="2870"/>
      <c r="L1" s="2870"/>
      <c r="M1" s="2870"/>
      <c r="N1" s="2870"/>
      <c r="O1" s="2870"/>
      <c r="P1" s="2870"/>
      <c r="T1" s="2626" t="str">
        <f>IF(Index!$B$68="na","NA","")</f>
        <v/>
      </c>
    </row>
    <row r="2" spans="2:20" x14ac:dyDescent="0.25">
      <c r="B2" s="2871" t="s">
        <v>1859</v>
      </c>
      <c r="C2" s="2871"/>
      <c r="D2" s="2871"/>
      <c r="E2" s="2871"/>
      <c r="F2" s="2871"/>
      <c r="G2" s="2871"/>
      <c r="H2" s="2871"/>
      <c r="I2" s="2871"/>
      <c r="J2" s="2871"/>
      <c r="K2" s="2871"/>
      <c r="L2" s="2871"/>
      <c r="M2" s="2871"/>
      <c r="N2" s="2871"/>
      <c r="O2" s="2871"/>
      <c r="P2" s="2871"/>
      <c r="T2" s="2626"/>
    </row>
    <row r="3" spans="2:20" x14ac:dyDescent="0.25">
      <c r="B3" s="2872" t="s">
        <v>1860</v>
      </c>
      <c r="C3" s="2872"/>
      <c r="D3" s="2872"/>
      <c r="E3" s="2872"/>
      <c r="F3" s="2872"/>
      <c r="G3" s="2872"/>
      <c r="H3" s="2872"/>
      <c r="I3" s="2872"/>
      <c r="J3" s="2872"/>
      <c r="K3" s="2872"/>
      <c r="L3" s="2872"/>
      <c r="M3" s="2872"/>
      <c r="N3" s="2872"/>
      <c r="O3" s="2872"/>
      <c r="P3" s="2872"/>
      <c r="T3" s="2626"/>
    </row>
    <row r="4" spans="2:20" x14ac:dyDescent="0.25">
      <c r="B4" s="1069"/>
      <c r="C4" s="1070"/>
      <c r="D4" s="1070"/>
      <c r="E4" s="1070"/>
      <c r="F4" s="1070"/>
      <c r="G4" s="1070"/>
      <c r="H4" s="1070"/>
      <c r="I4" s="1069"/>
      <c r="J4" s="1070"/>
      <c r="K4" s="1070"/>
      <c r="L4" s="1070"/>
      <c r="M4" s="1070"/>
      <c r="N4" s="1070"/>
      <c r="O4" s="2873" t="s">
        <v>1861</v>
      </c>
      <c r="P4" s="2873"/>
    </row>
    <row r="5" spans="2:20" s="1066" customFormat="1" ht="12.75" x14ac:dyDescent="0.2">
      <c r="B5" s="2058" t="s">
        <v>318</v>
      </c>
      <c r="C5" s="2059"/>
      <c r="D5" s="2374" t="str">
        <f>AgyIdx</f>
        <v>01</v>
      </c>
      <c r="E5" s="2060"/>
      <c r="F5" s="2060"/>
      <c r="G5" s="1084"/>
      <c r="H5" s="2060"/>
      <c r="I5" s="2059"/>
      <c r="J5" s="2058" t="s">
        <v>320</v>
      </c>
      <c r="K5" s="2061"/>
      <c r="L5" s="2874" t="str">
        <f>CONCATENATE(Index!$E$12," ",Index!$E$14)</f>
        <v xml:space="preserve"> </v>
      </c>
      <c r="M5" s="2875"/>
      <c r="N5" s="2875"/>
      <c r="O5" s="2875"/>
      <c r="P5" s="2875"/>
    </row>
    <row r="6" spans="2:20" s="1066" customFormat="1" ht="12.75" x14ac:dyDescent="0.2">
      <c r="B6" s="2058" t="s">
        <v>319</v>
      </c>
      <c r="C6" s="2059"/>
      <c r="D6" s="2868" t="str">
        <f>+Index!$E$11</f>
        <v>North Carolina General Assembly</v>
      </c>
      <c r="E6" s="2868"/>
      <c r="F6" s="2868"/>
      <c r="G6" s="2868"/>
      <c r="H6" s="2868"/>
      <c r="I6" s="2059"/>
      <c r="J6" s="2058" t="s">
        <v>168</v>
      </c>
      <c r="K6" s="2059"/>
      <c r="L6" s="2869">
        <f>+Index!$E$13</f>
        <v>0</v>
      </c>
      <c r="M6" s="2869"/>
      <c r="N6" s="2869"/>
      <c r="O6" s="2869"/>
      <c r="P6" s="2869"/>
    </row>
    <row r="7" spans="2:20" s="1066" customFormat="1" ht="13.5" thickBot="1" x14ac:dyDescent="0.25">
      <c r="B7" s="2062"/>
      <c r="C7" s="2062"/>
      <c r="D7" s="2062"/>
      <c r="E7" s="2062"/>
      <c r="F7" s="2062"/>
      <c r="G7" s="2062"/>
      <c r="H7" s="2062"/>
      <c r="I7" s="2063"/>
      <c r="J7" s="2062"/>
      <c r="K7" s="2062"/>
      <c r="L7" s="2062"/>
      <c r="M7" s="2062"/>
      <c r="N7" s="2062"/>
      <c r="O7" s="2062"/>
      <c r="P7" s="2062"/>
    </row>
    <row r="8" spans="2:20" s="1066" customFormat="1" ht="13.5" thickBot="1" x14ac:dyDescent="0.25">
      <c r="B8" s="2026" t="s">
        <v>1863</v>
      </c>
      <c r="C8" s="2007"/>
      <c r="D8" s="2007"/>
      <c r="E8" s="2007"/>
      <c r="F8" s="2007"/>
      <c r="G8" s="2007"/>
      <c r="H8" s="2007"/>
      <c r="I8" s="2063"/>
      <c r="J8" s="2007"/>
      <c r="K8" s="2007"/>
      <c r="L8" s="2007"/>
      <c r="M8" s="2007"/>
      <c r="N8" s="2007"/>
      <c r="O8" s="2007"/>
      <c r="P8" s="2007"/>
    </row>
    <row r="9" spans="2:20" s="1066" customFormat="1" ht="13.5" thickBot="1" x14ac:dyDescent="0.25">
      <c r="B9" s="2026" t="s">
        <v>1864</v>
      </c>
      <c r="C9" s="2026"/>
      <c r="D9" s="2026"/>
      <c r="E9" s="2026"/>
      <c r="F9" s="2026"/>
      <c r="G9" s="2026"/>
      <c r="H9" s="2026"/>
      <c r="I9" s="2064"/>
      <c r="J9" s="2026"/>
      <c r="K9" s="2026"/>
      <c r="L9" s="2026"/>
      <c r="M9" s="2026"/>
      <c r="N9" s="2026"/>
      <c r="O9" s="2026"/>
      <c r="P9" s="2026"/>
    </row>
    <row r="10" spans="2:20" s="1066" customFormat="1" ht="12.75" x14ac:dyDescent="0.2">
      <c r="B10" s="2175"/>
      <c r="C10" s="2175"/>
      <c r="D10" s="2175"/>
      <c r="E10" s="2175"/>
      <c r="F10" s="2175"/>
      <c r="G10" s="2175"/>
      <c r="H10" s="2175"/>
      <c r="I10" s="2176"/>
      <c r="J10" s="2175"/>
      <c r="K10" s="2175"/>
      <c r="L10" s="2175"/>
      <c r="M10" s="2175"/>
      <c r="N10" s="2175"/>
      <c r="O10" s="2175"/>
      <c r="P10" s="2175"/>
    </row>
    <row r="11" spans="2:20" s="1066" customFormat="1" ht="12.75" x14ac:dyDescent="0.2">
      <c r="B11" s="2059"/>
      <c r="C11" s="2059"/>
      <c r="D11" s="2059"/>
      <c r="E11" s="2059"/>
      <c r="F11" s="1075" t="s">
        <v>1865</v>
      </c>
      <c r="G11" s="2059"/>
      <c r="H11" s="2059"/>
      <c r="I11" s="1075"/>
      <c r="J11" s="2059"/>
      <c r="K11" s="2059"/>
      <c r="L11" s="2059"/>
      <c r="M11" s="2059"/>
      <c r="N11" s="1075" t="s">
        <v>1866</v>
      </c>
      <c r="O11" s="2059"/>
      <c r="P11" s="2059"/>
    </row>
    <row r="12" spans="2:20" s="1066" customFormat="1" ht="12.75" x14ac:dyDescent="0.2">
      <c r="B12" s="1075" t="s">
        <v>1867</v>
      </c>
      <c r="C12" s="2059"/>
      <c r="D12" s="1075" t="s">
        <v>1868</v>
      </c>
      <c r="E12" s="2059"/>
      <c r="F12" s="1075" t="s">
        <v>756</v>
      </c>
      <c r="G12" s="2059"/>
      <c r="H12" s="2059"/>
      <c r="I12" s="1075"/>
      <c r="J12" s="1075" t="s">
        <v>1869</v>
      </c>
      <c r="K12" s="2059"/>
      <c r="L12" s="1075" t="s">
        <v>1869</v>
      </c>
      <c r="M12" s="2059"/>
      <c r="N12" s="1075" t="s">
        <v>1870</v>
      </c>
      <c r="O12" s="2059"/>
      <c r="P12" s="2059"/>
    </row>
    <row r="13" spans="2:20" s="1066" customFormat="1" ht="29.25" customHeight="1" thickBot="1" x14ac:dyDescent="0.25">
      <c r="B13" s="2007" t="s">
        <v>1871</v>
      </c>
      <c r="C13" s="1075"/>
      <c r="D13" s="2007" t="s">
        <v>1707</v>
      </c>
      <c r="E13" s="1075"/>
      <c r="F13" s="2209" t="s">
        <v>1872</v>
      </c>
      <c r="G13" s="2059"/>
      <c r="H13" s="2007" t="s">
        <v>1359</v>
      </c>
      <c r="I13" s="1075"/>
      <c r="J13" s="2007" t="s">
        <v>1873</v>
      </c>
      <c r="K13" s="1075"/>
      <c r="L13" s="2007" t="s">
        <v>1874</v>
      </c>
      <c r="M13" s="1075"/>
      <c r="N13" s="2007" t="s">
        <v>1875</v>
      </c>
      <c r="O13" s="2059"/>
      <c r="P13" s="2007" t="s">
        <v>1876</v>
      </c>
    </row>
    <row r="14" spans="2:20" s="1066" customFormat="1" ht="12.75" x14ac:dyDescent="0.2">
      <c r="B14" s="1115" t="s">
        <v>1877</v>
      </c>
      <c r="C14" s="1116"/>
      <c r="D14" s="1117">
        <v>800000</v>
      </c>
      <c r="E14" s="1116"/>
      <c r="F14" s="1117">
        <v>11431000</v>
      </c>
      <c r="G14" s="1116"/>
      <c r="H14" s="1118">
        <v>100000</v>
      </c>
      <c r="I14" s="1119"/>
      <c r="J14" s="1117">
        <v>214100</v>
      </c>
      <c r="K14" s="1116"/>
      <c r="L14" s="1117" t="s">
        <v>1878</v>
      </c>
      <c r="M14" s="1116"/>
      <c r="N14" s="1115" t="s">
        <v>1879</v>
      </c>
      <c r="O14" s="1119"/>
      <c r="P14" s="2028" t="s">
        <v>1880</v>
      </c>
      <c r="T14" s="1122" t="s">
        <v>1881</v>
      </c>
    </row>
    <row r="15" spans="2:20" s="1066" customFormat="1" ht="12.75" x14ac:dyDescent="0.2">
      <c r="B15" s="2065"/>
      <c r="C15" s="2066"/>
      <c r="D15" s="2067"/>
      <c r="E15" s="2066"/>
      <c r="F15" s="2067"/>
      <c r="G15" s="2066"/>
      <c r="H15" s="2068"/>
      <c r="I15" s="2059"/>
      <c r="J15" s="2067"/>
      <c r="K15" s="2069"/>
      <c r="L15" s="1080"/>
      <c r="M15" s="2066"/>
      <c r="N15" s="2065"/>
      <c r="O15" s="2059"/>
      <c r="P15" s="2211"/>
    </row>
    <row r="16" spans="2:20" s="1066" customFormat="1" ht="12.75" x14ac:dyDescent="0.2">
      <c r="B16" s="2065"/>
      <c r="C16" s="2066"/>
      <c r="D16" s="2067"/>
      <c r="E16" s="2066"/>
      <c r="F16" s="2067"/>
      <c r="G16" s="2066"/>
      <c r="H16" s="2068"/>
      <c r="I16" s="2059"/>
      <c r="J16" s="2067"/>
      <c r="K16" s="2069"/>
      <c r="L16" s="2067"/>
      <c r="M16" s="2066"/>
      <c r="N16" s="2065"/>
      <c r="O16" s="2059"/>
      <c r="P16" s="2211"/>
    </row>
    <row r="17" spans="2:16" s="1066" customFormat="1" ht="12.75" x14ac:dyDescent="0.2">
      <c r="B17" s="2065"/>
      <c r="C17" s="2066"/>
      <c r="D17" s="2067"/>
      <c r="E17" s="2066"/>
      <c r="F17" s="2067"/>
      <c r="G17" s="2066"/>
      <c r="H17" s="2068"/>
      <c r="I17" s="2059"/>
      <c r="J17" s="2067"/>
      <c r="K17" s="2069"/>
      <c r="L17" s="2067"/>
      <c r="M17" s="2066"/>
      <c r="N17" s="2065"/>
      <c r="O17" s="2059"/>
      <c r="P17" s="2211"/>
    </row>
    <row r="18" spans="2:16" s="1066" customFormat="1" ht="12.75" x14ac:dyDescent="0.2">
      <c r="B18" s="2065"/>
      <c r="C18" s="2066"/>
      <c r="D18" s="2067"/>
      <c r="E18" s="2066"/>
      <c r="F18" s="2067"/>
      <c r="G18" s="2066"/>
      <c r="H18" s="2068"/>
      <c r="I18" s="2059"/>
      <c r="J18" s="2067"/>
      <c r="K18" s="2069"/>
      <c r="L18" s="2067"/>
      <c r="M18" s="2066"/>
      <c r="N18" s="2065"/>
      <c r="O18" s="2059"/>
      <c r="P18" s="2211"/>
    </row>
    <row r="19" spans="2:16" s="1066" customFormat="1" ht="12.75" x14ac:dyDescent="0.2">
      <c r="B19" s="2065"/>
      <c r="C19" s="2066"/>
      <c r="D19" s="2067"/>
      <c r="E19" s="2066"/>
      <c r="F19" s="2067"/>
      <c r="G19" s="2066"/>
      <c r="H19" s="2068"/>
      <c r="I19" s="2059"/>
      <c r="J19" s="2067"/>
      <c r="K19" s="2069"/>
      <c r="L19" s="2067"/>
      <c r="M19" s="2066"/>
      <c r="N19" s="2065"/>
      <c r="O19" s="2059"/>
      <c r="P19" s="2211"/>
    </row>
    <row r="20" spans="2:16" s="1066" customFormat="1" ht="12.75" x14ac:dyDescent="0.2">
      <c r="B20" s="2065"/>
      <c r="C20" s="2066"/>
      <c r="D20" s="2067"/>
      <c r="E20" s="2066"/>
      <c r="F20" s="2067"/>
      <c r="G20" s="2066"/>
      <c r="H20" s="2068"/>
      <c r="I20" s="2059"/>
      <c r="J20" s="2067"/>
      <c r="K20" s="2069"/>
      <c r="L20" s="2067"/>
      <c r="M20" s="2066"/>
      <c r="N20" s="2065"/>
      <c r="O20" s="2059"/>
      <c r="P20" s="2211"/>
    </row>
    <row r="21" spans="2:16" x14ac:dyDescent="0.25">
      <c r="B21"/>
      <c r="C21"/>
      <c r="D21"/>
      <c r="E21"/>
      <c r="F21"/>
      <c r="G21"/>
      <c r="H21"/>
      <c r="I21"/>
      <c r="J21"/>
      <c r="K21"/>
      <c r="L21"/>
      <c r="M21"/>
      <c r="N21"/>
      <c r="O21"/>
      <c r="P21"/>
    </row>
    <row r="22" spans="2:16" s="1065" customFormat="1" ht="12.75" x14ac:dyDescent="0.2">
      <c r="B22" s="1076" t="s">
        <v>1882</v>
      </c>
      <c r="C22" s="1076"/>
      <c r="D22" s="1076"/>
      <c r="E22" s="1076"/>
      <c r="F22" s="1076"/>
      <c r="G22" s="1076"/>
      <c r="H22" s="1076"/>
      <c r="I22" s="1076"/>
      <c r="J22" s="1076"/>
      <c r="K22" s="1076"/>
      <c r="L22" s="1076"/>
      <c r="M22" s="1076"/>
      <c r="N22" s="1076"/>
      <c r="O22" s="1076"/>
      <c r="P22" s="1076"/>
    </row>
    <row r="23" spans="2:16" s="1065" customFormat="1" ht="12.75" x14ac:dyDescent="0.2">
      <c r="B23" s="1076"/>
      <c r="C23" s="1076"/>
      <c r="D23" s="1076"/>
      <c r="E23" s="1076"/>
      <c r="F23" s="1076"/>
      <c r="G23" s="1076"/>
      <c r="H23" s="1076"/>
      <c r="I23" s="1076"/>
      <c r="J23" s="1076"/>
      <c r="K23" s="1076"/>
      <c r="L23" s="1076"/>
      <c r="M23" s="1076"/>
      <c r="N23" s="1076"/>
      <c r="O23" s="1076"/>
      <c r="P23" s="1076"/>
    </row>
    <row r="24" spans="2:16" s="1066" customFormat="1" ht="12.75" x14ac:dyDescent="0.2">
      <c r="B24" s="2029"/>
      <c r="C24" s="2070"/>
      <c r="D24" s="2070"/>
      <c r="E24" s="2070"/>
      <c r="F24" s="2070"/>
      <c r="G24" s="2070"/>
      <c r="H24" s="2070"/>
      <c r="I24" s="2070"/>
      <c r="J24" s="2070"/>
      <c r="K24" s="2070"/>
      <c r="L24" s="2070"/>
      <c r="M24" s="2070"/>
      <c r="N24" s="2070"/>
      <c r="O24" s="2070"/>
      <c r="P24" s="2070"/>
    </row>
    <row r="25" spans="2:16" s="1066" customFormat="1" ht="12.75" x14ac:dyDescent="0.2">
      <c r="B25" s="2029"/>
      <c r="C25" s="2070"/>
      <c r="D25" s="2070"/>
      <c r="E25" s="2070"/>
      <c r="F25" s="2070"/>
      <c r="G25" s="2070"/>
      <c r="H25" s="2070"/>
      <c r="I25" s="2070"/>
      <c r="J25" s="2070"/>
      <c r="K25" s="2070"/>
      <c r="L25" s="2070"/>
      <c r="M25" s="2070"/>
      <c r="N25" s="2070"/>
      <c r="O25" s="2070"/>
      <c r="P25" s="2070"/>
    </row>
    <row r="26" spans="2:16" s="1066" customFormat="1" ht="12.75" x14ac:dyDescent="0.2">
      <c r="B26" s="2030"/>
      <c r="C26" s="2071"/>
      <c r="D26" s="2071"/>
      <c r="E26" s="2071"/>
      <c r="F26" s="2071"/>
      <c r="G26" s="2071"/>
      <c r="H26" s="2071"/>
      <c r="I26" s="2071"/>
      <c r="J26" s="2071"/>
      <c r="K26" s="2071"/>
      <c r="L26" s="2071"/>
      <c r="M26" s="2071"/>
      <c r="N26" s="2071"/>
      <c r="O26" s="2071"/>
      <c r="P26" s="2071"/>
    </row>
    <row r="27" spans="2:16" s="1066" customFormat="1" ht="12.75" x14ac:dyDescent="0.2">
      <c r="B27" s="2029"/>
      <c r="C27" s="2070"/>
      <c r="D27" s="2070"/>
      <c r="E27" s="2070"/>
      <c r="F27" s="2070"/>
      <c r="G27" s="2070"/>
      <c r="H27" s="2070"/>
      <c r="I27" s="2070"/>
      <c r="J27" s="2070"/>
      <c r="K27" s="2070"/>
      <c r="L27" s="2070"/>
      <c r="M27" s="2070"/>
      <c r="N27" s="2070"/>
      <c r="O27" s="2070"/>
      <c r="P27" s="2070"/>
    </row>
    <row r="28" spans="2:16" s="1066" customFormat="1" ht="12.75" x14ac:dyDescent="0.2">
      <c r="B28" s="2029"/>
      <c r="C28" s="2070"/>
      <c r="D28" s="2070"/>
      <c r="E28" s="2070"/>
      <c r="F28" s="2070"/>
      <c r="G28" s="2070"/>
      <c r="H28" s="2070"/>
      <c r="I28" s="2070"/>
      <c r="J28" s="2070"/>
      <c r="K28" s="2070"/>
      <c r="L28" s="2070"/>
      <c r="M28" s="2070"/>
      <c r="N28" s="2070"/>
      <c r="O28" s="2070"/>
      <c r="P28" s="2070"/>
    </row>
    <row r="29" spans="2:16" s="1066" customFormat="1" ht="12.75" x14ac:dyDescent="0.2">
      <c r="B29" s="2030"/>
      <c r="C29" s="2071"/>
      <c r="D29" s="2071"/>
      <c r="E29" s="2071"/>
      <c r="F29" s="2071"/>
      <c r="G29" s="2071"/>
      <c r="H29" s="2071"/>
      <c r="I29" s="2071"/>
      <c r="J29" s="2071"/>
      <c r="K29" s="2071"/>
      <c r="L29" s="2071"/>
      <c r="M29" s="2071"/>
      <c r="N29" s="2071"/>
      <c r="O29" s="2071"/>
      <c r="P29" s="2071"/>
    </row>
    <row r="30" spans="2:16" s="1066" customFormat="1" ht="12.75" x14ac:dyDescent="0.2">
      <c r="B30" s="2029"/>
      <c r="C30" s="2070"/>
      <c r="D30" s="2070"/>
      <c r="E30" s="2070"/>
      <c r="F30" s="2070"/>
      <c r="G30" s="2070"/>
      <c r="H30" s="2070"/>
      <c r="I30" s="2070"/>
      <c r="J30" s="2070"/>
      <c r="K30" s="2070"/>
      <c r="L30" s="2070"/>
      <c r="M30" s="2070"/>
      <c r="N30" s="2070"/>
      <c r="O30" s="2070"/>
      <c r="P30" s="2070"/>
    </row>
    <row r="31" spans="2:16" s="1066" customFormat="1" ht="12.75" x14ac:dyDescent="0.2">
      <c r="B31" s="2029"/>
      <c r="C31" s="2070"/>
      <c r="D31" s="2070"/>
      <c r="E31" s="2070"/>
      <c r="F31" s="2070"/>
      <c r="G31" s="2070"/>
      <c r="H31" s="2070"/>
      <c r="I31" s="2070"/>
      <c r="J31" s="2070"/>
      <c r="K31" s="2070"/>
      <c r="L31" s="2070"/>
      <c r="M31" s="2070"/>
      <c r="N31" s="2070"/>
      <c r="O31" s="2070"/>
      <c r="P31" s="2070"/>
    </row>
    <row r="32" spans="2:16" s="1066" customFormat="1" ht="12.75" x14ac:dyDescent="0.2">
      <c r="B32" s="2030"/>
      <c r="C32" s="2071"/>
      <c r="D32" s="2071"/>
      <c r="E32" s="2071"/>
      <c r="F32" s="2071"/>
      <c r="G32" s="2071"/>
      <c r="H32" s="2071"/>
      <c r="I32" s="2071"/>
      <c r="J32" s="2071"/>
      <c r="K32" s="2071"/>
      <c r="L32" s="2071"/>
      <c r="M32" s="2071"/>
      <c r="N32" s="2071"/>
      <c r="O32" s="2071"/>
      <c r="P32" s="2071"/>
    </row>
    <row r="33" spans="1:21" s="1066" customFormat="1" ht="12.75" x14ac:dyDescent="0.2">
      <c r="B33" s="2029"/>
      <c r="C33" s="2070"/>
      <c r="D33" s="2070"/>
      <c r="E33" s="2070"/>
      <c r="F33" s="2070"/>
      <c r="G33" s="2070"/>
      <c r="H33" s="2070"/>
      <c r="I33" s="2070"/>
      <c r="J33" s="2070"/>
      <c r="K33" s="2070"/>
      <c r="L33" s="2070"/>
      <c r="M33" s="2070"/>
      <c r="N33" s="2070"/>
      <c r="O33" s="2070"/>
      <c r="P33" s="2070"/>
    </row>
    <row r="34" spans="1:21" s="1066" customFormat="1" ht="12.75" x14ac:dyDescent="0.2">
      <c r="B34" s="2029"/>
      <c r="C34" s="2070"/>
      <c r="D34" s="2070"/>
      <c r="E34" s="2070"/>
      <c r="F34" s="2070"/>
      <c r="G34" s="2070"/>
      <c r="H34" s="2070"/>
      <c r="I34" s="2070"/>
      <c r="J34" s="2070"/>
      <c r="K34" s="2070"/>
      <c r="L34" s="2070"/>
      <c r="M34" s="2070"/>
      <c r="N34" s="2070"/>
      <c r="O34" s="2070"/>
      <c r="P34" s="2070"/>
    </row>
    <row r="35" spans="1:21" s="1065" customFormat="1" ht="12.75" x14ac:dyDescent="0.2">
      <c r="A35" s="1065" t="s">
        <v>405</v>
      </c>
      <c r="B35" s="1076" t="s">
        <v>655</v>
      </c>
      <c r="C35" s="1076"/>
      <c r="D35" s="1076"/>
      <c r="E35" s="1076"/>
      <c r="F35" s="1076"/>
      <c r="G35" s="1076"/>
      <c r="H35" s="1076"/>
      <c r="I35" s="1076"/>
      <c r="J35" s="1076"/>
      <c r="K35" s="1076"/>
      <c r="L35" s="1076"/>
      <c r="M35" s="1076"/>
      <c r="N35" s="1076"/>
      <c r="O35" s="1076"/>
      <c r="P35" s="1076"/>
    </row>
    <row r="36" spans="1:21" s="1065" customFormat="1" x14ac:dyDescent="0.25">
      <c r="A36" s="1065" t="s">
        <v>406</v>
      </c>
      <c r="B36" s="1408" t="s">
        <v>1883</v>
      </c>
      <c r="C36" s="31"/>
      <c r="D36" s="31"/>
      <c r="E36" s="31"/>
      <c r="F36" s="31"/>
      <c r="G36" s="1453"/>
      <c r="H36" s="1453"/>
      <c r="I36" s="1453"/>
      <c r="J36" s="1453"/>
      <c r="K36" s="1453"/>
      <c r="L36" s="1453"/>
      <c r="M36" s="1453"/>
      <c r="N36" s="1453"/>
      <c r="O36" s="1453"/>
      <c r="P36" s="1063"/>
      <c r="Q36" s="1063"/>
      <c r="R36" s="1063"/>
      <c r="S36" s="1063"/>
      <c r="T36" s="1063"/>
      <c r="U36" s="1063"/>
    </row>
    <row r="37" spans="1:21" x14ac:dyDescent="0.25">
      <c r="A37" s="421" t="s">
        <v>407</v>
      </c>
      <c r="B37" s="1408"/>
      <c r="C37" s="31"/>
      <c r="D37" s="31"/>
      <c r="E37" s="31"/>
      <c r="F37" s="31"/>
      <c r="G37" s="1453"/>
      <c r="H37" s="1453"/>
      <c r="I37" s="1453"/>
      <c r="J37" s="1453"/>
      <c r="K37" s="1453"/>
      <c r="L37" s="1453"/>
      <c r="M37" s="1453"/>
      <c r="N37" s="1453"/>
      <c r="O37" s="1453"/>
      <c r="P37" s="1063"/>
      <c r="Q37" s="1063"/>
      <c r="R37" s="1063"/>
      <c r="S37" s="1063"/>
      <c r="T37" s="1063"/>
      <c r="U37" s="1063"/>
    </row>
    <row r="38" spans="1:21" x14ac:dyDescent="0.25">
      <c r="A38" s="421" t="s">
        <v>408</v>
      </c>
      <c r="B38" s="1408" t="s">
        <v>1884</v>
      </c>
      <c r="C38" s="31"/>
      <c r="D38" s="31"/>
      <c r="E38" s="31"/>
      <c r="F38" s="31"/>
      <c r="G38" s="1453"/>
      <c r="H38" s="1453"/>
      <c r="I38" s="1453"/>
      <c r="J38" s="1453"/>
      <c r="K38" s="1453"/>
      <c r="L38" s="1453"/>
      <c r="M38" s="1453"/>
      <c r="N38" s="1453"/>
      <c r="O38" s="1453"/>
      <c r="P38" s="1063"/>
      <c r="Q38" s="1063"/>
      <c r="R38" s="1063"/>
      <c r="S38" s="1063"/>
      <c r="T38" s="1063"/>
      <c r="U38" s="1063"/>
    </row>
    <row r="39" spans="1:21" x14ac:dyDescent="0.25">
      <c r="A39" s="421" t="s">
        <v>409</v>
      </c>
      <c r="B39" s="1408" t="s">
        <v>1885</v>
      </c>
      <c r="C39" s="31"/>
      <c r="D39" s="31"/>
      <c r="E39" s="31"/>
      <c r="F39" s="31"/>
      <c r="G39" s="1453"/>
      <c r="H39" s="1453"/>
      <c r="I39" s="1453"/>
      <c r="J39" s="1453"/>
      <c r="K39" s="1453"/>
      <c r="L39" s="1453"/>
      <c r="M39" s="1453"/>
      <c r="N39" s="1453"/>
      <c r="O39" s="1453"/>
      <c r="P39" s="1063"/>
      <c r="Q39" s="1063"/>
      <c r="R39" s="1063"/>
      <c r="S39" s="1063"/>
      <c r="T39" s="1063"/>
      <c r="U39" s="1063"/>
    </row>
    <row r="40" spans="1:21" x14ac:dyDescent="0.25">
      <c r="A40" s="421" t="s">
        <v>410</v>
      </c>
      <c r="B40" s="1408" t="s">
        <v>1886</v>
      </c>
      <c r="C40" s="31"/>
      <c r="D40" s="31"/>
      <c r="E40" s="31"/>
      <c r="F40" s="31"/>
      <c r="G40" s="1453"/>
      <c r="H40" s="1453"/>
      <c r="I40" s="1453"/>
      <c r="J40" s="1453"/>
      <c r="K40" s="1453"/>
      <c r="L40" s="1453"/>
      <c r="M40" s="1453"/>
      <c r="N40" s="1453"/>
      <c r="O40" s="1453"/>
      <c r="P40" s="1063"/>
      <c r="Q40" s="1063"/>
      <c r="R40" s="1063"/>
      <c r="S40" s="1063"/>
      <c r="T40" s="1063"/>
      <c r="U40" s="1063"/>
    </row>
    <row r="41" spans="1:21" x14ac:dyDescent="0.25">
      <c r="B41" s="1408" t="s">
        <v>1887</v>
      </c>
      <c r="C41" s="31"/>
      <c r="D41" s="31"/>
      <c r="E41" s="31"/>
      <c r="F41" s="31"/>
      <c r="G41" s="1453"/>
      <c r="H41" s="1453"/>
      <c r="I41" s="1453"/>
      <c r="J41" s="1453"/>
      <c r="K41" s="1453"/>
      <c r="L41" s="1453"/>
      <c r="M41" s="1453"/>
      <c r="N41" s="1453"/>
      <c r="O41" s="1453"/>
      <c r="P41" s="1063"/>
      <c r="Q41" s="1063"/>
      <c r="R41" s="1063"/>
      <c r="S41" s="1063"/>
      <c r="T41" s="1063"/>
      <c r="U41" s="1063"/>
    </row>
    <row r="42" spans="1:21" x14ac:dyDescent="0.25">
      <c r="B42" s="1408" t="s">
        <v>1888</v>
      </c>
      <c r="C42" s="31"/>
      <c r="D42" s="31"/>
      <c r="E42" s="31"/>
      <c r="F42" s="31"/>
      <c r="G42" s="1453"/>
      <c r="H42" s="1453"/>
      <c r="I42" s="1453"/>
      <c r="J42" s="1453"/>
      <c r="K42" s="1453"/>
      <c r="L42" s="1453"/>
      <c r="M42" s="1453"/>
      <c r="N42" s="1453"/>
      <c r="O42" s="1453"/>
      <c r="P42" s="1063"/>
      <c r="Q42" s="1063"/>
      <c r="R42" s="1063"/>
      <c r="S42" s="1063"/>
      <c r="T42" s="1063"/>
      <c r="U42" s="1063"/>
    </row>
    <row r="43" spans="1:21" x14ac:dyDescent="0.25">
      <c r="B43" s="1408"/>
      <c r="C43" s="31"/>
      <c r="D43" s="31"/>
      <c r="E43" s="31"/>
      <c r="F43" s="31"/>
      <c r="G43" s="1453"/>
      <c r="H43" s="1453"/>
      <c r="I43" s="1453"/>
      <c r="J43" s="1453"/>
      <c r="K43" s="1453"/>
      <c r="L43" s="1453"/>
      <c r="M43" s="1453"/>
      <c r="N43" s="1453"/>
      <c r="O43" s="1453"/>
      <c r="P43" s="1063"/>
      <c r="Q43" s="1063"/>
      <c r="R43" s="1063"/>
      <c r="S43" s="1063"/>
      <c r="T43" s="1063"/>
      <c r="U43" s="1063"/>
    </row>
    <row r="44" spans="1:21" x14ac:dyDescent="0.25">
      <c r="B44" s="1" t="s">
        <v>1889</v>
      </c>
      <c r="C44" s="1"/>
      <c r="D44" s="1"/>
      <c r="E44" s="1"/>
      <c r="F44" s="1"/>
      <c r="G44" s="1"/>
      <c r="H44" s="2031"/>
      <c r="I44" s="1196"/>
      <c r="J44" s="2072"/>
      <c r="K44" s="2073"/>
      <c r="L44" s="2073"/>
      <c r="M44" s="2324"/>
      <c r="N44" s="2073"/>
      <c r="P44" s="2128" t="s">
        <v>1890</v>
      </c>
      <c r="Q44" s="1063"/>
      <c r="R44" s="1063"/>
      <c r="S44" s="1063"/>
      <c r="T44" s="1063"/>
      <c r="U44" s="1063"/>
    </row>
    <row r="45" spans="1:21" x14ac:dyDescent="0.25">
      <c r="B45" s="1408"/>
      <c r="C45" s="1408"/>
      <c r="D45" s="31"/>
      <c r="E45" s="31"/>
      <c r="F45" s="31"/>
      <c r="G45" s="31"/>
      <c r="H45" s="31"/>
      <c r="I45" s="31"/>
      <c r="J45" s="31"/>
      <c r="K45" s="31"/>
      <c r="L45" s="31"/>
      <c r="M45" s="31"/>
      <c r="N45" s="31"/>
      <c r="O45" s="31"/>
      <c r="P45" s="1063"/>
      <c r="Q45" s="1063"/>
      <c r="R45" s="1063"/>
      <c r="S45" s="1063"/>
      <c r="T45" s="1063"/>
      <c r="U45" s="1063"/>
    </row>
    <row r="46" spans="1:21" x14ac:dyDescent="0.25">
      <c r="B46" s="1408" t="s">
        <v>1891</v>
      </c>
      <c r="C46" s="31"/>
      <c r="D46" s="31"/>
      <c r="E46" s="31"/>
      <c r="F46" s="31"/>
      <c r="G46" s="1453"/>
      <c r="H46" s="1453"/>
      <c r="I46" s="1453"/>
      <c r="J46" s="1453"/>
      <c r="K46" s="1453"/>
      <c r="L46" s="1453"/>
      <c r="M46" s="1453"/>
      <c r="N46" s="1453"/>
      <c r="O46" s="1453"/>
      <c r="P46" s="1063"/>
      <c r="Q46" s="1063"/>
      <c r="R46" s="1063"/>
      <c r="S46" s="1063"/>
      <c r="T46" s="1063"/>
      <c r="U46" s="1063"/>
    </row>
    <row r="47" spans="1:21" x14ac:dyDescent="0.25">
      <c r="B47" s="1408" t="s">
        <v>1892</v>
      </c>
      <c r="C47" s="31"/>
      <c r="D47" s="31"/>
      <c r="E47" s="31"/>
      <c r="F47" s="31"/>
      <c r="G47" s="1453"/>
      <c r="H47" s="1453"/>
      <c r="I47" s="1453"/>
      <c r="J47" s="1453"/>
      <c r="K47" s="1453"/>
      <c r="L47" s="1453"/>
      <c r="M47" s="1453"/>
      <c r="N47" s="1453"/>
      <c r="O47" s="1453"/>
      <c r="P47" s="1063"/>
      <c r="Q47" s="1063"/>
      <c r="R47" s="1063"/>
      <c r="S47" s="1063"/>
      <c r="T47" s="1063"/>
      <c r="U47" s="1063"/>
    </row>
    <row r="48" spans="1:21" x14ac:dyDescent="0.25">
      <c r="B48" s="1063"/>
      <c r="C48" s="1063"/>
      <c r="D48" s="1063"/>
      <c r="E48" s="1063"/>
      <c r="F48" s="1063"/>
      <c r="G48" s="1063"/>
      <c r="H48" s="1063"/>
      <c r="I48" s="1063"/>
      <c r="J48" s="1063"/>
      <c r="K48" s="1064"/>
      <c r="L48" s="1067" t="s">
        <v>50</v>
      </c>
      <c r="M48" s="1067"/>
      <c r="N48" s="1063"/>
      <c r="O48" s="1063"/>
      <c r="P48" s="1063"/>
      <c r="Q48" s="1063"/>
      <c r="R48" s="1063"/>
      <c r="S48" s="1063"/>
      <c r="T48" s="1063"/>
      <c r="U48" s="1063"/>
    </row>
    <row r="49" spans="2:21" x14ac:dyDescent="0.25">
      <c r="B49" s="2035" t="s">
        <v>1893</v>
      </c>
      <c r="C49" s="1063"/>
      <c r="D49" s="1063"/>
      <c r="E49" s="1063"/>
      <c r="F49" s="2034"/>
      <c r="G49" s="2034"/>
      <c r="H49" s="2034"/>
      <c r="I49" s="2034"/>
      <c r="J49" s="2034"/>
      <c r="K49" s="1064"/>
      <c r="L49" s="1063"/>
      <c r="M49" s="1063"/>
      <c r="N49" s="1063"/>
      <c r="O49" s="1063"/>
      <c r="P49" s="1063"/>
      <c r="Q49" s="1063"/>
      <c r="R49" s="1063"/>
      <c r="S49" s="1063"/>
      <c r="T49" s="1063"/>
      <c r="U49" s="1063"/>
    </row>
    <row r="50" spans="2:21" x14ac:dyDescent="0.25">
      <c r="B50" s="1063"/>
      <c r="C50" s="1063"/>
      <c r="D50" s="1063"/>
      <c r="E50" s="1063"/>
      <c r="F50" s="1063"/>
      <c r="G50" s="1063"/>
      <c r="H50" s="1063"/>
      <c r="I50" s="1063"/>
      <c r="J50" s="1063"/>
      <c r="K50" s="1064"/>
      <c r="L50" s="1063"/>
      <c r="M50" s="1063"/>
      <c r="N50" s="1063"/>
      <c r="O50" s="1063"/>
      <c r="P50" s="1063"/>
      <c r="Q50" s="1063"/>
      <c r="R50" s="1063"/>
      <c r="S50" s="1063"/>
      <c r="T50" s="1063"/>
      <c r="U50" s="1063"/>
    </row>
    <row r="51" spans="2:21" x14ac:dyDescent="0.25">
      <c r="B51" s="2035" t="s">
        <v>1894</v>
      </c>
      <c r="C51" s="1063"/>
      <c r="D51" s="1063"/>
      <c r="E51" s="1063"/>
      <c r="F51" s="2034"/>
      <c r="G51" s="2034"/>
      <c r="H51" s="2034"/>
      <c r="I51" s="2034"/>
      <c r="J51" s="2034"/>
      <c r="K51" s="1064"/>
      <c r="L51" s="1063"/>
      <c r="M51" s="1063"/>
      <c r="N51" s="1063"/>
      <c r="O51" s="1063"/>
      <c r="P51" s="1063"/>
      <c r="Q51" s="1063"/>
      <c r="R51" s="1063"/>
      <c r="S51" s="1063"/>
      <c r="T51" s="1063"/>
      <c r="U51" s="1063"/>
    </row>
    <row r="52" spans="2:21" x14ac:dyDescent="0.25">
      <c r="B52" s="1063"/>
      <c r="C52" s="1063"/>
      <c r="D52" s="1063"/>
      <c r="E52" s="1063"/>
      <c r="F52" s="1063"/>
      <c r="G52" s="1063"/>
      <c r="H52" s="1063"/>
      <c r="I52" s="1063"/>
      <c r="J52" s="1063"/>
      <c r="K52" s="1064"/>
      <c r="L52" s="1063"/>
      <c r="M52" s="1063"/>
      <c r="N52" s="1063"/>
      <c r="O52" s="1063"/>
      <c r="P52" s="1063"/>
      <c r="Q52" s="1063"/>
      <c r="R52" s="1063"/>
      <c r="S52" s="1063"/>
      <c r="T52" s="1063"/>
      <c r="U52" s="1063"/>
    </row>
  </sheetData>
  <sheetProtection algorithmName="SHA-512" hashValue="HSBzU4LMKDyzoALl5E9g/hXZZVwb0+BD9D/k/8YTUnQpWy2BhdNtbplTyPV2q8lmCXsZw+JGufkeQvXOgew5Fw==" saltValue="hI9oRbM2QJWZtTFzOs7lJA==" spinCount="100000" sheet="1" objects="1" scenarios="1"/>
  <mergeCells count="8">
    <mergeCell ref="T1:T3"/>
    <mergeCell ref="D6:H6"/>
    <mergeCell ref="L6:P6"/>
    <mergeCell ref="B1:P1"/>
    <mergeCell ref="B2:P2"/>
    <mergeCell ref="B3:P3"/>
    <mergeCell ref="O4:P4"/>
    <mergeCell ref="L5:P5"/>
  </mergeCells>
  <conditionalFormatting sqref="T1:T3">
    <cfRule type="cellIs" dxfId="69" priority="1" stopIfTrue="1" operator="equal">
      <formula>"na"</formula>
    </cfRule>
  </conditionalFormatting>
  <dataValidations count="9">
    <dataValidation type="textLength" operator="equal" allowBlank="1" showInputMessage="1" showErrorMessage="1" errorTitle="Invalid data!" error="GASB number must be 4 digits." sqref="D14 L14:L20" xr:uid="{9BD57B95-5619-4270-AFAE-C951ECC7A877}">
      <formula1>6</formula1>
    </dataValidation>
    <dataValidation type="textLength" operator="equal" allowBlank="1" showInputMessage="1" showErrorMessage="1" sqref="F14" xr:uid="{D6DE0199-9A82-41B2-AE8E-E2E2EE52FCC1}">
      <formula1>8</formula1>
    </dataValidation>
    <dataValidation type="textLength" operator="equal" allowBlank="1" showInputMessage="1" showErrorMessage="1" errorTitle="Wrong Account" error="This is not a valid NCFS Account. Please contact your OSC analyst before proceeding." sqref="F15:F20" xr:uid="{082B8393-C9DF-4BCE-AABD-1002234DC5CC}">
      <formula1>8</formula1>
    </dataValidation>
    <dataValidation type="textLength" operator="equal" allowBlank="1" showInputMessage="1" showErrorMessage="1" errorTitle="Invalid data!" error="Company number must be 4 digits." sqref="J14" xr:uid="{CF6A5375-339B-493A-9CD1-C05FD41D20D9}">
      <formula1>6</formula1>
    </dataValidation>
    <dataValidation type="textLength" operator="equal" allowBlank="1" showInputMessage="1" showErrorMessage="1" errorTitle="Invalid data!" error="GASB number must be 4 digits." sqref="D65544:D65558 IK65544:IK65558 SG65544:SG65558 ACC65544:ACC65558 ALY65544:ALY65558 AVU65544:AVU65558 BFQ65544:BFQ65558 BPM65544:BPM65558 BZI65544:BZI65558 CJE65544:CJE65558 CTA65544:CTA65558 DCW65544:DCW65558 DMS65544:DMS65558 DWO65544:DWO65558 EGK65544:EGK65558 EQG65544:EQG65558 FAC65544:FAC65558 FJY65544:FJY65558 FTU65544:FTU65558 GDQ65544:GDQ65558 GNM65544:GNM65558 GXI65544:GXI65558 HHE65544:HHE65558 HRA65544:HRA65558 IAW65544:IAW65558 IKS65544:IKS65558 IUO65544:IUO65558 JEK65544:JEK65558 JOG65544:JOG65558 JYC65544:JYC65558 KHY65544:KHY65558 KRU65544:KRU65558 LBQ65544:LBQ65558 LLM65544:LLM65558 LVI65544:LVI65558 MFE65544:MFE65558 MPA65544:MPA65558 MYW65544:MYW65558 NIS65544:NIS65558 NSO65544:NSO65558 OCK65544:OCK65558 OMG65544:OMG65558 OWC65544:OWC65558 PFY65544:PFY65558 PPU65544:PPU65558 PZQ65544:PZQ65558 QJM65544:QJM65558 QTI65544:QTI65558 RDE65544:RDE65558 RNA65544:RNA65558 RWW65544:RWW65558 SGS65544:SGS65558 SQO65544:SQO65558 TAK65544:TAK65558 TKG65544:TKG65558 TUC65544:TUC65558 UDY65544:UDY65558 UNU65544:UNU65558 UXQ65544:UXQ65558 VHM65544:VHM65558 VRI65544:VRI65558 WBE65544:WBE65558 WLA65544:WLA65558 WUW65544:WUW65558 D131080:D131094 IK131080:IK131094 SG131080:SG131094 ACC131080:ACC131094 ALY131080:ALY131094 AVU131080:AVU131094 BFQ131080:BFQ131094 BPM131080:BPM131094 BZI131080:BZI131094 CJE131080:CJE131094 CTA131080:CTA131094 DCW131080:DCW131094 DMS131080:DMS131094 DWO131080:DWO131094 EGK131080:EGK131094 EQG131080:EQG131094 FAC131080:FAC131094 FJY131080:FJY131094 FTU131080:FTU131094 GDQ131080:GDQ131094 GNM131080:GNM131094 GXI131080:GXI131094 HHE131080:HHE131094 HRA131080:HRA131094 IAW131080:IAW131094 IKS131080:IKS131094 IUO131080:IUO131094 JEK131080:JEK131094 JOG131080:JOG131094 JYC131080:JYC131094 KHY131080:KHY131094 KRU131080:KRU131094 LBQ131080:LBQ131094 LLM131080:LLM131094 LVI131080:LVI131094 MFE131080:MFE131094 MPA131080:MPA131094 MYW131080:MYW131094 NIS131080:NIS131094 NSO131080:NSO131094 OCK131080:OCK131094 OMG131080:OMG131094 OWC131080:OWC131094 PFY131080:PFY131094 PPU131080:PPU131094 PZQ131080:PZQ131094 QJM131080:QJM131094 QTI131080:QTI131094 RDE131080:RDE131094 RNA131080:RNA131094 RWW131080:RWW131094 SGS131080:SGS131094 SQO131080:SQO131094 TAK131080:TAK131094 TKG131080:TKG131094 TUC131080:TUC131094 UDY131080:UDY131094 UNU131080:UNU131094 UXQ131080:UXQ131094 VHM131080:VHM131094 VRI131080:VRI131094 WBE131080:WBE131094 WLA131080:WLA131094 WUW131080:WUW131094 D196616:D196630 IK196616:IK196630 SG196616:SG196630 ACC196616:ACC196630 ALY196616:ALY196630 AVU196616:AVU196630 BFQ196616:BFQ196630 BPM196616:BPM196630 BZI196616:BZI196630 CJE196616:CJE196630 CTA196616:CTA196630 DCW196616:DCW196630 DMS196616:DMS196630 DWO196616:DWO196630 EGK196616:EGK196630 EQG196616:EQG196630 FAC196616:FAC196630 FJY196616:FJY196630 FTU196616:FTU196630 GDQ196616:GDQ196630 GNM196616:GNM196630 GXI196616:GXI196630 HHE196616:HHE196630 HRA196616:HRA196630 IAW196616:IAW196630 IKS196616:IKS196630 IUO196616:IUO196630 JEK196616:JEK196630 JOG196616:JOG196630 JYC196616:JYC196630 KHY196616:KHY196630 KRU196616:KRU196630 LBQ196616:LBQ196630 LLM196616:LLM196630 LVI196616:LVI196630 MFE196616:MFE196630 MPA196616:MPA196630 MYW196616:MYW196630 NIS196616:NIS196630 NSO196616:NSO196630 OCK196616:OCK196630 OMG196616:OMG196630 OWC196616:OWC196630 PFY196616:PFY196630 PPU196616:PPU196630 PZQ196616:PZQ196630 QJM196616:QJM196630 QTI196616:QTI196630 RDE196616:RDE196630 RNA196616:RNA196630 RWW196616:RWW196630 SGS196616:SGS196630 SQO196616:SQO196630 TAK196616:TAK196630 TKG196616:TKG196630 TUC196616:TUC196630 UDY196616:UDY196630 UNU196616:UNU196630 UXQ196616:UXQ196630 VHM196616:VHM196630 VRI196616:VRI196630 WBE196616:WBE196630 WLA196616:WLA196630 WUW196616:WUW196630 D262152:D262166 IK262152:IK262166 SG262152:SG262166 ACC262152:ACC262166 ALY262152:ALY262166 AVU262152:AVU262166 BFQ262152:BFQ262166 BPM262152:BPM262166 BZI262152:BZI262166 CJE262152:CJE262166 CTA262152:CTA262166 DCW262152:DCW262166 DMS262152:DMS262166 DWO262152:DWO262166 EGK262152:EGK262166 EQG262152:EQG262166 FAC262152:FAC262166 FJY262152:FJY262166 FTU262152:FTU262166 GDQ262152:GDQ262166 GNM262152:GNM262166 GXI262152:GXI262166 HHE262152:HHE262166 HRA262152:HRA262166 IAW262152:IAW262166 IKS262152:IKS262166 IUO262152:IUO262166 JEK262152:JEK262166 JOG262152:JOG262166 JYC262152:JYC262166 KHY262152:KHY262166 KRU262152:KRU262166 LBQ262152:LBQ262166 LLM262152:LLM262166 LVI262152:LVI262166 MFE262152:MFE262166 MPA262152:MPA262166 MYW262152:MYW262166 NIS262152:NIS262166 NSO262152:NSO262166 OCK262152:OCK262166 OMG262152:OMG262166 OWC262152:OWC262166 PFY262152:PFY262166 PPU262152:PPU262166 PZQ262152:PZQ262166 QJM262152:QJM262166 QTI262152:QTI262166 RDE262152:RDE262166 RNA262152:RNA262166 RWW262152:RWW262166 SGS262152:SGS262166 SQO262152:SQO262166 TAK262152:TAK262166 TKG262152:TKG262166 TUC262152:TUC262166 UDY262152:UDY262166 UNU262152:UNU262166 UXQ262152:UXQ262166 VHM262152:VHM262166 VRI262152:VRI262166 WBE262152:WBE262166 WLA262152:WLA262166 WUW262152:WUW262166 D327688:D327702 IK327688:IK327702 SG327688:SG327702 ACC327688:ACC327702 ALY327688:ALY327702 AVU327688:AVU327702 BFQ327688:BFQ327702 BPM327688:BPM327702 BZI327688:BZI327702 CJE327688:CJE327702 CTA327688:CTA327702 DCW327688:DCW327702 DMS327688:DMS327702 DWO327688:DWO327702 EGK327688:EGK327702 EQG327688:EQG327702 FAC327688:FAC327702 FJY327688:FJY327702 FTU327688:FTU327702 GDQ327688:GDQ327702 GNM327688:GNM327702 GXI327688:GXI327702 HHE327688:HHE327702 HRA327688:HRA327702 IAW327688:IAW327702 IKS327688:IKS327702 IUO327688:IUO327702 JEK327688:JEK327702 JOG327688:JOG327702 JYC327688:JYC327702 KHY327688:KHY327702 KRU327688:KRU327702 LBQ327688:LBQ327702 LLM327688:LLM327702 LVI327688:LVI327702 MFE327688:MFE327702 MPA327688:MPA327702 MYW327688:MYW327702 NIS327688:NIS327702 NSO327688:NSO327702 OCK327688:OCK327702 OMG327688:OMG327702 OWC327688:OWC327702 PFY327688:PFY327702 PPU327688:PPU327702 PZQ327688:PZQ327702 QJM327688:QJM327702 QTI327688:QTI327702 RDE327688:RDE327702 RNA327688:RNA327702 RWW327688:RWW327702 SGS327688:SGS327702 SQO327688:SQO327702 TAK327688:TAK327702 TKG327688:TKG327702 TUC327688:TUC327702 UDY327688:UDY327702 UNU327688:UNU327702 UXQ327688:UXQ327702 VHM327688:VHM327702 VRI327688:VRI327702 WBE327688:WBE327702 WLA327688:WLA327702 WUW327688:WUW327702 D393224:D393238 IK393224:IK393238 SG393224:SG393238 ACC393224:ACC393238 ALY393224:ALY393238 AVU393224:AVU393238 BFQ393224:BFQ393238 BPM393224:BPM393238 BZI393224:BZI393238 CJE393224:CJE393238 CTA393224:CTA393238 DCW393224:DCW393238 DMS393224:DMS393238 DWO393224:DWO393238 EGK393224:EGK393238 EQG393224:EQG393238 FAC393224:FAC393238 FJY393224:FJY393238 FTU393224:FTU393238 GDQ393224:GDQ393238 GNM393224:GNM393238 GXI393224:GXI393238 HHE393224:HHE393238 HRA393224:HRA393238 IAW393224:IAW393238 IKS393224:IKS393238 IUO393224:IUO393238 JEK393224:JEK393238 JOG393224:JOG393238 JYC393224:JYC393238 KHY393224:KHY393238 KRU393224:KRU393238 LBQ393224:LBQ393238 LLM393224:LLM393238 LVI393224:LVI393238 MFE393224:MFE393238 MPA393224:MPA393238 MYW393224:MYW393238 NIS393224:NIS393238 NSO393224:NSO393238 OCK393224:OCK393238 OMG393224:OMG393238 OWC393224:OWC393238 PFY393224:PFY393238 PPU393224:PPU393238 PZQ393224:PZQ393238 QJM393224:QJM393238 QTI393224:QTI393238 RDE393224:RDE393238 RNA393224:RNA393238 RWW393224:RWW393238 SGS393224:SGS393238 SQO393224:SQO393238 TAK393224:TAK393238 TKG393224:TKG393238 TUC393224:TUC393238 UDY393224:UDY393238 UNU393224:UNU393238 UXQ393224:UXQ393238 VHM393224:VHM393238 VRI393224:VRI393238 WBE393224:WBE393238 WLA393224:WLA393238 WUW393224:WUW393238 D458760:D458774 IK458760:IK458774 SG458760:SG458774 ACC458760:ACC458774 ALY458760:ALY458774 AVU458760:AVU458774 BFQ458760:BFQ458774 BPM458760:BPM458774 BZI458760:BZI458774 CJE458760:CJE458774 CTA458760:CTA458774 DCW458760:DCW458774 DMS458760:DMS458774 DWO458760:DWO458774 EGK458760:EGK458774 EQG458760:EQG458774 FAC458760:FAC458774 FJY458760:FJY458774 FTU458760:FTU458774 GDQ458760:GDQ458774 GNM458760:GNM458774 GXI458760:GXI458774 HHE458760:HHE458774 HRA458760:HRA458774 IAW458760:IAW458774 IKS458760:IKS458774 IUO458760:IUO458774 JEK458760:JEK458774 JOG458760:JOG458774 JYC458760:JYC458774 KHY458760:KHY458774 KRU458760:KRU458774 LBQ458760:LBQ458774 LLM458760:LLM458774 LVI458760:LVI458774 MFE458760:MFE458774 MPA458760:MPA458774 MYW458760:MYW458774 NIS458760:NIS458774 NSO458760:NSO458774 OCK458760:OCK458774 OMG458760:OMG458774 OWC458760:OWC458774 PFY458760:PFY458774 PPU458760:PPU458774 PZQ458760:PZQ458774 QJM458760:QJM458774 QTI458760:QTI458774 RDE458760:RDE458774 RNA458760:RNA458774 RWW458760:RWW458774 SGS458760:SGS458774 SQO458760:SQO458774 TAK458760:TAK458774 TKG458760:TKG458774 TUC458760:TUC458774 UDY458760:UDY458774 UNU458760:UNU458774 UXQ458760:UXQ458774 VHM458760:VHM458774 VRI458760:VRI458774 WBE458760:WBE458774 WLA458760:WLA458774 WUW458760:WUW458774 D524296:D524310 IK524296:IK524310 SG524296:SG524310 ACC524296:ACC524310 ALY524296:ALY524310 AVU524296:AVU524310 BFQ524296:BFQ524310 BPM524296:BPM524310 BZI524296:BZI524310 CJE524296:CJE524310 CTA524296:CTA524310 DCW524296:DCW524310 DMS524296:DMS524310 DWO524296:DWO524310 EGK524296:EGK524310 EQG524296:EQG524310 FAC524296:FAC524310 FJY524296:FJY524310 FTU524296:FTU524310 GDQ524296:GDQ524310 GNM524296:GNM524310 GXI524296:GXI524310 HHE524296:HHE524310 HRA524296:HRA524310 IAW524296:IAW524310 IKS524296:IKS524310 IUO524296:IUO524310 JEK524296:JEK524310 JOG524296:JOG524310 JYC524296:JYC524310 KHY524296:KHY524310 KRU524296:KRU524310 LBQ524296:LBQ524310 LLM524296:LLM524310 LVI524296:LVI524310 MFE524296:MFE524310 MPA524296:MPA524310 MYW524296:MYW524310 NIS524296:NIS524310 NSO524296:NSO524310 OCK524296:OCK524310 OMG524296:OMG524310 OWC524296:OWC524310 PFY524296:PFY524310 PPU524296:PPU524310 PZQ524296:PZQ524310 QJM524296:QJM524310 QTI524296:QTI524310 RDE524296:RDE524310 RNA524296:RNA524310 RWW524296:RWW524310 SGS524296:SGS524310 SQO524296:SQO524310 TAK524296:TAK524310 TKG524296:TKG524310 TUC524296:TUC524310 UDY524296:UDY524310 UNU524296:UNU524310 UXQ524296:UXQ524310 VHM524296:VHM524310 VRI524296:VRI524310 WBE524296:WBE524310 WLA524296:WLA524310 WUW524296:WUW524310 D589832:D589846 IK589832:IK589846 SG589832:SG589846 ACC589832:ACC589846 ALY589832:ALY589846 AVU589832:AVU589846 BFQ589832:BFQ589846 BPM589832:BPM589846 BZI589832:BZI589846 CJE589832:CJE589846 CTA589832:CTA589846 DCW589832:DCW589846 DMS589832:DMS589846 DWO589832:DWO589846 EGK589832:EGK589846 EQG589832:EQG589846 FAC589832:FAC589846 FJY589832:FJY589846 FTU589832:FTU589846 GDQ589832:GDQ589846 GNM589832:GNM589846 GXI589832:GXI589846 HHE589832:HHE589846 HRA589832:HRA589846 IAW589832:IAW589846 IKS589832:IKS589846 IUO589832:IUO589846 JEK589832:JEK589846 JOG589832:JOG589846 JYC589832:JYC589846 KHY589832:KHY589846 KRU589832:KRU589846 LBQ589832:LBQ589846 LLM589832:LLM589846 LVI589832:LVI589846 MFE589832:MFE589846 MPA589832:MPA589846 MYW589832:MYW589846 NIS589832:NIS589846 NSO589832:NSO589846 OCK589832:OCK589846 OMG589832:OMG589846 OWC589832:OWC589846 PFY589832:PFY589846 PPU589832:PPU589846 PZQ589832:PZQ589846 QJM589832:QJM589846 QTI589832:QTI589846 RDE589832:RDE589846 RNA589832:RNA589846 RWW589832:RWW589846 SGS589832:SGS589846 SQO589832:SQO589846 TAK589832:TAK589846 TKG589832:TKG589846 TUC589832:TUC589846 UDY589832:UDY589846 UNU589832:UNU589846 UXQ589832:UXQ589846 VHM589832:VHM589846 VRI589832:VRI589846 WBE589832:WBE589846 WLA589832:WLA589846 WUW589832:WUW589846 D655368:D655382 IK655368:IK655382 SG655368:SG655382 ACC655368:ACC655382 ALY655368:ALY655382 AVU655368:AVU655382 BFQ655368:BFQ655382 BPM655368:BPM655382 BZI655368:BZI655382 CJE655368:CJE655382 CTA655368:CTA655382 DCW655368:DCW655382 DMS655368:DMS655382 DWO655368:DWO655382 EGK655368:EGK655382 EQG655368:EQG655382 FAC655368:FAC655382 FJY655368:FJY655382 FTU655368:FTU655382 GDQ655368:GDQ655382 GNM655368:GNM655382 GXI655368:GXI655382 HHE655368:HHE655382 HRA655368:HRA655382 IAW655368:IAW655382 IKS655368:IKS655382 IUO655368:IUO655382 JEK655368:JEK655382 JOG655368:JOG655382 JYC655368:JYC655382 KHY655368:KHY655382 KRU655368:KRU655382 LBQ655368:LBQ655382 LLM655368:LLM655382 LVI655368:LVI655382 MFE655368:MFE655382 MPA655368:MPA655382 MYW655368:MYW655382 NIS655368:NIS655382 NSO655368:NSO655382 OCK655368:OCK655382 OMG655368:OMG655382 OWC655368:OWC655382 PFY655368:PFY655382 PPU655368:PPU655382 PZQ655368:PZQ655382 QJM655368:QJM655382 QTI655368:QTI655382 RDE655368:RDE655382 RNA655368:RNA655382 RWW655368:RWW655382 SGS655368:SGS655382 SQO655368:SQO655382 TAK655368:TAK655382 TKG655368:TKG655382 TUC655368:TUC655382 UDY655368:UDY655382 UNU655368:UNU655382 UXQ655368:UXQ655382 VHM655368:VHM655382 VRI655368:VRI655382 WBE655368:WBE655382 WLA655368:WLA655382 WUW655368:WUW655382 D720904:D720918 IK720904:IK720918 SG720904:SG720918 ACC720904:ACC720918 ALY720904:ALY720918 AVU720904:AVU720918 BFQ720904:BFQ720918 BPM720904:BPM720918 BZI720904:BZI720918 CJE720904:CJE720918 CTA720904:CTA720918 DCW720904:DCW720918 DMS720904:DMS720918 DWO720904:DWO720918 EGK720904:EGK720918 EQG720904:EQG720918 FAC720904:FAC720918 FJY720904:FJY720918 FTU720904:FTU720918 GDQ720904:GDQ720918 GNM720904:GNM720918 GXI720904:GXI720918 HHE720904:HHE720918 HRA720904:HRA720918 IAW720904:IAW720918 IKS720904:IKS720918 IUO720904:IUO720918 JEK720904:JEK720918 JOG720904:JOG720918 JYC720904:JYC720918 KHY720904:KHY720918 KRU720904:KRU720918 LBQ720904:LBQ720918 LLM720904:LLM720918 LVI720904:LVI720918 MFE720904:MFE720918 MPA720904:MPA720918 MYW720904:MYW720918 NIS720904:NIS720918 NSO720904:NSO720918 OCK720904:OCK720918 OMG720904:OMG720918 OWC720904:OWC720918 PFY720904:PFY720918 PPU720904:PPU720918 PZQ720904:PZQ720918 QJM720904:QJM720918 QTI720904:QTI720918 RDE720904:RDE720918 RNA720904:RNA720918 RWW720904:RWW720918 SGS720904:SGS720918 SQO720904:SQO720918 TAK720904:TAK720918 TKG720904:TKG720918 TUC720904:TUC720918 UDY720904:UDY720918 UNU720904:UNU720918 UXQ720904:UXQ720918 VHM720904:VHM720918 VRI720904:VRI720918 WBE720904:WBE720918 WLA720904:WLA720918 WUW720904:WUW720918 D786440:D786454 IK786440:IK786454 SG786440:SG786454 ACC786440:ACC786454 ALY786440:ALY786454 AVU786440:AVU786454 BFQ786440:BFQ786454 BPM786440:BPM786454 BZI786440:BZI786454 CJE786440:CJE786454 CTA786440:CTA786454 DCW786440:DCW786454 DMS786440:DMS786454 DWO786440:DWO786454 EGK786440:EGK786454 EQG786440:EQG786454 FAC786440:FAC786454 FJY786440:FJY786454 FTU786440:FTU786454 GDQ786440:GDQ786454 GNM786440:GNM786454 GXI786440:GXI786454 HHE786440:HHE786454 HRA786440:HRA786454 IAW786440:IAW786454 IKS786440:IKS786454 IUO786440:IUO786454 JEK786440:JEK786454 JOG786440:JOG786454 JYC786440:JYC786454 KHY786440:KHY786454 KRU786440:KRU786454 LBQ786440:LBQ786454 LLM786440:LLM786454 LVI786440:LVI786454 MFE786440:MFE786454 MPA786440:MPA786454 MYW786440:MYW786454 NIS786440:NIS786454 NSO786440:NSO786454 OCK786440:OCK786454 OMG786440:OMG786454 OWC786440:OWC786454 PFY786440:PFY786454 PPU786440:PPU786454 PZQ786440:PZQ786454 QJM786440:QJM786454 QTI786440:QTI786454 RDE786440:RDE786454 RNA786440:RNA786454 RWW786440:RWW786454 SGS786440:SGS786454 SQO786440:SQO786454 TAK786440:TAK786454 TKG786440:TKG786454 TUC786440:TUC786454 UDY786440:UDY786454 UNU786440:UNU786454 UXQ786440:UXQ786454 VHM786440:VHM786454 VRI786440:VRI786454 WBE786440:WBE786454 WLA786440:WLA786454 WUW786440:WUW786454 D851976:D851990 IK851976:IK851990 SG851976:SG851990 ACC851976:ACC851990 ALY851976:ALY851990 AVU851976:AVU851990 BFQ851976:BFQ851990 BPM851976:BPM851990 BZI851976:BZI851990 CJE851976:CJE851990 CTA851976:CTA851990 DCW851976:DCW851990 DMS851976:DMS851990 DWO851976:DWO851990 EGK851976:EGK851990 EQG851976:EQG851990 FAC851976:FAC851990 FJY851976:FJY851990 FTU851976:FTU851990 GDQ851976:GDQ851990 GNM851976:GNM851990 GXI851976:GXI851990 HHE851976:HHE851990 HRA851976:HRA851990 IAW851976:IAW851990 IKS851976:IKS851990 IUO851976:IUO851990 JEK851976:JEK851990 JOG851976:JOG851990 JYC851976:JYC851990 KHY851976:KHY851990 KRU851976:KRU851990 LBQ851976:LBQ851990 LLM851976:LLM851990 LVI851976:LVI851990 MFE851976:MFE851990 MPA851976:MPA851990 MYW851976:MYW851990 NIS851976:NIS851990 NSO851976:NSO851990 OCK851976:OCK851990 OMG851976:OMG851990 OWC851976:OWC851990 PFY851976:PFY851990 PPU851976:PPU851990 PZQ851976:PZQ851990 QJM851976:QJM851990 QTI851976:QTI851990 RDE851976:RDE851990 RNA851976:RNA851990 RWW851976:RWW851990 SGS851976:SGS851990 SQO851976:SQO851990 TAK851976:TAK851990 TKG851976:TKG851990 TUC851976:TUC851990 UDY851976:UDY851990 UNU851976:UNU851990 UXQ851976:UXQ851990 VHM851976:VHM851990 VRI851976:VRI851990 WBE851976:WBE851990 WLA851976:WLA851990 WUW851976:WUW851990 D917512:D917526 IK917512:IK917526 SG917512:SG917526 ACC917512:ACC917526 ALY917512:ALY917526 AVU917512:AVU917526 BFQ917512:BFQ917526 BPM917512:BPM917526 BZI917512:BZI917526 CJE917512:CJE917526 CTA917512:CTA917526 DCW917512:DCW917526 DMS917512:DMS917526 DWO917512:DWO917526 EGK917512:EGK917526 EQG917512:EQG917526 FAC917512:FAC917526 FJY917512:FJY917526 FTU917512:FTU917526 GDQ917512:GDQ917526 GNM917512:GNM917526 GXI917512:GXI917526 HHE917512:HHE917526 HRA917512:HRA917526 IAW917512:IAW917526 IKS917512:IKS917526 IUO917512:IUO917526 JEK917512:JEK917526 JOG917512:JOG917526 JYC917512:JYC917526 KHY917512:KHY917526 KRU917512:KRU917526 LBQ917512:LBQ917526 LLM917512:LLM917526 LVI917512:LVI917526 MFE917512:MFE917526 MPA917512:MPA917526 MYW917512:MYW917526 NIS917512:NIS917526 NSO917512:NSO917526 OCK917512:OCK917526 OMG917512:OMG917526 OWC917512:OWC917526 PFY917512:PFY917526 PPU917512:PPU917526 PZQ917512:PZQ917526 QJM917512:QJM917526 QTI917512:QTI917526 RDE917512:RDE917526 RNA917512:RNA917526 RWW917512:RWW917526 SGS917512:SGS917526 SQO917512:SQO917526 TAK917512:TAK917526 TKG917512:TKG917526 TUC917512:TUC917526 UDY917512:UDY917526 UNU917512:UNU917526 UXQ917512:UXQ917526 VHM917512:VHM917526 VRI917512:VRI917526 WBE917512:WBE917526 WLA917512:WLA917526 WUW917512:WUW917526 D983048:D983062 IK983048:IK983062 SG983048:SG983062 ACC983048:ACC983062 ALY983048:ALY983062 AVU983048:AVU983062 BFQ983048:BFQ983062 BPM983048:BPM983062 BZI983048:BZI983062 CJE983048:CJE983062 CTA983048:CTA983062 DCW983048:DCW983062 DMS983048:DMS983062 DWO983048:DWO983062 EGK983048:EGK983062 EQG983048:EQG983062 FAC983048:FAC983062 FJY983048:FJY983062 FTU983048:FTU983062 GDQ983048:GDQ983062 GNM983048:GNM983062 GXI983048:GXI983062 HHE983048:HHE983062 HRA983048:HRA983062 IAW983048:IAW983062 IKS983048:IKS983062 IUO983048:IUO983062 JEK983048:JEK983062 JOG983048:JOG983062 JYC983048:JYC983062 KHY983048:KHY983062 KRU983048:KRU983062 LBQ983048:LBQ983062 LLM983048:LLM983062 LVI983048:LVI983062 MFE983048:MFE983062 MPA983048:MPA983062 MYW983048:MYW983062 NIS983048:NIS983062 NSO983048:NSO983062 OCK983048:OCK983062 OMG983048:OMG983062 OWC983048:OWC983062 PFY983048:PFY983062 PPU983048:PPU983062 PZQ983048:PZQ983062 QJM983048:QJM983062 QTI983048:QTI983062 RDE983048:RDE983062 RNA983048:RNA983062 RWW983048:RWW983062 SGS983048:SGS983062 SQO983048:SQO983062 TAK983048:TAK983062 TKG983048:TKG983062 TUC983048:TUC983062 UDY983048:UDY983062 UNU983048:UNU983062 UXQ983048:UXQ983062 VHM983048:VHM983062 VRI983048:VRI983062 WBE983048:WBE983062 WLA983048:WLA983062 WUW983048:WUW983062 WVD983048:WVE983062 K65544:L65558 IR65544:IS65558 SN65544:SO65558 ACJ65544:ACK65558 AMF65544:AMG65558 AWB65544:AWC65558 BFX65544:BFY65558 BPT65544:BPU65558 BZP65544:BZQ65558 CJL65544:CJM65558 CTH65544:CTI65558 DDD65544:DDE65558 DMZ65544:DNA65558 DWV65544:DWW65558 EGR65544:EGS65558 EQN65544:EQO65558 FAJ65544:FAK65558 FKF65544:FKG65558 FUB65544:FUC65558 GDX65544:GDY65558 GNT65544:GNU65558 GXP65544:GXQ65558 HHL65544:HHM65558 HRH65544:HRI65558 IBD65544:IBE65558 IKZ65544:ILA65558 IUV65544:IUW65558 JER65544:JES65558 JON65544:JOO65558 JYJ65544:JYK65558 KIF65544:KIG65558 KSB65544:KSC65558 LBX65544:LBY65558 LLT65544:LLU65558 LVP65544:LVQ65558 MFL65544:MFM65558 MPH65544:MPI65558 MZD65544:MZE65558 NIZ65544:NJA65558 NSV65544:NSW65558 OCR65544:OCS65558 OMN65544:OMO65558 OWJ65544:OWK65558 PGF65544:PGG65558 PQB65544:PQC65558 PZX65544:PZY65558 QJT65544:QJU65558 QTP65544:QTQ65558 RDL65544:RDM65558 RNH65544:RNI65558 RXD65544:RXE65558 SGZ65544:SHA65558 SQV65544:SQW65558 TAR65544:TAS65558 TKN65544:TKO65558 TUJ65544:TUK65558 UEF65544:UEG65558 UOB65544:UOC65558 UXX65544:UXY65558 VHT65544:VHU65558 VRP65544:VRQ65558 WBL65544:WBM65558 WLH65544:WLI65558 WVD65544:WVE65558 K131080:L131094 IR131080:IS131094 SN131080:SO131094 ACJ131080:ACK131094 AMF131080:AMG131094 AWB131080:AWC131094 BFX131080:BFY131094 BPT131080:BPU131094 BZP131080:BZQ131094 CJL131080:CJM131094 CTH131080:CTI131094 DDD131080:DDE131094 DMZ131080:DNA131094 DWV131080:DWW131094 EGR131080:EGS131094 EQN131080:EQO131094 FAJ131080:FAK131094 FKF131080:FKG131094 FUB131080:FUC131094 GDX131080:GDY131094 GNT131080:GNU131094 GXP131080:GXQ131094 HHL131080:HHM131094 HRH131080:HRI131094 IBD131080:IBE131094 IKZ131080:ILA131094 IUV131080:IUW131094 JER131080:JES131094 JON131080:JOO131094 JYJ131080:JYK131094 KIF131080:KIG131094 KSB131080:KSC131094 LBX131080:LBY131094 LLT131080:LLU131094 LVP131080:LVQ131094 MFL131080:MFM131094 MPH131080:MPI131094 MZD131080:MZE131094 NIZ131080:NJA131094 NSV131080:NSW131094 OCR131080:OCS131094 OMN131080:OMO131094 OWJ131080:OWK131094 PGF131080:PGG131094 PQB131080:PQC131094 PZX131080:PZY131094 QJT131080:QJU131094 QTP131080:QTQ131094 RDL131080:RDM131094 RNH131080:RNI131094 RXD131080:RXE131094 SGZ131080:SHA131094 SQV131080:SQW131094 TAR131080:TAS131094 TKN131080:TKO131094 TUJ131080:TUK131094 UEF131080:UEG131094 UOB131080:UOC131094 UXX131080:UXY131094 VHT131080:VHU131094 VRP131080:VRQ131094 WBL131080:WBM131094 WLH131080:WLI131094 WVD131080:WVE131094 K196616:L196630 IR196616:IS196630 SN196616:SO196630 ACJ196616:ACK196630 AMF196616:AMG196630 AWB196616:AWC196630 BFX196616:BFY196630 BPT196616:BPU196630 BZP196616:BZQ196630 CJL196616:CJM196630 CTH196616:CTI196630 DDD196616:DDE196630 DMZ196616:DNA196630 DWV196616:DWW196630 EGR196616:EGS196630 EQN196616:EQO196630 FAJ196616:FAK196630 FKF196616:FKG196630 FUB196616:FUC196630 GDX196616:GDY196630 GNT196616:GNU196630 GXP196616:GXQ196630 HHL196616:HHM196630 HRH196616:HRI196630 IBD196616:IBE196630 IKZ196616:ILA196630 IUV196616:IUW196630 JER196616:JES196630 JON196616:JOO196630 JYJ196616:JYK196630 KIF196616:KIG196630 KSB196616:KSC196630 LBX196616:LBY196630 LLT196616:LLU196630 LVP196616:LVQ196630 MFL196616:MFM196630 MPH196616:MPI196630 MZD196616:MZE196630 NIZ196616:NJA196630 NSV196616:NSW196630 OCR196616:OCS196630 OMN196616:OMO196630 OWJ196616:OWK196630 PGF196616:PGG196630 PQB196616:PQC196630 PZX196616:PZY196630 QJT196616:QJU196630 QTP196616:QTQ196630 RDL196616:RDM196630 RNH196616:RNI196630 RXD196616:RXE196630 SGZ196616:SHA196630 SQV196616:SQW196630 TAR196616:TAS196630 TKN196616:TKO196630 TUJ196616:TUK196630 UEF196616:UEG196630 UOB196616:UOC196630 UXX196616:UXY196630 VHT196616:VHU196630 VRP196616:VRQ196630 WBL196616:WBM196630 WLH196616:WLI196630 WVD196616:WVE196630 K262152:L262166 IR262152:IS262166 SN262152:SO262166 ACJ262152:ACK262166 AMF262152:AMG262166 AWB262152:AWC262166 BFX262152:BFY262166 BPT262152:BPU262166 BZP262152:BZQ262166 CJL262152:CJM262166 CTH262152:CTI262166 DDD262152:DDE262166 DMZ262152:DNA262166 DWV262152:DWW262166 EGR262152:EGS262166 EQN262152:EQO262166 FAJ262152:FAK262166 FKF262152:FKG262166 FUB262152:FUC262166 GDX262152:GDY262166 GNT262152:GNU262166 GXP262152:GXQ262166 HHL262152:HHM262166 HRH262152:HRI262166 IBD262152:IBE262166 IKZ262152:ILA262166 IUV262152:IUW262166 JER262152:JES262166 JON262152:JOO262166 JYJ262152:JYK262166 KIF262152:KIG262166 KSB262152:KSC262166 LBX262152:LBY262166 LLT262152:LLU262166 LVP262152:LVQ262166 MFL262152:MFM262166 MPH262152:MPI262166 MZD262152:MZE262166 NIZ262152:NJA262166 NSV262152:NSW262166 OCR262152:OCS262166 OMN262152:OMO262166 OWJ262152:OWK262166 PGF262152:PGG262166 PQB262152:PQC262166 PZX262152:PZY262166 QJT262152:QJU262166 QTP262152:QTQ262166 RDL262152:RDM262166 RNH262152:RNI262166 RXD262152:RXE262166 SGZ262152:SHA262166 SQV262152:SQW262166 TAR262152:TAS262166 TKN262152:TKO262166 TUJ262152:TUK262166 UEF262152:UEG262166 UOB262152:UOC262166 UXX262152:UXY262166 VHT262152:VHU262166 VRP262152:VRQ262166 WBL262152:WBM262166 WLH262152:WLI262166 WVD262152:WVE262166 K327688:L327702 IR327688:IS327702 SN327688:SO327702 ACJ327688:ACK327702 AMF327688:AMG327702 AWB327688:AWC327702 BFX327688:BFY327702 BPT327688:BPU327702 BZP327688:BZQ327702 CJL327688:CJM327702 CTH327688:CTI327702 DDD327688:DDE327702 DMZ327688:DNA327702 DWV327688:DWW327702 EGR327688:EGS327702 EQN327688:EQO327702 FAJ327688:FAK327702 FKF327688:FKG327702 FUB327688:FUC327702 GDX327688:GDY327702 GNT327688:GNU327702 GXP327688:GXQ327702 HHL327688:HHM327702 HRH327688:HRI327702 IBD327688:IBE327702 IKZ327688:ILA327702 IUV327688:IUW327702 JER327688:JES327702 JON327688:JOO327702 JYJ327688:JYK327702 KIF327688:KIG327702 KSB327688:KSC327702 LBX327688:LBY327702 LLT327688:LLU327702 LVP327688:LVQ327702 MFL327688:MFM327702 MPH327688:MPI327702 MZD327688:MZE327702 NIZ327688:NJA327702 NSV327688:NSW327702 OCR327688:OCS327702 OMN327688:OMO327702 OWJ327688:OWK327702 PGF327688:PGG327702 PQB327688:PQC327702 PZX327688:PZY327702 QJT327688:QJU327702 QTP327688:QTQ327702 RDL327688:RDM327702 RNH327688:RNI327702 RXD327688:RXE327702 SGZ327688:SHA327702 SQV327688:SQW327702 TAR327688:TAS327702 TKN327688:TKO327702 TUJ327688:TUK327702 UEF327688:UEG327702 UOB327688:UOC327702 UXX327688:UXY327702 VHT327688:VHU327702 VRP327688:VRQ327702 WBL327688:WBM327702 WLH327688:WLI327702 WVD327688:WVE327702 K393224:L393238 IR393224:IS393238 SN393224:SO393238 ACJ393224:ACK393238 AMF393224:AMG393238 AWB393224:AWC393238 BFX393224:BFY393238 BPT393224:BPU393238 BZP393224:BZQ393238 CJL393224:CJM393238 CTH393224:CTI393238 DDD393224:DDE393238 DMZ393224:DNA393238 DWV393224:DWW393238 EGR393224:EGS393238 EQN393224:EQO393238 FAJ393224:FAK393238 FKF393224:FKG393238 FUB393224:FUC393238 GDX393224:GDY393238 GNT393224:GNU393238 GXP393224:GXQ393238 HHL393224:HHM393238 HRH393224:HRI393238 IBD393224:IBE393238 IKZ393224:ILA393238 IUV393224:IUW393238 JER393224:JES393238 JON393224:JOO393238 JYJ393224:JYK393238 KIF393224:KIG393238 KSB393224:KSC393238 LBX393224:LBY393238 LLT393224:LLU393238 LVP393224:LVQ393238 MFL393224:MFM393238 MPH393224:MPI393238 MZD393224:MZE393238 NIZ393224:NJA393238 NSV393224:NSW393238 OCR393224:OCS393238 OMN393224:OMO393238 OWJ393224:OWK393238 PGF393224:PGG393238 PQB393224:PQC393238 PZX393224:PZY393238 QJT393224:QJU393238 QTP393224:QTQ393238 RDL393224:RDM393238 RNH393224:RNI393238 RXD393224:RXE393238 SGZ393224:SHA393238 SQV393224:SQW393238 TAR393224:TAS393238 TKN393224:TKO393238 TUJ393224:TUK393238 UEF393224:UEG393238 UOB393224:UOC393238 UXX393224:UXY393238 VHT393224:VHU393238 VRP393224:VRQ393238 WBL393224:WBM393238 WLH393224:WLI393238 WVD393224:WVE393238 K458760:L458774 IR458760:IS458774 SN458760:SO458774 ACJ458760:ACK458774 AMF458760:AMG458774 AWB458760:AWC458774 BFX458760:BFY458774 BPT458760:BPU458774 BZP458760:BZQ458774 CJL458760:CJM458774 CTH458760:CTI458774 DDD458760:DDE458774 DMZ458760:DNA458774 DWV458760:DWW458774 EGR458760:EGS458774 EQN458760:EQO458774 FAJ458760:FAK458774 FKF458760:FKG458774 FUB458760:FUC458774 GDX458760:GDY458774 GNT458760:GNU458774 GXP458760:GXQ458774 HHL458760:HHM458774 HRH458760:HRI458774 IBD458760:IBE458774 IKZ458760:ILA458774 IUV458760:IUW458774 JER458760:JES458774 JON458760:JOO458774 JYJ458760:JYK458774 KIF458760:KIG458774 KSB458760:KSC458774 LBX458760:LBY458774 LLT458760:LLU458774 LVP458760:LVQ458774 MFL458760:MFM458774 MPH458760:MPI458774 MZD458760:MZE458774 NIZ458760:NJA458774 NSV458760:NSW458774 OCR458760:OCS458774 OMN458760:OMO458774 OWJ458760:OWK458774 PGF458760:PGG458774 PQB458760:PQC458774 PZX458760:PZY458774 QJT458760:QJU458774 QTP458760:QTQ458774 RDL458760:RDM458774 RNH458760:RNI458774 RXD458760:RXE458774 SGZ458760:SHA458774 SQV458760:SQW458774 TAR458760:TAS458774 TKN458760:TKO458774 TUJ458760:TUK458774 UEF458760:UEG458774 UOB458760:UOC458774 UXX458760:UXY458774 VHT458760:VHU458774 VRP458760:VRQ458774 WBL458760:WBM458774 WLH458760:WLI458774 WVD458760:WVE458774 K524296:L524310 IR524296:IS524310 SN524296:SO524310 ACJ524296:ACK524310 AMF524296:AMG524310 AWB524296:AWC524310 BFX524296:BFY524310 BPT524296:BPU524310 BZP524296:BZQ524310 CJL524296:CJM524310 CTH524296:CTI524310 DDD524296:DDE524310 DMZ524296:DNA524310 DWV524296:DWW524310 EGR524296:EGS524310 EQN524296:EQO524310 FAJ524296:FAK524310 FKF524296:FKG524310 FUB524296:FUC524310 GDX524296:GDY524310 GNT524296:GNU524310 GXP524296:GXQ524310 HHL524296:HHM524310 HRH524296:HRI524310 IBD524296:IBE524310 IKZ524296:ILA524310 IUV524296:IUW524310 JER524296:JES524310 JON524296:JOO524310 JYJ524296:JYK524310 KIF524296:KIG524310 KSB524296:KSC524310 LBX524296:LBY524310 LLT524296:LLU524310 LVP524296:LVQ524310 MFL524296:MFM524310 MPH524296:MPI524310 MZD524296:MZE524310 NIZ524296:NJA524310 NSV524296:NSW524310 OCR524296:OCS524310 OMN524296:OMO524310 OWJ524296:OWK524310 PGF524296:PGG524310 PQB524296:PQC524310 PZX524296:PZY524310 QJT524296:QJU524310 QTP524296:QTQ524310 RDL524296:RDM524310 RNH524296:RNI524310 RXD524296:RXE524310 SGZ524296:SHA524310 SQV524296:SQW524310 TAR524296:TAS524310 TKN524296:TKO524310 TUJ524296:TUK524310 UEF524296:UEG524310 UOB524296:UOC524310 UXX524296:UXY524310 VHT524296:VHU524310 VRP524296:VRQ524310 WBL524296:WBM524310 WLH524296:WLI524310 WVD524296:WVE524310 K589832:L589846 IR589832:IS589846 SN589832:SO589846 ACJ589832:ACK589846 AMF589832:AMG589846 AWB589832:AWC589846 BFX589832:BFY589846 BPT589832:BPU589846 BZP589832:BZQ589846 CJL589832:CJM589846 CTH589832:CTI589846 DDD589832:DDE589846 DMZ589832:DNA589846 DWV589832:DWW589846 EGR589832:EGS589846 EQN589832:EQO589846 FAJ589832:FAK589846 FKF589832:FKG589846 FUB589832:FUC589846 GDX589832:GDY589846 GNT589832:GNU589846 GXP589832:GXQ589846 HHL589832:HHM589846 HRH589832:HRI589846 IBD589832:IBE589846 IKZ589832:ILA589846 IUV589832:IUW589846 JER589832:JES589846 JON589832:JOO589846 JYJ589832:JYK589846 KIF589832:KIG589846 KSB589832:KSC589846 LBX589832:LBY589846 LLT589832:LLU589846 LVP589832:LVQ589846 MFL589832:MFM589846 MPH589832:MPI589846 MZD589832:MZE589846 NIZ589832:NJA589846 NSV589832:NSW589846 OCR589832:OCS589846 OMN589832:OMO589846 OWJ589832:OWK589846 PGF589832:PGG589846 PQB589832:PQC589846 PZX589832:PZY589846 QJT589832:QJU589846 QTP589832:QTQ589846 RDL589832:RDM589846 RNH589832:RNI589846 RXD589832:RXE589846 SGZ589832:SHA589846 SQV589832:SQW589846 TAR589832:TAS589846 TKN589832:TKO589846 TUJ589832:TUK589846 UEF589832:UEG589846 UOB589832:UOC589846 UXX589832:UXY589846 VHT589832:VHU589846 VRP589832:VRQ589846 WBL589832:WBM589846 WLH589832:WLI589846 WVD589832:WVE589846 K655368:L655382 IR655368:IS655382 SN655368:SO655382 ACJ655368:ACK655382 AMF655368:AMG655382 AWB655368:AWC655382 BFX655368:BFY655382 BPT655368:BPU655382 BZP655368:BZQ655382 CJL655368:CJM655382 CTH655368:CTI655382 DDD655368:DDE655382 DMZ655368:DNA655382 DWV655368:DWW655382 EGR655368:EGS655382 EQN655368:EQO655382 FAJ655368:FAK655382 FKF655368:FKG655382 FUB655368:FUC655382 GDX655368:GDY655382 GNT655368:GNU655382 GXP655368:GXQ655382 HHL655368:HHM655382 HRH655368:HRI655382 IBD655368:IBE655382 IKZ655368:ILA655382 IUV655368:IUW655382 JER655368:JES655382 JON655368:JOO655382 JYJ655368:JYK655382 KIF655368:KIG655382 KSB655368:KSC655382 LBX655368:LBY655382 LLT655368:LLU655382 LVP655368:LVQ655382 MFL655368:MFM655382 MPH655368:MPI655382 MZD655368:MZE655382 NIZ655368:NJA655382 NSV655368:NSW655382 OCR655368:OCS655382 OMN655368:OMO655382 OWJ655368:OWK655382 PGF655368:PGG655382 PQB655368:PQC655382 PZX655368:PZY655382 QJT655368:QJU655382 QTP655368:QTQ655382 RDL655368:RDM655382 RNH655368:RNI655382 RXD655368:RXE655382 SGZ655368:SHA655382 SQV655368:SQW655382 TAR655368:TAS655382 TKN655368:TKO655382 TUJ655368:TUK655382 UEF655368:UEG655382 UOB655368:UOC655382 UXX655368:UXY655382 VHT655368:VHU655382 VRP655368:VRQ655382 WBL655368:WBM655382 WLH655368:WLI655382 WVD655368:WVE655382 K720904:L720918 IR720904:IS720918 SN720904:SO720918 ACJ720904:ACK720918 AMF720904:AMG720918 AWB720904:AWC720918 BFX720904:BFY720918 BPT720904:BPU720918 BZP720904:BZQ720918 CJL720904:CJM720918 CTH720904:CTI720918 DDD720904:DDE720918 DMZ720904:DNA720918 DWV720904:DWW720918 EGR720904:EGS720918 EQN720904:EQO720918 FAJ720904:FAK720918 FKF720904:FKG720918 FUB720904:FUC720918 GDX720904:GDY720918 GNT720904:GNU720918 GXP720904:GXQ720918 HHL720904:HHM720918 HRH720904:HRI720918 IBD720904:IBE720918 IKZ720904:ILA720918 IUV720904:IUW720918 JER720904:JES720918 JON720904:JOO720918 JYJ720904:JYK720918 KIF720904:KIG720918 KSB720904:KSC720918 LBX720904:LBY720918 LLT720904:LLU720918 LVP720904:LVQ720918 MFL720904:MFM720918 MPH720904:MPI720918 MZD720904:MZE720918 NIZ720904:NJA720918 NSV720904:NSW720918 OCR720904:OCS720918 OMN720904:OMO720918 OWJ720904:OWK720918 PGF720904:PGG720918 PQB720904:PQC720918 PZX720904:PZY720918 QJT720904:QJU720918 QTP720904:QTQ720918 RDL720904:RDM720918 RNH720904:RNI720918 RXD720904:RXE720918 SGZ720904:SHA720918 SQV720904:SQW720918 TAR720904:TAS720918 TKN720904:TKO720918 TUJ720904:TUK720918 UEF720904:UEG720918 UOB720904:UOC720918 UXX720904:UXY720918 VHT720904:VHU720918 VRP720904:VRQ720918 WBL720904:WBM720918 WLH720904:WLI720918 WVD720904:WVE720918 K786440:L786454 IR786440:IS786454 SN786440:SO786454 ACJ786440:ACK786454 AMF786440:AMG786454 AWB786440:AWC786454 BFX786440:BFY786454 BPT786440:BPU786454 BZP786440:BZQ786454 CJL786440:CJM786454 CTH786440:CTI786454 DDD786440:DDE786454 DMZ786440:DNA786454 DWV786440:DWW786454 EGR786440:EGS786454 EQN786440:EQO786454 FAJ786440:FAK786454 FKF786440:FKG786454 FUB786440:FUC786454 GDX786440:GDY786454 GNT786440:GNU786454 GXP786440:GXQ786454 HHL786440:HHM786454 HRH786440:HRI786454 IBD786440:IBE786454 IKZ786440:ILA786454 IUV786440:IUW786454 JER786440:JES786454 JON786440:JOO786454 JYJ786440:JYK786454 KIF786440:KIG786454 KSB786440:KSC786454 LBX786440:LBY786454 LLT786440:LLU786454 LVP786440:LVQ786454 MFL786440:MFM786454 MPH786440:MPI786454 MZD786440:MZE786454 NIZ786440:NJA786454 NSV786440:NSW786454 OCR786440:OCS786454 OMN786440:OMO786454 OWJ786440:OWK786454 PGF786440:PGG786454 PQB786440:PQC786454 PZX786440:PZY786454 QJT786440:QJU786454 QTP786440:QTQ786454 RDL786440:RDM786454 RNH786440:RNI786454 RXD786440:RXE786454 SGZ786440:SHA786454 SQV786440:SQW786454 TAR786440:TAS786454 TKN786440:TKO786454 TUJ786440:TUK786454 UEF786440:UEG786454 UOB786440:UOC786454 UXX786440:UXY786454 VHT786440:VHU786454 VRP786440:VRQ786454 WBL786440:WBM786454 WLH786440:WLI786454 WVD786440:WVE786454 K851976:L851990 IR851976:IS851990 SN851976:SO851990 ACJ851976:ACK851990 AMF851976:AMG851990 AWB851976:AWC851990 BFX851976:BFY851990 BPT851976:BPU851990 BZP851976:BZQ851990 CJL851976:CJM851990 CTH851976:CTI851990 DDD851976:DDE851990 DMZ851976:DNA851990 DWV851976:DWW851990 EGR851976:EGS851990 EQN851976:EQO851990 FAJ851976:FAK851990 FKF851976:FKG851990 FUB851976:FUC851990 GDX851976:GDY851990 GNT851976:GNU851990 GXP851976:GXQ851990 HHL851976:HHM851990 HRH851976:HRI851990 IBD851976:IBE851990 IKZ851976:ILA851990 IUV851976:IUW851990 JER851976:JES851990 JON851976:JOO851990 JYJ851976:JYK851990 KIF851976:KIG851990 KSB851976:KSC851990 LBX851976:LBY851990 LLT851976:LLU851990 LVP851976:LVQ851990 MFL851976:MFM851990 MPH851976:MPI851990 MZD851976:MZE851990 NIZ851976:NJA851990 NSV851976:NSW851990 OCR851976:OCS851990 OMN851976:OMO851990 OWJ851976:OWK851990 PGF851976:PGG851990 PQB851976:PQC851990 PZX851976:PZY851990 QJT851976:QJU851990 QTP851976:QTQ851990 RDL851976:RDM851990 RNH851976:RNI851990 RXD851976:RXE851990 SGZ851976:SHA851990 SQV851976:SQW851990 TAR851976:TAS851990 TKN851976:TKO851990 TUJ851976:TUK851990 UEF851976:UEG851990 UOB851976:UOC851990 UXX851976:UXY851990 VHT851976:VHU851990 VRP851976:VRQ851990 WBL851976:WBM851990 WLH851976:WLI851990 WVD851976:WVE851990 K917512:L917526 IR917512:IS917526 SN917512:SO917526 ACJ917512:ACK917526 AMF917512:AMG917526 AWB917512:AWC917526 BFX917512:BFY917526 BPT917512:BPU917526 BZP917512:BZQ917526 CJL917512:CJM917526 CTH917512:CTI917526 DDD917512:DDE917526 DMZ917512:DNA917526 DWV917512:DWW917526 EGR917512:EGS917526 EQN917512:EQO917526 FAJ917512:FAK917526 FKF917512:FKG917526 FUB917512:FUC917526 GDX917512:GDY917526 GNT917512:GNU917526 GXP917512:GXQ917526 HHL917512:HHM917526 HRH917512:HRI917526 IBD917512:IBE917526 IKZ917512:ILA917526 IUV917512:IUW917526 JER917512:JES917526 JON917512:JOO917526 JYJ917512:JYK917526 KIF917512:KIG917526 KSB917512:KSC917526 LBX917512:LBY917526 LLT917512:LLU917526 LVP917512:LVQ917526 MFL917512:MFM917526 MPH917512:MPI917526 MZD917512:MZE917526 NIZ917512:NJA917526 NSV917512:NSW917526 OCR917512:OCS917526 OMN917512:OMO917526 OWJ917512:OWK917526 PGF917512:PGG917526 PQB917512:PQC917526 PZX917512:PZY917526 QJT917512:QJU917526 QTP917512:QTQ917526 RDL917512:RDM917526 RNH917512:RNI917526 RXD917512:RXE917526 SGZ917512:SHA917526 SQV917512:SQW917526 TAR917512:TAS917526 TKN917512:TKO917526 TUJ917512:TUK917526 UEF917512:UEG917526 UOB917512:UOC917526 UXX917512:UXY917526 VHT917512:VHU917526 VRP917512:VRQ917526 WBL917512:WBM917526 WLH917512:WLI917526 WVD917512:WVE917526 K983048:L983062 IR983048:IS983062 SN983048:SO983062 ACJ983048:ACK983062 AMF983048:AMG983062 AWB983048:AWC983062 BFX983048:BFY983062 BPT983048:BPU983062 BZP983048:BZQ983062 CJL983048:CJM983062 CTH983048:CTI983062 DDD983048:DDE983062 DMZ983048:DNA983062 DWV983048:DWW983062 EGR983048:EGS983062 EQN983048:EQO983062 FAJ983048:FAK983062 FKF983048:FKG983062 FUB983048:FUC983062 GDX983048:GDY983062 GNT983048:GNU983062 GXP983048:GXQ983062 HHL983048:HHM983062 HRH983048:HRI983062 IBD983048:IBE983062 IKZ983048:ILA983062 IUV983048:IUW983062 JER983048:JES983062 JON983048:JOO983062 JYJ983048:JYK983062 KIF983048:KIG983062 KSB983048:KSC983062 LBX983048:LBY983062 LLT983048:LLU983062 LVP983048:LVQ983062 MFL983048:MFM983062 MPH983048:MPI983062 MZD983048:MZE983062 NIZ983048:NJA983062 NSV983048:NSW983062 OCR983048:OCS983062 OMN983048:OMO983062 OWJ983048:OWK983062 PGF983048:PGG983062 PQB983048:PQC983062 PZX983048:PZY983062 QJT983048:QJU983062 QTP983048:QTQ983062 RDL983048:RDM983062 RNH983048:RNI983062 RXD983048:RXE983062 SGZ983048:SHA983062 SQV983048:SQW983062 TAR983048:TAS983062 TKN983048:TKO983062 TUJ983048:TUK983062 UEF983048:UEG983062 UOB983048:UOC983062 UXX983048:UXY983062 VHT983048:VHU983062 VRP983048:VRQ983062 WBL983048:WBM983062 WLH983048:WLI983062 IK14:IK20 SG14:SG20 ACC14:ACC20 ALY14:ALY20 AVU14:AVU20 BFQ14:BFQ20 BPM14:BPM20 BZI14:BZI20 CJE14:CJE20 CTA14:CTA20 DCW14:DCW20 DMS14:DMS20 DWO14:DWO20 EGK14:EGK20 EQG14:EQG20 FAC14:FAC20 FJY14:FJY20 FTU14:FTU20 GDQ14:GDQ20 GNM14:GNM20 GXI14:GXI20 HHE14:HHE20 HRA14:HRA20 IAW14:IAW20 IKS14:IKS20 IUO14:IUO20 JEK14:JEK20 JOG14:JOG20 JYC14:JYC20 KHY14:KHY20 KRU14:KRU20 LBQ14:LBQ20 LLM14:LLM20 LVI14:LVI20 MFE14:MFE20 MPA14:MPA20 MYW14:MYW20 NIS14:NIS20 NSO14:NSO20 OCK14:OCK20 OMG14:OMG20 OWC14:OWC20 PFY14:PFY20 PPU14:PPU20 PZQ14:PZQ20 QJM14:QJM20 QTI14:QTI20 RDE14:RDE20 RNA14:RNA20 RWW14:RWW20 SGS14:SGS20 SQO14:SQO20 TAK14:TAK20 TKG14:TKG20 TUC14:TUC20 UDY14:UDY20 UNU14:UNU20 UXQ14:UXQ20 VHM14:VHM20 VRI14:VRI20 WBE14:WBE20 WLA14:WLA20 WUW14:WUW20 IR14:IS20 SN14:SO20 ACJ14:ACK20 AMF14:AMG20 AWB14:AWC20 BFX14:BFY20 BPT14:BPU20 BZP14:BZQ20 CJL14:CJM20 CTH14:CTI20 DDD14:DDE20 DMZ14:DNA20 DWV14:DWW20 EGR14:EGS20 EQN14:EQO20 FAJ14:FAK20 FKF14:FKG20 FUB14:FUC20 GDX14:GDY20 GNT14:GNU20 GXP14:GXQ20 HHL14:HHM20 HRH14:HRI20 IBD14:IBE20 IKZ14:ILA20 IUV14:IUW20 JER14:JES20 JON14:JOO20 JYJ14:JYK20 KIF14:KIG20 KSB14:KSC20 LBX14:LBY20 LLT14:LLU20 LVP14:LVQ20 MFL14:MFM20 MPH14:MPI20 MZD14:MZE20 NIZ14:NJA20 NSV14:NSW20 OCR14:OCS20 OMN14:OMO20 OWJ14:OWK20 PGF14:PGG20 PQB14:PQC20 PZX14:PZY20 QJT14:QJU20 QTP14:QTQ20 RDL14:RDM20 RNH14:RNI20 RXD14:RXE20 SGZ14:SHA20 SQV14:SQW20 TAR14:TAS20 TKN14:TKO20 TUJ14:TUK20 UEF14:UEG20 UOB14:UOC20 UXX14:UXY20 VHT14:VHU20 VRP14:VRQ20 WBL14:WBM20 WLH14:WLI20 WVD14:WVE20 K14:K20" xr:uid="{3A02A359-29AA-4148-9849-951F1F59E824}">
      <formula1>4</formula1>
    </dataValidation>
    <dataValidation type="textLength" operator="equal" allowBlank="1" showInputMessage="1" showErrorMessage="1" errorTitle="Invalid data!" error="Company number must be 4 digits." sqref="B65544:B65558 II65544:II65558 SE65544:SE65558 ACA65544:ACA65558 ALW65544:ALW65558 AVS65544:AVS65558 BFO65544:BFO65558 BPK65544:BPK65558 BZG65544:BZG65558 CJC65544:CJC65558 CSY65544:CSY65558 DCU65544:DCU65558 DMQ65544:DMQ65558 DWM65544:DWM65558 EGI65544:EGI65558 EQE65544:EQE65558 FAA65544:FAA65558 FJW65544:FJW65558 FTS65544:FTS65558 GDO65544:GDO65558 GNK65544:GNK65558 GXG65544:GXG65558 HHC65544:HHC65558 HQY65544:HQY65558 IAU65544:IAU65558 IKQ65544:IKQ65558 IUM65544:IUM65558 JEI65544:JEI65558 JOE65544:JOE65558 JYA65544:JYA65558 KHW65544:KHW65558 KRS65544:KRS65558 LBO65544:LBO65558 LLK65544:LLK65558 LVG65544:LVG65558 MFC65544:MFC65558 MOY65544:MOY65558 MYU65544:MYU65558 NIQ65544:NIQ65558 NSM65544:NSM65558 OCI65544:OCI65558 OME65544:OME65558 OWA65544:OWA65558 PFW65544:PFW65558 PPS65544:PPS65558 PZO65544:PZO65558 QJK65544:QJK65558 QTG65544:QTG65558 RDC65544:RDC65558 RMY65544:RMY65558 RWU65544:RWU65558 SGQ65544:SGQ65558 SQM65544:SQM65558 TAI65544:TAI65558 TKE65544:TKE65558 TUA65544:TUA65558 UDW65544:UDW65558 UNS65544:UNS65558 UXO65544:UXO65558 VHK65544:VHK65558 VRG65544:VRG65558 WBC65544:WBC65558 WKY65544:WKY65558 WUU65544:WUU65558 B131080:B131094 II131080:II131094 SE131080:SE131094 ACA131080:ACA131094 ALW131080:ALW131094 AVS131080:AVS131094 BFO131080:BFO131094 BPK131080:BPK131094 BZG131080:BZG131094 CJC131080:CJC131094 CSY131080:CSY131094 DCU131080:DCU131094 DMQ131080:DMQ131094 DWM131080:DWM131094 EGI131080:EGI131094 EQE131080:EQE131094 FAA131080:FAA131094 FJW131080:FJW131094 FTS131080:FTS131094 GDO131080:GDO131094 GNK131080:GNK131094 GXG131080:GXG131094 HHC131080:HHC131094 HQY131080:HQY131094 IAU131080:IAU131094 IKQ131080:IKQ131094 IUM131080:IUM131094 JEI131080:JEI131094 JOE131080:JOE131094 JYA131080:JYA131094 KHW131080:KHW131094 KRS131080:KRS131094 LBO131080:LBO131094 LLK131080:LLK131094 LVG131080:LVG131094 MFC131080:MFC131094 MOY131080:MOY131094 MYU131080:MYU131094 NIQ131080:NIQ131094 NSM131080:NSM131094 OCI131080:OCI131094 OME131080:OME131094 OWA131080:OWA131094 PFW131080:PFW131094 PPS131080:PPS131094 PZO131080:PZO131094 QJK131080:QJK131094 QTG131080:QTG131094 RDC131080:RDC131094 RMY131080:RMY131094 RWU131080:RWU131094 SGQ131080:SGQ131094 SQM131080:SQM131094 TAI131080:TAI131094 TKE131080:TKE131094 TUA131080:TUA131094 UDW131080:UDW131094 UNS131080:UNS131094 UXO131080:UXO131094 VHK131080:VHK131094 VRG131080:VRG131094 WBC131080:WBC131094 WKY131080:WKY131094 WUU131080:WUU131094 B196616:B196630 II196616:II196630 SE196616:SE196630 ACA196616:ACA196630 ALW196616:ALW196630 AVS196616:AVS196630 BFO196616:BFO196630 BPK196616:BPK196630 BZG196616:BZG196630 CJC196616:CJC196630 CSY196616:CSY196630 DCU196616:DCU196630 DMQ196616:DMQ196630 DWM196616:DWM196630 EGI196616:EGI196630 EQE196616:EQE196630 FAA196616:FAA196630 FJW196616:FJW196630 FTS196616:FTS196630 GDO196616:GDO196630 GNK196616:GNK196630 GXG196616:GXG196630 HHC196616:HHC196630 HQY196616:HQY196630 IAU196616:IAU196630 IKQ196616:IKQ196630 IUM196616:IUM196630 JEI196616:JEI196630 JOE196616:JOE196630 JYA196616:JYA196630 KHW196616:KHW196630 KRS196616:KRS196630 LBO196616:LBO196630 LLK196616:LLK196630 LVG196616:LVG196630 MFC196616:MFC196630 MOY196616:MOY196630 MYU196616:MYU196630 NIQ196616:NIQ196630 NSM196616:NSM196630 OCI196616:OCI196630 OME196616:OME196630 OWA196616:OWA196630 PFW196616:PFW196630 PPS196616:PPS196630 PZO196616:PZO196630 QJK196616:QJK196630 QTG196616:QTG196630 RDC196616:RDC196630 RMY196616:RMY196630 RWU196616:RWU196630 SGQ196616:SGQ196630 SQM196616:SQM196630 TAI196616:TAI196630 TKE196616:TKE196630 TUA196616:TUA196630 UDW196616:UDW196630 UNS196616:UNS196630 UXO196616:UXO196630 VHK196616:VHK196630 VRG196616:VRG196630 WBC196616:WBC196630 WKY196616:WKY196630 WUU196616:WUU196630 B262152:B262166 II262152:II262166 SE262152:SE262166 ACA262152:ACA262166 ALW262152:ALW262166 AVS262152:AVS262166 BFO262152:BFO262166 BPK262152:BPK262166 BZG262152:BZG262166 CJC262152:CJC262166 CSY262152:CSY262166 DCU262152:DCU262166 DMQ262152:DMQ262166 DWM262152:DWM262166 EGI262152:EGI262166 EQE262152:EQE262166 FAA262152:FAA262166 FJW262152:FJW262166 FTS262152:FTS262166 GDO262152:GDO262166 GNK262152:GNK262166 GXG262152:GXG262166 HHC262152:HHC262166 HQY262152:HQY262166 IAU262152:IAU262166 IKQ262152:IKQ262166 IUM262152:IUM262166 JEI262152:JEI262166 JOE262152:JOE262166 JYA262152:JYA262166 KHW262152:KHW262166 KRS262152:KRS262166 LBO262152:LBO262166 LLK262152:LLK262166 LVG262152:LVG262166 MFC262152:MFC262166 MOY262152:MOY262166 MYU262152:MYU262166 NIQ262152:NIQ262166 NSM262152:NSM262166 OCI262152:OCI262166 OME262152:OME262166 OWA262152:OWA262166 PFW262152:PFW262166 PPS262152:PPS262166 PZO262152:PZO262166 QJK262152:QJK262166 QTG262152:QTG262166 RDC262152:RDC262166 RMY262152:RMY262166 RWU262152:RWU262166 SGQ262152:SGQ262166 SQM262152:SQM262166 TAI262152:TAI262166 TKE262152:TKE262166 TUA262152:TUA262166 UDW262152:UDW262166 UNS262152:UNS262166 UXO262152:UXO262166 VHK262152:VHK262166 VRG262152:VRG262166 WBC262152:WBC262166 WKY262152:WKY262166 WUU262152:WUU262166 B327688:B327702 II327688:II327702 SE327688:SE327702 ACA327688:ACA327702 ALW327688:ALW327702 AVS327688:AVS327702 BFO327688:BFO327702 BPK327688:BPK327702 BZG327688:BZG327702 CJC327688:CJC327702 CSY327688:CSY327702 DCU327688:DCU327702 DMQ327688:DMQ327702 DWM327688:DWM327702 EGI327688:EGI327702 EQE327688:EQE327702 FAA327688:FAA327702 FJW327688:FJW327702 FTS327688:FTS327702 GDO327688:GDO327702 GNK327688:GNK327702 GXG327688:GXG327702 HHC327688:HHC327702 HQY327688:HQY327702 IAU327688:IAU327702 IKQ327688:IKQ327702 IUM327688:IUM327702 JEI327688:JEI327702 JOE327688:JOE327702 JYA327688:JYA327702 KHW327688:KHW327702 KRS327688:KRS327702 LBO327688:LBO327702 LLK327688:LLK327702 LVG327688:LVG327702 MFC327688:MFC327702 MOY327688:MOY327702 MYU327688:MYU327702 NIQ327688:NIQ327702 NSM327688:NSM327702 OCI327688:OCI327702 OME327688:OME327702 OWA327688:OWA327702 PFW327688:PFW327702 PPS327688:PPS327702 PZO327688:PZO327702 QJK327688:QJK327702 QTG327688:QTG327702 RDC327688:RDC327702 RMY327688:RMY327702 RWU327688:RWU327702 SGQ327688:SGQ327702 SQM327688:SQM327702 TAI327688:TAI327702 TKE327688:TKE327702 TUA327688:TUA327702 UDW327688:UDW327702 UNS327688:UNS327702 UXO327688:UXO327702 VHK327688:VHK327702 VRG327688:VRG327702 WBC327688:WBC327702 WKY327688:WKY327702 WUU327688:WUU327702 B393224:B393238 II393224:II393238 SE393224:SE393238 ACA393224:ACA393238 ALW393224:ALW393238 AVS393224:AVS393238 BFO393224:BFO393238 BPK393224:BPK393238 BZG393224:BZG393238 CJC393224:CJC393238 CSY393224:CSY393238 DCU393224:DCU393238 DMQ393224:DMQ393238 DWM393224:DWM393238 EGI393224:EGI393238 EQE393224:EQE393238 FAA393224:FAA393238 FJW393224:FJW393238 FTS393224:FTS393238 GDO393224:GDO393238 GNK393224:GNK393238 GXG393224:GXG393238 HHC393224:HHC393238 HQY393224:HQY393238 IAU393224:IAU393238 IKQ393224:IKQ393238 IUM393224:IUM393238 JEI393224:JEI393238 JOE393224:JOE393238 JYA393224:JYA393238 KHW393224:KHW393238 KRS393224:KRS393238 LBO393224:LBO393238 LLK393224:LLK393238 LVG393224:LVG393238 MFC393224:MFC393238 MOY393224:MOY393238 MYU393224:MYU393238 NIQ393224:NIQ393238 NSM393224:NSM393238 OCI393224:OCI393238 OME393224:OME393238 OWA393224:OWA393238 PFW393224:PFW393238 PPS393224:PPS393238 PZO393224:PZO393238 QJK393224:QJK393238 QTG393224:QTG393238 RDC393224:RDC393238 RMY393224:RMY393238 RWU393224:RWU393238 SGQ393224:SGQ393238 SQM393224:SQM393238 TAI393224:TAI393238 TKE393224:TKE393238 TUA393224:TUA393238 UDW393224:UDW393238 UNS393224:UNS393238 UXO393224:UXO393238 VHK393224:VHK393238 VRG393224:VRG393238 WBC393224:WBC393238 WKY393224:WKY393238 WUU393224:WUU393238 B458760:B458774 II458760:II458774 SE458760:SE458774 ACA458760:ACA458774 ALW458760:ALW458774 AVS458760:AVS458774 BFO458760:BFO458774 BPK458760:BPK458774 BZG458760:BZG458774 CJC458760:CJC458774 CSY458760:CSY458774 DCU458760:DCU458774 DMQ458760:DMQ458774 DWM458760:DWM458774 EGI458760:EGI458774 EQE458760:EQE458774 FAA458760:FAA458774 FJW458760:FJW458774 FTS458760:FTS458774 GDO458760:GDO458774 GNK458760:GNK458774 GXG458760:GXG458774 HHC458760:HHC458774 HQY458760:HQY458774 IAU458760:IAU458774 IKQ458760:IKQ458774 IUM458760:IUM458774 JEI458760:JEI458774 JOE458760:JOE458774 JYA458760:JYA458774 KHW458760:KHW458774 KRS458760:KRS458774 LBO458760:LBO458774 LLK458760:LLK458774 LVG458760:LVG458774 MFC458760:MFC458774 MOY458760:MOY458774 MYU458760:MYU458774 NIQ458760:NIQ458774 NSM458760:NSM458774 OCI458760:OCI458774 OME458760:OME458774 OWA458760:OWA458774 PFW458760:PFW458774 PPS458760:PPS458774 PZO458760:PZO458774 QJK458760:QJK458774 QTG458760:QTG458774 RDC458760:RDC458774 RMY458760:RMY458774 RWU458760:RWU458774 SGQ458760:SGQ458774 SQM458760:SQM458774 TAI458760:TAI458774 TKE458760:TKE458774 TUA458760:TUA458774 UDW458760:UDW458774 UNS458760:UNS458774 UXO458760:UXO458774 VHK458760:VHK458774 VRG458760:VRG458774 WBC458760:WBC458774 WKY458760:WKY458774 WUU458760:WUU458774 B524296:B524310 II524296:II524310 SE524296:SE524310 ACA524296:ACA524310 ALW524296:ALW524310 AVS524296:AVS524310 BFO524296:BFO524310 BPK524296:BPK524310 BZG524296:BZG524310 CJC524296:CJC524310 CSY524296:CSY524310 DCU524296:DCU524310 DMQ524296:DMQ524310 DWM524296:DWM524310 EGI524296:EGI524310 EQE524296:EQE524310 FAA524296:FAA524310 FJW524296:FJW524310 FTS524296:FTS524310 GDO524296:GDO524310 GNK524296:GNK524310 GXG524296:GXG524310 HHC524296:HHC524310 HQY524296:HQY524310 IAU524296:IAU524310 IKQ524296:IKQ524310 IUM524296:IUM524310 JEI524296:JEI524310 JOE524296:JOE524310 JYA524296:JYA524310 KHW524296:KHW524310 KRS524296:KRS524310 LBO524296:LBO524310 LLK524296:LLK524310 LVG524296:LVG524310 MFC524296:MFC524310 MOY524296:MOY524310 MYU524296:MYU524310 NIQ524296:NIQ524310 NSM524296:NSM524310 OCI524296:OCI524310 OME524296:OME524310 OWA524296:OWA524310 PFW524296:PFW524310 PPS524296:PPS524310 PZO524296:PZO524310 QJK524296:QJK524310 QTG524296:QTG524310 RDC524296:RDC524310 RMY524296:RMY524310 RWU524296:RWU524310 SGQ524296:SGQ524310 SQM524296:SQM524310 TAI524296:TAI524310 TKE524296:TKE524310 TUA524296:TUA524310 UDW524296:UDW524310 UNS524296:UNS524310 UXO524296:UXO524310 VHK524296:VHK524310 VRG524296:VRG524310 WBC524296:WBC524310 WKY524296:WKY524310 WUU524296:WUU524310 B589832:B589846 II589832:II589846 SE589832:SE589846 ACA589832:ACA589846 ALW589832:ALW589846 AVS589832:AVS589846 BFO589832:BFO589846 BPK589832:BPK589846 BZG589832:BZG589846 CJC589832:CJC589846 CSY589832:CSY589846 DCU589832:DCU589846 DMQ589832:DMQ589846 DWM589832:DWM589846 EGI589832:EGI589846 EQE589832:EQE589846 FAA589832:FAA589846 FJW589832:FJW589846 FTS589832:FTS589846 GDO589832:GDO589846 GNK589832:GNK589846 GXG589832:GXG589846 HHC589832:HHC589846 HQY589832:HQY589846 IAU589832:IAU589846 IKQ589832:IKQ589846 IUM589832:IUM589846 JEI589832:JEI589846 JOE589832:JOE589846 JYA589832:JYA589846 KHW589832:KHW589846 KRS589832:KRS589846 LBO589832:LBO589846 LLK589832:LLK589846 LVG589832:LVG589846 MFC589832:MFC589846 MOY589832:MOY589846 MYU589832:MYU589846 NIQ589832:NIQ589846 NSM589832:NSM589846 OCI589832:OCI589846 OME589832:OME589846 OWA589832:OWA589846 PFW589832:PFW589846 PPS589832:PPS589846 PZO589832:PZO589846 QJK589832:QJK589846 QTG589832:QTG589846 RDC589832:RDC589846 RMY589832:RMY589846 RWU589832:RWU589846 SGQ589832:SGQ589846 SQM589832:SQM589846 TAI589832:TAI589846 TKE589832:TKE589846 TUA589832:TUA589846 UDW589832:UDW589846 UNS589832:UNS589846 UXO589832:UXO589846 VHK589832:VHK589846 VRG589832:VRG589846 WBC589832:WBC589846 WKY589832:WKY589846 WUU589832:WUU589846 B655368:B655382 II655368:II655382 SE655368:SE655382 ACA655368:ACA655382 ALW655368:ALW655382 AVS655368:AVS655382 BFO655368:BFO655382 BPK655368:BPK655382 BZG655368:BZG655382 CJC655368:CJC655382 CSY655368:CSY655382 DCU655368:DCU655382 DMQ655368:DMQ655382 DWM655368:DWM655382 EGI655368:EGI655382 EQE655368:EQE655382 FAA655368:FAA655382 FJW655368:FJW655382 FTS655368:FTS655382 GDO655368:GDO655382 GNK655368:GNK655382 GXG655368:GXG655382 HHC655368:HHC655382 HQY655368:HQY655382 IAU655368:IAU655382 IKQ655368:IKQ655382 IUM655368:IUM655382 JEI655368:JEI655382 JOE655368:JOE655382 JYA655368:JYA655382 KHW655368:KHW655382 KRS655368:KRS655382 LBO655368:LBO655382 LLK655368:LLK655382 LVG655368:LVG655382 MFC655368:MFC655382 MOY655368:MOY655382 MYU655368:MYU655382 NIQ655368:NIQ655382 NSM655368:NSM655382 OCI655368:OCI655382 OME655368:OME655382 OWA655368:OWA655382 PFW655368:PFW655382 PPS655368:PPS655382 PZO655368:PZO655382 QJK655368:QJK655382 QTG655368:QTG655382 RDC655368:RDC655382 RMY655368:RMY655382 RWU655368:RWU655382 SGQ655368:SGQ655382 SQM655368:SQM655382 TAI655368:TAI655382 TKE655368:TKE655382 TUA655368:TUA655382 UDW655368:UDW655382 UNS655368:UNS655382 UXO655368:UXO655382 VHK655368:VHK655382 VRG655368:VRG655382 WBC655368:WBC655382 WKY655368:WKY655382 WUU655368:WUU655382 B720904:B720918 II720904:II720918 SE720904:SE720918 ACA720904:ACA720918 ALW720904:ALW720918 AVS720904:AVS720918 BFO720904:BFO720918 BPK720904:BPK720918 BZG720904:BZG720918 CJC720904:CJC720918 CSY720904:CSY720918 DCU720904:DCU720918 DMQ720904:DMQ720918 DWM720904:DWM720918 EGI720904:EGI720918 EQE720904:EQE720918 FAA720904:FAA720918 FJW720904:FJW720918 FTS720904:FTS720918 GDO720904:GDO720918 GNK720904:GNK720918 GXG720904:GXG720918 HHC720904:HHC720918 HQY720904:HQY720918 IAU720904:IAU720918 IKQ720904:IKQ720918 IUM720904:IUM720918 JEI720904:JEI720918 JOE720904:JOE720918 JYA720904:JYA720918 KHW720904:KHW720918 KRS720904:KRS720918 LBO720904:LBO720918 LLK720904:LLK720918 LVG720904:LVG720918 MFC720904:MFC720918 MOY720904:MOY720918 MYU720904:MYU720918 NIQ720904:NIQ720918 NSM720904:NSM720918 OCI720904:OCI720918 OME720904:OME720918 OWA720904:OWA720918 PFW720904:PFW720918 PPS720904:PPS720918 PZO720904:PZO720918 QJK720904:QJK720918 QTG720904:QTG720918 RDC720904:RDC720918 RMY720904:RMY720918 RWU720904:RWU720918 SGQ720904:SGQ720918 SQM720904:SQM720918 TAI720904:TAI720918 TKE720904:TKE720918 TUA720904:TUA720918 UDW720904:UDW720918 UNS720904:UNS720918 UXO720904:UXO720918 VHK720904:VHK720918 VRG720904:VRG720918 WBC720904:WBC720918 WKY720904:WKY720918 WUU720904:WUU720918 B786440:B786454 II786440:II786454 SE786440:SE786454 ACA786440:ACA786454 ALW786440:ALW786454 AVS786440:AVS786454 BFO786440:BFO786454 BPK786440:BPK786454 BZG786440:BZG786454 CJC786440:CJC786454 CSY786440:CSY786454 DCU786440:DCU786454 DMQ786440:DMQ786454 DWM786440:DWM786454 EGI786440:EGI786454 EQE786440:EQE786454 FAA786440:FAA786454 FJW786440:FJW786454 FTS786440:FTS786454 GDO786440:GDO786454 GNK786440:GNK786454 GXG786440:GXG786454 HHC786440:HHC786454 HQY786440:HQY786454 IAU786440:IAU786454 IKQ786440:IKQ786454 IUM786440:IUM786454 JEI786440:JEI786454 JOE786440:JOE786454 JYA786440:JYA786454 KHW786440:KHW786454 KRS786440:KRS786454 LBO786440:LBO786454 LLK786440:LLK786454 LVG786440:LVG786454 MFC786440:MFC786454 MOY786440:MOY786454 MYU786440:MYU786454 NIQ786440:NIQ786454 NSM786440:NSM786454 OCI786440:OCI786454 OME786440:OME786454 OWA786440:OWA786454 PFW786440:PFW786454 PPS786440:PPS786454 PZO786440:PZO786454 QJK786440:QJK786454 QTG786440:QTG786454 RDC786440:RDC786454 RMY786440:RMY786454 RWU786440:RWU786454 SGQ786440:SGQ786454 SQM786440:SQM786454 TAI786440:TAI786454 TKE786440:TKE786454 TUA786440:TUA786454 UDW786440:UDW786454 UNS786440:UNS786454 UXO786440:UXO786454 VHK786440:VHK786454 VRG786440:VRG786454 WBC786440:WBC786454 WKY786440:WKY786454 WUU786440:WUU786454 B851976:B851990 II851976:II851990 SE851976:SE851990 ACA851976:ACA851990 ALW851976:ALW851990 AVS851976:AVS851990 BFO851976:BFO851990 BPK851976:BPK851990 BZG851976:BZG851990 CJC851976:CJC851990 CSY851976:CSY851990 DCU851976:DCU851990 DMQ851976:DMQ851990 DWM851976:DWM851990 EGI851976:EGI851990 EQE851976:EQE851990 FAA851976:FAA851990 FJW851976:FJW851990 FTS851976:FTS851990 GDO851976:GDO851990 GNK851976:GNK851990 GXG851976:GXG851990 HHC851976:HHC851990 HQY851976:HQY851990 IAU851976:IAU851990 IKQ851976:IKQ851990 IUM851976:IUM851990 JEI851976:JEI851990 JOE851976:JOE851990 JYA851976:JYA851990 KHW851976:KHW851990 KRS851976:KRS851990 LBO851976:LBO851990 LLK851976:LLK851990 LVG851976:LVG851990 MFC851976:MFC851990 MOY851976:MOY851990 MYU851976:MYU851990 NIQ851976:NIQ851990 NSM851976:NSM851990 OCI851976:OCI851990 OME851976:OME851990 OWA851976:OWA851990 PFW851976:PFW851990 PPS851976:PPS851990 PZO851976:PZO851990 QJK851976:QJK851990 QTG851976:QTG851990 RDC851976:RDC851990 RMY851976:RMY851990 RWU851976:RWU851990 SGQ851976:SGQ851990 SQM851976:SQM851990 TAI851976:TAI851990 TKE851976:TKE851990 TUA851976:TUA851990 UDW851976:UDW851990 UNS851976:UNS851990 UXO851976:UXO851990 VHK851976:VHK851990 VRG851976:VRG851990 WBC851976:WBC851990 WKY851976:WKY851990 WUU851976:WUU851990 B917512:B917526 II917512:II917526 SE917512:SE917526 ACA917512:ACA917526 ALW917512:ALW917526 AVS917512:AVS917526 BFO917512:BFO917526 BPK917512:BPK917526 BZG917512:BZG917526 CJC917512:CJC917526 CSY917512:CSY917526 DCU917512:DCU917526 DMQ917512:DMQ917526 DWM917512:DWM917526 EGI917512:EGI917526 EQE917512:EQE917526 FAA917512:FAA917526 FJW917512:FJW917526 FTS917512:FTS917526 GDO917512:GDO917526 GNK917512:GNK917526 GXG917512:GXG917526 HHC917512:HHC917526 HQY917512:HQY917526 IAU917512:IAU917526 IKQ917512:IKQ917526 IUM917512:IUM917526 JEI917512:JEI917526 JOE917512:JOE917526 JYA917512:JYA917526 KHW917512:KHW917526 KRS917512:KRS917526 LBO917512:LBO917526 LLK917512:LLK917526 LVG917512:LVG917526 MFC917512:MFC917526 MOY917512:MOY917526 MYU917512:MYU917526 NIQ917512:NIQ917526 NSM917512:NSM917526 OCI917512:OCI917526 OME917512:OME917526 OWA917512:OWA917526 PFW917512:PFW917526 PPS917512:PPS917526 PZO917512:PZO917526 QJK917512:QJK917526 QTG917512:QTG917526 RDC917512:RDC917526 RMY917512:RMY917526 RWU917512:RWU917526 SGQ917512:SGQ917526 SQM917512:SQM917526 TAI917512:TAI917526 TKE917512:TKE917526 TUA917512:TUA917526 UDW917512:UDW917526 UNS917512:UNS917526 UXO917512:UXO917526 VHK917512:VHK917526 VRG917512:VRG917526 WBC917512:WBC917526 WKY917512:WKY917526 WUU917512:WUU917526 B983048:B983062 II983048:II983062 SE983048:SE983062 ACA983048:ACA983062 ALW983048:ALW983062 AVS983048:AVS983062 BFO983048:BFO983062 BPK983048:BPK983062 BZG983048:BZG983062 CJC983048:CJC983062 CSY983048:CSY983062 DCU983048:DCU983062 DMQ983048:DMQ983062 DWM983048:DWM983062 EGI983048:EGI983062 EQE983048:EQE983062 FAA983048:FAA983062 FJW983048:FJW983062 FTS983048:FTS983062 GDO983048:GDO983062 GNK983048:GNK983062 GXG983048:GXG983062 HHC983048:HHC983062 HQY983048:HQY983062 IAU983048:IAU983062 IKQ983048:IKQ983062 IUM983048:IUM983062 JEI983048:JEI983062 JOE983048:JOE983062 JYA983048:JYA983062 KHW983048:KHW983062 KRS983048:KRS983062 LBO983048:LBO983062 LLK983048:LLK983062 LVG983048:LVG983062 MFC983048:MFC983062 MOY983048:MOY983062 MYU983048:MYU983062 NIQ983048:NIQ983062 NSM983048:NSM983062 OCI983048:OCI983062 OME983048:OME983062 OWA983048:OWA983062 PFW983048:PFW983062 PPS983048:PPS983062 PZO983048:PZO983062 QJK983048:QJK983062 QTG983048:QTG983062 RDC983048:RDC983062 RMY983048:RMY983062 RWU983048:RWU983062 SGQ983048:SGQ983062 SQM983048:SQM983062 TAI983048:TAI983062 TKE983048:TKE983062 TUA983048:TUA983062 UDW983048:UDW983062 UNS983048:UNS983062 UXO983048:UXO983062 VHK983048:VHK983062 VRG983048:VRG983062 WBC983048:WBC983062 WKY983048:WKY983062 WUU983048:WUU983062 WVC983048:WVC983062 J65544:J65558 IQ65544:IQ65558 SM65544:SM65558 ACI65544:ACI65558 AME65544:AME65558 AWA65544:AWA65558 BFW65544:BFW65558 BPS65544:BPS65558 BZO65544:BZO65558 CJK65544:CJK65558 CTG65544:CTG65558 DDC65544:DDC65558 DMY65544:DMY65558 DWU65544:DWU65558 EGQ65544:EGQ65558 EQM65544:EQM65558 FAI65544:FAI65558 FKE65544:FKE65558 FUA65544:FUA65558 GDW65544:GDW65558 GNS65544:GNS65558 GXO65544:GXO65558 HHK65544:HHK65558 HRG65544:HRG65558 IBC65544:IBC65558 IKY65544:IKY65558 IUU65544:IUU65558 JEQ65544:JEQ65558 JOM65544:JOM65558 JYI65544:JYI65558 KIE65544:KIE65558 KSA65544:KSA65558 LBW65544:LBW65558 LLS65544:LLS65558 LVO65544:LVO65558 MFK65544:MFK65558 MPG65544:MPG65558 MZC65544:MZC65558 NIY65544:NIY65558 NSU65544:NSU65558 OCQ65544:OCQ65558 OMM65544:OMM65558 OWI65544:OWI65558 PGE65544:PGE65558 PQA65544:PQA65558 PZW65544:PZW65558 QJS65544:QJS65558 QTO65544:QTO65558 RDK65544:RDK65558 RNG65544:RNG65558 RXC65544:RXC65558 SGY65544:SGY65558 SQU65544:SQU65558 TAQ65544:TAQ65558 TKM65544:TKM65558 TUI65544:TUI65558 UEE65544:UEE65558 UOA65544:UOA65558 UXW65544:UXW65558 VHS65544:VHS65558 VRO65544:VRO65558 WBK65544:WBK65558 WLG65544:WLG65558 WVC65544:WVC65558 J131080:J131094 IQ131080:IQ131094 SM131080:SM131094 ACI131080:ACI131094 AME131080:AME131094 AWA131080:AWA131094 BFW131080:BFW131094 BPS131080:BPS131094 BZO131080:BZO131094 CJK131080:CJK131094 CTG131080:CTG131094 DDC131080:DDC131094 DMY131080:DMY131094 DWU131080:DWU131094 EGQ131080:EGQ131094 EQM131080:EQM131094 FAI131080:FAI131094 FKE131080:FKE131094 FUA131080:FUA131094 GDW131080:GDW131094 GNS131080:GNS131094 GXO131080:GXO131094 HHK131080:HHK131094 HRG131080:HRG131094 IBC131080:IBC131094 IKY131080:IKY131094 IUU131080:IUU131094 JEQ131080:JEQ131094 JOM131080:JOM131094 JYI131080:JYI131094 KIE131080:KIE131094 KSA131080:KSA131094 LBW131080:LBW131094 LLS131080:LLS131094 LVO131080:LVO131094 MFK131080:MFK131094 MPG131080:MPG131094 MZC131080:MZC131094 NIY131080:NIY131094 NSU131080:NSU131094 OCQ131080:OCQ131094 OMM131080:OMM131094 OWI131080:OWI131094 PGE131080:PGE131094 PQA131080:PQA131094 PZW131080:PZW131094 QJS131080:QJS131094 QTO131080:QTO131094 RDK131080:RDK131094 RNG131080:RNG131094 RXC131080:RXC131094 SGY131080:SGY131094 SQU131080:SQU131094 TAQ131080:TAQ131094 TKM131080:TKM131094 TUI131080:TUI131094 UEE131080:UEE131094 UOA131080:UOA131094 UXW131080:UXW131094 VHS131080:VHS131094 VRO131080:VRO131094 WBK131080:WBK131094 WLG131080:WLG131094 WVC131080:WVC131094 J196616:J196630 IQ196616:IQ196630 SM196616:SM196630 ACI196616:ACI196630 AME196616:AME196630 AWA196616:AWA196630 BFW196616:BFW196630 BPS196616:BPS196630 BZO196616:BZO196630 CJK196616:CJK196630 CTG196616:CTG196630 DDC196616:DDC196630 DMY196616:DMY196630 DWU196616:DWU196630 EGQ196616:EGQ196630 EQM196616:EQM196630 FAI196616:FAI196630 FKE196616:FKE196630 FUA196616:FUA196630 GDW196616:GDW196630 GNS196616:GNS196630 GXO196616:GXO196630 HHK196616:HHK196630 HRG196616:HRG196630 IBC196616:IBC196630 IKY196616:IKY196630 IUU196616:IUU196630 JEQ196616:JEQ196630 JOM196616:JOM196630 JYI196616:JYI196630 KIE196616:KIE196630 KSA196616:KSA196630 LBW196616:LBW196630 LLS196616:LLS196630 LVO196616:LVO196630 MFK196616:MFK196630 MPG196616:MPG196630 MZC196616:MZC196630 NIY196616:NIY196630 NSU196616:NSU196630 OCQ196616:OCQ196630 OMM196616:OMM196630 OWI196616:OWI196630 PGE196616:PGE196630 PQA196616:PQA196630 PZW196616:PZW196630 QJS196616:QJS196630 QTO196616:QTO196630 RDK196616:RDK196630 RNG196616:RNG196630 RXC196616:RXC196630 SGY196616:SGY196630 SQU196616:SQU196630 TAQ196616:TAQ196630 TKM196616:TKM196630 TUI196616:TUI196630 UEE196616:UEE196630 UOA196616:UOA196630 UXW196616:UXW196630 VHS196616:VHS196630 VRO196616:VRO196630 WBK196616:WBK196630 WLG196616:WLG196630 WVC196616:WVC196630 J262152:J262166 IQ262152:IQ262166 SM262152:SM262166 ACI262152:ACI262166 AME262152:AME262166 AWA262152:AWA262166 BFW262152:BFW262166 BPS262152:BPS262166 BZO262152:BZO262166 CJK262152:CJK262166 CTG262152:CTG262166 DDC262152:DDC262166 DMY262152:DMY262166 DWU262152:DWU262166 EGQ262152:EGQ262166 EQM262152:EQM262166 FAI262152:FAI262166 FKE262152:FKE262166 FUA262152:FUA262166 GDW262152:GDW262166 GNS262152:GNS262166 GXO262152:GXO262166 HHK262152:HHK262166 HRG262152:HRG262166 IBC262152:IBC262166 IKY262152:IKY262166 IUU262152:IUU262166 JEQ262152:JEQ262166 JOM262152:JOM262166 JYI262152:JYI262166 KIE262152:KIE262166 KSA262152:KSA262166 LBW262152:LBW262166 LLS262152:LLS262166 LVO262152:LVO262166 MFK262152:MFK262166 MPG262152:MPG262166 MZC262152:MZC262166 NIY262152:NIY262166 NSU262152:NSU262166 OCQ262152:OCQ262166 OMM262152:OMM262166 OWI262152:OWI262166 PGE262152:PGE262166 PQA262152:PQA262166 PZW262152:PZW262166 QJS262152:QJS262166 QTO262152:QTO262166 RDK262152:RDK262166 RNG262152:RNG262166 RXC262152:RXC262166 SGY262152:SGY262166 SQU262152:SQU262166 TAQ262152:TAQ262166 TKM262152:TKM262166 TUI262152:TUI262166 UEE262152:UEE262166 UOA262152:UOA262166 UXW262152:UXW262166 VHS262152:VHS262166 VRO262152:VRO262166 WBK262152:WBK262166 WLG262152:WLG262166 WVC262152:WVC262166 J327688:J327702 IQ327688:IQ327702 SM327688:SM327702 ACI327688:ACI327702 AME327688:AME327702 AWA327688:AWA327702 BFW327688:BFW327702 BPS327688:BPS327702 BZO327688:BZO327702 CJK327688:CJK327702 CTG327688:CTG327702 DDC327688:DDC327702 DMY327688:DMY327702 DWU327688:DWU327702 EGQ327688:EGQ327702 EQM327688:EQM327702 FAI327688:FAI327702 FKE327688:FKE327702 FUA327688:FUA327702 GDW327688:GDW327702 GNS327688:GNS327702 GXO327688:GXO327702 HHK327688:HHK327702 HRG327688:HRG327702 IBC327688:IBC327702 IKY327688:IKY327702 IUU327688:IUU327702 JEQ327688:JEQ327702 JOM327688:JOM327702 JYI327688:JYI327702 KIE327688:KIE327702 KSA327688:KSA327702 LBW327688:LBW327702 LLS327688:LLS327702 LVO327688:LVO327702 MFK327688:MFK327702 MPG327688:MPG327702 MZC327688:MZC327702 NIY327688:NIY327702 NSU327688:NSU327702 OCQ327688:OCQ327702 OMM327688:OMM327702 OWI327688:OWI327702 PGE327688:PGE327702 PQA327688:PQA327702 PZW327688:PZW327702 QJS327688:QJS327702 QTO327688:QTO327702 RDK327688:RDK327702 RNG327688:RNG327702 RXC327688:RXC327702 SGY327688:SGY327702 SQU327688:SQU327702 TAQ327688:TAQ327702 TKM327688:TKM327702 TUI327688:TUI327702 UEE327688:UEE327702 UOA327688:UOA327702 UXW327688:UXW327702 VHS327688:VHS327702 VRO327688:VRO327702 WBK327688:WBK327702 WLG327688:WLG327702 WVC327688:WVC327702 J393224:J393238 IQ393224:IQ393238 SM393224:SM393238 ACI393224:ACI393238 AME393224:AME393238 AWA393224:AWA393238 BFW393224:BFW393238 BPS393224:BPS393238 BZO393224:BZO393238 CJK393224:CJK393238 CTG393224:CTG393238 DDC393224:DDC393238 DMY393224:DMY393238 DWU393224:DWU393238 EGQ393224:EGQ393238 EQM393224:EQM393238 FAI393224:FAI393238 FKE393224:FKE393238 FUA393224:FUA393238 GDW393224:GDW393238 GNS393224:GNS393238 GXO393224:GXO393238 HHK393224:HHK393238 HRG393224:HRG393238 IBC393224:IBC393238 IKY393224:IKY393238 IUU393224:IUU393238 JEQ393224:JEQ393238 JOM393224:JOM393238 JYI393224:JYI393238 KIE393224:KIE393238 KSA393224:KSA393238 LBW393224:LBW393238 LLS393224:LLS393238 LVO393224:LVO393238 MFK393224:MFK393238 MPG393224:MPG393238 MZC393224:MZC393238 NIY393224:NIY393238 NSU393224:NSU393238 OCQ393224:OCQ393238 OMM393224:OMM393238 OWI393224:OWI393238 PGE393224:PGE393238 PQA393224:PQA393238 PZW393224:PZW393238 QJS393224:QJS393238 QTO393224:QTO393238 RDK393224:RDK393238 RNG393224:RNG393238 RXC393224:RXC393238 SGY393224:SGY393238 SQU393224:SQU393238 TAQ393224:TAQ393238 TKM393224:TKM393238 TUI393224:TUI393238 UEE393224:UEE393238 UOA393224:UOA393238 UXW393224:UXW393238 VHS393224:VHS393238 VRO393224:VRO393238 WBK393224:WBK393238 WLG393224:WLG393238 WVC393224:WVC393238 J458760:J458774 IQ458760:IQ458774 SM458760:SM458774 ACI458760:ACI458774 AME458760:AME458774 AWA458760:AWA458774 BFW458760:BFW458774 BPS458760:BPS458774 BZO458760:BZO458774 CJK458760:CJK458774 CTG458760:CTG458774 DDC458760:DDC458774 DMY458760:DMY458774 DWU458760:DWU458774 EGQ458760:EGQ458774 EQM458760:EQM458774 FAI458760:FAI458774 FKE458760:FKE458774 FUA458760:FUA458774 GDW458760:GDW458774 GNS458760:GNS458774 GXO458760:GXO458774 HHK458760:HHK458774 HRG458760:HRG458774 IBC458760:IBC458774 IKY458760:IKY458774 IUU458760:IUU458774 JEQ458760:JEQ458774 JOM458760:JOM458774 JYI458760:JYI458774 KIE458760:KIE458774 KSA458760:KSA458774 LBW458760:LBW458774 LLS458760:LLS458774 LVO458760:LVO458774 MFK458760:MFK458774 MPG458760:MPG458774 MZC458760:MZC458774 NIY458760:NIY458774 NSU458760:NSU458774 OCQ458760:OCQ458774 OMM458760:OMM458774 OWI458760:OWI458774 PGE458760:PGE458774 PQA458760:PQA458774 PZW458760:PZW458774 QJS458760:QJS458774 QTO458760:QTO458774 RDK458760:RDK458774 RNG458760:RNG458774 RXC458760:RXC458774 SGY458760:SGY458774 SQU458760:SQU458774 TAQ458760:TAQ458774 TKM458760:TKM458774 TUI458760:TUI458774 UEE458760:UEE458774 UOA458760:UOA458774 UXW458760:UXW458774 VHS458760:VHS458774 VRO458760:VRO458774 WBK458760:WBK458774 WLG458760:WLG458774 WVC458760:WVC458774 J524296:J524310 IQ524296:IQ524310 SM524296:SM524310 ACI524296:ACI524310 AME524296:AME524310 AWA524296:AWA524310 BFW524296:BFW524310 BPS524296:BPS524310 BZO524296:BZO524310 CJK524296:CJK524310 CTG524296:CTG524310 DDC524296:DDC524310 DMY524296:DMY524310 DWU524296:DWU524310 EGQ524296:EGQ524310 EQM524296:EQM524310 FAI524296:FAI524310 FKE524296:FKE524310 FUA524296:FUA524310 GDW524296:GDW524310 GNS524296:GNS524310 GXO524296:GXO524310 HHK524296:HHK524310 HRG524296:HRG524310 IBC524296:IBC524310 IKY524296:IKY524310 IUU524296:IUU524310 JEQ524296:JEQ524310 JOM524296:JOM524310 JYI524296:JYI524310 KIE524296:KIE524310 KSA524296:KSA524310 LBW524296:LBW524310 LLS524296:LLS524310 LVO524296:LVO524310 MFK524296:MFK524310 MPG524296:MPG524310 MZC524296:MZC524310 NIY524296:NIY524310 NSU524296:NSU524310 OCQ524296:OCQ524310 OMM524296:OMM524310 OWI524296:OWI524310 PGE524296:PGE524310 PQA524296:PQA524310 PZW524296:PZW524310 QJS524296:QJS524310 QTO524296:QTO524310 RDK524296:RDK524310 RNG524296:RNG524310 RXC524296:RXC524310 SGY524296:SGY524310 SQU524296:SQU524310 TAQ524296:TAQ524310 TKM524296:TKM524310 TUI524296:TUI524310 UEE524296:UEE524310 UOA524296:UOA524310 UXW524296:UXW524310 VHS524296:VHS524310 VRO524296:VRO524310 WBK524296:WBK524310 WLG524296:WLG524310 WVC524296:WVC524310 J589832:J589846 IQ589832:IQ589846 SM589832:SM589846 ACI589832:ACI589846 AME589832:AME589846 AWA589832:AWA589846 BFW589832:BFW589846 BPS589832:BPS589846 BZO589832:BZO589846 CJK589832:CJK589846 CTG589832:CTG589846 DDC589832:DDC589846 DMY589832:DMY589846 DWU589832:DWU589846 EGQ589832:EGQ589846 EQM589832:EQM589846 FAI589832:FAI589846 FKE589832:FKE589846 FUA589832:FUA589846 GDW589832:GDW589846 GNS589832:GNS589846 GXO589832:GXO589846 HHK589832:HHK589846 HRG589832:HRG589846 IBC589832:IBC589846 IKY589832:IKY589846 IUU589832:IUU589846 JEQ589832:JEQ589846 JOM589832:JOM589846 JYI589832:JYI589846 KIE589832:KIE589846 KSA589832:KSA589846 LBW589832:LBW589846 LLS589832:LLS589846 LVO589832:LVO589846 MFK589832:MFK589846 MPG589832:MPG589846 MZC589832:MZC589846 NIY589832:NIY589846 NSU589832:NSU589846 OCQ589832:OCQ589846 OMM589832:OMM589846 OWI589832:OWI589846 PGE589832:PGE589846 PQA589832:PQA589846 PZW589832:PZW589846 QJS589832:QJS589846 QTO589832:QTO589846 RDK589832:RDK589846 RNG589832:RNG589846 RXC589832:RXC589846 SGY589832:SGY589846 SQU589832:SQU589846 TAQ589832:TAQ589846 TKM589832:TKM589846 TUI589832:TUI589846 UEE589832:UEE589846 UOA589832:UOA589846 UXW589832:UXW589846 VHS589832:VHS589846 VRO589832:VRO589846 WBK589832:WBK589846 WLG589832:WLG589846 WVC589832:WVC589846 J655368:J655382 IQ655368:IQ655382 SM655368:SM655382 ACI655368:ACI655382 AME655368:AME655382 AWA655368:AWA655382 BFW655368:BFW655382 BPS655368:BPS655382 BZO655368:BZO655382 CJK655368:CJK655382 CTG655368:CTG655382 DDC655368:DDC655382 DMY655368:DMY655382 DWU655368:DWU655382 EGQ655368:EGQ655382 EQM655368:EQM655382 FAI655368:FAI655382 FKE655368:FKE655382 FUA655368:FUA655382 GDW655368:GDW655382 GNS655368:GNS655382 GXO655368:GXO655382 HHK655368:HHK655382 HRG655368:HRG655382 IBC655368:IBC655382 IKY655368:IKY655382 IUU655368:IUU655382 JEQ655368:JEQ655382 JOM655368:JOM655382 JYI655368:JYI655382 KIE655368:KIE655382 KSA655368:KSA655382 LBW655368:LBW655382 LLS655368:LLS655382 LVO655368:LVO655382 MFK655368:MFK655382 MPG655368:MPG655382 MZC655368:MZC655382 NIY655368:NIY655382 NSU655368:NSU655382 OCQ655368:OCQ655382 OMM655368:OMM655382 OWI655368:OWI655382 PGE655368:PGE655382 PQA655368:PQA655382 PZW655368:PZW655382 QJS655368:QJS655382 QTO655368:QTO655382 RDK655368:RDK655382 RNG655368:RNG655382 RXC655368:RXC655382 SGY655368:SGY655382 SQU655368:SQU655382 TAQ655368:TAQ655382 TKM655368:TKM655382 TUI655368:TUI655382 UEE655368:UEE655382 UOA655368:UOA655382 UXW655368:UXW655382 VHS655368:VHS655382 VRO655368:VRO655382 WBK655368:WBK655382 WLG655368:WLG655382 WVC655368:WVC655382 J720904:J720918 IQ720904:IQ720918 SM720904:SM720918 ACI720904:ACI720918 AME720904:AME720918 AWA720904:AWA720918 BFW720904:BFW720918 BPS720904:BPS720918 BZO720904:BZO720918 CJK720904:CJK720918 CTG720904:CTG720918 DDC720904:DDC720918 DMY720904:DMY720918 DWU720904:DWU720918 EGQ720904:EGQ720918 EQM720904:EQM720918 FAI720904:FAI720918 FKE720904:FKE720918 FUA720904:FUA720918 GDW720904:GDW720918 GNS720904:GNS720918 GXO720904:GXO720918 HHK720904:HHK720918 HRG720904:HRG720918 IBC720904:IBC720918 IKY720904:IKY720918 IUU720904:IUU720918 JEQ720904:JEQ720918 JOM720904:JOM720918 JYI720904:JYI720918 KIE720904:KIE720918 KSA720904:KSA720918 LBW720904:LBW720918 LLS720904:LLS720918 LVO720904:LVO720918 MFK720904:MFK720918 MPG720904:MPG720918 MZC720904:MZC720918 NIY720904:NIY720918 NSU720904:NSU720918 OCQ720904:OCQ720918 OMM720904:OMM720918 OWI720904:OWI720918 PGE720904:PGE720918 PQA720904:PQA720918 PZW720904:PZW720918 QJS720904:QJS720918 QTO720904:QTO720918 RDK720904:RDK720918 RNG720904:RNG720918 RXC720904:RXC720918 SGY720904:SGY720918 SQU720904:SQU720918 TAQ720904:TAQ720918 TKM720904:TKM720918 TUI720904:TUI720918 UEE720904:UEE720918 UOA720904:UOA720918 UXW720904:UXW720918 VHS720904:VHS720918 VRO720904:VRO720918 WBK720904:WBK720918 WLG720904:WLG720918 WVC720904:WVC720918 J786440:J786454 IQ786440:IQ786454 SM786440:SM786454 ACI786440:ACI786454 AME786440:AME786454 AWA786440:AWA786454 BFW786440:BFW786454 BPS786440:BPS786454 BZO786440:BZO786454 CJK786440:CJK786454 CTG786440:CTG786454 DDC786440:DDC786454 DMY786440:DMY786454 DWU786440:DWU786454 EGQ786440:EGQ786454 EQM786440:EQM786454 FAI786440:FAI786454 FKE786440:FKE786454 FUA786440:FUA786454 GDW786440:GDW786454 GNS786440:GNS786454 GXO786440:GXO786454 HHK786440:HHK786454 HRG786440:HRG786454 IBC786440:IBC786454 IKY786440:IKY786454 IUU786440:IUU786454 JEQ786440:JEQ786454 JOM786440:JOM786454 JYI786440:JYI786454 KIE786440:KIE786454 KSA786440:KSA786454 LBW786440:LBW786454 LLS786440:LLS786454 LVO786440:LVO786454 MFK786440:MFK786454 MPG786440:MPG786454 MZC786440:MZC786454 NIY786440:NIY786454 NSU786440:NSU786454 OCQ786440:OCQ786454 OMM786440:OMM786454 OWI786440:OWI786454 PGE786440:PGE786454 PQA786440:PQA786454 PZW786440:PZW786454 QJS786440:QJS786454 QTO786440:QTO786454 RDK786440:RDK786454 RNG786440:RNG786454 RXC786440:RXC786454 SGY786440:SGY786454 SQU786440:SQU786454 TAQ786440:TAQ786454 TKM786440:TKM786454 TUI786440:TUI786454 UEE786440:UEE786454 UOA786440:UOA786454 UXW786440:UXW786454 VHS786440:VHS786454 VRO786440:VRO786454 WBK786440:WBK786454 WLG786440:WLG786454 WVC786440:WVC786454 J851976:J851990 IQ851976:IQ851990 SM851976:SM851990 ACI851976:ACI851990 AME851976:AME851990 AWA851976:AWA851990 BFW851976:BFW851990 BPS851976:BPS851990 BZO851976:BZO851990 CJK851976:CJK851990 CTG851976:CTG851990 DDC851976:DDC851990 DMY851976:DMY851990 DWU851976:DWU851990 EGQ851976:EGQ851990 EQM851976:EQM851990 FAI851976:FAI851990 FKE851976:FKE851990 FUA851976:FUA851990 GDW851976:GDW851990 GNS851976:GNS851990 GXO851976:GXO851990 HHK851976:HHK851990 HRG851976:HRG851990 IBC851976:IBC851990 IKY851976:IKY851990 IUU851976:IUU851990 JEQ851976:JEQ851990 JOM851976:JOM851990 JYI851976:JYI851990 KIE851976:KIE851990 KSA851976:KSA851990 LBW851976:LBW851990 LLS851976:LLS851990 LVO851976:LVO851990 MFK851976:MFK851990 MPG851976:MPG851990 MZC851976:MZC851990 NIY851976:NIY851990 NSU851976:NSU851990 OCQ851976:OCQ851990 OMM851976:OMM851990 OWI851976:OWI851990 PGE851976:PGE851990 PQA851976:PQA851990 PZW851976:PZW851990 QJS851976:QJS851990 QTO851976:QTO851990 RDK851976:RDK851990 RNG851976:RNG851990 RXC851976:RXC851990 SGY851976:SGY851990 SQU851976:SQU851990 TAQ851976:TAQ851990 TKM851976:TKM851990 TUI851976:TUI851990 UEE851976:UEE851990 UOA851976:UOA851990 UXW851976:UXW851990 VHS851976:VHS851990 VRO851976:VRO851990 WBK851976:WBK851990 WLG851976:WLG851990 WVC851976:WVC851990 J917512:J917526 IQ917512:IQ917526 SM917512:SM917526 ACI917512:ACI917526 AME917512:AME917526 AWA917512:AWA917526 BFW917512:BFW917526 BPS917512:BPS917526 BZO917512:BZO917526 CJK917512:CJK917526 CTG917512:CTG917526 DDC917512:DDC917526 DMY917512:DMY917526 DWU917512:DWU917526 EGQ917512:EGQ917526 EQM917512:EQM917526 FAI917512:FAI917526 FKE917512:FKE917526 FUA917512:FUA917526 GDW917512:GDW917526 GNS917512:GNS917526 GXO917512:GXO917526 HHK917512:HHK917526 HRG917512:HRG917526 IBC917512:IBC917526 IKY917512:IKY917526 IUU917512:IUU917526 JEQ917512:JEQ917526 JOM917512:JOM917526 JYI917512:JYI917526 KIE917512:KIE917526 KSA917512:KSA917526 LBW917512:LBW917526 LLS917512:LLS917526 LVO917512:LVO917526 MFK917512:MFK917526 MPG917512:MPG917526 MZC917512:MZC917526 NIY917512:NIY917526 NSU917512:NSU917526 OCQ917512:OCQ917526 OMM917512:OMM917526 OWI917512:OWI917526 PGE917512:PGE917526 PQA917512:PQA917526 PZW917512:PZW917526 QJS917512:QJS917526 QTO917512:QTO917526 RDK917512:RDK917526 RNG917512:RNG917526 RXC917512:RXC917526 SGY917512:SGY917526 SQU917512:SQU917526 TAQ917512:TAQ917526 TKM917512:TKM917526 TUI917512:TUI917526 UEE917512:UEE917526 UOA917512:UOA917526 UXW917512:UXW917526 VHS917512:VHS917526 VRO917512:VRO917526 WBK917512:WBK917526 WLG917512:WLG917526 WVC917512:WVC917526 J983048:J983062 IQ983048:IQ983062 SM983048:SM983062 ACI983048:ACI983062 AME983048:AME983062 AWA983048:AWA983062 BFW983048:BFW983062 BPS983048:BPS983062 BZO983048:BZO983062 CJK983048:CJK983062 CTG983048:CTG983062 DDC983048:DDC983062 DMY983048:DMY983062 DWU983048:DWU983062 EGQ983048:EGQ983062 EQM983048:EQM983062 FAI983048:FAI983062 FKE983048:FKE983062 FUA983048:FUA983062 GDW983048:GDW983062 GNS983048:GNS983062 GXO983048:GXO983062 HHK983048:HHK983062 HRG983048:HRG983062 IBC983048:IBC983062 IKY983048:IKY983062 IUU983048:IUU983062 JEQ983048:JEQ983062 JOM983048:JOM983062 JYI983048:JYI983062 KIE983048:KIE983062 KSA983048:KSA983062 LBW983048:LBW983062 LLS983048:LLS983062 LVO983048:LVO983062 MFK983048:MFK983062 MPG983048:MPG983062 MZC983048:MZC983062 NIY983048:NIY983062 NSU983048:NSU983062 OCQ983048:OCQ983062 OMM983048:OMM983062 OWI983048:OWI983062 PGE983048:PGE983062 PQA983048:PQA983062 PZW983048:PZW983062 QJS983048:QJS983062 QTO983048:QTO983062 RDK983048:RDK983062 RNG983048:RNG983062 RXC983048:RXC983062 SGY983048:SGY983062 SQU983048:SQU983062 TAQ983048:TAQ983062 TKM983048:TKM983062 TUI983048:TUI983062 UEE983048:UEE983062 UOA983048:UOA983062 UXW983048:UXW983062 VHS983048:VHS983062 VRO983048:VRO983062 WBK983048:WBK983062 WLG983048:WLG983062 II14:II20 SE14:SE20 ACA14:ACA20 ALW14:ALW20 AVS14:AVS20 BFO14:BFO20 BPK14:BPK20 BZG14:BZG20 CJC14:CJC20 CSY14:CSY20 DCU14:DCU20 DMQ14:DMQ20 DWM14:DWM20 EGI14:EGI20 EQE14:EQE20 FAA14:FAA20 FJW14:FJW20 FTS14:FTS20 GDO14:GDO20 GNK14:GNK20 GXG14:GXG20 HHC14:HHC20 HQY14:HQY20 IAU14:IAU20 IKQ14:IKQ20 IUM14:IUM20 JEI14:JEI20 JOE14:JOE20 JYA14:JYA20 KHW14:KHW20 KRS14:KRS20 LBO14:LBO20 LLK14:LLK20 LVG14:LVG20 MFC14:MFC20 MOY14:MOY20 MYU14:MYU20 NIQ14:NIQ20 NSM14:NSM20 OCI14:OCI20 OME14:OME20 OWA14:OWA20 PFW14:PFW20 PPS14:PPS20 PZO14:PZO20 QJK14:QJK20 QTG14:QTG20 RDC14:RDC20 RMY14:RMY20 RWU14:RWU20 SGQ14:SGQ20 SQM14:SQM20 TAI14:TAI20 TKE14:TKE20 TUA14:TUA20 UDW14:UDW20 UNS14:UNS20 UXO14:UXO20 VHK14:VHK20 VRG14:VRG20 WBC14:WBC20 WKY14:WKY20 WUU14:WUU20 IQ14:IQ20 SM14:SM20 ACI14:ACI20 AME14:AME20 AWA14:AWA20 BFW14:BFW20 BPS14:BPS20 BZO14:BZO20 CJK14:CJK20 CTG14:CTG20 DDC14:DDC20 DMY14:DMY20 DWU14:DWU20 EGQ14:EGQ20 EQM14:EQM20 FAI14:FAI20 FKE14:FKE20 FUA14:FUA20 GDW14:GDW20 GNS14:GNS20 GXO14:GXO20 HHK14:HHK20 HRG14:HRG20 IBC14:IBC20 IKY14:IKY20 IUU14:IUU20 JEQ14:JEQ20 JOM14:JOM20 JYI14:JYI20 KIE14:KIE20 KSA14:KSA20 LBW14:LBW20 LLS14:LLS20 LVO14:LVO20 MFK14:MFK20 MPG14:MPG20 MZC14:MZC20 NIY14:NIY20 NSU14:NSU20 OCQ14:OCQ20 OMM14:OMM20 OWI14:OWI20 PGE14:PGE20 PQA14:PQA20 PZW14:PZW20 QJS14:QJS20 QTO14:QTO20 RDK14:RDK20 RNG14:RNG20 RXC14:RXC20 SGY14:SGY20 SQU14:SQU20 TAQ14:TAQ20 TKM14:TKM20 TUI14:TUI20 UEE14:UEE20 UOA14:UOA20 UXW14:UXW20 VHS14:VHS20 VRO14:VRO20 WBK14:WBK20 WLG14:WLG20 WVC14:WVC20 B14" xr:uid="{50551068-BDBB-44A4-9CF5-14DC838FFE6B}">
      <formula1>4</formula1>
    </dataValidation>
    <dataValidation type="list" operator="equal" allowBlank="1" showInputMessage="1" showErrorMessage="1" errorTitle="Invalid data!" error="Agency number must be 4 digits." sqref="B15:B16 B18:B20 N15:N16 N18:N20" xr:uid="{A3CCF8A4-B623-4FC9-B29E-903CA073FE41}">
      <formula1>List505thru520</formula1>
    </dataValidation>
    <dataValidation type="textLength" operator="equal" allowBlank="1" showInputMessage="1" showErrorMessage="1" errorTitle="Invalid data!" error="Budget Fund must be 6 digits." sqref="D15:D20" xr:uid="{59297C3E-7278-4599-8429-A2A3B384CAD3}">
      <formula1>6</formula1>
    </dataValidation>
    <dataValidation type="textLength" operator="equal" allowBlank="1" showInputMessage="1" showErrorMessage="1" errorTitle="Invalid data!" error="Interfund/Budget Fund must be 6 digits" sqref="J15:J20" xr:uid="{F07639A3-B12A-4BC6-A395-587971DB763C}">
      <formula1>6</formula1>
    </dataValidation>
  </dataValidations>
  <hyperlinks>
    <hyperlink ref="B1:P1" location="Index!A1" display="Index!A1" xr:uid="{22BFC3DA-C631-4E22-8D23-340DA97826B2}"/>
  </hyperlinks>
  <pageMargins left="0.7" right="0.7" top="0.75" bottom="0.75" header="0.3" footer="0.3"/>
  <pageSetup scale="71" orientation="landscape" horizontalDpi="1200" verticalDpi="1200" r:id="rId1"/>
  <extLst>
    <ext xmlns:x14="http://schemas.microsoft.com/office/spreadsheetml/2009/9/main" uri="{CCE6A557-97BC-4b89-ADB6-D9C93CAAB3DF}">
      <x14:dataValidations xmlns:xm="http://schemas.microsoft.com/office/excel/2006/main" count="2">
        <x14:dataValidation type="list" allowBlank="1" showInputMessage="1" showErrorMessage="1" xr:uid="{7D47CE14-C938-4262-9DA9-5CF614B766E6}">
          <x14:formula1>
            <xm:f>Agencies!$B$3:$B$69</xm:f>
          </x14:formula1>
          <xm:sqref>O4:P4</xm:sqref>
        </x14:dataValidation>
        <x14:dataValidation type="list" operator="equal" allowBlank="1" showInputMessage="1" showErrorMessage="1" errorTitle="Invalid data!" error="Agency number must be 4 digits." xr:uid="{A5740374-3E8C-423C-871F-3AF9B1727322}">
          <x14:formula1>
            <xm:f>Agencies!B73:B108</xm:f>
          </x14:formula1>
          <xm:sqref>N17 B17</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5">
    <pageSetUpPr fitToPage="1"/>
  </sheetPr>
  <dimension ref="A1:U53"/>
  <sheetViews>
    <sheetView showGridLines="0" topLeftCell="B1" zoomScaleNormal="100" workbookViewId="0">
      <selection activeCell="D8" sqref="D8:H8"/>
    </sheetView>
  </sheetViews>
  <sheetFormatPr defaultColWidth="9.42578125" defaultRowHeight="15.75" x14ac:dyDescent="0.25"/>
  <cols>
    <col min="1" max="1" width="0" style="453" hidden="1" customWidth="1"/>
    <col min="2" max="2" width="14.85546875" style="453" customWidth="1"/>
    <col min="3" max="3" width="1" style="453" customWidth="1"/>
    <col min="4" max="4" width="11.42578125" style="453" customWidth="1"/>
    <col min="5" max="5" width="1" style="453" customWidth="1"/>
    <col min="6" max="6" width="9.85546875" style="453" customWidth="1"/>
    <col min="7" max="7" width="1" style="453" customWidth="1"/>
    <col min="8" max="8" width="20.85546875" style="453" customWidth="1"/>
    <col min="9" max="9" width="1" style="453" customWidth="1"/>
    <col min="10" max="10" width="20.5703125" style="453" customWidth="1"/>
    <col min="11" max="11" width="1.7109375" style="453" customWidth="1"/>
    <col min="12" max="12" width="1.42578125" style="453" customWidth="1"/>
    <col min="13" max="13" width="16.42578125" style="453" customWidth="1"/>
    <col min="14" max="14" width="1.42578125" style="453" customWidth="1"/>
    <col min="15" max="15" width="16.42578125" style="453" customWidth="1"/>
    <col min="16" max="16" width="1.28515625" style="453" customWidth="1"/>
    <col min="17" max="17" width="28.140625" style="453" customWidth="1"/>
    <col min="18" max="18" width="4.42578125" style="453" customWidth="1"/>
    <col min="19" max="16384" width="9.42578125" style="453"/>
  </cols>
  <sheetData>
    <row r="1" spans="2:21" ht="15" customHeight="1" x14ac:dyDescent="0.25">
      <c r="B1" s="2553" t="str">
        <f>+Index!$A$1</f>
        <v xml:space="preserve">                                                               Office of the State Controller                                                                </v>
      </c>
      <c r="C1" s="2553"/>
      <c r="D1" s="2553"/>
      <c r="E1" s="2553"/>
      <c r="F1" s="2553"/>
      <c r="G1" s="2553"/>
      <c r="H1" s="2553"/>
      <c r="I1" s="2553"/>
      <c r="J1" s="2553"/>
      <c r="K1" s="2553"/>
      <c r="L1" s="2553"/>
      <c r="M1" s="2553"/>
      <c r="N1" s="2553"/>
      <c r="O1" s="2553"/>
      <c r="P1" s="2553"/>
      <c r="Q1" s="2553"/>
      <c r="R1" s="2626" t="str">
        <f>IF(Index!$B$69="na","NA","")</f>
        <v/>
      </c>
      <c r="S1" s="2879"/>
      <c r="T1" s="1679"/>
      <c r="U1" s="1679"/>
    </row>
    <row r="2" spans="2:21" ht="15" customHeight="1" x14ac:dyDescent="0.25">
      <c r="B2" s="2877" t="str">
        <f>+Index!$A$2</f>
        <v>2024 ACFR Worksheets</v>
      </c>
      <c r="C2" s="2877"/>
      <c r="D2" s="2877"/>
      <c r="E2" s="2877"/>
      <c r="F2" s="2877"/>
      <c r="G2" s="2877"/>
      <c r="H2" s="2877"/>
      <c r="I2" s="2877"/>
      <c r="J2" s="2877"/>
      <c r="K2" s="2877"/>
      <c r="L2" s="2877"/>
      <c r="M2" s="2877"/>
      <c r="N2" s="2877"/>
      <c r="O2" s="2877"/>
      <c r="P2" s="2877"/>
      <c r="Q2" s="2877"/>
      <c r="R2" s="2626"/>
      <c r="S2" s="2879"/>
      <c r="T2" s="1679"/>
      <c r="U2" s="1679"/>
    </row>
    <row r="3" spans="2:21" ht="15" customHeight="1" x14ac:dyDescent="0.25">
      <c r="B3" s="2877" t="s">
        <v>1895</v>
      </c>
      <c r="C3" s="2877"/>
      <c r="D3" s="2877"/>
      <c r="E3" s="2877"/>
      <c r="F3" s="2877"/>
      <c r="G3" s="2877"/>
      <c r="H3" s="2877"/>
      <c r="I3" s="2877"/>
      <c r="J3" s="2877"/>
      <c r="K3" s="2877"/>
      <c r="L3" s="2877"/>
      <c r="M3" s="2877"/>
      <c r="N3" s="2877"/>
      <c r="O3" s="2877"/>
      <c r="P3" s="2877"/>
      <c r="Q3" s="2877"/>
      <c r="R3" s="2626"/>
      <c r="S3" s="2879"/>
      <c r="T3" s="1679"/>
      <c r="U3" s="1679"/>
    </row>
    <row r="4" spans="2:21" ht="15" customHeight="1" x14ac:dyDescent="0.25">
      <c r="B4" s="2877" t="s">
        <v>1896</v>
      </c>
      <c r="C4" s="2877"/>
      <c r="D4" s="2877"/>
      <c r="E4" s="2877"/>
      <c r="F4" s="2877"/>
      <c r="G4" s="2877"/>
      <c r="H4" s="2877"/>
      <c r="I4" s="2877"/>
      <c r="J4" s="2877"/>
      <c r="K4" s="2877"/>
      <c r="L4" s="2877"/>
      <c r="M4" s="2877"/>
      <c r="N4" s="2877"/>
      <c r="O4" s="2877"/>
      <c r="P4" s="2877"/>
      <c r="Q4" s="2877"/>
      <c r="R4" s="1679"/>
      <c r="S4" s="1679"/>
      <c r="T4" s="1679"/>
      <c r="U4" s="1679"/>
    </row>
    <row r="5" spans="2:21" ht="15" customHeight="1" x14ac:dyDescent="0.25">
      <c r="B5" s="2883" t="s">
        <v>1897</v>
      </c>
      <c r="C5" s="2883"/>
      <c r="D5" s="2883"/>
      <c r="E5" s="2883"/>
      <c r="F5" s="2883"/>
      <c r="G5" s="2883"/>
      <c r="H5" s="2883"/>
      <c r="I5" s="2883"/>
      <c r="J5" s="2883"/>
      <c r="K5" s="2883"/>
      <c r="L5" s="2883"/>
      <c r="M5" s="2883"/>
      <c r="N5" s="2883"/>
      <c r="O5" s="2883"/>
      <c r="P5" s="2883"/>
      <c r="Q5" s="2883"/>
      <c r="R5" s="1679"/>
      <c r="S5" s="1679"/>
      <c r="T5" s="1679"/>
      <c r="U5" s="1679"/>
    </row>
    <row r="6" spans="2:21" ht="15" customHeight="1" x14ac:dyDescent="0.25">
      <c r="B6" s="1121"/>
      <c r="C6" s="287"/>
      <c r="D6" s="1680"/>
      <c r="E6" s="1680"/>
      <c r="F6" s="1680"/>
      <c r="G6" s="1680"/>
      <c r="H6" s="1680"/>
      <c r="I6" s="1680"/>
      <c r="J6" s="2199" t="s">
        <v>1898</v>
      </c>
      <c r="K6" s="1680"/>
      <c r="L6" s="1680"/>
      <c r="M6" s="1679"/>
      <c r="N6" s="406"/>
      <c r="O6" s="1797"/>
      <c r="P6" s="1680"/>
      <c r="Q6" s="1798"/>
      <c r="R6" s="1121"/>
      <c r="S6" s="1679"/>
      <c r="T6" s="1679"/>
      <c r="U6" s="1679"/>
    </row>
    <row r="7" spans="2:21" ht="15" customHeight="1" x14ac:dyDescent="0.25">
      <c r="B7" s="1681" t="s">
        <v>318</v>
      </c>
      <c r="C7" s="1121"/>
      <c r="D7" s="2880" t="str">
        <f>+Index!$E$10</f>
        <v>01</v>
      </c>
      <c r="E7" s="2880"/>
      <c r="F7" s="2880"/>
      <c r="G7" s="2880"/>
      <c r="H7" s="1682"/>
      <c r="I7" s="1121"/>
      <c r="J7" s="1121"/>
      <c r="K7" s="1683" t="s">
        <v>320</v>
      </c>
      <c r="L7" s="2881" t="str">
        <f>CONCATENATE(Index!$E$12," ",Index!$E$14)</f>
        <v xml:space="preserve"> </v>
      </c>
      <c r="M7" s="2881"/>
      <c r="N7" s="2881"/>
      <c r="O7" s="2881"/>
      <c r="P7" s="2881"/>
      <c r="Q7" s="458"/>
      <c r="R7" s="1679"/>
      <c r="S7" s="1679"/>
      <c r="T7" s="1679"/>
      <c r="U7" s="1679"/>
    </row>
    <row r="8" spans="2:21" ht="15" customHeight="1" x14ac:dyDescent="0.25">
      <c r="B8" s="1681" t="s">
        <v>319</v>
      </c>
      <c r="C8" s="1121"/>
      <c r="D8" s="2880" t="str">
        <f>+Index!$E$11</f>
        <v>North Carolina General Assembly</v>
      </c>
      <c r="E8" s="2880"/>
      <c r="F8" s="2880"/>
      <c r="G8" s="2880"/>
      <c r="H8" s="2880"/>
      <c r="I8" s="1121"/>
      <c r="J8" s="1121"/>
      <c r="K8" s="1683" t="s">
        <v>168</v>
      </c>
      <c r="L8" s="2882">
        <f>+Index!$E$13</f>
        <v>0</v>
      </c>
      <c r="M8" s="2882"/>
      <c r="N8" s="2882"/>
      <c r="O8" s="2882"/>
      <c r="P8" s="2882"/>
      <c r="Q8" s="458"/>
      <c r="R8" s="1679"/>
      <c r="S8" s="1679"/>
      <c r="T8" s="1679"/>
      <c r="U8" s="1679"/>
    </row>
    <row r="9" spans="2:21" ht="15" customHeight="1" x14ac:dyDescent="0.25">
      <c r="B9" s="1681" t="s">
        <v>1899</v>
      </c>
      <c r="C9" s="1121"/>
      <c r="D9" s="878"/>
      <c r="E9" s="1121"/>
      <c r="F9" s="1121"/>
      <c r="G9" s="1121"/>
      <c r="H9" s="1121"/>
      <c r="I9" s="1121"/>
      <c r="J9" s="1121"/>
      <c r="K9" s="1121"/>
      <c r="L9" s="1121"/>
      <c r="M9" s="1121"/>
      <c r="N9" s="1121"/>
      <c r="O9" s="1121"/>
      <c r="P9" s="1121"/>
      <c r="Q9" s="1684"/>
      <c r="R9" s="1679"/>
      <c r="S9" s="1679"/>
      <c r="T9" s="1679"/>
      <c r="U9" s="1679"/>
    </row>
    <row r="10" spans="2:21" ht="15" customHeight="1" x14ac:dyDescent="0.25">
      <c r="B10" s="1681"/>
      <c r="C10" s="1121"/>
      <c r="D10" s="1709"/>
      <c r="E10" s="1121"/>
      <c r="F10" s="1121"/>
      <c r="G10" s="1121"/>
      <c r="H10" s="1121"/>
      <c r="I10" s="1121"/>
      <c r="J10" s="1121"/>
      <c r="K10" s="1121"/>
      <c r="L10" s="1121"/>
      <c r="M10" s="1121"/>
      <c r="N10" s="1121"/>
      <c r="O10" s="1121"/>
      <c r="P10" s="1121"/>
      <c r="Q10" s="1684"/>
      <c r="R10" s="1679"/>
      <c r="S10" s="1679"/>
      <c r="T10" s="1679"/>
      <c r="U10" s="1679"/>
    </row>
    <row r="11" spans="2:21" ht="15.75" customHeight="1" thickBot="1" x14ac:dyDescent="0.3">
      <c r="B11" s="1685"/>
      <c r="C11" s="1686"/>
      <c r="D11" s="1685"/>
      <c r="E11" s="1685"/>
      <c r="F11" s="455"/>
      <c r="G11" s="1685"/>
      <c r="H11" s="455"/>
      <c r="I11" s="1687"/>
      <c r="J11" s="2878"/>
      <c r="K11" s="2878"/>
      <c r="L11" s="2878"/>
      <c r="M11" s="2878"/>
      <c r="N11" s="2375"/>
      <c r="O11" s="2375"/>
      <c r="P11" s="1687"/>
      <c r="Q11" s="460"/>
      <c r="R11" s="1679"/>
      <c r="S11" s="1679"/>
      <c r="T11" s="1679"/>
      <c r="U11" s="1679"/>
    </row>
    <row r="12" spans="2:21" ht="14.1" customHeight="1" thickBot="1" x14ac:dyDescent="0.3">
      <c r="B12" s="1378" t="s">
        <v>1865</v>
      </c>
      <c r="C12" s="1378"/>
      <c r="D12" s="1378" t="s">
        <v>1900</v>
      </c>
      <c r="E12" s="1688"/>
      <c r="F12" s="1378" t="s">
        <v>1900</v>
      </c>
      <c r="G12" s="1688"/>
      <c r="H12" s="1379"/>
      <c r="I12" s="1689"/>
      <c r="J12" s="2876" t="s">
        <v>1901</v>
      </c>
      <c r="K12" s="2876"/>
      <c r="L12" s="2876"/>
      <c r="M12" s="2876"/>
      <c r="N12" s="2876"/>
      <c r="O12" s="2876"/>
      <c r="P12" s="1689"/>
      <c r="Q12" s="459"/>
      <c r="R12" s="1679"/>
      <c r="S12" s="1679"/>
      <c r="T12" s="1679"/>
      <c r="U12" s="1679"/>
    </row>
    <row r="13" spans="2:21" ht="14.1" customHeight="1" x14ac:dyDescent="0.25">
      <c r="B13" s="1378" t="s">
        <v>756</v>
      </c>
      <c r="C13" s="1378"/>
      <c r="D13" s="1378" t="s">
        <v>1867</v>
      </c>
      <c r="E13" s="1688"/>
      <c r="F13" s="1378" t="s">
        <v>1573</v>
      </c>
      <c r="G13" s="1688"/>
      <c r="H13" s="1379"/>
      <c r="I13" s="1689"/>
      <c r="J13" s="1690"/>
      <c r="K13" s="1690"/>
      <c r="L13" s="1690"/>
      <c r="M13" s="1380" t="s">
        <v>1902</v>
      </c>
      <c r="N13" s="1380"/>
      <c r="O13" s="1380" t="s">
        <v>1903</v>
      </c>
      <c r="P13" s="1689"/>
      <c r="Q13" s="459"/>
      <c r="R13" s="1679"/>
      <c r="S13" s="1679"/>
      <c r="T13" s="1679"/>
      <c r="U13" s="1679"/>
    </row>
    <row r="14" spans="2:21" ht="14.1" customHeight="1" thickBot="1" x14ac:dyDescent="0.3">
      <c r="B14" s="1691" t="s">
        <v>1904</v>
      </c>
      <c r="C14" s="1378"/>
      <c r="D14" s="1691" t="s">
        <v>1709</v>
      </c>
      <c r="E14" s="459"/>
      <c r="F14" s="1691" t="s">
        <v>1709</v>
      </c>
      <c r="G14" s="459"/>
      <c r="H14" s="1381" t="s">
        <v>1359</v>
      </c>
      <c r="I14" s="1689"/>
      <c r="J14" s="1381" t="s">
        <v>1408</v>
      </c>
      <c r="K14" s="1382"/>
      <c r="L14" s="1383"/>
      <c r="M14" s="1381" t="s">
        <v>1905</v>
      </c>
      <c r="N14" s="1380"/>
      <c r="O14" s="1381" t="s">
        <v>677</v>
      </c>
      <c r="P14" s="1689"/>
      <c r="Q14" s="1381" t="s">
        <v>1876</v>
      </c>
      <c r="R14" s="1692" t="s">
        <v>50</v>
      </c>
      <c r="S14" s="1679"/>
      <c r="T14" s="1679"/>
      <c r="U14" s="1679"/>
    </row>
    <row r="15" spans="2:21" ht="17.25" customHeight="1" x14ac:dyDescent="0.25">
      <c r="B15" s="668">
        <v>11441000</v>
      </c>
      <c r="C15" s="1689"/>
      <c r="D15" s="669"/>
      <c r="E15" s="1689"/>
      <c r="F15" s="668"/>
      <c r="G15" s="454"/>
      <c r="H15" s="456"/>
      <c r="I15" s="459"/>
      <c r="J15" s="668"/>
      <c r="K15" s="457"/>
      <c r="L15" s="671"/>
      <c r="M15" s="668"/>
      <c r="N15" s="1385"/>
      <c r="O15" s="1473"/>
      <c r="P15" s="459"/>
      <c r="Q15" s="1472"/>
      <c r="R15" s="1679"/>
      <c r="S15" s="1679"/>
      <c r="T15" s="1679"/>
      <c r="U15" s="1498"/>
    </row>
    <row r="16" spans="2:21" ht="17.25" customHeight="1" x14ac:dyDescent="0.25">
      <c r="B16" s="668">
        <v>11441000</v>
      </c>
      <c r="C16" s="1689"/>
      <c r="D16" s="669"/>
      <c r="E16" s="1689"/>
      <c r="F16" s="457"/>
      <c r="G16" s="454"/>
      <c r="H16" s="456"/>
      <c r="I16" s="459"/>
      <c r="J16" s="457"/>
      <c r="K16" s="457"/>
      <c r="L16" s="671"/>
      <c r="M16" s="457"/>
      <c r="N16" s="1385"/>
      <c r="O16" s="1473"/>
      <c r="P16" s="459"/>
      <c r="Q16" s="458"/>
      <c r="R16" s="1679"/>
      <c r="S16" s="1679"/>
      <c r="T16" s="1679"/>
      <c r="U16" s="1679"/>
    </row>
    <row r="17" spans="2:19" ht="17.25" customHeight="1" x14ac:dyDescent="0.25">
      <c r="B17" s="668">
        <v>11441000</v>
      </c>
      <c r="C17" s="1689"/>
      <c r="D17" s="669"/>
      <c r="E17" s="1689"/>
      <c r="F17" s="457"/>
      <c r="G17" s="454"/>
      <c r="H17" s="456"/>
      <c r="I17" s="459"/>
      <c r="J17" s="457"/>
      <c r="K17" s="457"/>
      <c r="L17" s="671"/>
      <c r="M17" s="457"/>
      <c r="N17" s="1385"/>
      <c r="O17" s="1473"/>
      <c r="P17" s="459"/>
      <c r="Q17" s="458"/>
      <c r="R17" s="1679"/>
      <c r="S17" s="1679"/>
    </row>
    <row r="18" spans="2:19" ht="17.25" customHeight="1" x14ac:dyDescent="0.25">
      <c r="B18" s="668">
        <v>11441000</v>
      </c>
      <c r="C18" s="1689"/>
      <c r="D18" s="669"/>
      <c r="E18" s="1689"/>
      <c r="F18" s="457"/>
      <c r="G18" s="454"/>
      <c r="H18" s="456"/>
      <c r="I18" s="459"/>
      <c r="J18" s="457"/>
      <c r="K18" s="457"/>
      <c r="L18" s="671"/>
      <c r="M18" s="457"/>
      <c r="N18" s="1385"/>
      <c r="O18" s="1473"/>
      <c r="P18" s="459"/>
      <c r="Q18" s="458"/>
      <c r="R18" s="1679"/>
      <c r="S18" s="1679"/>
    </row>
    <row r="19" spans="2:19" ht="17.25" customHeight="1" x14ac:dyDescent="0.25">
      <c r="B19" s="668">
        <v>11441000</v>
      </c>
      <c r="C19" s="1689"/>
      <c r="D19" s="669"/>
      <c r="E19" s="1689"/>
      <c r="F19" s="457"/>
      <c r="G19" s="454"/>
      <c r="H19" s="456"/>
      <c r="I19" s="459"/>
      <c r="J19" s="457"/>
      <c r="K19" s="457"/>
      <c r="L19" s="671"/>
      <c r="M19" s="457"/>
      <c r="N19" s="1385"/>
      <c r="O19" s="1473"/>
      <c r="P19" s="459"/>
      <c r="Q19" s="458"/>
      <c r="R19" s="1679"/>
      <c r="S19" s="1679"/>
    </row>
    <row r="20" spans="2:19" ht="17.25" customHeight="1" x14ac:dyDescent="0.25">
      <c r="B20" s="668">
        <v>11441000</v>
      </c>
      <c r="C20" s="670"/>
      <c r="D20" s="669"/>
      <c r="E20" s="1689"/>
      <c r="F20" s="457"/>
      <c r="G20" s="454"/>
      <c r="H20" s="456"/>
      <c r="I20" s="459"/>
      <c r="J20" s="457"/>
      <c r="K20" s="457"/>
      <c r="L20" s="671"/>
      <c r="M20" s="457"/>
      <c r="N20" s="1385"/>
      <c r="O20" s="1473"/>
      <c r="P20" s="459"/>
      <c r="Q20" s="458"/>
      <c r="R20" s="1679"/>
      <c r="S20" s="1679"/>
    </row>
    <row r="21" spans="2:19" ht="17.25" customHeight="1" x14ac:dyDescent="0.25">
      <c r="B21" s="668">
        <v>11441000</v>
      </c>
      <c r="C21" s="670"/>
      <c r="D21" s="669"/>
      <c r="E21" s="1689"/>
      <c r="F21" s="457"/>
      <c r="G21" s="454"/>
      <c r="H21" s="456"/>
      <c r="I21" s="459"/>
      <c r="J21" s="457"/>
      <c r="K21" s="457"/>
      <c r="L21" s="671"/>
      <c r="M21" s="457"/>
      <c r="N21" s="1385"/>
      <c r="O21" s="1473"/>
      <c r="P21" s="459"/>
      <c r="Q21" s="458"/>
      <c r="R21" s="1679"/>
      <c r="S21" s="1679"/>
    </row>
    <row r="22" spans="2:19" ht="17.25" customHeight="1" x14ac:dyDescent="0.25">
      <c r="B22" s="668">
        <v>11441000</v>
      </c>
      <c r="C22" s="670"/>
      <c r="D22" s="669"/>
      <c r="E22" s="1689"/>
      <c r="F22" s="457"/>
      <c r="G22" s="454"/>
      <c r="H22" s="456"/>
      <c r="I22" s="459"/>
      <c r="J22" s="457"/>
      <c r="K22" s="457"/>
      <c r="L22" s="671"/>
      <c r="M22" s="457"/>
      <c r="N22" s="1385"/>
      <c r="O22" s="1473"/>
      <c r="P22" s="459"/>
      <c r="Q22" s="458"/>
      <c r="R22" s="1679"/>
      <c r="S22" s="1679"/>
    </row>
    <row r="23" spans="2:19" ht="17.25" customHeight="1" x14ac:dyDescent="0.25">
      <c r="B23" s="668">
        <v>11441000</v>
      </c>
      <c r="C23" s="1689"/>
      <c r="D23" s="669"/>
      <c r="E23" s="1689"/>
      <c r="F23" s="457"/>
      <c r="G23" s="454"/>
      <c r="H23" s="456"/>
      <c r="I23" s="459"/>
      <c r="J23" s="457"/>
      <c r="K23" s="457"/>
      <c r="L23" s="671"/>
      <c r="M23" s="457"/>
      <c r="N23" s="1385"/>
      <c r="O23" s="1473"/>
      <c r="P23" s="459"/>
      <c r="Q23" s="458"/>
      <c r="R23" s="1679"/>
      <c r="S23" s="1679"/>
    </row>
    <row r="24" spans="2:19" ht="17.25" customHeight="1" x14ac:dyDescent="0.25">
      <c r="B24" s="668">
        <v>11441000</v>
      </c>
      <c r="C24" s="1689"/>
      <c r="D24" s="669"/>
      <c r="E24" s="1689"/>
      <c r="F24" s="457"/>
      <c r="G24" s="454"/>
      <c r="H24" s="456"/>
      <c r="I24" s="459"/>
      <c r="J24" s="457"/>
      <c r="K24" s="457"/>
      <c r="L24" s="671"/>
      <c r="M24" s="457"/>
      <c r="N24" s="1385"/>
      <c r="O24" s="1473"/>
      <c r="P24" s="459"/>
      <c r="Q24" s="458"/>
      <c r="R24" s="1679"/>
      <c r="S24" s="1679"/>
    </row>
    <row r="25" spans="2:19" ht="17.25" customHeight="1" x14ac:dyDescent="0.25">
      <c r="B25" s="668">
        <v>11441000</v>
      </c>
      <c r="C25" s="1689"/>
      <c r="D25" s="669"/>
      <c r="E25" s="1689"/>
      <c r="F25" s="457"/>
      <c r="G25" s="454"/>
      <c r="H25" s="456"/>
      <c r="I25" s="459"/>
      <c r="J25" s="457"/>
      <c r="K25" s="457"/>
      <c r="L25" s="671"/>
      <c r="M25" s="457"/>
      <c r="N25" s="1385"/>
      <c r="O25" s="1473"/>
      <c r="P25" s="459"/>
      <c r="Q25" s="458"/>
      <c r="R25" s="1679"/>
      <c r="S25" s="1679"/>
    </row>
    <row r="26" spans="2:19" ht="17.25" customHeight="1" x14ac:dyDescent="0.25">
      <c r="B26" s="668">
        <v>11441000</v>
      </c>
      <c r="C26" s="1689"/>
      <c r="D26" s="669"/>
      <c r="E26" s="1689"/>
      <c r="F26" s="457"/>
      <c r="G26" s="454"/>
      <c r="H26" s="456"/>
      <c r="I26" s="459"/>
      <c r="J26" s="457"/>
      <c r="K26" s="457"/>
      <c r="L26" s="671"/>
      <c r="M26" s="457"/>
      <c r="N26" s="1385"/>
      <c r="O26" s="1473"/>
      <c r="P26" s="459"/>
      <c r="Q26" s="458"/>
      <c r="R26" s="1679"/>
      <c r="S26" s="1679"/>
    </row>
    <row r="27" spans="2:19" ht="17.25" customHeight="1" x14ac:dyDescent="0.25">
      <c r="B27" s="668">
        <v>11441000</v>
      </c>
      <c r="C27" s="1689"/>
      <c r="D27" s="669"/>
      <c r="E27" s="1689"/>
      <c r="F27" s="457"/>
      <c r="G27" s="454"/>
      <c r="H27" s="456"/>
      <c r="I27" s="459"/>
      <c r="J27" s="457"/>
      <c r="K27" s="457"/>
      <c r="L27" s="671"/>
      <c r="M27" s="457"/>
      <c r="N27" s="1385"/>
      <c r="O27" s="1473"/>
      <c r="P27" s="459"/>
      <c r="Q27" s="458"/>
      <c r="R27" s="1679"/>
      <c r="S27" s="1679"/>
    </row>
    <row r="28" spans="2:19" ht="17.25" customHeight="1" x14ac:dyDescent="0.25">
      <c r="B28" s="668">
        <v>11441000</v>
      </c>
      <c r="C28" s="1689"/>
      <c r="D28" s="669"/>
      <c r="E28" s="1689"/>
      <c r="F28" s="457"/>
      <c r="G28" s="454"/>
      <c r="H28" s="456"/>
      <c r="I28" s="459"/>
      <c r="J28" s="457"/>
      <c r="K28" s="457"/>
      <c r="L28" s="671"/>
      <c r="M28" s="457"/>
      <c r="N28" s="1385"/>
      <c r="O28" s="1473"/>
      <c r="P28" s="459"/>
      <c r="Q28" s="458"/>
      <c r="R28" s="1679"/>
      <c r="S28" s="1679"/>
    </row>
    <row r="29" spans="2:19" ht="17.25" customHeight="1" x14ac:dyDescent="0.25">
      <c r="B29" s="668">
        <v>11441000</v>
      </c>
      <c r="C29" s="1689"/>
      <c r="D29" s="669"/>
      <c r="E29" s="1689"/>
      <c r="F29" s="457"/>
      <c r="G29" s="454"/>
      <c r="H29" s="456"/>
      <c r="I29" s="459"/>
      <c r="J29" s="457"/>
      <c r="K29" s="457"/>
      <c r="L29" s="671"/>
      <c r="M29" s="457"/>
      <c r="N29" s="1385"/>
      <c r="O29" s="1473"/>
      <c r="P29" s="459"/>
      <c r="Q29" s="458"/>
      <c r="R29" s="1679"/>
      <c r="S29" s="1679"/>
    </row>
    <row r="30" spans="2:19" ht="17.25" customHeight="1" x14ac:dyDescent="0.25">
      <c r="B30" s="668">
        <v>11441000</v>
      </c>
      <c r="C30" s="1689"/>
      <c r="D30" s="669"/>
      <c r="E30" s="1689"/>
      <c r="F30" s="457"/>
      <c r="G30" s="454"/>
      <c r="H30" s="456"/>
      <c r="I30" s="459"/>
      <c r="J30" s="457"/>
      <c r="K30" s="457"/>
      <c r="L30" s="671"/>
      <c r="M30" s="457"/>
      <c r="N30" s="1385"/>
      <c r="O30" s="1473"/>
      <c r="P30" s="459"/>
      <c r="Q30" s="458"/>
      <c r="R30" s="1679"/>
      <c r="S30" s="1679"/>
    </row>
    <row r="31" spans="2:19" ht="17.25" customHeight="1" x14ac:dyDescent="0.25">
      <c r="B31" s="668">
        <v>11441000</v>
      </c>
      <c r="C31" s="1689"/>
      <c r="D31" s="669"/>
      <c r="E31" s="1689"/>
      <c r="F31" s="457"/>
      <c r="G31" s="454"/>
      <c r="H31" s="456"/>
      <c r="I31" s="459"/>
      <c r="J31" s="457"/>
      <c r="K31" s="457"/>
      <c r="L31" s="671"/>
      <c r="M31" s="457"/>
      <c r="N31" s="1385"/>
      <c r="O31" s="1473"/>
      <c r="P31" s="459"/>
      <c r="Q31" s="458"/>
      <c r="R31" s="1679"/>
      <c r="S31" s="1679"/>
    </row>
    <row r="32" spans="2:19" ht="17.25" customHeight="1" thickBot="1" x14ac:dyDescent="0.3">
      <c r="B32" s="1693"/>
      <c r="C32" s="1693"/>
      <c r="D32" s="459"/>
      <c r="E32" s="1689"/>
      <c r="F32" s="1689" t="s">
        <v>1906</v>
      </c>
      <c r="G32" s="459"/>
      <c r="H32" s="1376">
        <f>SUM(H15:H31)</f>
        <v>0</v>
      </c>
      <c r="I32" s="459"/>
      <c r="J32" s="288" t="s">
        <v>6555</v>
      </c>
      <c r="K32" s="459"/>
      <c r="L32" s="1689"/>
      <c r="M32" s="459"/>
      <c r="N32" s="459"/>
      <c r="O32" s="459"/>
      <c r="P32" s="459"/>
      <c r="Q32" s="459"/>
      <c r="R32" s="1679"/>
      <c r="S32" s="1679"/>
    </row>
    <row r="33" spans="1:19" ht="18" customHeight="1" x14ac:dyDescent="0.25">
      <c r="A33" s="1679"/>
      <c r="B33" s="1377" t="s">
        <v>1907</v>
      </c>
      <c r="C33" s="1693"/>
      <c r="D33" s="459"/>
      <c r="E33" s="459"/>
      <c r="F33" s="459"/>
      <c r="G33" s="1689"/>
      <c r="H33" s="459"/>
      <c r="I33" s="459"/>
      <c r="J33" s="459"/>
      <c r="K33" s="459"/>
      <c r="L33" s="459"/>
      <c r="M33" s="459"/>
      <c r="N33" s="459"/>
      <c r="O33" s="459"/>
      <c r="P33" s="454"/>
      <c r="Q33" s="1694"/>
      <c r="R33" s="1679"/>
      <c r="S33" s="1679"/>
    </row>
    <row r="34" spans="1:19" ht="26.1" customHeight="1" x14ac:dyDescent="0.25">
      <c r="A34" s="1679"/>
      <c r="B34" s="1679"/>
      <c r="C34" s="1679"/>
      <c r="D34" s="1679"/>
      <c r="E34" s="1679"/>
      <c r="F34" s="1679"/>
      <c r="G34" s="1679"/>
      <c r="H34" s="1679"/>
      <c r="I34" s="1679"/>
      <c r="J34" s="1679"/>
      <c r="K34" s="1679"/>
      <c r="L34" s="1679"/>
      <c r="M34" s="1679"/>
      <c r="N34" s="1679"/>
      <c r="O34" s="1679"/>
      <c r="P34" s="1679"/>
      <c r="Q34" s="1679"/>
      <c r="R34" s="1679"/>
      <c r="S34" s="1679"/>
    </row>
    <row r="35" spans="1:19" ht="26.1" customHeight="1" x14ac:dyDescent="0.25">
      <c r="A35" s="421">
        <v>505</v>
      </c>
      <c r="B35" s="421" t="s">
        <v>613</v>
      </c>
      <c r="C35" s="1679"/>
      <c r="D35" s="1679"/>
      <c r="E35" s="1679"/>
      <c r="F35" s="1679"/>
      <c r="G35" s="1679"/>
      <c r="H35" s="1679"/>
      <c r="I35" s="1679"/>
      <c r="J35" s="1679"/>
      <c r="K35" s="1679"/>
      <c r="L35" s="1679"/>
      <c r="M35" s="1679"/>
      <c r="N35" s="1679"/>
      <c r="O35" s="1679"/>
      <c r="P35" s="1679"/>
      <c r="Q35" s="1679"/>
      <c r="R35" s="1679"/>
      <c r="S35" s="1679"/>
    </row>
    <row r="36" spans="1:19" ht="20.85" customHeight="1" x14ac:dyDescent="0.25">
      <c r="A36" s="421" t="s">
        <v>401</v>
      </c>
      <c r="B36" s="421" t="str">
        <f t="shared" ref="B36:B45" ca="1" si="0">IF(ISNA(INDEX(ErrorTable,MATCH($A$35&amp;$A36&amp;FALSE,ErrorKey,0),6)),"",INDEX(ErrorTable,MATCH($A$35&amp;$A36&amp;FALSE,ErrorKey,0),6))</f>
        <v/>
      </c>
      <c r="C36" s="1679"/>
      <c r="D36" s="1679"/>
      <c r="E36" s="1679"/>
      <c r="F36" s="1679"/>
      <c r="G36" s="1679"/>
      <c r="H36" s="1679"/>
      <c r="I36" s="1679"/>
      <c r="J36" s="1679"/>
      <c r="K36" s="1679"/>
      <c r="L36" s="1679"/>
      <c r="M36" s="1679"/>
      <c r="N36" s="1679"/>
      <c r="O36" s="1679"/>
      <c r="P36" s="1679"/>
      <c r="Q36" s="1679"/>
      <c r="R36" s="1679"/>
      <c r="S36" s="1679"/>
    </row>
    <row r="37" spans="1:19" ht="20.85" customHeight="1" x14ac:dyDescent="0.25">
      <c r="A37" s="421" t="s">
        <v>402</v>
      </c>
      <c r="B37" s="421" t="str">
        <f t="shared" ca="1" si="0"/>
        <v/>
      </c>
      <c r="C37" s="1679"/>
      <c r="D37" s="1679"/>
      <c r="E37" s="1679"/>
      <c r="F37" s="1679"/>
      <c r="G37" s="1679"/>
      <c r="H37" s="1679"/>
      <c r="I37" s="1679"/>
      <c r="J37" s="1679"/>
      <c r="K37" s="1679"/>
      <c r="L37" s="1679"/>
      <c r="M37" s="1679"/>
      <c r="N37" s="1679"/>
      <c r="O37" s="1679"/>
      <c r="P37" s="1679"/>
      <c r="Q37" s="1679"/>
      <c r="R37" s="1679"/>
      <c r="S37" s="1679"/>
    </row>
    <row r="38" spans="1:19" ht="20.85" customHeight="1" x14ac:dyDescent="0.25">
      <c r="A38" s="421" t="s">
        <v>403</v>
      </c>
      <c r="B38" s="421" t="str">
        <f t="shared" ca="1" si="0"/>
        <v/>
      </c>
      <c r="C38" s="1679"/>
      <c r="D38" s="1679"/>
      <c r="E38" s="1679"/>
      <c r="F38" s="1679"/>
      <c r="G38" s="1679"/>
      <c r="H38" s="1679"/>
      <c r="I38" s="1679"/>
      <c r="J38" s="1679"/>
      <c r="K38" s="1679"/>
      <c r="L38" s="1679"/>
      <c r="M38" s="1679"/>
      <c r="N38" s="1679"/>
      <c r="O38" s="1679"/>
      <c r="P38" s="1679"/>
      <c r="Q38" s="1679"/>
      <c r="R38" s="1679"/>
      <c r="S38" s="1679"/>
    </row>
    <row r="39" spans="1:19" ht="20.85" customHeight="1" x14ac:dyDescent="0.25">
      <c r="A39" s="421" t="s">
        <v>404</v>
      </c>
      <c r="B39" s="421" t="str">
        <f t="shared" ca="1" si="0"/>
        <v/>
      </c>
      <c r="C39" s="1679"/>
      <c r="D39" s="1679"/>
      <c r="E39" s="1679"/>
      <c r="F39" s="1679"/>
      <c r="G39" s="1679"/>
      <c r="H39" s="1679"/>
      <c r="I39" s="1679"/>
      <c r="J39" s="1679"/>
      <c r="K39" s="1679"/>
      <c r="L39" s="1679"/>
      <c r="M39" s="1679"/>
      <c r="N39" s="1679"/>
      <c r="O39" s="1679"/>
      <c r="P39" s="1679"/>
      <c r="Q39" s="1679"/>
      <c r="R39" s="1679"/>
      <c r="S39" s="1679"/>
    </row>
    <row r="40" spans="1:19" ht="20.85" customHeight="1" x14ac:dyDescent="0.25">
      <c r="A40" s="421" t="s">
        <v>405</v>
      </c>
      <c r="B40" s="421" t="str">
        <f t="shared" ca="1" si="0"/>
        <v/>
      </c>
      <c r="C40" s="1679"/>
      <c r="D40" s="1679"/>
      <c r="E40" s="1679"/>
      <c r="F40" s="1679"/>
      <c r="G40" s="1679"/>
      <c r="H40" s="1679"/>
      <c r="I40" s="1679"/>
      <c r="J40" s="1679"/>
      <c r="K40" s="1679"/>
      <c r="L40" s="1679"/>
      <c r="M40" s="1679"/>
      <c r="N40" s="1679"/>
      <c r="O40" s="1679"/>
      <c r="P40" s="1679"/>
      <c r="Q40" s="1679"/>
      <c r="R40" s="1679"/>
      <c r="S40" s="1679"/>
    </row>
    <row r="41" spans="1:19" ht="20.85" customHeight="1" x14ac:dyDescent="0.25">
      <c r="A41" s="421" t="s">
        <v>406</v>
      </c>
      <c r="B41" s="421" t="str">
        <f t="shared" ca="1" si="0"/>
        <v/>
      </c>
      <c r="C41" s="1679"/>
      <c r="D41" s="1679"/>
      <c r="E41" s="1679"/>
      <c r="F41" s="1679"/>
      <c r="G41" s="1679"/>
      <c r="H41" s="1679"/>
      <c r="I41" s="1679"/>
      <c r="J41" s="1679"/>
      <c r="K41" s="1679"/>
      <c r="L41" s="1679"/>
      <c r="M41" s="1679"/>
      <c r="N41" s="1679"/>
      <c r="O41" s="1679"/>
      <c r="P41" s="1679"/>
      <c r="Q41" s="1679"/>
      <c r="R41" s="1679"/>
      <c r="S41" s="1679"/>
    </row>
    <row r="42" spans="1:19" ht="20.85" customHeight="1" x14ac:dyDescent="0.25">
      <c r="A42" s="421" t="s">
        <v>407</v>
      </c>
      <c r="B42" s="421" t="str">
        <f t="shared" ca="1" si="0"/>
        <v/>
      </c>
      <c r="C42" s="1679"/>
      <c r="D42" s="1695" t="s">
        <v>50</v>
      </c>
      <c r="E42" s="1695"/>
      <c r="F42" s="1695"/>
      <c r="G42" s="1695"/>
      <c r="H42" s="1695"/>
      <c r="I42" s="1695"/>
      <c r="J42" s="1695"/>
      <c r="K42" s="1695" t="s">
        <v>50</v>
      </c>
      <c r="L42" s="1679"/>
      <c r="M42" s="1679"/>
      <c r="N42" s="1679"/>
      <c r="O42" s="1679"/>
      <c r="P42" s="1679"/>
      <c r="Q42" s="1679"/>
      <c r="R42" s="1679"/>
      <c r="S42" s="1679"/>
    </row>
    <row r="43" spans="1:19" ht="20.85" customHeight="1" x14ac:dyDescent="0.25">
      <c r="A43" s="421" t="s">
        <v>408</v>
      </c>
      <c r="B43" s="421" t="str">
        <f t="shared" ca="1" si="0"/>
        <v/>
      </c>
      <c r="C43" s="1679"/>
      <c r="D43" s="1695" t="s">
        <v>50</v>
      </c>
      <c r="E43" s="1695"/>
      <c r="F43" s="1679"/>
      <c r="G43" s="1679"/>
      <c r="H43" s="1679"/>
      <c r="I43" s="1679"/>
      <c r="J43" s="1679"/>
      <c r="K43" s="1695" t="s">
        <v>50</v>
      </c>
      <c r="L43" s="1692"/>
      <c r="M43" s="1679"/>
      <c r="N43" s="1679"/>
      <c r="O43" s="1679"/>
      <c r="P43" s="1679"/>
      <c r="Q43" s="1679"/>
      <c r="R43" s="1695" t="s">
        <v>50</v>
      </c>
      <c r="S43" s="1679"/>
    </row>
    <row r="44" spans="1:19" ht="20.85" customHeight="1" x14ac:dyDescent="0.25">
      <c r="A44" s="421" t="s">
        <v>409</v>
      </c>
      <c r="B44" s="421" t="str">
        <f t="shared" ca="1" si="0"/>
        <v/>
      </c>
      <c r="C44" s="1679"/>
      <c r="D44" s="1679"/>
      <c r="E44" s="1679"/>
      <c r="F44" s="1679"/>
      <c r="G44" s="1679"/>
      <c r="H44" s="1679"/>
      <c r="I44" s="1679"/>
      <c r="J44" s="1679"/>
      <c r="K44" s="1679"/>
      <c r="L44" s="1679"/>
      <c r="M44" s="1679"/>
      <c r="N44" s="1679"/>
      <c r="O44" s="1679"/>
      <c r="P44" s="1679"/>
      <c r="Q44" s="1679"/>
      <c r="R44" s="1679"/>
      <c r="S44" s="1679"/>
    </row>
    <row r="45" spans="1:19" ht="20.85" customHeight="1" x14ac:dyDescent="0.25">
      <c r="A45" s="421" t="s">
        <v>410</v>
      </c>
      <c r="B45" s="421" t="str">
        <f t="shared" ca="1" si="0"/>
        <v/>
      </c>
      <c r="C45" s="1679"/>
      <c r="D45" s="1679"/>
      <c r="E45" s="1679"/>
      <c r="F45" s="1679"/>
      <c r="G45" s="1679"/>
      <c r="H45" s="1679"/>
      <c r="I45" s="1679"/>
      <c r="J45" s="1679"/>
      <c r="K45" s="1679"/>
      <c r="L45" s="1679"/>
      <c r="M45" s="1679"/>
      <c r="N45" s="1679"/>
      <c r="O45" s="1679"/>
      <c r="P45" s="1679"/>
      <c r="Q45" s="1679"/>
      <c r="R45" s="1679"/>
      <c r="S45" s="1679"/>
    </row>
    <row r="46" spans="1:19" ht="20.85" customHeight="1" x14ac:dyDescent="0.25">
      <c r="A46" s="1679"/>
      <c r="B46" s="1679"/>
      <c r="C46" s="1679"/>
      <c r="D46" s="1679"/>
      <c r="E46" s="1679"/>
      <c r="F46" s="1679"/>
      <c r="G46" s="1679"/>
      <c r="H46" s="1679"/>
      <c r="I46" s="1679"/>
      <c r="J46" s="1679"/>
      <c r="K46" s="1679"/>
      <c r="L46" s="1679"/>
      <c r="M46" s="1679"/>
      <c r="N46" s="1679"/>
      <c r="O46" s="1679"/>
      <c r="P46" s="1679"/>
      <c r="Q46" s="1679"/>
      <c r="R46" s="1679"/>
      <c r="S46" s="1679"/>
    </row>
    <row r="47" spans="1:19" ht="20.85" customHeight="1" x14ac:dyDescent="0.25">
      <c r="A47" s="1679"/>
      <c r="B47" s="1679"/>
      <c r="C47" s="1679"/>
      <c r="D47" s="1679"/>
      <c r="E47" s="1679"/>
      <c r="F47" s="1679"/>
      <c r="G47" s="1679"/>
      <c r="H47" s="1679"/>
      <c r="I47" s="1679"/>
      <c r="J47" s="1679"/>
      <c r="K47" s="1679"/>
      <c r="L47" s="1679"/>
      <c r="M47" s="1679"/>
      <c r="N47" s="1679"/>
      <c r="O47" s="1679"/>
      <c r="P47" s="1679"/>
      <c r="Q47" s="1679"/>
      <c r="R47" s="1679"/>
      <c r="S47" s="1679"/>
    </row>
    <row r="48" spans="1:19" ht="20.85" customHeight="1" x14ac:dyDescent="0.25">
      <c r="A48" s="1679"/>
      <c r="B48" s="1679"/>
      <c r="C48" s="1679"/>
      <c r="D48" s="1679"/>
      <c r="E48" s="1679"/>
      <c r="F48" s="1679"/>
      <c r="G48" s="1679"/>
      <c r="H48" s="1679"/>
      <c r="I48" s="1679"/>
      <c r="J48" s="1679"/>
      <c r="K48" s="1679"/>
      <c r="L48" s="1679"/>
      <c r="M48" s="1679"/>
      <c r="N48" s="1679"/>
      <c r="O48" s="1679"/>
      <c r="P48" s="1679"/>
      <c r="Q48" s="1679"/>
      <c r="R48" s="1679"/>
      <c r="S48" s="1679"/>
    </row>
    <row r="49" spans="1:18" ht="20.85" customHeight="1" x14ac:dyDescent="0.25">
      <c r="A49" s="1679"/>
      <c r="B49" s="1679"/>
      <c r="C49" s="1679"/>
      <c r="D49" s="1679"/>
      <c r="E49" s="1679"/>
      <c r="F49" s="1679"/>
      <c r="G49" s="1679"/>
      <c r="H49" s="1679"/>
      <c r="I49" s="1679"/>
      <c r="J49" s="1679"/>
      <c r="K49" s="1679"/>
      <c r="L49" s="1679"/>
      <c r="M49" s="1679"/>
      <c r="N49" s="1679"/>
      <c r="O49" s="1679"/>
      <c r="P49" s="1679"/>
      <c r="Q49" s="1679"/>
      <c r="R49" s="1679"/>
    </row>
    <row r="50" spans="1:18" ht="20.85" customHeight="1" x14ac:dyDescent="0.25">
      <c r="A50" s="1679"/>
      <c r="B50" s="1679"/>
      <c r="C50" s="1679"/>
      <c r="D50" s="1679" t="s">
        <v>50</v>
      </c>
      <c r="E50" s="1679"/>
      <c r="F50" s="1679"/>
      <c r="G50" s="1679"/>
      <c r="H50" s="1679"/>
      <c r="I50" s="1679"/>
      <c r="J50" s="1679"/>
      <c r="K50" s="1679"/>
      <c r="L50" s="1679"/>
      <c r="M50" s="1679"/>
      <c r="N50" s="1679"/>
      <c r="O50" s="1679"/>
      <c r="P50" s="1679"/>
      <c r="Q50" s="1679"/>
      <c r="R50" s="1679"/>
    </row>
    <row r="51" spans="1:18" ht="20.85" customHeight="1" x14ac:dyDescent="0.25">
      <c r="A51" s="1679"/>
      <c r="B51" s="1679"/>
      <c r="C51" s="1679"/>
      <c r="D51" s="1679"/>
      <c r="E51" s="1679"/>
      <c r="F51" s="1679"/>
      <c r="G51" s="1679"/>
      <c r="H51" s="1679"/>
      <c r="I51" s="1679"/>
      <c r="J51" s="1679"/>
      <c r="K51" s="1679"/>
      <c r="L51" s="1679"/>
      <c r="M51" s="1679"/>
      <c r="N51" s="1679"/>
      <c r="O51" s="1679"/>
      <c r="P51" s="1679"/>
      <c r="Q51" s="1679"/>
      <c r="R51" s="1679"/>
    </row>
    <row r="52" spans="1:18" ht="20.85" customHeight="1" x14ac:dyDescent="0.25">
      <c r="A52" s="1679"/>
      <c r="B52" s="1679"/>
      <c r="C52" s="1679"/>
      <c r="D52" s="1679"/>
      <c r="E52" s="1679"/>
      <c r="F52" s="1679"/>
      <c r="G52" s="1679"/>
      <c r="H52" s="1679"/>
      <c r="I52" s="1679"/>
      <c r="J52" s="1679"/>
      <c r="K52" s="1679"/>
      <c r="L52" s="1679"/>
      <c r="M52" s="1679"/>
      <c r="N52" s="1679"/>
      <c r="O52" s="1679"/>
      <c r="P52" s="1679"/>
      <c r="Q52" s="1679"/>
      <c r="R52" s="1679"/>
    </row>
    <row r="53" spans="1:18" ht="20.85" customHeight="1" x14ac:dyDescent="0.25">
      <c r="A53" s="1679"/>
      <c r="B53" s="1679"/>
      <c r="C53" s="1679"/>
      <c r="D53" s="1695" t="s">
        <v>50</v>
      </c>
      <c r="E53" s="1695"/>
      <c r="F53" s="1679"/>
      <c r="G53" s="1679"/>
      <c r="H53" s="1679"/>
      <c r="I53" s="1679"/>
      <c r="J53" s="1679"/>
      <c r="K53" s="1695" t="s">
        <v>50</v>
      </c>
      <c r="L53" s="1692"/>
      <c r="M53" s="1679"/>
      <c r="N53" s="1679"/>
      <c r="O53" s="1679"/>
      <c r="P53" s="1679"/>
      <c r="Q53" s="1679"/>
      <c r="R53" s="1695" t="s">
        <v>50</v>
      </c>
    </row>
  </sheetData>
  <sheetProtection algorithmName="SHA-512" hashValue="hatcTz43QbHx8ZcNcG/BVGVine4JJHhvTocHwWx/XpkEfRxPleLEYzxXQAfSwmB2bB1FBacaxmfYoOdaKsuHRQ==" saltValue="qkEhdMlYYNLG/9I9Kme2sQ==" spinCount="100000" sheet="1" autoFilter="0"/>
  <dataConsolidate link="1"/>
  <customSheetViews>
    <customSheetView guid="{9FCFC836-1CA5-48BF-958D-24D2EA94B219}" showGridLines="0" fitToPage="1">
      <selection sqref="A1:N1"/>
      <pageMargins left="0" right="0" top="0" bottom="0" header="0" footer="0"/>
      <pageSetup scale="85" orientation="landscape" blackAndWhite="1" r:id="rId1"/>
      <headerFooter alignWithMargins="0">
        <oddFooter>&amp;R&amp;"Arial,Regular"&amp;A</oddFooter>
      </headerFooter>
    </customSheetView>
    <customSheetView guid="{B08879A4-635B-4C39-9937-AC7883D562FC}" showGridLines="0" fitToPage="1">
      <selection sqref="A1:N1"/>
      <pageMargins left="0" right="0" top="0" bottom="0" header="0" footer="0"/>
      <pageSetup scale="85" orientation="landscape" blackAndWhite="1" r:id="rId2"/>
      <headerFooter alignWithMargins="0">
        <oddFooter>&amp;R&amp;"Arial,Regular"&amp;A</oddFooter>
      </headerFooter>
    </customSheetView>
  </customSheetViews>
  <mergeCells count="13">
    <mergeCell ref="J12:O12"/>
    <mergeCell ref="B4:Q4"/>
    <mergeCell ref="J11:M11"/>
    <mergeCell ref="S1:S3"/>
    <mergeCell ref="R1:R3"/>
    <mergeCell ref="B3:Q3"/>
    <mergeCell ref="B1:Q1"/>
    <mergeCell ref="B2:Q2"/>
    <mergeCell ref="D7:G7"/>
    <mergeCell ref="L7:P7"/>
    <mergeCell ref="D8:H8"/>
    <mergeCell ref="L8:P8"/>
    <mergeCell ref="B5:Q5"/>
  </mergeCells>
  <conditionalFormatting sqref="R1:S3 C20:C22">
    <cfRule type="cellIs" dxfId="68" priority="7" stopIfTrue="1" operator="equal">
      <formula>"na"</formula>
    </cfRule>
  </conditionalFormatting>
  <dataValidations count="1">
    <dataValidation type="textLength" operator="equal" allowBlank="1" showInputMessage="1" showErrorMessage="1" errorTitle="Invalid data!" error="GASB number must be 4 digits." sqref="D9:D10" xr:uid="{00000000-0002-0000-2700-000000000000}">
      <formula1>4</formula1>
    </dataValidation>
  </dataValidations>
  <hyperlinks>
    <hyperlink ref="B1:Q1" location="Index!A1" display="Index!A1" xr:uid="{00000000-0004-0000-2700-000000000000}"/>
  </hyperlinks>
  <pageMargins left="0.6" right="0.6" top="0.5" bottom="0.5" header="0.3" footer="0.3"/>
  <pageSetup scale="84" orientation="landscape" r:id="rId3"/>
  <extLst>
    <ext xmlns:x14="http://schemas.microsoft.com/office/spreadsheetml/2009/9/main" uri="{CCE6A557-97BC-4b89-ADB6-D9C93CAAB3DF}">
      <x14:dataValidations xmlns:xm="http://schemas.microsoft.com/office/excel/2006/main" count="2">
        <x14:dataValidation type="list" allowBlank="1" showInputMessage="1" showErrorMessage="1" xr:uid="{B5551D6E-7D58-4396-BCF8-70E8D46B7758}">
          <x14:formula1>
            <xm:f>OFFSET(AgencyGASBRepository!$E$8,,,COUNTIF(AgencyGASBRepository!$E$8:$E$210,"?*"))</xm:f>
          </x14:formula1>
          <xm:sqref>D15:D31</xm:sqref>
        </x14:dataValidation>
        <x14:dataValidation type="list" allowBlank="1" showInputMessage="1" showErrorMessage="1" xr:uid="{F4F57A67-7A8B-4FA6-A10F-6700B796C696}">
          <x14:formula1>
            <xm:f>OFFSET(AgencyGASBRepository!$F$7,MATCH($D15,AgencyGASBRepository!$E$8:$E$1000,0),,,COUNTIF(OFFSET(AgencyGASBRepository!$F$7,MATCH($D15,AgencyGASBRepository!$E$8:$E$1000,0),,1,50),"?*"))</xm:f>
          </x14:formula1>
          <xm:sqref>F15:F31</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1">
    <pageSetUpPr fitToPage="1"/>
  </sheetPr>
  <dimension ref="A1:R56"/>
  <sheetViews>
    <sheetView showGridLines="0" topLeftCell="B1" zoomScaleNormal="100" workbookViewId="0">
      <selection activeCell="B14" sqref="B14"/>
    </sheetView>
  </sheetViews>
  <sheetFormatPr defaultColWidth="9.42578125" defaultRowHeight="15.75" x14ac:dyDescent="0.25"/>
  <cols>
    <col min="1" max="1" width="9.42578125" style="33" hidden="1" customWidth="1"/>
    <col min="2" max="2" width="13.5703125" style="33" customWidth="1"/>
    <col min="3" max="3" width="1.5703125" style="33" customWidth="1"/>
    <col min="4" max="4" width="7" style="33" customWidth="1"/>
    <col min="5" max="5" width="1.5703125" style="33" customWidth="1"/>
    <col min="6" max="6" width="7.85546875" style="33" customWidth="1"/>
    <col min="7" max="7" width="1.5703125" style="33" customWidth="1"/>
    <col min="8" max="8" width="20" style="33" customWidth="1"/>
    <col min="9" max="9" width="1.140625" style="33" customWidth="1"/>
    <col min="10" max="10" width="15.42578125" style="33" customWidth="1"/>
    <col min="11" max="11" width="1.42578125" style="33" customWidth="1"/>
    <col min="12" max="12" width="13.42578125" style="33" customWidth="1"/>
    <col min="13" max="13" width="1.140625" style="33" customWidth="1"/>
    <col min="14" max="14" width="13.42578125" style="33" customWidth="1"/>
    <col min="15" max="15" width="1" style="33" customWidth="1"/>
    <col min="16" max="16" width="34.5703125" style="33" customWidth="1"/>
    <col min="17" max="17" width="4.5703125" style="33" bestFit="1" customWidth="1"/>
    <col min="18" max="16384" width="9.42578125" style="33"/>
  </cols>
  <sheetData>
    <row r="1" spans="2:18" s="90" customFormat="1" ht="15" customHeight="1" x14ac:dyDescent="0.25">
      <c r="B1" s="2553" t="str">
        <f>+Index!$A$1</f>
        <v xml:space="preserve">                                                               Office of the State Controller                                                                </v>
      </c>
      <c r="C1" s="2553"/>
      <c r="D1" s="2553"/>
      <c r="E1" s="2553"/>
      <c r="F1" s="2553"/>
      <c r="G1" s="2553"/>
      <c r="H1" s="2553"/>
      <c r="I1" s="2553"/>
      <c r="J1" s="2553"/>
      <c r="K1" s="2553"/>
      <c r="L1" s="2553"/>
      <c r="M1" s="2553"/>
      <c r="N1" s="2553"/>
      <c r="O1" s="2553"/>
      <c r="P1" s="2553"/>
      <c r="Q1" s="2626" t="str">
        <f>IF(Index!$B$70="na","NA","")</f>
        <v/>
      </c>
    </row>
    <row r="2" spans="2:18" s="90" customFormat="1" ht="15" customHeight="1" x14ac:dyDescent="0.25">
      <c r="B2" s="2885" t="str">
        <f>+Index!$A$2</f>
        <v>2024 ACFR Worksheets</v>
      </c>
      <c r="C2" s="2885"/>
      <c r="D2" s="2885"/>
      <c r="E2" s="2885"/>
      <c r="F2" s="2885"/>
      <c r="G2" s="2885"/>
      <c r="H2" s="2885"/>
      <c r="I2" s="2885"/>
      <c r="J2" s="2885"/>
      <c r="K2" s="2885"/>
      <c r="L2" s="2885"/>
      <c r="M2" s="2885"/>
      <c r="N2" s="2885"/>
      <c r="O2" s="2885"/>
      <c r="P2" s="2885"/>
      <c r="Q2" s="2626"/>
    </row>
    <row r="3" spans="2:18" s="90" customFormat="1" ht="15" customHeight="1" x14ac:dyDescent="0.25">
      <c r="B3" s="2885" t="s">
        <v>1908</v>
      </c>
      <c r="C3" s="2885"/>
      <c r="D3" s="2885"/>
      <c r="E3" s="2885"/>
      <c r="F3" s="2885"/>
      <c r="G3" s="2885"/>
      <c r="H3" s="2885"/>
      <c r="I3" s="2885"/>
      <c r="J3" s="2885"/>
      <c r="K3" s="2885"/>
      <c r="L3" s="2885"/>
      <c r="M3" s="2885"/>
      <c r="N3" s="2885"/>
      <c r="O3" s="2885"/>
      <c r="P3" s="2885"/>
      <c r="Q3" s="2626"/>
    </row>
    <row r="4" spans="2:18" s="90" customFormat="1" ht="15" customHeight="1" x14ac:dyDescent="0.25">
      <c r="B4" s="2885" t="s">
        <v>1909</v>
      </c>
      <c r="C4" s="2885"/>
      <c r="D4" s="2885"/>
      <c r="E4" s="2885"/>
      <c r="F4" s="2885"/>
      <c r="G4" s="2885"/>
      <c r="H4" s="2885"/>
      <c r="I4" s="2885"/>
      <c r="J4" s="2885"/>
      <c r="K4" s="2885"/>
      <c r="L4" s="2885"/>
      <c r="M4" s="2885"/>
      <c r="N4" s="2885"/>
      <c r="O4" s="2885"/>
      <c r="P4" s="2885"/>
    </row>
    <row r="5" spans="2:18" s="90" customFormat="1" ht="15" customHeight="1" x14ac:dyDescent="0.25">
      <c r="B5" s="2883" t="s">
        <v>1910</v>
      </c>
      <c r="C5" s="2883"/>
      <c r="D5" s="2883"/>
      <c r="E5" s="2883"/>
      <c r="F5" s="2883"/>
      <c r="G5" s="2883"/>
      <c r="H5" s="2883"/>
      <c r="I5" s="2883"/>
      <c r="J5" s="2883"/>
      <c r="K5" s="2883"/>
      <c r="L5" s="2883"/>
      <c r="M5" s="2883"/>
      <c r="N5" s="2883"/>
      <c r="O5" s="2883"/>
      <c r="P5" s="2883"/>
      <c r="Q5" s="2883"/>
    </row>
    <row r="6" spans="2:18" s="91" customFormat="1" ht="15" customHeight="1" x14ac:dyDescent="0.25">
      <c r="B6" s="92"/>
      <c r="C6" s="1696"/>
      <c r="D6" s="1696"/>
      <c r="E6" s="1696"/>
      <c r="F6" s="1696"/>
      <c r="G6" s="1696"/>
      <c r="H6" s="1696"/>
      <c r="I6" s="1696"/>
      <c r="J6" s="953"/>
      <c r="K6" s="2199" t="s">
        <v>1898</v>
      </c>
      <c r="L6" s="953"/>
      <c r="M6" s="406"/>
      <c r="N6" s="1797"/>
      <c r="O6" s="1696"/>
      <c r="P6" s="1799"/>
      <c r="Q6" s="953"/>
      <c r="R6" s="953"/>
    </row>
    <row r="7" spans="2:18" s="91" customFormat="1" ht="15" customHeight="1" x14ac:dyDescent="0.2">
      <c r="B7" s="1697" t="s">
        <v>318</v>
      </c>
      <c r="C7" s="953"/>
      <c r="D7" s="2880" t="str">
        <f>+Index!$E$10</f>
        <v>01</v>
      </c>
      <c r="E7" s="2880"/>
      <c r="F7" s="2880"/>
      <c r="G7" s="2880"/>
      <c r="H7" s="1682"/>
      <c r="I7" s="953"/>
      <c r="J7" s="953"/>
      <c r="K7" s="953"/>
      <c r="L7" s="953"/>
      <c r="M7" s="953"/>
      <c r="N7" s="953"/>
      <c r="O7" s="1698" t="s">
        <v>320</v>
      </c>
      <c r="P7" s="2376" t="str">
        <f>CONCATENATE(Index!$E$12," ",Index!$E$14)</f>
        <v xml:space="preserve"> </v>
      </c>
      <c r="Q7" s="953"/>
      <c r="R7" s="953"/>
    </row>
    <row r="8" spans="2:18" s="91" customFormat="1" ht="15" customHeight="1" x14ac:dyDescent="0.2">
      <c r="B8" s="1697" t="s">
        <v>319</v>
      </c>
      <c r="C8" s="953"/>
      <c r="D8" s="2880" t="str">
        <f>+Index!$E$11</f>
        <v>North Carolina General Assembly</v>
      </c>
      <c r="E8" s="2880"/>
      <c r="F8" s="2880"/>
      <c r="G8" s="2880"/>
      <c r="H8" s="2880"/>
      <c r="I8" s="953"/>
      <c r="J8" s="953"/>
      <c r="K8" s="953"/>
      <c r="L8" s="953"/>
      <c r="M8" s="953"/>
      <c r="N8" s="953"/>
      <c r="O8" s="1698" t="s">
        <v>168</v>
      </c>
      <c r="P8" s="1699">
        <f>+Index!$E$13</f>
        <v>0</v>
      </c>
      <c r="Q8" s="953"/>
      <c r="R8" s="953"/>
    </row>
    <row r="9" spans="2:18" s="91" customFormat="1" ht="15" customHeight="1" x14ac:dyDescent="0.2">
      <c r="B9" s="1697" t="s">
        <v>1899</v>
      </c>
      <c r="C9" s="953"/>
      <c r="D9" s="1700"/>
      <c r="E9" s="953"/>
      <c r="F9" s="2212"/>
      <c r="G9" s="953"/>
      <c r="H9" s="953"/>
      <c r="I9" s="953"/>
      <c r="J9" s="953"/>
      <c r="K9" s="953"/>
      <c r="L9" s="953"/>
      <c r="M9" s="953"/>
      <c r="N9" s="953"/>
      <c r="O9" s="953"/>
      <c r="P9" s="953"/>
      <c r="Q9" s="953"/>
      <c r="R9" s="953"/>
    </row>
    <row r="10" spans="2:18" s="91" customFormat="1" ht="15" customHeight="1" x14ac:dyDescent="0.2">
      <c r="B10" s="1697"/>
      <c r="C10" s="953"/>
      <c r="D10" s="1706"/>
      <c r="E10" s="953"/>
      <c r="F10" s="953"/>
      <c r="G10" s="953"/>
      <c r="H10" s="953"/>
      <c r="I10" s="953"/>
      <c r="J10" s="953"/>
      <c r="K10" s="953"/>
      <c r="L10" s="953"/>
      <c r="M10" s="953"/>
      <c r="N10" s="953"/>
      <c r="O10" s="953"/>
      <c r="P10" s="953"/>
      <c r="Q10" s="953"/>
      <c r="R10" s="953"/>
    </row>
    <row r="11" spans="2:18" s="91" customFormat="1" ht="15" customHeight="1" thickBot="1" x14ac:dyDescent="0.25">
      <c r="B11" s="2203"/>
      <c r="C11" s="1701"/>
      <c r="D11" s="1701"/>
      <c r="E11" s="1701"/>
      <c r="F11" s="2203"/>
      <c r="G11" s="1701"/>
      <c r="H11" s="2203"/>
      <c r="I11" s="1701"/>
      <c r="J11" s="1701"/>
      <c r="K11" s="1702"/>
      <c r="L11" s="1701"/>
      <c r="M11" s="1701"/>
      <c r="N11" s="1701"/>
      <c r="O11" s="1701"/>
      <c r="P11" s="1701"/>
      <c r="Q11" s="953"/>
      <c r="R11" s="953"/>
    </row>
    <row r="12" spans="2:18" s="91" customFormat="1" ht="15" customHeight="1" thickBot="1" x14ac:dyDescent="0.25">
      <c r="B12" s="2383" t="s">
        <v>1865</v>
      </c>
      <c r="C12" s="953"/>
      <c r="D12" s="2382" t="s">
        <v>1911</v>
      </c>
      <c r="E12" s="1121"/>
      <c r="F12" s="2382" t="s">
        <v>1911</v>
      </c>
      <c r="G12" s="953"/>
      <c r="H12" s="953"/>
      <c r="I12" s="92"/>
      <c r="J12" s="2884" t="s">
        <v>1912</v>
      </c>
      <c r="K12" s="2884"/>
      <c r="L12" s="2884"/>
      <c r="M12" s="2884"/>
      <c r="N12" s="2884"/>
      <c r="O12" s="1680"/>
      <c r="P12" s="953"/>
      <c r="Q12" s="953"/>
      <c r="R12" s="953"/>
    </row>
    <row r="13" spans="2:18" s="91" customFormat="1" ht="15" customHeight="1" x14ac:dyDescent="0.2">
      <c r="B13" s="2383" t="s">
        <v>756</v>
      </c>
      <c r="C13" s="953"/>
      <c r="D13" s="2382" t="s">
        <v>1867</v>
      </c>
      <c r="E13" s="1121"/>
      <c r="F13" s="2382" t="s">
        <v>1573</v>
      </c>
      <c r="G13" s="953"/>
      <c r="H13" s="953"/>
      <c r="I13" s="92"/>
      <c r="J13" s="1121"/>
      <c r="K13" s="1121"/>
      <c r="L13" s="1380" t="s">
        <v>1902</v>
      </c>
      <c r="M13" s="2382"/>
      <c r="N13" s="1380" t="s">
        <v>1903</v>
      </c>
      <c r="O13" s="1121"/>
      <c r="P13" s="953"/>
      <c r="Q13" s="953"/>
      <c r="R13" s="953"/>
    </row>
    <row r="14" spans="2:18" s="91" customFormat="1" ht="15" customHeight="1" thickBot="1" x14ac:dyDescent="0.25">
      <c r="B14" s="2237" t="s">
        <v>1904</v>
      </c>
      <c r="C14" s="2383"/>
      <c r="D14" s="2378" t="s">
        <v>1709</v>
      </c>
      <c r="E14" s="1121"/>
      <c r="F14" s="2378" t="s">
        <v>1709</v>
      </c>
      <c r="G14" s="953"/>
      <c r="H14" s="93" t="s">
        <v>1359</v>
      </c>
      <c r="I14" s="953"/>
      <c r="J14" s="2378" t="s">
        <v>1408</v>
      </c>
      <c r="K14" s="1703"/>
      <c r="L14" s="1381" t="s">
        <v>1905</v>
      </c>
      <c r="M14" s="2382"/>
      <c r="N14" s="1381" t="s">
        <v>677</v>
      </c>
      <c r="O14" s="1703"/>
      <c r="P14" s="93" t="s">
        <v>1876</v>
      </c>
      <c r="Q14" s="953"/>
      <c r="R14" s="953"/>
    </row>
    <row r="15" spans="2:18" s="91" customFormat="1" ht="15" customHeight="1" x14ac:dyDescent="0.2">
      <c r="B15" s="877">
        <v>21241000</v>
      </c>
      <c r="C15" s="959"/>
      <c r="D15" s="878"/>
      <c r="E15" s="1704"/>
      <c r="F15" s="878"/>
      <c r="G15" s="959"/>
      <c r="H15" s="1705"/>
      <c r="I15" s="1706"/>
      <c r="J15" s="1108"/>
      <c r="K15" s="1707"/>
      <c r="L15" s="1475"/>
      <c r="M15" s="1708"/>
      <c r="N15" s="1474"/>
      <c r="O15" s="1707"/>
      <c r="P15" s="1108"/>
      <c r="Q15" s="953"/>
      <c r="R15" s="953"/>
    </row>
    <row r="16" spans="2:18" s="91" customFormat="1" ht="15" customHeight="1" x14ac:dyDescent="0.2">
      <c r="B16" s="877">
        <v>21241000</v>
      </c>
      <c r="C16" s="959"/>
      <c r="D16" s="878"/>
      <c r="E16" s="1704"/>
      <c r="F16" s="878"/>
      <c r="G16" s="959"/>
      <c r="H16" s="1705"/>
      <c r="I16" s="1706"/>
      <c r="J16" s="1108"/>
      <c r="K16" s="1707"/>
      <c r="L16" s="1475"/>
      <c r="M16" s="1708"/>
      <c r="N16" s="1474"/>
      <c r="O16" s="1707"/>
      <c r="P16" s="1108"/>
      <c r="Q16" s="953"/>
      <c r="R16" s="953"/>
    </row>
    <row r="17" spans="2:17" s="91" customFormat="1" ht="15" customHeight="1" x14ac:dyDescent="0.2">
      <c r="B17" s="877">
        <v>21241000</v>
      </c>
      <c r="C17" s="959"/>
      <c r="D17" s="878"/>
      <c r="E17" s="1704"/>
      <c r="F17" s="878"/>
      <c r="G17" s="959"/>
      <c r="H17" s="1705"/>
      <c r="I17" s="1706"/>
      <c r="J17" s="1108"/>
      <c r="K17" s="1707"/>
      <c r="L17" s="1475"/>
      <c r="M17" s="1708"/>
      <c r="N17" s="1474"/>
      <c r="O17" s="1707"/>
      <c r="P17" s="1108"/>
      <c r="Q17" s="953"/>
    </row>
    <row r="18" spans="2:17" s="91" customFormat="1" ht="15" customHeight="1" x14ac:dyDescent="0.2">
      <c r="B18" s="877">
        <v>21241000</v>
      </c>
      <c r="C18" s="959"/>
      <c r="D18" s="878"/>
      <c r="E18" s="1704"/>
      <c r="F18" s="878"/>
      <c r="G18" s="959"/>
      <c r="H18" s="1705"/>
      <c r="I18" s="953"/>
      <c r="J18" s="1108"/>
      <c r="K18" s="1121"/>
      <c r="L18" s="1475"/>
      <c r="M18" s="1708"/>
      <c r="N18" s="1474"/>
      <c r="O18" s="1121"/>
      <c r="P18" s="1108"/>
      <c r="Q18" s="953"/>
    </row>
    <row r="19" spans="2:17" s="91" customFormat="1" ht="15" customHeight="1" x14ac:dyDescent="0.2">
      <c r="B19" s="877">
        <v>21241000</v>
      </c>
      <c r="C19" s="1709"/>
      <c r="D19" s="878"/>
      <c r="E19" s="1704"/>
      <c r="F19" s="878"/>
      <c r="G19" s="1704"/>
      <c r="H19" s="1705"/>
      <c r="I19" s="953"/>
      <c r="J19" s="1700"/>
      <c r="K19" s="953"/>
      <c r="L19" s="1710"/>
      <c r="M19" s="1711"/>
      <c r="N19" s="1474"/>
      <c r="O19" s="953"/>
      <c r="P19" s="1700"/>
      <c r="Q19" s="953"/>
    </row>
    <row r="20" spans="2:17" s="91" customFormat="1" ht="15" customHeight="1" x14ac:dyDescent="0.2">
      <c r="B20" s="877">
        <v>21241000</v>
      </c>
      <c r="C20" s="1709"/>
      <c r="D20" s="878"/>
      <c r="E20" s="1704"/>
      <c r="F20" s="878"/>
      <c r="G20" s="1704"/>
      <c r="H20" s="1705"/>
      <c r="I20" s="953"/>
      <c r="J20" s="1700"/>
      <c r="K20" s="953"/>
      <c r="L20" s="1710"/>
      <c r="M20" s="1711"/>
      <c r="N20" s="1474"/>
      <c r="O20" s="953"/>
      <c r="P20" s="1700"/>
      <c r="Q20" s="953"/>
    </row>
    <row r="21" spans="2:17" s="91" customFormat="1" ht="15" customHeight="1" x14ac:dyDescent="0.2">
      <c r="B21" s="877">
        <v>21241000</v>
      </c>
      <c r="C21" s="1709"/>
      <c r="D21" s="878"/>
      <c r="E21" s="1704"/>
      <c r="F21" s="878"/>
      <c r="G21" s="1704"/>
      <c r="H21" s="1705"/>
      <c r="I21" s="953"/>
      <c r="J21" s="1700"/>
      <c r="K21" s="953"/>
      <c r="L21" s="1710"/>
      <c r="M21" s="1711"/>
      <c r="N21" s="1474"/>
      <c r="O21" s="953"/>
      <c r="P21" s="1700"/>
      <c r="Q21" s="953"/>
    </row>
    <row r="22" spans="2:17" s="91" customFormat="1" ht="15" customHeight="1" x14ac:dyDescent="0.2">
      <c r="B22" s="877">
        <v>21241000</v>
      </c>
      <c r="C22" s="1709"/>
      <c r="D22" s="878"/>
      <c r="E22" s="1704"/>
      <c r="F22" s="878"/>
      <c r="G22" s="1704"/>
      <c r="H22" s="1705"/>
      <c r="I22" s="953"/>
      <c r="J22" s="1700"/>
      <c r="K22" s="953"/>
      <c r="L22" s="1710"/>
      <c r="M22" s="1711"/>
      <c r="N22" s="1474"/>
      <c r="O22" s="953"/>
      <c r="P22" s="1700"/>
      <c r="Q22" s="953"/>
    </row>
    <row r="23" spans="2:17" s="91" customFormat="1" ht="15" customHeight="1" x14ac:dyDescent="0.2">
      <c r="B23" s="877">
        <v>21241000</v>
      </c>
      <c r="C23" s="1709"/>
      <c r="D23" s="878"/>
      <c r="E23" s="1704"/>
      <c r="F23" s="878"/>
      <c r="G23" s="1704"/>
      <c r="H23" s="1705"/>
      <c r="I23" s="953"/>
      <c r="J23" s="1700"/>
      <c r="K23" s="953"/>
      <c r="L23" s="1710"/>
      <c r="M23" s="1711"/>
      <c r="N23" s="1474"/>
      <c r="O23" s="953"/>
      <c r="P23" s="1700"/>
      <c r="Q23" s="953"/>
    </row>
    <row r="24" spans="2:17" s="91" customFormat="1" ht="15" customHeight="1" x14ac:dyDescent="0.2">
      <c r="B24" s="877">
        <v>21241000</v>
      </c>
      <c r="C24" s="1709"/>
      <c r="D24" s="878"/>
      <c r="E24" s="1704"/>
      <c r="F24" s="878"/>
      <c r="G24" s="1704"/>
      <c r="H24" s="1705"/>
      <c r="I24" s="953"/>
      <c r="J24" s="1700"/>
      <c r="K24" s="953"/>
      <c r="L24" s="1710"/>
      <c r="M24" s="1711"/>
      <c r="N24" s="1474"/>
      <c r="O24" s="953"/>
      <c r="P24" s="1700"/>
      <c r="Q24" s="953"/>
    </row>
    <row r="25" spans="2:17" s="91" customFormat="1" ht="15" customHeight="1" x14ac:dyDescent="0.2">
      <c r="B25" s="877">
        <v>21241000</v>
      </c>
      <c r="C25" s="1709"/>
      <c r="D25" s="878"/>
      <c r="E25" s="1704"/>
      <c r="F25" s="878"/>
      <c r="G25" s="1704"/>
      <c r="H25" s="1705"/>
      <c r="I25" s="953"/>
      <c r="J25" s="1700"/>
      <c r="K25" s="953"/>
      <c r="L25" s="1710"/>
      <c r="M25" s="1711"/>
      <c r="N25" s="1474"/>
      <c r="O25" s="953"/>
      <c r="P25" s="1700"/>
      <c r="Q25" s="953"/>
    </row>
    <row r="26" spans="2:17" s="91" customFormat="1" ht="15" customHeight="1" x14ac:dyDescent="0.2">
      <c r="B26" s="877">
        <v>21241000</v>
      </c>
      <c r="C26" s="1709"/>
      <c r="D26" s="878"/>
      <c r="E26" s="1704"/>
      <c r="F26" s="878"/>
      <c r="G26" s="1704"/>
      <c r="H26" s="1705"/>
      <c r="I26" s="953"/>
      <c r="J26" s="1700"/>
      <c r="K26" s="953"/>
      <c r="L26" s="1710"/>
      <c r="M26" s="1711"/>
      <c r="N26" s="1474"/>
      <c r="O26" s="953"/>
      <c r="P26" s="1700"/>
      <c r="Q26" s="953"/>
    </row>
    <row r="27" spans="2:17" s="91" customFormat="1" ht="15" customHeight="1" x14ac:dyDescent="0.2">
      <c r="B27" s="877">
        <v>21241000</v>
      </c>
      <c r="C27" s="1709"/>
      <c r="D27" s="878"/>
      <c r="E27" s="1704"/>
      <c r="F27" s="878"/>
      <c r="G27" s="1704"/>
      <c r="H27" s="1705"/>
      <c r="I27" s="953"/>
      <c r="J27" s="1700"/>
      <c r="K27" s="953"/>
      <c r="L27" s="1710"/>
      <c r="M27" s="1711"/>
      <c r="N27" s="1474"/>
      <c r="O27" s="953"/>
      <c r="P27" s="1700"/>
      <c r="Q27" s="953"/>
    </row>
    <row r="28" spans="2:17" s="91" customFormat="1" ht="15" customHeight="1" x14ac:dyDescent="0.2">
      <c r="B28" s="877">
        <v>21241000</v>
      </c>
      <c r="C28" s="1709"/>
      <c r="D28" s="878"/>
      <c r="E28" s="1704"/>
      <c r="F28" s="878"/>
      <c r="G28" s="1704"/>
      <c r="H28" s="1705"/>
      <c r="I28" s="953"/>
      <c r="J28" s="1700"/>
      <c r="K28" s="953"/>
      <c r="L28" s="1710"/>
      <c r="M28" s="1711"/>
      <c r="N28" s="1474"/>
      <c r="O28" s="953"/>
      <c r="P28" s="1700"/>
      <c r="Q28" s="953"/>
    </row>
    <row r="29" spans="2:17" s="91" customFormat="1" ht="15" customHeight="1" x14ac:dyDescent="0.2">
      <c r="B29" s="877">
        <v>21241000</v>
      </c>
      <c r="C29" s="1709"/>
      <c r="D29" s="878"/>
      <c r="E29" s="1704"/>
      <c r="F29" s="878"/>
      <c r="G29" s="1704"/>
      <c r="H29" s="1705"/>
      <c r="I29" s="953"/>
      <c r="J29" s="1700"/>
      <c r="K29" s="953"/>
      <c r="L29" s="1710"/>
      <c r="M29" s="1711"/>
      <c r="N29" s="1474"/>
      <c r="O29" s="953"/>
      <c r="P29" s="1700"/>
      <c r="Q29" s="953"/>
    </row>
    <row r="30" spans="2:17" s="91" customFormat="1" ht="15" customHeight="1" x14ac:dyDescent="0.2">
      <c r="B30" s="877">
        <v>21241000</v>
      </c>
      <c r="C30" s="1709"/>
      <c r="D30" s="878"/>
      <c r="E30" s="1704"/>
      <c r="F30" s="878"/>
      <c r="G30" s="1704"/>
      <c r="H30" s="1705"/>
      <c r="I30" s="953"/>
      <c r="J30" s="1700"/>
      <c r="K30" s="953"/>
      <c r="L30" s="1710"/>
      <c r="M30" s="1711"/>
      <c r="N30" s="1474"/>
      <c r="O30" s="953"/>
      <c r="P30" s="1700"/>
      <c r="Q30" s="953"/>
    </row>
    <row r="31" spans="2:17" s="91" customFormat="1" ht="15" customHeight="1" x14ac:dyDescent="0.2">
      <c r="B31" s="877">
        <v>21241000</v>
      </c>
      <c r="C31" s="1709"/>
      <c r="D31" s="878"/>
      <c r="E31" s="1704"/>
      <c r="F31" s="878"/>
      <c r="G31" s="1704"/>
      <c r="H31" s="1705"/>
      <c r="I31" s="953"/>
      <c r="J31" s="1700"/>
      <c r="K31" s="953"/>
      <c r="L31" s="1710"/>
      <c r="M31" s="1711"/>
      <c r="N31" s="1474"/>
      <c r="O31" s="953"/>
      <c r="P31" s="1700"/>
      <c r="Q31" s="953"/>
    </row>
    <row r="32" spans="2:17" s="91" customFormat="1" ht="15" customHeight="1" x14ac:dyDescent="0.2">
      <c r="B32" s="877">
        <v>21241000</v>
      </c>
      <c r="C32" s="1709"/>
      <c r="D32" s="878"/>
      <c r="E32" s="1704"/>
      <c r="F32" s="878"/>
      <c r="G32" s="1704"/>
      <c r="H32" s="1705"/>
      <c r="I32" s="953"/>
      <c r="J32" s="1700"/>
      <c r="K32" s="953"/>
      <c r="L32" s="1710"/>
      <c r="M32" s="1711"/>
      <c r="N32" s="1474"/>
      <c r="O32" s="953"/>
      <c r="P32" s="1700"/>
      <c r="Q32" s="953"/>
    </row>
    <row r="33" spans="1:17" s="91" customFormat="1" ht="15" customHeight="1" thickBot="1" x14ac:dyDescent="0.25">
      <c r="A33" s="953"/>
      <c r="B33" s="953"/>
      <c r="C33" s="953"/>
      <c r="D33" s="953"/>
      <c r="E33" s="2383"/>
      <c r="F33" s="2383" t="s">
        <v>1913</v>
      </c>
      <c r="G33" s="2383"/>
      <c r="H33" s="961">
        <f>SUM(H15:H32)</f>
        <v>0</v>
      </c>
      <c r="I33" s="953"/>
      <c r="J33" s="125" t="s">
        <v>6555</v>
      </c>
      <c r="K33" s="953"/>
      <c r="L33" s="953"/>
      <c r="M33" s="953"/>
      <c r="N33" s="953"/>
      <c r="O33" s="953"/>
      <c r="P33" s="953"/>
      <c r="Q33" s="953"/>
    </row>
    <row r="34" spans="1:17" s="91" customFormat="1" ht="7.35" customHeight="1" x14ac:dyDescent="0.2">
      <c r="A34" s="953"/>
      <c r="B34" s="953"/>
      <c r="C34" s="953"/>
      <c r="D34" s="953"/>
      <c r="E34" s="2383"/>
      <c r="F34" s="953"/>
      <c r="G34" s="2383"/>
      <c r="H34" s="953"/>
      <c r="I34" s="953"/>
      <c r="J34" s="953"/>
      <c r="K34" s="953"/>
      <c r="L34" s="953"/>
      <c r="M34" s="953"/>
      <c r="N34" s="953"/>
      <c r="O34" s="2383"/>
      <c r="P34" s="953"/>
      <c r="Q34" s="953"/>
    </row>
    <row r="35" spans="1:17" s="91" customFormat="1" ht="15" customHeight="1" x14ac:dyDescent="0.2">
      <c r="A35" s="953"/>
      <c r="B35" s="125" t="s">
        <v>1907</v>
      </c>
      <c r="C35" s="953"/>
      <c r="D35" s="953"/>
      <c r="E35" s="2383"/>
      <c r="F35" s="953"/>
      <c r="G35" s="2383"/>
      <c r="H35" s="953"/>
      <c r="I35" s="953"/>
      <c r="J35" s="953"/>
      <c r="K35" s="953"/>
      <c r="L35" s="953"/>
      <c r="M35" s="953"/>
      <c r="N35" s="953"/>
      <c r="O35" s="2383"/>
      <c r="P35" s="953"/>
      <c r="Q35" s="953"/>
    </row>
    <row r="36" spans="1:17" s="91" customFormat="1" ht="15" customHeight="1" x14ac:dyDescent="0.2">
      <c r="A36" s="953"/>
      <c r="B36" s="953"/>
      <c r="C36" s="953"/>
      <c r="D36" s="953"/>
      <c r="E36" s="2383"/>
      <c r="F36" s="953"/>
      <c r="G36" s="2383"/>
      <c r="H36" s="953"/>
      <c r="I36" s="953"/>
      <c r="J36" s="953"/>
      <c r="K36" s="953"/>
      <c r="L36" s="953"/>
      <c r="M36" s="953"/>
      <c r="N36" s="953"/>
      <c r="O36" s="2383"/>
      <c r="P36" s="953"/>
      <c r="Q36" s="953"/>
    </row>
    <row r="37" spans="1:17" s="91" customFormat="1" ht="15" customHeight="1" x14ac:dyDescent="0.2">
      <c r="A37" s="953"/>
      <c r="B37" s="953"/>
      <c r="C37" s="953"/>
      <c r="D37" s="953"/>
      <c r="E37" s="2383"/>
      <c r="F37" s="953"/>
      <c r="G37" s="2383"/>
      <c r="H37" s="953"/>
      <c r="I37" s="953"/>
      <c r="J37" s="953"/>
      <c r="K37" s="953"/>
      <c r="L37" s="953"/>
      <c r="M37" s="953"/>
      <c r="N37" s="953"/>
      <c r="O37" s="2383"/>
      <c r="P37" s="953"/>
      <c r="Q37" s="953"/>
    </row>
    <row r="38" spans="1:17" s="91" customFormat="1" ht="15" customHeight="1" x14ac:dyDescent="0.2">
      <c r="A38" s="953"/>
      <c r="B38" s="953"/>
      <c r="C38" s="953"/>
      <c r="D38" s="953"/>
      <c r="E38" s="2383"/>
      <c r="F38" s="953"/>
      <c r="G38" s="2383"/>
      <c r="H38" s="953"/>
      <c r="I38" s="953"/>
      <c r="J38" s="953"/>
      <c r="K38" s="953"/>
      <c r="L38" s="953"/>
      <c r="M38" s="953"/>
      <c r="N38" s="953"/>
      <c r="O38" s="2383"/>
      <c r="P38" s="953"/>
      <c r="Q38" s="953"/>
    </row>
    <row r="39" spans="1:17" s="91" customFormat="1" ht="15" customHeight="1" x14ac:dyDescent="0.2">
      <c r="A39" s="421" t="str">
        <f ca="1">MID(CELL("filename",A1),FIND("]",CELL("filename",A1))+1,256)</f>
        <v>510</v>
      </c>
      <c r="B39" s="421" t="s">
        <v>613</v>
      </c>
      <c r="C39" s="953"/>
      <c r="D39" s="953"/>
      <c r="E39" s="2383"/>
      <c r="F39" s="953"/>
      <c r="G39" s="2383"/>
      <c r="H39" s="953"/>
      <c r="I39" s="953"/>
      <c r="J39" s="953"/>
      <c r="K39" s="953"/>
      <c r="L39" s="953"/>
      <c r="M39" s="953"/>
      <c r="N39" s="953"/>
      <c r="O39" s="2383"/>
      <c r="P39" s="953"/>
      <c r="Q39" s="953"/>
    </row>
    <row r="40" spans="1:17" s="91" customFormat="1" ht="15" customHeight="1" x14ac:dyDescent="0.2">
      <c r="A40" s="421" t="s">
        <v>401</v>
      </c>
      <c r="B40" s="421" t="str">
        <f ca="1">IF(ISNA(INDEX(ErrorTable,MATCH($A$39&amp;$A40&amp;FALSE,ErrorKey,0),6)),"",INDEX(ErrorTable,MATCH($A$39&amp;$A40&amp;FALSE,ErrorKey,0),6))</f>
        <v/>
      </c>
      <c r="C40" s="953"/>
      <c r="D40" s="953"/>
      <c r="E40" s="2383"/>
      <c r="F40" s="953"/>
      <c r="G40" s="2383"/>
      <c r="H40" s="953"/>
      <c r="I40" s="953"/>
      <c r="J40" s="953"/>
      <c r="K40" s="953"/>
      <c r="L40" s="953"/>
      <c r="M40" s="953"/>
      <c r="N40" s="953"/>
      <c r="O40" s="2383"/>
      <c r="P40" s="953"/>
      <c r="Q40" s="953"/>
    </row>
    <row r="41" spans="1:17" ht="20.85" customHeight="1" x14ac:dyDescent="0.25">
      <c r="A41" s="421" t="s">
        <v>402</v>
      </c>
      <c r="B41" s="421" t="str">
        <f t="shared" ref="B41:B49" ca="1" si="0">IF(ISNA(INDEX(ErrorTable,MATCH($A$39&amp;$A41&amp;FALSE,ErrorKey,0),6)),"",INDEX(ErrorTable,MATCH($A$39&amp;$A41&amp;FALSE,ErrorKey,0),6))</f>
        <v/>
      </c>
    </row>
    <row r="42" spans="1:17" ht="20.85" customHeight="1" x14ac:dyDescent="0.25">
      <c r="A42" s="421" t="s">
        <v>403</v>
      </c>
      <c r="B42" s="421" t="str">
        <f t="shared" ca="1" si="0"/>
        <v/>
      </c>
    </row>
    <row r="43" spans="1:17" ht="20.85" customHeight="1" x14ac:dyDescent="0.25">
      <c r="A43" s="421" t="s">
        <v>404</v>
      </c>
      <c r="B43" s="421" t="str">
        <f t="shared" ca="1" si="0"/>
        <v/>
      </c>
    </row>
    <row r="44" spans="1:17" ht="20.85" customHeight="1" x14ac:dyDescent="0.25">
      <c r="A44" s="421" t="s">
        <v>405</v>
      </c>
      <c r="B44" s="421" t="str">
        <f t="shared" ca="1" si="0"/>
        <v/>
      </c>
    </row>
    <row r="45" spans="1:17" ht="20.85" customHeight="1" x14ac:dyDescent="0.25">
      <c r="A45" s="421" t="s">
        <v>406</v>
      </c>
      <c r="B45" s="421" t="str">
        <f t="shared" ca="1" si="0"/>
        <v/>
      </c>
      <c r="D45" s="35" t="s">
        <v>50</v>
      </c>
      <c r="E45" s="35"/>
      <c r="F45" s="35"/>
      <c r="G45" s="35"/>
      <c r="H45" s="35"/>
      <c r="I45" s="35"/>
      <c r="J45" s="35"/>
      <c r="K45" s="35"/>
    </row>
    <row r="46" spans="1:17" ht="20.85" customHeight="1" x14ac:dyDescent="0.25">
      <c r="A46" s="421" t="s">
        <v>407</v>
      </c>
      <c r="B46" s="421" t="str">
        <f t="shared" ca="1" si="0"/>
        <v/>
      </c>
      <c r="D46" s="35" t="s">
        <v>50</v>
      </c>
      <c r="E46" s="35"/>
      <c r="F46" s="35"/>
      <c r="G46" s="35"/>
      <c r="L46" s="34" t="s">
        <v>50</v>
      </c>
      <c r="M46" s="34"/>
      <c r="N46" s="34"/>
      <c r="O46" s="34"/>
    </row>
    <row r="47" spans="1:17" ht="20.85" customHeight="1" x14ac:dyDescent="0.25">
      <c r="A47" s="421" t="s">
        <v>408</v>
      </c>
      <c r="B47" s="421" t="str">
        <f t="shared" ca="1" si="0"/>
        <v/>
      </c>
    </row>
    <row r="48" spans="1:17" ht="20.85" customHeight="1" x14ac:dyDescent="0.25">
      <c r="A48" s="421" t="s">
        <v>409</v>
      </c>
      <c r="B48" s="421" t="str">
        <f t="shared" ca="1" si="0"/>
        <v/>
      </c>
    </row>
    <row r="49" spans="1:15" ht="20.85" customHeight="1" x14ac:dyDescent="0.25">
      <c r="A49" s="421" t="s">
        <v>410</v>
      </c>
      <c r="B49" s="421" t="str">
        <f t="shared" ca="1" si="0"/>
        <v/>
      </c>
    </row>
    <row r="50" spans="1:15" ht="20.85" customHeight="1" x14ac:dyDescent="0.25"/>
    <row r="51" spans="1:15" ht="20.85" customHeight="1" x14ac:dyDescent="0.25"/>
    <row r="52" spans="1:15" ht="20.85" customHeight="1" x14ac:dyDescent="0.25"/>
    <row r="53" spans="1:15" ht="20.85" customHeight="1" x14ac:dyDescent="0.25">
      <c r="D53" s="33" t="s">
        <v>50</v>
      </c>
    </row>
    <row r="54" spans="1:15" ht="20.85" customHeight="1" x14ac:dyDescent="0.25"/>
    <row r="55" spans="1:15" ht="20.85" customHeight="1" x14ac:dyDescent="0.25"/>
    <row r="56" spans="1:15" ht="20.85" customHeight="1" x14ac:dyDescent="0.25">
      <c r="D56" s="35" t="s">
        <v>50</v>
      </c>
      <c r="E56" s="35"/>
      <c r="F56" s="35"/>
      <c r="G56" s="35"/>
      <c r="L56" s="34" t="s">
        <v>50</v>
      </c>
      <c r="M56" s="34"/>
      <c r="N56" s="34"/>
      <c r="O56" s="34"/>
    </row>
  </sheetData>
  <sheetProtection algorithmName="SHA-512" hashValue="K116A38gYJFiuGzbcztv1YsUJ5vUrNw99ybAbqv94Smr5uIotNwqZ+eoJn9EWfPijxfTrxfxzmga2iHL2kLcQQ==" saltValue="l1uD17492zKcKWNUdVFVPw==" spinCount="100000" sheet="1" autoFilter="0"/>
  <dataConsolidate link="1"/>
  <customSheetViews>
    <customSheetView guid="{9FCFC836-1CA5-48BF-958D-24D2EA94B219}" showGridLines="0" fitToPage="1" hiddenColumns="1" topLeftCell="B1">
      <selection activeCell="B12" sqref="B12"/>
      <pageMargins left="0" right="0" top="0" bottom="0" header="0" footer="0"/>
      <printOptions horizontalCentered="1"/>
      <pageSetup orientation="landscape" blackAndWhite="1" r:id="rId1"/>
      <headerFooter alignWithMargins="0">
        <oddFooter>&amp;R&amp;A</oddFooter>
      </headerFooter>
    </customSheetView>
    <customSheetView guid="{BEA4BE86-04D1-4C96-9358-7A260B9D2B2D}" showGridLines="0" fitToPage="1" showRuler="0">
      <selection sqref="A1:M1"/>
      <pageMargins left="0" right="0" top="0" bottom="0" header="0" footer="0"/>
      <printOptions horizontalCentered="1"/>
      <pageSetup orientation="landscape" blackAndWhite="1" horizontalDpi="300" verticalDpi="300" r:id="rId2"/>
      <headerFooter alignWithMargins="0">
        <oddFooter>&amp;R&amp;A</oddFooter>
      </headerFooter>
    </customSheetView>
    <customSheetView guid="{1250FD07-FF56-4A9D-AF9E-C27124A7EBE9}" showGridLines="0" fitToPage="1" showRuler="0">
      <selection sqref="A1:M1"/>
      <pageMargins left="0" right="0" top="0" bottom="0" header="0" footer="0"/>
      <printOptions horizontalCentered="1"/>
      <pageSetup orientation="landscape" blackAndWhite="1" horizontalDpi="300" verticalDpi="300" r:id="rId3"/>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rintOptions horizontalCentered="1"/>
      <pageSetup orientation="landscape" blackAndWhite="1" r:id="rId4"/>
      <headerFooter alignWithMargins="0">
        <oddFooter>&amp;R&amp;A</oddFooter>
      </headerFooter>
    </customSheetView>
  </customSheetViews>
  <mergeCells count="9">
    <mergeCell ref="D7:G7"/>
    <mergeCell ref="D8:H8"/>
    <mergeCell ref="J12:N12"/>
    <mergeCell ref="Q1:Q3"/>
    <mergeCell ref="B1:P1"/>
    <mergeCell ref="B2:P2"/>
    <mergeCell ref="B3:P3"/>
    <mergeCell ref="B4:P4"/>
    <mergeCell ref="B5:Q5"/>
  </mergeCells>
  <phoneticPr fontId="18" type="noConversion"/>
  <conditionalFormatting sqref="Q1:Q3">
    <cfRule type="cellIs" dxfId="67" priority="1" stopIfTrue="1" operator="equal">
      <formula>"na"</formula>
    </cfRule>
  </conditionalFormatting>
  <hyperlinks>
    <hyperlink ref="B1:P1" location="Index!A1" display="Index!A1" xr:uid="{00000000-0004-0000-2800-000000000000}"/>
  </hyperlinks>
  <pageMargins left="0.6" right="0.6" top="0.5" bottom="0.5" header="0.3" footer="0.3"/>
  <pageSetup scale="91" orientation="landscape" r:id="rId5"/>
  <extLst>
    <ext xmlns:x14="http://schemas.microsoft.com/office/spreadsheetml/2009/9/main" uri="{CCE6A557-97BC-4b89-ADB6-D9C93CAAB3DF}">
      <x14:dataValidations xmlns:xm="http://schemas.microsoft.com/office/excel/2006/main" count="2">
        <x14:dataValidation type="list" allowBlank="1" showInputMessage="1" showErrorMessage="1" xr:uid="{B1C95DFF-10BA-4CCF-9903-BB095AFD0D46}">
          <x14:formula1>
            <xm:f>OFFSET(AgencyGASBRepository!$E$8,,,COUNTIF(AgencyGASBRepository!$E$8:$E$210,"?*"))</xm:f>
          </x14:formula1>
          <xm:sqref>D15:D32</xm:sqref>
        </x14:dataValidation>
        <x14:dataValidation type="list" allowBlank="1" showInputMessage="1" showErrorMessage="1" xr:uid="{16A4298E-1716-4B09-858E-E1941F50CCD9}">
          <x14:formula1>
            <xm:f>OFFSET(AgencyGASBRepository!$F$7,MATCH($D15,AgencyGASBRepository!$E$8:$E$1000,0),,,COUNTIF(OFFSET(AgencyGASBRepository!$F$7,MATCH($D15,AgencyGASBRepository!$E$8:$E$1000,0),,1,50),"?*"))</xm:f>
          </x14:formula1>
          <xm:sqref>F15:F32</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11"/>
  <dimension ref="A1:V56"/>
  <sheetViews>
    <sheetView showGridLines="0" topLeftCell="B1" zoomScaleNormal="100" workbookViewId="0">
      <selection activeCell="P6" sqref="P6"/>
    </sheetView>
  </sheetViews>
  <sheetFormatPr defaultColWidth="9.42578125" defaultRowHeight="15.75" x14ac:dyDescent="0.25"/>
  <cols>
    <col min="1" max="1" width="9.42578125" style="33" hidden="1" customWidth="1"/>
    <col min="2" max="2" width="13.85546875" style="33" customWidth="1"/>
    <col min="3" max="3" width="1.5703125" style="33" customWidth="1"/>
    <col min="4" max="4" width="7.42578125" style="33" customWidth="1"/>
    <col min="5" max="5" width="1.5703125" style="33" customWidth="1"/>
    <col min="6" max="6" width="8" style="33" customWidth="1"/>
    <col min="7" max="7" width="1.5703125" style="33" customWidth="1"/>
    <col min="8" max="8" width="19.140625" style="33" customWidth="1"/>
    <col min="9" max="9" width="1.28515625" style="33" customWidth="1"/>
    <col min="10" max="10" width="15.42578125" style="33" customWidth="1"/>
    <col min="11" max="11" width="1.140625" style="33" customWidth="1"/>
    <col min="12" max="12" width="13.42578125" style="33" customWidth="1"/>
    <col min="13" max="13" width="0.85546875" style="33" customWidth="1"/>
    <col min="14" max="14" width="13.42578125" style="33" customWidth="1"/>
    <col min="15" max="15" width="0.85546875" style="33" customWidth="1"/>
    <col min="16" max="16" width="36.42578125" style="33" customWidth="1"/>
    <col min="17" max="17" width="4.5703125" style="33" bestFit="1" customWidth="1"/>
    <col min="18" max="16384" width="9.42578125" style="33"/>
  </cols>
  <sheetData>
    <row r="1" spans="2:17" s="90" customFormat="1" ht="15" customHeight="1" x14ac:dyDescent="0.25">
      <c r="B1" s="2553" t="str">
        <f>+Index!$A$1</f>
        <v xml:space="preserve">                                                               Office of the State Controller                                                                </v>
      </c>
      <c r="C1" s="2553"/>
      <c r="D1" s="2553"/>
      <c r="E1" s="2553"/>
      <c r="F1" s="2553"/>
      <c r="G1" s="2553"/>
      <c r="H1" s="2553"/>
      <c r="I1" s="2553"/>
      <c r="J1" s="2553"/>
      <c r="K1" s="2553"/>
      <c r="L1" s="2553"/>
      <c r="M1" s="2553"/>
      <c r="N1" s="2553"/>
      <c r="O1" s="2553"/>
      <c r="P1" s="2553"/>
      <c r="Q1" s="2626" t="str">
        <f>IF(Index!$B$71="na","NA","")</f>
        <v/>
      </c>
    </row>
    <row r="2" spans="2:17" s="90" customFormat="1" ht="15" customHeight="1" x14ac:dyDescent="0.25">
      <c r="B2" s="2885" t="str">
        <f>+Index!$A$2</f>
        <v>2024 ACFR Worksheets</v>
      </c>
      <c r="C2" s="2885"/>
      <c r="D2" s="2885"/>
      <c r="E2" s="2885"/>
      <c r="F2" s="2885"/>
      <c r="G2" s="2885"/>
      <c r="H2" s="2885"/>
      <c r="I2" s="2885"/>
      <c r="J2" s="2885"/>
      <c r="K2" s="2885"/>
      <c r="L2" s="2885"/>
      <c r="M2" s="2885"/>
      <c r="N2" s="2885"/>
      <c r="O2" s="2885"/>
      <c r="P2" s="2885"/>
      <c r="Q2" s="2626"/>
    </row>
    <row r="3" spans="2:17" s="90" customFormat="1" ht="15" customHeight="1" x14ac:dyDescent="0.25">
      <c r="B3" s="2885" t="s">
        <v>1914</v>
      </c>
      <c r="C3" s="2885"/>
      <c r="D3" s="2885"/>
      <c r="E3" s="2885"/>
      <c r="F3" s="2885"/>
      <c r="G3" s="2885"/>
      <c r="H3" s="2885"/>
      <c r="I3" s="2885"/>
      <c r="J3" s="2885"/>
      <c r="K3" s="2885"/>
      <c r="L3" s="2885"/>
      <c r="M3" s="2885"/>
      <c r="N3" s="2885"/>
      <c r="O3" s="2885"/>
      <c r="P3" s="2885"/>
      <c r="Q3" s="2626"/>
    </row>
    <row r="4" spans="2:17" s="90" customFormat="1" ht="15" customHeight="1" x14ac:dyDescent="0.25">
      <c r="B4" s="2877" t="s">
        <v>1896</v>
      </c>
      <c r="C4" s="2877"/>
      <c r="D4" s="2877"/>
      <c r="E4" s="2877"/>
      <c r="F4" s="2877"/>
      <c r="G4" s="2877"/>
      <c r="H4" s="2877"/>
      <c r="I4" s="2877"/>
      <c r="J4" s="2877"/>
      <c r="K4" s="2877"/>
      <c r="L4" s="2877"/>
      <c r="M4" s="2877"/>
      <c r="N4" s="2877"/>
      <c r="O4" s="2877"/>
      <c r="P4" s="2877"/>
      <c r="Q4" s="2877"/>
    </row>
    <row r="5" spans="2:17" s="90" customFormat="1" ht="15" customHeight="1" x14ac:dyDescent="0.25">
      <c r="B5" s="2883" t="s">
        <v>1915</v>
      </c>
      <c r="C5" s="2883"/>
      <c r="D5" s="2883"/>
      <c r="E5" s="2883"/>
      <c r="F5" s="2883"/>
      <c r="G5" s="2883"/>
      <c r="H5" s="2883"/>
      <c r="I5" s="2883"/>
      <c r="J5" s="2883"/>
      <c r="K5" s="2883"/>
      <c r="L5" s="2883"/>
      <c r="M5" s="2883"/>
      <c r="N5" s="2883"/>
      <c r="O5" s="2883"/>
      <c r="P5" s="2883"/>
      <c r="Q5" s="2883"/>
    </row>
    <row r="6" spans="2:17" s="91" customFormat="1" ht="15" customHeight="1" x14ac:dyDescent="0.3">
      <c r="B6" s="92"/>
      <c r="C6" s="1696"/>
      <c r="D6" s="1696"/>
      <c r="E6" s="1696"/>
      <c r="F6" s="1696"/>
      <c r="G6" s="1696"/>
      <c r="H6" s="1696"/>
      <c r="I6" s="1696"/>
      <c r="J6" s="1696"/>
      <c r="K6" s="92"/>
      <c r="L6" s="873"/>
      <c r="M6" s="873"/>
      <c r="N6" s="873"/>
      <c r="O6" s="1696"/>
      <c r="P6" s="1800" t="s">
        <v>6605</v>
      </c>
      <c r="Q6" s="953"/>
    </row>
    <row r="7" spans="2:17" s="91" customFormat="1" ht="15" customHeight="1" x14ac:dyDescent="0.2">
      <c r="B7" s="1697" t="s">
        <v>318</v>
      </c>
      <c r="C7" s="953"/>
      <c r="D7" s="2880" t="str">
        <f>+Index!$E$10</f>
        <v>01</v>
      </c>
      <c r="E7" s="2880"/>
      <c r="F7" s="2880"/>
      <c r="G7" s="2880"/>
      <c r="H7" s="1682"/>
      <c r="I7" s="953"/>
      <c r="J7" s="953"/>
      <c r="K7" s="953"/>
      <c r="L7" s="953"/>
      <c r="M7" s="953"/>
      <c r="N7" s="953"/>
      <c r="O7" s="1698" t="s">
        <v>320</v>
      </c>
      <c r="P7" s="2376" t="str">
        <f>CONCATENATE(Index!$E$12," ",Index!$E$14)</f>
        <v xml:space="preserve"> </v>
      </c>
      <c r="Q7" s="953"/>
    </row>
    <row r="8" spans="2:17" s="91" customFormat="1" ht="15" customHeight="1" x14ac:dyDescent="0.2">
      <c r="B8" s="1697" t="s">
        <v>319</v>
      </c>
      <c r="C8" s="953"/>
      <c r="D8" s="2880" t="str">
        <f>+Index!$E$11</f>
        <v>North Carolina General Assembly</v>
      </c>
      <c r="E8" s="2880"/>
      <c r="F8" s="2880"/>
      <c r="G8" s="2880"/>
      <c r="H8" s="2880"/>
      <c r="I8" s="953"/>
      <c r="J8" s="953"/>
      <c r="K8" s="953"/>
      <c r="L8" s="953"/>
      <c r="M8" s="953"/>
      <c r="N8" s="953"/>
      <c r="O8" s="1698" t="s">
        <v>168</v>
      </c>
      <c r="P8" s="1699">
        <f>+Index!$E$13</f>
        <v>0</v>
      </c>
      <c r="Q8" s="953"/>
    </row>
    <row r="9" spans="2:17" s="91" customFormat="1" ht="15" customHeight="1" x14ac:dyDescent="0.2">
      <c r="B9" s="1697" t="s">
        <v>1899</v>
      </c>
      <c r="C9" s="953"/>
      <c r="D9" s="1700"/>
      <c r="E9" s="953"/>
      <c r="F9" s="953"/>
      <c r="G9" s="953"/>
      <c r="H9" s="953"/>
      <c r="I9" s="953"/>
      <c r="J9" s="953"/>
      <c r="K9" s="953"/>
      <c r="L9" s="953"/>
      <c r="M9" s="953"/>
      <c r="N9" s="953"/>
      <c r="O9" s="953"/>
      <c r="P9" s="953"/>
      <c r="Q9" s="953"/>
    </row>
    <row r="10" spans="2:17" s="91" customFormat="1" ht="15" customHeight="1" x14ac:dyDescent="0.2">
      <c r="B10" s="1697"/>
      <c r="C10" s="953"/>
      <c r="D10" s="1706"/>
      <c r="E10" s="953"/>
      <c r="F10" s="953"/>
      <c r="G10" s="953"/>
      <c r="H10" s="953"/>
      <c r="I10" s="953"/>
      <c r="J10" s="953"/>
      <c r="K10" s="953"/>
      <c r="L10" s="953"/>
      <c r="M10" s="953"/>
      <c r="N10" s="953"/>
      <c r="O10" s="953"/>
      <c r="P10" s="953"/>
      <c r="Q10" s="953"/>
    </row>
    <row r="11" spans="2:17" s="91" customFormat="1" ht="15" customHeight="1" thickBot="1" x14ac:dyDescent="0.25">
      <c r="B11" s="2204" t="s">
        <v>756</v>
      </c>
      <c r="C11" s="1701"/>
      <c r="D11" s="2204"/>
      <c r="E11" s="2204"/>
      <c r="F11" s="2204"/>
      <c r="G11" s="2204"/>
      <c r="H11" s="2204"/>
      <c r="I11" s="2204"/>
      <c r="J11" s="2204"/>
      <c r="K11" s="2204"/>
      <c r="L11" s="2204"/>
      <c r="M11" s="2204"/>
      <c r="N11" s="2204"/>
      <c r="O11" s="2204"/>
      <c r="P11" s="2204"/>
      <c r="Q11" s="953"/>
    </row>
    <row r="12" spans="2:17" s="91" customFormat="1" ht="17.25" customHeight="1" thickBot="1" x14ac:dyDescent="0.25">
      <c r="B12" s="604" t="s">
        <v>1916</v>
      </c>
      <c r="C12" s="954"/>
      <c r="D12" s="2382" t="s">
        <v>1900</v>
      </c>
      <c r="E12" s="1121"/>
      <c r="F12" s="2382" t="s">
        <v>1900</v>
      </c>
      <c r="G12" s="953"/>
      <c r="H12" s="953"/>
      <c r="I12" s="92"/>
      <c r="J12" s="2884" t="s">
        <v>1901</v>
      </c>
      <c r="K12" s="2884"/>
      <c r="L12" s="2884"/>
      <c r="M12" s="2884"/>
      <c r="N12" s="2884"/>
      <c r="O12" s="1680"/>
      <c r="P12" s="953"/>
      <c r="Q12" s="953"/>
    </row>
    <row r="13" spans="2:17" s="91" customFormat="1" ht="15" customHeight="1" x14ac:dyDescent="0.2">
      <c r="B13" s="2383" t="s">
        <v>1865</v>
      </c>
      <c r="C13" s="953"/>
      <c r="D13" s="2382" t="s">
        <v>1867</v>
      </c>
      <c r="E13" s="1121"/>
      <c r="F13" s="2382" t="s">
        <v>1573</v>
      </c>
      <c r="G13" s="953"/>
      <c r="H13" s="953"/>
      <c r="I13" s="92"/>
      <c r="J13" s="1121"/>
      <c r="K13" s="1121"/>
      <c r="L13" s="1380" t="s">
        <v>1902</v>
      </c>
      <c r="M13" s="2382"/>
      <c r="N13" s="1380" t="s">
        <v>1903</v>
      </c>
      <c r="O13" s="1121"/>
      <c r="P13" s="953"/>
      <c r="Q13" s="953"/>
    </row>
    <row r="14" spans="2:17" s="91" customFormat="1" ht="15" customHeight="1" thickBot="1" x14ac:dyDescent="0.25">
      <c r="B14" s="93" t="s">
        <v>756</v>
      </c>
      <c r="C14" s="2383"/>
      <c r="D14" s="2378" t="s">
        <v>1709</v>
      </c>
      <c r="E14" s="1121"/>
      <c r="F14" s="2378" t="s">
        <v>1709</v>
      </c>
      <c r="G14" s="953"/>
      <c r="H14" s="93" t="s">
        <v>1359</v>
      </c>
      <c r="I14" s="953"/>
      <c r="J14" s="2378" t="s">
        <v>1408</v>
      </c>
      <c r="K14" s="1703"/>
      <c r="L14" s="1381" t="s">
        <v>1905</v>
      </c>
      <c r="M14" s="2382"/>
      <c r="N14" s="1381" t="s">
        <v>677</v>
      </c>
      <c r="O14" s="1703"/>
      <c r="P14" s="93" t="s">
        <v>1876</v>
      </c>
      <c r="Q14" s="953"/>
    </row>
    <row r="15" spans="2:17" s="91" customFormat="1" ht="15" customHeight="1" x14ac:dyDescent="0.2">
      <c r="B15" s="958">
        <v>11460000</v>
      </c>
      <c r="C15" s="953"/>
      <c r="D15" s="877"/>
      <c r="E15" s="959"/>
      <c r="F15" s="877"/>
      <c r="G15" s="959"/>
      <c r="H15" s="960"/>
      <c r="I15" s="953"/>
      <c r="J15" s="1108"/>
      <c r="K15" s="1121"/>
      <c r="L15" s="1475"/>
      <c r="M15" s="1708"/>
      <c r="N15" s="1474"/>
      <c r="O15" s="953"/>
      <c r="P15" s="1700"/>
      <c r="Q15" s="953"/>
    </row>
    <row r="16" spans="2:17" s="91" customFormat="1" ht="15" customHeight="1" x14ac:dyDescent="0.2">
      <c r="B16" s="958">
        <v>11460000</v>
      </c>
      <c r="C16" s="953"/>
      <c r="D16" s="877"/>
      <c r="E16" s="959"/>
      <c r="F16" s="877"/>
      <c r="G16" s="959"/>
      <c r="H16" s="960"/>
      <c r="I16" s="953"/>
      <c r="J16" s="1108"/>
      <c r="K16" s="1121"/>
      <c r="L16" s="1475"/>
      <c r="M16" s="1708"/>
      <c r="N16" s="1474"/>
      <c r="O16" s="953"/>
      <c r="P16" s="1700"/>
      <c r="Q16" s="953"/>
    </row>
    <row r="17" spans="2:22" s="91" customFormat="1" ht="15" customHeight="1" x14ac:dyDescent="0.2">
      <c r="B17" s="958">
        <v>11460000</v>
      </c>
      <c r="C17" s="953"/>
      <c r="D17" s="877"/>
      <c r="E17" s="959"/>
      <c r="F17" s="877"/>
      <c r="G17" s="959"/>
      <c r="H17" s="960"/>
      <c r="I17" s="953"/>
      <c r="J17" s="1108"/>
      <c r="K17" s="1121"/>
      <c r="L17" s="1475"/>
      <c r="M17" s="1708"/>
      <c r="N17" s="1474"/>
      <c r="O17" s="953"/>
      <c r="P17" s="1700"/>
      <c r="Q17" s="953"/>
      <c r="R17" s="953"/>
      <c r="S17" s="953"/>
      <c r="T17" s="953"/>
      <c r="U17" s="953"/>
      <c r="V17" s="953"/>
    </row>
    <row r="18" spans="2:22" s="91" customFormat="1" ht="15" customHeight="1" x14ac:dyDescent="0.25">
      <c r="B18" s="958">
        <v>11460000</v>
      </c>
      <c r="C18" s="953"/>
      <c r="D18" s="877"/>
      <c r="E18" s="959"/>
      <c r="F18" s="877"/>
      <c r="G18" s="959"/>
      <c r="H18" s="960"/>
      <c r="I18" s="953"/>
      <c r="J18" s="1108"/>
      <c r="K18" s="1121"/>
      <c r="L18" s="1475"/>
      <c r="M18" s="1708"/>
      <c r="N18" s="1474"/>
      <c r="O18" s="953"/>
      <c r="P18" s="1700"/>
      <c r="Q18" s="953"/>
      <c r="R18" s="953"/>
      <c r="S18" s="953"/>
      <c r="T18" s="1498"/>
      <c r="U18" s="953"/>
      <c r="V18" s="953"/>
    </row>
    <row r="19" spans="2:22" s="91" customFormat="1" ht="15" customHeight="1" x14ac:dyDescent="0.2">
      <c r="B19" s="958">
        <v>11460000</v>
      </c>
      <c r="C19" s="953"/>
      <c r="D19" s="877"/>
      <c r="E19" s="959"/>
      <c r="F19" s="877"/>
      <c r="G19" s="959"/>
      <c r="H19" s="960"/>
      <c r="I19" s="953"/>
      <c r="J19" s="1700"/>
      <c r="K19" s="953"/>
      <c r="L19" s="1710"/>
      <c r="M19" s="1711"/>
      <c r="N19" s="1474"/>
      <c r="O19" s="953"/>
      <c r="P19" s="1700"/>
      <c r="Q19" s="953"/>
      <c r="R19" s="953"/>
      <c r="S19" s="953"/>
      <c r="T19" s="953"/>
      <c r="U19" s="953"/>
      <c r="V19" s="953"/>
    </row>
    <row r="20" spans="2:22" s="91" customFormat="1" ht="15" customHeight="1" x14ac:dyDescent="0.2">
      <c r="B20" s="958">
        <v>11460000</v>
      </c>
      <c r="C20" s="953"/>
      <c r="D20" s="877"/>
      <c r="E20" s="959"/>
      <c r="F20" s="877"/>
      <c r="G20" s="959"/>
      <c r="H20" s="960"/>
      <c r="I20" s="953"/>
      <c r="J20" s="1700"/>
      <c r="K20" s="953"/>
      <c r="L20" s="1710"/>
      <c r="M20" s="1711"/>
      <c r="N20" s="1474"/>
      <c r="O20" s="953"/>
      <c r="P20" s="1700"/>
      <c r="Q20" s="953"/>
      <c r="R20" s="953"/>
      <c r="S20" s="953"/>
      <c r="T20" s="953"/>
      <c r="U20" s="953"/>
      <c r="V20" s="953"/>
    </row>
    <row r="21" spans="2:22" s="91" customFormat="1" ht="15" customHeight="1" x14ac:dyDescent="0.2">
      <c r="B21" s="958">
        <v>11460000</v>
      </c>
      <c r="C21" s="953"/>
      <c r="D21" s="877"/>
      <c r="E21" s="959"/>
      <c r="F21" s="877"/>
      <c r="G21" s="959"/>
      <c r="H21" s="960"/>
      <c r="I21" s="953"/>
      <c r="J21" s="1700"/>
      <c r="K21" s="953"/>
      <c r="L21" s="1710"/>
      <c r="M21" s="1711"/>
      <c r="N21" s="1474"/>
      <c r="O21" s="953"/>
      <c r="P21" s="1700"/>
      <c r="Q21" s="953"/>
      <c r="R21" s="953"/>
      <c r="S21" s="953"/>
      <c r="T21" s="953"/>
      <c r="U21" s="953"/>
      <c r="V21" s="953"/>
    </row>
    <row r="22" spans="2:22" s="91" customFormat="1" ht="15" customHeight="1" x14ac:dyDescent="0.2">
      <c r="B22" s="958">
        <v>11460000</v>
      </c>
      <c r="C22" s="953"/>
      <c r="D22" s="877"/>
      <c r="E22" s="959"/>
      <c r="F22" s="877"/>
      <c r="G22" s="959"/>
      <c r="H22" s="960"/>
      <c r="I22" s="953"/>
      <c r="J22" s="1700"/>
      <c r="K22" s="953"/>
      <c r="L22" s="1710"/>
      <c r="M22" s="1711"/>
      <c r="N22" s="1474"/>
      <c r="O22" s="953"/>
      <c r="P22" s="1700"/>
      <c r="Q22" s="953"/>
      <c r="R22" s="953"/>
      <c r="S22" s="953"/>
      <c r="T22" s="953"/>
      <c r="U22" s="953"/>
      <c r="V22" s="953"/>
    </row>
    <row r="23" spans="2:22" s="91" customFormat="1" ht="15" customHeight="1" x14ac:dyDescent="0.2">
      <c r="B23" s="958">
        <v>11460000</v>
      </c>
      <c r="C23" s="953"/>
      <c r="D23" s="877"/>
      <c r="E23" s="959"/>
      <c r="F23" s="877"/>
      <c r="G23" s="959"/>
      <c r="H23" s="960"/>
      <c r="I23" s="953"/>
      <c r="J23" s="1700"/>
      <c r="K23" s="953"/>
      <c r="L23" s="1710"/>
      <c r="M23" s="1711"/>
      <c r="N23" s="1474"/>
      <c r="O23" s="953"/>
      <c r="P23" s="1700"/>
      <c r="Q23" s="953"/>
      <c r="R23" s="953"/>
      <c r="S23" s="953"/>
      <c r="T23" s="953"/>
      <c r="U23" s="953"/>
      <c r="V23" s="953"/>
    </row>
    <row r="24" spans="2:22" s="91" customFormat="1" ht="15" customHeight="1" x14ac:dyDescent="0.2">
      <c r="B24" s="958">
        <v>11460000</v>
      </c>
      <c r="C24" s="953"/>
      <c r="D24" s="877"/>
      <c r="E24" s="959"/>
      <c r="F24" s="877"/>
      <c r="G24" s="959"/>
      <c r="H24" s="960"/>
      <c r="I24" s="953"/>
      <c r="J24" s="1700"/>
      <c r="K24" s="953"/>
      <c r="L24" s="1710"/>
      <c r="M24" s="1711"/>
      <c r="N24" s="1474"/>
      <c r="O24" s="953"/>
      <c r="P24" s="1700"/>
      <c r="Q24" s="953"/>
      <c r="R24" s="953"/>
      <c r="S24" s="953"/>
      <c r="T24" s="953"/>
      <c r="U24" s="953"/>
      <c r="V24" s="953"/>
    </row>
    <row r="25" spans="2:22" s="91" customFormat="1" ht="15" customHeight="1" x14ac:dyDescent="0.2">
      <c r="B25" s="958">
        <v>11460000</v>
      </c>
      <c r="C25" s="953"/>
      <c r="D25" s="877"/>
      <c r="E25" s="959"/>
      <c r="F25" s="877"/>
      <c r="G25" s="959"/>
      <c r="H25" s="960"/>
      <c r="I25" s="953"/>
      <c r="J25" s="1700"/>
      <c r="K25" s="953"/>
      <c r="L25" s="1710"/>
      <c r="M25" s="1711"/>
      <c r="N25" s="1474"/>
      <c r="O25" s="953"/>
      <c r="P25" s="1700"/>
      <c r="Q25" s="953"/>
      <c r="R25" s="953"/>
      <c r="S25" s="953"/>
      <c r="T25" s="953"/>
      <c r="U25" s="953"/>
      <c r="V25" s="953"/>
    </row>
    <row r="26" spans="2:22" s="91" customFormat="1" ht="15" customHeight="1" x14ac:dyDescent="0.2">
      <c r="B26" s="958">
        <v>11460000</v>
      </c>
      <c r="C26" s="953"/>
      <c r="D26" s="877"/>
      <c r="E26" s="959"/>
      <c r="F26" s="877"/>
      <c r="G26" s="959"/>
      <c r="H26" s="960"/>
      <c r="I26" s="953"/>
      <c r="J26" s="1700"/>
      <c r="K26" s="953"/>
      <c r="L26" s="1710"/>
      <c r="M26" s="1711"/>
      <c r="N26" s="1474"/>
      <c r="O26" s="953"/>
      <c r="P26" s="1700"/>
      <c r="Q26" s="953"/>
      <c r="R26" s="953"/>
      <c r="S26" s="953"/>
      <c r="T26" s="953"/>
      <c r="U26" s="953"/>
      <c r="V26" s="953"/>
    </row>
    <row r="27" spans="2:22" s="91" customFormat="1" ht="15" customHeight="1" thickBot="1" x14ac:dyDescent="0.25">
      <c r="B27" s="959"/>
      <c r="C27" s="953"/>
      <c r="D27" s="2383"/>
      <c r="E27" s="2383"/>
      <c r="F27" s="2383" t="s">
        <v>1913</v>
      </c>
      <c r="G27" s="2383"/>
      <c r="H27" s="961">
        <f>SUM(H15:H26)</f>
        <v>0</v>
      </c>
      <c r="I27" s="953"/>
      <c r="J27" s="125" t="s">
        <v>6556</v>
      </c>
      <c r="K27" s="953"/>
      <c r="L27" s="956"/>
      <c r="M27" s="956"/>
      <c r="N27" s="956"/>
      <c r="O27" s="953"/>
      <c r="P27" s="953"/>
      <c r="Q27" s="953"/>
      <c r="R27" s="953"/>
      <c r="S27" s="953"/>
      <c r="T27" s="953"/>
      <c r="U27" s="953"/>
      <c r="V27" s="953"/>
    </row>
    <row r="28" spans="2:22" s="91" customFormat="1" ht="7.35" customHeight="1" x14ac:dyDescent="0.2">
      <c r="B28" s="953"/>
      <c r="C28" s="953"/>
      <c r="D28" s="953"/>
      <c r="E28" s="2383"/>
      <c r="F28" s="2383"/>
      <c r="G28" s="2383"/>
      <c r="H28" s="953"/>
      <c r="I28" s="953"/>
      <c r="J28" s="953"/>
      <c r="K28" s="953"/>
      <c r="L28" s="953"/>
      <c r="M28" s="953"/>
      <c r="N28" s="953"/>
      <c r="O28" s="2383"/>
      <c r="P28" s="953"/>
      <c r="Q28" s="953"/>
      <c r="R28" s="953"/>
      <c r="S28" s="953"/>
      <c r="T28" s="953"/>
      <c r="U28" s="953"/>
      <c r="V28" s="953"/>
    </row>
    <row r="29" spans="2:22" s="953" customFormat="1" ht="15" customHeight="1" x14ac:dyDescent="0.2">
      <c r="B29" s="604" t="s">
        <v>1917</v>
      </c>
      <c r="C29" s="954"/>
      <c r="D29" s="608"/>
      <c r="E29" s="2383"/>
      <c r="F29" s="2383"/>
      <c r="G29" s="2383"/>
      <c r="H29" s="955"/>
      <c r="L29" s="956"/>
      <c r="M29" s="956"/>
      <c r="N29" s="956"/>
      <c r="R29" s="957"/>
      <c r="S29" s="957"/>
      <c r="T29" s="957"/>
      <c r="U29" s="957"/>
      <c r="V29" s="957"/>
    </row>
    <row r="30" spans="2:22" s="953" customFormat="1" ht="15" customHeight="1" x14ac:dyDescent="0.2">
      <c r="B30" s="958">
        <v>12410000</v>
      </c>
      <c r="D30" s="877"/>
      <c r="E30" s="959"/>
      <c r="F30" s="877"/>
      <c r="G30" s="959"/>
      <c r="H30" s="960"/>
      <c r="J30" s="1700"/>
      <c r="L30" s="1710"/>
      <c r="M30" s="1711"/>
      <c r="N30" s="1474"/>
      <c r="P30" s="1700"/>
      <c r="R30" s="957"/>
      <c r="S30" s="957"/>
      <c r="T30" s="957"/>
      <c r="U30" s="957"/>
      <c r="V30" s="957"/>
    </row>
    <row r="31" spans="2:22" s="953" customFormat="1" ht="15" customHeight="1" x14ac:dyDescent="0.2">
      <c r="B31" s="958">
        <v>12410000</v>
      </c>
      <c r="D31" s="877"/>
      <c r="E31" s="959"/>
      <c r="F31" s="877"/>
      <c r="G31" s="959"/>
      <c r="H31" s="960"/>
      <c r="J31" s="1700"/>
      <c r="L31" s="1710"/>
      <c r="M31" s="1711"/>
      <c r="N31" s="1474"/>
      <c r="P31" s="1700"/>
      <c r="R31" s="957"/>
      <c r="S31" s="957"/>
      <c r="T31" s="957"/>
      <c r="U31" s="957"/>
      <c r="V31" s="957"/>
    </row>
    <row r="32" spans="2:22" s="953" customFormat="1" ht="15" customHeight="1" x14ac:dyDescent="0.2">
      <c r="B32" s="958">
        <v>12410000</v>
      </c>
      <c r="D32" s="877"/>
      <c r="E32" s="959"/>
      <c r="F32" s="877"/>
      <c r="G32" s="959"/>
      <c r="H32" s="960"/>
      <c r="J32" s="1700"/>
      <c r="L32" s="1710"/>
      <c r="M32" s="1711"/>
      <c r="N32" s="1474"/>
      <c r="P32" s="1700"/>
      <c r="R32" s="957"/>
      <c r="S32" s="957"/>
      <c r="T32" s="957"/>
      <c r="U32" s="957"/>
      <c r="V32" s="957"/>
    </row>
    <row r="33" spans="1:22" s="953" customFormat="1" ht="15" customHeight="1" thickBot="1" x14ac:dyDescent="0.25">
      <c r="E33" s="2383"/>
      <c r="F33" s="2383" t="s">
        <v>1913</v>
      </c>
      <c r="G33" s="2383"/>
      <c r="H33" s="961">
        <f>SUM(H30:H32)</f>
        <v>0</v>
      </c>
      <c r="J33" s="125" t="s">
        <v>6556</v>
      </c>
      <c r="R33" s="957"/>
      <c r="S33" s="957"/>
      <c r="T33" s="957"/>
      <c r="U33" s="957"/>
      <c r="V33" s="957"/>
    </row>
    <row r="34" spans="1:22" s="953" customFormat="1" ht="7.35" customHeight="1" x14ac:dyDescent="0.2">
      <c r="E34" s="2383"/>
      <c r="F34" s="2383"/>
      <c r="G34" s="2383"/>
      <c r="O34" s="2383"/>
      <c r="R34" s="957"/>
      <c r="S34" s="957"/>
      <c r="T34" s="957"/>
      <c r="U34" s="957"/>
      <c r="V34" s="957"/>
    </row>
    <row r="35" spans="1:22" s="91" customFormat="1" ht="15" customHeight="1" x14ac:dyDescent="0.2">
      <c r="A35" s="953"/>
      <c r="B35" s="125" t="s">
        <v>1907</v>
      </c>
      <c r="C35" s="953"/>
      <c r="D35" s="953"/>
      <c r="E35" s="2383"/>
      <c r="F35" s="2383"/>
      <c r="G35" s="2383"/>
      <c r="H35" s="953"/>
      <c r="I35" s="953"/>
      <c r="J35" s="953"/>
      <c r="K35" s="953"/>
      <c r="L35" s="953"/>
      <c r="M35" s="953"/>
      <c r="N35" s="953"/>
      <c r="O35" s="2383"/>
      <c r="P35" s="953"/>
      <c r="Q35" s="953"/>
      <c r="R35" s="953"/>
      <c r="S35" s="953"/>
      <c r="T35" s="953"/>
      <c r="U35" s="953"/>
      <c r="V35" s="953"/>
    </row>
    <row r="36" spans="1:22" s="91" customFormat="1" ht="15" customHeight="1" x14ac:dyDescent="0.2">
      <c r="A36" s="953"/>
      <c r="B36" s="953"/>
      <c r="C36" s="953"/>
      <c r="D36" s="953"/>
      <c r="E36" s="2383"/>
      <c r="F36" s="2383"/>
      <c r="G36" s="2383"/>
      <c r="H36" s="953"/>
      <c r="I36" s="953"/>
      <c r="J36" s="953"/>
      <c r="K36" s="953"/>
      <c r="L36" s="953"/>
      <c r="M36" s="953"/>
      <c r="N36" s="953"/>
      <c r="O36" s="2383"/>
      <c r="P36" s="953"/>
      <c r="Q36" s="953"/>
      <c r="R36" s="953"/>
      <c r="S36" s="953"/>
      <c r="T36" s="953"/>
      <c r="U36" s="953"/>
      <c r="V36" s="953"/>
    </row>
    <row r="37" spans="1:22" s="91" customFormat="1" ht="15" customHeight="1" x14ac:dyDescent="0.2">
      <c r="A37" s="953"/>
      <c r="B37" s="953"/>
      <c r="C37" s="953"/>
      <c r="D37" s="953"/>
      <c r="E37" s="2383"/>
      <c r="F37" s="2383"/>
      <c r="G37" s="2383"/>
      <c r="H37" s="953"/>
      <c r="I37" s="953"/>
      <c r="J37" s="953"/>
      <c r="K37" s="953"/>
      <c r="L37" s="953"/>
      <c r="M37" s="953"/>
      <c r="N37" s="953"/>
      <c r="O37" s="2383"/>
      <c r="P37" s="953"/>
      <c r="Q37" s="953"/>
      <c r="R37" s="953"/>
      <c r="S37" s="953"/>
      <c r="T37" s="953"/>
      <c r="U37" s="953"/>
      <c r="V37" s="953"/>
    </row>
    <row r="38" spans="1:22" s="91" customFormat="1" ht="15" customHeight="1" x14ac:dyDescent="0.2">
      <c r="A38" s="953"/>
      <c r="B38" s="953"/>
      <c r="C38" s="953"/>
      <c r="D38" s="953"/>
      <c r="E38" s="2383"/>
      <c r="F38" s="2383"/>
      <c r="G38" s="2383"/>
      <c r="H38" s="953"/>
      <c r="I38" s="953"/>
      <c r="J38" s="953"/>
      <c r="K38" s="953"/>
      <c r="L38" s="953"/>
      <c r="M38" s="953"/>
      <c r="N38" s="953"/>
      <c r="O38" s="2383"/>
      <c r="P38" s="953"/>
      <c r="Q38" s="953"/>
      <c r="R38" s="953"/>
      <c r="S38" s="953"/>
      <c r="T38" s="953"/>
      <c r="U38" s="953"/>
      <c r="V38" s="953"/>
    </row>
    <row r="39" spans="1:22" s="91" customFormat="1" ht="15" customHeight="1" x14ac:dyDescent="0.2">
      <c r="A39" s="421" t="str">
        <f ca="1">MID(CELL("filename",A1),FIND("]",CELL("filename",A1))+1,256)</f>
        <v>515</v>
      </c>
      <c r="B39" s="421" t="s">
        <v>613</v>
      </c>
      <c r="C39" s="953"/>
      <c r="D39" s="953"/>
      <c r="E39" s="2383"/>
      <c r="F39" s="2383"/>
      <c r="G39" s="2383"/>
      <c r="H39" s="953"/>
      <c r="I39" s="953"/>
      <c r="J39" s="953"/>
      <c r="K39" s="953"/>
      <c r="L39" s="953"/>
      <c r="M39" s="953"/>
      <c r="N39" s="953"/>
      <c r="O39" s="2383"/>
      <c r="P39" s="953"/>
      <c r="Q39" s="953"/>
      <c r="R39" s="953"/>
      <c r="S39" s="953"/>
      <c r="T39" s="953"/>
      <c r="U39" s="953"/>
      <c r="V39" s="953"/>
    </row>
    <row r="40" spans="1:22" s="91" customFormat="1" ht="15" x14ac:dyDescent="0.2">
      <c r="A40" s="421" t="s">
        <v>401</v>
      </c>
      <c r="B40" s="421" t="str">
        <f t="shared" ref="B40:B49" ca="1" si="0">IF(ISNA(INDEX(ErrorTable,MATCH($A$39&amp;$A40&amp;FALSE,ErrorKey,0),6)),"",INDEX(ErrorTable,MATCH($A$39&amp;$A40&amp;FALSE,ErrorKey,0),6))</f>
        <v/>
      </c>
      <c r="C40" s="953"/>
      <c r="D40" s="953"/>
      <c r="E40" s="2383"/>
      <c r="F40" s="2383"/>
      <c r="G40" s="2383"/>
      <c r="H40" s="953"/>
      <c r="I40" s="953"/>
      <c r="J40" s="953"/>
      <c r="K40" s="953"/>
      <c r="L40" s="953"/>
      <c r="M40" s="953"/>
      <c r="N40" s="953"/>
      <c r="O40" s="2383"/>
      <c r="P40" s="953"/>
      <c r="Q40" s="953"/>
      <c r="R40" s="953"/>
      <c r="S40" s="953"/>
      <c r="T40" s="953"/>
      <c r="U40" s="953"/>
      <c r="V40" s="953"/>
    </row>
    <row r="41" spans="1:22" ht="20.85" customHeight="1" x14ac:dyDescent="0.25">
      <c r="A41" s="421" t="s">
        <v>402</v>
      </c>
      <c r="B41" s="421" t="str">
        <f t="shared" ca="1" si="0"/>
        <v/>
      </c>
    </row>
    <row r="42" spans="1:22" ht="20.85" customHeight="1" x14ac:dyDescent="0.25">
      <c r="A42" s="421" t="s">
        <v>403</v>
      </c>
      <c r="B42" s="421" t="str">
        <f t="shared" ca="1" si="0"/>
        <v/>
      </c>
    </row>
    <row r="43" spans="1:22" ht="20.85" customHeight="1" x14ac:dyDescent="0.25">
      <c r="A43" s="421" t="s">
        <v>404</v>
      </c>
      <c r="B43" s="421" t="str">
        <f t="shared" ca="1" si="0"/>
        <v/>
      </c>
    </row>
    <row r="44" spans="1:22" ht="20.85" customHeight="1" x14ac:dyDescent="0.25">
      <c r="A44" s="421" t="s">
        <v>405</v>
      </c>
      <c r="B44" s="421" t="str">
        <f t="shared" ca="1" si="0"/>
        <v/>
      </c>
    </row>
    <row r="45" spans="1:22" ht="20.85" customHeight="1" x14ac:dyDescent="0.25">
      <c r="A45" s="421" t="s">
        <v>406</v>
      </c>
      <c r="B45" s="421" t="str">
        <f t="shared" ca="1" si="0"/>
        <v/>
      </c>
      <c r="D45" s="35" t="s">
        <v>50</v>
      </c>
      <c r="E45" s="35"/>
      <c r="F45" s="35"/>
      <c r="G45" s="35"/>
      <c r="H45" s="35"/>
      <c r="I45" s="35"/>
      <c r="J45" s="35"/>
      <c r="K45" s="35"/>
    </row>
    <row r="46" spans="1:22" ht="20.85" customHeight="1" x14ac:dyDescent="0.25">
      <c r="A46" s="421" t="s">
        <v>407</v>
      </c>
      <c r="B46" s="421" t="str">
        <f t="shared" ca="1" si="0"/>
        <v/>
      </c>
      <c r="D46" s="35" t="s">
        <v>50</v>
      </c>
      <c r="E46" s="35"/>
      <c r="F46" s="35"/>
      <c r="G46" s="35"/>
      <c r="L46" s="34" t="s">
        <v>50</v>
      </c>
      <c r="M46" s="34"/>
      <c r="N46" s="34"/>
      <c r="O46" s="34"/>
    </row>
    <row r="47" spans="1:22" ht="20.85" customHeight="1" x14ac:dyDescent="0.25">
      <c r="A47" s="421" t="s">
        <v>408</v>
      </c>
      <c r="B47" s="421" t="str">
        <f t="shared" ca="1" si="0"/>
        <v/>
      </c>
    </row>
    <row r="48" spans="1:22" ht="20.85" customHeight="1" x14ac:dyDescent="0.25">
      <c r="A48" s="421" t="s">
        <v>409</v>
      </c>
      <c r="B48" s="421" t="str">
        <f t="shared" ca="1" si="0"/>
        <v/>
      </c>
    </row>
    <row r="49" spans="1:15" ht="20.85" customHeight="1" x14ac:dyDescent="0.25">
      <c r="A49" s="421" t="s">
        <v>410</v>
      </c>
      <c r="B49" s="421" t="str">
        <f t="shared" ca="1" si="0"/>
        <v/>
      </c>
    </row>
    <row r="50" spans="1:15" ht="20.85" customHeight="1" x14ac:dyDescent="0.25"/>
    <row r="51" spans="1:15" ht="20.85" customHeight="1" x14ac:dyDescent="0.25"/>
    <row r="52" spans="1:15" ht="20.85" customHeight="1" x14ac:dyDescent="0.25"/>
    <row r="53" spans="1:15" ht="20.85" customHeight="1" x14ac:dyDescent="0.25">
      <c r="D53" s="33" t="s">
        <v>50</v>
      </c>
    </row>
    <row r="54" spans="1:15" ht="20.85" customHeight="1" x14ac:dyDescent="0.25"/>
    <row r="55" spans="1:15" ht="20.85" customHeight="1" x14ac:dyDescent="0.25"/>
    <row r="56" spans="1:15" ht="20.85" customHeight="1" x14ac:dyDescent="0.25">
      <c r="D56" s="35" t="s">
        <v>50</v>
      </c>
      <c r="E56" s="35"/>
      <c r="F56" s="35"/>
      <c r="G56" s="35"/>
      <c r="L56" s="34" t="s">
        <v>50</v>
      </c>
      <c r="M56" s="34"/>
      <c r="N56" s="34"/>
      <c r="O56" s="34"/>
    </row>
  </sheetData>
  <sheetProtection algorithmName="SHA-512" hashValue="dN5gtCPHnJrGgbowwLFdchFYJNGcUxjS7qwU0g3qRE8BpsPv3YbQwMEFrufviwXuBvX4RHzUGJmNtGE60wyebQ==" saltValue="8idozZjYq88GQ/2V4M7tAQ==" spinCount="100000" sheet="1" autoFilter="0"/>
  <dataConsolidate link="1"/>
  <customSheetViews>
    <customSheetView guid="{9FCFC836-1CA5-48BF-958D-24D2EA94B219}" showGridLines="0" fitToPage="1" hiddenColumns="1" topLeftCell="B1">
      <selection activeCell="B12" sqref="B12"/>
      <pageMargins left="0" right="0" top="0" bottom="0" header="0" footer="0"/>
      <printOptions horizontalCentered="1"/>
      <pageSetup orientation="landscape" blackAndWhite="1" r:id="rId1"/>
      <headerFooter alignWithMargins="0">
        <oddFooter>&amp;R&amp;A</oddFooter>
      </headerFooter>
    </customSheetView>
    <customSheetView guid="{BEA4BE86-04D1-4C96-9358-7A260B9D2B2D}" showGridLines="0" fitToPage="1" showRuler="0">
      <selection sqref="A1:M1"/>
      <pageMargins left="0" right="0" top="0" bottom="0" header="0" footer="0"/>
      <printOptions horizontalCentered="1"/>
      <pageSetup orientation="landscape" blackAndWhite="1" horizontalDpi="300" verticalDpi="300" r:id="rId2"/>
      <headerFooter alignWithMargins="0">
        <oddFooter>&amp;R&amp;A</oddFooter>
      </headerFooter>
    </customSheetView>
    <customSheetView guid="{1250FD07-FF56-4A9D-AF9E-C27124A7EBE9}" showGridLines="0" fitToPage="1" showRuler="0">
      <selection sqref="A1:M1"/>
      <pageMargins left="0" right="0" top="0" bottom="0" header="0" footer="0"/>
      <printOptions horizontalCentered="1"/>
      <pageSetup orientation="landscape" blackAndWhite="1" horizontalDpi="300" verticalDpi="300" r:id="rId3"/>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rintOptions horizontalCentered="1"/>
      <pageSetup orientation="landscape" blackAndWhite="1" r:id="rId4"/>
      <headerFooter alignWithMargins="0">
        <oddFooter>&amp;R&amp;A</oddFooter>
      </headerFooter>
    </customSheetView>
  </customSheetViews>
  <mergeCells count="9">
    <mergeCell ref="D8:H8"/>
    <mergeCell ref="B4:Q4"/>
    <mergeCell ref="J12:N12"/>
    <mergeCell ref="Q1:Q3"/>
    <mergeCell ref="B2:P2"/>
    <mergeCell ref="B3:P3"/>
    <mergeCell ref="B1:P1"/>
    <mergeCell ref="D7:G7"/>
    <mergeCell ref="B5:Q5"/>
  </mergeCells>
  <phoneticPr fontId="18" type="noConversion"/>
  <conditionalFormatting sqref="Q1:Q3">
    <cfRule type="cellIs" dxfId="66" priority="1" stopIfTrue="1" operator="equal">
      <formula>"na"</formula>
    </cfRule>
  </conditionalFormatting>
  <hyperlinks>
    <hyperlink ref="B1:P1" location="Index!A1" display="Index!A1" xr:uid="{00000000-0004-0000-2900-000000000000}"/>
  </hyperlinks>
  <pageMargins left="0.6" right="0.6" top="0.5" bottom="0.5" header="0.3" footer="0.3"/>
  <pageSetup scale="85" orientation="landscape" r:id="rId5"/>
  <extLst>
    <ext xmlns:x14="http://schemas.microsoft.com/office/spreadsheetml/2009/9/main" uri="{CCE6A557-97BC-4b89-ADB6-D9C93CAAB3DF}">
      <x14:dataValidations xmlns:xm="http://schemas.microsoft.com/office/excel/2006/main" count="2">
        <x14:dataValidation type="list" allowBlank="1" showInputMessage="1" showErrorMessage="1" xr:uid="{5151836C-1E44-44EF-96BF-BE826E377B51}">
          <x14:formula1>
            <xm:f>OFFSET(AgencyGASBRepository!$E$8,,,COUNTIF(AgencyGASBRepository!$E$8:$E$210,"?*"))</xm:f>
          </x14:formula1>
          <xm:sqref>D15:D26 D30:D32</xm:sqref>
        </x14:dataValidation>
        <x14:dataValidation type="list" allowBlank="1" showInputMessage="1" showErrorMessage="1" xr:uid="{829D71C0-9D48-4A12-937B-134D86734AFA}">
          <x14:formula1>
            <xm:f>OFFSET(AgencyGASBRepository!$F$7,MATCH($D15,AgencyGASBRepository!$E$8:$E$1000,0),,,COUNTIF(OFFSET(AgencyGASBRepository!$F$7,MATCH($D15,AgencyGASBRepository!$E$8:$E$1000,0),,1,50),"?*"))</xm:f>
          </x14:formula1>
          <xm:sqref>F15:F26 F30:F32</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12">
    <pageSetUpPr fitToPage="1"/>
  </sheetPr>
  <dimension ref="A1:Q55"/>
  <sheetViews>
    <sheetView showGridLines="0" topLeftCell="B1" zoomScaleNormal="100" workbookViewId="0">
      <selection activeCell="P6" sqref="P6"/>
    </sheetView>
  </sheetViews>
  <sheetFormatPr defaultColWidth="9.42578125" defaultRowHeight="15.75" x14ac:dyDescent="0.25"/>
  <cols>
    <col min="1" max="1" width="0" style="33" hidden="1" customWidth="1"/>
    <col min="2" max="2" width="13.5703125" style="33" customWidth="1"/>
    <col min="3" max="3" width="1.5703125" style="33" customWidth="1"/>
    <col min="4" max="4" width="7.42578125" style="33" customWidth="1"/>
    <col min="5" max="5" width="1.5703125" style="33" customWidth="1"/>
    <col min="6" max="6" width="8.42578125" style="33" customWidth="1"/>
    <col min="7" max="7" width="1.5703125" style="33" customWidth="1"/>
    <col min="8" max="8" width="16.5703125" style="33" customWidth="1"/>
    <col min="9" max="9" width="1.5703125" style="33" customWidth="1"/>
    <col min="10" max="10" width="15.42578125" style="33" customWidth="1"/>
    <col min="11" max="11" width="1" style="33" customWidth="1"/>
    <col min="12" max="12" width="13.42578125" style="33" customWidth="1"/>
    <col min="13" max="13" width="0.85546875" style="33" customWidth="1"/>
    <col min="14" max="14" width="13.42578125" style="33" customWidth="1"/>
    <col min="15" max="15" width="0.85546875" style="33" customWidth="1"/>
    <col min="16" max="16" width="36.42578125" style="33" customWidth="1"/>
    <col min="17" max="17" width="4.5703125" style="33" bestFit="1" customWidth="1"/>
    <col min="18" max="16384" width="9.42578125" style="33"/>
  </cols>
  <sheetData>
    <row r="1" spans="2:17" s="90" customFormat="1" ht="15" customHeight="1" x14ac:dyDescent="0.25">
      <c r="B1" s="2553" t="str">
        <f>+Index!$A$1</f>
        <v xml:space="preserve">                                                               Office of the State Controller                                                                </v>
      </c>
      <c r="C1" s="2553"/>
      <c r="D1" s="2553"/>
      <c r="E1" s="2553"/>
      <c r="F1" s="2553"/>
      <c r="G1" s="2553"/>
      <c r="H1" s="2553"/>
      <c r="I1" s="2553"/>
      <c r="J1" s="2553"/>
      <c r="K1" s="2553"/>
      <c r="L1" s="2553"/>
      <c r="M1" s="2553"/>
      <c r="N1" s="2553"/>
      <c r="O1" s="2553"/>
      <c r="P1" s="2553"/>
      <c r="Q1" s="2626" t="str">
        <f>IF(Index!$B$72="na","NA","")</f>
        <v/>
      </c>
    </row>
    <row r="2" spans="2:17" s="90" customFormat="1" ht="15" customHeight="1" x14ac:dyDescent="0.25">
      <c r="B2" s="2885" t="str">
        <f>+Index!$A$2</f>
        <v>2024 ACFR Worksheets</v>
      </c>
      <c r="C2" s="2885"/>
      <c r="D2" s="2885"/>
      <c r="E2" s="2885"/>
      <c r="F2" s="2885"/>
      <c r="G2" s="2885"/>
      <c r="H2" s="2885"/>
      <c r="I2" s="2885"/>
      <c r="J2" s="2885"/>
      <c r="K2" s="2885"/>
      <c r="L2" s="2885"/>
      <c r="M2" s="2885"/>
      <c r="N2" s="2885"/>
      <c r="O2" s="2885"/>
      <c r="P2" s="2885"/>
      <c r="Q2" s="2626"/>
    </row>
    <row r="3" spans="2:17" s="90" customFormat="1" ht="15" customHeight="1" x14ac:dyDescent="0.25">
      <c r="B3" s="2885" t="s">
        <v>1918</v>
      </c>
      <c r="C3" s="2885"/>
      <c r="D3" s="2885"/>
      <c r="E3" s="2885"/>
      <c r="F3" s="2885"/>
      <c r="G3" s="2885"/>
      <c r="H3" s="2885"/>
      <c r="I3" s="2885"/>
      <c r="J3" s="2885"/>
      <c r="K3" s="2885"/>
      <c r="L3" s="2885"/>
      <c r="M3" s="2885"/>
      <c r="N3" s="2885"/>
      <c r="O3" s="2885"/>
      <c r="P3" s="2885"/>
      <c r="Q3" s="2626"/>
    </row>
    <row r="4" spans="2:17" s="90" customFormat="1" ht="15" customHeight="1" x14ac:dyDescent="0.25">
      <c r="B4" s="2885" t="s">
        <v>1909</v>
      </c>
      <c r="C4" s="2885"/>
      <c r="D4" s="2885"/>
      <c r="E4" s="2885"/>
      <c r="F4" s="2885"/>
      <c r="G4" s="2885"/>
      <c r="H4" s="2885"/>
      <c r="I4" s="2885"/>
      <c r="J4" s="2885"/>
      <c r="K4" s="2885"/>
      <c r="L4" s="2885"/>
      <c r="M4" s="2885"/>
      <c r="N4" s="2885"/>
      <c r="O4" s="2885"/>
      <c r="P4" s="2885"/>
    </row>
    <row r="5" spans="2:17" s="90" customFormat="1" ht="15" customHeight="1" x14ac:dyDescent="0.25">
      <c r="B5" s="2883" t="s">
        <v>1910</v>
      </c>
      <c r="C5" s="2883"/>
      <c r="D5" s="2883"/>
      <c r="E5" s="2883"/>
      <c r="F5" s="2883"/>
      <c r="G5" s="2883"/>
      <c r="H5" s="2883"/>
      <c r="I5" s="2883"/>
      <c r="J5" s="2883"/>
      <c r="K5" s="2883"/>
      <c r="L5" s="2883"/>
      <c r="M5" s="2883"/>
      <c r="N5" s="2883"/>
      <c r="O5" s="2883"/>
      <c r="P5" s="2883"/>
      <c r="Q5" s="2883"/>
    </row>
    <row r="6" spans="2:17" s="91" customFormat="1" ht="15" customHeight="1" x14ac:dyDescent="0.3">
      <c r="B6" s="92"/>
      <c r="C6" s="1696"/>
      <c r="D6" s="1696"/>
      <c r="E6" s="1696"/>
      <c r="F6" s="1696"/>
      <c r="G6" s="1696"/>
      <c r="H6" s="1696"/>
      <c r="I6" s="1696"/>
      <c r="J6" s="1696"/>
      <c r="K6" s="92"/>
      <c r="L6" s="873"/>
      <c r="M6" s="873"/>
      <c r="N6" s="873"/>
      <c r="O6" s="1696"/>
      <c r="P6" s="1800" t="s">
        <v>6605</v>
      </c>
      <c r="Q6" s="953"/>
    </row>
    <row r="7" spans="2:17" s="91" customFormat="1" ht="15" customHeight="1" x14ac:dyDescent="0.2">
      <c r="B7" s="1697" t="s">
        <v>318</v>
      </c>
      <c r="C7" s="953"/>
      <c r="D7" s="2880" t="str">
        <f>+Index!$E$10</f>
        <v>01</v>
      </c>
      <c r="E7" s="2880"/>
      <c r="F7" s="2880"/>
      <c r="G7" s="2880"/>
      <c r="H7" s="1682"/>
      <c r="I7" s="953"/>
      <c r="J7" s="953"/>
      <c r="K7" s="953"/>
      <c r="L7" s="953"/>
      <c r="M7" s="953"/>
      <c r="N7" s="953"/>
      <c r="O7" s="1698" t="s">
        <v>320</v>
      </c>
      <c r="P7" s="2376" t="str">
        <f>CONCATENATE(Index!$E$12," ",Index!$E$14)</f>
        <v xml:space="preserve"> </v>
      </c>
      <c r="Q7" s="953"/>
    </row>
    <row r="8" spans="2:17" s="91" customFormat="1" ht="15" customHeight="1" x14ac:dyDescent="0.2">
      <c r="B8" s="1697" t="s">
        <v>319</v>
      </c>
      <c r="C8" s="953"/>
      <c r="D8" s="2880" t="str">
        <f>+Index!$E$11</f>
        <v>North Carolina General Assembly</v>
      </c>
      <c r="E8" s="2880"/>
      <c r="F8" s="2880"/>
      <c r="G8" s="2880"/>
      <c r="H8" s="2880"/>
      <c r="I8" s="953"/>
      <c r="J8" s="953"/>
      <c r="K8" s="953"/>
      <c r="L8" s="953"/>
      <c r="M8" s="953"/>
      <c r="N8" s="953"/>
      <c r="O8" s="1698" t="s">
        <v>168</v>
      </c>
      <c r="P8" s="1699">
        <f>+Index!$E$13</f>
        <v>0</v>
      </c>
      <c r="Q8" s="953"/>
    </row>
    <row r="9" spans="2:17" s="91" customFormat="1" ht="15" customHeight="1" x14ac:dyDescent="0.2">
      <c r="B9" s="1697" t="s">
        <v>1899</v>
      </c>
      <c r="C9" s="953"/>
      <c r="D9" s="1700"/>
      <c r="E9" s="953"/>
      <c r="F9" s="953"/>
      <c r="G9" s="953"/>
      <c r="H9" s="953"/>
      <c r="I9" s="953"/>
      <c r="J9" s="953"/>
      <c r="K9" s="953"/>
      <c r="L9" s="953"/>
      <c r="M9" s="953"/>
      <c r="N9" s="953"/>
      <c r="O9" s="953"/>
      <c r="P9" s="953"/>
      <c r="Q9" s="953"/>
    </row>
    <row r="10" spans="2:17" s="91" customFormat="1" ht="15" customHeight="1" thickBot="1" x14ac:dyDescent="0.25">
      <c r="B10" s="1701"/>
      <c r="C10" s="1701"/>
      <c r="D10" s="1701"/>
      <c r="E10" s="1701"/>
      <c r="F10" s="1701"/>
      <c r="G10" s="1701"/>
      <c r="H10" s="1701"/>
      <c r="I10" s="1701"/>
      <c r="J10" s="1701"/>
      <c r="K10" s="1702"/>
      <c r="L10" s="1701"/>
      <c r="M10" s="1701"/>
      <c r="N10" s="1701"/>
      <c r="O10" s="1701"/>
      <c r="P10" s="1701"/>
      <c r="Q10" s="953"/>
    </row>
    <row r="11" spans="2:17" s="91" customFormat="1" ht="15" customHeight="1" thickBot="1" x14ac:dyDescent="0.25">
      <c r="B11" s="605" t="s">
        <v>1919</v>
      </c>
      <c r="C11" s="953"/>
      <c r="D11" s="2382" t="s">
        <v>1911</v>
      </c>
      <c r="E11" s="1121"/>
      <c r="F11" s="2382" t="s">
        <v>1911</v>
      </c>
      <c r="G11" s="953"/>
      <c r="H11" s="953"/>
      <c r="I11" s="92"/>
      <c r="J11" s="2884" t="s">
        <v>1912</v>
      </c>
      <c r="K11" s="2884"/>
      <c r="L11" s="2884"/>
      <c r="M11" s="2884"/>
      <c r="N11" s="2884"/>
      <c r="O11" s="1680"/>
      <c r="P11" s="953"/>
      <c r="Q11" s="953"/>
    </row>
    <row r="12" spans="2:17" s="91" customFormat="1" ht="15" customHeight="1" x14ac:dyDescent="0.2">
      <c r="B12" s="2383" t="s">
        <v>1865</v>
      </c>
      <c r="C12" s="953"/>
      <c r="D12" s="2382" t="s">
        <v>1867</v>
      </c>
      <c r="E12" s="1121"/>
      <c r="F12" s="2382" t="s">
        <v>1573</v>
      </c>
      <c r="G12" s="953"/>
      <c r="H12" s="953"/>
      <c r="I12" s="92"/>
      <c r="J12" s="1121"/>
      <c r="K12" s="1121"/>
      <c r="L12" s="1380" t="s">
        <v>1902</v>
      </c>
      <c r="M12" s="2382"/>
      <c r="N12" s="1380" t="s">
        <v>1903</v>
      </c>
      <c r="O12" s="1121"/>
      <c r="P12" s="953"/>
      <c r="Q12" s="953"/>
    </row>
    <row r="13" spans="2:17" s="91" customFormat="1" ht="15" customHeight="1" thickBot="1" x14ac:dyDescent="0.25">
      <c r="B13" s="93" t="s">
        <v>756</v>
      </c>
      <c r="C13" s="2383"/>
      <c r="D13" s="2378" t="s">
        <v>1709</v>
      </c>
      <c r="E13" s="1121"/>
      <c r="F13" s="2378" t="s">
        <v>1709</v>
      </c>
      <c r="G13" s="953"/>
      <c r="H13" s="93" t="s">
        <v>1359</v>
      </c>
      <c r="I13" s="953"/>
      <c r="J13" s="2378" t="s">
        <v>1408</v>
      </c>
      <c r="K13" s="1703"/>
      <c r="L13" s="1381" t="s">
        <v>1905</v>
      </c>
      <c r="M13" s="2382"/>
      <c r="N13" s="1381" t="s">
        <v>677</v>
      </c>
      <c r="O13" s="1703"/>
      <c r="P13" s="93" t="s">
        <v>1876</v>
      </c>
      <c r="Q13" s="953"/>
    </row>
    <row r="14" spans="2:17" s="91" customFormat="1" ht="15" customHeight="1" x14ac:dyDescent="0.2">
      <c r="B14" s="958">
        <v>21250000</v>
      </c>
      <c r="C14" s="959"/>
      <c r="D14" s="877"/>
      <c r="E14" s="959"/>
      <c r="F14" s="877"/>
      <c r="G14" s="959"/>
      <c r="H14" s="960"/>
      <c r="I14" s="953"/>
      <c r="J14" s="1108"/>
      <c r="K14" s="1707"/>
      <c r="L14" s="1475"/>
      <c r="M14" s="1708"/>
      <c r="N14" s="1474"/>
      <c r="O14" s="1706"/>
      <c r="P14" s="1108"/>
      <c r="Q14" s="953"/>
    </row>
    <row r="15" spans="2:17" s="91" customFormat="1" ht="15" customHeight="1" x14ac:dyDescent="0.2">
      <c r="B15" s="958">
        <v>21250000</v>
      </c>
      <c r="C15" s="959"/>
      <c r="D15" s="877"/>
      <c r="E15" s="959"/>
      <c r="F15" s="877"/>
      <c r="G15" s="959"/>
      <c r="H15" s="960"/>
      <c r="I15" s="953"/>
      <c r="J15" s="1108"/>
      <c r="K15" s="1707"/>
      <c r="L15" s="1475"/>
      <c r="M15" s="1708"/>
      <c r="N15" s="1474"/>
      <c r="O15" s="1706"/>
      <c r="P15" s="1108"/>
      <c r="Q15" s="953"/>
    </row>
    <row r="16" spans="2:17" s="91" customFormat="1" ht="15" customHeight="1" x14ac:dyDescent="0.2">
      <c r="B16" s="958">
        <v>21250000</v>
      </c>
      <c r="C16" s="959"/>
      <c r="D16" s="877"/>
      <c r="E16" s="959"/>
      <c r="F16" s="877"/>
      <c r="G16" s="959"/>
      <c r="H16" s="960"/>
      <c r="I16" s="953"/>
      <c r="J16" s="1108"/>
      <c r="K16" s="1707"/>
      <c r="L16" s="1475"/>
      <c r="M16" s="1708"/>
      <c r="N16" s="1474"/>
      <c r="O16" s="1706"/>
      <c r="P16" s="1108"/>
      <c r="Q16" s="953"/>
    </row>
    <row r="17" spans="2:17" s="91" customFormat="1" ht="15" customHeight="1" x14ac:dyDescent="0.2">
      <c r="B17" s="958">
        <v>21250000</v>
      </c>
      <c r="C17" s="959"/>
      <c r="D17" s="877"/>
      <c r="E17" s="959"/>
      <c r="F17" s="877"/>
      <c r="G17" s="959"/>
      <c r="H17" s="960"/>
      <c r="I17" s="953"/>
      <c r="J17" s="1108"/>
      <c r="K17" s="1121"/>
      <c r="L17" s="1475"/>
      <c r="M17" s="1708"/>
      <c r="N17" s="1474"/>
      <c r="O17" s="953"/>
      <c r="P17" s="1108"/>
      <c r="Q17" s="953"/>
    </row>
    <row r="18" spans="2:17" s="91" customFormat="1" ht="15" customHeight="1" x14ac:dyDescent="0.2">
      <c r="B18" s="958">
        <v>21250000</v>
      </c>
      <c r="C18" s="959"/>
      <c r="D18" s="877"/>
      <c r="E18" s="959"/>
      <c r="F18" s="877"/>
      <c r="G18" s="959"/>
      <c r="H18" s="960"/>
      <c r="I18" s="953"/>
      <c r="J18" s="1700"/>
      <c r="K18" s="953"/>
      <c r="L18" s="1710"/>
      <c r="M18" s="1711"/>
      <c r="N18" s="1474"/>
      <c r="O18" s="953"/>
      <c r="P18" s="1700"/>
      <c r="Q18" s="953"/>
    </row>
    <row r="19" spans="2:17" s="91" customFormat="1" ht="15" customHeight="1" x14ac:dyDescent="0.2">
      <c r="B19" s="958">
        <v>21250000</v>
      </c>
      <c r="C19" s="959"/>
      <c r="D19" s="877"/>
      <c r="E19" s="959"/>
      <c r="F19" s="877"/>
      <c r="G19" s="959"/>
      <c r="H19" s="960"/>
      <c r="I19" s="953"/>
      <c r="J19" s="1700"/>
      <c r="K19" s="953"/>
      <c r="L19" s="1710"/>
      <c r="M19" s="1711"/>
      <c r="N19" s="1474"/>
      <c r="O19" s="953"/>
      <c r="P19" s="1700"/>
      <c r="Q19" s="953"/>
    </row>
    <row r="20" spans="2:17" s="91" customFormat="1" ht="15" customHeight="1" x14ac:dyDescent="0.2">
      <c r="B20" s="958">
        <v>21250000</v>
      </c>
      <c r="C20" s="959"/>
      <c r="D20" s="877"/>
      <c r="E20" s="959"/>
      <c r="F20" s="877"/>
      <c r="G20" s="959"/>
      <c r="H20" s="960"/>
      <c r="I20" s="953"/>
      <c r="J20" s="1700"/>
      <c r="K20" s="953"/>
      <c r="L20" s="1710"/>
      <c r="M20" s="1711"/>
      <c r="N20" s="1474"/>
      <c r="O20" s="953"/>
      <c r="P20" s="1700"/>
      <c r="Q20" s="953"/>
    </row>
    <row r="21" spans="2:17" s="91" customFormat="1" ht="15" customHeight="1" x14ac:dyDescent="0.2">
      <c r="B21" s="958">
        <v>21250000</v>
      </c>
      <c r="C21" s="959"/>
      <c r="D21" s="877"/>
      <c r="E21" s="959"/>
      <c r="F21" s="877"/>
      <c r="G21" s="959"/>
      <c r="H21" s="960"/>
      <c r="I21" s="953"/>
      <c r="J21" s="1700"/>
      <c r="K21" s="953"/>
      <c r="L21" s="1710"/>
      <c r="M21" s="1711"/>
      <c r="N21" s="1474"/>
      <c r="O21" s="953"/>
      <c r="P21" s="1700"/>
      <c r="Q21" s="953"/>
    </row>
    <row r="22" spans="2:17" s="91" customFormat="1" ht="15" customHeight="1" x14ac:dyDescent="0.2">
      <c r="B22" s="958">
        <v>21250000</v>
      </c>
      <c r="C22" s="959"/>
      <c r="D22" s="877"/>
      <c r="E22" s="959"/>
      <c r="F22" s="877"/>
      <c r="G22" s="959"/>
      <c r="H22" s="960"/>
      <c r="I22" s="953"/>
      <c r="J22" s="1700"/>
      <c r="K22" s="953"/>
      <c r="L22" s="1710"/>
      <c r="M22" s="1711"/>
      <c r="N22" s="1474"/>
      <c r="O22" s="953"/>
      <c r="P22" s="1700"/>
      <c r="Q22" s="953"/>
    </row>
    <row r="23" spans="2:17" s="91" customFormat="1" ht="15" customHeight="1" x14ac:dyDescent="0.2">
      <c r="B23" s="958">
        <v>21250000</v>
      </c>
      <c r="C23" s="959"/>
      <c r="D23" s="877"/>
      <c r="E23" s="959"/>
      <c r="F23" s="877"/>
      <c r="G23" s="959"/>
      <c r="H23" s="960"/>
      <c r="I23" s="953"/>
      <c r="J23" s="1700"/>
      <c r="K23" s="953"/>
      <c r="L23" s="1710"/>
      <c r="M23" s="1711"/>
      <c r="N23" s="1474"/>
      <c r="O23" s="953"/>
      <c r="P23" s="1700"/>
      <c r="Q23" s="953"/>
    </row>
    <row r="24" spans="2:17" s="91" customFormat="1" ht="15" customHeight="1" x14ac:dyDescent="0.2">
      <c r="B24" s="958">
        <v>21250000</v>
      </c>
      <c r="C24" s="959"/>
      <c r="D24" s="877"/>
      <c r="E24" s="959"/>
      <c r="F24" s="877"/>
      <c r="G24" s="959"/>
      <c r="H24" s="960"/>
      <c r="I24" s="953"/>
      <c r="J24" s="1700"/>
      <c r="K24" s="953"/>
      <c r="L24" s="1710"/>
      <c r="M24" s="1711"/>
      <c r="N24" s="1474"/>
      <c r="O24" s="953"/>
      <c r="P24" s="1700"/>
      <c r="Q24" s="953"/>
    </row>
    <row r="25" spans="2:17" s="91" customFormat="1" ht="15" customHeight="1" x14ac:dyDescent="0.2">
      <c r="B25" s="958">
        <v>21250000</v>
      </c>
      <c r="C25" s="959"/>
      <c r="D25" s="877"/>
      <c r="E25" s="959"/>
      <c r="F25" s="877"/>
      <c r="G25" s="959"/>
      <c r="H25" s="960"/>
      <c r="I25" s="953"/>
      <c r="J25" s="1700"/>
      <c r="K25" s="953"/>
      <c r="L25" s="1710"/>
      <c r="M25" s="1711"/>
      <c r="N25" s="1474"/>
      <c r="O25" s="953"/>
      <c r="P25" s="1700"/>
      <c r="Q25" s="953"/>
    </row>
    <row r="26" spans="2:17" s="91" customFormat="1" ht="15" customHeight="1" x14ac:dyDescent="0.2">
      <c r="B26" s="958">
        <v>21250000</v>
      </c>
      <c r="C26" s="959"/>
      <c r="D26" s="877"/>
      <c r="E26" s="959"/>
      <c r="F26" s="877"/>
      <c r="G26" s="959"/>
      <c r="H26" s="960"/>
      <c r="I26" s="953"/>
      <c r="J26" s="1700"/>
      <c r="K26" s="953"/>
      <c r="L26" s="1710"/>
      <c r="M26" s="1711"/>
      <c r="N26" s="1474"/>
      <c r="O26" s="953"/>
      <c r="P26" s="1700"/>
      <c r="Q26" s="953"/>
    </row>
    <row r="27" spans="2:17" s="91" customFormat="1" ht="15" customHeight="1" x14ac:dyDescent="0.2">
      <c r="B27" s="958">
        <v>21250000</v>
      </c>
      <c r="C27" s="959"/>
      <c r="D27" s="877"/>
      <c r="E27" s="959"/>
      <c r="F27" s="877"/>
      <c r="G27" s="959"/>
      <c r="H27" s="960"/>
      <c r="I27" s="953"/>
      <c r="J27" s="1700"/>
      <c r="K27" s="953"/>
      <c r="L27" s="1710"/>
      <c r="M27" s="1711"/>
      <c r="N27" s="1474"/>
      <c r="O27" s="953"/>
      <c r="P27" s="1700"/>
      <c r="Q27" s="953"/>
    </row>
    <row r="28" spans="2:17" s="91" customFormat="1" ht="15" customHeight="1" x14ac:dyDescent="0.2">
      <c r="B28" s="958">
        <v>21250000</v>
      </c>
      <c r="C28" s="959"/>
      <c r="D28" s="877"/>
      <c r="E28" s="959"/>
      <c r="F28" s="877"/>
      <c r="G28" s="959"/>
      <c r="H28" s="960"/>
      <c r="I28" s="953"/>
      <c r="J28" s="1700"/>
      <c r="K28" s="953"/>
      <c r="L28" s="1710"/>
      <c r="M28" s="1711"/>
      <c r="N28" s="1474"/>
      <c r="O28" s="953"/>
      <c r="P28" s="1700"/>
      <c r="Q28" s="953"/>
    </row>
    <row r="29" spans="2:17" s="91" customFormat="1" ht="15" customHeight="1" x14ac:dyDescent="0.2">
      <c r="B29" s="958">
        <v>21250000</v>
      </c>
      <c r="C29" s="959"/>
      <c r="D29" s="877"/>
      <c r="E29" s="959"/>
      <c r="F29" s="877"/>
      <c r="G29" s="959"/>
      <c r="H29" s="960"/>
      <c r="I29" s="953"/>
      <c r="J29" s="1700"/>
      <c r="K29" s="953"/>
      <c r="L29" s="1710"/>
      <c r="M29" s="1711"/>
      <c r="N29" s="1474"/>
      <c r="O29" s="953"/>
      <c r="P29" s="1700"/>
      <c r="Q29" s="953"/>
    </row>
    <row r="30" spans="2:17" s="91" customFormat="1" ht="15" customHeight="1" x14ac:dyDescent="0.2">
      <c r="B30" s="958">
        <v>21250000</v>
      </c>
      <c r="C30" s="959"/>
      <c r="D30" s="877"/>
      <c r="E30" s="959"/>
      <c r="F30" s="877"/>
      <c r="G30" s="959"/>
      <c r="H30" s="960"/>
      <c r="I30" s="953"/>
      <c r="J30" s="1700"/>
      <c r="K30" s="953"/>
      <c r="L30" s="1710"/>
      <c r="M30" s="1711"/>
      <c r="N30" s="1474"/>
      <c r="O30" s="953"/>
      <c r="P30" s="1700"/>
      <c r="Q30" s="953"/>
    </row>
    <row r="31" spans="2:17" s="91" customFormat="1" ht="15" customHeight="1" x14ac:dyDescent="0.2">
      <c r="B31" s="958">
        <v>21250000</v>
      </c>
      <c r="C31" s="959"/>
      <c r="D31" s="877"/>
      <c r="E31" s="959"/>
      <c r="F31" s="877"/>
      <c r="G31" s="959"/>
      <c r="H31" s="960"/>
      <c r="I31" s="953"/>
      <c r="J31" s="1700"/>
      <c r="K31" s="953"/>
      <c r="L31" s="1710"/>
      <c r="M31" s="1711"/>
      <c r="N31" s="1474"/>
      <c r="O31" s="953"/>
      <c r="P31" s="1700"/>
      <c r="Q31" s="953"/>
    </row>
    <row r="32" spans="2:17" s="91" customFormat="1" ht="15" customHeight="1" thickBot="1" x14ac:dyDescent="0.25">
      <c r="B32" s="953"/>
      <c r="C32" s="953"/>
      <c r="D32" s="953"/>
      <c r="E32" s="2383"/>
      <c r="F32" s="2383" t="s">
        <v>1913</v>
      </c>
      <c r="G32" s="2383"/>
      <c r="H32" s="961">
        <f>SUM(H14:H31)</f>
        <v>0</v>
      </c>
      <c r="I32" s="953"/>
      <c r="J32" s="125" t="s">
        <v>6556</v>
      </c>
      <c r="K32" s="953"/>
      <c r="L32" s="953"/>
      <c r="M32" s="953"/>
      <c r="N32" s="953"/>
      <c r="O32" s="953"/>
      <c r="P32" s="953"/>
      <c r="Q32" s="953"/>
    </row>
    <row r="33" spans="1:16" s="91" customFormat="1" ht="7.35" customHeight="1" x14ac:dyDescent="0.2">
      <c r="A33" s="953"/>
      <c r="B33" s="953"/>
      <c r="C33" s="953"/>
      <c r="D33" s="953"/>
      <c r="E33" s="2383"/>
      <c r="F33" s="2383"/>
      <c r="G33" s="2383"/>
      <c r="H33" s="953"/>
      <c r="I33" s="953"/>
      <c r="J33" s="953"/>
      <c r="K33" s="953"/>
      <c r="L33" s="953"/>
      <c r="M33" s="953"/>
      <c r="N33" s="953"/>
      <c r="O33" s="2383"/>
      <c r="P33" s="953"/>
    </row>
    <row r="34" spans="1:16" s="91" customFormat="1" ht="15" customHeight="1" x14ac:dyDescent="0.2">
      <c r="A34" s="953"/>
      <c r="B34" s="125" t="s">
        <v>1907</v>
      </c>
      <c r="C34" s="953"/>
      <c r="D34" s="953"/>
      <c r="E34" s="2383"/>
      <c r="F34" s="2383"/>
      <c r="G34" s="2383"/>
      <c r="H34" s="953"/>
      <c r="I34" s="953"/>
      <c r="J34" s="953"/>
      <c r="K34" s="953"/>
      <c r="L34" s="953"/>
      <c r="M34" s="953"/>
      <c r="N34" s="953"/>
      <c r="O34" s="2383"/>
      <c r="P34" s="953"/>
    </row>
    <row r="35" spans="1:16" s="91" customFormat="1" ht="15" customHeight="1" x14ac:dyDescent="0.2">
      <c r="A35" s="953"/>
      <c r="B35" s="953"/>
      <c r="C35" s="953"/>
      <c r="D35" s="953"/>
      <c r="E35" s="2383"/>
      <c r="F35" s="2383"/>
      <c r="G35" s="2383"/>
      <c r="H35" s="953"/>
      <c r="I35" s="953"/>
      <c r="J35" s="953"/>
      <c r="K35" s="953"/>
      <c r="L35" s="953"/>
      <c r="M35" s="953"/>
      <c r="N35" s="953"/>
      <c r="O35" s="2383"/>
      <c r="P35" s="953"/>
    </row>
    <row r="36" spans="1:16" s="91" customFormat="1" ht="15" customHeight="1" x14ac:dyDescent="0.2">
      <c r="A36" s="953"/>
      <c r="B36" s="953"/>
      <c r="C36" s="953"/>
      <c r="D36" s="953"/>
      <c r="E36" s="2383"/>
      <c r="F36" s="2383"/>
      <c r="G36" s="2383"/>
      <c r="H36" s="953"/>
      <c r="I36" s="953"/>
      <c r="J36" s="953"/>
      <c r="K36" s="953"/>
      <c r="L36" s="953"/>
      <c r="M36" s="953"/>
      <c r="N36" s="953"/>
      <c r="O36" s="2383"/>
      <c r="P36" s="953"/>
    </row>
    <row r="37" spans="1:16" s="91" customFormat="1" ht="15" customHeight="1" x14ac:dyDescent="0.2">
      <c r="A37" s="953"/>
      <c r="B37" s="953"/>
      <c r="C37" s="953"/>
      <c r="D37" s="953"/>
      <c r="E37" s="2383"/>
      <c r="F37" s="2383"/>
      <c r="G37" s="2383"/>
      <c r="H37" s="953"/>
      <c r="I37" s="953"/>
      <c r="J37" s="953"/>
      <c r="K37" s="953"/>
      <c r="L37" s="953"/>
      <c r="M37" s="953"/>
      <c r="N37" s="953"/>
      <c r="O37" s="2383"/>
      <c r="P37" s="953"/>
    </row>
    <row r="38" spans="1:16" s="91" customFormat="1" ht="15" customHeight="1" x14ac:dyDescent="0.2">
      <c r="A38" s="421" t="str">
        <f ca="1">MID(CELL("filename",A3),FIND("]",CELL("filename",A3))+1,256)</f>
        <v>520</v>
      </c>
      <c r="B38" s="421" t="s">
        <v>613</v>
      </c>
      <c r="C38" s="953"/>
      <c r="D38" s="953"/>
      <c r="E38" s="2383"/>
      <c r="F38" s="2383"/>
      <c r="G38" s="2383"/>
      <c r="H38" s="953"/>
      <c r="I38" s="953"/>
      <c r="J38" s="953"/>
      <c r="K38" s="953"/>
      <c r="L38" s="953"/>
      <c r="M38" s="953"/>
      <c r="N38" s="953"/>
      <c r="O38" s="2383"/>
      <c r="P38" s="953"/>
    </row>
    <row r="39" spans="1:16" s="91" customFormat="1" ht="15" customHeight="1" x14ac:dyDescent="0.2">
      <c r="A39" s="421" t="s">
        <v>401</v>
      </c>
      <c r="B39" s="421" t="str">
        <f t="shared" ref="B39:B48" ca="1" si="0">IF(ISNA(INDEX(ErrorTable,MATCH($A$38&amp;$A39&amp;FALSE,ErrorKey,0),6)),"",INDEX(ErrorTable,MATCH($A$38&amp;$A39&amp;FALSE,ErrorKey,0),6))</f>
        <v/>
      </c>
      <c r="C39" s="953"/>
      <c r="D39" s="953"/>
      <c r="E39" s="2383"/>
      <c r="F39" s="2383"/>
      <c r="G39" s="2383"/>
      <c r="H39" s="953"/>
      <c r="I39" s="953"/>
      <c r="J39" s="953"/>
      <c r="K39" s="953"/>
      <c r="L39" s="953"/>
      <c r="M39" s="953"/>
      <c r="N39" s="953"/>
      <c r="O39" s="2383"/>
      <c r="P39" s="953"/>
    </row>
    <row r="40" spans="1:16" s="91" customFormat="1" ht="15" customHeight="1" x14ac:dyDescent="0.2">
      <c r="A40" s="421" t="s">
        <v>402</v>
      </c>
      <c r="B40" s="421" t="str">
        <f t="shared" ca="1" si="0"/>
        <v/>
      </c>
      <c r="C40" s="953"/>
      <c r="D40" s="953"/>
      <c r="E40" s="2383"/>
      <c r="F40" s="2383"/>
      <c r="G40" s="2383"/>
      <c r="H40" s="953"/>
      <c r="I40" s="953"/>
      <c r="J40" s="953"/>
      <c r="K40" s="953"/>
      <c r="L40" s="953"/>
      <c r="M40" s="953"/>
      <c r="N40" s="953"/>
      <c r="O40" s="2383"/>
      <c r="P40" s="953"/>
    </row>
    <row r="41" spans="1:16" ht="20.85" customHeight="1" x14ac:dyDescent="0.25">
      <c r="A41" s="421" t="s">
        <v>403</v>
      </c>
      <c r="B41" s="421" t="str">
        <f t="shared" ca="1" si="0"/>
        <v/>
      </c>
    </row>
    <row r="42" spans="1:16" ht="20.85" customHeight="1" x14ac:dyDescent="0.25">
      <c r="A42" s="421" t="s">
        <v>404</v>
      </c>
      <c r="B42" s="421" t="str">
        <f t="shared" ca="1" si="0"/>
        <v/>
      </c>
    </row>
    <row r="43" spans="1:16" ht="20.85" customHeight="1" x14ac:dyDescent="0.25">
      <c r="A43" s="421" t="s">
        <v>405</v>
      </c>
      <c r="B43" s="421" t="str">
        <f t="shared" ca="1" si="0"/>
        <v/>
      </c>
    </row>
    <row r="44" spans="1:16" ht="20.85" customHeight="1" x14ac:dyDescent="0.25">
      <c r="A44" s="421" t="s">
        <v>406</v>
      </c>
      <c r="B44" s="421" t="str">
        <f t="shared" ca="1" si="0"/>
        <v/>
      </c>
      <c r="D44" s="35" t="s">
        <v>50</v>
      </c>
      <c r="E44" s="35"/>
      <c r="F44" s="35"/>
      <c r="G44" s="35"/>
      <c r="H44" s="35"/>
      <c r="I44" s="35"/>
      <c r="J44" s="35"/>
      <c r="K44" s="35"/>
    </row>
    <row r="45" spans="1:16" ht="20.85" customHeight="1" x14ac:dyDescent="0.25">
      <c r="A45" s="421" t="s">
        <v>407</v>
      </c>
      <c r="B45" s="421" t="str">
        <f t="shared" ca="1" si="0"/>
        <v/>
      </c>
      <c r="D45" s="35" t="s">
        <v>50</v>
      </c>
      <c r="E45" s="35"/>
      <c r="F45" s="35"/>
      <c r="G45" s="35"/>
      <c r="L45" s="34" t="s">
        <v>50</v>
      </c>
      <c r="M45" s="34"/>
      <c r="N45" s="34"/>
      <c r="O45" s="34"/>
    </row>
    <row r="46" spans="1:16" ht="20.85" customHeight="1" x14ac:dyDescent="0.25">
      <c r="A46" s="421" t="s">
        <v>408</v>
      </c>
      <c r="B46" s="421" t="str">
        <f t="shared" ca="1" si="0"/>
        <v/>
      </c>
    </row>
    <row r="47" spans="1:16" ht="20.85" customHeight="1" x14ac:dyDescent="0.25">
      <c r="A47" s="421" t="s">
        <v>409</v>
      </c>
      <c r="B47" s="421" t="str">
        <f t="shared" ca="1" si="0"/>
        <v/>
      </c>
    </row>
    <row r="48" spans="1:16" ht="20.85" customHeight="1" x14ac:dyDescent="0.25">
      <c r="A48" s="421" t="s">
        <v>410</v>
      </c>
      <c r="B48" s="421" t="str">
        <f t="shared" ca="1" si="0"/>
        <v/>
      </c>
    </row>
    <row r="49" spans="4:15" ht="20.85" customHeight="1" x14ac:dyDescent="0.25"/>
    <row r="50" spans="4:15" ht="20.85" customHeight="1" x14ac:dyDescent="0.25"/>
    <row r="51" spans="4:15" ht="20.85" customHeight="1" x14ac:dyDescent="0.25"/>
    <row r="52" spans="4:15" ht="20.85" customHeight="1" x14ac:dyDescent="0.25">
      <c r="D52" s="33" t="s">
        <v>50</v>
      </c>
    </row>
    <row r="53" spans="4:15" ht="20.85" customHeight="1" x14ac:dyDescent="0.25"/>
    <row r="54" spans="4:15" ht="20.85" customHeight="1" x14ac:dyDescent="0.25"/>
    <row r="55" spans="4:15" ht="20.85" customHeight="1" x14ac:dyDescent="0.25">
      <c r="D55" s="35" t="s">
        <v>50</v>
      </c>
      <c r="E55" s="35"/>
      <c r="F55" s="35"/>
      <c r="G55" s="35"/>
      <c r="L55" s="34" t="s">
        <v>50</v>
      </c>
      <c r="M55" s="34"/>
      <c r="N55" s="34"/>
      <c r="O55" s="34"/>
    </row>
  </sheetData>
  <sheetProtection algorithmName="SHA-512" hashValue="moWPMacPvQMPTS+LK+Hj4NtY31PdDwkeqAINkE+gEhsl9o9lSkDEtQovX0gzUXh2MmI5y3H7p4QiYFmgbUQHGA==" saltValue="RLLRmOiPdGuYv09j8x3Sgw==" spinCount="100000" sheet="1" autoFilter="0"/>
  <dataConsolidate link="1"/>
  <customSheetViews>
    <customSheetView guid="{9FCFC836-1CA5-48BF-958D-24D2EA94B219}" showGridLines="0" fitToPage="1" hiddenColumns="1" topLeftCell="B1">
      <selection activeCell="B12" sqref="B12"/>
      <pageMargins left="0" right="0" top="0" bottom="0" header="0" footer="0"/>
      <printOptions horizontalCentered="1"/>
      <pageSetup orientation="landscape" blackAndWhite="1" r:id="rId1"/>
      <headerFooter alignWithMargins="0">
        <oddFooter>&amp;R&amp;A</oddFooter>
      </headerFooter>
    </customSheetView>
    <customSheetView guid="{BEA4BE86-04D1-4C96-9358-7A260B9D2B2D}" showGridLines="0" fitToPage="1" showRuler="0">
      <selection sqref="A1:M1"/>
      <pageMargins left="0" right="0" top="0" bottom="0" header="0" footer="0"/>
      <printOptions horizontalCentered="1"/>
      <pageSetup orientation="landscape" blackAndWhite="1" horizontalDpi="300" verticalDpi="300" r:id="rId2"/>
      <headerFooter alignWithMargins="0">
        <oddFooter>&amp;R&amp;A</oddFooter>
      </headerFooter>
    </customSheetView>
    <customSheetView guid="{1250FD07-FF56-4A9D-AF9E-C27124A7EBE9}" showGridLines="0" fitToPage="1" showRuler="0">
      <selection sqref="A1:M1"/>
      <pageMargins left="0" right="0" top="0" bottom="0" header="0" footer="0"/>
      <printOptions horizontalCentered="1"/>
      <pageSetup orientation="landscape" blackAndWhite="1" horizontalDpi="300" verticalDpi="300" r:id="rId3"/>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rintOptions horizontalCentered="1"/>
      <pageSetup orientation="landscape" blackAndWhite="1" r:id="rId4"/>
      <headerFooter alignWithMargins="0">
        <oddFooter>&amp;R&amp;A</oddFooter>
      </headerFooter>
    </customSheetView>
  </customSheetViews>
  <mergeCells count="9">
    <mergeCell ref="D7:G7"/>
    <mergeCell ref="D8:H8"/>
    <mergeCell ref="J11:N11"/>
    <mergeCell ref="Q1:Q3"/>
    <mergeCell ref="B1:P1"/>
    <mergeCell ref="B2:P2"/>
    <mergeCell ref="B3:P3"/>
    <mergeCell ref="B4:P4"/>
    <mergeCell ref="B5:Q5"/>
  </mergeCells>
  <phoneticPr fontId="18" type="noConversion"/>
  <conditionalFormatting sqref="Q1:Q3">
    <cfRule type="cellIs" dxfId="65" priority="1" stopIfTrue="1" operator="equal">
      <formula>"na"</formula>
    </cfRule>
  </conditionalFormatting>
  <hyperlinks>
    <hyperlink ref="B1:P1" location="Index!A1" display="Index!A1" xr:uid="{00000000-0004-0000-2A00-000000000000}"/>
  </hyperlinks>
  <pageMargins left="0.6" right="0.6" top="0.5" bottom="0.5" header="0.3" footer="0.3"/>
  <pageSetup scale="92" orientation="landscape" r:id="rId5"/>
  <extLst>
    <ext xmlns:x14="http://schemas.microsoft.com/office/spreadsheetml/2009/9/main" uri="{CCE6A557-97BC-4b89-ADB6-D9C93CAAB3DF}">
      <x14:dataValidations xmlns:xm="http://schemas.microsoft.com/office/excel/2006/main" count="2">
        <x14:dataValidation type="list" allowBlank="1" showInputMessage="1" showErrorMessage="1" xr:uid="{8BB91088-F697-4199-B9BE-75457EC34871}">
          <x14:formula1>
            <xm:f>OFFSET(AgencyGASBRepository!$E$8,,,COUNTIF(AgencyGASBRepository!$E$8:$E$210,"?*"))</xm:f>
          </x14:formula1>
          <xm:sqref>D14:D31</xm:sqref>
        </x14:dataValidation>
        <x14:dataValidation type="list" allowBlank="1" showInputMessage="1" showErrorMessage="1" xr:uid="{2AECCD88-743E-48EB-A7E0-2BA6C88EBC21}">
          <x14:formula1>
            <xm:f>OFFSET(AgencyGASBRepository!$F$7,MATCH($D14,AgencyGASBRepository!$E$8:$E$1000,0),,,COUNTIF(OFFSET(AgencyGASBRepository!$F$7,MATCH($D14,AgencyGASBRepository!$E$8:$E$1000,0),,1,50),"?*"))</xm:f>
          </x14:formula1>
          <xm:sqref>F14:F31</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111">
    <pageSetUpPr fitToPage="1"/>
  </sheetPr>
  <dimension ref="A1:Q57"/>
  <sheetViews>
    <sheetView showGridLines="0" topLeftCell="B1" zoomScaleNormal="100" workbookViewId="0">
      <selection activeCell="P6" sqref="P6"/>
    </sheetView>
  </sheetViews>
  <sheetFormatPr defaultColWidth="9.42578125" defaultRowHeight="15.75" x14ac:dyDescent="0.25"/>
  <cols>
    <col min="1" max="1" width="9.42578125" style="33" hidden="1" customWidth="1"/>
    <col min="2" max="2" width="13.5703125" style="33" customWidth="1"/>
    <col min="3" max="3" width="1.5703125" style="33" customWidth="1"/>
    <col min="4" max="4" width="7.5703125" style="33" bestFit="1" customWidth="1"/>
    <col min="5" max="5" width="1.5703125" style="33" customWidth="1"/>
    <col min="6" max="6" width="8.5703125" style="33" customWidth="1"/>
    <col min="7" max="7" width="1.5703125" style="33" customWidth="1"/>
    <col min="8" max="8" width="17" style="33" customWidth="1"/>
    <col min="9" max="9" width="1.5703125" style="33" customWidth="1"/>
    <col min="10" max="10" width="15.42578125" style="33" customWidth="1"/>
    <col min="11" max="11" width="1.140625" style="33" customWidth="1"/>
    <col min="12" max="12" width="13.42578125" style="33" customWidth="1"/>
    <col min="13" max="13" width="1.28515625" style="33" customWidth="1"/>
    <col min="14" max="14" width="13.42578125" style="33" customWidth="1"/>
    <col min="15" max="15" width="1.5703125" style="33" customWidth="1"/>
    <col min="16" max="16" width="36.42578125" style="33" customWidth="1"/>
    <col min="17" max="17" width="4.5703125" style="33" bestFit="1" customWidth="1"/>
    <col min="18" max="16384" width="9.42578125" style="33"/>
  </cols>
  <sheetData>
    <row r="1" spans="2:17" s="90" customFormat="1" ht="15" customHeight="1" x14ac:dyDescent="0.25">
      <c r="B1" s="2553" t="str">
        <f>+Index!$A$1</f>
        <v xml:space="preserve">                                                               Office of the State Controller                                                                </v>
      </c>
      <c r="C1" s="2553"/>
      <c r="D1" s="2553"/>
      <c r="E1" s="2553"/>
      <c r="F1" s="2553"/>
      <c r="G1" s="2553"/>
      <c r="H1" s="2553"/>
      <c r="I1" s="2553"/>
      <c r="J1" s="2553"/>
      <c r="K1" s="2553"/>
      <c r="L1" s="2553"/>
      <c r="M1" s="2553"/>
      <c r="N1" s="2553"/>
      <c r="O1" s="2553"/>
      <c r="P1" s="2553"/>
      <c r="Q1" s="2626" t="str">
        <f>IF(Index!$B$73="na","NA","")</f>
        <v/>
      </c>
    </row>
    <row r="2" spans="2:17" s="90" customFormat="1" ht="15" customHeight="1" x14ac:dyDescent="0.25">
      <c r="B2" s="2885" t="str">
        <f>+Index!$A$2</f>
        <v>2024 ACFR Worksheets</v>
      </c>
      <c r="C2" s="2885"/>
      <c r="D2" s="2885"/>
      <c r="E2" s="2885"/>
      <c r="F2" s="2885"/>
      <c r="G2" s="2885"/>
      <c r="H2" s="2885"/>
      <c r="I2" s="2885"/>
      <c r="J2" s="2885"/>
      <c r="K2" s="2885"/>
      <c r="L2" s="2885"/>
      <c r="M2" s="2885"/>
      <c r="N2" s="2885"/>
      <c r="O2" s="2885"/>
      <c r="P2" s="2885"/>
      <c r="Q2" s="2626"/>
    </row>
    <row r="3" spans="2:17" s="90" customFormat="1" ht="15" customHeight="1" x14ac:dyDescent="0.25">
      <c r="B3" s="2885" t="s">
        <v>1920</v>
      </c>
      <c r="C3" s="2885"/>
      <c r="D3" s="2885"/>
      <c r="E3" s="2885"/>
      <c r="F3" s="2885"/>
      <c r="G3" s="2885"/>
      <c r="H3" s="2885"/>
      <c r="I3" s="2885"/>
      <c r="J3" s="2885"/>
      <c r="K3" s="2885"/>
      <c r="L3" s="2885"/>
      <c r="M3" s="2885"/>
      <c r="N3" s="2885"/>
      <c r="O3" s="2885"/>
      <c r="P3" s="2885"/>
      <c r="Q3" s="2626"/>
    </row>
    <row r="4" spans="2:17" s="90" customFormat="1" ht="15" customHeight="1" x14ac:dyDescent="0.25">
      <c r="B4" s="2885" t="s">
        <v>1909</v>
      </c>
      <c r="C4" s="2885"/>
      <c r="D4" s="2885"/>
      <c r="E4" s="2885"/>
      <c r="F4" s="2885"/>
      <c r="G4" s="2885"/>
      <c r="H4" s="2885"/>
      <c r="I4" s="2885"/>
      <c r="J4" s="2885"/>
      <c r="K4" s="2885"/>
      <c r="L4" s="2885"/>
      <c r="M4" s="2885"/>
      <c r="N4" s="2885"/>
      <c r="O4" s="2885"/>
      <c r="P4" s="2885"/>
    </row>
    <row r="5" spans="2:17" s="90" customFormat="1" ht="15" customHeight="1" x14ac:dyDescent="0.25">
      <c r="B5" s="2883" t="s">
        <v>1897</v>
      </c>
      <c r="C5" s="2883"/>
      <c r="D5" s="2883"/>
      <c r="E5" s="2883"/>
      <c r="F5" s="2883"/>
      <c r="G5" s="2883"/>
      <c r="H5" s="2883"/>
      <c r="I5" s="2883"/>
      <c r="J5" s="2883"/>
      <c r="K5" s="2883"/>
      <c r="L5" s="2883"/>
      <c r="M5" s="2883"/>
      <c r="N5" s="2883"/>
      <c r="O5" s="2883"/>
      <c r="P5" s="2883"/>
      <c r="Q5" s="2883"/>
    </row>
    <row r="6" spans="2:17" s="91" customFormat="1" ht="15" customHeight="1" x14ac:dyDescent="0.25">
      <c r="B6" s="92"/>
      <c r="C6" s="1696"/>
      <c r="D6" s="1696"/>
      <c r="E6" s="1696"/>
      <c r="F6" s="1696"/>
      <c r="G6" s="1696"/>
      <c r="H6" s="1696"/>
      <c r="I6" s="1696"/>
      <c r="J6" s="1696"/>
      <c r="K6" s="92"/>
      <c r="L6" s="1696"/>
      <c r="M6" s="1696"/>
      <c r="N6" s="1696"/>
      <c r="O6" s="1696"/>
      <c r="P6" s="1800" t="s">
        <v>6605</v>
      </c>
      <c r="Q6" s="953"/>
    </row>
    <row r="7" spans="2:17" s="91" customFormat="1" ht="15" customHeight="1" x14ac:dyDescent="0.2">
      <c r="B7" s="1697" t="s">
        <v>318</v>
      </c>
      <c r="C7" s="953"/>
      <c r="D7" s="2880" t="str">
        <f>+Index!$E$10</f>
        <v>01</v>
      </c>
      <c r="E7" s="2880"/>
      <c r="F7" s="2880"/>
      <c r="G7" s="2880"/>
      <c r="H7" s="1682"/>
      <c r="I7" s="953"/>
      <c r="J7" s="953"/>
      <c r="K7" s="953"/>
      <c r="L7" s="953"/>
      <c r="M7" s="953"/>
      <c r="N7" s="953"/>
      <c r="O7" s="1698" t="s">
        <v>320</v>
      </c>
      <c r="P7" s="2376" t="str">
        <f>CONCATENATE(Index!$E$12," ",Index!$E$14)</f>
        <v xml:space="preserve"> </v>
      </c>
      <c r="Q7" s="953"/>
    </row>
    <row r="8" spans="2:17" s="91" customFormat="1" ht="15" customHeight="1" x14ac:dyDescent="0.2">
      <c r="B8" s="1697" t="s">
        <v>319</v>
      </c>
      <c r="C8" s="953"/>
      <c r="D8" s="2880" t="str">
        <f>+Index!$E$11</f>
        <v>North Carolina General Assembly</v>
      </c>
      <c r="E8" s="2880"/>
      <c r="F8" s="2880"/>
      <c r="G8" s="2880"/>
      <c r="H8" s="2880"/>
      <c r="I8" s="953"/>
      <c r="J8" s="953"/>
      <c r="K8" s="953"/>
      <c r="L8" s="953"/>
      <c r="M8" s="953"/>
      <c r="N8" s="953"/>
      <c r="O8" s="1698" t="s">
        <v>168</v>
      </c>
      <c r="P8" s="1699">
        <f>+Index!$E$13</f>
        <v>0</v>
      </c>
      <c r="Q8" s="953"/>
    </row>
    <row r="9" spans="2:17" s="91" customFormat="1" ht="15" customHeight="1" x14ac:dyDescent="0.2">
      <c r="B9" s="1697" t="s">
        <v>1899</v>
      </c>
      <c r="C9" s="953"/>
      <c r="D9" s="1700"/>
      <c r="E9" s="953"/>
      <c r="F9" s="953"/>
      <c r="G9" s="953"/>
      <c r="H9" s="953"/>
      <c r="I9" s="953"/>
      <c r="J9" s="953"/>
      <c r="K9" s="953"/>
      <c r="L9" s="953"/>
      <c r="M9" s="953"/>
      <c r="N9" s="953"/>
      <c r="O9" s="953"/>
      <c r="P9" s="953"/>
      <c r="Q9" s="953"/>
    </row>
    <row r="10" spans="2:17" s="91" customFormat="1" ht="15" customHeight="1" thickBot="1" x14ac:dyDescent="0.25">
      <c r="B10" s="1701"/>
      <c r="C10" s="1701"/>
      <c r="D10" s="1701"/>
      <c r="E10" s="1701"/>
      <c r="F10" s="1701"/>
      <c r="G10" s="1701"/>
      <c r="H10" s="1701"/>
      <c r="I10" s="1701"/>
      <c r="J10" s="1701"/>
      <c r="K10" s="1702"/>
      <c r="L10" s="1701"/>
      <c r="M10" s="1701"/>
      <c r="N10" s="1701"/>
      <c r="O10" s="1701"/>
      <c r="P10" s="1701"/>
      <c r="Q10" s="953"/>
    </row>
    <row r="11" spans="2:17" s="91" customFormat="1" ht="15" customHeight="1" thickBot="1" x14ac:dyDescent="0.25">
      <c r="B11" s="609" t="s">
        <v>1921</v>
      </c>
      <c r="C11" s="954"/>
      <c r="D11" s="2382" t="s">
        <v>1900</v>
      </c>
      <c r="E11" s="1121"/>
      <c r="F11" s="2382" t="s">
        <v>1900</v>
      </c>
      <c r="G11" s="953"/>
      <c r="H11" s="953"/>
      <c r="I11" s="92"/>
      <c r="J11" s="2884" t="s">
        <v>1901</v>
      </c>
      <c r="K11" s="2884"/>
      <c r="L11" s="2884"/>
      <c r="M11" s="2884"/>
      <c r="N11" s="2884"/>
      <c r="O11" s="1680"/>
      <c r="P11" s="953"/>
      <c r="Q11" s="953"/>
    </row>
    <row r="12" spans="2:17" s="91" customFormat="1" ht="15" customHeight="1" x14ac:dyDescent="0.2">
      <c r="B12" s="609"/>
      <c r="C12" s="954"/>
      <c r="D12" s="2382"/>
      <c r="E12" s="1121"/>
      <c r="F12" s="2382"/>
      <c r="G12" s="953"/>
      <c r="H12" s="953"/>
      <c r="I12" s="92"/>
      <c r="J12" s="2382"/>
      <c r="K12" s="2382"/>
      <c r="L12" s="2382"/>
      <c r="M12" s="2382"/>
      <c r="N12" s="2382"/>
      <c r="O12" s="1680"/>
      <c r="P12" s="953"/>
      <c r="Q12" s="953"/>
    </row>
    <row r="13" spans="2:17" s="91" customFormat="1" ht="15" customHeight="1" x14ac:dyDescent="0.2">
      <c r="B13" s="2383" t="s">
        <v>1865</v>
      </c>
      <c r="C13" s="953"/>
      <c r="D13" s="2382" t="s">
        <v>1867</v>
      </c>
      <c r="E13" s="1121"/>
      <c r="F13" s="2382" t="s">
        <v>1573</v>
      </c>
      <c r="G13" s="953"/>
      <c r="H13" s="953"/>
      <c r="I13" s="92"/>
      <c r="J13" s="1121"/>
      <c r="K13" s="1121"/>
      <c r="L13" s="1380" t="s">
        <v>1902</v>
      </c>
      <c r="M13" s="2382"/>
      <c r="N13" s="1380" t="s">
        <v>1903</v>
      </c>
      <c r="O13" s="1121"/>
      <c r="P13" s="953"/>
      <c r="Q13" s="953"/>
    </row>
    <row r="14" spans="2:17" s="91" customFormat="1" ht="15" customHeight="1" thickBot="1" x14ac:dyDescent="0.25">
      <c r="B14" s="93" t="s">
        <v>756</v>
      </c>
      <c r="C14" s="2383"/>
      <c r="D14" s="2378" t="s">
        <v>1709</v>
      </c>
      <c r="E14" s="1121"/>
      <c r="F14" s="2378" t="s">
        <v>1709</v>
      </c>
      <c r="G14" s="953"/>
      <c r="H14" s="93" t="s">
        <v>1359</v>
      </c>
      <c r="I14" s="953"/>
      <c r="J14" s="2378" t="s">
        <v>1408</v>
      </c>
      <c r="K14" s="1703"/>
      <c r="L14" s="1381" t="s">
        <v>1905</v>
      </c>
      <c r="M14" s="2382"/>
      <c r="N14" s="1381" t="s">
        <v>677</v>
      </c>
      <c r="O14" s="1703"/>
      <c r="P14" s="93" t="s">
        <v>1876</v>
      </c>
      <c r="Q14" s="953"/>
    </row>
    <row r="15" spans="2:17" s="91" customFormat="1" ht="15" customHeight="1" x14ac:dyDescent="0.2">
      <c r="B15" s="958">
        <v>11470000</v>
      </c>
      <c r="C15" s="959"/>
      <c r="D15" s="877"/>
      <c r="E15" s="959"/>
      <c r="F15" s="877"/>
      <c r="G15" s="959"/>
      <c r="H15" s="960"/>
      <c r="I15" s="953"/>
      <c r="J15" s="1108"/>
      <c r="K15" s="1121"/>
      <c r="L15" s="1475"/>
      <c r="M15" s="1708"/>
      <c r="N15" s="1474"/>
      <c r="O15" s="953"/>
      <c r="P15" s="1700"/>
      <c r="Q15" s="953"/>
    </row>
    <row r="16" spans="2:17" s="91" customFormat="1" ht="15" customHeight="1" x14ac:dyDescent="0.2">
      <c r="B16" s="958">
        <v>11470000</v>
      </c>
      <c r="C16" s="959"/>
      <c r="D16" s="877"/>
      <c r="E16" s="959"/>
      <c r="F16" s="877"/>
      <c r="G16" s="959"/>
      <c r="H16" s="960"/>
      <c r="I16" s="953"/>
      <c r="J16" s="1108"/>
      <c r="K16" s="1121"/>
      <c r="L16" s="1475"/>
      <c r="M16" s="1708"/>
      <c r="N16" s="1474"/>
      <c r="O16" s="953"/>
      <c r="P16" s="1700"/>
      <c r="Q16" s="953"/>
    </row>
    <row r="17" spans="2:17" s="91" customFormat="1" ht="15" customHeight="1" x14ac:dyDescent="0.2">
      <c r="B17" s="958">
        <v>11470000</v>
      </c>
      <c r="C17" s="959"/>
      <c r="D17" s="877"/>
      <c r="E17" s="959"/>
      <c r="F17" s="877"/>
      <c r="G17" s="959"/>
      <c r="H17" s="960"/>
      <c r="I17" s="953"/>
      <c r="J17" s="1108"/>
      <c r="K17" s="1121"/>
      <c r="L17" s="1475"/>
      <c r="M17" s="1708"/>
      <c r="N17" s="1474"/>
      <c r="O17" s="953"/>
      <c r="P17" s="1700"/>
      <c r="Q17" s="953"/>
    </row>
    <row r="18" spans="2:17" s="91" customFormat="1" ht="15" customHeight="1" x14ac:dyDescent="0.2">
      <c r="B18" s="958">
        <v>11470000</v>
      </c>
      <c r="C18" s="959"/>
      <c r="D18" s="877"/>
      <c r="E18" s="959"/>
      <c r="F18" s="877"/>
      <c r="G18" s="959"/>
      <c r="H18" s="960"/>
      <c r="I18" s="953"/>
      <c r="J18" s="1108"/>
      <c r="K18" s="1121"/>
      <c r="L18" s="1475"/>
      <c r="M18" s="1708"/>
      <c r="N18" s="1474"/>
      <c r="O18" s="953"/>
      <c r="P18" s="1700"/>
      <c r="Q18" s="953"/>
    </row>
    <row r="19" spans="2:17" s="91" customFormat="1" ht="15" customHeight="1" x14ac:dyDescent="0.2">
      <c r="B19" s="958">
        <v>11470000</v>
      </c>
      <c r="C19" s="959"/>
      <c r="D19" s="877"/>
      <c r="E19" s="959"/>
      <c r="F19" s="877"/>
      <c r="G19" s="959"/>
      <c r="H19" s="960"/>
      <c r="I19" s="953"/>
      <c r="J19" s="1700"/>
      <c r="K19" s="953"/>
      <c r="L19" s="1710"/>
      <c r="M19" s="1711"/>
      <c r="N19" s="1474"/>
      <c r="O19" s="953"/>
      <c r="P19" s="1700"/>
      <c r="Q19" s="953"/>
    </row>
    <row r="20" spans="2:17" s="91" customFormat="1" ht="15" customHeight="1" x14ac:dyDescent="0.2">
      <c r="B20" s="958">
        <v>11470000</v>
      </c>
      <c r="C20" s="959"/>
      <c r="D20" s="877"/>
      <c r="E20" s="959"/>
      <c r="F20" s="877"/>
      <c r="G20" s="959"/>
      <c r="H20" s="960"/>
      <c r="I20" s="953"/>
      <c r="J20" s="1700"/>
      <c r="K20" s="953"/>
      <c r="L20" s="1710"/>
      <c r="M20" s="1711"/>
      <c r="N20" s="1474"/>
      <c r="O20" s="953"/>
      <c r="P20" s="1700"/>
      <c r="Q20" s="953"/>
    </row>
    <row r="21" spans="2:17" s="91" customFormat="1" ht="15" customHeight="1" x14ac:dyDescent="0.2">
      <c r="B21" s="958">
        <v>11470000</v>
      </c>
      <c r="C21" s="959"/>
      <c r="D21" s="877"/>
      <c r="E21" s="959"/>
      <c r="F21" s="877"/>
      <c r="G21" s="959"/>
      <c r="H21" s="960"/>
      <c r="I21" s="953"/>
      <c r="J21" s="1700"/>
      <c r="K21" s="953"/>
      <c r="L21" s="1710"/>
      <c r="M21" s="1711"/>
      <c r="N21" s="1474"/>
      <c r="O21" s="953"/>
      <c r="P21" s="1700"/>
      <c r="Q21" s="953"/>
    </row>
    <row r="22" spans="2:17" s="91" customFormat="1" ht="15" customHeight="1" x14ac:dyDescent="0.2">
      <c r="B22" s="958">
        <v>11470000</v>
      </c>
      <c r="C22" s="959"/>
      <c r="D22" s="877"/>
      <c r="E22" s="959"/>
      <c r="F22" s="877"/>
      <c r="G22" s="959"/>
      <c r="H22" s="960"/>
      <c r="I22" s="953"/>
      <c r="J22" s="1700"/>
      <c r="K22" s="953"/>
      <c r="L22" s="1710"/>
      <c r="M22" s="1711"/>
      <c r="N22" s="1474"/>
      <c r="O22" s="953"/>
      <c r="P22" s="1700"/>
      <c r="Q22" s="953"/>
    </row>
    <row r="23" spans="2:17" s="91" customFormat="1" ht="15" customHeight="1" x14ac:dyDescent="0.2">
      <c r="B23" s="958">
        <v>11470000</v>
      </c>
      <c r="C23" s="959"/>
      <c r="D23" s="877"/>
      <c r="E23" s="959"/>
      <c r="F23" s="877"/>
      <c r="G23" s="959"/>
      <c r="H23" s="960"/>
      <c r="I23" s="953"/>
      <c r="J23" s="1700"/>
      <c r="K23" s="953"/>
      <c r="L23" s="1710"/>
      <c r="M23" s="1711"/>
      <c r="N23" s="1474"/>
      <c r="O23" s="953"/>
      <c r="P23" s="1700"/>
      <c r="Q23" s="953"/>
    </row>
    <row r="24" spans="2:17" s="91" customFormat="1" ht="15" customHeight="1" x14ac:dyDescent="0.2">
      <c r="B24" s="958">
        <v>11470000</v>
      </c>
      <c r="C24" s="959"/>
      <c r="D24" s="877"/>
      <c r="E24" s="959"/>
      <c r="F24" s="877"/>
      <c r="G24" s="959"/>
      <c r="H24" s="960"/>
      <c r="I24" s="953"/>
      <c r="J24" s="1700"/>
      <c r="K24" s="953"/>
      <c r="L24" s="1710"/>
      <c r="M24" s="1711"/>
      <c r="N24" s="1474"/>
      <c r="O24" s="953"/>
      <c r="P24" s="1700"/>
      <c r="Q24" s="953"/>
    </row>
    <row r="25" spans="2:17" s="91" customFormat="1" ht="15" customHeight="1" x14ac:dyDescent="0.2">
      <c r="B25" s="958">
        <v>11470000</v>
      </c>
      <c r="C25" s="959"/>
      <c r="D25" s="877"/>
      <c r="E25" s="959"/>
      <c r="F25" s="877"/>
      <c r="G25" s="959"/>
      <c r="H25" s="960"/>
      <c r="I25" s="953"/>
      <c r="J25" s="1700"/>
      <c r="K25" s="953"/>
      <c r="L25" s="1710"/>
      <c r="M25" s="1711"/>
      <c r="N25" s="1474"/>
      <c r="O25" s="953"/>
      <c r="P25" s="1700"/>
      <c r="Q25" s="953"/>
    </row>
    <row r="26" spans="2:17" s="91" customFormat="1" ht="15" customHeight="1" thickBot="1" x14ac:dyDescent="0.25">
      <c r="B26" s="953"/>
      <c r="C26" s="953"/>
      <c r="D26" s="953"/>
      <c r="E26" s="2383"/>
      <c r="F26" s="2383" t="s">
        <v>1913</v>
      </c>
      <c r="G26" s="2383"/>
      <c r="H26" s="961">
        <f>SUM(H15:H25)</f>
        <v>0</v>
      </c>
      <c r="I26" s="953"/>
      <c r="J26" s="125" t="s">
        <v>6557</v>
      </c>
      <c r="K26" s="953"/>
      <c r="L26" s="953"/>
      <c r="M26" s="953"/>
      <c r="N26" s="953"/>
      <c r="O26" s="953"/>
      <c r="P26" s="953"/>
      <c r="Q26" s="953"/>
    </row>
    <row r="27" spans="2:17" s="91" customFormat="1" ht="15" customHeight="1" x14ac:dyDescent="0.2">
      <c r="B27" s="953"/>
      <c r="C27" s="953"/>
      <c r="D27" s="953"/>
      <c r="E27" s="2383"/>
      <c r="F27" s="2383"/>
      <c r="G27" s="2383"/>
      <c r="H27" s="955"/>
      <c r="I27" s="953"/>
      <c r="J27" s="125"/>
      <c r="K27" s="953"/>
      <c r="L27" s="953"/>
      <c r="M27" s="953"/>
      <c r="N27" s="953"/>
      <c r="O27" s="953"/>
      <c r="P27" s="953"/>
      <c r="Q27" s="953"/>
    </row>
    <row r="28" spans="2:17" s="91" customFormat="1" ht="15" customHeight="1" x14ac:dyDescent="0.2">
      <c r="B28" s="953"/>
      <c r="C28" s="953"/>
      <c r="D28" s="953"/>
      <c r="E28" s="2383"/>
      <c r="F28" s="2383"/>
      <c r="G28" s="2383"/>
      <c r="H28" s="955"/>
      <c r="I28" s="953"/>
      <c r="J28" s="125"/>
      <c r="K28" s="953"/>
      <c r="L28" s="953"/>
      <c r="M28" s="953"/>
      <c r="N28" s="953"/>
      <c r="O28" s="953"/>
      <c r="P28" s="953"/>
      <c r="Q28" s="953"/>
    </row>
    <row r="29" spans="2:17" s="91" customFormat="1" ht="7.35" customHeight="1" x14ac:dyDescent="0.2">
      <c r="B29" s="953"/>
      <c r="C29" s="953"/>
      <c r="D29" s="953"/>
      <c r="E29" s="2383"/>
      <c r="F29" s="2383"/>
      <c r="G29" s="2383"/>
      <c r="H29" s="953"/>
      <c r="I29" s="953"/>
      <c r="J29" s="953"/>
      <c r="K29" s="953"/>
      <c r="L29" s="953"/>
      <c r="M29" s="953"/>
      <c r="N29" s="953"/>
      <c r="O29" s="2383"/>
      <c r="P29" s="953"/>
      <c r="Q29" s="953"/>
    </row>
    <row r="30" spans="2:17" s="91" customFormat="1" ht="15" customHeight="1" x14ac:dyDescent="0.2">
      <c r="B30" s="606" t="s">
        <v>1922</v>
      </c>
      <c r="C30" s="607"/>
      <c r="D30" s="607"/>
      <c r="E30" s="608"/>
      <c r="F30" s="608"/>
      <c r="G30" s="2383"/>
      <c r="H30" s="953"/>
      <c r="I30" s="953"/>
      <c r="J30" s="953"/>
      <c r="K30" s="953"/>
      <c r="L30" s="953"/>
      <c r="M30" s="953"/>
      <c r="N30" s="953"/>
      <c r="O30" s="2383"/>
      <c r="P30" s="953"/>
      <c r="Q30" s="953"/>
    </row>
    <row r="31" spans="2:17" s="91" customFormat="1" ht="15" customHeight="1" x14ac:dyDescent="0.2">
      <c r="B31" s="958">
        <v>12420000</v>
      </c>
      <c r="C31" s="959"/>
      <c r="D31" s="877"/>
      <c r="E31" s="959"/>
      <c r="F31" s="877"/>
      <c r="G31" s="959"/>
      <c r="H31" s="960"/>
      <c r="I31" s="953"/>
      <c r="J31" s="1108"/>
      <c r="K31" s="1121"/>
      <c r="L31" s="1475"/>
      <c r="M31" s="1708"/>
      <c r="N31" s="1474"/>
      <c r="O31" s="953"/>
      <c r="P31" s="1700"/>
      <c r="Q31" s="953"/>
    </row>
    <row r="32" spans="2:17" s="91" customFormat="1" ht="15" customHeight="1" x14ac:dyDescent="0.2">
      <c r="B32" s="958">
        <v>12420000</v>
      </c>
      <c r="C32" s="959"/>
      <c r="D32" s="877"/>
      <c r="E32" s="959"/>
      <c r="F32" s="877"/>
      <c r="G32" s="959"/>
      <c r="H32" s="960"/>
      <c r="I32" s="953"/>
      <c r="J32" s="1700"/>
      <c r="K32" s="953"/>
      <c r="L32" s="1710"/>
      <c r="M32" s="1711"/>
      <c r="N32" s="1474"/>
      <c r="O32" s="953"/>
      <c r="P32" s="1700"/>
      <c r="Q32" s="953"/>
    </row>
    <row r="33" spans="1:16" s="91" customFormat="1" ht="15" customHeight="1" x14ac:dyDescent="0.2">
      <c r="A33" s="953"/>
      <c r="B33" s="958">
        <v>12420000</v>
      </c>
      <c r="C33" s="959"/>
      <c r="D33" s="877"/>
      <c r="E33" s="959"/>
      <c r="F33" s="877"/>
      <c r="G33" s="959"/>
      <c r="H33" s="960"/>
      <c r="I33" s="953"/>
      <c r="J33" s="1700"/>
      <c r="K33" s="953"/>
      <c r="L33" s="1710"/>
      <c r="M33" s="1711"/>
      <c r="N33" s="1474"/>
      <c r="O33" s="953"/>
      <c r="P33" s="1700"/>
    </row>
    <row r="34" spans="1:16" s="91" customFormat="1" ht="15" customHeight="1" x14ac:dyDescent="0.2">
      <c r="A34" s="953"/>
      <c r="B34" s="958">
        <v>12420000</v>
      </c>
      <c r="C34" s="959"/>
      <c r="D34" s="877"/>
      <c r="E34" s="959"/>
      <c r="F34" s="877"/>
      <c r="G34" s="959"/>
      <c r="H34" s="960"/>
      <c r="I34" s="953"/>
      <c r="J34" s="1700"/>
      <c r="K34" s="953"/>
      <c r="L34" s="1710"/>
      <c r="M34" s="1711"/>
      <c r="N34" s="1474"/>
      <c r="O34" s="953"/>
      <c r="P34" s="1700"/>
    </row>
    <row r="35" spans="1:16" s="91" customFormat="1" ht="15" customHeight="1" thickBot="1" x14ac:dyDescent="0.25">
      <c r="A35" s="953"/>
      <c r="B35" s="953"/>
      <c r="C35" s="953"/>
      <c r="D35" s="953"/>
      <c r="E35" s="2383"/>
      <c r="F35" s="2383" t="s">
        <v>1913</v>
      </c>
      <c r="G35" s="2383"/>
      <c r="H35" s="961">
        <f>SUM(H31:H34)</f>
        <v>0</v>
      </c>
      <c r="I35" s="953"/>
      <c r="J35" s="125" t="s">
        <v>6557</v>
      </c>
      <c r="K35" s="953"/>
      <c r="L35" s="953"/>
      <c r="M35" s="953"/>
      <c r="N35" s="953"/>
      <c r="O35" s="953"/>
      <c r="P35" s="953"/>
    </row>
    <row r="36" spans="1:16" s="91" customFormat="1" ht="15" customHeight="1" x14ac:dyDescent="0.2">
      <c r="A36" s="953"/>
      <c r="B36" s="953"/>
      <c r="C36" s="953"/>
      <c r="D36" s="953"/>
      <c r="E36" s="2383"/>
      <c r="F36" s="2383"/>
      <c r="G36" s="2383"/>
      <c r="H36" s="955"/>
      <c r="I36" s="953"/>
      <c r="J36" s="125"/>
      <c r="K36" s="953"/>
      <c r="L36" s="953"/>
      <c r="M36" s="953"/>
      <c r="N36" s="953"/>
      <c r="O36" s="953"/>
      <c r="P36" s="953"/>
    </row>
    <row r="37" spans="1:16" s="91" customFormat="1" ht="15" customHeight="1" x14ac:dyDescent="0.2">
      <c r="A37" s="953"/>
      <c r="B37" s="125" t="s">
        <v>1907</v>
      </c>
      <c r="C37" s="953"/>
      <c r="D37" s="953"/>
      <c r="E37" s="2383"/>
      <c r="F37" s="2383"/>
      <c r="G37" s="2383"/>
      <c r="H37" s="953"/>
      <c r="I37" s="953"/>
      <c r="J37" s="953"/>
      <c r="K37" s="953"/>
      <c r="L37" s="953"/>
      <c r="M37" s="953"/>
      <c r="N37" s="953"/>
      <c r="O37" s="2383"/>
      <c r="P37" s="953"/>
    </row>
    <row r="38" spans="1:16" s="91" customFormat="1" ht="15" customHeight="1" x14ac:dyDescent="0.2">
      <c r="A38" s="953"/>
      <c r="B38" s="125"/>
      <c r="C38" s="953"/>
      <c r="D38" s="953"/>
      <c r="E38" s="2383"/>
      <c r="F38" s="2383"/>
      <c r="G38" s="2383"/>
      <c r="H38" s="953"/>
      <c r="I38" s="953"/>
      <c r="J38" s="953"/>
      <c r="K38" s="953"/>
      <c r="L38" s="953"/>
      <c r="M38" s="953"/>
      <c r="N38" s="953"/>
      <c r="O38" s="2383"/>
      <c r="P38" s="953"/>
    </row>
    <row r="39" spans="1:16" s="91" customFormat="1" ht="15" customHeight="1" x14ac:dyDescent="0.2">
      <c r="A39" s="953"/>
      <c r="B39" s="125"/>
      <c r="C39" s="953"/>
      <c r="D39" s="953"/>
      <c r="E39" s="2383"/>
      <c r="F39" s="2383"/>
      <c r="G39" s="2383"/>
      <c r="H39" s="953"/>
      <c r="I39" s="953"/>
      <c r="J39" s="953"/>
      <c r="K39" s="953"/>
      <c r="L39" s="953"/>
      <c r="M39" s="953"/>
      <c r="N39" s="953"/>
      <c r="O39" s="2383"/>
      <c r="P39" s="953"/>
    </row>
    <row r="40" spans="1:16" s="91" customFormat="1" ht="15" customHeight="1" x14ac:dyDescent="0.2">
      <c r="A40" s="421" t="str">
        <f ca="1">MID(CELL("filename",A3),FIND("]",CELL("filename",A3))+1,256)</f>
        <v>525</v>
      </c>
      <c r="B40" s="421" t="s">
        <v>613</v>
      </c>
      <c r="C40" s="953"/>
      <c r="D40" s="953"/>
      <c r="E40" s="2383"/>
      <c r="F40" s="2383"/>
      <c r="G40" s="2383"/>
      <c r="H40" s="953"/>
      <c r="I40" s="953"/>
      <c r="J40" s="953"/>
      <c r="K40" s="953"/>
      <c r="L40" s="953"/>
      <c r="M40" s="953"/>
      <c r="N40" s="953"/>
      <c r="O40" s="2383"/>
      <c r="P40" s="953"/>
    </row>
    <row r="41" spans="1:16" s="91" customFormat="1" ht="15" customHeight="1" x14ac:dyDescent="0.2">
      <c r="A41" s="421" t="s">
        <v>401</v>
      </c>
      <c r="B41" s="421" t="str">
        <f t="shared" ref="B41:B50" ca="1" si="0">IF(ISNA(INDEX(ErrorTable,MATCH($A$40&amp;$A41&amp;FALSE,ErrorKey,0),6)),"",INDEX(ErrorTable,MATCH($A$40&amp;$A41&amp;FALSE,ErrorKey,0),6))</f>
        <v/>
      </c>
      <c r="C41" s="953"/>
      <c r="D41" s="953"/>
      <c r="E41" s="2383"/>
      <c r="F41" s="2383"/>
      <c r="G41" s="2383"/>
      <c r="H41" s="953"/>
      <c r="I41" s="953"/>
      <c r="J41" s="953"/>
      <c r="K41" s="953"/>
      <c r="L41" s="953"/>
      <c r="M41" s="953"/>
      <c r="N41" s="953"/>
      <c r="O41" s="2383"/>
      <c r="P41" s="953"/>
    </row>
    <row r="42" spans="1:16" s="91" customFormat="1" ht="15" customHeight="1" x14ac:dyDescent="0.2">
      <c r="A42" s="421" t="s">
        <v>402</v>
      </c>
      <c r="B42" s="421" t="str">
        <f t="shared" ca="1" si="0"/>
        <v/>
      </c>
      <c r="C42" s="953"/>
      <c r="D42" s="953"/>
      <c r="E42" s="2383"/>
      <c r="F42" s="2383"/>
      <c r="G42" s="2383"/>
      <c r="H42" s="953"/>
      <c r="I42" s="953"/>
      <c r="J42" s="953"/>
      <c r="K42" s="953"/>
      <c r="L42" s="953"/>
      <c r="M42" s="953"/>
      <c r="N42" s="953"/>
      <c r="O42" s="2383"/>
      <c r="P42" s="953"/>
    </row>
    <row r="43" spans="1:16" s="91" customFormat="1" ht="15" customHeight="1" x14ac:dyDescent="0.2">
      <c r="A43" s="421" t="s">
        <v>403</v>
      </c>
      <c r="B43" s="421" t="str">
        <f t="shared" ca="1" si="0"/>
        <v/>
      </c>
      <c r="C43" s="953"/>
      <c r="D43" s="953"/>
      <c r="E43" s="2383"/>
      <c r="F43" s="2383"/>
      <c r="G43" s="2383"/>
      <c r="H43" s="953"/>
      <c r="I43" s="953"/>
      <c r="J43" s="953"/>
      <c r="K43" s="953"/>
      <c r="L43" s="953"/>
      <c r="M43" s="953"/>
      <c r="N43" s="953"/>
      <c r="O43" s="2383"/>
      <c r="P43" s="953"/>
    </row>
    <row r="44" spans="1:16" s="91" customFormat="1" ht="15" customHeight="1" x14ac:dyDescent="0.2">
      <c r="A44" s="421" t="s">
        <v>404</v>
      </c>
      <c r="B44" s="421" t="str">
        <f t="shared" ca="1" si="0"/>
        <v/>
      </c>
      <c r="C44" s="953"/>
      <c r="D44" s="953"/>
      <c r="E44" s="2383"/>
      <c r="F44" s="2383"/>
      <c r="G44" s="2383"/>
      <c r="H44" s="953"/>
      <c r="I44" s="953"/>
      <c r="J44" s="953"/>
      <c r="K44" s="953"/>
      <c r="L44" s="953"/>
      <c r="M44" s="953"/>
      <c r="N44" s="953"/>
      <c r="O44" s="2383"/>
      <c r="P44" s="953"/>
    </row>
    <row r="45" spans="1:16" ht="20.85" customHeight="1" x14ac:dyDescent="0.25">
      <c r="A45" s="421" t="s">
        <v>405</v>
      </c>
      <c r="B45" s="421" t="str">
        <f t="shared" ca="1" si="0"/>
        <v/>
      </c>
    </row>
    <row r="46" spans="1:16" ht="20.85" customHeight="1" x14ac:dyDescent="0.25">
      <c r="A46" s="421" t="s">
        <v>406</v>
      </c>
      <c r="B46" s="421" t="str">
        <f t="shared" ca="1" si="0"/>
        <v/>
      </c>
      <c r="D46" s="35" t="s">
        <v>50</v>
      </c>
      <c r="E46" s="35"/>
      <c r="F46" s="35"/>
      <c r="G46" s="35"/>
      <c r="H46" s="35"/>
      <c r="I46" s="35"/>
      <c r="J46" s="35"/>
      <c r="K46" s="35"/>
    </row>
    <row r="47" spans="1:16" ht="20.85" customHeight="1" x14ac:dyDescent="0.25">
      <c r="A47" s="421" t="s">
        <v>407</v>
      </c>
      <c r="B47" s="421" t="str">
        <f t="shared" ca="1" si="0"/>
        <v/>
      </c>
      <c r="D47" s="35" t="s">
        <v>50</v>
      </c>
      <c r="E47" s="35"/>
      <c r="F47" s="35"/>
      <c r="G47" s="35"/>
      <c r="L47" s="34" t="s">
        <v>50</v>
      </c>
      <c r="M47" s="34"/>
      <c r="N47" s="34"/>
      <c r="O47" s="34"/>
    </row>
    <row r="48" spans="1:16" ht="20.85" customHeight="1" x14ac:dyDescent="0.25">
      <c r="A48" s="421" t="s">
        <v>408</v>
      </c>
      <c r="B48" s="421" t="str">
        <f t="shared" ca="1" si="0"/>
        <v/>
      </c>
    </row>
    <row r="49" spans="1:15" ht="20.85" customHeight="1" x14ac:dyDescent="0.25">
      <c r="A49" s="421" t="s">
        <v>409</v>
      </c>
      <c r="B49" s="421" t="str">
        <f t="shared" ca="1" si="0"/>
        <v/>
      </c>
    </row>
    <row r="50" spans="1:15" ht="20.85" customHeight="1" x14ac:dyDescent="0.25">
      <c r="A50" s="421" t="s">
        <v>410</v>
      </c>
      <c r="B50" s="421" t="str">
        <f t="shared" ca="1" si="0"/>
        <v/>
      </c>
    </row>
    <row r="51" spans="1:15" ht="20.85" customHeight="1" x14ac:dyDescent="0.25"/>
    <row r="52" spans="1:15" ht="20.85" customHeight="1" x14ac:dyDescent="0.25"/>
    <row r="53" spans="1:15" ht="20.85" customHeight="1" x14ac:dyDescent="0.25"/>
    <row r="54" spans="1:15" ht="20.85" customHeight="1" x14ac:dyDescent="0.25">
      <c r="D54" s="33" t="s">
        <v>50</v>
      </c>
    </row>
    <row r="55" spans="1:15" ht="20.85" customHeight="1" x14ac:dyDescent="0.25"/>
    <row r="56" spans="1:15" ht="20.85" customHeight="1" x14ac:dyDescent="0.25"/>
    <row r="57" spans="1:15" ht="20.85" customHeight="1" x14ac:dyDescent="0.25">
      <c r="D57" s="35" t="s">
        <v>50</v>
      </c>
      <c r="E57" s="35"/>
      <c r="F57" s="35"/>
      <c r="G57" s="35"/>
      <c r="L57" s="34" t="s">
        <v>50</v>
      </c>
      <c r="M57" s="34"/>
      <c r="N57" s="34"/>
      <c r="O57" s="34"/>
    </row>
  </sheetData>
  <sheetProtection algorithmName="SHA-512" hashValue="rFMmRAdt4wiJnM9j3faLR6MJ5Vspnk59htBgQvSWiyc1NMN3ecxfhmBnv+KVKcdKxdGIw2ODB2ecPisD1sTWpA==" saltValue="AropTH3fPOQBH7Br5o0u1w==" spinCount="100000" sheet="1" autoFilter="0"/>
  <dataConsolidate link="1"/>
  <customSheetViews>
    <customSheetView guid="{9FCFC836-1CA5-48BF-958D-24D2EA94B219}" showGridLines="0" fitToPage="1" hiddenColumns="1" topLeftCell="B1">
      <selection activeCell="B12" sqref="B12"/>
      <pageMargins left="0" right="0" top="0" bottom="0" header="0" footer="0"/>
      <printOptions horizontalCentered="1"/>
      <pageSetup scale="96" orientation="landscape" blackAndWhite="1" r:id="rId1"/>
      <headerFooter alignWithMargins="0">
        <oddFooter>&amp;R&amp;A</oddFooter>
      </headerFooter>
    </customSheetView>
    <customSheetView guid="{BEA4BE86-04D1-4C96-9358-7A260B9D2B2D}" showGridLines="0" fitToPage="1" showRuler="0">
      <selection sqref="A1:M1"/>
      <pageMargins left="0" right="0" top="0" bottom="0" header="0" footer="0"/>
      <printOptions horizontalCentered="1"/>
      <pageSetup orientation="landscape" blackAndWhite="1" horizontalDpi="300" verticalDpi="300" r:id="rId2"/>
      <headerFooter alignWithMargins="0">
        <oddFooter>&amp;R&amp;A</oddFooter>
      </headerFooter>
    </customSheetView>
    <customSheetView guid="{1250FD07-FF56-4A9D-AF9E-C27124A7EBE9}" showGridLines="0" fitToPage="1" showRuler="0">
      <selection sqref="A1:M1"/>
      <pageMargins left="0" right="0" top="0" bottom="0" header="0" footer="0"/>
      <printOptions horizontalCentered="1"/>
      <pageSetup orientation="landscape" blackAndWhite="1" horizontalDpi="300" verticalDpi="300" r:id="rId3"/>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rintOptions horizontalCentered="1"/>
      <pageSetup scale="96" orientation="landscape" blackAndWhite="1" r:id="rId4"/>
      <headerFooter alignWithMargins="0">
        <oddFooter>&amp;R&amp;A</oddFooter>
      </headerFooter>
    </customSheetView>
  </customSheetViews>
  <mergeCells count="9">
    <mergeCell ref="D7:G7"/>
    <mergeCell ref="D8:H8"/>
    <mergeCell ref="J11:N11"/>
    <mergeCell ref="Q1:Q3"/>
    <mergeCell ref="B1:P1"/>
    <mergeCell ref="B2:P2"/>
    <mergeCell ref="B3:P3"/>
    <mergeCell ref="B4:P4"/>
    <mergeCell ref="B5:Q5"/>
  </mergeCells>
  <phoneticPr fontId="18" type="noConversion"/>
  <conditionalFormatting sqref="Q1:Q3">
    <cfRule type="cellIs" dxfId="64" priority="1" stopIfTrue="1" operator="equal">
      <formula>"na"</formula>
    </cfRule>
  </conditionalFormatting>
  <hyperlinks>
    <hyperlink ref="B1:P1" location="Index!A1" display="Index!A1" xr:uid="{00000000-0004-0000-2B00-000000000000}"/>
  </hyperlinks>
  <pageMargins left="0.6" right="0.6" top="0.5" bottom="0.5" header="0.3" footer="0.3"/>
  <pageSetup scale="90" orientation="landscape" r:id="rId5"/>
  <extLst>
    <ext xmlns:x14="http://schemas.microsoft.com/office/spreadsheetml/2009/9/main" uri="{CCE6A557-97BC-4b89-ADB6-D9C93CAAB3DF}">
      <x14:dataValidations xmlns:xm="http://schemas.microsoft.com/office/excel/2006/main" count="2">
        <x14:dataValidation type="list" allowBlank="1" showInputMessage="1" showErrorMessage="1" xr:uid="{9D765923-6DAA-4EFC-AD64-9FD94204B080}">
          <x14:formula1>
            <xm:f>OFFSET(AgencyGASBRepository!$E$8,,,COUNTIF(AgencyGASBRepository!$E$8:$E$210,"?*"))</xm:f>
          </x14:formula1>
          <xm:sqref>D15:D25 D31:D34</xm:sqref>
        </x14:dataValidation>
        <x14:dataValidation type="list" allowBlank="1" showInputMessage="1" showErrorMessage="1" xr:uid="{11610BDD-4AB4-44F4-B03D-CE3F5FA98E8F}">
          <x14:formula1>
            <xm:f>OFFSET(AgencyGASBRepository!$F$7,MATCH($D15,AgencyGASBRepository!$E$8:$E$1000,0),,,COUNTIF(OFFSET(AgencyGASBRepository!$F$7,MATCH($D15,AgencyGASBRepository!$E$8:$E$1000,0),,1,50),"?*"))</xm:f>
          </x14:formula1>
          <xm:sqref>F15:F25 F31:F34</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121">
    <pageSetUpPr fitToPage="1"/>
  </sheetPr>
  <dimension ref="A1:Q55"/>
  <sheetViews>
    <sheetView showGridLines="0" topLeftCell="B1" zoomScaleNormal="100" workbookViewId="0">
      <selection activeCell="T16" sqref="T16"/>
    </sheetView>
  </sheetViews>
  <sheetFormatPr defaultColWidth="9.42578125" defaultRowHeight="15.75" x14ac:dyDescent="0.25"/>
  <cols>
    <col min="1" max="1" width="0" style="33" hidden="1" customWidth="1"/>
    <col min="2" max="2" width="13.5703125" style="33" customWidth="1"/>
    <col min="3" max="3" width="1.5703125" style="33" customWidth="1"/>
    <col min="4" max="4" width="7.5703125" style="33" bestFit="1" customWidth="1"/>
    <col min="5" max="5" width="1.5703125" style="33" customWidth="1"/>
    <col min="6" max="6" width="8.5703125" style="33" customWidth="1"/>
    <col min="7" max="7" width="1.5703125" style="33" customWidth="1"/>
    <col min="8" max="8" width="16.5703125" style="33" customWidth="1"/>
    <col min="9" max="9" width="1.28515625" style="33" customWidth="1"/>
    <col min="10" max="10" width="15.42578125" style="33" customWidth="1"/>
    <col min="11" max="11" width="1" style="33" customWidth="1"/>
    <col min="12" max="12" width="13.42578125" style="33" customWidth="1"/>
    <col min="13" max="13" width="1.28515625" style="33" customWidth="1"/>
    <col min="14" max="14" width="13.42578125" style="33" customWidth="1"/>
    <col min="15" max="15" width="1.140625" style="33" customWidth="1"/>
    <col min="16" max="16" width="36.42578125" style="33" customWidth="1"/>
    <col min="17" max="17" width="4.5703125" style="33" bestFit="1" customWidth="1"/>
    <col min="18" max="16384" width="9.42578125" style="33"/>
  </cols>
  <sheetData>
    <row r="1" spans="2:17" s="90" customFormat="1" ht="15" customHeight="1" x14ac:dyDescent="0.25">
      <c r="B1" s="2553" t="str">
        <f>+Index!$A$1</f>
        <v xml:space="preserve">                                                               Office of the State Controller                                                                </v>
      </c>
      <c r="C1" s="2553"/>
      <c r="D1" s="2553"/>
      <c r="E1" s="2553"/>
      <c r="F1" s="2553"/>
      <c r="G1" s="2553"/>
      <c r="H1" s="2553"/>
      <c r="I1" s="2553"/>
      <c r="J1" s="2553"/>
      <c r="K1" s="2553"/>
      <c r="L1" s="2553"/>
      <c r="M1" s="2553"/>
      <c r="N1" s="2553"/>
      <c r="O1" s="2553"/>
      <c r="P1" s="2553"/>
      <c r="Q1" s="2626" t="str">
        <f>IF(Index!$B$74="na","NA","")</f>
        <v/>
      </c>
    </row>
    <row r="2" spans="2:17" s="90" customFormat="1" ht="15" customHeight="1" x14ac:dyDescent="0.25">
      <c r="B2" s="2885" t="str">
        <f>+Index!$A$2</f>
        <v>2024 ACFR Worksheets</v>
      </c>
      <c r="C2" s="2885"/>
      <c r="D2" s="2885"/>
      <c r="E2" s="2885"/>
      <c r="F2" s="2885"/>
      <c r="G2" s="2885"/>
      <c r="H2" s="2885"/>
      <c r="I2" s="2885"/>
      <c r="J2" s="2885"/>
      <c r="K2" s="2885"/>
      <c r="L2" s="2885"/>
      <c r="M2" s="2885"/>
      <c r="N2" s="2885"/>
      <c r="O2" s="2885"/>
      <c r="P2" s="2885"/>
      <c r="Q2" s="2626"/>
    </row>
    <row r="3" spans="2:17" s="90" customFormat="1" ht="15" customHeight="1" x14ac:dyDescent="0.25">
      <c r="B3" s="2885" t="s">
        <v>1923</v>
      </c>
      <c r="C3" s="2885"/>
      <c r="D3" s="2885"/>
      <c r="E3" s="2885"/>
      <c r="F3" s="2885"/>
      <c r="G3" s="2885"/>
      <c r="H3" s="2885"/>
      <c r="I3" s="2885"/>
      <c r="J3" s="2885"/>
      <c r="K3" s="2885"/>
      <c r="L3" s="2885"/>
      <c r="M3" s="2885"/>
      <c r="N3" s="2885"/>
      <c r="O3" s="2885"/>
      <c r="P3" s="2885"/>
      <c r="Q3" s="2626"/>
    </row>
    <row r="4" spans="2:17" s="90" customFormat="1" ht="15" customHeight="1" x14ac:dyDescent="0.25">
      <c r="B4" s="2877" t="s">
        <v>1896</v>
      </c>
      <c r="C4" s="2877"/>
      <c r="D4" s="2877"/>
      <c r="E4" s="2877"/>
      <c r="F4" s="2877"/>
      <c r="G4" s="2877"/>
      <c r="H4" s="2877"/>
      <c r="I4" s="2877"/>
      <c r="J4" s="2877"/>
      <c r="K4" s="2877"/>
      <c r="L4" s="2877"/>
      <c r="M4" s="2877"/>
      <c r="N4" s="2877"/>
      <c r="O4" s="2877"/>
      <c r="P4" s="2877"/>
      <c r="Q4" s="2877"/>
    </row>
    <row r="5" spans="2:17" s="90" customFormat="1" ht="15" customHeight="1" x14ac:dyDescent="0.25">
      <c r="B5" s="2883" t="s">
        <v>1910</v>
      </c>
      <c r="C5" s="2883"/>
      <c r="D5" s="2883"/>
      <c r="E5" s="2883"/>
      <c r="F5" s="2883"/>
      <c r="G5" s="2883"/>
      <c r="H5" s="2883"/>
      <c r="I5" s="2883"/>
      <c r="J5" s="2883"/>
      <c r="K5" s="2883"/>
      <c r="L5" s="2883"/>
      <c r="M5" s="2883"/>
      <c r="N5" s="2883"/>
      <c r="O5" s="2883"/>
      <c r="P5" s="2883"/>
      <c r="Q5" s="2883"/>
    </row>
    <row r="6" spans="2:17" s="91" customFormat="1" ht="15" x14ac:dyDescent="0.25">
      <c r="B6" s="92"/>
      <c r="C6" s="1696"/>
      <c r="D6" s="1696"/>
      <c r="E6" s="1696"/>
      <c r="F6" s="1696"/>
      <c r="G6" s="1696"/>
      <c r="H6" s="1696"/>
      <c r="I6" s="1696"/>
      <c r="J6" s="1696"/>
      <c r="K6" s="92"/>
      <c r="L6" s="1696"/>
      <c r="M6" s="1696"/>
      <c r="N6" s="1696"/>
      <c r="O6" s="1696"/>
      <c r="P6" s="1800" t="s">
        <v>6605</v>
      </c>
      <c r="Q6" s="953"/>
    </row>
    <row r="7" spans="2:17" s="91" customFormat="1" ht="15" customHeight="1" x14ac:dyDescent="0.2">
      <c r="B7" s="1697" t="s">
        <v>318</v>
      </c>
      <c r="C7" s="953"/>
      <c r="D7" s="2880" t="str">
        <f>+Index!$E$10</f>
        <v>01</v>
      </c>
      <c r="E7" s="2880"/>
      <c r="F7" s="2880"/>
      <c r="G7" s="2880"/>
      <c r="H7" s="1682"/>
      <c r="I7" s="953"/>
      <c r="J7" s="953"/>
      <c r="K7" s="953"/>
      <c r="L7" s="953"/>
      <c r="M7" s="953"/>
      <c r="N7" s="953"/>
      <c r="O7" s="1698" t="s">
        <v>320</v>
      </c>
      <c r="P7" s="2376" t="str">
        <f>CONCATENATE(Index!$E$12," ",Index!$E$14)</f>
        <v xml:space="preserve"> </v>
      </c>
      <c r="Q7" s="953"/>
    </row>
    <row r="8" spans="2:17" s="91" customFormat="1" ht="15" customHeight="1" x14ac:dyDescent="0.2">
      <c r="B8" s="1697" t="s">
        <v>319</v>
      </c>
      <c r="C8" s="953"/>
      <c r="D8" s="2880" t="str">
        <f>+Index!$E$11</f>
        <v>North Carolina General Assembly</v>
      </c>
      <c r="E8" s="2880"/>
      <c r="F8" s="2880"/>
      <c r="G8" s="2880"/>
      <c r="H8" s="2880"/>
      <c r="I8" s="953"/>
      <c r="J8" s="953"/>
      <c r="K8" s="953"/>
      <c r="L8" s="953"/>
      <c r="M8" s="953"/>
      <c r="N8" s="953"/>
      <c r="O8" s="1698" t="s">
        <v>168</v>
      </c>
      <c r="P8" s="1699">
        <f>+Index!$E$13</f>
        <v>0</v>
      </c>
      <c r="Q8" s="953"/>
    </row>
    <row r="9" spans="2:17" s="91" customFormat="1" ht="15" customHeight="1" x14ac:dyDescent="0.2">
      <c r="B9" s="1697" t="s">
        <v>1899</v>
      </c>
      <c r="C9" s="953"/>
      <c r="D9" s="1700"/>
      <c r="E9" s="953"/>
      <c r="F9" s="953"/>
      <c r="G9" s="953"/>
      <c r="H9" s="953"/>
      <c r="I9" s="953"/>
      <c r="J9" s="953"/>
      <c r="K9" s="953"/>
      <c r="L9" s="953"/>
      <c r="M9" s="953"/>
      <c r="N9" s="953"/>
      <c r="O9" s="953"/>
      <c r="P9" s="953"/>
      <c r="Q9" s="953"/>
    </row>
    <row r="10" spans="2:17" s="91" customFormat="1" ht="15" customHeight="1" thickBot="1" x14ac:dyDescent="0.25">
      <c r="B10" s="1701"/>
      <c r="C10" s="1701"/>
      <c r="D10" s="1701"/>
      <c r="E10" s="1701"/>
      <c r="F10" s="1701"/>
      <c r="G10" s="1701"/>
      <c r="H10" s="1701"/>
      <c r="I10" s="1701"/>
      <c r="J10" s="1701"/>
      <c r="K10" s="1702"/>
      <c r="L10" s="1701"/>
      <c r="M10" s="1701"/>
      <c r="N10" s="1701"/>
      <c r="O10" s="1701"/>
      <c r="P10" s="1701"/>
      <c r="Q10" s="953"/>
    </row>
    <row r="11" spans="2:17" s="91" customFormat="1" ht="15" customHeight="1" thickBot="1" x14ac:dyDescent="0.25">
      <c r="B11" s="609" t="s">
        <v>1924</v>
      </c>
      <c r="C11" s="954"/>
      <c r="D11" s="2382" t="s">
        <v>1911</v>
      </c>
      <c r="E11" s="1121"/>
      <c r="F11" s="2382" t="s">
        <v>1911</v>
      </c>
      <c r="G11" s="953"/>
      <c r="H11" s="953"/>
      <c r="I11" s="92"/>
      <c r="J11" s="2884" t="s">
        <v>1912</v>
      </c>
      <c r="K11" s="2884"/>
      <c r="L11" s="2884"/>
      <c r="M11" s="2884"/>
      <c r="N11" s="2884"/>
      <c r="O11" s="1680"/>
      <c r="P11" s="953"/>
      <c r="Q11" s="953"/>
    </row>
    <row r="12" spans="2:17" s="91" customFormat="1" ht="15" customHeight="1" x14ac:dyDescent="0.2">
      <c r="B12" s="2383" t="s">
        <v>1865</v>
      </c>
      <c r="C12" s="953"/>
      <c r="D12" s="2382" t="s">
        <v>1867</v>
      </c>
      <c r="E12" s="1121"/>
      <c r="F12" s="2382" t="s">
        <v>1573</v>
      </c>
      <c r="G12" s="953"/>
      <c r="H12" s="953"/>
      <c r="I12" s="92"/>
      <c r="J12" s="1121"/>
      <c r="K12" s="1121"/>
      <c r="L12" s="1380" t="s">
        <v>1902</v>
      </c>
      <c r="M12" s="2382"/>
      <c r="N12" s="1380" t="s">
        <v>1903</v>
      </c>
      <c r="O12" s="1121"/>
      <c r="P12" s="953"/>
      <c r="Q12" s="953"/>
    </row>
    <row r="13" spans="2:17" s="91" customFormat="1" ht="15" customHeight="1" thickBot="1" x14ac:dyDescent="0.25">
      <c r="B13" s="93" t="s">
        <v>756</v>
      </c>
      <c r="C13" s="2383"/>
      <c r="D13" s="2378" t="s">
        <v>1709</v>
      </c>
      <c r="E13" s="1121"/>
      <c r="F13" s="2378" t="s">
        <v>1709</v>
      </c>
      <c r="G13" s="953"/>
      <c r="H13" s="93" t="s">
        <v>1359</v>
      </c>
      <c r="I13" s="953"/>
      <c r="J13" s="2378" t="s">
        <v>1408</v>
      </c>
      <c r="K13" s="1703"/>
      <c r="L13" s="1381" t="s">
        <v>1905</v>
      </c>
      <c r="M13" s="2382"/>
      <c r="N13" s="1381" t="s">
        <v>677</v>
      </c>
      <c r="O13" s="1703"/>
      <c r="P13" s="93" t="s">
        <v>1876</v>
      </c>
      <c r="Q13" s="953"/>
    </row>
    <row r="14" spans="2:17" s="91" customFormat="1" ht="15" customHeight="1" x14ac:dyDescent="0.2">
      <c r="B14" s="958">
        <v>21260000</v>
      </c>
      <c r="C14" s="959"/>
      <c r="D14" s="877"/>
      <c r="E14" s="959"/>
      <c r="F14" s="877"/>
      <c r="G14" s="959"/>
      <c r="H14" s="960"/>
      <c r="I14" s="953"/>
      <c r="J14" s="1108"/>
      <c r="K14" s="1121"/>
      <c r="L14" s="1475"/>
      <c r="M14" s="1708"/>
      <c r="N14" s="1474"/>
      <c r="O14" s="953"/>
      <c r="P14" s="1700"/>
      <c r="Q14" s="953"/>
    </row>
    <row r="15" spans="2:17" s="91" customFormat="1" ht="15" customHeight="1" x14ac:dyDescent="0.2">
      <c r="B15" s="958">
        <v>21260000</v>
      </c>
      <c r="C15" s="959"/>
      <c r="D15" s="877"/>
      <c r="E15" s="959"/>
      <c r="F15" s="877"/>
      <c r="G15" s="959"/>
      <c r="H15" s="960"/>
      <c r="I15" s="953"/>
      <c r="J15" s="1108"/>
      <c r="K15" s="1121"/>
      <c r="L15" s="1475"/>
      <c r="M15" s="1708"/>
      <c r="N15" s="1474"/>
      <c r="O15" s="953"/>
      <c r="P15" s="1700"/>
      <c r="Q15" s="953"/>
    </row>
    <row r="16" spans="2:17" s="91" customFormat="1" ht="15" customHeight="1" x14ac:dyDescent="0.2">
      <c r="B16" s="958">
        <v>21260000</v>
      </c>
      <c r="C16" s="959"/>
      <c r="D16" s="877"/>
      <c r="E16" s="959"/>
      <c r="F16" s="877"/>
      <c r="G16" s="959"/>
      <c r="H16" s="960"/>
      <c r="I16" s="953"/>
      <c r="J16" s="1108"/>
      <c r="K16" s="1121"/>
      <c r="L16" s="1475"/>
      <c r="M16" s="1708"/>
      <c r="N16" s="1474"/>
      <c r="O16" s="953"/>
      <c r="P16" s="1700"/>
      <c r="Q16" s="953"/>
    </row>
    <row r="17" spans="2:17" s="91" customFormat="1" ht="15" customHeight="1" x14ac:dyDescent="0.2">
      <c r="B17" s="958">
        <v>21260000</v>
      </c>
      <c r="C17" s="959"/>
      <c r="D17" s="877"/>
      <c r="E17" s="959"/>
      <c r="F17" s="877"/>
      <c r="G17" s="959"/>
      <c r="H17" s="960"/>
      <c r="I17" s="953"/>
      <c r="J17" s="1108"/>
      <c r="K17" s="1121"/>
      <c r="L17" s="1475"/>
      <c r="M17" s="1708"/>
      <c r="N17" s="1474"/>
      <c r="O17" s="953"/>
      <c r="P17" s="1700"/>
      <c r="Q17" s="953"/>
    </row>
    <row r="18" spans="2:17" s="91" customFormat="1" ht="15" customHeight="1" x14ac:dyDescent="0.2">
      <c r="B18" s="958">
        <v>21260000</v>
      </c>
      <c r="C18" s="959"/>
      <c r="D18" s="877"/>
      <c r="E18" s="959"/>
      <c r="F18" s="877"/>
      <c r="G18" s="959"/>
      <c r="H18" s="960"/>
      <c r="I18" s="953"/>
      <c r="J18" s="1700"/>
      <c r="K18" s="953"/>
      <c r="L18" s="1710"/>
      <c r="M18" s="1711"/>
      <c r="N18" s="1474"/>
      <c r="O18" s="953"/>
      <c r="P18" s="1700"/>
      <c r="Q18" s="953"/>
    </row>
    <row r="19" spans="2:17" s="91" customFormat="1" ht="15" customHeight="1" x14ac:dyDescent="0.2">
      <c r="B19" s="958">
        <v>21260000</v>
      </c>
      <c r="C19" s="959"/>
      <c r="D19" s="877"/>
      <c r="E19" s="959"/>
      <c r="F19" s="877"/>
      <c r="G19" s="959"/>
      <c r="H19" s="960"/>
      <c r="I19" s="953"/>
      <c r="J19" s="1700"/>
      <c r="K19" s="953"/>
      <c r="L19" s="1710"/>
      <c r="M19" s="1711"/>
      <c r="N19" s="1474"/>
      <c r="O19" s="953"/>
      <c r="P19" s="1700"/>
      <c r="Q19" s="953"/>
    </row>
    <row r="20" spans="2:17" s="91" customFormat="1" ht="15" customHeight="1" x14ac:dyDescent="0.2">
      <c r="B20" s="958">
        <v>21260000</v>
      </c>
      <c r="C20" s="959"/>
      <c r="D20" s="877"/>
      <c r="E20" s="959"/>
      <c r="F20" s="877"/>
      <c r="G20" s="959"/>
      <c r="H20" s="960"/>
      <c r="I20" s="953"/>
      <c r="J20" s="1700"/>
      <c r="K20" s="953"/>
      <c r="L20" s="1710"/>
      <c r="M20" s="1711"/>
      <c r="N20" s="1474"/>
      <c r="O20" s="953"/>
      <c r="P20" s="1700"/>
      <c r="Q20" s="953"/>
    </row>
    <row r="21" spans="2:17" s="91" customFormat="1" ht="15" customHeight="1" x14ac:dyDescent="0.2">
      <c r="B21" s="958">
        <v>21260000</v>
      </c>
      <c r="C21" s="959"/>
      <c r="D21" s="877"/>
      <c r="E21" s="959"/>
      <c r="F21" s="877"/>
      <c r="G21" s="959"/>
      <c r="H21" s="960"/>
      <c r="I21" s="953"/>
      <c r="J21" s="1700"/>
      <c r="K21" s="953"/>
      <c r="L21" s="1710"/>
      <c r="M21" s="1711"/>
      <c r="N21" s="1474"/>
      <c r="O21" s="953"/>
      <c r="P21" s="1700"/>
      <c r="Q21" s="953"/>
    </row>
    <row r="22" spans="2:17" s="91" customFormat="1" ht="15" customHeight="1" x14ac:dyDescent="0.2">
      <c r="B22" s="958">
        <v>21260000</v>
      </c>
      <c r="C22" s="959"/>
      <c r="D22" s="877"/>
      <c r="E22" s="959"/>
      <c r="F22" s="877"/>
      <c r="G22" s="959"/>
      <c r="H22" s="960"/>
      <c r="I22" s="953"/>
      <c r="J22" s="1700"/>
      <c r="K22" s="953"/>
      <c r="L22" s="1710"/>
      <c r="M22" s="1711"/>
      <c r="N22" s="1474"/>
      <c r="O22" s="953"/>
      <c r="P22" s="1700"/>
      <c r="Q22" s="953"/>
    </row>
    <row r="23" spans="2:17" s="91" customFormat="1" ht="15" customHeight="1" x14ac:dyDescent="0.2">
      <c r="B23" s="958">
        <v>21260000</v>
      </c>
      <c r="C23" s="959"/>
      <c r="D23" s="877"/>
      <c r="E23" s="959"/>
      <c r="F23" s="877"/>
      <c r="G23" s="959"/>
      <c r="H23" s="960"/>
      <c r="I23" s="953"/>
      <c r="J23" s="1700"/>
      <c r="K23" s="953"/>
      <c r="L23" s="1710"/>
      <c r="M23" s="1711"/>
      <c r="N23" s="1474"/>
      <c r="O23" s="953"/>
      <c r="P23" s="1700"/>
      <c r="Q23" s="953"/>
    </row>
    <row r="24" spans="2:17" s="91" customFormat="1" ht="15" customHeight="1" x14ac:dyDescent="0.2">
      <c r="B24" s="958">
        <v>21260000</v>
      </c>
      <c r="C24" s="959"/>
      <c r="D24" s="877"/>
      <c r="E24" s="959"/>
      <c r="F24" s="877"/>
      <c r="G24" s="959"/>
      <c r="H24" s="960"/>
      <c r="I24" s="953"/>
      <c r="J24" s="1700"/>
      <c r="K24" s="953"/>
      <c r="L24" s="1710"/>
      <c r="M24" s="1711"/>
      <c r="N24" s="1474"/>
      <c r="O24" s="953"/>
      <c r="P24" s="1700"/>
      <c r="Q24" s="953"/>
    </row>
    <row r="25" spans="2:17" s="91" customFormat="1" ht="15" customHeight="1" x14ac:dyDescent="0.2">
      <c r="B25" s="958">
        <v>21260000</v>
      </c>
      <c r="C25" s="959"/>
      <c r="D25" s="877"/>
      <c r="E25" s="959"/>
      <c r="F25" s="877"/>
      <c r="G25" s="959"/>
      <c r="H25" s="960"/>
      <c r="I25" s="953"/>
      <c r="J25" s="1700"/>
      <c r="K25" s="953"/>
      <c r="L25" s="1710"/>
      <c r="M25" s="1711"/>
      <c r="N25" s="1474"/>
      <c r="O25" s="953"/>
      <c r="P25" s="1700"/>
      <c r="Q25" s="953"/>
    </row>
    <row r="26" spans="2:17" s="91" customFormat="1" ht="15" customHeight="1" x14ac:dyDescent="0.2">
      <c r="B26" s="958">
        <v>21260000</v>
      </c>
      <c r="C26" s="959"/>
      <c r="D26" s="877"/>
      <c r="E26" s="959"/>
      <c r="F26" s="877"/>
      <c r="G26" s="959"/>
      <c r="H26" s="960"/>
      <c r="I26" s="953"/>
      <c r="J26" s="1700"/>
      <c r="K26" s="953"/>
      <c r="L26" s="1710"/>
      <c r="M26" s="1711"/>
      <c r="N26" s="1474"/>
      <c r="O26" s="953"/>
      <c r="P26" s="1700"/>
      <c r="Q26" s="953"/>
    </row>
    <row r="27" spans="2:17" s="91" customFormat="1" ht="15" customHeight="1" x14ac:dyDescent="0.2">
      <c r="B27" s="958">
        <v>21260000</v>
      </c>
      <c r="C27" s="959"/>
      <c r="D27" s="877"/>
      <c r="E27" s="959"/>
      <c r="F27" s="877"/>
      <c r="G27" s="959"/>
      <c r="H27" s="960"/>
      <c r="I27" s="953"/>
      <c r="J27" s="1700"/>
      <c r="K27" s="953"/>
      <c r="L27" s="1710"/>
      <c r="M27" s="1711"/>
      <c r="N27" s="1474"/>
      <c r="O27" s="953"/>
      <c r="P27" s="1700"/>
      <c r="Q27" s="953"/>
    </row>
    <row r="28" spans="2:17" s="91" customFormat="1" ht="15" customHeight="1" x14ac:dyDescent="0.2">
      <c r="B28" s="958">
        <v>21260000</v>
      </c>
      <c r="C28" s="959"/>
      <c r="D28" s="877"/>
      <c r="E28" s="959"/>
      <c r="F28" s="877"/>
      <c r="G28" s="959"/>
      <c r="H28" s="960"/>
      <c r="I28" s="953"/>
      <c r="J28" s="1700"/>
      <c r="K28" s="953"/>
      <c r="L28" s="1710"/>
      <c r="M28" s="1711"/>
      <c r="N28" s="1474"/>
      <c r="O28" s="953"/>
      <c r="P28" s="1700"/>
      <c r="Q28" s="953"/>
    </row>
    <row r="29" spans="2:17" s="91" customFormat="1" ht="15" customHeight="1" x14ac:dyDescent="0.2">
      <c r="B29" s="958">
        <v>21260000</v>
      </c>
      <c r="C29" s="959"/>
      <c r="D29" s="877"/>
      <c r="E29" s="959"/>
      <c r="F29" s="877"/>
      <c r="G29" s="959"/>
      <c r="H29" s="960"/>
      <c r="I29" s="953"/>
      <c r="J29" s="1700"/>
      <c r="K29" s="953"/>
      <c r="L29" s="1710"/>
      <c r="M29" s="1711"/>
      <c r="N29" s="1474"/>
      <c r="O29" s="953"/>
      <c r="P29" s="1700"/>
      <c r="Q29" s="953"/>
    </row>
    <row r="30" spans="2:17" s="91" customFormat="1" ht="15" customHeight="1" x14ac:dyDescent="0.2">
      <c r="B30" s="958">
        <v>21260000</v>
      </c>
      <c r="C30" s="959"/>
      <c r="D30" s="877"/>
      <c r="E30" s="959"/>
      <c r="F30" s="877"/>
      <c r="G30" s="959"/>
      <c r="H30" s="960"/>
      <c r="I30" s="953"/>
      <c r="J30" s="1700"/>
      <c r="K30" s="953"/>
      <c r="L30" s="1710"/>
      <c r="M30" s="1711"/>
      <c r="N30" s="1474"/>
      <c r="O30" s="953"/>
      <c r="P30" s="1700"/>
      <c r="Q30" s="953"/>
    </row>
    <row r="31" spans="2:17" s="91" customFormat="1" ht="15" customHeight="1" x14ac:dyDescent="0.2">
      <c r="B31" s="958">
        <v>21260000</v>
      </c>
      <c r="C31" s="959"/>
      <c r="D31" s="877"/>
      <c r="E31" s="959"/>
      <c r="F31" s="877"/>
      <c r="G31" s="959"/>
      <c r="H31" s="960"/>
      <c r="I31" s="953"/>
      <c r="J31" s="1700"/>
      <c r="K31" s="953"/>
      <c r="L31" s="1710"/>
      <c r="M31" s="1711"/>
      <c r="N31" s="1474"/>
      <c r="O31" s="953"/>
      <c r="P31" s="1700"/>
      <c r="Q31" s="953"/>
    </row>
    <row r="32" spans="2:17" s="91" customFormat="1" ht="15" customHeight="1" thickBot="1" x14ac:dyDescent="0.25">
      <c r="B32" s="953"/>
      <c r="C32" s="953"/>
      <c r="D32" s="953"/>
      <c r="E32" s="2383"/>
      <c r="F32" s="2383" t="s">
        <v>1913</v>
      </c>
      <c r="G32" s="2383"/>
      <c r="H32" s="961">
        <f>SUM(H14:H31)</f>
        <v>0</v>
      </c>
      <c r="I32" s="953"/>
      <c r="J32" s="125" t="s">
        <v>6557</v>
      </c>
      <c r="K32" s="953"/>
      <c r="L32" s="953"/>
      <c r="M32" s="953"/>
      <c r="N32" s="953"/>
      <c r="O32" s="953"/>
      <c r="P32" s="953"/>
      <c r="Q32" s="953"/>
    </row>
    <row r="33" spans="1:16" s="91" customFormat="1" ht="7.35" customHeight="1" x14ac:dyDescent="0.2">
      <c r="A33" s="953"/>
      <c r="B33" s="953"/>
      <c r="C33" s="953"/>
      <c r="D33" s="953"/>
      <c r="E33" s="2383"/>
      <c r="F33" s="2383"/>
      <c r="G33" s="2383"/>
      <c r="H33" s="953"/>
      <c r="I33" s="953"/>
      <c r="J33" s="953"/>
      <c r="K33" s="953"/>
      <c r="L33" s="953"/>
      <c r="M33" s="953"/>
      <c r="N33" s="953"/>
      <c r="O33" s="2383"/>
      <c r="P33" s="953"/>
    </row>
    <row r="34" spans="1:16" s="91" customFormat="1" ht="15" customHeight="1" x14ac:dyDescent="0.2">
      <c r="A34" s="953"/>
      <c r="B34" s="125" t="s">
        <v>1907</v>
      </c>
      <c r="C34" s="953"/>
      <c r="D34" s="953"/>
      <c r="E34" s="2383"/>
      <c r="F34" s="2383"/>
      <c r="G34" s="2383"/>
      <c r="H34" s="953"/>
      <c r="I34" s="953"/>
      <c r="J34" s="953"/>
      <c r="K34" s="953"/>
      <c r="L34" s="953"/>
      <c r="M34" s="953"/>
      <c r="N34" s="953"/>
      <c r="O34" s="2383"/>
      <c r="P34" s="953"/>
    </row>
    <row r="35" spans="1:16" s="91" customFormat="1" ht="15" customHeight="1" x14ac:dyDescent="0.2">
      <c r="A35" s="953"/>
      <c r="B35" s="953"/>
      <c r="C35" s="953"/>
      <c r="D35" s="953"/>
      <c r="E35" s="2383"/>
      <c r="F35" s="2383"/>
      <c r="G35" s="2383"/>
      <c r="H35" s="953"/>
      <c r="I35" s="953"/>
      <c r="J35" s="953"/>
      <c r="K35" s="953"/>
      <c r="L35" s="953"/>
      <c r="M35" s="953"/>
      <c r="N35" s="953"/>
      <c r="O35" s="2383"/>
      <c r="P35" s="953"/>
    </row>
    <row r="36" spans="1:16" s="91" customFormat="1" ht="15" customHeight="1" x14ac:dyDescent="0.2">
      <c r="A36" s="953"/>
      <c r="B36" s="953"/>
      <c r="C36" s="953"/>
      <c r="D36" s="953"/>
      <c r="E36" s="2383"/>
      <c r="F36" s="2383"/>
      <c r="G36" s="2383"/>
      <c r="H36" s="953"/>
      <c r="I36" s="953"/>
      <c r="J36" s="953"/>
      <c r="K36" s="953"/>
      <c r="L36" s="953"/>
      <c r="M36" s="953"/>
      <c r="N36" s="953"/>
      <c r="O36" s="2383"/>
      <c r="P36" s="953"/>
    </row>
    <row r="37" spans="1:16" s="91" customFormat="1" ht="15" customHeight="1" x14ac:dyDescent="0.2">
      <c r="A37" s="953"/>
      <c r="B37" s="953"/>
      <c r="C37" s="953"/>
      <c r="D37" s="953"/>
      <c r="E37" s="2383"/>
      <c r="F37" s="2383"/>
      <c r="G37" s="2383"/>
      <c r="H37" s="953"/>
      <c r="I37" s="953"/>
      <c r="J37" s="953"/>
      <c r="K37" s="953"/>
      <c r="L37" s="953"/>
      <c r="M37" s="953"/>
      <c r="N37" s="953"/>
      <c r="O37" s="2383"/>
      <c r="P37" s="953"/>
    </row>
    <row r="38" spans="1:16" s="91" customFormat="1" ht="15" customHeight="1" x14ac:dyDescent="0.2">
      <c r="A38" s="421" t="str">
        <f ca="1">MID(CELL("filename",A3),FIND("]",CELL("filename",A3))+1,256)</f>
        <v>530</v>
      </c>
      <c r="B38" s="421" t="s">
        <v>613</v>
      </c>
      <c r="C38" s="953"/>
      <c r="D38" s="953"/>
      <c r="E38" s="2383"/>
      <c r="F38" s="2383"/>
      <c r="G38" s="2383"/>
      <c r="H38" s="953"/>
      <c r="I38" s="953"/>
      <c r="J38" s="953"/>
      <c r="K38" s="953"/>
      <c r="L38" s="953"/>
      <c r="M38" s="953"/>
      <c r="N38" s="953"/>
      <c r="O38" s="2383"/>
      <c r="P38" s="953"/>
    </row>
    <row r="39" spans="1:16" s="91" customFormat="1" ht="15" customHeight="1" x14ac:dyDescent="0.2">
      <c r="A39" s="421" t="s">
        <v>401</v>
      </c>
      <c r="B39" s="421" t="str">
        <f t="shared" ref="B39:B48" ca="1" si="0">IF(ISNA(INDEX(ErrorTable,MATCH($A$38&amp;$A39&amp;FALSE,ErrorKey,0),6)),"",INDEX(ErrorTable,MATCH($A$38&amp;$A39&amp;FALSE,ErrorKey,0),6))</f>
        <v/>
      </c>
      <c r="C39" s="953"/>
      <c r="D39" s="953"/>
      <c r="E39" s="2383"/>
      <c r="F39" s="2383"/>
      <c r="G39" s="2383"/>
      <c r="H39" s="953"/>
      <c r="I39" s="953"/>
      <c r="J39" s="953"/>
      <c r="K39" s="953"/>
      <c r="L39" s="953"/>
      <c r="M39" s="953"/>
      <c r="N39" s="953"/>
      <c r="O39" s="2383"/>
      <c r="P39" s="953"/>
    </row>
    <row r="40" spans="1:16" s="91" customFormat="1" ht="15" customHeight="1" x14ac:dyDescent="0.2">
      <c r="A40" s="421" t="s">
        <v>402</v>
      </c>
      <c r="B40" s="421" t="str">
        <f t="shared" ca="1" si="0"/>
        <v/>
      </c>
      <c r="C40" s="953"/>
      <c r="D40" s="953"/>
      <c r="E40" s="2383"/>
      <c r="F40" s="2383"/>
      <c r="G40" s="2383"/>
      <c r="H40" s="953"/>
      <c r="I40" s="953"/>
      <c r="J40" s="953"/>
      <c r="K40" s="953"/>
      <c r="L40" s="953"/>
      <c r="M40" s="953"/>
      <c r="N40" s="953"/>
      <c r="O40" s="2383"/>
      <c r="P40" s="953"/>
    </row>
    <row r="41" spans="1:16" s="91" customFormat="1" ht="15" customHeight="1" x14ac:dyDescent="0.2">
      <c r="A41" s="421" t="s">
        <v>403</v>
      </c>
      <c r="B41" s="421" t="str">
        <f t="shared" ca="1" si="0"/>
        <v/>
      </c>
      <c r="C41" s="953"/>
      <c r="D41" s="953"/>
      <c r="E41" s="2383"/>
      <c r="F41" s="2383"/>
      <c r="G41" s="2383"/>
      <c r="H41" s="953"/>
      <c r="I41" s="953"/>
      <c r="J41" s="953"/>
      <c r="K41" s="953"/>
      <c r="L41" s="953"/>
      <c r="M41" s="953"/>
      <c r="N41" s="953"/>
      <c r="O41" s="2383"/>
      <c r="P41" s="953"/>
    </row>
    <row r="42" spans="1:16" s="91" customFormat="1" ht="15" customHeight="1" x14ac:dyDescent="0.2">
      <c r="A42" s="421" t="s">
        <v>404</v>
      </c>
      <c r="B42" s="421" t="str">
        <f t="shared" ca="1" si="0"/>
        <v/>
      </c>
      <c r="C42" s="953"/>
      <c r="D42" s="953"/>
      <c r="E42" s="2383"/>
      <c r="F42" s="2383"/>
      <c r="G42" s="2383"/>
      <c r="H42" s="953"/>
      <c r="I42" s="953"/>
      <c r="J42" s="953"/>
      <c r="K42" s="953"/>
      <c r="L42" s="953"/>
      <c r="M42" s="953"/>
      <c r="N42" s="953"/>
      <c r="O42" s="2383"/>
      <c r="P42" s="953"/>
    </row>
    <row r="43" spans="1:16" s="91" customFormat="1" ht="15" customHeight="1" x14ac:dyDescent="0.2">
      <c r="A43" s="421" t="s">
        <v>405</v>
      </c>
      <c r="B43" s="421" t="str">
        <f t="shared" ca="1" si="0"/>
        <v/>
      </c>
      <c r="C43" s="953"/>
      <c r="D43" s="953"/>
      <c r="E43" s="2383"/>
      <c r="F43" s="2383"/>
      <c r="G43" s="2383"/>
      <c r="H43" s="953"/>
      <c r="I43" s="953"/>
      <c r="J43" s="953"/>
      <c r="K43" s="953"/>
      <c r="L43" s="953"/>
      <c r="M43" s="953"/>
      <c r="N43" s="953"/>
      <c r="O43" s="2383"/>
      <c r="P43" s="953"/>
    </row>
    <row r="44" spans="1:16" ht="20.85" customHeight="1" x14ac:dyDescent="0.25">
      <c r="A44" s="421" t="s">
        <v>406</v>
      </c>
      <c r="B44" s="421" t="str">
        <f t="shared" ca="1" si="0"/>
        <v/>
      </c>
      <c r="D44" s="35" t="s">
        <v>50</v>
      </c>
      <c r="E44" s="35"/>
      <c r="F44" s="35"/>
      <c r="G44" s="35"/>
      <c r="H44" s="35"/>
      <c r="I44" s="35"/>
      <c r="J44" s="35"/>
      <c r="K44" s="35"/>
    </row>
    <row r="45" spans="1:16" ht="20.85" customHeight="1" x14ac:dyDescent="0.25">
      <c r="A45" s="421" t="s">
        <v>407</v>
      </c>
      <c r="B45" s="421" t="str">
        <f t="shared" ca="1" si="0"/>
        <v/>
      </c>
      <c r="D45" s="35" t="s">
        <v>50</v>
      </c>
      <c r="E45" s="35"/>
      <c r="F45" s="35"/>
      <c r="G45" s="35"/>
      <c r="L45" s="34" t="s">
        <v>50</v>
      </c>
      <c r="M45" s="34"/>
      <c r="N45" s="34"/>
      <c r="O45" s="34"/>
    </row>
    <row r="46" spans="1:16" ht="20.85" customHeight="1" x14ac:dyDescent="0.25">
      <c r="A46" s="421" t="s">
        <v>408</v>
      </c>
      <c r="B46" s="421" t="str">
        <f t="shared" ca="1" si="0"/>
        <v/>
      </c>
    </row>
    <row r="47" spans="1:16" ht="20.85" customHeight="1" x14ac:dyDescent="0.25">
      <c r="A47" s="421" t="s">
        <v>409</v>
      </c>
      <c r="B47" s="421" t="str">
        <f t="shared" ca="1" si="0"/>
        <v/>
      </c>
    </row>
    <row r="48" spans="1:16" ht="20.85" customHeight="1" x14ac:dyDescent="0.25">
      <c r="A48" s="421" t="s">
        <v>410</v>
      </c>
      <c r="B48" s="421" t="str">
        <f t="shared" ca="1" si="0"/>
        <v/>
      </c>
    </row>
    <row r="49" spans="4:15" ht="20.85" customHeight="1" x14ac:dyDescent="0.25"/>
    <row r="50" spans="4:15" ht="20.85" customHeight="1" x14ac:dyDescent="0.25"/>
    <row r="51" spans="4:15" ht="20.85" customHeight="1" x14ac:dyDescent="0.25"/>
    <row r="52" spans="4:15" ht="20.85" customHeight="1" x14ac:dyDescent="0.25">
      <c r="D52" s="33" t="s">
        <v>50</v>
      </c>
    </row>
    <row r="53" spans="4:15" ht="20.85" customHeight="1" x14ac:dyDescent="0.25"/>
    <row r="54" spans="4:15" ht="20.85" customHeight="1" x14ac:dyDescent="0.25"/>
    <row r="55" spans="4:15" ht="20.85" customHeight="1" x14ac:dyDescent="0.25">
      <c r="D55" s="35" t="s">
        <v>50</v>
      </c>
      <c r="E55" s="35"/>
      <c r="F55" s="35"/>
      <c r="G55" s="35"/>
      <c r="L55" s="34" t="s">
        <v>50</v>
      </c>
      <c r="M55" s="34"/>
      <c r="N55" s="34"/>
      <c r="O55" s="34"/>
    </row>
  </sheetData>
  <sheetProtection algorithmName="SHA-512" hashValue="g+XxCdYlanUr8pnKM0S6nng5gfKF24zf7TehZTAO4jeMYkdfeqx7zVNLMappHUIyZwls0n0nICyF/VR4l5xpQA==" saltValue="uYZ+/mjvnwTTqATwihEaTQ==" spinCount="100000" sheet="1" autoFilter="0"/>
  <dataConsolidate link="1"/>
  <customSheetViews>
    <customSheetView guid="{9FCFC836-1CA5-48BF-958D-24D2EA94B219}" showGridLines="0" fitToPage="1" hiddenColumns="1" topLeftCell="B1">
      <selection activeCell="B12" sqref="B12"/>
      <pageMargins left="0" right="0" top="0" bottom="0" header="0" footer="0"/>
      <printOptions horizontalCentered="1"/>
      <pageSetup orientation="landscape" blackAndWhite="1" r:id="rId1"/>
      <headerFooter alignWithMargins="0">
        <oddFooter>&amp;R&amp;A</oddFooter>
      </headerFooter>
    </customSheetView>
    <customSheetView guid="{BEA4BE86-04D1-4C96-9358-7A260B9D2B2D}" showGridLines="0" fitToPage="1" showRuler="0">
      <selection sqref="A1:M1"/>
      <pageMargins left="0" right="0" top="0" bottom="0" header="0" footer="0"/>
      <printOptions horizontalCentered="1"/>
      <pageSetup orientation="landscape" blackAndWhite="1" horizontalDpi="300" verticalDpi="300" r:id="rId2"/>
      <headerFooter alignWithMargins="0">
        <oddFooter>&amp;R&amp;A</oddFooter>
      </headerFooter>
    </customSheetView>
    <customSheetView guid="{1250FD07-FF56-4A9D-AF9E-C27124A7EBE9}" showGridLines="0" fitToPage="1" showRuler="0">
      <selection sqref="A1:M1"/>
      <pageMargins left="0" right="0" top="0" bottom="0" header="0" footer="0"/>
      <printOptions horizontalCentered="1"/>
      <pageSetup orientation="landscape" blackAndWhite="1" horizontalDpi="300" verticalDpi="300" r:id="rId3"/>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rintOptions horizontalCentered="1"/>
      <pageSetup orientation="landscape" blackAndWhite="1" r:id="rId4"/>
      <headerFooter alignWithMargins="0">
        <oddFooter>&amp;R&amp;A</oddFooter>
      </headerFooter>
    </customSheetView>
  </customSheetViews>
  <mergeCells count="9">
    <mergeCell ref="D8:H8"/>
    <mergeCell ref="B4:Q4"/>
    <mergeCell ref="J11:N11"/>
    <mergeCell ref="Q1:Q3"/>
    <mergeCell ref="B1:P1"/>
    <mergeCell ref="B2:P2"/>
    <mergeCell ref="B3:P3"/>
    <mergeCell ref="D7:G7"/>
    <mergeCell ref="B5:Q5"/>
  </mergeCells>
  <phoneticPr fontId="18" type="noConversion"/>
  <conditionalFormatting sqref="Q1:Q3">
    <cfRule type="cellIs" dxfId="63" priority="1" stopIfTrue="1" operator="equal">
      <formula>"na"</formula>
    </cfRule>
  </conditionalFormatting>
  <hyperlinks>
    <hyperlink ref="B1:P1" location="Index!A1" display="Index!A1" xr:uid="{00000000-0004-0000-2C00-000000000000}"/>
  </hyperlinks>
  <pageMargins left="0.6" right="0.6" top="0.5" bottom="0.5" header="0.3" footer="0.3"/>
  <pageSetup scale="91" orientation="landscape" r:id="rId5"/>
  <extLst>
    <ext xmlns:x14="http://schemas.microsoft.com/office/spreadsheetml/2009/9/main" uri="{CCE6A557-97BC-4b89-ADB6-D9C93CAAB3DF}">
      <x14:dataValidations xmlns:xm="http://schemas.microsoft.com/office/excel/2006/main" count="2">
        <x14:dataValidation type="list" allowBlank="1" showInputMessage="1" showErrorMessage="1" xr:uid="{B0599ABB-46E8-49C8-A1FA-832C6C18E9D4}">
          <x14:formula1>
            <xm:f>OFFSET(AgencyGASBRepository!$E$8,,,COUNTIF(AgencyGASBRepository!$E$8:$E$210,"?*"))</xm:f>
          </x14:formula1>
          <xm:sqref>D14:D31</xm:sqref>
        </x14:dataValidation>
        <x14:dataValidation type="list" allowBlank="1" showInputMessage="1" showErrorMessage="1" xr:uid="{EB46EB54-6FB9-44FD-99A5-3163627CDF4F}">
          <x14:formula1>
            <xm:f>OFFSET(AgencyGASBRepository!$F$7,MATCH($D14,AgencyGASBRepository!$E$8:$E$1000,0),,,COUNTIF(OFFSET(AgencyGASBRepository!$F$7,MATCH($D14,AgencyGASBRepository!$E$8:$E$1000,0),,1,50),"?*"))</xm:f>
          </x14:formula1>
          <xm:sqref>F14:F31</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13">
    <pageSetUpPr fitToPage="1"/>
  </sheetPr>
  <dimension ref="A1:P57"/>
  <sheetViews>
    <sheetView showGridLines="0" topLeftCell="B1" zoomScaleNormal="100" workbookViewId="0">
      <selection activeCell="L4" sqref="L4:P4"/>
    </sheetView>
  </sheetViews>
  <sheetFormatPr defaultColWidth="9.42578125" defaultRowHeight="15.75" x14ac:dyDescent="0.25"/>
  <cols>
    <col min="1" max="1" width="0" style="33" hidden="1" customWidth="1"/>
    <col min="2" max="2" width="13.5703125" style="33" customWidth="1"/>
    <col min="3" max="3" width="1.5703125" style="33" customWidth="1"/>
    <col min="4" max="4" width="7.5703125" style="33" bestFit="1" customWidth="1"/>
    <col min="5" max="5" width="1.5703125" style="33" customWidth="1"/>
    <col min="6" max="6" width="8.5703125" style="33" customWidth="1"/>
    <col min="7" max="7" width="1.5703125" style="33" customWidth="1"/>
    <col min="8" max="8" width="16.85546875" style="33" customWidth="1"/>
    <col min="9" max="9" width="1.5703125" style="33" customWidth="1"/>
    <col min="10" max="10" width="15.42578125" style="33" customWidth="1"/>
    <col min="11" max="11" width="0.5703125" style="33" customWidth="1"/>
    <col min="12" max="12" width="13.42578125" style="33" customWidth="1"/>
    <col min="13" max="13" width="1.28515625" style="33" customWidth="1"/>
    <col min="14" max="14" width="13.42578125" style="33" customWidth="1"/>
    <col min="15" max="15" width="1.42578125" style="33" customWidth="1"/>
    <col min="16" max="16" width="36.42578125" style="33" customWidth="1"/>
    <col min="17" max="16384" width="9.42578125" style="33"/>
  </cols>
  <sheetData>
    <row r="1" spans="2:16" s="90" customFormat="1" ht="15" customHeight="1" x14ac:dyDescent="0.25">
      <c r="B1" s="2553" t="str">
        <f>+Index!$A$1</f>
        <v xml:space="preserve">                                                               Office of the State Controller                                                                </v>
      </c>
      <c r="C1" s="2553"/>
      <c r="D1" s="2553"/>
      <c r="E1" s="2553"/>
      <c r="F1" s="2553"/>
      <c r="G1" s="2553"/>
      <c r="H1" s="2553"/>
      <c r="I1" s="2553"/>
      <c r="J1" s="2553"/>
      <c r="K1" s="2553"/>
      <c r="L1" s="2553"/>
      <c r="M1" s="2553"/>
      <c r="N1" s="2553"/>
      <c r="O1" s="2553"/>
      <c r="P1" s="2553"/>
    </row>
    <row r="2" spans="2:16" s="90" customFormat="1" ht="15" customHeight="1" x14ac:dyDescent="0.25">
      <c r="B2" s="2885" t="str">
        <f>+Index!$A$2</f>
        <v>2024 ACFR Worksheets</v>
      </c>
      <c r="C2" s="2885"/>
      <c r="D2" s="2885"/>
      <c r="E2" s="2885"/>
      <c r="F2" s="2885"/>
      <c r="G2" s="2885"/>
      <c r="H2" s="2885"/>
      <c r="I2" s="2885"/>
      <c r="J2" s="2885"/>
      <c r="K2" s="2885"/>
      <c r="L2" s="2885"/>
      <c r="M2" s="2885"/>
      <c r="N2" s="2885"/>
      <c r="O2" s="2885"/>
      <c r="P2" s="2885"/>
    </row>
    <row r="3" spans="2:16" s="90" customFormat="1" ht="15" customHeight="1" x14ac:dyDescent="0.25">
      <c r="B3" s="2885" t="s">
        <v>1925</v>
      </c>
      <c r="C3" s="2885"/>
      <c r="D3" s="2885"/>
      <c r="E3" s="2885"/>
      <c r="F3" s="2885"/>
      <c r="G3" s="2885"/>
      <c r="H3" s="2885"/>
      <c r="I3" s="2885"/>
      <c r="J3" s="2885"/>
      <c r="K3" s="2885"/>
      <c r="L3" s="2885"/>
      <c r="M3" s="2885"/>
      <c r="N3" s="2885"/>
      <c r="O3" s="2885"/>
      <c r="P3" s="2885"/>
    </row>
    <row r="4" spans="2:16" s="91" customFormat="1" ht="15" customHeight="1" x14ac:dyDescent="0.2">
      <c r="B4" s="92"/>
      <c r="C4" s="1696"/>
      <c r="D4" s="1696"/>
      <c r="E4" s="1696"/>
      <c r="F4" s="1696"/>
      <c r="G4" s="1696"/>
      <c r="H4" s="1696"/>
      <c r="I4" s="1696"/>
      <c r="J4" s="1696"/>
      <c r="K4" s="92"/>
      <c r="L4" s="2886" t="s">
        <v>6606</v>
      </c>
      <c r="M4" s="2886"/>
      <c r="N4" s="2886"/>
      <c r="O4" s="2886"/>
      <c r="P4" s="2886"/>
    </row>
    <row r="5" spans="2:16" s="91" customFormat="1" ht="15" customHeight="1" x14ac:dyDescent="0.2">
      <c r="B5" s="1697" t="s">
        <v>318</v>
      </c>
      <c r="C5" s="953"/>
      <c r="D5" s="2880" t="str">
        <f>+Index!$E$10</f>
        <v>01</v>
      </c>
      <c r="E5" s="2880"/>
      <c r="F5" s="2880"/>
      <c r="G5" s="2880"/>
      <c r="H5" s="1682"/>
      <c r="I5" s="953"/>
      <c r="J5" s="953"/>
      <c r="K5" s="953"/>
      <c r="L5" s="953"/>
      <c r="M5" s="953"/>
      <c r="N5" s="953"/>
      <c r="O5" s="1698" t="s">
        <v>320</v>
      </c>
      <c r="P5" s="2376" t="str">
        <f>CONCATENATE(Index!$E$12," ",Index!$E$14)</f>
        <v xml:space="preserve"> </v>
      </c>
    </row>
    <row r="6" spans="2:16" s="91" customFormat="1" ht="15" customHeight="1" x14ac:dyDescent="0.2">
      <c r="B6" s="1697" t="s">
        <v>319</v>
      </c>
      <c r="C6" s="953"/>
      <c r="D6" s="2880" t="str">
        <f>+Index!$E$11</f>
        <v>North Carolina General Assembly</v>
      </c>
      <c r="E6" s="2880"/>
      <c r="F6" s="2880"/>
      <c r="G6" s="2880"/>
      <c r="H6" s="2880"/>
      <c r="I6" s="953"/>
      <c r="J6" s="953"/>
      <c r="K6" s="953"/>
      <c r="L6" s="953"/>
      <c r="M6" s="953"/>
      <c r="N6" s="953"/>
      <c r="O6" s="1698" t="s">
        <v>168</v>
      </c>
      <c r="P6" s="1699">
        <f>+Index!$E$13</f>
        <v>0</v>
      </c>
    </row>
    <row r="7" spans="2:16" s="91" customFormat="1" ht="15" customHeight="1" x14ac:dyDescent="0.2">
      <c r="B7" s="1697" t="s">
        <v>1899</v>
      </c>
      <c r="C7" s="953"/>
      <c r="D7" s="1700"/>
      <c r="E7" s="953"/>
      <c r="F7" s="953"/>
      <c r="G7" s="953"/>
      <c r="H7" s="953"/>
      <c r="I7" s="953"/>
      <c r="J7" s="953"/>
      <c r="K7" s="953"/>
      <c r="L7" s="953"/>
      <c r="M7" s="953"/>
      <c r="N7" s="953"/>
      <c r="O7" s="953"/>
      <c r="P7" s="953"/>
    </row>
    <row r="8" spans="2:16" s="91" customFormat="1" ht="15" customHeight="1" thickBot="1" x14ac:dyDescent="0.25">
      <c r="B8" s="1701"/>
      <c r="C8" s="1701"/>
      <c r="D8" s="1701"/>
      <c r="E8" s="1701"/>
      <c r="F8" s="1701"/>
      <c r="G8" s="1701"/>
      <c r="H8" s="1701"/>
      <c r="I8" s="1701"/>
      <c r="J8" s="1701"/>
      <c r="K8" s="1702"/>
      <c r="L8" s="1701"/>
      <c r="M8" s="1701"/>
      <c r="N8" s="1701"/>
      <c r="O8" s="1701"/>
      <c r="P8" s="1701"/>
    </row>
    <row r="9" spans="2:16" s="91" customFormat="1" ht="7.35" customHeight="1" x14ac:dyDescent="0.2">
      <c r="B9" s="953"/>
      <c r="C9" s="953"/>
      <c r="D9" s="953"/>
      <c r="E9" s="953"/>
      <c r="F9" s="953"/>
      <c r="G9" s="953"/>
      <c r="H9" s="953"/>
      <c r="I9" s="953"/>
      <c r="J9" s="953"/>
      <c r="K9" s="1698"/>
      <c r="L9" s="953"/>
      <c r="M9" s="953"/>
      <c r="N9" s="953"/>
      <c r="O9" s="953"/>
      <c r="P9" s="953"/>
    </row>
    <row r="10" spans="2:16" s="91" customFormat="1" ht="15" customHeight="1" x14ac:dyDescent="0.2">
      <c r="B10" s="2888" t="s">
        <v>1926</v>
      </c>
      <c r="C10" s="2888"/>
      <c r="D10" s="2888"/>
      <c r="E10" s="2888"/>
      <c r="F10" s="2888"/>
      <c r="G10" s="2888"/>
      <c r="H10" s="2888"/>
      <c r="I10" s="953"/>
      <c r="J10" s="953"/>
      <c r="K10" s="1698"/>
      <c r="L10" s="953"/>
      <c r="M10" s="953"/>
      <c r="N10" s="953"/>
      <c r="O10" s="953"/>
      <c r="P10" s="953"/>
    </row>
    <row r="11" spans="2:16" s="91" customFormat="1" ht="15" customHeight="1" thickBot="1" x14ac:dyDescent="0.25">
      <c r="B11" s="2383" t="s">
        <v>1865</v>
      </c>
      <c r="C11" s="953"/>
      <c r="D11" s="2382" t="s">
        <v>1900</v>
      </c>
      <c r="E11" s="1121"/>
      <c r="F11" s="2382" t="s">
        <v>1900</v>
      </c>
      <c r="G11" s="953"/>
      <c r="H11" s="953"/>
      <c r="I11" s="92"/>
      <c r="J11" s="2887" t="s">
        <v>1901</v>
      </c>
      <c r="K11" s="2887"/>
      <c r="L11" s="2887"/>
      <c r="M11" s="2887"/>
      <c r="N11" s="2887"/>
      <c r="O11" s="1680"/>
      <c r="P11" s="953"/>
    </row>
    <row r="12" spans="2:16" s="91" customFormat="1" ht="15" customHeight="1" x14ac:dyDescent="0.2">
      <c r="B12" s="2383" t="s">
        <v>756</v>
      </c>
      <c r="C12" s="953"/>
      <c r="D12" s="2382" t="s">
        <v>1867</v>
      </c>
      <c r="E12" s="1121"/>
      <c r="F12" s="2382" t="s">
        <v>1573</v>
      </c>
      <c r="G12" s="953"/>
      <c r="H12" s="953"/>
      <c r="I12" s="92"/>
      <c r="J12" s="1121"/>
      <c r="K12" s="1121"/>
      <c r="L12" s="1380" t="s">
        <v>1902</v>
      </c>
      <c r="M12" s="2382"/>
      <c r="N12" s="1380" t="s">
        <v>1903</v>
      </c>
      <c r="O12" s="1121"/>
      <c r="P12" s="953"/>
    </row>
    <row r="13" spans="2:16" s="91" customFormat="1" ht="15" customHeight="1" thickBot="1" x14ac:dyDescent="0.25">
      <c r="B13" s="2238" t="s">
        <v>1904</v>
      </c>
      <c r="C13" s="2383"/>
      <c r="D13" s="2378" t="s">
        <v>1709</v>
      </c>
      <c r="E13" s="1121"/>
      <c r="F13" s="2378" t="s">
        <v>1709</v>
      </c>
      <c r="G13" s="953"/>
      <c r="H13" s="93" t="s">
        <v>1359</v>
      </c>
      <c r="I13" s="953"/>
      <c r="J13" s="2378" t="s">
        <v>1408</v>
      </c>
      <c r="K13" s="1703"/>
      <c r="L13" s="1381" t="s">
        <v>1905</v>
      </c>
      <c r="M13" s="2382"/>
      <c r="N13" s="1381" t="s">
        <v>677</v>
      </c>
      <c r="O13" s="1703"/>
      <c r="P13" s="93" t="s">
        <v>1927</v>
      </c>
    </row>
    <row r="14" spans="2:16" s="91" customFormat="1" ht="15" customHeight="1" x14ac:dyDescent="0.2">
      <c r="B14" s="877"/>
      <c r="C14" s="953"/>
      <c r="D14" s="877"/>
      <c r="E14" s="959"/>
      <c r="F14" s="877"/>
      <c r="G14" s="2383"/>
      <c r="H14" s="960"/>
      <c r="I14" s="953"/>
      <c r="J14" s="1108"/>
      <c r="K14" s="1121"/>
      <c r="L14" s="1475"/>
      <c r="M14" s="1708"/>
      <c r="N14" s="1474"/>
      <c r="O14" s="953"/>
      <c r="P14" s="1700"/>
    </row>
    <row r="15" spans="2:16" s="91" customFormat="1" ht="15" customHeight="1" x14ac:dyDescent="0.2">
      <c r="B15" s="877"/>
      <c r="C15" s="953"/>
      <c r="D15" s="877"/>
      <c r="E15" s="959"/>
      <c r="F15" s="877"/>
      <c r="G15" s="2383"/>
      <c r="H15" s="960"/>
      <c r="I15" s="953"/>
      <c r="J15" s="1108"/>
      <c r="K15" s="1121"/>
      <c r="L15" s="1475"/>
      <c r="M15" s="1708"/>
      <c r="N15" s="1474"/>
      <c r="O15" s="953"/>
      <c r="P15" s="1700"/>
    </row>
    <row r="16" spans="2:16" s="91" customFormat="1" ht="15" customHeight="1" x14ac:dyDescent="0.2">
      <c r="B16" s="877"/>
      <c r="C16" s="953"/>
      <c r="D16" s="877"/>
      <c r="E16" s="959"/>
      <c r="F16" s="877"/>
      <c r="G16" s="2383"/>
      <c r="H16" s="960"/>
      <c r="I16" s="953"/>
      <c r="J16" s="1108"/>
      <c r="K16" s="1121"/>
      <c r="L16" s="1475"/>
      <c r="M16" s="1708"/>
      <c r="N16" s="1474"/>
      <c r="O16" s="953"/>
      <c r="P16" s="1700"/>
    </row>
    <row r="17" spans="2:16" s="91" customFormat="1" ht="15" customHeight="1" x14ac:dyDescent="0.2">
      <c r="B17" s="877"/>
      <c r="C17" s="953"/>
      <c r="D17" s="877"/>
      <c r="E17" s="959"/>
      <c r="F17" s="877"/>
      <c r="G17" s="2383"/>
      <c r="H17" s="960"/>
      <c r="I17" s="953"/>
      <c r="J17" s="1108"/>
      <c r="K17" s="1121"/>
      <c r="L17" s="1475"/>
      <c r="M17" s="1708"/>
      <c r="N17" s="1474"/>
      <c r="O17" s="953"/>
      <c r="P17" s="1700"/>
    </row>
    <row r="18" spans="2:16" s="91" customFormat="1" ht="15" customHeight="1" x14ac:dyDescent="0.2">
      <c r="B18" s="877"/>
      <c r="C18" s="953"/>
      <c r="D18" s="877"/>
      <c r="E18" s="959"/>
      <c r="F18" s="877"/>
      <c r="G18" s="2383"/>
      <c r="H18" s="960"/>
      <c r="I18" s="953"/>
      <c r="J18" s="1108"/>
      <c r="K18" s="1121"/>
      <c r="L18" s="1475"/>
      <c r="M18" s="1708"/>
      <c r="N18" s="1474"/>
      <c r="O18" s="953"/>
      <c r="P18" s="1700"/>
    </row>
    <row r="19" spans="2:16" s="91" customFormat="1" ht="15" customHeight="1" x14ac:dyDescent="0.2">
      <c r="B19" s="877"/>
      <c r="C19" s="953"/>
      <c r="D19" s="877"/>
      <c r="E19" s="959"/>
      <c r="F19" s="877"/>
      <c r="G19" s="2383"/>
      <c r="H19" s="960"/>
      <c r="I19" s="953"/>
      <c r="J19" s="1108"/>
      <c r="K19" s="1121"/>
      <c r="L19" s="1475"/>
      <c r="M19" s="1708"/>
      <c r="N19" s="1474"/>
      <c r="O19" s="953"/>
      <c r="P19" s="1700"/>
    </row>
    <row r="20" spans="2:16" s="91" customFormat="1" ht="15" customHeight="1" x14ac:dyDescent="0.2">
      <c r="B20" s="877"/>
      <c r="C20" s="953"/>
      <c r="D20" s="877"/>
      <c r="E20" s="959"/>
      <c r="F20" s="877"/>
      <c r="G20" s="2383"/>
      <c r="H20" s="960"/>
      <c r="I20" s="953"/>
      <c r="J20" s="1108"/>
      <c r="K20" s="1121"/>
      <c r="L20" s="1475"/>
      <c r="M20" s="1708"/>
      <c r="N20" s="1474"/>
      <c r="O20" s="953"/>
      <c r="P20" s="1700"/>
    </row>
    <row r="21" spans="2:16" s="91" customFormat="1" ht="15" customHeight="1" thickBot="1" x14ac:dyDescent="0.25">
      <c r="B21" s="953"/>
      <c r="C21" s="953"/>
      <c r="D21" s="953"/>
      <c r="E21" s="2383"/>
      <c r="F21" s="2383" t="s">
        <v>1913</v>
      </c>
      <c r="G21" s="2383"/>
      <c r="H21" s="961">
        <f>SUM(H14:H20)</f>
        <v>0</v>
      </c>
      <c r="I21" s="953"/>
      <c r="J21" s="125" t="s">
        <v>6556</v>
      </c>
      <c r="K21" s="953"/>
      <c r="L21" s="953"/>
      <c r="M21" s="953"/>
      <c r="N21" s="953"/>
      <c r="O21" s="953"/>
      <c r="P21" s="953"/>
    </row>
    <row r="22" spans="2:16" s="91" customFormat="1" ht="15" customHeight="1" x14ac:dyDescent="0.2">
      <c r="B22" s="953"/>
      <c r="C22" s="953"/>
      <c r="D22" s="953"/>
      <c r="E22" s="2383"/>
      <c r="F22" s="2383"/>
      <c r="G22" s="2383"/>
      <c r="H22" s="955"/>
      <c r="I22" s="953"/>
      <c r="J22" s="125"/>
      <c r="K22" s="953"/>
      <c r="L22" s="953"/>
      <c r="M22" s="953"/>
      <c r="N22" s="953"/>
      <c r="O22" s="953"/>
      <c r="P22" s="953"/>
    </row>
    <row r="23" spans="2:16" s="91" customFormat="1" ht="15" customHeight="1" x14ac:dyDescent="0.2">
      <c r="B23" s="2889" t="s">
        <v>1928</v>
      </c>
      <c r="C23" s="2889"/>
      <c r="D23" s="2889"/>
      <c r="E23" s="2889"/>
      <c r="F23" s="2889"/>
      <c r="G23" s="2889"/>
      <c r="H23" s="2889"/>
      <c r="I23" s="2889"/>
      <c r="J23" s="2889"/>
      <c r="K23" s="2889"/>
      <c r="L23" s="2889"/>
      <c r="M23" s="2379"/>
      <c r="N23" s="2379"/>
      <c r="O23" s="953"/>
      <c r="P23" s="953"/>
    </row>
    <row r="24" spans="2:16" s="91" customFormat="1" ht="15" customHeight="1" thickBot="1" x14ac:dyDescent="0.25">
      <c r="B24" s="2383" t="s">
        <v>1865</v>
      </c>
      <c r="C24" s="953"/>
      <c r="D24" s="2382" t="s">
        <v>1911</v>
      </c>
      <c r="E24" s="1121"/>
      <c r="F24" s="2382" t="s">
        <v>1911</v>
      </c>
      <c r="G24" s="953"/>
      <c r="H24" s="953"/>
      <c r="I24" s="92"/>
      <c r="J24" s="2887" t="s">
        <v>1912</v>
      </c>
      <c r="K24" s="2887"/>
      <c r="L24" s="2887"/>
      <c r="M24" s="2887"/>
      <c r="N24" s="2887"/>
      <c r="O24" s="1680"/>
      <c r="P24" s="953"/>
    </row>
    <row r="25" spans="2:16" s="91" customFormat="1" ht="15" customHeight="1" x14ac:dyDescent="0.2">
      <c r="B25" s="2383" t="s">
        <v>756</v>
      </c>
      <c r="C25" s="953"/>
      <c r="D25" s="2382" t="s">
        <v>1867</v>
      </c>
      <c r="E25" s="1121"/>
      <c r="F25" s="2382" t="s">
        <v>1573</v>
      </c>
      <c r="G25" s="953"/>
      <c r="H25" s="953"/>
      <c r="I25" s="92"/>
      <c r="J25" s="1121"/>
      <c r="K25" s="1121"/>
      <c r="L25" s="1380" t="s">
        <v>1902</v>
      </c>
      <c r="M25" s="2382"/>
      <c r="N25" s="1380" t="s">
        <v>1903</v>
      </c>
      <c r="O25" s="1121"/>
      <c r="P25" s="953"/>
    </row>
    <row r="26" spans="2:16" s="91" customFormat="1" ht="15" customHeight="1" thickBot="1" x14ac:dyDescent="0.25">
      <c r="B26" s="2238" t="s">
        <v>1904</v>
      </c>
      <c r="C26" s="2383"/>
      <c r="D26" s="2378" t="s">
        <v>1709</v>
      </c>
      <c r="E26" s="1121"/>
      <c r="F26" s="2378" t="s">
        <v>1709</v>
      </c>
      <c r="G26" s="953"/>
      <c r="H26" s="93" t="s">
        <v>1359</v>
      </c>
      <c r="I26" s="953"/>
      <c r="J26" s="2378" t="s">
        <v>1408</v>
      </c>
      <c r="K26" s="1703"/>
      <c r="L26" s="1381" t="s">
        <v>1905</v>
      </c>
      <c r="M26" s="2382"/>
      <c r="N26" s="1381" t="s">
        <v>677</v>
      </c>
      <c r="O26" s="1703"/>
      <c r="P26" s="93" t="s">
        <v>1927</v>
      </c>
    </row>
    <row r="27" spans="2:16" s="91" customFormat="1" ht="15" customHeight="1" x14ac:dyDescent="0.2">
      <c r="B27" s="877"/>
      <c r="C27" s="953"/>
      <c r="D27" s="877"/>
      <c r="E27" s="959"/>
      <c r="F27" s="877"/>
      <c r="G27" s="2383"/>
      <c r="H27" s="960"/>
      <c r="I27" s="953"/>
      <c r="J27" s="1700"/>
      <c r="K27" s="953"/>
      <c r="L27" s="1710"/>
      <c r="M27" s="1711"/>
      <c r="N27" s="1474"/>
      <c r="O27" s="953"/>
      <c r="P27" s="1700"/>
    </row>
    <row r="28" spans="2:16" s="91" customFormat="1" ht="15" customHeight="1" x14ac:dyDescent="0.2">
      <c r="B28" s="877"/>
      <c r="C28" s="953"/>
      <c r="D28" s="877"/>
      <c r="E28" s="959"/>
      <c r="F28" s="877"/>
      <c r="G28" s="2383"/>
      <c r="H28" s="960"/>
      <c r="I28" s="953"/>
      <c r="J28" s="1700"/>
      <c r="K28" s="953"/>
      <c r="L28" s="1710"/>
      <c r="M28" s="1711"/>
      <c r="N28" s="1474"/>
      <c r="O28" s="953"/>
      <c r="P28" s="1700"/>
    </row>
    <row r="29" spans="2:16" s="91" customFormat="1" ht="15" customHeight="1" x14ac:dyDescent="0.2">
      <c r="B29" s="877"/>
      <c r="C29" s="953"/>
      <c r="D29" s="877"/>
      <c r="E29" s="959"/>
      <c r="F29" s="877"/>
      <c r="G29" s="2383"/>
      <c r="H29" s="960"/>
      <c r="I29" s="953"/>
      <c r="J29" s="1700"/>
      <c r="K29" s="953"/>
      <c r="L29" s="1710"/>
      <c r="M29" s="1711"/>
      <c r="N29" s="1474"/>
      <c r="O29" s="953"/>
      <c r="P29" s="1700"/>
    </row>
    <row r="30" spans="2:16" s="91" customFormat="1" ht="15" customHeight="1" x14ac:dyDescent="0.2">
      <c r="B30" s="877"/>
      <c r="C30" s="953"/>
      <c r="D30" s="877"/>
      <c r="E30" s="959"/>
      <c r="F30" s="877"/>
      <c r="G30" s="2383"/>
      <c r="H30" s="960"/>
      <c r="I30" s="953"/>
      <c r="J30" s="1700"/>
      <c r="K30" s="953"/>
      <c r="L30" s="1710"/>
      <c r="M30" s="1711"/>
      <c r="N30" s="1474"/>
      <c r="O30" s="953"/>
      <c r="P30" s="1700"/>
    </row>
    <row r="31" spans="2:16" s="91" customFormat="1" ht="15" customHeight="1" x14ac:dyDescent="0.2">
      <c r="B31" s="877"/>
      <c r="C31" s="953"/>
      <c r="D31" s="877"/>
      <c r="E31" s="959"/>
      <c r="F31" s="877"/>
      <c r="G31" s="2383"/>
      <c r="H31" s="960"/>
      <c r="I31" s="953"/>
      <c r="J31" s="1700"/>
      <c r="K31" s="953"/>
      <c r="L31" s="1710"/>
      <c r="M31" s="1711"/>
      <c r="N31" s="1474"/>
      <c r="O31" s="953"/>
      <c r="P31" s="1700"/>
    </row>
    <row r="32" spans="2:16" s="91" customFormat="1" ht="15" customHeight="1" x14ac:dyDescent="0.2">
      <c r="B32" s="877"/>
      <c r="C32" s="953"/>
      <c r="D32" s="877"/>
      <c r="E32" s="959"/>
      <c r="F32" s="877"/>
      <c r="G32" s="2383"/>
      <c r="H32" s="960"/>
      <c r="I32" s="953"/>
      <c r="J32" s="1700"/>
      <c r="K32" s="953"/>
      <c r="L32" s="1710"/>
      <c r="M32" s="1711"/>
      <c r="N32" s="1474"/>
      <c r="O32" s="953"/>
      <c r="P32" s="1700"/>
    </row>
    <row r="33" spans="1:16" s="91" customFormat="1" ht="15" customHeight="1" x14ac:dyDescent="0.2">
      <c r="A33" s="953"/>
      <c r="B33" s="877"/>
      <c r="C33" s="953"/>
      <c r="D33" s="877"/>
      <c r="E33" s="959"/>
      <c r="F33" s="877"/>
      <c r="G33" s="2383"/>
      <c r="H33" s="960"/>
      <c r="I33" s="953"/>
      <c r="J33" s="1700"/>
      <c r="K33" s="953"/>
      <c r="L33" s="1710"/>
      <c r="M33" s="1711"/>
      <c r="N33" s="1474"/>
      <c r="O33" s="953"/>
      <c r="P33" s="1700"/>
    </row>
    <row r="34" spans="1:16" s="91" customFormat="1" ht="15" customHeight="1" thickBot="1" x14ac:dyDescent="0.25">
      <c r="A34" s="953"/>
      <c r="B34" s="953"/>
      <c r="C34" s="953"/>
      <c r="D34" s="953"/>
      <c r="E34" s="2383"/>
      <c r="F34" s="2383" t="s">
        <v>1913</v>
      </c>
      <c r="G34" s="2383"/>
      <c r="H34" s="961">
        <f>SUM(H27:H33)</f>
        <v>0</v>
      </c>
      <c r="I34" s="953"/>
      <c r="J34" s="125" t="s">
        <v>6556</v>
      </c>
      <c r="K34" s="953"/>
      <c r="L34" s="953"/>
      <c r="M34" s="953"/>
      <c r="N34" s="953"/>
      <c r="O34" s="953"/>
      <c r="P34" s="953"/>
    </row>
    <row r="35" spans="1:16" s="91" customFormat="1" ht="7.35" customHeight="1" x14ac:dyDescent="0.2">
      <c r="A35" s="953"/>
      <c r="B35" s="953"/>
      <c r="C35" s="953"/>
      <c r="D35" s="953"/>
      <c r="E35" s="2383"/>
      <c r="F35" s="2383"/>
      <c r="G35" s="2383"/>
      <c r="H35" s="953"/>
      <c r="I35" s="953"/>
      <c r="J35" s="953"/>
      <c r="K35" s="953"/>
      <c r="L35" s="953"/>
      <c r="M35" s="953"/>
      <c r="N35" s="953"/>
      <c r="O35" s="2383"/>
      <c r="P35" s="953"/>
    </row>
    <row r="36" spans="1:16" s="91" customFormat="1" ht="15" customHeight="1" x14ac:dyDescent="0.2">
      <c r="A36" s="953"/>
      <c r="B36" s="125"/>
      <c r="C36" s="953"/>
      <c r="D36" s="953"/>
      <c r="E36" s="2383"/>
      <c r="F36" s="2383"/>
      <c r="G36" s="2383"/>
      <c r="H36" s="953"/>
      <c r="I36" s="953"/>
      <c r="J36" s="953"/>
      <c r="K36" s="953"/>
      <c r="L36" s="953"/>
      <c r="M36" s="953"/>
      <c r="N36" s="953"/>
      <c r="O36" s="2383"/>
      <c r="P36" s="953"/>
    </row>
    <row r="37" spans="1:16" s="91" customFormat="1" ht="15" customHeight="1" x14ac:dyDescent="0.2">
      <c r="A37" s="953"/>
      <c r="B37" s="953"/>
      <c r="C37" s="953"/>
      <c r="D37" s="953"/>
      <c r="E37" s="2383"/>
      <c r="F37" s="2383"/>
      <c r="G37" s="2383"/>
      <c r="H37" s="953"/>
      <c r="I37" s="953"/>
      <c r="J37" s="953"/>
      <c r="K37" s="953"/>
      <c r="L37" s="953"/>
      <c r="M37" s="953"/>
      <c r="N37" s="953"/>
      <c r="O37" s="2383"/>
      <c r="P37" s="953"/>
    </row>
    <row r="38" spans="1:16" s="91" customFormat="1" ht="15" customHeight="1" x14ac:dyDescent="0.2">
      <c r="A38" s="953"/>
      <c r="B38" s="953"/>
      <c r="C38" s="953"/>
      <c r="D38" s="953"/>
      <c r="E38" s="2383"/>
      <c r="F38" s="2383"/>
      <c r="G38" s="2383"/>
      <c r="H38" s="953"/>
      <c r="I38" s="953"/>
      <c r="J38" s="953"/>
      <c r="K38" s="953"/>
      <c r="L38" s="953"/>
      <c r="M38" s="953"/>
      <c r="N38" s="953"/>
      <c r="O38" s="2383"/>
      <c r="P38" s="953"/>
    </row>
    <row r="39" spans="1:16" s="91" customFormat="1" ht="15" customHeight="1" x14ac:dyDescent="0.2">
      <c r="A39" s="421" t="str">
        <f ca="1">MID(CELL("filename",A5),FIND("]",CELL("filename",A5))+1,256)</f>
        <v>535</v>
      </c>
      <c r="B39" s="421" t="s">
        <v>613</v>
      </c>
      <c r="C39" s="953"/>
      <c r="D39" s="953"/>
      <c r="E39" s="2383"/>
      <c r="F39" s="2383"/>
      <c r="G39" s="2383"/>
      <c r="H39" s="953"/>
      <c r="I39" s="953"/>
      <c r="J39" s="953"/>
      <c r="K39" s="953"/>
      <c r="L39" s="953"/>
      <c r="M39" s="953"/>
      <c r="N39" s="953"/>
      <c r="O39" s="2383"/>
      <c r="P39" s="953"/>
    </row>
    <row r="40" spans="1:16" s="91" customFormat="1" ht="15" customHeight="1" x14ac:dyDescent="0.2">
      <c r="A40" s="421" t="s">
        <v>401</v>
      </c>
      <c r="B40" s="421" t="str">
        <f t="shared" ref="B40:B49" ca="1" si="0">IF(ISNA(INDEX(ErrorTable,MATCH($A$39&amp;$A40&amp;FALSE,ErrorKey,0),6)),"",INDEX(ErrorTable,MATCH($A$39&amp;$A40&amp;FALSE,ErrorKey,0),6))</f>
        <v/>
      </c>
      <c r="C40" s="953"/>
      <c r="D40" s="953"/>
      <c r="E40" s="2383"/>
      <c r="F40" s="2383"/>
      <c r="G40" s="2383"/>
      <c r="H40" s="953"/>
      <c r="I40" s="953"/>
      <c r="J40" s="953"/>
      <c r="K40" s="953"/>
      <c r="L40" s="953"/>
      <c r="M40" s="953"/>
      <c r="N40" s="953"/>
      <c r="O40" s="2383"/>
      <c r="P40" s="953"/>
    </row>
    <row r="41" spans="1:16" s="91" customFormat="1" ht="15" customHeight="1" x14ac:dyDescent="0.2">
      <c r="A41" s="421" t="s">
        <v>402</v>
      </c>
      <c r="B41" s="421" t="str">
        <f t="shared" ca="1" si="0"/>
        <v/>
      </c>
      <c r="C41" s="953"/>
      <c r="D41" s="953"/>
      <c r="E41" s="2383"/>
      <c r="F41" s="2383"/>
      <c r="G41" s="2383"/>
      <c r="H41" s="953"/>
      <c r="I41" s="953"/>
      <c r="J41" s="953"/>
      <c r="K41" s="953"/>
      <c r="L41" s="953"/>
      <c r="M41" s="953"/>
      <c r="N41" s="953"/>
      <c r="O41" s="2383"/>
      <c r="P41" s="953"/>
    </row>
    <row r="42" spans="1:16" s="91" customFormat="1" ht="15" customHeight="1" x14ac:dyDescent="0.2">
      <c r="A42" s="421" t="s">
        <v>403</v>
      </c>
      <c r="B42" s="421" t="str">
        <f t="shared" ca="1" si="0"/>
        <v/>
      </c>
      <c r="C42" s="953"/>
      <c r="D42" s="953"/>
      <c r="E42" s="2383"/>
      <c r="F42" s="2383"/>
      <c r="G42" s="2383"/>
      <c r="H42" s="953"/>
      <c r="I42" s="953"/>
      <c r="J42" s="953"/>
      <c r="K42" s="953"/>
      <c r="L42" s="953"/>
      <c r="M42" s="953"/>
      <c r="N42" s="953"/>
      <c r="O42" s="2383"/>
      <c r="P42" s="953"/>
    </row>
    <row r="43" spans="1:16" ht="20.85" customHeight="1" x14ac:dyDescent="0.25">
      <c r="A43" s="421" t="s">
        <v>404</v>
      </c>
      <c r="B43" s="421" t="str">
        <f t="shared" ca="1" si="0"/>
        <v/>
      </c>
    </row>
    <row r="44" spans="1:16" ht="20.85" customHeight="1" x14ac:dyDescent="0.25">
      <c r="A44" s="421" t="s">
        <v>405</v>
      </c>
      <c r="B44" s="421" t="str">
        <f t="shared" ca="1" si="0"/>
        <v/>
      </c>
    </row>
    <row r="45" spans="1:16" ht="20.85" customHeight="1" x14ac:dyDescent="0.25">
      <c r="A45" s="421" t="s">
        <v>406</v>
      </c>
      <c r="B45" s="421" t="str">
        <f t="shared" ca="1" si="0"/>
        <v/>
      </c>
    </row>
    <row r="46" spans="1:16" ht="20.85" customHeight="1" x14ac:dyDescent="0.25">
      <c r="A46" s="421" t="s">
        <v>407</v>
      </c>
      <c r="B46" s="421" t="str">
        <f t="shared" ca="1" si="0"/>
        <v/>
      </c>
      <c r="D46" s="35" t="s">
        <v>50</v>
      </c>
      <c r="E46" s="35"/>
      <c r="F46" s="35"/>
      <c r="G46" s="35"/>
      <c r="H46" s="35"/>
      <c r="I46" s="35"/>
      <c r="J46" s="35"/>
      <c r="K46" s="35"/>
    </row>
    <row r="47" spans="1:16" ht="20.85" customHeight="1" x14ac:dyDescent="0.25">
      <c r="A47" s="421" t="s">
        <v>408</v>
      </c>
      <c r="B47" s="421" t="str">
        <f t="shared" ca="1" si="0"/>
        <v/>
      </c>
      <c r="D47" s="35" t="s">
        <v>50</v>
      </c>
      <c r="E47" s="35"/>
      <c r="F47" s="35"/>
      <c r="G47" s="35"/>
      <c r="L47" s="34" t="s">
        <v>50</v>
      </c>
      <c r="M47" s="34"/>
      <c r="N47" s="34"/>
      <c r="O47" s="34"/>
    </row>
    <row r="48" spans="1:16" ht="20.85" customHeight="1" x14ac:dyDescent="0.25">
      <c r="A48" s="421" t="s">
        <v>409</v>
      </c>
      <c r="B48" s="421" t="str">
        <f t="shared" ca="1" si="0"/>
        <v/>
      </c>
    </row>
    <row r="49" spans="1:15" ht="20.85" customHeight="1" x14ac:dyDescent="0.25">
      <c r="A49" s="421" t="s">
        <v>410</v>
      </c>
      <c r="B49" s="421" t="str">
        <f t="shared" ca="1" si="0"/>
        <v/>
      </c>
    </row>
    <row r="50" spans="1:15" ht="20.85" customHeight="1" x14ac:dyDescent="0.25"/>
    <row r="51" spans="1:15" ht="20.85" customHeight="1" x14ac:dyDescent="0.25"/>
    <row r="52" spans="1:15" ht="20.85" customHeight="1" x14ac:dyDescent="0.25"/>
    <row r="53" spans="1:15" ht="20.85" customHeight="1" x14ac:dyDescent="0.25"/>
    <row r="54" spans="1:15" ht="20.85" customHeight="1" x14ac:dyDescent="0.25">
      <c r="D54" s="33" t="s">
        <v>50</v>
      </c>
    </row>
    <row r="55" spans="1:15" ht="20.85" customHeight="1" x14ac:dyDescent="0.25"/>
    <row r="56" spans="1:15" ht="20.85" customHeight="1" x14ac:dyDescent="0.25"/>
    <row r="57" spans="1:15" ht="20.85" customHeight="1" x14ac:dyDescent="0.25">
      <c r="D57" s="35" t="s">
        <v>50</v>
      </c>
      <c r="E57" s="35"/>
      <c r="F57" s="35"/>
      <c r="G57" s="35"/>
      <c r="L57" s="34" t="s">
        <v>50</v>
      </c>
      <c r="M57" s="34"/>
      <c r="N57" s="34"/>
      <c r="O57" s="34"/>
    </row>
  </sheetData>
  <sheetProtection algorithmName="SHA-512" hashValue="f21ggUNVMGXBa2yD0OKHS/0/b7apVLZ2UIsGzerpOChTEFxLgkdl0y9POFvuLPws5MlFml3gvKTaZ6bYiGz4Yg==" saltValue="JTkR31nhdvPd4mrFnca4RA==" spinCount="100000" sheet="1" autoFilter="0"/>
  <dataConsolidate link="1"/>
  <customSheetViews>
    <customSheetView guid="{9FCFC836-1CA5-48BF-958D-24D2EA94B219}" showGridLines="0" fitToPage="1" hiddenColumns="1" topLeftCell="B1">
      <selection activeCell="B12" sqref="B12"/>
      <pageMargins left="0" right="0" top="0" bottom="0" header="0" footer="0"/>
      <printOptions horizontalCentered="1"/>
      <pageSetup orientation="landscape" blackAndWhite="1" r:id="rId1"/>
      <headerFooter alignWithMargins="0">
        <oddFooter>&amp;R&amp;A</oddFooter>
      </headerFooter>
    </customSheetView>
    <customSheetView guid="{BEA4BE86-04D1-4C96-9358-7A260B9D2B2D}" showGridLines="0" fitToPage="1" showRuler="0">
      <selection sqref="A1:M1"/>
      <pageMargins left="0" right="0" top="0" bottom="0" header="0" footer="0"/>
      <printOptions horizontalCentered="1"/>
      <pageSetup orientation="landscape" blackAndWhite="1" horizontalDpi="300" verticalDpi="300" r:id="rId2"/>
      <headerFooter alignWithMargins="0">
        <oddFooter>&amp;R&amp;A</oddFooter>
      </headerFooter>
    </customSheetView>
    <customSheetView guid="{1250FD07-FF56-4A9D-AF9E-C27124A7EBE9}" showGridLines="0" fitToPage="1" showRuler="0">
      <selection sqref="A1:M1"/>
      <pageMargins left="0" right="0" top="0" bottom="0" header="0" footer="0"/>
      <printOptions horizontalCentered="1"/>
      <pageSetup orientation="landscape" blackAndWhite="1" horizontalDpi="300" verticalDpi="300" r:id="rId3"/>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rintOptions horizontalCentered="1"/>
      <pageSetup orientation="landscape" blackAndWhite="1" r:id="rId4"/>
      <headerFooter alignWithMargins="0">
        <oddFooter>&amp;R&amp;A</oddFooter>
      </headerFooter>
    </customSheetView>
  </customSheetViews>
  <mergeCells count="10">
    <mergeCell ref="B1:P1"/>
    <mergeCell ref="B2:P2"/>
    <mergeCell ref="B3:P3"/>
    <mergeCell ref="L4:P4"/>
    <mergeCell ref="J24:N24"/>
    <mergeCell ref="B10:H10"/>
    <mergeCell ref="D5:G5"/>
    <mergeCell ref="D6:H6"/>
    <mergeCell ref="B23:L23"/>
    <mergeCell ref="J11:N11"/>
  </mergeCells>
  <phoneticPr fontId="18" type="noConversion"/>
  <hyperlinks>
    <hyperlink ref="B1:P1" location="Index!A1" display="Index!A1" xr:uid="{00000000-0004-0000-2D00-000000000000}"/>
  </hyperlinks>
  <pageMargins left="0.6" right="0.6" top="0.5" bottom="0.5" header="0.3" footer="0.3"/>
  <pageSetup scale="91" orientation="landscape" r:id="rId5"/>
  <extLst>
    <ext xmlns:x14="http://schemas.microsoft.com/office/spreadsheetml/2009/9/main" uri="{CCE6A557-97BC-4b89-ADB6-D9C93CAAB3DF}">
      <x14:dataValidations xmlns:xm="http://schemas.microsoft.com/office/excel/2006/main" count="5">
        <x14:dataValidation type="list" allowBlank="1" showInputMessage="1" showErrorMessage="1" xr:uid="{BCB1CD34-2301-4E4C-98A9-6D1EB81BBBA2}">
          <x14:formula1>
            <xm:f>OFFSET(AgencyGASBRepository!$E$8,,,COUNTIF(AgencyGASBRepository!$E$8:$E$210,"?*"))</xm:f>
          </x14:formula1>
          <xm:sqref>D14:D20</xm:sqref>
        </x14:dataValidation>
        <x14:dataValidation type="list" allowBlank="1" showInputMessage="1" showErrorMessage="1" xr:uid="{919C6051-4001-435C-91CA-19DCD2ABBE86}">
          <x14:formula1>
            <xm:f>OFFSET(AgencyGASBRepository!$E$8,,,COUNTIF(AgencyGASBRepository!$E$8:$E$211,"?*"))</xm:f>
          </x14:formula1>
          <xm:sqref>D27:D33</xm:sqref>
        </x14:dataValidation>
        <x14:dataValidation type="list" allowBlank="1" showInputMessage="1" showErrorMessage="1" xr:uid="{A57EE236-505F-4702-AF59-118913C83663}">
          <x14:formula1>
            <xm:f>OFFSET(AgencyGASBRepository!$F$7,MATCH($D14,AgencyGASBRepository!$E$8:$E$1000,0),,,COUNTIF(OFFSET(AgencyGASBRepository!$F$7,MATCH($D14,AgencyGASBRepository!$E$8:$E$1000,0),,1,50),"?*"))</xm:f>
          </x14:formula1>
          <xm:sqref>F14:F20 F27:F33</xm:sqref>
        </x14:dataValidation>
        <x14:dataValidation type="list" allowBlank="1" showInputMessage="1" showErrorMessage="1" xr:uid="{3B8815B6-0474-449C-B69B-6CC8DB8CC0A5}">
          <x14:formula1>
            <xm:f>Notes!$AW$13:$AW$21</xm:f>
          </x14:formula1>
          <xm:sqref>B14:B20</xm:sqref>
        </x14:dataValidation>
        <x14:dataValidation type="list" allowBlank="1" showInputMessage="1" showErrorMessage="1" xr:uid="{58B398A1-1179-4C05-96AF-C24DD4AA29FC}">
          <x14:formula1>
            <xm:f>Notes!$AW$2:$AW$11</xm:f>
          </x14:formula1>
          <xm:sqref>B27:B33</xm:sqref>
        </x14:dataValidation>
      </x14:dataValidation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3E64C-0C30-4AC8-8E79-DC37008255BB}">
  <sheetPr codeName="Sheet103">
    <pageSetUpPr fitToPage="1"/>
  </sheetPr>
  <dimension ref="A1:AL244"/>
  <sheetViews>
    <sheetView showGridLines="0" topLeftCell="B1" zoomScaleNormal="100" workbookViewId="0">
      <selection activeCell="F24" sqref="F24"/>
    </sheetView>
  </sheetViews>
  <sheetFormatPr defaultColWidth="9.42578125" defaultRowHeight="15.75" x14ac:dyDescent="0.25"/>
  <cols>
    <col min="1" max="1" width="9.42578125" style="33" hidden="1" customWidth="1"/>
    <col min="2" max="2" width="15.5703125" style="33" customWidth="1"/>
    <col min="3" max="3" width="1.5703125" style="33" customWidth="1"/>
    <col min="4" max="4" width="30.140625" style="33" customWidth="1"/>
    <col min="5" max="5" width="1.5703125" style="33" customWidth="1"/>
    <col min="6" max="6" width="39.42578125" style="33" customWidth="1"/>
    <col min="7" max="7" width="1.5703125" style="33" customWidth="1"/>
    <col min="8" max="8" width="25.5703125" style="33" customWidth="1"/>
    <col min="9" max="9" width="1.5703125" style="33" customWidth="1"/>
    <col min="10" max="10" width="39.28515625" style="33" customWidth="1"/>
    <col min="11" max="11" width="2.140625" style="33" customWidth="1"/>
    <col min="12" max="12" width="7.7109375" style="33" customWidth="1"/>
    <col min="13" max="13" width="7" style="33" hidden="1" customWidth="1"/>
    <col min="14" max="14" width="2" style="33" hidden="1" customWidth="1"/>
    <col min="15" max="17" width="7" style="33" hidden="1" customWidth="1"/>
    <col min="18" max="18" width="8.7109375" style="33" hidden="1" customWidth="1"/>
    <col min="19" max="19" width="9.42578125" style="33" customWidth="1"/>
    <col min="20" max="30" width="9.42578125" style="33"/>
    <col min="31" max="33" width="9.42578125" style="33" hidden="1" customWidth="1"/>
    <col min="34" max="34" width="37.42578125" style="33" hidden="1" customWidth="1"/>
    <col min="35" max="35" width="6.85546875" style="33" hidden="1" customWidth="1"/>
    <col min="36" max="36" width="9.42578125" style="33" hidden="1" customWidth="1"/>
    <col min="37" max="37" width="43.85546875" style="33" hidden="1" customWidth="1"/>
    <col min="38" max="38" width="31.5703125" style="33" hidden="1" customWidth="1"/>
    <col min="39" max="16384" width="9.42578125" style="33"/>
  </cols>
  <sheetData>
    <row r="1" spans="2:38" s="90" customFormat="1" ht="15" customHeight="1" x14ac:dyDescent="0.25">
      <c r="B1" s="2553" t="str">
        <f>+Index!$A$1</f>
        <v xml:space="preserve">                                                               Office of the State Controller                                                                </v>
      </c>
      <c r="C1" s="2553"/>
      <c r="D1" s="2553"/>
      <c r="E1" s="2553"/>
      <c r="F1" s="2553"/>
      <c r="G1" s="2553"/>
      <c r="H1" s="2553"/>
      <c r="I1" s="2553"/>
      <c r="J1" s="2553"/>
      <c r="K1" s="438"/>
      <c r="L1" s="2626" t="str">
        <f>IF(Index!$B$76="na","NA","")</f>
        <v/>
      </c>
      <c r="AE1" s="170">
        <v>1000</v>
      </c>
      <c r="AF1" s="170">
        <v>1000</v>
      </c>
      <c r="AK1" s="90" t="s">
        <v>1930</v>
      </c>
      <c r="AL1" s="90" t="s">
        <v>1931</v>
      </c>
    </row>
    <row r="2" spans="2:38" s="90" customFormat="1" ht="15" customHeight="1" x14ac:dyDescent="0.25">
      <c r="B2" s="2885" t="str">
        <f>+Index!$A$2</f>
        <v>2024 ACFR Worksheets</v>
      </c>
      <c r="C2" s="2885"/>
      <c r="D2" s="2885"/>
      <c r="E2" s="2885"/>
      <c r="F2" s="2885"/>
      <c r="G2" s="2885"/>
      <c r="H2" s="2885"/>
      <c r="I2" s="2885"/>
      <c r="J2" s="2885"/>
      <c r="K2" s="2114"/>
      <c r="L2" s="2626"/>
      <c r="AE2" s="170">
        <v>1010</v>
      </c>
      <c r="AF2" s="170">
        <v>1010</v>
      </c>
      <c r="AG2"/>
      <c r="AH2" s="2442" t="s">
        <v>1807</v>
      </c>
      <c r="AI2" s="2442"/>
      <c r="AJ2"/>
      <c r="AK2" s="213" t="s">
        <v>1932</v>
      </c>
      <c r="AL2" s="90" t="s">
        <v>1933</v>
      </c>
    </row>
    <row r="3" spans="2:38" s="90" customFormat="1" ht="15" customHeight="1" x14ac:dyDescent="0.25">
      <c r="B3" s="2885" t="s">
        <v>1934</v>
      </c>
      <c r="C3" s="2885"/>
      <c r="D3" s="2885"/>
      <c r="E3" s="2885"/>
      <c r="F3" s="2885"/>
      <c r="G3" s="2885"/>
      <c r="H3" s="2885"/>
      <c r="I3" s="2885"/>
      <c r="J3" s="2885"/>
      <c r="K3" s="2114"/>
      <c r="L3" s="2626"/>
      <c r="AE3" s="170">
        <v>1050</v>
      </c>
      <c r="AF3" s="170">
        <v>1020</v>
      </c>
      <c r="AG3" s="170">
        <v>1000</v>
      </c>
      <c r="AH3" s="2380" t="s">
        <v>1935</v>
      </c>
      <c r="AI3" s="2380"/>
      <c r="AJ3" s="170">
        <v>1000</v>
      </c>
      <c r="AK3" s="2112" t="s">
        <v>1936</v>
      </c>
      <c r="AL3" s="90" t="s">
        <v>1937</v>
      </c>
    </row>
    <row r="4" spans="2:38" s="90" customFormat="1" ht="15" customHeight="1" x14ac:dyDescent="0.25">
      <c r="B4" s="2377"/>
      <c r="C4" s="2377"/>
      <c r="D4" s="2377"/>
      <c r="E4" s="2377"/>
      <c r="F4" s="2377"/>
      <c r="G4" s="2377"/>
      <c r="H4" s="2377"/>
      <c r="I4" s="2377"/>
      <c r="J4" s="2377"/>
      <c r="K4" s="2114"/>
      <c r="L4" s="2298"/>
      <c r="AE4" s="170"/>
      <c r="AF4" s="170"/>
      <c r="AG4" s="170"/>
      <c r="AH4" s="2380"/>
      <c r="AI4" s="2380"/>
      <c r="AJ4" s="170"/>
      <c r="AK4" s="2112"/>
    </row>
    <row r="5" spans="2:38" s="91" customFormat="1" ht="15" customHeight="1" x14ac:dyDescent="0.2">
      <c r="B5" s="953"/>
      <c r="C5" s="2445"/>
      <c r="D5" s="2445"/>
      <c r="E5" s="2445"/>
      <c r="F5" s="2445"/>
      <c r="G5" s="1696"/>
      <c r="H5" s="2899" t="s">
        <v>1938</v>
      </c>
      <c r="I5" s="2899"/>
      <c r="J5" s="2899"/>
      <c r="K5" s="953"/>
      <c r="L5" s="953"/>
      <c r="M5" s="953"/>
      <c r="N5" s="953"/>
      <c r="O5" s="953"/>
      <c r="P5" s="953"/>
      <c r="Q5" s="953"/>
      <c r="R5" s="953"/>
      <c r="S5" s="953"/>
      <c r="T5" s="953"/>
      <c r="U5" s="953"/>
      <c r="V5" s="953"/>
      <c r="W5" s="953"/>
      <c r="X5" s="953"/>
      <c r="Y5" s="953"/>
      <c r="Z5" s="953"/>
      <c r="AA5" s="953"/>
      <c r="AB5" s="953"/>
      <c r="AC5" s="953"/>
      <c r="AD5" s="953"/>
      <c r="AE5" s="170">
        <v>1060</v>
      </c>
      <c r="AF5" s="170">
        <v>1030</v>
      </c>
      <c r="AG5" s="170">
        <v>1010</v>
      </c>
      <c r="AH5" s="2380" t="s">
        <v>1939</v>
      </c>
      <c r="AI5" s="2380"/>
      <c r="AJ5" s="170">
        <v>1010</v>
      </c>
      <c r="AK5" s="2112" t="s">
        <v>1940</v>
      </c>
      <c r="AL5" s="90" t="s">
        <v>1941</v>
      </c>
    </row>
    <row r="6" spans="2:38" s="91" customFormat="1" ht="15" x14ac:dyDescent="0.2">
      <c r="B6" s="2445"/>
      <c r="C6" s="2445"/>
      <c r="D6" s="2445"/>
      <c r="E6" s="2445"/>
      <c r="F6" s="2445"/>
      <c r="G6" s="1696"/>
      <c r="H6" s="2899"/>
      <c r="I6" s="2899"/>
      <c r="J6" s="2899"/>
      <c r="K6" s="953"/>
      <c r="L6" s="953"/>
      <c r="M6" s="953"/>
      <c r="N6" s="953"/>
      <c r="O6" s="953"/>
      <c r="P6" s="953"/>
      <c r="Q6" s="953"/>
      <c r="R6" s="953"/>
      <c r="S6" s="953"/>
      <c r="T6" s="953"/>
      <c r="U6" s="953"/>
      <c r="V6" s="953"/>
      <c r="W6" s="953"/>
      <c r="X6" s="953"/>
      <c r="Y6" s="953"/>
      <c r="Z6" s="953"/>
      <c r="AA6" s="953"/>
      <c r="AB6" s="953"/>
      <c r="AC6" s="953"/>
      <c r="AD6" s="953"/>
      <c r="AE6" s="170">
        <v>1090</v>
      </c>
      <c r="AF6" s="170">
        <v>1050</v>
      </c>
      <c r="AG6" s="170">
        <v>1110</v>
      </c>
      <c r="AH6" s="2380" t="s">
        <v>1942</v>
      </c>
      <c r="AI6" s="2380"/>
      <c r="AJ6" s="170">
        <v>1110</v>
      </c>
      <c r="AK6" s="2112" t="s">
        <v>1943</v>
      </c>
      <c r="AL6" s="90" t="s">
        <v>1944</v>
      </c>
    </row>
    <row r="7" spans="2:38" s="91" customFormat="1" ht="15" customHeight="1" x14ac:dyDescent="0.2">
      <c r="B7" s="1697" t="s">
        <v>318</v>
      </c>
      <c r="C7" s="953"/>
      <c r="D7" s="2880" t="str">
        <f>+Index!$E$10</f>
        <v>01</v>
      </c>
      <c r="E7" s="2880"/>
      <c r="F7" s="2880"/>
      <c r="G7" s="2880"/>
      <c r="H7" s="1698" t="s">
        <v>320</v>
      </c>
      <c r="I7" s="953"/>
      <c r="J7" s="2376" t="str">
        <f>CONCATENATE(Index!$E$12," ",Index!$E$14)</f>
        <v xml:space="preserve"> </v>
      </c>
      <c r="K7" s="953"/>
      <c r="L7" s="953"/>
      <c r="M7" s="953"/>
      <c r="N7" s="953"/>
      <c r="O7" s="953"/>
      <c r="P7" s="953"/>
      <c r="Q7" s="953"/>
      <c r="R7" s="953"/>
      <c r="S7" s="953"/>
      <c r="T7" s="953"/>
      <c r="U7" s="953"/>
      <c r="V7" s="953"/>
      <c r="W7" s="953"/>
      <c r="X7" s="953"/>
      <c r="Y7" s="953"/>
      <c r="Z7" s="953"/>
      <c r="AA7" s="953"/>
      <c r="AB7" s="953"/>
      <c r="AC7" s="953"/>
      <c r="AD7" s="953"/>
      <c r="AE7" s="170">
        <v>1110</v>
      </c>
      <c r="AF7" s="170">
        <v>1060</v>
      </c>
      <c r="AG7" s="170">
        <v>1160</v>
      </c>
      <c r="AH7" s="2380" t="s">
        <v>1945</v>
      </c>
      <c r="AI7" s="2380"/>
      <c r="AJ7" s="170">
        <v>1160</v>
      </c>
      <c r="AK7" s="2112" t="s">
        <v>1946</v>
      </c>
      <c r="AL7" s="90" t="s">
        <v>1947</v>
      </c>
    </row>
    <row r="8" spans="2:38" s="91" customFormat="1" ht="15" customHeight="1" x14ac:dyDescent="0.2">
      <c r="B8" s="1697" t="s">
        <v>319</v>
      </c>
      <c r="C8" s="953"/>
      <c r="D8" s="2892" t="str">
        <f>+Index!$E$11</f>
        <v>North Carolina General Assembly</v>
      </c>
      <c r="E8" s="2892"/>
      <c r="F8" s="2892"/>
      <c r="G8" s="1712"/>
      <c r="H8" s="1698" t="s">
        <v>168</v>
      </c>
      <c r="I8" s="953"/>
      <c r="J8" s="1699">
        <f>+Index!$E$13</f>
        <v>0</v>
      </c>
      <c r="K8" s="953"/>
      <c r="L8" s="1682"/>
      <c r="M8" s="1682"/>
      <c r="N8" s="1682"/>
      <c r="O8" s="1682"/>
      <c r="P8" s="953"/>
      <c r="Q8" s="953"/>
      <c r="R8" s="953"/>
      <c r="S8" s="953"/>
      <c r="T8" s="953"/>
      <c r="U8" s="953"/>
      <c r="V8" s="953"/>
      <c r="W8" s="953"/>
      <c r="X8" s="953"/>
      <c r="Y8" s="953"/>
      <c r="Z8" s="953"/>
      <c r="AA8" s="953"/>
      <c r="AB8" s="953"/>
      <c r="AC8" s="953"/>
      <c r="AD8" s="953"/>
      <c r="AE8" s="170">
        <v>1120</v>
      </c>
      <c r="AF8" s="170">
        <v>1070</v>
      </c>
      <c r="AG8" s="170">
        <v>1020</v>
      </c>
      <c r="AH8" s="2380" t="s">
        <v>1948</v>
      </c>
      <c r="AI8" s="2380"/>
      <c r="AJ8" s="170">
        <v>1020</v>
      </c>
      <c r="AK8" s="2112" t="s">
        <v>1949</v>
      </c>
      <c r="AL8" s="90" t="s">
        <v>1950</v>
      </c>
    </row>
    <row r="9" spans="2:38" s="91" customFormat="1" ht="15" customHeight="1" x14ac:dyDescent="0.2">
      <c r="B9" s="1697" t="s">
        <v>1899</v>
      </c>
      <c r="C9" s="953"/>
      <c r="D9" s="877" t="s">
        <v>1951</v>
      </c>
      <c r="E9" s="953"/>
      <c r="F9" s="953"/>
      <c r="G9" s="953"/>
      <c r="H9" s="953"/>
      <c r="I9" s="953"/>
      <c r="J9" s="953"/>
      <c r="K9" s="953"/>
      <c r="L9" s="953"/>
      <c r="M9" s="953"/>
      <c r="N9" s="953"/>
      <c r="O9" s="953"/>
      <c r="P9" s="953"/>
      <c r="Q9" s="953"/>
      <c r="R9" s="953"/>
      <c r="S9" s="953"/>
      <c r="T9" s="953"/>
      <c r="U9" s="953"/>
      <c r="V9" s="953"/>
      <c r="W9" s="953"/>
      <c r="X9" s="953"/>
      <c r="Y9" s="953"/>
      <c r="Z9" s="953"/>
      <c r="AA9" s="953"/>
      <c r="AB9" s="953"/>
      <c r="AC9" s="953"/>
      <c r="AD9" s="953"/>
      <c r="AE9" s="170">
        <v>1130</v>
      </c>
      <c r="AF9" s="170">
        <v>1090</v>
      </c>
      <c r="AG9" s="170">
        <v>1030</v>
      </c>
      <c r="AH9" s="2380" t="s">
        <v>1952</v>
      </c>
      <c r="AI9" s="2380"/>
      <c r="AJ9" s="170">
        <v>1030</v>
      </c>
      <c r="AK9" s="2112" t="s">
        <v>1953</v>
      </c>
      <c r="AL9" s="90" t="s">
        <v>1954</v>
      </c>
    </row>
    <row r="10" spans="2:38" s="91" customFormat="1" ht="15" customHeight="1" thickBot="1" x14ac:dyDescent="0.25">
      <c r="B10" s="1701"/>
      <c r="C10" s="1701"/>
      <c r="D10" s="1701"/>
      <c r="E10" s="1701"/>
      <c r="F10" s="1701"/>
      <c r="G10" s="1701"/>
      <c r="H10" s="1701"/>
      <c r="I10" s="1701"/>
      <c r="J10" s="1701"/>
      <c r="K10" s="1702"/>
      <c r="L10" s="953"/>
      <c r="M10" s="953"/>
      <c r="N10" s="953"/>
      <c r="O10" s="953"/>
      <c r="P10" s="953"/>
      <c r="Q10" s="953"/>
      <c r="R10" s="953"/>
      <c r="S10" s="953"/>
      <c r="T10" s="953"/>
      <c r="U10" s="953"/>
      <c r="V10" s="953"/>
      <c r="W10" s="953"/>
      <c r="X10" s="953"/>
      <c r="Y10" s="953"/>
      <c r="Z10" s="953"/>
      <c r="AA10" s="953"/>
      <c r="AB10" s="953"/>
      <c r="AC10" s="953"/>
      <c r="AD10" s="953"/>
      <c r="AE10" s="170">
        <v>1160</v>
      </c>
      <c r="AF10" s="170">
        <v>1110</v>
      </c>
      <c r="AG10"/>
      <c r="AH10" s="213" t="s">
        <v>1808</v>
      </c>
      <c r="AI10" s="213"/>
      <c r="AJ10"/>
      <c r="AK10" s="213" t="s">
        <v>1955</v>
      </c>
      <c r="AL10" s="90" t="s">
        <v>1956</v>
      </c>
    </row>
    <row r="11" spans="2:38" s="91" customFormat="1" ht="15" x14ac:dyDescent="0.2">
      <c r="B11" s="2888" t="s">
        <v>1957</v>
      </c>
      <c r="C11" s="2888"/>
      <c r="D11" s="2888"/>
      <c r="E11" s="2888"/>
      <c r="F11" s="2888"/>
      <c r="G11" s="2888"/>
      <c r="H11" s="2888"/>
      <c r="I11" s="953"/>
      <c r="J11" s="953"/>
      <c r="K11" s="1698"/>
      <c r="L11" s="953"/>
      <c r="M11" s="953"/>
      <c r="N11" s="953"/>
      <c r="O11" s="953"/>
      <c r="P11" s="953"/>
      <c r="Q11" s="953"/>
      <c r="R11" s="953"/>
      <c r="S11" s="953"/>
      <c r="T11" s="953"/>
      <c r="U11" s="953"/>
      <c r="V11" s="953"/>
      <c r="W11" s="953"/>
      <c r="X11" s="953"/>
      <c r="Y11" s="953"/>
      <c r="Z11" s="953"/>
      <c r="AA11" s="953"/>
      <c r="AB11" s="953"/>
      <c r="AC11" s="953"/>
      <c r="AD11" s="953"/>
      <c r="AE11" s="170">
        <v>1175</v>
      </c>
      <c r="AF11" s="170">
        <v>1120</v>
      </c>
      <c r="AG11" s="170">
        <v>1340</v>
      </c>
      <c r="AH11" s="2380" t="s">
        <v>1958</v>
      </c>
      <c r="AI11" s="2380"/>
      <c r="AJ11" s="170">
        <v>1340</v>
      </c>
      <c r="AK11" s="2112" t="s">
        <v>1959</v>
      </c>
      <c r="AL11" s="90" t="s">
        <v>1960</v>
      </c>
    </row>
    <row r="12" spans="2:38" s="91" customFormat="1" ht="15" customHeight="1" x14ac:dyDescent="0.2">
      <c r="B12" s="2154" t="s">
        <v>1961</v>
      </c>
      <c r="C12" s="953"/>
      <c r="D12" s="953"/>
      <c r="E12" s="953"/>
      <c r="F12" s="953"/>
      <c r="G12" s="953"/>
      <c r="H12" s="953"/>
      <c r="I12" s="953"/>
      <c r="J12" s="953"/>
      <c r="K12" s="1698"/>
      <c r="L12" s="953"/>
      <c r="M12" s="953"/>
      <c r="N12" s="953"/>
      <c r="O12" s="953"/>
      <c r="P12" s="953"/>
      <c r="Q12" s="953"/>
      <c r="R12" s="953"/>
      <c r="S12" s="953"/>
      <c r="T12" s="953"/>
      <c r="U12" s="953"/>
      <c r="V12" s="953"/>
      <c r="W12" s="953"/>
      <c r="X12" s="953"/>
      <c r="Y12" s="953"/>
      <c r="Z12" s="953"/>
      <c r="AA12" s="953"/>
      <c r="AB12" s="953"/>
      <c r="AC12" s="953"/>
      <c r="AD12" s="953"/>
      <c r="AE12" s="638">
        <v>1190</v>
      </c>
      <c r="AF12" s="170">
        <v>1130</v>
      </c>
      <c r="AG12" s="170">
        <v>1370</v>
      </c>
      <c r="AH12" s="2380" t="s">
        <v>1962</v>
      </c>
      <c r="AI12" s="2380"/>
      <c r="AJ12" s="170">
        <v>1370</v>
      </c>
      <c r="AK12" s="2112" t="s">
        <v>1963</v>
      </c>
      <c r="AL12" s="90" t="s">
        <v>1964</v>
      </c>
    </row>
    <row r="13" spans="2:38" s="91" customFormat="1" ht="15" customHeight="1" x14ac:dyDescent="0.2">
      <c r="B13" s="953"/>
      <c r="C13" s="953"/>
      <c r="D13" s="2382"/>
      <c r="E13" s="1121"/>
      <c r="F13" s="2382"/>
      <c r="G13" s="953"/>
      <c r="H13" s="953"/>
      <c r="I13" s="92"/>
      <c r="J13" s="2896"/>
      <c r="K13" s="2896"/>
      <c r="L13" s="953"/>
      <c r="M13" s="953"/>
      <c r="N13" s="953"/>
      <c r="O13" s="953"/>
      <c r="P13" s="953"/>
      <c r="Q13" s="953"/>
      <c r="R13" s="953"/>
      <c r="S13" s="953"/>
      <c r="T13" s="953"/>
      <c r="U13" s="953"/>
      <c r="V13" s="953"/>
      <c r="W13" s="953"/>
      <c r="X13" s="953"/>
      <c r="Y13" s="953"/>
      <c r="Z13" s="953"/>
      <c r="AA13" s="953"/>
      <c r="AB13" s="953"/>
      <c r="AC13" s="953"/>
      <c r="AD13" s="953"/>
      <c r="AE13" s="638">
        <v>1195</v>
      </c>
      <c r="AF13" s="170">
        <v>1160</v>
      </c>
      <c r="AG13" s="170">
        <v>1270</v>
      </c>
      <c r="AH13" s="2380" t="s">
        <v>1948</v>
      </c>
      <c r="AI13" s="2380"/>
      <c r="AJ13" s="170">
        <v>1270</v>
      </c>
      <c r="AK13" s="2112" t="s">
        <v>1965</v>
      </c>
      <c r="AL13" s="90" t="s">
        <v>1966</v>
      </c>
    </row>
    <row r="14" spans="2:38" s="91" customFormat="1" ht="15" customHeight="1" x14ac:dyDescent="0.2">
      <c r="B14" s="2897" t="s">
        <v>1967</v>
      </c>
      <c r="C14" s="2897"/>
      <c r="D14" s="2897"/>
      <c r="E14" s="1121"/>
      <c r="F14" s="2383" t="s">
        <v>1968</v>
      </c>
      <c r="G14" s="953"/>
      <c r="H14" s="2232" t="s">
        <v>1969</v>
      </c>
      <c r="I14" s="92"/>
      <c r="J14" s="1121"/>
      <c r="K14" s="1121"/>
      <c r="L14" s="953"/>
      <c r="M14" s="953"/>
      <c r="N14" s="953"/>
      <c r="O14" s="953"/>
      <c r="P14" s="953"/>
      <c r="Q14" s="953"/>
      <c r="R14" s="953"/>
      <c r="S14" s="953"/>
      <c r="T14" s="953"/>
      <c r="U14" s="953"/>
      <c r="V14" s="953"/>
      <c r="W14" s="953"/>
      <c r="X14" s="953"/>
      <c r="Y14" s="953"/>
      <c r="Z14" s="953"/>
      <c r="AA14" s="953"/>
      <c r="AB14" s="953"/>
      <c r="AC14" s="953"/>
      <c r="AD14" s="953"/>
      <c r="AE14" s="638">
        <v>1200</v>
      </c>
      <c r="AF14" s="170">
        <v>1175</v>
      </c>
      <c r="AG14" s="170">
        <v>1280</v>
      </c>
      <c r="AH14" s="2380" t="s">
        <v>1970</v>
      </c>
      <c r="AI14" s="2380"/>
      <c r="AJ14" s="170">
        <v>1280</v>
      </c>
      <c r="AK14" s="2112" t="s">
        <v>1971</v>
      </c>
      <c r="AL14" s="90" t="s">
        <v>1972</v>
      </c>
    </row>
    <row r="15" spans="2:38" s="91" customFormat="1" ht="15" customHeight="1" thickBot="1" x14ac:dyDescent="0.25">
      <c r="B15" s="2898" t="s">
        <v>1973</v>
      </c>
      <c r="C15" s="2898"/>
      <c r="D15" s="2898"/>
      <c r="E15" s="1121"/>
      <c r="F15" s="2384" t="s">
        <v>1973</v>
      </c>
      <c r="G15" s="2231"/>
      <c r="H15" s="2233" t="s">
        <v>1974</v>
      </c>
      <c r="I15" s="953"/>
      <c r="J15" s="93" t="s">
        <v>1975</v>
      </c>
      <c r="K15" s="1703"/>
      <c r="L15" s="2383" t="s">
        <v>50</v>
      </c>
      <c r="M15" s="953"/>
      <c r="N15" s="953"/>
      <c r="O15" s="953"/>
      <c r="P15" s="953"/>
      <c r="Q15" s="953"/>
      <c r="R15" s="953"/>
      <c r="S15" s="953"/>
      <c r="T15" s="953"/>
      <c r="U15" s="953"/>
      <c r="V15" s="953"/>
      <c r="W15" s="953"/>
      <c r="X15" s="953"/>
      <c r="Y15" s="953"/>
      <c r="Z15" s="953"/>
      <c r="AA15" s="953"/>
      <c r="AB15" s="953"/>
      <c r="AC15" s="953"/>
      <c r="AD15" s="953"/>
      <c r="AE15" s="170">
        <v>1220</v>
      </c>
      <c r="AF15" s="638">
        <v>1190</v>
      </c>
      <c r="AG15"/>
      <c r="AH15" s="213" t="s">
        <v>1976</v>
      </c>
      <c r="AI15" s="213"/>
      <c r="AJ15"/>
      <c r="AK15" s="213" t="s">
        <v>1977</v>
      </c>
      <c r="AL15" s="90" t="s">
        <v>1978</v>
      </c>
    </row>
    <row r="16" spans="2:38" s="91" customFormat="1" ht="15" customHeight="1" x14ac:dyDescent="0.2">
      <c r="B16" s="2891" t="s">
        <v>1930</v>
      </c>
      <c r="C16" s="2891"/>
      <c r="D16" s="2891"/>
      <c r="E16" s="2151"/>
      <c r="F16" s="877" t="s">
        <v>1931</v>
      </c>
      <c r="G16" s="2155"/>
      <c r="H16" s="2149"/>
      <c r="I16" s="1706"/>
      <c r="J16" s="2149"/>
      <c r="K16" s="1121"/>
      <c r="L16" s="289" t="str">
        <f>IF(M16=FALSE,"*","")</f>
        <v>*</v>
      </c>
      <c r="M16" s="1060" t="b">
        <f>IF(OR(N16=0,N16=3),TRUE, FALSE)</f>
        <v>0</v>
      </c>
      <c r="N16" s="1060">
        <f>COUNTIF(O16:Q16,FALSE)</f>
        <v>2</v>
      </c>
      <c r="O16" s="1061" t="b">
        <f>ISBLANK(B16)</f>
        <v>0</v>
      </c>
      <c r="P16" s="1061" t="b">
        <f>ISBLANK(F16)</f>
        <v>0</v>
      </c>
      <c r="Q16" s="1061" t="b">
        <f t="shared" ref="Q16:Q31" si="0">ISBLANK(H16)</f>
        <v>1</v>
      </c>
      <c r="R16" s="1061" t="b">
        <f t="shared" ref="R16:R31" si="1">ISBLANK(J16)</f>
        <v>1</v>
      </c>
      <c r="S16" s="953"/>
      <c r="T16" s="953"/>
      <c r="U16" s="953"/>
      <c r="V16" s="953"/>
      <c r="W16" s="953"/>
      <c r="X16" s="953"/>
      <c r="Y16" s="953"/>
      <c r="Z16" s="953"/>
      <c r="AA16" s="953"/>
      <c r="AB16" s="953"/>
      <c r="AC16" s="953"/>
      <c r="AD16" s="953"/>
      <c r="AE16" s="170">
        <v>1230</v>
      </c>
      <c r="AF16" s="638">
        <v>1195</v>
      </c>
      <c r="AG16" s="833">
        <v>1239</v>
      </c>
      <c r="AH16" s="2380" t="s">
        <v>1979</v>
      </c>
      <c r="AI16" s="2380"/>
      <c r="AJ16" s="833">
        <v>1239</v>
      </c>
      <c r="AK16" s="2112" t="s">
        <v>1980</v>
      </c>
      <c r="AL16" s="90" t="s">
        <v>1981</v>
      </c>
    </row>
    <row r="17" spans="2:38" s="91" customFormat="1" ht="15" customHeight="1" x14ac:dyDescent="0.2">
      <c r="B17" s="2891"/>
      <c r="C17" s="2891"/>
      <c r="D17" s="2891"/>
      <c r="E17" s="2151"/>
      <c r="F17" s="877"/>
      <c r="G17" s="2155"/>
      <c r="H17" s="2150"/>
      <c r="I17" s="1706"/>
      <c r="J17" s="2150"/>
      <c r="K17" s="1121"/>
      <c r="L17" s="289" t="str">
        <f t="shared" ref="L17:L31" si="2">IF(M17=FALSE,"*","")</f>
        <v/>
      </c>
      <c r="M17" s="1060" t="b">
        <f t="shared" ref="M17:M31" si="3">IF(OR(N17=0,N17=3),TRUE, FALSE)</f>
        <v>1</v>
      </c>
      <c r="N17" s="1060">
        <f t="shared" ref="N17:N31" si="4">COUNTIF(O17:Q17,FALSE)</f>
        <v>0</v>
      </c>
      <c r="O17" s="1061" t="b">
        <f t="shared" ref="O17:O31" si="5">ISBLANK(B17)</f>
        <v>1</v>
      </c>
      <c r="P17" s="1061" t="b">
        <f t="shared" ref="P17:P31" si="6">ISBLANK(F17)</f>
        <v>1</v>
      </c>
      <c r="Q17" s="1061" t="b">
        <f t="shared" si="0"/>
        <v>1</v>
      </c>
      <c r="R17" s="1061" t="b">
        <f t="shared" si="1"/>
        <v>1</v>
      </c>
      <c r="S17" s="953"/>
      <c r="T17" s="953"/>
      <c r="U17" s="953"/>
      <c r="V17" s="953"/>
      <c r="W17" s="953"/>
      <c r="X17" s="953"/>
      <c r="Y17" s="953"/>
      <c r="Z17" s="953"/>
      <c r="AA17" s="953"/>
      <c r="AB17" s="953"/>
      <c r="AC17" s="953"/>
      <c r="AD17" s="953"/>
      <c r="AE17" s="170">
        <v>1210</v>
      </c>
      <c r="AF17" s="638">
        <v>1200</v>
      </c>
      <c r="AG17"/>
      <c r="AH17" s="213" t="s">
        <v>1982</v>
      </c>
      <c r="AI17" s="213"/>
      <c r="AJ17"/>
      <c r="AK17" s="213" t="s">
        <v>1983</v>
      </c>
      <c r="AL17" s="90" t="s">
        <v>1984</v>
      </c>
    </row>
    <row r="18" spans="2:38" s="91" customFormat="1" ht="15" customHeight="1" x14ac:dyDescent="0.2">
      <c r="B18" s="2891"/>
      <c r="C18" s="2891"/>
      <c r="D18" s="2891"/>
      <c r="E18" s="2151"/>
      <c r="F18" s="877"/>
      <c r="G18" s="2155"/>
      <c r="H18" s="2150"/>
      <c r="I18" s="1706"/>
      <c r="J18" s="2150"/>
      <c r="K18" s="1121"/>
      <c r="L18" s="289" t="str">
        <f t="shared" si="2"/>
        <v/>
      </c>
      <c r="M18" s="1060" t="b">
        <f t="shared" si="3"/>
        <v>1</v>
      </c>
      <c r="N18" s="1060">
        <f t="shared" si="4"/>
        <v>0</v>
      </c>
      <c r="O18" s="1061" t="b">
        <f t="shared" si="5"/>
        <v>1</v>
      </c>
      <c r="P18" s="1061" t="b">
        <f t="shared" si="6"/>
        <v>1</v>
      </c>
      <c r="Q18" s="1061" t="b">
        <f t="shared" si="0"/>
        <v>1</v>
      </c>
      <c r="R18" s="1061" t="b">
        <f t="shared" si="1"/>
        <v>1</v>
      </c>
      <c r="S18" s="953"/>
      <c r="T18" s="953"/>
      <c r="U18" s="953"/>
      <c r="V18" s="953"/>
      <c r="W18" s="953"/>
      <c r="X18" s="953"/>
      <c r="Y18" s="953"/>
      <c r="Z18" s="953"/>
      <c r="AA18" s="953"/>
      <c r="AB18" s="953"/>
      <c r="AC18" s="953"/>
      <c r="AD18" s="953"/>
      <c r="AE18" s="170">
        <v>1211</v>
      </c>
      <c r="AF18" s="170">
        <v>1210</v>
      </c>
      <c r="AG18"/>
      <c r="AH18" s="213" t="s">
        <v>1985</v>
      </c>
      <c r="AI18" s="213"/>
      <c r="AJ18" s="170">
        <v>1640</v>
      </c>
      <c r="AK18" s="2112" t="s">
        <v>1986</v>
      </c>
      <c r="AL18" s="90" t="s">
        <v>1987</v>
      </c>
    </row>
    <row r="19" spans="2:38" s="91" customFormat="1" ht="15" customHeight="1" x14ac:dyDescent="0.2">
      <c r="B19" s="2891"/>
      <c r="C19" s="2891"/>
      <c r="D19" s="2891"/>
      <c r="E19" s="2151"/>
      <c r="F19" s="877"/>
      <c r="G19" s="2155"/>
      <c r="H19" s="2150"/>
      <c r="I19" s="1706"/>
      <c r="J19" s="2150"/>
      <c r="K19" s="1121"/>
      <c r="L19" s="289" t="str">
        <f t="shared" si="2"/>
        <v/>
      </c>
      <c r="M19" s="1060" t="b">
        <f t="shared" si="3"/>
        <v>1</v>
      </c>
      <c r="N19" s="1060">
        <f t="shared" si="4"/>
        <v>0</v>
      </c>
      <c r="O19" s="1061" t="b">
        <f t="shared" si="5"/>
        <v>1</v>
      </c>
      <c r="P19" s="1061" t="b">
        <f t="shared" si="6"/>
        <v>1</v>
      </c>
      <c r="Q19" s="1061" t="b">
        <f t="shared" si="0"/>
        <v>1</v>
      </c>
      <c r="R19" s="1061" t="b">
        <f t="shared" si="1"/>
        <v>1</v>
      </c>
      <c r="S19" s="953"/>
      <c r="T19" s="953"/>
      <c r="U19" s="953"/>
      <c r="V19" s="953"/>
      <c r="W19" s="953"/>
      <c r="X19" s="953"/>
      <c r="Y19" s="953"/>
      <c r="Z19" s="953"/>
      <c r="AA19" s="953"/>
      <c r="AB19" s="953"/>
      <c r="AC19" s="953"/>
      <c r="AD19" s="953"/>
      <c r="AE19" s="170">
        <v>1214</v>
      </c>
      <c r="AF19" s="170">
        <v>1211</v>
      </c>
      <c r="AG19" s="170">
        <v>1640</v>
      </c>
      <c r="AH19" s="2380" t="s">
        <v>1988</v>
      </c>
      <c r="AI19" s="2380"/>
      <c r="AJ19"/>
      <c r="AK19" s="213" t="s">
        <v>1989</v>
      </c>
      <c r="AL19" s="90" t="s">
        <v>1990</v>
      </c>
    </row>
    <row r="20" spans="2:38" s="91" customFormat="1" ht="15" customHeight="1" x14ac:dyDescent="0.2">
      <c r="B20" s="2891"/>
      <c r="C20" s="2891"/>
      <c r="D20" s="2891"/>
      <c r="E20" s="2151"/>
      <c r="F20" s="877"/>
      <c r="G20" s="2155"/>
      <c r="H20" s="2150"/>
      <c r="I20" s="1706"/>
      <c r="J20" s="2150"/>
      <c r="K20" s="1121"/>
      <c r="L20" s="289" t="str">
        <f t="shared" si="2"/>
        <v/>
      </c>
      <c r="M20" s="1060" t="b">
        <f t="shared" si="3"/>
        <v>1</v>
      </c>
      <c r="N20" s="1060">
        <f t="shared" si="4"/>
        <v>0</v>
      </c>
      <c r="O20" s="1061" t="b">
        <f t="shared" si="5"/>
        <v>1</v>
      </c>
      <c r="P20" s="1061" t="b">
        <f t="shared" si="6"/>
        <v>1</v>
      </c>
      <c r="Q20" s="1061" t="b">
        <f t="shared" si="0"/>
        <v>1</v>
      </c>
      <c r="R20" s="1061" t="b">
        <f t="shared" si="1"/>
        <v>1</v>
      </c>
      <c r="S20" s="953"/>
      <c r="T20" s="953"/>
      <c r="U20" s="953"/>
      <c r="V20" s="953"/>
      <c r="W20" s="953"/>
      <c r="X20" s="953"/>
      <c r="Y20" s="953"/>
      <c r="Z20" s="953"/>
      <c r="AA20" s="953"/>
      <c r="AB20" s="953"/>
      <c r="AC20" s="953"/>
      <c r="AD20" s="953"/>
      <c r="AE20" s="170"/>
      <c r="AF20" s="170"/>
      <c r="AG20"/>
      <c r="AH20" s="213" t="s">
        <v>1991</v>
      </c>
      <c r="AI20" s="213"/>
      <c r="AJ20" s="170">
        <v>1940</v>
      </c>
      <c r="AK20" s="2112" t="s">
        <v>1992</v>
      </c>
      <c r="AL20" s="90" t="s">
        <v>1993</v>
      </c>
    </row>
    <row r="21" spans="2:38" s="91" customFormat="1" ht="15" customHeight="1" x14ac:dyDescent="0.2">
      <c r="B21" s="2891"/>
      <c r="C21" s="2891"/>
      <c r="D21" s="2891"/>
      <c r="E21" s="2151"/>
      <c r="F21" s="877"/>
      <c r="G21" s="2155"/>
      <c r="H21" s="2150"/>
      <c r="I21" s="1706"/>
      <c r="J21" s="2150"/>
      <c r="K21" s="1121"/>
      <c r="L21" s="289" t="str">
        <f t="shared" si="2"/>
        <v/>
      </c>
      <c r="M21" s="1060" t="b">
        <f t="shared" si="3"/>
        <v>1</v>
      </c>
      <c r="N21" s="1060">
        <f t="shared" si="4"/>
        <v>0</v>
      </c>
      <c r="O21" s="1061" t="b">
        <f t="shared" si="5"/>
        <v>1</v>
      </c>
      <c r="P21" s="1061" t="b">
        <f t="shared" si="6"/>
        <v>1</v>
      </c>
      <c r="Q21" s="1061" t="b">
        <f t="shared" si="0"/>
        <v>1</v>
      </c>
      <c r="R21" s="1061" t="b">
        <f t="shared" si="1"/>
        <v>1</v>
      </c>
      <c r="S21" s="953"/>
      <c r="T21" s="953"/>
      <c r="U21" s="953"/>
      <c r="V21" s="953"/>
      <c r="W21" s="953"/>
      <c r="X21" s="953"/>
      <c r="Y21" s="953"/>
      <c r="Z21" s="953"/>
      <c r="AA21" s="953"/>
      <c r="AB21" s="953"/>
      <c r="AC21" s="953"/>
      <c r="AD21" s="953"/>
      <c r="AE21" s="170"/>
      <c r="AF21" s="170"/>
      <c r="AG21" s="170">
        <v>1940</v>
      </c>
      <c r="AH21" s="2380" t="s">
        <v>1994</v>
      </c>
      <c r="AI21" s="2380"/>
      <c r="AJ21"/>
      <c r="AK21" s="213" t="s">
        <v>1995</v>
      </c>
      <c r="AL21" s="953"/>
    </row>
    <row r="22" spans="2:38" s="91" customFormat="1" ht="15" customHeight="1" x14ac:dyDescent="0.2">
      <c r="B22" s="2891"/>
      <c r="C22" s="2891"/>
      <c r="D22" s="2891"/>
      <c r="E22" s="2151"/>
      <c r="F22" s="877"/>
      <c r="G22" s="2155"/>
      <c r="H22" s="2150"/>
      <c r="I22" s="1706"/>
      <c r="J22" s="2150"/>
      <c r="K22" s="1121"/>
      <c r="L22" s="289" t="str">
        <f t="shared" si="2"/>
        <v/>
      </c>
      <c r="M22" s="1060" t="b">
        <f t="shared" si="3"/>
        <v>1</v>
      </c>
      <c r="N22" s="1060">
        <f t="shared" si="4"/>
        <v>0</v>
      </c>
      <c r="O22" s="1061" t="b">
        <f t="shared" si="5"/>
        <v>1</v>
      </c>
      <c r="P22" s="1061" t="b">
        <f t="shared" si="6"/>
        <v>1</v>
      </c>
      <c r="Q22" s="1061" t="b">
        <f t="shared" si="0"/>
        <v>1</v>
      </c>
      <c r="R22" s="1061" t="b">
        <f t="shared" si="1"/>
        <v>1</v>
      </c>
      <c r="S22" s="953"/>
      <c r="T22" s="953"/>
      <c r="U22" s="953"/>
      <c r="V22" s="953"/>
      <c r="W22" s="953"/>
      <c r="X22" s="953"/>
      <c r="Y22" s="953"/>
      <c r="Z22" s="953"/>
      <c r="AA22" s="953"/>
      <c r="AB22" s="953"/>
      <c r="AC22" s="953"/>
      <c r="AD22" s="953"/>
      <c r="AE22" s="170">
        <v>1020</v>
      </c>
      <c r="AF22" s="170">
        <v>1214</v>
      </c>
      <c r="AG22"/>
      <c r="AH22" s="213" t="s">
        <v>1996</v>
      </c>
      <c r="AI22" s="213"/>
      <c r="AJ22" s="170">
        <v>1769</v>
      </c>
      <c r="AK22" s="2112" t="s">
        <v>1997</v>
      </c>
      <c r="AL22" s="953"/>
    </row>
    <row r="23" spans="2:38" s="91" customFormat="1" ht="15" customHeight="1" x14ac:dyDescent="0.2">
      <c r="B23" s="2891"/>
      <c r="C23" s="2891"/>
      <c r="D23" s="2891"/>
      <c r="E23" s="2151"/>
      <c r="F23" s="877"/>
      <c r="G23" s="2155"/>
      <c r="H23" s="2150"/>
      <c r="I23" s="1706"/>
      <c r="J23" s="2150"/>
      <c r="K23" s="1121"/>
      <c r="L23" s="289" t="str">
        <f t="shared" si="2"/>
        <v/>
      </c>
      <c r="M23" s="1060" t="b">
        <f t="shared" si="3"/>
        <v>1</v>
      </c>
      <c r="N23" s="1060">
        <f t="shared" si="4"/>
        <v>0</v>
      </c>
      <c r="O23" s="1061" t="b">
        <f t="shared" si="5"/>
        <v>1</v>
      </c>
      <c r="P23" s="1061" t="b">
        <f t="shared" si="6"/>
        <v>1</v>
      </c>
      <c r="Q23" s="1061" t="b">
        <f t="shared" si="0"/>
        <v>1</v>
      </c>
      <c r="R23" s="1061" t="b">
        <f t="shared" si="1"/>
        <v>1</v>
      </c>
      <c r="S23" s="953"/>
      <c r="T23" s="953"/>
      <c r="U23" s="953"/>
      <c r="V23" s="953"/>
      <c r="W23" s="953"/>
      <c r="X23" s="953"/>
      <c r="Y23" s="953"/>
      <c r="Z23" s="953"/>
      <c r="AA23" s="953"/>
      <c r="AB23" s="953"/>
      <c r="AC23" s="953"/>
      <c r="AD23" s="953"/>
      <c r="AE23" s="170">
        <v>1030</v>
      </c>
      <c r="AF23" s="170">
        <v>1220</v>
      </c>
      <c r="AG23" s="170">
        <v>1769</v>
      </c>
      <c r="AH23" s="2380" t="s">
        <v>1998</v>
      </c>
      <c r="AI23" s="2380"/>
      <c r="AJ23"/>
      <c r="AK23" s="213" t="s">
        <v>1999</v>
      </c>
      <c r="AL23" s="953"/>
    </row>
    <row r="24" spans="2:38" s="91" customFormat="1" ht="15" customHeight="1" x14ac:dyDescent="0.2">
      <c r="B24" s="2891"/>
      <c r="C24" s="2891"/>
      <c r="D24" s="2891"/>
      <c r="E24" s="2151"/>
      <c r="F24" s="877"/>
      <c r="G24" s="2155"/>
      <c r="H24" s="2150"/>
      <c r="I24" s="1706"/>
      <c r="J24" s="2150"/>
      <c r="K24" s="1121"/>
      <c r="L24" s="289" t="str">
        <f t="shared" si="2"/>
        <v/>
      </c>
      <c r="M24" s="1060" t="b">
        <f t="shared" si="3"/>
        <v>1</v>
      </c>
      <c r="N24" s="1060">
        <f t="shared" si="4"/>
        <v>0</v>
      </c>
      <c r="O24" s="1061" t="b">
        <f t="shared" si="5"/>
        <v>1</v>
      </c>
      <c r="P24" s="1061" t="b">
        <f t="shared" si="6"/>
        <v>1</v>
      </c>
      <c r="Q24" s="1061" t="b">
        <f t="shared" si="0"/>
        <v>1</v>
      </c>
      <c r="R24" s="1061" t="b">
        <f t="shared" si="1"/>
        <v>1</v>
      </c>
      <c r="S24" s="953"/>
      <c r="T24" s="953"/>
      <c r="U24" s="953"/>
      <c r="V24" s="953"/>
      <c r="W24" s="953"/>
      <c r="X24" s="953"/>
      <c r="Y24" s="953"/>
      <c r="Z24" s="953"/>
      <c r="AA24" s="953"/>
      <c r="AB24" s="953"/>
      <c r="AC24" s="953"/>
      <c r="AD24" s="953"/>
      <c r="AE24" s="170"/>
      <c r="AF24" s="170"/>
      <c r="AG24"/>
      <c r="AH24" s="213" t="s">
        <v>2000</v>
      </c>
      <c r="AI24" s="213"/>
      <c r="AJ24" s="170">
        <v>2390</v>
      </c>
      <c r="AK24" s="2112" t="s">
        <v>2001</v>
      </c>
      <c r="AL24" s="953"/>
    </row>
    <row r="25" spans="2:38" s="91" customFormat="1" ht="15" customHeight="1" x14ac:dyDescent="0.2">
      <c r="B25" s="2891"/>
      <c r="C25" s="2891"/>
      <c r="D25" s="2891"/>
      <c r="E25" s="2151"/>
      <c r="F25" s="877"/>
      <c r="G25" s="2155"/>
      <c r="H25" s="2150"/>
      <c r="I25" s="1706"/>
      <c r="J25" s="2150"/>
      <c r="K25" s="1121"/>
      <c r="L25" s="289" t="str">
        <f t="shared" si="2"/>
        <v/>
      </c>
      <c r="M25" s="1060" t="b">
        <f t="shared" si="3"/>
        <v>1</v>
      </c>
      <c r="N25" s="1060">
        <f t="shared" si="4"/>
        <v>0</v>
      </c>
      <c r="O25" s="1061" t="b">
        <f t="shared" si="5"/>
        <v>1</v>
      </c>
      <c r="P25" s="1061" t="b">
        <f t="shared" si="6"/>
        <v>1</v>
      </c>
      <c r="Q25" s="1061" t="b">
        <f t="shared" si="0"/>
        <v>1</v>
      </c>
      <c r="R25" s="1061" t="b">
        <f t="shared" si="1"/>
        <v>1</v>
      </c>
      <c r="S25" s="953"/>
      <c r="T25" s="953"/>
      <c r="U25" s="953"/>
      <c r="V25" s="953"/>
      <c r="W25" s="953"/>
      <c r="X25" s="953"/>
      <c r="Y25" s="953"/>
      <c r="Z25" s="953"/>
      <c r="AA25" s="953"/>
      <c r="AB25" s="953"/>
      <c r="AC25" s="953"/>
      <c r="AD25" s="953"/>
      <c r="AE25" s="170">
        <v>1070</v>
      </c>
      <c r="AF25" s="170">
        <v>1230</v>
      </c>
      <c r="AG25" s="170">
        <v>2390</v>
      </c>
      <c r="AH25" s="2380" t="s">
        <v>2002</v>
      </c>
      <c r="AI25" s="2380"/>
      <c r="AJ25" s="170">
        <v>2400</v>
      </c>
      <c r="AK25" s="2112" t="s">
        <v>2003</v>
      </c>
      <c r="AL25" s="953"/>
    </row>
    <row r="26" spans="2:38" s="91" customFormat="1" ht="15" customHeight="1" x14ac:dyDescent="0.2">
      <c r="B26" s="2891"/>
      <c r="C26" s="2891"/>
      <c r="D26" s="2891"/>
      <c r="E26" s="2151"/>
      <c r="F26" s="877"/>
      <c r="G26" s="2155"/>
      <c r="H26" s="2150"/>
      <c r="I26" s="1706"/>
      <c r="J26" s="2150"/>
      <c r="K26" s="1121"/>
      <c r="L26" s="289" t="str">
        <f t="shared" si="2"/>
        <v/>
      </c>
      <c r="M26" s="1060" t="b">
        <f t="shared" si="3"/>
        <v>1</v>
      </c>
      <c r="N26" s="1060">
        <f t="shared" si="4"/>
        <v>0</v>
      </c>
      <c r="O26" s="1061" t="b">
        <f t="shared" si="5"/>
        <v>1</v>
      </c>
      <c r="P26" s="1061" t="b">
        <f t="shared" si="6"/>
        <v>1</v>
      </c>
      <c r="Q26" s="1061" t="b">
        <f t="shared" si="0"/>
        <v>1</v>
      </c>
      <c r="R26" s="1061" t="b">
        <f t="shared" si="1"/>
        <v>1</v>
      </c>
      <c r="S26" s="953"/>
      <c r="T26" s="953"/>
      <c r="U26" s="953"/>
      <c r="V26" s="953"/>
      <c r="W26" s="953"/>
      <c r="X26" s="953"/>
      <c r="Y26" s="953"/>
      <c r="Z26" s="953"/>
      <c r="AA26" s="953"/>
      <c r="AB26" s="953"/>
      <c r="AC26" s="953"/>
      <c r="AD26" s="953"/>
      <c r="AE26" s="170"/>
      <c r="AF26" s="170"/>
      <c r="AG26" s="170">
        <v>2400</v>
      </c>
      <c r="AH26" s="2380" t="s">
        <v>2004</v>
      </c>
      <c r="AI26" s="2380"/>
      <c r="AJ26" s="170">
        <v>2450</v>
      </c>
      <c r="AK26" s="2112" t="s">
        <v>2005</v>
      </c>
      <c r="AL26" s="953"/>
    </row>
    <row r="27" spans="2:38" s="91" customFormat="1" ht="15" customHeight="1" x14ac:dyDescent="0.2">
      <c r="B27" s="2891"/>
      <c r="C27" s="2891"/>
      <c r="D27" s="2891"/>
      <c r="E27" s="2151"/>
      <c r="F27" s="877"/>
      <c r="G27" s="2155"/>
      <c r="H27" s="2150"/>
      <c r="I27" s="1706"/>
      <c r="J27" s="2150"/>
      <c r="K27" s="1121"/>
      <c r="L27" s="289" t="str">
        <f t="shared" si="2"/>
        <v/>
      </c>
      <c r="M27" s="1060" t="b">
        <f t="shared" si="3"/>
        <v>1</v>
      </c>
      <c r="N27" s="1060">
        <f t="shared" si="4"/>
        <v>0</v>
      </c>
      <c r="O27" s="1061" t="b">
        <f t="shared" si="5"/>
        <v>1</v>
      </c>
      <c r="P27" s="1061" t="b">
        <f t="shared" si="6"/>
        <v>1</v>
      </c>
      <c r="Q27" s="1061" t="b">
        <f t="shared" si="0"/>
        <v>1</v>
      </c>
      <c r="R27" s="1061" t="b">
        <f t="shared" si="1"/>
        <v>1</v>
      </c>
      <c r="S27" s="953"/>
      <c r="T27" s="953"/>
      <c r="U27" s="953"/>
      <c r="V27" s="953"/>
      <c r="W27" s="953"/>
      <c r="X27" s="953"/>
      <c r="Y27" s="953"/>
      <c r="Z27" s="953"/>
      <c r="AA27" s="953"/>
      <c r="AB27" s="953"/>
      <c r="AC27" s="953"/>
      <c r="AD27" s="953"/>
      <c r="AE27" s="170"/>
      <c r="AF27" s="170"/>
      <c r="AG27" s="170">
        <v>2450</v>
      </c>
      <c r="AH27" s="2380" t="s">
        <v>2006</v>
      </c>
      <c r="AI27" s="2380"/>
      <c r="AJ27"/>
      <c r="AK27" s="213" t="s">
        <v>2007</v>
      </c>
      <c r="AL27" s="953"/>
    </row>
    <row r="28" spans="2:38" s="91" customFormat="1" ht="15" customHeight="1" x14ac:dyDescent="0.2">
      <c r="B28" s="2891"/>
      <c r="C28" s="2891"/>
      <c r="D28" s="2891"/>
      <c r="E28" s="2151"/>
      <c r="F28" s="877"/>
      <c r="G28" s="2155"/>
      <c r="H28" s="2150"/>
      <c r="I28" s="1706"/>
      <c r="J28" s="2150"/>
      <c r="K28" s="1121"/>
      <c r="L28" s="289" t="str">
        <f t="shared" si="2"/>
        <v/>
      </c>
      <c r="M28" s="1060" t="b">
        <f t="shared" si="3"/>
        <v>1</v>
      </c>
      <c r="N28" s="1060">
        <f t="shared" si="4"/>
        <v>0</v>
      </c>
      <c r="O28" s="1061" t="b">
        <f t="shared" si="5"/>
        <v>1</v>
      </c>
      <c r="P28" s="1061" t="b">
        <f t="shared" si="6"/>
        <v>1</v>
      </c>
      <c r="Q28" s="1061" t="b">
        <f t="shared" si="0"/>
        <v>1</v>
      </c>
      <c r="R28" s="1061" t="b">
        <f t="shared" si="1"/>
        <v>1</v>
      </c>
      <c r="S28" s="953"/>
      <c r="T28" s="953"/>
      <c r="U28" s="953"/>
      <c r="V28" s="953"/>
      <c r="W28" s="953"/>
      <c r="X28" s="953"/>
      <c r="Y28" s="953"/>
      <c r="Z28" s="953"/>
      <c r="AA28" s="953"/>
      <c r="AB28" s="953"/>
      <c r="AC28" s="953"/>
      <c r="AD28" s="953"/>
      <c r="AE28" s="170"/>
      <c r="AF28" s="170"/>
      <c r="AG28"/>
      <c r="AH28" s="213" t="s">
        <v>2008</v>
      </c>
      <c r="AI28" s="213"/>
      <c r="AJ28" s="170">
        <v>2520</v>
      </c>
      <c r="AK28" s="2112" t="s">
        <v>2009</v>
      </c>
      <c r="AL28" s="953"/>
    </row>
    <row r="29" spans="2:38" s="91" customFormat="1" ht="15" customHeight="1" x14ac:dyDescent="0.2">
      <c r="B29" s="2891"/>
      <c r="C29" s="2891"/>
      <c r="D29" s="2891"/>
      <c r="E29" s="2151"/>
      <c r="F29" s="877"/>
      <c r="G29" s="2155"/>
      <c r="H29" s="2150"/>
      <c r="I29" s="1706"/>
      <c r="J29" s="2150"/>
      <c r="K29" s="1121"/>
      <c r="L29" s="289" t="str">
        <f t="shared" si="2"/>
        <v/>
      </c>
      <c r="M29" s="1060" t="b">
        <f t="shared" si="3"/>
        <v>1</v>
      </c>
      <c r="N29" s="1060">
        <f t="shared" si="4"/>
        <v>0</v>
      </c>
      <c r="O29" s="1061" t="b">
        <f t="shared" si="5"/>
        <v>1</v>
      </c>
      <c r="P29" s="1061" t="b">
        <f t="shared" si="6"/>
        <v>1</v>
      </c>
      <c r="Q29" s="1061" t="b">
        <f t="shared" si="0"/>
        <v>1</v>
      </c>
      <c r="R29" s="1061" t="b">
        <f t="shared" si="1"/>
        <v>1</v>
      </c>
      <c r="S29" s="953"/>
      <c r="T29" s="953"/>
      <c r="U29" s="953"/>
      <c r="V29" s="953"/>
      <c r="W29" s="953"/>
      <c r="X29" s="953"/>
      <c r="Y29" s="953"/>
      <c r="Z29" s="953"/>
      <c r="AA29" s="953"/>
      <c r="AB29" s="953"/>
      <c r="AC29" s="953"/>
      <c r="AD29" s="953"/>
      <c r="AE29" s="170"/>
      <c r="AF29" s="170"/>
      <c r="AG29" s="170">
        <v>2520</v>
      </c>
      <c r="AH29" s="2380" t="s">
        <v>2010</v>
      </c>
      <c r="AI29" s="2380"/>
      <c r="AJ29" s="170">
        <v>2625</v>
      </c>
      <c r="AK29" s="2112" t="s">
        <v>2011</v>
      </c>
      <c r="AL29" s="953"/>
    </row>
    <row r="30" spans="2:38" s="91" customFormat="1" ht="15" customHeight="1" x14ac:dyDescent="0.2">
      <c r="B30" s="2891"/>
      <c r="C30" s="2891"/>
      <c r="D30" s="2891"/>
      <c r="E30" s="2151"/>
      <c r="F30" s="877"/>
      <c r="G30" s="2155"/>
      <c r="H30" s="2150"/>
      <c r="I30" s="1706"/>
      <c r="J30" s="2150"/>
      <c r="K30" s="1121"/>
      <c r="L30" s="289" t="str">
        <f t="shared" si="2"/>
        <v/>
      </c>
      <c r="M30" s="1060" t="b">
        <f t="shared" si="3"/>
        <v>1</v>
      </c>
      <c r="N30" s="1060">
        <f t="shared" si="4"/>
        <v>0</v>
      </c>
      <c r="O30" s="1061" t="b">
        <f t="shared" si="5"/>
        <v>1</v>
      </c>
      <c r="P30" s="1061" t="b">
        <f t="shared" si="6"/>
        <v>1</v>
      </c>
      <c r="Q30" s="1061" t="b">
        <f t="shared" si="0"/>
        <v>1</v>
      </c>
      <c r="R30" s="1061" t="b">
        <f t="shared" si="1"/>
        <v>1</v>
      </c>
      <c r="S30" s="953"/>
      <c r="T30" s="953"/>
      <c r="U30" s="953"/>
      <c r="V30" s="953"/>
      <c r="W30" s="953"/>
      <c r="X30" s="953"/>
      <c r="Y30" s="953"/>
      <c r="Z30" s="953"/>
      <c r="AA30" s="953"/>
      <c r="AB30" s="953"/>
      <c r="AC30" s="953"/>
      <c r="AD30" s="953"/>
      <c r="AE30" s="170"/>
      <c r="AF30" s="170"/>
      <c r="AG30" s="170">
        <v>2625</v>
      </c>
      <c r="AH30" s="2380" t="s">
        <v>2012</v>
      </c>
      <c r="AI30" s="2380"/>
      <c r="AJ30" s="170">
        <v>2630</v>
      </c>
      <c r="AK30" s="2112" t="s">
        <v>2013</v>
      </c>
      <c r="AL30" s="953"/>
    </row>
    <row r="31" spans="2:38" s="91" customFormat="1" ht="15" customHeight="1" x14ac:dyDescent="0.2">
      <c r="B31" s="2891"/>
      <c r="C31" s="2891"/>
      <c r="D31" s="2891"/>
      <c r="E31" s="2151"/>
      <c r="F31" s="877"/>
      <c r="G31" s="2155"/>
      <c r="H31" s="2150"/>
      <c r="I31" s="1706"/>
      <c r="J31" s="2150"/>
      <c r="K31" s="1121"/>
      <c r="L31" s="289" t="str">
        <f t="shared" si="2"/>
        <v/>
      </c>
      <c r="M31" s="1060" t="b">
        <f t="shared" si="3"/>
        <v>1</v>
      </c>
      <c r="N31" s="1060">
        <f t="shared" si="4"/>
        <v>0</v>
      </c>
      <c r="O31" s="1061" t="b">
        <f t="shared" si="5"/>
        <v>1</v>
      </c>
      <c r="P31" s="1061" t="b">
        <f t="shared" si="6"/>
        <v>1</v>
      </c>
      <c r="Q31" s="1061" t="b">
        <f t="shared" si="0"/>
        <v>1</v>
      </c>
      <c r="R31" s="1061" t="b">
        <f t="shared" si="1"/>
        <v>1</v>
      </c>
      <c r="S31" s="953"/>
      <c r="T31" s="953"/>
      <c r="U31" s="953"/>
      <c r="V31" s="953"/>
      <c r="W31" s="953"/>
      <c r="X31" s="953"/>
      <c r="Y31" s="953"/>
      <c r="Z31" s="953"/>
      <c r="AA31" s="953"/>
      <c r="AB31" s="953"/>
      <c r="AC31" s="953"/>
      <c r="AD31" s="953"/>
      <c r="AE31" s="170"/>
      <c r="AF31" s="170"/>
      <c r="AG31" s="170">
        <v>2630</v>
      </c>
      <c r="AH31" s="2380" t="s">
        <v>2014</v>
      </c>
      <c r="AI31" s="2380"/>
      <c r="AJ31"/>
      <c r="AK31" s="213" t="s">
        <v>2015</v>
      </c>
      <c r="AL31" s="953"/>
    </row>
    <row r="32" spans="2:38" s="91" customFormat="1" ht="15" customHeight="1" x14ac:dyDescent="0.2">
      <c r="B32" s="953"/>
      <c r="C32" s="953"/>
      <c r="D32" s="953"/>
      <c r="E32" s="959"/>
      <c r="F32" s="2151"/>
      <c r="G32" s="2383"/>
      <c r="H32" s="2152"/>
      <c r="I32" s="953"/>
      <c r="J32" s="2152"/>
      <c r="K32" s="1121"/>
      <c r="L32" s="289"/>
      <c r="M32" s="1060"/>
      <c r="N32" s="1060"/>
      <c r="O32" s="1061"/>
      <c r="P32" s="1061"/>
      <c r="Q32" s="1061"/>
      <c r="R32" s="1061"/>
      <c r="S32" s="953"/>
      <c r="T32" s="953"/>
      <c r="U32" s="953"/>
      <c r="V32" s="953"/>
      <c r="W32" s="953"/>
      <c r="X32" s="953"/>
      <c r="Y32" s="953"/>
      <c r="Z32" s="953"/>
      <c r="AA32" s="953"/>
      <c r="AB32" s="953"/>
      <c r="AC32" s="953"/>
      <c r="AD32" s="953"/>
      <c r="AE32" s="170"/>
      <c r="AF32" s="170"/>
      <c r="AG32"/>
      <c r="AH32" s="213" t="s">
        <v>2016</v>
      </c>
      <c r="AI32" s="213"/>
      <c r="AJ32" s="170">
        <v>2700</v>
      </c>
      <c r="AK32" s="2112" t="s">
        <v>2017</v>
      </c>
      <c r="AL32" s="953"/>
    </row>
    <row r="33" spans="2:38" s="91" customFormat="1" ht="15" customHeight="1" thickBot="1" x14ac:dyDescent="0.25">
      <c r="B33" s="953"/>
      <c r="C33" s="953"/>
      <c r="D33" s="953"/>
      <c r="E33" s="2383"/>
      <c r="F33" s="2383" t="s">
        <v>2018</v>
      </c>
      <c r="G33" s="2383"/>
      <c r="H33" s="961">
        <f>SUMIF($H$16:$H$31,"&gt;0",$H$16:$H$31)</f>
        <v>0</v>
      </c>
      <c r="I33" s="953"/>
      <c r="J33" s="955">
        <f>SUM(J16:J25)</f>
        <v>0</v>
      </c>
      <c r="K33" s="953"/>
      <c r="L33" s="957"/>
      <c r="M33" s="1060">
        <f>COUNTIF(M16:M31,FALSE)</f>
        <v>1</v>
      </c>
      <c r="N33" s="957"/>
      <c r="O33" s="957"/>
      <c r="P33" s="957"/>
      <c r="Q33" s="957"/>
      <c r="R33" s="957"/>
      <c r="S33" s="953"/>
      <c r="T33" s="953"/>
      <c r="U33" s="953"/>
      <c r="V33" s="953"/>
      <c r="W33" s="953"/>
      <c r="X33" s="953"/>
      <c r="Y33" s="953"/>
      <c r="Z33" s="953"/>
      <c r="AA33" s="953"/>
      <c r="AB33" s="953"/>
      <c r="AC33" s="953"/>
      <c r="AD33" s="953"/>
      <c r="AE33" s="170">
        <v>1232</v>
      </c>
      <c r="AF33" s="170">
        <v>1232</v>
      </c>
      <c r="AG33" s="170">
        <v>2700</v>
      </c>
      <c r="AH33" s="2380" t="s">
        <v>2019</v>
      </c>
      <c r="AI33" s="2380"/>
      <c r="AJ33" s="170">
        <v>2711</v>
      </c>
      <c r="AK33" s="2112" t="s">
        <v>2020</v>
      </c>
      <c r="AL33" s="953"/>
    </row>
    <row r="34" spans="2:38" s="91" customFormat="1" ht="15" customHeight="1" thickBot="1" x14ac:dyDescent="0.25">
      <c r="B34" s="953"/>
      <c r="C34" s="953"/>
      <c r="D34" s="953"/>
      <c r="E34" s="2383"/>
      <c r="F34" s="2383" t="s">
        <v>2021</v>
      </c>
      <c r="G34" s="2383"/>
      <c r="H34" s="961">
        <f>SUMIF($H$16:$H$31,"&lt;0",$H$16:$H$31)</f>
        <v>0</v>
      </c>
      <c r="I34" s="953"/>
      <c r="J34" s="125"/>
      <c r="K34" s="953"/>
      <c r="L34" s="957"/>
      <c r="M34" s="957"/>
      <c r="N34" s="957"/>
      <c r="O34" s="957"/>
      <c r="P34" s="957"/>
      <c r="Q34" s="957"/>
      <c r="R34" s="957"/>
      <c r="S34" s="953"/>
      <c r="T34" s="953"/>
      <c r="U34" s="953"/>
      <c r="V34" s="953"/>
      <c r="W34" s="953"/>
      <c r="X34" s="953"/>
      <c r="Y34" s="953"/>
      <c r="Z34" s="953"/>
      <c r="AA34" s="953"/>
      <c r="AB34" s="953"/>
      <c r="AC34" s="953"/>
      <c r="AD34" s="953"/>
      <c r="AE34" s="170">
        <v>1235</v>
      </c>
      <c r="AF34" s="170">
        <v>1233</v>
      </c>
      <c r="AG34" s="170">
        <v>2711</v>
      </c>
      <c r="AH34" s="2380" t="s">
        <v>2022</v>
      </c>
      <c r="AI34" s="2380"/>
      <c r="AJ34" s="170">
        <v>2780</v>
      </c>
      <c r="AK34" s="2112" t="s">
        <v>2023</v>
      </c>
      <c r="AL34" s="953"/>
    </row>
    <row r="35" spans="2:38" s="91" customFormat="1" ht="15" customHeight="1" x14ac:dyDescent="0.2">
      <c r="B35" s="2153" t="s">
        <v>2024</v>
      </c>
      <c r="C35" s="953"/>
      <c r="D35" s="2147" t="str" cm="1">
        <f t="array" ref="D35:D50">IF(L16:L31="*","Complete all columns (B, F and H)","")</f>
        <v>Complete all columns (B, F and H)</v>
      </c>
      <c r="E35" s="953"/>
      <c r="F35" s="2146" t="s">
        <v>2025</v>
      </c>
      <c r="G35" s="2147"/>
      <c r="H35" s="2148">
        <f>+H33+H34</f>
        <v>0</v>
      </c>
      <c r="I35" s="2147"/>
      <c r="J35" s="2147" t="str">
        <f>IF(H35=0,"OK","ERROR: Total Debit doesn’t equal Total Credit")</f>
        <v>OK</v>
      </c>
      <c r="K35" s="953"/>
      <c r="L35" s="953"/>
      <c r="M35" s="957"/>
      <c r="N35" s="957"/>
      <c r="O35" s="957"/>
      <c r="P35" s="957"/>
      <c r="Q35" s="957"/>
      <c r="R35" s="957"/>
      <c r="S35" s="953"/>
      <c r="T35" s="953"/>
      <c r="U35" s="953"/>
      <c r="V35" s="953"/>
      <c r="W35" s="953"/>
      <c r="X35" s="953"/>
      <c r="Y35" s="953"/>
      <c r="Z35" s="953"/>
      <c r="AA35" s="953"/>
      <c r="AB35" s="953"/>
      <c r="AC35" s="953"/>
      <c r="AD35" s="953"/>
      <c r="AE35" s="170">
        <v>1233</v>
      </c>
      <c r="AF35" s="833">
        <v>1234</v>
      </c>
      <c r="AG35" s="170">
        <v>2780</v>
      </c>
      <c r="AH35" s="2380" t="s">
        <v>2026</v>
      </c>
      <c r="AI35" s="2380"/>
      <c r="AJ35" s="170">
        <v>2800</v>
      </c>
      <c r="AK35" s="2112" t="s">
        <v>2027</v>
      </c>
      <c r="AL35" s="953"/>
    </row>
    <row r="36" spans="2:38" s="91" customFormat="1" ht="15" hidden="1" customHeight="1" x14ac:dyDescent="0.2">
      <c r="B36" s="953"/>
      <c r="C36" s="953"/>
      <c r="D36" s="953" t="str">
        <v/>
      </c>
      <c r="E36" s="953"/>
      <c r="F36" s="2146"/>
      <c r="G36" s="2147"/>
      <c r="H36" s="2148"/>
      <c r="I36" s="2147"/>
      <c r="J36" s="2147"/>
      <c r="K36" s="953"/>
      <c r="L36" s="953"/>
      <c r="M36" s="957"/>
      <c r="N36" s="957"/>
      <c r="O36" s="957"/>
      <c r="P36" s="957"/>
      <c r="Q36" s="957"/>
      <c r="R36" s="957"/>
      <c r="S36" s="953"/>
      <c r="T36" s="953"/>
      <c r="U36" s="953"/>
      <c r="V36" s="953"/>
      <c r="W36" s="953"/>
      <c r="X36" s="953"/>
      <c r="Y36" s="953"/>
      <c r="Z36" s="953"/>
      <c r="AA36" s="953"/>
      <c r="AB36" s="953"/>
      <c r="AC36" s="953"/>
      <c r="AD36" s="953"/>
      <c r="AE36" s="170"/>
      <c r="AF36" s="833"/>
      <c r="AG36" s="170"/>
      <c r="AH36" s="2380"/>
      <c r="AI36" s="2380"/>
      <c r="AJ36" s="170"/>
      <c r="AK36" s="2112"/>
      <c r="AL36" s="953"/>
    </row>
    <row r="37" spans="2:38" s="91" customFormat="1" ht="15" hidden="1" customHeight="1" x14ac:dyDescent="0.2">
      <c r="B37" s="953"/>
      <c r="C37" s="953"/>
      <c r="D37" s="953" t="str">
        <v/>
      </c>
      <c r="E37" s="953"/>
      <c r="F37" s="953"/>
      <c r="G37" s="953"/>
      <c r="H37" s="953"/>
      <c r="I37" s="953"/>
      <c r="J37" s="953"/>
      <c r="K37" s="953"/>
      <c r="L37" s="953"/>
      <c r="M37" s="957"/>
      <c r="N37" s="957"/>
      <c r="O37" s="957"/>
      <c r="P37" s="957"/>
      <c r="Q37" s="957"/>
      <c r="R37" s="957"/>
      <c r="S37" s="953"/>
      <c r="T37" s="953"/>
      <c r="U37" s="953"/>
      <c r="V37" s="953"/>
      <c r="W37" s="953"/>
      <c r="X37" s="953"/>
      <c r="Y37" s="953"/>
      <c r="Z37" s="953"/>
      <c r="AA37" s="953"/>
      <c r="AB37" s="953"/>
      <c r="AC37" s="953"/>
      <c r="AD37" s="953"/>
      <c r="AE37" s="170">
        <v>1300</v>
      </c>
      <c r="AF37" s="170">
        <v>1235</v>
      </c>
      <c r="AG37" s="170">
        <v>2800</v>
      </c>
      <c r="AH37" s="2380" t="s">
        <v>2028</v>
      </c>
      <c r="AI37" s="2380"/>
      <c r="AJ37" s="170">
        <v>2810</v>
      </c>
      <c r="AK37" s="2112" t="s">
        <v>2029</v>
      </c>
      <c r="AL37" s="953"/>
    </row>
    <row r="38" spans="2:38" s="91" customFormat="1" ht="15" hidden="1" customHeight="1" x14ac:dyDescent="0.2">
      <c r="B38" s="421"/>
      <c r="C38" s="953"/>
      <c r="D38" s="953" t="str">
        <v/>
      </c>
      <c r="E38" s="953"/>
      <c r="F38" s="953"/>
      <c r="G38" s="953"/>
      <c r="H38" s="953"/>
      <c r="I38" s="953"/>
      <c r="J38" s="953"/>
      <c r="K38" s="953"/>
      <c r="L38" s="953"/>
      <c r="M38" s="957"/>
      <c r="N38" s="957"/>
      <c r="O38" s="957"/>
      <c r="P38" s="957"/>
      <c r="Q38" s="957"/>
      <c r="R38" s="957"/>
      <c r="S38" s="953"/>
      <c r="T38" s="953"/>
      <c r="U38" s="953"/>
      <c r="V38" s="953"/>
      <c r="W38" s="953"/>
      <c r="X38" s="953"/>
      <c r="Y38" s="953"/>
      <c r="Z38" s="953"/>
      <c r="AA38" s="953"/>
      <c r="AB38" s="953"/>
      <c r="AC38" s="953"/>
      <c r="AD38" s="953"/>
      <c r="AE38" s="170"/>
      <c r="AF38" s="170"/>
      <c r="AG38" s="170"/>
      <c r="AH38" s="2380"/>
      <c r="AI38" s="2380"/>
      <c r="AJ38" s="170"/>
      <c r="AK38" s="2112"/>
      <c r="AL38" s="953"/>
    </row>
    <row r="39" spans="2:38" s="91" customFormat="1" ht="15" hidden="1" customHeight="1" x14ac:dyDescent="0.2">
      <c r="B39" s="421"/>
      <c r="C39" s="953"/>
      <c r="D39" s="953" t="str">
        <v/>
      </c>
      <c r="E39" s="953"/>
      <c r="F39" s="953"/>
      <c r="G39" s="953"/>
      <c r="H39" s="953"/>
      <c r="I39" s="953"/>
      <c r="J39" s="953"/>
      <c r="K39" s="953"/>
      <c r="L39" s="953"/>
      <c r="M39" s="957"/>
      <c r="N39" s="957"/>
      <c r="O39" s="957"/>
      <c r="P39" s="957"/>
      <c r="Q39" s="957"/>
      <c r="R39" s="957"/>
      <c r="S39" s="953"/>
      <c r="T39" s="953"/>
      <c r="U39" s="953"/>
      <c r="V39" s="953"/>
      <c r="W39" s="953"/>
      <c r="X39" s="953"/>
      <c r="Y39" s="953"/>
      <c r="Z39" s="953"/>
      <c r="AA39" s="953"/>
      <c r="AB39" s="953"/>
      <c r="AC39" s="953"/>
      <c r="AD39" s="953"/>
      <c r="AE39" s="170"/>
      <c r="AF39" s="170"/>
      <c r="AG39" s="170"/>
      <c r="AH39" s="2380"/>
      <c r="AI39" s="2380"/>
      <c r="AJ39" s="170"/>
      <c r="AK39" s="2112"/>
      <c r="AL39" s="953"/>
    </row>
    <row r="40" spans="2:38" s="91" customFormat="1" ht="15" hidden="1" customHeight="1" x14ac:dyDescent="0.2">
      <c r="B40" s="421"/>
      <c r="C40" s="953"/>
      <c r="D40" s="953" t="str">
        <v/>
      </c>
      <c r="E40" s="953"/>
      <c r="F40" s="953"/>
      <c r="G40" s="953"/>
      <c r="H40" s="953"/>
      <c r="I40" s="953"/>
      <c r="J40" s="953"/>
      <c r="K40" s="953"/>
      <c r="L40" s="953"/>
      <c r="M40" s="957"/>
      <c r="N40" s="957"/>
      <c r="O40" s="957"/>
      <c r="P40" s="957"/>
      <c r="Q40" s="957"/>
      <c r="R40" s="957"/>
      <c r="S40" s="953"/>
      <c r="T40" s="953"/>
      <c r="U40" s="953"/>
      <c r="V40" s="953"/>
      <c r="W40" s="953"/>
      <c r="X40" s="953"/>
      <c r="Y40" s="953"/>
      <c r="Z40" s="953"/>
      <c r="AA40" s="953"/>
      <c r="AB40" s="953"/>
      <c r="AC40" s="953"/>
      <c r="AD40" s="953"/>
      <c r="AE40" s="170"/>
      <c r="AF40" s="170"/>
      <c r="AG40" s="170"/>
      <c r="AH40" s="2380"/>
      <c r="AI40" s="2380"/>
      <c r="AJ40" s="170"/>
      <c r="AK40" s="2112"/>
      <c r="AL40" s="953"/>
    </row>
    <row r="41" spans="2:38" s="91" customFormat="1" ht="15" hidden="1" customHeight="1" x14ac:dyDescent="0.2">
      <c r="B41" s="421"/>
      <c r="C41" s="953"/>
      <c r="D41" s="953" t="str">
        <v/>
      </c>
      <c r="E41" s="953"/>
      <c r="F41" s="953"/>
      <c r="G41" s="953"/>
      <c r="H41" s="953"/>
      <c r="I41" s="953"/>
      <c r="J41" s="953"/>
      <c r="K41" s="953"/>
      <c r="L41" s="953"/>
      <c r="M41" s="957"/>
      <c r="N41" s="957"/>
      <c r="O41" s="957"/>
      <c r="P41" s="957"/>
      <c r="Q41" s="957"/>
      <c r="R41" s="957"/>
      <c r="S41" s="953"/>
      <c r="T41" s="953"/>
      <c r="U41" s="953"/>
      <c r="V41" s="953"/>
      <c r="W41" s="953"/>
      <c r="X41" s="953"/>
      <c r="Y41" s="953"/>
      <c r="Z41" s="953"/>
      <c r="AA41" s="953"/>
      <c r="AB41" s="953"/>
      <c r="AC41" s="953"/>
      <c r="AD41" s="953"/>
      <c r="AE41" s="170"/>
      <c r="AF41" s="170"/>
      <c r="AG41" s="170"/>
      <c r="AH41" s="2380"/>
      <c r="AI41" s="2380"/>
      <c r="AJ41" s="170"/>
      <c r="AK41" s="2112"/>
      <c r="AL41" s="953"/>
    </row>
    <row r="42" spans="2:38" s="91" customFormat="1" ht="15" hidden="1" customHeight="1" x14ac:dyDescent="0.2">
      <c r="B42" s="421"/>
      <c r="C42" s="953"/>
      <c r="D42" s="953" t="str">
        <v/>
      </c>
      <c r="E42" s="953"/>
      <c r="F42" s="953"/>
      <c r="G42" s="953"/>
      <c r="H42" s="953"/>
      <c r="I42" s="953"/>
      <c r="J42" s="953"/>
      <c r="K42" s="953"/>
      <c r="L42" s="953"/>
      <c r="M42" s="957"/>
      <c r="N42" s="957"/>
      <c r="O42" s="957"/>
      <c r="P42" s="957"/>
      <c r="Q42" s="957"/>
      <c r="R42" s="957"/>
      <c r="S42" s="953"/>
      <c r="T42" s="953"/>
      <c r="U42" s="953"/>
      <c r="V42" s="953"/>
      <c r="W42" s="953"/>
      <c r="X42" s="953"/>
      <c r="Y42" s="953"/>
      <c r="Z42" s="953"/>
      <c r="AA42" s="953"/>
      <c r="AB42" s="953"/>
      <c r="AC42" s="953"/>
      <c r="AD42" s="953"/>
      <c r="AE42" s="170"/>
      <c r="AF42" s="170"/>
      <c r="AG42" s="170"/>
      <c r="AH42" s="2380"/>
      <c r="AI42" s="2380"/>
      <c r="AJ42" s="170"/>
      <c r="AK42" s="2112"/>
      <c r="AL42" s="953"/>
    </row>
    <row r="43" spans="2:38" s="91" customFormat="1" ht="15" hidden="1" customHeight="1" x14ac:dyDescent="0.2">
      <c r="B43" s="421"/>
      <c r="C43" s="953"/>
      <c r="D43" s="953" t="str">
        <v/>
      </c>
      <c r="E43" s="953"/>
      <c r="F43" s="953"/>
      <c r="G43" s="953"/>
      <c r="H43" s="953"/>
      <c r="I43" s="953"/>
      <c r="J43" s="953"/>
      <c r="K43" s="953"/>
      <c r="L43" s="953"/>
      <c r="M43" s="957"/>
      <c r="N43" s="957"/>
      <c r="O43" s="957"/>
      <c r="P43" s="957"/>
      <c r="Q43" s="957"/>
      <c r="R43" s="957"/>
      <c r="S43" s="953"/>
      <c r="T43" s="953"/>
      <c r="U43" s="953"/>
      <c r="V43" s="953"/>
      <c r="W43" s="953"/>
      <c r="X43" s="953"/>
      <c r="Y43" s="953"/>
      <c r="Z43" s="953"/>
      <c r="AA43" s="953"/>
      <c r="AB43" s="953"/>
      <c r="AC43" s="953"/>
      <c r="AD43" s="953"/>
      <c r="AE43" s="170"/>
      <c r="AF43" s="170"/>
      <c r="AG43" s="170"/>
      <c r="AH43" s="2380"/>
      <c r="AI43" s="2380"/>
      <c r="AJ43" s="170"/>
      <c r="AK43" s="2112"/>
      <c r="AL43" s="953"/>
    </row>
    <row r="44" spans="2:38" s="91" customFormat="1" ht="15" hidden="1" customHeight="1" x14ac:dyDescent="0.2">
      <c r="B44" s="421"/>
      <c r="C44" s="953"/>
      <c r="D44" s="953" t="str">
        <v/>
      </c>
      <c r="E44" s="953"/>
      <c r="F44" s="953"/>
      <c r="G44" s="953"/>
      <c r="H44" s="953"/>
      <c r="I44" s="953"/>
      <c r="J44" s="953"/>
      <c r="K44" s="953"/>
      <c r="L44" s="953"/>
      <c r="M44" s="957"/>
      <c r="N44" s="957"/>
      <c r="O44" s="957"/>
      <c r="P44" s="957"/>
      <c r="Q44" s="957"/>
      <c r="R44" s="957"/>
      <c r="S44" s="953"/>
      <c r="T44" s="953"/>
      <c r="U44" s="953"/>
      <c r="V44" s="953"/>
      <c r="W44" s="953"/>
      <c r="X44" s="953"/>
      <c r="Y44" s="953"/>
      <c r="Z44" s="953"/>
      <c r="AA44" s="953"/>
      <c r="AB44" s="953"/>
      <c r="AC44" s="953"/>
      <c r="AD44" s="953"/>
      <c r="AE44" s="170"/>
      <c r="AF44" s="170"/>
      <c r="AG44" s="170"/>
      <c r="AH44" s="2380"/>
      <c r="AI44" s="2380"/>
      <c r="AJ44" s="170"/>
      <c r="AK44" s="2112"/>
      <c r="AL44" s="953"/>
    </row>
    <row r="45" spans="2:38" s="91" customFormat="1" ht="15" hidden="1" customHeight="1" x14ac:dyDescent="0.2">
      <c r="B45" s="421"/>
      <c r="C45" s="953"/>
      <c r="D45" s="953" t="str">
        <v/>
      </c>
      <c r="E45" s="953"/>
      <c r="F45" s="953"/>
      <c r="G45" s="953"/>
      <c r="H45" s="953"/>
      <c r="I45" s="953"/>
      <c r="J45" s="953"/>
      <c r="K45" s="953"/>
      <c r="L45" s="953"/>
      <c r="M45" s="957"/>
      <c r="N45" s="957"/>
      <c r="O45" s="957"/>
      <c r="P45" s="957"/>
      <c r="Q45" s="957"/>
      <c r="R45" s="957"/>
      <c r="S45" s="953"/>
      <c r="T45" s="953"/>
      <c r="U45" s="953"/>
      <c r="V45" s="953"/>
      <c r="W45" s="953"/>
      <c r="X45" s="953"/>
      <c r="Y45" s="953"/>
      <c r="Z45" s="953"/>
      <c r="AA45" s="953"/>
      <c r="AB45" s="953"/>
      <c r="AC45" s="953"/>
      <c r="AD45" s="953"/>
      <c r="AE45" s="170"/>
      <c r="AF45" s="170"/>
      <c r="AG45" s="170"/>
      <c r="AH45" s="2380"/>
      <c r="AI45" s="2380"/>
      <c r="AJ45" s="170"/>
      <c r="AK45" s="2112"/>
      <c r="AL45" s="953"/>
    </row>
    <row r="46" spans="2:38" s="91" customFormat="1" ht="15" hidden="1" customHeight="1" x14ac:dyDescent="0.2">
      <c r="B46" s="421"/>
      <c r="C46" s="953"/>
      <c r="D46" s="953" t="str">
        <v/>
      </c>
      <c r="E46" s="953"/>
      <c r="F46" s="953"/>
      <c r="G46" s="953"/>
      <c r="H46" s="953"/>
      <c r="I46" s="953"/>
      <c r="J46" s="953"/>
      <c r="K46" s="953"/>
      <c r="L46" s="953"/>
      <c r="M46" s="957"/>
      <c r="N46" s="957"/>
      <c r="O46" s="957"/>
      <c r="P46" s="957"/>
      <c r="Q46" s="957"/>
      <c r="R46" s="957"/>
      <c r="S46" s="953"/>
      <c r="T46" s="953"/>
      <c r="U46" s="953"/>
      <c r="V46" s="953"/>
      <c r="W46" s="953"/>
      <c r="X46" s="953"/>
      <c r="Y46" s="953"/>
      <c r="Z46" s="953"/>
      <c r="AA46" s="953"/>
      <c r="AB46" s="953"/>
      <c r="AC46" s="953"/>
      <c r="AD46" s="953"/>
      <c r="AE46" s="170"/>
      <c r="AF46" s="170"/>
      <c r="AG46" s="170"/>
      <c r="AH46" s="2380"/>
      <c r="AI46" s="2380"/>
      <c r="AJ46" s="170"/>
      <c r="AK46" s="2112"/>
      <c r="AL46" s="953"/>
    </row>
    <row r="47" spans="2:38" s="91" customFormat="1" ht="15" hidden="1" customHeight="1" x14ac:dyDescent="0.2">
      <c r="B47" s="421"/>
      <c r="C47" s="953"/>
      <c r="D47" s="953" t="str">
        <v/>
      </c>
      <c r="E47" s="953"/>
      <c r="F47" s="953"/>
      <c r="G47" s="953"/>
      <c r="H47" s="953"/>
      <c r="I47" s="953"/>
      <c r="J47" s="953"/>
      <c r="K47" s="953"/>
      <c r="L47" s="953"/>
      <c r="M47" s="957"/>
      <c r="N47" s="957"/>
      <c r="O47" s="957"/>
      <c r="P47" s="957"/>
      <c r="Q47" s="957"/>
      <c r="R47" s="957"/>
      <c r="S47" s="953"/>
      <c r="T47" s="953"/>
      <c r="U47" s="953"/>
      <c r="V47" s="953"/>
      <c r="W47" s="953"/>
      <c r="X47" s="953"/>
      <c r="Y47" s="953"/>
      <c r="Z47" s="953"/>
      <c r="AA47" s="953"/>
      <c r="AB47" s="953"/>
      <c r="AC47" s="953"/>
      <c r="AD47" s="953"/>
      <c r="AE47" s="170"/>
      <c r="AF47" s="170"/>
      <c r="AG47" s="170"/>
      <c r="AH47" s="2380"/>
      <c r="AI47" s="2380"/>
      <c r="AJ47" s="170"/>
      <c r="AK47" s="2112"/>
      <c r="AL47" s="953"/>
    </row>
    <row r="48" spans="2:38" s="91" customFormat="1" ht="15" hidden="1" customHeight="1" x14ac:dyDescent="0.2">
      <c r="B48" s="421"/>
      <c r="C48" s="953"/>
      <c r="D48" s="953" t="str">
        <v/>
      </c>
      <c r="E48" s="953"/>
      <c r="F48" s="953"/>
      <c r="G48" s="953"/>
      <c r="H48" s="953"/>
      <c r="I48" s="953"/>
      <c r="J48" s="953"/>
      <c r="K48" s="953"/>
      <c r="L48" s="953"/>
      <c r="M48" s="957"/>
      <c r="N48" s="957"/>
      <c r="O48" s="957"/>
      <c r="P48" s="957"/>
      <c r="Q48" s="957"/>
      <c r="R48" s="957"/>
      <c r="S48" s="953"/>
      <c r="T48" s="953"/>
      <c r="U48" s="953"/>
      <c r="V48" s="953"/>
      <c r="W48" s="953"/>
      <c r="X48" s="953"/>
      <c r="Y48" s="953"/>
      <c r="Z48" s="953"/>
      <c r="AA48" s="953"/>
      <c r="AB48" s="953"/>
      <c r="AC48" s="953"/>
      <c r="AD48" s="953"/>
      <c r="AE48" s="170"/>
      <c r="AF48" s="170"/>
      <c r="AG48" s="170"/>
      <c r="AH48" s="2380"/>
      <c r="AI48" s="2380"/>
      <c r="AJ48" s="170"/>
      <c r="AK48" s="2112"/>
      <c r="AL48" s="953"/>
    </row>
    <row r="49" spans="2:37" s="91" customFormat="1" ht="15" hidden="1" customHeight="1" x14ac:dyDescent="0.2">
      <c r="B49" s="421"/>
      <c r="C49" s="953"/>
      <c r="D49" s="953" t="str">
        <v/>
      </c>
      <c r="E49" s="953"/>
      <c r="F49" s="953"/>
      <c r="G49" s="953"/>
      <c r="H49" s="953"/>
      <c r="I49" s="953"/>
      <c r="J49" s="953"/>
      <c r="K49" s="953"/>
      <c r="L49" s="953"/>
      <c r="M49" s="957"/>
      <c r="N49" s="957"/>
      <c r="O49" s="957"/>
      <c r="P49" s="957"/>
      <c r="Q49" s="957"/>
      <c r="R49" s="957"/>
      <c r="S49" s="953"/>
      <c r="T49" s="953"/>
      <c r="U49" s="953"/>
      <c r="V49" s="953"/>
      <c r="W49" s="953"/>
      <c r="X49" s="953"/>
      <c r="Y49" s="953"/>
      <c r="Z49" s="953"/>
      <c r="AA49" s="953"/>
      <c r="AB49" s="953"/>
      <c r="AC49" s="953"/>
      <c r="AD49" s="953"/>
      <c r="AE49" s="170"/>
      <c r="AF49" s="170"/>
      <c r="AG49" s="170"/>
      <c r="AH49" s="2380"/>
      <c r="AI49" s="2380"/>
      <c r="AJ49" s="170"/>
      <c r="AK49" s="2112"/>
    </row>
    <row r="50" spans="2:37" s="91" customFormat="1" ht="15" hidden="1" customHeight="1" x14ac:dyDescent="0.2">
      <c r="B50" s="421"/>
      <c r="C50" s="953"/>
      <c r="D50" s="953" t="str">
        <v/>
      </c>
      <c r="E50" s="953"/>
      <c r="F50" s="953"/>
      <c r="G50" s="953"/>
      <c r="H50" s="953"/>
      <c r="I50" s="953"/>
      <c r="J50" s="953"/>
      <c r="K50" s="953"/>
      <c r="L50" s="953"/>
      <c r="M50" s="957"/>
      <c r="N50" s="957"/>
      <c r="O50" s="957"/>
      <c r="P50" s="957"/>
      <c r="Q50" s="957"/>
      <c r="R50" s="957"/>
      <c r="S50" s="953"/>
      <c r="T50" s="953"/>
      <c r="U50" s="953"/>
      <c r="V50" s="953"/>
      <c r="W50" s="953"/>
      <c r="X50" s="953"/>
      <c r="Y50" s="953"/>
      <c r="Z50" s="953"/>
      <c r="AA50" s="953"/>
      <c r="AB50" s="953"/>
      <c r="AC50" s="953"/>
      <c r="AD50" s="953"/>
      <c r="AE50" s="170"/>
      <c r="AF50" s="170"/>
      <c r="AG50" s="170"/>
      <c r="AH50" s="2380"/>
      <c r="AI50" s="2380"/>
      <c r="AJ50" s="170"/>
      <c r="AK50" s="2112"/>
    </row>
    <row r="51" spans="2:37" s="91" customFormat="1" ht="15" customHeight="1" x14ac:dyDescent="0.2">
      <c r="B51" s="421"/>
      <c r="C51" s="953"/>
      <c r="D51" s="953"/>
      <c r="E51" s="953"/>
      <c r="F51" s="953"/>
      <c r="G51" s="953"/>
      <c r="H51" s="953"/>
      <c r="I51" s="953"/>
      <c r="J51" s="953"/>
      <c r="K51" s="953"/>
      <c r="L51" s="953"/>
      <c r="M51" s="957"/>
      <c r="N51" s="957"/>
      <c r="O51" s="957"/>
      <c r="P51" s="957"/>
      <c r="Q51" s="957"/>
      <c r="R51" s="957"/>
      <c r="S51" s="953"/>
      <c r="T51" s="953"/>
      <c r="U51" s="953"/>
      <c r="V51" s="953"/>
      <c r="W51" s="953"/>
      <c r="X51" s="953"/>
      <c r="Y51" s="953"/>
      <c r="Z51" s="953"/>
      <c r="AA51" s="953"/>
      <c r="AB51" s="953"/>
      <c r="AC51" s="953"/>
      <c r="AD51" s="953"/>
      <c r="AE51" s="170"/>
      <c r="AF51" s="170"/>
      <c r="AG51" s="170"/>
      <c r="AH51" s="2380"/>
      <c r="AI51" s="2380"/>
      <c r="AJ51" s="170"/>
      <c r="AK51" s="2112"/>
    </row>
    <row r="52" spans="2:37" s="91" customFormat="1" ht="15" customHeight="1" x14ac:dyDescent="0.2">
      <c r="B52" s="421"/>
      <c r="C52" s="953"/>
      <c r="D52" s="953"/>
      <c r="E52" s="953"/>
      <c r="F52" s="953"/>
      <c r="G52" s="953"/>
      <c r="H52" s="953"/>
      <c r="I52" s="953"/>
      <c r="J52" s="953"/>
      <c r="K52" s="953"/>
      <c r="L52" s="953"/>
      <c r="M52" s="957"/>
      <c r="N52" s="957"/>
      <c r="O52" s="957"/>
      <c r="P52" s="957"/>
      <c r="Q52" s="957"/>
      <c r="R52" s="957"/>
      <c r="S52" s="953"/>
      <c r="T52" s="953"/>
      <c r="U52" s="953"/>
      <c r="V52" s="953"/>
      <c r="W52" s="953"/>
      <c r="X52" s="953"/>
      <c r="Y52" s="953"/>
      <c r="Z52" s="953"/>
      <c r="AA52" s="953"/>
      <c r="AB52" s="953"/>
      <c r="AC52" s="953"/>
      <c r="AD52" s="953"/>
      <c r="AE52" s="170"/>
      <c r="AF52" s="170"/>
      <c r="AG52" s="170"/>
      <c r="AH52" s="2380"/>
      <c r="AI52" s="2380"/>
      <c r="AJ52" s="170"/>
      <c r="AK52" s="2112"/>
    </row>
    <row r="53" spans="2:37" s="91" customFormat="1" ht="15" customHeight="1" x14ac:dyDescent="0.2">
      <c r="B53" s="421"/>
      <c r="C53" s="953"/>
      <c r="D53" s="953"/>
      <c r="E53" s="953"/>
      <c r="F53" s="953"/>
      <c r="G53" s="953"/>
      <c r="H53" s="953"/>
      <c r="I53" s="953"/>
      <c r="J53" s="953"/>
      <c r="K53" s="953"/>
      <c r="L53" s="953"/>
      <c r="M53" s="957"/>
      <c r="N53" s="957"/>
      <c r="O53" s="957"/>
      <c r="P53" s="957"/>
      <c r="Q53" s="957"/>
      <c r="R53" s="957"/>
      <c r="S53" s="953"/>
      <c r="T53" s="953"/>
      <c r="U53" s="953"/>
      <c r="V53" s="953"/>
      <c r="W53" s="953"/>
      <c r="X53" s="953"/>
      <c r="Y53" s="953"/>
      <c r="Z53" s="953"/>
      <c r="AA53" s="953"/>
      <c r="AB53" s="953"/>
      <c r="AC53" s="953"/>
      <c r="AD53" s="953"/>
      <c r="AE53" s="170"/>
      <c r="AF53" s="170"/>
      <c r="AG53" s="170"/>
      <c r="AH53" s="2380"/>
      <c r="AI53" s="2380"/>
      <c r="AJ53" s="170"/>
      <c r="AK53" s="2112"/>
    </row>
    <row r="54" spans="2:37" s="91" customFormat="1" ht="15" customHeight="1" x14ac:dyDescent="0.2">
      <c r="B54" s="421"/>
      <c r="C54" s="953"/>
      <c r="D54" s="953"/>
      <c r="E54" s="953"/>
      <c r="F54" s="953"/>
      <c r="G54" s="953"/>
      <c r="H54" s="953"/>
      <c r="I54" s="953"/>
      <c r="J54" s="953"/>
      <c r="K54" s="953"/>
      <c r="L54" s="953"/>
      <c r="M54" s="957"/>
      <c r="N54" s="957"/>
      <c r="O54" s="957"/>
      <c r="P54" s="957"/>
      <c r="Q54" s="957"/>
      <c r="R54" s="957"/>
      <c r="S54" s="953"/>
      <c r="T54" s="953"/>
      <c r="U54" s="953"/>
      <c r="V54" s="953"/>
      <c r="W54" s="953"/>
      <c r="X54" s="953"/>
      <c r="Y54" s="953"/>
      <c r="Z54" s="953"/>
      <c r="AA54" s="953"/>
      <c r="AB54" s="953"/>
      <c r="AC54" s="953"/>
      <c r="AD54" s="953"/>
      <c r="AE54" s="170"/>
      <c r="AF54" s="170"/>
      <c r="AG54" s="170"/>
      <c r="AH54" s="2380"/>
      <c r="AI54" s="2380"/>
      <c r="AJ54" s="170"/>
      <c r="AK54" s="2112"/>
    </row>
    <row r="55" spans="2:37" s="91" customFormat="1" ht="15" customHeight="1" x14ac:dyDescent="0.2">
      <c r="B55" s="421"/>
      <c r="C55" s="953"/>
      <c r="D55" s="953"/>
      <c r="E55" s="953"/>
      <c r="F55" s="953"/>
      <c r="G55" s="953"/>
      <c r="H55" s="953"/>
      <c r="I55" s="953"/>
      <c r="J55" s="953"/>
      <c r="K55" s="953"/>
      <c r="L55" s="953"/>
      <c r="M55" s="957"/>
      <c r="N55" s="957"/>
      <c r="O55" s="957"/>
      <c r="P55" s="957"/>
      <c r="Q55" s="957"/>
      <c r="R55" s="957"/>
      <c r="S55" s="953"/>
      <c r="T55" s="953"/>
      <c r="U55" s="953"/>
      <c r="V55" s="953"/>
      <c r="W55" s="953"/>
      <c r="X55" s="953"/>
      <c r="Y55" s="953"/>
      <c r="Z55" s="953"/>
      <c r="AA55" s="953"/>
      <c r="AB55" s="953"/>
      <c r="AC55" s="953"/>
      <c r="AD55" s="953"/>
      <c r="AE55" s="170"/>
      <c r="AF55" s="170"/>
      <c r="AG55" s="170"/>
      <c r="AH55" s="2380"/>
      <c r="AI55" s="2380"/>
      <c r="AJ55" s="170"/>
      <c r="AK55" s="2112"/>
    </row>
    <row r="56" spans="2:37" s="91" customFormat="1" ht="15" customHeight="1" x14ac:dyDescent="0.2">
      <c r="B56" s="421"/>
      <c r="C56" s="953"/>
      <c r="D56" s="953"/>
      <c r="E56" s="953"/>
      <c r="F56" s="953"/>
      <c r="G56" s="953"/>
      <c r="H56" s="953"/>
      <c r="I56" s="953"/>
      <c r="J56" s="953"/>
      <c r="K56" s="953"/>
      <c r="L56" s="953"/>
      <c r="M56" s="957"/>
      <c r="N56" s="957"/>
      <c r="O56" s="957"/>
      <c r="P56" s="957"/>
      <c r="Q56" s="957"/>
      <c r="R56" s="957"/>
      <c r="S56" s="953"/>
      <c r="T56" s="953"/>
      <c r="U56" s="953"/>
      <c r="V56" s="953"/>
      <c r="W56" s="953"/>
      <c r="X56" s="953"/>
      <c r="Y56" s="953"/>
      <c r="Z56" s="953"/>
      <c r="AA56" s="953"/>
      <c r="AB56" s="953"/>
      <c r="AC56" s="953"/>
      <c r="AD56" s="953"/>
      <c r="AE56" s="170"/>
      <c r="AF56" s="170"/>
      <c r="AG56" s="170"/>
      <c r="AH56" s="2380"/>
      <c r="AI56" s="2380"/>
      <c r="AJ56" s="170"/>
      <c r="AK56" s="2112"/>
    </row>
    <row r="57" spans="2:37" s="91" customFormat="1" ht="15" customHeight="1" x14ac:dyDescent="0.2">
      <c r="B57" s="421"/>
      <c r="C57" s="953"/>
      <c r="D57" s="953"/>
      <c r="E57" s="953"/>
      <c r="F57" s="953"/>
      <c r="G57" s="953"/>
      <c r="H57" s="953"/>
      <c r="I57" s="953"/>
      <c r="J57" s="953"/>
      <c r="K57" s="953"/>
      <c r="L57" s="953"/>
      <c r="M57" s="957"/>
      <c r="N57" s="957"/>
      <c r="O57" s="957"/>
      <c r="P57" s="957"/>
      <c r="Q57" s="957"/>
      <c r="R57" s="957"/>
      <c r="S57" s="953"/>
      <c r="T57" s="953"/>
      <c r="U57" s="953"/>
      <c r="V57" s="953"/>
      <c r="W57" s="953"/>
      <c r="X57" s="953"/>
      <c r="Y57" s="953"/>
      <c r="Z57" s="953"/>
      <c r="AA57" s="953"/>
      <c r="AB57" s="953"/>
      <c r="AC57" s="953"/>
      <c r="AD57" s="953"/>
      <c r="AE57" s="170"/>
      <c r="AF57" s="170"/>
      <c r="AG57" s="170"/>
      <c r="AH57" s="2380"/>
      <c r="AI57" s="2380"/>
      <c r="AJ57" s="170"/>
      <c r="AK57" s="2112"/>
    </row>
    <row r="58" spans="2:37" s="91" customFormat="1" ht="15" customHeight="1" x14ac:dyDescent="0.2">
      <c r="B58" s="421"/>
      <c r="C58" s="953"/>
      <c r="D58" s="953"/>
      <c r="E58" s="953"/>
      <c r="F58" s="953"/>
      <c r="G58" s="953"/>
      <c r="H58" s="953"/>
      <c r="I58" s="953"/>
      <c r="J58" s="953"/>
      <c r="K58" s="953"/>
      <c r="L58" s="953"/>
      <c r="M58" s="957"/>
      <c r="N58" s="957"/>
      <c r="O58" s="957"/>
      <c r="P58" s="957"/>
      <c r="Q58" s="957"/>
      <c r="R58" s="957"/>
      <c r="S58" s="953"/>
      <c r="T58" s="953"/>
      <c r="U58" s="953"/>
      <c r="V58" s="953"/>
      <c r="W58" s="953"/>
      <c r="X58" s="953"/>
      <c r="Y58" s="953"/>
      <c r="Z58" s="953"/>
      <c r="AA58" s="953"/>
      <c r="AB58" s="953"/>
      <c r="AC58" s="953"/>
      <c r="AD58" s="953"/>
      <c r="AE58" s="170"/>
      <c r="AF58" s="170"/>
      <c r="AG58" s="170"/>
      <c r="AH58" s="2380"/>
      <c r="AI58" s="2380"/>
      <c r="AJ58" s="170"/>
      <c r="AK58" s="2112"/>
    </row>
    <row r="59" spans="2:37" s="91" customFormat="1" ht="15" customHeight="1" x14ac:dyDescent="0.2">
      <c r="B59" s="421"/>
      <c r="C59" s="953"/>
      <c r="D59" s="953"/>
      <c r="E59" s="953"/>
      <c r="F59" s="953"/>
      <c r="G59" s="953"/>
      <c r="H59" s="953"/>
      <c r="I59" s="953"/>
      <c r="J59" s="953"/>
      <c r="K59" s="953"/>
      <c r="L59" s="953"/>
      <c r="M59" s="957"/>
      <c r="N59" s="957"/>
      <c r="O59" s="957"/>
      <c r="P59" s="957"/>
      <c r="Q59" s="957"/>
      <c r="R59" s="957"/>
      <c r="S59" s="953"/>
      <c r="T59" s="953"/>
      <c r="U59" s="953"/>
      <c r="V59" s="953"/>
      <c r="W59" s="953"/>
      <c r="X59" s="953"/>
      <c r="Y59" s="953"/>
      <c r="Z59" s="953"/>
      <c r="AA59" s="953"/>
      <c r="AB59" s="953"/>
      <c r="AC59" s="953"/>
      <c r="AD59" s="953"/>
      <c r="AE59" s="170"/>
      <c r="AF59" s="170"/>
      <c r="AG59" s="170"/>
      <c r="AH59" s="2380"/>
      <c r="AI59" s="2380"/>
      <c r="AJ59" s="170"/>
      <c r="AK59" s="2112"/>
    </row>
    <row r="60" spans="2:37" s="91" customFormat="1" ht="15" customHeight="1" x14ac:dyDescent="0.2">
      <c r="B60" s="421"/>
      <c r="C60" s="953"/>
      <c r="D60" s="953"/>
      <c r="E60" s="953"/>
      <c r="F60" s="953"/>
      <c r="G60" s="953"/>
      <c r="H60" s="953"/>
      <c r="I60" s="953"/>
      <c r="J60" s="953"/>
      <c r="K60" s="953"/>
      <c r="L60" s="953"/>
      <c r="M60" s="957"/>
      <c r="N60" s="957"/>
      <c r="O60" s="957"/>
      <c r="P60" s="957"/>
      <c r="Q60" s="957"/>
      <c r="R60" s="957"/>
      <c r="S60" s="953"/>
      <c r="T60" s="953"/>
      <c r="U60" s="953"/>
      <c r="V60" s="953"/>
      <c r="W60" s="953"/>
      <c r="X60" s="953"/>
      <c r="Y60" s="953"/>
      <c r="Z60" s="953"/>
      <c r="AA60" s="953"/>
      <c r="AB60" s="953"/>
      <c r="AC60" s="953"/>
      <c r="AD60" s="953"/>
      <c r="AE60" s="170"/>
      <c r="AF60" s="170"/>
      <c r="AG60" s="170"/>
      <c r="AH60" s="2380"/>
      <c r="AI60" s="2380"/>
      <c r="AJ60" s="170"/>
      <c r="AK60" s="2112"/>
    </row>
    <row r="61" spans="2:37" s="91" customFormat="1" ht="15" customHeight="1" x14ac:dyDescent="0.2">
      <c r="B61" s="421"/>
      <c r="C61" s="953"/>
      <c r="D61" s="953"/>
      <c r="E61" s="953"/>
      <c r="F61" s="953"/>
      <c r="G61" s="953"/>
      <c r="H61" s="953"/>
      <c r="I61" s="953"/>
      <c r="J61" s="953"/>
      <c r="K61" s="953"/>
      <c r="L61" s="953"/>
      <c r="M61" s="957"/>
      <c r="N61" s="957"/>
      <c r="O61" s="957"/>
      <c r="P61" s="957"/>
      <c r="Q61" s="957"/>
      <c r="R61" s="957"/>
      <c r="S61" s="953"/>
      <c r="T61" s="953"/>
      <c r="U61" s="953"/>
      <c r="V61" s="953"/>
      <c r="W61" s="953"/>
      <c r="X61" s="953"/>
      <c r="Y61" s="953"/>
      <c r="Z61" s="953"/>
      <c r="AA61" s="953"/>
      <c r="AB61" s="953"/>
      <c r="AC61" s="953"/>
      <c r="AD61" s="953"/>
      <c r="AE61" s="170"/>
      <c r="AF61" s="170"/>
      <c r="AG61" s="170"/>
      <c r="AH61" s="2380"/>
      <c r="AI61" s="2380"/>
      <c r="AJ61" s="170"/>
      <c r="AK61" s="2112"/>
    </row>
    <row r="62" spans="2:37" s="91" customFormat="1" ht="15" customHeight="1" x14ac:dyDescent="0.2">
      <c r="B62" s="421"/>
      <c r="C62" s="953"/>
      <c r="D62" s="953"/>
      <c r="E62" s="953"/>
      <c r="F62" s="953"/>
      <c r="G62" s="953"/>
      <c r="H62" s="953"/>
      <c r="I62" s="953"/>
      <c r="J62" s="953"/>
      <c r="K62" s="953"/>
      <c r="L62" s="953"/>
      <c r="M62" s="957"/>
      <c r="N62" s="957"/>
      <c r="O62" s="957"/>
      <c r="P62" s="957"/>
      <c r="Q62" s="957"/>
      <c r="R62" s="957"/>
      <c r="S62" s="953"/>
      <c r="T62" s="953"/>
      <c r="U62" s="953"/>
      <c r="V62" s="953"/>
      <c r="W62" s="953"/>
      <c r="X62" s="953"/>
      <c r="Y62" s="953"/>
      <c r="Z62" s="953"/>
      <c r="AA62" s="953"/>
      <c r="AB62" s="953"/>
      <c r="AC62" s="953"/>
      <c r="AD62" s="953"/>
      <c r="AE62" s="170"/>
      <c r="AF62" s="170"/>
      <c r="AG62" s="170"/>
      <c r="AH62" s="2380"/>
      <c r="AI62" s="2380"/>
      <c r="AJ62" s="170"/>
      <c r="AK62" s="2112"/>
    </row>
    <row r="63" spans="2:37" s="91" customFormat="1" ht="15" customHeight="1" x14ac:dyDescent="0.2">
      <c r="B63" s="421"/>
      <c r="C63" s="953"/>
      <c r="D63" s="953"/>
      <c r="E63" s="953"/>
      <c r="F63" s="953"/>
      <c r="G63" s="953"/>
      <c r="H63" s="953"/>
      <c r="I63" s="953"/>
      <c r="J63" s="953"/>
      <c r="K63" s="953"/>
      <c r="L63" s="953"/>
      <c r="M63" s="957"/>
      <c r="N63" s="957"/>
      <c r="O63" s="957"/>
      <c r="P63" s="957"/>
      <c r="Q63" s="957"/>
      <c r="R63" s="957"/>
      <c r="S63" s="953"/>
      <c r="T63" s="953"/>
      <c r="U63" s="953"/>
      <c r="V63" s="953"/>
      <c r="W63" s="953"/>
      <c r="X63" s="953"/>
      <c r="Y63" s="953"/>
      <c r="Z63" s="953"/>
      <c r="AA63" s="953"/>
      <c r="AB63" s="953"/>
      <c r="AC63" s="953"/>
      <c r="AD63" s="953"/>
      <c r="AE63" s="170"/>
      <c r="AF63" s="170"/>
      <c r="AG63" s="170"/>
      <c r="AH63" s="2380"/>
      <c r="AI63" s="2380"/>
      <c r="AJ63" s="170"/>
      <c r="AK63" s="2112"/>
    </row>
    <row r="64" spans="2:37" s="91" customFormat="1" ht="15" customHeight="1" x14ac:dyDescent="0.2">
      <c r="B64" s="421"/>
      <c r="C64" s="953"/>
      <c r="D64" s="953"/>
      <c r="E64" s="953"/>
      <c r="F64" s="953"/>
      <c r="G64" s="953"/>
      <c r="H64" s="953"/>
      <c r="I64" s="953"/>
      <c r="J64" s="953"/>
      <c r="K64" s="953"/>
      <c r="L64" s="953"/>
      <c r="M64" s="957"/>
      <c r="N64" s="957"/>
      <c r="O64" s="957"/>
      <c r="P64" s="957"/>
      <c r="Q64" s="957"/>
      <c r="R64" s="957"/>
      <c r="S64" s="953"/>
      <c r="T64" s="953"/>
      <c r="U64" s="953"/>
      <c r="V64" s="953"/>
      <c r="W64" s="953"/>
      <c r="X64" s="953"/>
      <c r="Y64" s="953"/>
      <c r="Z64" s="953"/>
      <c r="AA64" s="953"/>
      <c r="AB64" s="953"/>
      <c r="AC64" s="953"/>
      <c r="AD64" s="953"/>
      <c r="AE64" s="170"/>
      <c r="AF64" s="170"/>
      <c r="AG64" s="170"/>
      <c r="AH64" s="2380"/>
      <c r="AI64" s="2380"/>
      <c r="AJ64" s="170"/>
      <c r="AK64" s="2112"/>
    </row>
    <row r="65" spans="1:37" s="91" customFormat="1" ht="15" customHeight="1" x14ac:dyDescent="0.2">
      <c r="A65" s="953"/>
      <c r="B65" s="421"/>
      <c r="C65" s="953"/>
      <c r="D65" s="953"/>
      <c r="E65" s="953"/>
      <c r="F65" s="953"/>
      <c r="G65" s="953"/>
      <c r="H65" s="953"/>
      <c r="I65" s="953"/>
      <c r="J65" s="953"/>
      <c r="K65" s="953"/>
      <c r="L65" s="953"/>
      <c r="M65" s="957"/>
      <c r="N65" s="957"/>
      <c r="O65" s="957"/>
      <c r="P65" s="957"/>
      <c r="Q65" s="957"/>
      <c r="R65" s="957"/>
      <c r="S65" s="953"/>
      <c r="T65" s="953"/>
      <c r="U65" s="953"/>
      <c r="V65" s="953"/>
      <c r="W65" s="953"/>
      <c r="X65" s="953"/>
      <c r="Y65" s="953"/>
      <c r="Z65" s="953"/>
      <c r="AA65" s="953"/>
      <c r="AB65" s="953"/>
      <c r="AC65" s="953"/>
      <c r="AD65" s="953"/>
      <c r="AE65" s="170"/>
      <c r="AF65" s="170"/>
      <c r="AG65" s="170"/>
      <c r="AH65" s="2380"/>
      <c r="AI65" s="2380"/>
      <c r="AJ65" s="170"/>
      <c r="AK65" s="2112"/>
    </row>
    <row r="66" spans="1:37" s="91" customFormat="1" ht="15" hidden="1" customHeight="1" x14ac:dyDescent="0.2">
      <c r="A66" s="953"/>
      <c r="B66" s="2893" t="s">
        <v>2030</v>
      </c>
      <c r="C66" s="2893"/>
      <c r="D66" s="2893"/>
      <c r="E66" s="2893"/>
      <c r="F66" s="2893"/>
      <c r="G66" s="2893"/>
      <c r="H66" s="2893"/>
      <c r="I66" s="2893"/>
      <c r="J66" s="2893"/>
      <c r="K66" s="2893"/>
      <c r="L66" s="957"/>
      <c r="M66" s="957"/>
      <c r="N66" s="957"/>
      <c r="O66" s="957"/>
      <c r="P66" s="957"/>
      <c r="Q66" s="957"/>
      <c r="R66" s="957"/>
      <c r="S66" s="953"/>
      <c r="T66" s="953"/>
      <c r="U66" s="953"/>
      <c r="V66" s="953"/>
      <c r="W66" s="953"/>
      <c r="X66" s="953"/>
      <c r="Y66" s="953"/>
      <c r="Z66" s="953"/>
      <c r="AA66" s="953"/>
      <c r="AB66" s="953"/>
      <c r="AC66" s="953"/>
      <c r="AD66" s="953"/>
      <c r="AE66" s="170">
        <v>1310</v>
      </c>
      <c r="AF66" s="833">
        <v>1236</v>
      </c>
      <c r="AG66" s="170">
        <v>2810</v>
      </c>
      <c r="AH66" s="2380" t="s">
        <v>2031</v>
      </c>
      <c r="AI66" s="2380"/>
      <c r="AJ66" s="953"/>
      <c r="AK66" s="953"/>
    </row>
    <row r="67" spans="1:37" s="91" customFormat="1" ht="15" hidden="1" customHeight="1" thickBot="1" x14ac:dyDescent="0.25">
      <c r="A67" s="953"/>
      <c r="B67" s="2096"/>
      <c r="C67" s="2095"/>
      <c r="D67" s="2097"/>
      <c r="E67" s="2098"/>
      <c r="F67" s="2097"/>
      <c r="G67" s="2095"/>
      <c r="H67" s="2095"/>
      <c r="I67" s="2099"/>
      <c r="J67" s="2895" t="s">
        <v>1912</v>
      </c>
      <c r="K67" s="2895"/>
      <c r="L67" s="957"/>
      <c r="M67" s="957"/>
      <c r="N67" s="957"/>
      <c r="O67" s="957"/>
      <c r="P67" s="957"/>
      <c r="Q67" s="957"/>
      <c r="R67" s="957"/>
      <c r="S67" s="953"/>
      <c r="T67" s="953"/>
      <c r="U67" s="953"/>
      <c r="V67" s="953"/>
      <c r="W67" s="953"/>
      <c r="X67" s="953"/>
      <c r="Y67" s="953"/>
      <c r="Z67" s="953"/>
      <c r="AA67" s="953"/>
      <c r="AB67" s="953"/>
      <c r="AC67" s="953"/>
      <c r="AD67" s="953"/>
      <c r="AE67" s="170">
        <v>1340</v>
      </c>
      <c r="AF67" s="833">
        <v>1237</v>
      </c>
      <c r="AG67" s="953"/>
      <c r="AH67" s="953"/>
      <c r="AI67" s="953"/>
      <c r="AJ67" s="953"/>
      <c r="AK67" s="953"/>
    </row>
    <row r="68" spans="1:37" s="91" customFormat="1" ht="15" hidden="1" customHeight="1" x14ac:dyDescent="0.2">
      <c r="A68" s="953"/>
      <c r="B68" s="2096" t="s">
        <v>756</v>
      </c>
      <c r="C68" s="2096"/>
      <c r="D68" s="2096"/>
      <c r="E68" s="2098"/>
      <c r="F68" s="2096" t="s">
        <v>2032</v>
      </c>
      <c r="G68" s="2095"/>
      <c r="H68" s="2095"/>
      <c r="I68" s="2096"/>
      <c r="J68" s="2098"/>
      <c r="K68" s="2098"/>
      <c r="L68" s="957"/>
      <c r="M68" s="1060"/>
      <c r="N68" s="1060"/>
      <c r="O68" s="1061"/>
      <c r="P68" s="1061"/>
      <c r="Q68" s="1061"/>
      <c r="R68" s="1061"/>
      <c r="S68" s="953"/>
      <c r="T68" s="953"/>
      <c r="U68" s="953"/>
      <c r="V68" s="953"/>
      <c r="W68" s="953"/>
      <c r="X68" s="953"/>
      <c r="Y68" s="953"/>
      <c r="Z68" s="953"/>
      <c r="AA68" s="953"/>
      <c r="AB68" s="953"/>
      <c r="AC68" s="953"/>
      <c r="AD68" s="953"/>
      <c r="AE68" s="170">
        <v>1345</v>
      </c>
      <c r="AF68" s="833">
        <v>1238</v>
      </c>
      <c r="AG68" s="953"/>
      <c r="AH68" s="953"/>
      <c r="AI68" s="953"/>
      <c r="AJ68" s="953"/>
      <c r="AK68" s="953"/>
    </row>
    <row r="69" spans="1:37" s="91" customFormat="1" ht="15" hidden="1" customHeight="1" thickBot="1" x14ac:dyDescent="0.25">
      <c r="A69" s="953"/>
      <c r="B69" s="2100" t="s">
        <v>559</v>
      </c>
      <c r="C69" s="2100"/>
      <c r="D69" s="2100"/>
      <c r="E69" s="2098"/>
      <c r="F69" s="2100" t="s">
        <v>1408</v>
      </c>
      <c r="G69" s="2095"/>
      <c r="H69" s="2100" t="s">
        <v>1359</v>
      </c>
      <c r="I69" s="2095"/>
      <c r="J69" s="2381" t="s">
        <v>1408</v>
      </c>
      <c r="K69" s="2101"/>
      <c r="L69" s="292"/>
      <c r="M69" s="1060"/>
      <c r="N69" s="1060"/>
      <c r="O69" s="1061"/>
      <c r="P69" s="1061"/>
      <c r="Q69" s="1061"/>
      <c r="R69" s="1061"/>
      <c r="S69" s="953"/>
      <c r="T69" s="953"/>
      <c r="U69" s="953"/>
      <c r="V69" s="953"/>
      <c r="W69" s="953"/>
      <c r="X69" s="953"/>
      <c r="Y69" s="953"/>
      <c r="Z69" s="953"/>
      <c r="AA69" s="953"/>
      <c r="AB69" s="953"/>
      <c r="AC69" s="953"/>
      <c r="AD69" s="953"/>
      <c r="AE69" s="170"/>
      <c r="AF69" s="833">
        <v>1239</v>
      </c>
      <c r="AG69" s="953"/>
      <c r="AH69" s="953"/>
      <c r="AI69" s="953"/>
      <c r="AJ69" s="953"/>
      <c r="AK69" s="953"/>
    </row>
    <row r="70" spans="1:37" s="91" customFormat="1" ht="15" hidden="1" customHeight="1" x14ac:dyDescent="0.2">
      <c r="A70" s="953"/>
      <c r="B70" s="2127" t="s">
        <v>1930</v>
      </c>
      <c r="C70" s="2127"/>
      <c r="D70" s="2127"/>
      <c r="E70" s="2102"/>
      <c r="F70" s="877" t="s">
        <v>1931</v>
      </c>
      <c r="G70" s="2096"/>
      <c r="H70" s="2103"/>
      <c r="I70" s="2095"/>
      <c r="J70" s="2104"/>
      <c r="K70" s="2095"/>
      <c r="L70" s="289" t="str">
        <f>IF(M70=FALSE,"*","")</f>
        <v/>
      </c>
      <c r="M70" s="1060" t="b">
        <f t="shared" ref="M70:M77" si="7">IF(OR(N70=0,N70=3),TRUE, FALSE)</f>
        <v>1</v>
      </c>
      <c r="N70" s="1060">
        <f t="shared" ref="N70" si="8">COUNTIF(O70:Q70,FALSE)</f>
        <v>0</v>
      </c>
      <c r="O70" s="1061" t="str">
        <f>IF(B70="Select an account","TRUE","FALSE")</f>
        <v>TRUE</v>
      </c>
      <c r="P70" s="1061" t="str">
        <f>IF(F70="Select an entity","TRUE","FALSE")</f>
        <v>TRUE</v>
      </c>
      <c r="Q70" s="1061" t="b">
        <f>ISBLANK(H70)</f>
        <v>1</v>
      </c>
      <c r="R70" s="1061" t="b">
        <f>ISBLANK(J70)</f>
        <v>1</v>
      </c>
      <c r="S70" s="953"/>
      <c r="T70" s="953"/>
      <c r="U70" s="953"/>
      <c r="V70" s="953"/>
      <c r="W70" s="953"/>
      <c r="X70" s="953"/>
      <c r="Y70" s="953"/>
      <c r="Z70" s="953"/>
      <c r="AA70" s="953"/>
      <c r="AB70" s="953"/>
      <c r="AC70" s="953"/>
      <c r="AD70" s="953"/>
      <c r="AE70" s="170"/>
      <c r="AF70" s="833">
        <v>1241</v>
      </c>
      <c r="AG70" s="953"/>
      <c r="AH70" s="953"/>
      <c r="AI70" s="953"/>
      <c r="AJ70" s="953"/>
      <c r="AK70" s="953"/>
    </row>
    <row r="71" spans="1:37" s="91" customFormat="1" ht="15" hidden="1" customHeight="1" x14ac:dyDescent="0.2">
      <c r="A71" s="953"/>
      <c r="B71" s="2127" t="s">
        <v>1930</v>
      </c>
      <c r="C71" s="2127"/>
      <c r="D71" s="2127"/>
      <c r="E71" s="2102"/>
      <c r="F71" s="877" t="s">
        <v>1931</v>
      </c>
      <c r="G71" s="2096"/>
      <c r="H71" s="2103"/>
      <c r="I71" s="2095"/>
      <c r="J71" s="2104"/>
      <c r="K71" s="2095"/>
      <c r="L71" s="289" t="str">
        <f t="shared" ref="L71:L77" si="9">IF(M71=FALSE,"*","")</f>
        <v/>
      </c>
      <c r="M71" s="1060" t="b">
        <f t="shared" si="7"/>
        <v>1</v>
      </c>
      <c r="N71" s="1060">
        <f t="shared" ref="N71:N77" si="10">COUNTIF(O71:Q71,FALSE)</f>
        <v>0</v>
      </c>
      <c r="O71" s="1061" t="str">
        <f t="shared" ref="O71:O77" si="11">IF(B71="Select an account","TRUE","FALSE")</f>
        <v>TRUE</v>
      </c>
      <c r="P71" s="1061" t="str">
        <f t="shared" ref="P71:P77" si="12">IF(F71="Select an entity","TRUE","FALSE")</f>
        <v>TRUE</v>
      </c>
      <c r="Q71" s="1061" t="b">
        <f t="shared" ref="Q71:Q77" si="13">ISBLANK(H71)</f>
        <v>1</v>
      </c>
      <c r="R71" s="1061" t="b">
        <f t="shared" ref="R71:R77" si="14">ISBLANK(J71)</f>
        <v>1</v>
      </c>
      <c r="S71" s="953"/>
      <c r="T71" s="953"/>
      <c r="U71" s="953"/>
      <c r="V71" s="953"/>
      <c r="W71" s="953"/>
      <c r="X71" s="953"/>
      <c r="Y71" s="953"/>
      <c r="Z71" s="953"/>
      <c r="AA71" s="953"/>
      <c r="AB71" s="953"/>
      <c r="AC71" s="953"/>
      <c r="AD71" s="953"/>
      <c r="AE71" s="170"/>
      <c r="AF71" s="833">
        <v>1242</v>
      </c>
      <c r="AG71" s="953"/>
      <c r="AH71" s="953"/>
      <c r="AI71" s="953"/>
      <c r="AJ71" s="953"/>
      <c r="AK71" s="953"/>
    </row>
    <row r="72" spans="1:37" s="91" customFormat="1" ht="15" hidden="1" customHeight="1" x14ac:dyDescent="0.2">
      <c r="A72" s="953"/>
      <c r="B72" s="2127" t="s">
        <v>1930</v>
      </c>
      <c r="C72" s="2127"/>
      <c r="D72" s="2127"/>
      <c r="E72" s="2102"/>
      <c r="F72" s="877" t="s">
        <v>1931</v>
      </c>
      <c r="G72" s="2096"/>
      <c r="H72" s="2103"/>
      <c r="I72" s="2095"/>
      <c r="J72" s="2104"/>
      <c r="K72" s="2095"/>
      <c r="L72" s="289" t="str">
        <f t="shared" si="9"/>
        <v/>
      </c>
      <c r="M72" s="1060" t="b">
        <f t="shared" si="7"/>
        <v>1</v>
      </c>
      <c r="N72" s="1060">
        <f t="shared" si="10"/>
        <v>0</v>
      </c>
      <c r="O72" s="1061" t="str">
        <f t="shared" si="11"/>
        <v>TRUE</v>
      </c>
      <c r="P72" s="1061" t="str">
        <f t="shared" si="12"/>
        <v>TRUE</v>
      </c>
      <c r="Q72" s="1061" t="b">
        <f t="shared" si="13"/>
        <v>1</v>
      </c>
      <c r="R72" s="1061" t="b">
        <f t="shared" si="14"/>
        <v>1</v>
      </c>
      <c r="S72" s="953"/>
      <c r="T72" s="953"/>
      <c r="U72" s="953"/>
      <c r="V72" s="953"/>
      <c r="W72" s="953"/>
      <c r="X72" s="953"/>
      <c r="Y72" s="953"/>
      <c r="Z72" s="953"/>
      <c r="AA72" s="953"/>
      <c r="AB72" s="953"/>
      <c r="AC72" s="953"/>
      <c r="AD72" s="953"/>
      <c r="AE72" s="170">
        <v>1350</v>
      </c>
      <c r="AF72" s="170">
        <v>1270</v>
      </c>
      <c r="AG72" s="953"/>
      <c r="AH72" s="953"/>
      <c r="AI72" s="953"/>
      <c r="AJ72" s="953"/>
      <c r="AK72" s="953"/>
    </row>
    <row r="73" spans="1:37" s="91" customFormat="1" ht="15" hidden="1" customHeight="1" x14ac:dyDescent="0.2">
      <c r="A73" s="953"/>
      <c r="B73" s="2127" t="s">
        <v>1930</v>
      </c>
      <c r="C73" s="2127"/>
      <c r="D73" s="2127"/>
      <c r="E73" s="2102"/>
      <c r="F73" s="877" t="s">
        <v>1931</v>
      </c>
      <c r="G73" s="2096"/>
      <c r="H73" s="2103"/>
      <c r="I73" s="2095"/>
      <c r="J73" s="2104"/>
      <c r="K73" s="2095"/>
      <c r="L73" s="289" t="str">
        <f t="shared" si="9"/>
        <v/>
      </c>
      <c r="M73" s="1060" t="b">
        <f t="shared" si="7"/>
        <v>1</v>
      </c>
      <c r="N73" s="1060">
        <f t="shared" si="10"/>
        <v>0</v>
      </c>
      <c r="O73" s="1061" t="str">
        <f t="shared" si="11"/>
        <v>TRUE</v>
      </c>
      <c r="P73" s="1061" t="str">
        <f t="shared" si="12"/>
        <v>TRUE</v>
      </c>
      <c r="Q73" s="1061" t="b">
        <f t="shared" si="13"/>
        <v>1</v>
      </c>
      <c r="R73" s="1061" t="b">
        <f t="shared" si="14"/>
        <v>1</v>
      </c>
      <c r="S73" s="953"/>
      <c r="T73" s="953"/>
      <c r="U73" s="953"/>
      <c r="V73" s="953"/>
      <c r="W73" s="953"/>
      <c r="X73" s="953"/>
      <c r="Y73" s="953"/>
      <c r="Z73" s="953"/>
      <c r="AA73" s="953"/>
      <c r="AB73" s="953"/>
      <c r="AC73" s="953"/>
      <c r="AD73" s="953"/>
      <c r="AE73" s="170">
        <v>1370</v>
      </c>
      <c r="AF73" s="170">
        <v>1280</v>
      </c>
      <c r="AG73" s="953"/>
      <c r="AH73" s="953"/>
      <c r="AI73" s="953"/>
      <c r="AJ73" s="953"/>
      <c r="AK73" s="953"/>
    </row>
    <row r="74" spans="1:37" s="91" customFormat="1" ht="15" hidden="1" customHeight="1" x14ac:dyDescent="0.2">
      <c r="A74" s="953"/>
      <c r="B74" s="2127" t="s">
        <v>1930</v>
      </c>
      <c r="C74" s="2127"/>
      <c r="D74" s="2127"/>
      <c r="E74" s="2102"/>
      <c r="F74" s="877" t="s">
        <v>1931</v>
      </c>
      <c r="G74" s="2096"/>
      <c r="H74" s="2103"/>
      <c r="I74" s="2095"/>
      <c r="J74" s="2104"/>
      <c r="K74" s="2095"/>
      <c r="L74" s="289" t="str">
        <f t="shared" si="9"/>
        <v/>
      </c>
      <c r="M74" s="1060" t="b">
        <f t="shared" si="7"/>
        <v>1</v>
      </c>
      <c r="N74" s="1060">
        <f t="shared" si="10"/>
        <v>0</v>
      </c>
      <c r="O74" s="1061" t="str">
        <f t="shared" si="11"/>
        <v>TRUE</v>
      </c>
      <c r="P74" s="1061" t="str">
        <f t="shared" si="12"/>
        <v>TRUE</v>
      </c>
      <c r="Q74" s="1061" t="b">
        <f t="shared" si="13"/>
        <v>1</v>
      </c>
      <c r="R74" s="1061" t="b">
        <f t="shared" si="14"/>
        <v>1</v>
      </c>
      <c r="S74" s="953"/>
      <c r="T74" s="953"/>
      <c r="U74" s="953"/>
      <c r="V74" s="953"/>
      <c r="W74" s="953"/>
      <c r="X74" s="953"/>
      <c r="Y74" s="953"/>
      <c r="Z74" s="953"/>
      <c r="AA74" s="953"/>
      <c r="AB74" s="953"/>
      <c r="AC74" s="953"/>
      <c r="AD74" s="953"/>
      <c r="AE74" s="170">
        <v>1400</v>
      </c>
      <c r="AF74" s="170">
        <v>1300</v>
      </c>
      <c r="AG74" s="170"/>
      <c r="AH74" s="2380"/>
      <c r="AI74" s="2380"/>
      <c r="AJ74" s="170"/>
      <c r="AK74" s="2380"/>
    </row>
    <row r="75" spans="1:37" s="91" customFormat="1" ht="15" hidden="1" customHeight="1" x14ac:dyDescent="0.2">
      <c r="A75" s="953"/>
      <c r="B75" s="2127" t="s">
        <v>1930</v>
      </c>
      <c r="C75" s="2127"/>
      <c r="D75" s="2127"/>
      <c r="E75" s="2102"/>
      <c r="F75" s="877" t="s">
        <v>1931</v>
      </c>
      <c r="G75" s="2096"/>
      <c r="H75" s="2103"/>
      <c r="I75" s="2095"/>
      <c r="J75" s="2104"/>
      <c r="K75" s="2095"/>
      <c r="L75" s="289" t="str">
        <f t="shared" si="9"/>
        <v/>
      </c>
      <c r="M75" s="1060" t="b">
        <f t="shared" si="7"/>
        <v>1</v>
      </c>
      <c r="N75" s="1060">
        <f t="shared" si="10"/>
        <v>0</v>
      </c>
      <c r="O75" s="1061" t="str">
        <f t="shared" si="11"/>
        <v>TRUE</v>
      </c>
      <c r="P75" s="1061" t="str">
        <f t="shared" si="12"/>
        <v>TRUE</v>
      </c>
      <c r="Q75" s="1061" t="b">
        <f t="shared" si="13"/>
        <v>1</v>
      </c>
      <c r="R75" s="1061" t="b">
        <f t="shared" si="14"/>
        <v>1</v>
      </c>
      <c r="S75" s="953"/>
      <c r="T75" s="953"/>
      <c r="U75" s="953"/>
      <c r="V75" s="953"/>
      <c r="W75" s="953"/>
      <c r="X75" s="953"/>
      <c r="Y75" s="953"/>
      <c r="Z75" s="953"/>
      <c r="AA75" s="953"/>
      <c r="AB75" s="953"/>
      <c r="AC75" s="953"/>
      <c r="AD75" s="953"/>
      <c r="AE75" s="170">
        <v>1401</v>
      </c>
      <c r="AF75" s="170">
        <v>1310</v>
      </c>
      <c r="AG75" s="170"/>
      <c r="AH75" s="2380"/>
      <c r="AI75" s="2380"/>
      <c r="AJ75" s="170"/>
      <c r="AK75" s="2380"/>
    </row>
    <row r="76" spans="1:37" s="91" customFormat="1" ht="15" hidden="1" customHeight="1" x14ac:dyDescent="0.2">
      <c r="A76" s="953"/>
      <c r="B76" s="2127" t="s">
        <v>1930</v>
      </c>
      <c r="C76" s="2127"/>
      <c r="D76" s="2127"/>
      <c r="E76" s="2102"/>
      <c r="F76" s="877" t="s">
        <v>1931</v>
      </c>
      <c r="G76" s="2096"/>
      <c r="H76" s="2103"/>
      <c r="I76" s="2095"/>
      <c r="J76" s="2104"/>
      <c r="K76" s="2095"/>
      <c r="L76" s="289" t="str">
        <f t="shared" si="9"/>
        <v/>
      </c>
      <c r="M76" s="1060" t="b">
        <f t="shared" si="7"/>
        <v>1</v>
      </c>
      <c r="N76" s="1060">
        <f t="shared" si="10"/>
        <v>0</v>
      </c>
      <c r="O76" s="1061" t="str">
        <f t="shared" si="11"/>
        <v>TRUE</v>
      </c>
      <c r="P76" s="1061" t="str">
        <f t="shared" si="12"/>
        <v>TRUE</v>
      </c>
      <c r="Q76" s="1061" t="b">
        <f t="shared" si="13"/>
        <v>1</v>
      </c>
      <c r="R76" s="1061" t="b">
        <f t="shared" si="14"/>
        <v>1</v>
      </c>
      <c r="S76" s="953"/>
      <c r="T76" s="953"/>
      <c r="U76" s="953"/>
      <c r="V76" s="953"/>
      <c r="W76" s="953"/>
      <c r="X76" s="953"/>
      <c r="Y76" s="953"/>
      <c r="Z76" s="953"/>
      <c r="AA76" s="953"/>
      <c r="AB76" s="953"/>
      <c r="AC76" s="953"/>
      <c r="AD76" s="953"/>
      <c r="AE76" s="170">
        <v>1404</v>
      </c>
      <c r="AF76" s="170">
        <v>1340</v>
      </c>
      <c r="AG76" s="170"/>
      <c r="AH76" s="2380"/>
      <c r="AI76" s="2380"/>
      <c r="AJ76" s="170"/>
      <c r="AK76" s="2380"/>
    </row>
    <row r="77" spans="1:37" s="91" customFormat="1" ht="15" hidden="1" customHeight="1" x14ac:dyDescent="0.2">
      <c r="A77" s="953"/>
      <c r="B77" s="2127" t="s">
        <v>1930</v>
      </c>
      <c r="C77" s="2127"/>
      <c r="D77" s="2127"/>
      <c r="E77" s="2102"/>
      <c r="F77" s="877" t="s">
        <v>1931</v>
      </c>
      <c r="G77" s="2096"/>
      <c r="H77" s="2103"/>
      <c r="I77" s="2095"/>
      <c r="J77" s="2104"/>
      <c r="K77" s="2095"/>
      <c r="L77" s="289" t="str">
        <f t="shared" si="9"/>
        <v/>
      </c>
      <c r="M77" s="1060" t="b">
        <f t="shared" si="7"/>
        <v>1</v>
      </c>
      <c r="N77" s="1060">
        <f t="shared" si="10"/>
        <v>0</v>
      </c>
      <c r="O77" s="1061" t="str">
        <f t="shared" si="11"/>
        <v>TRUE</v>
      </c>
      <c r="P77" s="1061" t="str">
        <f t="shared" si="12"/>
        <v>TRUE</v>
      </c>
      <c r="Q77" s="1061" t="b">
        <f t="shared" si="13"/>
        <v>1</v>
      </c>
      <c r="R77" s="1061" t="b">
        <f t="shared" si="14"/>
        <v>1</v>
      </c>
      <c r="S77" s="953"/>
      <c r="T77" s="953"/>
      <c r="U77" s="953"/>
      <c r="V77" s="953"/>
      <c r="W77" s="953"/>
      <c r="X77" s="953"/>
      <c r="Y77" s="953"/>
      <c r="Z77" s="953"/>
      <c r="AA77" s="953"/>
      <c r="AB77" s="953"/>
      <c r="AC77" s="953"/>
      <c r="AD77" s="953"/>
      <c r="AE77" s="170">
        <v>1415</v>
      </c>
      <c r="AF77" s="170">
        <v>1345</v>
      </c>
      <c r="AG77" s="170"/>
      <c r="AH77" s="2380"/>
      <c r="AI77" s="2380"/>
      <c r="AJ77" s="170"/>
      <c r="AK77" s="2380"/>
    </row>
    <row r="78" spans="1:37" s="91" customFormat="1" ht="15" hidden="1" customHeight="1" x14ac:dyDescent="0.2">
      <c r="A78" s="953"/>
      <c r="B78" s="2127" t="s">
        <v>1930</v>
      </c>
      <c r="C78" s="2127"/>
      <c r="D78" s="2127"/>
      <c r="E78" s="2102"/>
      <c r="F78" s="877" t="s">
        <v>1931</v>
      </c>
      <c r="G78" s="2096"/>
      <c r="H78" s="2103"/>
      <c r="I78" s="2095"/>
      <c r="J78" s="2104"/>
      <c r="K78" s="2095"/>
      <c r="L78" s="289" t="str">
        <f>IF(M76=FALSE,"*","")</f>
        <v/>
      </c>
      <c r="M78" s="1060">
        <f>COUNTIF(M68:M77,FALSE)</f>
        <v>0</v>
      </c>
      <c r="N78" s="957"/>
      <c r="O78" s="957"/>
      <c r="P78" s="957"/>
      <c r="Q78" s="957"/>
      <c r="R78" s="957"/>
      <c r="S78" s="953"/>
      <c r="T78" s="953"/>
      <c r="U78" s="953"/>
      <c r="V78" s="953"/>
      <c r="W78" s="953"/>
      <c r="X78" s="953"/>
      <c r="Y78" s="953"/>
      <c r="Z78" s="953"/>
      <c r="AA78" s="953"/>
      <c r="AB78" s="953"/>
      <c r="AC78" s="953"/>
      <c r="AD78" s="953"/>
      <c r="AE78" s="170">
        <v>1420</v>
      </c>
      <c r="AF78" s="170">
        <v>1350</v>
      </c>
      <c r="AG78" s="170"/>
      <c r="AH78" s="2890"/>
      <c r="AI78" s="2890"/>
      <c r="AJ78" s="2890"/>
      <c r="AK78" s="2890"/>
    </row>
    <row r="79" spans="1:37" s="91" customFormat="1" ht="7.35" hidden="1" customHeight="1" x14ac:dyDescent="0.2">
      <c r="A79" s="953"/>
      <c r="B79" s="2127" t="s">
        <v>1930</v>
      </c>
      <c r="C79" s="2127"/>
      <c r="D79" s="2127"/>
      <c r="E79" s="2102"/>
      <c r="F79" s="877" t="s">
        <v>1931</v>
      </c>
      <c r="G79" s="2096"/>
      <c r="H79" s="2103"/>
      <c r="I79" s="2095"/>
      <c r="J79" s="2104"/>
      <c r="K79" s="2095"/>
      <c r="L79" s="289" t="str">
        <f>IF(M77=FALSE,"*","")</f>
        <v/>
      </c>
      <c r="M79" s="953"/>
      <c r="N79" s="953"/>
      <c r="O79" s="953"/>
      <c r="P79" s="953"/>
      <c r="Q79" s="953"/>
      <c r="R79" s="953"/>
      <c r="S79" s="953"/>
      <c r="T79" s="953"/>
      <c r="U79" s="953"/>
      <c r="V79" s="953"/>
      <c r="W79" s="953"/>
      <c r="X79" s="953"/>
      <c r="Y79" s="953"/>
      <c r="Z79" s="953"/>
      <c r="AA79" s="953"/>
      <c r="AB79" s="953"/>
      <c r="AC79" s="953"/>
      <c r="AD79" s="953"/>
      <c r="AE79" s="170">
        <v>1270</v>
      </c>
      <c r="AF79" s="170">
        <v>1370</v>
      </c>
      <c r="AG79" s="170"/>
      <c r="AH79" s="2890"/>
      <c r="AI79" s="2890"/>
      <c r="AJ79" s="2890"/>
      <c r="AK79" s="2890"/>
    </row>
    <row r="80" spans="1:37" s="91" customFormat="1" ht="15" hidden="1" customHeight="1" thickBot="1" x14ac:dyDescent="0.25">
      <c r="A80" s="953"/>
      <c r="B80" s="2095"/>
      <c r="C80" s="2095"/>
      <c r="D80" s="2095"/>
      <c r="E80" s="2096"/>
      <c r="F80" s="2096" t="s">
        <v>1913</v>
      </c>
      <c r="G80" s="2096"/>
      <c r="H80" s="2105">
        <f>SUM(H70:H79)</f>
        <v>0</v>
      </c>
      <c r="I80" s="2095"/>
      <c r="J80" s="2106" t="s">
        <v>1929</v>
      </c>
      <c r="K80" s="2095"/>
      <c r="L80" s="957"/>
      <c r="M80" s="953"/>
      <c r="N80" s="953"/>
      <c r="O80" s="953"/>
      <c r="P80" s="953"/>
      <c r="Q80" s="953"/>
      <c r="R80" s="953"/>
      <c r="S80" s="953"/>
      <c r="T80" s="953"/>
      <c r="U80" s="953"/>
      <c r="V80" s="953"/>
      <c r="W80" s="953"/>
      <c r="X80" s="953"/>
      <c r="Y80" s="953"/>
      <c r="Z80" s="953"/>
      <c r="AA80" s="953"/>
      <c r="AB80" s="953"/>
      <c r="AC80" s="953"/>
      <c r="AD80" s="953"/>
      <c r="AE80" s="170">
        <v>1280</v>
      </c>
      <c r="AF80" s="638">
        <v>1390</v>
      </c>
      <c r="AG80" s="170"/>
      <c r="AH80" s="2890"/>
      <c r="AI80" s="2890"/>
      <c r="AJ80" s="2890"/>
      <c r="AK80" s="2890"/>
    </row>
    <row r="81" spans="1:37" s="91" customFormat="1" ht="15" hidden="1" customHeight="1" x14ac:dyDescent="0.2">
      <c r="A81" s="953"/>
      <c r="B81" s="2095"/>
      <c r="C81" s="2095"/>
      <c r="D81" s="2095"/>
      <c r="E81" s="2096"/>
      <c r="F81" s="2096"/>
      <c r="G81" s="2096"/>
      <c r="H81" s="2095"/>
      <c r="I81" s="2095"/>
      <c r="J81" s="2095"/>
      <c r="K81" s="2095"/>
      <c r="L81" s="953"/>
      <c r="M81" s="953"/>
      <c r="N81" s="953"/>
      <c r="O81" s="953"/>
      <c r="P81" s="953"/>
      <c r="Q81" s="953"/>
      <c r="R81" s="953"/>
      <c r="S81" s="953"/>
      <c r="T81" s="953"/>
      <c r="U81" s="953"/>
      <c r="V81" s="953"/>
      <c r="W81" s="953"/>
      <c r="X81" s="953"/>
      <c r="Y81" s="953"/>
      <c r="Z81" s="953"/>
      <c r="AA81" s="953"/>
      <c r="AB81" s="953"/>
      <c r="AC81" s="953"/>
      <c r="AD81" s="953"/>
      <c r="AE81" s="170">
        <v>1410</v>
      </c>
      <c r="AF81" s="638">
        <v>1395</v>
      </c>
      <c r="AG81" s="170"/>
      <c r="AH81" s="2890"/>
      <c r="AI81" s="2890"/>
      <c r="AJ81" s="2890"/>
      <c r="AK81" s="2890"/>
    </row>
    <row r="82" spans="1:37" s="91" customFormat="1" ht="15" hidden="1" customHeight="1" x14ac:dyDescent="0.2">
      <c r="A82" s="953"/>
      <c r="B82" s="2106"/>
      <c r="C82" s="2095"/>
      <c r="D82" s="2095"/>
      <c r="E82" s="2096"/>
      <c r="F82" s="2096"/>
      <c r="G82" s="2096"/>
      <c r="H82" s="2095"/>
      <c r="I82" s="2095"/>
      <c r="J82" s="2095"/>
      <c r="K82" s="2095"/>
      <c r="L82" s="953"/>
      <c r="M82" s="953"/>
      <c r="N82" s="953"/>
      <c r="O82" s="953"/>
      <c r="P82" s="953"/>
      <c r="Q82" s="953"/>
      <c r="R82" s="953"/>
      <c r="S82" s="953"/>
      <c r="T82" s="953"/>
      <c r="U82" s="953"/>
      <c r="V82" s="953"/>
      <c r="W82" s="953"/>
      <c r="X82" s="953"/>
      <c r="Y82" s="953"/>
      <c r="Z82" s="953"/>
      <c r="AA82" s="953"/>
      <c r="AB82" s="953"/>
      <c r="AC82" s="953"/>
      <c r="AD82" s="953"/>
      <c r="AE82" s="638">
        <v>1395</v>
      </c>
      <c r="AF82" s="170">
        <v>1400</v>
      </c>
      <c r="AG82" s="170"/>
      <c r="AH82" s="2890"/>
      <c r="AI82" s="2890"/>
      <c r="AJ82" s="2890"/>
      <c r="AK82" s="2890"/>
    </row>
    <row r="83" spans="1:37" s="91" customFormat="1" ht="15" hidden="1" customHeight="1" x14ac:dyDescent="0.2">
      <c r="A83" s="421" t="str">
        <f ca="1">MID(CELL("filename",A7),FIND("]",CELL("filename",A7))+1,256)</f>
        <v>536</v>
      </c>
      <c r="B83" s="2095"/>
      <c r="C83" s="2095"/>
      <c r="D83" s="2095"/>
      <c r="E83" s="2096"/>
      <c r="F83" s="2096"/>
      <c r="G83" s="2096"/>
      <c r="H83" s="2095"/>
      <c r="I83" s="2095"/>
      <c r="J83" s="2095"/>
      <c r="K83" s="2095"/>
      <c r="L83" s="953"/>
      <c r="M83" s="953"/>
      <c r="N83" s="953"/>
      <c r="O83" s="953"/>
      <c r="P83" s="953"/>
      <c r="Q83" s="953"/>
      <c r="R83" s="953"/>
      <c r="S83" s="953"/>
      <c r="T83" s="953"/>
      <c r="U83" s="953"/>
      <c r="V83" s="953"/>
      <c r="W83" s="953"/>
      <c r="X83" s="953"/>
      <c r="Y83" s="953"/>
      <c r="Z83" s="953"/>
      <c r="AA83" s="953"/>
      <c r="AB83" s="953"/>
      <c r="AC83" s="953"/>
      <c r="AD83" s="953"/>
      <c r="AE83" s="638">
        <v>1390</v>
      </c>
      <c r="AF83" s="170">
        <v>1401</v>
      </c>
      <c r="AG83" s="170"/>
      <c r="AH83" s="2890"/>
      <c r="AI83" s="2890"/>
      <c r="AJ83" s="2890"/>
      <c r="AK83" s="2890"/>
    </row>
    <row r="84" spans="1:37" s="91" customFormat="1" ht="15" hidden="1" customHeight="1" x14ac:dyDescent="0.2">
      <c r="A84" s="421" t="s">
        <v>401</v>
      </c>
      <c r="B84" s="953"/>
      <c r="C84" s="953"/>
      <c r="D84" s="953"/>
      <c r="E84" s="2383"/>
      <c r="F84" s="2383"/>
      <c r="G84" s="2383"/>
      <c r="H84" s="953"/>
      <c r="I84" s="953"/>
      <c r="J84" s="953"/>
      <c r="K84" s="953"/>
      <c r="L84" s="953"/>
      <c r="M84" s="953"/>
      <c r="N84" s="953"/>
      <c r="O84" s="953"/>
      <c r="P84" s="953"/>
      <c r="Q84" s="953"/>
      <c r="R84" s="953"/>
      <c r="S84" s="953"/>
      <c r="T84" s="953"/>
      <c r="U84" s="953"/>
      <c r="V84" s="953"/>
      <c r="W84" s="953"/>
      <c r="X84" s="953"/>
      <c r="Y84" s="953"/>
      <c r="Z84" s="953"/>
      <c r="AA84" s="953"/>
      <c r="AB84" s="953"/>
      <c r="AC84" s="953"/>
      <c r="AD84" s="953"/>
      <c r="AE84" s="170">
        <v>1432</v>
      </c>
      <c r="AF84" s="170">
        <v>1404</v>
      </c>
      <c r="AG84" s="170"/>
      <c r="AH84" s="2673"/>
      <c r="AI84" s="2673"/>
      <c r="AJ84" s="2673"/>
      <c r="AK84" s="2673"/>
    </row>
    <row r="85" spans="1:37" s="91" customFormat="1" ht="15" hidden="1" customHeight="1" x14ac:dyDescent="0.25">
      <c r="A85" s="421" t="s">
        <v>402</v>
      </c>
      <c r="B85" s="421" t="s">
        <v>2033</v>
      </c>
      <c r="C85" s="953"/>
      <c r="D85" s="2080" t="e" cm="1" vm="1">
        <f t="array" aca="1" ref="D85" ca="1">IF(L16:L31&lt;&gt;"","Complete all columns (B, F and H)","")</f>
        <v>#VALUE!</v>
      </c>
      <c r="E85" s="2383"/>
      <c r="F85" s="2383"/>
      <c r="G85" s="2383"/>
      <c r="H85" s="953"/>
      <c r="I85" s="953"/>
      <c r="J85" s="953"/>
      <c r="K85" s="953"/>
      <c r="L85" s="953"/>
      <c r="M85" s="953"/>
      <c r="N85" s="953"/>
      <c r="O85" s="953"/>
      <c r="P85" s="953"/>
      <c r="Q85" s="953"/>
      <c r="R85" s="953"/>
      <c r="S85" s="953"/>
      <c r="T85" s="953"/>
      <c r="U85" s="953"/>
      <c r="V85" s="953"/>
      <c r="W85" s="953"/>
      <c r="X85" s="953"/>
      <c r="Y85" s="953"/>
      <c r="Z85" s="953"/>
      <c r="AA85" s="953"/>
      <c r="AB85" s="953"/>
      <c r="AC85" s="953"/>
      <c r="AD85" s="953"/>
      <c r="AE85" s="170">
        <v>1434</v>
      </c>
      <c r="AF85" s="170">
        <v>1410</v>
      </c>
      <c r="AG85" s="170"/>
      <c r="AH85" s="2894"/>
      <c r="AI85" s="2894"/>
      <c r="AJ85" s="2894"/>
      <c r="AK85" s="2894"/>
    </row>
    <row r="86" spans="1:37" s="91" customFormat="1" ht="15" hidden="1" customHeight="1" x14ac:dyDescent="0.2">
      <c r="A86" s="421" t="s">
        <v>403</v>
      </c>
      <c r="B86" s="421" t="str">
        <f t="shared" ref="B86:B95" ca="1" si="15">IF(ISNA(INDEX(ErrorTable,MATCH($A$83&amp;$A84&amp;FALSE,ErrorKey,0),6)),"",INDEX(ErrorTable,MATCH($A$83&amp;$A84&amp;FALSE,ErrorKey,0),6))</f>
        <v/>
      </c>
      <c r="C86" s="953"/>
      <c r="D86" s="953"/>
      <c r="E86" s="2383"/>
      <c r="F86" s="2383"/>
      <c r="G86" s="2383"/>
      <c r="H86" s="953"/>
      <c r="I86" s="953"/>
      <c r="J86" s="953"/>
      <c r="K86" s="953"/>
      <c r="L86" s="953"/>
      <c r="M86" s="953"/>
      <c r="N86" s="953"/>
      <c r="O86" s="953"/>
      <c r="P86" s="953"/>
      <c r="Q86" s="953"/>
      <c r="R86" s="953"/>
      <c r="S86" s="953"/>
      <c r="T86" s="953"/>
      <c r="U86" s="953"/>
      <c r="V86" s="953"/>
      <c r="W86" s="953"/>
      <c r="X86" s="953"/>
      <c r="Y86" s="953"/>
      <c r="Z86" s="953"/>
      <c r="AA86" s="953"/>
      <c r="AB86" s="953"/>
      <c r="AC86" s="953"/>
      <c r="AD86" s="953"/>
      <c r="AE86" s="170">
        <v>1433</v>
      </c>
      <c r="AF86" s="170">
        <v>1415</v>
      </c>
      <c r="AG86" s="170"/>
      <c r="AH86" s="2894"/>
      <c r="AI86" s="2894"/>
      <c r="AJ86" s="2894"/>
      <c r="AK86" s="2894"/>
    </row>
    <row r="87" spans="1:37" ht="20.85" hidden="1" customHeight="1" x14ac:dyDescent="0.25">
      <c r="A87" s="421" t="s">
        <v>404</v>
      </c>
      <c r="B87" s="421" t="str">
        <f t="shared" ca="1" si="15"/>
        <v/>
      </c>
      <c r="C87" s="953"/>
      <c r="D87" s="953"/>
      <c r="AE87" s="33">
        <v>1480</v>
      </c>
      <c r="AF87" s="170">
        <v>1420</v>
      </c>
      <c r="AG87" s="170"/>
      <c r="AH87" s="2894"/>
      <c r="AI87" s="2894"/>
      <c r="AJ87" s="2894"/>
      <c r="AK87" s="2894"/>
    </row>
    <row r="88" spans="1:37" ht="20.85" hidden="1" customHeight="1" x14ac:dyDescent="0.25">
      <c r="A88" s="421" t="s">
        <v>405</v>
      </c>
      <c r="B88" s="421" t="str">
        <f t="shared" ca="1" si="15"/>
        <v/>
      </c>
      <c r="C88" s="953"/>
      <c r="D88" s="953"/>
      <c r="AE88" s="33">
        <v>1490</v>
      </c>
      <c r="AF88" s="170">
        <v>1432</v>
      </c>
      <c r="AG88" s="170"/>
      <c r="AH88" s="2894"/>
      <c r="AI88" s="2894"/>
      <c r="AJ88" s="2894"/>
      <c r="AK88" s="2894"/>
    </row>
    <row r="89" spans="1:37" ht="20.85" hidden="1" customHeight="1" x14ac:dyDescent="0.25">
      <c r="A89" s="421" t="s">
        <v>406</v>
      </c>
      <c r="B89" s="421" t="str">
        <f t="shared" ca="1" si="15"/>
        <v/>
      </c>
      <c r="AE89" s="33">
        <v>1500</v>
      </c>
      <c r="AF89" s="170">
        <v>1433</v>
      </c>
      <c r="AG89" s="170"/>
      <c r="AH89" s="2894"/>
      <c r="AI89" s="2894"/>
      <c r="AJ89" s="2894"/>
      <c r="AK89" s="2894"/>
    </row>
    <row r="90" spans="1:37" ht="20.85" hidden="1" customHeight="1" x14ac:dyDescent="0.25">
      <c r="A90" s="421" t="s">
        <v>407</v>
      </c>
      <c r="B90" s="421" t="str">
        <f t="shared" ca="1" si="15"/>
        <v/>
      </c>
      <c r="E90" s="35"/>
      <c r="F90" s="35"/>
      <c r="G90" s="35"/>
      <c r="H90" s="35"/>
      <c r="I90" s="35"/>
      <c r="J90" s="35"/>
      <c r="K90" s="35"/>
      <c r="AE90" s="33">
        <v>1503</v>
      </c>
      <c r="AF90" s="170">
        <v>1434</v>
      </c>
      <c r="AG90" s="170"/>
      <c r="AH90" s="2894"/>
      <c r="AI90" s="2894"/>
      <c r="AJ90" s="2894"/>
      <c r="AK90" s="2894"/>
    </row>
    <row r="91" spans="1:37" ht="20.85" hidden="1" customHeight="1" x14ac:dyDescent="0.25">
      <c r="A91" s="421" t="s">
        <v>408</v>
      </c>
      <c r="B91" s="421" t="str">
        <f t="shared" ca="1" si="15"/>
        <v/>
      </c>
      <c r="E91" s="35"/>
      <c r="F91" s="35"/>
      <c r="G91" s="35"/>
      <c r="L91" s="35" t="s">
        <v>50</v>
      </c>
      <c r="AE91" s="33">
        <v>1505</v>
      </c>
      <c r="AF91" s="33">
        <v>1480</v>
      </c>
      <c r="AG91" s="170"/>
      <c r="AH91" s="2890"/>
      <c r="AI91" s="2890"/>
      <c r="AJ91" s="2890"/>
      <c r="AK91" s="2890"/>
    </row>
    <row r="92" spans="1:37" ht="20.85" hidden="1" customHeight="1" x14ac:dyDescent="0.25">
      <c r="A92" s="421" t="s">
        <v>409</v>
      </c>
      <c r="B92" s="421" t="str">
        <f t="shared" ca="1" si="15"/>
        <v/>
      </c>
      <c r="D92" s="35" t="s">
        <v>50</v>
      </c>
      <c r="AE92" s="33">
        <v>1506</v>
      </c>
      <c r="AF92" s="638">
        <v>1481</v>
      </c>
      <c r="AG92" s="170"/>
      <c r="AH92" s="2673"/>
      <c r="AI92" s="2673"/>
      <c r="AJ92" s="2673"/>
      <c r="AK92" s="2673"/>
    </row>
    <row r="93" spans="1:37" ht="20.85" hidden="1" customHeight="1" x14ac:dyDescent="0.25">
      <c r="A93" s="421" t="s">
        <v>410</v>
      </c>
      <c r="B93" s="421" t="str">
        <f t="shared" ca="1" si="15"/>
        <v/>
      </c>
      <c r="D93" s="35" t="s">
        <v>50</v>
      </c>
      <c r="AE93" s="638">
        <v>1520</v>
      </c>
      <c r="AF93" s="33">
        <v>1490</v>
      </c>
      <c r="AG93" s="170"/>
      <c r="AH93" s="2894"/>
      <c r="AI93" s="2894"/>
      <c r="AJ93" s="2894"/>
      <c r="AK93" s="2894"/>
    </row>
    <row r="94" spans="1:37" ht="20.85" customHeight="1" x14ac:dyDescent="0.25">
      <c r="B94" s="421" t="str">
        <f t="shared" ca="1" si="15"/>
        <v/>
      </c>
      <c r="AE94" s="638">
        <v>1530</v>
      </c>
      <c r="AF94" s="33">
        <v>1500</v>
      </c>
      <c r="AG94" s="170"/>
      <c r="AH94" s="2894"/>
      <c r="AI94" s="2894"/>
      <c r="AJ94" s="2894"/>
      <c r="AK94" s="2894"/>
    </row>
    <row r="95" spans="1:37" ht="20.85" customHeight="1" x14ac:dyDescent="0.25">
      <c r="B95" s="421" t="str">
        <f t="shared" ca="1" si="15"/>
        <v/>
      </c>
      <c r="AE95" s="638">
        <v>1540</v>
      </c>
      <c r="AF95" s="33">
        <v>1503</v>
      </c>
      <c r="AG95" s="170"/>
      <c r="AH95" s="2894"/>
      <c r="AI95" s="2894"/>
      <c r="AJ95" s="2894"/>
      <c r="AK95" s="2894"/>
    </row>
    <row r="96" spans="1:37" ht="20.85" customHeight="1" x14ac:dyDescent="0.25">
      <c r="AE96" s="638">
        <v>1550</v>
      </c>
      <c r="AF96" s="33">
        <v>1505</v>
      </c>
      <c r="AG96" s="170"/>
      <c r="AH96" s="2894"/>
      <c r="AI96" s="2894"/>
      <c r="AJ96" s="2894"/>
      <c r="AK96" s="2894"/>
    </row>
    <row r="97" spans="4:37" ht="20.85" customHeight="1" x14ac:dyDescent="0.25">
      <c r="AE97" s="638">
        <v>1481</v>
      </c>
      <c r="AF97" s="33">
        <v>1506</v>
      </c>
      <c r="AG97" s="170"/>
      <c r="AH97" s="2894"/>
      <c r="AI97" s="2894"/>
      <c r="AJ97" s="2894"/>
      <c r="AK97" s="2894"/>
    </row>
    <row r="98" spans="4:37" ht="20.85" customHeight="1" x14ac:dyDescent="0.25">
      <c r="D98" s="33" t="s">
        <v>50</v>
      </c>
      <c r="AE98" s="638">
        <v>1521</v>
      </c>
      <c r="AF98" s="638">
        <v>1520</v>
      </c>
      <c r="AG98" s="170"/>
      <c r="AH98" s="2894"/>
      <c r="AI98" s="2894"/>
      <c r="AJ98" s="2894"/>
      <c r="AK98" s="2894"/>
    </row>
    <row r="99" spans="4:37" ht="20.85" customHeight="1" x14ac:dyDescent="0.25">
      <c r="AE99" s="638">
        <v>1531</v>
      </c>
      <c r="AF99" s="638">
        <v>1521</v>
      </c>
      <c r="AG99" s="170"/>
      <c r="AH99" s="2894"/>
      <c r="AI99" s="2894"/>
      <c r="AJ99" s="2894"/>
      <c r="AK99" s="2894"/>
    </row>
    <row r="100" spans="4:37" ht="20.85" customHeight="1" x14ac:dyDescent="0.25">
      <c r="AE100" s="638">
        <v>1551</v>
      </c>
      <c r="AF100" s="638">
        <v>1530</v>
      </c>
      <c r="AG100" s="170"/>
      <c r="AH100" s="2894"/>
      <c r="AI100" s="2894"/>
      <c r="AJ100" s="2894"/>
      <c r="AK100" s="2894"/>
    </row>
    <row r="101" spans="4:37" ht="20.85" customHeight="1" x14ac:dyDescent="0.25">
      <c r="D101" s="35" t="s">
        <v>50</v>
      </c>
      <c r="E101" s="35"/>
      <c r="F101" s="35"/>
      <c r="G101" s="35"/>
      <c r="L101" s="35" t="s">
        <v>50</v>
      </c>
      <c r="AE101" s="1867">
        <v>1552</v>
      </c>
      <c r="AF101" s="638">
        <v>1531</v>
      </c>
      <c r="AG101" s="2110"/>
      <c r="AH101" s="2111"/>
      <c r="AI101" s="2111"/>
      <c r="AJ101" s="2110"/>
      <c r="AK101" s="2111"/>
    </row>
    <row r="102" spans="4:37" x14ac:dyDescent="0.25">
      <c r="AE102" s="638">
        <v>1553</v>
      </c>
      <c r="AF102" s="638">
        <v>1540</v>
      </c>
      <c r="AG102" s="170"/>
      <c r="AH102" s="2894"/>
      <c r="AI102" s="2894"/>
      <c r="AJ102" s="2894"/>
      <c r="AK102" s="2894"/>
    </row>
    <row r="103" spans="4:37" x14ac:dyDescent="0.25">
      <c r="AE103" s="638">
        <v>1555</v>
      </c>
      <c r="AF103" s="638">
        <v>1550</v>
      </c>
      <c r="AG103" s="170"/>
      <c r="AH103" s="2894"/>
      <c r="AI103" s="2894"/>
      <c r="AJ103" s="2894"/>
      <c r="AK103" s="2894"/>
    </row>
    <row r="104" spans="4:37" x14ac:dyDescent="0.25">
      <c r="AE104" s="638">
        <v>1556</v>
      </c>
      <c r="AF104" s="638">
        <v>1551</v>
      </c>
      <c r="AG104" s="170"/>
      <c r="AH104" s="2894"/>
      <c r="AI104" s="2894"/>
      <c r="AJ104" s="2894"/>
      <c r="AK104" s="2894"/>
    </row>
    <row r="105" spans="4:37" x14ac:dyDescent="0.25">
      <c r="AE105" s="638">
        <v>1560</v>
      </c>
      <c r="AF105" s="1867">
        <v>1552</v>
      </c>
      <c r="AG105" s="170"/>
      <c r="AH105" s="2894"/>
      <c r="AI105" s="2894"/>
      <c r="AJ105" s="2894"/>
      <c r="AK105" s="2894"/>
    </row>
    <row r="106" spans="4:37" x14ac:dyDescent="0.25">
      <c r="AE106" s="638">
        <v>1570</v>
      </c>
      <c r="AF106" s="638">
        <v>1553</v>
      </c>
      <c r="AG106" s="170"/>
      <c r="AH106" s="2890"/>
      <c r="AI106" s="2890"/>
      <c r="AJ106" s="2890"/>
      <c r="AK106" s="2890"/>
    </row>
    <row r="107" spans="4:37" x14ac:dyDescent="0.25">
      <c r="AE107" s="833">
        <v>1234</v>
      </c>
      <c r="AF107" s="638">
        <v>1555</v>
      </c>
    </row>
    <row r="108" spans="4:37" x14ac:dyDescent="0.25">
      <c r="AE108" s="833">
        <v>1236</v>
      </c>
      <c r="AF108" s="638">
        <v>1556</v>
      </c>
    </row>
    <row r="109" spans="4:37" x14ac:dyDescent="0.25">
      <c r="AE109" s="833">
        <v>1242</v>
      </c>
      <c r="AF109" s="638">
        <v>1560</v>
      </c>
    </row>
    <row r="110" spans="4:37" x14ac:dyDescent="0.25">
      <c r="AE110" s="833">
        <v>1237</v>
      </c>
      <c r="AF110" s="638">
        <v>1570</v>
      </c>
    </row>
    <row r="111" spans="4:37" x14ac:dyDescent="0.25">
      <c r="AE111" s="833">
        <v>1241</v>
      </c>
      <c r="AF111" s="170">
        <v>1640</v>
      </c>
    </row>
    <row r="112" spans="4:37" x14ac:dyDescent="0.25">
      <c r="AE112" s="833">
        <v>1238</v>
      </c>
      <c r="AF112" s="170">
        <v>1650</v>
      </c>
    </row>
    <row r="113" spans="31:32" x14ac:dyDescent="0.25">
      <c r="AE113" s="833">
        <v>1239</v>
      </c>
      <c r="AF113" s="170">
        <v>1660</v>
      </c>
    </row>
    <row r="114" spans="31:32" x14ac:dyDescent="0.25">
      <c r="AE114" s="170">
        <v>1640</v>
      </c>
      <c r="AF114" s="170">
        <v>1670</v>
      </c>
    </row>
    <row r="115" spans="31:32" x14ac:dyDescent="0.25">
      <c r="AE115" s="170">
        <v>1650</v>
      </c>
      <c r="AF115" s="638">
        <v>1730</v>
      </c>
    </row>
    <row r="116" spans="31:32" x14ac:dyDescent="0.25">
      <c r="AE116" s="170">
        <v>1660</v>
      </c>
      <c r="AF116" s="638">
        <v>1735</v>
      </c>
    </row>
    <row r="117" spans="31:32" x14ac:dyDescent="0.25">
      <c r="AE117" s="170">
        <v>1670</v>
      </c>
      <c r="AF117" s="638">
        <v>1740</v>
      </c>
    </row>
    <row r="118" spans="31:32" x14ac:dyDescent="0.25">
      <c r="AE118" s="170">
        <v>1840</v>
      </c>
      <c r="AF118" s="170">
        <v>1750</v>
      </c>
    </row>
    <row r="119" spans="31:32" x14ac:dyDescent="0.25">
      <c r="AE119" s="638">
        <v>1788</v>
      </c>
      <c r="AF119" s="170">
        <v>1760</v>
      </c>
    </row>
    <row r="120" spans="31:32" x14ac:dyDescent="0.25">
      <c r="AE120" s="638">
        <v>1785</v>
      </c>
      <c r="AF120" s="170">
        <v>1762</v>
      </c>
    </row>
    <row r="121" spans="31:32" x14ac:dyDescent="0.25">
      <c r="AE121" s="1190">
        <v>1790</v>
      </c>
      <c r="AF121" s="170">
        <v>1764</v>
      </c>
    </row>
    <row r="122" spans="31:32" x14ac:dyDescent="0.25">
      <c r="AE122" s="1190">
        <v>1791</v>
      </c>
      <c r="AF122" s="170">
        <v>1765</v>
      </c>
    </row>
    <row r="123" spans="31:32" x14ac:dyDescent="0.25">
      <c r="AE123" s="638">
        <v>1787</v>
      </c>
      <c r="AF123" s="170">
        <v>1766</v>
      </c>
    </row>
    <row r="124" spans="31:32" x14ac:dyDescent="0.25">
      <c r="AE124" s="638">
        <v>1730</v>
      </c>
      <c r="AF124" s="170">
        <v>1767</v>
      </c>
    </row>
    <row r="125" spans="31:32" x14ac:dyDescent="0.25">
      <c r="AE125" s="638">
        <v>1735</v>
      </c>
      <c r="AF125" s="170">
        <v>1768</v>
      </c>
    </row>
    <row r="126" spans="31:32" x14ac:dyDescent="0.25">
      <c r="AE126" s="638">
        <v>1740</v>
      </c>
      <c r="AF126" s="170">
        <v>1769</v>
      </c>
    </row>
    <row r="127" spans="31:32" x14ac:dyDescent="0.25">
      <c r="AE127" s="170">
        <v>1890</v>
      </c>
      <c r="AF127" s="170">
        <v>1771</v>
      </c>
    </row>
    <row r="128" spans="31:32" x14ac:dyDescent="0.25">
      <c r="AE128" s="170">
        <v>1750</v>
      </c>
      <c r="AF128" s="170">
        <v>1772</v>
      </c>
    </row>
    <row r="129" spans="31:32" x14ac:dyDescent="0.25">
      <c r="AE129" s="170">
        <v>1760</v>
      </c>
      <c r="AF129" s="170">
        <v>1773</v>
      </c>
    </row>
    <row r="130" spans="31:32" x14ac:dyDescent="0.25">
      <c r="AE130" s="170">
        <v>1870</v>
      </c>
      <c r="AF130" s="638">
        <v>1775</v>
      </c>
    </row>
    <row r="131" spans="31:32" x14ac:dyDescent="0.25">
      <c r="AE131" s="170">
        <v>1880</v>
      </c>
      <c r="AF131" s="638">
        <v>1780</v>
      </c>
    </row>
    <row r="132" spans="31:32" x14ac:dyDescent="0.25">
      <c r="AE132" s="170">
        <v>1762</v>
      </c>
      <c r="AF132" s="638">
        <v>1785</v>
      </c>
    </row>
    <row r="133" spans="31:32" x14ac:dyDescent="0.25">
      <c r="AE133" s="638">
        <v>1775</v>
      </c>
      <c r="AF133" s="638">
        <v>1785</v>
      </c>
    </row>
    <row r="134" spans="31:32" x14ac:dyDescent="0.25">
      <c r="AE134" s="638">
        <v>1780</v>
      </c>
      <c r="AF134" s="1867">
        <v>1786</v>
      </c>
    </row>
    <row r="135" spans="31:32" x14ac:dyDescent="0.25">
      <c r="AE135" s="638">
        <v>1785</v>
      </c>
      <c r="AF135" s="638">
        <v>1786</v>
      </c>
    </row>
    <row r="136" spans="31:32" x14ac:dyDescent="0.25">
      <c r="AE136" s="1867">
        <v>1786</v>
      </c>
      <c r="AF136" s="638">
        <v>1787</v>
      </c>
    </row>
    <row r="137" spans="31:32" x14ac:dyDescent="0.25">
      <c r="AE137" s="638">
        <v>1800</v>
      </c>
      <c r="AF137" s="638">
        <v>1788</v>
      </c>
    </row>
    <row r="138" spans="31:32" x14ac:dyDescent="0.25">
      <c r="AE138" s="638">
        <v>1850</v>
      </c>
      <c r="AF138" s="1190">
        <v>1790</v>
      </c>
    </row>
    <row r="139" spans="31:32" x14ac:dyDescent="0.25">
      <c r="AE139" s="638">
        <v>1851</v>
      </c>
      <c r="AF139" s="1190">
        <v>1791</v>
      </c>
    </row>
    <row r="140" spans="31:32" x14ac:dyDescent="0.25">
      <c r="AE140" s="638">
        <v>1786</v>
      </c>
      <c r="AF140" s="638">
        <v>1800</v>
      </c>
    </row>
    <row r="141" spans="31:32" x14ac:dyDescent="0.25">
      <c r="AE141" s="638">
        <v>1855</v>
      </c>
      <c r="AF141" s="170">
        <v>1840</v>
      </c>
    </row>
    <row r="142" spans="31:32" x14ac:dyDescent="0.25">
      <c r="AE142" s="638">
        <v>1857</v>
      </c>
      <c r="AF142" s="638">
        <v>1850</v>
      </c>
    </row>
    <row r="143" spans="31:32" x14ac:dyDescent="0.25">
      <c r="AE143" s="638">
        <v>1860</v>
      </c>
      <c r="AF143" s="638">
        <v>1851</v>
      </c>
    </row>
    <row r="144" spans="31:32" x14ac:dyDescent="0.25">
      <c r="AE144" s="638">
        <v>1868</v>
      </c>
      <c r="AF144" s="638">
        <v>1855</v>
      </c>
    </row>
    <row r="145" spans="31:32" x14ac:dyDescent="0.25">
      <c r="AE145" s="638">
        <v>1869</v>
      </c>
      <c r="AF145" s="638">
        <v>1857</v>
      </c>
    </row>
    <row r="146" spans="31:32" x14ac:dyDescent="0.25">
      <c r="AE146" s="638">
        <v>1865</v>
      </c>
      <c r="AF146" s="638">
        <v>1860</v>
      </c>
    </row>
    <row r="147" spans="31:32" x14ac:dyDescent="0.25">
      <c r="AE147" s="638">
        <v>1866</v>
      </c>
      <c r="AF147" s="638">
        <v>1865</v>
      </c>
    </row>
    <row r="148" spans="31:32" x14ac:dyDescent="0.25">
      <c r="AE148" s="170">
        <v>1940</v>
      </c>
      <c r="AF148" s="638">
        <v>1866</v>
      </c>
    </row>
    <row r="149" spans="31:32" x14ac:dyDescent="0.25">
      <c r="AE149" s="170">
        <v>1950</v>
      </c>
      <c r="AF149" s="638">
        <v>1868</v>
      </c>
    </row>
    <row r="150" spans="31:32" x14ac:dyDescent="0.25">
      <c r="AE150" s="170">
        <v>1960</v>
      </c>
      <c r="AF150" s="638">
        <v>1869</v>
      </c>
    </row>
    <row r="151" spans="31:32" x14ac:dyDescent="0.25">
      <c r="AE151" s="638">
        <v>2020</v>
      </c>
      <c r="AF151" s="170">
        <v>1870</v>
      </c>
    </row>
    <row r="152" spans="31:32" x14ac:dyDescent="0.25">
      <c r="AE152" s="170">
        <v>2097</v>
      </c>
      <c r="AF152" s="170">
        <v>1880</v>
      </c>
    </row>
    <row r="153" spans="31:32" x14ac:dyDescent="0.25">
      <c r="AE153" s="170">
        <v>2070</v>
      </c>
      <c r="AF153" s="170">
        <v>1890</v>
      </c>
    </row>
    <row r="154" spans="31:32" x14ac:dyDescent="0.25">
      <c r="AE154" s="170">
        <v>2080</v>
      </c>
      <c r="AF154" s="170">
        <v>1940</v>
      </c>
    </row>
    <row r="155" spans="31:32" x14ac:dyDescent="0.25">
      <c r="AE155" s="170">
        <v>2024</v>
      </c>
      <c r="AF155" s="170">
        <v>1950</v>
      </c>
    </row>
    <row r="156" spans="31:32" x14ac:dyDescent="0.25">
      <c r="AE156" s="638">
        <v>2035</v>
      </c>
      <c r="AF156" s="170">
        <v>1960</v>
      </c>
    </row>
    <row r="157" spans="31:32" x14ac:dyDescent="0.25">
      <c r="AE157" s="638">
        <v>2040</v>
      </c>
      <c r="AF157" s="638">
        <v>2020</v>
      </c>
    </row>
    <row r="158" spans="31:32" x14ac:dyDescent="0.25">
      <c r="AE158" s="638">
        <v>2046</v>
      </c>
      <c r="AF158" s="170">
        <v>2024</v>
      </c>
    </row>
    <row r="159" spans="31:32" x14ac:dyDescent="0.25">
      <c r="AE159" s="1867">
        <v>2047</v>
      </c>
      <c r="AF159" s="170">
        <v>2026</v>
      </c>
    </row>
    <row r="160" spans="31:32" x14ac:dyDescent="0.25">
      <c r="AE160" s="638">
        <v>2050</v>
      </c>
      <c r="AF160" s="638">
        <v>2035</v>
      </c>
    </row>
    <row r="161" spans="31:32" x14ac:dyDescent="0.25">
      <c r="AE161" s="638">
        <v>2060</v>
      </c>
      <c r="AF161" s="638">
        <v>2040</v>
      </c>
    </row>
    <row r="162" spans="31:32" x14ac:dyDescent="0.25">
      <c r="AE162" s="638">
        <v>2061</v>
      </c>
      <c r="AF162" s="638">
        <v>2045</v>
      </c>
    </row>
    <row r="163" spans="31:32" x14ac:dyDescent="0.25">
      <c r="AE163" s="638">
        <v>2045</v>
      </c>
      <c r="AF163" s="638">
        <v>2046</v>
      </c>
    </row>
    <row r="164" spans="31:32" x14ac:dyDescent="0.25">
      <c r="AE164" s="638">
        <v>2085</v>
      </c>
      <c r="AF164" s="1867">
        <v>2047</v>
      </c>
    </row>
    <row r="165" spans="31:32" x14ac:dyDescent="0.25">
      <c r="AE165" s="638">
        <v>2087</v>
      </c>
      <c r="AF165" s="638">
        <v>2050</v>
      </c>
    </row>
    <row r="166" spans="31:32" x14ac:dyDescent="0.25">
      <c r="AE166" s="638">
        <v>2090</v>
      </c>
      <c r="AF166" s="638">
        <v>2060</v>
      </c>
    </row>
    <row r="167" spans="31:32" x14ac:dyDescent="0.25">
      <c r="AE167" s="638">
        <v>2098</v>
      </c>
      <c r="AF167" s="638">
        <v>2061</v>
      </c>
    </row>
    <row r="168" spans="31:32" x14ac:dyDescent="0.25">
      <c r="AE168" s="638">
        <v>2099</v>
      </c>
      <c r="AF168" s="170">
        <v>2070</v>
      </c>
    </row>
    <row r="169" spans="31:32" x14ac:dyDescent="0.25">
      <c r="AE169" s="638">
        <v>2095</v>
      </c>
      <c r="AF169" s="170">
        <v>2080</v>
      </c>
    </row>
    <row r="170" spans="31:32" x14ac:dyDescent="0.25">
      <c r="AE170" s="638">
        <v>2096</v>
      </c>
      <c r="AF170" s="638">
        <v>2085</v>
      </c>
    </row>
    <row r="171" spans="31:32" x14ac:dyDescent="0.25">
      <c r="AE171" s="170">
        <v>1764</v>
      </c>
      <c r="AF171" s="638">
        <v>2087</v>
      </c>
    </row>
    <row r="172" spans="31:32" x14ac:dyDescent="0.25">
      <c r="AE172" s="170">
        <v>2026</v>
      </c>
      <c r="AF172" s="638">
        <v>2090</v>
      </c>
    </row>
    <row r="173" spans="31:32" x14ac:dyDescent="0.25">
      <c r="AE173" s="170">
        <v>1766</v>
      </c>
      <c r="AF173" s="638">
        <v>2095</v>
      </c>
    </row>
    <row r="174" spans="31:32" x14ac:dyDescent="0.25">
      <c r="AE174" s="170">
        <v>1768</v>
      </c>
      <c r="AF174" s="638">
        <v>2096</v>
      </c>
    </row>
    <row r="175" spans="31:32" x14ac:dyDescent="0.25">
      <c r="AE175" s="170">
        <v>1765</v>
      </c>
      <c r="AF175" s="170">
        <v>2097</v>
      </c>
    </row>
    <row r="176" spans="31:32" x14ac:dyDescent="0.25">
      <c r="AE176" s="170">
        <v>1772</v>
      </c>
      <c r="AF176" s="638">
        <v>2098</v>
      </c>
    </row>
    <row r="177" spans="31:32" x14ac:dyDescent="0.25">
      <c r="AE177" s="170">
        <v>1767</v>
      </c>
      <c r="AF177" s="638">
        <v>2099</v>
      </c>
    </row>
    <row r="178" spans="31:32" x14ac:dyDescent="0.25">
      <c r="AE178" s="170">
        <v>1771</v>
      </c>
      <c r="AF178" s="170">
        <v>2130</v>
      </c>
    </row>
    <row r="179" spans="31:32" x14ac:dyDescent="0.25">
      <c r="AE179" s="170">
        <v>1773</v>
      </c>
      <c r="AF179" s="170">
        <v>2140</v>
      </c>
    </row>
    <row r="180" spans="31:32" x14ac:dyDescent="0.25">
      <c r="AE180" s="170">
        <v>1769</v>
      </c>
      <c r="AF180" s="170">
        <v>2141</v>
      </c>
    </row>
    <row r="181" spans="31:32" x14ac:dyDescent="0.25">
      <c r="AE181" s="170">
        <v>2130</v>
      </c>
      <c r="AF181" s="170">
        <v>2142</v>
      </c>
    </row>
    <row r="182" spans="31:32" x14ac:dyDescent="0.25">
      <c r="AE182" s="170">
        <v>2140</v>
      </c>
      <c r="AF182" s="170">
        <v>2150</v>
      </c>
    </row>
    <row r="183" spans="31:32" x14ac:dyDescent="0.25">
      <c r="AE183" s="170">
        <v>2141</v>
      </c>
      <c r="AF183" s="170">
        <v>2151</v>
      </c>
    </row>
    <row r="184" spans="31:32" x14ac:dyDescent="0.25">
      <c r="AE184" s="170">
        <v>2142</v>
      </c>
      <c r="AF184" s="170">
        <v>2152</v>
      </c>
    </row>
    <row r="185" spans="31:32" x14ac:dyDescent="0.25">
      <c r="AE185" s="170">
        <v>2150</v>
      </c>
      <c r="AF185" s="170">
        <v>2180</v>
      </c>
    </row>
    <row r="186" spans="31:32" x14ac:dyDescent="0.25">
      <c r="AE186" s="170">
        <v>2151</v>
      </c>
      <c r="AF186" s="170">
        <v>2310</v>
      </c>
    </row>
    <row r="187" spans="31:32" x14ac:dyDescent="0.25">
      <c r="AE187" s="170">
        <v>2152</v>
      </c>
      <c r="AF187" s="170">
        <v>2320</v>
      </c>
    </row>
    <row r="188" spans="31:32" x14ac:dyDescent="0.25">
      <c r="AE188" s="170">
        <v>2180</v>
      </c>
      <c r="AF188" s="170">
        <v>2330</v>
      </c>
    </row>
    <row r="189" spans="31:32" x14ac:dyDescent="0.25">
      <c r="AE189" s="170">
        <v>2310</v>
      </c>
      <c r="AF189" s="170">
        <v>2350</v>
      </c>
    </row>
    <row r="190" spans="31:32" x14ac:dyDescent="0.25">
      <c r="AE190" s="170">
        <v>2320</v>
      </c>
      <c r="AF190" s="170">
        <v>2370</v>
      </c>
    </row>
    <row r="191" spans="31:32" x14ac:dyDescent="0.25">
      <c r="AE191" s="170">
        <v>2330</v>
      </c>
      <c r="AF191" s="170">
        <v>2390</v>
      </c>
    </row>
    <row r="192" spans="31:32" x14ac:dyDescent="0.25">
      <c r="AE192" s="170">
        <v>2350</v>
      </c>
      <c r="AF192" s="170">
        <v>2400</v>
      </c>
    </row>
    <row r="193" spans="31:32" x14ac:dyDescent="0.25">
      <c r="AE193" s="170">
        <v>2370</v>
      </c>
      <c r="AF193" s="170">
        <v>2410</v>
      </c>
    </row>
    <row r="194" spans="31:32" x14ac:dyDescent="0.25">
      <c r="AE194" s="170">
        <v>2390</v>
      </c>
      <c r="AF194" s="170">
        <v>2420</v>
      </c>
    </row>
    <row r="195" spans="31:32" x14ac:dyDescent="0.25">
      <c r="AE195" s="170">
        <v>2400</v>
      </c>
      <c r="AF195" s="170">
        <v>2430</v>
      </c>
    </row>
    <row r="196" spans="31:32" x14ac:dyDescent="0.25">
      <c r="AE196" s="170">
        <v>2410</v>
      </c>
      <c r="AF196" s="170">
        <v>2450</v>
      </c>
    </row>
    <row r="197" spans="31:32" x14ac:dyDescent="0.25">
      <c r="AE197" s="170">
        <v>2420</v>
      </c>
      <c r="AF197" s="170">
        <v>2490</v>
      </c>
    </row>
    <row r="198" spans="31:32" x14ac:dyDescent="0.25">
      <c r="AE198" s="170">
        <v>2430</v>
      </c>
      <c r="AF198" s="170">
        <v>2510</v>
      </c>
    </row>
    <row r="199" spans="31:32" x14ac:dyDescent="0.25">
      <c r="AE199" s="170">
        <v>2450</v>
      </c>
      <c r="AF199" s="170">
        <v>2520</v>
      </c>
    </row>
    <row r="200" spans="31:32" x14ac:dyDescent="0.25">
      <c r="AE200" s="170">
        <v>2490</v>
      </c>
      <c r="AF200" s="170">
        <v>2540</v>
      </c>
    </row>
    <row r="201" spans="31:32" x14ac:dyDescent="0.25">
      <c r="AE201" s="170">
        <v>2510</v>
      </c>
      <c r="AF201" s="170">
        <v>2550</v>
      </c>
    </row>
    <row r="202" spans="31:32" x14ac:dyDescent="0.25">
      <c r="AE202" s="170">
        <v>2520</v>
      </c>
      <c r="AF202" s="170">
        <v>2560</v>
      </c>
    </row>
    <row r="203" spans="31:32" x14ac:dyDescent="0.25">
      <c r="AE203" s="170">
        <v>2550</v>
      </c>
      <c r="AF203" s="170">
        <v>2570</v>
      </c>
    </row>
    <row r="204" spans="31:32" x14ac:dyDescent="0.25">
      <c r="AE204" s="170">
        <v>2540</v>
      </c>
      <c r="AF204" s="170">
        <v>2590</v>
      </c>
    </row>
    <row r="205" spans="31:32" x14ac:dyDescent="0.25">
      <c r="AE205" s="170">
        <v>2560</v>
      </c>
      <c r="AF205" s="170">
        <v>2610</v>
      </c>
    </row>
    <row r="206" spans="31:32" x14ac:dyDescent="0.25">
      <c r="AE206" s="170">
        <v>2570</v>
      </c>
      <c r="AF206" s="170">
        <v>2625</v>
      </c>
    </row>
    <row r="207" spans="31:32" x14ac:dyDescent="0.25">
      <c r="AE207" s="170">
        <v>2590</v>
      </c>
      <c r="AF207" s="170">
        <v>2630</v>
      </c>
    </row>
    <row r="208" spans="31:32" x14ac:dyDescent="0.25">
      <c r="AE208" s="170">
        <v>2610</v>
      </c>
      <c r="AF208" s="170">
        <v>2690</v>
      </c>
    </row>
    <row r="209" spans="31:32" x14ac:dyDescent="0.25">
      <c r="AE209" s="170">
        <v>2625</v>
      </c>
      <c r="AF209" s="170">
        <v>2691</v>
      </c>
    </row>
    <row r="210" spans="31:32" x14ac:dyDescent="0.25">
      <c r="AE210" s="170">
        <v>2630</v>
      </c>
      <c r="AF210" s="170">
        <v>2692</v>
      </c>
    </row>
    <row r="211" spans="31:32" x14ac:dyDescent="0.25">
      <c r="AE211" s="170">
        <v>2690</v>
      </c>
      <c r="AF211" s="1978">
        <v>2693</v>
      </c>
    </row>
    <row r="212" spans="31:32" x14ac:dyDescent="0.25">
      <c r="AE212" s="170">
        <v>2691</v>
      </c>
      <c r="AF212" s="170">
        <v>2700</v>
      </c>
    </row>
    <row r="213" spans="31:32" x14ac:dyDescent="0.25">
      <c r="AE213" s="170">
        <v>2692</v>
      </c>
      <c r="AF213" s="170">
        <v>2701</v>
      </c>
    </row>
    <row r="214" spans="31:32" x14ac:dyDescent="0.25">
      <c r="AE214" s="1978">
        <v>2693</v>
      </c>
      <c r="AF214" s="170">
        <v>2710</v>
      </c>
    </row>
    <row r="215" spans="31:32" x14ac:dyDescent="0.25">
      <c r="AE215" s="170">
        <v>2700</v>
      </c>
      <c r="AF215" s="170">
        <v>2711</v>
      </c>
    </row>
    <row r="216" spans="31:32" x14ac:dyDescent="0.25">
      <c r="AE216" s="170">
        <v>2701</v>
      </c>
      <c r="AF216" s="170">
        <v>2720</v>
      </c>
    </row>
    <row r="217" spans="31:32" x14ac:dyDescent="0.25">
      <c r="AE217" s="170">
        <v>2710</v>
      </c>
      <c r="AF217" s="170">
        <v>2740</v>
      </c>
    </row>
    <row r="218" spans="31:32" x14ac:dyDescent="0.25">
      <c r="AE218" s="170">
        <v>2711</v>
      </c>
      <c r="AF218" s="170">
        <v>2750</v>
      </c>
    </row>
    <row r="219" spans="31:32" x14ac:dyDescent="0.25">
      <c r="AE219" s="170">
        <v>2720</v>
      </c>
      <c r="AF219" s="170">
        <v>2755</v>
      </c>
    </row>
    <row r="220" spans="31:32" x14ac:dyDescent="0.25">
      <c r="AE220" s="170">
        <v>2740</v>
      </c>
      <c r="AF220" s="170">
        <v>2760</v>
      </c>
    </row>
    <row r="221" spans="31:32" x14ac:dyDescent="0.25">
      <c r="AE221" s="170">
        <v>2750</v>
      </c>
      <c r="AF221" s="170">
        <v>2770</v>
      </c>
    </row>
    <row r="222" spans="31:32" x14ac:dyDescent="0.25">
      <c r="AE222" s="170">
        <v>2755</v>
      </c>
      <c r="AF222" s="170">
        <v>2780</v>
      </c>
    </row>
    <row r="223" spans="31:32" x14ac:dyDescent="0.25">
      <c r="AE223" s="170">
        <v>2760</v>
      </c>
      <c r="AF223" s="170">
        <v>2785</v>
      </c>
    </row>
    <row r="224" spans="31:32" x14ac:dyDescent="0.25">
      <c r="AE224" s="170">
        <v>2770</v>
      </c>
      <c r="AF224" s="170">
        <v>2786</v>
      </c>
    </row>
    <row r="225" spans="31:32" x14ac:dyDescent="0.25">
      <c r="AE225" s="170">
        <v>2780</v>
      </c>
      <c r="AF225" s="170">
        <v>2800</v>
      </c>
    </row>
    <row r="226" spans="31:32" x14ac:dyDescent="0.25">
      <c r="AE226" s="170">
        <v>2785</v>
      </c>
      <c r="AF226" s="170">
        <v>2810</v>
      </c>
    </row>
    <row r="227" spans="31:32" x14ac:dyDescent="0.25">
      <c r="AE227" s="170">
        <v>2786</v>
      </c>
      <c r="AF227" s="502">
        <v>2870</v>
      </c>
    </row>
    <row r="228" spans="31:32" x14ac:dyDescent="0.25">
      <c r="AE228" s="170">
        <v>2800</v>
      </c>
      <c r="AF228" s="170">
        <v>2880</v>
      </c>
    </row>
    <row r="229" spans="31:32" x14ac:dyDescent="0.25">
      <c r="AE229" s="170">
        <v>2810</v>
      </c>
      <c r="AF229" s="170">
        <v>2890</v>
      </c>
    </row>
    <row r="230" spans="31:32" x14ac:dyDescent="0.25">
      <c r="AE230" s="502">
        <v>2870</v>
      </c>
      <c r="AF230" s="170">
        <v>2900</v>
      </c>
    </row>
    <row r="231" spans="31:32" x14ac:dyDescent="0.25">
      <c r="AE231" s="170">
        <v>2880</v>
      </c>
      <c r="AF231" s="638">
        <v>2940</v>
      </c>
    </row>
    <row r="232" spans="31:32" x14ac:dyDescent="0.25">
      <c r="AE232" s="170">
        <v>2890</v>
      </c>
      <c r="AF232" s="170">
        <v>2950</v>
      </c>
    </row>
    <row r="233" spans="31:32" x14ac:dyDescent="0.25">
      <c r="AE233" s="170">
        <v>2900</v>
      </c>
      <c r="AF233" s="170">
        <v>2960</v>
      </c>
    </row>
    <row r="234" spans="31:32" x14ac:dyDescent="0.25">
      <c r="AE234" s="638">
        <v>2940</v>
      </c>
      <c r="AF234" s="170">
        <v>2980</v>
      </c>
    </row>
    <row r="235" spans="31:32" x14ac:dyDescent="0.25">
      <c r="AE235" s="170">
        <v>2950</v>
      </c>
      <c r="AF235" s="170">
        <v>2990</v>
      </c>
    </row>
    <row r="236" spans="31:32" x14ac:dyDescent="0.25">
      <c r="AE236" s="170">
        <v>2960</v>
      </c>
    </row>
    <row r="237" spans="31:32" x14ac:dyDescent="0.25">
      <c r="AE237" s="170">
        <v>2980</v>
      </c>
    </row>
    <row r="238" spans="31:32" x14ac:dyDescent="0.25">
      <c r="AE238" s="170">
        <v>2990</v>
      </c>
    </row>
    <row r="244" spans="31:32" x14ac:dyDescent="0.25">
      <c r="AE244"/>
      <c r="AF244"/>
    </row>
  </sheetData>
  <sheetProtection algorithmName="SHA-512" hashValue="odHGFMMahJzAJbE5omtRiebGpISnfTLs1lxcv34pP3sGyDqsoC3Jo0wwnJIeLTgBPZr/nRbM301XDKsmzBaxAg==" saltValue="aPIiMV4SZdTh9dsArTjb5A==" spinCount="100000" sheet="1" autoFilter="0"/>
  <sortState xmlns:xlrd2="http://schemas.microsoft.com/office/spreadsheetml/2017/richdata2" ref="AF1:AF238">
    <sortCondition ref="AF1:AF238"/>
  </sortState>
  <dataConsolidate link="1"/>
  <mergeCells count="57">
    <mergeCell ref="L1:L3"/>
    <mergeCell ref="D7:G7"/>
    <mergeCell ref="B2:J2"/>
    <mergeCell ref="B1:J1"/>
    <mergeCell ref="B26:D26"/>
    <mergeCell ref="B20:D20"/>
    <mergeCell ref="B21:D21"/>
    <mergeCell ref="B22:D22"/>
    <mergeCell ref="B11:H11"/>
    <mergeCell ref="J13:K13"/>
    <mergeCell ref="B14:D14"/>
    <mergeCell ref="B15:D15"/>
    <mergeCell ref="H5:J6"/>
    <mergeCell ref="J67:K67"/>
    <mergeCell ref="B16:D16"/>
    <mergeCell ref="B17:D17"/>
    <mergeCell ref="B18:D18"/>
    <mergeCell ref="B19:D19"/>
    <mergeCell ref="B27:D27"/>
    <mergeCell ref="AH93:AK93"/>
    <mergeCell ref="AH84:AK84"/>
    <mergeCell ref="AH85:AK85"/>
    <mergeCell ref="AH86:AK86"/>
    <mergeCell ref="AH87:AK87"/>
    <mergeCell ref="AH88:AK88"/>
    <mergeCell ref="AH89:AK89"/>
    <mergeCell ref="AH90:AK90"/>
    <mergeCell ref="AH91:AK91"/>
    <mergeCell ref="AH92:AK92"/>
    <mergeCell ref="AH106:AK106"/>
    <mergeCell ref="AH94:AK94"/>
    <mergeCell ref="AH95:AK95"/>
    <mergeCell ref="AH96:AK96"/>
    <mergeCell ref="AH97:AK97"/>
    <mergeCell ref="AH98:AK98"/>
    <mergeCell ref="AH99:AK99"/>
    <mergeCell ref="AH100:AK100"/>
    <mergeCell ref="AH102:AK102"/>
    <mergeCell ref="AH103:AK103"/>
    <mergeCell ref="AH104:AK104"/>
    <mergeCell ref="AH105:AK105"/>
    <mergeCell ref="AH78:AK78"/>
    <mergeCell ref="AH83:AK83"/>
    <mergeCell ref="AH82:AK82"/>
    <mergeCell ref="B3:J3"/>
    <mergeCell ref="B23:D23"/>
    <mergeCell ref="B24:D24"/>
    <mergeCell ref="B25:D25"/>
    <mergeCell ref="B28:D28"/>
    <mergeCell ref="B29:D29"/>
    <mergeCell ref="B30:D30"/>
    <mergeCell ref="B31:D31"/>
    <mergeCell ref="D8:F8"/>
    <mergeCell ref="AH79:AK79"/>
    <mergeCell ref="AH80:AK80"/>
    <mergeCell ref="AH81:AK81"/>
    <mergeCell ref="B66:K66"/>
  </mergeCells>
  <conditionalFormatting sqref="L1:L4">
    <cfRule type="cellIs" dxfId="62" priority="1" stopIfTrue="1" operator="equal">
      <formula>"na"</formula>
    </cfRule>
  </conditionalFormatting>
  <dataValidations xWindow="190" yWindow="634" count="3">
    <dataValidation type="textLength" operator="equal" allowBlank="1" showInputMessage="1" showErrorMessage="1" errorTitle="Invalid data!" error="GASB number must be 4 digits." sqref="D9" xr:uid="{13376252-6E05-4534-8393-82DE2CE9D488}">
      <formula1>4</formula1>
    </dataValidation>
    <dataValidation type="list" allowBlank="1" showInputMessage="1" showErrorMessage="1" sqref="F32" xr:uid="{5DD3DD87-557B-425A-8128-78458864DF6A}">
      <formula1>$AL$1:$AL$21</formula1>
    </dataValidation>
    <dataValidation type="list" allowBlank="1" showInputMessage="1" showErrorMessage="1" sqref="B70:D79" xr:uid="{01F9416C-93CB-49BF-A1C8-E62A8355000A}">
      <formula1>$AK$1:$AK$66</formula1>
    </dataValidation>
  </dataValidations>
  <hyperlinks>
    <hyperlink ref="B1:J1" location="Index!A1" display="Index!A1" xr:uid="{BB59A69C-E6EC-4237-B61F-72F1803E93D8}"/>
  </hyperlinks>
  <pageMargins left="0.6" right="0.6" top="0.5" bottom="0.5" header="0.3" footer="0.3"/>
  <pageSetup scale="79" fitToHeight="0" orientation="landscape" r:id="rId1"/>
  <legacyDrawing r:id="rId2"/>
  <extLst>
    <ext xmlns:x14="http://schemas.microsoft.com/office/spreadsheetml/2009/9/main" uri="{CCE6A557-97BC-4b89-ADB6-D9C93CAAB3DF}">
      <x14:dataValidations xmlns:xm="http://schemas.microsoft.com/office/excel/2006/main" xWindow="190" yWindow="634" count="3">
        <x14:dataValidation type="list" allowBlank="1" showInputMessage="1" showErrorMessage="1" xr:uid="{30BCD772-5025-4EB7-89B7-763D57A86892}">
          <x14:formula1>
            <xm:f>Notes!$AS$3:$AS$22</xm:f>
          </x14:formula1>
          <xm:sqref>F70:F79</xm:sqref>
        </x14:dataValidation>
        <x14:dataValidation type="list" allowBlank="1" showInputMessage="1" showErrorMessage="1" xr:uid="{B51B4A92-E1DF-454E-9B3A-3EF32E14AC07}">
          <x14:formula1>
            <xm:f>Notes!$AS$3:$AS$25</xm:f>
          </x14:formula1>
          <xm:sqref>F16:F31</xm:sqref>
        </x14:dataValidation>
        <x14:dataValidation type="list" allowBlank="1" showInputMessage="1" showErrorMessage="1" prompt="If selection is not available, Type account reference number (WS905 column A) and account name (WS905 column B)" xr:uid="{99749BFD-89AB-46D6-A815-8BADC5EE10EB}">
          <x14:formula1>
            <xm:f>Notes!$AU$2:$AU$47</xm:f>
          </x14:formula1>
          <xm:sqref>B16:D31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P98"/>
  <sheetViews>
    <sheetView showGridLines="0" zoomScaleNormal="100" zoomScaleSheetLayoutView="100" workbookViewId="0">
      <selection activeCell="K11" sqref="K11"/>
    </sheetView>
  </sheetViews>
  <sheetFormatPr defaultRowHeight="12.75" x14ac:dyDescent="0.2"/>
  <cols>
    <col min="1" max="1" width="2" customWidth="1"/>
    <col min="2" max="2" width="1.42578125" customWidth="1"/>
    <col min="3" max="3" width="36.5703125" customWidth="1"/>
    <col min="4" max="4" width="10.5703125" customWidth="1"/>
    <col min="5" max="5" width="1.5703125" customWidth="1"/>
    <col min="6" max="6" width="1.42578125" customWidth="1"/>
    <col min="7" max="7" width="1.5703125" customWidth="1"/>
    <col min="8" max="8" width="1.42578125" customWidth="1"/>
    <col min="9" max="9" width="45.42578125" customWidth="1"/>
    <col min="10" max="10" width="10.5703125" customWidth="1"/>
    <col min="11" max="11" width="4.5703125" customWidth="1"/>
    <col min="12" max="12" width="1.5703125" customWidth="1"/>
    <col min="15" max="15" width="47" bestFit="1" customWidth="1"/>
  </cols>
  <sheetData>
    <row r="1" spans="1:16" s="64" customFormat="1" ht="15" customHeight="1" x14ac:dyDescent="0.25">
      <c r="B1" s="2553" t="str">
        <f>+Index!$A$1</f>
        <v xml:space="preserve">                                                               Office of the State Controller                                                                </v>
      </c>
      <c r="C1" s="2553"/>
      <c r="D1" s="2553"/>
      <c r="E1" s="2553"/>
      <c r="F1" s="2553"/>
      <c r="G1" s="2553"/>
      <c r="H1" s="2553"/>
      <c r="I1" s="2553"/>
      <c r="J1" s="2553"/>
      <c r="K1" s="2554" t="str">
        <f>IF(Index!$B$18="na","NA","")</f>
        <v/>
      </c>
      <c r="L1" s="65"/>
    </row>
    <row r="2" spans="1:16" s="64" customFormat="1" ht="15" customHeight="1" x14ac:dyDescent="0.25">
      <c r="B2" s="2555" t="str">
        <f>+Index!$A$2</f>
        <v>2024 ACFR Worksheets</v>
      </c>
      <c r="C2" s="2555"/>
      <c r="D2" s="2555"/>
      <c r="E2" s="2555"/>
      <c r="F2" s="2555"/>
      <c r="G2" s="2555"/>
      <c r="H2" s="2555"/>
      <c r="I2" s="2555"/>
      <c r="J2" s="2555"/>
      <c r="K2" s="2554"/>
      <c r="L2" s="65"/>
    </row>
    <row r="3" spans="1:16" s="64" customFormat="1" ht="15" customHeight="1" x14ac:dyDescent="0.25">
      <c r="B3" s="2555" t="s">
        <v>411</v>
      </c>
      <c r="C3" s="2555"/>
      <c r="D3" s="2555"/>
      <c r="E3" s="2555"/>
      <c r="F3" s="2555"/>
      <c r="G3" s="2555"/>
      <c r="H3" s="2555"/>
      <c r="I3" s="2555"/>
      <c r="J3" s="2555"/>
      <c r="K3" s="2554"/>
      <c r="L3" s="65"/>
    </row>
    <row r="4" spans="1:16" s="64" customFormat="1" ht="15" customHeight="1" x14ac:dyDescent="0.25">
      <c r="B4" s="2270"/>
      <c r="C4" s="2270"/>
      <c r="D4" s="2270"/>
      <c r="E4" s="2270"/>
      <c r="F4" s="2270"/>
      <c r="G4" s="2270"/>
      <c r="H4" s="2270"/>
      <c r="I4" s="2270"/>
      <c r="J4" s="2270"/>
      <c r="K4" s="2269"/>
      <c r="L4" s="65"/>
    </row>
    <row r="5" spans="1:16" s="78" customFormat="1" ht="15" customHeight="1" x14ac:dyDescent="0.2">
      <c r="A5" s="1515"/>
      <c r="B5" s="1516"/>
      <c r="C5" s="1517"/>
      <c r="D5" s="1516"/>
      <c r="E5" s="1518"/>
      <c r="F5" s="27"/>
      <c r="G5" s="1518" t="s">
        <v>318</v>
      </c>
      <c r="H5" s="1516"/>
      <c r="I5" s="1519" t="str">
        <f>AgyIdx</f>
        <v>01</v>
      </c>
      <c r="J5" s="79"/>
      <c r="K5" s="79"/>
      <c r="L5" s="1516"/>
      <c r="M5" s="27"/>
      <c r="N5" s="27"/>
      <c r="O5" s="27"/>
      <c r="P5" s="27"/>
    </row>
    <row r="6" spans="1:16" s="78" customFormat="1" ht="15" customHeight="1" x14ac:dyDescent="0.2">
      <c r="A6" s="27"/>
      <c r="B6" s="27"/>
      <c r="C6" s="27"/>
      <c r="D6" s="27"/>
      <c r="E6" s="1518"/>
      <c r="F6" s="27"/>
      <c r="G6" s="1518" t="s">
        <v>319</v>
      </c>
      <c r="H6" s="1517"/>
      <c r="I6" s="1519" t="str">
        <f>AgyName</f>
        <v>North Carolina General Assembly</v>
      </c>
      <c r="J6" s="1517"/>
      <c r="K6" s="27"/>
      <c r="L6" s="27"/>
      <c r="M6" s="27"/>
      <c r="N6" s="27"/>
      <c r="O6" s="27"/>
      <c r="P6" s="27"/>
    </row>
    <row r="7" spans="1:16" s="78" customFormat="1" ht="15" customHeight="1" x14ac:dyDescent="0.2">
      <c r="A7" s="27"/>
      <c r="B7" s="27"/>
      <c r="C7" s="1517"/>
      <c r="D7" s="27"/>
      <c r="E7" s="1518"/>
      <c r="F7" s="27"/>
      <c r="G7" s="1518" t="s">
        <v>320</v>
      </c>
      <c r="H7" s="1517"/>
      <c r="I7" s="1520" t="str">
        <f>CONCATENATE(Index!$E$12," ",Index!$E$14)</f>
        <v xml:space="preserve"> </v>
      </c>
      <c r="J7" s="1517"/>
      <c r="K7" s="27"/>
      <c r="L7" s="27"/>
      <c r="M7" s="27"/>
      <c r="N7" s="27"/>
      <c r="O7" s="27"/>
      <c r="P7" s="27"/>
    </row>
    <row r="8" spans="1:16" s="78" customFormat="1" ht="15" customHeight="1" x14ac:dyDescent="0.2">
      <c r="A8" s="27"/>
      <c r="B8" s="27"/>
      <c r="C8" s="1517"/>
      <c r="D8" s="27"/>
      <c r="E8" s="1518"/>
      <c r="F8" s="27"/>
      <c r="G8" s="1518" t="s">
        <v>168</v>
      </c>
      <c r="H8" s="1517"/>
      <c r="I8" s="1521">
        <f>+Index!$E$13</f>
        <v>0</v>
      </c>
      <c r="J8" s="1522"/>
      <c r="K8" s="1522"/>
      <c r="L8" s="1522"/>
      <c r="M8" s="27"/>
      <c r="N8" s="27"/>
      <c r="O8" s="27"/>
      <c r="P8" s="27"/>
    </row>
    <row r="9" spans="1:16" s="78" customFormat="1" ht="12" customHeight="1" thickBot="1" x14ac:dyDescent="0.25">
      <c r="A9" s="1523"/>
      <c r="B9" s="1523"/>
      <c r="C9" s="1523"/>
      <c r="D9" s="1523"/>
      <c r="E9" s="1523"/>
      <c r="F9" s="1523"/>
      <c r="G9" s="1523"/>
      <c r="H9" s="1523"/>
      <c r="I9" s="1523"/>
      <c r="J9" s="1523"/>
      <c r="K9" s="27"/>
      <c r="L9" s="27"/>
      <c r="M9" s="27"/>
      <c r="N9" s="27"/>
      <c r="O9" s="27"/>
      <c r="P9" s="27"/>
    </row>
    <row r="10" spans="1:16" s="64" customFormat="1" ht="15" customHeight="1" x14ac:dyDescent="0.25">
      <c r="A10" s="272" t="s">
        <v>412</v>
      </c>
      <c r="B10" s="2270"/>
      <c r="C10" s="2270"/>
      <c r="D10" s="2270"/>
      <c r="E10" s="2270"/>
      <c r="F10" s="2270"/>
      <c r="G10" s="2270"/>
      <c r="H10" s="2270"/>
      <c r="I10" s="2270"/>
      <c r="J10" s="2270"/>
      <c r="K10" s="2269"/>
      <c r="L10" s="65"/>
      <c r="M10" s="397"/>
    </row>
    <row r="11" spans="1:16" s="64" customFormat="1" ht="15" customHeight="1" x14ac:dyDescent="0.25">
      <c r="A11" s="799" t="s">
        <v>413</v>
      </c>
      <c r="B11" s="2270"/>
      <c r="C11" s="2270"/>
      <c r="D11" s="2270"/>
      <c r="E11" s="2270"/>
      <c r="F11" s="2270"/>
      <c r="G11" s="2270"/>
      <c r="H11" s="2270"/>
      <c r="I11" s="2270"/>
      <c r="J11" s="2270"/>
      <c r="K11" s="2269"/>
      <c r="L11" s="65"/>
      <c r="M11"/>
    </row>
    <row r="12" spans="1:16" s="64" customFormat="1" ht="15" customHeight="1" x14ac:dyDescent="0.25">
      <c r="A12" s="799" t="s">
        <v>414</v>
      </c>
      <c r="B12" s="2270"/>
      <c r="C12" s="2270"/>
      <c r="D12" s="2270"/>
      <c r="E12" s="2270"/>
      <c r="F12" s="2270"/>
      <c r="G12" s="2270"/>
      <c r="H12" s="2270"/>
      <c r="I12" s="2270"/>
      <c r="J12" s="2270"/>
      <c r="K12" s="2269"/>
      <c r="L12" s="65"/>
      <c r="M12"/>
    </row>
    <row r="13" spans="1:16" x14ac:dyDescent="0.2">
      <c r="A13" s="170"/>
      <c r="B13" s="170"/>
      <c r="C13" s="170"/>
      <c r="D13" s="171"/>
      <c r="E13" s="170"/>
      <c r="F13" s="170"/>
      <c r="G13" s="170"/>
      <c r="H13" s="170"/>
      <c r="I13" s="170"/>
      <c r="J13" s="170"/>
      <c r="M13" s="397"/>
    </row>
    <row r="14" spans="1:16" x14ac:dyDescent="0.2">
      <c r="A14" s="189" t="s">
        <v>415</v>
      </c>
      <c r="B14" s="170"/>
      <c r="C14" s="170"/>
      <c r="D14" s="170"/>
      <c r="E14" s="170"/>
      <c r="F14" s="189" t="s">
        <v>416</v>
      </c>
      <c r="G14" s="170"/>
      <c r="H14" s="170"/>
      <c r="I14" s="170"/>
      <c r="J14" s="170"/>
      <c r="M14" s="397"/>
    </row>
    <row r="15" spans="1:16" x14ac:dyDescent="0.2">
      <c r="A15" s="170"/>
      <c r="B15" s="213" t="s">
        <v>417</v>
      </c>
      <c r="C15" s="170"/>
      <c r="D15" s="170"/>
      <c r="E15" s="170"/>
      <c r="F15" s="170"/>
      <c r="G15" s="213" t="s">
        <v>418</v>
      </c>
      <c r="H15" s="170"/>
      <c r="I15" s="170"/>
      <c r="J15" s="170"/>
      <c r="M15" s="397"/>
    </row>
    <row r="16" spans="1:16" x14ac:dyDescent="0.2">
      <c r="A16" s="170"/>
      <c r="B16" s="213"/>
      <c r="C16" s="170" t="s">
        <v>419</v>
      </c>
      <c r="D16" s="1524"/>
      <c r="E16" s="170"/>
      <c r="F16" s="170"/>
      <c r="G16" s="213"/>
      <c r="H16" s="170" t="s">
        <v>420</v>
      </c>
      <c r="I16" s="170"/>
      <c r="J16" s="1524"/>
      <c r="M16" s="397"/>
      <c r="O16" s="1299" t="s">
        <v>419</v>
      </c>
      <c r="P16" s="1299" t="s">
        <v>421</v>
      </c>
    </row>
    <row r="17" spans="1:16" x14ac:dyDescent="0.2">
      <c r="A17" s="170"/>
      <c r="B17" s="170"/>
      <c r="C17" s="170" t="s">
        <v>422</v>
      </c>
      <c r="D17" s="1524"/>
      <c r="E17" s="170"/>
      <c r="F17" s="170"/>
      <c r="G17" s="213"/>
      <c r="H17" s="170" t="s">
        <v>423</v>
      </c>
      <c r="I17" s="170"/>
      <c r="J17" s="1525"/>
      <c r="M17" s="397"/>
      <c r="O17" s="1299" t="s">
        <v>422</v>
      </c>
      <c r="P17" s="1299" t="s">
        <v>423</v>
      </c>
    </row>
    <row r="18" spans="1:16" x14ac:dyDescent="0.2">
      <c r="A18" s="170"/>
      <c r="B18" s="170"/>
      <c r="C18" s="170" t="s">
        <v>424</v>
      </c>
      <c r="D18" s="1524"/>
      <c r="E18" s="170"/>
      <c r="F18" s="170"/>
      <c r="G18" s="170"/>
      <c r="H18" s="170"/>
      <c r="I18" s="170"/>
      <c r="J18" s="170"/>
      <c r="M18" s="397"/>
      <c r="O18" s="1299" t="s">
        <v>424</v>
      </c>
      <c r="P18" s="1299"/>
    </row>
    <row r="19" spans="1:16" x14ac:dyDescent="0.2">
      <c r="A19" s="170"/>
      <c r="B19" s="170"/>
      <c r="C19" s="170" t="s">
        <v>425</v>
      </c>
      <c r="D19" s="1524"/>
      <c r="E19" s="170"/>
      <c r="F19" s="189" t="s">
        <v>426</v>
      </c>
      <c r="G19" s="170"/>
      <c r="H19" s="170"/>
      <c r="I19" s="170"/>
      <c r="J19" s="170"/>
      <c r="M19" s="397"/>
      <c r="O19" s="1299" t="s">
        <v>425</v>
      </c>
      <c r="P19" s="1299"/>
    </row>
    <row r="20" spans="1:16" x14ac:dyDescent="0.2">
      <c r="A20" s="170"/>
      <c r="B20" s="170"/>
      <c r="C20" s="170" t="s">
        <v>427</v>
      </c>
      <c r="D20" s="1524"/>
      <c r="E20" s="170"/>
      <c r="F20" s="189"/>
      <c r="G20" s="213" t="s">
        <v>428</v>
      </c>
      <c r="H20" s="170"/>
      <c r="I20" s="170"/>
      <c r="J20" s="170"/>
      <c r="M20" s="397"/>
      <c r="O20" s="1299" t="s">
        <v>427</v>
      </c>
      <c r="P20" s="1299"/>
    </row>
    <row r="21" spans="1:16" x14ac:dyDescent="0.2">
      <c r="A21" s="170"/>
      <c r="B21" s="170"/>
      <c r="C21" s="170" t="s">
        <v>429</v>
      </c>
      <c r="D21" s="1524"/>
      <c r="E21" s="1526"/>
      <c r="F21" s="170"/>
      <c r="G21" s="170"/>
      <c r="H21" s="170" t="s">
        <v>430</v>
      </c>
      <c r="I21" s="170"/>
      <c r="J21" s="1527"/>
      <c r="M21" s="397"/>
      <c r="O21" s="1299" t="s">
        <v>429</v>
      </c>
      <c r="P21" s="1299" t="s">
        <v>430</v>
      </c>
    </row>
    <row r="22" spans="1:16" x14ac:dyDescent="0.2">
      <c r="A22" s="170"/>
      <c r="B22" s="170"/>
      <c r="C22" s="170"/>
      <c r="D22" s="170"/>
      <c r="E22" s="170"/>
      <c r="M22" s="397"/>
      <c r="O22" s="1299"/>
      <c r="P22" s="1299"/>
    </row>
    <row r="23" spans="1:16" x14ac:dyDescent="0.2">
      <c r="A23" s="170"/>
      <c r="B23" s="213" t="s">
        <v>431</v>
      </c>
      <c r="C23" s="170"/>
      <c r="D23" s="170"/>
      <c r="E23" s="170"/>
      <c r="G23" s="213" t="s">
        <v>432</v>
      </c>
      <c r="M23" s="397"/>
      <c r="O23" s="1299"/>
      <c r="P23" s="1299"/>
    </row>
    <row r="24" spans="1:16" x14ac:dyDescent="0.2">
      <c r="A24" s="170"/>
      <c r="B24" s="170"/>
      <c r="C24" s="170" t="s">
        <v>433</v>
      </c>
      <c r="D24" s="320"/>
      <c r="E24" s="1526"/>
      <c r="H24" s="170" t="s">
        <v>434</v>
      </c>
      <c r="I24" s="170"/>
      <c r="J24" s="1524"/>
      <c r="M24" s="397"/>
      <c r="O24" s="1299" t="s">
        <v>433</v>
      </c>
      <c r="P24" s="1299" t="s">
        <v>434</v>
      </c>
    </row>
    <row r="25" spans="1:16" x14ac:dyDescent="0.2">
      <c r="A25" s="170"/>
      <c r="B25" s="170"/>
      <c r="C25" s="170" t="s">
        <v>435</v>
      </c>
      <c r="D25" s="1524"/>
      <c r="E25" s="170"/>
      <c r="F25" s="170"/>
      <c r="G25" s="170"/>
      <c r="H25" s="170" t="s">
        <v>436</v>
      </c>
      <c r="I25" s="170"/>
      <c r="J25" s="1524"/>
      <c r="M25" s="397"/>
      <c r="O25" s="1299" t="s">
        <v>437</v>
      </c>
      <c r="P25" s="1299" t="s">
        <v>436</v>
      </c>
    </row>
    <row r="26" spans="1:16" x14ac:dyDescent="0.2">
      <c r="A26" s="170"/>
      <c r="B26" s="170"/>
      <c r="C26" s="170"/>
      <c r="D26" s="170"/>
      <c r="E26" s="170"/>
      <c r="H26" s="170" t="s">
        <v>438</v>
      </c>
      <c r="I26" s="170"/>
      <c r="J26" s="1524"/>
      <c r="M26" s="397"/>
      <c r="O26" s="1299"/>
      <c r="P26" s="1299" t="s">
        <v>438</v>
      </c>
    </row>
    <row r="27" spans="1:16" x14ac:dyDescent="0.2">
      <c r="A27" s="170"/>
      <c r="B27" s="213" t="s">
        <v>439</v>
      </c>
      <c r="C27" s="170"/>
      <c r="D27" s="170"/>
      <c r="E27" s="170"/>
      <c r="F27" s="170"/>
      <c r="G27" s="170"/>
      <c r="H27" s="170" t="s">
        <v>440</v>
      </c>
      <c r="I27" s="170"/>
      <c r="J27" s="1524"/>
      <c r="M27" s="397"/>
      <c r="O27" s="1299"/>
      <c r="P27" s="1299" t="s">
        <v>440</v>
      </c>
    </row>
    <row r="28" spans="1:16" x14ac:dyDescent="0.2">
      <c r="A28" s="170"/>
      <c r="B28" s="170"/>
      <c r="C28" s="170" t="s">
        <v>441</v>
      </c>
      <c r="D28" s="1524"/>
      <c r="E28" s="170"/>
      <c r="F28" s="170"/>
      <c r="G28" s="170"/>
      <c r="H28" s="170"/>
      <c r="I28" s="170"/>
      <c r="J28" s="170"/>
      <c r="M28" s="397"/>
      <c r="O28" s="1299" t="s">
        <v>441</v>
      </c>
      <c r="P28" s="1299"/>
    </row>
    <row r="29" spans="1:16" x14ac:dyDescent="0.2">
      <c r="A29" s="170"/>
      <c r="B29" s="170"/>
      <c r="C29" s="170"/>
      <c r="D29" s="170"/>
      <c r="E29" s="170"/>
      <c r="F29" s="170"/>
      <c r="G29" s="213" t="s">
        <v>442</v>
      </c>
      <c r="H29" s="170"/>
      <c r="I29" s="170"/>
      <c r="J29" s="170"/>
      <c r="M29" s="397"/>
      <c r="O29" s="1299"/>
      <c r="P29" s="1299"/>
    </row>
    <row r="30" spans="1:16" x14ac:dyDescent="0.2">
      <c r="A30" s="189" t="s">
        <v>443</v>
      </c>
      <c r="B30" s="170"/>
      <c r="C30" s="170"/>
      <c r="D30" s="170"/>
      <c r="E30" s="170"/>
      <c r="F30" s="170"/>
      <c r="G30" s="213"/>
      <c r="H30" s="170" t="s">
        <v>444</v>
      </c>
      <c r="I30" s="170"/>
      <c r="J30" s="1524"/>
      <c r="M30" s="397"/>
      <c r="O30" s="1299"/>
      <c r="P30" s="1299" t="s">
        <v>444</v>
      </c>
    </row>
    <row r="31" spans="1:16" x14ac:dyDescent="0.2">
      <c r="A31" s="170"/>
      <c r="B31" s="213" t="s">
        <v>445</v>
      </c>
      <c r="C31" s="170"/>
      <c r="D31" s="170"/>
      <c r="E31" s="1526"/>
      <c r="F31" s="170"/>
      <c r="G31" s="213"/>
      <c r="H31" s="170" t="s">
        <v>446</v>
      </c>
      <c r="I31" s="170"/>
      <c r="J31" s="1524"/>
      <c r="M31" s="397"/>
      <c r="O31" s="1299"/>
      <c r="P31" s="1299" t="s">
        <v>446</v>
      </c>
    </row>
    <row r="32" spans="1:16" x14ac:dyDescent="0.2">
      <c r="A32" s="170"/>
      <c r="B32" s="170"/>
      <c r="C32" s="170" t="s">
        <v>447</v>
      </c>
      <c r="D32" s="1524"/>
      <c r="E32" s="170"/>
      <c r="F32" s="170"/>
      <c r="G32" s="213"/>
      <c r="H32" s="170" t="s">
        <v>448</v>
      </c>
      <c r="I32" s="170"/>
      <c r="J32" s="1524"/>
      <c r="M32" s="397"/>
      <c r="O32" s="1299" t="s">
        <v>449</v>
      </c>
      <c r="P32" s="1299" t="s">
        <v>450</v>
      </c>
    </row>
    <row r="33" spans="1:16" x14ac:dyDescent="0.2">
      <c r="A33" s="170"/>
      <c r="B33" s="170"/>
      <c r="C33" s="170" t="s">
        <v>451</v>
      </c>
      <c r="D33" s="1524"/>
      <c r="E33" s="170"/>
      <c r="F33" s="170"/>
      <c r="G33" s="213"/>
      <c r="H33" s="170" t="s">
        <v>452</v>
      </c>
      <c r="I33" s="170"/>
      <c r="J33" s="1524"/>
      <c r="M33" s="397"/>
      <c r="O33" s="1299" t="s">
        <v>451</v>
      </c>
      <c r="P33" s="1299" t="s">
        <v>452</v>
      </c>
    </row>
    <row r="34" spans="1:16" x14ac:dyDescent="0.2">
      <c r="A34" s="170"/>
      <c r="B34" s="170"/>
      <c r="C34" s="170" t="s">
        <v>453</v>
      </c>
      <c r="D34" s="1525"/>
      <c r="E34" s="170"/>
      <c r="F34" s="170"/>
      <c r="G34" s="170"/>
      <c r="H34" s="170"/>
      <c r="I34" s="170"/>
      <c r="J34" s="170"/>
      <c r="M34" s="399"/>
      <c r="O34" s="1299" t="s">
        <v>453</v>
      </c>
      <c r="P34" s="1299"/>
    </row>
    <row r="35" spans="1:16" x14ac:dyDescent="0.2">
      <c r="A35" s="170"/>
      <c r="B35" s="170"/>
      <c r="C35" s="170"/>
      <c r="D35" s="1528"/>
      <c r="E35" s="170"/>
      <c r="F35" s="189" t="s">
        <v>454</v>
      </c>
      <c r="G35" s="170"/>
      <c r="H35" s="170"/>
      <c r="I35" s="170"/>
      <c r="J35" s="170"/>
      <c r="M35" s="397"/>
      <c r="O35" s="1299"/>
      <c r="P35" s="1299"/>
    </row>
    <row r="36" spans="1:16" x14ac:dyDescent="0.2">
      <c r="A36" s="189" t="s">
        <v>455</v>
      </c>
      <c r="B36" s="170"/>
      <c r="C36" s="170"/>
      <c r="D36" s="170"/>
      <c r="E36" s="1526"/>
      <c r="F36" s="170"/>
      <c r="G36" s="213" t="s">
        <v>456</v>
      </c>
      <c r="H36" s="170"/>
      <c r="I36" s="170"/>
      <c r="J36" s="170"/>
      <c r="M36" s="397"/>
      <c r="O36" s="1299"/>
      <c r="P36" s="1299"/>
    </row>
    <row r="37" spans="1:16" x14ac:dyDescent="0.2">
      <c r="A37" s="170"/>
      <c r="B37" s="213" t="s">
        <v>457</v>
      </c>
      <c r="C37" s="170"/>
      <c r="D37" s="170"/>
      <c r="E37" s="1526"/>
      <c r="F37" s="170"/>
      <c r="G37" s="170"/>
      <c r="H37" s="170" t="s">
        <v>458</v>
      </c>
      <c r="I37" s="170"/>
      <c r="J37" s="1921"/>
      <c r="M37" s="397"/>
      <c r="O37" s="1299"/>
      <c r="P37" s="1299" t="s">
        <v>458</v>
      </c>
    </row>
    <row r="38" spans="1:16" x14ac:dyDescent="0.2">
      <c r="A38" s="170"/>
      <c r="B38" s="170"/>
      <c r="C38" s="170" t="s">
        <v>459</v>
      </c>
      <c r="D38" s="1524"/>
      <c r="E38" s="170"/>
      <c r="F38" s="170"/>
      <c r="G38" s="170"/>
      <c r="H38" s="170" t="s">
        <v>460</v>
      </c>
      <c r="I38" s="170"/>
      <c r="J38" s="1922"/>
      <c r="M38" s="397"/>
      <c r="O38" s="1299" t="s">
        <v>461</v>
      </c>
      <c r="P38" s="1299" t="s">
        <v>460</v>
      </c>
    </row>
    <row r="39" spans="1:16" x14ac:dyDescent="0.2">
      <c r="A39" s="170"/>
      <c r="B39" s="170"/>
      <c r="C39" s="170" t="s">
        <v>462</v>
      </c>
      <c r="D39" s="1524"/>
      <c r="E39" s="170"/>
      <c r="F39" s="170"/>
      <c r="G39" s="213" t="s">
        <v>463</v>
      </c>
      <c r="J39" s="170"/>
      <c r="O39" s="1299" t="s">
        <v>464</v>
      </c>
    </row>
    <row r="40" spans="1:16" x14ac:dyDescent="0.2">
      <c r="A40" s="170"/>
      <c r="B40" s="170"/>
      <c r="C40" s="170"/>
      <c r="D40" s="170"/>
      <c r="E40" s="1526"/>
      <c r="F40" s="170"/>
      <c r="H40" s="170" t="s">
        <v>465</v>
      </c>
      <c r="I40" s="170"/>
      <c r="J40" s="320"/>
      <c r="M40" s="397"/>
      <c r="P40" s="1299" t="s">
        <v>465</v>
      </c>
    </row>
    <row r="41" spans="1:16" x14ac:dyDescent="0.2">
      <c r="A41" s="170"/>
      <c r="B41" s="213" t="s">
        <v>466</v>
      </c>
      <c r="C41" s="170"/>
      <c r="D41" s="170"/>
      <c r="E41" s="1526"/>
      <c r="F41" s="170"/>
    </row>
    <row r="42" spans="1:16" x14ac:dyDescent="0.2">
      <c r="A42" s="170"/>
      <c r="B42" s="213"/>
      <c r="C42" s="170" t="s">
        <v>467</v>
      </c>
      <c r="D42" s="1524"/>
      <c r="E42" s="170"/>
      <c r="F42" s="170"/>
      <c r="G42" s="213" t="s">
        <v>468</v>
      </c>
      <c r="H42" s="170"/>
      <c r="I42" s="170"/>
      <c r="J42" s="170"/>
      <c r="M42" s="397"/>
      <c r="O42" s="1299"/>
      <c r="P42" s="1299"/>
    </row>
    <row r="43" spans="1:16" x14ac:dyDescent="0.2">
      <c r="A43" s="170"/>
      <c r="B43" s="170"/>
      <c r="C43" s="170" t="s">
        <v>462</v>
      </c>
      <c r="D43" s="1524"/>
      <c r="E43" s="170"/>
      <c r="F43" s="170"/>
      <c r="G43" s="170"/>
      <c r="H43" s="170" t="s">
        <v>469</v>
      </c>
      <c r="I43" s="170"/>
      <c r="J43" s="1529"/>
      <c r="M43" s="397"/>
      <c r="O43" s="1299" t="s">
        <v>470</v>
      </c>
      <c r="P43" s="1299" t="s">
        <v>471</v>
      </c>
    </row>
    <row r="44" spans="1:16" x14ac:dyDescent="0.2">
      <c r="A44" s="170"/>
      <c r="B44" s="170"/>
      <c r="C44" s="170"/>
      <c r="D44" s="1526"/>
      <c r="E44" s="170"/>
      <c r="G44" s="170"/>
      <c r="H44" s="170" t="s">
        <v>472</v>
      </c>
      <c r="I44" s="170"/>
      <c r="J44" s="1525"/>
      <c r="M44" s="397"/>
      <c r="O44" s="1299" t="s">
        <v>473</v>
      </c>
      <c r="P44" s="1299" t="s">
        <v>474</v>
      </c>
    </row>
    <row r="45" spans="1:16" x14ac:dyDescent="0.2">
      <c r="A45" s="189" t="s">
        <v>475</v>
      </c>
      <c r="B45" s="170"/>
      <c r="C45" s="170"/>
      <c r="D45" s="170"/>
      <c r="E45" s="1526"/>
      <c r="F45" s="189"/>
      <c r="G45" s="170"/>
      <c r="H45" s="170"/>
      <c r="I45" s="170"/>
      <c r="J45" s="170"/>
      <c r="M45" s="397"/>
      <c r="O45" s="1299"/>
      <c r="P45" s="1299"/>
    </row>
    <row r="46" spans="1:16" x14ac:dyDescent="0.2">
      <c r="A46" s="170"/>
      <c r="B46" s="213" t="s">
        <v>476</v>
      </c>
      <c r="C46" s="170"/>
      <c r="D46" s="170"/>
      <c r="E46" s="170"/>
      <c r="F46" s="189" t="s">
        <v>477</v>
      </c>
      <c r="G46" s="170"/>
      <c r="H46" s="170"/>
      <c r="I46" s="170"/>
      <c r="J46" s="170"/>
      <c r="M46" s="397"/>
      <c r="O46" s="1299"/>
      <c r="P46" s="1299"/>
    </row>
    <row r="47" spans="1:16" x14ac:dyDescent="0.2">
      <c r="A47" s="170"/>
      <c r="B47" s="213"/>
      <c r="C47" s="170" t="s">
        <v>478</v>
      </c>
      <c r="D47" s="1524"/>
      <c r="E47" s="1526"/>
      <c r="F47" s="170"/>
      <c r="G47" s="213" t="s">
        <v>479</v>
      </c>
      <c r="H47" s="170"/>
      <c r="I47" s="170"/>
      <c r="J47" s="170"/>
      <c r="M47" s="397"/>
      <c r="O47" s="1299"/>
      <c r="P47" s="1299"/>
    </row>
    <row r="48" spans="1:16" x14ac:dyDescent="0.2">
      <c r="A48" s="170"/>
      <c r="B48" s="213"/>
      <c r="C48" s="170" t="s">
        <v>480</v>
      </c>
      <c r="D48" s="1524"/>
      <c r="E48" s="170"/>
      <c r="F48" s="170"/>
      <c r="G48" s="213"/>
      <c r="H48" s="170" t="s">
        <v>481</v>
      </c>
      <c r="I48" s="170"/>
      <c r="J48" s="1524"/>
      <c r="M48" s="397"/>
      <c r="O48" s="1299" t="s">
        <v>478</v>
      </c>
      <c r="P48" s="1299" t="s">
        <v>481</v>
      </c>
    </row>
    <row r="49" spans="1:16" x14ac:dyDescent="0.2">
      <c r="A49" s="170"/>
      <c r="B49" s="170"/>
      <c r="C49" s="170" t="s">
        <v>482</v>
      </c>
      <c r="D49" s="1524"/>
      <c r="E49" s="1526"/>
      <c r="F49" s="170"/>
      <c r="G49" s="170"/>
      <c r="H49" s="170"/>
      <c r="I49" s="170" t="s">
        <v>483</v>
      </c>
      <c r="J49" s="1525"/>
      <c r="M49" s="397"/>
      <c r="O49" s="1299" t="s">
        <v>480</v>
      </c>
      <c r="P49" s="1299" t="s">
        <v>484</v>
      </c>
    </row>
    <row r="50" spans="1:16" x14ac:dyDescent="0.2">
      <c r="A50" s="170"/>
      <c r="B50" s="170"/>
      <c r="C50" s="170" t="s">
        <v>485</v>
      </c>
      <c r="D50" s="1524"/>
      <c r="E50" s="170"/>
      <c r="G50" s="170"/>
      <c r="H50" s="170" t="s">
        <v>486</v>
      </c>
      <c r="I50" s="170"/>
      <c r="J50" s="1524"/>
      <c r="M50" s="397"/>
      <c r="O50" s="1299" t="s">
        <v>482</v>
      </c>
      <c r="P50" s="1299" t="s">
        <v>486</v>
      </c>
    </row>
    <row r="51" spans="1:16" x14ac:dyDescent="0.2">
      <c r="A51" s="170"/>
      <c r="B51" s="170"/>
      <c r="C51" s="170" t="s">
        <v>487</v>
      </c>
      <c r="D51" s="1524"/>
      <c r="E51" s="170"/>
      <c r="G51" s="170"/>
      <c r="H51" s="170"/>
      <c r="I51" s="170" t="s">
        <v>483</v>
      </c>
      <c r="J51" s="1525"/>
      <c r="M51" s="397"/>
      <c r="O51" s="1299" t="s">
        <v>485</v>
      </c>
      <c r="P51" s="1454" t="s">
        <v>488</v>
      </c>
    </row>
    <row r="52" spans="1:16" x14ac:dyDescent="0.2">
      <c r="A52" s="170"/>
      <c r="B52" s="170"/>
      <c r="C52" s="170" t="s">
        <v>489</v>
      </c>
      <c r="D52" s="1524"/>
      <c r="E52" s="170"/>
      <c r="M52" s="397"/>
      <c r="O52" s="1299" t="s">
        <v>487</v>
      </c>
      <c r="P52" s="1299"/>
    </row>
    <row r="53" spans="1:16" x14ac:dyDescent="0.2">
      <c r="A53" s="170"/>
      <c r="B53" s="170"/>
      <c r="C53" s="170" t="s">
        <v>490</v>
      </c>
      <c r="D53" s="1524"/>
      <c r="E53" s="170"/>
      <c r="M53" s="397"/>
      <c r="O53" s="1299" t="s">
        <v>489</v>
      </c>
      <c r="P53" s="1299"/>
    </row>
    <row r="54" spans="1:16" x14ac:dyDescent="0.2">
      <c r="A54" s="170"/>
      <c r="B54" s="170"/>
      <c r="C54" s="170" t="s">
        <v>491</v>
      </c>
      <c r="D54" s="1524"/>
      <c r="E54" s="1526"/>
      <c r="M54" s="397"/>
      <c r="O54" s="1299" t="s">
        <v>490</v>
      </c>
      <c r="P54" s="1299"/>
    </row>
    <row r="55" spans="1:16" x14ac:dyDescent="0.2">
      <c r="A55" s="170"/>
      <c r="B55" s="170"/>
      <c r="C55" s="170" t="s">
        <v>492</v>
      </c>
      <c r="D55" s="1524"/>
      <c r="E55" s="1526"/>
      <c r="M55" s="397"/>
      <c r="O55" s="1299" t="s">
        <v>491</v>
      </c>
      <c r="P55" s="1299"/>
    </row>
    <row r="56" spans="1:16" x14ac:dyDescent="0.2">
      <c r="A56" s="170"/>
      <c r="B56" s="170"/>
      <c r="C56" s="170" t="s">
        <v>493</v>
      </c>
      <c r="D56" s="1524"/>
      <c r="E56" s="1526"/>
      <c r="M56" s="397"/>
      <c r="O56" s="1299" t="s">
        <v>494</v>
      </c>
      <c r="P56" s="1299"/>
    </row>
    <row r="57" spans="1:16" x14ac:dyDescent="0.2">
      <c r="E57" s="170"/>
      <c r="M57" s="397"/>
      <c r="O57" s="1299" t="s">
        <v>493</v>
      </c>
      <c r="P57" s="1299"/>
    </row>
    <row r="58" spans="1:16" x14ac:dyDescent="0.2">
      <c r="E58" s="170"/>
    </row>
    <row r="59" spans="1:16" x14ac:dyDescent="0.2">
      <c r="B59" s="138" t="s">
        <v>495</v>
      </c>
      <c r="C59" s="170"/>
      <c r="D59" s="170"/>
    </row>
    <row r="60" spans="1:16" x14ac:dyDescent="0.2">
      <c r="A60" s="170"/>
      <c r="M60" s="397"/>
    </row>
    <row r="61" spans="1:16" x14ac:dyDescent="0.2">
      <c r="A61" s="170"/>
      <c r="B61" s="2332"/>
      <c r="C61" s="2332"/>
      <c r="D61" s="2332"/>
      <c r="E61" s="2332"/>
      <c r="F61" s="2332"/>
      <c r="G61" s="2332"/>
      <c r="H61" s="2332"/>
      <c r="I61" s="2332"/>
      <c r="J61" s="2332"/>
      <c r="M61" s="397"/>
    </row>
    <row r="62" spans="1:16" x14ac:dyDescent="0.2">
      <c r="A62" s="170"/>
      <c r="B62" s="2318"/>
      <c r="C62" s="2318"/>
      <c r="D62" s="2318"/>
      <c r="E62" s="2318"/>
      <c r="F62" s="2318"/>
      <c r="G62" s="2318"/>
      <c r="H62" s="2318"/>
      <c r="I62" s="2318"/>
      <c r="J62" s="2318"/>
      <c r="M62" s="397"/>
    </row>
    <row r="63" spans="1:16" x14ac:dyDescent="0.2">
      <c r="A63" s="170"/>
      <c r="B63" s="2318"/>
      <c r="C63" s="2318"/>
      <c r="D63" s="2318"/>
      <c r="E63" s="2318"/>
      <c r="F63" s="2318"/>
      <c r="G63" s="2318"/>
      <c r="H63" s="2318"/>
      <c r="I63" s="2318"/>
      <c r="J63" s="2318"/>
      <c r="M63" s="397"/>
    </row>
    <row r="64" spans="1:16" x14ac:dyDescent="0.2">
      <c r="A64" s="170"/>
      <c r="B64" s="2332"/>
      <c r="C64" s="2332"/>
      <c r="D64" s="2332"/>
      <c r="E64" s="2332"/>
      <c r="F64" s="2318"/>
      <c r="G64" s="2318"/>
      <c r="H64" s="2318"/>
      <c r="I64" s="2318"/>
      <c r="J64" s="2318"/>
      <c r="M64" s="397"/>
    </row>
    <row r="65" spans="2:13" x14ac:dyDescent="0.2">
      <c r="B65" s="2318"/>
      <c r="C65" s="2318"/>
      <c r="D65" s="2318"/>
      <c r="E65" s="2318"/>
      <c r="F65" s="2318"/>
      <c r="G65" s="2318"/>
      <c r="H65" s="2318"/>
      <c r="I65" s="2318"/>
      <c r="J65" s="2318"/>
      <c r="M65" s="399"/>
    </row>
    <row r="66" spans="2:13" x14ac:dyDescent="0.2">
      <c r="B66" s="2318"/>
      <c r="C66" s="2318"/>
      <c r="D66" s="2318"/>
      <c r="E66" s="2318"/>
      <c r="F66" s="2318"/>
      <c r="G66" s="2318"/>
      <c r="H66" s="2318"/>
      <c r="I66" s="2318"/>
      <c r="J66" s="2318"/>
      <c r="M66" s="397"/>
    </row>
    <row r="67" spans="2:13" x14ac:dyDescent="0.2">
      <c r="B67" s="2318"/>
      <c r="C67" s="2318"/>
      <c r="D67" s="2318"/>
      <c r="E67" s="2318"/>
      <c r="F67" s="2318"/>
      <c r="G67" s="2318"/>
      <c r="H67" s="2318"/>
      <c r="I67" s="2318"/>
      <c r="J67" s="2318"/>
      <c r="M67" s="397"/>
    </row>
    <row r="68" spans="2:13" x14ac:dyDescent="0.2">
      <c r="B68" s="2318"/>
      <c r="C68" s="2318"/>
      <c r="D68" s="2318"/>
      <c r="E68" s="2318"/>
      <c r="F68" s="2318"/>
      <c r="G68" s="2318"/>
      <c r="H68" s="2318"/>
      <c r="I68" s="2318"/>
      <c r="J68" s="2318"/>
      <c r="M68" s="397"/>
    </row>
    <row r="69" spans="2:13" x14ac:dyDescent="0.2">
      <c r="B69" s="1218"/>
      <c r="C69" s="1218"/>
      <c r="D69" s="1218"/>
      <c r="E69" s="1218"/>
      <c r="M69" s="397"/>
    </row>
    <row r="70" spans="2:13" x14ac:dyDescent="0.2">
      <c r="B70" s="2398"/>
      <c r="C70" s="2398"/>
      <c r="D70" s="2398"/>
      <c r="E70" s="2398"/>
      <c r="M70" s="397"/>
    </row>
    <row r="71" spans="2:13" x14ac:dyDescent="0.2">
      <c r="B71" s="2398"/>
      <c r="C71" s="2398"/>
      <c r="D71" s="2398"/>
      <c r="E71" s="2398"/>
      <c r="M71" s="397"/>
    </row>
    <row r="72" spans="2:13" x14ac:dyDescent="0.2">
      <c r="M72" s="397"/>
    </row>
    <row r="73" spans="2:13" x14ac:dyDescent="0.2">
      <c r="M73" s="397"/>
    </row>
    <row r="74" spans="2:13" x14ac:dyDescent="0.2">
      <c r="M74" s="397"/>
    </row>
    <row r="75" spans="2:13" x14ac:dyDescent="0.2">
      <c r="M75" s="397"/>
    </row>
    <row r="76" spans="2:13" x14ac:dyDescent="0.2">
      <c r="M76" s="397"/>
    </row>
    <row r="77" spans="2:13" x14ac:dyDescent="0.2">
      <c r="M77" s="397"/>
    </row>
    <row r="78" spans="2:13" x14ac:dyDescent="0.2">
      <c r="M78" s="397"/>
    </row>
    <row r="79" spans="2:13" x14ac:dyDescent="0.2">
      <c r="M79" s="397"/>
    </row>
    <row r="80" spans="2:13" x14ac:dyDescent="0.2">
      <c r="M80" s="397"/>
    </row>
    <row r="81" spans="13:13" x14ac:dyDescent="0.2">
      <c r="M81" s="397"/>
    </row>
    <row r="82" spans="13:13" x14ac:dyDescent="0.2">
      <c r="M82" s="397"/>
    </row>
    <row r="83" spans="13:13" x14ac:dyDescent="0.2">
      <c r="M83" s="397"/>
    </row>
    <row r="84" spans="13:13" x14ac:dyDescent="0.2">
      <c r="M84" s="399"/>
    </row>
    <row r="85" spans="13:13" x14ac:dyDescent="0.2">
      <c r="M85" s="399"/>
    </row>
    <row r="86" spans="13:13" x14ac:dyDescent="0.2">
      <c r="M86" s="397"/>
    </row>
    <row r="87" spans="13:13" x14ac:dyDescent="0.2">
      <c r="M87" s="397"/>
    </row>
    <row r="88" spans="13:13" x14ac:dyDescent="0.2">
      <c r="M88" s="397"/>
    </row>
    <row r="89" spans="13:13" x14ac:dyDescent="0.2">
      <c r="M89" s="397"/>
    </row>
    <row r="90" spans="13:13" x14ac:dyDescent="0.2">
      <c r="M90" s="398"/>
    </row>
    <row r="91" spans="13:13" x14ac:dyDescent="0.2">
      <c r="M91" s="397"/>
    </row>
    <row r="92" spans="13:13" x14ac:dyDescent="0.2">
      <c r="M92" s="398"/>
    </row>
    <row r="93" spans="13:13" x14ac:dyDescent="0.2">
      <c r="M93" s="397"/>
    </row>
    <row r="94" spans="13:13" x14ac:dyDescent="0.2">
      <c r="M94" s="397"/>
    </row>
    <row r="95" spans="13:13" x14ac:dyDescent="0.2">
      <c r="M95" s="397"/>
    </row>
    <row r="96" spans="13:13" x14ac:dyDescent="0.2">
      <c r="M96" s="397"/>
    </row>
    <row r="97" spans="13:13" x14ac:dyDescent="0.2">
      <c r="M97" s="397"/>
    </row>
    <row r="98" spans="13:13" x14ac:dyDescent="0.2">
      <c r="M98" s="397"/>
    </row>
  </sheetData>
  <sheetProtection algorithmName="SHA-512" hashValue="4RpeJuR+S3U6Db75BRCB9k0e0KhMCEmK+7ZAJh7ckdi+xzDK6cddDOwfQhNLmOzkMPDXCljcuNhX2GHA/AOPUg==" saltValue="6qOryir8CGz73TJ21vLH+g==" spinCount="100000" sheet="1" autoFilter="0"/>
  <customSheetViews>
    <customSheetView guid="{9FCFC836-1CA5-48BF-958D-24D2EA94B219}" showGridLines="0" fitToPage="1" topLeftCell="A19">
      <pageMargins left="0" right="0" top="0" bottom="0" header="0" footer="0"/>
      <pageSetup scale="83" orientation="portrait" r:id="rId1"/>
      <headerFooter alignWithMargins="0">
        <oddFooter>&amp;R&amp;A</oddFooter>
      </headerFooter>
    </customSheetView>
    <customSheetView guid="{B08879A4-635B-4C39-9937-AC7883D562FC}" showGridLines="0" fitToPage="1" topLeftCell="A19">
      <pageMargins left="0" right="0" top="0" bottom="0" header="0" footer="0"/>
      <pageSetup scale="83" orientation="portrait" r:id="rId2"/>
      <headerFooter alignWithMargins="0">
        <oddFooter>&amp;R&amp;A</oddFooter>
      </headerFooter>
    </customSheetView>
  </customSheetViews>
  <mergeCells count="4">
    <mergeCell ref="B1:J1"/>
    <mergeCell ref="K1:K3"/>
    <mergeCell ref="B2:J2"/>
    <mergeCell ref="B3:J3"/>
  </mergeCells>
  <phoneticPr fontId="18" type="noConversion"/>
  <conditionalFormatting sqref="K1:K4 K10:K12">
    <cfRule type="cellIs" dxfId="169" priority="1" stopIfTrue="1" operator="equal">
      <formula>"na"</formula>
    </cfRule>
  </conditionalFormatting>
  <dataValidations count="3">
    <dataValidation type="whole" operator="greaterThanOrEqual" allowBlank="1" showInputMessage="1" showErrorMessage="1" errorTitle="Invalid data!" error="Amount must be a positive whole number." sqref="J24:J27 J16 J30:J33 D47:D56 D25 D32:D33 D38:D39 D42:D43 D16:D21 J42 J48 J50 D28 J37:J39" xr:uid="{00000000-0002-0000-0400-000000000000}">
      <formula1>0</formula1>
    </dataValidation>
    <dataValidation type="decimal" allowBlank="1" showInputMessage="1" showErrorMessage="1" errorTitle="Invalid data!" error="Percentage must be between 0% and 100%." sqref="J17 D34 J49 J43:J44 J51" xr:uid="{00000000-0002-0000-0400-000001000000}">
      <formula1>0</formula1>
      <formula2>1</formula2>
    </dataValidation>
    <dataValidation type="decimal" operator="greaterThanOrEqual" allowBlank="1" showInputMessage="1" showErrorMessage="1" errorTitle="Invalid data!" error="Amount must be a positive whole number." sqref="J21" xr:uid="{00000000-0002-0000-0400-000002000000}">
      <formula1>0</formula1>
    </dataValidation>
  </dataValidations>
  <hyperlinks>
    <hyperlink ref="B1:J1" location="Index!A1" display="Index!A1" xr:uid="{00000000-0004-0000-0400-000000000000}"/>
    <hyperlink ref="P51" r:id="rId3" display="https://epm5-a607730.epm.us9.oraclecloud.com/HyperionPlanning/faces/StructureHomeTF/EfsNonFuseNavigator?_adf.ctrl-state=69bzy5h8r_8&amp;_afrLoop=13844347197868236" xr:uid="{3E3FDF5C-6A5D-4166-999F-F2902A9C1FDF}"/>
  </hyperlinks>
  <pageMargins left="0.6" right="0.6" top="0.5" bottom="0.5" header="0.3" footer="0.3"/>
  <pageSetup scale="83" orientation="portrait"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0">
    <pageSetUpPr fitToPage="1"/>
  </sheetPr>
  <dimension ref="A1:AJ50"/>
  <sheetViews>
    <sheetView showGridLines="0" topLeftCell="B1" zoomScaleNormal="100" workbookViewId="0">
      <selection activeCell="L6" sqref="L6:P6"/>
    </sheetView>
  </sheetViews>
  <sheetFormatPr defaultRowHeight="15.75" x14ac:dyDescent="0.25"/>
  <cols>
    <col min="1" max="1" width="0" style="1068" hidden="1" customWidth="1"/>
    <col min="2" max="2" width="11.42578125" style="1068" customWidth="1"/>
    <col min="3" max="3" width="1.5703125" style="1068" customWidth="1"/>
    <col min="4" max="4" width="10.28515625" style="1068" customWidth="1"/>
    <col min="5" max="5" width="1.5703125" style="1068" customWidth="1"/>
    <col min="6" max="6" width="12.5703125" style="1068" customWidth="1"/>
    <col min="7" max="7" width="1.5703125" style="1068" customWidth="1"/>
    <col min="8" max="8" width="20.5703125" style="1068" customWidth="1"/>
    <col min="9" max="9" width="2.5703125" style="1068" customWidth="1"/>
    <col min="10" max="10" width="12.42578125" style="1068" customWidth="1"/>
    <col min="11" max="11" width="1.5703125" style="1068" customWidth="1"/>
    <col min="12" max="12" width="10.5703125" style="1068" customWidth="1"/>
    <col min="13" max="13" width="1.5703125" style="1068" customWidth="1"/>
    <col min="14" max="14" width="12.5703125" style="1068" customWidth="1"/>
    <col min="15" max="15" width="1.5703125" style="1068" customWidth="1"/>
    <col min="16" max="16" width="51.85546875" style="1068" customWidth="1"/>
    <col min="17" max="17" width="2.42578125" style="1068" customWidth="1"/>
    <col min="18" max="18" width="5.5703125" style="1068" hidden="1" customWidth="1"/>
    <col min="19" max="19" width="2" style="1068" hidden="1" customWidth="1"/>
    <col min="20" max="23" width="5.5703125" style="1068" hidden="1" customWidth="1"/>
    <col min="24" max="24" width="7" style="1068" hidden="1" customWidth="1"/>
    <col min="25" max="25" width="2" style="1068" hidden="1" customWidth="1"/>
    <col min="26" max="26" width="7" style="1068" hidden="1" customWidth="1"/>
    <col min="27" max="29" width="5.5703125" style="1068" hidden="1" customWidth="1"/>
    <col min="30" max="31" width="6.42578125" style="1068" hidden="1" customWidth="1"/>
    <col min="32" max="34" width="0" style="1068" hidden="1" customWidth="1"/>
    <col min="35" max="35" width="9.42578125" style="1068" customWidth="1"/>
    <col min="36" max="256" width="8.85546875" style="1068"/>
    <col min="257" max="257" width="0" style="1068" hidden="1" customWidth="1"/>
    <col min="258" max="258" width="11.42578125" style="1068" customWidth="1"/>
    <col min="259" max="259" width="1.5703125" style="1068" customWidth="1"/>
    <col min="260" max="260" width="7.42578125" style="1068" bestFit="1" customWidth="1"/>
    <col min="261" max="261" width="1.5703125" style="1068" customWidth="1"/>
    <col min="262" max="262" width="12.5703125" style="1068" customWidth="1"/>
    <col min="263" max="263" width="1.5703125" style="1068" customWidth="1"/>
    <col min="264" max="264" width="20.5703125" style="1068" customWidth="1"/>
    <col min="265" max="265" width="2.5703125" style="1068" customWidth="1"/>
    <col min="266" max="266" width="10.5703125" style="1068" customWidth="1"/>
    <col min="267" max="267" width="1.5703125" style="1068" customWidth="1"/>
    <col min="268" max="268" width="10.5703125" style="1068" customWidth="1"/>
    <col min="269" max="269" width="1.5703125" style="1068" customWidth="1"/>
    <col min="270" max="270" width="12.5703125" style="1068" customWidth="1"/>
    <col min="271" max="271" width="1.5703125" style="1068" customWidth="1"/>
    <col min="272" max="272" width="22.5703125" style="1068" customWidth="1"/>
    <col min="273" max="273" width="4.5703125" style="1068" customWidth="1"/>
    <col min="274" max="287" width="0" style="1068" hidden="1" customWidth="1"/>
    <col min="288" max="512" width="8.85546875" style="1068"/>
    <col min="513" max="513" width="0" style="1068" hidden="1" customWidth="1"/>
    <col min="514" max="514" width="11.42578125" style="1068" customWidth="1"/>
    <col min="515" max="515" width="1.5703125" style="1068" customWidth="1"/>
    <col min="516" max="516" width="7.42578125" style="1068" bestFit="1" customWidth="1"/>
    <col min="517" max="517" width="1.5703125" style="1068" customWidth="1"/>
    <col min="518" max="518" width="12.5703125" style="1068" customWidth="1"/>
    <col min="519" max="519" width="1.5703125" style="1068" customWidth="1"/>
    <col min="520" max="520" width="20.5703125" style="1068" customWidth="1"/>
    <col min="521" max="521" width="2.5703125" style="1068" customWidth="1"/>
    <col min="522" max="522" width="10.5703125" style="1068" customWidth="1"/>
    <col min="523" max="523" width="1.5703125" style="1068" customWidth="1"/>
    <col min="524" max="524" width="10.5703125" style="1068" customWidth="1"/>
    <col min="525" max="525" width="1.5703125" style="1068" customWidth="1"/>
    <col min="526" max="526" width="12.5703125" style="1068" customWidth="1"/>
    <col min="527" max="527" width="1.5703125" style="1068" customWidth="1"/>
    <col min="528" max="528" width="22.5703125" style="1068" customWidth="1"/>
    <col min="529" max="529" width="4.5703125" style="1068" customWidth="1"/>
    <col min="530" max="543" width="0" style="1068" hidden="1" customWidth="1"/>
    <col min="544" max="768" width="8.85546875" style="1068"/>
    <col min="769" max="769" width="0" style="1068" hidden="1" customWidth="1"/>
    <col min="770" max="770" width="11.42578125" style="1068" customWidth="1"/>
    <col min="771" max="771" width="1.5703125" style="1068" customWidth="1"/>
    <col min="772" max="772" width="7.42578125" style="1068" bestFit="1" customWidth="1"/>
    <col min="773" max="773" width="1.5703125" style="1068" customWidth="1"/>
    <col min="774" max="774" width="12.5703125" style="1068" customWidth="1"/>
    <col min="775" max="775" width="1.5703125" style="1068" customWidth="1"/>
    <col min="776" max="776" width="20.5703125" style="1068" customWidth="1"/>
    <col min="777" max="777" width="2.5703125" style="1068" customWidth="1"/>
    <col min="778" max="778" width="10.5703125" style="1068" customWidth="1"/>
    <col min="779" max="779" width="1.5703125" style="1068" customWidth="1"/>
    <col min="780" max="780" width="10.5703125" style="1068" customWidth="1"/>
    <col min="781" max="781" width="1.5703125" style="1068" customWidth="1"/>
    <col min="782" max="782" width="12.5703125" style="1068" customWidth="1"/>
    <col min="783" max="783" width="1.5703125" style="1068" customWidth="1"/>
    <col min="784" max="784" width="22.5703125" style="1068" customWidth="1"/>
    <col min="785" max="785" width="4.5703125" style="1068" customWidth="1"/>
    <col min="786" max="799" width="0" style="1068" hidden="1" customWidth="1"/>
    <col min="800" max="1024" width="8.85546875" style="1068"/>
    <col min="1025" max="1025" width="0" style="1068" hidden="1" customWidth="1"/>
    <col min="1026" max="1026" width="11.42578125" style="1068" customWidth="1"/>
    <col min="1027" max="1027" width="1.5703125" style="1068" customWidth="1"/>
    <col min="1028" max="1028" width="7.42578125" style="1068" bestFit="1" customWidth="1"/>
    <col min="1029" max="1029" width="1.5703125" style="1068" customWidth="1"/>
    <col min="1030" max="1030" width="12.5703125" style="1068" customWidth="1"/>
    <col min="1031" max="1031" width="1.5703125" style="1068" customWidth="1"/>
    <col min="1032" max="1032" width="20.5703125" style="1068" customWidth="1"/>
    <col min="1033" max="1033" width="2.5703125" style="1068" customWidth="1"/>
    <col min="1034" max="1034" width="10.5703125" style="1068" customWidth="1"/>
    <col min="1035" max="1035" width="1.5703125" style="1068" customWidth="1"/>
    <col min="1036" max="1036" width="10.5703125" style="1068" customWidth="1"/>
    <col min="1037" max="1037" width="1.5703125" style="1068" customWidth="1"/>
    <col min="1038" max="1038" width="12.5703125" style="1068" customWidth="1"/>
    <col min="1039" max="1039" width="1.5703125" style="1068" customWidth="1"/>
    <col min="1040" max="1040" width="22.5703125" style="1068" customWidth="1"/>
    <col min="1041" max="1041" width="4.5703125" style="1068" customWidth="1"/>
    <col min="1042" max="1055" width="0" style="1068" hidden="1" customWidth="1"/>
    <col min="1056" max="1280" width="8.85546875" style="1068"/>
    <col min="1281" max="1281" width="0" style="1068" hidden="1" customWidth="1"/>
    <col min="1282" max="1282" width="11.42578125" style="1068" customWidth="1"/>
    <col min="1283" max="1283" width="1.5703125" style="1068" customWidth="1"/>
    <col min="1284" max="1284" width="7.42578125" style="1068" bestFit="1" customWidth="1"/>
    <col min="1285" max="1285" width="1.5703125" style="1068" customWidth="1"/>
    <col min="1286" max="1286" width="12.5703125" style="1068" customWidth="1"/>
    <col min="1287" max="1287" width="1.5703125" style="1068" customWidth="1"/>
    <col min="1288" max="1288" width="20.5703125" style="1068" customWidth="1"/>
    <col min="1289" max="1289" width="2.5703125" style="1068" customWidth="1"/>
    <col min="1290" max="1290" width="10.5703125" style="1068" customWidth="1"/>
    <col min="1291" max="1291" width="1.5703125" style="1068" customWidth="1"/>
    <col min="1292" max="1292" width="10.5703125" style="1068" customWidth="1"/>
    <col min="1293" max="1293" width="1.5703125" style="1068" customWidth="1"/>
    <col min="1294" max="1294" width="12.5703125" style="1068" customWidth="1"/>
    <col min="1295" max="1295" width="1.5703125" style="1068" customWidth="1"/>
    <col min="1296" max="1296" width="22.5703125" style="1068" customWidth="1"/>
    <col min="1297" max="1297" width="4.5703125" style="1068" customWidth="1"/>
    <col min="1298" max="1311" width="0" style="1068" hidden="1" customWidth="1"/>
    <col min="1312" max="1536" width="8.85546875" style="1068"/>
    <col min="1537" max="1537" width="0" style="1068" hidden="1" customWidth="1"/>
    <col min="1538" max="1538" width="11.42578125" style="1068" customWidth="1"/>
    <col min="1539" max="1539" width="1.5703125" style="1068" customWidth="1"/>
    <col min="1540" max="1540" width="7.42578125" style="1068" bestFit="1" customWidth="1"/>
    <col min="1541" max="1541" width="1.5703125" style="1068" customWidth="1"/>
    <col min="1542" max="1542" width="12.5703125" style="1068" customWidth="1"/>
    <col min="1543" max="1543" width="1.5703125" style="1068" customWidth="1"/>
    <col min="1544" max="1544" width="20.5703125" style="1068" customWidth="1"/>
    <col min="1545" max="1545" width="2.5703125" style="1068" customWidth="1"/>
    <col min="1546" max="1546" width="10.5703125" style="1068" customWidth="1"/>
    <col min="1547" max="1547" width="1.5703125" style="1068" customWidth="1"/>
    <col min="1548" max="1548" width="10.5703125" style="1068" customWidth="1"/>
    <col min="1549" max="1549" width="1.5703125" style="1068" customWidth="1"/>
    <col min="1550" max="1550" width="12.5703125" style="1068" customWidth="1"/>
    <col min="1551" max="1551" width="1.5703125" style="1068" customWidth="1"/>
    <col min="1552" max="1552" width="22.5703125" style="1068" customWidth="1"/>
    <col min="1553" max="1553" width="4.5703125" style="1068" customWidth="1"/>
    <col min="1554" max="1567" width="0" style="1068" hidden="1" customWidth="1"/>
    <col min="1568" max="1792" width="8.85546875" style="1068"/>
    <col min="1793" max="1793" width="0" style="1068" hidden="1" customWidth="1"/>
    <col min="1794" max="1794" width="11.42578125" style="1068" customWidth="1"/>
    <col min="1795" max="1795" width="1.5703125" style="1068" customWidth="1"/>
    <col min="1796" max="1796" width="7.42578125" style="1068" bestFit="1" customWidth="1"/>
    <col min="1797" max="1797" width="1.5703125" style="1068" customWidth="1"/>
    <col min="1798" max="1798" width="12.5703125" style="1068" customWidth="1"/>
    <col min="1799" max="1799" width="1.5703125" style="1068" customWidth="1"/>
    <col min="1800" max="1800" width="20.5703125" style="1068" customWidth="1"/>
    <col min="1801" max="1801" width="2.5703125" style="1068" customWidth="1"/>
    <col min="1802" max="1802" width="10.5703125" style="1068" customWidth="1"/>
    <col min="1803" max="1803" width="1.5703125" style="1068" customWidth="1"/>
    <col min="1804" max="1804" width="10.5703125" style="1068" customWidth="1"/>
    <col min="1805" max="1805" width="1.5703125" style="1068" customWidth="1"/>
    <col min="1806" max="1806" width="12.5703125" style="1068" customWidth="1"/>
    <col min="1807" max="1807" width="1.5703125" style="1068" customWidth="1"/>
    <col min="1808" max="1808" width="22.5703125" style="1068" customWidth="1"/>
    <col min="1809" max="1809" width="4.5703125" style="1068" customWidth="1"/>
    <col min="1810" max="1823" width="0" style="1068" hidden="1" customWidth="1"/>
    <col min="1824" max="2048" width="8.85546875" style="1068"/>
    <col min="2049" max="2049" width="0" style="1068" hidden="1" customWidth="1"/>
    <col min="2050" max="2050" width="11.42578125" style="1068" customWidth="1"/>
    <col min="2051" max="2051" width="1.5703125" style="1068" customWidth="1"/>
    <col min="2052" max="2052" width="7.42578125" style="1068" bestFit="1" customWidth="1"/>
    <col min="2053" max="2053" width="1.5703125" style="1068" customWidth="1"/>
    <col min="2054" max="2054" width="12.5703125" style="1068" customWidth="1"/>
    <col min="2055" max="2055" width="1.5703125" style="1068" customWidth="1"/>
    <col min="2056" max="2056" width="20.5703125" style="1068" customWidth="1"/>
    <col min="2057" max="2057" width="2.5703125" style="1068" customWidth="1"/>
    <col min="2058" max="2058" width="10.5703125" style="1068" customWidth="1"/>
    <col min="2059" max="2059" width="1.5703125" style="1068" customWidth="1"/>
    <col min="2060" max="2060" width="10.5703125" style="1068" customWidth="1"/>
    <col min="2061" max="2061" width="1.5703125" style="1068" customWidth="1"/>
    <col min="2062" max="2062" width="12.5703125" style="1068" customWidth="1"/>
    <col min="2063" max="2063" width="1.5703125" style="1068" customWidth="1"/>
    <col min="2064" max="2064" width="22.5703125" style="1068" customWidth="1"/>
    <col min="2065" max="2065" width="4.5703125" style="1068" customWidth="1"/>
    <col min="2066" max="2079" width="0" style="1068" hidden="1" customWidth="1"/>
    <col min="2080" max="2304" width="8.85546875" style="1068"/>
    <col min="2305" max="2305" width="0" style="1068" hidden="1" customWidth="1"/>
    <col min="2306" max="2306" width="11.42578125" style="1068" customWidth="1"/>
    <col min="2307" max="2307" width="1.5703125" style="1068" customWidth="1"/>
    <col min="2308" max="2308" width="7.42578125" style="1068" bestFit="1" customWidth="1"/>
    <col min="2309" max="2309" width="1.5703125" style="1068" customWidth="1"/>
    <col min="2310" max="2310" width="12.5703125" style="1068" customWidth="1"/>
    <col min="2311" max="2311" width="1.5703125" style="1068" customWidth="1"/>
    <col min="2312" max="2312" width="20.5703125" style="1068" customWidth="1"/>
    <col min="2313" max="2313" width="2.5703125" style="1068" customWidth="1"/>
    <col min="2314" max="2314" width="10.5703125" style="1068" customWidth="1"/>
    <col min="2315" max="2315" width="1.5703125" style="1068" customWidth="1"/>
    <col min="2316" max="2316" width="10.5703125" style="1068" customWidth="1"/>
    <col min="2317" max="2317" width="1.5703125" style="1068" customWidth="1"/>
    <col min="2318" max="2318" width="12.5703125" style="1068" customWidth="1"/>
    <col min="2319" max="2319" width="1.5703125" style="1068" customWidth="1"/>
    <col min="2320" max="2320" width="22.5703125" style="1068" customWidth="1"/>
    <col min="2321" max="2321" width="4.5703125" style="1068" customWidth="1"/>
    <col min="2322" max="2335" width="0" style="1068" hidden="1" customWidth="1"/>
    <col min="2336" max="2560" width="8.85546875" style="1068"/>
    <col min="2561" max="2561" width="0" style="1068" hidden="1" customWidth="1"/>
    <col min="2562" max="2562" width="11.42578125" style="1068" customWidth="1"/>
    <col min="2563" max="2563" width="1.5703125" style="1068" customWidth="1"/>
    <col min="2564" max="2564" width="7.42578125" style="1068" bestFit="1" customWidth="1"/>
    <col min="2565" max="2565" width="1.5703125" style="1068" customWidth="1"/>
    <col min="2566" max="2566" width="12.5703125" style="1068" customWidth="1"/>
    <col min="2567" max="2567" width="1.5703125" style="1068" customWidth="1"/>
    <col min="2568" max="2568" width="20.5703125" style="1068" customWidth="1"/>
    <col min="2569" max="2569" width="2.5703125" style="1068" customWidth="1"/>
    <col min="2570" max="2570" width="10.5703125" style="1068" customWidth="1"/>
    <col min="2571" max="2571" width="1.5703125" style="1068" customWidth="1"/>
    <col min="2572" max="2572" width="10.5703125" style="1068" customWidth="1"/>
    <col min="2573" max="2573" width="1.5703125" style="1068" customWidth="1"/>
    <col min="2574" max="2574" width="12.5703125" style="1068" customWidth="1"/>
    <col min="2575" max="2575" width="1.5703125" style="1068" customWidth="1"/>
    <col min="2576" max="2576" width="22.5703125" style="1068" customWidth="1"/>
    <col min="2577" max="2577" width="4.5703125" style="1068" customWidth="1"/>
    <col min="2578" max="2591" width="0" style="1068" hidden="1" customWidth="1"/>
    <col min="2592" max="2816" width="8.85546875" style="1068"/>
    <col min="2817" max="2817" width="0" style="1068" hidden="1" customWidth="1"/>
    <col min="2818" max="2818" width="11.42578125" style="1068" customWidth="1"/>
    <col min="2819" max="2819" width="1.5703125" style="1068" customWidth="1"/>
    <col min="2820" max="2820" width="7.42578125" style="1068" bestFit="1" customWidth="1"/>
    <col min="2821" max="2821" width="1.5703125" style="1068" customWidth="1"/>
    <col min="2822" max="2822" width="12.5703125" style="1068" customWidth="1"/>
    <col min="2823" max="2823" width="1.5703125" style="1068" customWidth="1"/>
    <col min="2824" max="2824" width="20.5703125" style="1068" customWidth="1"/>
    <col min="2825" max="2825" width="2.5703125" style="1068" customWidth="1"/>
    <col min="2826" max="2826" width="10.5703125" style="1068" customWidth="1"/>
    <col min="2827" max="2827" width="1.5703125" style="1068" customWidth="1"/>
    <col min="2828" max="2828" width="10.5703125" style="1068" customWidth="1"/>
    <col min="2829" max="2829" width="1.5703125" style="1068" customWidth="1"/>
    <col min="2830" max="2830" width="12.5703125" style="1068" customWidth="1"/>
    <col min="2831" max="2831" width="1.5703125" style="1068" customWidth="1"/>
    <col min="2832" max="2832" width="22.5703125" style="1068" customWidth="1"/>
    <col min="2833" max="2833" width="4.5703125" style="1068" customWidth="1"/>
    <col min="2834" max="2847" width="0" style="1068" hidden="1" customWidth="1"/>
    <col min="2848" max="3072" width="8.85546875" style="1068"/>
    <col min="3073" max="3073" width="0" style="1068" hidden="1" customWidth="1"/>
    <col min="3074" max="3074" width="11.42578125" style="1068" customWidth="1"/>
    <col min="3075" max="3075" width="1.5703125" style="1068" customWidth="1"/>
    <col min="3076" max="3076" width="7.42578125" style="1068" bestFit="1" customWidth="1"/>
    <col min="3077" max="3077" width="1.5703125" style="1068" customWidth="1"/>
    <col min="3078" max="3078" width="12.5703125" style="1068" customWidth="1"/>
    <col min="3079" max="3079" width="1.5703125" style="1068" customWidth="1"/>
    <col min="3080" max="3080" width="20.5703125" style="1068" customWidth="1"/>
    <col min="3081" max="3081" width="2.5703125" style="1068" customWidth="1"/>
    <col min="3082" max="3082" width="10.5703125" style="1068" customWidth="1"/>
    <col min="3083" max="3083" width="1.5703125" style="1068" customWidth="1"/>
    <col min="3084" max="3084" width="10.5703125" style="1068" customWidth="1"/>
    <col min="3085" max="3085" width="1.5703125" style="1068" customWidth="1"/>
    <col min="3086" max="3086" width="12.5703125" style="1068" customWidth="1"/>
    <col min="3087" max="3087" width="1.5703125" style="1068" customWidth="1"/>
    <col min="3088" max="3088" width="22.5703125" style="1068" customWidth="1"/>
    <col min="3089" max="3089" width="4.5703125" style="1068" customWidth="1"/>
    <col min="3090" max="3103" width="0" style="1068" hidden="1" customWidth="1"/>
    <col min="3104" max="3328" width="8.85546875" style="1068"/>
    <col min="3329" max="3329" width="0" style="1068" hidden="1" customWidth="1"/>
    <col min="3330" max="3330" width="11.42578125" style="1068" customWidth="1"/>
    <col min="3331" max="3331" width="1.5703125" style="1068" customWidth="1"/>
    <col min="3332" max="3332" width="7.42578125" style="1068" bestFit="1" customWidth="1"/>
    <col min="3333" max="3333" width="1.5703125" style="1068" customWidth="1"/>
    <col min="3334" max="3334" width="12.5703125" style="1068" customWidth="1"/>
    <col min="3335" max="3335" width="1.5703125" style="1068" customWidth="1"/>
    <col min="3336" max="3336" width="20.5703125" style="1068" customWidth="1"/>
    <col min="3337" max="3337" width="2.5703125" style="1068" customWidth="1"/>
    <col min="3338" max="3338" width="10.5703125" style="1068" customWidth="1"/>
    <col min="3339" max="3339" width="1.5703125" style="1068" customWidth="1"/>
    <col min="3340" max="3340" width="10.5703125" style="1068" customWidth="1"/>
    <col min="3341" max="3341" width="1.5703125" style="1068" customWidth="1"/>
    <col min="3342" max="3342" width="12.5703125" style="1068" customWidth="1"/>
    <col min="3343" max="3343" width="1.5703125" style="1068" customWidth="1"/>
    <col min="3344" max="3344" width="22.5703125" style="1068" customWidth="1"/>
    <col min="3345" max="3345" width="4.5703125" style="1068" customWidth="1"/>
    <col min="3346" max="3359" width="0" style="1068" hidden="1" customWidth="1"/>
    <col min="3360" max="3584" width="8.85546875" style="1068"/>
    <col min="3585" max="3585" width="0" style="1068" hidden="1" customWidth="1"/>
    <col min="3586" max="3586" width="11.42578125" style="1068" customWidth="1"/>
    <col min="3587" max="3587" width="1.5703125" style="1068" customWidth="1"/>
    <col min="3588" max="3588" width="7.42578125" style="1068" bestFit="1" customWidth="1"/>
    <col min="3589" max="3589" width="1.5703125" style="1068" customWidth="1"/>
    <col min="3590" max="3590" width="12.5703125" style="1068" customWidth="1"/>
    <col min="3591" max="3591" width="1.5703125" style="1068" customWidth="1"/>
    <col min="3592" max="3592" width="20.5703125" style="1068" customWidth="1"/>
    <col min="3593" max="3593" width="2.5703125" style="1068" customWidth="1"/>
    <col min="3594" max="3594" width="10.5703125" style="1068" customWidth="1"/>
    <col min="3595" max="3595" width="1.5703125" style="1068" customWidth="1"/>
    <col min="3596" max="3596" width="10.5703125" style="1068" customWidth="1"/>
    <col min="3597" max="3597" width="1.5703125" style="1068" customWidth="1"/>
    <col min="3598" max="3598" width="12.5703125" style="1068" customWidth="1"/>
    <col min="3599" max="3599" width="1.5703125" style="1068" customWidth="1"/>
    <col min="3600" max="3600" width="22.5703125" style="1068" customWidth="1"/>
    <col min="3601" max="3601" width="4.5703125" style="1068" customWidth="1"/>
    <col min="3602" max="3615" width="0" style="1068" hidden="1" customWidth="1"/>
    <col min="3616" max="3840" width="8.85546875" style="1068"/>
    <col min="3841" max="3841" width="0" style="1068" hidden="1" customWidth="1"/>
    <col min="3842" max="3842" width="11.42578125" style="1068" customWidth="1"/>
    <col min="3843" max="3843" width="1.5703125" style="1068" customWidth="1"/>
    <col min="3844" max="3844" width="7.42578125" style="1068" bestFit="1" customWidth="1"/>
    <col min="3845" max="3845" width="1.5703125" style="1068" customWidth="1"/>
    <col min="3846" max="3846" width="12.5703125" style="1068" customWidth="1"/>
    <col min="3847" max="3847" width="1.5703125" style="1068" customWidth="1"/>
    <col min="3848" max="3848" width="20.5703125" style="1068" customWidth="1"/>
    <col min="3849" max="3849" width="2.5703125" style="1068" customWidth="1"/>
    <col min="3850" max="3850" width="10.5703125" style="1068" customWidth="1"/>
    <col min="3851" max="3851" width="1.5703125" style="1068" customWidth="1"/>
    <col min="3852" max="3852" width="10.5703125" style="1068" customWidth="1"/>
    <col min="3853" max="3853" width="1.5703125" style="1068" customWidth="1"/>
    <col min="3854" max="3854" width="12.5703125" style="1068" customWidth="1"/>
    <col min="3855" max="3855" width="1.5703125" style="1068" customWidth="1"/>
    <col min="3856" max="3856" width="22.5703125" style="1068" customWidth="1"/>
    <col min="3857" max="3857" width="4.5703125" style="1068" customWidth="1"/>
    <col min="3858" max="3871" width="0" style="1068" hidden="1" customWidth="1"/>
    <col min="3872" max="4096" width="8.85546875" style="1068"/>
    <col min="4097" max="4097" width="0" style="1068" hidden="1" customWidth="1"/>
    <col min="4098" max="4098" width="11.42578125" style="1068" customWidth="1"/>
    <col min="4099" max="4099" width="1.5703125" style="1068" customWidth="1"/>
    <col min="4100" max="4100" width="7.42578125" style="1068" bestFit="1" customWidth="1"/>
    <col min="4101" max="4101" width="1.5703125" style="1068" customWidth="1"/>
    <col min="4102" max="4102" width="12.5703125" style="1068" customWidth="1"/>
    <col min="4103" max="4103" width="1.5703125" style="1068" customWidth="1"/>
    <col min="4104" max="4104" width="20.5703125" style="1068" customWidth="1"/>
    <col min="4105" max="4105" width="2.5703125" style="1068" customWidth="1"/>
    <col min="4106" max="4106" width="10.5703125" style="1068" customWidth="1"/>
    <col min="4107" max="4107" width="1.5703125" style="1068" customWidth="1"/>
    <col min="4108" max="4108" width="10.5703125" style="1068" customWidth="1"/>
    <col min="4109" max="4109" width="1.5703125" style="1068" customWidth="1"/>
    <col min="4110" max="4110" width="12.5703125" style="1068" customWidth="1"/>
    <col min="4111" max="4111" width="1.5703125" style="1068" customWidth="1"/>
    <col min="4112" max="4112" width="22.5703125" style="1068" customWidth="1"/>
    <col min="4113" max="4113" width="4.5703125" style="1068" customWidth="1"/>
    <col min="4114" max="4127" width="0" style="1068" hidden="1" customWidth="1"/>
    <col min="4128" max="4352" width="8.85546875" style="1068"/>
    <col min="4353" max="4353" width="0" style="1068" hidden="1" customWidth="1"/>
    <col min="4354" max="4354" width="11.42578125" style="1068" customWidth="1"/>
    <col min="4355" max="4355" width="1.5703125" style="1068" customWidth="1"/>
    <col min="4356" max="4356" width="7.42578125" style="1068" bestFit="1" customWidth="1"/>
    <col min="4357" max="4357" width="1.5703125" style="1068" customWidth="1"/>
    <col min="4358" max="4358" width="12.5703125" style="1068" customWidth="1"/>
    <col min="4359" max="4359" width="1.5703125" style="1068" customWidth="1"/>
    <col min="4360" max="4360" width="20.5703125" style="1068" customWidth="1"/>
    <col min="4361" max="4361" width="2.5703125" style="1068" customWidth="1"/>
    <col min="4362" max="4362" width="10.5703125" style="1068" customWidth="1"/>
    <col min="4363" max="4363" width="1.5703125" style="1068" customWidth="1"/>
    <col min="4364" max="4364" width="10.5703125" style="1068" customWidth="1"/>
    <col min="4365" max="4365" width="1.5703125" style="1068" customWidth="1"/>
    <col min="4366" max="4366" width="12.5703125" style="1068" customWidth="1"/>
    <col min="4367" max="4367" width="1.5703125" style="1068" customWidth="1"/>
    <col min="4368" max="4368" width="22.5703125" style="1068" customWidth="1"/>
    <col min="4369" max="4369" width="4.5703125" style="1068" customWidth="1"/>
    <col min="4370" max="4383" width="0" style="1068" hidden="1" customWidth="1"/>
    <col min="4384" max="4608" width="8.85546875" style="1068"/>
    <col min="4609" max="4609" width="0" style="1068" hidden="1" customWidth="1"/>
    <col min="4610" max="4610" width="11.42578125" style="1068" customWidth="1"/>
    <col min="4611" max="4611" width="1.5703125" style="1068" customWidth="1"/>
    <col min="4612" max="4612" width="7.42578125" style="1068" bestFit="1" customWidth="1"/>
    <col min="4613" max="4613" width="1.5703125" style="1068" customWidth="1"/>
    <col min="4614" max="4614" width="12.5703125" style="1068" customWidth="1"/>
    <col min="4615" max="4615" width="1.5703125" style="1068" customWidth="1"/>
    <col min="4616" max="4616" width="20.5703125" style="1068" customWidth="1"/>
    <col min="4617" max="4617" width="2.5703125" style="1068" customWidth="1"/>
    <col min="4618" max="4618" width="10.5703125" style="1068" customWidth="1"/>
    <col min="4619" max="4619" width="1.5703125" style="1068" customWidth="1"/>
    <col min="4620" max="4620" width="10.5703125" style="1068" customWidth="1"/>
    <col min="4621" max="4621" width="1.5703125" style="1068" customWidth="1"/>
    <col min="4622" max="4622" width="12.5703125" style="1068" customWidth="1"/>
    <col min="4623" max="4623" width="1.5703125" style="1068" customWidth="1"/>
    <col min="4624" max="4624" width="22.5703125" style="1068" customWidth="1"/>
    <col min="4625" max="4625" width="4.5703125" style="1068" customWidth="1"/>
    <col min="4626" max="4639" width="0" style="1068" hidden="1" customWidth="1"/>
    <col min="4640" max="4864" width="8.85546875" style="1068"/>
    <col min="4865" max="4865" width="0" style="1068" hidden="1" customWidth="1"/>
    <col min="4866" max="4866" width="11.42578125" style="1068" customWidth="1"/>
    <col min="4867" max="4867" width="1.5703125" style="1068" customWidth="1"/>
    <col min="4868" max="4868" width="7.42578125" style="1068" bestFit="1" customWidth="1"/>
    <col min="4869" max="4869" width="1.5703125" style="1068" customWidth="1"/>
    <col min="4870" max="4870" width="12.5703125" style="1068" customWidth="1"/>
    <col min="4871" max="4871" width="1.5703125" style="1068" customWidth="1"/>
    <col min="4872" max="4872" width="20.5703125" style="1068" customWidth="1"/>
    <col min="4873" max="4873" width="2.5703125" style="1068" customWidth="1"/>
    <col min="4874" max="4874" width="10.5703125" style="1068" customWidth="1"/>
    <col min="4875" max="4875" width="1.5703125" style="1068" customWidth="1"/>
    <col min="4876" max="4876" width="10.5703125" style="1068" customWidth="1"/>
    <col min="4877" max="4877" width="1.5703125" style="1068" customWidth="1"/>
    <col min="4878" max="4878" width="12.5703125" style="1068" customWidth="1"/>
    <col min="4879" max="4879" width="1.5703125" style="1068" customWidth="1"/>
    <col min="4880" max="4880" width="22.5703125" style="1068" customWidth="1"/>
    <col min="4881" max="4881" width="4.5703125" style="1068" customWidth="1"/>
    <col min="4882" max="4895" width="0" style="1068" hidden="1" customWidth="1"/>
    <col min="4896" max="5120" width="8.85546875" style="1068"/>
    <col min="5121" max="5121" width="0" style="1068" hidden="1" customWidth="1"/>
    <col min="5122" max="5122" width="11.42578125" style="1068" customWidth="1"/>
    <col min="5123" max="5123" width="1.5703125" style="1068" customWidth="1"/>
    <col min="5124" max="5124" width="7.42578125" style="1068" bestFit="1" customWidth="1"/>
    <col min="5125" max="5125" width="1.5703125" style="1068" customWidth="1"/>
    <col min="5126" max="5126" width="12.5703125" style="1068" customWidth="1"/>
    <col min="5127" max="5127" width="1.5703125" style="1068" customWidth="1"/>
    <col min="5128" max="5128" width="20.5703125" style="1068" customWidth="1"/>
    <col min="5129" max="5129" width="2.5703125" style="1068" customWidth="1"/>
    <col min="5130" max="5130" width="10.5703125" style="1068" customWidth="1"/>
    <col min="5131" max="5131" width="1.5703125" style="1068" customWidth="1"/>
    <col min="5132" max="5132" width="10.5703125" style="1068" customWidth="1"/>
    <col min="5133" max="5133" width="1.5703125" style="1068" customWidth="1"/>
    <col min="5134" max="5134" width="12.5703125" style="1068" customWidth="1"/>
    <col min="5135" max="5135" width="1.5703125" style="1068" customWidth="1"/>
    <col min="5136" max="5136" width="22.5703125" style="1068" customWidth="1"/>
    <col min="5137" max="5137" width="4.5703125" style="1068" customWidth="1"/>
    <col min="5138" max="5151" width="0" style="1068" hidden="1" customWidth="1"/>
    <col min="5152" max="5376" width="8.85546875" style="1068"/>
    <col min="5377" max="5377" width="0" style="1068" hidden="1" customWidth="1"/>
    <col min="5378" max="5378" width="11.42578125" style="1068" customWidth="1"/>
    <col min="5379" max="5379" width="1.5703125" style="1068" customWidth="1"/>
    <col min="5380" max="5380" width="7.42578125" style="1068" bestFit="1" customWidth="1"/>
    <col min="5381" max="5381" width="1.5703125" style="1068" customWidth="1"/>
    <col min="5382" max="5382" width="12.5703125" style="1068" customWidth="1"/>
    <col min="5383" max="5383" width="1.5703125" style="1068" customWidth="1"/>
    <col min="5384" max="5384" width="20.5703125" style="1068" customWidth="1"/>
    <col min="5385" max="5385" width="2.5703125" style="1068" customWidth="1"/>
    <col min="5386" max="5386" width="10.5703125" style="1068" customWidth="1"/>
    <col min="5387" max="5387" width="1.5703125" style="1068" customWidth="1"/>
    <col min="5388" max="5388" width="10.5703125" style="1068" customWidth="1"/>
    <col min="5389" max="5389" width="1.5703125" style="1068" customWidth="1"/>
    <col min="5390" max="5390" width="12.5703125" style="1068" customWidth="1"/>
    <col min="5391" max="5391" width="1.5703125" style="1068" customWidth="1"/>
    <col min="5392" max="5392" width="22.5703125" style="1068" customWidth="1"/>
    <col min="5393" max="5393" width="4.5703125" style="1068" customWidth="1"/>
    <col min="5394" max="5407" width="0" style="1068" hidden="1" customWidth="1"/>
    <col min="5408" max="5632" width="8.85546875" style="1068"/>
    <col min="5633" max="5633" width="0" style="1068" hidden="1" customWidth="1"/>
    <col min="5634" max="5634" width="11.42578125" style="1068" customWidth="1"/>
    <col min="5635" max="5635" width="1.5703125" style="1068" customWidth="1"/>
    <col min="5636" max="5636" width="7.42578125" style="1068" bestFit="1" customWidth="1"/>
    <col min="5637" max="5637" width="1.5703125" style="1068" customWidth="1"/>
    <col min="5638" max="5638" width="12.5703125" style="1068" customWidth="1"/>
    <col min="5639" max="5639" width="1.5703125" style="1068" customWidth="1"/>
    <col min="5640" max="5640" width="20.5703125" style="1068" customWidth="1"/>
    <col min="5641" max="5641" width="2.5703125" style="1068" customWidth="1"/>
    <col min="5642" max="5642" width="10.5703125" style="1068" customWidth="1"/>
    <col min="5643" max="5643" width="1.5703125" style="1068" customWidth="1"/>
    <col min="5644" max="5644" width="10.5703125" style="1068" customWidth="1"/>
    <col min="5645" max="5645" width="1.5703125" style="1068" customWidth="1"/>
    <col min="5646" max="5646" width="12.5703125" style="1068" customWidth="1"/>
    <col min="5647" max="5647" width="1.5703125" style="1068" customWidth="1"/>
    <col min="5648" max="5648" width="22.5703125" style="1068" customWidth="1"/>
    <col min="5649" max="5649" width="4.5703125" style="1068" customWidth="1"/>
    <col min="5650" max="5663" width="0" style="1068" hidden="1" customWidth="1"/>
    <col min="5664" max="5888" width="8.85546875" style="1068"/>
    <col min="5889" max="5889" width="0" style="1068" hidden="1" customWidth="1"/>
    <col min="5890" max="5890" width="11.42578125" style="1068" customWidth="1"/>
    <col min="5891" max="5891" width="1.5703125" style="1068" customWidth="1"/>
    <col min="5892" max="5892" width="7.42578125" style="1068" bestFit="1" customWidth="1"/>
    <col min="5893" max="5893" width="1.5703125" style="1068" customWidth="1"/>
    <col min="5894" max="5894" width="12.5703125" style="1068" customWidth="1"/>
    <col min="5895" max="5895" width="1.5703125" style="1068" customWidth="1"/>
    <col min="5896" max="5896" width="20.5703125" style="1068" customWidth="1"/>
    <col min="5897" max="5897" width="2.5703125" style="1068" customWidth="1"/>
    <col min="5898" max="5898" width="10.5703125" style="1068" customWidth="1"/>
    <col min="5899" max="5899" width="1.5703125" style="1068" customWidth="1"/>
    <col min="5900" max="5900" width="10.5703125" style="1068" customWidth="1"/>
    <col min="5901" max="5901" width="1.5703125" style="1068" customWidth="1"/>
    <col min="5902" max="5902" width="12.5703125" style="1068" customWidth="1"/>
    <col min="5903" max="5903" width="1.5703125" style="1068" customWidth="1"/>
    <col min="5904" max="5904" width="22.5703125" style="1068" customWidth="1"/>
    <col min="5905" max="5905" width="4.5703125" style="1068" customWidth="1"/>
    <col min="5906" max="5919" width="0" style="1068" hidden="1" customWidth="1"/>
    <col min="5920" max="6144" width="8.85546875" style="1068"/>
    <col min="6145" max="6145" width="0" style="1068" hidden="1" customWidth="1"/>
    <col min="6146" max="6146" width="11.42578125" style="1068" customWidth="1"/>
    <col min="6147" max="6147" width="1.5703125" style="1068" customWidth="1"/>
    <col min="6148" max="6148" width="7.42578125" style="1068" bestFit="1" customWidth="1"/>
    <col min="6149" max="6149" width="1.5703125" style="1068" customWidth="1"/>
    <col min="6150" max="6150" width="12.5703125" style="1068" customWidth="1"/>
    <col min="6151" max="6151" width="1.5703125" style="1068" customWidth="1"/>
    <col min="6152" max="6152" width="20.5703125" style="1068" customWidth="1"/>
    <col min="6153" max="6153" width="2.5703125" style="1068" customWidth="1"/>
    <col min="6154" max="6154" width="10.5703125" style="1068" customWidth="1"/>
    <col min="6155" max="6155" width="1.5703125" style="1068" customWidth="1"/>
    <col min="6156" max="6156" width="10.5703125" style="1068" customWidth="1"/>
    <col min="6157" max="6157" width="1.5703125" style="1068" customWidth="1"/>
    <col min="6158" max="6158" width="12.5703125" style="1068" customWidth="1"/>
    <col min="6159" max="6159" width="1.5703125" style="1068" customWidth="1"/>
    <col min="6160" max="6160" width="22.5703125" style="1068" customWidth="1"/>
    <col min="6161" max="6161" width="4.5703125" style="1068" customWidth="1"/>
    <col min="6162" max="6175" width="0" style="1068" hidden="1" customWidth="1"/>
    <col min="6176" max="6400" width="8.85546875" style="1068"/>
    <col min="6401" max="6401" width="0" style="1068" hidden="1" customWidth="1"/>
    <col min="6402" max="6402" width="11.42578125" style="1068" customWidth="1"/>
    <col min="6403" max="6403" width="1.5703125" style="1068" customWidth="1"/>
    <col min="6404" max="6404" width="7.42578125" style="1068" bestFit="1" customWidth="1"/>
    <col min="6405" max="6405" width="1.5703125" style="1068" customWidth="1"/>
    <col min="6406" max="6406" width="12.5703125" style="1068" customWidth="1"/>
    <col min="6407" max="6407" width="1.5703125" style="1068" customWidth="1"/>
    <col min="6408" max="6408" width="20.5703125" style="1068" customWidth="1"/>
    <col min="6409" max="6409" width="2.5703125" style="1068" customWidth="1"/>
    <col min="6410" max="6410" width="10.5703125" style="1068" customWidth="1"/>
    <col min="6411" max="6411" width="1.5703125" style="1068" customWidth="1"/>
    <col min="6412" max="6412" width="10.5703125" style="1068" customWidth="1"/>
    <col min="6413" max="6413" width="1.5703125" style="1068" customWidth="1"/>
    <col min="6414" max="6414" width="12.5703125" style="1068" customWidth="1"/>
    <col min="6415" max="6415" width="1.5703125" style="1068" customWidth="1"/>
    <col min="6416" max="6416" width="22.5703125" style="1068" customWidth="1"/>
    <col min="6417" max="6417" width="4.5703125" style="1068" customWidth="1"/>
    <col min="6418" max="6431" width="0" style="1068" hidden="1" customWidth="1"/>
    <col min="6432" max="6656" width="8.85546875" style="1068"/>
    <col min="6657" max="6657" width="0" style="1068" hidden="1" customWidth="1"/>
    <col min="6658" max="6658" width="11.42578125" style="1068" customWidth="1"/>
    <col min="6659" max="6659" width="1.5703125" style="1068" customWidth="1"/>
    <col min="6660" max="6660" width="7.42578125" style="1068" bestFit="1" customWidth="1"/>
    <col min="6661" max="6661" width="1.5703125" style="1068" customWidth="1"/>
    <col min="6662" max="6662" width="12.5703125" style="1068" customWidth="1"/>
    <col min="6663" max="6663" width="1.5703125" style="1068" customWidth="1"/>
    <col min="6664" max="6664" width="20.5703125" style="1068" customWidth="1"/>
    <col min="6665" max="6665" width="2.5703125" style="1068" customWidth="1"/>
    <col min="6666" max="6666" width="10.5703125" style="1068" customWidth="1"/>
    <col min="6667" max="6667" width="1.5703125" style="1068" customWidth="1"/>
    <col min="6668" max="6668" width="10.5703125" style="1068" customWidth="1"/>
    <col min="6669" max="6669" width="1.5703125" style="1068" customWidth="1"/>
    <col min="6670" max="6670" width="12.5703125" style="1068" customWidth="1"/>
    <col min="6671" max="6671" width="1.5703125" style="1068" customWidth="1"/>
    <col min="6672" max="6672" width="22.5703125" style="1068" customWidth="1"/>
    <col min="6673" max="6673" width="4.5703125" style="1068" customWidth="1"/>
    <col min="6674" max="6687" width="0" style="1068" hidden="1" customWidth="1"/>
    <col min="6688" max="6912" width="8.85546875" style="1068"/>
    <col min="6913" max="6913" width="0" style="1068" hidden="1" customWidth="1"/>
    <col min="6914" max="6914" width="11.42578125" style="1068" customWidth="1"/>
    <col min="6915" max="6915" width="1.5703125" style="1068" customWidth="1"/>
    <col min="6916" max="6916" width="7.42578125" style="1068" bestFit="1" customWidth="1"/>
    <col min="6917" max="6917" width="1.5703125" style="1068" customWidth="1"/>
    <col min="6918" max="6918" width="12.5703125" style="1068" customWidth="1"/>
    <col min="6919" max="6919" width="1.5703125" style="1068" customWidth="1"/>
    <col min="6920" max="6920" width="20.5703125" style="1068" customWidth="1"/>
    <col min="6921" max="6921" width="2.5703125" style="1068" customWidth="1"/>
    <col min="6922" max="6922" width="10.5703125" style="1068" customWidth="1"/>
    <col min="6923" max="6923" width="1.5703125" style="1068" customWidth="1"/>
    <col min="6924" max="6924" width="10.5703125" style="1068" customWidth="1"/>
    <col min="6925" max="6925" width="1.5703125" style="1068" customWidth="1"/>
    <col min="6926" max="6926" width="12.5703125" style="1068" customWidth="1"/>
    <col min="6927" max="6927" width="1.5703125" style="1068" customWidth="1"/>
    <col min="6928" max="6928" width="22.5703125" style="1068" customWidth="1"/>
    <col min="6929" max="6929" width="4.5703125" style="1068" customWidth="1"/>
    <col min="6930" max="6943" width="0" style="1068" hidden="1" customWidth="1"/>
    <col min="6944" max="7168" width="8.85546875" style="1068"/>
    <col min="7169" max="7169" width="0" style="1068" hidden="1" customWidth="1"/>
    <col min="7170" max="7170" width="11.42578125" style="1068" customWidth="1"/>
    <col min="7171" max="7171" width="1.5703125" style="1068" customWidth="1"/>
    <col min="7172" max="7172" width="7.42578125" style="1068" bestFit="1" customWidth="1"/>
    <col min="7173" max="7173" width="1.5703125" style="1068" customWidth="1"/>
    <col min="7174" max="7174" width="12.5703125" style="1068" customWidth="1"/>
    <col min="7175" max="7175" width="1.5703125" style="1068" customWidth="1"/>
    <col min="7176" max="7176" width="20.5703125" style="1068" customWidth="1"/>
    <col min="7177" max="7177" width="2.5703125" style="1068" customWidth="1"/>
    <col min="7178" max="7178" width="10.5703125" style="1068" customWidth="1"/>
    <col min="7179" max="7179" width="1.5703125" style="1068" customWidth="1"/>
    <col min="7180" max="7180" width="10.5703125" style="1068" customWidth="1"/>
    <col min="7181" max="7181" width="1.5703125" style="1068" customWidth="1"/>
    <col min="7182" max="7182" width="12.5703125" style="1068" customWidth="1"/>
    <col min="7183" max="7183" width="1.5703125" style="1068" customWidth="1"/>
    <col min="7184" max="7184" width="22.5703125" style="1068" customWidth="1"/>
    <col min="7185" max="7185" width="4.5703125" style="1068" customWidth="1"/>
    <col min="7186" max="7199" width="0" style="1068" hidden="1" customWidth="1"/>
    <col min="7200" max="7424" width="8.85546875" style="1068"/>
    <col min="7425" max="7425" width="0" style="1068" hidden="1" customWidth="1"/>
    <col min="7426" max="7426" width="11.42578125" style="1068" customWidth="1"/>
    <col min="7427" max="7427" width="1.5703125" style="1068" customWidth="1"/>
    <col min="7428" max="7428" width="7.42578125" style="1068" bestFit="1" customWidth="1"/>
    <col min="7429" max="7429" width="1.5703125" style="1068" customWidth="1"/>
    <col min="7430" max="7430" width="12.5703125" style="1068" customWidth="1"/>
    <col min="7431" max="7431" width="1.5703125" style="1068" customWidth="1"/>
    <col min="7432" max="7432" width="20.5703125" style="1068" customWidth="1"/>
    <col min="7433" max="7433" width="2.5703125" style="1068" customWidth="1"/>
    <col min="7434" max="7434" width="10.5703125" style="1068" customWidth="1"/>
    <col min="7435" max="7435" width="1.5703125" style="1068" customWidth="1"/>
    <col min="7436" max="7436" width="10.5703125" style="1068" customWidth="1"/>
    <col min="7437" max="7437" width="1.5703125" style="1068" customWidth="1"/>
    <col min="7438" max="7438" width="12.5703125" style="1068" customWidth="1"/>
    <col min="7439" max="7439" width="1.5703125" style="1068" customWidth="1"/>
    <col min="7440" max="7440" width="22.5703125" style="1068" customWidth="1"/>
    <col min="7441" max="7441" width="4.5703125" style="1068" customWidth="1"/>
    <col min="7442" max="7455" width="0" style="1068" hidden="1" customWidth="1"/>
    <col min="7456" max="7680" width="8.85546875" style="1068"/>
    <col min="7681" max="7681" width="0" style="1068" hidden="1" customWidth="1"/>
    <col min="7682" max="7682" width="11.42578125" style="1068" customWidth="1"/>
    <col min="7683" max="7683" width="1.5703125" style="1068" customWidth="1"/>
    <col min="7684" max="7684" width="7.42578125" style="1068" bestFit="1" customWidth="1"/>
    <col min="7685" max="7685" width="1.5703125" style="1068" customWidth="1"/>
    <col min="7686" max="7686" width="12.5703125" style="1068" customWidth="1"/>
    <col min="7687" max="7687" width="1.5703125" style="1068" customWidth="1"/>
    <col min="7688" max="7688" width="20.5703125" style="1068" customWidth="1"/>
    <col min="7689" max="7689" width="2.5703125" style="1068" customWidth="1"/>
    <col min="7690" max="7690" width="10.5703125" style="1068" customWidth="1"/>
    <col min="7691" max="7691" width="1.5703125" style="1068" customWidth="1"/>
    <col min="7692" max="7692" width="10.5703125" style="1068" customWidth="1"/>
    <col min="7693" max="7693" width="1.5703125" style="1068" customWidth="1"/>
    <col min="7694" max="7694" width="12.5703125" style="1068" customWidth="1"/>
    <col min="7695" max="7695" width="1.5703125" style="1068" customWidth="1"/>
    <col min="7696" max="7696" width="22.5703125" style="1068" customWidth="1"/>
    <col min="7697" max="7697" width="4.5703125" style="1068" customWidth="1"/>
    <col min="7698" max="7711" width="0" style="1068" hidden="1" customWidth="1"/>
    <col min="7712" max="7936" width="8.85546875" style="1068"/>
    <col min="7937" max="7937" width="0" style="1068" hidden="1" customWidth="1"/>
    <col min="7938" max="7938" width="11.42578125" style="1068" customWidth="1"/>
    <col min="7939" max="7939" width="1.5703125" style="1068" customWidth="1"/>
    <col min="7940" max="7940" width="7.42578125" style="1068" bestFit="1" customWidth="1"/>
    <col min="7941" max="7941" width="1.5703125" style="1068" customWidth="1"/>
    <col min="7942" max="7942" width="12.5703125" style="1068" customWidth="1"/>
    <col min="7943" max="7943" width="1.5703125" style="1068" customWidth="1"/>
    <col min="7944" max="7944" width="20.5703125" style="1068" customWidth="1"/>
    <col min="7945" max="7945" width="2.5703125" style="1068" customWidth="1"/>
    <col min="7946" max="7946" width="10.5703125" style="1068" customWidth="1"/>
    <col min="7947" max="7947" width="1.5703125" style="1068" customWidth="1"/>
    <col min="7948" max="7948" width="10.5703125" style="1068" customWidth="1"/>
    <col min="7949" max="7949" width="1.5703125" style="1068" customWidth="1"/>
    <col min="7950" max="7950" width="12.5703125" style="1068" customWidth="1"/>
    <col min="7951" max="7951" width="1.5703125" style="1068" customWidth="1"/>
    <col min="7952" max="7952" width="22.5703125" style="1068" customWidth="1"/>
    <col min="7953" max="7953" width="4.5703125" style="1068" customWidth="1"/>
    <col min="7954" max="7967" width="0" style="1068" hidden="1" customWidth="1"/>
    <col min="7968" max="8192" width="8.85546875" style="1068"/>
    <col min="8193" max="8193" width="0" style="1068" hidden="1" customWidth="1"/>
    <col min="8194" max="8194" width="11.42578125" style="1068" customWidth="1"/>
    <col min="8195" max="8195" width="1.5703125" style="1068" customWidth="1"/>
    <col min="8196" max="8196" width="7.42578125" style="1068" bestFit="1" customWidth="1"/>
    <col min="8197" max="8197" width="1.5703125" style="1068" customWidth="1"/>
    <col min="8198" max="8198" width="12.5703125" style="1068" customWidth="1"/>
    <col min="8199" max="8199" width="1.5703125" style="1068" customWidth="1"/>
    <col min="8200" max="8200" width="20.5703125" style="1068" customWidth="1"/>
    <col min="8201" max="8201" width="2.5703125" style="1068" customWidth="1"/>
    <col min="8202" max="8202" width="10.5703125" style="1068" customWidth="1"/>
    <col min="8203" max="8203" width="1.5703125" style="1068" customWidth="1"/>
    <col min="8204" max="8204" width="10.5703125" style="1068" customWidth="1"/>
    <col min="8205" max="8205" width="1.5703125" style="1068" customWidth="1"/>
    <col min="8206" max="8206" width="12.5703125" style="1068" customWidth="1"/>
    <col min="8207" max="8207" width="1.5703125" style="1068" customWidth="1"/>
    <col min="8208" max="8208" width="22.5703125" style="1068" customWidth="1"/>
    <col min="8209" max="8209" width="4.5703125" style="1068" customWidth="1"/>
    <col min="8210" max="8223" width="0" style="1068" hidden="1" customWidth="1"/>
    <col min="8224" max="8448" width="8.85546875" style="1068"/>
    <col min="8449" max="8449" width="0" style="1068" hidden="1" customWidth="1"/>
    <col min="8450" max="8450" width="11.42578125" style="1068" customWidth="1"/>
    <col min="8451" max="8451" width="1.5703125" style="1068" customWidth="1"/>
    <col min="8452" max="8452" width="7.42578125" style="1068" bestFit="1" customWidth="1"/>
    <col min="8453" max="8453" width="1.5703125" style="1068" customWidth="1"/>
    <col min="8454" max="8454" width="12.5703125" style="1068" customWidth="1"/>
    <col min="8455" max="8455" width="1.5703125" style="1068" customWidth="1"/>
    <col min="8456" max="8456" width="20.5703125" style="1068" customWidth="1"/>
    <col min="8457" max="8457" width="2.5703125" style="1068" customWidth="1"/>
    <col min="8458" max="8458" width="10.5703125" style="1068" customWidth="1"/>
    <col min="8459" max="8459" width="1.5703125" style="1068" customWidth="1"/>
    <col min="8460" max="8460" width="10.5703125" style="1068" customWidth="1"/>
    <col min="8461" max="8461" width="1.5703125" style="1068" customWidth="1"/>
    <col min="8462" max="8462" width="12.5703125" style="1068" customWidth="1"/>
    <col min="8463" max="8463" width="1.5703125" style="1068" customWidth="1"/>
    <col min="8464" max="8464" width="22.5703125" style="1068" customWidth="1"/>
    <col min="8465" max="8465" width="4.5703125" style="1068" customWidth="1"/>
    <col min="8466" max="8479" width="0" style="1068" hidden="1" customWidth="1"/>
    <col min="8480" max="8704" width="8.85546875" style="1068"/>
    <col min="8705" max="8705" width="0" style="1068" hidden="1" customWidth="1"/>
    <col min="8706" max="8706" width="11.42578125" style="1068" customWidth="1"/>
    <col min="8707" max="8707" width="1.5703125" style="1068" customWidth="1"/>
    <col min="8708" max="8708" width="7.42578125" style="1068" bestFit="1" customWidth="1"/>
    <col min="8709" max="8709" width="1.5703125" style="1068" customWidth="1"/>
    <col min="8710" max="8710" width="12.5703125" style="1068" customWidth="1"/>
    <col min="8711" max="8711" width="1.5703125" style="1068" customWidth="1"/>
    <col min="8712" max="8712" width="20.5703125" style="1068" customWidth="1"/>
    <col min="8713" max="8713" width="2.5703125" style="1068" customWidth="1"/>
    <col min="8714" max="8714" width="10.5703125" style="1068" customWidth="1"/>
    <col min="8715" max="8715" width="1.5703125" style="1068" customWidth="1"/>
    <col min="8716" max="8716" width="10.5703125" style="1068" customWidth="1"/>
    <col min="8717" max="8717" width="1.5703125" style="1068" customWidth="1"/>
    <col min="8718" max="8718" width="12.5703125" style="1068" customWidth="1"/>
    <col min="8719" max="8719" width="1.5703125" style="1068" customWidth="1"/>
    <col min="8720" max="8720" width="22.5703125" style="1068" customWidth="1"/>
    <col min="8721" max="8721" width="4.5703125" style="1068" customWidth="1"/>
    <col min="8722" max="8735" width="0" style="1068" hidden="1" customWidth="1"/>
    <col min="8736" max="8960" width="8.85546875" style="1068"/>
    <col min="8961" max="8961" width="0" style="1068" hidden="1" customWidth="1"/>
    <col min="8962" max="8962" width="11.42578125" style="1068" customWidth="1"/>
    <col min="8963" max="8963" width="1.5703125" style="1068" customWidth="1"/>
    <col min="8964" max="8964" width="7.42578125" style="1068" bestFit="1" customWidth="1"/>
    <col min="8965" max="8965" width="1.5703125" style="1068" customWidth="1"/>
    <col min="8966" max="8966" width="12.5703125" style="1068" customWidth="1"/>
    <col min="8967" max="8967" width="1.5703125" style="1068" customWidth="1"/>
    <col min="8968" max="8968" width="20.5703125" style="1068" customWidth="1"/>
    <col min="8969" max="8969" width="2.5703125" style="1068" customWidth="1"/>
    <col min="8970" max="8970" width="10.5703125" style="1068" customWidth="1"/>
    <col min="8971" max="8971" width="1.5703125" style="1068" customWidth="1"/>
    <col min="8972" max="8972" width="10.5703125" style="1068" customWidth="1"/>
    <col min="8973" max="8973" width="1.5703125" style="1068" customWidth="1"/>
    <col min="8974" max="8974" width="12.5703125" style="1068" customWidth="1"/>
    <col min="8975" max="8975" width="1.5703125" style="1068" customWidth="1"/>
    <col min="8976" max="8976" width="22.5703125" style="1068" customWidth="1"/>
    <col min="8977" max="8977" width="4.5703125" style="1068" customWidth="1"/>
    <col min="8978" max="8991" width="0" style="1068" hidden="1" customWidth="1"/>
    <col min="8992" max="9216" width="8.85546875" style="1068"/>
    <col min="9217" max="9217" width="0" style="1068" hidden="1" customWidth="1"/>
    <col min="9218" max="9218" width="11.42578125" style="1068" customWidth="1"/>
    <col min="9219" max="9219" width="1.5703125" style="1068" customWidth="1"/>
    <col min="9220" max="9220" width="7.42578125" style="1068" bestFit="1" customWidth="1"/>
    <col min="9221" max="9221" width="1.5703125" style="1068" customWidth="1"/>
    <col min="9222" max="9222" width="12.5703125" style="1068" customWidth="1"/>
    <col min="9223" max="9223" width="1.5703125" style="1068" customWidth="1"/>
    <col min="9224" max="9224" width="20.5703125" style="1068" customWidth="1"/>
    <col min="9225" max="9225" width="2.5703125" style="1068" customWidth="1"/>
    <col min="9226" max="9226" width="10.5703125" style="1068" customWidth="1"/>
    <col min="9227" max="9227" width="1.5703125" style="1068" customWidth="1"/>
    <col min="9228" max="9228" width="10.5703125" style="1068" customWidth="1"/>
    <col min="9229" max="9229" width="1.5703125" style="1068" customWidth="1"/>
    <col min="9230" max="9230" width="12.5703125" style="1068" customWidth="1"/>
    <col min="9231" max="9231" width="1.5703125" style="1068" customWidth="1"/>
    <col min="9232" max="9232" width="22.5703125" style="1068" customWidth="1"/>
    <col min="9233" max="9233" width="4.5703125" style="1068" customWidth="1"/>
    <col min="9234" max="9247" width="0" style="1068" hidden="1" customWidth="1"/>
    <col min="9248" max="9472" width="8.85546875" style="1068"/>
    <col min="9473" max="9473" width="0" style="1068" hidden="1" customWidth="1"/>
    <col min="9474" max="9474" width="11.42578125" style="1068" customWidth="1"/>
    <col min="9475" max="9475" width="1.5703125" style="1068" customWidth="1"/>
    <col min="9476" max="9476" width="7.42578125" style="1068" bestFit="1" customWidth="1"/>
    <col min="9477" max="9477" width="1.5703125" style="1068" customWidth="1"/>
    <col min="9478" max="9478" width="12.5703125" style="1068" customWidth="1"/>
    <col min="9479" max="9479" width="1.5703125" style="1068" customWidth="1"/>
    <col min="9480" max="9480" width="20.5703125" style="1068" customWidth="1"/>
    <col min="9481" max="9481" width="2.5703125" style="1068" customWidth="1"/>
    <col min="9482" max="9482" width="10.5703125" style="1068" customWidth="1"/>
    <col min="9483" max="9483" width="1.5703125" style="1068" customWidth="1"/>
    <col min="9484" max="9484" width="10.5703125" style="1068" customWidth="1"/>
    <col min="9485" max="9485" width="1.5703125" style="1068" customWidth="1"/>
    <col min="9486" max="9486" width="12.5703125" style="1068" customWidth="1"/>
    <col min="9487" max="9487" width="1.5703125" style="1068" customWidth="1"/>
    <col min="9488" max="9488" width="22.5703125" style="1068" customWidth="1"/>
    <col min="9489" max="9489" width="4.5703125" style="1068" customWidth="1"/>
    <col min="9490" max="9503" width="0" style="1068" hidden="1" customWidth="1"/>
    <col min="9504" max="9728" width="8.85546875" style="1068"/>
    <col min="9729" max="9729" width="0" style="1068" hidden="1" customWidth="1"/>
    <col min="9730" max="9730" width="11.42578125" style="1068" customWidth="1"/>
    <col min="9731" max="9731" width="1.5703125" style="1068" customWidth="1"/>
    <col min="9732" max="9732" width="7.42578125" style="1068" bestFit="1" customWidth="1"/>
    <col min="9733" max="9733" width="1.5703125" style="1068" customWidth="1"/>
    <col min="9734" max="9734" width="12.5703125" style="1068" customWidth="1"/>
    <col min="9735" max="9735" width="1.5703125" style="1068" customWidth="1"/>
    <col min="9736" max="9736" width="20.5703125" style="1068" customWidth="1"/>
    <col min="9737" max="9737" width="2.5703125" style="1068" customWidth="1"/>
    <col min="9738" max="9738" width="10.5703125" style="1068" customWidth="1"/>
    <col min="9739" max="9739" width="1.5703125" style="1068" customWidth="1"/>
    <col min="9740" max="9740" width="10.5703125" style="1068" customWidth="1"/>
    <col min="9741" max="9741" width="1.5703125" style="1068" customWidth="1"/>
    <col min="9742" max="9742" width="12.5703125" style="1068" customWidth="1"/>
    <col min="9743" max="9743" width="1.5703125" style="1068" customWidth="1"/>
    <col min="9744" max="9744" width="22.5703125" style="1068" customWidth="1"/>
    <col min="9745" max="9745" width="4.5703125" style="1068" customWidth="1"/>
    <col min="9746" max="9759" width="0" style="1068" hidden="1" customWidth="1"/>
    <col min="9760" max="9984" width="8.85546875" style="1068"/>
    <col min="9985" max="9985" width="0" style="1068" hidden="1" customWidth="1"/>
    <col min="9986" max="9986" width="11.42578125" style="1068" customWidth="1"/>
    <col min="9987" max="9987" width="1.5703125" style="1068" customWidth="1"/>
    <col min="9988" max="9988" width="7.42578125" style="1068" bestFit="1" customWidth="1"/>
    <col min="9989" max="9989" width="1.5703125" style="1068" customWidth="1"/>
    <col min="9990" max="9990" width="12.5703125" style="1068" customWidth="1"/>
    <col min="9991" max="9991" width="1.5703125" style="1068" customWidth="1"/>
    <col min="9992" max="9992" width="20.5703125" style="1068" customWidth="1"/>
    <col min="9993" max="9993" width="2.5703125" style="1068" customWidth="1"/>
    <col min="9994" max="9994" width="10.5703125" style="1068" customWidth="1"/>
    <col min="9995" max="9995" width="1.5703125" style="1068" customWidth="1"/>
    <col min="9996" max="9996" width="10.5703125" style="1068" customWidth="1"/>
    <col min="9997" max="9997" width="1.5703125" style="1068" customWidth="1"/>
    <col min="9998" max="9998" width="12.5703125" style="1068" customWidth="1"/>
    <col min="9999" max="9999" width="1.5703125" style="1068" customWidth="1"/>
    <col min="10000" max="10000" width="22.5703125" style="1068" customWidth="1"/>
    <col min="10001" max="10001" width="4.5703125" style="1068" customWidth="1"/>
    <col min="10002" max="10015" width="0" style="1068" hidden="1" customWidth="1"/>
    <col min="10016" max="10240" width="8.85546875" style="1068"/>
    <col min="10241" max="10241" width="0" style="1068" hidden="1" customWidth="1"/>
    <col min="10242" max="10242" width="11.42578125" style="1068" customWidth="1"/>
    <col min="10243" max="10243" width="1.5703125" style="1068" customWidth="1"/>
    <col min="10244" max="10244" width="7.42578125" style="1068" bestFit="1" customWidth="1"/>
    <col min="10245" max="10245" width="1.5703125" style="1068" customWidth="1"/>
    <col min="10246" max="10246" width="12.5703125" style="1068" customWidth="1"/>
    <col min="10247" max="10247" width="1.5703125" style="1068" customWidth="1"/>
    <col min="10248" max="10248" width="20.5703125" style="1068" customWidth="1"/>
    <col min="10249" max="10249" width="2.5703125" style="1068" customWidth="1"/>
    <col min="10250" max="10250" width="10.5703125" style="1068" customWidth="1"/>
    <col min="10251" max="10251" width="1.5703125" style="1068" customWidth="1"/>
    <col min="10252" max="10252" width="10.5703125" style="1068" customWidth="1"/>
    <col min="10253" max="10253" width="1.5703125" style="1068" customWidth="1"/>
    <col min="10254" max="10254" width="12.5703125" style="1068" customWidth="1"/>
    <col min="10255" max="10255" width="1.5703125" style="1068" customWidth="1"/>
    <col min="10256" max="10256" width="22.5703125" style="1068" customWidth="1"/>
    <col min="10257" max="10257" width="4.5703125" style="1068" customWidth="1"/>
    <col min="10258" max="10271" width="0" style="1068" hidden="1" customWidth="1"/>
    <col min="10272" max="10496" width="8.85546875" style="1068"/>
    <col min="10497" max="10497" width="0" style="1068" hidden="1" customWidth="1"/>
    <col min="10498" max="10498" width="11.42578125" style="1068" customWidth="1"/>
    <col min="10499" max="10499" width="1.5703125" style="1068" customWidth="1"/>
    <col min="10500" max="10500" width="7.42578125" style="1068" bestFit="1" customWidth="1"/>
    <col min="10501" max="10501" width="1.5703125" style="1068" customWidth="1"/>
    <col min="10502" max="10502" width="12.5703125" style="1068" customWidth="1"/>
    <col min="10503" max="10503" width="1.5703125" style="1068" customWidth="1"/>
    <col min="10504" max="10504" width="20.5703125" style="1068" customWidth="1"/>
    <col min="10505" max="10505" width="2.5703125" style="1068" customWidth="1"/>
    <col min="10506" max="10506" width="10.5703125" style="1068" customWidth="1"/>
    <col min="10507" max="10507" width="1.5703125" style="1068" customWidth="1"/>
    <col min="10508" max="10508" width="10.5703125" style="1068" customWidth="1"/>
    <col min="10509" max="10509" width="1.5703125" style="1068" customWidth="1"/>
    <col min="10510" max="10510" width="12.5703125" style="1068" customWidth="1"/>
    <col min="10511" max="10511" width="1.5703125" style="1068" customWidth="1"/>
    <col min="10512" max="10512" width="22.5703125" style="1068" customWidth="1"/>
    <col min="10513" max="10513" width="4.5703125" style="1068" customWidth="1"/>
    <col min="10514" max="10527" width="0" style="1068" hidden="1" customWidth="1"/>
    <col min="10528" max="10752" width="8.85546875" style="1068"/>
    <col min="10753" max="10753" width="0" style="1068" hidden="1" customWidth="1"/>
    <col min="10754" max="10754" width="11.42578125" style="1068" customWidth="1"/>
    <col min="10755" max="10755" width="1.5703125" style="1068" customWidth="1"/>
    <col min="10756" max="10756" width="7.42578125" style="1068" bestFit="1" customWidth="1"/>
    <col min="10757" max="10757" width="1.5703125" style="1068" customWidth="1"/>
    <col min="10758" max="10758" width="12.5703125" style="1068" customWidth="1"/>
    <col min="10759" max="10759" width="1.5703125" style="1068" customWidth="1"/>
    <col min="10760" max="10760" width="20.5703125" style="1068" customWidth="1"/>
    <col min="10761" max="10761" width="2.5703125" style="1068" customWidth="1"/>
    <col min="10762" max="10762" width="10.5703125" style="1068" customWidth="1"/>
    <col min="10763" max="10763" width="1.5703125" style="1068" customWidth="1"/>
    <col min="10764" max="10764" width="10.5703125" style="1068" customWidth="1"/>
    <col min="10765" max="10765" width="1.5703125" style="1068" customWidth="1"/>
    <col min="10766" max="10766" width="12.5703125" style="1068" customWidth="1"/>
    <col min="10767" max="10767" width="1.5703125" style="1068" customWidth="1"/>
    <col min="10768" max="10768" width="22.5703125" style="1068" customWidth="1"/>
    <col min="10769" max="10769" width="4.5703125" style="1068" customWidth="1"/>
    <col min="10770" max="10783" width="0" style="1068" hidden="1" customWidth="1"/>
    <col min="10784" max="11008" width="8.85546875" style="1068"/>
    <col min="11009" max="11009" width="0" style="1068" hidden="1" customWidth="1"/>
    <col min="11010" max="11010" width="11.42578125" style="1068" customWidth="1"/>
    <col min="11011" max="11011" width="1.5703125" style="1068" customWidth="1"/>
    <col min="11012" max="11012" width="7.42578125" style="1068" bestFit="1" customWidth="1"/>
    <col min="11013" max="11013" width="1.5703125" style="1068" customWidth="1"/>
    <col min="11014" max="11014" width="12.5703125" style="1068" customWidth="1"/>
    <col min="11015" max="11015" width="1.5703125" style="1068" customWidth="1"/>
    <col min="11016" max="11016" width="20.5703125" style="1068" customWidth="1"/>
    <col min="11017" max="11017" width="2.5703125" style="1068" customWidth="1"/>
    <col min="11018" max="11018" width="10.5703125" style="1068" customWidth="1"/>
    <col min="11019" max="11019" width="1.5703125" style="1068" customWidth="1"/>
    <col min="11020" max="11020" width="10.5703125" style="1068" customWidth="1"/>
    <col min="11021" max="11021" width="1.5703125" style="1068" customWidth="1"/>
    <col min="11022" max="11022" width="12.5703125" style="1068" customWidth="1"/>
    <col min="11023" max="11023" width="1.5703125" style="1068" customWidth="1"/>
    <col min="11024" max="11024" width="22.5703125" style="1068" customWidth="1"/>
    <col min="11025" max="11025" width="4.5703125" style="1068" customWidth="1"/>
    <col min="11026" max="11039" width="0" style="1068" hidden="1" customWidth="1"/>
    <col min="11040" max="11264" width="8.85546875" style="1068"/>
    <col min="11265" max="11265" width="0" style="1068" hidden="1" customWidth="1"/>
    <col min="11266" max="11266" width="11.42578125" style="1068" customWidth="1"/>
    <col min="11267" max="11267" width="1.5703125" style="1068" customWidth="1"/>
    <col min="11268" max="11268" width="7.42578125" style="1068" bestFit="1" customWidth="1"/>
    <col min="11269" max="11269" width="1.5703125" style="1068" customWidth="1"/>
    <col min="11270" max="11270" width="12.5703125" style="1068" customWidth="1"/>
    <col min="11271" max="11271" width="1.5703125" style="1068" customWidth="1"/>
    <col min="11272" max="11272" width="20.5703125" style="1068" customWidth="1"/>
    <col min="11273" max="11273" width="2.5703125" style="1068" customWidth="1"/>
    <col min="11274" max="11274" width="10.5703125" style="1068" customWidth="1"/>
    <col min="11275" max="11275" width="1.5703125" style="1068" customWidth="1"/>
    <col min="11276" max="11276" width="10.5703125" style="1068" customWidth="1"/>
    <col min="11277" max="11277" width="1.5703125" style="1068" customWidth="1"/>
    <col min="11278" max="11278" width="12.5703125" style="1068" customWidth="1"/>
    <col min="11279" max="11279" width="1.5703125" style="1068" customWidth="1"/>
    <col min="11280" max="11280" width="22.5703125" style="1068" customWidth="1"/>
    <col min="11281" max="11281" width="4.5703125" style="1068" customWidth="1"/>
    <col min="11282" max="11295" width="0" style="1068" hidden="1" customWidth="1"/>
    <col min="11296" max="11520" width="8.85546875" style="1068"/>
    <col min="11521" max="11521" width="0" style="1068" hidden="1" customWidth="1"/>
    <col min="11522" max="11522" width="11.42578125" style="1068" customWidth="1"/>
    <col min="11523" max="11523" width="1.5703125" style="1068" customWidth="1"/>
    <col min="11524" max="11524" width="7.42578125" style="1068" bestFit="1" customWidth="1"/>
    <col min="11525" max="11525" width="1.5703125" style="1068" customWidth="1"/>
    <col min="11526" max="11526" width="12.5703125" style="1068" customWidth="1"/>
    <col min="11527" max="11527" width="1.5703125" style="1068" customWidth="1"/>
    <col min="11528" max="11528" width="20.5703125" style="1068" customWidth="1"/>
    <col min="11529" max="11529" width="2.5703125" style="1068" customWidth="1"/>
    <col min="11530" max="11530" width="10.5703125" style="1068" customWidth="1"/>
    <col min="11531" max="11531" width="1.5703125" style="1068" customWidth="1"/>
    <col min="11532" max="11532" width="10.5703125" style="1068" customWidth="1"/>
    <col min="11533" max="11533" width="1.5703125" style="1068" customWidth="1"/>
    <col min="11534" max="11534" width="12.5703125" style="1068" customWidth="1"/>
    <col min="11535" max="11535" width="1.5703125" style="1068" customWidth="1"/>
    <col min="11536" max="11536" width="22.5703125" style="1068" customWidth="1"/>
    <col min="11537" max="11537" width="4.5703125" style="1068" customWidth="1"/>
    <col min="11538" max="11551" width="0" style="1068" hidden="1" customWidth="1"/>
    <col min="11552" max="11776" width="8.85546875" style="1068"/>
    <col min="11777" max="11777" width="0" style="1068" hidden="1" customWidth="1"/>
    <col min="11778" max="11778" width="11.42578125" style="1068" customWidth="1"/>
    <col min="11779" max="11779" width="1.5703125" style="1068" customWidth="1"/>
    <col min="11780" max="11780" width="7.42578125" style="1068" bestFit="1" customWidth="1"/>
    <col min="11781" max="11781" width="1.5703125" style="1068" customWidth="1"/>
    <col min="11782" max="11782" width="12.5703125" style="1068" customWidth="1"/>
    <col min="11783" max="11783" width="1.5703125" style="1068" customWidth="1"/>
    <col min="11784" max="11784" width="20.5703125" style="1068" customWidth="1"/>
    <col min="11785" max="11785" width="2.5703125" style="1068" customWidth="1"/>
    <col min="11786" max="11786" width="10.5703125" style="1068" customWidth="1"/>
    <col min="11787" max="11787" width="1.5703125" style="1068" customWidth="1"/>
    <col min="11788" max="11788" width="10.5703125" style="1068" customWidth="1"/>
    <col min="11789" max="11789" width="1.5703125" style="1068" customWidth="1"/>
    <col min="11790" max="11790" width="12.5703125" style="1068" customWidth="1"/>
    <col min="11791" max="11791" width="1.5703125" style="1068" customWidth="1"/>
    <col min="11792" max="11792" width="22.5703125" style="1068" customWidth="1"/>
    <col min="11793" max="11793" width="4.5703125" style="1068" customWidth="1"/>
    <col min="11794" max="11807" width="0" style="1068" hidden="1" customWidth="1"/>
    <col min="11808" max="12032" width="8.85546875" style="1068"/>
    <col min="12033" max="12033" width="0" style="1068" hidden="1" customWidth="1"/>
    <col min="12034" max="12034" width="11.42578125" style="1068" customWidth="1"/>
    <col min="12035" max="12035" width="1.5703125" style="1068" customWidth="1"/>
    <col min="12036" max="12036" width="7.42578125" style="1068" bestFit="1" customWidth="1"/>
    <col min="12037" max="12037" width="1.5703125" style="1068" customWidth="1"/>
    <col min="12038" max="12038" width="12.5703125" style="1068" customWidth="1"/>
    <col min="12039" max="12039" width="1.5703125" style="1068" customWidth="1"/>
    <col min="12040" max="12040" width="20.5703125" style="1068" customWidth="1"/>
    <col min="12041" max="12041" width="2.5703125" style="1068" customWidth="1"/>
    <col min="12042" max="12042" width="10.5703125" style="1068" customWidth="1"/>
    <col min="12043" max="12043" width="1.5703125" style="1068" customWidth="1"/>
    <col min="12044" max="12044" width="10.5703125" style="1068" customWidth="1"/>
    <col min="12045" max="12045" width="1.5703125" style="1068" customWidth="1"/>
    <col min="12046" max="12046" width="12.5703125" style="1068" customWidth="1"/>
    <col min="12047" max="12047" width="1.5703125" style="1068" customWidth="1"/>
    <col min="12048" max="12048" width="22.5703125" style="1068" customWidth="1"/>
    <col min="12049" max="12049" width="4.5703125" style="1068" customWidth="1"/>
    <col min="12050" max="12063" width="0" style="1068" hidden="1" customWidth="1"/>
    <col min="12064" max="12288" width="8.85546875" style="1068"/>
    <col min="12289" max="12289" width="0" style="1068" hidden="1" customWidth="1"/>
    <col min="12290" max="12290" width="11.42578125" style="1068" customWidth="1"/>
    <col min="12291" max="12291" width="1.5703125" style="1068" customWidth="1"/>
    <col min="12292" max="12292" width="7.42578125" style="1068" bestFit="1" customWidth="1"/>
    <col min="12293" max="12293" width="1.5703125" style="1068" customWidth="1"/>
    <col min="12294" max="12294" width="12.5703125" style="1068" customWidth="1"/>
    <col min="12295" max="12295" width="1.5703125" style="1068" customWidth="1"/>
    <col min="12296" max="12296" width="20.5703125" style="1068" customWidth="1"/>
    <col min="12297" max="12297" width="2.5703125" style="1068" customWidth="1"/>
    <col min="12298" max="12298" width="10.5703125" style="1068" customWidth="1"/>
    <col min="12299" max="12299" width="1.5703125" style="1068" customWidth="1"/>
    <col min="12300" max="12300" width="10.5703125" style="1068" customWidth="1"/>
    <col min="12301" max="12301" width="1.5703125" style="1068" customWidth="1"/>
    <col min="12302" max="12302" width="12.5703125" style="1068" customWidth="1"/>
    <col min="12303" max="12303" width="1.5703125" style="1068" customWidth="1"/>
    <col min="12304" max="12304" width="22.5703125" style="1068" customWidth="1"/>
    <col min="12305" max="12305" width="4.5703125" style="1068" customWidth="1"/>
    <col min="12306" max="12319" width="0" style="1068" hidden="1" customWidth="1"/>
    <col min="12320" max="12544" width="8.85546875" style="1068"/>
    <col min="12545" max="12545" width="0" style="1068" hidden="1" customWidth="1"/>
    <col min="12546" max="12546" width="11.42578125" style="1068" customWidth="1"/>
    <col min="12547" max="12547" width="1.5703125" style="1068" customWidth="1"/>
    <col min="12548" max="12548" width="7.42578125" style="1068" bestFit="1" customWidth="1"/>
    <col min="12549" max="12549" width="1.5703125" style="1068" customWidth="1"/>
    <col min="12550" max="12550" width="12.5703125" style="1068" customWidth="1"/>
    <col min="12551" max="12551" width="1.5703125" style="1068" customWidth="1"/>
    <col min="12552" max="12552" width="20.5703125" style="1068" customWidth="1"/>
    <col min="12553" max="12553" width="2.5703125" style="1068" customWidth="1"/>
    <col min="12554" max="12554" width="10.5703125" style="1068" customWidth="1"/>
    <col min="12555" max="12555" width="1.5703125" style="1068" customWidth="1"/>
    <col min="12556" max="12556" width="10.5703125" style="1068" customWidth="1"/>
    <col min="12557" max="12557" width="1.5703125" style="1068" customWidth="1"/>
    <col min="12558" max="12558" width="12.5703125" style="1068" customWidth="1"/>
    <col min="12559" max="12559" width="1.5703125" style="1068" customWidth="1"/>
    <col min="12560" max="12560" width="22.5703125" style="1068" customWidth="1"/>
    <col min="12561" max="12561" width="4.5703125" style="1068" customWidth="1"/>
    <col min="12562" max="12575" width="0" style="1068" hidden="1" customWidth="1"/>
    <col min="12576" max="12800" width="8.85546875" style="1068"/>
    <col min="12801" max="12801" width="0" style="1068" hidden="1" customWidth="1"/>
    <col min="12802" max="12802" width="11.42578125" style="1068" customWidth="1"/>
    <col min="12803" max="12803" width="1.5703125" style="1068" customWidth="1"/>
    <col min="12804" max="12804" width="7.42578125" style="1068" bestFit="1" customWidth="1"/>
    <col min="12805" max="12805" width="1.5703125" style="1068" customWidth="1"/>
    <col min="12806" max="12806" width="12.5703125" style="1068" customWidth="1"/>
    <col min="12807" max="12807" width="1.5703125" style="1068" customWidth="1"/>
    <col min="12808" max="12808" width="20.5703125" style="1068" customWidth="1"/>
    <col min="12809" max="12809" width="2.5703125" style="1068" customWidth="1"/>
    <col min="12810" max="12810" width="10.5703125" style="1068" customWidth="1"/>
    <col min="12811" max="12811" width="1.5703125" style="1068" customWidth="1"/>
    <col min="12812" max="12812" width="10.5703125" style="1068" customWidth="1"/>
    <col min="12813" max="12813" width="1.5703125" style="1068" customWidth="1"/>
    <col min="12814" max="12814" width="12.5703125" style="1068" customWidth="1"/>
    <col min="12815" max="12815" width="1.5703125" style="1068" customWidth="1"/>
    <col min="12816" max="12816" width="22.5703125" style="1068" customWidth="1"/>
    <col min="12817" max="12817" width="4.5703125" style="1068" customWidth="1"/>
    <col min="12818" max="12831" width="0" style="1068" hidden="1" customWidth="1"/>
    <col min="12832" max="13056" width="8.85546875" style="1068"/>
    <col min="13057" max="13057" width="0" style="1068" hidden="1" customWidth="1"/>
    <col min="13058" max="13058" width="11.42578125" style="1068" customWidth="1"/>
    <col min="13059" max="13059" width="1.5703125" style="1068" customWidth="1"/>
    <col min="13060" max="13060" width="7.42578125" style="1068" bestFit="1" customWidth="1"/>
    <col min="13061" max="13061" width="1.5703125" style="1068" customWidth="1"/>
    <col min="13062" max="13062" width="12.5703125" style="1068" customWidth="1"/>
    <col min="13063" max="13063" width="1.5703125" style="1068" customWidth="1"/>
    <col min="13064" max="13064" width="20.5703125" style="1068" customWidth="1"/>
    <col min="13065" max="13065" width="2.5703125" style="1068" customWidth="1"/>
    <col min="13066" max="13066" width="10.5703125" style="1068" customWidth="1"/>
    <col min="13067" max="13067" width="1.5703125" style="1068" customWidth="1"/>
    <col min="13068" max="13068" width="10.5703125" style="1068" customWidth="1"/>
    <col min="13069" max="13069" width="1.5703125" style="1068" customWidth="1"/>
    <col min="13070" max="13070" width="12.5703125" style="1068" customWidth="1"/>
    <col min="13071" max="13071" width="1.5703125" style="1068" customWidth="1"/>
    <col min="13072" max="13072" width="22.5703125" style="1068" customWidth="1"/>
    <col min="13073" max="13073" width="4.5703125" style="1068" customWidth="1"/>
    <col min="13074" max="13087" width="0" style="1068" hidden="1" customWidth="1"/>
    <col min="13088" max="13312" width="8.85546875" style="1068"/>
    <col min="13313" max="13313" width="0" style="1068" hidden="1" customWidth="1"/>
    <col min="13314" max="13314" width="11.42578125" style="1068" customWidth="1"/>
    <col min="13315" max="13315" width="1.5703125" style="1068" customWidth="1"/>
    <col min="13316" max="13316" width="7.42578125" style="1068" bestFit="1" customWidth="1"/>
    <col min="13317" max="13317" width="1.5703125" style="1068" customWidth="1"/>
    <col min="13318" max="13318" width="12.5703125" style="1068" customWidth="1"/>
    <col min="13319" max="13319" width="1.5703125" style="1068" customWidth="1"/>
    <col min="13320" max="13320" width="20.5703125" style="1068" customWidth="1"/>
    <col min="13321" max="13321" width="2.5703125" style="1068" customWidth="1"/>
    <col min="13322" max="13322" width="10.5703125" style="1068" customWidth="1"/>
    <col min="13323" max="13323" width="1.5703125" style="1068" customWidth="1"/>
    <col min="13324" max="13324" width="10.5703125" style="1068" customWidth="1"/>
    <col min="13325" max="13325" width="1.5703125" style="1068" customWidth="1"/>
    <col min="13326" max="13326" width="12.5703125" style="1068" customWidth="1"/>
    <col min="13327" max="13327" width="1.5703125" style="1068" customWidth="1"/>
    <col min="13328" max="13328" width="22.5703125" style="1068" customWidth="1"/>
    <col min="13329" max="13329" width="4.5703125" style="1068" customWidth="1"/>
    <col min="13330" max="13343" width="0" style="1068" hidden="1" customWidth="1"/>
    <col min="13344" max="13568" width="8.85546875" style="1068"/>
    <col min="13569" max="13569" width="0" style="1068" hidden="1" customWidth="1"/>
    <col min="13570" max="13570" width="11.42578125" style="1068" customWidth="1"/>
    <col min="13571" max="13571" width="1.5703125" style="1068" customWidth="1"/>
    <col min="13572" max="13572" width="7.42578125" style="1068" bestFit="1" customWidth="1"/>
    <col min="13573" max="13573" width="1.5703125" style="1068" customWidth="1"/>
    <col min="13574" max="13574" width="12.5703125" style="1068" customWidth="1"/>
    <col min="13575" max="13575" width="1.5703125" style="1068" customWidth="1"/>
    <col min="13576" max="13576" width="20.5703125" style="1068" customWidth="1"/>
    <col min="13577" max="13577" width="2.5703125" style="1068" customWidth="1"/>
    <col min="13578" max="13578" width="10.5703125" style="1068" customWidth="1"/>
    <col min="13579" max="13579" width="1.5703125" style="1068" customWidth="1"/>
    <col min="13580" max="13580" width="10.5703125" style="1068" customWidth="1"/>
    <col min="13581" max="13581" width="1.5703125" style="1068" customWidth="1"/>
    <col min="13582" max="13582" width="12.5703125" style="1068" customWidth="1"/>
    <col min="13583" max="13583" width="1.5703125" style="1068" customWidth="1"/>
    <col min="13584" max="13584" width="22.5703125" style="1068" customWidth="1"/>
    <col min="13585" max="13585" width="4.5703125" style="1068" customWidth="1"/>
    <col min="13586" max="13599" width="0" style="1068" hidden="1" customWidth="1"/>
    <col min="13600" max="13824" width="8.85546875" style="1068"/>
    <col min="13825" max="13825" width="0" style="1068" hidden="1" customWidth="1"/>
    <col min="13826" max="13826" width="11.42578125" style="1068" customWidth="1"/>
    <col min="13827" max="13827" width="1.5703125" style="1068" customWidth="1"/>
    <col min="13828" max="13828" width="7.42578125" style="1068" bestFit="1" customWidth="1"/>
    <col min="13829" max="13829" width="1.5703125" style="1068" customWidth="1"/>
    <col min="13830" max="13830" width="12.5703125" style="1068" customWidth="1"/>
    <col min="13831" max="13831" width="1.5703125" style="1068" customWidth="1"/>
    <col min="13832" max="13832" width="20.5703125" style="1068" customWidth="1"/>
    <col min="13833" max="13833" width="2.5703125" style="1068" customWidth="1"/>
    <col min="13834" max="13834" width="10.5703125" style="1068" customWidth="1"/>
    <col min="13835" max="13835" width="1.5703125" style="1068" customWidth="1"/>
    <col min="13836" max="13836" width="10.5703125" style="1068" customWidth="1"/>
    <col min="13837" max="13837" width="1.5703125" style="1068" customWidth="1"/>
    <col min="13838" max="13838" width="12.5703125" style="1068" customWidth="1"/>
    <col min="13839" max="13839" width="1.5703125" style="1068" customWidth="1"/>
    <col min="13840" max="13840" width="22.5703125" style="1068" customWidth="1"/>
    <col min="13841" max="13841" width="4.5703125" style="1068" customWidth="1"/>
    <col min="13842" max="13855" width="0" style="1068" hidden="1" customWidth="1"/>
    <col min="13856" max="14080" width="8.85546875" style="1068"/>
    <col min="14081" max="14081" width="0" style="1068" hidden="1" customWidth="1"/>
    <col min="14082" max="14082" width="11.42578125" style="1068" customWidth="1"/>
    <col min="14083" max="14083" width="1.5703125" style="1068" customWidth="1"/>
    <col min="14084" max="14084" width="7.42578125" style="1068" bestFit="1" customWidth="1"/>
    <col min="14085" max="14085" width="1.5703125" style="1068" customWidth="1"/>
    <col min="14086" max="14086" width="12.5703125" style="1068" customWidth="1"/>
    <col min="14087" max="14087" width="1.5703125" style="1068" customWidth="1"/>
    <col min="14088" max="14088" width="20.5703125" style="1068" customWidth="1"/>
    <col min="14089" max="14089" width="2.5703125" style="1068" customWidth="1"/>
    <col min="14090" max="14090" width="10.5703125" style="1068" customWidth="1"/>
    <col min="14091" max="14091" width="1.5703125" style="1068" customWidth="1"/>
    <col min="14092" max="14092" width="10.5703125" style="1068" customWidth="1"/>
    <col min="14093" max="14093" width="1.5703125" style="1068" customWidth="1"/>
    <col min="14094" max="14094" width="12.5703125" style="1068" customWidth="1"/>
    <col min="14095" max="14095" width="1.5703125" style="1068" customWidth="1"/>
    <col min="14096" max="14096" width="22.5703125" style="1068" customWidth="1"/>
    <col min="14097" max="14097" width="4.5703125" style="1068" customWidth="1"/>
    <col min="14098" max="14111" width="0" style="1068" hidden="1" customWidth="1"/>
    <col min="14112" max="14336" width="8.85546875" style="1068"/>
    <col min="14337" max="14337" width="0" style="1068" hidden="1" customWidth="1"/>
    <col min="14338" max="14338" width="11.42578125" style="1068" customWidth="1"/>
    <col min="14339" max="14339" width="1.5703125" style="1068" customWidth="1"/>
    <col min="14340" max="14340" width="7.42578125" style="1068" bestFit="1" customWidth="1"/>
    <col min="14341" max="14341" width="1.5703125" style="1068" customWidth="1"/>
    <col min="14342" max="14342" width="12.5703125" style="1068" customWidth="1"/>
    <col min="14343" max="14343" width="1.5703125" style="1068" customWidth="1"/>
    <col min="14344" max="14344" width="20.5703125" style="1068" customWidth="1"/>
    <col min="14345" max="14345" width="2.5703125" style="1068" customWidth="1"/>
    <col min="14346" max="14346" width="10.5703125" style="1068" customWidth="1"/>
    <col min="14347" max="14347" width="1.5703125" style="1068" customWidth="1"/>
    <col min="14348" max="14348" width="10.5703125" style="1068" customWidth="1"/>
    <col min="14349" max="14349" width="1.5703125" style="1068" customWidth="1"/>
    <col min="14350" max="14350" width="12.5703125" style="1068" customWidth="1"/>
    <col min="14351" max="14351" width="1.5703125" style="1068" customWidth="1"/>
    <col min="14352" max="14352" width="22.5703125" style="1068" customWidth="1"/>
    <col min="14353" max="14353" width="4.5703125" style="1068" customWidth="1"/>
    <col min="14354" max="14367" width="0" style="1068" hidden="1" customWidth="1"/>
    <col min="14368" max="14592" width="8.85546875" style="1068"/>
    <col min="14593" max="14593" width="0" style="1068" hidden="1" customWidth="1"/>
    <col min="14594" max="14594" width="11.42578125" style="1068" customWidth="1"/>
    <col min="14595" max="14595" width="1.5703125" style="1068" customWidth="1"/>
    <col min="14596" max="14596" width="7.42578125" style="1068" bestFit="1" customWidth="1"/>
    <col min="14597" max="14597" width="1.5703125" style="1068" customWidth="1"/>
    <col min="14598" max="14598" width="12.5703125" style="1068" customWidth="1"/>
    <col min="14599" max="14599" width="1.5703125" style="1068" customWidth="1"/>
    <col min="14600" max="14600" width="20.5703125" style="1068" customWidth="1"/>
    <col min="14601" max="14601" width="2.5703125" style="1068" customWidth="1"/>
    <col min="14602" max="14602" width="10.5703125" style="1068" customWidth="1"/>
    <col min="14603" max="14603" width="1.5703125" style="1068" customWidth="1"/>
    <col min="14604" max="14604" width="10.5703125" style="1068" customWidth="1"/>
    <col min="14605" max="14605" width="1.5703125" style="1068" customWidth="1"/>
    <col min="14606" max="14606" width="12.5703125" style="1068" customWidth="1"/>
    <col min="14607" max="14607" width="1.5703125" style="1068" customWidth="1"/>
    <col min="14608" max="14608" width="22.5703125" style="1068" customWidth="1"/>
    <col min="14609" max="14609" width="4.5703125" style="1068" customWidth="1"/>
    <col min="14610" max="14623" width="0" style="1068" hidden="1" customWidth="1"/>
    <col min="14624" max="14848" width="8.85546875" style="1068"/>
    <col min="14849" max="14849" width="0" style="1068" hidden="1" customWidth="1"/>
    <col min="14850" max="14850" width="11.42578125" style="1068" customWidth="1"/>
    <col min="14851" max="14851" width="1.5703125" style="1068" customWidth="1"/>
    <col min="14852" max="14852" width="7.42578125" style="1068" bestFit="1" customWidth="1"/>
    <col min="14853" max="14853" width="1.5703125" style="1068" customWidth="1"/>
    <col min="14854" max="14854" width="12.5703125" style="1068" customWidth="1"/>
    <col min="14855" max="14855" width="1.5703125" style="1068" customWidth="1"/>
    <col min="14856" max="14856" width="20.5703125" style="1068" customWidth="1"/>
    <col min="14857" max="14857" width="2.5703125" style="1068" customWidth="1"/>
    <col min="14858" max="14858" width="10.5703125" style="1068" customWidth="1"/>
    <col min="14859" max="14859" width="1.5703125" style="1068" customWidth="1"/>
    <col min="14860" max="14860" width="10.5703125" style="1068" customWidth="1"/>
    <col min="14861" max="14861" width="1.5703125" style="1068" customWidth="1"/>
    <col min="14862" max="14862" width="12.5703125" style="1068" customWidth="1"/>
    <col min="14863" max="14863" width="1.5703125" style="1068" customWidth="1"/>
    <col min="14864" max="14864" width="22.5703125" style="1068" customWidth="1"/>
    <col min="14865" max="14865" width="4.5703125" style="1068" customWidth="1"/>
    <col min="14866" max="14879" width="0" style="1068" hidden="1" customWidth="1"/>
    <col min="14880" max="15104" width="8.85546875" style="1068"/>
    <col min="15105" max="15105" width="0" style="1068" hidden="1" customWidth="1"/>
    <col min="15106" max="15106" width="11.42578125" style="1068" customWidth="1"/>
    <col min="15107" max="15107" width="1.5703125" style="1068" customWidth="1"/>
    <col min="15108" max="15108" width="7.42578125" style="1068" bestFit="1" customWidth="1"/>
    <col min="15109" max="15109" width="1.5703125" style="1068" customWidth="1"/>
    <col min="15110" max="15110" width="12.5703125" style="1068" customWidth="1"/>
    <col min="15111" max="15111" width="1.5703125" style="1068" customWidth="1"/>
    <col min="15112" max="15112" width="20.5703125" style="1068" customWidth="1"/>
    <col min="15113" max="15113" width="2.5703125" style="1068" customWidth="1"/>
    <col min="15114" max="15114" width="10.5703125" style="1068" customWidth="1"/>
    <col min="15115" max="15115" width="1.5703125" style="1068" customWidth="1"/>
    <col min="15116" max="15116" width="10.5703125" style="1068" customWidth="1"/>
    <col min="15117" max="15117" width="1.5703125" style="1068" customWidth="1"/>
    <col min="15118" max="15118" width="12.5703125" style="1068" customWidth="1"/>
    <col min="15119" max="15119" width="1.5703125" style="1068" customWidth="1"/>
    <col min="15120" max="15120" width="22.5703125" style="1068" customWidth="1"/>
    <col min="15121" max="15121" width="4.5703125" style="1068" customWidth="1"/>
    <col min="15122" max="15135" width="0" style="1068" hidden="1" customWidth="1"/>
    <col min="15136" max="15360" width="8.85546875" style="1068"/>
    <col min="15361" max="15361" width="0" style="1068" hidden="1" customWidth="1"/>
    <col min="15362" max="15362" width="11.42578125" style="1068" customWidth="1"/>
    <col min="15363" max="15363" width="1.5703125" style="1068" customWidth="1"/>
    <col min="15364" max="15364" width="7.42578125" style="1068" bestFit="1" customWidth="1"/>
    <col min="15365" max="15365" width="1.5703125" style="1068" customWidth="1"/>
    <col min="15366" max="15366" width="12.5703125" style="1068" customWidth="1"/>
    <col min="15367" max="15367" width="1.5703125" style="1068" customWidth="1"/>
    <col min="15368" max="15368" width="20.5703125" style="1068" customWidth="1"/>
    <col min="15369" max="15369" width="2.5703125" style="1068" customWidth="1"/>
    <col min="15370" max="15370" width="10.5703125" style="1068" customWidth="1"/>
    <col min="15371" max="15371" width="1.5703125" style="1068" customWidth="1"/>
    <col min="15372" max="15372" width="10.5703125" style="1068" customWidth="1"/>
    <col min="15373" max="15373" width="1.5703125" style="1068" customWidth="1"/>
    <col min="15374" max="15374" width="12.5703125" style="1068" customWidth="1"/>
    <col min="15375" max="15375" width="1.5703125" style="1068" customWidth="1"/>
    <col min="15376" max="15376" width="22.5703125" style="1068" customWidth="1"/>
    <col min="15377" max="15377" width="4.5703125" style="1068" customWidth="1"/>
    <col min="15378" max="15391" width="0" style="1068" hidden="1" customWidth="1"/>
    <col min="15392" max="15616" width="8.85546875" style="1068"/>
    <col min="15617" max="15617" width="0" style="1068" hidden="1" customWidth="1"/>
    <col min="15618" max="15618" width="11.42578125" style="1068" customWidth="1"/>
    <col min="15619" max="15619" width="1.5703125" style="1068" customWidth="1"/>
    <col min="15620" max="15620" width="7.42578125" style="1068" bestFit="1" customWidth="1"/>
    <col min="15621" max="15621" width="1.5703125" style="1068" customWidth="1"/>
    <col min="15622" max="15622" width="12.5703125" style="1068" customWidth="1"/>
    <col min="15623" max="15623" width="1.5703125" style="1068" customWidth="1"/>
    <col min="15624" max="15624" width="20.5703125" style="1068" customWidth="1"/>
    <col min="15625" max="15625" width="2.5703125" style="1068" customWidth="1"/>
    <col min="15626" max="15626" width="10.5703125" style="1068" customWidth="1"/>
    <col min="15627" max="15627" width="1.5703125" style="1068" customWidth="1"/>
    <col min="15628" max="15628" width="10.5703125" style="1068" customWidth="1"/>
    <col min="15629" max="15629" width="1.5703125" style="1068" customWidth="1"/>
    <col min="15630" max="15630" width="12.5703125" style="1068" customWidth="1"/>
    <col min="15631" max="15631" width="1.5703125" style="1068" customWidth="1"/>
    <col min="15632" max="15632" width="22.5703125" style="1068" customWidth="1"/>
    <col min="15633" max="15633" width="4.5703125" style="1068" customWidth="1"/>
    <col min="15634" max="15647" width="0" style="1068" hidden="1" customWidth="1"/>
    <col min="15648" max="15872" width="8.85546875" style="1068"/>
    <col min="15873" max="15873" width="0" style="1068" hidden="1" customWidth="1"/>
    <col min="15874" max="15874" width="11.42578125" style="1068" customWidth="1"/>
    <col min="15875" max="15875" width="1.5703125" style="1068" customWidth="1"/>
    <col min="15876" max="15876" width="7.42578125" style="1068" bestFit="1" customWidth="1"/>
    <col min="15877" max="15877" width="1.5703125" style="1068" customWidth="1"/>
    <col min="15878" max="15878" width="12.5703125" style="1068" customWidth="1"/>
    <col min="15879" max="15879" width="1.5703125" style="1068" customWidth="1"/>
    <col min="15880" max="15880" width="20.5703125" style="1068" customWidth="1"/>
    <col min="15881" max="15881" width="2.5703125" style="1068" customWidth="1"/>
    <col min="15882" max="15882" width="10.5703125" style="1068" customWidth="1"/>
    <col min="15883" max="15883" width="1.5703125" style="1068" customWidth="1"/>
    <col min="15884" max="15884" width="10.5703125" style="1068" customWidth="1"/>
    <col min="15885" max="15885" width="1.5703125" style="1068" customWidth="1"/>
    <col min="15886" max="15886" width="12.5703125" style="1068" customWidth="1"/>
    <col min="15887" max="15887" width="1.5703125" style="1068" customWidth="1"/>
    <col min="15888" max="15888" width="22.5703125" style="1068" customWidth="1"/>
    <col min="15889" max="15889" width="4.5703125" style="1068" customWidth="1"/>
    <col min="15890" max="15903" width="0" style="1068" hidden="1" customWidth="1"/>
    <col min="15904" max="16128" width="8.85546875" style="1068"/>
    <col min="16129" max="16129" width="0" style="1068" hidden="1" customWidth="1"/>
    <col min="16130" max="16130" width="11.42578125" style="1068" customWidth="1"/>
    <col min="16131" max="16131" width="1.5703125" style="1068" customWidth="1"/>
    <col min="16132" max="16132" width="7.42578125" style="1068" bestFit="1" customWidth="1"/>
    <col min="16133" max="16133" width="1.5703125" style="1068" customWidth="1"/>
    <col min="16134" max="16134" width="12.5703125" style="1068" customWidth="1"/>
    <col min="16135" max="16135" width="1.5703125" style="1068" customWidth="1"/>
    <col min="16136" max="16136" width="20.5703125" style="1068" customWidth="1"/>
    <col min="16137" max="16137" width="2.5703125" style="1068" customWidth="1"/>
    <col min="16138" max="16138" width="10.5703125" style="1068" customWidth="1"/>
    <col min="16139" max="16139" width="1.5703125" style="1068" customWidth="1"/>
    <col min="16140" max="16140" width="10.5703125" style="1068" customWidth="1"/>
    <col min="16141" max="16141" width="1.5703125" style="1068" customWidth="1"/>
    <col min="16142" max="16142" width="12.5703125" style="1068" customWidth="1"/>
    <col min="16143" max="16143" width="1.5703125" style="1068" customWidth="1"/>
    <col min="16144" max="16144" width="22.5703125" style="1068" customWidth="1"/>
    <col min="16145" max="16145" width="4.5703125" style="1068" customWidth="1"/>
    <col min="16146" max="16159" width="0" style="1068" hidden="1" customWidth="1"/>
    <col min="16160" max="16384" width="8.85546875" style="1068"/>
  </cols>
  <sheetData>
    <row r="1" spans="2:35" ht="25.15" customHeight="1" x14ac:dyDescent="0.25">
      <c r="B1" s="2870" t="str">
        <f>Index!A1</f>
        <v xml:space="preserve">                                                               Office of the State Controller                                                                </v>
      </c>
      <c r="C1" s="2870"/>
      <c r="D1" s="2870"/>
      <c r="E1" s="2870"/>
      <c r="F1" s="2870"/>
      <c r="G1" s="2870"/>
      <c r="H1" s="2870"/>
      <c r="I1" s="2870"/>
      <c r="J1" s="2870"/>
      <c r="K1" s="2870"/>
      <c r="L1" s="2870"/>
      <c r="M1" s="2870"/>
      <c r="N1" s="2870"/>
      <c r="O1" s="2870"/>
      <c r="P1" s="2870"/>
      <c r="Q1" s="2626"/>
      <c r="R1" s="2298"/>
      <c r="S1" s="2298"/>
      <c r="T1" s="2298"/>
      <c r="U1" s="2298"/>
      <c r="V1" s="2298"/>
      <c r="W1" s="2298"/>
      <c r="X1" s="2298"/>
      <c r="Y1" s="2298"/>
      <c r="Z1" s="2298"/>
      <c r="AA1" s="2298"/>
      <c r="AB1" s="2298"/>
      <c r="AC1" s="2298"/>
      <c r="AI1" s="2298" t="s">
        <v>655</v>
      </c>
    </row>
    <row r="2" spans="2:35" ht="15" customHeight="1" x14ac:dyDescent="0.25">
      <c r="B2" s="2871" t="s">
        <v>1859</v>
      </c>
      <c r="C2" s="2871"/>
      <c r="D2" s="2871"/>
      <c r="E2" s="2871"/>
      <c r="F2" s="2871"/>
      <c r="G2" s="2871"/>
      <c r="H2" s="2871"/>
      <c r="I2" s="2871"/>
      <c r="J2" s="2871"/>
      <c r="K2" s="2871"/>
      <c r="L2" s="2871"/>
      <c r="M2" s="2871"/>
      <c r="N2" s="2871"/>
      <c r="O2" s="2871"/>
      <c r="P2" s="2871"/>
      <c r="Q2" s="2626"/>
      <c r="R2" s="2298"/>
      <c r="S2" s="2298"/>
      <c r="T2" s="2298"/>
      <c r="U2" s="2298"/>
      <c r="V2" s="2298"/>
      <c r="W2" s="2298"/>
      <c r="X2" s="2298"/>
      <c r="Y2" s="2298"/>
      <c r="Z2" s="2298"/>
      <c r="AA2" s="2298"/>
      <c r="AB2" s="2298"/>
      <c r="AC2" s="2298"/>
      <c r="AI2" s="2298"/>
    </row>
    <row r="3" spans="2:35" ht="15" customHeight="1" x14ac:dyDescent="0.25">
      <c r="B3" s="2872" t="s">
        <v>2034</v>
      </c>
      <c r="C3" s="2872"/>
      <c r="D3" s="2872"/>
      <c r="E3" s="2872"/>
      <c r="F3" s="2872"/>
      <c r="G3" s="2872"/>
      <c r="H3" s="2872"/>
      <c r="I3" s="2872"/>
      <c r="J3" s="2872"/>
      <c r="K3" s="2872"/>
      <c r="L3" s="2872"/>
      <c r="M3" s="2872"/>
      <c r="N3" s="2872"/>
      <c r="O3" s="2872"/>
      <c r="P3" s="2872"/>
      <c r="Q3" s="2626"/>
      <c r="R3" s="2298"/>
      <c r="S3" s="2298"/>
      <c r="T3" s="2298"/>
      <c r="U3" s="2298"/>
      <c r="V3" s="2298"/>
      <c r="W3" s="2298"/>
      <c r="X3" s="2298"/>
      <c r="Y3" s="2298"/>
      <c r="Z3" s="2298"/>
      <c r="AA3" s="2298"/>
      <c r="AB3" s="2298"/>
      <c r="AC3" s="2298"/>
      <c r="AI3" s="2298"/>
    </row>
    <row r="4" spans="2:35" ht="15" customHeight="1" x14ac:dyDescent="0.25">
      <c r="B4" s="1069"/>
      <c r="C4" s="1070"/>
      <c r="D4" s="1070"/>
      <c r="E4" s="1070"/>
      <c r="F4" s="1070"/>
      <c r="G4" s="1070"/>
      <c r="H4" s="1070"/>
      <c r="I4" s="1069"/>
      <c r="J4" s="1070"/>
      <c r="K4" s="1070"/>
      <c r="L4" s="1070"/>
      <c r="M4" s="1070"/>
      <c r="N4" s="1070"/>
      <c r="O4" s="2873" t="s">
        <v>1604</v>
      </c>
      <c r="P4" s="2873"/>
      <c r="Q4" s="2298"/>
      <c r="R4" s="2298"/>
      <c r="S4" s="2298"/>
      <c r="T4" s="2298"/>
      <c r="U4" s="2298"/>
      <c r="V4" s="2298"/>
      <c r="W4" s="2298"/>
      <c r="X4" s="2298"/>
      <c r="Y4" s="2298"/>
      <c r="Z4" s="2298"/>
      <c r="AA4" s="2298"/>
      <c r="AB4" s="2298"/>
      <c r="AC4" s="2298"/>
    </row>
    <row r="5" spans="2:35" s="1066" customFormat="1" ht="15" customHeight="1" x14ac:dyDescent="0.2">
      <c r="B5" s="2008" t="s">
        <v>318</v>
      </c>
      <c r="C5" s="1071"/>
      <c r="D5" s="2385" t="str">
        <f>AgyIdx</f>
        <v>01</v>
      </c>
      <c r="E5" s="2025"/>
      <c r="F5" s="2025"/>
      <c r="G5" s="1084"/>
      <c r="H5" s="2025"/>
      <c r="I5" s="1071"/>
      <c r="J5" s="2008" t="s">
        <v>320</v>
      </c>
      <c r="K5" s="1072"/>
      <c r="L5" s="2874" t="str">
        <f>CONCATENATE(Index!$E$12," ",Index!$E$14)</f>
        <v xml:space="preserve"> </v>
      </c>
      <c r="M5" s="2874"/>
      <c r="N5" s="2874"/>
      <c r="O5" s="2874"/>
      <c r="P5" s="2874"/>
    </row>
    <row r="6" spans="2:35" s="1066" customFormat="1" ht="15" customHeight="1" x14ac:dyDescent="0.2">
      <c r="B6" s="2008" t="s">
        <v>319</v>
      </c>
      <c r="C6" s="1071"/>
      <c r="D6" s="2900" t="str">
        <f>+Index!$E$11</f>
        <v>North Carolina General Assembly</v>
      </c>
      <c r="E6" s="2900"/>
      <c r="F6" s="2900"/>
      <c r="G6" s="2900"/>
      <c r="H6" s="2900"/>
      <c r="I6" s="1071"/>
      <c r="J6" s="2008" t="s">
        <v>168</v>
      </c>
      <c r="K6" s="1071"/>
      <c r="L6" s="2901">
        <f>+Index!$E$13</f>
        <v>0</v>
      </c>
      <c r="M6" s="2901"/>
      <c r="N6" s="2901"/>
      <c r="O6" s="2901"/>
      <c r="P6" s="2901"/>
    </row>
    <row r="7" spans="2:35" s="1066" customFormat="1" ht="15" customHeight="1" thickBot="1" x14ac:dyDescent="0.25">
      <c r="B7" s="1073"/>
      <c r="C7" s="1073"/>
      <c r="D7" s="1073"/>
      <c r="E7" s="1073"/>
      <c r="F7" s="1073"/>
      <c r="G7" s="1073"/>
      <c r="H7" s="1073"/>
      <c r="I7" s="1074"/>
      <c r="J7" s="1073"/>
      <c r="K7" s="1073"/>
      <c r="L7" s="1073"/>
      <c r="M7" s="1073"/>
      <c r="N7" s="1073"/>
      <c r="O7" s="1073"/>
      <c r="P7" s="1073"/>
    </row>
    <row r="8" spans="2:35" s="1066" customFormat="1" ht="15" customHeight="1" thickBot="1" x14ac:dyDescent="0.25">
      <c r="B8" s="2026" t="s">
        <v>2035</v>
      </c>
      <c r="C8" s="2007"/>
      <c r="D8" s="2007"/>
      <c r="E8" s="2007"/>
      <c r="F8" s="2007"/>
      <c r="G8" s="2007"/>
      <c r="H8" s="2007"/>
      <c r="I8" s="1074"/>
      <c r="J8" s="2007"/>
      <c r="K8" s="2007"/>
      <c r="L8" s="2007"/>
      <c r="M8" s="2007"/>
      <c r="N8" s="2007"/>
      <c r="O8" s="2007"/>
      <c r="P8" s="2007"/>
    </row>
    <row r="9" spans="2:35" s="1066" customFormat="1" ht="15" customHeight="1" thickBot="1" x14ac:dyDescent="0.25">
      <c r="B9" s="2026" t="s">
        <v>2036</v>
      </c>
      <c r="C9" s="2026"/>
      <c r="D9" s="2026"/>
      <c r="E9" s="2026"/>
      <c r="F9" s="2026"/>
      <c r="G9" s="2026"/>
      <c r="H9" s="2026"/>
      <c r="I9" s="2027"/>
      <c r="J9" s="2026"/>
      <c r="K9" s="2026"/>
      <c r="L9" s="2026"/>
      <c r="M9" s="2026"/>
      <c r="N9" s="2026"/>
      <c r="O9" s="2026"/>
      <c r="P9" s="2026"/>
    </row>
    <row r="10" spans="2:35" s="1066" customFormat="1" ht="15" customHeight="1" x14ac:dyDescent="0.2">
      <c r="B10" s="1071"/>
      <c r="C10" s="1071"/>
      <c r="D10" s="1071"/>
      <c r="E10" s="1071"/>
      <c r="F10" s="1075" t="s">
        <v>1865</v>
      </c>
      <c r="G10" s="1071"/>
      <c r="H10" s="1071"/>
      <c r="I10" s="1075"/>
      <c r="J10" s="1071"/>
      <c r="K10" s="1071"/>
      <c r="L10" s="1071"/>
      <c r="M10" s="1071"/>
      <c r="N10" s="1075" t="s">
        <v>1866</v>
      </c>
      <c r="O10" s="1071"/>
      <c r="P10" s="1071"/>
    </row>
    <row r="11" spans="2:35" s="1066" customFormat="1" ht="15" customHeight="1" x14ac:dyDescent="0.2">
      <c r="B11" s="1075" t="s">
        <v>1867</v>
      </c>
      <c r="C11" s="1071"/>
      <c r="D11" s="1075" t="s">
        <v>1868</v>
      </c>
      <c r="E11" s="1071"/>
      <c r="F11" s="1075" t="s">
        <v>756</v>
      </c>
      <c r="G11" s="1071"/>
      <c r="H11" s="1071"/>
      <c r="I11" s="1075"/>
      <c r="J11" s="1075" t="s">
        <v>1869</v>
      </c>
      <c r="K11" s="1071"/>
      <c r="L11" s="1075" t="s">
        <v>1869</v>
      </c>
      <c r="M11" s="1071"/>
      <c r="N11" s="1075" t="s">
        <v>1870</v>
      </c>
      <c r="O11" s="1071"/>
      <c r="P11" s="1071"/>
    </row>
    <row r="12" spans="2:35" s="1066" customFormat="1" ht="15" customHeight="1" thickBot="1" x14ac:dyDescent="0.25">
      <c r="B12" s="2007" t="s">
        <v>1871</v>
      </c>
      <c r="C12" s="1075"/>
      <c r="D12" s="2007" t="s">
        <v>1707</v>
      </c>
      <c r="E12" s="1075"/>
      <c r="F12" s="2007" t="s">
        <v>2037</v>
      </c>
      <c r="G12" s="1071"/>
      <c r="H12" s="2007" t="s">
        <v>1359</v>
      </c>
      <c r="I12" s="1075"/>
      <c r="J12" s="2007" t="s">
        <v>1873</v>
      </c>
      <c r="K12" s="1075"/>
      <c r="L12" s="2007" t="s">
        <v>1874</v>
      </c>
      <c r="M12" s="1075"/>
      <c r="N12" s="2007" t="s">
        <v>1875</v>
      </c>
      <c r="O12" s="1071"/>
      <c r="P12" s="2007" t="s">
        <v>1876</v>
      </c>
      <c r="Q12" s="1077" t="s">
        <v>50</v>
      </c>
      <c r="R12" s="1077"/>
      <c r="S12" s="1077"/>
      <c r="T12" s="1077"/>
      <c r="U12" s="1077"/>
      <c r="V12" s="1077"/>
      <c r="W12" s="1077"/>
      <c r="X12" s="1077"/>
      <c r="Y12" s="1077"/>
      <c r="Z12" s="1077"/>
      <c r="AA12" s="1077"/>
      <c r="AB12" s="1077"/>
      <c r="AC12" s="1077"/>
    </row>
    <row r="13" spans="2:35" s="1066" customFormat="1" ht="15" customHeight="1" x14ac:dyDescent="0.2">
      <c r="B13" s="1115" t="s">
        <v>2038</v>
      </c>
      <c r="C13" s="1116"/>
      <c r="D13" s="1117">
        <v>199410</v>
      </c>
      <c r="E13" s="1116"/>
      <c r="F13" s="1117" t="s">
        <v>2039</v>
      </c>
      <c r="G13" s="1116"/>
      <c r="H13" s="1118">
        <v>100000</v>
      </c>
      <c r="I13" s="1119"/>
      <c r="J13" s="1117">
        <v>214100</v>
      </c>
      <c r="K13" s="1116"/>
      <c r="L13" s="1117" t="s">
        <v>1878</v>
      </c>
      <c r="M13" s="1116"/>
      <c r="N13" s="1115" t="s">
        <v>1879</v>
      </c>
      <c r="O13" s="1119"/>
      <c r="P13" s="2028" t="s">
        <v>1880</v>
      </c>
      <c r="Q13" s="1120" t="e">
        <f>IF(AND(R13,X13,AD13,AE13),"","*")</f>
        <v>#VALUE!</v>
      </c>
      <c r="R13" s="281" t="b">
        <f>IF(OR(S13=0,S13=4),TRUE, FALSE)</f>
        <v>1</v>
      </c>
      <c r="S13" s="281">
        <f>COUNTIF(T13:W13,FALSE)</f>
        <v>4</v>
      </c>
      <c r="T13" s="1121" t="b">
        <f>ISBLANK(B13)</f>
        <v>0</v>
      </c>
      <c r="U13" s="1121" t="b">
        <f>ISBLANK(D13)</f>
        <v>0</v>
      </c>
      <c r="V13" s="1121" t="b">
        <f>ISBLANK(F13)</f>
        <v>0</v>
      </c>
      <c r="W13" s="1121" t="b">
        <f>ISBLANK(H13)</f>
        <v>0</v>
      </c>
      <c r="X13" s="281" t="b">
        <f>IF(OR(Y13=0,Y13=4),TRUE, FALSE)</f>
        <v>1</v>
      </c>
      <c r="Y13" s="281">
        <f>COUNTIF(Z13:AC13,FALSE)</f>
        <v>4</v>
      </c>
      <c r="Z13" s="1121" t="b">
        <f>ISBLANK(J13)</f>
        <v>0</v>
      </c>
      <c r="AA13" s="1121" t="b">
        <f>ISBLANK(L13)</f>
        <v>0</v>
      </c>
      <c r="AB13" s="1121" t="b">
        <f>ISBLANK(N13)</f>
        <v>0</v>
      </c>
      <c r="AC13" s="1121" t="b">
        <f>ISBLANK(P13)</f>
        <v>0</v>
      </c>
      <c r="AD13" s="1066" t="e">
        <f>IF(ISBLANK(F13),TRUE,VALUE(LEFT(F13,4))=4381)</f>
        <v>#VALUE!</v>
      </c>
      <c r="AE13" s="1066" t="b">
        <f>IF(ISBLANK(N13),TRUE,VALUE(LEFT(N13,4))=5381)</f>
        <v>0</v>
      </c>
      <c r="AI13" s="1122" t="s">
        <v>1881</v>
      </c>
    </row>
    <row r="14" spans="2:35" s="1066" customFormat="1" ht="15" customHeight="1" x14ac:dyDescent="0.2">
      <c r="B14" s="1078"/>
      <c r="C14" s="1079"/>
      <c r="D14" s="1080"/>
      <c r="E14" s="1079"/>
      <c r="F14" s="1080"/>
      <c r="G14" s="1079"/>
      <c r="H14" s="1081"/>
      <c r="I14" s="1071"/>
      <c r="J14" s="1080"/>
      <c r="K14" s="1083"/>
      <c r="L14" s="1080"/>
      <c r="M14" s="1079"/>
      <c r="N14" s="1082"/>
      <c r="O14" s="1071"/>
      <c r="P14" s="1081"/>
      <c r="Q14" s="289" t="str">
        <f t="shared" ref="Q14:Q19" si="0">IF(AND(R14,X14,AD14,AE14),"","*")</f>
        <v/>
      </c>
      <c r="R14" s="1060" t="b">
        <f t="shared" ref="R14:R19" si="1">IF(OR(S14=0,S14=4),TRUE, FALSE)</f>
        <v>1</v>
      </c>
      <c r="S14" s="1060">
        <f t="shared" ref="S14:S19" si="2">COUNTIF(T14:W14,FALSE)</f>
        <v>0</v>
      </c>
      <c r="T14" s="1061" t="b">
        <f t="shared" ref="T14:T19" si="3">ISBLANK(B14)</f>
        <v>1</v>
      </c>
      <c r="U14" s="1061" t="b">
        <f t="shared" ref="U14:U19" si="4">ISBLANK(D14)</f>
        <v>1</v>
      </c>
      <c r="V14" s="1061" t="b">
        <f t="shared" ref="V14:V19" si="5">ISBLANK(F14)</f>
        <v>1</v>
      </c>
      <c r="W14" s="1061" t="b">
        <f t="shared" ref="W14:W19" si="6">ISBLANK(H14)</f>
        <v>1</v>
      </c>
      <c r="X14" s="1060" t="b">
        <f t="shared" ref="X14:X19" si="7">IF(OR(Y14=0,Y14=4),TRUE, FALSE)</f>
        <v>1</v>
      </c>
      <c r="Y14" s="1060">
        <f t="shared" ref="Y14:Y19" si="8">COUNTIF(Z14:AC14,FALSE)</f>
        <v>0</v>
      </c>
      <c r="Z14" s="1061" t="b">
        <f t="shared" ref="Z14:Z19" si="9">ISBLANK(J14)</f>
        <v>1</v>
      </c>
      <c r="AA14" s="1061" t="b">
        <f t="shared" ref="AA14:AA19" si="10">ISBLANK(L14)</f>
        <v>1</v>
      </c>
      <c r="AB14" s="1061" t="b">
        <f t="shared" ref="AB14:AB19" si="11">ISBLANK(N14)</f>
        <v>1</v>
      </c>
      <c r="AC14" s="1061" t="b">
        <f t="shared" ref="AC14:AC19" si="12">ISBLANK(P14)</f>
        <v>1</v>
      </c>
      <c r="AD14" s="1062" t="b">
        <f t="shared" ref="AD14:AD19" si="13">IF(ISBLANK(F14),TRUE,VALUE(LEFT(F14,4))=4381)</f>
        <v>1</v>
      </c>
      <c r="AE14" s="1062" t="b">
        <f t="shared" ref="AE14:AE19" si="14">IF(ISBLANK(N14),TRUE,VALUE(LEFT(N14,4))=5381)</f>
        <v>1</v>
      </c>
    </row>
    <row r="15" spans="2:35" s="1066" customFormat="1" ht="15" customHeight="1" x14ac:dyDescent="0.2">
      <c r="B15" s="1078"/>
      <c r="C15" s="1079"/>
      <c r="D15" s="1080"/>
      <c r="E15" s="1079"/>
      <c r="F15" s="1080"/>
      <c r="G15" s="1079"/>
      <c r="H15" s="1081"/>
      <c r="I15" s="1071"/>
      <c r="J15" s="1080"/>
      <c r="K15" s="1083"/>
      <c r="L15" s="1080"/>
      <c r="M15" s="1079"/>
      <c r="N15" s="1082"/>
      <c r="O15" s="1071"/>
      <c r="P15" s="1081"/>
      <c r="Q15" s="289" t="str">
        <f t="shared" si="0"/>
        <v/>
      </c>
      <c r="R15" s="1060" t="b">
        <f t="shared" si="1"/>
        <v>1</v>
      </c>
      <c r="S15" s="1060">
        <f t="shared" si="2"/>
        <v>0</v>
      </c>
      <c r="T15" s="1061" t="b">
        <f t="shared" si="3"/>
        <v>1</v>
      </c>
      <c r="U15" s="1061" t="b">
        <f t="shared" si="4"/>
        <v>1</v>
      </c>
      <c r="V15" s="1061" t="b">
        <f t="shared" si="5"/>
        <v>1</v>
      </c>
      <c r="W15" s="1061" t="b">
        <f t="shared" si="6"/>
        <v>1</v>
      </c>
      <c r="X15" s="1060" t="b">
        <f t="shared" si="7"/>
        <v>1</v>
      </c>
      <c r="Y15" s="1060">
        <f t="shared" si="8"/>
        <v>0</v>
      </c>
      <c r="Z15" s="1061" t="b">
        <f t="shared" si="9"/>
        <v>1</v>
      </c>
      <c r="AA15" s="1061" t="b">
        <f t="shared" si="10"/>
        <v>1</v>
      </c>
      <c r="AB15" s="1061" t="b">
        <f t="shared" si="11"/>
        <v>1</v>
      </c>
      <c r="AC15" s="1061" t="b">
        <f t="shared" si="12"/>
        <v>1</v>
      </c>
      <c r="AD15" s="1062" t="b">
        <f t="shared" si="13"/>
        <v>1</v>
      </c>
      <c r="AE15" s="1062" t="b">
        <f t="shared" si="14"/>
        <v>1</v>
      </c>
    </row>
    <row r="16" spans="2:35" s="1066" customFormat="1" ht="15" customHeight="1" x14ac:dyDescent="0.2">
      <c r="B16" s="1082"/>
      <c r="C16" s="1079"/>
      <c r="D16" s="1080"/>
      <c r="E16" s="1079"/>
      <c r="F16" s="1080"/>
      <c r="G16" s="1079"/>
      <c r="H16" s="1081"/>
      <c r="I16" s="1071"/>
      <c r="J16" s="1080"/>
      <c r="K16" s="1083"/>
      <c r="L16" s="1080"/>
      <c r="M16" s="1079"/>
      <c r="N16" s="1082"/>
      <c r="O16" s="1071"/>
      <c r="P16" s="1081"/>
      <c r="Q16" s="289" t="str">
        <f t="shared" si="0"/>
        <v/>
      </c>
      <c r="R16" s="1060" t="b">
        <f t="shared" si="1"/>
        <v>1</v>
      </c>
      <c r="S16" s="1060">
        <f t="shared" si="2"/>
        <v>0</v>
      </c>
      <c r="T16" s="1061" t="b">
        <f t="shared" si="3"/>
        <v>1</v>
      </c>
      <c r="U16" s="1061" t="b">
        <f t="shared" si="4"/>
        <v>1</v>
      </c>
      <c r="V16" s="1061" t="b">
        <f t="shared" si="5"/>
        <v>1</v>
      </c>
      <c r="W16" s="1061" t="b">
        <f t="shared" si="6"/>
        <v>1</v>
      </c>
      <c r="X16" s="1060" t="b">
        <f t="shared" si="7"/>
        <v>1</v>
      </c>
      <c r="Y16" s="1060">
        <f t="shared" si="8"/>
        <v>0</v>
      </c>
      <c r="Z16" s="1061" t="b">
        <f t="shared" si="9"/>
        <v>1</v>
      </c>
      <c r="AA16" s="1061" t="b">
        <f t="shared" si="10"/>
        <v>1</v>
      </c>
      <c r="AB16" s="1061" t="b">
        <f t="shared" si="11"/>
        <v>1</v>
      </c>
      <c r="AC16" s="1061" t="b">
        <f t="shared" si="12"/>
        <v>1</v>
      </c>
      <c r="AD16" s="1062" t="b">
        <f t="shared" si="13"/>
        <v>1</v>
      </c>
      <c r="AE16" s="1062" t="b">
        <f t="shared" si="14"/>
        <v>1</v>
      </c>
    </row>
    <row r="17" spans="2:31" s="1066" customFormat="1" ht="15" customHeight="1" x14ac:dyDescent="0.2">
      <c r="B17" s="1082"/>
      <c r="C17" s="1079"/>
      <c r="D17" s="1080"/>
      <c r="E17" s="1079"/>
      <c r="F17" s="1080"/>
      <c r="G17" s="1079"/>
      <c r="H17" s="1081"/>
      <c r="I17" s="1071"/>
      <c r="J17" s="1080"/>
      <c r="K17" s="1083"/>
      <c r="L17" s="1080"/>
      <c r="M17" s="1079"/>
      <c r="N17" s="1082"/>
      <c r="O17" s="1071"/>
      <c r="P17" s="1081"/>
      <c r="Q17" s="289" t="str">
        <f t="shared" si="0"/>
        <v/>
      </c>
      <c r="R17" s="1060" t="b">
        <f t="shared" si="1"/>
        <v>1</v>
      </c>
      <c r="S17" s="1060">
        <f t="shared" si="2"/>
        <v>0</v>
      </c>
      <c r="T17" s="1061" t="b">
        <f t="shared" si="3"/>
        <v>1</v>
      </c>
      <c r="U17" s="1061" t="b">
        <f t="shared" si="4"/>
        <v>1</v>
      </c>
      <c r="V17" s="1061" t="b">
        <f t="shared" si="5"/>
        <v>1</v>
      </c>
      <c r="W17" s="1061" t="b">
        <f t="shared" si="6"/>
        <v>1</v>
      </c>
      <c r="X17" s="1060" t="b">
        <f t="shared" si="7"/>
        <v>1</v>
      </c>
      <c r="Y17" s="1060">
        <f t="shared" si="8"/>
        <v>0</v>
      </c>
      <c r="Z17" s="1061" t="b">
        <f t="shared" si="9"/>
        <v>1</v>
      </c>
      <c r="AA17" s="1061" t="b">
        <f t="shared" si="10"/>
        <v>1</v>
      </c>
      <c r="AB17" s="1061" t="b">
        <f t="shared" si="11"/>
        <v>1</v>
      </c>
      <c r="AC17" s="1061" t="b">
        <f t="shared" si="12"/>
        <v>1</v>
      </c>
      <c r="AD17" s="1062" t="b">
        <f t="shared" si="13"/>
        <v>1</v>
      </c>
      <c r="AE17" s="1062" t="b">
        <f t="shared" si="14"/>
        <v>1</v>
      </c>
    </row>
    <row r="18" spans="2:31" s="1066" customFormat="1" ht="15" customHeight="1" x14ac:dyDescent="0.2">
      <c r="B18" s="1082"/>
      <c r="C18" s="1079"/>
      <c r="D18" s="1080"/>
      <c r="E18" s="1079"/>
      <c r="F18" s="1080"/>
      <c r="G18" s="1079"/>
      <c r="H18" s="1081"/>
      <c r="I18" s="1071"/>
      <c r="J18" s="1080"/>
      <c r="K18" s="1083"/>
      <c r="L18" s="1080"/>
      <c r="M18" s="1079"/>
      <c r="N18" s="1082"/>
      <c r="O18" s="1071"/>
      <c r="P18" s="1081"/>
      <c r="Q18" s="289" t="str">
        <f t="shared" si="0"/>
        <v/>
      </c>
      <c r="R18" s="1060" t="b">
        <f t="shared" si="1"/>
        <v>1</v>
      </c>
      <c r="S18" s="1060">
        <f t="shared" si="2"/>
        <v>0</v>
      </c>
      <c r="T18" s="1061" t="b">
        <f t="shared" si="3"/>
        <v>1</v>
      </c>
      <c r="U18" s="1061" t="b">
        <f t="shared" si="4"/>
        <v>1</v>
      </c>
      <c r="V18" s="1061" t="b">
        <f t="shared" si="5"/>
        <v>1</v>
      </c>
      <c r="W18" s="1061" t="b">
        <f t="shared" si="6"/>
        <v>1</v>
      </c>
      <c r="X18" s="1060" t="b">
        <f t="shared" si="7"/>
        <v>1</v>
      </c>
      <c r="Y18" s="1060">
        <f t="shared" si="8"/>
        <v>0</v>
      </c>
      <c r="Z18" s="1061" t="b">
        <f t="shared" si="9"/>
        <v>1</v>
      </c>
      <c r="AA18" s="1061" t="b">
        <f t="shared" si="10"/>
        <v>1</v>
      </c>
      <c r="AB18" s="1061" t="b">
        <f t="shared" si="11"/>
        <v>1</v>
      </c>
      <c r="AC18" s="1061" t="b">
        <f t="shared" si="12"/>
        <v>1</v>
      </c>
      <c r="AD18" s="1062" t="b">
        <f t="shared" si="13"/>
        <v>1</v>
      </c>
      <c r="AE18" s="1062" t="b">
        <f t="shared" si="14"/>
        <v>1</v>
      </c>
    </row>
    <row r="19" spans="2:31" s="1066" customFormat="1" ht="15" customHeight="1" x14ac:dyDescent="0.2">
      <c r="B19" s="1082"/>
      <c r="C19" s="1079"/>
      <c r="D19" s="1080"/>
      <c r="E19" s="1079"/>
      <c r="F19" s="1080"/>
      <c r="G19" s="1079"/>
      <c r="H19" s="1081"/>
      <c r="I19" s="1071"/>
      <c r="J19" s="1080"/>
      <c r="K19" s="1083"/>
      <c r="L19" s="1080"/>
      <c r="M19" s="1079"/>
      <c r="N19" s="1082"/>
      <c r="O19" s="1071"/>
      <c r="P19" s="1081"/>
      <c r="Q19" s="289" t="str">
        <f t="shared" si="0"/>
        <v/>
      </c>
      <c r="R19" s="1060" t="b">
        <f t="shared" si="1"/>
        <v>1</v>
      </c>
      <c r="S19" s="1060">
        <f t="shared" si="2"/>
        <v>0</v>
      </c>
      <c r="T19" s="1061" t="b">
        <f t="shared" si="3"/>
        <v>1</v>
      </c>
      <c r="U19" s="1061" t="b">
        <f t="shared" si="4"/>
        <v>1</v>
      </c>
      <c r="V19" s="1061" t="b">
        <f t="shared" si="5"/>
        <v>1</v>
      </c>
      <c r="W19" s="1061" t="b">
        <f t="shared" si="6"/>
        <v>1</v>
      </c>
      <c r="X19" s="1060" t="b">
        <f t="shared" si="7"/>
        <v>1</v>
      </c>
      <c r="Y19" s="1060">
        <f t="shared" si="8"/>
        <v>0</v>
      </c>
      <c r="Z19" s="1061" t="b">
        <f t="shared" si="9"/>
        <v>1</v>
      </c>
      <c r="AA19" s="1061" t="b">
        <f t="shared" si="10"/>
        <v>1</v>
      </c>
      <c r="AB19" s="1061" t="b">
        <f t="shared" si="11"/>
        <v>1</v>
      </c>
      <c r="AC19" s="1061" t="b">
        <f t="shared" si="12"/>
        <v>1</v>
      </c>
      <c r="AD19" s="1062" t="b">
        <f t="shared" si="13"/>
        <v>1</v>
      </c>
      <c r="AE19" s="1062" t="b">
        <f t="shared" si="14"/>
        <v>1</v>
      </c>
    </row>
    <row r="20" spans="2:31" customFormat="1" ht="15" customHeight="1" x14ac:dyDescent="0.2"/>
    <row r="21" spans="2:31" s="1065" customFormat="1" ht="12.75" x14ac:dyDescent="0.2">
      <c r="B21" s="1076" t="s">
        <v>2040</v>
      </c>
      <c r="C21" s="1076"/>
      <c r="D21" s="1076"/>
      <c r="E21" s="1076"/>
      <c r="F21" s="1076"/>
      <c r="G21" s="1076"/>
      <c r="H21" s="1076"/>
      <c r="I21" s="1076"/>
      <c r="J21" s="1076"/>
      <c r="K21" s="1076"/>
      <c r="L21" s="1076"/>
      <c r="M21" s="1076"/>
      <c r="N21" s="1076"/>
      <c r="O21" s="1076"/>
      <c r="P21" s="1076"/>
    </row>
    <row r="22" spans="2:31" s="1065" customFormat="1" ht="12.75" x14ac:dyDescent="0.2">
      <c r="B22" s="1076" t="s">
        <v>2041</v>
      </c>
      <c r="C22" s="1076"/>
      <c r="D22" s="1076"/>
      <c r="E22" s="1076"/>
      <c r="F22" s="1076"/>
      <c r="G22" s="1076"/>
      <c r="H22" s="1076"/>
      <c r="I22" s="1076"/>
      <c r="J22" s="1076"/>
      <c r="K22" s="1076"/>
      <c r="L22" s="1076"/>
      <c r="M22" s="1076"/>
      <c r="N22" s="1076"/>
      <c r="O22" s="1076"/>
      <c r="P22" s="1076"/>
    </row>
    <row r="23" spans="2:31" s="1065" customFormat="1" ht="12.75" x14ac:dyDescent="0.2">
      <c r="B23" s="1076" t="s">
        <v>2042</v>
      </c>
      <c r="C23" s="1076"/>
      <c r="D23" s="1076"/>
      <c r="E23" s="1076"/>
      <c r="F23" s="1076"/>
      <c r="G23" s="1076"/>
      <c r="H23" s="1076"/>
      <c r="I23" s="1076"/>
      <c r="J23" s="1076"/>
      <c r="K23" s="1076"/>
      <c r="L23" s="1076"/>
      <c r="M23" s="1076"/>
      <c r="N23" s="1076"/>
      <c r="O23" s="1076"/>
      <c r="P23" s="1076"/>
    </row>
    <row r="24" spans="2:31" s="1066" customFormat="1" ht="14.25" customHeight="1" x14ac:dyDescent="0.2">
      <c r="B24" s="2029"/>
      <c r="C24" s="2029"/>
      <c r="D24" s="2029"/>
      <c r="E24" s="2029"/>
      <c r="F24" s="2029"/>
      <c r="G24" s="2029"/>
      <c r="H24" s="2029"/>
      <c r="I24" s="2029"/>
      <c r="J24" s="2029"/>
      <c r="K24" s="2029"/>
      <c r="L24" s="2029"/>
      <c r="M24" s="2029"/>
      <c r="N24" s="2029"/>
      <c r="O24" s="2029"/>
      <c r="P24" s="2029"/>
    </row>
    <row r="25" spans="2:31" s="1066" customFormat="1" ht="15" customHeight="1" x14ac:dyDescent="0.2">
      <c r="B25" s="2029"/>
      <c r="C25" s="2029"/>
      <c r="D25" s="2029"/>
      <c r="E25" s="2029"/>
      <c r="F25" s="2029"/>
      <c r="G25" s="2029"/>
      <c r="H25" s="2029"/>
      <c r="I25" s="2029"/>
      <c r="J25" s="2029"/>
      <c r="K25" s="2029"/>
      <c r="L25" s="2029"/>
      <c r="M25" s="2029"/>
      <c r="N25" s="2029"/>
      <c r="O25" s="2029"/>
      <c r="P25" s="2029"/>
    </row>
    <row r="26" spans="2:31" s="1066" customFormat="1" ht="15" customHeight="1" x14ac:dyDescent="0.2">
      <c r="B26" s="2030"/>
      <c r="C26" s="2030"/>
      <c r="D26" s="2030"/>
      <c r="E26" s="2030"/>
      <c r="F26" s="2030"/>
      <c r="G26" s="2030"/>
      <c r="H26" s="2030"/>
      <c r="I26" s="2030"/>
      <c r="J26" s="2030"/>
      <c r="K26" s="2030"/>
      <c r="L26" s="2030"/>
      <c r="M26" s="2030"/>
      <c r="N26" s="2030"/>
      <c r="O26" s="2030"/>
      <c r="P26" s="2030"/>
    </row>
    <row r="27" spans="2:31" s="1066" customFormat="1" ht="14.25" customHeight="1" x14ac:dyDescent="0.2">
      <c r="B27" s="2029"/>
      <c r="C27" s="2029"/>
      <c r="D27" s="2029"/>
      <c r="E27" s="2029"/>
      <c r="F27" s="2029"/>
      <c r="G27" s="2029"/>
      <c r="H27" s="2029"/>
      <c r="I27" s="2029"/>
      <c r="J27" s="2029"/>
      <c r="K27" s="2029"/>
      <c r="L27" s="2029"/>
      <c r="M27" s="2029"/>
      <c r="N27" s="2029"/>
      <c r="O27" s="2029"/>
      <c r="P27" s="2029"/>
    </row>
    <row r="28" spans="2:31" s="1066" customFormat="1" ht="15" customHeight="1" x14ac:dyDescent="0.2">
      <c r="B28" s="2029"/>
      <c r="C28" s="2029"/>
      <c r="D28" s="2029"/>
      <c r="E28" s="2029"/>
      <c r="F28" s="2029"/>
      <c r="G28" s="2029"/>
      <c r="H28" s="2029"/>
      <c r="I28" s="2029"/>
      <c r="J28" s="2029"/>
      <c r="K28" s="2029"/>
      <c r="L28" s="2029"/>
      <c r="M28" s="2029"/>
      <c r="N28" s="2029"/>
      <c r="O28" s="2029"/>
      <c r="P28" s="2029"/>
    </row>
    <row r="29" spans="2:31" s="1066" customFormat="1" ht="15" customHeight="1" x14ac:dyDescent="0.2">
      <c r="B29" s="2030"/>
      <c r="C29" s="2030"/>
      <c r="D29" s="2030"/>
      <c r="E29" s="2030"/>
      <c r="F29" s="2030"/>
      <c r="G29" s="2030"/>
      <c r="H29" s="2030"/>
      <c r="I29" s="2030"/>
      <c r="J29" s="2030"/>
      <c r="K29" s="2030"/>
      <c r="L29" s="2030"/>
      <c r="M29" s="2030"/>
      <c r="N29" s="2030"/>
      <c r="O29" s="2030"/>
      <c r="P29" s="2030"/>
    </row>
    <row r="30" spans="2:31" s="1066" customFormat="1" ht="14.25" customHeight="1" x14ac:dyDescent="0.2">
      <c r="B30" s="2029"/>
      <c r="C30" s="2029"/>
      <c r="D30" s="2029"/>
      <c r="E30" s="2029"/>
      <c r="F30" s="2029"/>
      <c r="G30" s="2029"/>
      <c r="H30" s="2029"/>
      <c r="I30" s="2029"/>
      <c r="J30" s="2029"/>
      <c r="K30" s="2029"/>
      <c r="L30" s="2029"/>
      <c r="M30" s="2029"/>
      <c r="N30" s="2029"/>
      <c r="O30" s="2029"/>
      <c r="P30" s="2029"/>
    </row>
    <row r="31" spans="2:31" s="1066" customFormat="1" ht="15" customHeight="1" x14ac:dyDescent="0.2">
      <c r="B31" s="2029"/>
      <c r="C31" s="2029"/>
      <c r="D31" s="2029"/>
      <c r="E31" s="2029"/>
      <c r="F31" s="2029"/>
      <c r="G31" s="2029"/>
      <c r="H31" s="2029"/>
      <c r="I31" s="2029"/>
      <c r="J31" s="2029"/>
      <c r="K31" s="2029"/>
      <c r="L31" s="2029"/>
      <c r="M31" s="2029"/>
      <c r="N31" s="2029"/>
      <c r="O31" s="2029"/>
      <c r="P31" s="2029"/>
    </row>
    <row r="32" spans="2:31" s="1066" customFormat="1" ht="15" customHeight="1" x14ac:dyDescent="0.2">
      <c r="B32" s="2030"/>
      <c r="C32" s="2030"/>
      <c r="D32" s="2030"/>
      <c r="E32" s="2030"/>
      <c r="F32" s="2030"/>
      <c r="G32" s="2030"/>
      <c r="H32" s="2030"/>
      <c r="I32" s="2030"/>
      <c r="J32" s="2030"/>
      <c r="K32" s="2030"/>
      <c r="L32" s="2030"/>
      <c r="M32" s="2030"/>
      <c r="N32" s="2030"/>
      <c r="O32" s="2030"/>
      <c r="P32" s="2030"/>
    </row>
    <row r="33" spans="1:36" s="1066" customFormat="1" ht="14.25" customHeight="1" x14ac:dyDescent="0.2">
      <c r="B33" s="2029"/>
      <c r="C33" s="2029"/>
      <c r="D33" s="2029"/>
      <c r="E33" s="2029"/>
      <c r="F33" s="2029"/>
      <c r="G33" s="2029"/>
      <c r="H33" s="2029"/>
      <c r="I33" s="2029"/>
      <c r="J33" s="2029"/>
      <c r="K33" s="2029"/>
      <c r="L33" s="2029"/>
      <c r="M33" s="2029"/>
      <c r="N33" s="2029"/>
      <c r="O33" s="2029"/>
      <c r="P33" s="2029"/>
    </row>
    <row r="34" spans="1:36" s="1066" customFormat="1" ht="15" customHeight="1" x14ac:dyDescent="0.2">
      <c r="B34" s="2029"/>
      <c r="C34" s="2029"/>
      <c r="D34" s="2029"/>
      <c r="E34" s="2029"/>
      <c r="F34" s="2029"/>
      <c r="G34" s="2029"/>
      <c r="H34" s="2029"/>
      <c r="I34" s="2029"/>
      <c r="J34" s="2029"/>
      <c r="K34" s="2029"/>
      <c r="L34" s="2029"/>
      <c r="M34" s="2029"/>
      <c r="N34" s="2029"/>
      <c r="O34" s="2029"/>
      <c r="P34" s="2029"/>
    </row>
    <row r="35" spans="1:36" s="1065" customFormat="1" ht="12.75" x14ac:dyDescent="0.2">
      <c r="A35" s="1065" t="s">
        <v>405</v>
      </c>
      <c r="B35" s="1076" t="s">
        <v>655</v>
      </c>
      <c r="C35" s="1076"/>
      <c r="D35" s="1076"/>
      <c r="E35" s="1076"/>
      <c r="F35" s="1076"/>
      <c r="G35" s="1076"/>
      <c r="H35" s="1076"/>
      <c r="I35" s="1076"/>
      <c r="J35" s="1076"/>
      <c r="K35" s="1076"/>
      <c r="L35" s="1076"/>
      <c r="M35" s="1076"/>
      <c r="N35" s="1076"/>
      <c r="O35" s="1076"/>
      <c r="P35" s="1076"/>
    </row>
    <row r="36" spans="1:36" s="1065" customFormat="1" x14ac:dyDescent="0.25">
      <c r="A36" s="1065" t="s">
        <v>406</v>
      </c>
      <c r="B36" s="1408" t="s">
        <v>2043</v>
      </c>
      <c r="C36" s="31"/>
      <c r="D36" s="31"/>
      <c r="E36" s="31"/>
      <c r="F36" s="31"/>
      <c r="G36" s="1453"/>
      <c r="H36" s="1453"/>
      <c r="I36" s="1453"/>
      <c r="J36" s="1453"/>
      <c r="K36" s="1453"/>
      <c r="L36" s="1453"/>
      <c r="M36" s="1453"/>
      <c r="N36" s="1453"/>
      <c r="O36" s="1453"/>
      <c r="P36" s="1063"/>
      <c r="Q36" s="1063"/>
      <c r="R36" s="1063"/>
      <c r="S36" s="1063"/>
      <c r="T36" s="1063"/>
      <c r="U36" s="1063"/>
      <c r="V36" s="1063"/>
      <c r="W36" s="1063"/>
      <c r="X36" s="1063"/>
      <c r="Y36" s="1063"/>
      <c r="Z36" s="1063"/>
      <c r="AA36" s="1063"/>
      <c r="AB36" s="1063"/>
      <c r="AC36" s="1063"/>
      <c r="AD36" s="1063"/>
      <c r="AE36" s="1063"/>
      <c r="AF36" s="1063"/>
      <c r="AG36" s="1063"/>
      <c r="AH36" s="1063"/>
      <c r="AI36" s="1063"/>
      <c r="AJ36" s="1063"/>
    </row>
    <row r="37" spans="1:36" ht="20.85" customHeight="1" x14ac:dyDescent="0.25">
      <c r="A37" s="421" t="s">
        <v>407</v>
      </c>
      <c r="B37" s="1408"/>
      <c r="C37" s="31"/>
      <c r="D37" s="31"/>
      <c r="E37" s="31"/>
      <c r="F37" s="31"/>
      <c r="G37" s="1453"/>
      <c r="H37" s="1453"/>
      <c r="I37" s="1453"/>
      <c r="J37" s="1453"/>
      <c r="K37" s="1453"/>
      <c r="L37" s="1453"/>
      <c r="M37" s="1453"/>
      <c r="N37" s="1453"/>
      <c r="O37" s="1453"/>
      <c r="P37" s="1063"/>
      <c r="Q37" s="1063"/>
      <c r="R37" s="1063"/>
      <c r="S37" s="1063"/>
      <c r="T37" s="1063"/>
      <c r="U37" s="1063"/>
      <c r="V37" s="1063"/>
      <c r="W37" s="1063"/>
      <c r="X37" s="1063"/>
      <c r="Y37" s="1063"/>
      <c r="Z37" s="1063"/>
      <c r="AA37" s="1063"/>
      <c r="AB37" s="1063"/>
      <c r="AC37" s="1063"/>
      <c r="AD37" s="1063"/>
      <c r="AE37" s="1063"/>
      <c r="AF37" s="1063"/>
      <c r="AG37" s="1063"/>
      <c r="AH37" s="1063"/>
      <c r="AI37" s="1063"/>
      <c r="AJ37" s="1063"/>
    </row>
    <row r="38" spans="1:36" ht="20.85" customHeight="1" x14ac:dyDescent="0.25">
      <c r="A38" s="421" t="s">
        <v>408</v>
      </c>
      <c r="B38" s="1408" t="s">
        <v>1884</v>
      </c>
      <c r="C38" s="31"/>
      <c r="D38" s="31"/>
      <c r="E38" s="31"/>
      <c r="F38" s="31"/>
      <c r="G38" s="1453"/>
      <c r="H38" s="1453"/>
      <c r="I38" s="1453"/>
      <c r="J38" s="1453"/>
      <c r="K38" s="1453"/>
      <c r="L38" s="1453"/>
      <c r="M38" s="1453"/>
      <c r="N38" s="1453"/>
      <c r="O38" s="1453"/>
      <c r="P38" s="1063"/>
      <c r="Q38" s="1063"/>
      <c r="R38" s="1063"/>
      <c r="S38" s="1063"/>
      <c r="T38" s="1063"/>
      <c r="U38" s="1063"/>
      <c r="V38" s="1063"/>
      <c r="W38" s="1063"/>
      <c r="X38" s="1063"/>
      <c r="Y38" s="1063"/>
      <c r="Z38" s="1063"/>
      <c r="AA38" s="1063"/>
      <c r="AB38" s="1063"/>
      <c r="AC38" s="1063"/>
      <c r="AD38" s="1063"/>
      <c r="AE38" s="1063"/>
      <c r="AF38" s="1063"/>
      <c r="AG38" s="1063"/>
      <c r="AH38" s="1063"/>
      <c r="AI38" s="1063"/>
      <c r="AJ38" s="1063"/>
    </row>
    <row r="39" spans="1:36" ht="20.85" customHeight="1" x14ac:dyDescent="0.25">
      <c r="A39" s="421" t="s">
        <v>409</v>
      </c>
      <c r="B39" s="1408" t="s">
        <v>2044</v>
      </c>
      <c r="C39" s="31"/>
      <c r="D39" s="31"/>
      <c r="E39" s="31"/>
      <c r="F39" s="31"/>
      <c r="G39" s="1453"/>
      <c r="H39" s="1453"/>
      <c r="I39" s="1453"/>
      <c r="J39" s="1453"/>
      <c r="K39" s="1453"/>
      <c r="L39" s="1453"/>
      <c r="M39" s="1453"/>
      <c r="N39" s="1453"/>
      <c r="O39" s="1453"/>
      <c r="P39" s="1063"/>
      <c r="Q39" s="1063"/>
      <c r="R39" s="1063"/>
      <c r="S39" s="1063"/>
      <c r="T39" s="1063"/>
      <c r="U39" s="1063"/>
      <c r="V39" s="1063"/>
      <c r="W39" s="1063"/>
      <c r="X39" s="1063"/>
      <c r="Y39" s="1063"/>
      <c r="Z39" s="1063"/>
      <c r="AA39" s="1063"/>
      <c r="AB39" s="1063"/>
      <c r="AC39" s="1063"/>
      <c r="AD39" s="1063"/>
      <c r="AE39" s="1063"/>
      <c r="AF39" s="1063"/>
      <c r="AG39" s="1063"/>
      <c r="AH39" s="1063"/>
      <c r="AI39" s="1063"/>
      <c r="AJ39" s="1063"/>
    </row>
    <row r="40" spans="1:36" ht="20.85" customHeight="1" x14ac:dyDescent="0.25">
      <c r="A40" s="421" t="s">
        <v>410</v>
      </c>
      <c r="B40" s="1408" t="s">
        <v>2045</v>
      </c>
      <c r="C40" s="31"/>
      <c r="D40" s="31"/>
      <c r="E40" s="31"/>
      <c r="F40" s="31"/>
      <c r="G40" s="1453"/>
      <c r="H40" s="1453"/>
      <c r="I40" s="1453"/>
      <c r="J40" s="1453"/>
      <c r="K40" s="1453"/>
      <c r="L40" s="1453"/>
      <c r="M40" s="1453"/>
      <c r="N40" s="1453"/>
      <c r="O40" s="1453"/>
      <c r="P40" s="1063"/>
      <c r="Q40" s="1063"/>
      <c r="R40" s="1063"/>
      <c r="S40" s="1063"/>
      <c r="T40" s="1063"/>
      <c r="U40" s="1063"/>
      <c r="V40" s="1063"/>
      <c r="W40" s="1063"/>
      <c r="X40" s="1063"/>
      <c r="Y40" s="1063"/>
      <c r="Z40" s="1063"/>
      <c r="AA40" s="1063"/>
      <c r="AB40" s="1063"/>
      <c r="AC40" s="1063"/>
      <c r="AD40" s="1063"/>
      <c r="AE40" s="1063"/>
      <c r="AF40" s="1063"/>
      <c r="AG40" s="1063"/>
      <c r="AH40" s="1063"/>
      <c r="AI40" s="1063"/>
      <c r="AJ40" s="1063"/>
    </row>
    <row r="41" spans="1:36" ht="20.85" customHeight="1" x14ac:dyDescent="0.25">
      <c r="B41" s="1408" t="s">
        <v>2046</v>
      </c>
      <c r="C41" s="31"/>
      <c r="D41" s="31"/>
      <c r="E41" s="31"/>
      <c r="F41" s="31"/>
      <c r="G41" s="1453"/>
      <c r="H41" s="1453"/>
      <c r="I41" s="1453"/>
      <c r="J41" s="1453"/>
      <c r="K41" s="1453"/>
      <c r="L41" s="1453"/>
      <c r="M41" s="1453"/>
      <c r="N41" s="1453"/>
      <c r="O41" s="1453"/>
      <c r="P41" s="1063"/>
      <c r="Q41" s="1063"/>
      <c r="R41" s="1063"/>
      <c r="S41" s="1063"/>
      <c r="T41" s="1063"/>
      <c r="U41" s="1063"/>
      <c r="V41" s="1063"/>
      <c r="W41" s="1063"/>
      <c r="X41" s="1063"/>
      <c r="Y41" s="1063"/>
      <c r="Z41" s="1063"/>
      <c r="AA41" s="1063"/>
      <c r="AB41" s="1063"/>
      <c r="AC41" s="1063"/>
      <c r="AD41" s="1063"/>
      <c r="AE41" s="1063"/>
      <c r="AF41" s="1063"/>
      <c r="AG41" s="1063"/>
      <c r="AH41" s="1063"/>
      <c r="AI41" s="1063"/>
      <c r="AJ41" s="1063"/>
    </row>
    <row r="42" spans="1:36" ht="20.85" customHeight="1" x14ac:dyDescent="0.25">
      <c r="B42" s="1408"/>
      <c r="C42" s="31"/>
      <c r="D42" s="31"/>
      <c r="E42" s="31"/>
      <c r="F42" s="31"/>
      <c r="G42" s="1453"/>
      <c r="H42" s="1453"/>
      <c r="I42" s="1453"/>
      <c r="J42" s="1453"/>
      <c r="K42" s="1453"/>
      <c r="L42" s="1453"/>
      <c r="M42" s="1453"/>
      <c r="N42" s="1453"/>
      <c r="O42" s="1453"/>
      <c r="P42" s="1063"/>
      <c r="Q42" s="1063"/>
      <c r="R42" s="1063"/>
      <c r="S42" s="1063"/>
      <c r="T42" s="1063"/>
      <c r="U42" s="1063"/>
      <c r="V42" s="1063"/>
      <c r="W42" s="1063"/>
      <c r="X42" s="1063"/>
      <c r="Y42" s="1063"/>
      <c r="Z42" s="1063"/>
      <c r="AA42" s="1063"/>
      <c r="AB42" s="1063"/>
      <c r="AC42" s="1063"/>
      <c r="AD42" s="1063"/>
      <c r="AE42" s="1063"/>
      <c r="AF42" s="1063"/>
      <c r="AG42" s="1063"/>
      <c r="AH42" s="1063"/>
      <c r="AI42" s="1063"/>
      <c r="AJ42" s="1063"/>
    </row>
    <row r="43" spans="1:36" ht="20.85" customHeight="1" x14ac:dyDescent="0.25">
      <c r="B43" s="1" t="s">
        <v>2047</v>
      </c>
      <c r="C43" s="1"/>
      <c r="D43" s="1"/>
      <c r="E43" s="1"/>
      <c r="F43" s="1"/>
      <c r="G43" s="1"/>
      <c r="H43" s="2031"/>
      <c r="I43" s="1196"/>
      <c r="J43" s="2032"/>
      <c r="K43" s="2033" t="s">
        <v>933</v>
      </c>
      <c r="L43" s="2033"/>
      <c r="M43"/>
      <c r="N43" s="2034"/>
      <c r="O43" s="1835"/>
      <c r="P43" s="1063"/>
      <c r="Q43" s="1063"/>
      <c r="R43" s="1063"/>
      <c r="S43" s="1063"/>
      <c r="T43" s="1063"/>
      <c r="U43" s="1063"/>
      <c r="V43" s="1063"/>
      <c r="W43" s="1063"/>
      <c r="X43" s="1063"/>
      <c r="Y43" s="1063"/>
      <c r="Z43" s="1063"/>
      <c r="AA43" s="1063"/>
      <c r="AB43" s="1063"/>
      <c r="AC43" s="1063"/>
      <c r="AD43" s="1063"/>
      <c r="AE43" s="1063"/>
      <c r="AF43" s="1063"/>
      <c r="AG43" s="1063"/>
      <c r="AH43" s="1063"/>
      <c r="AI43" s="1063"/>
      <c r="AJ43" s="1063"/>
    </row>
    <row r="44" spans="1:36" ht="20.85" customHeight="1" x14ac:dyDescent="0.25">
      <c r="B44" s="1408"/>
      <c r="C44" s="1408"/>
      <c r="D44" s="31"/>
      <c r="E44" s="31"/>
      <c r="F44" s="31"/>
      <c r="G44" s="31"/>
      <c r="H44" s="31"/>
      <c r="I44" s="31"/>
      <c r="J44" s="31"/>
      <c r="K44" s="31"/>
      <c r="L44" s="31"/>
      <c r="M44" s="31"/>
      <c r="N44" s="31"/>
      <c r="O44" s="31"/>
      <c r="P44" s="1063"/>
      <c r="Q44" s="1063"/>
      <c r="R44" s="1063"/>
      <c r="S44" s="1063"/>
      <c r="T44" s="1063"/>
      <c r="U44" s="1063"/>
      <c r="V44" s="1063"/>
      <c r="W44" s="1063"/>
      <c r="X44" s="1063"/>
      <c r="Y44" s="1063"/>
      <c r="Z44" s="1063"/>
      <c r="AA44" s="1063"/>
      <c r="AB44" s="1063"/>
      <c r="AC44" s="1063"/>
      <c r="AD44" s="1063"/>
      <c r="AE44" s="1063"/>
      <c r="AF44" s="1063"/>
      <c r="AG44" s="1063"/>
      <c r="AH44" s="1063"/>
      <c r="AI44" s="1063"/>
      <c r="AJ44" s="1063"/>
    </row>
    <row r="45" spans="1:36" x14ac:dyDescent="0.25">
      <c r="B45" s="1408" t="s">
        <v>2048</v>
      </c>
      <c r="C45" s="31"/>
      <c r="D45" s="31"/>
      <c r="E45" s="31"/>
      <c r="F45" s="31"/>
      <c r="G45" s="1453"/>
      <c r="H45" s="1453"/>
      <c r="I45" s="1453"/>
      <c r="J45" s="1453"/>
      <c r="K45" s="1453"/>
      <c r="L45" s="1453"/>
      <c r="M45" s="1453"/>
      <c r="N45" s="1453"/>
      <c r="O45" s="1453"/>
      <c r="P45" s="1063"/>
      <c r="Q45" s="1063"/>
      <c r="R45" s="1063"/>
      <c r="S45" s="1063"/>
      <c r="T45" s="1063"/>
      <c r="U45" s="1063"/>
      <c r="V45" s="1063"/>
      <c r="W45" s="1063"/>
      <c r="X45" s="1063"/>
      <c r="Y45" s="1063"/>
      <c r="Z45" s="1063"/>
      <c r="AA45" s="1063"/>
      <c r="AB45" s="1063"/>
      <c r="AC45" s="1063"/>
      <c r="AD45" s="1063"/>
      <c r="AE45" s="1063"/>
      <c r="AF45" s="1063"/>
      <c r="AG45" s="1063"/>
      <c r="AH45" s="1063"/>
      <c r="AI45" s="1063"/>
      <c r="AJ45" s="1063"/>
    </row>
    <row r="46" spans="1:36" x14ac:dyDescent="0.25">
      <c r="B46" s="1063"/>
      <c r="C46" s="1063"/>
      <c r="D46" s="1063"/>
      <c r="E46" s="1063"/>
      <c r="F46" s="1063"/>
      <c r="G46" s="1063"/>
      <c r="H46" s="1063"/>
      <c r="I46" s="1063"/>
      <c r="J46" s="1063"/>
      <c r="K46" s="1064"/>
      <c r="L46" s="1067" t="s">
        <v>50</v>
      </c>
      <c r="M46" s="1067"/>
      <c r="N46" s="1063"/>
      <c r="O46" s="1063"/>
      <c r="P46" s="1063"/>
      <c r="Q46" s="1063"/>
      <c r="R46" s="1063"/>
      <c r="S46" s="1063"/>
      <c r="T46" s="1063"/>
      <c r="U46" s="1063"/>
      <c r="V46" s="1063"/>
      <c r="W46" s="1067" t="s">
        <v>50</v>
      </c>
      <c r="X46" s="1067"/>
      <c r="Y46" s="1067"/>
      <c r="Z46" s="1067"/>
      <c r="AA46" s="1067"/>
      <c r="AB46" s="1067"/>
      <c r="AC46" s="1067"/>
      <c r="AD46" s="1063"/>
      <c r="AE46" s="1063"/>
      <c r="AF46" s="1063"/>
      <c r="AG46" s="1063"/>
      <c r="AH46" s="1063"/>
      <c r="AI46" s="1063"/>
      <c r="AJ46" s="1063"/>
    </row>
    <row r="47" spans="1:36" x14ac:dyDescent="0.25">
      <c r="B47" s="2035" t="s">
        <v>2049</v>
      </c>
      <c r="C47" s="1063"/>
      <c r="D47" s="1063"/>
      <c r="E47" s="1063"/>
      <c r="F47" s="1063"/>
      <c r="G47" s="1063"/>
      <c r="H47" s="2034"/>
      <c r="I47" s="2034"/>
      <c r="J47" s="2034"/>
      <c r="K47" s="1064"/>
      <c r="L47" s="1063"/>
      <c r="M47" s="1063"/>
      <c r="N47" s="1063"/>
      <c r="O47" s="1063"/>
      <c r="P47" s="1063"/>
      <c r="Q47" s="1063"/>
      <c r="R47" s="1063"/>
      <c r="S47" s="1063"/>
      <c r="T47" s="1063"/>
      <c r="U47" s="1063"/>
      <c r="V47" s="1063"/>
      <c r="W47" s="1063"/>
      <c r="X47" s="1063"/>
      <c r="Y47" s="1063"/>
      <c r="Z47" s="1063"/>
      <c r="AA47" s="1063"/>
      <c r="AB47" s="1063"/>
      <c r="AC47" s="1063"/>
      <c r="AD47" s="1063"/>
      <c r="AE47" s="1063"/>
      <c r="AF47" s="1063"/>
      <c r="AG47" s="1063"/>
      <c r="AH47" s="1063"/>
      <c r="AI47" s="1063"/>
      <c r="AJ47" s="1063"/>
    </row>
    <row r="48" spans="1:36" x14ac:dyDescent="0.25">
      <c r="B48" s="1063"/>
      <c r="C48" s="1063"/>
      <c r="D48" s="1063"/>
      <c r="E48" s="1063"/>
      <c r="F48" s="1063"/>
      <c r="G48" s="1063"/>
      <c r="H48" s="1063"/>
      <c r="I48" s="1063"/>
      <c r="J48" s="1063"/>
      <c r="K48" s="1064"/>
      <c r="L48" s="1063"/>
      <c r="M48" s="1063"/>
      <c r="N48" s="1063"/>
      <c r="O48" s="1063"/>
      <c r="P48" s="1063"/>
      <c r="Q48" s="1063"/>
      <c r="R48" s="1063"/>
      <c r="S48" s="1063"/>
      <c r="T48" s="1063"/>
      <c r="U48" s="1063"/>
      <c r="V48" s="1063"/>
      <c r="W48" s="1063"/>
      <c r="X48" s="1063"/>
      <c r="Y48" s="1063"/>
      <c r="Z48" s="1063"/>
      <c r="AA48" s="1063"/>
      <c r="AB48" s="1063"/>
      <c r="AC48" s="1063"/>
      <c r="AD48" s="1063"/>
      <c r="AE48" s="1063"/>
      <c r="AF48" s="1063"/>
      <c r="AG48" s="1063"/>
      <c r="AH48" s="1063"/>
      <c r="AI48" s="1063"/>
      <c r="AJ48" s="1063"/>
    </row>
    <row r="49" spans="2:36" x14ac:dyDescent="0.25">
      <c r="B49" s="2035" t="s">
        <v>1894</v>
      </c>
      <c r="C49" s="1063"/>
      <c r="D49" s="1063"/>
      <c r="E49" s="1063"/>
      <c r="F49" s="1063"/>
      <c r="G49" s="1063"/>
      <c r="H49" s="2034"/>
      <c r="I49" s="2034"/>
      <c r="J49" s="2034"/>
      <c r="K49" s="1064"/>
      <c r="L49" s="1063"/>
      <c r="M49" s="1063"/>
      <c r="N49" s="1063"/>
      <c r="O49" s="1063"/>
      <c r="P49" s="1063"/>
      <c r="Q49" s="1063"/>
      <c r="R49" s="1063"/>
      <c r="S49" s="1063"/>
      <c r="T49" s="1063"/>
      <c r="U49" s="1063"/>
      <c r="V49" s="1063"/>
      <c r="W49" s="1063"/>
      <c r="X49" s="1063"/>
      <c r="Y49" s="1063"/>
      <c r="Z49" s="1063"/>
      <c r="AA49" s="1063"/>
      <c r="AB49" s="1063"/>
      <c r="AC49" s="1063"/>
      <c r="AD49" s="1063"/>
      <c r="AE49" s="1063"/>
      <c r="AF49" s="1063"/>
      <c r="AG49" s="1063"/>
      <c r="AH49" s="1063"/>
      <c r="AI49" s="1063"/>
      <c r="AJ49" s="1063"/>
    </row>
    <row r="50" spans="2:36" x14ac:dyDescent="0.25">
      <c r="B50" s="1063"/>
      <c r="C50" s="1063"/>
      <c r="D50" s="1063"/>
      <c r="E50" s="1063"/>
      <c r="F50" s="1063"/>
      <c r="G50" s="1063"/>
      <c r="H50" s="1063"/>
      <c r="I50" s="1063"/>
      <c r="J50" s="1063"/>
      <c r="K50" s="1064"/>
      <c r="L50" s="1063"/>
      <c r="M50" s="1063"/>
      <c r="N50" s="1063"/>
      <c r="O50" s="1063"/>
      <c r="P50" s="1063"/>
      <c r="Q50" s="1063"/>
      <c r="R50" s="1063"/>
      <c r="S50" s="1063"/>
      <c r="T50" s="1063"/>
      <c r="U50" s="1063"/>
      <c r="V50" s="1063"/>
      <c r="W50" s="1063"/>
      <c r="X50" s="1063"/>
      <c r="Y50" s="1063"/>
      <c r="Z50" s="1063"/>
      <c r="AA50" s="1063"/>
      <c r="AB50" s="1063"/>
      <c r="AC50" s="1063"/>
      <c r="AD50" s="1063"/>
      <c r="AE50" s="1063"/>
      <c r="AF50" s="1063"/>
      <c r="AG50" s="1063"/>
      <c r="AH50" s="1063"/>
      <c r="AI50" s="1063"/>
      <c r="AJ50" s="1063"/>
    </row>
  </sheetData>
  <sheetProtection algorithmName="SHA-512" hashValue="2xfj+RlWcT062ZJXG+bQ/tcfLvQwawMUrd9MArxuTqWSLt1ig2RqLG5/YACFRPgBvAGyY/GsvsCO3sKzsk16Jw==" saltValue="Q9htGV012H201kZR5hiPrQ==" spinCount="100000" sheet="1" autoFilter="0"/>
  <dataConsolidate link="1"/>
  <mergeCells count="8">
    <mergeCell ref="D6:H6"/>
    <mergeCell ref="L6:P6"/>
    <mergeCell ref="Q1:Q3"/>
    <mergeCell ref="B2:P2"/>
    <mergeCell ref="B3:P3"/>
    <mergeCell ref="L5:P5"/>
    <mergeCell ref="B1:P1"/>
    <mergeCell ref="O4:P4"/>
  </mergeCells>
  <conditionalFormatting sqref="Q1:AC4">
    <cfRule type="cellIs" dxfId="61" priority="2" stopIfTrue="1" operator="equal">
      <formula>"na"</formula>
    </cfRule>
  </conditionalFormatting>
  <conditionalFormatting sqref="AI1:AI3">
    <cfRule type="cellIs" dxfId="60" priority="1" stopIfTrue="1" operator="equal">
      <formula>"na"</formula>
    </cfRule>
  </conditionalFormatting>
  <dataValidations count="7">
    <dataValidation type="textLength" operator="equal" allowBlank="1" showInputMessage="1" showErrorMessage="1" errorTitle="Invalid data!" error="Company number must be 4 digits." sqref="B65542:B65556 IX65542:IX65556 ST65542:ST65556 ACP65542:ACP65556 AML65542:AML65556 AWH65542:AWH65556 BGD65542:BGD65556 BPZ65542:BPZ65556 BZV65542:BZV65556 CJR65542:CJR65556 CTN65542:CTN65556 DDJ65542:DDJ65556 DNF65542:DNF65556 DXB65542:DXB65556 EGX65542:EGX65556 EQT65542:EQT65556 FAP65542:FAP65556 FKL65542:FKL65556 FUH65542:FUH65556 GED65542:GED65556 GNZ65542:GNZ65556 GXV65542:GXV65556 HHR65542:HHR65556 HRN65542:HRN65556 IBJ65542:IBJ65556 ILF65542:ILF65556 IVB65542:IVB65556 JEX65542:JEX65556 JOT65542:JOT65556 JYP65542:JYP65556 KIL65542:KIL65556 KSH65542:KSH65556 LCD65542:LCD65556 LLZ65542:LLZ65556 LVV65542:LVV65556 MFR65542:MFR65556 MPN65542:MPN65556 MZJ65542:MZJ65556 NJF65542:NJF65556 NTB65542:NTB65556 OCX65542:OCX65556 OMT65542:OMT65556 OWP65542:OWP65556 PGL65542:PGL65556 PQH65542:PQH65556 QAD65542:QAD65556 QJZ65542:QJZ65556 QTV65542:QTV65556 RDR65542:RDR65556 RNN65542:RNN65556 RXJ65542:RXJ65556 SHF65542:SHF65556 SRB65542:SRB65556 TAX65542:TAX65556 TKT65542:TKT65556 TUP65542:TUP65556 UEL65542:UEL65556 UOH65542:UOH65556 UYD65542:UYD65556 VHZ65542:VHZ65556 VRV65542:VRV65556 WBR65542:WBR65556 WLN65542:WLN65556 WVJ65542:WVJ65556 B131078:B131092 IX131078:IX131092 ST131078:ST131092 ACP131078:ACP131092 AML131078:AML131092 AWH131078:AWH131092 BGD131078:BGD131092 BPZ131078:BPZ131092 BZV131078:BZV131092 CJR131078:CJR131092 CTN131078:CTN131092 DDJ131078:DDJ131092 DNF131078:DNF131092 DXB131078:DXB131092 EGX131078:EGX131092 EQT131078:EQT131092 FAP131078:FAP131092 FKL131078:FKL131092 FUH131078:FUH131092 GED131078:GED131092 GNZ131078:GNZ131092 GXV131078:GXV131092 HHR131078:HHR131092 HRN131078:HRN131092 IBJ131078:IBJ131092 ILF131078:ILF131092 IVB131078:IVB131092 JEX131078:JEX131092 JOT131078:JOT131092 JYP131078:JYP131092 KIL131078:KIL131092 KSH131078:KSH131092 LCD131078:LCD131092 LLZ131078:LLZ131092 LVV131078:LVV131092 MFR131078:MFR131092 MPN131078:MPN131092 MZJ131078:MZJ131092 NJF131078:NJF131092 NTB131078:NTB131092 OCX131078:OCX131092 OMT131078:OMT131092 OWP131078:OWP131092 PGL131078:PGL131092 PQH131078:PQH131092 QAD131078:QAD131092 QJZ131078:QJZ131092 QTV131078:QTV131092 RDR131078:RDR131092 RNN131078:RNN131092 RXJ131078:RXJ131092 SHF131078:SHF131092 SRB131078:SRB131092 TAX131078:TAX131092 TKT131078:TKT131092 TUP131078:TUP131092 UEL131078:UEL131092 UOH131078:UOH131092 UYD131078:UYD131092 VHZ131078:VHZ131092 VRV131078:VRV131092 WBR131078:WBR131092 WLN131078:WLN131092 WVJ131078:WVJ131092 B196614:B196628 IX196614:IX196628 ST196614:ST196628 ACP196614:ACP196628 AML196614:AML196628 AWH196614:AWH196628 BGD196614:BGD196628 BPZ196614:BPZ196628 BZV196614:BZV196628 CJR196614:CJR196628 CTN196614:CTN196628 DDJ196614:DDJ196628 DNF196614:DNF196628 DXB196614:DXB196628 EGX196614:EGX196628 EQT196614:EQT196628 FAP196614:FAP196628 FKL196614:FKL196628 FUH196614:FUH196628 GED196614:GED196628 GNZ196614:GNZ196628 GXV196614:GXV196628 HHR196614:HHR196628 HRN196614:HRN196628 IBJ196614:IBJ196628 ILF196614:ILF196628 IVB196614:IVB196628 JEX196614:JEX196628 JOT196614:JOT196628 JYP196614:JYP196628 KIL196614:KIL196628 KSH196614:KSH196628 LCD196614:LCD196628 LLZ196614:LLZ196628 LVV196614:LVV196628 MFR196614:MFR196628 MPN196614:MPN196628 MZJ196614:MZJ196628 NJF196614:NJF196628 NTB196614:NTB196628 OCX196614:OCX196628 OMT196614:OMT196628 OWP196614:OWP196628 PGL196614:PGL196628 PQH196614:PQH196628 QAD196614:QAD196628 QJZ196614:QJZ196628 QTV196614:QTV196628 RDR196614:RDR196628 RNN196614:RNN196628 RXJ196614:RXJ196628 SHF196614:SHF196628 SRB196614:SRB196628 TAX196614:TAX196628 TKT196614:TKT196628 TUP196614:TUP196628 UEL196614:UEL196628 UOH196614:UOH196628 UYD196614:UYD196628 VHZ196614:VHZ196628 VRV196614:VRV196628 WBR196614:WBR196628 WLN196614:WLN196628 WVJ196614:WVJ196628 B262150:B262164 IX262150:IX262164 ST262150:ST262164 ACP262150:ACP262164 AML262150:AML262164 AWH262150:AWH262164 BGD262150:BGD262164 BPZ262150:BPZ262164 BZV262150:BZV262164 CJR262150:CJR262164 CTN262150:CTN262164 DDJ262150:DDJ262164 DNF262150:DNF262164 DXB262150:DXB262164 EGX262150:EGX262164 EQT262150:EQT262164 FAP262150:FAP262164 FKL262150:FKL262164 FUH262150:FUH262164 GED262150:GED262164 GNZ262150:GNZ262164 GXV262150:GXV262164 HHR262150:HHR262164 HRN262150:HRN262164 IBJ262150:IBJ262164 ILF262150:ILF262164 IVB262150:IVB262164 JEX262150:JEX262164 JOT262150:JOT262164 JYP262150:JYP262164 KIL262150:KIL262164 KSH262150:KSH262164 LCD262150:LCD262164 LLZ262150:LLZ262164 LVV262150:LVV262164 MFR262150:MFR262164 MPN262150:MPN262164 MZJ262150:MZJ262164 NJF262150:NJF262164 NTB262150:NTB262164 OCX262150:OCX262164 OMT262150:OMT262164 OWP262150:OWP262164 PGL262150:PGL262164 PQH262150:PQH262164 QAD262150:QAD262164 QJZ262150:QJZ262164 QTV262150:QTV262164 RDR262150:RDR262164 RNN262150:RNN262164 RXJ262150:RXJ262164 SHF262150:SHF262164 SRB262150:SRB262164 TAX262150:TAX262164 TKT262150:TKT262164 TUP262150:TUP262164 UEL262150:UEL262164 UOH262150:UOH262164 UYD262150:UYD262164 VHZ262150:VHZ262164 VRV262150:VRV262164 WBR262150:WBR262164 WLN262150:WLN262164 WVJ262150:WVJ262164 B327686:B327700 IX327686:IX327700 ST327686:ST327700 ACP327686:ACP327700 AML327686:AML327700 AWH327686:AWH327700 BGD327686:BGD327700 BPZ327686:BPZ327700 BZV327686:BZV327700 CJR327686:CJR327700 CTN327686:CTN327700 DDJ327686:DDJ327700 DNF327686:DNF327700 DXB327686:DXB327700 EGX327686:EGX327700 EQT327686:EQT327700 FAP327686:FAP327700 FKL327686:FKL327700 FUH327686:FUH327700 GED327686:GED327700 GNZ327686:GNZ327700 GXV327686:GXV327700 HHR327686:HHR327700 HRN327686:HRN327700 IBJ327686:IBJ327700 ILF327686:ILF327700 IVB327686:IVB327700 JEX327686:JEX327700 JOT327686:JOT327700 JYP327686:JYP327700 KIL327686:KIL327700 KSH327686:KSH327700 LCD327686:LCD327700 LLZ327686:LLZ327700 LVV327686:LVV327700 MFR327686:MFR327700 MPN327686:MPN327700 MZJ327686:MZJ327700 NJF327686:NJF327700 NTB327686:NTB327700 OCX327686:OCX327700 OMT327686:OMT327700 OWP327686:OWP327700 PGL327686:PGL327700 PQH327686:PQH327700 QAD327686:QAD327700 QJZ327686:QJZ327700 QTV327686:QTV327700 RDR327686:RDR327700 RNN327686:RNN327700 RXJ327686:RXJ327700 SHF327686:SHF327700 SRB327686:SRB327700 TAX327686:TAX327700 TKT327686:TKT327700 TUP327686:TUP327700 UEL327686:UEL327700 UOH327686:UOH327700 UYD327686:UYD327700 VHZ327686:VHZ327700 VRV327686:VRV327700 WBR327686:WBR327700 WLN327686:WLN327700 WVJ327686:WVJ327700 B393222:B393236 IX393222:IX393236 ST393222:ST393236 ACP393222:ACP393236 AML393222:AML393236 AWH393222:AWH393236 BGD393222:BGD393236 BPZ393222:BPZ393236 BZV393222:BZV393236 CJR393222:CJR393236 CTN393222:CTN393236 DDJ393222:DDJ393236 DNF393222:DNF393236 DXB393222:DXB393236 EGX393222:EGX393236 EQT393222:EQT393236 FAP393222:FAP393236 FKL393222:FKL393236 FUH393222:FUH393236 GED393222:GED393236 GNZ393222:GNZ393236 GXV393222:GXV393236 HHR393222:HHR393236 HRN393222:HRN393236 IBJ393222:IBJ393236 ILF393222:ILF393236 IVB393222:IVB393236 JEX393222:JEX393236 JOT393222:JOT393236 JYP393222:JYP393236 KIL393222:KIL393236 KSH393222:KSH393236 LCD393222:LCD393236 LLZ393222:LLZ393236 LVV393222:LVV393236 MFR393222:MFR393236 MPN393222:MPN393236 MZJ393222:MZJ393236 NJF393222:NJF393236 NTB393222:NTB393236 OCX393222:OCX393236 OMT393222:OMT393236 OWP393222:OWP393236 PGL393222:PGL393236 PQH393222:PQH393236 QAD393222:QAD393236 QJZ393222:QJZ393236 QTV393222:QTV393236 RDR393222:RDR393236 RNN393222:RNN393236 RXJ393222:RXJ393236 SHF393222:SHF393236 SRB393222:SRB393236 TAX393222:TAX393236 TKT393222:TKT393236 TUP393222:TUP393236 UEL393222:UEL393236 UOH393222:UOH393236 UYD393222:UYD393236 VHZ393222:VHZ393236 VRV393222:VRV393236 WBR393222:WBR393236 WLN393222:WLN393236 WVJ393222:WVJ393236 B458758:B458772 IX458758:IX458772 ST458758:ST458772 ACP458758:ACP458772 AML458758:AML458772 AWH458758:AWH458772 BGD458758:BGD458772 BPZ458758:BPZ458772 BZV458758:BZV458772 CJR458758:CJR458772 CTN458758:CTN458772 DDJ458758:DDJ458772 DNF458758:DNF458772 DXB458758:DXB458772 EGX458758:EGX458772 EQT458758:EQT458772 FAP458758:FAP458772 FKL458758:FKL458772 FUH458758:FUH458772 GED458758:GED458772 GNZ458758:GNZ458772 GXV458758:GXV458772 HHR458758:HHR458772 HRN458758:HRN458772 IBJ458758:IBJ458772 ILF458758:ILF458772 IVB458758:IVB458772 JEX458758:JEX458772 JOT458758:JOT458772 JYP458758:JYP458772 KIL458758:KIL458772 KSH458758:KSH458772 LCD458758:LCD458772 LLZ458758:LLZ458772 LVV458758:LVV458772 MFR458758:MFR458772 MPN458758:MPN458772 MZJ458758:MZJ458772 NJF458758:NJF458772 NTB458758:NTB458772 OCX458758:OCX458772 OMT458758:OMT458772 OWP458758:OWP458772 PGL458758:PGL458772 PQH458758:PQH458772 QAD458758:QAD458772 QJZ458758:QJZ458772 QTV458758:QTV458772 RDR458758:RDR458772 RNN458758:RNN458772 RXJ458758:RXJ458772 SHF458758:SHF458772 SRB458758:SRB458772 TAX458758:TAX458772 TKT458758:TKT458772 TUP458758:TUP458772 UEL458758:UEL458772 UOH458758:UOH458772 UYD458758:UYD458772 VHZ458758:VHZ458772 VRV458758:VRV458772 WBR458758:WBR458772 WLN458758:WLN458772 WVJ458758:WVJ458772 B524294:B524308 IX524294:IX524308 ST524294:ST524308 ACP524294:ACP524308 AML524294:AML524308 AWH524294:AWH524308 BGD524294:BGD524308 BPZ524294:BPZ524308 BZV524294:BZV524308 CJR524294:CJR524308 CTN524294:CTN524308 DDJ524294:DDJ524308 DNF524294:DNF524308 DXB524294:DXB524308 EGX524294:EGX524308 EQT524294:EQT524308 FAP524294:FAP524308 FKL524294:FKL524308 FUH524294:FUH524308 GED524294:GED524308 GNZ524294:GNZ524308 GXV524294:GXV524308 HHR524294:HHR524308 HRN524294:HRN524308 IBJ524294:IBJ524308 ILF524294:ILF524308 IVB524294:IVB524308 JEX524294:JEX524308 JOT524294:JOT524308 JYP524294:JYP524308 KIL524294:KIL524308 KSH524294:KSH524308 LCD524294:LCD524308 LLZ524294:LLZ524308 LVV524294:LVV524308 MFR524294:MFR524308 MPN524294:MPN524308 MZJ524294:MZJ524308 NJF524294:NJF524308 NTB524294:NTB524308 OCX524294:OCX524308 OMT524294:OMT524308 OWP524294:OWP524308 PGL524294:PGL524308 PQH524294:PQH524308 QAD524294:QAD524308 QJZ524294:QJZ524308 QTV524294:QTV524308 RDR524294:RDR524308 RNN524294:RNN524308 RXJ524294:RXJ524308 SHF524294:SHF524308 SRB524294:SRB524308 TAX524294:TAX524308 TKT524294:TKT524308 TUP524294:TUP524308 UEL524294:UEL524308 UOH524294:UOH524308 UYD524294:UYD524308 VHZ524294:VHZ524308 VRV524294:VRV524308 WBR524294:WBR524308 WLN524294:WLN524308 WVJ524294:WVJ524308 B589830:B589844 IX589830:IX589844 ST589830:ST589844 ACP589830:ACP589844 AML589830:AML589844 AWH589830:AWH589844 BGD589830:BGD589844 BPZ589830:BPZ589844 BZV589830:BZV589844 CJR589830:CJR589844 CTN589830:CTN589844 DDJ589830:DDJ589844 DNF589830:DNF589844 DXB589830:DXB589844 EGX589830:EGX589844 EQT589830:EQT589844 FAP589830:FAP589844 FKL589830:FKL589844 FUH589830:FUH589844 GED589830:GED589844 GNZ589830:GNZ589844 GXV589830:GXV589844 HHR589830:HHR589844 HRN589830:HRN589844 IBJ589830:IBJ589844 ILF589830:ILF589844 IVB589830:IVB589844 JEX589830:JEX589844 JOT589830:JOT589844 JYP589830:JYP589844 KIL589830:KIL589844 KSH589830:KSH589844 LCD589830:LCD589844 LLZ589830:LLZ589844 LVV589830:LVV589844 MFR589830:MFR589844 MPN589830:MPN589844 MZJ589830:MZJ589844 NJF589830:NJF589844 NTB589830:NTB589844 OCX589830:OCX589844 OMT589830:OMT589844 OWP589830:OWP589844 PGL589830:PGL589844 PQH589830:PQH589844 QAD589830:QAD589844 QJZ589830:QJZ589844 QTV589830:QTV589844 RDR589830:RDR589844 RNN589830:RNN589844 RXJ589830:RXJ589844 SHF589830:SHF589844 SRB589830:SRB589844 TAX589830:TAX589844 TKT589830:TKT589844 TUP589830:TUP589844 UEL589830:UEL589844 UOH589830:UOH589844 UYD589830:UYD589844 VHZ589830:VHZ589844 VRV589830:VRV589844 WBR589830:WBR589844 WLN589830:WLN589844 WVJ589830:WVJ589844 B655366:B655380 IX655366:IX655380 ST655366:ST655380 ACP655366:ACP655380 AML655366:AML655380 AWH655366:AWH655380 BGD655366:BGD655380 BPZ655366:BPZ655380 BZV655366:BZV655380 CJR655366:CJR655380 CTN655366:CTN655380 DDJ655366:DDJ655380 DNF655366:DNF655380 DXB655366:DXB655380 EGX655366:EGX655380 EQT655366:EQT655380 FAP655366:FAP655380 FKL655366:FKL655380 FUH655366:FUH655380 GED655366:GED655380 GNZ655366:GNZ655380 GXV655366:GXV655380 HHR655366:HHR655380 HRN655366:HRN655380 IBJ655366:IBJ655380 ILF655366:ILF655380 IVB655366:IVB655380 JEX655366:JEX655380 JOT655366:JOT655380 JYP655366:JYP655380 KIL655366:KIL655380 KSH655366:KSH655380 LCD655366:LCD655380 LLZ655366:LLZ655380 LVV655366:LVV655380 MFR655366:MFR655380 MPN655366:MPN655380 MZJ655366:MZJ655380 NJF655366:NJF655380 NTB655366:NTB655380 OCX655366:OCX655380 OMT655366:OMT655380 OWP655366:OWP655380 PGL655366:PGL655380 PQH655366:PQH655380 QAD655366:QAD655380 QJZ655366:QJZ655380 QTV655366:QTV655380 RDR655366:RDR655380 RNN655366:RNN655380 RXJ655366:RXJ655380 SHF655366:SHF655380 SRB655366:SRB655380 TAX655366:TAX655380 TKT655366:TKT655380 TUP655366:TUP655380 UEL655366:UEL655380 UOH655366:UOH655380 UYD655366:UYD655380 VHZ655366:VHZ655380 VRV655366:VRV655380 WBR655366:WBR655380 WLN655366:WLN655380 WVJ655366:WVJ655380 B720902:B720916 IX720902:IX720916 ST720902:ST720916 ACP720902:ACP720916 AML720902:AML720916 AWH720902:AWH720916 BGD720902:BGD720916 BPZ720902:BPZ720916 BZV720902:BZV720916 CJR720902:CJR720916 CTN720902:CTN720916 DDJ720902:DDJ720916 DNF720902:DNF720916 DXB720902:DXB720916 EGX720902:EGX720916 EQT720902:EQT720916 FAP720902:FAP720916 FKL720902:FKL720916 FUH720902:FUH720916 GED720902:GED720916 GNZ720902:GNZ720916 GXV720902:GXV720916 HHR720902:HHR720916 HRN720902:HRN720916 IBJ720902:IBJ720916 ILF720902:ILF720916 IVB720902:IVB720916 JEX720902:JEX720916 JOT720902:JOT720916 JYP720902:JYP720916 KIL720902:KIL720916 KSH720902:KSH720916 LCD720902:LCD720916 LLZ720902:LLZ720916 LVV720902:LVV720916 MFR720902:MFR720916 MPN720902:MPN720916 MZJ720902:MZJ720916 NJF720902:NJF720916 NTB720902:NTB720916 OCX720902:OCX720916 OMT720902:OMT720916 OWP720902:OWP720916 PGL720902:PGL720916 PQH720902:PQH720916 QAD720902:QAD720916 QJZ720902:QJZ720916 QTV720902:QTV720916 RDR720902:RDR720916 RNN720902:RNN720916 RXJ720902:RXJ720916 SHF720902:SHF720916 SRB720902:SRB720916 TAX720902:TAX720916 TKT720902:TKT720916 TUP720902:TUP720916 UEL720902:UEL720916 UOH720902:UOH720916 UYD720902:UYD720916 VHZ720902:VHZ720916 VRV720902:VRV720916 WBR720902:WBR720916 WLN720902:WLN720916 WVJ720902:WVJ720916 B786438:B786452 IX786438:IX786452 ST786438:ST786452 ACP786438:ACP786452 AML786438:AML786452 AWH786438:AWH786452 BGD786438:BGD786452 BPZ786438:BPZ786452 BZV786438:BZV786452 CJR786438:CJR786452 CTN786438:CTN786452 DDJ786438:DDJ786452 DNF786438:DNF786452 DXB786438:DXB786452 EGX786438:EGX786452 EQT786438:EQT786452 FAP786438:FAP786452 FKL786438:FKL786452 FUH786438:FUH786452 GED786438:GED786452 GNZ786438:GNZ786452 GXV786438:GXV786452 HHR786438:HHR786452 HRN786438:HRN786452 IBJ786438:IBJ786452 ILF786438:ILF786452 IVB786438:IVB786452 JEX786438:JEX786452 JOT786438:JOT786452 JYP786438:JYP786452 KIL786438:KIL786452 KSH786438:KSH786452 LCD786438:LCD786452 LLZ786438:LLZ786452 LVV786438:LVV786452 MFR786438:MFR786452 MPN786438:MPN786452 MZJ786438:MZJ786452 NJF786438:NJF786452 NTB786438:NTB786452 OCX786438:OCX786452 OMT786438:OMT786452 OWP786438:OWP786452 PGL786438:PGL786452 PQH786438:PQH786452 QAD786438:QAD786452 QJZ786438:QJZ786452 QTV786438:QTV786452 RDR786438:RDR786452 RNN786438:RNN786452 RXJ786438:RXJ786452 SHF786438:SHF786452 SRB786438:SRB786452 TAX786438:TAX786452 TKT786438:TKT786452 TUP786438:TUP786452 UEL786438:UEL786452 UOH786438:UOH786452 UYD786438:UYD786452 VHZ786438:VHZ786452 VRV786438:VRV786452 WBR786438:WBR786452 WLN786438:WLN786452 WVJ786438:WVJ786452 B851974:B851988 IX851974:IX851988 ST851974:ST851988 ACP851974:ACP851988 AML851974:AML851988 AWH851974:AWH851988 BGD851974:BGD851988 BPZ851974:BPZ851988 BZV851974:BZV851988 CJR851974:CJR851988 CTN851974:CTN851988 DDJ851974:DDJ851988 DNF851974:DNF851988 DXB851974:DXB851988 EGX851974:EGX851988 EQT851974:EQT851988 FAP851974:FAP851988 FKL851974:FKL851988 FUH851974:FUH851988 GED851974:GED851988 GNZ851974:GNZ851988 GXV851974:GXV851988 HHR851974:HHR851988 HRN851974:HRN851988 IBJ851974:IBJ851988 ILF851974:ILF851988 IVB851974:IVB851988 JEX851974:JEX851988 JOT851974:JOT851988 JYP851974:JYP851988 KIL851974:KIL851988 KSH851974:KSH851988 LCD851974:LCD851988 LLZ851974:LLZ851988 LVV851974:LVV851988 MFR851974:MFR851988 MPN851974:MPN851988 MZJ851974:MZJ851988 NJF851974:NJF851988 NTB851974:NTB851988 OCX851974:OCX851988 OMT851974:OMT851988 OWP851974:OWP851988 PGL851974:PGL851988 PQH851974:PQH851988 QAD851974:QAD851988 QJZ851974:QJZ851988 QTV851974:QTV851988 RDR851974:RDR851988 RNN851974:RNN851988 RXJ851974:RXJ851988 SHF851974:SHF851988 SRB851974:SRB851988 TAX851974:TAX851988 TKT851974:TKT851988 TUP851974:TUP851988 UEL851974:UEL851988 UOH851974:UOH851988 UYD851974:UYD851988 VHZ851974:VHZ851988 VRV851974:VRV851988 WBR851974:WBR851988 WLN851974:WLN851988 WVJ851974:WVJ851988 B917510:B917524 IX917510:IX917524 ST917510:ST917524 ACP917510:ACP917524 AML917510:AML917524 AWH917510:AWH917524 BGD917510:BGD917524 BPZ917510:BPZ917524 BZV917510:BZV917524 CJR917510:CJR917524 CTN917510:CTN917524 DDJ917510:DDJ917524 DNF917510:DNF917524 DXB917510:DXB917524 EGX917510:EGX917524 EQT917510:EQT917524 FAP917510:FAP917524 FKL917510:FKL917524 FUH917510:FUH917524 GED917510:GED917524 GNZ917510:GNZ917524 GXV917510:GXV917524 HHR917510:HHR917524 HRN917510:HRN917524 IBJ917510:IBJ917524 ILF917510:ILF917524 IVB917510:IVB917524 JEX917510:JEX917524 JOT917510:JOT917524 JYP917510:JYP917524 KIL917510:KIL917524 KSH917510:KSH917524 LCD917510:LCD917524 LLZ917510:LLZ917524 LVV917510:LVV917524 MFR917510:MFR917524 MPN917510:MPN917524 MZJ917510:MZJ917524 NJF917510:NJF917524 NTB917510:NTB917524 OCX917510:OCX917524 OMT917510:OMT917524 OWP917510:OWP917524 PGL917510:PGL917524 PQH917510:PQH917524 QAD917510:QAD917524 QJZ917510:QJZ917524 QTV917510:QTV917524 RDR917510:RDR917524 RNN917510:RNN917524 RXJ917510:RXJ917524 SHF917510:SHF917524 SRB917510:SRB917524 TAX917510:TAX917524 TKT917510:TKT917524 TUP917510:TUP917524 UEL917510:UEL917524 UOH917510:UOH917524 UYD917510:UYD917524 VHZ917510:VHZ917524 VRV917510:VRV917524 WBR917510:WBR917524 WLN917510:WLN917524 WVJ917510:WVJ917524 B983046:B983060 IX983046:IX983060 ST983046:ST983060 ACP983046:ACP983060 AML983046:AML983060 AWH983046:AWH983060 BGD983046:BGD983060 BPZ983046:BPZ983060 BZV983046:BZV983060 CJR983046:CJR983060 CTN983046:CTN983060 DDJ983046:DDJ983060 DNF983046:DNF983060 DXB983046:DXB983060 EGX983046:EGX983060 EQT983046:EQT983060 FAP983046:FAP983060 FKL983046:FKL983060 FUH983046:FUH983060 GED983046:GED983060 GNZ983046:GNZ983060 GXV983046:GXV983060 HHR983046:HHR983060 HRN983046:HRN983060 IBJ983046:IBJ983060 ILF983046:ILF983060 IVB983046:IVB983060 JEX983046:JEX983060 JOT983046:JOT983060 JYP983046:JYP983060 KIL983046:KIL983060 KSH983046:KSH983060 LCD983046:LCD983060 LLZ983046:LLZ983060 LVV983046:LVV983060 MFR983046:MFR983060 MPN983046:MPN983060 MZJ983046:MZJ983060 NJF983046:NJF983060 NTB983046:NTB983060 OCX983046:OCX983060 OMT983046:OMT983060 OWP983046:OWP983060 PGL983046:PGL983060 PQH983046:PQH983060 QAD983046:QAD983060 QJZ983046:QJZ983060 QTV983046:QTV983060 RDR983046:RDR983060 RNN983046:RNN983060 RXJ983046:RXJ983060 SHF983046:SHF983060 SRB983046:SRB983060 TAX983046:TAX983060 TKT983046:TKT983060 TUP983046:TUP983060 UEL983046:UEL983060 UOH983046:UOH983060 UYD983046:UYD983060 VHZ983046:VHZ983060 VRV983046:VRV983060 WBR983046:WBR983060 WLN983046:WLN983060 WVJ983046:WVJ983060 WVR983046:WVR983060 J65542:J65556 JF65542:JF65556 TB65542:TB65556 ACX65542:ACX65556 AMT65542:AMT65556 AWP65542:AWP65556 BGL65542:BGL65556 BQH65542:BQH65556 CAD65542:CAD65556 CJZ65542:CJZ65556 CTV65542:CTV65556 DDR65542:DDR65556 DNN65542:DNN65556 DXJ65542:DXJ65556 EHF65542:EHF65556 ERB65542:ERB65556 FAX65542:FAX65556 FKT65542:FKT65556 FUP65542:FUP65556 GEL65542:GEL65556 GOH65542:GOH65556 GYD65542:GYD65556 HHZ65542:HHZ65556 HRV65542:HRV65556 IBR65542:IBR65556 ILN65542:ILN65556 IVJ65542:IVJ65556 JFF65542:JFF65556 JPB65542:JPB65556 JYX65542:JYX65556 KIT65542:KIT65556 KSP65542:KSP65556 LCL65542:LCL65556 LMH65542:LMH65556 LWD65542:LWD65556 MFZ65542:MFZ65556 MPV65542:MPV65556 MZR65542:MZR65556 NJN65542:NJN65556 NTJ65542:NTJ65556 ODF65542:ODF65556 ONB65542:ONB65556 OWX65542:OWX65556 PGT65542:PGT65556 PQP65542:PQP65556 QAL65542:QAL65556 QKH65542:QKH65556 QUD65542:QUD65556 RDZ65542:RDZ65556 RNV65542:RNV65556 RXR65542:RXR65556 SHN65542:SHN65556 SRJ65542:SRJ65556 TBF65542:TBF65556 TLB65542:TLB65556 TUX65542:TUX65556 UET65542:UET65556 UOP65542:UOP65556 UYL65542:UYL65556 VIH65542:VIH65556 VSD65542:VSD65556 WBZ65542:WBZ65556 WLV65542:WLV65556 WVR65542:WVR65556 J131078:J131092 JF131078:JF131092 TB131078:TB131092 ACX131078:ACX131092 AMT131078:AMT131092 AWP131078:AWP131092 BGL131078:BGL131092 BQH131078:BQH131092 CAD131078:CAD131092 CJZ131078:CJZ131092 CTV131078:CTV131092 DDR131078:DDR131092 DNN131078:DNN131092 DXJ131078:DXJ131092 EHF131078:EHF131092 ERB131078:ERB131092 FAX131078:FAX131092 FKT131078:FKT131092 FUP131078:FUP131092 GEL131078:GEL131092 GOH131078:GOH131092 GYD131078:GYD131092 HHZ131078:HHZ131092 HRV131078:HRV131092 IBR131078:IBR131092 ILN131078:ILN131092 IVJ131078:IVJ131092 JFF131078:JFF131092 JPB131078:JPB131092 JYX131078:JYX131092 KIT131078:KIT131092 KSP131078:KSP131092 LCL131078:LCL131092 LMH131078:LMH131092 LWD131078:LWD131092 MFZ131078:MFZ131092 MPV131078:MPV131092 MZR131078:MZR131092 NJN131078:NJN131092 NTJ131078:NTJ131092 ODF131078:ODF131092 ONB131078:ONB131092 OWX131078:OWX131092 PGT131078:PGT131092 PQP131078:PQP131092 QAL131078:QAL131092 QKH131078:QKH131092 QUD131078:QUD131092 RDZ131078:RDZ131092 RNV131078:RNV131092 RXR131078:RXR131092 SHN131078:SHN131092 SRJ131078:SRJ131092 TBF131078:TBF131092 TLB131078:TLB131092 TUX131078:TUX131092 UET131078:UET131092 UOP131078:UOP131092 UYL131078:UYL131092 VIH131078:VIH131092 VSD131078:VSD131092 WBZ131078:WBZ131092 WLV131078:WLV131092 WVR131078:WVR131092 J196614:J196628 JF196614:JF196628 TB196614:TB196628 ACX196614:ACX196628 AMT196614:AMT196628 AWP196614:AWP196628 BGL196614:BGL196628 BQH196614:BQH196628 CAD196614:CAD196628 CJZ196614:CJZ196628 CTV196614:CTV196628 DDR196614:DDR196628 DNN196614:DNN196628 DXJ196614:DXJ196628 EHF196614:EHF196628 ERB196614:ERB196628 FAX196614:FAX196628 FKT196614:FKT196628 FUP196614:FUP196628 GEL196614:GEL196628 GOH196614:GOH196628 GYD196614:GYD196628 HHZ196614:HHZ196628 HRV196614:HRV196628 IBR196614:IBR196628 ILN196614:ILN196628 IVJ196614:IVJ196628 JFF196614:JFF196628 JPB196614:JPB196628 JYX196614:JYX196628 KIT196614:KIT196628 KSP196614:KSP196628 LCL196614:LCL196628 LMH196614:LMH196628 LWD196614:LWD196628 MFZ196614:MFZ196628 MPV196614:MPV196628 MZR196614:MZR196628 NJN196614:NJN196628 NTJ196614:NTJ196628 ODF196614:ODF196628 ONB196614:ONB196628 OWX196614:OWX196628 PGT196614:PGT196628 PQP196614:PQP196628 QAL196614:QAL196628 QKH196614:QKH196628 QUD196614:QUD196628 RDZ196614:RDZ196628 RNV196614:RNV196628 RXR196614:RXR196628 SHN196614:SHN196628 SRJ196614:SRJ196628 TBF196614:TBF196628 TLB196614:TLB196628 TUX196614:TUX196628 UET196614:UET196628 UOP196614:UOP196628 UYL196614:UYL196628 VIH196614:VIH196628 VSD196614:VSD196628 WBZ196614:WBZ196628 WLV196614:WLV196628 WVR196614:WVR196628 J262150:J262164 JF262150:JF262164 TB262150:TB262164 ACX262150:ACX262164 AMT262150:AMT262164 AWP262150:AWP262164 BGL262150:BGL262164 BQH262150:BQH262164 CAD262150:CAD262164 CJZ262150:CJZ262164 CTV262150:CTV262164 DDR262150:DDR262164 DNN262150:DNN262164 DXJ262150:DXJ262164 EHF262150:EHF262164 ERB262150:ERB262164 FAX262150:FAX262164 FKT262150:FKT262164 FUP262150:FUP262164 GEL262150:GEL262164 GOH262150:GOH262164 GYD262150:GYD262164 HHZ262150:HHZ262164 HRV262150:HRV262164 IBR262150:IBR262164 ILN262150:ILN262164 IVJ262150:IVJ262164 JFF262150:JFF262164 JPB262150:JPB262164 JYX262150:JYX262164 KIT262150:KIT262164 KSP262150:KSP262164 LCL262150:LCL262164 LMH262150:LMH262164 LWD262150:LWD262164 MFZ262150:MFZ262164 MPV262150:MPV262164 MZR262150:MZR262164 NJN262150:NJN262164 NTJ262150:NTJ262164 ODF262150:ODF262164 ONB262150:ONB262164 OWX262150:OWX262164 PGT262150:PGT262164 PQP262150:PQP262164 QAL262150:QAL262164 QKH262150:QKH262164 QUD262150:QUD262164 RDZ262150:RDZ262164 RNV262150:RNV262164 RXR262150:RXR262164 SHN262150:SHN262164 SRJ262150:SRJ262164 TBF262150:TBF262164 TLB262150:TLB262164 TUX262150:TUX262164 UET262150:UET262164 UOP262150:UOP262164 UYL262150:UYL262164 VIH262150:VIH262164 VSD262150:VSD262164 WBZ262150:WBZ262164 WLV262150:WLV262164 WVR262150:WVR262164 J327686:J327700 JF327686:JF327700 TB327686:TB327700 ACX327686:ACX327700 AMT327686:AMT327700 AWP327686:AWP327700 BGL327686:BGL327700 BQH327686:BQH327700 CAD327686:CAD327700 CJZ327686:CJZ327700 CTV327686:CTV327700 DDR327686:DDR327700 DNN327686:DNN327700 DXJ327686:DXJ327700 EHF327686:EHF327700 ERB327686:ERB327700 FAX327686:FAX327700 FKT327686:FKT327700 FUP327686:FUP327700 GEL327686:GEL327700 GOH327686:GOH327700 GYD327686:GYD327700 HHZ327686:HHZ327700 HRV327686:HRV327700 IBR327686:IBR327700 ILN327686:ILN327700 IVJ327686:IVJ327700 JFF327686:JFF327700 JPB327686:JPB327700 JYX327686:JYX327700 KIT327686:KIT327700 KSP327686:KSP327700 LCL327686:LCL327700 LMH327686:LMH327700 LWD327686:LWD327700 MFZ327686:MFZ327700 MPV327686:MPV327700 MZR327686:MZR327700 NJN327686:NJN327700 NTJ327686:NTJ327700 ODF327686:ODF327700 ONB327686:ONB327700 OWX327686:OWX327700 PGT327686:PGT327700 PQP327686:PQP327700 QAL327686:QAL327700 QKH327686:QKH327700 QUD327686:QUD327700 RDZ327686:RDZ327700 RNV327686:RNV327700 RXR327686:RXR327700 SHN327686:SHN327700 SRJ327686:SRJ327700 TBF327686:TBF327700 TLB327686:TLB327700 TUX327686:TUX327700 UET327686:UET327700 UOP327686:UOP327700 UYL327686:UYL327700 VIH327686:VIH327700 VSD327686:VSD327700 WBZ327686:WBZ327700 WLV327686:WLV327700 WVR327686:WVR327700 J393222:J393236 JF393222:JF393236 TB393222:TB393236 ACX393222:ACX393236 AMT393222:AMT393236 AWP393222:AWP393236 BGL393222:BGL393236 BQH393222:BQH393236 CAD393222:CAD393236 CJZ393222:CJZ393236 CTV393222:CTV393236 DDR393222:DDR393236 DNN393222:DNN393236 DXJ393222:DXJ393236 EHF393222:EHF393236 ERB393222:ERB393236 FAX393222:FAX393236 FKT393222:FKT393236 FUP393222:FUP393236 GEL393222:GEL393236 GOH393222:GOH393236 GYD393222:GYD393236 HHZ393222:HHZ393236 HRV393222:HRV393236 IBR393222:IBR393236 ILN393222:ILN393236 IVJ393222:IVJ393236 JFF393222:JFF393236 JPB393222:JPB393236 JYX393222:JYX393236 KIT393222:KIT393236 KSP393222:KSP393236 LCL393222:LCL393236 LMH393222:LMH393236 LWD393222:LWD393236 MFZ393222:MFZ393236 MPV393222:MPV393236 MZR393222:MZR393236 NJN393222:NJN393236 NTJ393222:NTJ393236 ODF393222:ODF393236 ONB393222:ONB393236 OWX393222:OWX393236 PGT393222:PGT393236 PQP393222:PQP393236 QAL393222:QAL393236 QKH393222:QKH393236 QUD393222:QUD393236 RDZ393222:RDZ393236 RNV393222:RNV393236 RXR393222:RXR393236 SHN393222:SHN393236 SRJ393222:SRJ393236 TBF393222:TBF393236 TLB393222:TLB393236 TUX393222:TUX393236 UET393222:UET393236 UOP393222:UOP393236 UYL393222:UYL393236 VIH393222:VIH393236 VSD393222:VSD393236 WBZ393222:WBZ393236 WLV393222:WLV393236 WVR393222:WVR393236 J458758:J458772 JF458758:JF458772 TB458758:TB458772 ACX458758:ACX458772 AMT458758:AMT458772 AWP458758:AWP458772 BGL458758:BGL458772 BQH458758:BQH458772 CAD458758:CAD458772 CJZ458758:CJZ458772 CTV458758:CTV458772 DDR458758:DDR458772 DNN458758:DNN458772 DXJ458758:DXJ458772 EHF458758:EHF458772 ERB458758:ERB458772 FAX458758:FAX458772 FKT458758:FKT458772 FUP458758:FUP458772 GEL458758:GEL458772 GOH458758:GOH458772 GYD458758:GYD458772 HHZ458758:HHZ458772 HRV458758:HRV458772 IBR458758:IBR458772 ILN458758:ILN458772 IVJ458758:IVJ458772 JFF458758:JFF458772 JPB458758:JPB458772 JYX458758:JYX458772 KIT458758:KIT458772 KSP458758:KSP458772 LCL458758:LCL458772 LMH458758:LMH458772 LWD458758:LWD458772 MFZ458758:MFZ458772 MPV458758:MPV458772 MZR458758:MZR458772 NJN458758:NJN458772 NTJ458758:NTJ458772 ODF458758:ODF458772 ONB458758:ONB458772 OWX458758:OWX458772 PGT458758:PGT458772 PQP458758:PQP458772 QAL458758:QAL458772 QKH458758:QKH458772 QUD458758:QUD458772 RDZ458758:RDZ458772 RNV458758:RNV458772 RXR458758:RXR458772 SHN458758:SHN458772 SRJ458758:SRJ458772 TBF458758:TBF458772 TLB458758:TLB458772 TUX458758:TUX458772 UET458758:UET458772 UOP458758:UOP458772 UYL458758:UYL458772 VIH458758:VIH458772 VSD458758:VSD458772 WBZ458758:WBZ458772 WLV458758:WLV458772 WVR458758:WVR458772 J524294:J524308 JF524294:JF524308 TB524294:TB524308 ACX524294:ACX524308 AMT524294:AMT524308 AWP524294:AWP524308 BGL524294:BGL524308 BQH524294:BQH524308 CAD524294:CAD524308 CJZ524294:CJZ524308 CTV524294:CTV524308 DDR524294:DDR524308 DNN524294:DNN524308 DXJ524294:DXJ524308 EHF524294:EHF524308 ERB524294:ERB524308 FAX524294:FAX524308 FKT524294:FKT524308 FUP524294:FUP524308 GEL524294:GEL524308 GOH524294:GOH524308 GYD524294:GYD524308 HHZ524294:HHZ524308 HRV524294:HRV524308 IBR524294:IBR524308 ILN524294:ILN524308 IVJ524294:IVJ524308 JFF524294:JFF524308 JPB524294:JPB524308 JYX524294:JYX524308 KIT524294:KIT524308 KSP524294:KSP524308 LCL524294:LCL524308 LMH524294:LMH524308 LWD524294:LWD524308 MFZ524294:MFZ524308 MPV524294:MPV524308 MZR524294:MZR524308 NJN524294:NJN524308 NTJ524294:NTJ524308 ODF524294:ODF524308 ONB524294:ONB524308 OWX524294:OWX524308 PGT524294:PGT524308 PQP524294:PQP524308 QAL524294:QAL524308 QKH524294:QKH524308 QUD524294:QUD524308 RDZ524294:RDZ524308 RNV524294:RNV524308 RXR524294:RXR524308 SHN524294:SHN524308 SRJ524294:SRJ524308 TBF524294:TBF524308 TLB524294:TLB524308 TUX524294:TUX524308 UET524294:UET524308 UOP524294:UOP524308 UYL524294:UYL524308 VIH524294:VIH524308 VSD524294:VSD524308 WBZ524294:WBZ524308 WLV524294:WLV524308 WVR524294:WVR524308 J589830:J589844 JF589830:JF589844 TB589830:TB589844 ACX589830:ACX589844 AMT589830:AMT589844 AWP589830:AWP589844 BGL589830:BGL589844 BQH589830:BQH589844 CAD589830:CAD589844 CJZ589830:CJZ589844 CTV589830:CTV589844 DDR589830:DDR589844 DNN589830:DNN589844 DXJ589830:DXJ589844 EHF589830:EHF589844 ERB589830:ERB589844 FAX589830:FAX589844 FKT589830:FKT589844 FUP589830:FUP589844 GEL589830:GEL589844 GOH589830:GOH589844 GYD589830:GYD589844 HHZ589830:HHZ589844 HRV589830:HRV589844 IBR589830:IBR589844 ILN589830:ILN589844 IVJ589830:IVJ589844 JFF589830:JFF589844 JPB589830:JPB589844 JYX589830:JYX589844 KIT589830:KIT589844 KSP589830:KSP589844 LCL589830:LCL589844 LMH589830:LMH589844 LWD589830:LWD589844 MFZ589830:MFZ589844 MPV589830:MPV589844 MZR589830:MZR589844 NJN589830:NJN589844 NTJ589830:NTJ589844 ODF589830:ODF589844 ONB589830:ONB589844 OWX589830:OWX589844 PGT589830:PGT589844 PQP589830:PQP589844 QAL589830:QAL589844 QKH589830:QKH589844 QUD589830:QUD589844 RDZ589830:RDZ589844 RNV589830:RNV589844 RXR589830:RXR589844 SHN589830:SHN589844 SRJ589830:SRJ589844 TBF589830:TBF589844 TLB589830:TLB589844 TUX589830:TUX589844 UET589830:UET589844 UOP589830:UOP589844 UYL589830:UYL589844 VIH589830:VIH589844 VSD589830:VSD589844 WBZ589830:WBZ589844 WLV589830:WLV589844 WVR589830:WVR589844 J655366:J655380 JF655366:JF655380 TB655366:TB655380 ACX655366:ACX655380 AMT655366:AMT655380 AWP655366:AWP655380 BGL655366:BGL655380 BQH655366:BQH655380 CAD655366:CAD655380 CJZ655366:CJZ655380 CTV655366:CTV655380 DDR655366:DDR655380 DNN655366:DNN655380 DXJ655366:DXJ655380 EHF655366:EHF655380 ERB655366:ERB655380 FAX655366:FAX655380 FKT655366:FKT655380 FUP655366:FUP655380 GEL655366:GEL655380 GOH655366:GOH655380 GYD655366:GYD655380 HHZ655366:HHZ655380 HRV655366:HRV655380 IBR655366:IBR655380 ILN655366:ILN655380 IVJ655366:IVJ655380 JFF655366:JFF655380 JPB655366:JPB655380 JYX655366:JYX655380 KIT655366:KIT655380 KSP655366:KSP655380 LCL655366:LCL655380 LMH655366:LMH655380 LWD655366:LWD655380 MFZ655366:MFZ655380 MPV655366:MPV655380 MZR655366:MZR655380 NJN655366:NJN655380 NTJ655366:NTJ655380 ODF655366:ODF655380 ONB655366:ONB655380 OWX655366:OWX655380 PGT655366:PGT655380 PQP655366:PQP655380 QAL655366:QAL655380 QKH655366:QKH655380 QUD655366:QUD655380 RDZ655366:RDZ655380 RNV655366:RNV655380 RXR655366:RXR655380 SHN655366:SHN655380 SRJ655366:SRJ655380 TBF655366:TBF655380 TLB655366:TLB655380 TUX655366:TUX655380 UET655366:UET655380 UOP655366:UOP655380 UYL655366:UYL655380 VIH655366:VIH655380 VSD655366:VSD655380 WBZ655366:WBZ655380 WLV655366:WLV655380 WVR655366:WVR655380 J720902:J720916 JF720902:JF720916 TB720902:TB720916 ACX720902:ACX720916 AMT720902:AMT720916 AWP720902:AWP720916 BGL720902:BGL720916 BQH720902:BQH720916 CAD720902:CAD720916 CJZ720902:CJZ720916 CTV720902:CTV720916 DDR720902:DDR720916 DNN720902:DNN720916 DXJ720902:DXJ720916 EHF720902:EHF720916 ERB720902:ERB720916 FAX720902:FAX720916 FKT720902:FKT720916 FUP720902:FUP720916 GEL720902:GEL720916 GOH720902:GOH720916 GYD720902:GYD720916 HHZ720902:HHZ720916 HRV720902:HRV720916 IBR720902:IBR720916 ILN720902:ILN720916 IVJ720902:IVJ720916 JFF720902:JFF720916 JPB720902:JPB720916 JYX720902:JYX720916 KIT720902:KIT720916 KSP720902:KSP720916 LCL720902:LCL720916 LMH720902:LMH720916 LWD720902:LWD720916 MFZ720902:MFZ720916 MPV720902:MPV720916 MZR720902:MZR720916 NJN720902:NJN720916 NTJ720902:NTJ720916 ODF720902:ODF720916 ONB720902:ONB720916 OWX720902:OWX720916 PGT720902:PGT720916 PQP720902:PQP720916 QAL720902:QAL720916 QKH720902:QKH720916 QUD720902:QUD720916 RDZ720902:RDZ720916 RNV720902:RNV720916 RXR720902:RXR720916 SHN720902:SHN720916 SRJ720902:SRJ720916 TBF720902:TBF720916 TLB720902:TLB720916 TUX720902:TUX720916 UET720902:UET720916 UOP720902:UOP720916 UYL720902:UYL720916 VIH720902:VIH720916 VSD720902:VSD720916 WBZ720902:WBZ720916 WLV720902:WLV720916 WVR720902:WVR720916 J786438:J786452 JF786438:JF786452 TB786438:TB786452 ACX786438:ACX786452 AMT786438:AMT786452 AWP786438:AWP786452 BGL786438:BGL786452 BQH786438:BQH786452 CAD786438:CAD786452 CJZ786438:CJZ786452 CTV786438:CTV786452 DDR786438:DDR786452 DNN786438:DNN786452 DXJ786438:DXJ786452 EHF786438:EHF786452 ERB786438:ERB786452 FAX786438:FAX786452 FKT786438:FKT786452 FUP786438:FUP786452 GEL786438:GEL786452 GOH786438:GOH786452 GYD786438:GYD786452 HHZ786438:HHZ786452 HRV786438:HRV786452 IBR786438:IBR786452 ILN786438:ILN786452 IVJ786438:IVJ786452 JFF786438:JFF786452 JPB786438:JPB786452 JYX786438:JYX786452 KIT786438:KIT786452 KSP786438:KSP786452 LCL786438:LCL786452 LMH786438:LMH786452 LWD786438:LWD786452 MFZ786438:MFZ786452 MPV786438:MPV786452 MZR786438:MZR786452 NJN786438:NJN786452 NTJ786438:NTJ786452 ODF786438:ODF786452 ONB786438:ONB786452 OWX786438:OWX786452 PGT786438:PGT786452 PQP786438:PQP786452 QAL786438:QAL786452 QKH786438:QKH786452 QUD786438:QUD786452 RDZ786438:RDZ786452 RNV786438:RNV786452 RXR786438:RXR786452 SHN786438:SHN786452 SRJ786438:SRJ786452 TBF786438:TBF786452 TLB786438:TLB786452 TUX786438:TUX786452 UET786438:UET786452 UOP786438:UOP786452 UYL786438:UYL786452 VIH786438:VIH786452 VSD786438:VSD786452 WBZ786438:WBZ786452 WLV786438:WLV786452 WVR786438:WVR786452 J851974:J851988 JF851974:JF851988 TB851974:TB851988 ACX851974:ACX851988 AMT851974:AMT851988 AWP851974:AWP851988 BGL851974:BGL851988 BQH851974:BQH851988 CAD851974:CAD851988 CJZ851974:CJZ851988 CTV851974:CTV851988 DDR851974:DDR851988 DNN851974:DNN851988 DXJ851974:DXJ851988 EHF851974:EHF851988 ERB851974:ERB851988 FAX851974:FAX851988 FKT851974:FKT851988 FUP851974:FUP851988 GEL851974:GEL851988 GOH851974:GOH851988 GYD851974:GYD851988 HHZ851974:HHZ851988 HRV851974:HRV851988 IBR851974:IBR851988 ILN851974:ILN851988 IVJ851974:IVJ851988 JFF851974:JFF851988 JPB851974:JPB851988 JYX851974:JYX851988 KIT851974:KIT851988 KSP851974:KSP851988 LCL851974:LCL851988 LMH851974:LMH851988 LWD851974:LWD851988 MFZ851974:MFZ851988 MPV851974:MPV851988 MZR851974:MZR851988 NJN851974:NJN851988 NTJ851974:NTJ851988 ODF851974:ODF851988 ONB851974:ONB851988 OWX851974:OWX851988 PGT851974:PGT851988 PQP851974:PQP851988 QAL851974:QAL851988 QKH851974:QKH851988 QUD851974:QUD851988 RDZ851974:RDZ851988 RNV851974:RNV851988 RXR851974:RXR851988 SHN851974:SHN851988 SRJ851974:SRJ851988 TBF851974:TBF851988 TLB851974:TLB851988 TUX851974:TUX851988 UET851974:UET851988 UOP851974:UOP851988 UYL851974:UYL851988 VIH851974:VIH851988 VSD851974:VSD851988 WBZ851974:WBZ851988 WLV851974:WLV851988 WVR851974:WVR851988 J917510:J917524 JF917510:JF917524 TB917510:TB917524 ACX917510:ACX917524 AMT917510:AMT917524 AWP917510:AWP917524 BGL917510:BGL917524 BQH917510:BQH917524 CAD917510:CAD917524 CJZ917510:CJZ917524 CTV917510:CTV917524 DDR917510:DDR917524 DNN917510:DNN917524 DXJ917510:DXJ917524 EHF917510:EHF917524 ERB917510:ERB917524 FAX917510:FAX917524 FKT917510:FKT917524 FUP917510:FUP917524 GEL917510:GEL917524 GOH917510:GOH917524 GYD917510:GYD917524 HHZ917510:HHZ917524 HRV917510:HRV917524 IBR917510:IBR917524 ILN917510:ILN917524 IVJ917510:IVJ917524 JFF917510:JFF917524 JPB917510:JPB917524 JYX917510:JYX917524 KIT917510:KIT917524 KSP917510:KSP917524 LCL917510:LCL917524 LMH917510:LMH917524 LWD917510:LWD917524 MFZ917510:MFZ917524 MPV917510:MPV917524 MZR917510:MZR917524 NJN917510:NJN917524 NTJ917510:NTJ917524 ODF917510:ODF917524 ONB917510:ONB917524 OWX917510:OWX917524 PGT917510:PGT917524 PQP917510:PQP917524 QAL917510:QAL917524 QKH917510:QKH917524 QUD917510:QUD917524 RDZ917510:RDZ917524 RNV917510:RNV917524 RXR917510:RXR917524 SHN917510:SHN917524 SRJ917510:SRJ917524 TBF917510:TBF917524 TLB917510:TLB917524 TUX917510:TUX917524 UET917510:UET917524 UOP917510:UOP917524 UYL917510:UYL917524 VIH917510:VIH917524 VSD917510:VSD917524 WBZ917510:WBZ917524 WLV917510:WLV917524 WVR917510:WVR917524 J983046:J983060 JF983046:JF983060 TB983046:TB983060 ACX983046:ACX983060 AMT983046:AMT983060 AWP983046:AWP983060 BGL983046:BGL983060 BQH983046:BQH983060 CAD983046:CAD983060 CJZ983046:CJZ983060 CTV983046:CTV983060 DDR983046:DDR983060 DNN983046:DNN983060 DXJ983046:DXJ983060 EHF983046:EHF983060 ERB983046:ERB983060 FAX983046:FAX983060 FKT983046:FKT983060 FUP983046:FUP983060 GEL983046:GEL983060 GOH983046:GOH983060 GYD983046:GYD983060 HHZ983046:HHZ983060 HRV983046:HRV983060 IBR983046:IBR983060 ILN983046:ILN983060 IVJ983046:IVJ983060 JFF983046:JFF983060 JPB983046:JPB983060 JYX983046:JYX983060 KIT983046:KIT983060 KSP983046:KSP983060 LCL983046:LCL983060 LMH983046:LMH983060 LWD983046:LWD983060 MFZ983046:MFZ983060 MPV983046:MPV983060 MZR983046:MZR983060 NJN983046:NJN983060 NTJ983046:NTJ983060 ODF983046:ODF983060 ONB983046:ONB983060 OWX983046:OWX983060 PGT983046:PGT983060 PQP983046:PQP983060 QAL983046:QAL983060 QKH983046:QKH983060 QUD983046:QUD983060 RDZ983046:RDZ983060 RNV983046:RNV983060 RXR983046:RXR983060 SHN983046:SHN983060 SRJ983046:SRJ983060 TBF983046:TBF983060 TLB983046:TLB983060 TUX983046:TUX983060 UET983046:UET983060 UOP983046:UOP983060 UYL983046:UYL983060 VIH983046:VIH983060 VSD983046:VSD983060 WBZ983046:WBZ983060 WLV983046:WLV983060 IX13:IX19 ST13:ST19 ACP13:ACP19 AML13:AML19 AWH13:AWH19 BGD13:BGD19 BPZ13:BPZ19 BZV13:BZV19 CJR13:CJR19 CTN13:CTN19 DDJ13:DDJ19 DNF13:DNF19 DXB13:DXB19 EGX13:EGX19 EQT13:EQT19 FAP13:FAP19 FKL13:FKL19 FUH13:FUH19 GED13:GED19 GNZ13:GNZ19 GXV13:GXV19 HHR13:HHR19 HRN13:HRN19 IBJ13:IBJ19 ILF13:ILF19 IVB13:IVB19 JEX13:JEX19 JOT13:JOT19 JYP13:JYP19 KIL13:KIL19 KSH13:KSH19 LCD13:LCD19 LLZ13:LLZ19 LVV13:LVV19 MFR13:MFR19 MPN13:MPN19 MZJ13:MZJ19 NJF13:NJF19 NTB13:NTB19 OCX13:OCX19 OMT13:OMT19 OWP13:OWP19 PGL13:PGL19 PQH13:PQH19 QAD13:QAD19 QJZ13:QJZ19 QTV13:QTV19 RDR13:RDR19 RNN13:RNN19 RXJ13:RXJ19 SHF13:SHF19 SRB13:SRB19 TAX13:TAX19 TKT13:TKT19 TUP13:TUP19 UEL13:UEL19 UOH13:UOH19 UYD13:UYD19 VHZ13:VHZ19 VRV13:VRV19 WBR13:WBR19 WLN13:WLN19 WVJ13:WVJ19 JF13:JF19 TB13:TB19 ACX13:ACX19 AMT13:AMT19 AWP13:AWP19 BGL13:BGL19 BQH13:BQH19 CAD13:CAD19 CJZ13:CJZ19 CTV13:CTV19 DDR13:DDR19 DNN13:DNN19 DXJ13:DXJ19 EHF13:EHF19 ERB13:ERB19 FAX13:FAX19 FKT13:FKT19 FUP13:FUP19 GEL13:GEL19 GOH13:GOH19 GYD13:GYD19 HHZ13:HHZ19 HRV13:HRV19 IBR13:IBR19 ILN13:ILN19 IVJ13:IVJ19 JFF13:JFF19 JPB13:JPB19 JYX13:JYX19 KIT13:KIT19 KSP13:KSP19 LCL13:LCL19 LMH13:LMH19 LWD13:LWD19 MFZ13:MFZ19 MPV13:MPV19 MZR13:MZR19 NJN13:NJN19 NTJ13:NTJ19 ODF13:ODF19 ONB13:ONB19 OWX13:OWX19 PGT13:PGT19 PQP13:PQP19 QAL13:QAL19 QKH13:QKH19 QUD13:QUD19 RDZ13:RDZ19 RNV13:RNV19 RXR13:RXR19 SHN13:SHN19 SRJ13:SRJ19 TBF13:TBF19 TLB13:TLB19 TUX13:TUX19 UET13:UET19 UOP13:UOP19 UYL13:UYL19 VIH13:VIH19 VSD13:VSD19 WBZ13:WBZ19 WLV13:WLV19 WVR13:WVR19 B13:B19" xr:uid="{B888D222-D6B6-4DC4-B41D-E584D73CFB70}">
      <formula1>4</formula1>
    </dataValidation>
    <dataValidation type="textLength" operator="equal" allowBlank="1" showInputMessage="1" showErrorMessage="1" errorTitle="Invalid data!" error="GASB number must be 4 digits." sqref="D65542:D65556 IZ65542:IZ65556 SV65542:SV65556 ACR65542:ACR65556 AMN65542:AMN65556 AWJ65542:AWJ65556 BGF65542:BGF65556 BQB65542:BQB65556 BZX65542:BZX65556 CJT65542:CJT65556 CTP65542:CTP65556 DDL65542:DDL65556 DNH65542:DNH65556 DXD65542:DXD65556 EGZ65542:EGZ65556 EQV65542:EQV65556 FAR65542:FAR65556 FKN65542:FKN65556 FUJ65542:FUJ65556 GEF65542:GEF65556 GOB65542:GOB65556 GXX65542:GXX65556 HHT65542:HHT65556 HRP65542:HRP65556 IBL65542:IBL65556 ILH65542:ILH65556 IVD65542:IVD65556 JEZ65542:JEZ65556 JOV65542:JOV65556 JYR65542:JYR65556 KIN65542:KIN65556 KSJ65542:KSJ65556 LCF65542:LCF65556 LMB65542:LMB65556 LVX65542:LVX65556 MFT65542:MFT65556 MPP65542:MPP65556 MZL65542:MZL65556 NJH65542:NJH65556 NTD65542:NTD65556 OCZ65542:OCZ65556 OMV65542:OMV65556 OWR65542:OWR65556 PGN65542:PGN65556 PQJ65542:PQJ65556 QAF65542:QAF65556 QKB65542:QKB65556 QTX65542:QTX65556 RDT65542:RDT65556 RNP65542:RNP65556 RXL65542:RXL65556 SHH65542:SHH65556 SRD65542:SRD65556 TAZ65542:TAZ65556 TKV65542:TKV65556 TUR65542:TUR65556 UEN65542:UEN65556 UOJ65542:UOJ65556 UYF65542:UYF65556 VIB65542:VIB65556 VRX65542:VRX65556 WBT65542:WBT65556 WLP65542:WLP65556 WVL65542:WVL65556 D131078:D131092 IZ131078:IZ131092 SV131078:SV131092 ACR131078:ACR131092 AMN131078:AMN131092 AWJ131078:AWJ131092 BGF131078:BGF131092 BQB131078:BQB131092 BZX131078:BZX131092 CJT131078:CJT131092 CTP131078:CTP131092 DDL131078:DDL131092 DNH131078:DNH131092 DXD131078:DXD131092 EGZ131078:EGZ131092 EQV131078:EQV131092 FAR131078:FAR131092 FKN131078:FKN131092 FUJ131078:FUJ131092 GEF131078:GEF131092 GOB131078:GOB131092 GXX131078:GXX131092 HHT131078:HHT131092 HRP131078:HRP131092 IBL131078:IBL131092 ILH131078:ILH131092 IVD131078:IVD131092 JEZ131078:JEZ131092 JOV131078:JOV131092 JYR131078:JYR131092 KIN131078:KIN131092 KSJ131078:KSJ131092 LCF131078:LCF131092 LMB131078:LMB131092 LVX131078:LVX131092 MFT131078:MFT131092 MPP131078:MPP131092 MZL131078:MZL131092 NJH131078:NJH131092 NTD131078:NTD131092 OCZ131078:OCZ131092 OMV131078:OMV131092 OWR131078:OWR131092 PGN131078:PGN131092 PQJ131078:PQJ131092 QAF131078:QAF131092 QKB131078:QKB131092 QTX131078:QTX131092 RDT131078:RDT131092 RNP131078:RNP131092 RXL131078:RXL131092 SHH131078:SHH131092 SRD131078:SRD131092 TAZ131078:TAZ131092 TKV131078:TKV131092 TUR131078:TUR131092 UEN131078:UEN131092 UOJ131078:UOJ131092 UYF131078:UYF131092 VIB131078:VIB131092 VRX131078:VRX131092 WBT131078:WBT131092 WLP131078:WLP131092 WVL131078:WVL131092 D196614:D196628 IZ196614:IZ196628 SV196614:SV196628 ACR196614:ACR196628 AMN196614:AMN196628 AWJ196614:AWJ196628 BGF196614:BGF196628 BQB196614:BQB196628 BZX196614:BZX196628 CJT196614:CJT196628 CTP196614:CTP196628 DDL196614:DDL196628 DNH196614:DNH196628 DXD196614:DXD196628 EGZ196614:EGZ196628 EQV196614:EQV196628 FAR196614:FAR196628 FKN196614:FKN196628 FUJ196614:FUJ196628 GEF196614:GEF196628 GOB196614:GOB196628 GXX196614:GXX196628 HHT196614:HHT196628 HRP196614:HRP196628 IBL196614:IBL196628 ILH196614:ILH196628 IVD196614:IVD196628 JEZ196614:JEZ196628 JOV196614:JOV196628 JYR196614:JYR196628 KIN196614:KIN196628 KSJ196614:KSJ196628 LCF196614:LCF196628 LMB196614:LMB196628 LVX196614:LVX196628 MFT196614:MFT196628 MPP196614:MPP196628 MZL196614:MZL196628 NJH196614:NJH196628 NTD196614:NTD196628 OCZ196614:OCZ196628 OMV196614:OMV196628 OWR196614:OWR196628 PGN196614:PGN196628 PQJ196614:PQJ196628 QAF196614:QAF196628 QKB196614:QKB196628 QTX196614:QTX196628 RDT196614:RDT196628 RNP196614:RNP196628 RXL196614:RXL196628 SHH196614:SHH196628 SRD196614:SRD196628 TAZ196614:TAZ196628 TKV196614:TKV196628 TUR196614:TUR196628 UEN196614:UEN196628 UOJ196614:UOJ196628 UYF196614:UYF196628 VIB196614:VIB196628 VRX196614:VRX196628 WBT196614:WBT196628 WLP196614:WLP196628 WVL196614:WVL196628 D262150:D262164 IZ262150:IZ262164 SV262150:SV262164 ACR262150:ACR262164 AMN262150:AMN262164 AWJ262150:AWJ262164 BGF262150:BGF262164 BQB262150:BQB262164 BZX262150:BZX262164 CJT262150:CJT262164 CTP262150:CTP262164 DDL262150:DDL262164 DNH262150:DNH262164 DXD262150:DXD262164 EGZ262150:EGZ262164 EQV262150:EQV262164 FAR262150:FAR262164 FKN262150:FKN262164 FUJ262150:FUJ262164 GEF262150:GEF262164 GOB262150:GOB262164 GXX262150:GXX262164 HHT262150:HHT262164 HRP262150:HRP262164 IBL262150:IBL262164 ILH262150:ILH262164 IVD262150:IVD262164 JEZ262150:JEZ262164 JOV262150:JOV262164 JYR262150:JYR262164 KIN262150:KIN262164 KSJ262150:KSJ262164 LCF262150:LCF262164 LMB262150:LMB262164 LVX262150:LVX262164 MFT262150:MFT262164 MPP262150:MPP262164 MZL262150:MZL262164 NJH262150:NJH262164 NTD262150:NTD262164 OCZ262150:OCZ262164 OMV262150:OMV262164 OWR262150:OWR262164 PGN262150:PGN262164 PQJ262150:PQJ262164 QAF262150:QAF262164 QKB262150:QKB262164 QTX262150:QTX262164 RDT262150:RDT262164 RNP262150:RNP262164 RXL262150:RXL262164 SHH262150:SHH262164 SRD262150:SRD262164 TAZ262150:TAZ262164 TKV262150:TKV262164 TUR262150:TUR262164 UEN262150:UEN262164 UOJ262150:UOJ262164 UYF262150:UYF262164 VIB262150:VIB262164 VRX262150:VRX262164 WBT262150:WBT262164 WLP262150:WLP262164 WVL262150:WVL262164 D327686:D327700 IZ327686:IZ327700 SV327686:SV327700 ACR327686:ACR327700 AMN327686:AMN327700 AWJ327686:AWJ327700 BGF327686:BGF327700 BQB327686:BQB327700 BZX327686:BZX327700 CJT327686:CJT327700 CTP327686:CTP327700 DDL327686:DDL327700 DNH327686:DNH327700 DXD327686:DXD327700 EGZ327686:EGZ327700 EQV327686:EQV327700 FAR327686:FAR327700 FKN327686:FKN327700 FUJ327686:FUJ327700 GEF327686:GEF327700 GOB327686:GOB327700 GXX327686:GXX327700 HHT327686:HHT327700 HRP327686:HRP327700 IBL327686:IBL327700 ILH327686:ILH327700 IVD327686:IVD327700 JEZ327686:JEZ327700 JOV327686:JOV327700 JYR327686:JYR327700 KIN327686:KIN327700 KSJ327686:KSJ327700 LCF327686:LCF327700 LMB327686:LMB327700 LVX327686:LVX327700 MFT327686:MFT327700 MPP327686:MPP327700 MZL327686:MZL327700 NJH327686:NJH327700 NTD327686:NTD327700 OCZ327686:OCZ327700 OMV327686:OMV327700 OWR327686:OWR327700 PGN327686:PGN327700 PQJ327686:PQJ327700 QAF327686:QAF327700 QKB327686:QKB327700 QTX327686:QTX327700 RDT327686:RDT327700 RNP327686:RNP327700 RXL327686:RXL327700 SHH327686:SHH327700 SRD327686:SRD327700 TAZ327686:TAZ327700 TKV327686:TKV327700 TUR327686:TUR327700 UEN327686:UEN327700 UOJ327686:UOJ327700 UYF327686:UYF327700 VIB327686:VIB327700 VRX327686:VRX327700 WBT327686:WBT327700 WLP327686:WLP327700 WVL327686:WVL327700 D393222:D393236 IZ393222:IZ393236 SV393222:SV393236 ACR393222:ACR393236 AMN393222:AMN393236 AWJ393222:AWJ393236 BGF393222:BGF393236 BQB393222:BQB393236 BZX393222:BZX393236 CJT393222:CJT393236 CTP393222:CTP393236 DDL393222:DDL393236 DNH393222:DNH393236 DXD393222:DXD393236 EGZ393222:EGZ393236 EQV393222:EQV393236 FAR393222:FAR393236 FKN393222:FKN393236 FUJ393222:FUJ393236 GEF393222:GEF393236 GOB393222:GOB393236 GXX393222:GXX393236 HHT393222:HHT393236 HRP393222:HRP393236 IBL393222:IBL393236 ILH393222:ILH393236 IVD393222:IVD393236 JEZ393222:JEZ393236 JOV393222:JOV393236 JYR393222:JYR393236 KIN393222:KIN393236 KSJ393222:KSJ393236 LCF393222:LCF393236 LMB393222:LMB393236 LVX393222:LVX393236 MFT393222:MFT393236 MPP393222:MPP393236 MZL393222:MZL393236 NJH393222:NJH393236 NTD393222:NTD393236 OCZ393222:OCZ393236 OMV393222:OMV393236 OWR393222:OWR393236 PGN393222:PGN393236 PQJ393222:PQJ393236 QAF393222:QAF393236 QKB393222:QKB393236 QTX393222:QTX393236 RDT393222:RDT393236 RNP393222:RNP393236 RXL393222:RXL393236 SHH393222:SHH393236 SRD393222:SRD393236 TAZ393222:TAZ393236 TKV393222:TKV393236 TUR393222:TUR393236 UEN393222:UEN393236 UOJ393222:UOJ393236 UYF393222:UYF393236 VIB393222:VIB393236 VRX393222:VRX393236 WBT393222:WBT393236 WLP393222:WLP393236 WVL393222:WVL393236 D458758:D458772 IZ458758:IZ458772 SV458758:SV458772 ACR458758:ACR458772 AMN458758:AMN458772 AWJ458758:AWJ458772 BGF458758:BGF458772 BQB458758:BQB458772 BZX458758:BZX458772 CJT458758:CJT458772 CTP458758:CTP458772 DDL458758:DDL458772 DNH458758:DNH458772 DXD458758:DXD458772 EGZ458758:EGZ458772 EQV458758:EQV458772 FAR458758:FAR458772 FKN458758:FKN458772 FUJ458758:FUJ458772 GEF458758:GEF458772 GOB458758:GOB458772 GXX458758:GXX458772 HHT458758:HHT458772 HRP458758:HRP458772 IBL458758:IBL458772 ILH458758:ILH458772 IVD458758:IVD458772 JEZ458758:JEZ458772 JOV458758:JOV458772 JYR458758:JYR458772 KIN458758:KIN458772 KSJ458758:KSJ458772 LCF458758:LCF458772 LMB458758:LMB458772 LVX458758:LVX458772 MFT458758:MFT458772 MPP458758:MPP458772 MZL458758:MZL458772 NJH458758:NJH458772 NTD458758:NTD458772 OCZ458758:OCZ458772 OMV458758:OMV458772 OWR458758:OWR458772 PGN458758:PGN458772 PQJ458758:PQJ458772 QAF458758:QAF458772 QKB458758:QKB458772 QTX458758:QTX458772 RDT458758:RDT458772 RNP458758:RNP458772 RXL458758:RXL458772 SHH458758:SHH458772 SRD458758:SRD458772 TAZ458758:TAZ458772 TKV458758:TKV458772 TUR458758:TUR458772 UEN458758:UEN458772 UOJ458758:UOJ458772 UYF458758:UYF458772 VIB458758:VIB458772 VRX458758:VRX458772 WBT458758:WBT458772 WLP458758:WLP458772 WVL458758:WVL458772 D524294:D524308 IZ524294:IZ524308 SV524294:SV524308 ACR524294:ACR524308 AMN524294:AMN524308 AWJ524294:AWJ524308 BGF524294:BGF524308 BQB524294:BQB524308 BZX524294:BZX524308 CJT524294:CJT524308 CTP524294:CTP524308 DDL524294:DDL524308 DNH524294:DNH524308 DXD524294:DXD524308 EGZ524294:EGZ524308 EQV524294:EQV524308 FAR524294:FAR524308 FKN524294:FKN524308 FUJ524294:FUJ524308 GEF524294:GEF524308 GOB524294:GOB524308 GXX524294:GXX524308 HHT524294:HHT524308 HRP524294:HRP524308 IBL524294:IBL524308 ILH524294:ILH524308 IVD524294:IVD524308 JEZ524294:JEZ524308 JOV524294:JOV524308 JYR524294:JYR524308 KIN524294:KIN524308 KSJ524294:KSJ524308 LCF524294:LCF524308 LMB524294:LMB524308 LVX524294:LVX524308 MFT524294:MFT524308 MPP524294:MPP524308 MZL524294:MZL524308 NJH524294:NJH524308 NTD524294:NTD524308 OCZ524294:OCZ524308 OMV524294:OMV524308 OWR524294:OWR524308 PGN524294:PGN524308 PQJ524294:PQJ524308 QAF524294:QAF524308 QKB524294:QKB524308 QTX524294:QTX524308 RDT524294:RDT524308 RNP524294:RNP524308 RXL524294:RXL524308 SHH524294:SHH524308 SRD524294:SRD524308 TAZ524294:TAZ524308 TKV524294:TKV524308 TUR524294:TUR524308 UEN524294:UEN524308 UOJ524294:UOJ524308 UYF524294:UYF524308 VIB524294:VIB524308 VRX524294:VRX524308 WBT524294:WBT524308 WLP524294:WLP524308 WVL524294:WVL524308 D589830:D589844 IZ589830:IZ589844 SV589830:SV589844 ACR589830:ACR589844 AMN589830:AMN589844 AWJ589830:AWJ589844 BGF589830:BGF589844 BQB589830:BQB589844 BZX589830:BZX589844 CJT589830:CJT589844 CTP589830:CTP589844 DDL589830:DDL589844 DNH589830:DNH589844 DXD589830:DXD589844 EGZ589830:EGZ589844 EQV589830:EQV589844 FAR589830:FAR589844 FKN589830:FKN589844 FUJ589830:FUJ589844 GEF589830:GEF589844 GOB589830:GOB589844 GXX589830:GXX589844 HHT589830:HHT589844 HRP589830:HRP589844 IBL589830:IBL589844 ILH589830:ILH589844 IVD589830:IVD589844 JEZ589830:JEZ589844 JOV589830:JOV589844 JYR589830:JYR589844 KIN589830:KIN589844 KSJ589830:KSJ589844 LCF589830:LCF589844 LMB589830:LMB589844 LVX589830:LVX589844 MFT589830:MFT589844 MPP589830:MPP589844 MZL589830:MZL589844 NJH589830:NJH589844 NTD589830:NTD589844 OCZ589830:OCZ589844 OMV589830:OMV589844 OWR589830:OWR589844 PGN589830:PGN589844 PQJ589830:PQJ589844 QAF589830:QAF589844 QKB589830:QKB589844 QTX589830:QTX589844 RDT589830:RDT589844 RNP589830:RNP589844 RXL589830:RXL589844 SHH589830:SHH589844 SRD589830:SRD589844 TAZ589830:TAZ589844 TKV589830:TKV589844 TUR589830:TUR589844 UEN589830:UEN589844 UOJ589830:UOJ589844 UYF589830:UYF589844 VIB589830:VIB589844 VRX589830:VRX589844 WBT589830:WBT589844 WLP589830:WLP589844 WVL589830:WVL589844 D655366:D655380 IZ655366:IZ655380 SV655366:SV655380 ACR655366:ACR655380 AMN655366:AMN655380 AWJ655366:AWJ655380 BGF655366:BGF655380 BQB655366:BQB655380 BZX655366:BZX655380 CJT655366:CJT655380 CTP655366:CTP655380 DDL655366:DDL655380 DNH655366:DNH655380 DXD655366:DXD655380 EGZ655366:EGZ655380 EQV655366:EQV655380 FAR655366:FAR655380 FKN655366:FKN655380 FUJ655366:FUJ655380 GEF655366:GEF655380 GOB655366:GOB655380 GXX655366:GXX655380 HHT655366:HHT655380 HRP655366:HRP655380 IBL655366:IBL655380 ILH655366:ILH655380 IVD655366:IVD655380 JEZ655366:JEZ655380 JOV655366:JOV655380 JYR655366:JYR655380 KIN655366:KIN655380 KSJ655366:KSJ655380 LCF655366:LCF655380 LMB655366:LMB655380 LVX655366:LVX655380 MFT655366:MFT655380 MPP655366:MPP655380 MZL655366:MZL655380 NJH655366:NJH655380 NTD655366:NTD655380 OCZ655366:OCZ655380 OMV655366:OMV655380 OWR655366:OWR655380 PGN655366:PGN655380 PQJ655366:PQJ655380 QAF655366:QAF655380 QKB655366:QKB655380 QTX655366:QTX655380 RDT655366:RDT655380 RNP655366:RNP655380 RXL655366:RXL655380 SHH655366:SHH655380 SRD655366:SRD655380 TAZ655366:TAZ655380 TKV655366:TKV655380 TUR655366:TUR655380 UEN655366:UEN655380 UOJ655366:UOJ655380 UYF655366:UYF655380 VIB655366:VIB655380 VRX655366:VRX655380 WBT655366:WBT655380 WLP655366:WLP655380 WVL655366:WVL655380 D720902:D720916 IZ720902:IZ720916 SV720902:SV720916 ACR720902:ACR720916 AMN720902:AMN720916 AWJ720902:AWJ720916 BGF720902:BGF720916 BQB720902:BQB720916 BZX720902:BZX720916 CJT720902:CJT720916 CTP720902:CTP720916 DDL720902:DDL720916 DNH720902:DNH720916 DXD720902:DXD720916 EGZ720902:EGZ720916 EQV720902:EQV720916 FAR720902:FAR720916 FKN720902:FKN720916 FUJ720902:FUJ720916 GEF720902:GEF720916 GOB720902:GOB720916 GXX720902:GXX720916 HHT720902:HHT720916 HRP720902:HRP720916 IBL720902:IBL720916 ILH720902:ILH720916 IVD720902:IVD720916 JEZ720902:JEZ720916 JOV720902:JOV720916 JYR720902:JYR720916 KIN720902:KIN720916 KSJ720902:KSJ720916 LCF720902:LCF720916 LMB720902:LMB720916 LVX720902:LVX720916 MFT720902:MFT720916 MPP720902:MPP720916 MZL720902:MZL720916 NJH720902:NJH720916 NTD720902:NTD720916 OCZ720902:OCZ720916 OMV720902:OMV720916 OWR720902:OWR720916 PGN720902:PGN720916 PQJ720902:PQJ720916 QAF720902:QAF720916 QKB720902:QKB720916 QTX720902:QTX720916 RDT720902:RDT720916 RNP720902:RNP720916 RXL720902:RXL720916 SHH720902:SHH720916 SRD720902:SRD720916 TAZ720902:TAZ720916 TKV720902:TKV720916 TUR720902:TUR720916 UEN720902:UEN720916 UOJ720902:UOJ720916 UYF720902:UYF720916 VIB720902:VIB720916 VRX720902:VRX720916 WBT720902:WBT720916 WLP720902:WLP720916 WVL720902:WVL720916 D786438:D786452 IZ786438:IZ786452 SV786438:SV786452 ACR786438:ACR786452 AMN786438:AMN786452 AWJ786438:AWJ786452 BGF786438:BGF786452 BQB786438:BQB786452 BZX786438:BZX786452 CJT786438:CJT786452 CTP786438:CTP786452 DDL786438:DDL786452 DNH786438:DNH786452 DXD786438:DXD786452 EGZ786438:EGZ786452 EQV786438:EQV786452 FAR786438:FAR786452 FKN786438:FKN786452 FUJ786438:FUJ786452 GEF786438:GEF786452 GOB786438:GOB786452 GXX786438:GXX786452 HHT786438:HHT786452 HRP786438:HRP786452 IBL786438:IBL786452 ILH786438:ILH786452 IVD786438:IVD786452 JEZ786438:JEZ786452 JOV786438:JOV786452 JYR786438:JYR786452 KIN786438:KIN786452 KSJ786438:KSJ786452 LCF786438:LCF786452 LMB786438:LMB786452 LVX786438:LVX786452 MFT786438:MFT786452 MPP786438:MPP786452 MZL786438:MZL786452 NJH786438:NJH786452 NTD786438:NTD786452 OCZ786438:OCZ786452 OMV786438:OMV786452 OWR786438:OWR786452 PGN786438:PGN786452 PQJ786438:PQJ786452 QAF786438:QAF786452 QKB786438:QKB786452 QTX786438:QTX786452 RDT786438:RDT786452 RNP786438:RNP786452 RXL786438:RXL786452 SHH786438:SHH786452 SRD786438:SRD786452 TAZ786438:TAZ786452 TKV786438:TKV786452 TUR786438:TUR786452 UEN786438:UEN786452 UOJ786438:UOJ786452 UYF786438:UYF786452 VIB786438:VIB786452 VRX786438:VRX786452 WBT786438:WBT786452 WLP786438:WLP786452 WVL786438:WVL786452 D851974:D851988 IZ851974:IZ851988 SV851974:SV851988 ACR851974:ACR851988 AMN851974:AMN851988 AWJ851974:AWJ851988 BGF851974:BGF851988 BQB851974:BQB851988 BZX851974:BZX851988 CJT851974:CJT851988 CTP851974:CTP851988 DDL851974:DDL851988 DNH851974:DNH851988 DXD851974:DXD851988 EGZ851974:EGZ851988 EQV851974:EQV851988 FAR851974:FAR851988 FKN851974:FKN851988 FUJ851974:FUJ851988 GEF851974:GEF851988 GOB851974:GOB851988 GXX851974:GXX851988 HHT851974:HHT851988 HRP851974:HRP851988 IBL851974:IBL851988 ILH851974:ILH851988 IVD851974:IVD851988 JEZ851974:JEZ851988 JOV851974:JOV851988 JYR851974:JYR851988 KIN851974:KIN851988 KSJ851974:KSJ851988 LCF851974:LCF851988 LMB851974:LMB851988 LVX851974:LVX851988 MFT851974:MFT851988 MPP851974:MPP851988 MZL851974:MZL851988 NJH851974:NJH851988 NTD851974:NTD851988 OCZ851974:OCZ851988 OMV851974:OMV851988 OWR851974:OWR851988 PGN851974:PGN851988 PQJ851974:PQJ851988 QAF851974:QAF851988 QKB851974:QKB851988 QTX851974:QTX851988 RDT851974:RDT851988 RNP851974:RNP851988 RXL851974:RXL851988 SHH851974:SHH851988 SRD851974:SRD851988 TAZ851974:TAZ851988 TKV851974:TKV851988 TUR851974:TUR851988 UEN851974:UEN851988 UOJ851974:UOJ851988 UYF851974:UYF851988 VIB851974:VIB851988 VRX851974:VRX851988 WBT851974:WBT851988 WLP851974:WLP851988 WVL851974:WVL851988 D917510:D917524 IZ917510:IZ917524 SV917510:SV917524 ACR917510:ACR917524 AMN917510:AMN917524 AWJ917510:AWJ917524 BGF917510:BGF917524 BQB917510:BQB917524 BZX917510:BZX917524 CJT917510:CJT917524 CTP917510:CTP917524 DDL917510:DDL917524 DNH917510:DNH917524 DXD917510:DXD917524 EGZ917510:EGZ917524 EQV917510:EQV917524 FAR917510:FAR917524 FKN917510:FKN917524 FUJ917510:FUJ917524 GEF917510:GEF917524 GOB917510:GOB917524 GXX917510:GXX917524 HHT917510:HHT917524 HRP917510:HRP917524 IBL917510:IBL917524 ILH917510:ILH917524 IVD917510:IVD917524 JEZ917510:JEZ917524 JOV917510:JOV917524 JYR917510:JYR917524 KIN917510:KIN917524 KSJ917510:KSJ917524 LCF917510:LCF917524 LMB917510:LMB917524 LVX917510:LVX917524 MFT917510:MFT917524 MPP917510:MPP917524 MZL917510:MZL917524 NJH917510:NJH917524 NTD917510:NTD917524 OCZ917510:OCZ917524 OMV917510:OMV917524 OWR917510:OWR917524 PGN917510:PGN917524 PQJ917510:PQJ917524 QAF917510:QAF917524 QKB917510:QKB917524 QTX917510:QTX917524 RDT917510:RDT917524 RNP917510:RNP917524 RXL917510:RXL917524 SHH917510:SHH917524 SRD917510:SRD917524 TAZ917510:TAZ917524 TKV917510:TKV917524 TUR917510:TUR917524 UEN917510:UEN917524 UOJ917510:UOJ917524 UYF917510:UYF917524 VIB917510:VIB917524 VRX917510:VRX917524 WBT917510:WBT917524 WLP917510:WLP917524 WVL917510:WVL917524 D983046:D983060 IZ983046:IZ983060 SV983046:SV983060 ACR983046:ACR983060 AMN983046:AMN983060 AWJ983046:AWJ983060 BGF983046:BGF983060 BQB983046:BQB983060 BZX983046:BZX983060 CJT983046:CJT983060 CTP983046:CTP983060 DDL983046:DDL983060 DNH983046:DNH983060 DXD983046:DXD983060 EGZ983046:EGZ983060 EQV983046:EQV983060 FAR983046:FAR983060 FKN983046:FKN983060 FUJ983046:FUJ983060 GEF983046:GEF983060 GOB983046:GOB983060 GXX983046:GXX983060 HHT983046:HHT983060 HRP983046:HRP983060 IBL983046:IBL983060 ILH983046:ILH983060 IVD983046:IVD983060 JEZ983046:JEZ983060 JOV983046:JOV983060 JYR983046:JYR983060 KIN983046:KIN983060 KSJ983046:KSJ983060 LCF983046:LCF983060 LMB983046:LMB983060 LVX983046:LVX983060 MFT983046:MFT983060 MPP983046:MPP983060 MZL983046:MZL983060 NJH983046:NJH983060 NTD983046:NTD983060 OCZ983046:OCZ983060 OMV983046:OMV983060 OWR983046:OWR983060 PGN983046:PGN983060 PQJ983046:PQJ983060 QAF983046:QAF983060 QKB983046:QKB983060 QTX983046:QTX983060 RDT983046:RDT983060 RNP983046:RNP983060 RXL983046:RXL983060 SHH983046:SHH983060 SRD983046:SRD983060 TAZ983046:TAZ983060 TKV983046:TKV983060 TUR983046:TUR983060 UEN983046:UEN983060 UOJ983046:UOJ983060 UYF983046:UYF983060 VIB983046:VIB983060 VRX983046:VRX983060 WBT983046:WBT983060 WLP983046:WLP983060 WVL983046:WVL983060 WVS983046:WVT983060 K65542:L65556 JG65542:JH65556 TC65542:TD65556 ACY65542:ACZ65556 AMU65542:AMV65556 AWQ65542:AWR65556 BGM65542:BGN65556 BQI65542:BQJ65556 CAE65542:CAF65556 CKA65542:CKB65556 CTW65542:CTX65556 DDS65542:DDT65556 DNO65542:DNP65556 DXK65542:DXL65556 EHG65542:EHH65556 ERC65542:ERD65556 FAY65542:FAZ65556 FKU65542:FKV65556 FUQ65542:FUR65556 GEM65542:GEN65556 GOI65542:GOJ65556 GYE65542:GYF65556 HIA65542:HIB65556 HRW65542:HRX65556 IBS65542:IBT65556 ILO65542:ILP65556 IVK65542:IVL65556 JFG65542:JFH65556 JPC65542:JPD65556 JYY65542:JYZ65556 KIU65542:KIV65556 KSQ65542:KSR65556 LCM65542:LCN65556 LMI65542:LMJ65556 LWE65542:LWF65556 MGA65542:MGB65556 MPW65542:MPX65556 MZS65542:MZT65556 NJO65542:NJP65556 NTK65542:NTL65556 ODG65542:ODH65556 ONC65542:OND65556 OWY65542:OWZ65556 PGU65542:PGV65556 PQQ65542:PQR65556 QAM65542:QAN65556 QKI65542:QKJ65556 QUE65542:QUF65556 REA65542:REB65556 RNW65542:RNX65556 RXS65542:RXT65556 SHO65542:SHP65556 SRK65542:SRL65556 TBG65542:TBH65556 TLC65542:TLD65556 TUY65542:TUZ65556 UEU65542:UEV65556 UOQ65542:UOR65556 UYM65542:UYN65556 VII65542:VIJ65556 VSE65542:VSF65556 WCA65542:WCB65556 WLW65542:WLX65556 WVS65542:WVT65556 K131078:L131092 JG131078:JH131092 TC131078:TD131092 ACY131078:ACZ131092 AMU131078:AMV131092 AWQ131078:AWR131092 BGM131078:BGN131092 BQI131078:BQJ131092 CAE131078:CAF131092 CKA131078:CKB131092 CTW131078:CTX131092 DDS131078:DDT131092 DNO131078:DNP131092 DXK131078:DXL131092 EHG131078:EHH131092 ERC131078:ERD131092 FAY131078:FAZ131092 FKU131078:FKV131092 FUQ131078:FUR131092 GEM131078:GEN131092 GOI131078:GOJ131092 GYE131078:GYF131092 HIA131078:HIB131092 HRW131078:HRX131092 IBS131078:IBT131092 ILO131078:ILP131092 IVK131078:IVL131092 JFG131078:JFH131092 JPC131078:JPD131092 JYY131078:JYZ131092 KIU131078:KIV131092 KSQ131078:KSR131092 LCM131078:LCN131092 LMI131078:LMJ131092 LWE131078:LWF131092 MGA131078:MGB131092 MPW131078:MPX131092 MZS131078:MZT131092 NJO131078:NJP131092 NTK131078:NTL131092 ODG131078:ODH131092 ONC131078:OND131092 OWY131078:OWZ131092 PGU131078:PGV131092 PQQ131078:PQR131092 QAM131078:QAN131092 QKI131078:QKJ131092 QUE131078:QUF131092 REA131078:REB131092 RNW131078:RNX131092 RXS131078:RXT131092 SHO131078:SHP131092 SRK131078:SRL131092 TBG131078:TBH131092 TLC131078:TLD131092 TUY131078:TUZ131092 UEU131078:UEV131092 UOQ131078:UOR131092 UYM131078:UYN131092 VII131078:VIJ131092 VSE131078:VSF131092 WCA131078:WCB131092 WLW131078:WLX131092 WVS131078:WVT131092 K196614:L196628 JG196614:JH196628 TC196614:TD196628 ACY196614:ACZ196628 AMU196614:AMV196628 AWQ196614:AWR196628 BGM196614:BGN196628 BQI196614:BQJ196628 CAE196614:CAF196628 CKA196614:CKB196628 CTW196614:CTX196628 DDS196614:DDT196628 DNO196614:DNP196628 DXK196614:DXL196628 EHG196614:EHH196628 ERC196614:ERD196628 FAY196614:FAZ196628 FKU196614:FKV196628 FUQ196614:FUR196628 GEM196614:GEN196628 GOI196614:GOJ196628 GYE196614:GYF196628 HIA196614:HIB196628 HRW196614:HRX196628 IBS196614:IBT196628 ILO196614:ILP196628 IVK196614:IVL196628 JFG196614:JFH196628 JPC196614:JPD196628 JYY196614:JYZ196628 KIU196614:KIV196628 KSQ196614:KSR196628 LCM196614:LCN196628 LMI196614:LMJ196628 LWE196614:LWF196628 MGA196614:MGB196628 MPW196614:MPX196628 MZS196614:MZT196628 NJO196614:NJP196628 NTK196614:NTL196628 ODG196614:ODH196628 ONC196614:OND196628 OWY196614:OWZ196628 PGU196614:PGV196628 PQQ196614:PQR196628 QAM196614:QAN196628 QKI196614:QKJ196628 QUE196614:QUF196628 REA196614:REB196628 RNW196614:RNX196628 RXS196614:RXT196628 SHO196614:SHP196628 SRK196614:SRL196628 TBG196614:TBH196628 TLC196614:TLD196628 TUY196614:TUZ196628 UEU196614:UEV196628 UOQ196614:UOR196628 UYM196614:UYN196628 VII196614:VIJ196628 VSE196614:VSF196628 WCA196614:WCB196628 WLW196614:WLX196628 WVS196614:WVT196628 K262150:L262164 JG262150:JH262164 TC262150:TD262164 ACY262150:ACZ262164 AMU262150:AMV262164 AWQ262150:AWR262164 BGM262150:BGN262164 BQI262150:BQJ262164 CAE262150:CAF262164 CKA262150:CKB262164 CTW262150:CTX262164 DDS262150:DDT262164 DNO262150:DNP262164 DXK262150:DXL262164 EHG262150:EHH262164 ERC262150:ERD262164 FAY262150:FAZ262164 FKU262150:FKV262164 FUQ262150:FUR262164 GEM262150:GEN262164 GOI262150:GOJ262164 GYE262150:GYF262164 HIA262150:HIB262164 HRW262150:HRX262164 IBS262150:IBT262164 ILO262150:ILP262164 IVK262150:IVL262164 JFG262150:JFH262164 JPC262150:JPD262164 JYY262150:JYZ262164 KIU262150:KIV262164 KSQ262150:KSR262164 LCM262150:LCN262164 LMI262150:LMJ262164 LWE262150:LWF262164 MGA262150:MGB262164 MPW262150:MPX262164 MZS262150:MZT262164 NJO262150:NJP262164 NTK262150:NTL262164 ODG262150:ODH262164 ONC262150:OND262164 OWY262150:OWZ262164 PGU262150:PGV262164 PQQ262150:PQR262164 QAM262150:QAN262164 QKI262150:QKJ262164 QUE262150:QUF262164 REA262150:REB262164 RNW262150:RNX262164 RXS262150:RXT262164 SHO262150:SHP262164 SRK262150:SRL262164 TBG262150:TBH262164 TLC262150:TLD262164 TUY262150:TUZ262164 UEU262150:UEV262164 UOQ262150:UOR262164 UYM262150:UYN262164 VII262150:VIJ262164 VSE262150:VSF262164 WCA262150:WCB262164 WLW262150:WLX262164 WVS262150:WVT262164 K327686:L327700 JG327686:JH327700 TC327686:TD327700 ACY327686:ACZ327700 AMU327686:AMV327700 AWQ327686:AWR327700 BGM327686:BGN327700 BQI327686:BQJ327700 CAE327686:CAF327700 CKA327686:CKB327700 CTW327686:CTX327700 DDS327686:DDT327700 DNO327686:DNP327700 DXK327686:DXL327700 EHG327686:EHH327700 ERC327686:ERD327700 FAY327686:FAZ327700 FKU327686:FKV327700 FUQ327686:FUR327700 GEM327686:GEN327700 GOI327686:GOJ327700 GYE327686:GYF327700 HIA327686:HIB327700 HRW327686:HRX327700 IBS327686:IBT327700 ILO327686:ILP327700 IVK327686:IVL327700 JFG327686:JFH327700 JPC327686:JPD327700 JYY327686:JYZ327700 KIU327686:KIV327700 KSQ327686:KSR327700 LCM327686:LCN327700 LMI327686:LMJ327700 LWE327686:LWF327700 MGA327686:MGB327700 MPW327686:MPX327700 MZS327686:MZT327700 NJO327686:NJP327700 NTK327686:NTL327700 ODG327686:ODH327700 ONC327686:OND327700 OWY327686:OWZ327700 PGU327686:PGV327700 PQQ327686:PQR327700 QAM327686:QAN327700 QKI327686:QKJ327700 QUE327686:QUF327700 REA327686:REB327700 RNW327686:RNX327700 RXS327686:RXT327700 SHO327686:SHP327700 SRK327686:SRL327700 TBG327686:TBH327700 TLC327686:TLD327700 TUY327686:TUZ327700 UEU327686:UEV327700 UOQ327686:UOR327700 UYM327686:UYN327700 VII327686:VIJ327700 VSE327686:VSF327700 WCA327686:WCB327700 WLW327686:WLX327700 WVS327686:WVT327700 K393222:L393236 JG393222:JH393236 TC393222:TD393236 ACY393222:ACZ393236 AMU393222:AMV393236 AWQ393222:AWR393236 BGM393222:BGN393236 BQI393222:BQJ393236 CAE393222:CAF393236 CKA393222:CKB393236 CTW393222:CTX393236 DDS393222:DDT393236 DNO393222:DNP393236 DXK393222:DXL393236 EHG393222:EHH393236 ERC393222:ERD393236 FAY393222:FAZ393236 FKU393222:FKV393236 FUQ393222:FUR393236 GEM393222:GEN393236 GOI393222:GOJ393236 GYE393222:GYF393236 HIA393222:HIB393236 HRW393222:HRX393236 IBS393222:IBT393236 ILO393222:ILP393236 IVK393222:IVL393236 JFG393222:JFH393236 JPC393222:JPD393236 JYY393222:JYZ393236 KIU393222:KIV393236 KSQ393222:KSR393236 LCM393222:LCN393236 LMI393222:LMJ393236 LWE393222:LWF393236 MGA393222:MGB393236 MPW393222:MPX393236 MZS393222:MZT393236 NJO393222:NJP393236 NTK393222:NTL393236 ODG393222:ODH393236 ONC393222:OND393236 OWY393222:OWZ393236 PGU393222:PGV393236 PQQ393222:PQR393236 QAM393222:QAN393236 QKI393222:QKJ393236 QUE393222:QUF393236 REA393222:REB393236 RNW393222:RNX393236 RXS393222:RXT393236 SHO393222:SHP393236 SRK393222:SRL393236 TBG393222:TBH393236 TLC393222:TLD393236 TUY393222:TUZ393236 UEU393222:UEV393236 UOQ393222:UOR393236 UYM393222:UYN393236 VII393222:VIJ393236 VSE393222:VSF393236 WCA393222:WCB393236 WLW393222:WLX393236 WVS393222:WVT393236 K458758:L458772 JG458758:JH458772 TC458758:TD458772 ACY458758:ACZ458772 AMU458758:AMV458772 AWQ458758:AWR458772 BGM458758:BGN458772 BQI458758:BQJ458772 CAE458758:CAF458772 CKA458758:CKB458772 CTW458758:CTX458772 DDS458758:DDT458772 DNO458758:DNP458772 DXK458758:DXL458772 EHG458758:EHH458772 ERC458758:ERD458772 FAY458758:FAZ458772 FKU458758:FKV458772 FUQ458758:FUR458772 GEM458758:GEN458772 GOI458758:GOJ458772 GYE458758:GYF458772 HIA458758:HIB458772 HRW458758:HRX458772 IBS458758:IBT458772 ILO458758:ILP458772 IVK458758:IVL458772 JFG458758:JFH458772 JPC458758:JPD458772 JYY458758:JYZ458772 KIU458758:KIV458772 KSQ458758:KSR458772 LCM458758:LCN458772 LMI458758:LMJ458772 LWE458758:LWF458772 MGA458758:MGB458772 MPW458758:MPX458772 MZS458758:MZT458772 NJO458758:NJP458772 NTK458758:NTL458772 ODG458758:ODH458772 ONC458758:OND458772 OWY458758:OWZ458772 PGU458758:PGV458772 PQQ458758:PQR458772 QAM458758:QAN458772 QKI458758:QKJ458772 QUE458758:QUF458772 REA458758:REB458772 RNW458758:RNX458772 RXS458758:RXT458772 SHO458758:SHP458772 SRK458758:SRL458772 TBG458758:TBH458772 TLC458758:TLD458772 TUY458758:TUZ458772 UEU458758:UEV458772 UOQ458758:UOR458772 UYM458758:UYN458772 VII458758:VIJ458772 VSE458758:VSF458772 WCA458758:WCB458772 WLW458758:WLX458772 WVS458758:WVT458772 K524294:L524308 JG524294:JH524308 TC524294:TD524308 ACY524294:ACZ524308 AMU524294:AMV524308 AWQ524294:AWR524308 BGM524294:BGN524308 BQI524294:BQJ524308 CAE524294:CAF524308 CKA524294:CKB524308 CTW524294:CTX524308 DDS524294:DDT524308 DNO524294:DNP524308 DXK524294:DXL524308 EHG524294:EHH524308 ERC524294:ERD524308 FAY524294:FAZ524308 FKU524294:FKV524308 FUQ524294:FUR524308 GEM524294:GEN524308 GOI524294:GOJ524308 GYE524294:GYF524308 HIA524294:HIB524308 HRW524294:HRX524308 IBS524294:IBT524308 ILO524294:ILP524308 IVK524294:IVL524308 JFG524294:JFH524308 JPC524294:JPD524308 JYY524294:JYZ524308 KIU524294:KIV524308 KSQ524294:KSR524308 LCM524294:LCN524308 LMI524294:LMJ524308 LWE524294:LWF524308 MGA524294:MGB524308 MPW524294:MPX524308 MZS524294:MZT524308 NJO524294:NJP524308 NTK524294:NTL524308 ODG524294:ODH524308 ONC524294:OND524308 OWY524294:OWZ524308 PGU524294:PGV524308 PQQ524294:PQR524308 QAM524294:QAN524308 QKI524294:QKJ524308 QUE524294:QUF524308 REA524294:REB524308 RNW524294:RNX524308 RXS524294:RXT524308 SHO524294:SHP524308 SRK524294:SRL524308 TBG524294:TBH524308 TLC524294:TLD524308 TUY524294:TUZ524308 UEU524294:UEV524308 UOQ524294:UOR524308 UYM524294:UYN524308 VII524294:VIJ524308 VSE524294:VSF524308 WCA524294:WCB524308 WLW524294:WLX524308 WVS524294:WVT524308 K589830:L589844 JG589830:JH589844 TC589830:TD589844 ACY589830:ACZ589844 AMU589830:AMV589844 AWQ589830:AWR589844 BGM589830:BGN589844 BQI589830:BQJ589844 CAE589830:CAF589844 CKA589830:CKB589844 CTW589830:CTX589844 DDS589830:DDT589844 DNO589830:DNP589844 DXK589830:DXL589844 EHG589830:EHH589844 ERC589830:ERD589844 FAY589830:FAZ589844 FKU589830:FKV589844 FUQ589830:FUR589844 GEM589830:GEN589844 GOI589830:GOJ589844 GYE589830:GYF589844 HIA589830:HIB589844 HRW589830:HRX589844 IBS589830:IBT589844 ILO589830:ILP589844 IVK589830:IVL589844 JFG589830:JFH589844 JPC589830:JPD589844 JYY589830:JYZ589844 KIU589830:KIV589844 KSQ589830:KSR589844 LCM589830:LCN589844 LMI589830:LMJ589844 LWE589830:LWF589844 MGA589830:MGB589844 MPW589830:MPX589844 MZS589830:MZT589844 NJO589830:NJP589844 NTK589830:NTL589844 ODG589830:ODH589844 ONC589830:OND589844 OWY589830:OWZ589844 PGU589830:PGV589844 PQQ589830:PQR589844 QAM589830:QAN589844 QKI589830:QKJ589844 QUE589830:QUF589844 REA589830:REB589844 RNW589830:RNX589844 RXS589830:RXT589844 SHO589830:SHP589844 SRK589830:SRL589844 TBG589830:TBH589844 TLC589830:TLD589844 TUY589830:TUZ589844 UEU589830:UEV589844 UOQ589830:UOR589844 UYM589830:UYN589844 VII589830:VIJ589844 VSE589830:VSF589844 WCA589830:WCB589844 WLW589830:WLX589844 WVS589830:WVT589844 K655366:L655380 JG655366:JH655380 TC655366:TD655380 ACY655366:ACZ655380 AMU655366:AMV655380 AWQ655366:AWR655380 BGM655366:BGN655380 BQI655366:BQJ655380 CAE655366:CAF655380 CKA655366:CKB655380 CTW655366:CTX655380 DDS655366:DDT655380 DNO655366:DNP655380 DXK655366:DXL655380 EHG655366:EHH655380 ERC655366:ERD655380 FAY655366:FAZ655380 FKU655366:FKV655380 FUQ655366:FUR655380 GEM655366:GEN655380 GOI655366:GOJ655380 GYE655366:GYF655380 HIA655366:HIB655380 HRW655366:HRX655380 IBS655366:IBT655380 ILO655366:ILP655380 IVK655366:IVL655380 JFG655366:JFH655380 JPC655366:JPD655380 JYY655366:JYZ655380 KIU655366:KIV655380 KSQ655366:KSR655380 LCM655366:LCN655380 LMI655366:LMJ655380 LWE655366:LWF655380 MGA655366:MGB655380 MPW655366:MPX655380 MZS655366:MZT655380 NJO655366:NJP655380 NTK655366:NTL655380 ODG655366:ODH655380 ONC655366:OND655380 OWY655366:OWZ655380 PGU655366:PGV655380 PQQ655366:PQR655380 QAM655366:QAN655380 QKI655366:QKJ655380 QUE655366:QUF655380 REA655366:REB655380 RNW655366:RNX655380 RXS655366:RXT655380 SHO655366:SHP655380 SRK655366:SRL655380 TBG655366:TBH655380 TLC655366:TLD655380 TUY655366:TUZ655380 UEU655366:UEV655380 UOQ655366:UOR655380 UYM655366:UYN655380 VII655366:VIJ655380 VSE655366:VSF655380 WCA655366:WCB655380 WLW655366:WLX655380 WVS655366:WVT655380 K720902:L720916 JG720902:JH720916 TC720902:TD720916 ACY720902:ACZ720916 AMU720902:AMV720916 AWQ720902:AWR720916 BGM720902:BGN720916 BQI720902:BQJ720916 CAE720902:CAF720916 CKA720902:CKB720916 CTW720902:CTX720916 DDS720902:DDT720916 DNO720902:DNP720916 DXK720902:DXL720916 EHG720902:EHH720916 ERC720902:ERD720916 FAY720902:FAZ720916 FKU720902:FKV720916 FUQ720902:FUR720916 GEM720902:GEN720916 GOI720902:GOJ720916 GYE720902:GYF720916 HIA720902:HIB720916 HRW720902:HRX720916 IBS720902:IBT720916 ILO720902:ILP720916 IVK720902:IVL720916 JFG720902:JFH720916 JPC720902:JPD720916 JYY720902:JYZ720916 KIU720902:KIV720916 KSQ720902:KSR720916 LCM720902:LCN720916 LMI720902:LMJ720916 LWE720902:LWF720916 MGA720902:MGB720916 MPW720902:MPX720916 MZS720902:MZT720916 NJO720902:NJP720916 NTK720902:NTL720916 ODG720902:ODH720916 ONC720902:OND720916 OWY720902:OWZ720916 PGU720902:PGV720916 PQQ720902:PQR720916 QAM720902:QAN720916 QKI720902:QKJ720916 QUE720902:QUF720916 REA720902:REB720916 RNW720902:RNX720916 RXS720902:RXT720916 SHO720902:SHP720916 SRK720902:SRL720916 TBG720902:TBH720916 TLC720902:TLD720916 TUY720902:TUZ720916 UEU720902:UEV720916 UOQ720902:UOR720916 UYM720902:UYN720916 VII720902:VIJ720916 VSE720902:VSF720916 WCA720902:WCB720916 WLW720902:WLX720916 WVS720902:WVT720916 K786438:L786452 JG786438:JH786452 TC786438:TD786452 ACY786438:ACZ786452 AMU786438:AMV786452 AWQ786438:AWR786452 BGM786438:BGN786452 BQI786438:BQJ786452 CAE786438:CAF786452 CKA786438:CKB786452 CTW786438:CTX786452 DDS786438:DDT786452 DNO786438:DNP786452 DXK786438:DXL786452 EHG786438:EHH786452 ERC786438:ERD786452 FAY786438:FAZ786452 FKU786438:FKV786452 FUQ786438:FUR786452 GEM786438:GEN786452 GOI786438:GOJ786452 GYE786438:GYF786452 HIA786438:HIB786452 HRW786438:HRX786452 IBS786438:IBT786452 ILO786438:ILP786452 IVK786438:IVL786452 JFG786438:JFH786452 JPC786438:JPD786452 JYY786438:JYZ786452 KIU786438:KIV786452 KSQ786438:KSR786452 LCM786438:LCN786452 LMI786438:LMJ786452 LWE786438:LWF786452 MGA786438:MGB786452 MPW786438:MPX786452 MZS786438:MZT786452 NJO786438:NJP786452 NTK786438:NTL786452 ODG786438:ODH786452 ONC786438:OND786452 OWY786438:OWZ786452 PGU786438:PGV786452 PQQ786438:PQR786452 QAM786438:QAN786452 QKI786438:QKJ786452 QUE786438:QUF786452 REA786438:REB786452 RNW786438:RNX786452 RXS786438:RXT786452 SHO786438:SHP786452 SRK786438:SRL786452 TBG786438:TBH786452 TLC786438:TLD786452 TUY786438:TUZ786452 UEU786438:UEV786452 UOQ786438:UOR786452 UYM786438:UYN786452 VII786438:VIJ786452 VSE786438:VSF786452 WCA786438:WCB786452 WLW786438:WLX786452 WVS786438:WVT786452 K851974:L851988 JG851974:JH851988 TC851974:TD851988 ACY851974:ACZ851988 AMU851974:AMV851988 AWQ851974:AWR851988 BGM851974:BGN851988 BQI851974:BQJ851988 CAE851974:CAF851988 CKA851974:CKB851988 CTW851974:CTX851988 DDS851974:DDT851988 DNO851974:DNP851988 DXK851974:DXL851988 EHG851974:EHH851988 ERC851974:ERD851988 FAY851974:FAZ851988 FKU851974:FKV851988 FUQ851974:FUR851988 GEM851974:GEN851988 GOI851974:GOJ851988 GYE851974:GYF851988 HIA851974:HIB851988 HRW851974:HRX851988 IBS851974:IBT851988 ILO851974:ILP851988 IVK851974:IVL851988 JFG851974:JFH851988 JPC851974:JPD851988 JYY851974:JYZ851988 KIU851974:KIV851988 KSQ851974:KSR851988 LCM851974:LCN851988 LMI851974:LMJ851988 LWE851974:LWF851988 MGA851974:MGB851988 MPW851974:MPX851988 MZS851974:MZT851988 NJO851974:NJP851988 NTK851974:NTL851988 ODG851974:ODH851988 ONC851974:OND851988 OWY851974:OWZ851988 PGU851974:PGV851988 PQQ851974:PQR851988 QAM851974:QAN851988 QKI851974:QKJ851988 QUE851974:QUF851988 REA851974:REB851988 RNW851974:RNX851988 RXS851974:RXT851988 SHO851974:SHP851988 SRK851974:SRL851988 TBG851974:TBH851988 TLC851974:TLD851988 TUY851974:TUZ851988 UEU851974:UEV851988 UOQ851974:UOR851988 UYM851974:UYN851988 VII851974:VIJ851988 VSE851974:VSF851988 WCA851974:WCB851988 WLW851974:WLX851988 WVS851974:WVT851988 K917510:L917524 JG917510:JH917524 TC917510:TD917524 ACY917510:ACZ917524 AMU917510:AMV917524 AWQ917510:AWR917524 BGM917510:BGN917524 BQI917510:BQJ917524 CAE917510:CAF917524 CKA917510:CKB917524 CTW917510:CTX917524 DDS917510:DDT917524 DNO917510:DNP917524 DXK917510:DXL917524 EHG917510:EHH917524 ERC917510:ERD917524 FAY917510:FAZ917524 FKU917510:FKV917524 FUQ917510:FUR917524 GEM917510:GEN917524 GOI917510:GOJ917524 GYE917510:GYF917524 HIA917510:HIB917524 HRW917510:HRX917524 IBS917510:IBT917524 ILO917510:ILP917524 IVK917510:IVL917524 JFG917510:JFH917524 JPC917510:JPD917524 JYY917510:JYZ917524 KIU917510:KIV917524 KSQ917510:KSR917524 LCM917510:LCN917524 LMI917510:LMJ917524 LWE917510:LWF917524 MGA917510:MGB917524 MPW917510:MPX917524 MZS917510:MZT917524 NJO917510:NJP917524 NTK917510:NTL917524 ODG917510:ODH917524 ONC917510:OND917524 OWY917510:OWZ917524 PGU917510:PGV917524 PQQ917510:PQR917524 QAM917510:QAN917524 QKI917510:QKJ917524 QUE917510:QUF917524 REA917510:REB917524 RNW917510:RNX917524 RXS917510:RXT917524 SHO917510:SHP917524 SRK917510:SRL917524 TBG917510:TBH917524 TLC917510:TLD917524 TUY917510:TUZ917524 UEU917510:UEV917524 UOQ917510:UOR917524 UYM917510:UYN917524 VII917510:VIJ917524 VSE917510:VSF917524 WCA917510:WCB917524 WLW917510:WLX917524 WVS917510:WVT917524 K983046:L983060 JG983046:JH983060 TC983046:TD983060 ACY983046:ACZ983060 AMU983046:AMV983060 AWQ983046:AWR983060 BGM983046:BGN983060 BQI983046:BQJ983060 CAE983046:CAF983060 CKA983046:CKB983060 CTW983046:CTX983060 DDS983046:DDT983060 DNO983046:DNP983060 DXK983046:DXL983060 EHG983046:EHH983060 ERC983046:ERD983060 FAY983046:FAZ983060 FKU983046:FKV983060 FUQ983046:FUR983060 GEM983046:GEN983060 GOI983046:GOJ983060 GYE983046:GYF983060 HIA983046:HIB983060 HRW983046:HRX983060 IBS983046:IBT983060 ILO983046:ILP983060 IVK983046:IVL983060 JFG983046:JFH983060 JPC983046:JPD983060 JYY983046:JYZ983060 KIU983046:KIV983060 KSQ983046:KSR983060 LCM983046:LCN983060 LMI983046:LMJ983060 LWE983046:LWF983060 MGA983046:MGB983060 MPW983046:MPX983060 MZS983046:MZT983060 NJO983046:NJP983060 NTK983046:NTL983060 ODG983046:ODH983060 ONC983046:OND983060 OWY983046:OWZ983060 PGU983046:PGV983060 PQQ983046:PQR983060 QAM983046:QAN983060 QKI983046:QKJ983060 QUE983046:QUF983060 REA983046:REB983060 RNW983046:RNX983060 RXS983046:RXT983060 SHO983046:SHP983060 SRK983046:SRL983060 TBG983046:TBH983060 TLC983046:TLD983060 TUY983046:TUZ983060 UEU983046:UEV983060 UOQ983046:UOR983060 UYM983046:UYN983060 VII983046:VIJ983060 VSE983046:VSF983060 WCA983046:WCB983060 WLW983046:WLX983060 IZ13:IZ19 SV13:SV19 ACR13:ACR19 AMN13:AMN19 AWJ13:AWJ19 BGF13:BGF19 BQB13:BQB19 BZX13:BZX19 CJT13:CJT19 CTP13:CTP19 DDL13:DDL19 DNH13:DNH19 DXD13:DXD19 EGZ13:EGZ19 EQV13:EQV19 FAR13:FAR19 FKN13:FKN19 FUJ13:FUJ19 GEF13:GEF19 GOB13:GOB19 GXX13:GXX19 HHT13:HHT19 HRP13:HRP19 IBL13:IBL19 ILH13:ILH19 IVD13:IVD19 JEZ13:JEZ19 JOV13:JOV19 JYR13:JYR19 KIN13:KIN19 KSJ13:KSJ19 LCF13:LCF19 LMB13:LMB19 LVX13:LVX19 MFT13:MFT19 MPP13:MPP19 MZL13:MZL19 NJH13:NJH19 NTD13:NTD19 OCZ13:OCZ19 OMV13:OMV19 OWR13:OWR19 PGN13:PGN19 PQJ13:PQJ19 QAF13:QAF19 QKB13:QKB19 QTX13:QTX19 RDT13:RDT19 RNP13:RNP19 RXL13:RXL19 SHH13:SHH19 SRD13:SRD19 TAZ13:TAZ19 TKV13:TKV19 TUR13:TUR19 UEN13:UEN19 UOJ13:UOJ19 UYF13:UYF19 VIB13:VIB19 VRX13:VRX19 WBT13:WBT19 WLP13:WLP19 WVL13:WVL19 JG13:JH19 TC13:TD19 ACY13:ACZ19 AMU13:AMV19 AWQ13:AWR19 BGM13:BGN19 BQI13:BQJ19 CAE13:CAF19 CKA13:CKB19 CTW13:CTX19 DDS13:DDT19 DNO13:DNP19 DXK13:DXL19 EHG13:EHH19 ERC13:ERD19 FAY13:FAZ19 FKU13:FKV19 FUQ13:FUR19 GEM13:GEN19 GOI13:GOJ19 GYE13:GYF19 HIA13:HIB19 HRW13:HRX19 IBS13:IBT19 ILO13:ILP19 IVK13:IVL19 JFG13:JFH19 JPC13:JPD19 JYY13:JYZ19 KIU13:KIV19 KSQ13:KSR19 LCM13:LCN19 LMI13:LMJ19 LWE13:LWF19 MGA13:MGB19 MPW13:MPX19 MZS13:MZT19 NJO13:NJP19 NTK13:NTL19 ODG13:ODH19 ONC13:OND19 OWY13:OWZ19 PGU13:PGV19 PQQ13:PQR19 QAM13:QAN19 QKI13:QKJ19 QUE13:QUF19 REA13:REB19 RNW13:RNX19 RXS13:RXT19 SHO13:SHP19 SRK13:SRL19 TBG13:TBH19 TLC13:TLD19 TUY13:TUZ19 UEU13:UEV19 UOQ13:UOR19 UYM13:UYN19 VII13:VIJ19 VSE13:VSF19 WCA13:WCB19 WLW13:WLX19 WVS13:WVT19 K13:K19" xr:uid="{FFBCDE26-2FE1-47F5-91BC-AF12EBF03DE3}">
      <formula1>4</formula1>
    </dataValidation>
    <dataValidation operator="notEqual" allowBlank="1" showInputMessage="1" showErrorMessage="1" errorTitle="Wrong Account" error="NCAS Accounts 438030 and 538030 are NOT transfer accounts. Please contact your OSC analyst before proceeding." sqref="N14:N19" xr:uid="{C703AF20-FAE5-4035-91C4-60E5BFD4BA95}"/>
    <dataValidation type="textLength" operator="equal" allowBlank="1" showInputMessage="1" showErrorMessage="1" errorTitle="Invalid data!" error="Company number must be 4 digits." sqref="J13:J19" xr:uid="{BF3579BF-0A8D-4D72-B7A9-09496F826BE5}">
      <formula1>6</formula1>
    </dataValidation>
    <dataValidation type="textLength" operator="equal" allowBlank="1" showInputMessage="1" showErrorMessage="1" errorTitle="Wrong Account" error="NCAS Accounts 438030 and 538030 are NOT transfer accounts. Please contact your OSC analyst before proceeding." sqref="F14:F19" xr:uid="{C5C53FEB-193F-4F00-84EE-C1A8BF9F4A55}">
      <formula1>8</formula1>
    </dataValidation>
    <dataValidation type="textLength" operator="equal" allowBlank="1" showInputMessage="1" showErrorMessage="1" sqref="F13" xr:uid="{DEEAEDDD-1A4F-4BFD-BD0F-A6EF5D2A0733}">
      <formula1>8</formula1>
    </dataValidation>
    <dataValidation type="textLength" operator="equal" allowBlank="1" showInputMessage="1" showErrorMessage="1" errorTitle="Invalid data!" error="GASB number must be 4 digits." sqref="L13:L19 D13:D19" xr:uid="{8E39655D-163D-41B6-96D8-50593D160F6F}">
      <formula1>6</formula1>
    </dataValidation>
  </dataValidations>
  <hyperlinks>
    <hyperlink ref="B1:P1" location="Index!A1" display="Index!A1" xr:uid="{A187EEB3-F3AA-407E-8F1A-0CF8F18D3FA2}"/>
  </hyperlinks>
  <pageMargins left="0.6" right="0.6" top="0.5" bottom="0.5" header="0.3" footer="0.3"/>
  <pageSetup scale="59"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2">
    <pageSetUpPr fitToPage="1"/>
  </sheetPr>
  <dimension ref="A1:X56"/>
  <sheetViews>
    <sheetView showGridLines="0" topLeftCell="B1" zoomScaleNormal="100" workbookViewId="0">
      <selection activeCell="B11" sqref="B11"/>
    </sheetView>
  </sheetViews>
  <sheetFormatPr defaultColWidth="9.42578125" defaultRowHeight="15.75" x14ac:dyDescent="0.25"/>
  <cols>
    <col min="1" max="1" width="0" style="115" hidden="1" customWidth="1"/>
    <col min="2" max="2" width="13.42578125" style="115" customWidth="1"/>
    <col min="3" max="3" width="1.5703125" style="115" customWidth="1"/>
    <col min="4" max="4" width="24.42578125" style="115" customWidth="1"/>
    <col min="5" max="5" width="1.5703125" style="115" customWidth="1"/>
    <col min="6" max="6" width="30.5703125" style="115" customWidth="1"/>
    <col min="7" max="7" width="1.5703125" style="115" customWidth="1"/>
    <col min="8" max="8" width="20.7109375" style="115" customWidth="1"/>
    <col min="9" max="9" width="1.5703125" style="115" customWidth="1"/>
    <col min="10" max="10" width="6.5703125" style="115" customWidth="1"/>
    <col min="11" max="11" width="1.42578125" style="115" customWidth="1"/>
    <col min="12" max="12" width="9" style="115" customWidth="1"/>
    <col min="13" max="13" width="1.5703125" style="115" customWidth="1"/>
    <col min="14" max="14" width="9.5703125" style="115" customWidth="1"/>
    <col min="15" max="15" width="3.140625" style="36" bestFit="1" customWidth="1"/>
    <col min="16" max="16" width="9.140625" style="115" hidden="1" customWidth="1"/>
    <col min="17" max="17" width="2" style="115" hidden="1" customWidth="1"/>
    <col min="18" max="23" width="7" style="115" hidden="1" customWidth="1"/>
    <col min="24" max="24" width="5" style="115" hidden="1" customWidth="1"/>
    <col min="25" max="25" width="9.42578125" style="115" customWidth="1"/>
    <col min="26" max="16384" width="9.42578125" style="115"/>
  </cols>
  <sheetData>
    <row r="1" spans="2:24" s="109" customFormat="1" ht="15" customHeight="1" x14ac:dyDescent="0.25">
      <c r="B1" s="2553" t="str">
        <f>Index!$A$1</f>
        <v xml:space="preserve">                                                               Office of the State Controller                                                                </v>
      </c>
      <c r="C1" s="2553"/>
      <c r="D1" s="2553"/>
      <c r="E1" s="2553"/>
      <c r="F1" s="2553"/>
      <c r="G1" s="2553"/>
      <c r="H1" s="2553"/>
      <c r="I1" s="2553"/>
      <c r="J1" s="2553"/>
      <c r="K1" s="2553"/>
      <c r="L1" s="2553"/>
      <c r="M1" s="2553"/>
      <c r="N1" s="2553"/>
      <c r="O1" s="2626" t="str">
        <f>IF(Index!$B$78="na","NA","")</f>
        <v/>
      </c>
    </row>
    <row r="2" spans="2:24" s="109" customFormat="1" ht="15" customHeight="1" x14ac:dyDescent="0.25">
      <c r="B2" s="2903" t="str">
        <f>Index!$A$2</f>
        <v>2024 ACFR Worksheets</v>
      </c>
      <c r="C2" s="2903"/>
      <c r="D2" s="2903"/>
      <c r="E2" s="2903"/>
      <c r="F2" s="2903"/>
      <c r="G2" s="2903"/>
      <c r="H2" s="2903"/>
      <c r="I2" s="2903"/>
      <c r="J2" s="2903"/>
      <c r="K2" s="2903"/>
      <c r="L2" s="2903"/>
      <c r="M2" s="2903"/>
      <c r="N2" s="2903"/>
      <c r="O2" s="2626"/>
    </row>
    <row r="3" spans="2:24" s="109" customFormat="1" ht="15" customHeight="1" x14ac:dyDescent="0.25">
      <c r="B3" s="2903" t="s">
        <v>2050</v>
      </c>
      <c r="C3" s="2903"/>
      <c r="D3" s="2903"/>
      <c r="E3" s="2903"/>
      <c r="F3" s="2903"/>
      <c r="G3" s="2903"/>
      <c r="H3" s="2903"/>
      <c r="I3" s="2903"/>
      <c r="J3" s="2903"/>
      <c r="K3" s="2903"/>
      <c r="L3" s="2903"/>
      <c r="M3" s="2903"/>
      <c r="N3" s="2903"/>
      <c r="O3" s="2626"/>
    </row>
    <row r="4" spans="2:24" s="110" customFormat="1" ht="15" customHeight="1" x14ac:dyDescent="0.25">
      <c r="B4" s="1187"/>
      <c r="C4" s="1187"/>
      <c r="D4" s="1187"/>
      <c r="E4" s="1187"/>
      <c r="F4" s="1187"/>
      <c r="G4" s="1187"/>
      <c r="H4" s="124" t="s">
        <v>2051</v>
      </c>
      <c r="I4" s="1187"/>
      <c r="J4" s="1187"/>
      <c r="K4" s="1187"/>
      <c r="L4" s="1187"/>
      <c r="M4" s="1187"/>
      <c r="N4" s="1187"/>
      <c r="O4" s="94"/>
      <c r="P4" s="1188"/>
      <c r="Q4" s="1188"/>
      <c r="R4" s="1188"/>
      <c r="S4" s="1188"/>
      <c r="T4" s="1188"/>
      <c r="U4" s="1188"/>
      <c r="V4" s="1188"/>
      <c r="W4" s="1188"/>
      <c r="X4" s="1188"/>
    </row>
    <row r="5" spans="2:24" s="95" customFormat="1" ht="21" customHeight="1" x14ac:dyDescent="0.2">
      <c r="B5" s="1713" t="s">
        <v>318</v>
      </c>
      <c r="C5" s="1714"/>
      <c r="D5" s="2386" t="str">
        <f>Index!$E$10</f>
        <v>01</v>
      </c>
      <c r="E5" s="1714"/>
      <c r="F5" s="1881"/>
      <c r="G5" s="1714"/>
      <c r="H5" s="1882" t="s">
        <v>320</v>
      </c>
      <c r="I5" s="2881" t="str">
        <f>CONCATENATE(Index!$E$12," ",Index!$E$14)</f>
        <v xml:space="preserve"> </v>
      </c>
      <c r="J5" s="2550"/>
      <c r="K5" s="2550"/>
      <c r="L5" s="2550"/>
      <c r="M5" s="2550"/>
      <c r="N5" s="2550"/>
      <c r="O5" s="1714"/>
      <c r="P5" s="1714"/>
      <c r="Q5" s="1714"/>
      <c r="R5" s="1714"/>
      <c r="S5" s="1714"/>
      <c r="T5" s="1714"/>
      <c r="U5" s="1714"/>
      <c r="V5" s="1714"/>
      <c r="W5" s="1714"/>
      <c r="X5" s="1714"/>
    </row>
    <row r="6" spans="2:24" s="95" customFormat="1" ht="15" customHeight="1" x14ac:dyDescent="0.2">
      <c r="B6" s="1713" t="s">
        <v>319</v>
      </c>
      <c r="C6" s="1714"/>
      <c r="D6" s="2902" t="str">
        <f>Index!$E$11</f>
        <v>North Carolina General Assembly</v>
      </c>
      <c r="E6" s="2902"/>
      <c r="F6" s="2902"/>
      <c r="G6" s="1881"/>
      <c r="H6" s="1882" t="s">
        <v>168</v>
      </c>
      <c r="I6" s="2904">
        <f>+Index!$E$13</f>
        <v>0</v>
      </c>
      <c r="J6" s="2904"/>
      <c r="K6" s="2904"/>
      <c r="L6" s="2904"/>
      <c r="M6" s="2904"/>
      <c r="N6" s="2904"/>
      <c r="O6" s="37"/>
      <c r="P6" s="1714"/>
      <c r="Q6" s="1714"/>
      <c r="R6" s="1714"/>
      <c r="S6" s="1714"/>
      <c r="T6" s="1714"/>
      <c r="U6" s="1714"/>
      <c r="V6" s="1714"/>
      <c r="W6" s="1714"/>
      <c r="X6" s="1714"/>
    </row>
    <row r="7" spans="2:24" s="95" customFormat="1" ht="15" customHeight="1" x14ac:dyDescent="0.2">
      <c r="B7" s="1713" t="s">
        <v>1899</v>
      </c>
      <c r="C7" s="1714"/>
      <c r="D7" s="1885" t="s">
        <v>1951</v>
      </c>
      <c r="E7" s="1714"/>
      <c r="F7" s="1715"/>
      <c r="G7" s="1714"/>
      <c r="H7" s="1714"/>
      <c r="I7" s="1714"/>
      <c r="J7" s="1714"/>
      <c r="K7" s="1714"/>
      <c r="L7" s="1714"/>
      <c r="M7" s="1714"/>
      <c r="N7" s="1714"/>
      <c r="O7" s="37"/>
      <c r="P7" s="1714"/>
      <c r="Q7" s="1714"/>
      <c r="R7" s="1714"/>
      <c r="S7" s="1714"/>
      <c r="T7" s="1714"/>
      <c r="U7" s="1714"/>
      <c r="V7" s="1714"/>
      <c r="W7" s="1714"/>
      <c r="X7" s="1714"/>
    </row>
    <row r="8" spans="2:24" s="110" customFormat="1" ht="15" customHeight="1" thickBot="1" x14ac:dyDescent="0.25">
      <c r="B8" s="1716"/>
      <c r="C8" s="1716"/>
      <c r="D8" s="1716"/>
      <c r="E8" s="1716"/>
      <c r="F8" s="1716"/>
      <c r="G8" s="1716"/>
      <c r="H8" s="1716"/>
      <c r="I8" s="1716"/>
      <c r="J8" s="1716"/>
      <c r="K8" s="1717"/>
      <c r="L8" s="1716"/>
      <c r="M8" s="1716"/>
      <c r="N8" s="1716"/>
      <c r="O8" s="37"/>
      <c r="P8" s="1188"/>
      <c r="Q8" s="1188"/>
      <c r="R8" s="1188"/>
      <c r="S8" s="1188"/>
      <c r="T8" s="1188"/>
      <c r="U8" s="1188"/>
      <c r="V8" s="1188"/>
      <c r="W8" s="1188"/>
      <c r="X8" s="1188"/>
    </row>
    <row r="9" spans="2:24" s="110" customFormat="1" ht="15" customHeight="1" thickBot="1" x14ac:dyDescent="0.25">
      <c r="B9" s="111" t="s">
        <v>1865</v>
      </c>
      <c r="C9" s="1188"/>
      <c r="D9" s="1188"/>
      <c r="E9" s="1188"/>
      <c r="F9" s="111"/>
      <c r="G9" s="1188"/>
      <c r="H9" s="1188"/>
      <c r="I9" s="112"/>
      <c r="J9" s="113" t="s">
        <v>2052</v>
      </c>
      <c r="K9" s="1186"/>
      <c r="L9" s="1186"/>
      <c r="M9" s="1186"/>
      <c r="N9" s="1186"/>
      <c r="O9" s="37"/>
      <c r="P9" s="1188"/>
      <c r="Q9" s="1188"/>
      <c r="R9" s="1188"/>
      <c r="S9" s="1188"/>
      <c r="T9" s="1188"/>
      <c r="U9" s="1188"/>
      <c r="V9" s="1188"/>
      <c r="W9" s="1188"/>
      <c r="X9" s="1188"/>
    </row>
    <row r="10" spans="2:24" s="110" customFormat="1" ht="15" customHeight="1" x14ac:dyDescent="0.2">
      <c r="B10" s="111" t="s">
        <v>756</v>
      </c>
      <c r="C10" s="1188"/>
      <c r="D10" s="111" t="s">
        <v>2053</v>
      </c>
      <c r="E10" s="1188"/>
      <c r="F10" s="111" t="s">
        <v>2054</v>
      </c>
      <c r="G10" s="1188"/>
      <c r="H10" s="1188"/>
      <c r="I10" s="112"/>
      <c r="J10" s="1187"/>
      <c r="K10" s="1187"/>
      <c r="L10" s="1187"/>
      <c r="M10" s="1187"/>
      <c r="N10" s="112" t="s">
        <v>620</v>
      </c>
      <c r="O10" s="37"/>
      <c r="P10" s="1188"/>
      <c r="Q10" s="1188"/>
      <c r="R10" s="1188"/>
      <c r="S10" s="1188"/>
      <c r="T10" s="1188"/>
      <c r="U10" s="1188"/>
      <c r="V10" s="1188"/>
      <c r="W10" s="1188"/>
      <c r="X10" s="1188"/>
    </row>
    <row r="11" spans="2:24" s="110" customFormat="1" ht="15" customHeight="1" thickBot="1" x14ac:dyDescent="0.25">
      <c r="B11" s="1718" t="s">
        <v>2055</v>
      </c>
      <c r="C11" s="111"/>
      <c r="D11" s="114" t="s">
        <v>2056</v>
      </c>
      <c r="E11" s="1188"/>
      <c r="F11" s="114" t="s">
        <v>2057</v>
      </c>
      <c r="G11" s="1188"/>
      <c r="H11" s="114" t="s">
        <v>1359</v>
      </c>
      <c r="I11" s="1188"/>
      <c r="J11" s="114" t="s">
        <v>2058</v>
      </c>
      <c r="K11" s="111"/>
      <c r="L11" s="114" t="s">
        <v>2059</v>
      </c>
      <c r="M11" s="1188"/>
      <c r="N11" s="114" t="s">
        <v>2060</v>
      </c>
      <c r="O11" s="37"/>
      <c r="P11" s="1188"/>
      <c r="Q11" s="1188"/>
      <c r="R11" s="1188"/>
      <c r="S11" s="1188"/>
      <c r="T11" s="1188"/>
      <c r="U11" s="1188"/>
      <c r="V11" s="1188"/>
      <c r="W11" s="1188"/>
      <c r="X11" s="1188"/>
    </row>
    <row r="12" spans="2:24" s="110" customFormat="1" ht="15" customHeight="1" x14ac:dyDescent="0.2">
      <c r="B12" s="1719"/>
      <c r="C12" s="1884"/>
      <c r="D12" s="1719"/>
      <c r="E12" s="1720"/>
      <c r="F12" s="1719"/>
      <c r="G12" s="1720"/>
      <c r="H12" s="1869"/>
      <c r="I12" s="1884"/>
      <c r="J12" s="1719"/>
      <c r="K12" s="1720"/>
      <c r="L12" s="1719"/>
      <c r="M12" s="1720"/>
      <c r="N12" s="1719"/>
      <c r="O12" s="289" t="str">
        <f>IF(AND(P12,W12),"","*")</f>
        <v/>
      </c>
      <c r="P12" s="1060" t="b">
        <f>IF(OR(Q12=0,Q12=5),TRUE, FALSE)</f>
        <v>1</v>
      </c>
      <c r="Q12" s="1060">
        <f>COUNTIF(R12:V12,FALSE)</f>
        <v>0</v>
      </c>
      <c r="R12" s="1188" t="b">
        <f>ISBLANK(B12)</f>
        <v>1</v>
      </c>
      <c r="S12" s="1188" t="b">
        <f>ISBLANK(D12)</f>
        <v>1</v>
      </c>
      <c r="T12" s="1188" t="b">
        <f>ISBLANK(F12)</f>
        <v>1</v>
      </c>
      <c r="U12" s="1188" t="b">
        <f>ISBLANK(H12)</f>
        <v>1</v>
      </c>
      <c r="V12" s="1188" t="b">
        <f>AND(ISBLANK(J12),ISBLANK(L12),ISBLANK(N12))</f>
        <v>1</v>
      </c>
      <c r="W12" s="1188" t="b">
        <f>IF(ISBLANK(B12),TRUE,OR(X12=487,X12=587))</f>
        <v>1</v>
      </c>
      <c r="X12" s="1188">
        <f>IF(ISBLANK(B12),0,VALUE(LEFT(B12,3)))</f>
        <v>0</v>
      </c>
    </row>
    <row r="13" spans="2:24" s="110" customFormat="1" ht="15" customHeight="1" x14ac:dyDescent="0.2">
      <c r="B13" s="1719"/>
      <c r="C13" s="1884"/>
      <c r="D13" s="1719"/>
      <c r="E13" s="1720"/>
      <c r="F13" s="1719"/>
      <c r="G13" s="1720"/>
      <c r="H13" s="1869"/>
      <c r="I13" s="1884"/>
      <c r="J13" s="1719"/>
      <c r="K13" s="1720"/>
      <c r="L13" s="1719"/>
      <c r="M13" s="1720"/>
      <c r="N13" s="1719"/>
      <c r="O13" s="289" t="str">
        <f t="shared" ref="O13:O28" si="0">IF(AND(P13,W13),"","*")</f>
        <v/>
      </c>
      <c r="P13" s="1060" t="b">
        <f t="shared" ref="P13:P28" si="1">IF(OR(Q13=0,Q13=5),TRUE, FALSE)</f>
        <v>1</v>
      </c>
      <c r="Q13" s="1060">
        <f t="shared" ref="Q13:Q28" si="2">COUNTIF(R13:V13,FALSE)</f>
        <v>0</v>
      </c>
      <c r="R13" s="1188" t="b">
        <f t="shared" ref="R13:R28" si="3">ISBLANK(B13)</f>
        <v>1</v>
      </c>
      <c r="S13" s="1188" t="b">
        <f t="shared" ref="S13:S28" si="4">ISBLANK(D13)</f>
        <v>1</v>
      </c>
      <c r="T13" s="1188" t="b">
        <f t="shared" ref="T13:T28" si="5">ISBLANK(F13)</f>
        <v>1</v>
      </c>
      <c r="U13" s="1188" t="b">
        <f t="shared" ref="U13:U28" si="6">ISBLANK(H13)</f>
        <v>1</v>
      </c>
      <c r="V13" s="1188" t="b">
        <f t="shared" ref="V13:V28" si="7">AND(ISBLANK(J13),ISBLANK(L13),ISBLANK(N13))</f>
        <v>1</v>
      </c>
      <c r="W13" s="1188" t="b">
        <f t="shared" ref="W13:W28" si="8">IF(ISBLANK(B13),TRUE,OR(X13=487,X13=587))</f>
        <v>1</v>
      </c>
      <c r="X13" s="1188">
        <f t="shared" ref="X13:X28" si="9">IF(ISBLANK(B13),0,VALUE(LEFT(B13,3)))</f>
        <v>0</v>
      </c>
    </row>
    <row r="14" spans="2:24" s="110" customFormat="1" ht="15" customHeight="1" x14ac:dyDescent="0.2">
      <c r="B14" s="1719"/>
      <c r="C14" s="1884"/>
      <c r="D14" s="1719"/>
      <c r="E14" s="1720"/>
      <c r="F14" s="1719"/>
      <c r="G14" s="1720"/>
      <c r="H14" s="1869"/>
      <c r="I14" s="1884"/>
      <c r="J14" s="1719"/>
      <c r="K14" s="1720"/>
      <c r="L14" s="1719"/>
      <c r="M14" s="1720"/>
      <c r="N14" s="1719"/>
      <c r="O14" s="289" t="str">
        <f t="shared" si="0"/>
        <v/>
      </c>
      <c r="P14" s="1060" t="b">
        <f t="shared" si="1"/>
        <v>1</v>
      </c>
      <c r="Q14" s="1060">
        <f t="shared" si="2"/>
        <v>0</v>
      </c>
      <c r="R14" s="1188" t="b">
        <f t="shared" si="3"/>
        <v>1</v>
      </c>
      <c r="S14" s="1188" t="b">
        <f t="shared" si="4"/>
        <v>1</v>
      </c>
      <c r="T14" s="1188" t="b">
        <f t="shared" si="5"/>
        <v>1</v>
      </c>
      <c r="U14" s="1188" t="b">
        <f t="shared" si="6"/>
        <v>1</v>
      </c>
      <c r="V14" s="1188" t="b">
        <f t="shared" si="7"/>
        <v>1</v>
      </c>
      <c r="W14" s="1188" t="b">
        <f t="shared" si="8"/>
        <v>1</v>
      </c>
      <c r="X14" s="1188">
        <f t="shared" si="9"/>
        <v>0</v>
      </c>
    </row>
    <row r="15" spans="2:24" s="110" customFormat="1" ht="15" customHeight="1" x14ac:dyDescent="0.2">
      <c r="B15" s="1719"/>
      <c r="C15" s="1884"/>
      <c r="D15" s="1719"/>
      <c r="E15" s="1720"/>
      <c r="F15" s="1719"/>
      <c r="G15" s="1720"/>
      <c r="H15" s="1869"/>
      <c r="I15" s="1884"/>
      <c r="J15" s="1719"/>
      <c r="K15" s="1720"/>
      <c r="L15" s="1719"/>
      <c r="M15" s="1720"/>
      <c r="N15" s="1719"/>
      <c r="O15" s="289" t="str">
        <f t="shared" si="0"/>
        <v/>
      </c>
      <c r="P15" s="1060" t="b">
        <f t="shared" si="1"/>
        <v>1</v>
      </c>
      <c r="Q15" s="1060">
        <f t="shared" si="2"/>
        <v>0</v>
      </c>
      <c r="R15" s="1188" t="b">
        <f t="shared" si="3"/>
        <v>1</v>
      </c>
      <c r="S15" s="1188" t="b">
        <f t="shared" si="4"/>
        <v>1</v>
      </c>
      <c r="T15" s="1188" t="b">
        <f t="shared" si="5"/>
        <v>1</v>
      </c>
      <c r="U15" s="1188" t="b">
        <f t="shared" si="6"/>
        <v>1</v>
      </c>
      <c r="V15" s="1188" t="b">
        <f t="shared" si="7"/>
        <v>1</v>
      </c>
      <c r="W15" s="1188" t="b">
        <f t="shared" si="8"/>
        <v>1</v>
      </c>
      <c r="X15" s="1188">
        <f t="shared" si="9"/>
        <v>0</v>
      </c>
    </row>
    <row r="16" spans="2:24" s="110" customFormat="1" ht="15" customHeight="1" x14ac:dyDescent="0.2">
      <c r="B16" s="1719"/>
      <c r="C16" s="1884"/>
      <c r="D16" s="1719"/>
      <c r="E16" s="1720"/>
      <c r="F16" s="1719"/>
      <c r="G16" s="1720"/>
      <c r="H16" s="1869"/>
      <c r="I16" s="1884"/>
      <c r="J16" s="1719"/>
      <c r="K16" s="1720"/>
      <c r="L16" s="1719"/>
      <c r="M16" s="1720"/>
      <c r="N16" s="1719"/>
      <c r="O16" s="289" t="str">
        <f t="shared" si="0"/>
        <v/>
      </c>
      <c r="P16" s="1060" t="b">
        <f t="shared" si="1"/>
        <v>1</v>
      </c>
      <c r="Q16" s="1060">
        <f t="shared" si="2"/>
        <v>0</v>
      </c>
      <c r="R16" s="1188" t="b">
        <f t="shared" si="3"/>
        <v>1</v>
      </c>
      <c r="S16" s="1188" t="b">
        <f t="shared" si="4"/>
        <v>1</v>
      </c>
      <c r="T16" s="1188" t="b">
        <f t="shared" si="5"/>
        <v>1</v>
      </c>
      <c r="U16" s="1188" t="b">
        <f t="shared" si="6"/>
        <v>1</v>
      </c>
      <c r="V16" s="1188" t="b">
        <f t="shared" si="7"/>
        <v>1</v>
      </c>
      <c r="W16" s="1188" t="b">
        <f t="shared" si="8"/>
        <v>1</v>
      </c>
      <c r="X16" s="1188">
        <f t="shared" si="9"/>
        <v>0</v>
      </c>
    </row>
    <row r="17" spans="2:24" s="110" customFormat="1" ht="15" customHeight="1" x14ac:dyDescent="0.2">
      <c r="B17" s="1719"/>
      <c r="C17" s="1884"/>
      <c r="D17" s="1719"/>
      <c r="E17" s="1720"/>
      <c r="F17" s="1719"/>
      <c r="G17" s="1720"/>
      <c r="H17" s="1869"/>
      <c r="I17" s="1884"/>
      <c r="J17" s="1719"/>
      <c r="K17" s="1720"/>
      <c r="L17" s="1719"/>
      <c r="M17" s="1720"/>
      <c r="N17" s="1719"/>
      <c r="O17" s="289" t="str">
        <f t="shared" si="0"/>
        <v/>
      </c>
      <c r="P17" s="1060" t="b">
        <f t="shared" si="1"/>
        <v>1</v>
      </c>
      <c r="Q17" s="1060">
        <f t="shared" si="2"/>
        <v>0</v>
      </c>
      <c r="R17" s="1188" t="b">
        <f t="shared" si="3"/>
        <v>1</v>
      </c>
      <c r="S17" s="1188" t="b">
        <f t="shared" si="4"/>
        <v>1</v>
      </c>
      <c r="T17" s="1188" t="b">
        <f t="shared" si="5"/>
        <v>1</v>
      </c>
      <c r="U17" s="1188" t="b">
        <f t="shared" si="6"/>
        <v>1</v>
      </c>
      <c r="V17" s="1188" t="b">
        <f t="shared" si="7"/>
        <v>1</v>
      </c>
      <c r="W17" s="1188" t="b">
        <f t="shared" si="8"/>
        <v>1</v>
      </c>
      <c r="X17" s="1188">
        <f t="shared" si="9"/>
        <v>0</v>
      </c>
    </row>
    <row r="18" spans="2:24" s="110" customFormat="1" ht="15" customHeight="1" x14ac:dyDescent="0.2">
      <c r="B18" s="1719"/>
      <c r="C18" s="1884"/>
      <c r="D18" s="1719"/>
      <c r="E18" s="1720"/>
      <c r="F18" s="1719"/>
      <c r="G18" s="1720"/>
      <c r="H18" s="1869"/>
      <c r="I18" s="1884"/>
      <c r="J18" s="1719"/>
      <c r="K18" s="1720"/>
      <c r="L18" s="1719"/>
      <c r="M18" s="1720"/>
      <c r="N18" s="1719"/>
      <c r="O18" s="289" t="str">
        <f t="shared" si="0"/>
        <v/>
      </c>
      <c r="P18" s="1060" t="b">
        <f t="shared" si="1"/>
        <v>1</v>
      </c>
      <c r="Q18" s="1060">
        <f t="shared" si="2"/>
        <v>0</v>
      </c>
      <c r="R18" s="1188" t="b">
        <f t="shared" si="3"/>
        <v>1</v>
      </c>
      <c r="S18" s="1188" t="b">
        <f t="shared" si="4"/>
        <v>1</v>
      </c>
      <c r="T18" s="1188" t="b">
        <f t="shared" si="5"/>
        <v>1</v>
      </c>
      <c r="U18" s="1188" t="b">
        <f t="shared" si="6"/>
        <v>1</v>
      </c>
      <c r="V18" s="1188" t="b">
        <f t="shared" si="7"/>
        <v>1</v>
      </c>
      <c r="W18" s="1188" t="b">
        <f t="shared" si="8"/>
        <v>1</v>
      </c>
      <c r="X18" s="1188">
        <f t="shared" si="9"/>
        <v>0</v>
      </c>
    </row>
    <row r="19" spans="2:24" s="110" customFormat="1" ht="15" customHeight="1" x14ac:dyDescent="0.2">
      <c r="B19" s="1719"/>
      <c r="C19" s="1884"/>
      <c r="D19" s="1719"/>
      <c r="E19" s="1720"/>
      <c r="F19" s="1719"/>
      <c r="G19" s="1720"/>
      <c r="H19" s="1869"/>
      <c r="I19" s="1884"/>
      <c r="J19" s="1719"/>
      <c r="K19" s="1720"/>
      <c r="L19" s="1719"/>
      <c r="M19" s="1720"/>
      <c r="N19" s="1719"/>
      <c r="O19" s="289" t="str">
        <f t="shared" si="0"/>
        <v/>
      </c>
      <c r="P19" s="1060" t="b">
        <f t="shared" si="1"/>
        <v>1</v>
      </c>
      <c r="Q19" s="1060">
        <f t="shared" si="2"/>
        <v>0</v>
      </c>
      <c r="R19" s="1188" t="b">
        <f t="shared" si="3"/>
        <v>1</v>
      </c>
      <c r="S19" s="1188" t="b">
        <f t="shared" si="4"/>
        <v>1</v>
      </c>
      <c r="T19" s="1188" t="b">
        <f t="shared" si="5"/>
        <v>1</v>
      </c>
      <c r="U19" s="1188" t="b">
        <f t="shared" si="6"/>
        <v>1</v>
      </c>
      <c r="V19" s="1188" t="b">
        <f t="shared" si="7"/>
        <v>1</v>
      </c>
      <c r="W19" s="1188" t="b">
        <f t="shared" si="8"/>
        <v>1</v>
      </c>
      <c r="X19" s="1188">
        <f t="shared" si="9"/>
        <v>0</v>
      </c>
    </row>
    <row r="20" spans="2:24" s="110" customFormat="1" ht="15" customHeight="1" x14ac:dyDescent="0.2">
      <c r="B20" s="1719"/>
      <c r="C20" s="1884"/>
      <c r="D20" s="1719"/>
      <c r="E20" s="1720"/>
      <c r="F20" s="1719"/>
      <c r="G20" s="1720"/>
      <c r="H20" s="1869"/>
      <c r="I20" s="1884"/>
      <c r="J20" s="1719"/>
      <c r="K20" s="1720"/>
      <c r="L20" s="1719"/>
      <c r="M20" s="1720"/>
      <c r="N20" s="1719"/>
      <c r="O20" s="289" t="str">
        <f t="shared" si="0"/>
        <v/>
      </c>
      <c r="P20" s="1060" t="b">
        <f t="shared" si="1"/>
        <v>1</v>
      </c>
      <c r="Q20" s="1060">
        <f t="shared" si="2"/>
        <v>0</v>
      </c>
      <c r="R20" s="1188" t="b">
        <f t="shared" si="3"/>
        <v>1</v>
      </c>
      <c r="S20" s="1188" t="b">
        <f t="shared" si="4"/>
        <v>1</v>
      </c>
      <c r="T20" s="1188" t="b">
        <f t="shared" si="5"/>
        <v>1</v>
      </c>
      <c r="U20" s="1188" t="b">
        <f t="shared" si="6"/>
        <v>1</v>
      </c>
      <c r="V20" s="1188" t="b">
        <f t="shared" si="7"/>
        <v>1</v>
      </c>
      <c r="W20" s="1188" t="b">
        <f t="shared" si="8"/>
        <v>1</v>
      </c>
      <c r="X20" s="1188">
        <f t="shared" si="9"/>
        <v>0</v>
      </c>
    </row>
    <row r="21" spans="2:24" s="110" customFormat="1" ht="15" customHeight="1" x14ac:dyDescent="0.2">
      <c r="B21" s="1719"/>
      <c r="C21" s="1884"/>
      <c r="D21" s="1719"/>
      <c r="E21" s="1720"/>
      <c r="F21" s="1719"/>
      <c r="G21" s="1720"/>
      <c r="H21" s="1869"/>
      <c r="I21" s="1884"/>
      <c r="J21" s="1719"/>
      <c r="K21" s="1720"/>
      <c r="L21" s="1719"/>
      <c r="M21" s="1720"/>
      <c r="N21" s="1719"/>
      <c r="O21" s="289" t="str">
        <f t="shared" si="0"/>
        <v/>
      </c>
      <c r="P21" s="1060" t="b">
        <f t="shared" si="1"/>
        <v>1</v>
      </c>
      <c r="Q21" s="1060">
        <f t="shared" si="2"/>
        <v>0</v>
      </c>
      <c r="R21" s="1188" t="b">
        <f t="shared" si="3"/>
        <v>1</v>
      </c>
      <c r="S21" s="1188" t="b">
        <f t="shared" si="4"/>
        <v>1</v>
      </c>
      <c r="T21" s="1188" t="b">
        <f t="shared" si="5"/>
        <v>1</v>
      </c>
      <c r="U21" s="1188" t="b">
        <f t="shared" si="6"/>
        <v>1</v>
      </c>
      <c r="V21" s="1188" t="b">
        <f t="shared" si="7"/>
        <v>1</v>
      </c>
      <c r="W21" s="1188" t="b">
        <f t="shared" si="8"/>
        <v>1</v>
      </c>
      <c r="X21" s="1188">
        <f t="shared" si="9"/>
        <v>0</v>
      </c>
    </row>
    <row r="22" spans="2:24" s="110" customFormat="1" ht="15" customHeight="1" x14ac:dyDescent="0.2">
      <c r="B22" s="1719"/>
      <c r="C22" s="1884"/>
      <c r="D22" s="1719"/>
      <c r="E22" s="1720"/>
      <c r="F22" s="1719"/>
      <c r="G22" s="1720"/>
      <c r="H22" s="1869"/>
      <c r="I22" s="1884"/>
      <c r="J22" s="1719"/>
      <c r="K22" s="1720"/>
      <c r="L22" s="1719"/>
      <c r="M22" s="1720"/>
      <c r="N22" s="1719"/>
      <c r="O22" s="289" t="str">
        <f t="shared" si="0"/>
        <v/>
      </c>
      <c r="P22" s="1060" t="b">
        <f t="shared" si="1"/>
        <v>1</v>
      </c>
      <c r="Q22" s="1060">
        <f t="shared" si="2"/>
        <v>0</v>
      </c>
      <c r="R22" s="1188" t="b">
        <f t="shared" si="3"/>
        <v>1</v>
      </c>
      <c r="S22" s="1188" t="b">
        <f t="shared" si="4"/>
        <v>1</v>
      </c>
      <c r="T22" s="1188" t="b">
        <f t="shared" si="5"/>
        <v>1</v>
      </c>
      <c r="U22" s="1188" t="b">
        <f t="shared" si="6"/>
        <v>1</v>
      </c>
      <c r="V22" s="1188" t="b">
        <f t="shared" si="7"/>
        <v>1</v>
      </c>
      <c r="W22" s="1188" t="b">
        <f t="shared" si="8"/>
        <v>1</v>
      </c>
      <c r="X22" s="1188">
        <f t="shared" si="9"/>
        <v>0</v>
      </c>
    </row>
    <row r="23" spans="2:24" s="110" customFormat="1" ht="15" customHeight="1" x14ac:dyDescent="0.2">
      <c r="B23" s="1719"/>
      <c r="C23" s="1884"/>
      <c r="D23" s="1719"/>
      <c r="E23" s="1720"/>
      <c r="F23" s="1719"/>
      <c r="G23" s="1720"/>
      <c r="H23" s="1869"/>
      <c r="I23" s="1884"/>
      <c r="J23" s="1719"/>
      <c r="K23" s="1720"/>
      <c r="L23" s="1719"/>
      <c r="M23" s="1720"/>
      <c r="N23" s="1719"/>
      <c r="O23" s="289" t="str">
        <f t="shared" si="0"/>
        <v/>
      </c>
      <c r="P23" s="1060" t="b">
        <f t="shared" si="1"/>
        <v>1</v>
      </c>
      <c r="Q23" s="1060">
        <f t="shared" si="2"/>
        <v>0</v>
      </c>
      <c r="R23" s="1188" t="b">
        <f t="shared" si="3"/>
        <v>1</v>
      </c>
      <c r="S23" s="1188" t="b">
        <f t="shared" si="4"/>
        <v>1</v>
      </c>
      <c r="T23" s="1188" t="b">
        <f t="shared" si="5"/>
        <v>1</v>
      </c>
      <c r="U23" s="1188" t="b">
        <f t="shared" si="6"/>
        <v>1</v>
      </c>
      <c r="V23" s="1188" t="b">
        <f t="shared" si="7"/>
        <v>1</v>
      </c>
      <c r="W23" s="1188" t="b">
        <f t="shared" si="8"/>
        <v>1</v>
      </c>
      <c r="X23" s="1188">
        <f t="shared" si="9"/>
        <v>0</v>
      </c>
    </row>
    <row r="24" spans="2:24" s="110" customFormat="1" ht="15" customHeight="1" x14ac:dyDescent="0.2">
      <c r="B24" s="1719"/>
      <c r="C24" s="1884"/>
      <c r="D24" s="1719"/>
      <c r="E24" s="1720"/>
      <c r="F24" s="1719"/>
      <c r="G24" s="1720"/>
      <c r="H24" s="1869"/>
      <c r="I24" s="1884"/>
      <c r="J24" s="1719"/>
      <c r="K24" s="1720"/>
      <c r="L24" s="1719"/>
      <c r="M24" s="1720"/>
      <c r="N24" s="1719"/>
      <c r="O24" s="289" t="str">
        <f t="shared" si="0"/>
        <v/>
      </c>
      <c r="P24" s="1060" t="b">
        <f t="shared" si="1"/>
        <v>1</v>
      </c>
      <c r="Q24" s="1060">
        <f t="shared" si="2"/>
        <v>0</v>
      </c>
      <c r="R24" s="1188" t="b">
        <f t="shared" si="3"/>
        <v>1</v>
      </c>
      <c r="S24" s="1188" t="b">
        <f t="shared" si="4"/>
        <v>1</v>
      </c>
      <c r="T24" s="1188" t="b">
        <f t="shared" si="5"/>
        <v>1</v>
      </c>
      <c r="U24" s="1188" t="b">
        <f t="shared" si="6"/>
        <v>1</v>
      </c>
      <c r="V24" s="1188" t="b">
        <f t="shared" si="7"/>
        <v>1</v>
      </c>
      <c r="W24" s="1188" t="b">
        <f t="shared" si="8"/>
        <v>1</v>
      </c>
      <c r="X24" s="1188">
        <f t="shared" si="9"/>
        <v>0</v>
      </c>
    </row>
    <row r="25" spans="2:24" s="110" customFormat="1" ht="15" customHeight="1" x14ac:dyDescent="0.2">
      <c r="B25" s="1719"/>
      <c r="C25" s="1884"/>
      <c r="D25" s="1719"/>
      <c r="E25" s="1720"/>
      <c r="F25" s="1719"/>
      <c r="G25" s="1720"/>
      <c r="H25" s="1869"/>
      <c r="I25" s="1884"/>
      <c r="J25" s="1719"/>
      <c r="K25" s="1720"/>
      <c r="L25" s="1719"/>
      <c r="M25" s="1720"/>
      <c r="N25" s="1719"/>
      <c r="O25" s="289" t="str">
        <f t="shared" si="0"/>
        <v/>
      </c>
      <c r="P25" s="1060" t="b">
        <f t="shared" si="1"/>
        <v>1</v>
      </c>
      <c r="Q25" s="1060">
        <f t="shared" si="2"/>
        <v>0</v>
      </c>
      <c r="R25" s="1188" t="b">
        <f t="shared" si="3"/>
        <v>1</v>
      </c>
      <c r="S25" s="1188" t="b">
        <f t="shared" si="4"/>
        <v>1</v>
      </c>
      <c r="T25" s="1188" t="b">
        <f t="shared" si="5"/>
        <v>1</v>
      </c>
      <c r="U25" s="1188" t="b">
        <f t="shared" si="6"/>
        <v>1</v>
      </c>
      <c r="V25" s="1188" t="b">
        <f t="shared" si="7"/>
        <v>1</v>
      </c>
      <c r="W25" s="1188" t="b">
        <f t="shared" si="8"/>
        <v>1</v>
      </c>
      <c r="X25" s="1188">
        <f t="shared" si="9"/>
        <v>0</v>
      </c>
    </row>
    <row r="26" spans="2:24" s="110" customFormat="1" ht="15" customHeight="1" x14ac:dyDescent="0.2">
      <c r="B26" s="1719"/>
      <c r="C26" s="1884"/>
      <c r="D26" s="1719"/>
      <c r="E26" s="1720"/>
      <c r="F26" s="1719"/>
      <c r="G26" s="1720"/>
      <c r="H26" s="1869"/>
      <c r="I26" s="1884"/>
      <c r="J26" s="1719"/>
      <c r="K26" s="1720"/>
      <c r="L26" s="1719"/>
      <c r="M26" s="1720"/>
      <c r="N26" s="1719"/>
      <c r="O26" s="289" t="str">
        <f t="shared" si="0"/>
        <v/>
      </c>
      <c r="P26" s="1060" t="b">
        <f t="shared" si="1"/>
        <v>1</v>
      </c>
      <c r="Q26" s="1060">
        <f t="shared" si="2"/>
        <v>0</v>
      </c>
      <c r="R26" s="1188" t="b">
        <f t="shared" si="3"/>
        <v>1</v>
      </c>
      <c r="S26" s="1188" t="b">
        <f t="shared" si="4"/>
        <v>1</v>
      </c>
      <c r="T26" s="1188" t="b">
        <f t="shared" si="5"/>
        <v>1</v>
      </c>
      <c r="U26" s="1188" t="b">
        <f t="shared" si="6"/>
        <v>1</v>
      </c>
      <c r="V26" s="1188" t="b">
        <f t="shared" si="7"/>
        <v>1</v>
      </c>
      <c r="W26" s="1188" t="b">
        <f t="shared" si="8"/>
        <v>1</v>
      </c>
      <c r="X26" s="1188">
        <f t="shared" si="9"/>
        <v>0</v>
      </c>
    </row>
    <row r="27" spans="2:24" s="110" customFormat="1" ht="15" customHeight="1" x14ac:dyDescent="0.2">
      <c r="B27" s="1719"/>
      <c r="C27" s="1884"/>
      <c r="D27" s="1719"/>
      <c r="E27" s="1720"/>
      <c r="F27" s="1719"/>
      <c r="G27" s="1720"/>
      <c r="H27" s="1869"/>
      <c r="I27" s="1884"/>
      <c r="J27" s="1719"/>
      <c r="K27" s="1720"/>
      <c r="L27" s="1719"/>
      <c r="M27" s="1720"/>
      <c r="N27" s="1719"/>
      <c r="O27" s="289" t="str">
        <f t="shared" si="0"/>
        <v/>
      </c>
      <c r="P27" s="1060" t="b">
        <f t="shared" si="1"/>
        <v>1</v>
      </c>
      <c r="Q27" s="1060">
        <f t="shared" si="2"/>
        <v>0</v>
      </c>
      <c r="R27" s="1188" t="b">
        <f t="shared" si="3"/>
        <v>1</v>
      </c>
      <c r="S27" s="1188" t="b">
        <f t="shared" si="4"/>
        <v>1</v>
      </c>
      <c r="T27" s="1188" t="b">
        <f t="shared" si="5"/>
        <v>1</v>
      </c>
      <c r="U27" s="1188" t="b">
        <f t="shared" si="6"/>
        <v>1</v>
      </c>
      <c r="V27" s="1188" t="b">
        <f t="shared" si="7"/>
        <v>1</v>
      </c>
      <c r="W27" s="1188" t="b">
        <f t="shared" si="8"/>
        <v>1</v>
      </c>
      <c r="X27" s="1188">
        <f t="shared" si="9"/>
        <v>0</v>
      </c>
    </row>
    <row r="28" spans="2:24" s="110" customFormat="1" ht="15" customHeight="1" x14ac:dyDescent="0.2">
      <c r="B28" s="1719"/>
      <c r="C28" s="1884"/>
      <c r="D28" s="1719"/>
      <c r="E28" s="1720"/>
      <c r="F28" s="1719"/>
      <c r="G28" s="1720"/>
      <c r="H28" s="1869"/>
      <c r="I28" s="1884"/>
      <c r="J28" s="1719"/>
      <c r="K28" s="1720"/>
      <c r="L28" s="1719"/>
      <c r="M28" s="1720"/>
      <c r="N28" s="1719"/>
      <c r="O28" s="289" t="str">
        <f t="shared" si="0"/>
        <v/>
      </c>
      <c r="P28" s="1060" t="b">
        <f t="shared" si="1"/>
        <v>1</v>
      </c>
      <c r="Q28" s="1060">
        <f t="shared" si="2"/>
        <v>0</v>
      </c>
      <c r="R28" s="1188" t="b">
        <f t="shared" si="3"/>
        <v>1</v>
      </c>
      <c r="S28" s="1188" t="b">
        <f t="shared" si="4"/>
        <v>1</v>
      </c>
      <c r="T28" s="1188" t="b">
        <f t="shared" si="5"/>
        <v>1</v>
      </c>
      <c r="U28" s="1188" t="b">
        <f t="shared" si="6"/>
        <v>1</v>
      </c>
      <c r="V28" s="1188" t="b">
        <f t="shared" si="7"/>
        <v>1</v>
      </c>
      <c r="W28" s="1188" t="b">
        <f t="shared" si="8"/>
        <v>1</v>
      </c>
      <c r="X28" s="1188">
        <f t="shared" si="9"/>
        <v>0</v>
      </c>
    </row>
    <row r="29" spans="2:24" s="110" customFormat="1" ht="15" customHeight="1" thickBot="1" x14ac:dyDescent="0.25">
      <c r="B29" s="1188"/>
      <c r="C29" s="1188"/>
      <c r="D29" s="111"/>
      <c r="E29" s="111"/>
      <c r="F29" s="111" t="s">
        <v>1913</v>
      </c>
      <c r="G29" s="111"/>
      <c r="H29" s="1883">
        <f>SUM(H12:H28)</f>
        <v>0</v>
      </c>
      <c r="I29" s="1188"/>
      <c r="J29" s="1188"/>
      <c r="K29" s="1188"/>
      <c r="L29" s="1188"/>
      <c r="M29" s="1188"/>
      <c r="N29" s="1188"/>
      <c r="O29" s="37"/>
      <c r="P29" s="1060">
        <f>COUNTIF(P12:P28,FALSE)</f>
        <v>0</v>
      </c>
      <c r="Q29" s="1188"/>
      <c r="R29" s="1188"/>
      <c r="S29" s="1188"/>
      <c r="T29" s="1188"/>
      <c r="U29" s="1188"/>
      <c r="V29" s="1188"/>
      <c r="W29" s="1060">
        <f>COUNTIF(W12:W28,FALSE)</f>
        <v>0</v>
      </c>
      <c r="X29" s="1188"/>
    </row>
    <row r="30" spans="2:24" s="110" customFormat="1" ht="15" customHeight="1" thickTop="1" x14ac:dyDescent="0.2">
      <c r="B30" s="1188"/>
      <c r="C30" s="1188"/>
      <c r="D30" s="111"/>
      <c r="E30" s="111"/>
      <c r="F30" s="111" t="s">
        <v>2061</v>
      </c>
      <c r="G30" s="111"/>
      <c r="H30" s="2081" t="str">
        <f>IF(H29&lt;&gt;'905'!F257, "ERROR","")</f>
        <v/>
      </c>
      <c r="I30" s="1188"/>
      <c r="J30" s="1188"/>
      <c r="K30" s="1188"/>
      <c r="L30" s="1188"/>
      <c r="M30" s="111"/>
      <c r="N30" s="111"/>
      <c r="O30" s="37"/>
      <c r="P30" s="1188"/>
      <c r="Q30" s="1188"/>
      <c r="R30" s="1188"/>
      <c r="S30" s="1188"/>
      <c r="T30" s="1188"/>
      <c r="U30" s="1188"/>
      <c r="V30" s="1188"/>
      <c r="W30" s="1188"/>
      <c r="X30" s="1188"/>
    </row>
    <row r="31" spans="2:24" ht="15" customHeight="1" x14ac:dyDescent="0.25">
      <c r="O31" s="37"/>
    </row>
    <row r="32" spans="2:24" ht="15" customHeight="1" x14ac:dyDescent="0.25">
      <c r="O32" s="37"/>
    </row>
    <row r="33" spans="1:15" ht="15" customHeight="1" x14ac:dyDescent="0.25">
      <c r="O33" s="37"/>
    </row>
    <row r="34" spans="1:15" ht="15" customHeight="1" x14ac:dyDescent="0.25">
      <c r="A34" s="421" t="str">
        <f ca="1">MID(CELL("filename",A1),FIND("]",CELL("filename",A1))+1,256)</f>
        <v>565</v>
      </c>
      <c r="B34" s="421" t="s">
        <v>2062</v>
      </c>
      <c r="D34" s="2080" t="str" cm="1">
        <f t="array" ref="D34:D50">IF(O12:O28="*","Complete all columns (B, D, F, H &amp; Status) or check account number","")</f>
        <v/>
      </c>
      <c r="O34" s="37"/>
    </row>
    <row r="35" spans="1:15" x14ac:dyDescent="0.25">
      <c r="A35" s="421" t="s">
        <v>401</v>
      </c>
      <c r="B35" s="421" t="str">
        <f t="shared" ref="B35:B44" ca="1" si="10">IF(ISNA(INDEX(ErrorTable,MATCH($A$34&amp;$A35&amp;FALSE,ErrorKey,0),6)),"",INDEX(ErrorTable,MATCH($A$34&amp;$A35&amp;FALSE,ErrorKey,0),6))</f>
        <v/>
      </c>
      <c r="D35" s="2080" t="str">
        <v/>
      </c>
    </row>
    <row r="36" spans="1:15" x14ac:dyDescent="0.25">
      <c r="A36" s="421" t="s">
        <v>402</v>
      </c>
      <c r="B36" s="421" t="str">
        <f t="shared" ca="1" si="10"/>
        <v/>
      </c>
      <c r="D36" s="2080" t="str">
        <v/>
      </c>
    </row>
    <row r="37" spans="1:15" x14ac:dyDescent="0.25">
      <c r="A37" s="421" t="s">
        <v>403</v>
      </c>
      <c r="B37" s="421" t="str">
        <f t="shared" ca="1" si="10"/>
        <v/>
      </c>
      <c r="D37" s="2080" t="str">
        <v/>
      </c>
    </row>
    <row r="38" spans="1:15" x14ac:dyDescent="0.25">
      <c r="A38" s="421" t="s">
        <v>404</v>
      </c>
      <c r="B38" s="421" t="str">
        <f t="shared" ca="1" si="10"/>
        <v/>
      </c>
      <c r="D38" s="2080" t="str">
        <v/>
      </c>
    </row>
    <row r="39" spans="1:15" x14ac:dyDescent="0.25">
      <c r="A39" s="421" t="s">
        <v>405</v>
      </c>
      <c r="B39" s="421" t="str">
        <f t="shared" ca="1" si="10"/>
        <v/>
      </c>
      <c r="D39" s="2080" t="str">
        <v/>
      </c>
    </row>
    <row r="40" spans="1:15" x14ac:dyDescent="0.25">
      <c r="A40" s="421" t="s">
        <v>406</v>
      </c>
      <c r="B40" s="421" t="str">
        <f t="shared" ca="1" si="10"/>
        <v/>
      </c>
      <c r="D40" s="2080" t="str">
        <v/>
      </c>
    </row>
    <row r="41" spans="1:15" x14ac:dyDescent="0.25">
      <c r="A41" s="421" t="s">
        <v>407</v>
      </c>
      <c r="B41" s="421" t="str">
        <f t="shared" ca="1" si="10"/>
        <v/>
      </c>
      <c r="D41" s="2080" t="str">
        <v/>
      </c>
    </row>
    <row r="42" spans="1:15" x14ac:dyDescent="0.25">
      <c r="A42" s="421" t="s">
        <v>408</v>
      </c>
      <c r="B42" s="421" t="str">
        <f t="shared" ca="1" si="10"/>
        <v/>
      </c>
      <c r="D42" s="2080" t="str">
        <v/>
      </c>
    </row>
    <row r="43" spans="1:15" x14ac:dyDescent="0.25">
      <c r="A43" s="421" t="s">
        <v>409</v>
      </c>
      <c r="B43" s="421" t="str">
        <f t="shared" ca="1" si="10"/>
        <v/>
      </c>
      <c r="D43" s="2080" t="str">
        <v/>
      </c>
    </row>
    <row r="44" spans="1:15" x14ac:dyDescent="0.25">
      <c r="A44" s="421" t="s">
        <v>410</v>
      </c>
      <c r="B44" s="421" t="str">
        <f t="shared" ca="1" si="10"/>
        <v/>
      </c>
      <c r="D44" s="2080" t="str">
        <v/>
      </c>
    </row>
    <row r="45" spans="1:15" x14ac:dyDescent="0.25">
      <c r="D45" s="2080" t="str">
        <v/>
      </c>
    </row>
    <row r="46" spans="1:15" x14ac:dyDescent="0.25">
      <c r="D46" s="2080" t="str">
        <v/>
      </c>
      <c r="O46" s="38"/>
    </row>
    <row r="47" spans="1:15" x14ac:dyDescent="0.25">
      <c r="D47" s="2080" t="str">
        <v/>
      </c>
    </row>
    <row r="48" spans="1:15" x14ac:dyDescent="0.25">
      <c r="D48" s="2080" t="str">
        <v/>
      </c>
    </row>
    <row r="49" spans="4:15" x14ac:dyDescent="0.25">
      <c r="D49" s="2080" t="str">
        <v/>
      </c>
    </row>
    <row r="50" spans="4:15" x14ac:dyDescent="0.25">
      <c r="D50" s="2080" t="str">
        <v/>
      </c>
    </row>
    <row r="56" spans="4:15" x14ac:dyDescent="0.25">
      <c r="O56" s="38"/>
    </row>
  </sheetData>
  <sheetProtection algorithmName="SHA-512" hashValue="pZMbEwfBDOqDu1yXXeCJ2QzfD8qxunFNV29tP8iIjt6saf5RhT/CaHCBcJxDHDf/rkBTiLIqHj49zGMSScfwZw==" saltValue="pNfPwV7OSMffrMS7rrpNmQ==" spinCount="100000" sheet="1" autoFilter="0"/>
  <dataConsolidate link="1"/>
  <customSheetViews>
    <customSheetView guid="{9FCFC836-1CA5-48BF-958D-24D2EA94B219}" showGridLines="0" fitToPage="1" hiddenColumns="1" topLeftCell="B1">
      <selection activeCell="B12" sqref="B12"/>
      <pageMargins left="0" right="0" top="0" bottom="0" header="0" footer="0"/>
      <printOptions horizontalCentered="1"/>
      <pageSetup orientation="landscape" blackAndWhite="1" r:id="rId1"/>
      <headerFooter alignWithMargins="0">
        <oddFooter>&amp;R&amp;A</oddFooter>
      </headerFooter>
    </customSheetView>
    <customSheetView guid="{BEA4BE86-04D1-4C96-9358-7A260B9D2B2D}" showGridLines="0" fitToPage="1" showRuler="0">
      <selection sqref="A1:M1"/>
      <pageMargins left="0" right="0" top="0" bottom="0" header="0" footer="0"/>
      <printOptions horizontalCentered="1"/>
      <pageSetup orientation="landscape" blackAndWhite="1" horizontalDpi="300" verticalDpi="300" r:id="rId2"/>
      <headerFooter alignWithMargins="0">
        <oddFooter>&amp;R&amp;A</oddFooter>
      </headerFooter>
    </customSheetView>
    <customSheetView guid="{1250FD07-FF56-4A9D-AF9E-C27124A7EBE9}" showGridLines="0" fitToPage="1" showRuler="0">
      <selection sqref="A1:M1"/>
      <pageMargins left="0" right="0" top="0" bottom="0" header="0" footer="0"/>
      <printOptions horizontalCentered="1"/>
      <pageSetup orientation="landscape" blackAndWhite="1" horizontalDpi="300" verticalDpi="300" r:id="rId3"/>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rintOptions horizontalCentered="1"/>
      <pageSetup orientation="landscape" blackAndWhite="1" r:id="rId4"/>
      <headerFooter alignWithMargins="0">
        <oddFooter>&amp;R&amp;A</oddFooter>
      </headerFooter>
    </customSheetView>
  </customSheetViews>
  <mergeCells count="7">
    <mergeCell ref="O1:O3"/>
    <mergeCell ref="I5:N5"/>
    <mergeCell ref="D6:F6"/>
    <mergeCell ref="B1:N1"/>
    <mergeCell ref="B2:N2"/>
    <mergeCell ref="B3:N3"/>
    <mergeCell ref="I6:N6"/>
  </mergeCells>
  <phoneticPr fontId="18" type="noConversion"/>
  <conditionalFormatting sqref="O1:O3">
    <cfRule type="cellIs" dxfId="59" priority="1" stopIfTrue="1" operator="equal">
      <formula>"na"</formula>
    </cfRule>
  </conditionalFormatting>
  <dataValidations count="2">
    <dataValidation errorStyle="warning" allowBlank="1" showInputMessage="1" showErrorMessage="1" errorTitle="Incomplete data" error="One or more lines are incomplete." sqref="O12:O28" xr:uid="{3BD71A6C-67C6-4D6E-AD59-A6801A26976E}"/>
    <dataValidation allowBlank="1" showInputMessage="1" showErrorMessage="1" error="Account starting with 487 or 587" prompt="Account starting with 487 or 587" sqref="B12:B28" xr:uid="{AB048186-49FA-4F36-8C7A-B606E9CA9DCC}"/>
  </dataValidations>
  <hyperlinks>
    <hyperlink ref="B1:N1" location="Index!A1" display="Index!A1" xr:uid="{00000000-0004-0000-3300-000000000000}"/>
  </hyperlinks>
  <pageMargins left="0.6" right="0.6" top="0.5" bottom="0.5" header="0.3" footer="0.3"/>
  <pageSetup orientation="landscape" r:id="rId5"/>
  <ignoredErrors>
    <ignoredError sqref="I5:I6" unlockedFormula="1"/>
  </ignoredError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9">
    <pageSetUpPr fitToPage="1"/>
  </sheetPr>
  <dimension ref="A1:M41"/>
  <sheetViews>
    <sheetView showGridLines="0" topLeftCell="B1" zoomScaleNormal="100" zoomScaleSheetLayoutView="100" workbookViewId="0">
      <selection activeCell="B11" sqref="B11"/>
    </sheetView>
  </sheetViews>
  <sheetFormatPr defaultRowHeight="12.75" x14ac:dyDescent="0.2"/>
  <cols>
    <col min="1" max="1" width="0" hidden="1" customWidth="1"/>
    <col min="5" max="5" width="1.5703125" customWidth="1"/>
    <col min="8" max="8" width="1.5703125" customWidth="1"/>
    <col min="12" max="12" width="10.5703125" customWidth="1"/>
    <col min="13" max="13" width="4.5703125" customWidth="1"/>
  </cols>
  <sheetData>
    <row r="1" spans="2:13" s="16" customFormat="1" ht="15" customHeight="1" x14ac:dyDescent="0.25">
      <c r="B1" s="2553" t="str">
        <f>+Index!$A$1</f>
        <v xml:space="preserve">                                                               Office of the State Controller                                                                </v>
      </c>
      <c r="C1" s="2553"/>
      <c r="D1" s="2553"/>
      <c r="E1" s="2553"/>
      <c r="F1" s="2553"/>
      <c r="G1" s="2553"/>
      <c r="H1" s="2553"/>
      <c r="I1" s="2553"/>
      <c r="J1" s="2553"/>
      <c r="K1" s="2553"/>
      <c r="L1" s="2553"/>
      <c r="M1" s="2554" t="str">
        <f>IF(Index!$B$79="na","NA","")</f>
        <v/>
      </c>
    </row>
    <row r="2" spans="2:13" s="16" customFormat="1" ht="15" customHeight="1" x14ac:dyDescent="0.25">
      <c r="B2" s="2823" t="str">
        <f>+Index!$A$2</f>
        <v>2024 ACFR Worksheets</v>
      </c>
      <c r="C2" s="2823"/>
      <c r="D2" s="2823"/>
      <c r="E2" s="2823"/>
      <c r="F2" s="2823"/>
      <c r="G2" s="2823"/>
      <c r="H2" s="2823"/>
      <c r="I2" s="2823"/>
      <c r="J2" s="2823"/>
      <c r="K2" s="2823"/>
      <c r="L2" s="2823"/>
      <c r="M2" s="2554"/>
    </row>
    <row r="3" spans="2:13" s="16" customFormat="1" ht="15" customHeight="1" x14ac:dyDescent="0.25">
      <c r="B3" s="2749" t="s">
        <v>2063</v>
      </c>
      <c r="C3" s="2749"/>
      <c r="D3" s="2749"/>
      <c r="E3" s="2749"/>
      <c r="F3" s="2749"/>
      <c r="G3" s="2749"/>
      <c r="H3" s="2749"/>
      <c r="I3" s="2749"/>
      <c r="J3" s="2749"/>
      <c r="K3" s="2749"/>
      <c r="L3" s="2749"/>
      <c r="M3" s="2554"/>
    </row>
    <row r="4" spans="2:13" s="18" customFormat="1" ht="15" customHeight="1" x14ac:dyDescent="0.2">
      <c r="J4" s="127"/>
      <c r="L4" s="926" t="s">
        <v>2064</v>
      </c>
    </row>
    <row r="5" spans="2:13" s="18" customFormat="1" ht="15" customHeight="1" x14ac:dyDescent="0.2">
      <c r="B5" s="2910" t="s">
        <v>318</v>
      </c>
      <c r="C5" s="2910"/>
      <c r="D5" s="2909" t="str">
        <f>+Index!$E$10</f>
        <v>01</v>
      </c>
      <c r="E5" s="2909"/>
      <c r="F5" s="2909"/>
      <c r="I5" s="19" t="s">
        <v>319</v>
      </c>
      <c r="J5" s="2596" t="str">
        <f>+Index!$E$11</f>
        <v>North Carolina General Assembly</v>
      </c>
      <c r="K5" s="2596"/>
      <c r="L5" s="2596"/>
    </row>
    <row r="6" spans="2:13" s="18" customFormat="1" ht="15" customHeight="1" x14ac:dyDescent="0.2">
      <c r="I6" s="19" t="s">
        <v>320</v>
      </c>
      <c r="J6" s="2629" t="str">
        <f>CONCATENATE(Index!$E$12," ",Index!$E$14)</f>
        <v xml:space="preserve"> </v>
      </c>
      <c r="K6" s="2629"/>
      <c r="L6" s="2629"/>
    </row>
    <row r="7" spans="2:13" s="18" customFormat="1" ht="15" customHeight="1" x14ac:dyDescent="0.2">
      <c r="B7" s="18" t="s">
        <v>545</v>
      </c>
      <c r="D7" s="2908"/>
      <c r="E7" s="2908"/>
      <c r="F7" s="2908"/>
      <c r="I7" s="19" t="s">
        <v>168</v>
      </c>
      <c r="J7" s="2598">
        <f>+Index!$E$13</f>
        <v>0</v>
      </c>
      <c r="K7" s="2598"/>
      <c r="L7" s="2598"/>
    </row>
    <row r="8" spans="2:13" s="18" customFormat="1" ht="15" customHeight="1" thickBot="1" x14ac:dyDescent="0.25">
      <c r="B8" s="76"/>
      <c r="C8" s="76"/>
      <c r="D8" s="76"/>
      <c r="E8" s="76"/>
      <c r="F8" s="76"/>
      <c r="G8" s="76"/>
      <c r="H8" s="76"/>
      <c r="I8" s="76"/>
      <c r="J8" s="76"/>
      <c r="K8" s="76"/>
      <c r="L8" s="76"/>
    </row>
    <row r="10" spans="2:13" s="18" customFormat="1" x14ac:dyDescent="0.2">
      <c r="B10" s="127" t="s">
        <v>2065</v>
      </c>
    </row>
    <row r="11" spans="2:13" s="18" customFormat="1" x14ac:dyDescent="0.2">
      <c r="B11" s="127" t="s">
        <v>2066</v>
      </c>
    </row>
    <row r="12" spans="2:13" s="18" customFormat="1" x14ac:dyDescent="0.2">
      <c r="B12" s="127" t="s">
        <v>2067</v>
      </c>
    </row>
    <row r="13" spans="2:13" s="18" customFormat="1" ht="9" customHeight="1" x14ac:dyDescent="0.2">
      <c r="B13" s="127"/>
    </row>
    <row r="14" spans="2:13" s="18" customFormat="1" x14ac:dyDescent="0.2">
      <c r="B14" s="2906" t="s">
        <v>2068</v>
      </c>
      <c r="C14" s="2906"/>
      <c r="D14" s="2906"/>
      <c r="E14" s="2387"/>
      <c r="F14" s="2906" t="s">
        <v>1359</v>
      </c>
      <c r="G14" s="2906"/>
      <c r="H14" s="2387"/>
      <c r="I14" s="2906" t="s">
        <v>559</v>
      </c>
      <c r="J14" s="2906"/>
      <c r="K14" s="2906"/>
      <c r="L14" s="2906"/>
    </row>
    <row r="15" spans="2:13" s="18" customFormat="1" ht="18" customHeight="1" x14ac:dyDescent="0.2">
      <c r="B15" s="2905"/>
      <c r="C15" s="2905"/>
      <c r="D15" s="2905"/>
      <c r="E15" s="128"/>
      <c r="F15" s="2907"/>
      <c r="G15" s="2907"/>
      <c r="H15" s="128"/>
      <c r="I15" s="2911"/>
      <c r="J15" s="2911"/>
      <c r="K15" s="2911"/>
      <c r="L15" s="2911"/>
    </row>
    <row r="16" spans="2:13" s="18" customFormat="1" ht="18" customHeight="1" x14ac:dyDescent="0.2">
      <c r="B16" s="2905"/>
      <c r="C16" s="2905"/>
      <c r="D16" s="2905"/>
      <c r="E16" s="128"/>
      <c r="F16" s="2907"/>
      <c r="G16" s="2907"/>
      <c r="H16" s="128"/>
      <c r="I16" s="2911"/>
      <c r="J16" s="2911"/>
      <c r="K16" s="2911"/>
      <c r="L16" s="2911"/>
    </row>
    <row r="17" spans="1:12" s="18" customFormat="1" ht="18" customHeight="1" x14ac:dyDescent="0.2">
      <c r="B17" s="2905"/>
      <c r="C17" s="2905"/>
      <c r="D17" s="2905"/>
      <c r="E17" s="128"/>
      <c r="F17" s="2907"/>
      <c r="G17" s="2907"/>
      <c r="H17" s="128"/>
      <c r="I17" s="2911"/>
      <c r="J17" s="2911"/>
      <c r="K17" s="2911"/>
      <c r="L17" s="2911"/>
    </row>
    <row r="18" spans="1:12" s="18" customFormat="1" ht="18" customHeight="1" x14ac:dyDescent="0.2">
      <c r="B18" s="2905"/>
      <c r="C18" s="2905"/>
      <c r="D18" s="2905"/>
      <c r="E18" s="128"/>
      <c r="F18" s="2907"/>
      <c r="G18" s="2907"/>
      <c r="H18" s="128"/>
      <c r="I18" s="2911"/>
      <c r="J18" s="2911"/>
      <c r="K18" s="2911"/>
      <c r="L18" s="2911"/>
    </row>
    <row r="19" spans="1:12" s="18" customFormat="1" ht="18" customHeight="1" x14ac:dyDescent="0.2">
      <c r="B19" s="2905"/>
      <c r="C19" s="2905"/>
      <c r="D19" s="2905"/>
      <c r="E19" s="128"/>
      <c r="F19" s="2907"/>
      <c r="G19" s="2907"/>
      <c r="H19" s="128"/>
      <c r="I19" s="2911"/>
      <c r="J19" s="2911"/>
      <c r="K19" s="2911"/>
      <c r="L19" s="2911"/>
    </row>
    <row r="20" spans="1:12" s="18" customFormat="1" ht="18" customHeight="1" x14ac:dyDescent="0.2">
      <c r="B20" s="2905"/>
      <c r="C20" s="2905"/>
      <c r="D20" s="2905"/>
      <c r="E20" s="128"/>
      <c r="F20" s="2907"/>
      <c r="G20" s="2907"/>
      <c r="H20" s="128"/>
      <c r="I20" s="2911"/>
      <c r="J20" s="2911"/>
      <c r="K20" s="2911"/>
      <c r="L20" s="2911"/>
    </row>
    <row r="21" spans="1:12" s="18" customFormat="1" ht="18" customHeight="1" x14ac:dyDescent="0.2">
      <c r="B21" s="2905"/>
      <c r="C21" s="2905"/>
      <c r="D21" s="2905"/>
      <c r="E21" s="128"/>
      <c r="F21" s="2907"/>
      <c r="G21" s="2907"/>
      <c r="H21" s="128"/>
      <c r="I21" s="2911"/>
      <c r="J21" s="2911"/>
      <c r="K21" s="2911"/>
      <c r="L21" s="2911"/>
    </row>
    <row r="22" spans="1:12" s="18" customFormat="1" ht="18" customHeight="1" x14ac:dyDescent="0.2">
      <c r="B22" s="2905"/>
      <c r="C22" s="2905"/>
      <c r="D22" s="2905"/>
      <c r="E22" s="128"/>
      <c r="F22" s="2907"/>
      <c r="G22" s="2907"/>
      <c r="H22" s="128"/>
      <c r="I22" s="2911"/>
      <c r="J22" s="2911"/>
      <c r="K22" s="2911"/>
      <c r="L22" s="2911"/>
    </row>
    <row r="23" spans="1:12" s="18" customFormat="1" ht="18" customHeight="1" x14ac:dyDescent="0.2">
      <c r="B23" s="2905"/>
      <c r="C23" s="2905"/>
      <c r="D23" s="2905"/>
      <c r="E23" s="128"/>
      <c r="F23" s="2907"/>
      <c r="G23" s="2907"/>
      <c r="H23" s="128"/>
      <c r="I23" s="2911"/>
      <c r="J23" s="2911"/>
      <c r="K23" s="2911"/>
      <c r="L23" s="2911"/>
    </row>
    <row r="24" spans="1:12" s="18" customFormat="1" ht="18" customHeight="1" x14ac:dyDescent="0.2">
      <c r="B24" s="2905"/>
      <c r="C24" s="2905"/>
      <c r="D24" s="2905"/>
      <c r="E24" s="128"/>
      <c r="F24" s="2907"/>
      <c r="G24" s="2907"/>
      <c r="H24" s="128"/>
      <c r="I24" s="2911"/>
      <c r="J24" s="2911"/>
      <c r="K24" s="2911"/>
      <c r="L24" s="2911"/>
    </row>
    <row r="25" spans="1:12" s="18" customFormat="1" ht="18" customHeight="1" x14ac:dyDescent="0.2">
      <c r="B25" s="2905"/>
      <c r="C25" s="2905"/>
      <c r="D25" s="2905"/>
      <c r="E25" s="128"/>
      <c r="F25" s="2907"/>
      <c r="G25" s="2907"/>
      <c r="H25" s="128"/>
      <c r="I25" s="2911"/>
      <c r="J25" s="2911"/>
      <c r="K25" s="2911"/>
      <c r="L25" s="2911"/>
    </row>
    <row r="26" spans="1:12" s="18" customFormat="1" ht="18" customHeight="1" x14ac:dyDescent="0.2">
      <c r="B26" s="2905"/>
      <c r="C26" s="2905"/>
      <c r="D26" s="2905"/>
      <c r="E26" s="128"/>
      <c r="F26" s="2907"/>
      <c r="G26" s="2907"/>
      <c r="H26" s="128"/>
      <c r="I26" s="2911"/>
      <c r="J26" s="2911"/>
      <c r="K26" s="2911"/>
      <c r="L26" s="2911"/>
    </row>
    <row r="27" spans="1:12" s="18" customFormat="1" ht="18" customHeight="1" x14ac:dyDescent="0.2">
      <c r="B27" s="2905"/>
      <c r="C27" s="2905"/>
      <c r="D27" s="2905"/>
      <c r="E27" s="128"/>
      <c r="F27" s="2907"/>
      <c r="G27" s="2907"/>
      <c r="H27" s="128"/>
      <c r="I27" s="2911"/>
      <c r="J27" s="2911"/>
      <c r="K27" s="2911"/>
      <c r="L27" s="2911"/>
    </row>
    <row r="31" spans="1:12" ht="15" x14ac:dyDescent="0.2">
      <c r="A31" s="421" t="str">
        <f ca="1">MID(CELL("filename",A1),FIND("]",CELL("filename",A1))+1,256)</f>
        <v>570</v>
      </c>
      <c r="B31" s="421" t="s">
        <v>613</v>
      </c>
    </row>
    <row r="32" spans="1:12" ht="15" x14ac:dyDescent="0.2">
      <c r="A32" s="421" t="s">
        <v>401</v>
      </c>
      <c r="B32" s="421" t="str">
        <f t="shared" ref="B32:B41" ca="1" si="0">IF(ISNA(INDEX(ErrorTable,MATCH($A$31&amp;$A32&amp;FALSE,ErrorKey,0),6)),"",INDEX(ErrorTable,MATCH($A$31&amp;$A32&amp;FALSE,ErrorKey,0),6))</f>
        <v/>
      </c>
    </row>
    <row r="33" spans="1:2" ht="15" x14ac:dyDescent="0.2">
      <c r="A33" s="421" t="s">
        <v>402</v>
      </c>
      <c r="B33" s="421" t="str">
        <f t="shared" ca="1" si="0"/>
        <v/>
      </c>
    </row>
    <row r="34" spans="1:2" ht="15" x14ac:dyDescent="0.2">
      <c r="A34" s="421" t="s">
        <v>403</v>
      </c>
      <c r="B34" s="421" t="str">
        <f t="shared" ca="1" si="0"/>
        <v/>
      </c>
    </row>
    <row r="35" spans="1:2" ht="15" x14ac:dyDescent="0.2">
      <c r="A35" s="421" t="s">
        <v>404</v>
      </c>
      <c r="B35" s="421" t="str">
        <f t="shared" ca="1" si="0"/>
        <v/>
      </c>
    </row>
    <row r="36" spans="1:2" ht="15" x14ac:dyDescent="0.2">
      <c r="A36" s="421" t="s">
        <v>405</v>
      </c>
      <c r="B36" s="421" t="str">
        <f t="shared" ca="1" si="0"/>
        <v/>
      </c>
    </row>
    <row r="37" spans="1:2" ht="15" x14ac:dyDescent="0.2">
      <c r="A37" s="421" t="s">
        <v>406</v>
      </c>
      <c r="B37" s="421" t="str">
        <f t="shared" ca="1" si="0"/>
        <v/>
      </c>
    </row>
    <row r="38" spans="1:2" ht="15" x14ac:dyDescent="0.2">
      <c r="A38" s="421" t="s">
        <v>407</v>
      </c>
      <c r="B38" s="421" t="str">
        <f t="shared" ca="1" si="0"/>
        <v/>
      </c>
    </row>
    <row r="39" spans="1:2" ht="15" x14ac:dyDescent="0.2">
      <c r="A39" s="421" t="s">
        <v>408</v>
      </c>
      <c r="B39" s="421" t="str">
        <f t="shared" ca="1" si="0"/>
        <v/>
      </c>
    </row>
    <row r="40" spans="1:2" ht="15" x14ac:dyDescent="0.2">
      <c r="A40" s="421" t="s">
        <v>409</v>
      </c>
      <c r="B40" s="421" t="str">
        <f t="shared" ca="1" si="0"/>
        <v/>
      </c>
    </row>
    <row r="41" spans="1:2" ht="15" x14ac:dyDescent="0.2">
      <c r="A41" s="421" t="s">
        <v>410</v>
      </c>
      <c r="B41" s="421" t="str">
        <f t="shared" ca="1" si="0"/>
        <v/>
      </c>
    </row>
  </sheetData>
  <sheetProtection algorithmName="SHA-512" hashValue="/K7uVBWutwabPqIrDJonnCuQEz4RRl4SravRLY0C9fqjUA+HtLyeWTSWYukoITWz+De6lkANNZCp9hLlBoofAg==" saltValue="ryMvT1tx3wxG3vXX11h7XQ==" spinCount="100000" sheet="1" autoFilter="0"/>
  <customSheetViews>
    <customSheetView guid="{9FCFC836-1CA5-48BF-958D-24D2EA94B219}" showGridLines="0" fitToPage="1" hiddenColumns="1" topLeftCell="B1">
      <selection activeCell="B12" sqref="B12"/>
      <pageMargins left="0" right="0" top="0" bottom="0" header="0" footer="0"/>
      <printOptions horizontalCentered="1"/>
      <pageSetup orientation="portrait" r:id="rId1"/>
      <headerFooter alignWithMargins="0">
        <oddFooter>&amp;R&amp;A</oddFooter>
      </headerFooter>
    </customSheetView>
    <customSheetView guid="{BEA4BE86-04D1-4C96-9358-7A260B9D2B2D}" showGridLines="0" fitToPage="1" showRuler="0">
      <selection sqref="A1:K1"/>
      <pageMargins left="0" right="0" top="0" bottom="0" header="0" footer="0"/>
      <printOptions horizontalCentered="1"/>
      <pageSetup orientation="portrait" r:id="rId2"/>
      <headerFooter alignWithMargins="0">
        <oddFooter>&amp;R&amp;A</oddFooter>
      </headerFooter>
    </customSheetView>
    <customSheetView guid="{1250FD07-FF56-4A9D-AF9E-C27124A7EBE9}" showGridLines="0" fitToPage="1" showRuler="0">
      <selection sqref="A1:K1"/>
      <pageMargins left="0" right="0" top="0" bottom="0" header="0" footer="0"/>
      <printOptions horizontalCentered="1"/>
      <pageSetup orientation="portrait" r:id="rId3"/>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rintOptions horizontalCentered="1"/>
      <pageSetup orientation="portrait" r:id="rId4"/>
      <headerFooter alignWithMargins="0">
        <oddFooter>&amp;R&amp;A</oddFooter>
      </headerFooter>
    </customSheetView>
  </customSheetViews>
  <mergeCells count="52">
    <mergeCell ref="B24:D24"/>
    <mergeCell ref="F24:G24"/>
    <mergeCell ref="B27:D27"/>
    <mergeCell ref="F27:G27"/>
    <mergeCell ref="I27:L27"/>
    <mergeCell ref="F25:G25"/>
    <mergeCell ref="I25:L25"/>
    <mergeCell ref="B25:D25"/>
    <mergeCell ref="B26:D26"/>
    <mergeCell ref="F26:G26"/>
    <mergeCell ref="I26:L26"/>
    <mergeCell ref="I19:L19"/>
    <mergeCell ref="I20:L20"/>
    <mergeCell ref="I21:L21"/>
    <mergeCell ref="F22:G22"/>
    <mergeCell ref="F23:G23"/>
    <mergeCell ref="I23:L23"/>
    <mergeCell ref="I22:L22"/>
    <mergeCell ref="F20:G20"/>
    <mergeCell ref="F21:G21"/>
    <mergeCell ref="B19:D19"/>
    <mergeCell ref="F19:G19"/>
    <mergeCell ref="I24:L24"/>
    <mergeCell ref="I15:L15"/>
    <mergeCell ref="F15:G15"/>
    <mergeCell ref="B16:D16"/>
    <mergeCell ref="B17:D17"/>
    <mergeCell ref="B22:D22"/>
    <mergeCell ref="B20:D20"/>
    <mergeCell ref="F16:G16"/>
    <mergeCell ref="I16:L16"/>
    <mergeCell ref="B21:D21"/>
    <mergeCell ref="B23:D23"/>
    <mergeCell ref="I17:L17"/>
    <mergeCell ref="F18:G18"/>
    <mergeCell ref="I18:L18"/>
    <mergeCell ref="M1:M3"/>
    <mergeCell ref="B2:L2"/>
    <mergeCell ref="B3:L3"/>
    <mergeCell ref="I14:L14"/>
    <mergeCell ref="B14:D14"/>
    <mergeCell ref="J5:L5"/>
    <mergeCell ref="J6:L6"/>
    <mergeCell ref="D7:F7"/>
    <mergeCell ref="B1:L1"/>
    <mergeCell ref="D5:F5"/>
    <mergeCell ref="B5:C5"/>
    <mergeCell ref="B18:D18"/>
    <mergeCell ref="J7:L7"/>
    <mergeCell ref="F14:G14"/>
    <mergeCell ref="B15:D15"/>
    <mergeCell ref="F17:G17"/>
  </mergeCells>
  <phoneticPr fontId="18" type="noConversion"/>
  <conditionalFormatting sqref="M1:M3">
    <cfRule type="cellIs" dxfId="58" priority="1" stopIfTrue="1" operator="equal">
      <formula>"na"</formula>
    </cfRule>
  </conditionalFormatting>
  <dataValidations disablePrompts="1" count="1">
    <dataValidation type="textLength" operator="equal" allowBlank="1" showInputMessage="1" showErrorMessage="1" errorTitle="Invalid data!" error="GASB number must be 4 digits." sqref="D7:F7" xr:uid="{00000000-0002-0000-3400-000000000000}">
      <formula1>4</formula1>
    </dataValidation>
  </dataValidations>
  <hyperlinks>
    <hyperlink ref="B1:L1" location="Index!A1" display="Index!A1" xr:uid="{00000000-0004-0000-3400-000000000000}"/>
  </hyperlinks>
  <pageMargins left="0.6" right="0.6" top="0.5" bottom="0.5" header="0.3" footer="0.3"/>
  <pageSetup orientation="portrait" r:id="rId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4294E-1694-4943-8CA8-EFC302A2E068}">
  <sheetPr codeName="Sheet96"/>
  <dimension ref="A1:AC84"/>
  <sheetViews>
    <sheetView showGridLines="0" topLeftCell="B1" zoomScale="60" zoomScaleNormal="60" zoomScaleSheetLayoutView="100" workbookViewId="0">
      <pane ySplit="3" topLeftCell="A12" activePane="bottomLeft" state="frozen"/>
      <selection activeCell="B1" sqref="B1"/>
      <selection pane="bottomLeft" activeCell="B1" sqref="B1:O1"/>
    </sheetView>
  </sheetViews>
  <sheetFormatPr defaultColWidth="9.42578125" defaultRowHeight="11.25" x14ac:dyDescent="0.2"/>
  <cols>
    <col min="1" max="1" width="0" style="235" hidden="1" customWidth="1"/>
    <col min="2" max="2" width="3.5703125" style="235" customWidth="1"/>
    <col min="3" max="3" width="12.5703125" style="235" customWidth="1"/>
    <col min="4" max="9" width="3.5703125" style="235" customWidth="1"/>
    <col min="10" max="10" width="1.5703125" style="235" customWidth="1"/>
    <col min="11" max="11" width="11.5703125" style="235" customWidth="1"/>
    <col min="12" max="12" width="1.5703125" style="235" customWidth="1"/>
    <col min="13" max="13" width="12.5703125" style="235" customWidth="1"/>
    <col min="14" max="14" width="3.42578125" style="235" bestFit="1" customWidth="1"/>
    <col min="15" max="15" width="19.5703125" style="235" customWidth="1"/>
    <col min="16" max="16" width="4.5703125" style="235" customWidth="1"/>
    <col min="17" max="17" width="9.42578125" style="235" hidden="1" customWidth="1"/>
    <col min="18" max="16384" width="9.42578125" style="235"/>
  </cols>
  <sheetData>
    <row r="1" spans="2:29" s="230" customFormat="1" ht="25.15" customHeight="1" x14ac:dyDescent="0.25">
      <c r="B1" s="2553" t="str">
        <f>+Index!$A$1</f>
        <v xml:space="preserve">                                                               Office of the State Controller                                                                </v>
      </c>
      <c r="C1" s="2553"/>
      <c r="D1" s="2553"/>
      <c r="E1" s="2553"/>
      <c r="F1" s="2553"/>
      <c r="G1" s="2553"/>
      <c r="H1" s="2553"/>
      <c r="I1" s="2553"/>
      <c r="J1" s="2553"/>
      <c r="K1" s="2553"/>
      <c r="L1" s="2553"/>
      <c r="M1" s="2553"/>
      <c r="N1" s="2553"/>
      <c r="O1" s="2553"/>
      <c r="P1" s="849" t="str">
        <f>IF(Index!$B$81="na","NA","")</f>
        <v/>
      </c>
      <c r="AC1" s="231"/>
    </row>
    <row r="2" spans="2:29" s="230" customFormat="1" ht="15" customHeight="1" x14ac:dyDescent="0.25">
      <c r="B2" s="2915" t="str">
        <f>+Index!$A$2</f>
        <v>2024 ACFR Worksheets</v>
      </c>
      <c r="C2" s="2915"/>
      <c r="D2" s="2915"/>
      <c r="E2" s="2915"/>
      <c r="F2" s="2915"/>
      <c r="G2" s="2915"/>
      <c r="H2" s="2915"/>
      <c r="I2" s="2915"/>
      <c r="J2" s="2915"/>
      <c r="K2" s="2915"/>
      <c r="L2" s="2915"/>
      <c r="M2" s="2915"/>
      <c r="N2" s="2915"/>
      <c r="O2" s="2915"/>
      <c r="P2" s="849"/>
    </row>
    <row r="3" spans="2:29" s="230" customFormat="1" ht="15" customHeight="1" x14ac:dyDescent="0.25">
      <c r="B3" s="2915" t="s">
        <v>2069</v>
      </c>
      <c r="C3" s="2915"/>
      <c r="D3" s="2915"/>
      <c r="E3" s="2915"/>
      <c r="F3" s="2915"/>
      <c r="G3" s="2915"/>
      <c r="H3" s="2915"/>
      <c r="I3" s="2915"/>
      <c r="J3" s="2915"/>
      <c r="K3" s="2915"/>
      <c r="L3" s="2915"/>
      <c r="M3" s="2915"/>
      <c r="N3" s="2915"/>
      <c r="O3" s="2915"/>
      <c r="P3" s="849"/>
    </row>
    <row r="4" spans="2:29" s="232" customFormat="1" ht="15" customHeight="1" x14ac:dyDescent="0.2">
      <c r="B4" s="2393"/>
      <c r="C4" s="2393"/>
      <c r="D4" s="2393"/>
      <c r="E4" s="2393"/>
      <c r="F4" s="2393"/>
      <c r="G4" s="2393"/>
      <c r="H4" s="2393"/>
      <c r="I4" s="2393"/>
      <c r="J4" s="2393"/>
      <c r="K4" s="2391" t="s">
        <v>2070</v>
      </c>
      <c r="L4" s="2393"/>
      <c r="M4" s="2393"/>
      <c r="N4" s="2393"/>
      <c r="O4" s="2393"/>
      <c r="P4" s="2393"/>
      <c r="Q4" s="2393"/>
      <c r="R4" s="2393"/>
      <c r="S4" s="2393"/>
      <c r="T4" s="2393"/>
      <c r="U4" s="2393"/>
      <c r="V4" s="2393"/>
      <c r="W4" s="2393"/>
      <c r="X4" s="2393"/>
      <c r="Y4" s="2393"/>
      <c r="Z4" s="2393"/>
      <c r="AA4" s="2393"/>
      <c r="AB4" s="2393"/>
      <c r="AC4" s="2393"/>
    </row>
    <row r="5" spans="2:29" s="232" customFormat="1" ht="15" customHeight="1" x14ac:dyDescent="0.2">
      <c r="B5" s="1721" t="s">
        <v>2071</v>
      </c>
      <c r="C5" s="2393"/>
      <c r="D5" s="2393"/>
      <c r="E5" s="2913" t="str">
        <f>+Index!$E$10</f>
        <v>01</v>
      </c>
      <c r="F5" s="2913"/>
      <c r="G5" s="2913"/>
      <c r="H5" s="2913"/>
      <c r="I5" s="2393"/>
      <c r="J5" s="2393"/>
      <c r="K5" s="1722" t="s">
        <v>2072</v>
      </c>
      <c r="L5" s="2393"/>
      <c r="M5" s="2596" t="str">
        <f>+Index!$E$11</f>
        <v>North Carolina General Assembly</v>
      </c>
      <c r="N5" s="2596"/>
      <c r="O5" s="2596"/>
      <c r="P5" s="2393"/>
      <c r="Q5" s="2393"/>
      <c r="R5" s="2393"/>
      <c r="S5" s="2393"/>
      <c r="T5" s="2393"/>
      <c r="U5" s="2393"/>
      <c r="V5" s="2393"/>
      <c r="W5" s="2393"/>
      <c r="X5" s="2393"/>
      <c r="Y5" s="2393"/>
      <c r="Z5" s="2393"/>
      <c r="AA5" s="2393"/>
      <c r="AB5" s="2393"/>
      <c r="AC5" s="2393"/>
    </row>
    <row r="6" spans="2:29" s="232" customFormat="1" ht="15" customHeight="1" x14ac:dyDescent="0.2">
      <c r="B6" s="2393" t="s">
        <v>545</v>
      </c>
      <c r="C6" s="2393"/>
      <c r="D6" s="2393"/>
      <c r="E6" s="2913" t="s">
        <v>706</v>
      </c>
      <c r="F6" s="2913"/>
      <c r="G6" s="2913"/>
      <c r="H6" s="2913"/>
      <c r="I6" s="2393"/>
      <c r="J6" s="2393"/>
      <c r="K6" s="1722" t="s">
        <v>320</v>
      </c>
      <c r="L6" s="2393"/>
      <c r="M6" s="2629" t="str">
        <f>CONCATENATE(Index!$E$12," ",Index!$E$14)</f>
        <v xml:space="preserve"> </v>
      </c>
      <c r="N6" s="2629"/>
      <c r="O6" s="2629"/>
      <c r="P6" s="2393"/>
      <c r="Q6" s="2393"/>
      <c r="R6" s="2393"/>
      <c r="S6" s="2393"/>
      <c r="T6" s="2393"/>
      <c r="U6" s="2393"/>
      <c r="V6" s="2393"/>
      <c r="W6" s="2393"/>
      <c r="X6" s="2393"/>
      <c r="Y6" s="2393"/>
      <c r="Z6" s="2393"/>
      <c r="AA6" s="2393"/>
      <c r="AB6" s="2393"/>
      <c r="AC6" s="2393"/>
    </row>
    <row r="7" spans="2:29" s="232" customFormat="1" ht="15" customHeight="1" x14ac:dyDescent="0.2">
      <c r="B7" s="2393"/>
      <c r="C7" s="2393"/>
      <c r="D7" s="2393"/>
      <c r="E7" s="2914"/>
      <c r="F7" s="2914"/>
      <c r="G7" s="2914"/>
      <c r="H7" s="2914"/>
      <c r="I7" s="2393"/>
      <c r="J7" s="2393"/>
      <c r="K7" s="1722" t="s">
        <v>168</v>
      </c>
      <c r="L7" s="2393"/>
      <c r="M7" s="2598">
        <f>+Index!$E$13</f>
        <v>0</v>
      </c>
      <c r="N7" s="2598"/>
      <c r="O7" s="2598"/>
      <c r="P7" s="2393"/>
      <c r="Q7" s="2393"/>
      <c r="R7" s="2393"/>
      <c r="S7" s="2393"/>
      <c r="T7" s="2393"/>
      <c r="U7" s="2393"/>
      <c r="V7" s="2393"/>
      <c r="W7" s="2393"/>
      <c r="X7" s="2393"/>
      <c r="Y7" s="2393"/>
      <c r="Z7" s="2393"/>
      <c r="AA7" s="2393"/>
      <c r="AB7" s="2393"/>
      <c r="AC7" s="2393"/>
    </row>
    <row r="8" spans="2:29" s="232" customFormat="1" ht="15" customHeight="1" thickBot="1" x14ac:dyDescent="0.25">
      <c r="B8" s="1723"/>
      <c r="C8" s="1723"/>
      <c r="D8" s="1723"/>
      <c r="E8" s="1723"/>
      <c r="F8" s="1723"/>
      <c r="G8" s="1723"/>
      <c r="H8" s="1723"/>
      <c r="I8" s="1723"/>
      <c r="J8" s="1723"/>
      <c r="K8" s="1723"/>
      <c r="L8" s="1723"/>
      <c r="M8" s="1723"/>
      <c r="N8" s="1723"/>
      <c r="O8" s="1723"/>
      <c r="P8" s="2393"/>
      <c r="Q8" s="2393"/>
      <c r="R8" s="2393"/>
      <c r="S8" s="2393"/>
      <c r="T8" s="2393"/>
      <c r="U8" s="2393"/>
      <c r="V8" s="2393"/>
      <c r="W8" s="2393"/>
      <c r="X8" s="2393"/>
      <c r="Y8" s="2393"/>
      <c r="Z8" s="2393"/>
      <c r="AA8" s="2393"/>
      <c r="AB8" s="2393"/>
      <c r="AC8" s="2393"/>
    </row>
    <row r="9" spans="2:29" s="232" customFormat="1" ht="15" customHeight="1" x14ac:dyDescent="0.2">
      <c r="B9" s="2393"/>
      <c r="C9" s="2393"/>
      <c r="D9" s="2393"/>
      <c r="E9" s="2393"/>
      <c r="F9" s="2393"/>
      <c r="G9" s="2393"/>
      <c r="H9" s="2393"/>
      <c r="I9" s="2393"/>
      <c r="J9" s="2393"/>
      <c r="K9" s="2393"/>
      <c r="L9" s="2393"/>
      <c r="M9" s="2393"/>
      <c r="N9" s="2393"/>
      <c r="O9" s="2393"/>
      <c r="P9" s="2393"/>
      <c r="Q9" s="2393"/>
      <c r="R9" s="2393"/>
      <c r="S9" s="2393"/>
      <c r="T9" s="2393"/>
      <c r="U9" s="2393"/>
      <c r="V9" s="2393"/>
      <c r="W9" s="2393"/>
      <c r="X9" s="2393"/>
      <c r="Y9" s="2393"/>
      <c r="Z9" s="2393"/>
      <c r="AA9" s="2393"/>
      <c r="AB9" s="2393"/>
      <c r="AC9" s="2393"/>
    </row>
    <row r="10" spans="2:29" s="232" customFormat="1" ht="15" customHeight="1" x14ac:dyDescent="0.2">
      <c r="B10" s="1203" t="s">
        <v>2073</v>
      </c>
      <c r="C10" s="1203"/>
      <c r="D10" s="1203"/>
      <c r="E10" s="1203"/>
      <c r="F10" s="1203"/>
      <c r="G10" s="1203"/>
      <c r="H10" s="1203"/>
      <c r="I10" s="2390"/>
      <c r="J10" s="2390"/>
      <c r="K10" s="2390"/>
      <c r="L10" s="2390"/>
      <c r="M10" s="2390"/>
      <c r="N10" s="2390"/>
      <c r="O10" s="2390"/>
      <c r="P10" s="2393"/>
      <c r="Q10" s="2393"/>
      <c r="R10" s="2393"/>
      <c r="S10" s="2393"/>
      <c r="T10" s="2393"/>
      <c r="U10" s="2393"/>
      <c r="V10" s="2393"/>
      <c r="W10" s="2393"/>
      <c r="X10" s="2393"/>
      <c r="Y10" s="2393"/>
      <c r="Z10" s="2393"/>
      <c r="AA10" s="2393"/>
      <c r="AB10" s="2393"/>
      <c r="AC10" s="2393"/>
    </row>
    <row r="11" spans="2:29" s="232" customFormat="1" ht="15" customHeight="1" x14ac:dyDescent="0.2">
      <c r="B11" s="1203" t="s">
        <v>2074</v>
      </c>
      <c r="C11" s="1203"/>
      <c r="D11" s="1203"/>
      <c r="E11" s="1203"/>
      <c r="F11" s="1203"/>
      <c r="G11" s="1203"/>
      <c r="H11" s="1203"/>
      <c r="I11" s="2390"/>
      <c r="J11" s="2390"/>
      <c r="K11" s="2390"/>
      <c r="L11" s="2390"/>
      <c r="M11" s="2390"/>
      <c r="N11" s="2390"/>
      <c r="O11" s="2390"/>
      <c r="P11" s="2393"/>
      <c r="Q11" s="2393"/>
      <c r="R11" s="2393"/>
      <c r="S11" s="2393"/>
      <c r="T11" s="2393"/>
      <c r="U11" s="2393"/>
      <c r="V11" s="2393"/>
      <c r="W11" s="2393"/>
      <c r="X11" s="2393"/>
      <c r="Y11" s="2393"/>
      <c r="Z11" s="2393"/>
      <c r="AA11" s="2393"/>
      <c r="AB11" s="2393"/>
      <c r="AC11" s="2393"/>
    </row>
    <row r="12" spans="2:29" s="232" customFormat="1" ht="15" customHeight="1" x14ac:dyDescent="0.2">
      <c r="B12" s="1203" t="s">
        <v>2075</v>
      </c>
      <c r="C12" s="1203"/>
      <c r="D12" s="1203"/>
      <c r="E12" s="1203"/>
      <c r="F12" s="1203"/>
      <c r="G12" s="1203"/>
      <c r="H12" s="1203"/>
      <c r="I12" s="2390"/>
      <c r="J12" s="2390"/>
      <c r="K12" s="2390"/>
      <c r="L12" s="2390"/>
      <c r="M12" s="2390"/>
      <c r="N12" s="2390"/>
      <c r="O12" s="2390"/>
      <c r="P12" s="2393"/>
      <c r="Q12" s="2393"/>
      <c r="R12" s="2393"/>
      <c r="S12" s="2393"/>
      <c r="T12" s="2393"/>
      <c r="U12" s="2393"/>
      <c r="V12" s="2393"/>
      <c r="W12" s="2393"/>
      <c r="X12" s="2393"/>
      <c r="Y12" s="2393"/>
      <c r="Z12" s="2393"/>
      <c r="AA12" s="2393"/>
      <c r="AB12" s="2393"/>
      <c r="AC12" s="2393"/>
    </row>
    <row r="13" spans="2:29" s="232" customFormat="1" ht="15" customHeight="1" x14ac:dyDescent="0.2">
      <c r="B13" s="1203"/>
      <c r="C13" s="1203"/>
      <c r="D13" s="1203"/>
      <c r="E13" s="1203"/>
      <c r="F13" s="1203"/>
      <c r="G13" s="1203"/>
      <c r="H13" s="1203"/>
      <c r="I13" s="2393"/>
      <c r="J13" s="2393"/>
      <c r="K13" s="2393"/>
      <c r="L13" s="2393"/>
      <c r="M13" s="1724"/>
      <c r="N13" s="2393"/>
      <c r="O13" s="2393"/>
      <c r="P13" s="2393"/>
      <c r="Q13" s="2393"/>
      <c r="R13" s="2393"/>
      <c r="S13" s="2393"/>
      <c r="T13" s="2393"/>
      <c r="U13" s="2393"/>
      <c r="V13" s="2393"/>
      <c r="W13" s="2393"/>
      <c r="X13" s="2393"/>
      <c r="Y13" s="2393"/>
      <c r="Z13" s="2393"/>
      <c r="AA13" s="2393"/>
      <c r="AB13" s="2393"/>
      <c r="AC13" s="2393"/>
    </row>
    <row r="14" spans="2:29" s="232" customFormat="1" ht="15" customHeight="1" x14ac:dyDescent="0.2">
      <c r="B14" s="1204" t="s">
        <v>2076</v>
      </c>
      <c r="C14" s="1203"/>
      <c r="D14" s="1203"/>
      <c r="E14" s="1203"/>
      <c r="F14" s="1203"/>
      <c r="G14" s="1257"/>
      <c r="H14" s="1203"/>
      <c r="I14" s="2391"/>
      <c r="J14" s="2391"/>
      <c r="K14" s="2912"/>
      <c r="L14" s="2912"/>
      <c r="M14" s="2912"/>
      <c r="N14" s="2912"/>
      <c r="O14" s="2393"/>
      <c r="P14" s="2393"/>
      <c r="Q14" s="2393"/>
      <c r="R14" s="2393"/>
      <c r="S14" s="2393"/>
      <c r="T14" s="2393"/>
      <c r="U14" s="2393"/>
      <c r="V14" s="2393"/>
      <c r="W14" s="2393"/>
      <c r="X14" s="2393"/>
      <c r="Y14" s="2393"/>
      <c r="Z14" s="2393"/>
      <c r="AA14" s="2393"/>
      <c r="AB14" s="2393"/>
      <c r="AC14" s="2393"/>
    </row>
    <row r="15" spans="2:29" s="232" customFormat="1" ht="15" customHeight="1" x14ac:dyDescent="0.2">
      <c r="B15" s="1203" t="s">
        <v>2077</v>
      </c>
      <c r="C15" s="1203"/>
      <c r="D15" s="1203"/>
      <c r="E15" s="1203"/>
      <c r="F15" s="1203"/>
      <c r="G15" s="1203"/>
      <c r="H15" s="1203"/>
      <c r="I15" s="2392"/>
      <c r="J15" s="2392"/>
      <c r="K15" s="2393"/>
      <c r="L15" s="2393"/>
      <c r="M15" s="1724"/>
      <c r="N15" s="2393"/>
      <c r="O15" s="2393"/>
      <c r="P15" s="2393"/>
      <c r="Q15" s="2393"/>
      <c r="R15" s="2393"/>
      <c r="S15" s="2393"/>
      <c r="T15" s="2393"/>
      <c r="U15" s="2393"/>
      <c r="V15" s="2393"/>
      <c r="W15" s="2393"/>
      <c r="X15" s="2393"/>
      <c r="Y15" s="2393"/>
      <c r="Z15" s="2393"/>
      <c r="AA15" s="2393"/>
      <c r="AB15" s="2393"/>
      <c r="AC15" s="2393"/>
    </row>
    <row r="16" spans="2:29" s="232" customFormat="1" ht="15" customHeight="1" x14ac:dyDescent="0.2">
      <c r="B16" s="1203" t="s">
        <v>2078</v>
      </c>
      <c r="C16" s="1203"/>
      <c r="D16" s="1203"/>
      <c r="E16" s="1203"/>
      <c r="F16" s="1203"/>
      <c r="G16" s="1203"/>
      <c r="H16" s="1203"/>
      <c r="I16" s="2391"/>
      <c r="J16" s="2391"/>
      <c r="K16" s="2393"/>
      <c r="L16" s="2393"/>
      <c r="M16" s="1724"/>
      <c r="N16" s="2393"/>
      <c r="O16" s="2393"/>
      <c r="P16" s="2393"/>
      <c r="Q16" s="2393"/>
      <c r="R16" s="2393"/>
      <c r="S16" s="2393"/>
      <c r="T16" s="2393"/>
      <c r="U16" s="2393"/>
      <c r="V16" s="2393"/>
      <c r="W16" s="2393"/>
      <c r="X16" s="2393"/>
      <c r="Y16" s="2393"/>
      <c r="Z16" s="2393"/>
      <c r="AA16" s="2393"/>
      <c r="AB16" s="2393"/>
      <c r="AC16" s="2393"/>
    </row>
    <row r="17" spans="2:17" s="232" customFormat="1" ht="15" customHeight="1" x14ac:dyDescent="0.2">
      <c r="B17" s="1205"/>
      <c r="C17" s="1205"/>
      <c r="D17" s="1205"/>
      <c r="E17" s="1205"/>
      <c r="F17" s="1205"/>
      <c r="G17" s="1205"/>
      <c r="H17" s="1205"/>
      <c r="I17" s="2393"/>
      <c r="J17" s="2393"/>
      <c r="K17" s="2390"/>
      <c r="L17" s="2390"/>
      <c r="M17" s="2390"/>
      <c r="N17" s="2390"/>
      <c r="O17" s="2390"/>
      <c r="P17" s="2393"/>
      <c r="Q17" s="2393"/>
    </row>
    <row r="18" spans="2:17" s="232" customFormat="1" ht="15" customHeight="1" x14ac:dyDescent="0.2">
      <c r="B18" s="1205"/>
      <c r="C18" s="1205"/>
      <c r="D18" s="1205"/>
      <c r="E18" s="1205"/>
      <c r="F18" s="1205"/>
      <c r="G18" s="1205"/>
      <c r="H18" s="1205"/>
      <c r="I18" s="1725"/>
      <c r="J18" s="1726"/>
      <c r="K18" s="2390"/>
      <c r="L18" s="2390"/>
      <c r="M18" s="2390"/>
      <c r="N18" s="2390"/>
      <c r="O18" s="2390"/>
      <c r="P18" s="2393"/>
      <c r="Q18" s="2393"/>
    </row>
    <row r="19" spans="2:17" s="232" customFormat="1" ht="15" customHeight="1" x14ac:dyDescent="0.2">
      <c r="B19" s="1205"/>
      <c r="C19" s="1205"/>
      <c r="D19" s="1205"/>
      <c r="E19" s="1205"/>
      <c r="F19" s="1205"/>
      <c r="G19" s="1205"/>
      <c r="H19" s="1205"/>
      <c r="I19" s="2393"/>
      <c r="J19" s="2393"/>
      <c r="K19" s="2390"/>
      <c r="L19" s="2390"/>
      <c r="M19" s="2390"/>
      <c r="N19" s="2390"/>
      <c r="O19" s="2390"/>
      <c r="P19" s="2393"/>
      <c r="Q19" s="2393"/>
    </row>
    <row r="20" spans="2:17" s="232" customFormat="1" ht="15" customHeight="1" x14ac:dyDescent="0.2">
      <c r="B20" s="1205"/>
      <c r="C20" s="1205"/>
      <c r="D20" s="1205"/>
      <c r="E20" s="1205"/>
      <c r="F20" s="1205"/>
      <c r="G20" s="1205"/>
      <c r="H20" s="1205"/>
      <c r="I20" s="2393"/>
      <c r="J20" s="2393"/>
      <c r="K20" s="2393"/>
      <c r="L20" s="2393"/>
      <c r="M20" s="2393"/>
      <c r="N20" s="2393"/>
      <c r="O20" s="2393"/>
      <c r="P20" s="2393"/>
      <c r="Q20" s="2393"/>
    </row>
    <row r="21" spans="2:17" s="232" customFormat="1" ht="15" customHeight="1" x14ac:dyDescent="0.2">
      <c r="B21" s="1205"/>
      <c r="C21" s="1205"/>
      <c r="D21" s="1205"/>
      <c r="E21" s="1205"/>
      <c r="F21" s="1205"/>
      <c r="G21" s="1205"/>
      <c r="H21" s="1205"/>
      <c r="I21" s="1726"/>
      <c r="J21" s="1726"/>
      <c r="K21" s="2393"/>
      <c r="L21" s="1726"/>
      <c r="M21" s="2393"/>
      <c r="N21" s="2393"/>
      <c r="O21" s="2393"/>
      <c r="P21" s="2393"/>
      <c r="Q21" s="1727">
        <v>0.06</v>
      </c>
    </row>
    <row r="22" spans="2:17" s="232" customFormat="1" ht="15" customHeight="1" x14ac:dyDescent="0.2">
      <c r="B22" s="1205"/>
      <c r="C22" s="1205"/>
      <c r="D22" s="1205"/>
      <c r="E22" s="1205"/>
      <c r="F22" s="1205"/>
      <c r="G22" s="1205"/>
      <c r="H22" s="1205"/>
      <c r="I22" s="1728"/>
      <c r="J22" s="2393"/>
      <c r="K22" s="2393"/>
      <c r="L22" s="2393"/>
      <c r="M22" s="2393"/>
      <c r="N22" s="233"/>
      <c r="O22" s="2393"/>
      <c r="P22" s="2393"/>
      <c r="Q22" s="1727"/>
    </row>
    <row r="23" spans="2:17" s="232" customFormat="1" ht="15" customHeight="1" x14ac:dyDescent="0.2">
      <c r="B23" s="1205"/>
      <c r="C23" s="1205"/>
      <c r="D23" s="1205"/>
      <c r="E23" s="1205"/>
      <c r="F23" s="1205"/>
      <c r="G23" s="1205"/>
      <c r="H23" s="1205"/>
      <c r="I23" s="1726"/>
      <c r="J23" s="1726"/>
      <c r="K23" s="2393"/>
      <c r="L23" s="1726"/>
      <c r="M23" s="2393"/>
      <c r="N23" s="2393"/>
      <c r="O23" s="2393"/>
      <c r="P23" s="2393"/>
      <c r="Q23" s="1727">
        <v>6.8400000000000002E-2</v>
      </c>
    </row>
    <row r="24" spans="2:17" s="232" customFormat="1" ht="15" customHeight="1" x14ac:dyDescent="0.2">
      <c r="B24" s="1205"/>
      <c r="C24" s="1205"/>
      <c r="D24" s="1205"/>
      <c r="E24" s="1205"/>
      <c r="F24" s="1205"/>
      <c r="G24" s="1205"/>
      <c r="H24" s="1205"/>
      <c r="I24" s="1728"/>
      <c r="J24" s="2393"/>
      <c r="K24" s="2393"/>
      <c r="L24" s="2393"/>
      <c r="M24" s="2393"/>
      <c r="N24" s="2393"/>
      <c r="O24" s="2393"/>
      <c r="P24" s="2393"/>
      <c r="Q24" s="2393"/>
    </row>
    <row r="25" spans="2:17" s="232" customFormat="1" ht="15" customHeight="1" thickBot="1" x14ac:dyDescent="0.25">
      <c r="B25" s="1200"/>
      <c r="C25" s="1200"/>
      <c r="D25" s="1200"/>
      <c r="E25" s="1201"/>
      <c r="F25" s="1201"/>
      <c r="G25" s="1200"/>
      <c r="H25" s="1202"/>
      <c r="I25" s="1726"/>
      <c r="J25" s="1726"/>
      <c r="K25" s="2393"/>
      <c r="L25" s="1726"/>
      <c r="M25" s="2390"/>
      <c r="N25" s="2390"/>
      <c r="O25" s="2390"/>
      <c r="P25" s="2393"/>
      <c r="Q25" s="2393"/>
    </row>
    <row r="26" spans="2:17" s="232" customFormat="1" ht="15" customHeight="1" x14ac:dyDescent="0.2">
      <c r="B26" s="1199"/>
      <c r="C26" s="1199"/>
      <c r="D26" s="1199"/>
      <c r="E26" s="1199"/>
      <c r="F26" s="1199"/>
      <c r="G26" s="1199"/>
      <c r="H26" s="1199"/>
      <c r="I26" s="2393"/>
      <c r="J26" s="2393"/>
      <c r="K26" s="2393"/>
      <c r="L26" s="2393"/>
      <c r="M26" s="2390"/>
      <c r="N26" s="2390"/>
      <c r="O26" s="2390"/>
      <c r="P26" s="2393"/>
      <c r="Q26" s="2393"/>
    </row>
    <row r="27" spans="2:17" s="232" customFormat="1" ht="15" customHeight="1" x14ac:dyDescent="0.2">
      <c r="B27" s="1203" t="s">
        <v>2079</v>
      </c>
      <c r="C27" s="1203"/>
      <c r="D27" s="1203"/>
      <c r="E27" s="1203"/>
      <c r="F27" s="1203"/>
      <c r="G27" s="1203"/>
      <c r="H27" s="1203"/>
      <c r="I27" s="2393"/>
      <c r="J27" s="2393"/>
      <c r="K27" s="2393"/>
      <c r="L27" s="2393"/>
      <c r="M27" s="2390"/>
      <c r="N27" s="2390"/>
      <c r="O27" s="2390"/>
      <c r="P27" s="2393"/>
      <c r="Q27" s="2393"/>
    </row>
    <row r="28" spans="2:17" s="232" customFormat="1" ht="15" customHeight="1" x14ac:dyDescent="0.2">
      <c r="B28" s="1203" t="s">
        <v>2074</v>
      </c>
      <c r="C28" s="1203"/>
      <c r="D28" s="1203"/>
      <c r="E28" s="1203"/>
      <c r="F28" s="1203"/>
      <c r="G28" s="1203"/>
      <c r="H28" s="1203"/>
      <c r="I28" s="2393"/>
      <c r="J28" s="2393"/>
      <c r="K28" s="2393"/>
      <c r="L28" s="2393"/>
      <c r="M28" s="2390"/>
      <c r="N28" s="2390"/>
      <c r="O28" s="2390"/>
      <c r="P28" s="2393"/>
      <c r="Q28" s="2393"/>
    </row>
    <row r="29" spans="2:17" s="232" customFormat="1" ht="15" customHeight="1" x14ac:dyDescent="0.2">
      <c r="B29" s="1203" t="s">
        <v>2080</v>
      </c>
      <c r="C29" s="1203"/>
      <c r="D29" s="1203"/>
      <c r="E29" s="1203"/>
      <c r="F29" s="1203"/>
      <c r="G29" s="1203"/>
      <c r="H29" s="1203"/>
      <c r="I29" s="2393"/>
      <c r="J29" s="2393"/>
      <c r="K29" s="2393"/>
      <c r="L29" s="2393"/>
      <c r="M29" s="2390"/>
      <c r="N29" s="2390"/>
      <c r="O29" s="2390"/>
      <c r="P29" s="2393"/>
      <c r="Q29" s="2393"/>
    </row>
    <row r="30" spans="2:17" s="232" customFormat="1" ht="15" customHeight="1" x14ac:dyDescent="0.2">
      <c r="B30" s="1205"/>
      <c r="C30" s="1205"/>
      <c r="D30" s="1205"/>
      <c r="E30" s="1205"/>
      <c r="F30" s="1205"/>
      <c r="G30" s="1205"/>
      <c r="H30" s="1205"/>
      <c r="I30" s="2393"/>
      <c r="J30" s="2393"/>
      <c r="K30" s="2393"/>
      <c r="L30" s="2393"/>
      <c r="M30" s="2390"/>
      <c r="N30" s="2390"/>
      <c r="O30" s="2390"/>
      <c r="P30" s="2393"/>
      <c r="Q30" s="2393"/>
    </row>
    <row r="31" spans="2:17" s="232" customFormat="1" ht="15" customHeight="1" x14ac:dyDescent="0.2">
      <c r="B31" s="1204" t="s">
        <v>2081</v>
      </c>
      <c r="C31" s="1203"/>
      <c r="D31" s="1203"/>
      <c r="E31" s="1203"/>
      <c r="F31" s="1203"/>
      <c r="G31" s="1257"/>
      <c r="H31" s="1203"/>
      <c r="I31" s="2393"/>
      <c r="J31" s="2393"/>
      <c r="K31" s="2912"/>
      <c r="L31" s="2912"/>
      <c r="M31" s="2912"/>
      <c r="N31" s="2912"/>
      <c r="O31" s="2390"/>
      <c r="P31" s="2393"/>
      <c r="Q31" s="2393"/>
    </row>
    <row r="32" spans="2:17" s="232" customFormat="1" ht="15" customHeight="1" x14ac:dyDescent="0.2">
      <c r="B32" s="1203" t="s">
        <v>2082</v>
      </c>
      <c r="C32" s="1203"/>
      <c r="D32" s="1203"/>
      <c r="E32" s="1203"/>
      <c r="F32" s="1203"/>
      <c r="G32" s="1203"/>
      <c r="H32" s="1203"/>
      <c r="I32" s="2393"/>
      <c r="J32" s="2393"/>
      <c r="K32" s="2393"/>
      <c r="L32" s="2393"/>
      <c r="M32" s="2390"/>
      <c r="N32" s="2390"/>
      <c r="O32" s="2390"/>
      <c r="P32" s="2393"/>
      <c r="Q32" s="2393"/>
    </row>
    <row r="33" spans="1:15" s="232" customFormat="1" ht="15" customHeight="1" x14ac:dyDescent="0.2">
      <c r="A33" s="2393"/>
      <c r="B33" s="1203" t="s">
        <v>2078</v>
      </c>
      <c r="C33" s="1203"/>
      <c r="D33" s="1203"/>
      <c r="E33" s="1203"/>
      <c r="F33" s="1203"/>
      <c r="G33" s="1203"/>
      <c r="H33" s="1203"/>
      <c r="I33" s="2393"/>
      <c r="J33" s="2393"/>
      <c r="K33" s="2393"/>
      <c r="L33" s="2393"/>
      <c r="M33" s="2390"/>
      <c r="N33" s="2390"/>
      <c r="O33" s="2390"/>
    </row>
    <row r="34" spans="1:15" s="232" customFormat="1" ht="15" customHeight="1" x14ac:dyDescent="0.2">
      <c r="A34" s="2393"/>
      <c r="B34" s="1205"/>
      <c r="C34" s="1205"/>
      <c r="D34" s="1205"/>
      <c r="E34" s="1205"/>
      <c r="F34" s="1205"/>
      <c r="G34" s="1205"/>
      <c r="H34" s="1205"/>
      <c r="I34" s="2393"/>
      <c r="J34" s="2393"/>
      <c r="K34" s="2393"/>
      <c r="L34" s="2393"/>
      <c r="M34" s="2390"/>
      <c r="N34" s="2390"/>
      <c r="O34" s="2390"/>
    </row>
    <row r="35" spans="1:15" s="232" customFormat="1" ht="15" customHeight="1" x14ac:dyDescent="0.2">
      <c r="A35" s="2393"/>
      <c r="B35" s="1205"/>
      <c r="C35" s="1205"/>
      <c r="D35" s="1205"/>
      <c r="E35" s="1205"/>
      <c r="F35" s="1205"/>
      <c r="G35" s="1205"/>
      <c r="H35" s="1205"/>
      <c r="I35" s="233"/>
      <c r="J35" s="233"/>
      <c r="K35" s="233"/>
      <c r="L35" s="2393"/>
      <c r="M35" s="1206"/>
      <c r="N35" s="2393"/>
      <c r="O35" s="860"/>
    </row>
    <row r="36" spans="1:15" s="232" customFormat="1" ht="15" customHeight="1" x14ac:dyDescent="0.2">
      <c r="A36" s="2393"/>
      <c r="B36" s="1205"/>
      <c r="C36" s="1205"/>
      <c r="D36" s="1205"/>
      <c r="E36" s="1205"/>
      <c r="F36" s="1205"/>
      <c r="G36" s="1205"/>
      <c r="H36" s="1205"/>
      <c r="I36" s="2393"/>
      <c r="J36" s="2393"/>
      <c r="K36" s="2393"/>
      <c r="L36" s="2393"/>
      <c r="M36" s="2390"/>
      <c r="N36" s="2390"/>
      <c r="O36" s="2390"/>
    </row>
    <row r="37" spans="1:15" s="232" customFormat="1" ht="15" customHeight="1" x14ac:dyDescent="0.2">
      <c r="A37" s="2393"/>
      <c r="B37" s="1205"/>
      <c r="C37" s="1205"/>
      <c r="D37" s="1205"/>
      <c r="E37" s="1205"/>
      <c r="F37" s="1205"/>
      <c r="G37" s="1205"/>
      <c r="H37" s="1205"/>
      <c r="I37" s="2393"/>
      <c r="J37" s="2393"/>
      <c r="K37" s="2393"/>
      <c r="L37" s="2393"/>
      <c r="M37" s="2390"/>
      <c r="N37" s="2390"/>
      <c r="O37" s="2390"/>
    </row>
    <row r="38" spans="1:15" s="232" customFormat="1" ht="15" customHeight="1" x14ac:dyDescent="0.2">
      <c r="A38" s="2393"/>
      <c r="B38" s="1205"/>
      <c r="C38" s="1205"/>
      <c r="D38" s="1205"/>
      <c r="E38" s="1205"/>
      <c r="F38" s="1205"/>
      <c r="G38" s="1205"/>
      <c r="H38" s="1205"/>
      <c r="I38" s="2393"/>
      <c r="J38" s="2393"/>
      <c r="K38" s="2393"/>
      <c r="L38" s="2393"/>
      <c r="M38" s="2390"/>
      <c r="N38" s="2390"/>
      <c r="O38" s="2390"/>
    </row>
    <row r="39" spans="1:15" s="232" customFormat="1" ht="15" customHeight="1" x14ac:dyDescent="0.2">
      <c r="A39" s="2393"/>
      <c r="B39" s="1205"/>
      <c r="C39" s="1205"/>
      <c r="D39" s="1205"/>
      <c r="E39" s="1205"/>
      <c r="F39" s="1205"/>
      <c r="G39" s="1205"/>
      <c r="H39" s="1205"/>
      <c r="I39" s="2393"/>
      <c r="J39" s="2393"/>
      <c r="K39" s="2393"/>
      <c r="L39" s="2393"/>
      <c r="M39" s="2390"/>
      <c r="N39" s="2390"/>
      <c r="O39" s="2390"/>
    </row>
    <row r="40" spans="1:15" s="232" customFormat="1" ht="15" customHeight="1" x14ac:dyDescent="0.2">
      <c r="A40" s="2393"/>
      <c r="B40" s="1205"/>
      <c r="C40" s="1205"/>
      <c r="D40" s="1205"/>
      <c r="E40" s="1205"/>
      <c r="F40" s="1205"/>
      <c r="G40" s="1205"/>
      <c r="H40" s="1205"/>
      <c r="I40" s="2393"/>
      <c r="J40" s="2393"/>
      <c r="K40" s="2393"/>
      <c r="L40" s="2393"/>
      <c r="M40" s="2390"/>
      <c r="N40" s="2390"/>
      <c r="O40" s="1207"/>
    </row>
    <row r="41" spans="1:15" s="232" customFormat="1" ht="6" customHeight="1" x14ac:dyDescent="0.2">
      <c r="A41" s="2393"/>
      <c r="B41" s="1205"/>
      <c r="C41" s="1205"/>
      <c r="D41" s="1205"/>
      <c r="E41" s="1205"/>
      <c r="F41" s="1205"/>
      <c r="G41" s="1205"/>
      <c r="H41" s="1205"/>
      <c r="I41" s="2393"/>
      <c r="J41" s="2393"/>
      <c r="K41" s="2393"/>
      <c r="L41" s="2393"/>
      <c r="M41" s="2393"/>
      <c r="N41" s="2393"/>
      <c r="O41" s="2393"/>
    </row>
    <row r="42" spans="1:15" s="232" customFormat="1" ht="15" customHeight="1" thickBot="1" x14ac:dyDescent="0.25">
      <c r="A42" s="2393"/>
      <c r="B42" s="1200"/>
      <c r="C42" s="1200"/>
      <c r="D42" s="1200"/>
      <c r="E42" s="1201"/>
      <c r="F42" s="1201"/>
      <c r="G42" s="1200"/>
      <c r="H42" s="1202"/>
      <c r="I42" s="2393"/>
      <c r="J42" s="2393"/>
      <c r="K42" s="2393"/>
      <c r="L42" s="2393"/>
      <c r="M42" s="2390"/>
      <c r="N42" s="2390"/>
      <c r="O42" s="1207"/>
    </row>
    <row r="43" spans="1:15" s="232" customFormat="1" ht="6" customHeight="1" x14ac:dyDescent="0.2">
      <c r="A43" s="2393"/>
      <c r="B43" s="1199"/>
      <c r="C43" s="1199"/>
      <c r="D43" s="1199"/>
      <c r="E43" s="1199"/>
      <c r="F43" s="1199"/>
      <c r="G43" s="1199"/>
      <c r="H43" s="1199"/>
      <c r="I43" s="2393"/>
      <c r="J43" s="2393"/>
      <c r="K43" s="2393"/>
      <c r="L43" s="2393"/>
      <c r="M43" s="2390"/>
      <c r="N43" s="2390"/>
      <c r="O43" s="1207"/>
    </row>
    <row r="44" spans="1:15" s="232" customFormat="1" ht="15" customHeight="1" x14ac:dyDescent="0.2">
      <c r="A44" s="2393"/>
      <c r="B44" s="1203" t="s">
        <v>2083</v>
      </c>
      <c r="C44" s="1203"/>
      <c r="D44" s="1203"/>
      <c r="E44" s="1203"/>
      <c r="F44" s="1203"/>
      <c r="G44" s="1203"/>
      <c r="H44" s="1203"/>
      <c r="I44" s="2393"/>
      <c r="J44" s="2393"/>
      <c r="K44" s="2393"/>
      <c r="L44" s="2393"/>
      <c r="M44" s="2390"/>
      <c r="N44" s="2390"/>
      <c r="O44" s="1207"/>
    </row>
    <row r="45" spans="1:15" s="232" customFormat="1" ht="15" customHeight="1" x14ac:dyDescent="0.2">
      <c r="A45" s="2393"/>
      <c r="B45" s="1203" t="s">
        <v>2074</v>
      </c>
      <c r="C45" s="1203"/>
      <c r="D45" s="1203"/>
      <c r="E45" s="1203"/>
      <c r="F45" s="1203"/>
      <c r="G45" s="1203"/>
      <c r="H45" s="1203"/>
      <c r="I45" s="2393"/>
      <c r="J45" s="2393"/>
      <c r="K45" s="2393"/>
      <c r="L45" s="2393"/>
      <c r="M45" s="2393"/>
      <c r="N45" s="2393"/>
      <c r="O45" s="2393"/>
    </row>
    <row r="46" spans="1:15" s="232" customFormat="1" ht="15" customHeight="1" x14ac:dyDescent="0.2">
      <c r="A46" s="2393"/>
      <c r="B46" s="1203" t="s">
        <v>2084</v>
      </c>
      <c r="C46" s="1203"/>
      <c r="D46" s="1203"/>
      <c r="E46" s="1203"/>
      <c r="F46" s="1203"/>
      <c r="G46" s="1203"/>
      <c r="H46" s="1203"/>
      <c r="I46" s="2393"/>
      <c r="J46" s="2393"/>
      <c r="K46" s="2393"/>
      <c r="L46" s="2393"/>
      <c r="M46" s="2393"/>
      <c r="N46" s="2393"/>
      <c r="O46" s="2393"/>
    </row>
    <row r="47" spans="1:15" s="232" customFormat="1" ht="15" customHeight="1" x14ac:dyDescent="0.2">
      <c r="A47" s="2393"/>
      <c r="B47" s="1205"/>
      <c r="C47" s="1205"/>
      <c r="D47" s="1205"/>
      <c r="E47" s="1205"/>
      <c r="F47" s="1205"/>
      <c r="G47" s="1205"/>
      <c r="H47" s="1205"/>
      <c r="I47" s="2393"/>
      <c r="J47" s="2393"/>
      <c r="K47" s="2393"/>
      <c r="L47" s="2393"/>
      <c r="M47" s="2393"/>
      <c r="N47" s="2393"/>
      <c r="O47" s="2393"/>
    </row>
    <row r="48" spans="1:15" s="232" customFormat="1" ht="15" customHeight="1" x14ac:dyDescent="0.2">
      <c r="A48" s="421" t="str">
        <f ca="1">MID(CELL("filename",A7),FIND("]",CELL("filename",A7))+1,256)</f>
        <v>602</v>
      </c>
      <c r="B48" s="1204" t="s">
        <v>2085</v>
      </c>
      <c r="C48" s="1203"/>
      <c r="D48" s="1203"/>
      <c r="E48" s="1203"/>
      <c r="F48" s="1203"/>
      <c r="G48" s="1257"/>
      <c r="H48" s="1203"/>
      <c r="I48" s="2393"/>
      <c r="J48" s="2393"/>
      <c r="K48" s="2912"/>
      <c r="L48" s="2912"/>
      <c r="M48" s="2912"/>
      <c r="N48" s="2912"/>
      <c r="O48" s="2393"/>
    </row>
    <row r="49" spans="1:8" s="232" customFormat="1" ht="15" customHeight="1" x14ac:dyDescent="0.2">
      <c r="A49" s="421" t="s">
        <v>401</v>
      </c>
      <c r="B49" s="1203" t="s">
        <v>2082</v>
      </c>
      <c r="C49" s="1203"/>
      <c r="D49" s="1203"/>
      <c r="E49" s="1203"/>
      <c r="F49" s="1203"/>
      <c r="G49" s="1203"/>
      <c r="H49" s="1203"/>
    </row>
    <row r="50" spans="1:8" s="232" customFormat="1" ht="15" customHeight="1" x14ac:dyDescent="0.2">
      <c r="A50" s="421" t="s">
        <v>402</v>
      </c>
      <c r="B50" s="1203" t="s">
        <v>2078</v>
      </c>
      <c r="C50" s="1203"/>
      <c r="D50" s="1203"/>
      <c r="E50" s="1203"/>
      <c r="F50" s="1203"/>
      <c r="G50" s="1203"/>
      <c r="H50" s="1203"/>
    </row>
    <row r="51" spans="1:8" s="232" customFormat="1" ht="15" customHeight="1" x14ac:dyDescent="0.2">
      <c r="A51" s="421" t="s">
        <v>403</v>
      </c>
      <c r="B51" s="1205"/>
      <c r="C51" s="1205"/>
      <c r="D51" s="1205"/>
      <c r="E51" s="1205"/>
      <c r="F51" s="1205"/>
      <c r="G51" s="1205"/>
      <c r="H51" s="1205"/>
    </row>
    <row r="52" spans="1:8" s="232" customFormat="1" ht="15" customHeight="1" x14ac:dyDescent="0.2">
      <c r="A52" s="421" t="s">
        <v>404</v>
      </c>
      <c r="B52" s="1205"/>
      <c r="C52" s="1205"/>
      <c r="D52" s="1205"/>
      <c r="E52" s="1205"/>
      <c r="F52" s="1205"/>
      <c r="G52" s="1205"/>
      <c r="H52" s="1205"/>
    </row>
    <row r="53" spans="1:8" s="232" customFormat="1" ht="15" x14ac:dyDescent="0.2">
      <c r="A53" s="421" t="s">
        <v>405</v>
      </c>
      <c r="B53" s="1205"/>
      <c r="C53" s="1205"/>
      <c r="D53" s="1205"/>
      <c r="E53" s="1205"/>
      <c r="F53" s="1205"/>
      <c r="G53" s="1205"/>
      <c r="H53" s="1205"/>
    </row>
    <row r="54" spans="1:8" s="232" customFormat="1" ht="15" x14ac:dyDescent="0.2">
      <c r="A54" s="421" t="s">
        <v>406</v>
      </c>
      <c r="B54" s="1205"/>
      <c r="C54" s="1205"/>
      <c r="D54" s="1205"/>
      <c r="E54" s="1205"/>
      <c r="F54" s="1205"/>
      <c r="G54" s="1205"/>
      <c r="H54" s="1205"/>
    </row>
    <row r="55" spans="1:8" s="232" customFormat="1" ht="15" x14ac:dyDescent="0.2">
      <c r="A55" s="421" t="s">
        <v>407</v>
      </c>
      <c r="B55" s="1205"/>
      <c r="C55" s="1205"/>
      <c r="D55" s="1205"/>
      <c r="E55" s="1205"/>
      <c r="F55" s="1205"/>
      <c r="G55" s="1205"/>
      <c r="H55" s="1205"/>
    </row>
    <row r="56" spans="1:8" s="232" customFormat="1" ht="15" x14ac:dyDescent="0.2">
      <c r="A56" s="421" t="s">
        <v>408</v>
      </c>
      <c r="B56" s="1205"/>
      <c r="C56" s="1205"/>
      <c r="D56" s="1205"/>
      <c r="E56" s="1205"/>
      <c r="F56" s="1205"/>
      <c r="G56" s="1205"/>
      <c r="H56" s="1205"/>
    </row>
    <row r="57" spans="1:8" s="232" customFormat="1" ht="15" x14ac:dyDescent="0.2">
      <c r="A57" s="421" t="s">
        <v>409</v>
      </c>
      <c r="B57" s="1205"/>
      <c r="C57" s="1205"/>
      <c r="D57" s="1205"/>
      <c r="E57" s="1205"/>
      <c r="F57" s="1205"/>
      <c r="G57" s="1205"/>
      <c r="H57" s="1205"/>
    </row>
    <row r="58" spans="1:8" s="232" customFormat="1" ht="15" x14ac:dyDescent="0.2">
      <c r="A58" s="421" t="s">
        <v>410</v>
      </c>
      <c r="B58" s="1205"/>
      <c r="C58" s="1205"/>
      <c r="D58" s="1205"/>
      <c r="E58" s="1205"/>
      <c r="F58" s="1205"/>
      <c r="G58" s="1205"/>
      <c r="H58" s="1205"/>
    </row>
    <row r="59" spans="1:8" s="232" customFormat="1" ht="12.75" x14ac:dyDescent="0.2">
      <c r="A59" s="2393"/>
      <c r="B59" s="2393"/>
      <c r="C59" s="2393"/>
      <c r="D59" s="2393"/>
      <c r="E59" s="2393"/>
      <c r="F59" s="2393"/>
      <c r="G59" s="2393"/>
      <c r="H59" s="2393"/>
    </row>
    <row r="60" spans="1:8" s="232" customFormat="1" ht="12.75" x14ac:dyDescent="0.2">
      <c r="A60" s="2393"/>
      <c r="B60" s="2393"/>
      <c r="C60" s="2393"/>
      <c r="D60" s="2393"/>
      <c r="E60" s="2393"/>
      <c r="F60" s="2393"/>
      <c r="G60" s="2393"/>
      <c r="H60" s="2393"/>
    </row>
    <row r="61" spans="1:8" s="234" customFormat="1" ht="12" x14ac:dyDescent="0.2"/>
    <row r="62" spans="1:8" s="234" customFormat="1" ht="12" x14ac:dyDescent="0.2"/>
    <row r="63" spans="1:8" s="234" customFormat="1" ht="12" x14ac:dyDescent="0.2"/>
    <row r="64" spans="1:8" s="234" customFormat="1" ht="12" x14ac:dyDescent="0.2"/>
    <row r="65" s="234" customFormat="1" ht="12" x14ac:dyDescent="0.2"/>
    <row r="66" s="234" customFormat="1" ht="12" x14ac:dyDescent="0.2"/>
    <row r="67" s="234" customFormat="1" ht="12" x14ac:dyDescent="0.2"/>
    <row r="68" s="234" customFormat="1" ht="12" x14ac:dyDescent="0.2"/>
    <row r="69" s="234" customFormat="1" ht="12" x14ac:dyDescent="0.2"/>
    <row r="70" s="234" customFormat="1" ht="12" x14ac:dyDescent="0.2"/>
    <row r="71" s="234" customFormat="1" ht="12" x14ac:dyDescent="0.2"/>
    <row r="72" s="234" customFormat="1" ht="12" x14ac:dyDescent="0.2"/>
    <row r="73" s="234" customFormat="1" ht="12" x14ac:dyDescent="0.2"/>
    <row r="74" s="234" customFormat="1" ht="12" x14ac:dyDescent="0.2"/>
    <row r="75" s="234" customFormat="1" ht="12" x14ac:dyDescent="0.2"/>
    <row r="76" s="234" customFormat="1" ht="12" x14ac:dyDescent="0.2"/>
    <row r="77" s="234" customFormat="1" ht="12" x14ac:dyDescent="0.2"/>
    <row r="78" s="234" customFormat="1" ht="12" x14ac:dyDescent="0.2"/>
    <row r="79" s="234" customFormat="1" ht="12" x14ac:dyDescent="0.2"/>
    <row r="80" s="234" customFormat="1" ht="12" x14ac:dyDescent="0.2"/>
    <row r="81" s="234" customFormat="1" ht="12" x14ac:dyDescent="0.2"/>
    <row r="82" s="234" customFormat="1" ht="12" x14ac:dyDescent="0.2"/>
    <row r="83" s="234" customFormat="1" ht="12" x14ac:dyDescent="0.2"/>
    <row r="84" s="234" customFormat="1" ht="12" x14ac:dyDescent="0.2"/>
  </sheetData>
  <sheetProtection algorithmName="SHA-512" hashValue="TXpwgTLAkyTOIiedQ4gBohbi+FrcLrPs1YFGlRMSiXlcHS0ILV0Nk03wfin9/hdfUVnZXyrhwSQ3/JjXfayywQ==" saltValue="+VaNEIaXYCsIKl45XlFhlw==" spinCount="100000" sheet="1" autoFilter="0"/>
  <mergeCells count="12">
    <mergeCell ref="B1:O1"/>
    <mergeCell ref="B2:O2"/>
    <mergeCell ref="B3:O3"/>
    <mergeCell ref="E5:H5"/>
    <mergeCell ref="M5:O5"/>
    <mergeCell ref="K48:N48"/>
    <mergeCell ref="K31:N31"/>
    <mergeCell ref="E6:H6"/>
    <mergeCell ref="M6:O6"/>
    <mergeCell ref="E7:H7"/>
    <mergeCell ref="M7:O7"/>
    <mergeCell ref="K14:N14"/>
  </mergeCells>
  <conditionalFormatting sqref="O35">
    <cfRule type="containsText" dxfId="57" priority="1" stopIfTrue="1" operator="containsText" text="Answer Missing">
      <formula>NOT(ISERROR(SEARCH("Answer Missing",O35)))</formula>
    </cfRule>
  </conditionalFormatting>
  <conditionalFormatting sqref="P1:P3">
    <cfRule type="cellIs" dxfId="56" priority="2" stopIfTrue="1" operator="equal">
      <formula>"na"</formula>
    </cfRule>
  </conditionalFormatting>
  <hyperlinks>
    <hyperlink ref="B1:O1" location="Index!A1" display="Index!A1" xr:uid="{1C8D7A2C-8446-4F4E-8B0E-F6E05528FD5B}"/>
  </hyperlinks>
  <pageMargins left="0.6" right="0.6" top="0.5" bottom="0.5" header="0.3" footer="0.3"/>
  <pageSetup scale="85"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7">
    <pageSetUpPr fitToPage="1"/>
  </sheetPr>
  <dimension ref="A1:AC84"/>
  <sheetViews>
    <sheetView showGridLines="0" topLeftCell="B1" zoomScaleNormal="100" workbookViewId="0">
      <selection activeCell="R24" sqref="R24"/>
    </sheetView>
  </sheetViews>
  <sheetFormatPr defaultColWidth="9.42578125" defaultRowHeight="11.25" x14ac:dyDescent="0.2"/>
  <cols>
    <col min="1" max="1" width="0" style="235" hidden="1" customWidth="1"/>
    <col min="2" max="2" width="3.5703125" style="235" customWidth="1"/>
    <col min="3" max="3" width="12.5703125" style="235" customWidth="1"/>
    <col min="4" max="9" width="3.5703125" style="235" customWidth="1"/>
    <col min="10" max="10" width="1.5703125" style="235" customWidth="1"/>
    <col min="11" max="11" width="11.5703125" style="235" customWidth="1"/>
    <col min="12" max="12" width="1.5703125" style="235" customWidth="1"/>
    <col min="13" max="13" width="12.5703125" style="235" customWidth="1"/>
    <col min="14" max="14" width="3.42578125" style="235" bestFit="1" customWidth="1"/>
    <col min="15" max="15" width="19.5703125" style="235" customWidth="1"/>
    <col min="16" max="16" width="4.5703125" style="235" customWidth="1"/>
    <col min="17" max="17" width="9.42578125" style="235" hidden="1" customWidth="1"/>
    <col min="18" max="16384" width="9.42578125" style="235"/>
  </cols>
  <sheetData>
    <row r="1" spans="2:29" s="230" customFormat="1" ht="25.15" customHeight="1" x14ac:dyDescent="0.25">
      <c r="B1" s="2553" t="str">
        <f>+Index!$A$1</f>
        <v xml:space="preserve">                                                               Office of the State Controller                                                                </v>
      </c>
      <c r="C1" s="2553"/>
      <c r="D1" s="2553"/>
      <c r="E1" s="2553"/>
      <c r="F1" s="2553"/>
      <c r="G1" s="2553"/>
      <c r="H1" s="2553"/>
      <c r="I1" s="2553"/>
      <c r="J1" s="2553"/>
      <c r="K1" s="2553"/>
      <c r="L1" s="2553"/>
      <c r="M1" s="2553"/>
      <c r="N1" s="2553"/>
      <c r="O1" s="2553"/>
      <c r="P1" s="849" t="str">
        <f>IF(Index!$B$81="na","NA","")</f>
        <v/>
      </c>
      <c r="AC1" s="231"/>
    </row>
    <row r="2" spans="2:29" s="230" customFormat="1" ht="15" customHeight="1" x14ac:dyDescent="0.25">
      <c r="B2" s="2915" t="str">
        <f>+Index!$A$2</f>
        <v>2024 ACFR Worksheets</v>
      </c>
      <c r="C2" s="2915"/>
      <c r="D2" s="2915"/>
      <c r="E2" s="2915"/>
      <c r="F2" s="2915"/>
      <c r="G2" s="2915"/>
      <c r="H2" s="2915"/>
      <c r="I2" s="2915"/>
      <c r="J2" s="2915"/>
      <c r="K2" s="2915"/>
      <c r="L2" s="2915"/>
      <c r="M2" s="2915"/>
      <c r="N2" s="2915"/>
      <c r="O2" s="2915"/>
      <c r="P2" s="849"/>
    </row>
    <row r="3" spans="2:29" s="230" customFormat="1" ht="15" customHeight="1" x14ac:dyDescent="0.25">
      <c r="B3" s="2915" t="s">
        <v>2086</v>
      </c>
      <c r="C3" s="2915"/>
      <c r="D3" s="2915"/>
      <c r="E3" s="2915"/>
      <c r="F3" s="2915"/>
      <c r="G3" s="2915"/>
      <c r="H3" s="2915"/>
      <c r="I3" s="2915"/>
      <c r="J3" s="2915"/>
      <c r="K3" s="2915"/>
      <c r="L3" s="2915"/>
      <c r="M3" s="2915"/>
      <c r="N3" s="2915"/>
      <c r="O3" s="2915"/>
      <c r="P3" s="849"/>
    </row>
    <row r="4" spans="2:29" s="232" customFormat="1" ht="15" customHeight="1" x14ac:dyDescent="0.2">
      <c r="B4" s="2393"/>
      <c r="C4" s="2393"/>
      <c r="D4" s="2393"/>
      <c r="E4" s="2393"/>
      <c r="F4" s="2393"/>
      <c r="G4" s="2393"/>
      <c r="H4" s="2393"/>
      <c r="I4" s="2393"/>
      <c r="J4" s="2393"/>
      <c r="K4" s="2391"/>
      <c r="L4" s="2393"/>
      <c r="M4" s="2393"/>
      <c r="N4" s="2393"/>
      <c r="O4" s="2393"/>
      <c r="P4" s="2393"/>
      <c r="Q4" s="2393"/>
      <c r="R4" s="2393"/>
      <c r="S4" s="2393"/>
      <c r="T4" s="2393"/>
      <c r="U4" s="2393"/>
      <c r="V4" s="2393"/>
      <c r="W4" s="2393"/>
      <c r="X4" s="2393"/>
      <c r="Y4" s="2393"/>
      <c r="Z4" s="2393"/>
      <c r="AA4" s="2393"/>
      <c r="AB4" s="2393"/>
      <c r="AC4" s="2393"/>
    </row>
    <row r="5" spans="2:29" s="232" customFormat="1" ht="15" customHeight="1" x14ac:dyDescent="0.2">
      <c r="B5" s="1721" t="s">
        <v>2071</v>
      </c>
      <c r="C5" s="2393"/>
      <c r="D5" s="2393"/>
      <c r="E5" s="2913" t="str">
        <f>+Index!$E$10</f>
        <v>01</v>
      </c>
      <c r="F5" s="2913"/>
      <c r="G5" s="2913"/>
      <c r="H5" s="2913"/>
      <c r="I5" s="2393"/>
      <c r="J5" s="2393"/>
      <c r="K5" s="1722" t="s">
        <v>2072</v>
      </c>
      <c r="L5" s="2393"/>
      <c r="M5" s="2596" t="str">
        <f>+Index!$E$11</f>
        <v>North Carolina General Assembly</v>
      </c>
      <c r="N5" s="2596"/>
      <c r="O5" s="2596"/>
      <c r="P5" s="2393"/>
      <c r="Q5" s="2393"/>
      <c r="R5" s="2393"/>
      <c r="S5" s="2393"/>
      <c r="T5" s="2393"/>
      <c r="U5" s="2393"/>
      <c r="V5" s="2393"/>
      <c r="W5" s="2393"/>
      <c r="X5" s="2393"/>
      <c r="Y5" s="2393"/>
      <c r="Z5" s="2393"/>
      <c r="AA5" s="2393"/>
      <c r="AB5" s="2393"/>
      <c r="AC5" s="2393"/>
    </row>
    <row r="6" spans="2:29" s="232" customFormat="1" ht="15" customHeight="1" x14ac:dyDescent="0.2">
      <c r="B6" s="2393" t="s">
        <v>545</v>
      </c>
      <c r="C6" s="2393"/>
      <c r="D6" s="2393"/>
      <c r="E6" s="2913" t="s">
        <v>706</v>
      </c>
      <c r="F6" s="2913"/>
      <c r="G6" s="2913"/>
      <c r="H6" s="2913"/>
      <c r="I6" s="2393"/>
      <c r="J6" s="2393"/>
      <c r="K6" s="1722" t="s">
        <v>320</v>
      </c>
      <c r="L6" s="2393"/>
      <c r="M6" s="2629" t="str">
        <f>CONCATENATE(Index!$E$12," ",Index!$E$14)</f>
        <v xml:space="preserve"> </v>
      </c>
      <c r="N6" s="2629"/>
      <c r="O6" s="2629"/>
      <c r="P6" s="2393"/>
      <c r="Q6" s="2393"/>
      <c r="R6" s="2393"/>
      <c r="S6" s="2393"/>
      <c r="T6" s="2393"/>
      <c r="U6" s="2393"/>
      <c r="V6" s="2393"/>
      <c r="W6" s="2393"/>
      <c r="X6" s="2393"/>
      <c r="Y6" s="2393"/>
      <c r="Z6" s="2393"/>
      <c r="AA6" s="2393"/>
      <c r="AB6" s="2393"/>
      <c r="AC6" s="2393"/>
    </row>
    <row r="7" spans="2:29" s="232" customFormat="1" ht="15" customHeight="1" x14ac:dyDescent="0.2">
      <c r="B7" s="2393"/>
      <c r="C7" s="2393"/>
      <c r="D7" s="2393"/>
      <c r="E7" s="2914"/>
      <c r="F7" s="2914"/>
      <c r="G7" s="2914"/>
      <c r="H7" s="2914"/>
      <c r="I7" s="2393"/>
      <c r="J7" s="2393"/>
      <c r="K7" s="1722" t="s">
        <v>168</v>
      </c>
      <c r="L7" s="2393"/>
      <c r="M7" s="2598">
        <f>+Index!$E$13</f>
        <v>0</v>
      </c>
      <c r="N7" s="2598"/>
      <c r="O7" s="2598"/>
      <c r="P7" s="2393"/>
      <c r="Q7" s="2393"/>
      <c r="R7" s="2393"/>
      <c r="S7" s="2393"/>
      <c r="T7" s="2393"/>
      <c r="U7" s="2393"/>
      <c r="V7" s="2393"/>
      <c r="W7" s="2393"/>
      <c r="X7" s="2393"/>
      <c r="Y7" s="2393"/>
      <c r="Z7" s="2393"/>
      <c r="AA7" s="2393"/>
      <c r="AB7" s="2393"/>
      <c r="AC7" s="2393"/>
    </row>
    <row r="8" spans="2:29" s="232" customFormat="1" ht="15" customHeight="1" thickBot="1" x14ac:dyDescent="0.25">
      <c r="B8" s="1723"/>
      <c r="C8" s="1723"/>
      <c r="D8" s="1723"/>
      <c r="E8" s="1723"/>
      <c r="F8" s="1723"/>
      <c r="G8" s="1723"/>
      <c r="H8" s="1723"/>
      <c r="I8" s="1723"/>
      <c r="J8" s="1723"/>
      <c r="K8" s="1723"/>
      <c r="L8" s="1723"/>
      <c r="M8" s="1723"/>
      <c r="N8" s="1723"/>
      <c r="O8" s="1723"/>
      <c r="P8" s="2393"/>
      <c r="Q8" s="2393"/>
      <c r="R8" s="2393"/>
      <c r="S8" s="2393"/>
      <c r="T8" s="2393"/>
      <c r="U8" s="2393"/>
      <c r="V8" s="2393"/>
      <c r="W8" s="2393"/>
      <c r="X8" s="2393"/>
      <c r="Y8" s="2393"/>
      <c r="Z8" s="2393"/>
      <c r="AA8" s="2393"/>
      <c r="AB8" s="2393"/>
      <c r="AC8" s="2393"/>
    </row>
    <row r="9" spans="2:29" s="232" customFormat="1" ht="15" customHeight="1" x14ac:dyDescent="0.2">
      <c r="B9" s="2393"/>
      <c r="C9" s="2393"/>
      <c r="D9" s="2393"/>
      <c r="E9" s="2393"/>
      <c r="F9" s="2393"/>
      <c r="G9" s="2393"/>
      <c r="H9" s="2393"/>
      <c r="I9" s="2393"/>
      <c r="J9" s="2393"/>
      <c r="K9" s="2393"/>
      <c r="L9" s="2393"/>
      <c r="M9" s="2393"/>
      <c r="N9" s="2393"/>
      <c r="O9" s="2393"/>
      <c r="P9" s="2393"/>
      <c r="Q9" s="2393"/>
      <c r="R9" s="2393"/>
      <c r="S9" s="2393"/>
      <c r="T9" s="2393"/>
      <c r="U9" s="2393"/>
      <c r="V9" s="2393"/>
      <c r="W9" s="2393"/>
      <c r="X9" s="2393"/>
      <c r="Y9" s="2393"/>
      <c r="Z9" s="2393"/>
      <c r="AA9" s="2393"/>
      <c r="AB9" s="2393"/>
      <c r="AC9" s="2393"/>
    </row>
    <row r="10" spans="2:29" s="232" customFormat="1" ht="15" customHeight="1" x14ac:dyDescent="0.2">
      <c r="B10" s="2918" t="s">
        <v>2087</v>
      </c>
      <c r="C10" s="2918"/>
      <c r="D10" s="2918"/>
      <c r="E10" s="2918"/>
      <c r="F10" s="2918"/>
      <c r="G10" s="2918"/>
      <c r="H10" s="2918"/>
      <c r="I10" s="2918"/>
      <c r="J10" s="2918"/>
      <c r="K10" s="2918"/>
      <c r="L10" s="2918"/>
      <c r="M10" s="2918"/>
      <c r="N10" s="2918"/>
      <c r="O10" s="2918"/>
      <c r="P10" s="2393"/>
      <c r="Q10" s="2393"/>
      <c r="R10" s="2393"/>
      <c r="S10" s="2393"/>
      <c r="T10" s="2393"/>
      <c r="U10" s="2393"/>
      <c r="V10" s="2393"/>
      <c r="W10" s="2393"/>
      <c r="X10" s="2393"/>
      <c r="Y10" s="2393"/>
      <c r="Z10" s="2393"/>
      <c r="AA10" s="2393"/>
      <c r="AB10" s="2393"/>
      <c r="AC10" s="2393"/>
    </row>
    <row r="11" spans="2:29" s="232" customFormat="1" ht="15" customHeight="1" x14ac:dyDescent="0.2">
      <c r="B11" s="2918"/>
      <c r="C11" s="2918"/>
      <c r="D11" s="2918"/>
      <c r="E11" s="2918"/>
      <c r="F11" s="2918"/>
      <c r="G11" s="2918"/>
      <c r="H11" s="2918"/>
      <c r="I11" s="2918"/>
      <c r="J11" s="2918"/>
      <c r="K11" s="2918"/>
      <c r="L11" s="2918"/>
      <c r="M11" s="2918"/>
      <c r="N11" s="2918"/>
      <c r="O11" s="2918"/>
      <c r="P11" s="2393"/>
      <c r="Q11" s="2393"/>
      <c r="R11" s="2393"/>
      <c r="S11" s="2393"/>
      <c r="T11" s="2393"/>
      <c r="U11" s="2393"/>
      <c r="V11" s="2393"/>
      <c r="W11" s="2393"/>
      <c r="X11" s="2393"/>
      <c r="Y11" s="2393"/>
      <c r="Z11" s="2393"/>
      <c r="AA11" s="2393"/>
      <c r="AB11" s="2393"/>
      <c r="AC11" s="2393"/>
    </row>
    <row r="12" spans="2:29" s="232" customFormat="1" ht="15" customHeight="1" x14ac:dyDescent="0.2">
      <c r="B12" s="2918"/>
      <c r="C12" s="2918"/>
      <c r="D12" s="2918"/>
      <c r="E12" s="2918"/>
      <c r="F12" s="2918"/>
      <c r="G12" s="2918"/>
      <c r="H12" s="2918"/>
      <c r="I12" s="2918"/>
      <c r="J12" s="2918"/>
      <c r="K12" s="2918"/>
      <c r="L12" s="2918"/>
      <c r="M12" s="2918"/>
      <c r="N12" s="2918"/>
      <c r="O12" s="2918"/>
      <c r="P12" s="2393"/>
      <c r="Q12" s="2393"/>
      <c r="R12" s="2393"/>
      <c r="S12" s="2393"/>
      <c r="T12" s="2393"/>
      <c r="U12" s="2393"/>
      <c r="V12" s="2393"/>
      <c r="W12" s="2393"/>
      <c r="X12" s="2393"/>
      <c r="Y12" s="2393"/>
      <c r="Z12" s="2393"/>
      <c r="AA12" s="2393"/>
      <c r="AB12" s="2393"/>
      <c r="AC12" s="2393"/>
    </row>
    <row r="13" spans="2:29" s="232" customFormat="1" ht="15" customHeight="1" x14ac:dyDescent="0.2">
      <c r="B13" s="2393"/>
      <c r="C13" s="2393"/>
      <c r="D13" s="2393"/>
      <c r="E13" s="2393"/>
      <c r="F13" s="2393"/>
      <c r="G13" s="2393"/>
      <c r="H13" s="2393"/>
      <c r="I13" s="2393"/>
      <c r="J13" s="2393"/>
      <c r="K13" s="2393"/>
      <c r="L13" s="2393"/>
      <c r="M13" s="1724"/>
      <c r="N13" s="2393"/>
      <c r="O13" s="2393"/>
      <c r="P13" s="2393"/>
      <c r="Q13" s="2393"/>
      <c r="R13" s="2393"/>
      <c r="S13" s="2393"/>
      <c r="T13" s="2393"/>
      <c r="U13" s="2393"/>
      <c r="V13" s="2393"/>
      <c r="W13" s="2393"/>
      <c r="X13" s="2393"/>
      <c r="Y13" s="2393"/>
      <c r="Z13" s="2393"/>
      <c r="AA13" s="2393"/>
      <c r="AB13" s="2393"/>
      <c r="AC13" s="2393"/>
    </row>
    <row r="14" spans="2:29" s="232" customFormat="1" ht="15" customHeight="1" x14ac:dyDescent="0.2">
      <c r="B14" s="2393"/>
      <c r="C14" s="2393"/>
      <c r="D14" s="2393"/>
      <c r="E14" s="2919" t="s">
        <v>2088</v>
      </c>
      <c r="F14" s="2919"/>
      <c r="G14" s="2919"/>
      <c r="H14" s="2919"/>
      <c r="I14" s="2919"/>
      <c r="J14" s="2391"/>
      <c r="K14" s="2393"/>
      <c r="L14" s="2393"/>
      <c r="M14" s="1724"/>
      <c r="N14" s="2393"/>
      <c r="O14" s="2393"/>
      <c r="P14" s="2393"/>
      <c r="Q14" s="2393"/>
      <c r="R14" s="2393"/>
      <c r="S14" s="2393"/>
      <c r="T14" s="2393"/>
      <c r="U14" s="2393"/>
      <c r="V14" s="2393"/>
      <c r="W14" s="2393"/>
      <c r="X14" s="2393"/>
      <c r="Y14" s="2393"/>
      <c r="Z14" s="2393"/>
      <c r="AA14" s="2393"/>
      <c r="AB14" s="2393"/>
      <c r="AC14" s="2393"/>
    </row>
    <row r="15" spans="2:29" s="232" customFormat="1" ht="15" customHeight="1" x14ac:dyDescent="0.2">
      <c r="B15" s="2393"/>
      <c r="C15" s="2393"/>
      <c r="D15" s="2393"/>
      <c r="E15" s="2920">
        <f>+Data!$A$2</f>
        <v>45473</v>
      </c>
      <c r="F15" s="2920"/>
      <c r="G15" s="2920"/>
      <c r="H15" s="2920"/>
      <c r="I15" s="2920"/>
      <c r="J15" s="2392"/>
      <c r="K15" s="2393"/>
      <c r="L15" s="2393"/>
      <c r="M15" s="1724"/>
      <c r="N15" s="2393"/>
      <c r="O15" s="2393"/>
      <c r="P15" s="2393"/>
      <c r="Q15" s="2393"/>
      <c r="R15" s="2393"/>
      <c r="S15" s="2393"/>
      <c r="T15" s="2393"/>
      <c r="U15" s="2393"/>
      <c r="V15" s="2393"/>
      <c r="W15" s="2393"/>
      <c r="X15" s="2393"/>
      <c r="Y15" s="2393"/>
      <c r="Z15" s="2393"/>
      <c r="AA15" s="2393"/>
      <c r="AB15" s="2393"/>
      <c r="AC15" s="2393"/>
    </row>
    <row r="16" spans="2:29" s="232" customFormat="1" ht="15" customHeight="1" x14ac:dyDescent="0.2">
      <c r="B16" s="2393"/>
      <c r="C16" s="2393"/>
      <c r="D16" s="2393"/>
      <c r="E16" s="2916" t="s">
        <v>2089</v>
      </c>
      <c r="F16" s="2916"/>
      <c r="G16" s="2916"/>
      <c r="H16" s="2916"/>
      <c r="I16" s="2916"/>
      <c r="J16" s="2391"/>
      <c r="K16" s="2393"/>
      <c r="L16" s="2393"/>
      <c r="M16" s="1724"/>
      <c r="N16" s="2393"/>
      <c r="O16" s="2393"/>
      <c r="P16" s="2393"/>
      <c r="Q16" s="2393"/>
      <c r="R16" s="2393"/>
      <c r="S16" s="2393"/>
      <c r="T16" s="2393"/>
      <c r="U16" s="2393"/>
      <c r="V16" s="2393"/>
      <c r="W16" s="2393"/>
      <c r="X16" s="2393"/>
      <c r="Y16" s="2393"/>
      <c r="Z16" s="2393"/>
      <c r="AA16" s="2393"/>
      <c r="AB16" s="2393"/>
      <c r="AC16" s="2393"/>
    </row>
    <row r="17" spans="2:17" s="232" customFormat="1" ht="15" customHeight="1" x14ac:dyDescent="0.2">
      <c r="B17" s="2393"/>
      <c r="C17" s="2393"/>
      <c r="D17" s="2393"/>
      <c r="E17" s="2393"/>
      <c r="F17" s="2393"/>
      <c r="G17" s="2393"/>
      <c r="H17" s="2393"/>
      <c r="I17" s="2393"/>
      <c r="J17" s="2393"/>
      <c r="K17" s="2918" t="s">
        <v>2090</v>
      </c>
      <c r="L17" s="2918"/>
      <c r="M17" s="2918"/>
      <c r="N17" s="2918"/>
      <c r="O17" s="2918"/>
      <c r="P17" s="2393"/>
      <c r="Q17" s="2393"/>
    </row>
    <row r="18" spans="2:17" s="232" customFormat="1" ht="15" customHeight="1" thickBot="1" x14ac:dyDescent="0.25">
      <c r="B18" s="233" t="s">
        <v>2091</v>
      </c>
      <c r="C18" s="2393"/>
      <c r="D18" s="2393"/>
      <c r="E18" s="2917"/>
      <c r="F18" s="2917"/>
      <c r="G18" s="2917"/>
      <c r="H18" s="2917"/>
      <c r="I18" s="2917"/>
      <c r="J18" s="1726"/>
      <c r="K18" s="2918"/>
      <c r="L18" s="2918"/>
      <c r="M18" s="2918"/>
      <c r="N18" s="2918"/>
      <c r="O18" s="2918"/>
      <c r="P18" s="2393"/>
      <c r="Q18" s="2393"/>
    </row>
    <row r="19" spans="2:17" s="232" customFormat="1" ht="15" customHeight="1" x14ac:dyDescent="0.2">
      <c r="B19" s="2393"/>
      <c r="C19" s="2393"/>
      <c r="D19" s="2393"/>
      <c r="E19" s="1726"/>
      <c r="F19" s="2393"/>
      <c r="G19" s="2393"/>
      <c r="H19" s="2393"/>
      <c r="I19" s="2393"/>
      <c r="J19" s="2393"/>
      <c r="K19" s="2918"/>
      <c r="L19" s="2918"/>
      <c r="M19" s="2918"/>
      <c r="N19" s="2918"/>
      <c r="O19" s="2918"/>
      <c r="P19" s="2393"/>
      <c r="Q19" s="2393"/>
    </row>
    <row r="20" spans="2:17" s="232" customFormat="1" ht="15" customHeight="1" x14ac:dyDescent="0.2">
      <c r="B20" s="233" t="s">
        <v>2092</v>
      </c>
      <c r="C20" s="2393"/>
      <c r="D20" s="2393"/>
      <c r="E20" s="1726"/>
      <c r="F20" s="2393"/>
      <c r="G20" s="2393"/>
      <c r="H20" s="2393"/>
      <c r="I20" s="2393"/>
      <c r="J20" s="2393"/>
      <c r="K20" s="2393"/>
      <c r="L20" s="2393"/>
      <c r="M20" s="2393"/>
      <c r="N20" s="2393"/>
      <c r="O20" s="2393"/>
      <c r="P20" s="2393"/>
      <c r="Q20" s="2393"/>
    </row>
    <row r="21" spans="2:17" s="232" customFormat="1" ht="15" customHeight="1" thickBot="1" x14ac:dyDescent="0.25">
      <c r="B21" s="2393"/>
      <c r="C21" s="2393" t="s">
        <v>2093</v>
      </c>
      <c r="D21" s="2393"/>
      <c r="E21" s="2930">
        <f>+$E$18*Q21</f>
        <v>0</v>
      </c>
      <c r="F21" s="2930"/>
      <c r="G21" s="2930"/>
      <c r="H21" s="2930"/>
      <c r="I21" s="2930"/>
      <c r="J21" s="1726"/>
      <c r="K21" s="2393"/>
      <c r="L21" s="1726"/>
      <c r="M21" s="2393"/>
      <c r="N21" s="2393"/>
      <c r="O21" s="2393"/>
      <c r="P21" s="2393"/>
      <c r="Q21" s="1727">
        <v>0.06</v>
      </c>
    </row>
    <row r="22" spans="2:17" s="232" customFormat="1" ht="15" customHeight="1" x14ac:dyDescent="0.2">
      <c r="B22" s="2393"/>
      <c r="C22" s="2393"/>
      <c r="D22" s="2393"/>
      <c r="E22" s="2932" t="s">
        <v>2094</v>
      </c>
      <c r="F22" s="2932"/>
      <c r="G22" s="2932"/>
      <c r="H22" s="2932"/>
      <c r="I22" s="2932"/>
      <c r="J22" s="2393"/>
      <c r="K22" s="2393"/>
      <c r="L22" s="2393"/>
      <c r="M22" s="2393"/>
      <c r="N22" s="233"/>
      <c r="O22" s="2393"/>
      <c r="P22" s="2393"/>
      <c r="Q22" s="1727"/>
    </row>
    <row r="23" spans="2:17" s="232" customFormat="1" ht="15" customHeight="1" thickBot="1" x14ac:dyDescent="0.25">
      <c r="B23" s="2393"/>
      <c r="C23" s="2393" t="s">
        <v>2095</v>
      </c>
      <c r="D23" s="2393"/>
      <c r="E23" s="2930">
        <f>+$E$18*Q23</f>
        <v>0</v>
      </c>
      <c r="F23" s="2930"/>
      <c r="G23" s="2930"/>
      <c r="H23" s="2930"/>
      <c r="I23" s="2930"/>
      <c r="J23" s="1726"/>
      <c r="K23" s="2393"/>
      <c r="L23" s="1726"/>
      <c r="M23" s="2393"/>
      <c r="N23" s="2393"/>
      <c r="O23" s="2393"/>
      <c r="P23" s="2393"/>
      <c r="Q23" s="1727">
        <v>6.8400000000000002E-2</v>
      </c>
    </row>
    <row r="24" spans="2:17" s="232" customFormat="1" ht="15" customHeight="1" x14ac:dyDescent="0.2">
      <c r="B24" s="2393"/>
      <c r="C24" s="2393"/>
      <c r="D24" s="2393"/>
      <c r="E24" s="2932" t="s">
        <v>2096</v>
      </c>
      <c r="F24" s="2932"/>
      <c r="G24" s="2932"/>
      <c r="H24" s="2932"/>
      <c r="I24" s="2932"/>
      <c r="J24" s="2393"/>
      <c r="K24" s="2393"/>
      <c r="L24" s="2393"/>
      <c r="M24" s="2393"/>
      <c r="N24" s="2393"/>
      <c r="O24" s="2393"/>
      <c r="P24" s="2393"/>
      <c r="Q24" s="2393"/>
    </row>
    <row r="25" spans="2:17" s="232" customFormat="1" ht="15" customHeight="1" thickBot="1" x14ac:dyDescent="0.25">
      <c r="B25" s="233" t="s">
        <v>2097</v>
      </c>
      <c r="C25" s="2393"/>
      <c r="D25" s="2393"/>
      <c r="E25" s="2931">
        <f>+E21+E23</f>
        <v>0</v>
      </c>
      <c r="F25" s="2931"/>
      <c r="G25" s="2931"/>
      <c r="H25" s="2931"/>
      <c r="I25" s="2931"/>
      <c r="J25" s="1726"/>
      <c r="K25" s="2393"/>
      <c r="L25" s="1726"/>
      <c r="M25" s="2927" t="str">
        <f>CONCATENATE("Should agree to total amount remitted to all ORP carriers for payrolls incurred during the fiscal year ended ",+TEXT(Data!$A$2,"mmmm d, yyyy"),", on the accrual basis.")</f>
        <v>Should agree to total amount remitted to all ORP carriers for payrolls incurred during the fiscal year ended June 30, 2024, on the accrual basis.</v>
      </c>
      <c r="N25" s="2928"/>
      <c r="O25" s="2929"/>
      <c r="P25" s="2393"/>
      <c r="Q25" s="2393"/>
    </row>
    <row r="26" spans="2:17" s="232" customFormat="1" ht="15" customHeight="1" thickTop="1" x14ac:dyDescent="0.2">
      <c r="B26" s="2393"/>
      <c r="C26" s="2393"/>
      <c r="D26" s="2393"/>
      <c r="E26" s="2393"/>
      <c r="F26" s="2393"/>
      <c r="G26" s="2393"/>
      <c r="H26" s="2393"/>
      <c r="I26" s="2393"/>
      <c r="J26" s="2393"/>
      <c r="K26" s="2393"/>
      <c r="L26" s="2393"/>
      <c r="M26" s="2922"/>
      <c r="N26" s="2918"/>
      <c r="O26" s="2923"/>
      <c r="P26" s="2393"/>
      <c r="Q26" s="2393"/>
    </row>
    <row r="27" spans="2:17" s="232" customFormat="1" ht="15" customHeight="1" x14ac:dyDescent="0.2">
      <c r="B27" s="233" t="s">
        <v>2098</v>
      </c>
      <c r="C27" s="2393"/>
      <c r="D27" s="2393" t="s">
        <v>2099</v>
      </c>
      <c r="E27" s="2393"/>
      <c r="F27" s="2393"/>
      <c r="G27" s="2393"/>
      <c r="H27" s="2393"/>
      <c r="I27" s="2393"/>
      <c r="J27" s="2393"/>
      <c r="K27" s="2393"/>
      <c r="L27" s="2393"/>
      <c r="M27" s="2922"/>
      <c r="N27" s="2918"/>
      <c r="O27" s="2923"/>
      <c r="P27" s="2393"/>
      <c r="Q27" s="2393"/>
    </row>
    <row r="28" spans="2:17" s="232" customFormat="1" ht="15" customHeight="1" x14ac:dyDescent="0.2">
      <c r="B28" s="2393"/>
      <c r="C28" s="2393"/>
      <c r="D28" s="2393" t="s">
        <v>2100</v>
      </c>
      <c r="E28" s="2393"/>
      <c r="F28" s="2393"/>
      <c r="G28" s="2393"/>
      <c r="H28" s="2393"/>
      <c r="I28" s="2393"/>
      <c r="J28" s="2393"/>
      <c r="K28" s="2393"/>
      <c r="L28" s="2393"/>
      <c r="M28" s="2922"/>
      <c r="N28" s="2918"/>
      <c r="O28" s="2923"/>
      <c r="P28" s="2393"/>
      <c r="Q28" s="2393"/>
    </row>
    <row r="29" spans="2:17" s="232" customFormat="1" ht="15" customHeight="1" x14ac:dyDescent="0.2">
      <c r="B29" s="2393"/>
      <c r="C29" s="2393"/>
      <c r="D29" s="2393" t="s">
        <v>2101</v>
      </c>
      <c r="E29" s="2393"/>
      <c r="F29" s="2393"/>
      <c r="G29" s="2393"/>
      <c r="H29" s="2393"/>
      <c r="I29" s="2393"/>
      <c r="J29" s="2393"/>
      <c r="K29" s="2393"/>
      <c r="L29" s="2393"/>
      <c r="M29" s="2922" t="str">
        <f>CONCATENATE("Note: Include the contributions related to payrolls incurred during ",+TEXT(Data!$A$2,"mmmm yyyy"),", but not paid until ",+TEXT(Data!$A$5,"mmmm yyyy")," and exclude the contributions related to payrolls incurred during ",+TEXT(Data!$A$4,"mmmm yyyy"),", but not  paid until ",+TEXT(Data!$A$3,"mmmm yyyy"),".")</f>
        <v>Note: Include the contributions related to payrolls incurred during June 2024, but not paid until July 2024 and exclude the contributions related to payrolls incurred during June 2023, but not  paid until July 2023.</v>
      </c>
      <c r="N29" s="2918"/>
      <c r="O29" s="2923"/>
      <c r="P29" s="2393"/>
      <c r="Q29" s="2393"/>
    </row>
    <row r="30" spans="2:17" s="232" customFormat="1" ht="15" customHeight="1" x14ac:dyDescent="0.2">
      <c r="B30" s="2393"/>
      <c r="C30" s="2393"/>
      <c r="D30" s="2393" t="s">
        <v>50</v>
      </c>
      <c r="E30" s="2393"/>
      <c r="F30" s="2393"/>
      <c r="G30" s="2393"/>
      <c r="H30" s="2393"/>
      <c r="I30" s="2393"/>
      <c r="J30" s="2393"/>
      <c r="K30" s="2393"/>
      <c r="L30" s="2393"/>
      <c r="M30" s="2922"/>
      <c r="N30" s="2918"/>
      <c r="O30" s="2923"/>
      <c r="P30" s="2393"/>
      <c r="Q30" s="2393"/>
    </row>
    <row r="31" spans="2:17" s="232" customFormat="1" ht="15" customHeight="1" x14ac:dyDescent="0.2">
      <c r="B31" s="2393"/>
      <c r="C31" s="2393"/>
      <c r="D31" s="2393"/>
      <c r="E31" s="2393"/>
      <c r="F31" s="2393"/>
      <c r="G31" s="2393"/>
      <c r="H31" s="2393"/>
      <c r="I31" s="2393"/>
      <c r="J31" s="2393"/>
      <c r="K31" s="2393"/>
      <c r="L31" s="2393"/>
      <c r="M31" s="2922"/>
      <c r="N31" s="2918"/>
      <c r="O31" s="2923"/>
      <c r="P31" s="2393"/>
      <c r="Q31" s="2393"/>
    </row>
    <row r="32" spans="2:17" s="232" customFormat="1" ht="15" customHeight="1" x14ac:dyDescent="0.2">
      <c r="B32" s="2393"/>
      <c r="C32" s="2393"/>
      <c r="D32" s="2393"/>
      <c r="E32" s="2393"/>
      <c r="F32" s="2393"/>
      <c r="G32" s="2393"/>
      <c r="H32" s="2393"/>
      <c r="I32" s="2393"/>
      <c r="J32" s="2393"/>
      <c r="K32" s="2393"/>
      <c r="L32" s="2393"/>
      <c r="M32" s="2922"/>
      <c r="N32" s="2918"/>
      <c r="O32" s="2923"/>
      <c r="P32" s="2393"/>
      <c r="Q32" s="2393"/>
    </row>
    <row r="33" spans="1:15" s="232" customFormat="1" ht="15" customHeight="1" x14ac:dyDescent="0.2">
      <c r="A33" s="2393"/>
      <c r="B33" s="2393"/>
      <c r="C33" s="2393"/>
      <c r="D33" s="2393"/>
      <c r="E33" s="2393"/>
      <c r="F33" s="2393"/>
      <c r="G33" s="2393"/>
      <c r="H33" s="2393"/>
      <c r="I33" s="2393"/>
      <c r="J33" s="2393"/>
      <c r="K33" s="2393"/>
      <c r="L33" s="2393"/>
      <c r="M33" s="2924"/>
      <c r="N33" s="2925"/>
      <c r="O33" s="2926"/>
    </row>
    <row r="34" spans="1:15" s="232" customFormat="1" ht="15" customHeight="1" x14ac:dyDescent="0.2">
      <c r="A34" s="2393"/>
      <c r="B34" s="2393"/>
      <c r="C34" s="2393"/>
      <c r="D34" s="2393"/>
      <c r="E34" s="2393"/>
      <c r="F34" s="2393"/>
      <c r="G34" s="2393"/>
      <c r="H34" s="2393"/>
      <c r="I34" s="2393"/>
      <c r="J34" s="2393"/>
      <c r="K34" s="2393"/>
      <c r="L34" s="2393"/>
      <c r="M34" s="2390"/>
      <c r="N34" s="2390"/>
      <c r="O34" s="2390"/>
    </row>
    <row r="35" spans="1:15" s="232" customFormat="1" ht="15" customHeight="1" thickBot="1" x14ac:dyDescent="0.25">
      <c r="A35" s="2393"/>
      <c r="B35" s="233" t="s">
        <v>2102</v>
      </c>
      <c r="C35" s="233"/>
      <c r="D35" s="233"/>
      <c r="E35" s="233"/>
      <c r="F35" s="233"/>
      <c r="G35" s="233"/>
      <c r="H35" s="233"/>
      <c r="I35" s="233"/>
      <c r="J35" s="233"/>
      <c r="K35" s="233"/>
      <c r="L35" s="2393"/>
      <c r="M35" s="874"/>
      <c r="N35" s="2393"/>
      <c r="O35" s="860" t="str">
        <f>IF(AND(ISBLANK($M$35))=TRUE,"Answer Missing"," ")</f>
        <v>Answer Missing</v>
      </c>
    </row>
    <row r="36" spans="1:15" s="232" customFormat="1" ht="15" customHeight="1" x14ac:dyDescent="0.2">
      <c r="A36" s="2393"/>
      <c r="B36" s="2393"/>
      <c r="C36" s="2393"/>
      <c r="D36" s="2393"/>
      <c r="E36" s="2393"/>
      <c r="F36" s="2393"/>
      <c r="G36" s="2393"/>
      <c r="H36" s="2393"/>
      <c r="I36" s="2393"/>
      <c r="J36" s="2393"/>
      <c r="K36" s="2393"/>
      <c r="L36" s="2393"/>
      <c r="M36" s="2390"/>
      <c r="N36" s="2390"/>
      <c r="O36" s="2390"/>
    </row>
    <row r="37" spans="1:15" s="232" customFormat="1" ht="15" customHeight="1" x14ac:dyDescent="0.2">
      <c r="A37" s="2393"/>
      <c r="B37" s="2393"/>
      <c r="C37" s="2393"/>
      <c r="D37" s="2393"/>
      <c r="E37" s="2393"/>
      <c r="F37" s="2393"/>
      <c r="G37" s="2393"/>
      <c r="H37" s="2393"/>
      <c r="I37" s="2393"/>
      <c r="J37" s="2393"/>
      <c r="K37" s="2393"/>
      <c r="L37" s="2393"/>
      <c r="M37" s="2390"/>
      <c r="N37" s="2390"/>
      <c r="O37" s="2390"/>
    </row>
    <row r="38" spans="1:15" s="232" customFormat="1" ht="15" customHeight="1" x14ac:dyDescent="0.2">
      <c r="A38" s="2393"/>
      <c r="B38" s="233" t="s">
        <v>2103</v>
      </c>
      <c r="C38" s="2393"/>
      <c r="D38" s="2393"/>
      <c r="E38" s="2393"/>
      <c r="F38" s="2393"/>
      <c r="G38" s="2393"/>
      <c r="H38" s="2393"/>
      <c r="I38" s="2393"/>
      <c r="J38" s="2393"/>
      <c r="K38" s="2393"/>
      <c r="L38" s="2393"/>
      <c r="M38" s="2390"/>
      <c r="N38" s="2390"/>
      <c r="O38" s="2390"/>
    </row>
    <row r="39" spans="1:15" s="232" customFormat="1" ht="15" customHeight="1" x14ac:dyDescent="0.2">
      <c r="A39" s="2393"/>
      <c r="B39" s="2393" t="s">
        <v>2104</v>
      </c>
      <c r="C39" s="2393"/>
      <c r="D39" s="2393"/>
      <c r="E39" s="2393"/>
      <c r="F39" s="2393"/>
      <c r="G39" s="2393"/>
      <c r="H39" s="2393"/>
      <c r="I39" s="2393"/>
      <c r="J39" s="2393"/>
      <c r="K39" s="2393"/>
      <c r="L39" s="2393"/>
      <c r="M39" s="2390"/>
      <c r="N39" s="2390"/>
      <c r="O39" s="2390"/>
    </row>
    <row r="40" spans="1:15" s="232" customFormat="1" ht="15" customHeight="1" thickBot="1" x14ac:dyDescent="0.25">
      <c r="A40" s="2393"/>
      <c r="B40" s="2393" t="s">
        <v>2105</v>
      </c>
      <c r="C40" s="2393"/>
      <c r="D40" s="2393"/>
      <c r="E40" s="2393"/>
      <c r="F40" s="2393"/>
      <c r="G40" s="2393"/>
      <c r="H40" s="2393"/>
      <c r="I40" s="2393"/>
      <c r="J40" s="2393"/>
      <c r="K40" s="2393"/>
      <c r="L40" s="2393"/>
      <c r="M40" s="2390"/>
      <c r="N40" s="2390"/>
      <c r="O40" s="932"/>
    </row>
    <row r="41" spans="1:15" s="232" customFormat="1" ht="6" customHeight="1" x14ac:dyDescent="0.2">
      <c r="A41" s="2393"/>
      <c r="B41" s="2393"/>
      <c r="C41" s="2393"/>
      <c r="D41" s="2393"/>
      <c r="E41" s="2393"/>
      <c r="F41" s="2393"/>
      <c r="G41" s="2393"/>
      <c r="H41" s="2393"/>
      <c r="I41" s="2393"/>
      <c r="J41" s="2393"/>
      <c r="K41" s="2393"/>
      <c r="L41" s="2393"/>
      <c r="M41" s="2393"/>
      <c r="N41" s="2393"/>
      <c r="O41" s="2393"/>
    </row>
    <row r="42" spans="1:15" s="232" customFormat="1" ht="15" customHeight="1" thickBot="1" x14ac:dyDescent="0.25">
      <c r="A42" s="2393"/>
      <c r="B42" s="2393" t="s">
        <v>2106</v>
      </c>
      <c r="C42" s="2393"/>
      <c r="D42" s="2393"/>
      <c r="E42" s="2393"/>
      <c r="F42" s="2393"/>
      <c r="G42" s="2393"/>
      <c r="H42" s="2393"/>
      <c r="I42" s="2393"/>
      <c r="J42" s="2393"/>
      <c r="K42" s="2393"/>
      <c r="L42" s="2393"/>
      <c r="M42" s="2390"/>
      <c r="N42" s="2390"/>
      <c r="O42" s="932">
        <f>SUM(E23-O40)</f>
        <v>0</v>
      </c>
    </row>
    <row r="43" spans="1:15" s="232" customFormat="1" ht="6" customHeight="1" x14ac:dyDescent="0.2">
      <c r="A43" s="2393"/>
      <c r="B43" s="2393"/>
      <c r="C43" s="2393"/>
      <c r="D43" s="2393"/>
      <c r="E43" s="2393"/>
      <c r="F43" s="2393"/>
      <c r="G43" s="2393"/>
      <c r="H43" s="2393"/>
      <c r="I43" s="2393"/>
      <c r="J43" s="2393"/>
      <c r="K43" s="2393"/>
      <c r="L43" s="2393"/>
      <c r="M43" s="2390"/>
      <c r="N43" s="2390"/>
      <c r="O43" s="1207"/>
    </row>
    <row r="44" spans="1:15" s="232" customFormat="1" ht="15" customHeight="1" thickBot="1" x14ac:dyDescent="0.25">
      <c r="A44" s="2393"/>
      <c r="B44" s="2393" t="s">
        <v>2107</v>
      </c>
      <c r="C44" s="2393"/>
      <c r="D44" s="2393"/>
      <c r="E44" s="2393"/>
      <c r="F44" s="2393"/>
      <c r="G44" s="2393"/>
      <c r="H44" s="2393"/>
      <c r="I44" s="2393"/>
      <c r="J44" s="2393"/>
      <c r="K44" s="2393"/>
      <c r="L44" s="2393"/>
      <c r="M44" s="2390"/>
      <c r="N44" s="2390"/>
      <c r="O44" s="932"/>
    </row>
    <row r="45" spans="1:15" s="232" customFormat="1" ht="15" customHeight="1" x14ac:dyDescent="0.2">
      <c r="A45" s="2393"/>
      <c r="B45" s="2393"/>
      <c r="C45" s="2393"/>
      <c r="D45" s="2393"/>
      <c r="E45" s="2393"/>
      <c r="F45" s="2393"/>
      <c r="G45" s="2393"/>
      <c r="H45" s="2393"/>
      <c r="I45" s="2393"/>
      <c r="J45" s="2393"/>
      <c r="K45" s="2393"/>
      <c r="L45" s="2393"/>
      <c r="M45" s="2921"/>
      <c r="N45" s="2921"/>
      <c r="O45" s="2921"/>
    </row>
    <row r="46" spans="1:15" s="232" customFormat="1" ht="15" customHeight="1" x14ac:dyDescent="0.2">
      <c r="A46" s="2393"/>
      <c r="B46" s="2393"/>
      <c r="C46" s="2393"/>
      <c r="D46" s="2393"/>
      <c r="E46" s="2393"/>
      <c r="F46" s="2393"/>
      <c r="G46" s="2393"/>
      <c r="H46" s="2393"/>
      <c r="I46" s="2393"/>
      <c r="J46" s="2393"/>
      <c r="K46" s="2393"/>
      <c r="L46" s="2393"/>
      <c r="M46" s="2393"/>
      <c r="N46" s="2393"/>
      <c r="O46" s="2393"/>
    </row>
    <row r="47" spans="1:15" s="232" customFormat="1" ht="15" customHeight="1" x14ac:dyDescent="0.2">
      <c r="A47" s="2393"/>
      <c r="B47" s="2393"/>
      <c r="C47" s="2393"/>
      <c r="D47" s="2393"/>
      <c r="E47" s="2393"/>
      <c r="F47" s="2393"/>
      <c r="G47" s="2393"/>
      <c r="H47" s="2393"/>
      <c r="I47" s="2393"/>
      <c r="J47" s="2393"/>
      <c r="K47" s="2393"/>
      <c r="L47" s="2393"/>
      <c r="M47" s="2393"/>
      <c r="N47" s="2393"/>
      <c r="O47" s="2393"/>
    </row>
    <row r="48" spans="1:15" s="232" customFormat="1" ht="15" customHeight="1" x14ac:dyDescent="0.2">
      <c r="A48" s="421" t="str">
        <f ca="1">MID(CELL("filename",A7),FIND("]",CELL("filename",A7))+1,256)</f>
        <v>605</v>
      </c>
      <c r="B48" s="421" t="s">
        <v>613</v>
      </c>
      <c r="C48" s="2393"/>
      <c r="D48" s="2393"/>
      <c r="E48" s="2393"/>
      <c r="F48" s="2393"/>
      <c r="G48" s="2393"/>
      <c r="H48" s="2393"/>
      <c r="I48" s="2393"/>
      <c r="J48" s="2393"/>
      <c r="K48" s="2393"/>
      <c r="L48" s="2393"/>
      <c r="M48" s="2393"/>
      <c r="N48" s="2393"/>
      <c r="O48" s="2393"/>
    </row>
    <row r="49" spans="1:2" s="232" customFormat="1" ht="15" customHeight="1" x14ac:dyDescent="0.2">
      <c r="A49" s="421" t="s">
        <v>401</v>
      </c>
      <c r="B49" s="421" t="str">
        <f t="shared" ref="B49:B58" ca="1" si="0">IF(ISNA(INDEX(ErrorTable,MATCH($A$48&amp;$A49&amp;FALSE,ErrorKey,0),6)),"",INDEX(ErrorTable,MATCH($A$48&amp;$A49&amp;FALSE,ErrorKey,0),6))</f>
        <v/>
      </c>
    </row>
    <row r="50" spans="1:2" s="232" customFormat="1" ht="15" customHeight="1" x14ac:dyDescent="0.2">
      <c r="A50" s="421" t="s">
        <v>402</v>
      </c>
      <c r="B50" s="421" t="str">
        <f t="shared" ca="1" si="0"/>
        <v/>
      </c>
    </row>
    <row r="51" spans="1:2" s="232" customFormat="1" ht="15" customHeight="1" x14ac:dyDescent="0.2">
      <c r="A51" s="421" t="s">
        <v>403</v>
      </c>
      <c r="B51" s="421" t="str">
        <f t="shared" ca="1" si="0"/>
        <v/>
      </c>
    </row>
    <row r="52" spans="1:2" s="232" customFormat="1" ht="15" customHeight="1" x14ac:dyDescent="0.2">
      <c r="A52" s="421" t="s">
        <v>404</v>
      </c>
      <c r="B52" s="421" t="str">
        <f t="shared" ca="1" si="0"/>
        <v/>
      </c>
    </row>
    <row r="53" spans="1:2" s="232" customFormat="1" ht="15" x14ac:dyDescent="0.2">
      <c r="A53" s="421" t="s">
        <v>405</v>
      </c>
      <c r="B53" s="421" t="str">
        <f t="shared" ca="1" si="0"/>
        <v/>
      </c>
    </row>
    <row r="54" spans="1:2" s="232" customFormat="1" ht="15" x14ac:dyDescent="0.2">
      <c r="A54" s="421" t="s">
        <v>406</v>
      </c>
      <c r="B54" s="421" t="str">
        <f t="shared" ca="1" si="0"/>
        <v/>
      </c>
    </row>
    <row r="55" spans="1:2" s="232" customFormat="1" ht="15" x14ac:dyDescent="0.2">
      <c r="A55" s="421" t="s">
        <v>407</v>
      </c>
      <c r="B55" s="421" t="str">
        <f t="shared" ca="1" si="0"/>
        <v/>
      </c>
    </row>
    <row r="56" spans="1:2" s="232" customFormat="1" ht="15" x14ac:dyDescent="0.2">
      <c r="A56" s="421" t="s">
        <v>408</v>
      </c>
      <c r="B56" s="421" t="str">
        <f t="shared" ca="1" si="0"/>
        <v/>
      </c>
    </row>
    <row r="57" spans="1:2" s="232" customFormat="1" ht="15" x14ac:dyDescent="0.2">
      <c r="A57" s="421" t="s">
        <v>409</v>
      </c>
      <c r="B57" s="421" t="str">
        <f t="shared" ca="1" si="0"/>
        <v/>
      </c>
    </row>
    <row r="58" spans="1:2" s="232" customFormat="1" ht="15" x14ac:dyDescent="0.2">
      <c r="A58" s="421" t="s">
        <v>410</v>
      </c>
      <c r="B58" s="421" t="str">
        <f t="shared" ca="1" si="0"/>
        <v/>
      </c>
    </row>
    <row r="59" spans="1:2" s="232" customFormat="1" ht="12.75" x14ac:dyDescent="0.2">
      <c r="A59" s="2393"/>
      <c r="B59" s="2393"/>
    </row>
    <row r="60" spans="1:2" s="232" customFormat="1" ht="12.75" x14ac:dyDescent="0.2">
      <c r="A60" s="2393"/>
      <c r="B60" s="2393"/>
    </row>
    <row r="61" spans="1:2" s="234" customFormat="1" ht="12" x14ac:dyDescent="0.2"/>
    <row r="62" spans="1:2" s="234" customFormat="1" ht="12" x14ac:dyDescent="0.2"/>
    <row r="63" spans="1:2" s="234" customFormat="1" ht="12" x14ac:dyDescent="0.2"/>
    <row r="64" spans="1:2" s="234" customFormat="1" ht="12" x14ac:dyDescent="0.2"/>
    <row r="65" s="234" customFormat="1" ht="12" x14ac:dyDescent="0.2"/>
    <row r="66" s="234" customFormat="1" ht="12" x14ac:dyDescent="0.2"/>
    <row r="67" s="234" customFormat="1" ht="12" x14ac:dyDescent="0.2"/>
    <row r="68" s="234" customFormat="1" ht="12" x14ac:dyDescent="0.2"/>
    <row r="69" s="234" customFormat="1" ht="12" x14ac:dyDescent="0.2"/>
    <row r="70" s="234" customFormat="1" ht="12" x14ac:dyDescent="0.2"/>
    <row r="71" s="234" customFormat="1" ht="12" x14ac:dyDescent="0.2"/>
    <row r="72" s="234" customFormat="1" ht="12" x14ac:dyDescent="0.2"/>
    <row r="73" s="234" customFormat="1" ht="12" x14ac:dyDescent="0.2"/>
    <row r="74" s="234" customFormat="1" ht="12" x14ac:dyDescent="0.2"/>
    <row r="75" s="234" customFormat="1" ht="12" x14ac:dyDescent="0.2"/>
    <row r="76" s="234" customFormat="1" ht="12" x14ac:dyDescent="0.2"/>
    <row r="77" s="234" customFormat="1" ht="12" x14ac:dyDescent="0.2"/>
    <row r="78" s="234" customFormat="1" ht="12" x14ac:dyDescent="0.2"/>
    <row r="79" s="234" customFormat="1" ht="12" x14ac:dyDescent="0.2"/>
    <row r="80" s="234" customFormat="1" ht="12" x14ac:dyDescent="0.2"/>
    <row r="81" s="234" customFormat="1" ht="12" x14ac:dyDescent="0.2"/>
    <row r="82" s="234" customFormat="1" ht="12" x14ac:dyDescent="0.2"/>
    <row r="83" s="234" customFormat="1" ht="12" x14ac:dyDescent="0.2"/>
    <row r="84" s="234" customFormat="1" ht="12" x14ac:dyDescent="0.2"/>
  </sheetData>
  <sheetProtection algorithmName="SHA-512" hashValue="RMFqqqI569qmVpAJbD44A+Q52OTCsYiZr/vJ+6GLNUn+9jk2AoYIeIlU7EK3N3W3rNAJ+dwok3rWA/IiB8uAqw==" saltValue="vE9F3MutNB8RXnTR4gRdOw==" spinCount="100000" sheet="1" autoFilter="0"/>
  <customSheetViews>
    <customSheetView guid="{9FCFC836-1CA5-48BF-958D-24D2EA94B219}" showGridLines="0" fitToPage="1" hiddenColumns="1" topLeftCell="B1">
      <pageMargins left="0" right="0" top="0" bottom="0" header="0" footer="0"/>
      <pageSetup scale="99" orientation="portrait" horizontalDpi="1200" verticalDpi="1200" r:id="rId1"/>
      <headerFooter alignWithMargins="0">
        <oddFooter>&amp;R&amp;A</oddFooter>
      </headerFooter>
    </customSheetView>
    <customSheetView guid="{BEA4BE86-04D1-4C96-9358-7A260B9D2B2D}" showGridLines="0" fitToPage="1" showRuler="0">
      <selection sqref="A1:N1"/>
      <pageMargins left="0" right="0" top="0" bottom="0" header="0" footer="0"/>
      <pageSetup scale="99" orientation="portrait" horizontalDpi="4294967292" verticalDpi="4294967292" r:id="rId2"/>
      <headerFooter alignWithMargins="0">
        <oddFooter>&amp;R&amp;A</oddFooter>
      </headerFooter>
    </customSheetView>
    <customSheetView guid="{1250FD07-FF56-4A9D-AF9E-C27124A7EBE9}" showGridLines="0" fitToPage="1" showRuler="0">
      <selection sqref="A1:N1"/>
      <pageMargins left="0" right="0" top="0" bottom="0" header="0" footer="0"/>
      <pageSetup scale="99" orientation="portrait" horizontalDpi="4294967292" verticalDpi="4294967292" r:id="rId3"/>
      <headerFooter alignWithMargins="0">
        <oddFooter>&amp;R&amp;A</oddFooter>
      </headerFooter>
    </customSheetView>
    <customSheetView guid="{B08879A4-635B-4C39-9937-AC7883D562FC}" showGridLines="0" fitToPage="1" hiddenColumns="1" topLeftCell="B1">
      <pageMargins left="0" right="0" top="0" bottom="0" header="0" footer="0"/>
      <pageSetup scale="99" orientation="portrait" horizontalDpi="1200" verticalDpi="1200" r:id="rId4"/>
      <headerFooter alignWithMargins="0">
        <oddFooter>&amp;R&amp;A</oddFooter>
      </headerFooter>
    </customSheetView>
  </customSheetViews>
  <mergeCells count="23">
    <mergeCell ref="M45:O45"/>
    <mergeCell ref="M29:O33"/>
    <mergeCell ref="M25:O28"/>
    <mergeCell ref="E21:I21"/>
    <mergeCell ref="E23:I23"/>
    <mergeCell ref="E25:I25"/>
    <mergeCell ref="E22:I22"/>
    <mergeCell ref="E24:I24"/>
    <mergeCell ref="E5:H5"/>
    <mergeCell ref="E6:H6"/>
    <mergeCell ref="E7:H7"/>
    <mergeCell ref="B1:O1"/>
    <mergeCell ref="B2:O2"/>
    <mergeCell ref="B3:O3"/>
    <mergeCell ref="M5:O5"/>
    <mergeCell ref="M6:O6"/>
    <mergeCell ref="M7:O7"/>
    <mergeCell ref="E16:I16"/>
    <mergeCell ref="E18:I18"/>
    <mergeCell ref="B10:O12"/>
    <mergeCell ref="K17:O19"/>
    <mergeCell ref="E14:I14"/>
    <mergeCell ref="E15:I15"/>
  </mergeCells>
  <phoneticPr fontId="18" type="noConversion"/>
  <conditionalFormatting sqref="O35">
    <cfRule type="containsText" dxfId="55" priority="1" stopIfTrue="1" operator="containsText" text="Answer Missing">
      <formula>NOT(ISERROR(SEARCH("Answer Missing",O35)))</formula>
    </cfRule>
  </conditionalFormatting>
  <conditionalFormatting sqref="P1:P3">
    <cfRule type="cellIs" dxfId="54" priority="2" stopIfTrue="1" operator="equal">
      <formula>"na"</formula>
    </cfRule>
  </conditionalFormatting>
  <hyperlinks>
    <hyperlink ref="B1:O1" location="Index!A1" display="Index!A1" xr:uid="{00000000-0004-0000-3500-000000000000}"/>
  </hyperlinks>
  <pageMargins left="0.6" right="0.6" top="0.5" bottom="0.5" header="0.3" footer="0.3"/>
  <pageSetup orientation="portrait" r:id="rId5"/>
  <ignoredErrors>
    <ignoredError sqref="M6:M7" unlockedFormula="1"/>
  </ignoredError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22">
    <pageSetUpPr fitToPage="1"/>
  </sheetPr>
  <dimension ref="A1:K62"/>
  <sheetViews>
    <sheetView showGridLines="0" zoomScaleNormal="100" workbookViewId="0">
      <selection activeCell="P30" sqref="P30"/>
    </sheetView>
  </sheetViews>
  <sheetFormatPr defaultRowHeight="12.75" x14ac:dyDescent="0.2"/>
  <cols>
    <col min="1" max="1" width="20.42578125" customWidth="1"/>
    <col min="3" max="3" width="14.5703125" customWidth="1"/>
    <col min="5" max="5" width="16.7109375" customWidth="1"/>
    <col min="6" max="6" width="1.5703125" customWidth="1"/>
    <col min="7" max="8" width="8.5703125" customWidth="1"/>
    <col min="9" max="9" width="2.5703125" customWidth="1"/>
    <col min="10" max="10" width="4.28515625" customWidth="1"/>
    <col min="11" max="11" width="11.42578125" customWidth="1"/>
  </cols>
  <sheetData>
    <row r="1" spans="1:9" s="80" customFormat="1" ht="25.15" customHeight="1" x14ac:dyDescent="0.25">
      <c r="A1" s="2553" t="str">
        <f>+Index!$A$1</f>
        <v xml:space="preserve">                                                               Office of the State Controller                                                                </v>
      </c>
      <c r="B1" s="2553"/>
      <c r="C1" s="2553"/>
      <c r="D1" s="2553"/>
      <c r="E1" s="2553"/>
      <c r="F1" s="2553"/>
      <c r="G1" s="2553"/>
      <c r="H1" s="2553"/>
      <c r="I1" s="848" t="str">
        <f>IF(Index!$B$82="na","NA","")</f>
        <v/>
      </c>
    </row>
    <row r="2" spans="1:9" s="80" customFormat="1" ht="15" customHeight="1" x14ac:dyDescent="0.25">
      <c r="A2" s="2802" t="str">
        <f>+Index!$A$2</f>
        <v>2024 ACFR Worksheets</v>
      </c>
      <c r="B2" s="2802"/>
      <c r="C2" s="2802"/>
      <c r="D2" s="2802"/>
      <c r="E2" s="2802"/>
      <c r="F2" s="2802"/>
      <c r="G2" s="2802"/>
      <c r="H2" s="2802"/>
      <c r="I2" s="848"/>
    </row>
    <row r="3" spans="1:9" s="80" customFormat="1" ht="15" customHeight="1" x14ac:dyDescent="0.25">
      <c r="A3" s="2802" t="s">
        <v>2108</v>
      </c>
      <c r="B3" s="2802"/>
      <c r="C3" s="2802"/>
      <c r="D3" s="2802"/>
      <c r="E3" s="2802"/>
      <c r="F3" s="2802"/>
      <c r="G3" s="2802"/>
      <c r="H3" s="2802"/>
      <c r="I3" s="848"/>
    </row>
    <row r="4" spans="1:9" s="80" customFormat="1" ht="15" customHeight="1" x14ac:dyDescent="0.25">
      <c r="A4" s="2802"/>
      <c r="B4" s="2802"/>
      <c r="C4" s="2802"/>
      <c r="D4" s="2802"/>
      <c r="E4" s="2802"/>
      <c r="F4" s="2802"/>
      <c r="G4" s="2802"/>
      <c r="H4" s="2802"/>
    </row>
    <row r="5" spans="1:9" s="74" customFormat="1" ht="15" customHeight="1" x14ac:dyDescent="0.25">
      <c r="A5" s="73"/>
      <c r="B5" s="73"/>
      <c r="C5" s="73"/>
      <c r="D5" s="73"/>
      <c r="E5" s="124" t="s">
        <v>2109</v>
      </c>
      <c r="F5" s="73"/>
      <c r="G5" s="73"/>
      <c r="H5" s="71"/>
      <c r="I5" s="138"/>
    </row>
    <row r="6" spans="1:9" s="74" customFormat="1" ht="15" customHeight="1" x14ac:dyDescent="0.2">
      <c r="A6" s="138"/>
      <c r="B6" s="138"/>
      <c r="C6" s="138"/>
      <c r="D6" s="1668" t="s">
        <v>318</v>
      </c>
      <c r="E6" s="2946" t="str">
        <f>+Index!$E$10</f>
        <v>01</v>
      </c>
      <c r="F6" s="2946"/>
      <c r="G6" s="2946"/>
      <c r="H6" s="2946"/>
      <c r="I6" s="138"/>
    </row>
    <row r="7" spans="1:9" s="74" customFormat="1" ht="15" customHeight="1" x14ac:dyDescent="0.2">
      <c r="A7" s="138"/>
      <c r="B7" s="138"/>
      <c r="C7" s="138"/>
      <c r="D7" s="1668" t="s">
        <v>319</v>
      </c>
      <c r="E7" s="2948" t="str">
        <f>+Index!$E$11</f>
        <v>North Carolina General Assembly</v>
      </c>
      <c r="F7" s="2948"/>
      <c r="G7" s="2948"/>
      <c r="H7" s="2948"/>
      <c r="I7" s="138"/>
    </row>
    <row r="8" spans="1:9" s="74" customFormat="1" ht="15" customHeight="1" x14ac:dyDescent="0.2">
      <c r="A8" s="138"/>
      <c r="B8" s="138"/>
      <c r="C8" s="138"/>
      <c r="D8" s="1668" t="s">
        <v>320</v>
      </c>
      <c r="E8" s="2805" t="str">
        <f>CONCATENATE(Index!$E$12," ",Index!$E$14)</f>
        <v xml:space="preserve"> </v>
      </c>
      <c r="F8" s="2805"/>
      <c r="G8" s="2805"/>
      <c r="H8" s="2805"/>
      <c r="I8" s="138"/>
    </row>
    <row r="9" spans="1:9" s="74" customFormat="1" ht="15" customHeight="1" x14ac:dyDescent="0.2">
      <c r="A9" s="138"/>
      <c r="B9" s="138"/>
      <c r="C9" s="138"/>
      <c r="D9" s="1668" t="s">
        <v>168</v>
      </c>
      <c r="E9" s="2949">
        <f>+Index!$E$13</f>
        <v>0</v>
      </c>
      <c r="F9" s="2949"/>
      <c r="G9" s="2949"/>
      <c r="H9" s="2949"/>
      <c r="I9" s="138"/>
    </row>
    <row r="10" spans="1:9" s="74" customFormat="1" ht="6.75" customHeight="1" thickBot="1" x14ac:dyDescent="0.25">
      <c r="A10" s="1646"/>
      <c r="B10" s="1646"/>
      <c r="C10" s="1646"/>
      <c r="D10" s="1729"/>
      <c r="E10" s="1730"/>
      <c r="F10" s="1730"/>
      <c r="G10" s="1730"/>
      <c r="H10" s="1730"/>
      <c r="I10" s="138"/>
    </row>
    <row r="11" spans="1:9" s="74" customFormat="1" ht="6.75" customHeight="1" x14ac:dyDescent="0.2">
      <c r="A11" s="138"/>
      <c r="B11" s="138"/>
      <c r="C11" s="138"/>
      <c r="D11" s="1668"/>
      <c r="E11" s="1669"/>
      <c r="F11" s="1669"/>
      <c r="G11" s="1669"/>
      <c r="H11" s="1669"/>
      <c r="I11" s="138"/>
    </row>
    <row r="12" spans="1:9" s="74" customFormat="1" ht="12.75" customHeight="1" x14ac:dyDescent="0.2">
      <c r="A12" s="866" t="s">
        <v>2110</v>
      </c>
      <c r="B12" s="2399"/>
      <c r="C12" s="2399"/>
      <c r="D12" s="1731"/>
      <c r="E12" s="2400"/>
      <c r="F12" s="2400"/>
      <c r="G12" s="2400"/>
      <c r="H12" s="1732"/>
      <c r="I12" s="138"/>
    </row>
    <row r="13" spans="1:9" s="74" customFormat="1" ht="6.75" customHeight="1" x14ac:dyDescent="0.2">
      <c r="A13" s="138"/>
      <c r="B13" s="138"/>
      <c r="C13" s="138"/>
      <c r="D13" s="1668"/>
      <c r="E13" s="1669"/>
      <c r="F13" s="1669"/>
      <c r="G13" s="1669"/>
      <c r="H13" s="1669"/>
      <c r="I13" s="138"/>
    </row>
    <row r="14" spans="1:9" s="74" customFormat="1" ht="15" customHeight="1" x14ac:dyDescent="0.2">
      <c r="A14" s="138" t="s">
        <v>2111</v>
      </c>
      <c r="B14" s="138"/>
      <c r="C14" s="138"/>
      <c r="D14" s="138"/>
      <c r="E14" s="138"/>
      <c r="F14" s="138"/>
      <c r="G14" s="138"/>
      <c r="H14" s="138"/>
      <c r="I14" s="138"/>
    </row>
    <row r="15" spans="1:9" s="1" customFormat="1" ht="15" customHeight="1" x14ac:dyDescent="0.2">
      <c r="A15" s="138" t="s">
        <v>2112</v>
      </c>
    </row>
    <row r="16" spans="1:9" s="1" customFormat="1" ht="15" customHeight="1" x14ac:dyDescent="0.2">
      <c r="A16" s="138" t="s">
        <v>2113</v>
      </c>
    </row>
    <row r="17" spans="1:11" s="1" customFormat="1" ht="15" customHeight="1" x14ac:dyDescent="0.2">
      <c r="A17" s="1" t="s">
        <v>2114</v>
      </c>
    </row>
    <row r="18" spans="1:11" s="1" customFormat="1" ht="15" customHeight="1" x14ac:dyDescent="0.2">
      <c r="A18" s="1" t="s">
        <v>2115</v>
      </c>
    </row>
    <row r="19" spans="1:11" s="1" customFormat="1" ht="15" customHeight="1" x14ac:dyDescent="0.2"/>
    <row r="20" spans="1:11" s="1" customFormat="1" ht="15" customHeight="1" x14ac:dyDescent="0.2">
      <c r="A20" s="1" t="s">
        <v>2116</v>
      </c>
    </row>
    <row r="21" spans="1:11" s="70" customFormat="1" ht="15" customHeight="1" x14ac:dyDescent="0.2">
      <c r="A21" s="138" t="s">
        <v>2117</v>
      </c>
      <c r="B21" s="138"/>
      <c r="C21" s="138"/>
      <c r="D21" s="138"/>
      <c r="E21" s="138"/>
      <c r="F21" s="138"/>
      <c r="G21" s="138"/>
      <c r="H21" s="138"/>
      <c r="I21" s="138"/>
      <c r="J21" s="138"/>
      <c r="K21" s="138"/>
    </row>
    <row r="22" spans="1:11" s="70" customFormat="1" ht="15" customHeight="1" x14ac:dyDescent="0.2">
      <c r="A22" s="138" t="s">
        <v>2118</v>
      </c>
      <c r="B22" s="138"/>
      <c r="C22" s="138"/>
      <c r="D22" s="138"/>
      <c r="E22" s="138"/>
      <c r="F22" s="138"/>
      <c r="G22" s="138"/>
      <c r="H22" s="138"/>
      <c r="I22" s="138"/>
      <c r="J22" s="138"/>
      <c r="K22" s="138"/>
    </row>
    <row r="23" spans="1:11" s="70" customFormat="1" ht="15" customHeight="1" x14ac:dyDescent="0.2">
      <c r="A23" s="138" t="s">
        <v>2119</v>
      </c>
      <c r="B23" s="138"/>
      <c r="C23" s="138"/>
      <c r="D23" s="138"/>
      <c r="E23" s="138"/>
      <c r="F23" s="138"/>
      <c r="G23" s="138"/>
      <c r="H23" s="138"/>
      <c r="I23" s="138"/>
      <c r="J23" s="138"/>
      <c r="K23" s="138"/>
    </row>
    <row r="24" spans="1:11" s="70" customFormat="1" ht="15" customHeight="1" x14ac:dyDescent="0.2">
      <c r="A24" s="1" t="s">
        <v>2120</v>
      </c>
      <c r="B24" s="138"/>
      <c r="C24" s="138"/>
      <c r="D24" s="138"/>
      <c r="E24" s="138"/>
      <c r="F24" s="138"/>
      <c r="G24" s="138"/>
      <c r="H24" s="138"/>
      <c r="I24" s="138"/>
      <c r="J24" s="138"/>
      <c r="K24" s="138"/>
    </row>
    <row r="25" spans="1:11" s="70" customFormat="1" ht="15" customHeight="1" x14ac:dyDescent="0.2">
      <c r="A25" s="1" t="s">
        <v>2121</v>
      </c>
      <c r="B25" s="138"/>
      <c r="C25" s="138"/>
      <c r="D25" s="138"/>
      <c r="E25" s="138"/>
      <c r="F25" s="138"/>
      <c r="G25" s="138"/>
      <c r="H25" s="138"/>
      <c r="I25" s="138"/>
      <c r="J25" s="138"/>
      <c r="K25" s="138"/>
    </row>
    <row r="26" spans="1:11" s="70" customFormat="1" ht="15" customHeight="1" x14ac:dyDescent="0.2">
      <c r="A26" s="138"/>
      <c r="B26" s="138"/>
      <c r="C26" s="138"/>
      <c r="D26" s="138"/>
      <c r="E26" s="138"/>
      <c r="F26" s="138"/>
      <c r="G26" s="138"/>
      <c r="H26" s="138"/>
      <c r="I26" s="138"/>
      <c r="J26" s="138"/>
      <c r="K26" s="138"/>
    </row>
    <row r="27" spans="1:11" s="70" customFormat="1" ht="15" customHeight="1" x14ac:dyDescent="0.2">
      <c r="A27" s="2937" t="s">
        <v>2122</v>
      </c>
      <c r="B27" s="2938"/>
      <c r="C27" s="2938"/>
      <c r="D27" s="2938"/>
      <c r="E27" s="2939"/>
      <c r="F27" s="138"/>
      <c r="G27" s="2937" t="s">
        <v>2123</v>
      </c>
      <c r="H27" s="2939"/>
      <c r="I27" s="138"/>
      <c r="J27" s="138"/>
      <c r="K27" s="138"/>
    </row>
    <row r="28" spans="1:11" s="70" customFormat="1" ht="18" customHeight="1" x14ac:dyDescent="0.2">
      <c r="A28" s="2943" t="s">
        <v>2124</v>
      </c>
      <c r="B28" s="2943"/>
      <c r="C28" s="2943"/>
      <c r="D28" s="2943"/>
      <c r="E28" s="2943"/>
      <c r="F28" s="138"/>
      <c r="G28" s="2940"/>
      <c r="H28" s="2940"/>
      <c r="I28" s="138"/>
      <c r="J28" s="2944" t="str">
        <f>IF(ISBLANK($G$28)=TRUE,"Amount Missing"," ")</f>
        <v>Amount Missing</v>
      </c>
      <c r="K28" s="2945"/>
    </row>
    <row r="29" spans="1:11" s="70" customFormat="1" ht="14.25" customHeight="1" x14ac:dyDescent="0.2">
      <c r="A29" s="2398"/>
      <c r="B29" s="138"/>
      <c r="C29" s="138"/>
      <c r="D29" s="138"/>
      <c r="E29" s="138"/>
      <c r="F29" s="138"/>
      <c r="G29" s="2941"/>
      <c r="H29" s="2942"/>
      <c r="I29" s="138"/>
      <c r="J29" s="138"/>
      <c r="K29" s="138"/>
    </row>
    <row r="30" spans="1:11" s="70" customFormat="1" ht="15" customHeight="1" x14ac:dyDescent="0.2">
      <c r="A30" s="2822" t="s">
        <v>2125</v>
      </c>
      <c r="B30" s="2822"/>
      <c r="C30" s="2822"/>
      <c r="D30" s="2822"/>
      <c r="E30" s="2822"/>
      <c r="F30" s="138"/>
      <c r="G30" s="2732"/>
      <c r="H30" s="2732"/>
      <c r="I30" s="138"/>
      <c r="J30" s="138"/>
      <c r="K30" s="138"/>
    </row>
    <row r="31" spans="1:11" s="70" customFormat="1" ht="15" customHeight="1" x14ac:dyDescent="0.2">
      <c r="A31" s="2693"/>
      <c r="B31" s="2693"/>
      <c r="C31" s="2693"/>
      <c r="D31" s="2693"/>
      <c r="E31" s="2693"/>
      <c r="F31" s="138"/>
      <c r="G31" s="2732"/>
      <c r="H31" s="2732"/>
      <c r="I31" s="138"/>
      <c r="J31" s="138"/>
      <c r="K31" s="138"/>
    </row>
    <row r="32" spans="1:11" s="70" customFormat="1" ht="15" customHeight="1" x14ac:dyDescent="0.2">
      <c r="A32" s="2398"/>
      <c r="B32" s="2398"/>
      <c r="C32" s="2398"/>
      <c r="D32" s="2398"/>
      <c r="E32" s="2398"/>
      <c r="F32" s="138"/>
      <c r="G32" s="2935"/>
      <c r="H32" s="2935"/>
      <c r="I32" s="138"/>
      <c r="J32" s="138"/>
      <c r="K32" s="138"/>
    </row>
    <row r="33" spans="1:8" s="70" customFormat="1" ht="15" customHeight="1" x14ac:dyDescent="0.2">
      <c r="A33" s="2693"/>
      <c r="B33" s="2693"/>
      <c r="C33" s="2693"/>
      <c r="D33" s="2693"/>
      <c r="E33" s="2693"/>
      <c r="F33" s="138"/>
      <c r="G33" s="2935"/>
      <c r="H33" s="2935"/>
    </row>
    <row r="34" spans="1:8" s="70" customFormat="1" ht="15" customHeight="1" x14ac:dyDescent="0.2">
      <c r="A34" s="2947" t="s">
        <v>2126</v>
      </c>
      <c r="B34" s="2947"/>
      <c r="C34" s="2947"/>
      <c r="D34" s="2947"/>
      <c r="E34" s="2947"/>
      <c r="F34" s="138"/>
      <c r="G34" s="2935"/>
      <c r="H34" s="2935"/>
    </row>
    <row r="35" spans="1:8" s="70" customFormat="1" ht="15" customHeight="1" x14ac:dyDescent="0.2">
      <c r="A35" s="2693"/>
      <c r="B35" s="2693"/>
      <c r="C35" s="2693"/>
      <c r="D35" s="2693"/>
      <c r="E35" s="2693"/>
      <c r="F35" s="138"/>
      <c r="G35" s="2935"/>
      <c r="H35" s="2935"/>
    </row>
    <row r="36" spans="1:8" s="70" customFormat="1" ht="15" customHeight="1" x14ac:dyDescent="0.2">
      <c r="A36" s="2693"/>
      <c r="B36" s="2693"/>
      <c r="C36" s="2693"/>
      <c r="D36" s="2693"/>
      <c r="E36" s="2693"/>
      <c r="F36" s="138"/>
      <c r="G36" s="2935"/>
      <c r="H36" s="2935"/>
    </row>
    <row r="37" spans="1:8" s="70" customFormat="1" ht="15" customHeight="1" x14ac:dyDescent="0.2">
      <c r="A37" s="2693"/>
      <c r="B37" s="2693"/>
      <c r="C37" s="2693"/>
      <c r="D37" s="2693"/>
      <c r="E37" s="2693"/>
      <c r="F37" s="138"/>
      <c r="G37" s="2935"/>
      <c r="H37" s="2935"/>
    </row>
    <row r="38" spans="1:8" s="70" customFormat="1" ht="15" customHeight="1" x14ac:dyDescent="0.2">
      <c r="A38" s="2693"/>
      <c r="B38" s="2693"/>
      <c r="C38" s="2693"/>
      <c r="D38" s="2693"/>
      <c r="E38" s="2693"/>
      <c r="F38" s="138"/>
      <c r="G38" s="2935"/>
      <c r="H38" s="2935"/>
    </row>
    <row r="39" spans="1:8" s="70" customFormat="1" ht="15" customHeight="1" x14ac:dyDescent="0.2">
      <c r="A39" s="1733"/>
      <c r="B39" s="1733"/>
      <c r="C39" s="1733"/>
      <c r="D39" s="1733"/>
      <c r="E39" s="1733"/>
      <c r="F39" s="138"/>
      <c r="G39" s="1734"/>
      <c r="H39" s="1734"/>
    </row>
    <row r="40" spans="1:8" s="70" customFormat="1" ht="15.75" customHeight="1" x14ac:dyDescent="0.2">
      <c r="A40" s="2"/>
      <c r="B40" s="138"/>
      <c r="C40" s="138"/>
      <c r="D40" s="138"/>
      <c r="E40" s="138"/>
      <c r="F40" s="138"/>
      <c r="G40" s="2394"/>
      <c r="H40" s="2394"/>
    </row>
    <row r="41" spans="1:8" s="70" customFormat="1" ht="21" customHeight="1" x14ac:dyDescent="0.2">
      <c r="A41" s="1"/>
      <c r="B41" s="138"/>
      <c r="C41" s="138"/>
      <c r="D41" s="138"/>
      <c r="E41" s="138"/>
      <c r="F41" s="138"/>
      <c r="G41" s="2394"/>
      <c r="H41" s="2394"/>
    </row>
    <row r="42" spans="1:8" s="70" customFormat="1" ht="15" customHeight="1" x14ac:dyDescent="0.2">
      <c r="A42" s="1"/>
      <c r="B42" s="138"/>
      <c r="C42" s="138"/>
      <c r="D42" s="138"/>
      <c r="E42" s="138"/>
      <c r="F42" s="138"/>
      <c r="G42" s="2394"/>
      <c r="H42" s="2394"/>
    </row>
    <row r="43" spans="1:8" s="70" customFormat="1" ht="15" customHeight="1" x14ac:dyDescent="0.2">
      <c r="A43" s="1"/>
      <c r="B43" s="138"/>
      <c r="C43" s="138"/>
      <c r="D43" s="2396"/>
      <c r="E43" s="2396"/>
      <c r="F43" s="138"/>
      <c r="G43" s="2934"/>
      <c r="H43" s="2934"/>
    </row>
    <row r="44" spans="1:8" s="70" customFormat="1" ht="15" customHeight="1" x14ac:dyDescent="0.2">
      <c r="A44" s="1"/>
      <c r="B44" s="138"/>
      <c r="C44" s="138"/>
      <c r="D44" s="2936"/>
      <c r="E44" s="2936"/>
      <c r="F44" s="138"/>
      <c r="G44" s="2934"/>
      <c r="H44" s="2934"/>
    </row>
    <row r="45" spans="1:8" s="70" customFormat="1" ht="15" customHeight="1" x14ac:dyDescent="0.2">
      <c r="A45" s="1"/>
      <c r="B45" s="138"/>
      <c r="C45" s="138"/>
      <c r="D45" s="2396"/>
      <c r="E45" s="2396"/>
      <c r="F45" s="138"/>
      <c r="G45" s="2933">
        <f>SUM(G43:H44)</f>
        <v>0</v>
      </c>
      <c r="H45" s="2933"/>
    </row>
    <row r="46" spans="1:8" s="70" customFormat="1" ht="15" customHeight="1" x14ac:dyDescent="0.2">
      <c r="A46" s="1"/>
      <c r="B46" s="138"/>
      <c r="C46" s="138"/>
      <c r="D46" s="138"/>
      <c r="E46" s="138"/>
      <c r="F46" s="138"/>
      <c r="G46" s="2394"/>
      <c r="H46" s="2394"/>
    </row>
    <row r="47" spans="1:8" s="70" customFormat="1" ht="15" customHeight="1" x14ac:dyDescent="0.2">
      <c r="A47" s="138"/>
      <c r="B47" s="138"/>
      <c r="C47" s="138"/>
      <c r="D47" s="138"/>
      <c r="E47" s="138"/>
      <c r="F47" s="138"/>
      <c r="G47" s="2394"/>
      <c r="H47" s="2394"/>
    </row>
    <row r="48" spans="1:8" s="70" customFormat="1" ht="15" customHeight="1" x14ac:dyDescent="0.2">
      <c r="A48" s="138"/>
      <c r="B48" s="138"/>
      <c r="C48" s="138"/>
      <c r="D48" s="138"/>
      <c r="E48" s="138"/>
      <c r="F48" s="138"/>
      <c r="G48" s="2394"/>
      <c r="H48" s="2394"/>
    </row>
    <row r="49" spans="7:8" s="70" customFormat="1" ht="15" customHeight="1" x14ac:dyDescent="0.2">
      <c r="G49" s="2394"/>
      <c r="H49" s="2394"/>
    </row>
    <row r="50" spans="7:8" s="70" customFormat="1" ht="15" customHeight="1" x14ac:dyDescent="0.2">
      <c r="G50" s="2394"/>
      <c r="H50" s="2394"/>
    </row>
    <row r="51" spans="7:8" s="70" customFormat="1" ht="15" customHeight="1" x14ac:dyDescent="0.2">
      <c r="G51" s="2933"/>
      <c r="H51" s="2933"/>
    </row>
    <row r="52" spans="7:8" s="70" customFormat="1" ht="15" customHeight="1" x14ac:dyDescent="0.2">
      <c r="G52" s="138"/>
      <c r="H52" s="138"/>
    </row>
    <row r="53" spans="7:8" s="70" customFormat="1" ht="15" customHeight="1" x14ac:dyDescent="0.2">
      <c r="G53" s="138"/>
      <c r="H53" s="138"/>
    </row>
    <row r="54" spans="7:8" s="70" customFormat="1" ht="15" customHeight="1" x14ac:dyDescent="0.2">
      <c r="G54" s="138"/>
      <c r="H54" s="138"/>
    </row>
    <row r="55" spans="7:8" s="70" customFormat="1" ht="15" customHeight="1" x14ac:dyDescent="0.2">
      <c r="G55" s="138"/>
      <c r="H55" s="138"/>
    </row>
    <row r="56" spans="7:8" s="70" customFormat="1" ht="15" customHeight="1" x14ac:dyDescent="0.2">
      <c r="G56" s="138"/>
      <c r="H56" s="138"/>
    </row>
    <row r="57" spans="7:8" s="70" customFormat="1" ht="15" customHeight="1" x14ac:dyDescent="0.2">
      <c r="G57" s="138"/>
      <c r="H57" s="138"/>
    </row>
    <row r="58" spans="7:8" s="70" customFormat="1" ht="15" customHeight="1" x14ac:dyDescent="0.2">
      <c r="G58" s="138"/>
      <c r="H58" s="138"/>
    </row>
    <row r="59" spans="7:8" s="70" customFormat="1" ht="15" customHeight="1" x14ac:dyDescent="0.2">
      <c r="G59" s="138"/>
      <c r="H59" s="138"/>
    </row>
    <row r="60" spans="7:8" s="70" customFormat="1" ht="15" customHeight="1" x14ac:dyDescent="0.2">
      <c r="G60" s="138"/>
      <c r="H60" s="138"/>
    </row>
    <row r="61" spans="7:8" s="70" customFormat="1" ht="15" customHeight="1" x14ac:dyDescent="0.2">
      <c r="G61" s="138"/>
      <c r="H61" s="138"/>
    </row>
    <row r="62" spans="7:8" s="70" customFormat="1" ht="15" customHeight="1" x14ac:dyDescent="0.2">
      <c r="G62" s="138"/>
      <c r="H62" s="138"/>
    </row>
  </sheetData>
  <sheetProtection algorithmName="SHA-512" hashValue="kuuT4hqE/t14CMq38LqmUDLc+/lXGwxKa9V+YpCVeKl/+ZtpNo7FdAG1o+vdjK71CzkEwOtru5yK5q+OImPzcw==" saltValue="emAAcvWtWheXKADcGM8M+A==" spinCount="100000" sheet="1" autoFilter="0"/>
  <customSheetViews>
    <customSheetView guid="{9FCFC836-1CA5-48BF-958D-24D2EA94B219}" showGridLines="0" fitToPage="1">
      <selection activeCell="B12" sqref="B12"/>
      <pageMargins left="0" right="0" top="0" bottom="0" header="0" footer="0"/>
      <pageSetup orientation="portrait" r:id="rId1"/>
      <headerFooter alignWithMargins="0">
        <oddFooter>&amp;R&amp;A</oddFooter>
      </headerFooter>
    </customSheetView>
    <customSheetView guid="{BEA4BE86-04D1-4C96-9358-7A260B9D2B2D}" showGridLines="0" fitToPage="1" showRuler="0">
      <selection sqref="A1:H1"/>
      <pageMargins left="0" right="0" top="0" bottom="0" header="0" footer="0"/>
      <pageSetup orientation="portrait" r:id="rId2"/>
      <headerFooter alignWithMargins="0">
        <oddFooter>&amp;R&amp;A</oddFooter>
      </headerFooter>
    </customSheetView>
    <customSheetView guid="{1250FD07-FF56-4A9D-AF9E-C27124A7EBE9}" showGridLines="0" fitToPage="1" showRuler="0">
      <selection sqref="A1:H1"/>
      <pageMargins left="0" right="0" top="0" bottom="0" header="0" footer="0"/>
      <pageSetup orientation="portrait" r:id="rId3"/>
      <headerFooter alignWithMargins="0">
        <oddFooter>&amp;R&amp;A</oddFooter>
      </headerFooter>
    </customSheetView>
    <customSheetView guid="{B08879A4-635B-4C39-9937-AC7883D562FC}" showGridLines="0" fitToPage="1">
      <selection activeCell="B12" sqref="B12"/>
      <pageMargins left="0" right="0" top="0" bottom="0" header="0" footer="0"/>
      <pageSetup orientation="portrait" r:id="rId4"/>
      <headerFooter alignWithMargins="0">
        <oddFooter>&amp;R&amp;A</oddFooter>
      </headerFooter>
    </customSheetView>
  </customSheetViews>
  <mergeCells count="36">
    <mergeCell ref="J28:K28"/>
    <mergeCell ref="A4:H4"/>
    <mergeCell ref="E6:H6"/>
    <mergeCell ref="G35:H35"/>
    <mergeCell ref="A34:E34"/>
    <mergeCell ref="G34:H34"/>
    <mergeCell ref="E7:H7"/>
    <mergeCell ref="E8:H8"/>
    <mergeCell ref="E9:H9"/>
    <mergeCell ref="G30:H30"/>
    <mergeCell ref="G31:H31"/>
    <mergeCell ref="A1:H1"/>
    <mergeCell ref="A2:H2"/>
    <mergeCell ref="A3:H3"/>
    <mergeCell ref="G36:H36"/>
    <mergeCell ref="A27:E27"/>
    <mergeCell ref="G27:H27"/>
    <mergeCell ref="G28:H28"/>
    <mergeCell ref="G29:H29"/>
    <mergeCell ref="G33:H33"/>
    <mergeCell ref="G32:H32"/>
    <mergeCell ref="A35:E35"/>
    <mergeCell ref="A28:E28"/>
    <mergeCell ref="G51:H51"/>
    <mergeCell ref="G43:H43"/>
    <mergeCell ref="G44:H44"/>
    <mergeCell ref="A36:E36"/>
    <mergeCell ref="A30:E30"/>
    <mergeCell ref="A33:E33"/>
    <mergeCell ref="G45:H45"/>
    <mergeCell ref="G37:H37"/>
    <mergeCell ref="G38:H38"/>
    <mergeCell ref="A31:E31"/>
    <mergeCell ref="D44:E44"/>
    <mergeCell ref="A37:E37"/>
    <mergeCell ref="A38:E38"/>
  </mergeCells>
  <phoneticPr fontId="18" type="noConversion"/>
  <conditionalFormatting sqref="G29">
    <cfRule type="containsText" dxfId="53" priority="2" stopIfTrue="1" operator="containsText" text="Valuation Missing">
      <formula>NOT(ISERROR(SEARCH("Valuation Missing",G29)))</formula>
    </cfRule>
  </conditionalFormatting>
  <conditionalFormatting sqref="I1:I3">
    <cfRule type="cellIs" dxfId="52" priority="5" stopIfTrue="1" operator="equal">
      <formula>"na"</formula>
    </cfRule>
  </conditionalFormatting>
  <conditionalFormatting sqref="J28">
    <cfRule type="containsText" dxfId="51" priority="1" stopIfTrue="1" operator="containsText" text="Valuation Missing">
      <formula>NOT(ISERROR(SEARCH("Valuation Missing",J28)))</formula>
    </cfRule>
  </conditionalFormatting>
  <hyperlinks>
    <hyperlink ref="A1:H1" location="Index!A1" display="Index!A1" xr:uid="{00000000-0004-0000-3600-000000000000}"/>
  </hyperlinks>
  <pageMargins left="0.6" right="0.6" top="0.5" bottom="0.5" header="0.3" footer="0.3"/>
  <pageSetup scale="89" orientation="portrait" r:id="rId5"/>
  <ignoredErrors>
    <ignoredError sqref="E8:E9" unlockedFormula="1"/>
  </ignoredError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33">
    <pageSetUpPr fitToPage="1"/>
  </sheetPr>
  <dimension ref="A1:K55"/>
  <sheetViews>
    <sheetView showGridLines="0" zoomScaleNormal="100" zoomScaleSheetLayoutView="100" workbookViewId="0">
      <selection activeCell="A2" sqref="A2:J2"/>
    </sheetView>
  </sheetViews>
  <sheetFormatPr defaultColWidth="9.42578125" defaultRowHeight="12.75" x14ac:dyDescent="0.2"/>
  <cols>
    <col min="1" max="1" width="16.5703125" style="116" customWidth="1"/>
    <col min="2" max="2" width="12.5703125" style="116" customWidth="1"/>
    <col min="3" max="3" width="1.42578125" style="116" customWidth="1"/>
    <col min="4" max="4" width="14.42578125" style="116" customWidth="1"/>
    <col min="5" max="5" width="1.42578125" style="116" customWidth="1"/>
    <col min="6" max="6" width="14.42578125" style="116" customWidth="1"/>
    <col min="7" max="7" width="1.42578125" style="116" customWidth="1"/>
    <col min="8" max="8" width="14.42578125" style="116" customWidth="1"/>
    <col min="9" max="9" width="1.42578125" style="116" customWidth="1"/>
    <col min="10" max="10" width="14.5703125" style="116" customWidth="1"/>
    <col min="11" max="11" width="4.5703125" style="116" customWidth="1"/>
    <col min="12" max="29" width="9.42578125" style="116"/>
    <col min="30" max="253" width="16.5703125" style="116" customWidth="1"/>
    <col min="254" max="16384" width="9.42578125" style="116"/>
  </cols>
  <sheetData>
    <row r="1" spans="1:11" ht="15" customHeight="1" x14ac:dyDescent="0.25">
      <c r="A1" s="2534" t="str">
        <f>Index!$A$1</f>
        <v xml:space="preserve">                                                               Office of the State Controller                                                                </v>
      </c>
      <c r="B1" s="2534"/>
      <c r="C1" s="2534"/>
      <c r="D1" s="2534"/>
      <c r="E1" s="2534"/>
      <c r="F1" s="2534"/>
      <c r="G1" s="2534"/>
      <c r="H1" s="2534"/>
      <c r="I1" s="2534"/>
      <c r="J1" s="2534"/>
      <c r="K1" s="2626" t="str">
        <f>IF(Index!$B$83="na","NA","")</f>
        <v/>
      </c>
    </row>
    <row r="2" spans="1:11" ht="15" customHeight="1" x14ac:dyDescent="0.3">
      <c r="A2" s="2956" t="str">
        <f>Index!$A$2</f>
        <v>2024 ACFR Worksheets</v>
      </c>
      <c r="B2" s="2956"/>
      <c r="C2" s="2956"/>
      <c r="D2" s="2956"/>
      <c r="E2" s="2956"/>
      <c r="F2" s="2956"/>
      <c r="G2" s="2956"/>
      <c r="H2" s="2956"/>
      <c r="I2" s="2956"/>
      <c r="J2" s="2956"/>
      <c r="K2" s="2626"/>
    </row>
    <row r="3" spans="1:11" ht="15" customHeight="1" x14ac:dyDescent="0.3">
      <c r="A3" s="2956" t="s">
        <v>2127</v>
      </c>
      <c r="B3" s="2956"/>
      <c r="C3" s="2956"/>
      <c r="D3" s="2956"/>
      <c r="E3" s="2956"/>
      <c r="F3" s="2956"/>
      <c r="G3" s="2956"/>
      <c r="H3" s="2956"/>
      <c r="I3" s="2956"/>
      <c r="J3" s="2956"/>
      <c r="K3" s="2626"/>
    </row>
    <row r="4" spans="1:11" ht="10.5" customHeight="1" x14ac:dyDescent="0.3">
      <c r="A4" s="2401"/>
      <c r="B4" s="2401"/>
      <c r="C4" s="2401"/>
      <c r="D4" s="2401"/>
      <c r="E4" s="2401"/>
      <c r="F4" s="2401"/>
      <c r="G4" s="2401"/>
      <c r="H4" s="2401"/>
      <c r="I4" s="2401"/>
      <c r="J4" s="2401"/>
    </row>
    <row r="5" spans="1:11" ht="15" customHeight="1" x14ac:dyDescent="0.2">
      <c r="A5" s="116" t="s">
        <v>318</v>
      </c>
      <c r="B5" s="2403" t="str">
        <f>+Index!$E$10</f>
        <v>01</v>
      </c>
      <c r="C5" s="117"/>
      <c r="F5" s="417" t="s">
        <v>319</v>
      </c>
      <c r="G5" s="2958" t="str">
        <f>+Index!E$11</f>
        <v>North Carolina General Assembly</v>
      </c>
      <c r="H5" s="2958"/>
      <c r="I5" s="2958"/>
      <c r="J5" s="2958"/>
    </row>
    <row r="6" spans="1:11" ht="15" customHeight="1" x14ac:dyDescent="0.2">
      <c r="A6" s="116" t="s">
        <v>320</v>
      </c>
      <c r="B6" s="2957" t="str">
        <f>CONCATENATE(Index!$E$12," ",Index!$E$14)</f>
        <v xml:space="preserve"> </v>
      </c>
      <c r="C6" s="2957"/>
      <c r="D6" s="2957"/>
      <c r="E6" s="2957"/>
      <c r="F6" s="1735" t="s">
        <v>168</v>
      </c>
      <c r="G6" s="2959">
        <f>+Index!E$13</f>
        <v>0</v>
      </c>
      <c r="H6" s="2959"/>
      <c r="I6" s="2959"/>
      <c r="J6" s="2959"/>
    </row>
    <row r="7" spans="1:11" s="119" customFormat="1" ht="15" customHeight="1" thickBot="1" x14ac:dyDescent="0.25">
      <c r="A7" s="118"/>
      <c r="B7" s="1736" t="s">
        <v>50</v>
      </c>
      <c r="C7" s="118"/>
      <c r="D7" s="118"/>
      <c r="E7" s="118"/>
      <c r="F7" s="118"/>
      <c r="G7" s="118"/>
      <c r="H7" s="118"/>
      <c r="I7" s="118"/>
      <c r="J7" s="118"/>
    </row>
    <row r="8" spans="1:11" s="119" customFormat="1" ht="12" customHeight="1" x14ac:dyDescent="0.2">
      <c r="B8" s="121"/>
    </row>
    <row r="9" spans="1:11" s="120" customFormat="1" ht="15" customHeight="1" x14ac:dyDescent="0.2">
      <c r="A9" s="121" t="s">
        <v>2128</v>
      </c>
      <c r="B9" s="116"/>
      <c r="C9" s="116"/>
      <c r="D9" s="116"/>
      <c r="E9" s="116"/>
      <c r="F9" s="116"/>
      <c r="G9" s="116"/>
      <c r="H9" s="116"/>
      <c r="I9" s="116"/>
      <c r="J9" s="116"/>
      <c r="K9" s="116"/>
    </row>
    <row r="10" spans="1:11" s="120" customFormat="1" ht="15" customHeight="1" x14ac:dyDescent="0.2">
      <c r="A10" s="121"/>
      <c r="B10" s="116"/>
      <c r="C10" s="116"/>
      <c r="D10" s="116"/>
      <c r="E10" s="116"/>
      <c r="F10" s="116"/>
      <c r="G10" s="116"/>
      <c r="H10" s="116"/>
      <c r="I10" s="116"/>
      <c r="J10" s="116"/>
      <c r="K10" s="116"/>
    </row>
    <row r="11" spans="1:11" s="120" customFormat="1" ht="15" customHeight="1" x14ac:dyDescent="0.2">
      <c r="A11" s="116" t="s">
        <v>2129</v>
      </c>
      <c r="B11" s="116"/>
      <c r="C11" s="116"/>
      <c r="D11" s="122"/>
      <c r="E11" s="116"/>
      <c r="F11" s="116"/>
      <c r="G11" s="116"/>
      <c r="H11" s="122"/>
      <c r="I11" s="116"/>
      <c r="J11" s="116"/>
      <c r="K11" s="116"/>
    </row>
    <row r="12" spans="1:11" s="120" customFormat="1" ht="15" customHeight="1" x14ac:dyDescent="0.2">
      <c r="A12" s="116" t="s">
        <v>2130</v>
      </c>
      <c r="B12" s="116"/>
      <c r="C12" s="116"/>
      <c r="D12" s="122"/>
      <c r="E12" s="116"/>
      <c r="F12" s="116"/>
      <c r="G12" s="116"/>
      <c r="H12" s="122"/>
      <c r="I12" s="116"/>
      <c r="J12" s="116"/>
      <c r="K12" s="116"/>
    </row>
    <row r="13" spans="1:11" s="120" customFormat="1" ht="15" customHeight="1" x14ac:dyDescent="0.2">
      <c r="A13" s="121"/>
      <c r="B13" s="116"/>
      <c r="C13" s="116"/>
      <c r="D13" s="116"/>
      <c r="E13" s="116"/>
      <c r="F13" s="116"/>
      <c r="G13" s="116"/>
      <c r="H13" s="116"/>
      <c r="I13" s="116"/>
      <c r="J13" s="116"/>
      <c r="K13" s="116"/>
    </row>
    <row r="14" spans="1:11" s="120" customFormat="1" ht="8.1" customHeight="1" x14ac:dyDescent="0.2">
      <c r="A14" s="116"/>
      <c r="B14" s="116"/>
      <c r="C14" s="116"/>
      <c r="D14" s="116"/>
      <c r="E14" s="116"/>
      <c r="F14" s="116"/>
      <c r="G14" s="116"/>
      <c r="H14" s="116"/>
      <c r="I14" s="116"/>
      <c r="J14" s="116"/>
      <c r="K14" s="116"/>
    </row>
    <row r="15" spans="1:11" s="119" customFormat="1" ht="15" customHeight="1" x14ac:dyDescent="0.2">
      <c r="A15" s="123"/>
      <c r="B15" s="123"/>
      <c r="C15" s="123"/>
      <c r="D15" s="2953" t="s">
        <v>2131</v>
      </c>
      <c r="E15" s="2954"/>
      <c r="F15" s="2954"/>
      <c r="G15" s="2954"/>
      <c r="H15" s="2954"/>
      <c r="I15" s="2954"/>
      <c r="J15" s="2955"/>
    </row>
    <row r="16" spans="1:11" s="119" customFormat="1" ht="15" customHeight="1" x14ac:dyDescent="0.2">
      <c r="A16" s="123"/>
      <c r="B16" s="123"/>
      <c r="C16" s="123"/>
      <c r="D16" s="2950"/>
      <c r="E16" s="123"/>
      <c r="F16" s="2950"/>
      <c r="G16" s="123"/>
      <c r="H16" s="2950"/>
      <c r="I16" s="123"/>
      <c r="J16" s="2950"/>
    </row>
    <row r="17" spans="1:10" s="119" customFormat="1" ht="15" customHeight="1" x14ac:dyDescent="0.2">
      <c r="A17" s="123"/>
      <c r="B17" s="123"/>
      <c r="C17" s="123"/>
      <c r="D17" s="2951"/>
      <c r="E17" s="123"/>
      <c r="F17" s="2951"/>
      <c r="G17" s="123"/>
      <c r="H17" s="2951"/>
      <c r="I17" s="123"/>
      <c r="J17" s="2951"/>
    </row>
    <row r="18" spans="1:10" s="119" customFormat="1" ht="15" customHeight="1" x14ac:dyDescent="0.2">
      <c r="A18" s="123"/>
      <c r="B18" s="123"/>
      <c r="C18" s="123"/>
      <c r="D18" s="2951"/>
      <c r="E18" s="123"/>
      <c r="F18" s="2951"/>
      <c r="G18" s="123"/>
      <c r="H18" s="2951"/>
      <c r="I18" s="123"/>
      <c r="J18" s="2951"/>
    </row>
    <row r="19" spans="1:10" s="119" customFormat="1" ht="15" customHeight="1" x14ac:dyDescent="0.2">
      <c r="A19" s="123"/>
      <c r="B19" s="123"/>
      <c r="C19" s="123"/>
      <c r="D19" s="2952"/>
      <c r="E19" s="123"/>
      <c r="F19" s="2952"/>
      <c r="G19" s="123"/>
      <c r="H19" s="2952"/>
      <c r="I19" s="123"/>
      <c r="J19" s="2952"/>
    </row>
    <row r="20" spans="1:10" s="119" customFormat="1" ht="15" customHeight="1" x14ac:dyDescent="0.2">
      <c r="A20" s="123" t="s">
        <v>2132</v>
      </c>
      <c r="B20" s="123"/>
      <c r="C20" s="123"/>
      <c r="D20" s="1036"/>
      <c r="E20" s="123"/>
      <c r="F20" s="1036"/>
      <c r="G20" s="123"/>
      <c r="H20" s="1036"/>
      <c r="I20" s="123"/>
      <c r="J20" s="1036"/>
    </row>
    <row r="21" spans="1:10" s="119" customFormat="1" ht="15" customHeight="1" x14ac:dyDescent="0.2">
      <c r="A21" s="123" t="s">
        <v>2133</v>
      </c>
      <c r="B21" s="123"/>
      <c r="C21" s="123"/>
      <c r="D21" s="1036"/>
      <c r="E21" s="123"/>
      <c r="F21" s="1036"/>
      <c r="G21" s="123"/>
      <c r="H21" s="1036"/>
      <c r="I21" s="123"/>
      <c r="J21" s="1036"/>
    </row>
    <row r="22" spans="1:10" s="119" customFormat="1" ht="15" customHeight="1" x14ac:dyDescent="0.2">
      <c r="A22" s="123" t="s">
        <v>2134</v>
      </c>
      <c r="B22" s="123"/>
      <c r="C22" s="123"/>
      <c r="D22" s="1036"/>
      <c r="E22" s="123"/>
      <c r="F22" s="1036"/>
      <c r="G22" s="123"/>
      <c r="H22" s="1036"/>
      <c r="I22" s="123"/>
      <c r="J22" s="1036"/>
    </row>
    <row r="23" spans="1:10" s="119" customFormat="1" ht="15" customHeight="1" x14ac:dyDescent="0.2">
      <c r="A23" s="123" t="s">
        <v>2135</v>
      </c>
      <c r="B23" s="123"/>
      <c r="C23" s="123"/>
      <c r="D23" s="1036"/>
      <c r="E23" s="123"/>
      <c r="F23" s="1036"/>
      <c r="G23" s="123"/>
      <c r="H23" s="1036"/>
      <c r="I23" s="123"/>
      <c r="J23" s="1036"/>
    </row>
    <row r="24" spans="1:10" s="119" customFormat="1" ht="15" customHeight="1" x14ac:dyDescent="0.2">
      <c r="A24" s="123" t="s">
        <v>2136</v>
      </c>
      <c r="B24" s="123"/>
      <c r="C24" s="123"/>
      <c r="D24" s="1036"/>
      <c r="E24" s="123"/>
      <c r="F24" s="1036"/>
      <c r="G24" s="123"/>
      <c r="H24" s="1036"/>
      <c r="I24" s="123"/>
      <c r="J24" s="1036"/>
    </row>
    <row r="25" spans="1:10" s="119" customFormat="1" ht="15" customHeight="1" x14ac:dyDescent="0.2">
      <c r="A25" s="123" t="s">
        <v>2137</v>
      </c>
      <c r="B25" s="123"/>
      <c r="C25" s="123"/>
      <c r="D25" s="1235"/>
      <c r="E25" s="1041"/>
      <c r="F25" s="1235"/>
      <c r="G25" s="1041"/>
      <c r="H25" s="1235"/>
      <c r="I25" s="1041"/>
      <c r="J25" s="1235"/>
    </row>
    <row r="26" spans="1:10" s="119" customFormat="1" ht="15" customHeight="1" x14ac:dyDescent="0.2">
      <c r="A26" s="123" t="s">
        <v>2138</v>
      </c>
      <c r="B26" s="123"/>
      <c r="C26" s="123"/>
      <c r="D26" s="123"/>
      <c r="E26" s="123"/>
      <c r="F26" s="123"/>
      <c r="G26" s="123"/>
      <c r="H26" s="123"/>
      <c r="I26" s="123"/>
      <c r="J26" s="123"/>
    </row>
    <row r="27" spans="1:10" s="119" customFormat="1" ht="15" customHeight="1" x14ac:dyDescent="0.2">
      <c r="A27" s="123" t="s">
        <v>2139</v>
      </c>
      <c r="B27" s="123"/>
      <c r="C27" s="123"/>
      <c r="D27" s="1236"/>
      <c r="E27" s="1041"/>
      <c r="F27" s="1236"/>
      <c r="G27" s="1041"/>
      <c r="H27" s="1236"/>
      <c r="I27" s="1041"/>
      <c r="J27" s="1236"/>
    </row>
    <row r="28" spans="1:10" s="119" customFormat="1" ht="11.25" customHeight="1" x14ac:dyDescent="0.2">
      <c r="A28" s="123"/>
      <c r="B28" s="123"/>
      <c r="C28" s="123"/>
      <c r="D28" s="1737"/>
      <c r="E28" s="1041"/>
      <c r="F28" s="1737"/>
      <c r="G28" s="1041"/>
      <c r="H28" s="1737"/>
      <c r="I28" s="1041"/>
      <c r="J28" s="1737"/>
    </row>
    <row r="29" spans="1:10" s="120" customFormat="1" x14ac:dyDescent="0.2">
      <c r="A29" s="116"/>
      <c r="B29" s="116"/>
      <c r="C29" s="116"/>
      <c r="D29" s="116"/>
      <c r="E29" s="116"/>
      <c r="F29" s="116"/>
      <c r="G29" s="116"/>
      <c r="H29" s="116"/>
      <c r="I29" s="116"/>
      <c r="J29" s="116"/>
    </row>
    <row r="30" spans="1:10" s="120" customFormat="1" x14ac:dyDescent="0.2">
      <c r="A30" s="116"/>
      <c r="B30" s="116"/>
      <c r="C30" s="116"/>
      <c r="D30" s="116"/>
      <c r="E30" s="116"/>
      <c r="F30" s="116"/>
      <c r="G30" s="116"/>
      <c r="H30" s="116"/>
      <c r="I30" s="116"/>
      <c r="J30" s="116"/>
    </row>
    <row r="31" spans="1:10" s="123" customFormat="1" ht="12" x14ac:dyDescent="0.2"/>
    <row r="32" spans="1:10" s="123" customFormat="1" ht="12" x14ac:dyDescent="0.2"/>
    <row r="33" s="123" customFormat="1" ht="12" x14ac:dyDescent="0.2"/>
    <row r="34" s="123" customFormat="1" ht="12" x14ac:dyDescent="0.2"/>
    <row r="35" s="123" customFormat="1" ht="12" x14ac:dyDescent="0.2"/>
    <row r="36" s="123" customFormat="1" ht="12" x14ac:dyDescent="0.2"/>
    <row r="37" s="123" customFormat="1" ht="12" x14ac:dyDescent="0.2"/>
    <row r="38" s="123" customFormat="1" ht="12" x14ac:dyDescent="0.2"/>
    <row r="39" s="123" customFormat="1" ht="12" x14ac:dyDescent="0.2"/>
    <row r="40" s="123" customFormat="1" ht="12" x14ac:dyDescent="0.2"/>
    <row r="41" s="123" customFormat="1" ht="12" x14ac:dyDescent="0.2"/>
    <row r="42" s="123" customFormat="1" ht="12" x14ac:dyDescent="0.2"/>
    <row r="43" s="123" customFormat="1" ht="12" x14ac:dyDescent="0.2"/>
    <row r="44" s="123" customFormat="1" ht="12" x14ac:dyDescent="0.2"/>
    <row r="45" s="123" customFormat="1" ht="12" x14ac:dyDescent="0.2"/>
    <row r="46" s="123" customFormat="1" ht="12" x14ac:dyDescent="0.2"/>
    <row r="47" s="123" customFormat="1" ht="12" x14ac:dyDescent="0.2"/>
    <row r="48" s="123" customFormat="1" ht="12" x14ac:dyDescent="0.2"/>
    <row r="49" s="123" customFormat="1" ht="12" x14ac:dyDescent="0.2"/>
    <row r="50" s="123" customFormat="1" ht="12" x14ac:dyDescent="0.2"/>
    <row r="51" s="123" customFormat="1" ht="12" x14ac:dyDescent="0.2"/>
    <row r="52" s="123" customFormat="1" ht="12" x14ac:dyDescent="0.2"/>
    <row r="53" s="123" customFormat="1" ht="12" x14ac:dyDescent="0.2"/>
    <row r="54" s="123" customFormat="1" ht="12" x14ac:dyDescent="0.2"/>
    <row r="55" s="123" customFormat="1" ht="12" x14ac:dyDescent="0.2"/>
  </sheetData>
  <sheetProtection algorithmName="SHA-512" hashValue="LFcKh00/15sN7keC5VvUpHbFLNn+JTnWZkD3jdaPJ8u+WTJmEwflJO2JHStd6fxy6tJ5HrAIRfPAzJz8tVNlwQ==" saltValue="sH0QTgk+w1eiyG282vxY7w==" spinCount="100000" sheet="1" autoFilter="0"/>
  <customSheetViews>
    <customSheetView guid="{9FCFC836-1CA5-48BF-958D-24D2EA94B219}" showGridLines="0" fitToPage="1">
      <selection activeCell="B12" sqref="B12"/>
      <pageMargins left="0" right="0" top="0" bottom="0" header="0" footer="0"/>
      <printOptions horizontalCentered="1"/>
      <pageSetup orientation="portrait" r:id="rId1"/>
      <headerFooter alignWithMargins="0">
        <oddFooter>&amp;R&amp;"MS Sans Serif,Regular"&amp;A</oddFooter>
      </headerFooter>
    </customSheetView>
    <customSheetView guid="{BEA4BE86-04D1-4C96-9358-7A260B9D2B2D}" showGridLines="0" fitToPage="1" showRuler="0">
      <selection sqref="A1:J1"/>
      <pageMargins left="0" right="0" top="0" bottom="0" header="0" footer="0"/>
      <printOptions horizontalCentered="1"/>
      <pageSetup scale="99" orientation="portrait" horizontalDpi="300" verticalDpi="300" r:id="rId2"/>
      <headerFooter alignWithMargins="0">
        <oddFooter>&amp;R&amp;"MS Sans Serif,Regular"&amp;A</oddFooter>
      </headerFooter>
    </customSheetView>
    <customSheetView guid="{1250FD07-FF56-4A9D-AF9E-C27124A7EBE9}" showGridLines="0" fitToPage="1" showRuler="0">
      <selection sqref="A1:J1"/>
      <pageMargins left="0" right="0" top="0" bottom="0" header="0" footer="0"/>
      <printOptions horizontalCentered="1"/>
      <pageSetup scale="99" orientation="portrait" horizontalDpi="300" verticalDpi="300" r:id="rId3"/>
      <headerFooter alignWithMargins="0">
        <oddFooter>&amp;R&amp;"MS Sans Serif,Regular"&amp;A</oddFooter>
      </headerFooter>
    </customSheetView>
    <customSheetView guid="{B08879A4-635B-4C39-9937-AC7883D562FC}" showGridLines="0" fitToPage="1">
      <selection activeCell="B12" sqref="B12"/>
      <pageMargins left="0" right="0" top="0" bottom="0" header="0" footer="0"/>
      <printOptions horizontalCentered="1"/>
      <pageSetup orientation="portrait" r:id="rId4"/>
      <headerFooter alignWithMargins="0">
        <oddFooter>&amp;R&amp;"MS Sans Serif,Regular"&amp;A</oddFooter>
      </headerFooter>
    </customSheetView>
  </customSheetViews>
  <mergeCells count="12">
    <mergeCell ref="F16:F19"/>
    <mergeCell ref="H16:H19"/>
    <mergeCell ref="J16:J19"/>
    <mergeCell ref="D16:D19"/>
    <mergeCell ref="K1:K3"/>
    <mergeCell ref="D15:J15"/>
    <mergeCell ref="A1:J1"/>
    <mergeCell ref="A2:J2"/>
    <mergeCell ref="A3:J3"/>
    <mergeCell ref="B6:E6"/>
    <mergeCell ref="G5:J5"/>
    <mergeCell ref="G6:J6"/>
  </mergeCells>
  <phoneticPr fontId="18" type="noConversion"/>
  <conditionalFormatting sqref="K1:K3">
    <cfRule type="cellIs" dxfId="50" priority="1" stopIfTrue="1" operator="equal">
      <formula>"na"</formula>
    </cfRule>
  </conditionalFormatting>
  <hyperlinks>
    <hyperlink ref="A1" location="Index!A1" display="Index!A1" xr:uid="{00000000-0004-0000-3700-000000000000}"/>
  </hyperlinks>
  <pageMargins left="0.6" right="0.6" top="0.5" bottom="0.5" header="0.3" footer="0.3"/>
  <pageSetup scale="97" orientation="portrait" r:id="rId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90">
    <pageSetUpPr fitToPage="1"/>
  </sheetPr>
  <dimension ref="A1:V74"/>
  <sheetViews>
    <sheetView showGridLines="0" topLeftCell="B1" zoomScaleNormal="100" workbookViewId="0">
      <selection activeCell="L32" sqref="L32"/>
    </sheetView>
  </sheetViews>
  <sheetFormatPr defaultColWidth="9.42578125" defaultRowHeight="12.75" x14ac:dyDescent="0.2"/>
  <cols>
    <col min="1" max="1" width="16.5703125" style="116" customWidth="1"/>
    <col min="2" max="2" width="22" style="116" customWidth="1"/>
    <col min="3" max="3" width="1.42578125" style="116" customWidth="1"/>
    <col min="4" max="4" width="21.28515625" style="116" customWidth="1"/>
    <col min="5" max="5" width="1.42578125" style="116" customWidth="1"/>
    <col min="6" max="6" width="29.42578125" style="116" customWidth="1"/>
    <col min="7" max="7" width="1.42578125" style="116" customWidth="1"/>
    <col min="8" max="8" width="24.42578125" style="116" customWidth="1"/>
    <col min="9" max="9" width="3.5703125" style="116" customWidth="1"/>
    <col min="10" max="10" width="16.28515625" style="116" customWidth="1"/>
    <col min="11" max="11" width="3.5703125" style="116" customWidth="1"/>
    <col min="12" max="12" width="34.140625" style="116" customWidth="1"/>
    <col min="13" max="13" width="8.5703125" style="116" customWidth="1"/>
    <col min="14" max="14" width="7" style="116" customWidth="1"/>
    <col min="15" max="15" width="6.140625" style="116" customWidth="1"/>
    <col min="16" max="16" width="7" style="116" customWidth="1"/>
    <col min="17" max="18" width="9.42578125" style="116" customWidth="1"/>
    <col min="19" max="19" width="22.42578125" style="116" hidden="1" customWidth="1"/>
    <col min="20" max="20" width="9.42578125" style="116" customWidth="1"/>
    <col min="21" max="21" width="11.42578125" style="116" customWidth="1"/>
    <col min="22" max="22" width="7.85546875" style="116" customWidth="1"/>
    <col min="23" max="31" width="9.42578125" style="116"/>
    <col min="32" max="255" width="16.5703125" style="116" customWidth="1"/>
    <col min="256" max="16384" width="9.42578125" style="116"/>
  </cols>
  <sheetData>
    <row r="1" spans="1:19" ht="25.15" customHeight="1" x14ac:dyDescent="0.25">
      <c r="A1" s="2534" t="str">
        <f>Index!$A$1</f>
        <v xml:space="preserve">                                                               Office of the State Controller                                                                </v>
      </c>
      <c r="B1" s="2534"/>
      <c r="C1" s="2534"/>
      <c r="D1" s="2534"/>
      <c r="E1" s="2534"/>
      <c r="F1" s="2534"/>
      <c r="G1" s="2534"/>
      <c r="H1" s="2534"/>
      <c r="I1" s="2534"/>
      <c r="J1" s="2534"/>
      <c r="K1" s="2534"/>
      <c r="L1" s="2534"/>
      <c r="M1" s="848" t="str">
        <f>IF(Index!$B$84="na","NA","")</f>
        <v/>
      </c>
    </row>
    <row r="2" spans="1:19" ht="15" customHeight="1" x14ac:dyDescent="0.3">
      <c r="A2" s="2956" t="str">
        <f>Index!$A$2</f>
        <v>2024 ACFR Worksheets</v>
      </c>
      <c r="B2" s="2956"/>
      <c r="C2" s="2956"/>
      <c r="D2" s="2956"/>
      <c r="E2" s="2956"/>
      <c r="F2" s="2956"/>
      <c r="G2" s="2956"/>
      <c r="H2" s="2956"/>
      <c r="I2" s="2956"/>
      <c r="J2" s="2956"/>
      <c r="K2" s="2956"/>
      <c r="L2" s="2956"/>
      <c r="M2" s="848"/>
      <c r="S2" s="116" t="s">
        <v>628</v>
      </c>
    </row>
    <row r="3" spans="1:19" ht="15" customHeight="1" x14ac:dyDescent="0.3">
      <c r="A3" s="2956" t="s">
        <v>2140</v>
      </c>
      <c r="B3" s="2956"/>
      <c r="C3" s="2956"/>
      <c r="D3" s="2956"/>
      <c r="E3" s="2956"/>
      <c r="F3" s="2956"/>
      <c r="G3" s="2956"/>
      <c r="H3" s="2956"/>
      <c r="I3" s="2956"/>
      <c r="J3" s="2956"/>
      <c r="K3" s="2956"/>
      <c r="L3" s="2956"/>
      <c r="M3" s="848"/>
      <c r="S3" s="116" t="s">
        <v>2141</v>
      </c>
    </row>
    <row r="4" spans="1:19" ht="15.75" customHeight="1" x14ac:dyDescent="0.3">
      <c r="A4" s="2956" t="s">
        <v>2142</v>
      </c>
      <c r="B4" s="2956"/>
      <c r="C4" s="2956"/>
      <c r="D4" s="2956"/>
      <c r="E4" s="2956"/>
      <c r="F4" s="2956"/>
      <c r="G4" s="2956"/>
      <c r="H4" s="2956"/>
      <c r="I4" s="2956"/>
      <c r="J4" s="2956"/>
      <c r="K4" s="2956"/>
      <c r="L4" s="2956"/>
    </row>
    <row r="5" spans="1:19" ht="10.5" customHeight="1" x14ac:dyDescent="0.3">
      <c r="A5" s="2401"/>
      <c r="B5" s="2401"/>
      <c r="C5" s="2401"/>
      <c r="D5" s="2401"/>
      <c r="E5" s="2401"/>
      <c r="F5" s="2401"/>
      <c r="G5" s="2401"/>
      <c r="H5" s="2401"/>
      <c r="I5" s="2401"/>
      <c r="J5" s="2401"/>
      <c r="K5" s="2401"/>
      <c r="L5" s="2401"/>
    </row>
    <row r="6" spans="1:19" ht="15" customHeight="1" x14ac:dyDescent="0.2">
      <c r="A6" s="116" t="s">
        <v>318</v>
      </c>
      <c r="B6" s="2403" t="str">
        <f>+Index!$E$10</f>
        <v>01</v>
      </c>
      <c r="C6" s="117"/>
      <c r="F6" s="417" t="s">
        <v>319</v>
      </c>
      <c r="G6" s="2970" t="str">
        <f>+Index!E$11</f>
        <v>North Carolina General Assembly</v>
      </c>
      <c r="H6" s="2970"/>
      <c r="I6" s="2970"/>
      <c r="J6" s="2970"/>
      <c r="K6" s="2970"/>
      <c r="L6" s="2970"/>
    </row>
    <row r="7" spans="1:19" ht="15" customHeight="1" x14ac:dyDescent="0.2">
      <c r="A7" s="116" t="s">
        <v>320</v>
      </c>
      <c r="B7" s="2965" t="str">
        <f>CONCATENATE(Index!$E$12," ",Index!$E$14)</f>
        <v xml:space="preserve"> </v>
      </c>
      <c r="C7" s="2965"/>
      <c r="D7" s="2965"/>
      <c r="E7" s="2965"/>
      <c r="F7" s="1735" t="s">
        <v>168</v>
      </c>
      <c r="G7" s="2959">
        <f>+Index!E$13</f>
        <v>0</v>
      </c>
      <c r="H7" s="2959"/>
      <c r="I7" s="2959"/>
      <c r="J7" s="2959"/>
      <c r="K7" s="2959"/>
      <c r="L7" s="2959"/>
    </row>
    <row r="8" spans="1:19" s="119" customFormat="1" ht="15" customHeight="1" thickBot="1" x14ac:dyDescent="0.25">
      <c r="A8" s="118"/>
      <c r="B8" s="1736" t="s">
        <v>50</v>
      </c>
      <c r="C8" s="118"/>
      <c r="D8" s="118"/>
      <c r="E8" s="118"/>
      <c r="F8" s="118"/>
      <c r="G8" s="118"/>
      <c r="H8" s="118"/>
      <c r="I8" s="118"/>
      <c r="J8" s="118"/>
      <c r="K8" s="118"/>
      <c r="L8" s="118"/>
    </row>
    <row r="9" spans="1:19" s="119" customFormat="1" ht="12" customHeight="1" x14ac:dyDescent="0.2">
      <c r="B9" s="121"/>
    </row>
    <row r="10" spans="1:19" s="119" customFormat="1" ht="15" customHeight="1" x14ac:dyDescent="0.2">
      <c r="A10" s="121" t="s">
        <v>2143</v>
      </c>
      <c r="B10" s="116"/>
      <c r="C10" s="116"/>
      <c r="D10" s="116"/>
      <c r="E10" s="116"/>
      <c r="F10" s="116"/>
      <c r="G10" s="116"/>
      <c r="H10" s="116"/>
      <c r="I10" s="116"/>
      <c r="J10" s="116"/>
      <c r="K10" s="116"/>
      <c r="L10" s="116"/>
    </row>
    <row r="11" spans="1:19" s="119" customFormat="1" ht="15" customHeight="1" x14ac:dyDescent="0.2">
      <c r="A11" s="121" t="s">
        <v>2144</v>
      </c>
      <c r="B11" s="116"/>
      <c r="C11" s="116"/>
      <c r="D11" s="116"/>
      <c r="E11" s="116"/>
      <c r="F11" s="116"/>
      <c r="G11" s="116"/>
      <c r="H11" s="116"/>
      <c r="I11" s="116"/>
      <c r="J11" s="116"/>
      <c r="K11" s="116"/>
      <c r="L11" s="116"/>
    </row>
    <row r="12" spans="1:19" s="119" customFormat="1" ht="15" customHeight="1" x14ac:dyDescent="0.2">
      <c r="A12" s="121" t="s">
        <v>2145</v>
      </c>
      <c r="B12" s="116"/>
      <c r="C12" s="116"/>
      <c r="D12" s="116"/>
      <c r="E12" s="116"/>
      <c r="F12" s="116"/>
      <c r="G12" s="116"/>
      <c r="H12" s="116"/>
      <c r="I12" s="116"/>
      <c r="J12" s="116"/>
      <c r="K12" s="116"/>
      <c r="L12" s="116"/>
    </row>
    <row r="13" spans="1:19" s="119" customFormat="1" ht="15" customHeight="1" x14ac:dyDescent="0.2">
      <c r="A13" s="121" t="s">
        <v>2146</v>
      </c>
      <c r="B13" s="116"/>
      <c r="C13" s="116"/>
      <c r="D13" s="116"/>
      <c r="E13" s="116"/>
      <c r="F13" s="116"/>
      <c r="G13" s="116"/>
      <c r="H13" s="116"/>
      <c r="I13" s="116"/>
      <c r="J13" s="116"/>
      <c r="K13" s="116"/>
      <c r="L13" s="116"/>
    </row>
    <row r="14" spans="1:19" s="119" customFormat="1" ht="15" customHeight="1" x14ac:dyDescent="0.2">
      <c r="A14" s="121" t="s">
        <v>2147</v>
      </c>
      <c r="B14" s="116"/>
      <c r="C14" s="116"/>
      <c r="D14" s="116"/>
      <c r="E14" s="116"/>
      <c r="F14" s="116"/>
      <c r="G14" s="116"/>
      <c r="H14" s="116"/>
      <c r="I14" s="116"/>
      <c r="J14" s="116"/>
      <c r="K14" s="116"/>
      <c r="L14" s="116"/>
    </row>
    <row r="15" spans="1:19" s="119" customFormat="1" ht="15" customHeight="1" x14ac:dyDescent="0.2">
      <c r="A15" s="121" t="s">
        <v>2148</v>
      </c>
      <c r="B15" s="116"/>
      <c r="C15" s="116"/>
      <c r="D15" s="116"/>
      <c r="E15" s="116"/>
      <c r="F15" s="116"/>
      <c r="G15" s="116"/>
      <c r="H15" s="116"/>
      <c r="I15" s="116"/>
      <c r="J15" s="116"/>
      <c r="K15" s="116"/>
      <c r="L15" s="116"/>
    </row>
    <row r="16" spans="1:19" s="119" customFormat="1" ht="10.35" customHeight="1" x14ac:dyDescent="0.2">
      <c r="A16" s="121"/>
      <c r="B16" s="116"/>
      <c r="C16" s="116"/>
      <c r="D16" s="116"/>
      <c r="E16" s="116"/>
      <c r="F16" s="116"/>
      <c r="G16" s="116"/>
      <c r="H16" s="116"/>
      <c r="I16" s="116"/>
      <c r="J16" s="116"/>
      <c r="K16" s="116"/>
      <c r="L16" s="116"/>
    </row>
    <row r="17" spans="1:22" s="119" customFormat="1" ht="15" customHeight="1" x14ac:dyDescent="0.2">
      <c r="A17" s="131" t="s">
        <v>2149</v>
      </c>
      <c r="B17" s="116"/>
      <c r="C17" s="116"/>
      <c r="D17" s="116"/>
      <c r="E17" s="116"/>
      <c r="F17" s="116"/>
      <c r="G17" s="116"/>
      <c r="H17" s="116"/>
      <c r="I17" s="116"/>
      <c r="J17" s="116"/>
      <c r="K17" s="116"/>
      <c r="L17" s="116"/>
    </row>
    <row r="18" spans="1:22" s="119" customFormat="1" ht="15" customHeight="1" x14ac:dyDescent="0.2">
      <c r="A18" s="121"/>
      <c r="B18" s="116"/>
      <c r="C18" s="116"/>
      <c r="D18" s="1033" t="s">
        <v>2150</v>
      </c>
      <c r="E18" s="116"/>
      <c r="F18" s="116"/>
      <c r="G18" s="116"/>
      <c r="H18" s="116"/>
      <c r="I18" s="116"/>
      <c r="J18" s="2968" t="s">
        <v>2151</v>
      </c>
      <c r="K18" s="116"/>
      <c r="L18" s="116"/>
    </row>
    <row r="19" spans="1:22" s="119" customFormat="1" ht="15" customHeight="1" x14ac:dyDescent="0.25">
      <c r="A19" s="130"/>
      <c r="B19" s="116"/>
      <c r="C19" s="116"/>
      <c r="D19" s="1034" t="s">
        <v>2152</v>
      </c>
      <c r="E19" s="116"/>
      <c r="F19" s="2966" t="s">
        <v>1901</v>
      </c>
      <c r="G19" s="2966"/>
      <c r="H19" s="2966"/>
      <c r="I19" s="116"/>
      <c r="J19" s="2968"/>
      <c r="K19" s="116"/>
      <c r="L19" s="116"/>
    </row>
    <row r="20" spans="1:22" s="119" customFormat="1" ht="15" customHeight="1" thickBot="1" x14ac:dyDescent="0.25">
      <c r="A20" s="2963" t="s">
        <v>2153</v>
      </c>
      <c r="B20" s="2963"/>
      <c r="C20" s="116"/>
      <c r="D20" s="2402" t="s">
        <v>1359</v>
      </c>
      <c r="E20" s="116"/>
      <c r="F20" s="1035" t="s">
        <v>1408</v>
      </c>
      <c r="G20" s="116"/>
      <c r="H20" s="1035" t="s">
        <v>2154</v>
      </c>
      <c r="I20" s="1033"/>
      <c r="J20" s="2969"/>
      <c r="K20" s="1033"/>
      <c r="L20" s="2402" t="s">
        <v>1876</v>
      </c>
      <c r="M20" s="116"/>
    </row>
    <row r="21" spans="1:22" s="119" customFormat="1" ht="15" customHeight="1" x14ac:dyDescent="0.2">
      <c r="A21" s="2964"/>
      <c r="B21" s="2964"/>
      <c r="C21" s="1886"/>
      <c r="D21" s="1932"/>
      <c r="E21" s="1887"/>
      <c r="F21" s="1927"/>
      <c r="G21" s="1928"/>
      <c r="H21" s="1929"/>
      <c r="I21" s="1887"/>
      <c r="J21" s="2089"/>
      <c r="K21" s="1887"/>
      <c r="L21" s="2092"/>
      <c r="M21" s="1872"/>
      <c r="N21" s="1870"/>
      <c r="O21" s="1870"/>
      <c r="P21" s="1871"/>
      <c r="Q21" s="1871"/>
      <c r="R21" s="1871"/>
      <c r="S21" s="1871"/>
      <c r="T21" s="1871"/>
      <c r="U21" s="1871"/>
      <c r="V21" s="1871"/>
    </row>
    <row r="22" spans="1:22" s="119" customFormat="1" ht="15" customHeight="1" x14ac:dyDescent="0.2">
      <c r="A22" s="2962"/>
      <c r="B22" s="2962"/>
      <c r="C22" s="1886"/>
      <c r="D22" s="1932"/>
      <c r="E22" s="1887"/>
      <c r="F22" s="1930"/>
      <c r="G22" s="1928"/>
      <c r="H22" s="1931"/>
      <c r="I22" s="1887"/>
      <c r="J22" s="2087"/>
      <c r="K22" s="1887"/>
      <c r="L22" s="2093"/>
      <c r="M22" s="1872"/>
      <c r="N22" s="1870"/>
      <c r="O22" s="1870"/>
      <c r="P22" s="1871"/>
      <c r="Q22" s="1871"/>
      <c r="R22" s="1871"/>
      <c r="S22" s="1871"/>
      <c r="T22" s="1871"/>
    </row>
    <row r="23" spans="1:22" s="119" customFormat="1" ht="15" customHeight="1" x14ac:dyDescent="0.2">
      <c r="A23" s="2962"/>
      <c r="B23" s="2967"/>
      <c r="C23" s="1886"/>
      <c r="D23" s="1932"/>
      <c r="E23" s="1887"/>
      <c r="F23" s="1930"/>
      <c r="G23" s="1928"/>
      <c r="H23" s="1929"/>
      <c r="I23" s="1887"/>
      <c r="J23" s="2088"/>
      <c r="K23" s="1887"/>
      <c r="L23" s="2093"/>
      <c r="M23" s="1872"/>
      <c r="N23" s="1870"/>
      <c r="O23" s="1870"/>
      <c r="P23" s="1871"/>
      <c r="Q23" s="1871"/>
      <c r="R23" s="1871"/>
      <c r="S23" s="1871"/>
      <c r="T23" s="1871"/>
    </row>
    <row r="24" spans="1:22" s="119" customFormat="1" ht="15" customHeight="1" x14ac:dyDescent="0.2">
      <c r="A24" s="2962"/>
      <c r="B24" s="2967"/>
      <c r="C24" s="1886"/>
      <c r="D24" s="1932"/>
      <c r="E24" s="1887"/>
      <c r="F24" s="1930"/>
      <c r="G24" s="1928"/>
      <c r="H24" s="1929"/>
      <c r="I24" s="1887"/>
      <c r="J24" s="2089"/>
      <c r="K24" s="1887"/>
      <c r="L24" s="2093"/>
      <c r="M24" s="1872"/>
      <c r="N24" s="1870"/>
      <c r="O24" s="1870"/>
      <c r="P24" s="1871"/>
      <c r="Q24" s="1871"/>
      <c r="R24" s="1871"/>
      <c r="S24" s="1871"/>
      <c r="T24" s="1871"/>
    </row>
    <row r="25" spans="1:22" s="119" customFormat="1" ht="15" customHeight="1" x14ac:dyDescent="0.2">
      <c r="A25" s="2962"/>
      <c r="B25" s="2962"/>
      <c r="C25" s="1886"/>
      <c r="D25" s="1932"/>
      <c r="E25" s="1887"/>
      <c r="F25" s="1930"/>
      <c r="G25" s="1928"/>
      <c r="H25" s="1929"/>
      <c r="I25" s="1887"/>
      <c r="J25" s="2088"/>
      <c r="K25" s="1887"/>
      <c r="L25" s="2093"/>
      <c r="M25" s="1872"/>
      <c r="N25" s="1870"/>
      <c r="O25" s="1870"/>
      <c r="P25" s="1871"/>
      <c r="Q25" s="1871"/>
      <c r="R25" s="1871"/>
      <c r="S25" s="1871"/>
      <c r="T25" s="1871"/>
    </row>
    <row r="26" spans="1:22" s="119" customFormat="1" ht="15" customHeight="1" x14ac:dyDescent="0.2">
      <c r="A26" s="2962"/>
      <c r="B26" s="2962"/>
      <c r="C26" s="1886"/>
      <c r="D26" s="1932"/>
      <c r="E26" s="1887"/>
      <c r="F26" s="1930"/>
      <c r="G26" s="1928"/>
      <c r="H26" s="1929"/>
      <c r="I26" s="1887"/>
      <c r="J26" s="2089"/>
      <c r="K26" s="1887"/>
      <c r="L26" s="2093"/>
      <c r="M26" s="1872"/>
      <c r="N26" s="1870"/>
      <c r="O26" s="1870"/>
      <c r="P26" s="1871"/>
      <c r="Q26" s="1871"/>
      <c r="R26" s="1871"/>
      <c r="S26" s="1871"/>
      <c r="T26" s="1871"/>
    </row>
    <row r="27" spans="1:22" s="119" customFormat="1" ht="15" customHeight="1" x14ac:dyDescent="0.2">
      <c r="A27" s="2962"/>
      <c r="B27" s="2962"/>
      <c r="C27" s="1886"/>
      <c r="D27" s="1932"/>
      <c r="E27" s="1887"/>
      <c r="F27" s="1930"/>
      <c r="G27" s="1928"/>
      <c r="H27" s="1929"/>
      <c r="I27" s="1887"/>
      <c r="J27" s="2088"/>
      <c r="K27" s="1887"/>
      <c r="L27" s="2093"/>
      <c r="M27" s="1872"/>
      <c r="N27" s="1870"/>
      <c r="O27" s="1870"/>
      <c r="P27" s="1871"/>
      <c r="Q27" s="1871"/>
      <c r="R27" s="1871"/>
      <c r="S27" s="1871"/>
      <c r="T27" s="1871"/>
    </row>
    <row r="28" spans="1:22" s="119" customFormat="1" ht="15" customHeight="1" x14ac:dyDescent="0.2">
      <c r="A28" s="2962"/>
      <c r="B28" s="2962"/>
      <c r="C28" s="1886"/>
      <c r="D28" s="1932"/>
      <c r="E28" s="1887"/>
      <c r="F28" s="1930"/>
      <c r="G28" s="1928"/>
      <c r="H28" s="1929"/>
      <c r="I28" s="1887"/>
      <c r="J28" s="2088"/>
      <c r="K28" s="1887"/>
      <c r="L28" s="2093"/>
      <c r="M28" s="1872"/>
      <c r="N28" s="1870"/>
      <c r="O28" s="1870"/>
      <c r="P28" s="1871"/>
      <c r="Q28" s="1871"/>
      <c r="R28" s="1871"/>
      <c r="S28" s="1871"/>
      <c r="T28" s="1871"/>
    </row>
    <row r="29" spans="1:22" s="119" customFormat="1" ht="15" customHeight="1" x14ac:dyDescent="0.2">
      <c r="A29" s="1037"/>
      <c r="B29" s="132"/>
      <c r="C29" s="123"/>
      <c r="D29" s="1933"/>
      <c r="E29" s="123"/>
      <c r="F29" s="121" t="str">
        <f>IF(D30='905'!F25,"Agrees to 'Due from agency/institution","Doesn't agree to 'Due from agency/institution")</f>
        <v>Agrees to 'Due from agency/institution</v>
      </c>
      <c r="G29" s="123"/>
      <c r="H29" s="123"/>
      <c r="I29" s="123"/>
      <c r="J29" s="123"/>
      <c r="K29" s="123"/>
      <c r="L29" s="2094"/>
      <c r="M29" s="116"/>
    </row>
    <row r="30" spans="1:22" ht="15" customHeight="1" x14ac:dyDescent="0.2">
      <c r="A30" s="131"/>
      <c r="B30" s="1038" t="s">
        <v>962</v>
      </c>
      <c r="D30" s="1934">
        <f>SUM(D21:D28)</f>
        <v>0</v>
      </c>
      <c r="F30" s="121" t="s">
        <v>2155</v>
      </c>
      <c r="H30" s="417"/>
      <c r="I30" s="121"/>
      <c r="J30" s="121"/>
      <c r="K30" s="121"/>
    </row>
    <row r="31" spans="1:22" ht="15" customHeight="1" thickBot="1" x14ac:dyDescent="0.25">
      <c r="A31" s="131"/>
      <c r="B31" s="1038"/>
      <c r="D31" s="1934"/>
      <c r="F31" s="121" t="s">
        <v>2156</v>
      </c>
      <c r="H31" s="121"/>
      <c r="I31" s="121"/>
      <c r="J31" s="121"/>
      <c r="K31" s="121"/>
    </row>
    <row r="32" spans="1:22" s="119" customFormat="1" ht="14.45" customHeight="1" thickBot="1" x14ac:dyDescent="0.25">
      <c r="A32" s="1039"/>
      <c r="B32" s="1039"/>
      <c r="C32" s="1039"/>
      <c r="D32" s="1935"/>
      <c r="E32" s="1039"/>
      <c r="F32" s="1039"/>
      <c r="G32" s="1039"/>
      <c r="H32" s="1040"/>
      <c r="I32" s="1039"/>
      <c r="J32" s="1039"/>
      <c r="K32" s="1039"/>
      <c r="L32" s="1040"/>
    </row>
    <row r="33" spans="1:20" s="119" customFormat="1" ht="12.6" customHeight="1" x14ac:dyDescent="0.2">
      <c r="A33" s="123"/>
      <c r="B33" s="123"/>
      <c r="C33" s="123"/>
      <c r="D33" s="1936"/>
      <c r="E33" s="123"/>
      <c r="F33" s="1041"/>
      <c r="G33" s="123"/>
      <c r="H33" s="1041"/>
      <c r="I33" s="123"/>
      <c r="J33" s="123"/>
      <c r="K33" s="123"/>
      <c r="L33" s="1041"/>
    </row>
    <row r="34" spans="1:20" s="119" customFormat="1" ht="15" customHeight="1" x14ac:dyDescent="0.2">
      <c r="A34" s="131" t="s">
        <v>2157</v>
      </c>
      <c r="B34" s="116"/>
      <c r="C34" s="116"/>
      <c r="D34" s="1937"/>
      <c r="E34" s="116"/>
      <c r="F34" s="116"/>
      <c r="G34" s="116"/>
      <c r="H34" s="116"/>
      <c r="I34" s="116"/>
      <c r="J34" s="116"/>
      <c r="K34" s="116"/>
      <c r="L34" s="116"/>
    </row>
    <row r="35" spans="1:20" s="119" customFormat="1" ht="15" customHeight="1" x14ac:dyDescent="0.2">
      <c r="A35" s="121"/>
      <c r="B35" s="116"/>
      <c r="C35" s="116"/>
      <c r="D35" s="1937" t="s">
        <v>2150</v>
      </c>
      <c r="E35" s="116"/>
      <c r="F35" s="116"/>
      <c r="G35" s="116"/>
      <c r="H35" s="116"/>
      <c r="I35" s="116"/>
      <c r="J35" s="2968" t="s">
        <v>2158</v>
      </c>
      <c r="K35" s="116"/>
      <c r="L35" s="116"/>
    </row>
    <row r="36" spans="1:20" s="119" customFormat="1" ht="15" customHeight="1" x14ac:dyDescent="0.25">
      <c r="A36" s="130"/>
      <c r="B36" s="116"/>
      <c r="C36" s="116"/>
      <c r="D36" s="1938" t="s">
        <v>2159</v>
      </c>
      <c r="E36" s="116"/>
      <c r="F36" s="2966" t="s">
        <v>1912</v>
      </c>
      <c r="G36" s="2966"/>
      <c r="H36" s="2966"/>
      <c r="I36" s="116"/>
      <c r="J36" s="2968"/>
      <c r="K36" s="116"/>
      <c r="L36" s="116"/>
    </row>
    <row r="37" spans="1:20" s="119" customFormat="1" ht="15" customHeight="1" thickBot="1" x14ac:dyDescent="0.25">
      <c r="A37" s="2963" t="s">
        <v>2153</v>
      </c>
      <c r="B37" s="2963"/>
      <c r="C37" s="116"/>
      <c r="D37" s="1939" t="s">
        <v>1359</v>
      </c>
      <c r="E37" s="116"/>
      <c r="F37" s="1035" t="s">
        <v>1408</v>
      </c>
      <c r="G37" s="116"/>
      <c r="H37" s="1035" t="s">
        <v>2154</v>
      </c>
      <c r="I37" s="1033"/>
      <c r="J37" s="2969"/>
      <c r="K37" s="1033"/>
      <c r="L37" s="2402" t="s">
        <v>1876</v>
      </c>
      <c r="M37" s="116"/>
    </row>
    <row r="38" spans="1:20" s="119" customFormat="1" ht="15" customHeight="1" x14ac:dyDescent="0.2">
      <c r="A38" s="2964"/>
      <c r="B38" s="2964"/>
      <c r="C38" s="1886"/>
      <c r="D38" s="1932"/>
      <c r="E38" s="1928"/>
      <c r="F38" s="1927"/>
      <c r="G38" s="1928"/>
      <c r="H38" s="1929"/>
      <c r="I38" s="1928"/>
      <c r="J38" s="2087"/>
      <c r="K38" s="1928"/>
      <c r="L38" s="2090"/>
      <c r="M38" s="1872"/>
      <c r="N38" s="1870"/>
      <c r="O38" s="1870"/>
      <c r="P38" s="1871"/>
      <c r="Q38" s="1871"/>
      <c r="R38" s="1871"/>
      <c r="S38" s="1871"/>
      <c r="T38" s="1871"/>
    </row>
    <row r="39" spans="1:20" s="119" customFormat="1" ht="15" customHeight="1" x14ac:dyDescent="0.2">
      <c r="A39" s="2960"/>
      <c r="B39" s="2960"/>
      <c r="C39" s="1886"/>
      <c r="D39" s="1932"/>
      <c r="E39" s="1928"/>
      <c r="F39" s="1930"/>
      <c r="G39" s="1928"/>
      <c r="H39" s="1931"/>
      <c r="I39" s="1928"/>
      <c r="J39" s="2088"/>
      <c r="K39" s="1928"/>
      <c r="L39" s="2091"/>
      <c r="M39" s="1872"/>
      <c r="N39" s="1870"/>
      <c r="O39" s="1870"/>
      <c r="P39" s="1871"/>
      <c r="Q39" s="1871"/>
      <c r="R39" s="1871"/>
      <c r="S39" s="1871"/>
      <c r="T39" s="1871"/>
    </row>
    <row r="40" spans="1:20" s="119" customFormat="1" ht="15" customHeight="1" x14ac:dyDescent="0.2">
      <c r="A40" s="2960"/>
      <c r="B40" s="2961"/>
      <c r="C40" s="1886"/>
      <c r="D40" s="1932"/>
      <c r="E40" s="1928"/>
      <c r="F40" s="1930"/>
      <c r="G40" s="1928"/>
      <c r="H40" s="1929"/>
      <c r="I40" s="1928"/>
      <c r="J40" s="2089"/>
      <c r="K40" s="1928"/>
      <c r="L40" s="2091"/>
      <c r="M40" s="1872"/>
      <c r="N40" s="1870"/>
      <c r="O40" s="1870"/>
      <c r="P40" s="1871"/>
      <c r="Q40" s="1871"/>
      <c r="R40" s="1871"/>
      <c r="S40" s="1871"/>
      <c r="T40" s="1871"/>
    </row>
    <row r="41" spans="1:20" s="119" customFormat="1" ht="15" customHeight="1" x14ac:dyDescent="0.2">
      <c r="A41" s="2960"/>
      <c r="B41" s="2961"/>
      <c r="C41" s="1886"/>
      <c r="D41" s="1932"/>
      <c r="E41" s="1928"/>
      <c r="F41" s="1930"/>
      <c r="G41" s="1928"/>
      <c r="H41" s="1929"/>
      <c r="I41" s="1928"/>
      <c r="J41" s="2088"/>
      <c r="K41" s="1928"/>
      <c r="L41" s="2091"/>
      <c r="M41" s="1872"/>
      <c r="N41" s="1870"/>
      <c r="O41" s="1870"/>
      <c r="P41" s="1871"/>
      <c r="Q41" s="1871"/>
      <c r="R41" s="1871"/>
      <c r="S41" s="1871"/>
      <c r="T41" s="1871"/>
    </row>
    <row r="42" spans="1:20" s="119" customFormat="1" ht="15" customHeight="1" x14ac:dyDescent="0.2">
      <c r="A42" s="2960"/>
      <c r="B42" s="2960"/>
      <c r="C42" s="1886"/>
      <c r="D42" s="1932"/>
      <c r="E42" s="1928"/>
      <c r="F42" s="1930"/>
      <c r="G42" s="1928"/>
      <c r="H42" s="1929"/>
      <c r="I42" s="1928"/>
      <c r="J42" s="2089"/>
      <c r="K42" s="1928"/>
      <c r="L42" s="2091"/>
      <c r="M42" s="1872"/>
      <c r="N42" s="1870"/>
      <c r="O42" s="1870"/>
      <c r="P42" s="1871"/>
      <c r="Q42" s="1871"/>
      <c r="R42" s="1871"/>
      <c r="S42" s="1871"/>
      <c r="T42" s="1871"/>
    </row>
    <row r="43" spans="1:20" s="119" customFormat="1" ht="15" customHeight="1" x14ac:dyDescent="0.2">
      <c r="A43" s="2960"/>
      <c r="B43" s="2960"/>
      <c r="C43" s="1886"/>
      <c r="D43" s="1932"/>
      <c r="E43" s="1928"/>
      <c r="F43" s="1930"/>
      <c r="G43" s="1928"/>
      <c r="H43" s="1929"/>
      <c r="I43" s="1928"/>
      <c r="J43" s="2088"/>
      <c r="K43" s="1928"/>
      <c r="L43" s="2091"/>
      <c r="M43" s="1872"/>
      <c r="N43" s="1870"/>
      <c r="O43" s="1870"/>
      <c r="P43" s="1871"/>
      <c r="Q43" s="1871"/>
      <c r="R43" s="1871"/>
      <c r="S43" s="1871"/>
      <c r="T43" s="1871"/>
    </row>
    <row r="44" spans="1:20" s="119" customFormat="1" ht="15" customHeight="1" x14ac:dyDescent="0.2">
      <c r="A44" s="2960"/>
      <c r="B44" s="2960"/>
      <c r="C44" s="1886"/>
      <c r="D44" s="1932"/>
      <c r="E44" s="1928"/>
      <c r="F44" s="1930"/>
      <c r="G44" s="1928"/>
      <c r="H44" s="1929"/>
      <c r="I44" s="1928"/>
      <c r="J44" s="2088"/>
      <c r="K44" s="1928"/>
      <c r="L44" s="2091"/>
      <c r="M44" s="1872"/>
      <c r="N44" s="1870"/>
      <c r="O44" s="1870"/>
      <c r="P44" s="1871"/>
      <c r="Q44" s="1871"/>
      <c r="R44" s="1871"/>
      <c r="S44" s="1871"/>
      <c r="T44" s="1871"/>
    </row>
    <row r="45" spans="1:20" s="119" customFormat="1" ht="15" customHeight="1" x14ac:dyDescent="0.2">
      <c r="A45" s="2960"/>
      <c r="B45" s="2960"/>
      <c r="C45" s="1886"/>
      <c r="D45" s="1932"/>
      <c r="E45" s="1928"/>
      <c r="F45" s="1930"/>
      <c r="G45" s="1928"/>
      <c r="H45" s="1929"/>
      <c r="I45" s="1928"/>
      <c r="J45" s="2088"/>
      <c r="K45" s="1928"/>
      <c r="L45" s="2091"/>
      <c r="M45" s="1872"/>
      <c r="N45" s="1870"/>
      <c r="O45" s="1870"/>
      <c r="P45" s="1871"/>
      <c r="Q45" s="1871"/>
      <c r="R45" s="1871"/>
      <c r="S45" s="1871"/>
      <c r="T45" s="1871"/>
    </row>
    <row r="46" spans="1:20" s="119" customFormat="1" ht="15" customHeight="1" x14ac:dyDescent="0.2">
      <c r="A46" s="1037"/>
      <c r="B46" s="132"/>
      <c r="C46" s="123"/>
      <c r="D46" s="1940"/>
      <c r="E46" s="123"/>
      <c r="F46" s="121" t="str">
        <f>IF(D47='905'!F115,"Agrees to 'Due to agency/institution component", "Doesn't agree to 'Due to agency/institution component'")</f>
        <v>Agrees to 'Due to agency/institution component</v>
      </c>
      <c r="G46" s="123"/>
      <c r="H46" s="123"/>
      <c r="I46" s="123"/>
      <c r="J46" s="123"/>
      <c r="K46" s="123"/>
      <c r="L46" s="2094"/>
      <c r="M46" s="116"/>
    </row>
    <row r="47" spans="1:20" s="119" customFormat="1" ht="15" customHeight="1" thickBot="1" x14ac:dyDescent="0.25">
      <c r="A47" s="122"/>
      <c r="B47" s="1038" t="s">
        <v>962</v>
      </c>
      <c r="C47" s="116"/>
      <c r="D47" s="1941">
        <f>SUM(D38:D45)</f>
        <v>0</v>
      </c>
      <c r="E47" s="116"/>
      <c r="F47" s="121" t="s">
        <v>2160</v>
      </c>
      <c r="G47" s="116"/>
      <c r="H47" s="116"/>
      <c r="I47" s="116"/>
      <c r="J47" s="116"/>
      <c r="K47" s="116"/>
      <c r="L47" s="116"/>
      <c r="M47" s="116"/>
    </row>
    <row r="48" spans="1:20" x14ac:dyDescent="0.2">
      <c r="A48" s="121"/>
      <c r="D48" s="122"/>
      <c r="F48" s="121" t="s">
        <v>2161</v>
      </c>
      <c r="H48" s="122"/>
    </row>
    <row r="49" spans="1:12" s="119" customFormat="1" ht="12" customHeight="1" x14ac:dyDescent="0.2">
      <c r="A49" s="121"/>
      <c r="B49" s="116"/>
      <c r="C49" s="116"/>
      <c r="D49" s="116"/>
      <c r="E49" s="116"/>
      <c r="F49" s="116"/>
      <c r="G49" s="116"/>
      <c r="H49" s="116"/>
      <c r="I49" s="116"/>
      <c r="J49" s="116"/>
      <c r="K49" s="116"/>
      <c r="L49" s="116"/>
    </row>
    <row r="50" spans="1:12" s="123" customFormat="1" ht="15.75" x14ac:dyDescent="0.25">
      <c r="A50" s="421"/>
      <c r="B50" s="115"/>
      <c r="C50" s="115"/>
      <c r="D50" s="115"/>
      <c r="E50" s="115"/>
    </row>
    <row r="51" spans="1:12" s="123" customFormat="1" ht="15.75" x14ac:dyDescent="0.25">
      <c r="A51" s="421"/>
      <c r="B51" s="115"/>
      <c r="C51" s="115"/>
      <c r="D51" s="115"/>
      <c r="E51" s="115"/>
    </row>
    <row r="52" spans="1:12" s="123" customFormat="1" ht="15.75" x14ac:dyDescent="0.25">
      <c r="A52" s="421"/>
      <c r="B52" s="115"/>
      <c r="C52" s="115"/>
      <c r="D52" s="115"/>
      <c r="E52" s="115"/>
    </row>
    <row r="53" spans="1:12" s="123" customFormat="1" ht="12" x14ac:dyDescent="0.2"/>
    <row r="54" spans="1:12" s="123" customFormat="1" ht="12" x14ac:dyDescent="0.2"/>
    <row r="55" spans="1:12" s="123" customFormat="1" ht="12" x14ac:dyDescent="0.2"/>
    <row r="56" spans="1:12" s="123" customFormat="1" ht="12" x14ac:dyDescent="0.2"/>
    <row r="57" spans="1:12" s="123" customFormat="1" ht="12" x14ac:dyDescent="0.2"/>
    <row r="58" spans="1:12" s="123" customFormat="1" ht="12" x14ac:dyDescent="0.2"/>
    <row r="59" spans="1:12" s="123" customFormat="1" ht="12" x14ac:dyDescent="0.2"/>
    <row r="60" spans="1:12" s="123" customFormat="1" ht="12" x14ac:dyDescent="0.2"/>
    <row r="61" spans="1:12" s="123" customFormat="1" ht="12" x14ac:dyDescent="0.2"/>
    <row r="62" spans="1:12" s="123" customFormat="1" ht="12" x14ac:dyDescent="0.2"/>
    <row r="63" spans="1:12" s="123" customFormat="1" ht="12" x14ac:dyDescent="0.2"/>
    <row r="64" spans="1:12" s="123" customFormat="1" ht="12" x14ac:dyDescent="0.2"/>
    <row r="65" s="123" customFormat="1" ht="12" x14ac:dyDescent="0.2"/>
    <row r="66" s="123" customFormat="1" ht="12" x14ac:dyDescent="0.2"/>
    <row r="67" s="123" customFormat="1" ht="12" x14ac:dyDescent="0.2"/>
    <row r="68" s="123" customFormat="1" ht="12" x14ac:dyDescent="0.2"/>
    <row r="69" s="123" customFormat="1" ht="12" x14ac:dyDescent="0.2"/>
    <row r="70" s="123" customFormat="1" ht="12" x14ac:dyDescent="0.2"/>
    <row r="71" s="123" customFormat="1" ht="12" x14ac:dyDescent="0.2"/>
    <row r="72" s="123" customFormat="1" ht="12" x14ac:dyDescent="0.2"/>
    <row r="73" s="123" customFormat="1" ht="12" x14ac:dyDescent="0.2"/>
    <row r="74" s="123" customFormat="1" ht="12" x14ac:dyDescent="0.2"/>
  </sheetData>
  <sheetProtection algorithmName="SHA-512" hashValue="R7iARcfAvcTUVlXj26k+UUSSelLsc9jHs3GwbTeVqz+oGt2QmW9oSjMHMXaGem/jJDRC3DUbwAUgp9pIF6G79g==" saltValue="NUR66PSUqdoUixHqmSxcXQ==" spinCount="100000" sheet="1" autoFilter="0"/>
  <mergeCells count="29">
    <mergeCell ref="J18:J20"/>
    <mergeCell ref="J35:J37"/>
    <mergeCell ref="G6:L6"/>
    <mergeCell ref="A1:L1"/>
    <mergeCell ref="A2:L2"/>
    <mergeCell ref="A3:L3"/>
    <mergeCell ref="A4:L4"/>
    <mergeCell ref="A43:B43"/>
    <mergeCell ref="A44:B44"/>
    <mergeCell ref="A45:B45"/>
    <mergeCell ref="B7:E7"/>
    <mergeCell ref="G7:L7"/>
    <mergeCell ref="F36:H36"/>
    <mergeCell ref="F19:H19"/>
    <mergeCell ref="A20:B20"/>
    <mergeCell ref="A21:B21"/>
    <mergeCell ref="A22:B22"/>
    <mergeCell ref="A23:B23"/>
    <mergeCell ref="A42:B42"/>
    <mergeCell ref="A24:B24"/>
    <mergeCell ref="A25:B25"/>
    <mergeCell ref="A26:B26"/>
    <mergeCell ref="A27:B27"/>
    <mergeCell ref="A41:B41"/>
    <mergeCell ref="A28:B28"/>
    <mergeCell ref="A37:B37"/>
    <mergeCell ref="A38:B38"/>
    <mergeCell ref="A39:B39"/>
    <mergeCell ref="A40:B40"/>
  </mergeCells>
  <conditionalFormatting sqref="M1:M3">
    <cfRule type="cellIs" dxfId="49" priority="1" stopIfTrue="1" operator="equal">
      <formula>"na"</formula>
    </cfRule>
  </conditionalFormatting>
  <dataValidations count="2">
    <dataValidation errorStyle="warning" allowBlank="1" showInputMessage="1" showErrorMessage="1" errorTitle="Incomplete data" error="One or more lines are incomplete." sqref="M21:M28 M38:M45" xr:uid="{36394DBF-5A8C-4DCD-80DB-1B734AC65ABC}"/>
    <dataValidation type="list" allowBlank="1" showInputMessage="1" showErrorMessage="1" sqref="J38:J45 J21:J28" xr:uid="{3A3015CA-AA91-42E4-BFF0-2C6ABE78B1CA}">
      <formula1>$S$1:$S$3</formula1>
    </dataValidation>
  </dataValidations>
  <hyperlinks>
    <hyperlink ref="A1" location="Index!A1" display="Index!A1" xr:uid="{00000000-0004-0000-3800-000000000000}"/>
  </hyperlinks>
  <pageMargins left="0.6" right="0.6" top="0.5" bottom="0.5" header="0.3" footer="0.3"/>
  <pageSetup scale="72"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310">
    <pageSetUpPr fitToPage="1"/>
  </sheetPr>
  <dimension ref="A1:V42"/>
  <sheetViews>
    <sheetView showGridLines="0" zoomScaleNormal="100" zoomScaleSheetLayoutView="100" workbookViewId="0">
      <selection activeCell="A16" sqref="A16:H16"/>
    </sheetView>
  </sheetViews>
  <sheetFormatPr defaultColWidth="8" defaultRowHeight="12.75" x14ac:dyDescent="0.2"/>
  <cols>
    <col min="1" max="1" width="8.5703125" style="294" customWidth="1"/>
    <col min="2" max="2" width="4.5703125" style="294" customWidth="1"/>
    <col min="3" max="3" width="8.5703125" style="294" customWidth="1"/>
    <col min="4" max="7" width="4.5703125" style="294" customWidth="1"/>
    <col min="8" max="8" width="2.5703125" style="294" customWidth="1"/>
    <col min="9" max="9" width="1.5703125" style="294" customWidth="1"/>
    <col min="10" max="10" width="7.5703125" style="294" customWidth="1"/>
    <col min="11" max="11" width="1.5703125" style="294" customWidth="1"/>
    <col min="12" max="12" width="14.42578125" style="294" customWidth="1"/>
    <col min="13" max="13" width="1.5703125" style="294" customWidth="1"/>
    <col min="14" max="14" width="13.42578125" style="294" customWidth="1"/>
    <col min="15" max="15" width="1.5703125" style="294" customWidth="1"/>
    <col min="16" max="16" width="15.42578125" style="294" customWidth="1"/>
    <col min="17" max="17" width="1.5703125" style="294" customWidth="1"/>
    <col min="18" max="18" width="13.42578125" style="294" customWidth="1"/>
    <col min="19" max="19" width="1.5703125" style="294" customWidth="1"/>
    <col min="20" max="20" width="14.42578125" style="294" customWidth="1"/>
    <col min="21" max="21" width="4.5703125" style="294" customWidth="1"/>
    <col min="22" max="216" width="14.42578125" style="294" customWidth="1"/>
    <col min="217" max="16384" width="8" style="294"/>
  </cols>
  <sheetData>
    <row r="1" spans="1:22" s="293" customFormat="1" ht="15" customHeight="1" x14ac:dyDescent="0.25">
      <c r="A1" s="2592" t="str">
        <f>+Index!$A$1</f>
        <v xml:space="preserve">                                                               Office of the State Controller                                                                </v>
      </c>
      <c r="B1" s="2592"/>
      <c r="C1" s="2592"/>
      <c r="D1" s="2592"/>
      <c r="E1" s="2592"/>
      <c r="F1" s="2592"/>
      <c r="G1" s="2592"/>
      <c r="H1" s="2592"/>
      <c r="I1" s="2592"/>
      <c r="J1" s="2592"/>
      <c r="K1" s="2592"/>
      <c r="L1" s="2592"/>
      <c r="M1" s="2592"/>
      <c r="N1" s="2592"/>
      <c r="O1" s="2592"/>
      <c r="P1" s="2592"/>
      <c r="Q1" s="2592"/>
      <c r="R1" s="2592"/>
      <c r="S1" s="2592"/>
      <c r="T1" s="2592"/>
      <c r="U1" s="2626" t="str">
        <f>IF(Index!$B$85="na","NA","")</f>
        <v/>
      </c>
    </row>
    <row r="2" spans="1:22" s="293" customFormat="1" ht="15" customHeight="1" x14ac:dyDescent="0.25">
      <c r="A2" s="2972" t="str">
        <f>+Index!$A$2</f>
        <v>2024 ACFR Worksheets</v>
      </c>
      <c r="B2" s="2972"/>
      <c r="C2" s="2972"/>
      <c r="D2" s="2972"/>
      <c r="E2" s="2972"/>
      <c r="F2" s="2972"/>
      <c r="G2" s="2972"/>
      <c r="H2" s="2972"/>
      <c r="I2" s="2972"/>
      <c r="J2" s="2972"/>
      <c r="K2" s="2972"/>
      <c r="L2" s="2972"/>
      <c r="M2" s="2972"/>
      <c r="N2" s="2972"/>
      <c r="O2" s="2972"/>
      <c r="P2" s="2972"/>
      <c r="Q2" s="2972"/>
      <c r="R2" s="2972"/>
      <c r="S2" s="2972"/>
      <c r="T2" s="2972"/>
      <c r="U2" s="2626"/>
    </row>
    <row r="3" spans="1:22" s="293" customFormat="1" ht="15" customHeight="1" x14ac:dyDescent="0.25">
      <c r="A3" s="2972" t="s">
        <v>2162</v>
      </c>
      <c r="B3" s="2972"/>
      <c r="C3" s="2972"/>
      <c r="D3" s="2972"/>
      <c r="E3" s="2972"/>
      <c r="F3" s="2972"/>
      <c r="G3" s="2972"/>
      <c r="H3" s="2972"/>
      <c r="I3" s="2972"/>
      <c r="J3" s="2972"/>
      <c r="K3" s="2972"/>
      <c r="L3" s="2972"/>
      <c r="M3" s="2972"/>
      <c r="N3" s="2972"/>
      <c r="O3" s="2972"/>
      <c r="P3" s="2972"/>
      <c r="Q3" s="2972"/>
      <c r="R3" s="2972"/>
      <c r="S3" s="2972"/>
      <c r="T3" s="2972"/>
      <c r="U3" s="2626"/>
    </row>
    <row r="4" spans="1:22" ht="15" customHeight="1" x14ac:dyDescent="0.2">
      <c r="A4" s="1458" t="s">
        <v>543</v>
      </c>
      <c r="C4" s="1365" t="s">
        <v>680</v>
      </c>
      <c r="P4" s="295" t="s">
        <v>2163</v>
      </c>
    </row>
    <row r="5" spans="1:22" s="296" customFormat="1" ht="15" customHeight="1" x14ac:dyDescent="0.2">
      <c r="A5" s="294" t="s">
        <v>318</v>
      </c>
      <c r="B5" s="297"/>
      <c r="C5" s="297"/>
      <c r="D5" s="2974" t="str">
        <f>+Index!$E$10</f>
        <v>01</v>
      </c>
      <c r="E5" s="2974"/>
      <c r="F5" s="297"/>
      <c r="G5" s="297"/>
      <c r="H5" s="297"/>
      <c r="I5" s="298"/>
      <c r="J5" s="298"/>
      <c r="K5" s="294"/>
      <c r="L5" s="294"/>
      <c r="M5" s="294"/>
      <c r="N5" s="294"/>
      <c r="O5" s="1738" t="s">
        <v>320</v>
      </c>
      <c r="P5" s="2971" t="str">
        <f>CONCATENATE(Index!$E$12," ",Index!$E$14)</f>
        <v xml:space="preserve"> </v>
      </c>
      <c r="Q5" s="2971"/>
      <c r="R5" s="2971"/>
      <c r="S5" s="2971"/>
      <c r="T5" s="2971"/>
      <c r="U5" s="294"/>
      <c r="V5" s="294"/>
    </row>
    <row r="6" spans="1:22" s="296" customFormat="1" ht="15" customHeight="1" x14ac:dyDescent="0.2">
      <c r="A6" s="294" t="s">
        <v>319</v>
      </c>
      <c r="B6" s="299"/>
      <c r="C6" s="299"/>
      <c r="D6" s="2973" t="str">
        <f>+Index!$E$11</f>
        <v>North Carolina General Assembly</v>
      </c>
      <c r="E6" s="2973"/>
      <c r="F6" s="2973"/>
      <c r="G6" s="2973"/>
      <c r="H6" s="2973"/>
      <c r="I6" s="2973"/>
      <c r="J6" s="2973"/>
      <c r="K6" s="2973"/>
      <c r="L6" s="2973"/>
      <c r="M6" s="294"/>
      <c r="N6" s="294"/>
      <c r="O6" s="1738" t="s">
        <v>168</v>
      </c>
      <c r="P6" s="2978">
        <f>+Index!$E$13</f>
        <v>0</v>
      </c>
      <c r="Q6" s="2978"/>
      <c r="R6" s="2978"/>
      <c r="S6" s="2978"/>
      <c r="T6" s="2978"/>
      <c r="U6" s="294"/>
      <c r="V6" s="294"/>
    </row>
    <row r="7" spans="1:22" s="296" customFormat="1" ht="15" customHeight="1" thickBot="1" x14ac:dyDescent="0.25">
      <c r="A7" s="1739"/>
      <c r="B7" s="1739"/>
      <c r="C7" s="1739"/>
      <c r="D7" s="1739"/>
      <c r="E7" s="1739"/>
      <c r="F7" s="1739"/>
      <c r="G7" s="1739"/>
      <c r="H7" s="1739"/>
      <c r="I7" s="1739"/>
      <c r="J7" s="1739"/>
      <c r="K7" s="1739"/>
      <c r="L7" s="1739"/>
      <c r="M7" s="1739"/>
      <c r="N7" s="1739"/>
      <c r="O7" s="1739"/>
      <c r="P7" s="1739"/>
      <c r="Q7" s="1739"/>
      <c r="R7" s="1739"/>
      <c r="S7" s="1739"/>
      <c r="T7" s="1739" t="s">
        <v>50</v>
      </c>
      <c r="U7" s="138"/>
      <c r="V7" s="294"/>
    </row>
    <row r="8" spans="1:22" s="296" customFormat="1" ht="15" customHeight="1" x14ac:dyDescent="0.2">
      <c r="A8" s="294"/>
      <c r="B8" s="294"/>
      <c r="C8" s="294"/>
      <c r="D8" s="294"/>
      <c r="E8" s="294"/>
      <c r="F8" s="294"/>
      <c r="G8" s="294"/>
      <c r="H8" s="294"/>
      <c r="I8" s="294"/>
      <c r="J8" s="294"/>
      <c r="K8" s="294"/>
      <c r="L8" s="294"/>
      <c r="M8" s="294"/>
      <c r="N8" s="294"/>
      <c r="O8" s="294"/>
      <c r="P8" s="294"/>
      <c r="Q8" s="294"/>
      <c r="R8" s="294"/>
      <c r="S8" s="294"/>
      <c r="T8" s="294"/>
      <c r="U8" s="138"/>
      <c r="V8" s="294"/>
    </row>
    <row r="9" spans="1:22" s="296" customFormat="1" ht="15" customHeight="1" x14ac:dyDescent="0.2">
      <c r="A9" s="294" t="s">
        <v>2164</v>
      </c>
      <c r="B9" s="294"/>
      <c r="C9" s="294"/>
      <c r="D9" s="294"/>
      <c r="E9" s="294"/>
      <c r="F9" s="294"/>
      <c r="G9" s="294"/>
      <c r="H9" s="294"/>
      <c r="I9" s="294"/>
      <c r="J9" s="294"/>
      <c r="K9" s="294"/>
      <c r="L9" s="294"/>
      <c r="M9" s="294"/>
      <c r="N9" s="294"/>
      <c r="O9" s="294"/>
      <c r="P9" s="294"/>
      <c r="Q9" s="294"/>
      <c r="R9" s="294"/>
      <c r="S9" s="294"/>
      <c r="T9" s="294"/>
      <c r="U9" s="294"/>
      <c r="V9" s="294"/>
    </row>
    <row r="10" spans="1:22" s="296" customFormat="1" ht="15" customHeight="1" x14ac:dyDescent="0.2">
      <c r="A10" s="294"/>
      <c r="B10" s="294"/>
      <c r="C10" s="294"/>
      <c r="D10" s="294"/>
      <c r="E10" s="294"/>
      <c r="F10" s="294"/>
      <c r="G10" s="294"/>
      <c r="H10" s="294"/>
      <c r="I10" s="294"/>
      <c r="J10" s="294"/>
      <c r="K10" s="294"/>
      <c r="L10" s="1459" t="s">
        <v>2165</v>
      </c>
      <c r="M10" s="1459"/>
      <c r="N10" s="1459" t="s">
        <v>2166</v>
      </c>
      <c r="O10" s="2304"/>
      <c r="P10" s="1459" t="s">
        <v>2167</v>
      </c>
      <c r="Q10" s="1459"/>
      <c r="R10" s="1459" t="s">
        <v>2168</v>
      </c>
      <c r="S10" s="1458"/>
      <c r="T10" s="138"/>
      <c r="U10" s="294"/>
      <c r="V10" s="1459" t="str">
        <f>IF(C4="General Government","Gen Gov",
IF(C4="Primary and secondary education","Prim Sec Ed",
IF(C4="Higher Education","Higher Ed",
IF(C4="Higher education student aid","Higher Ed stu aid",
IF(C4="Health and human services","HHS",
IF(C4="Economic development","Econ Dev",
IF(C4="Environment and natural resources","ENR",
IF(C4="Public safety","Public Safety",
IF(C4="Transportation","Trans",
IF(C4="Highway construction/preservation","Highway Const",
IF(C4="Highway maintenance","Highway Const",
IF(C4="Highway maintenance","Highway Const",
IF(C4="Agriculture","Agric",
IF(C4="Capital projects/repairs and renovations","CapProjectsReno","No Function"))))))))))))))</f>
        <v>No Function</v>
      </c>
    </row>
    <row r="11" spans="1:22" s="300" customFormat="1" ht="15" customHeight="1" x14ac:dyDescent="0.2">
      <c r="A11" s="301"/>
      <c r="B11" s="302"/>
      <c r="C11" s="302"/>
      <c r="D11" s="302"/>
      <c r="E11" s="302"/>
      <c r="F11" s="302"/>
      <c r="G11" s="302"/>
      <c r="H11" s="303"/>
      <c r="J11" s="304"/>
      <c r="L11" s="304"/>
      <c r="N11" s="304" t="s">
        <v>50</v>
      </c>
      <c r="P11" s="304" t="s">
        <v>2169</v>
      </c>
      <c r="R11" s="304"/>
      <c r="T11" s="304"/>
      <c r="U11" s="294"/>
    </row>
    <row r="12" spans="1:22" s="300" customFormat="1" ht="15" customHeight="1" x14ac:dyDescent="0.2">
      <c r="A12" s="305"/>
      <c r="H12" s="306"/>
      <c r="J12" s="307"/>
      <c r="L12" s="307" t="s">
        <v>2170</v>
      </c>
      <c r="N12" s="307" t="s">
        <v>686</v>
      </c>
      <c r="P12" s="307" t="s">
        <v>2171</v>
      </c>
      <c r="R12" s="307" t="s">
        <v>2172</v>
      </c>
      <c r="T12" s="307"/>
      <c r="U12" s="294"/>
    </row>
    <row r="13" spans="1:22" s="300" customFormat="1" ht="15" customHeight="1" x14ac:dyDescent="0.2">
      <c r="A13" s="305"/>
      <c r="H13" s="306"/>
      <c r="J13" s="307" t="s">
        <v>1573</v>
      </c>
      <c r="L13" s="307" t="s">
        <v>553</v>
      </c>
      <c r="N13" s="307" t="s">
        <v>2173</v>
      </c>
      <c r="P13" s="307" t="s">
        <v>2174</v>
      </c>
      <c r="R13" s="307" t="s">
        <v>2175</v>
      </c>
      <c r="T13" s="307" t="s">
        <v>553</v>
      </c>
      <c r="U13" s="294"/>
    </row>
    <row r="14" spans="1:22" s="300" customFormat="1" ht="15" customHeight="1" x14ac:dyDescent="0.2">
      <c r="A14" s="2975" t="s">
        <v>1243</v>
      </c>
      <c r="B14" s="2976"/>
      <c r="C14" s="2976"/>
      <c r="D14" s="2976"/>
      <c r="E14" s="2976"/>
      <c r="F14" s="2976"/>
      <c r="G14" s="2976"/>
      <c r="H14" s="2977"/>
      <c r="J14" s="308" t="s">
        <v>1871</v>
      </c>
      <c r="L14" s="308" t="str">
        <f>+TEXT(Data!$A$3,"mmmm d, yyyy")</f>
        <v>July 1, 2023</v>
      </c>
      <c r="N14" s="308" t="s">
        <v>2176</v>
      </c>
      <c r="P14" s="308" t="s">
        <v>2177</v>
      </c>
      <c r="R14" s="308" t="s">
        <v>2178</v>
      </c>
      <c r="T14" s="308" t="str">
        <f>+TEXT(Data!$A$2,"mmmm d, yyyy")</f>
        <v>June 30, 2024</v>
      </c>
      <c r="U14" s="294"/>
    </row>
    <row r="15" spans="1:22" s="296" customFormat="1" ht="15" customHeight="1" x14ac:dyDescent="0.2">
      <c r="A15" s="2665" t="s">
        <v>2179</v>
      </c>
      <c r="B15" s="2665"/>
      <c r="C15" s="2665"/>
      <c r="D15" s="2665"/>
      <c r="E15" s="2665"/>
      <c r="F15" s="2665"/>
      <c r="G15" s="2665"/>
      <c r="H15" s="2665"/>
      <c r="I15" s="138"/>
      <c r="J15" s="2301"/>
      <c r="K15" s="294"/>
      <c r="L15" s="862"/>
      <c r="M15" s="1740"/>
      <c r="N15" s="862"/>
      <c r="O15" s="1740"/>
      <c r="P15" s="862"/>
      <c r="Q15" s="1740"/>
      <c r="R15" s="862"/>
      <c r="S15" s="1740"/>
      <c r="T15" s="1538">
        <f t="shared" ref="T15:T27" si="0">L15+N15-P15-R15</f>
        <v>0</v>
      </c>
      <c r="U15" s="294"/>
      <c r="V15" s="294"/>
    </row>
    <row r="16" spans="1:22" s="296" customFormat="1" ht="15" customHeight="1" x14ac:dyDescent="0.2">
      <c r="A16" s="2665"/>
      <c r="B16" s="2665"/>
      <c r="C16" s="2665"/>
      <c r="D16" s="2665"/>
      <c r="E16" s="2665"/>
      <c r="F16" s="2665"/>
      <c r="G16" s="2665"/>
      <c r="H16" s="2665"/>
      <c r="I16" s="138"/>
      <c r="J16" s="1024"/>
      <c r="K16" s="294"/>
      <c r="L16" s="862"/>
      <c r="M16" s="1740"/>
      <c r="N16" s="862"/>
      <c r="O16" s="1740"/>
      <c r="P16" s="862"/>
      <c r="Q16" s="1740"/>
      <c r="R16" s="862"/>
      <c r="S16" s="1740"/>
      <c r="T16" s="1538">
        <f t="shared" si="0"/>
        <v>0</v>
      </c>
      <c r="U16" s="294"/>
      <c r="V16" s="294"/>
    </row>
    <row r="17" spans="1:20" s="296" customFormat="1" ht="15" customHeight="1" x14ac:dyDescent="0.2">
      <c r="A17" s="2665"/>
      <c r="B17" s="2665"/>
      <c r="C17" s="2665"/>
      <c r="D17" s="2665"/>
      <c r="E17" s="2665"/>
      <c r="F17" s="2665"/>
      <c r="G17" s="2665"/>
      <c r="H17" s="2665"/>
      <c r="I17" s="138"/>
      <c r="J17" s="1024"/>
      <c r="K17" s="294"/>
      <c r="L17" s="862">
        <v>0</v>
      </c>
      <c r="M17" s="1740"/>
      <c r="N17" s="862">
        <v>0</v>
      </c>
      <c r="O17" s="1740"/>
      <c r="P17" s="862">
        <v>0</v>
      </c>
      <c r="Q17" s="1740"/>
      <c r="R17" s="862">
        <v>0</v>
      </c>
      <c r="S17" s="1740"/>
      <c r="T17" s="1538">
        <f t="shared" si="0"/>
        <v>0</v>
      </c>
    </row>
    <row r="18" spans="1:20" s="296" customFormat="1" ht="15" customHeight="1" x14ac:dyDescent="0.2">
      <c r="A18" s="2665"/>
      <c r="B18" s="2665"/>
      <c r="C18" s="2665"/>
      <c r="D18" s="2665"/>
      <c r="E18" s="2665"/>
      <c r="F18" s="2665"/>
      <c r="G18" s="2665"/>
      <c r="H18" s="2665"/>
      <c r="I18" s="138"/>
      <c r="J18" s="1024"/>
      <c r="K18" s="294"/>
      <c r="L18" s="862"/>
      <c r="M18" s="1740"/>
      <c r="N18" s="862">
        <v>0</v>
      </c>
      <c r="O18" s="1740"/>
      <c r="P18" s="862">
        <v>0</v>
      </c>
      <c r="Q18" s="1740"/>
      <c r="R18" s="862">
        <v>0</v>
      </c>
      <c r="S18" s="1740"/>
      <c r="T18" s="1538">
        <f t="shared" si="0"/>
        <v>0</v>
      </c>
    </row>
    <row r="19" spans="1:20" s="296" customFormat="1" ht="15" customHeight="1" x14ac:dyDescent="0.2">
      <c r="A19" s="2665"/>
      <c r="B19" s="2665"/>
      <c r="C19" s="2665"/>
      <c r="D19" s="2665"/>
      <c r="E19" s="2665"/>
      <c r="F19" s="2665"/>
      <c r="G19" s="2665"/>
      <c r="H19" s="2665"/>
      <c r="I19" s="138"/>
      <c r="J19" s="1024"/>
      <c r="K19" s="294"/>
      <c r="L19" s="862">
        <v>0</v>
      </c>
      <c r="M19" s="1740"/>
      <c r="N19" s="862">
        <v>0</v>
      </c>
      <c r="O19" s="1740"/>
      <c r="P19" s="862">
        <v>0</v>
      </c>
      <c r="Q19" s="1740"/>
      <c r="R19" s="862">
        <v>0</v>
      </c>
      <c r="S19" s="1740"/>
      <c r="T19" s="1538">
        <f t="shared" si="0"/>
        <v>0</v>
      </c>
    </row>
    <row r="20" spans="1:20" s="296" customFormat="1" ht="15" customHeight="1" x14ac:dyDescent="0.2">
      <c r="A20" s="2665"/>
      <c r="B20" s="2665"/>
      <c r="C20" s="2665"/>
      <c r="D20" s="2665"/>
      <c r="E20" s="2665"/>
      <c r="F20" s="2665"/>
      <c r="G20" s="2665"/>
      <c r="H20" s="2665"/>
      <c r="I20" s="138"/>
      <c r="J20" s="1024"/>
      <c r="K20" s="294"/>
      <c r="L20" s="862">
        <v>0</v>
      </c>
      <c r="M20" s="1740"/>
      <c r="N20" s="862">
        <v>0</v>
      </c>
      <c r="O20" s="1740"/>
      <c r="P20" s="862">
        <v>0</v>
      </c>
      <c r="Q20" s="1740"/>
      <c r="R20" s="862">
        <v>0</v>
      </c>
      <c r="S20" s="1740"/>
      <c r="T20" s="1538">
        <f t="shared" si="0"/>
        <v>0</v>
      </c>
    </row>
    <row r="21" spans="1:20" s="296" customFormat="1" ht="15" customHeight="1" x14ac:dyDescent="0.2">
      <c r="A21" s="2665"/>
      <c r="B21" s="2665"/>
      <c r="C21" s="2665"/>
      <c r="D21" s="2665"/>
      <c r="E21" s="2665"/>
      <c r="F21" s="2665"/>
      <c r="G21" s="2665"/>
      <c r="H21" s="2665"/>
      <c r="I21" s="138"/>
      <c r="J21" s="1024"/>
      <c r="K21" s="294"/>
      <c r="L21" s="862">
        <v>0</v>
      </c>
      <c r="M21" s="1740"/>
      <c r="N21" s="862">
        <v>0</v>
      </c>
      <c r="O21" s="1740"/>
      <c r="P21" s="862">
        <v>0</v>
      </c>
      <c r="Q21" s="1740"/>
      <c r="R21" s="862">
        <v>0</v>
      </c>
      <c r="S21" s="1740"/>
      <c r="T21" s="1538">
        <f t="shared" si="0"/>
        <v>0</v>
      </c>
    </row>
    <row r="22" spans="1:20" s="296" customFormat="1" ht="15" customHeight="1" x14ac:dyDescent="0.2">
      <c r="A22" s="2665"/>
      <c r="B22" s="2665"/>
      <c r="C22" s="2665"/>
      <c r="D22" s="2665"/>
      <c r="E22" s="2665"/>
      <c r="F22" s="2665"/>
      <c r="G22" s="2665"/>
      <c r="H22" s="2665"/>
      <c r="I22" s="138"/>
      <c r="J22" s="1024"/>
      <c r="K22" s="294"/>
      <c r="L22" s="862"/>
      <c r="M22" s="1740"/>
      <c r="N22" s="862"/>
      <c r="O22" s="1740"/>
      <c r="P22" s="862"/>
      <c r="Q22" s="1740"/>
      <c r="R22" s="862"/>
      <c r="S22" s="1740"/>
      <c r="T22" s="1538">
        <f t="shared" si="0"/>
        <v>0</v>
      </c>
    </row>
    <row r="23" spans="1:20" s="296" customFormat="1" ht="15" customHeight="1" x14ac:dyDescent="0.2">
      <c r="A23" s="2665"/>
      <c r="B23" s="2665"/>
      <c r="C23" s="2665"/>
      <c r="D23" s="2665"/>
      <c r="E23" s="2665"/>
      <c r="F23" s="2665"/>
      <c r="G23" s="2665"/>
      <c r="H23" s="2665"/>
      <c r="I23" s="138"/>
      <c r="J23" s="1024"/>
      <c r="K23" s="294"/>
      <c r="L23" s="862">
        <v>0</v>
      </c>
      <c r="M23" s="1740"/>
      <c r="N23" s="862">
        <v>0</v>
      </c>
      <c r="O23" s="1740"/>
      <c r="P23" s="862">
        <v>0</v>
      </c>
      <c r="Q23" s="1740"/>
      <c r="R23" s="862">
        <v>0</v>
      </c>
      <c r="S23" s="1740"/>
      <c r="T23" s="1538">
        <f t="shared" si="0"/>
        <v>0</v>
      </c>
    </row>
    <row r="24" spans="1:20" s="296" customFormat="1" ht="15" customHeight="1" x14ac:dyDescent="0.2">
      <c r="A24" s="2665"/>
      <c r="B24" s="2665"/>
      <c r="C24" s="2665"/>
      <c r="D24" s="2665"/>
      <c r="E24" s="2665"/>
      <c r="F24" s="2665"/>
      <c r="G24" s="2665"/>
      <c r="H24" s="2665"/>
      <c r="I24" s="138"/>
      <c r="J24" s="1024"/>
      <c r="K24" s="294"/>
      <c r="L24" s="862">
        <v>0</v>
      </c>
      <c r="M24" s="1740"/>
      <c r="N24" s="862">
        <v>0</v>
      </c>
      <c r="O24" s="1740"/>
      <c r="P24" s="862">
        <v>0</v>
      </c>
      <c r="Q24" s="1740"/>
      <c r="R24" s="862">
        <v>0</v>
      </c>
      <c r="S24" s="1740"/>
      <c r="T24" s="1538">
        <f t="shared" si="0"/>
        <v>0</v>
      </c>
    </row>
    <row r="25" spans="1:20" s="296" customFormat="1" ht="15" customHeight="1" x14ac:dyDescent="0.2">
      <c r="A25" s="2665"/>
      <c r="B25" s="2665"/>
      <c r="C25" s="2665"/>
      <c r="D25" s="2665"/>
      <c r="E25" s="2665"/>
      <c r="F25" s="2665"/>
      <c r="G25" s="2665"/>
      <c r="H25" s="2665"/>
      <c r="I25" s="138"/>
      <c r="J25" s="1024"/>
      <c r="K25" s="294"/>
      <c r="L25" s="862"/>
      <c r="M25" s="1740"/>
      <c r="N25" s="862"/>
      <c r="O25" s="1740"/>
      <c r="P25" s="862"/>
      <c r="Q25" s="1740"/>
      <c r="R25" s="862"/>
      <c r="S25" s="1740"/>
      <c r="T25" s="1538">
        <f t="shared" si="0"/>
        <v>0</v>
      </c>
    </row>
    <row r="26" spans="1:20" s="296" customFormat="1" ht="15" customHeight="1" x14ac:dyDescent="0.2">
      <c r="A26" s="2665"/>
      <c r="B26" s="2665"/>
      <c r="C26" s="2665"/>
      <c r="D26" s="2665"/>
      <c r="E26" s="2665"/>
      <c r="F26" s="2665"/>
      <c r="G26" s="2665"/>
      <c r="H26" s="2665"/>
      <c r="I26" s="138"/>
      <c r="J26" s="1024"/>
      <c r="K26" s="294"/>
      <c r="L26" s="862">
        <v>0</v>
      </c>
      <c r="M26" s="1740"/>
      <c r="N26" s="862">
        <v>0</v>
      </c>
      <c r="O26" s="1740"/>
      <c r="P26" s="862">
        <v>0</v>
      </c>
      <c r="Q26" s="1740"/>
      <c r="R26" s="862">
        <v>0</v>
      </c>
      <c r="S26" s="1740"/>
      <c r="T26" s="1538">
        <f t="shared" si="0"/>
        <v>0</v>
      </c>
    </row>
    <row r="27" spans="1:20" s="296" customFormat="1" ht="15" customHeight="1" x14ac:dyDescent="0.2">
      <c r="A27" s="2665"/>
      <c r="B27" s="2665"/>
      <c r="C27" s="2665"/>
      <c r="D27" s="2665"/>
      <c r="E27" s="2665"/>
      <c r="F27" s="2665"/>
      <c r="G27" s="2665"/>
      <c r="H27" s="2665"/>
      <c r="I27" s="138"/>
      <c r="J27" s="1024"/>
      <c r="K27" s="294"/>
      <c r="L27" s="862"/>
      <c r="M27" s="1740"/>
      <c r="N27" s="862"/>
      <c r="O27" s="1740"/>
      <c r="P27" s="862"/>
      <c r="Q27" s="1740"/>
      <c r="R27" s="862"/>
      <c r="S27" s="1740"/>
      <c r="T27" s="1538">
        <f t="shared" si="0"/>
        <v>0</v>
      </c>
    </row>
    <row r="28" spans="1:20" s="70" customFormat="1" ht="15" customHeight="1" x14ac:dyDescent="0.2">
      <c r="A28" s="138"/>
      <c r="B28" s="138"/>
      <c r="C28" s="138"/>
      <c r="D28" s="138"/>
      <c r="E28" s="138"/>
      <c r="F28" s="138"/>
      <c r="G28" s="138"/>
      <c r="H28" s="138"/>
      <c r="I28" s="138"/>
      <c r="J28" s="138"/>
      <c r="K28" s="138"/>
      <c r="L28" s="138"/>
      <c r="M28" s="138"/>
      <c r="N28" s="138"/>
      <c r="O28" s="138"/>
      <c r="P28" s="138"/>
      <c r="Q28" s="138"/>
      <c r="R28" s="138"/>
      <c r="S28" s="138"/>
      <c r="T28" s="138"/>
    </row>
    <row r="29" spans="1:20" s="296" customFormat="1" ht="15" customHeight="1" thickBot="1" x14ac:dyDescent="0.25">
      <c r="A29" s="1"/>
      <c r="B29" s="1"/>
      <c r="C29" s="1"/>
      <c r="D29" s="1"/>
      <c r="E29" s="1"/>
      <c r="F29" s="1"/>
      <c r="G29" s="1"/>
      <c r="H29" s="1"/>
      <c r="I29" s="1"/>
      <c r="J29" s="1" t="s">
        <v>962</v>
      </c>
      <c r="K29" s="294"/>
      <c r="L29" s="1741">
        <f>SUM(L15:L28)</f>
        <v>0</v>
      </c>
      <c r="M29" s="1740"/>
      <c r="N29" s="1741">
        <f>SUM(N15:N28)</f>
        <v>0</v>
      </c>
      <c r="O29" s="1740"/>
      <c r="P29" s="1741">
        <f>SUM(P15:P28)</f>
        <v>0</v>
      </c>
      <c r="Q29" s="1740"/>
      <c r="R29" s="1741">
        <f>SUM(R15:R28)</f>
        <v>0</v>
      </c>
      <c r="S29" s="1740"/>
      <c r="T29" s="1741">
        <f>SUM(T15:T28)</f>
        <v>0</v>
      </c>
    </row>
    <row r="30" spans="1:20" s="296" customFormat="1" ht="15" customHeight="1" thickTop="1" x14ac:dyDescent="0.2">
      <c r="A30" s="1008" t="s">
        <v>50</v>
      </c>
      <c r="B30" s="1008"/>
      <c r="C30" s="1008"/>
      <c r="D30" s="1008"/>
      <c r="E30" s="1008"/>
      <c r="F30" s="1008"/>
      <c r="G30" s="1008"/>
      <c r="H30" s="1008"/>
      <c r="I30" s="1008"/>
      <c r="J30" s="1008"/>
      <c r="K30" s="294"/>
      <c r="L30" s="294"/>
      <c r="M30" s="294"/>
      <c r="N30" s="294"/>
      <c r="O30" s="294"/>
      <c r="P30" s="294"/>
      <c r="Q30" s="294"/>
      <c r="R30" s="297"/>
      <c r="S30" s="294"/>
      <c r="T30" s="297" t="s">
        <v>2180</v>
      </c>
    </row>
    <row r="31" spans="1:20" s="296" customFormat="1" ht="15" customHeight="1" x14ac:dyDescent="0.2">
      <c r="A31" s="294" t="s">
        <v>2181</v>
      </c>
      <c r="B31" s="294"/>
      <c r="C31" s="294"/>
      <c r="D31" s="294"/>
      <c r="E31" s="294"/>
      <c r="F31" s="294"/>
      <c r="G31" s="294"/>
      <c r="H31" s="294"/>
      <c r="I31" s="294"/>
      <c r="J31" s="294"/>
      <c r="K31" s="294"/>
      <c r="L31" s="294"/>
      <c r="M31" s="294"/>
      <c r="N31" s="294"/>
      <c r="O31" s="294"/>
      <c r="P31" s="294"/>
      <c r="Q31" s="294"/>
      <c r="R31" s="294"/>
      <c r="S31" s="294"/>
      <c r="T31" s="309" t="str">
        <f>IF(L29+N29-P29-R29&lt;&gt;T29,"Verify Totals"," ")</f>
        <v xml:space="preserve"> </v>
      </c>
    </row>
    <row r="32" spans="1:20" s="296" customFormat="1" ht="15" customHeight="1" x14ac:dyDescent="0.2">
      <c r="A32" s="294" t="s">
        <v>2182</v>
      </c>
      <c r="B32" s="294"/>
      <c r="C32" s="294"/>
      <c r="D32" s="294"/>
      <c r="E32" s="294"/>
      <c r="F32" s="294"/>
      <c r="G32" s="294"/>
      <c r="H32" s="294"/>
      <c r="I32" s="294"/>
      <c r="J32" s="294"/>
      <c r="K32" s="294"/>
      <c r="L32" s="294"/>
      <c r="M32" s="294"/>
      <c r="N32" s="294"/>
      <c r="O32" s="294"/>
      <c r="P32" s="294"/>
      <c r="Q32" s="294"/>
      <c r="R32" s="294"/>
      <c r="S32" s="294"/>
      <c r="T32" s="294"/>
    </row>
    <row r="33" spans="1:10" s="296" customFormat="1" ht="15" customHeight="1" x14ac:dyDescent="0.2">
      <c r="A33" s="1008" t="s">
        <v>2183</v>
      </c>
      <c r="B33" s="1008"/>
      <c r="C33" s="1008"/>
      <c r="D33" s="1008"/>
      <c r="E33" s="1008"/>
      <c r="F33" s="1008"/>
      <c r="G33" s="1008"/>
      <c r="H33" s="1008"/>
      <c r="I33" s="1008"/>
      <c r="J33" s="1008"/>
    </row>
    <row r="34" spans="1:10" s="296" customFormat="1" ht="15" customHeight="1" x14ac:dyDescent="0.2">
      <c r="A34" s="294" t="s">
        <v>2184</v>
      </c>
      <c r="B34" s="294"/>
      <c r="C34" s="294"/>
      <c r="D34" s="294"/>
      <c r="E34" s="294"/>
      <c r="F34" s="294"/>
      <c r="G34" s="294"/>
      <c r="H34" s="294"/>
      <c r="I34" s="294"/>
      <c r="J34" s="294"/>
    </row>
    <row r="35" spans="1:10" s="310" customFormat="1" ht="15" customHeight="1" x14ac:dyDescent="0.2"/>
    <row r="36" spans="1:10" ht="15" customHeight="1" x14ac:dyDescent="0.2"/>
    <row r="37" spans="1:10" ht="15" customHeight="1" x14ac:dyDescent="0.2"/>
    <row r="38" spans="1:10" ht="15" customHeight="1" x14ac:dyDescent="0.2"/>
    <row r="39" spans="1:10" ht="15" customHeight="1" x14ac:dyDescent="0.2"/>
    <row r="40" spans="1:10" ht="15" customHeight="1" x14ac:dyDescent="0.2"/>
    <row r="41" spans="1:10" ht="15" customHeight="1" x14ac:dyDescent="0.2"/>
    <row r="42" spans="1:10" ht="15" customHeight="1" x14ac:dyDescent="0.2"/>
  </sheetData>
  <sheetProtection algorithmName="SHA-512" hashValue="RuAUE5ZUqtOb7suzdm4ecuiu5P8DMjIyo5uNeakkDVnIphcIZp5iO6pzYnwfkyVZ3Jg5V5t2u1cloOD61UyUfA==" saltValue="LD2iNbzBFDvsTsA5IkespQ==" spinCount="100000" sheet="1" autoFilter="0"/>
  <customSheetViews>
    <customSheetView guid="{9FCFC836-1CA5-48BF-958D-24D2EA94B219}" showGridLines="0" fitToPage="1">
      <selection activeCell="B12" sqref="B12"/>
      <pageMargins left="0" right="0" top="0" bottom="0" header="0" footer="0"/>
      <printOptions horizontalCentered="1"/>
      <pageSetup pageOrder="overThenDown" orientation="landscape" r:id="rId1"/>
      <headerFooter alignWithMargins="0">
        <oddFooter>&amp;R&amp;A</oddFooter>
      </headerFooter>
    </customSheetView>
    <customSheetView guid="{BEA4BE86-04D1-4C96-9358-7A260B9D2B2D}" showGridLines="0" fitToPage="1" showRuler="0">
      <selection sqref="A1:T1"/>
      <pageMargins left="0" right="0" top="0" bottom="0" header="0" footer="0"/>
      <printOptions horizontalCentered="1"/>
      <pageSetup pageOrder="overThenDown" orientation="landscape" horizontalDpi="300" verticalDpi="300" r:id="rId2"/>
      <headerFooter alignWithMargins="0">
        <oddFooter>&amp;R&amp;A</oddFooter>
      </headerFooter>
    </customSheetView>
    <customSheetView guid="{1250FD07-FF56-4A9D-AF9E-C27124A7EBE9}" showGridLines="0" fitToPage="1" showRuler="0">
      <selection sqref="A1:T1"/>
      <pageMargins left="0" right="0" top="0" bottom="0" header="0" footer="0"/>
      <printOptions horizontalCentered="1"/>
      <pageSetup pageOrder="overThenDown" orientation="landscape" horizontalDpi="300" verticalDpi="300" r:id="rId3"/>
      <headerFooter alignWithMargins="0">
        <oddFooter>&amp;R&amp;A</oddFooter>
      </headerFooter>
    </customSheetView>
    <customSheetView guid="{B08879A4-635B-4C39-9937-AC7883D562FC}" showGridLines="0" fitToPage="1">
      <selection activeCell="B12" sqref="B12"/>
      <pageMargins left="0" right="0" top="0" bottom="0" header="0" footer="0"/>
      <printOptions horizontalCentered="1"/>
      <pageSetup pageOrder="overThenDown" orientation="landscape" r:id="rId4"/>
      <headerFooter alignWithMargins="0">
        <oddFooter>&amp;R&amp;A</oddFooter>
      </headerFooter>
    </customSheetView>
  </customSheetViews>
  <mergeCells count="22">
    <mergeCell ref="U1:U3"/>
    <mergeCell ref="A20:H20"/>
    <mergeCell ref="A1:T1"/>
    <mergeCell ref="P5:T5"/>
    <mergeCell ref="A3:T3"/>
    <mergeCell ref="D6:L6"/>
    <mergeCell ref="A2:T2"/>
    <mergeCell ref="D5:E5"/>
    <mergeCell ref="A14:H14"/>
    <mergeCell ref="P6:T6"/>
    <mergeCell ref="A27:H27"/>
    <mergeCell ref="A22:H22"/>
    <mergeCell ref="A15:H15"/>
    <mergeCell ref="A16:H16"/>
    <mergeCell ref="A21:H21"/>
    <mergeCell ref="A17:H17"/>
    <mergeCell ref="A18:H18"/>
    <mergeCell ref="A25:H25"/>
    <mergeCell ref="A24:H24"/>
    <mergeCell ref="A26:H26"/>
    <mergeCell ref="A23:H23"/>
    <mergeCell ref="A19:H19"/>
  </mergeCells>
  <phoneticPr fontId="18" type="noConversion"/>
  <conditionalFormatting sqref="U1:U3">
    <cfRule type="cellIs" dxfId="48" priority="1" stopIfTrue="1" operator="equal">
      <formula>"na"</formula>
    </cfRule>
  </conditionalFormatting>
  <dataValidations count="3">
    <dataValidation type="textLength" operator="equal" allowBlank="1" showInputMessage="1" showErrorMessage="1" errorTitle="Invalid data!" error="GASB number must be 4 digits." sqref="J15:J27" xr:uid="{00000000-0002-0000-3900-000000000000}">
      <formula1>4</formula1>
    </dataValidation>
    <dataValidation type="custom" allowBlank="1" showInputMessage="1" showErrorMessage="1" errorTitle="Invalid Data!" error="Prior year unavailable revenues earned in the current year must not exceed the Beginning Balance, July 1." sqref="P15:P27" xr:uid="{00000000-0002-0000-3900-000001000000}">
      <formula1>P15&lt;=L15</formula1>
    </dataValidation>
    <dataValidation type="list" allowBlank="1" showInputMessage="1" showErrorMessage="1" sqref="C4" xr:uid="{94628536-5321-4D50-A35C-77573DB998B0}">
      <formula1>"No Function,General government,Primary and secondary education, Higher education, Health and human services,Economic development, Environment and natural resources, Public safety, Transportation, Agriculture"</formula1>
    </dataValidation>
  </dataValidations>
  <hyperlinks>
    <hyperlink ref="A1:T1" location="Index!A1" display="Index!A1" xr:uid="{00000000-0004-0000-3900-000000000000}"/>
  </hyperlinks>
  <pageMargins left="0.6" right="0.6" top="0.5" bottom="0.5" header="0.3" footer="0.3"/>
  <pageSetup scale="94" orientation="landscape" r:id="rId5"/>
  <extLst>
    <ext xmlns:x14="http://schemas.microsoft.com/office/spreadsheetml/2009/9/main" uri="{CCE6A557-97BC-4b89-ADB6-D9C93CAAB3DF}">
      <x14:dataValidations xmlns:xm="http://schemas.microsoft.com/office/excel/2006/main" count="1">
        <x14:dataValidation type="list" allowBlank="1" showInputMessage="1" showErrorMessage="1" xr:uid="{79AE16A4-B71B-4FF3-B3F5-7DABA0DEB46B}">
          <x14:formula1>
            <xm:f>Notes!$S$25:$S$50</xm:f>
          </x14:formula1>
          <xm:sqref>A15:H27</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0"/>
  <dimension ref="A1:W56"/>
  <sheetViews>
    <sheetView showGridLines="0" topLeftCell="B1" zoomScale="95" zoomScaleNormal="95" workbookViewId="0">
      <selection activeCell="H21" sqref="H21:V21"/>
    </sheetView>
  </sheetViews>
  <sheetFormatPr defaultColWidth="16.5703125" defaultRowHeight="12.75" x14ac:dyDescent="0.2"/>
  <cols>
    <col min="1" max="1" width="0" style="39" hidden="1" customWidth="1"/>
    <col min="2" max="2" width="20.5703125" style="39" customWidth="1"/>
    <col min="3" max="3" width="0.5703125" style="39" customWidth="1"/>
    <col min="4" max="4" width="18" style="39" customWidth="1"/>
    <col min="5" max="5" width="0.5703125" style="39" customWidth="1"/>
    <col min="6" max="6" width="16" style="39" customWidth="1"/>
    <col min="7" max="7" width="0.5703125" style="39" customWidth="1"/>
    <col min="8" max="8" width="15.42578125" style="39" bestFit="1" customWidth="1"/>
    <col min="9" max="9" width="0.5703125" style="39" customWidth="1"/>
    <col min="10" max="10" width="10.5703125" style="39" bestFit="1" customWidth="1"/>
    <col min="11" max="11" width="0.5703125" style="39" customWidth="1"/>
    <col min="12" max="12" width="9" style="39" customWidth="1"/>
    <col min="13" max="13" width="1.5703125" style="39" customWidth="1"/>
    <col min="14" max="14" width="5.5703125" style="39" customWidth="1"/>
    <col min="15" max="15" width="1.5703125" style="39" customWidth="1"/>
    <col min="16" max="16" width="9.5703125" style="39" customWidth="1"/>
    <col min="17" max="17" width="1.5703125" style="39" customWidth="1"/>
    <col min="18" max="18" width="9.42578125" style="39" customWidth="1"/>
    <col min="19" max="21" width="1.5703125" style="39" customWidth="1"/>
    <col min="22" max="22" width="13.5703125" style="39" customWidth="1"/>
    <col min="23" max="23" width="4.5703125" style="39" customWidth="1"/>
    <col min="24" max="16384" width="16.5703125" style="39"/>
  </cols>
  <sheetData>
    <row r="1" spans="1:23" s="96" customFormat="1" ht="15" customHeight="1" x14ac:dyDescent="0.25">
      <c r="B1" s="2553" t="str">
        <f>+Index!$A$1</f>
        <v xml:space="preserve">                                                               Office of the State Controller                                                                </v>
      </c>
      <c r="C1" s="2553"/>
      <c r="D1" s="2553"/>
      <c r="E1" s="2553"/>
      <c r="F1" s="2553"/>
      <c r="G1" s="2553"/>
      <c r="H1" s="2553"/>
      <c r="I1" s="2553"/>
      <c r="J1" s="2553"/>
      <c r="K1" s="2553"/>
      <c r="L1" s="2553"/>
      <c r="M1" s="2553"/>
      <c r="N1" s="2553"/>
      <c r="O1" s="2553"/>
      <c r="P1" s="2553"/>
      <c r="Q1" s="2553"/>
      <c r="R1" s="2553"/>
      <c r="S1" s="2553"/>
      <c r="T1" s="2553"/>
      <c r="U1" s="2553"/>
      <c r="V1" s="2553"/>
      <c r="W1" s="2626" t="str">
        <f>IF(Index!$B$86="na","NA","")</f>
        <v/>
      </c>
    </row>
    <row r="2" spans="1:23" s="96" customFormat="1" ht="15" customHeight="1" x14ac:dyDescent="0.25">
      <c r="B2" s="2985" t="str">
        <f>+Index!$A$2</f>
        <v>2024 ACFR Worksheets</v>
      </c>
      <c r="C2" s="2985"/>
      <c r="D2" s="2985"/>
      <c r="E2" s="2985"/>
      <c r="F2" s="2985"/>
      <c r="G2" s="2985"/>
      <c r="H2" s="2985"/>
      <c r="I2" s="2985"/>
      <c r="J2" s="2985"/>
      <c r="K2" s="2985"/>
      <c r="L2" s="2985"/>
      <c r="M2" s="2985"/>
      <c r="N2" s="2985"/>
      <c r="O2" s="2985"/>
      <c r="P2" s="2985"/>
      <c r="Q2" s="2985"/>
      <c r="R2" s="2985"/>
      <c r="S2" s="2985"/>
      <c r="T2" s="2985"/>
      <c r="U2" s="2985"/>
      <c r="V2" s="2985"/>
      <c r="W2" s="2626"/>
    </row>
    <row r="3" spans="1:23" s="96" customFormat="1" ht="15" customHeight="1" x14ac:dyDescent="0.25">
      <c r="B3" s="2985" t="s">
        <v>2185</v>
      </c>
      <c r="C3" s="2985"/>
      <c r="D3" s="2985"/>
      <c r="E3" s="2985"/>
      <c r="F3" s="2985"/>
      <c r="G3" s="2985"/>
      <c r="H3" s="2985"/>
      <c r="I3" s="2985"/>
      <c r="J3" s="2985"/>
      <c r="K3" s="2985"/>
      <c r="L3" s="2985"/>
      <c r="M3" s="2985"/>
      <c r="N3" s="2985"/>
      <c r="O3" s="2985"/>
      <c r="P3" s="2985"/>
      <c r="Q3" s="2985"/>
      <c r="R3" s="2985"/>
      <c r="S3" s="2985"/>
      <c r="T3" s="2985"/>
      <c r="U3" s="2985"/>
      <c r="V3" s="2985"/>
      <c r="W3" s="2626"/>
    </row>
    <row r="4" spans="1:23" s="98" customFormat="1" ht="15" customHeight="1" x14ac:dyDescent="0.2">
      <c r="A4" s="39"/>
      <c r="B4" s="99"/>
      <c r="C4" s="99"/>
      <c r="D4" s="99"/>
      <c r="E4" s="99"/>
      <c r="F4" s="99"/>
      <c r="G4" s="99"/>
      <c r="H4" s="99"/>
      <c r="I4" s="99"/>
      <c r="J4" s="99"/>
      <c r="K4" s="99"/>
      <c r="L4" s="99"/>
      <c r="M4" s="99"/>
      <c r="N4" s="99"/>
      <c r="O4" s="99"/>
      <c r="P4" s="99"/>
      <c r="Q4" s="99"/>
      <c r="R4" s="99"/>
      <c r="S4" s="99"/>
      <c r="T4" s="99"/>
      <c r="U4" s="99"/>
      <c r="V4" s="39"/>
      <c r="W4" s="39"/>
    </row>
    <row r="5" spans="1:23" s="98" customFormat="1" ht="15" customHeight="1" x14ac:dyDescent="0.2">
      <c r="A5" s="39"/>
      <c r="B5" s="100" t="s">
        <v>318</v>
      </c>
      <c r="C5" s="2982" t="str">
        <f>+Index!$E$10</f>
        <v>01</v>
      </c>
      <c r="D5" s="2982"/>
      <c r="E5" s="1742"/>
      <c r="F5" s="1742"/>
      <c r="G5" s="1742"/>
      <c r="H5" s="39"/>
      <c r="I5" s="39"/>
      <c r="J5" s="39"/>
      <c r="K5" s="39"/>
      <c r="L5" s="39"/>
      <c r="M5" s="39"/>
      <c r="N5" s="101" t="s">
        <v>319</v>
      </c>
      <c r="O5" s="2982" t="str">
        <f>+Index!$E$11</f>
        <v>North Carolina General Assembly</v>
      </c>
      <c r="P5" s="2982"/>
      <c r="Q5" s="2982"/>
      <c r="R5" s="2982"/>
      <c r="S5" s="2982"/>
      <c r="T5" s="2982"/>
      <c r="U5" s="2982"/>
      <c r="V5" s="2982"/>
      <c r="W5" s="39"/>
    </row>
    <row r="6" spans="1:23" s="98" customFormat="1" ht="15" customHeight="1" x14ac:dyDescent="0.2">
      <c r="A6" s="39"/>
      <c r="B6" s="100" t="s">
        <v>545</v>
      </c>
      <c r="C6" s="2983"/>
      <c r="D6" s="2983"/>
      <c r="E6" s="39"/>
      <c r="F6" s="39"/>
      <c r="G6" s="39"/>
      <c r="H6" s="39"/>
      <c r="I6" s="39"/>
      <c r="J6" s="39"/>
      <c r="K6" s="39"/>
      <c r="L6" s="39"/>
      <c r="M6" s="39"/>
      <c r="N6" s="101" t="s">
        <v>320</v>
      </c>
      <c r="O6" s="2983" t="str">
        <f>CONCATENATE(Index!$E$12," ",Index!$E$14)</f>
        <v xml:space="preserve"> </v>
      </c>
      <c r="P6" s="2983"/>
      <c r="Q6" s="2983"/>
      <c r="R6" s="2983"/>
      <c r="S6" s="2983"/>
      <c r="T6" s="2983"/>
      <c r="U6" s="2983"/>
      <c r="V6" s="2983"/>
      <c r="W6" s="39"/>
    </row>
    <row r="7" spans="1:23" s="98" customFormat="1" ht="15" customHeight="1" x14ac:dyDescent="0.2">
      <c r="A7" s="39"/>
      <c r="B7" s="100" t="s">
        <v>2186</v>
      </c>
      <c r="C7" s="2986"/>
      <c r="D7" s="2986"/>
      <c r="E7" s="2986"/>
      <c r="F7" s="2986"/>
      <c r="G7" s="2986"/>
      <c r="H7" s="39"/>
      <c r="I7" s="39"/>
      <c r="J7" s="39"/>
      <c r="K7" s="39"/>
      <c r="L7" s="39"/>
      <c r="M7" s="39"/>
      <c r="N7" s="101" t="s">
        <v>168</v>
      </c>
      <c r="O7" s="2984">
        <f>+Index!$E$13</f>
        <v>0</v>
      </c>
      <c r="P7" s="2984"/>
      <c r="Q7" s="2984"/>
      <c r="R7" s="2984"/>
      <c r="S7" s="2984"/>
      <c r="T7" s="2984"/>
      <c r="U7" s="2984"/>
      <c r="V7" s="2984"/>
      <c r="W7" s="39"/>
    </row>
    <row r="8" spans="1:23" s="98" customFormat="1" ht="15" customHeight="1" thickBot="1" x14ac:dyDescent="0.25">
      <c r="A8" s="39"/>
      <c r="B8" s="102"/>
      <c r="C8" s="1743"/>
      <c r="D8" s="1743"/>
      <c r="E8" s="1743"/>
      <c r="F8" s="1743"/>
      <c r="G8" s="1743"/>
      <c r="H8" s="1744"/>
      <c r="I8" s="1744"/>
      <c r="J8" s="1744"/>
      <c r="K8" s="1744"/>
      <c r="L8" s="1744"/>
      <c r="M8" s="1744"/>
      <c r="N8" s="1744"/>
      <c r="O8" s="1744"/>
      <c r="P8" s="1744"/>
      <c r="Q8" s="1744"/>
      <c r="R8" s="1744"/>
      <c r="S8" s="1744"/>
      <c r="T8" s="1744"/>
      <c r="U8" s="1744"/>
      <c r="V8" s="1744"/>
      <c r="W8" s="39"/>
    </row>
    <row r="9" spans="1:23" s="98" customFormat="1" ht="15" customHeight="1" x14ac:dyDescent="0.2">
      <c r="A9" s="39"/>
      <c r="B9" s="39"/>
      <c r="C9" s="39"/>
      <c r="D9" s="39"/>
      <c r="E9" s="39"/>
      <c r="F9" s="39"/>
      <c r="G9" s="39"/>
      <c r="H9" s="39"/>
      <c r="I9" s="39"/>
      <c r="J9" s="39"/>
      <c r="K9" s="39"/>
      <c r="L9" s="39"/>
      <c r="M9" s="39"/>
      <c r="N9" s="39"/>
      <c r="O9" s="39"/>
      <c r="P9" s="39"/>
      <c r="Q9" s="39"/>
      <c r="R9" s="39"/>
      <c r="S9" s="39"/>
      <c r="T9" s="39"/>
      <c r="U9" s="39"/>
      <c r="V9" s="39"/>
      <c r="W9" s="39"/>
    </row>
    <row r="10" spans="1:23" s="98" customFormat="1" ht="15" customHeight="1" x14ac:dyDescent="0.2">
      <c r="A10" s="39"/>
      <c r="B10" s="39"/>
      <c r="C10" s="39"/>
      <c r="D10" s="39"/>
      <c r="E10" s="39"/>
      <c r="F10" s="39"/>
      <c r="G10" s="39"/>
      <c r="H10" s="39"/>
      <c r="I10" s="39"/>
      <c r="J10" s="39"/>
      <c r="K10" s="39"/>
      <c r="L10" s="39"/>
      <c r="M10" s="39"/>
      <c r="N10" s="39"/>
      <c r="O10" s="39"/>
      <c r="P10" s="39"/>
      <c r="Q10" s="39"/>
      <c r="R10" s="39"/>
      <c r="S10" s="39"/>
      <c r="T10" s="39"/>
      <c r="U10" s="39"/>
      <c r="V10" s="39"/>
      <c r="W10" s="39"/>
    </row>
    <row r="11" spans="1:23" s="98" customFormat="1" ht="15" customHeight="1" x14ac:dyDescent="0.2">
      <c r="A11" s="39"/>
      <c r="B11" s="39"/>
      <c r="C11" s="39"/>
      <c r="D11" s="39"/>
      <c r="E11" s="39"/>
      <c r="F11" s="39"/>
      <c r="G11" s="39"/>
      <c r="H11" s="39"/>
      <c r="I11" s="39"/>
      <c r="J11" s="39"/>
      <c r="K11" s="39"/>
      <c r="L11" s="39"/>
      <c r="M11" s="39"/>
      <c r="N11" s="39"/>
      <c r="O11" s="39"/>
      <c r="P11" s="39"/>
      <c r="Q11" s="39"/>
      <c r="R11" s="39"/>
      <c r="S11" s="39"/>
      <c r="T11" s="39"/>
      <c r="U11" s="39"/>
      <c r="V11" s="39"/>
      <c r="W11" s="39"/>
    </row>
    <row r="12" spans="1:23" s="98" customFormat="1" ht="15" customHeight="1" x14ac:dyDescent="0.2">
      <c r="A12" s="39"/>
      <c r="B12" s="39"/>
      <c r="C12" s="39"/>
      <c r="D12" s="39"/>
      <c r="E12" s="39"/>
      <c r="F12" s="39"/>
      <c r="G12" s="39"/>
      <c r="H12" s="39"/>
      <c r="I12" s="39"/>
      <c r="J12" s="39"/>
      <c r="K12" s="39"/>
      <c r="L12" s="39"/>
      <c r="M12" s="39"/>
      <c r="N12" s="39"/>
      <c r="O12" s="39"/>
      <c r="P12" s="39"/>
      <c r="Q12" s="39"/>
      <c r="R12" s="39"/>
      <c r="S12" s="39"/>
      <c r="T12" s="39"/>
      <c r="U12" s="39"/>
      <c r="V12" s="39"/>
      <c r="W12" s="39"/>
    </row>
    <row r="13" spans="1:23" s="98" customFormat="1" ht="15" customHeight="1" x14ac:dyDescent="0.2">
      <c r="A13" s="39"/>
      <c r="B13" s="39"/>
      <c r="C13" s="39"/>
      <c r="D13" s="39"/>
      <c r="E13" s="39"/>
      <c r="F13" s="39"/>
      <c r="G13" s="39"/>
      <c r="H13" s="39"/>
      <c r="I13" s="39"/>
      <c r="J13" s="39"/>
      <c r="K13" s="39"/>
      <c r="L13" s="39"/>
      <c r="M13" s="39"/>
      <c r="N13" s="39"/>
      <c r="O13" s="39"/>
      <c r="P13" s="39"/>
      <c r="Q13" s="39"/>
      <c r="R13" s="39"/>
      <c r="S13" s="39"/>
      <c r="T13" s="39"/>
      <c r="U13" s="39"/>
      <c r="V13" s="39"/>
      <c r="W13" s="39"/>
    </row>
    <row r="14" spans="1:23" s="98" customFormat="1" ht="73.5" customHeight="1" x14ac:dyDescent="0.2">
      <c r="A14" s="39"/>
      <c r="B14" s="39"/>
      <c r="C14" s="39"/>
      <c r="D14" s="39"/>
      <c r="E14" s="39"/>
      <c r="F14" s="39"/>
      <c r="G14" s="39"/>
      <c r="H14" s="39"/>
      <c r="I14" s="39"/>
      <c r="J14" s="39"/>
      <c r="K14" s="39"/>
      <c r="L14" s="39"/>
      <c r="M14" s="39"/>
      <c r="N14" s="39"/>
      <c r="O14" s="39"/>
      <c r="P14" s="39"/>
      <c r="Q14" s="39"/>
      <c r="R14" s="39"/>
      <c r="S14" s="39"/>
      <c r="T14" s="39"/>
      <c r="U14" s="39"/>
      <c r="V14" s="39"/>
      <c r="W14" s="39"/>
    </row>
    <row r="15" spans="1:23" s="98" customFormat="1" ht="22.5" customHeight="1" x14ac:dyDescent="0.2">
      <c r="A15" s="39"/>
      <c r="B15" s="2987" t="s">
        <v>2068</v>
      </c>
      <c r="C15" s="2987"/>
      <c r="D15" s="2987"/>
      <c r="E15" s="97"/>
      <c r="F15" s="2405" t="s">
        <v>2187</v>
      </c>
      <c r="G15" s="97"/>
      <c r="H15" s="2989" t="s">
        <v>2188</v>
      </c>
      <c r="I15" s="2989"/>
      <c r="J15" s="2989"/>
      <c r="K15" s="2989"/>
      <c r="L15" s="2989"/>
      <c r="M15" s="2989"/>
      <c r="N15" s="2989"/>
      <c r="O15" s="2989"/>
      <c r="P15" s="2989"/>
      <c r="Q15" s="2989"/>
      <c r="R15" s="2989"/>
      <c r="S15" s="2989"/>
      <c r="T15" s="2989"/>
      <c r="U15" s="2989"/>
      <c r="V15" s="2989"/>
      <c r="W15" s="39"/>
    </row>
    <row r="16" spans="1:23" s="98" customFormat="1" ht="30" customHeight="1" x14ac:dyDescent="0.2">
      <c r="A16" s="2979"/>
      <c r="B16" s="2979"/>
      <c r="C16" s="2979"/>
      <c r="D16" s="2979"/>
      <c r="E16" s="1745"/>
      <c r="F16" s="1746"/>
      <c r="G16" s="1745"/>
      <c r="H16" s="2980"/>
      <c r="I16" s="2980"/>
      <c r="J16" s="2980"/>
      <c r="K16" s="2980"/>
      <c r="L16" s="2980"/>
      <c r="M16" s="2980"/>
      <c r="N16" s="2980"/>
      <c r="O16" s="2980"/>
      <c r="P16" s="2980"/>
      <c r="Q16" s="2980"/>
      <c r="R16" s="2980"/>
      <c r="S16" s="2980"/>
      <c r="T16" s="2980"/>
      <c r="U16" s="2980"/>
      <c r="V16" s="2980"/>
      <c r="W16" s="39"/>
    </row>
    <row r="17" spans="1:22" s="98" customFormat="1" ht="30.75" customHeight="1" x14ac:dyDescent="0.2">
      <c r="A17" s="2988"/>
      <c r="B17" s="2988"/>
      <c r="C17" s="2988"/>
      <c r="D17" s="2988"/>
      <c r="E17" s="1745"/>
      <c r="F17" s="1746"/>
      <c r="G17" s="1745"/>
      <c r="H17" s="2980"/>
      <c r="I17" s="2980"/>
      <c r="J17" s="2980"/>
      <c r="K17" s="2980"/>
      <c r="L17" s="2980"/>
      <c r="M17" s="2980"/>
      <c r="N17" s="2980"/>
      <c r="O17" s="2980"/>
      <c r="P17" s="2980"/>
      <c r="Q17" s="2980"/>
      <c r="R17" s="2980"/>
      <c r="S17" s="2980"/>
      <c r="T17" s="2980"/>
      <c r="U17" s="2980"/>
      <c r="V17" s="2980"/>
    </row>
    <row r="18" spans="1:22" s="98" customFormat="1" ht="30.75" customHeight="1" x14ac:dyDescent="0.2">
      <c r="A18" s="2979"/>
      <c r="B18" s="2979"/>
      <c r="C18" s="2979"/>
      <c r="D18" s="2979"/>
      <c r="E18" s="1745"/>
      <c r="F18" s="1746"/>
      <c r="G18" s="1745"/>
      <c r="H18" s="2980"/>
      <c r="I18" s="2980"/>
      <c r="J18" s="2980"/>
      <c r="K18" s="2980"/>
      <c r="L18" s="2980"/>
      <c r="M18" s="2980"/>
      <c r="N18" s="2980"/>
      <c r="O18" s="2980"/>
      <c r="P18" s="2980"/>
      <c r="Q18" s="2980"/>
      <c r="R18" s="2980"/>
      <c r="S18" s="2980"/>
      <c r="T18" s="2980"/>
      <c r="U18" s="2980"/>
      <c r="V18" s="2980"/>
    </row>
    <row r="19" spans="1:22" s="98" customFormat="1" ht="30.75" customHeight="1" x14ac:dyDescent="0.2">
      <c r="A19" s="2979"/>
      <c r="B19" s="2979"/>
      <c r="C19" s="2979"/>
      <c r="D19" s="2979"/>
      <c r="E19" s="1745"/>
      <c r="F19" s="1746"/>
      <c r="G19" s="1745"/>
      <c r="H19" s="2980"/>
      <c r="I19" s="2980"/>
      <c r="J19" s="2980"/>
      <c r="K19" s="2980"/>
      <c r="L19" s="2980"/>
      <c r="M19" s="2980"/>
      <c r="N19" s="2980"/>
      <c r="O19" s="2980"/>
      <c r="P19" s="2980"/>
      <c r="Q19" s="2980"/>
      <c r="R19" s="2980"/>
      <c r="S19" s="2980"/>
      <c r="T19" s="2980"/>
      <c r="U19" s="2980"/>
      <c r="V19" s="2980"/>
    </row>
    <row r="20" spans="1:22" s="98" customFormat="1" ht="30.75" customHeight="1" x14ac:dyDescent="0.2">
      <c r="A20" s="2979"/>
      <c r="B20" s="2979"/>
      <c r="C20" s="2979"/>
      <c r="D20" s="2979"/>
      <c r="E20" s="1745"/>
      <c r="F20" s="1746"/>
      <c r="G20" s="1745"/>
      <c r="H20" s="2980"/>
      <c r="I20" s="2980"/>
      <c r="J20" s="2980"/>
      <c r="K20" s="2980"/>
      <c r="L20" s="2980"/>
      <c r="M20" s="2980"/>
      <c r="N20" s="2980"/>
      <c r="O20" s="2980"/>
      <c r="P20" s="2980"/>
      <c r="Q20" s="2980"/>
      <c r="R20" s="2980"/>
      <c r="S20" s="2980"/>
      <c r="T20" s="2980"/>
      <c r="U20" s="2980"/>
      <c r="V20" s="2980"/>
    </row>
    <row r="21" spans="1:22" s="98" customFormat="1" ht="30.75" customHeight="1" x14ac:dyDescent="0.2">
      <c r="A21" s="2979"/>
      <c r="B21" s="2979"/>
      <c r="C21" s="2979"/>
      <c r="D21" s="2979"/>
      <c r="E21" s="1745"/>
      <c r="F21" s="1746"/>
      <c r="G21" s="1745"/>
      <c r="H21" s="2980"/>
      <c r="I21" s="2980"/>
      <c r="J21" s="2980"/>
      <c r="K21" s="2980"/>
      <c r="L21" s="2980"/>
      <c r="M21" s="2980"/>
      <c r="N21" s="2980"/>
      <c r="O21" s="2980"/>
      <c r="P21" s="2980"/>
      <c r="Q21" s="2980"/>
      <c r="R21" s="2980"/>
      <c r="S21" s="2980"/>
      <c r="T21" s="2980"/>
      <c r="U21" s="2980"/>
      <c r="V21" s="2980"/>
    </row>
    <row r="22" spans="1:22" s="98" customFormat="1" ht="30.75" customHeight="1" x14ac:dyDescent="0.2">
      <c r="A22" s="2979"/>
      <c r="B22" s="2979"/>
      <c r="C22" s="2979"/>
      <c r="D22" s="2979"/>
      <c r="E22" s="1745"/>
      <c r="F22" s="1746"/>
      <c r="G22" s="1745"/>
      <c r="H22" s="2980"/>
      <c r="I22" s="2980"/>
      <c r="J22" s="2980"/>
      <c r="K22" s="2980"/>
      <c r="L22" s="2980"/>
      <c r="M22" s="2980"/>
      <c r="N22" s="2980"/>
      <c r="O22" s="2980"/>
      <c r="P22" s="2980"/>
      <c r="Q22" s="2980"/>
      <c r="R22" s="2980"/>
      <c r="S22" s="2980"/>
      <c r="T22" s="2980"/>
      <c r="U22" s="2980"/>
      <c r="V22" s="2980"/>
    </row>
    <row r="23" spans="1:22" s="98" customFormat="1" ht="30.75" customHeight="1" x14ac:dyDescent="0.2">
      <c r="A23" s="2979"/>
      <c r="B23" s="2979"/>
      <c r="C23" s="2979"/>
      <c r="D23" s="2979"/>
      <c r="E23" s="1745"/>
      <c r="F23" s="1746"/>
      <c r="G23" s="1745"/>
      <c r="H23" s="2980"/>
      <c r="I23" s="2980"/>
      <c r="J23" s="2980"/>
      <c r="K23" s="2980"/>
      <c r="L23" s="2980"/>
      <c r="M23" s="2980"/>
      <c r="N23" s="2980"/>
      <c r="O23" s="2980"/>
      <c r="P23" s="2980"/>
      <c r="Q23" s="2980"/>
      <c r="R23" s="2980"/>
      <c r="S23" s="2980"/>
      <c r="T23" s="2980"/>
      <c r="U23" s="2980"/>
      <c r="V23" s="2980"/>
    </row>
    <row r="24" spans="1:22" s="98" customFormat="1" ht="30.75" customHeight="1" x14ac:dyDescent="0.2">
      <c r="A24" s="2979"/>
      <c r="B24" s="2979"/>
      <c r="C24" s="2979"/>
      <c r="D24" s="2979"/>
      <c r="E24" s="1745"/>
      <c r="F24" s="1746"/>
      <c r="G24" s="1745"/>
      <c r="H24" s="2980"/>
      <c r="I24" s="2980"/>
      <c r="J24" s="2980"/>
      <c r="K24" s="2980"/>
      <c r="L24" s="2980"/>
      <c r="M24" s="2980"/>
      <c r="N24" s="2980"/>
      <c r="O24" s="2980"/>
      <c r="P24" s="2980"/>
      <c r="Q24" s="2980"/>
      <c r="R24" s="2980"/>
      <c r="S24" s="2980"/>
      <c r="T24" s="2980"/>
      <c r="U24" s="2980"/>
      <c r="V24" s="2980"/>
    </row>
    <row r="25" spans="1:22" s="98" customFormat="1" ht="28.5" customHeight="1" x14ac:dyDescent="0.2">
      <c r="A25" s="39"/>
      <c r="B25" s="2404"/>
      <c r="C25" s="39"/>
      <c r="D25" s="1747"/>
      <c r="E25" s="1745"/>
      <c r="F25" s="1747"/>
      <c r="G25" s="1745"/>
      <c r="H25" s="2015"/>
      <c r="I25" s="2016"/>
      <c r="J25" s="2017"/>
      <c r="K25" s="2018"/>
      <c r="L25" s="2981"/>
      <c r="M25" s="2981"/>
      <c r="N25" s="2981"/>
      <c r="O25" s="2981"/>
      <c r="P25" s="2981"/>
      <c r="Q25" s="2981"/>
      <c r="R25" s="2981"/>
      <c r="S25" s="2981"/>
      <c r="T25" s="2981"/>
      <c r="U25" s="2981"/>
      <c r="V25" s="2981"/>
    </row>
    <row r="26" spans="1:22" s="98" customFormat="1" ht="15" customHeight="1" x14ac:dyDescent="0.2">
      <c r="A26" s="39"/>
      <c r="B26" s="39"/>
      <c r="C26" s="39"/>
      <c r="D26" s="1745"/>
      <c r="E26" s="1745"/>
      <c r="F26" s="1745"/>
      <c r="G26" s="1745"/>
      <c r="H26" s="1745"/>
      <c r="I26" s="39"/>
      <c r="J26" s="39"/>
      <c r="K26" s="39"/>
      <c r="L26" s="39"/>
      <c r="M26" s="39"/>
      <c r="N26" s="39"/>
      <c r="O26" s="39"/>
      <c r="P26" s="39"/>
      <c r="Q26" s="39"/>
      <c r="R26" s="39"/>
      <c r="S26" s="39"/>
      <c r="T26" s="39"/>
      <c r="U26" s="39"/>
      <c r="V26" s="39"/>
    </row>
    <row r="27" spans="1:22" s="98" customFormat="1" ht="15" customHeight="1" x14ac:dyDescent="0.2">
      <c r="A27" s="39"/>
      <c r="B27" s="39"/>
      <c r="C27" s="39"/>
      <c r="D27" s="39"/>
      <c r="E27" s="39"/>
      <c r="F27" s="39"/>
      <c r="G27" s="39"/>
      <c r="H27" s="39"/>
      <c r="I27" s="39"/>
      <c r="J27" s="39"/>
      <c r="K27" s="39"/>
      <c r="L27" s="39"/>
      <c r="M27" s="39"/>
      <c r="N27" s="39"/>
      <c r="O27" s="39"/>
      <c r="P27" s="39"/>
      <c r="Q27" s="39"/>
      <c r="R27" s="39"/>
      <c r="S27" s="39"/>
      <c r="T27" s="39"/>
      <c r="U27" s="39"/>
      <c r="V27" s="39"/>
    </row>
    <row r="28" spans="1:22" s="98" customFormat="1" ht="21.75" customHeight="1" x14ac:dyDescent="0.2">
      <c r="A28" s="39"/>
      <c r="B28" s="2404"/>
      <c r="C28" s="2404"/>
      <c r="D28" s="2404"/>
      <c r="E28" s="2404"/>
      <c r="F28" s="2404"/>
      <c r="G28" s="2404"/>
      <c r="H28" s="2404"/>
      <c r="I28" s="2404"/>
      <c r="J28" s="2404"/>
      <c r="K28" s="2404"/>
      <c r="L28" s="2404"/>
      <c r="M28" s="2404"/>
      <c r="N28" s="2404"/>
      <c r="O28" s="2404"/>
      <c r="P28" s="2404"/>
      <c r="Q28" s="2404"/>
      <c r="R28" s="2404"/>
      <c r="S28" s="2404"/>
      <c r="T28" s="2404"/>
      <c r="U28" s="2404"/>
      <c r="V28" s="2404"/>
    </row>
    <row r="29" spans="1:22" ht="15" customHeight="1" x14ac:dyDescent="0.2">
      <c r="A29" s="421" t="str">
        <f ca="1">MID(CELL("filename",A11),FIND("]",CELL("filename",A11))+1,256)</f>
        <v>625</v>
      </c>
      <c r="B29" s="434" t="s">
        <v>613</v>
      </c>
      <c r="P29" s="40"/>
      <c r="Q29" s="40"/>
      <c r="R29" s="40"/>
      <c r="S29" s="40"/>
      <c r="T29" s="40"/>
      <c r="U29" s="40"/>
      <c r="V29" s="40"/>
    </row>
    <row r="30" spans="1:22" ht="15" customHeight="1" x14ac:dyDescent="0.2">
      <c r="A30" s="421" t="s">
        <v>401</v>
      </c>
      <c r="B30" s="434"/>
      <c r="P30" s="40"/>
      <c r="Q30" s="40"/>
      <c r="R30" s="40"/>
      <c r="S30" s="40"/>
      <c r="T30" s="40"/>
      <c r="U30" s="40"/>
      <c r="V30" s="40"/>
    </row>
    <row r="31" spans="1:22" ht="15" customHeight="1" x14ac:dyDescent="0.2">
      <c r="A31" s="421" t="s">
        <v>402</v>
      </c>
      <c r="B31" s="434"/>
      <c r="P31" s="40"/>
      <c r="Q31" s="40"/>
      <c r="R31" s="40"/>
      <c r="S31" s="40"/>
      <c r="T31" s="40"/>
      <c r="U31" s="40"/>
      <c r="V31" s="40"/>
    </row>
    <row r="32" spans="1:22" ht="15" customHeight="1" x14ac:dyDescent="0.2">
      <c r="A32" s="421" t="s">
        <v>403</v>
      </c>
      <c r="B32" s="421"/>
      <c r="P32" s="40"/>
      <c r="Q32" s="40"/>
      <c r="R32" s="40"/>
      <c r="S32" s="40"/>
      <c r="T32" s="40"/>
      <c r="U32" s="40"/>
      <c r="V32" s="40"/>
    </row>
    <row r="33" spans="1:22" ht="15" x14ac:dyDescent="0.2">
      <c r="A33" s="421" t="s">
        <v>404</v>
      </c>
      <c r="B33" s="421"/>
      <c r="P33" s="40"/>
      <c r="Q33" s="40"/>
      <c r="R33" s="40"/>
      <c r="S33" s="40"/>
      <c r="T33" s="40"/>
      <c r="U33" s="40"/>
      <c r="V33" s="40"/>
    </row>
    <row r="34" spans="1:22" ht="15" x14ac:dyDescent="0.2">
      <c r="A34" s="421" t="s">
        <v>405</v>
      </c>
      <c r="B34" s="421"/>
      <c r="P34" s="40"/>
      <c r="Q34" s="40"/>
      <c r="R34" s="40"/>
      <c r="S34" s="40"/>
      <c r="T34" s="40"/>
      <c r="U34" s="40"/>
      <c r="V34" s="40"/>
    </row>
    <row r="35" spans="1:22" ht="15" x14ac:dyDescent="0.2">
      <c r="A35" s="421" t="s">
        <v>406</v>
      </c>
      <c r="B35" s="421"/>
      <c r="P35" s="40"/>
      <c r="Q35" s="40"/>
      <c r="R35" s="40"/>
      <c r="S35" s="40"/>
      <c r="T35" s="40"/>
      <c r="U35" s="40"/>
      <c r="V35" s="40"/>
    </row>
    <row r="36" spans="1:22" ht="15" x14ac:dyDescent="0.2">
      <c r="A36" s="421" t="s">
        <v>407</v>
      </c>
      <c r="B36" s="421"/>
      <c r="P36" s="40"/>
      <c r="Q36" s="40"/>
      <c r="R36" s="40"/>
      <c r="S36" s="40"/>
      <c r="T36" s="40"/>
      <c r="U36" s="40"/>
      <c r="V36" s="40"/>
    </row>
    <row r="37" spans="1:22" ht="15" x14ac:dyDescent="0.2">
      <c r="A37" s="421" t="s">
        <v>408</v>
      </c>
      <c r="B37" s="421"/>
      <c r="P37" s="40"/>
      <c r="Q37" s="40"/>
      <c r="R37" s="40"/>
      <c r="S37" s="40"/>
      <c r="T37" s="40"/>
      <c r="U37" s="40"/>
      <c r="V37" s="40"/>
    </row>
    <row r="38" spans="1:22" ht="15" x14ac:dyDescent="0.2">
      <c r="A38" s="421" t="s">
        <v>409</v>
      </c>
      <c r="B38" s="421"/>
      <c r="P38" s="40"/>
      <c r="Q38" s="40"/>
      <c r="R38" s="40"/>
      <c r="S38" s="40"/>
      <c r="T38" s="40"/>
      <c r="U38" s="40"/>
      <c r="V38" s="40"/>
    </row>
    <row r="39" spans="1:22" ht="15" x14ac:dyDescent="0.2">
      <c r="A39" s="421" t="s">
        <v>410</v>
      </c>
      <c r="B39" s="421"/>
      <c r="P39" s="40"/>
      <c r="Q39" s="40"/>
      <c r="R39" s="40"/>
      <c r="S39" s="40"/>
      <c r="T39" s="40"/>
      <c r="U39" s="40"/>
      <c r="V39" s="40"/>
    </row>
    <row r="40" spans="1:22" x14ac:dyDescent="0.2">
      <c r="P40" s="40"/>
      <c r="Q40" s="40"/>
      <c r="R40" s="40"/>
      <c r="S40" s="40"/>
      <c r="T40" s="40"/>
      <c r="U40" s="40"/>
      <c r="V40" s="40"/>
    </row>
    <row r="41" spans="1:22" x14ac:dyDescent="0.2">
      <c r="P41" s="40"/>
      <c r="Q41" s="40"/>
      <c r="R41" s="40"/>
      <c r="S41" s="40"/>
      <c r="T41" s="40"/>
      <c r="U41" s="40"/>
      <c r="V41" s="40"/>
    </row>
    <row r="42" spans="1:22" x14ac:dyDescent="0.2">
      <c r="P42" s="40"/>
      <c r="Q42" s="40"/>
      <c r="R42" s="40"/>
      <c r="S42" s="40"/>
      <c r="T42" s="40"/>
      <c r="U42" s="40"/>
      <c r="V42" s="40"/>
    </row>
    <row r="43" spans="1:22" x14ac:dyDescent="0.2">
      <c r="P43" s="40"/>
      <c r="Q43" s="40"/>
      <c r="R43" s="40"/>
      <c r="S43" s="40"/>
      <c r="T43" s="40"/>
      <c r="U43" s="40"/>
      <c r="V43" s="40"/>
    </row>
    <row r="44" spans="1:22" x14ac:dyDescent="0.2">
      <c r="P44" s="40"/>
      <c r="Q44" s="40"/>
      <c r="R44" s="40"/>
      <c r="S44" s="40"/>
      <c r="T44" s="40"/>
      <c r="U44" s="40"/>
      <c r="V44" s="40"/>
    </row>
    <row r="45" spans="1:22" x14ac:dyDescent="0.2">
      <c r="P45" s="40"/>
      <c r="Q45" s="40"/>
      <c r="R45" s="40"/>
      <c r="S45" s="40"/>
      <c r="T45" s="40"/>
      <c r="U45" s="40"/>
      <c r="V45" s="40"/>
    </row>
    <row r="46" spans="1:22" x14ac:dyDescent="0.2">
      <c r="P46" s="40"/>
      <c r="Q46" s="40"/>
      <c r="R46" s="40"/>
      <c r="S46" s="40"/>
      <c r="T46" s="40"/>
      <c r="U46" s="40"/>
      <c r="V46" s="40"/>
    </row>
    <row r="47" spans="1:22" x14ac:dyDescent="0.2">
      <c r="P47" s="40"/>
      <c r="Q47" s="40"/>
      <c r="R47" s="40"/>
      <c r="S47" s="40"/>
      <c r="T47" s="40"/>
      <c r="U47" s="40"/>
      <c r="V47" s="40"/>
    </row>
    <row r="48" spans="1:22" x14ac:dyDescent="0.2">
      <c r="P48" s="40"/>
      <c r="Q48" s="40"/>
      <c r="R48" s="40"/>
      <c r="S48" s="40"/>
      <c r="T48" s="40"/>
      <c r="U48" s="40"/>
      <c r="V48" s="40"/>
    </row>
    <row r="49" spans="16:22" x14ac:dyDescent="0.2">
      <c r="P49" s="40"/>
      <c r="Q49" s="40"/>
      <c r="R49" s="40"/>
      <c r="S49" s="40"/>
      <c r="T49" s="40"/>
      <c r="U49" s="40"/>
      <c r="V49" s="40"/>
    </row>
    <row r="50" spans="16:22" x14ac:dyDescent="0.2">
      <c r="P50" s="40"/>
      <c r="Q50" s="40"/>
      <c r="R50" s="40"/>
      <c r="S50" s="40"/>
      <c r="T50" s="40"/>
      <c r="U50" s="40"/>
      <c r="V50" s="40"/>
    </row>
    <row r="51" spans="16:22" x14ac:dyDescent="0.2">
      <c r="P51" s="40"/>
      <c r="Q51" s="40"/>
      <c r="R51" s="40"/>
      <c r="S51" s="40"/>
      <c r="T51" s="40"/>
      <c r="U51" s="40"/>
      <c r="V51" s="40"/>
    </row>
    <row r="52" spans="16:22" x14ac:dyDescent="0.2">
      <c r="P52" s="40"/>
      <c r="Q52" s="40"/>
      <c r="R52" s="40"/>
      <c r="S52" s="40"/>
      <c r="T52" s="40"/>
      <c r="U52" s="40"/>
      <c r="V52" s="40"/>
    </row>
    <row r="53" spans="16:22" x14ac:dyDescent="0.2">
      <c r="P53" s="40"/>
      <c r="Q53" s="40"/>
      <c r="R53" s="40"/>
      <c r="S53" s="40"/>
      <c r="T53" s="40"/>
      <c r="U53" s="40"/>
      <c r="V53" s="40"/>
    </row>
    <row r="54" spans="16:22" x14ac:dyDescent="0.2">
      <c r="P54" s="40"/>
      <c r="Q54" s="40"/>
      <c r="R54" s="40"/>
      <c r="S54" s="40"/>
      <c r="T54" s="40"/>
      <c r="U54" s="40"/>
      <c r="V54" s="40"/>
    </row>
    <row r="55" spans="16:22" x14ac:dyDescent="0.2">
      <c r="P55" s="40"/>
      <c r="Q55" s="40"/>
      <c r="R55" s="40"/>
      <c r="S55" s="40"/>
      <c r="T55" s="40"/>
      <c r="U55" s="40"/>
      <c r="V55" s="40"/>
    </row>
    <row r="56" spans="16:22" x14ac:dyDescent="0.2">
      <c r="P56" s="40"/>
      <c r="Q56" s="40"/>
      <c r="R56" s="40"/>
      <c r="S56" s="40"/>
      <c r="T56" s="40"/>
      <c r="U56" s="40"/>
      <c r="V56" s="40"/>
    </row>
  </sheetData>
  <sheetProtection algorithmName="SHA-512" hashValue="pcVdWLx3wtZ33eGCydZEPWUCMtpUQLK5HCBzyu/yz/l5lVtkVv21E2Adz/Cn0bGUT+qp7Ip4uhCrH6hXlHztMQ==" saltValue="OYrW4BzFCxEMW1QrEjqqfA==" spinCount="100000" sheet="1" autoFilter="0"/>
  <customSheetViews>
    <customSheetView guid="{9FCFC836-1CA5-48BF-958D-24D2EA94B219}" scale="95" showGridLines="0" fitToPage="1" hiddenColumns="1" topLeftCell="B1">
      <selection activeCell="B18" sqref="B18"/>
      <pageMargins left="0" right="0" top="0" bottom="0" header="0" footer="0"/>
      <printOptions horizontalCentered="1"/>
      <pageSetup scale="82" orientation="landscape" r:id="rId1"/>
      <headerFooter alignWithMargins="0">
        <oddFooter>&amp;R&amp;A</oddFooter>
      </headerFooter>
    </customSheetView>
    <customSheetView guid="{BEA4BE86-04D1-4C96-9358-7A260B9D2B2D}" showGridLines="0" fitToPage="1" showRuler="0">
      <selection sqref="A1:U1"/>
      <pageMargins left="0" right="0" top="0" bottom="0" header="0" footer="0"/>
      <printOptions horizontalCentered="1"/>
      <pageSetup scale="90" orientation="landscape" horizontalDpi="300" verticalDpi="300" r:id="rId2"/>
      <headerFooter alignWithMargins="0">
        <oddFooter>&amp;R&amp;A</oddFooter>
      </headerFooter>
    </customSheetView>
    <customSheetView guid="{1250FD07-FF56-4A9D-AF9E-C27124A7EBE9}" showGridLines="0" fitToPage="1" showRuler="0">
      <selection sqref="A1:U1"/>
      <pageMargins left="0" right="0" top="0" bottom="0" header="0" footer="0"/>
      <printOptions horizontalCentered="1"/>
      <pageSetup scale="90" orientation="landscape" horizontalDpi="300" verticalDpi="300" r:id="rId3"/>
      <headerFooter alignWithMargins="0">
        <oddFooter>&amp;R&amp;A</oddFooter>
      </headerFooter>
    </customSheetView>
    <customSheetView guid="{B08879A4-635B-4C39-9937-AC7883D562FC}" scale="95" showGridLines="0" fitToPage="1" hiddenColumns="1" topLeftCell="B1">
      <selection activeCell="B18" sqref="B18"/>
      <pageMargins left="0" right="0" top="0" bottom="0" header="0" footer="0"/>
      <printOptions horizontalCentered="1"/>
      <pageSetup scale="82" orientation="landscape" r:id="rId4"/>
      <headerFooter alignWithMargins="0">
        <oddFooter>&amp;R&amp;A</oddFooter>
      </headerFooter>
    </customSheetView>
  </customSheetViews>
  <mergeCells count="31">
    <mergeCell ref="B15:D15"/>
    <mergeCell ref="H16:V16"/>
    <mergeCell ref="A17:D17"/>
    <mergeCell ref="H15:V15"/>
    <mergeCell ref="A16:D16"/>
    <mergeCell ref="H17:V17"/>
    <mergeCell ref="W1:W3"/>
    <mergeCell ref="O5:V5"/>
    <mergeCell ref="O6:V6"/>
    <mergeCell ref="O7:V7"/>
    <mergeCell ref="B1:V1"/>
    <mergeCell ref="B2:V2"/>
    <mergeCell ref="C5:D5"/>
    <mergeCell ref="C6:D6"/>
    <mergeCell ref="B3:V3"/>
    <mergeCell ref="C7:G7"/>
    <mergeCell ref="L25:V25"/>
    <mergeCell ref="H22:V22"/>
    <mergeCell ref="H23:V23"/>
    <mergeCell ref="H24:V24"/>
    <mergeCell ref="A22:D22"/>
    <mergeCell ref="A21:D21"/>
    <mergeCell ref="A19:D19"/>
    <mergeCell ref="A24:D24"/>
    <mergeCell ref="H18:V18"/>
    <mergeCell ref="H21:V21"/>
    <mergeCell ref="A20:D20"/>
    <mergeCell ref="A23:D23"/>
    <mergeCell ref="H20:V20"/>
    <mergeCell ref="H19:V19"/>
    <mergeCell ref="A18:D18"/>
  </mergeCells>
  <phoneticPr fontId="18" type="noConversion"/>
  <conditionalFormatting sqref="W1:W3">
    <cfRule type="cellIs" dxfId="47" priority="1" stopIfTrue="1" operator="equal">
      <formula>"na"</formula>
    </cfRule>
  </conditionalFormatting>
  <dataValidations count="1">
    <dataValidation type="textLength" operator="equal" allowBlank="1" showInputMessage="1" showErrorMessage="1" errorTitle="Invalid data!" error="GASB number must be 4 digits." sqref="C6:D6" xr:uid="{00000000-0002-0000-3A00-000000000000}">
      <formula1>4</formula1>
    </dataValidation>
  </dataValidations>
  <hyperlinks>
    <hyperlink ref="B1:V1" location="Index!A1" display="Index!A1" xr:uid="{00000000-0004-0000-3A00-000000000000}"/>
  </hyperlinks>
  <pageMargins left="0.6" right="0.6" top="0.5" bottom="0.5" header="0.3" footer="0.3"/>
  <pageSetup scale="85" orientation="landscape" r:id="rId5"/>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1:L57"/>
  <sheetViews>
    <sheetView showGridLines="0" topLeftCell="B1" zoomScaleNormal="100" workbookViewId="0">
      <selection activeCell="D34" sqref="D34"/>
    </sheetView>
  </sheetViews>
  <sheetFormatPr defaultColWidth="9.42578125" defaultRowHeight="12.75" x14ac:dyDescent="0.2"/>
  <cols>
    <col min="1" max="1" width="9.42578125" style="41" hidden="1" customWidth="1"/>
    <col min="2" max="3" width="3.42578125" style="41" customWidth="1"/>
    <col min="4" max="4" width="7.5703125" style="41" customWidth="1"/>
    <col min="5" max="5" width="8.5703125" style="41" customWidth="1"/>
    <col min="6" max="6" width="22.5703125" style="41" customWidth="1"/>
    <col min="7" max="7" width="7.5703125" style="41" customWidth="1"/>
    <col min="8" max="8" width="8.5703125" style="41" customWidth="1"/>
    <col min="9" max="9" width="7.42578125" style="41" customWidth="1"/>
    <col min="10" max="10" width="21.5703125" style="41" customWidth="1"/>
    <col min="11" max="11" width="4.5703125" style="41" customWidth="1"/>
    <col min="12" max="16384" width="9.42578125" style="41"/>
  </cols>
  <sheetData>
    <row r="1" spans="1:12" ht="15.75" x14ac:dyDescent="0.25">
      <c r="A1" s="41" t="str">
        <f t="shared" ref="A1:A10" si="0">AgyIdx</f>
        <v>01</v>
      </c>
      <c r="B1" s="2534" t="str">
        <f>+Index!$A$1</f>
        <v xml:space="preserve">                                                               Office of the State Controller                                                                </v>
      </c>
      <c r="C1" s="2534"/>
      <c r="D1" s="2534"/>
      <c r="E1" s="2534"/>
      <c r="F1" s="2534"/>
      <c r="G1" s="2534"/>
      <c r="H1" s="2534"/>
      <c r="I1" s="2534"/>
      <c r="J1" s="2534"/>
      <c r="K1" s="2533"/>
    </row>
    <row r="2" spans="1:12" ht="15.75" x14ac:dyDescent="0.25">
      <c r="A2" s="41" t="str">
        <f t="shared" si="0"/>
        <v>01</v>
      </c>
      <c r="B2" s="2537" t="str">
        <f>+Index!$A$2</f>
        <v>2024 ACFR Worksheets</v>
      </c>
      <c r="C2" s="2537"/>
      <c r="D2" s="2537"/>
      <c r="E2" s="2537"/>
      <c r="F2" s="2537"/>
      <c r="G2" s="2537"/>
      <c r="H2" s="2537"/>
      <c r="I2" s="2537"/>
      <c r="J2" s="2537"/>
      <c r="K2" s="2533"/>
    </row>
    <row r="3" spans="1:12" ht="15.75" x14ac:dyDescent="0.25">
      <c r="A3" s="41" t="str">
        <f t="shared" si="0"/>
        <v>01</v>
      </c>
      <c r="B3" s="2538" t="s">
        <v>496</v>
      </c>
      <c r="C3" s="2538"/>
      <c r="D3" s="2538"/>
      <c r="E3" s="2538"/>
      <c r="F3" s="2538"/>
      <c r="G3" s="2538"/>
      <c r="H3" s="2538"/>
      <c r="I3" s="2538"/>
      <c r="J3" s="2538"/>
      <c r="K3" s="2533"/>
    </row>
    <row r="4" spans="1:12" ht="12.75" customHeight="1" x14ac:dyDescent="0.2">
      <c r="A4" s="41" t="str">
        <f t="shared" si="0"/>
        <v>01</v>
      </c>
      <c r="B4" s="247"/>
      <c r="C4" s="247"/>
      <c r="D4" s="247"/>
      <c r="E4" s="247"/>
      <c r="F4" s="247"/>
      <c r="G4" s="247"/>
      <c r="H4" s="247"/>
      <c r="I4" s="247"/>
      <c r="J4" s="242"/>
      <c r="K4" s="243"/>
    </row>
    <row r="5" spans="1:12" x14ac:dyDescent="0.2">
      <c r="A5" s="41" t="str">
        <f t="shared" si="0"/>
        <v>01</v>
      </c>
      <c r="B5" s="612"/>
      <c r="C5" s="612"/>
      <c r="D5" s="612"/>
      <c r="E5" s="245"/>
      <c r="F5" s="796"/>
      <c r="G5" s="790" t="s">
        <v>318</v>
      </c>
      <c r="H5" s="791" t="str">
        <f>+Index!$E$10</f>
        <v>01</v>
      </c>
      <c r="I5" s="2305"/>
      <c r="J5" s="2305"/>
    </row>
    <row r="6" spans="1:12" x14ac:dyDescent="0.2">
      <c r="A6" s="41" t="str">
        <f t="shared" si="0"/>
        <v>01</v>
      </c>
      <c r="B6" s="612"/>
      <c r="C6" s="612"/>
      <c r="D6" s="612"/>
      <c r="E6" s="612"/>
      <c r="F6" s="2271"/>
      <c r="G6" s="790" t="s">
        <v>319</v>
      </c>
      <c r="H6" s="792" t="str">
        <f>AgyName</f>
        <v>North Carolina General Assembly</v>
      </c>
      <c r="I6" s="2307"/>
      <c r="J6" s="2307"/>
    </row>
    <row r="7" spans="1:12" x14ac:dyDescent="0.2">
      <c r="A7" s="41" t="str">
        <f t="shared" si="0"/>
        <v>01</v>
      </c>
      <c r="B7" s="2559" t="s">
        <v>497</v>
      </c>
      <c r="C7" s="2517"/>
      <c r="D7" s="2517"/>
      <c r="E7" s="789" t="s">
        <v>498</v>
      </c>
      <c r="F7" s="247"/>
      <c r="G7" s="790" t="s">
        <v>320</v>
      </c>
      <c r="H7" s="793" t="str">
        <f>CONCATENATE(Index!$E$12," ",Index!$E$14)</f>
        <v xml:space="preserve"> </v>
      </c>
      <c r="I7" s="2306"/>
      <c r="J7" s="2306"/>
    </row>
    <row r="8" spans="1:12" x14ac:dyDescent="0.2">
      <c r="A8" s="41" t="str">
        <f t="shared" si="0"/>
        <v>01</v>
      </c>
      <c r="B8" s="2271"/>
      <c r="C8" s="2271"/>
      <c r="D8" s="796"/>
      <c r="E8" s="247"/>
      <c r="F8" s="247"/>
      <c r="G8" s="790" t="s">
        <v>168</v>
      </c>
      <c r="H8" s="793">
        <f>+Index!$E$13</f>
        <v>0</v>
      </c>
      <c r="I8" s="2306"/>
      <c r="J8" s="2306"/>
    </row>
    <row r="9" spans="1:12" ht="10.35" customHeight="1" thickBot="1" x14ac:dyDescent="0.25">
      <c r="A9" s="41" t="str">
        <f t="shared" si="0"/>
        <v>01</v>
      </c>
      <c r="B9" s="797"/>
      <c r="C9" s="797"/>
      <c r="D9" s="797"/>
      <c r="E9" s="797"/>
      <c r="F9" s="797"/>
      <c r="G9" s="797"/>
      <c r="H9" s="797"/>
      <c r="I9" s="797"/>
      <c r="J9" s="797"/>
    </row>
    <row r="10" spans="1:12" ht="9" customHeight="1" x14ac:dyDescent="0.2">
      <c r="A10" s="41" t="str">
        <f t="shared" si="0"/>
        <v>01</v>
      </c>
      <c r="B10" s="2557" t="s">
        <v>499</v>
      </c>
      <c r="C10" s="2557"/>
      <c r="D10" s="2557"/>
      <c r="E10" s="2557"/>
      <c r="F10" s="2557"/>
      <c r="G10" s="2557"/>
      <c r="H10" s="2557"/>
      <c r="I10" s="2557"/>
      <c r="J10" s="2557"/>
    </row>
    <row r="11" spans="1:12" ht="43.5" customHeight="1" x14ac:dyDescent="0.2">
      <c r="B11" s="2558"/>
      <c r="C11" s="2558"/>
      <c r="D11" s="2558"/>
      <c r="E11" s="2558"/>
      <c r="F11" s="2558"/>
      <c r="G11" s="2558"/>
      <c r="H11" s="2558"/>
      <c r="I11" s="2558"/>
      <c r="J11" s="2558"/>
      <c r="K11" s="794"/>
      <c r="L11" s="776"/>
    </row>
    <row r="12" spans="1:12" ht="12.75" customHeight="1" x14ac:dyDescent="0.2">
      <c r="B12" s="695"/>
      <c r="C12" s="695"/>
      <c r="D12" s="695"/>
      <c r="E12" s="695"/>
      <c r="F12" s="695"/>
      <c r="G12" s="695"/>
      <c r="H12" s="695"/>
      <c r="I12" s="695"/>
      <c r="J12" s="695"/>
      <c r="K12" s="794"/>
      <c r="L12" s="776"/>
    </row>
    <row r="13" spans="1:12" ht="12.75" customHeight="1" x14ac:dyDescent="0.2">
      <c r="B13" s="1808" t="s">
        <v>500</v>
      </c>
      <c r="C13" s="1808"/>
      <c r="D13" s="1808"/>
      <c r="E13" s="1808"/>
      <c r="F13" s="1808"/>
      <c r="G13" s="1808"/>
      <c r="H13" s="1808"/>
      <c r="I13" s="1808"/>
      <c r="J13" s="1808"/>
      <c r="K13" s="794"/>
      <c r="L13" s="776"/>
    </row>
    <row r="14" spans="1:12" ht="13.5" customHeight="1" x14ac:dyDescent="0.2">
      <c r="B14" s="1808"/>
      <c r="C14" s="1808"/>
      <c r="D14" s="1808"/>
      <c r="E14" s="1808"/>
      <c r="F14" s="1808"/>
      <c r="G14" s="1808"/>
      <c r="H14" s="1808"/>
      <c r="I14" s="1808"/>
      <c r="J14" s="1808"/>
      <c r="K14" s="794"/>
      <c r="L14" s="776"/>
    </row>
    <row r="15" spans="1:12" ht="25.5" customHeight="1" x14ac:dyDescent="0.2">
      <c r="B15" s="1808"/>
      <c r="C15" s="1809">
        <v>1</v>
      </c>
      <c r="D15" s="2558" t="s">
        <v>501</v>
      </c>
      <c r="E15" s="2558"/>
      <c r="F15" s="2558"/>
      <c r="G15" s="2558"/>
      <c r="H15" s="2558"/>
      <c r="I15" s="2558"/>
      <c r="J15" s="2558"/>
      <c r="K15" s="794"/>
      <c r="L15" s="776"/>
    </row>
    <row r="16" spans="1:12" ht="25.5" customHeight="1" x14ac:dyDescent="0.2">
      <c r="B16" s="1808"/>
      <c r="C16" s="1809">
        <v>2</v>
      </c>
      <c r="D16" s="2558" t="s">
        <v>502</v>
      </c>
      <c r="E16" s="2558"/>
      <c r="F16" s="2558"/>
      <c r="G16" s="2558"/>
      <c r="H16" s="2558"/>
      <c r="I16" s="2558"/>
      <c r="J16" s="2558"/>
      <c r="K16" s="794"/>
      <c r="L16" s="776"/>
    </row>
    <row r="17" spans="2:12" ht="15.75" customHeight="1" x14ac:dyDescent="0.2">
      <c r="B17" s="1808"/>
      <c r="C17" s="1809">
        <v>3</v>
      </c>
      <c r="D17" s="2558" t="s">
        <v>503</v>
      </c>
      <c r="E17" s="2558"/>
      <c r="F17" s="2558"/>
      <c r="G17" s="2558"/>
      <c r="H17" s="2558"/>
      <c r="I17" s="2558"/>
      <c r="J17" s="2558"/>
      <c r="K17" s="794"/>
      <c r="L17" s="776"/>
    </row>
    <row r="18" spans="2:12" ht="12.75" customHeight="1" x14ac:dyDescent="0.2">
      <c r="B18" s="1808"/>
      <c r="C18" s="1809">
        <v>4</v>
      </c>
      <c r="D18" s="2558" t="s">
        <v>504</v>
      </c>
      <c r="E18" s="2558"/>
      <c r="F18" s="2558"/>
      <c r="G18" s="2558"/>
      <c r="H18" s="2558"/>
      <c r="I18" s="2558"/>
      <c r="J18" s="2558"/>
      <c r="K18" s="794"/>
      <c r="L18" s="776"/>
    </row>
    <row r="19" spans="2:12" ht="12.75" customHeight="1" x14ac:dyDescent="0.2">
      <c r="B19" s="695"/>
      <c r="C19" s="695"/>
      <c r="D19" s="695"/>
      <c r="E19" s="695"/>
      <c r="F19" s="695"/>
      <c r="G19" s="695"/>
      <c r="H19" s="695"/>
      <c r="I19" s="695"/>
      <c r="J19" s="695"/>
      <c r="K19" s="794"/>
      <c r="L19" s="776"/>
    </row>
    <row r="20" spans="2:12" s="43" customFormat="1" ht="12.75" customHeight="1" x14ac:dyDescent="0.25">
      <c r="B20" s="695" t="s">
        <v>505</v>
      </c>
      <c r="C20" s="611"/>
      <c r="D20" s="612"/>
      <c r="E20" s="612"/>
      <c r="F20" s="612"/>
      <c r="G20" s="612"/>
      <c r="H20" s="612"/>
      <c r="I20" s="612"/>
      <c r="J20" s="612"/>
      <c r="K20" s="41"/>
    </row>
    <row r="21" spans="2:12" s="43" customFormat="1" ht="12.75" customHeight="1" x14ac:dyDescent="0.25">
      <c r="B21" s="695" t="s">
        <v>506</v>
      </c>
      <c r="C21" s="611"/>
      <c r="D21" s="612"/>
      <c r="E21" s="612"/>
      <c r="F21" s="612"/>
      <c r="G21" s="612"/>
      <c r="H21" s="612"/>
      <c r="I21" s="612"/>
      <c r="J21" s="612"/>
      <c r="K21" s="41"/>
    </row>
    <row r="22" spans="2:12" s="43" customFormat="1" ht="12.75" customHeight="1" x14ac:dyDescent="0.25">
      <c r="B22" s="611"/>
      <c r="C22" s="611"/>
      <c r="D22" s="612"/>
      <c r="E22" s="612"/>
      <c r="F22" s="612"/>
      <c r="G22" s="612"/>
      <c r="H22" s="612"/>
      <c r="I22" s="612"/>
      <c r="J22" s="612"/>
      <c r="K22" s="41"/>
    </row>
    <row r="23" spans="2:12" s="43" customFormat="1" ht="12.75" customHeight="1" x14ac:dyDescent="0.25">
      <c r="B23" s="611"/>
      <c r="C23" s="611"/>
      <c r="D23" s="613" t="s">
        <v>340</v>
      </c>
      <c r="E23" s="813"/>
      <c r="F23" s="2265" t="str">
        <f>IF(AND(ISBLANK(E23),ISBLANK(E24))=TRUE,"Answer Missing"," ")</f>
        <v>Answer Missing</v>
      </c>
      <c r="G23" s="612"/>
      <c r="H23" s="612"/>
      <c r="I23" s="612"/>
      <c r="J23" s="612"/>
      <c r="K23" s="41"/>
    </row>
    <row r="24" spans="2:12" s="43" customFormat="1" ht="12.75" customHeight="1" x14ac:dyDescent="0.25">
      <c r="B24" s="611"/>
      <c r="C24" s="611"/>
      <c r="D24" s="613" t="s">
        <v>341</v>
      </c>
      <c r="E24" s="813"/>
      <c r="F24" s="612"/>
      <c r="G24" s="612"/>
      <c r="H24" s="612"/>
      <c r="I24" s="612"/>
      <c r="J24" s="612"/>
      <c r="K24" s="41"/>
    </row>
    <row r="25" spans="2:12" s="43" customFormat="1" ht="12.75" customHeight="1" x14ac:dyDescent="0.25">
      <c r="B25" s="611"/>
      <c r="C25" s="611"/>
      <c r="D25" s="612"/>
      <c r="E25" s="612"/>
      <c r="F25" s="612"/>
      <c r="G25" s="612"/>
      <c r="H25" s="612"/>
      <c r="I25" s="612"/>
      <c r="J25" s="612"/>
      <c r="K25" s="41"/>
    </row>
    <row r="26" spans="2:12" s="43" customFormat="1" ht="12.75" customHeight="1" x14ac:dyDescent="0.25">
      <c r="B26" s="795" t="s">
        <v>507</v>
      </c>
      <c r="C26" s="611"/>
      <c r="D26" s="612"/>
      <c r="E26" s="612"/>
      <c r="F26" s="612"/>
      <c r="G26" s="612"/>
      <c r="H26" s="612"/>
      <c r="I26" s="612"/>
      <c r="J26" s="612"/>
      <c r="K26" s="41"/>
    </row>
    <row r="27" spans="2:12" ht="12.75" customHeight="1" x14ac:dyDescent="0.2">
      <c r="B27" s="695" t="s">
        <v>508</v>
      </c>
      <c r="C27" s="139"/>
      <c r="D27" s="139"/>
      <c r="E27" s="139"/>
      <c r="F27" s="139"/>
      <c r="G27" s="139"/>
      <c r="H27" s="139"/>
      <c r="I27" s="139"/>
      <c r="J27" s="612"/>
    </row>
    <row r="28" spans="2:12" ht="12.75" customHeight="1" x14ac:dyDescent="0.2">
      <c r="B28" s="695" t="s">
        <v>509</v>
      </c>
      <c r="C28" s="139"/>
      <c r="D28" s="139"/>
      <c r="E28" s="139"/>
      <c r="F28" s="139"/>
      <c r="G28" s="139"/>
      <c r="H28" s="139"/>
      <c r="I28" s="139"/>
      <c r="J28" s="612"/>
    </row>
    <row r="29" spans="2:12" ht="12.75" customHeight="1" x14ac:dyDescent="0.2">
      <c r="B29" s="695"/>
      <c r="C29" s="695"/>
      <c r="D29" s="695"/>
      <c r="E29" s="695"/>
      <c r="F29" s="695"/>
      <c r="G29" s="695"/>
      <c r="H29" s="695"/>
      <c r="I29" s="695"/>
      <c r="J29" s="695"/>
      <c r="K29" s="794"/>
      <c r="L29" s="776"/>
    </row>
    <row r="30" spans="2:12" s="43" customFormat="1" ht="66" customHeight="1" x14ac:dyDescent="0.25">
      <c r="B30" s="2556" t="s">
        <v>510</v>
      </c>
      <c r="C30" s="2556"/>
      <c r="D30" s="2556"/>
      <c r="E30" s="2556"/>
      <c r="F30" s="2556"/>
      <c r="G30" s="2556"/>
      <c r="H30" s="2556"/>
      <c r="I30" s="2556"/>
      <c r="J30" s="2556"/>
      <c r="K30" s="41"/>
    </row>
    <row r="31" spans="2:12" s="43" customFormat="1" ht="11.45" customHeight="1" x14ac:dyDescent="0.25">
      <c r="B31" s="695"/>
      <c r="C31" s="611"/>
      <c r="D31" s="612"/>
      <c r="E31" s="612"/>
      <c r="F31" s="612"/>
      <c r="G31" s="612"/>
      <c r="H31" s="612"/>
      <c r="I31" s="612"/>
      <c r="J31" s="612"/>
      <c r="K31" s="41"/>
    </row>
    <row r="32" spans="2:12" s="43" customFormat="1" ht="15.75" customHeight="1" x14ac:dyDescent="0.25">
      <c r="B32" s="611" t="s">
        <v>511</v>
      </c>
      <c r="C32" s="611"/>
      <c r="D32" s="612"/>
      <c r="E32" s="612"/>
      <c r="F32" s="612"/>
      <c r="G32" s="612"/>
      <c r="H32" s="612"/>
      <c r="I32" s="612"/>
      <c r="J32" s="612"/>
      <c r="K32" s="41"/>
    </row>
    <row r="33" spans="1:12" x14ac:dyDescent="0.2">
      <c r="B33" s="1812" t="s">
        <v>512</v>
      </c>
      <c r="C33" s="1812"/>
      <c r="D33" s="1812"/>
      <c r="E33" s="1812"/>
      <c r="F33" s="1812"/>
    </row>
    <row r="34" spans="1:12" ht="14.1" customHeight="1" x14ac:dyDescent="0.2">
      <c r="B34" s="688"/>
      <c r="C34" s="139"/>
      <c r="D34" s="139"/>
      <c r="E34" s="139"/>
      <c r="F34" s="139"/>
      <c r="G34" s="139"/>
      <c r="H34" s="139"/>
      <c r="I34" s="139"/>
      <c r="J34" s="139"/>
      <c r="K34" s="139"/>
      <c r="L34" s="139"/>
    </row>
    <row r="35" spans="1:12" ht="14.25" customHeight="1" x14ac:dyDescent="0.2">
      <c r="B35" s="688"/>
      <c r="C35" s="688"/>
      <c r="D35" s="512"/>
      <c r="E35" s="512"/>
      <c r="F35" s="512"/>
      <c r="G35" s="512"/>
      <c r="H35" s="512"/>
      <c r="I35" s="512"/>
      <c r="J35" s="512"/>
    </row>
    <row r="36" spans="1:12" ht="12" customHeight="1" x14ac:dyDescent="0.2">
      <c r="B36" s="688"/>
      <c r="C36" s="688"/>
      <c r="D36" s="512"/>
      <c r="E36" s="512"/>
      <c r="F36" s="512"/>
      <c r="G36" s="512"/>
      <c r="H36" s="512"/>
      <c r="I36" s="512"/>
      <c r="J36" s="512"/>
    </row>
    <row r="37" spans="1:12" x14ac:dyDescent="0.2">
      <c r="B37" s="688"/>
      <c r="C37" s="688"/>
      <c r="D37" s="512"/>
      <c r="E37" s="512"/>
      <c r="F37" s="512"/>
      <c r="G37" s="512"/>
      <c r="H37" s="512"/>
      <c r="I37" s="512"/>
      <c r="J37" s="512"/>
    </row>
    <row r="38" spans="1:12" x14ac:dyDescent="0.2">
      <c r="B38" s="688"/>
      <c r="C38" s="688"/>
      <c r="D38" s="512"/>
      <c r="E38" s="512"/>
      <c r="F38" s="512"/>
      <c r="G38" s="512"/>
      <c r="H38" s="512"/>
      <c r="I38" s="512"/>
      <c r="J38" s="512"/>
    </row>
    <row r="39" spans="1:12" ht="16.5" customHeight="1" x14ac:dyDescent="0.2">
      <c r="B39" s="688"/>
      <c r="C39" s="688"/>
      <c r="D39" s="512"/>
      <c r="E39" s="512"/>
      <c r="F39" s="512"/>
      <c r="G39" s="512"/>
      <c r="H39" s="512"/>
      <c r="I39" s="512"/>
      <c r="J39" s="512"/>
    </row>
    <row r="40" spans="1:12" ht="5.0999999999999996" customHeight="1" x14ac:dyDescent="0.2">
      <c r="B40" s="688"/>
      <c r="C40" s="688"/>
      <c r="D40" s="512"/>
      <c r="E40" s="512"/>
      <c r="F40" s="512"/>
      <c r="G40" s="512"/>
      <c r="H40" s="512"/>
      <c r="I40" s="512"/>
      <c r="J40" s="512"/>
    </row>
    <row r="41" spans="1:12" x14ac:dyDescent="0.2">
      <c r="B41" s="688"/>
      <c r="C41" s="688"/>
      <c r="D41" s="512"/>
      <c r="E41" s="512"/>
      <c r="F41" s="512"/>
      <c r="G41" s="512"/>
      <c r="H41" s="512"/>
      <c r="I41" s="512"/>
      <c r="J41" s="512"/>
    </row>
    <row r="42" spans="1:12" x14ac:dyDescent="0.2">
      <c r="B42" s="688"/>
      <c r="C42" s="688"/>
      <c r="D42" s="512"/>
      <c r="E42" s="512"/>
      <c r="F42" s="512"/>
      <c r="G42" s="512"/>
      <c r="H42" s="512"/>
      <c r="I42" s="512"/>
      <c r="J42" s="512"/>
    </row>
    <row r="43" spans="1:12" x14ac:dyDescent="0.2">
      <c r="B43" s="688"/>
      <c r="C43" s="688"/>
      <c r="D43" s="512"/>
      <c r="E43" s="512"/>
      <c r="F43" s="512"/>
      <c r="G43" s="512"/>
      <c r="H43" s="512"/>
      <c r="I43" s="512"/>
      <c r="J43" s="512"/>
    </row>
    <row r="44" spans="1:12" ht="16.5" customHeight="1" x14ac:dyDescent="0.2">
      <c r="B44" s="688"/>
      <c r="C44" s="688"/>
      <c r="D44" s="512"/>
      <c r="E44" s="512"/>
      <c r="F44" s="512"/>
      <c r="G44" s="512"/>
      <c r="H44" s="512"/>
      <c r="I44" s="512"/>
      <c r="J44" s="512"/>
    </row>
    <row r="45" spans="1:12" ht="11.1" customHeight="1" x14ac:dyDescent="0.2">
      <c r="B45" s="688"/>
      <c r="C45" s="688"/>
      <c r="D45" s="512"/>
      <c r="E45" s="512"/>
      <c r="F45" s="512"/>
      <c r="G45" s="512"/>
      <c r="H45" s="512"/>
      <c r="I45" s="512"/>
      <c r="J45" s="512"/>
    </row>
    <row r="46" spans="1:12" x14ac:dyDescent="0.2">
      <c r="A46" s="41" t="str">
        <f>AgyIdx</f>
        <v>01</v>
      </c>
      <c r="B46" s="688"/>
      <c r="C46" s="688"/>
      <c r="D46" s="512"/>
      <c r="E46" s="512"/>
      <c r="F46" s="512"/>
      <c r="G46" s="512"/>
      <c r="H46" s="512"/>
      <c r="I46" s="512"/>
      <c r="J46" s="512"/>
    </row>
    <row r="47" spans="1:12" ht="15" x14ac:dyDescent="0.2">
      <c r="A47" s="421" t="str">
        <f ca="1">MID(CELL("filename",A1),FIND("]",CELL("filename",A1))+1,256)</f>
        <v>110</v>
      </c>
      <c r="B47" s="688" t="str">
        <f t="shared" ref="B47:B56" ca="1" si="1">IF(ISNA(INDEX(ErrorTable,MATCH($A$47&amp;$A48&amp;FALSE,ErrorKey,0),6)),"",INDEX(ErrorTable,MATCH($A$47&amp;$A48&amp;FALSE,ErrorKey,0),6))</f>
        <v/>
      </c>
      <c r="C47" s="688"/>
      <c r="D47" s="512"/>
      <c r="E47" s="512"/>
      <c r="F47" s="512"/>
      <c r="G47" s="512"/>
      <c r="H47" s="512"/>
      <c r="I47" s="512"/>
      <c r="J47" s="512"/>
    </row>
    <row r="48" spans="1:12" ht="15" x14ac:dyDescent="0.2">
      <c r="A48" s="421" t="s">
        <v>401</v>
      </c>
      <c r="B48" s="688" t="str">
        <f t="shared" ca="1" si="1"/>
        <v/>
      </c>
      <c r="C48" s="688"/>
      <c r="D48" s="512"/>
      <c r="E48" s="512"/>
      <c r="F48" s="512"/>
      <c r="G48" s="512"/>
      <c r="H48" s="512"/>
      <c r="I48" s="512"/>
      <c r="J48" s="512"/>
    </row>
    <row r="49" spans="1:10" ht="15" x14ac:dyDescent="0.2">
      <c r="A49" s="421" t="s">
        <v>402</v>
      </c>
      <c r="B49" s="688" t="str">
        <f t="shared" ca="1" si="1"/>
        <v/>
      </c>
      <c r="C49" s="688"/>
      <c r="D49" s="512"/>
      <c r="E49" s="512"/>
      <c r="F49" s="512"/>
      <c r="G49" s="512"/>
      <c r="H49" s="512"/>
      <c r="I49" s="512"/>
      <c r="J49" s="512"/>
    </row>
    <row r="50" spans="1:10" ht="15" x14ac:dyDescent="0.2">
      <c r="A50" s="421" t="s">
        <v>403</v>
      </c>
      <c r="B50" s="421" t="str">
        <f t="shared" ca="1" si="1"/>
        <v/>
      </c>
      <c r="C50" s="688"/>
      <c r="D50" s="512"/>
      <c r="E50" s="512"/>
      <c r="F50" s="512"/>
      <c r="G50" s="512"/>
      <c r="H50" s="512"/>
      <c r="I50" s="512"/>
      <c r="J50" s="512"/>
    </row>
    <row r="51" spans="1:10" ht="15" x14ac:dyDescent="0.2">
      <c r="A51" s="421" t="s">
        <v>404</v>
      </c>
      <c r="B51" s="421" t="str">
        <f t="shared" ca="1" si="1"/>
        <v/>
      </c>
      <c r="C51" s="421"/>
    </row>
    <row r="52" spans="1:10" ht="15" x14ac:dyDescent="0.2">
      <c r="A52" s="421" t="s">
        <v>405</v>
      </c>
      <c r="B52" s="421" t="str">
        <f t="shared" ca="1" si="1"/>
        <v/>
      </c>
      <c r="C52" s="421"/>
    </row>
    <row r="53" spans="1:10" ht="15" x14ac:dyDescent="0.2">
      <c r="A53" s="421" t="s">
        <v>406</v>
      </c>
      <c r="B53" s="421" t="str">
        <f t="shared" ca="1" si="1"/>
        <v/>
      </c>
      <c r="C53" s="421"/>
    </row>
    <row r="54" spans="1:10" ht="15" x14ac:dyDescent="0.2">
      <c r="A54" s="421" t="s">
        <v>407</v>
      </c>
      <c r="B54" s="421" t="str">
        <f t="shared" ca="1" si="1"/>
        <v/>
      </c>
      <c r="C54" s="421"/>
    </row>
    <row r="55" spans="1:10" ht="15" x14ac:dyDescent="0.2">
      <c r="A55" s="421" t="s">
        <v>408</v>
      </c>
      <c r="B55" s="421" t="str">
        <f t="shared" ca="1" si="1"/>
        <v/>
      </c>
      <c r="C55" s="421"/>
    </row>
    <row r="56" spans="1:10" ht="15" x14ac:dyDescent="0.2">
      <c r="A56" s="421" t="s">
        <v>409</v>
      </c>
      <c r="B56" s="421" t="str">
        <f t="shared" ca="1" si="1"/>
        <v/>
      </c>
      <c r="C56" s="421"/>
    </row>
    <row r="57" spans="1:10" ht="15" x14ac:dyDescent="0.2">
      <c r="A57" s="421" t="s">
        <v>410</v>
      </c>
      <c r="C57" s="421"/>
    </row>
  </sheetData>
  <sheetProtection algorithmName="SHA-512" hashValue="eY0GJvp60BIbWBwdVLk0jog0nuRr15G2ypuF6tC0qSh/2sBMFoss271j85ELkTv09hL4pLTS4h5z9uv0Jb8VPg==" saltValue="N9OJmCT+lmDjDuxoEywRLw==" spinCount="100000" sheet="1" autoFilter="0"/>
  <mergeCells count="11">
    <mergeCell ref="B7:D7"/>
    <mergeCell ref="B1:J1"/>
    <mergeCell ref="K1:K3"/>
    <mergeCell ref="B2:J2"/>
    <mergeCell ref="B3:J3"/>
    <mergeCell ref="B30:J30"/>
    <mergeCell ref="B10:J11"/>
    <mergeCell ref="D15:J15"/>
    <mergeCell ref="D16:J16"/>
    <mergeCell ref="D17:J17"/>
    <mergeCell ref="D18:J18"/>
  </mergeCells>
  <conditionalFormatting sqref="F23">
    <cfRule type="containsText" dxfId="168" priority="1" stopIfTrue="1" operator="containsText" text="Answer Missing">
      <formula>NOT(ISERROR(SEARCH("Answer Missing",F23)))</formula>
    </cfRule>
  </conditionalFormatting>
  <conditionalFormatting sqref="K1:K3">
    <cfRule type="cellIs" dxfId="167" priority="2" stopIfTrue="1" operator="equal">
      <formula>"na"</formula>
    </cfRule>
  </conditionalFormatting>
  <hyperlinks>
    <hyperlink ref="B1:J1" location="Index!A1" display="Index!A1" xr:uid="{00000000-0004-0000-0500-000000000000}"/>
    <hyperlink ref="B33:F33" r:id="rId1" display="Financial Reporting Update for GASB 94" xr:uid="{CC07DA2D-5AC9-4834-BBBF-42894704F993}"/>
  </hyperlinks>
  <pageMargins left="0.6" right="0.6" top="0.5" bottom="0.5" header="0.3" footer="0.3"/>
  <pageSetup scale="85" orientation="portrait"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8">
    <pageSetUpPr fitToPage="1"/>
  </sheetPr>
  <dimension ref="A1:W99"/>
  <sheetViews>
    <sheetView showGridLines="0" topLeftCell="B1" zoomScaleNormal="100" zoomScaleSheetLayoutView="130" workbookViewId="0">
      <selection activeCell="A2" sqref="A2"/>
    </sheetView>
  </sheetViews>
  <sheetFormatPr defaultRowHeight="12.75" x14ac:dyDescent="0.2"/>
  <cols>
    <col min="1" max="1" width="0" hidden="1" customWidth="1"/>
    <col min="2" max="9" width="3.5703125" customWidth="1"/>
    <col min="10" max="11" width="10.5703125" customWidth="1"/>
    <col min="12" max="12" width="12.42578125" customWidth="1"/>
    <col min="13" max="13" width="10.5703125" customWidth="1"/>
    <col min="14" max="14" width="9.5703125" customWidth="1"/>
    <col min="15" max="21" width="5.42578125" customWidth="1"/>
    <col min="23" max="23" width="41" customWidth="1"/>
    <col min="24" max="24" width="1.5703125" customWidth="1"/>
    <col min="28" max="28" width="25.5703125" customWidth="1"/>
    <col min="29" max="29" width="2" customWidth="1"/>
    <col min="30" max="31" width="11.5703125" customWidth="1"/>
  </cols>
  <sheetData>
    <row r="1" spans="2:21" ht="15" customHeight="1" x14ac:dyDescent="0.25">
      <c r="B1" s="2534" t="str">
        <f>+Index!$A$1</f>
        <v xml:space="preserve">                                                               Office of the State Controller                                                                </v>
      </c>
      <c r="C1" s="2534"/>
      <c r="D1" s="2534"/>
      <c r="E1" s="2534"/>
      <c r="F1" s="2534"/>
      <c r="G1" s="2534"/>
      <c r="H1" s="2534"/>
      <c r="I1" s="2534"/>
      <c r="J1" s="2534"/>
      <c r="K1" s="2534"/>
      <c r="L1" s="2534"/>
      <c r="M1" s="2534"/>
      <c r="N1" s="2534"/>
      <c r="O1" s="2534"/>
      <c r="P1" s="2554" t="str">
        <f>IF(Index!$B$87="na","NA","")</f>
        <v/>
      </c>
      <c r="Q1" s="22"/>
      <c r="R1" s="22"/>
      <c r="S1" s="22"/>
      <c r="T1" s="22"/>
      <c r="U1" s="22"/>
    </row>
    <row r="2" spans="2:21" ht="15" customHeight="1" x14ac:dyDescent="0.25">
      <c r="B2" s="2997" t="str">
        <f>+Index!$A$2</f>
        <v>2024 ACFR Worksheets</v>
      </c>
      <c r="C2" s="2997"/>
      <c r="D2" s="2997"/>
      <c r="E2" s="2997"/>
      <c r="F2" s="2997"/>
      <c r="G2" s="2997"/>
      <c r="H2" s="2997"/>
      <c r="I2" s="2997"/>
      <c r="J2" s="2997"/>
      <c r="K2" s="2997"/>
      <c r="L2" s="2997"/>
      <c r="M2" s="2997"/>
      <c r="N2" s="2997"/>
      <c r="O2" s="2997"/>
      <c r="P2" s="2554"/>
      <c r="Q2" s="23"/>
      <c r="R2" s="23"/>
      <c r="S2" s="23"/>
      <c r="T2" s="23"/>
      <c r="U2" s="23"/>
    </row>
    <row r="3" spans="2:21" ht="15" customHeight="1" x14ac:dyDescent="0.25">
      <c r="B3" s="2998" t="s">
        <v>2189</v>
      </c>
      <c r="C3" s="2998"/>
      <c r="D3" s="2998"/>
      <c r="E3" s="2998"/>
      <c r="F3" s="2998"/>
      <c r="G3" s="2998"/>
      <c r="H3" s="2998"/>
      <c r="I3" s="2998"/>
      <c r="J3" s="2998"/>
      <c r="K3" s="2998"/>
      <c r="L3" s="2998"/>
      <c r="M3" s="2998"/>
      <c r="N3" s="2998"/>
      <c r="O3" s="2998"/>
      <c r="P3" s="2554"/>
      <c r="Q3" s="22"/>
      <c r="R3" s="22"/>
      <c r="S3" s="22"/>
      <c r="T3" s="22"/>
      <c r="U3" s="22"/>
    </row>
    <row r="4" spans="2:21" ht="15" customHeight="1" x14ac:dyDescent="0.25">
      <c r="B4" s="22"/>
      <c r="C4" s="22"/>
      <c r="D4" s="22"/>
      <c r="E4" s="22"/>
      <c r="F4" s="22"/>
      <c r="G4" s="22"/>
      <c r="H4" s="22"/>
      <c r="I4" s="22"/>
      <c r="J4" s="22"/>
      <c r="K4" s="22"/>
      <c r="L4" s="236"/>
      <c r="N4" s="22"/>
      <c r="O4" s="24"/>
      <c r="P4" s="24"/>
      <c r="Q4" s="24"/>
      <c r="R4" s="24"/>
      <c r="S4" s="24"/>
      <c r="T4" s="24"/>
      <c r="U4" s="24"/>
    </row>
    <row r="5" spans="2:21" ht="15" customHeight="1" x14ac:dyDescent="0.25">
      <c r="B5" s="1748" t="s">
        <v>318</v>
      </c>
      <c r="C5" s="2410"/>
      <c r="D5" s="84"/>
      <c r="E5" s="84"/>
      <c r="F5" s="84"/>
      <c r="G5" s="2996" t="str">
        <f>+Index!$E$10</f>
        <v>01</v>
      </c>
      <c r="H5" s="2996"/>
      <c r="I5" s="2996"/>
      <c r="J5" s="2410"/>
      <c r="K5" s="1749" t="s">
        <v>319</v>
      </c>
      <c r="L5" s="2999" t="str">
        <f>+Index!$E$11</f>
        <v>North Carolina General Assembly</v>
      </c>
      <c r="M5" s="2999"/>
      <c r="N5" s="2999"/>
      <c r="O5" s="2999"/>
      <c r="P5" s="1750"/>
      <c r="Q5" s="1750"/>
      <c r="R5" s="1750"/>
      <c r="S5" s="1750"/>
      <c r="T5" s="1750"/>
      <c r="U5" s="1750"/>
    </row>
    <row r="6" spans="2:21" ht="15" customHeight="1" x14ac:dyDescent="0.25">
      <c r="I6" s="25"/>
      <c r="J6" s="2410"/>
      <c r="K6" s="1749" t="s">
        <v>320</v>
      </c>
      <c r="L6" s="3000" t="str">
        <f>CONCATENATE(Index!$E$12," ",Index!$E$14)</f>
        <v xml:space="preserve"> </v>
      </c>
      <c r="M6" s="3000"/>
      <c r="N6" s="3000"/>
      <c r="O6" s="3000"/>
      <c r="P6" s="1750"/>
      <c r="Q6" s="1750"/>
      <c r="R6" s="1750"/>
      <c r="S6" s="1750"/>
      <c r="T6" s="1750"/>
      <c r="U6" s="1750"/>
    </row>
    <row r="7" spans="2:21" ht="15" customHeight="1" x14ac:dyDescent="0.25">
      <c r="B7" s="1751" t="s">
        <v>545</v>
      </c>
      <c r="C7" s="2410"/>
      <c r="D7" s="83"/>
      <c r="E7" s="83"/>
      <c r="F7" s="83"/>
      <c r="G7" s="2995"/>
      <c r="H7" s="2995"/>
      <c r="I7" s="2995"/>
      <c r="J7" s="2410"/>
      <c r="K7" s="1749" t="s">
        <v>168</v>
      </c>
      <c r="L7" s="3001">
        <f>+Index!$E$13</f>
        <v>0</v>
      </c>
      <c r="M7" s="3001"/>
      <c r="N7" s="3001"/>
      <c r="O7" s="3001"/>
      <c r="P7" s="1750"/>
      <c r="Q7" s="1750"/>
      <c r="R7" s="1750"/>
      <c r="S7" s="1750"/>
      <c r="T7" s="1750"/>
      <c r="U7" s="1750"/>
    </row>
    <row r="8" spans="2:21" ht="9" customHeight="1" thickBot="1" x14ac:dyDescent="0.3">
      <c r="B8" s="26"/>
      <c r="C8" s="26"/>
      <c r="D8" s="26"/>
      <c r="E8" s="26"/>
      <c r="F8" s="26"/>
      <c r="G8" s="26"/>
      <c r="H8" s="26"/>
      <c r="I8" s="26"/>
      <c r="J8" s="26"/>
      <c r="K8" s="26"/>
      <c r="L8" s="26"/>
      <c r="M8" s="26"/>
      <c r="N8" s="26"/>
      <c r="O8" s="26"/>
      <c r="P8" s="2410"/>
      <c r="Q8" s="2410"/>
      <c r="R8" s="2410"/>
      <c r="S8" s="2410"/>
      <c r="T8" s="2410"/>
      <c r="U8" s="2410"/>
    </row>
    <row r="9" spans="2:21" ht="9" customHeight="1" x14ac:dyDescent="0.25">
      <c r="B9" s="2410"/>
      <c r="C9" s="2410"/>
      <c r="D9" s="2410"/>
      <c r="E9" s="2410"/>
      <c r="F9" s="2410"/>
      <c r="G9" s="2410"/>
      <c r="H9" s="2410"/>
      <c r="I9" s="2410"/>
      <c r="J9" s="2410"/>
      <c r="K9" s="2410"/>
      <c r="L9" s="2410"/>
      <c r="M9" s="2410"/>
      <c r="N9" s="2410"/>
      <c r="O9" s="2410"/>
      <c r="P9" s="2410"/>
      <c r="Q9" s="2410"/>
      <c r="R9" s="2410"/>
      <c r="S9" s="2410"/>
      <c r="T9" s="2410"/>
      <c r="U9" s="2410"/>
    </row>
    <row r="10" spans="2:21" s="20" customFormat="1" ht="12" customHeight="1" x14ac:dyDescent="0.2">
      <c r="B10" s="352" t="s">
        <v>2190</v>
      </c>
      <c r="C10" s="166"/>
      <c r="D10" s="166"/>
      <c r="E10" s="166"/>
      <c r="F10" s="166"/>
      <c r="G10" s="166"/>
      <c r="H10" s="166"/>
      <c r="I10" s="166"/>
      <c r="J10" s="166"/>
      <c r="K10" s="166"/>
      <c r="L10" s="166"/>
      <c r="M10" s="166"/>
      <c r="N10" s="166"/>
      <c r="O10" s="166"/>
      <c r="P10" s="166"/>
      <c r="Q10" s="166"/>
      <c r="R10" s="166"/>
      <c r="S10" s="166"/>
      <c r="T10" s="166"/>
      <c r="U10" s="166"/>
    </row>
    <row r="11" spans="2:21" s="20" customFormat="1" ht="12" customHeight="1" x14ac:dyDescent="0.2">
      <c r="B11" s="166" t="s">
        <v>2191</v>
      </c>
      <c r="C11" s="166"/>
      <c r="D11" s="166"/>
      <c r="E11" s="166"/>
      <c r="F11" s="166"/>
      <c r="G11" s="166"/>
      <c r="H11" s="166"/>
      <c r="I11" s="166"/>
      <c r="J11" s="166"/>
      <c r="K11" s="166"/>
      <c r="L11" s="166"/>
      <c r="M11" s="166"/>
      <c r="N11" s="166"/>
      <c r="O11" s="166"/>
      <c r="P11" s="166"/>
      <c r="Q11" s="166"/>
      <c r="R11" s="166"/>
      <c r="S11" s="166"/>
      <c r="T11" s="166"/>
      <c r="U11" s="166"/>
    </row>
    <row r="12" spans="2:21" s="20" customFormat="1" ht="12" customHeight="1" x14ac:dyDescent="0.2">
      <c r="B12" s="166" t="s">
        <v>2192</v>
      </c>
      <c r="C12" s="166"/>
      <c r="D12" s="166"/>
      <c r="E12" s="166"/>
      <c r="F12" s="166"/>
      <c r="G12" s="166"/>
      <c r="H12" s="166"/>
      <c r="I12" s="166"/>
      <c r="J12" s="166"/>
      <c r="K12" s="166"/>
      <c r="L12" s="166"/>
      <c r="M12" s="166"/>
      <c r="N12" s="166"/>
      <c r="O12" s="166"/>
      <c r="P12" s="166"/>
      <c r="Q12" s="166"/>
      <c r="R12" s="166"/>
      <c r="S12" s="166"/>
      <c r="T12" s="166"/>
      <c r="U12" s="166"/>
    </row>
    <row r="13" spans="2:21" s="20" customFormat="1" ht="12" customHeight="1" x14ac:dyDescent="0.2">
      <c r="B13" s="166" t="s">
        <v>2193</v>
      </c>
      <c r="C13" s="166"/>
      <c r="D13" s="166"/>
      <c r="E13" s="166"/>
      <c r="F13" s="166"/>
      <c r="G13" s="166"/>
      <c r="H13" s="166"/>
      <c r="I13" s="166"/>
      <c r="J13" s="166"/>
      <c r="K13" s="166"/>
      <c r="L13" s="166"/>
      <c r="M13" s="166"/>
      <c r="N13" s="166"/>
      <c r="O13" s="166"/>
      <c r="P13" s="166"/>
      <c r="Q13" s="166"/>
      <c r="R13" s="166"/>
      <c r="S13" s="166"/>
      <c r="T13" s="166"/>
      <c r="U13" s="166"/>
    </row>
    <row r="14" spans="2:21" s="20" customFormat="1" ht="6" customHeight="1" x14ac:dyDescent="0.2">
      <c r="B14" s="166"/>
      <c r="C14" s="166"/>
      <c r="D14" s="166"/>
      <c r="E14" s="166"/>
      <c r="F14" s="166"/>
      <c r="G14" s="166"/>
      <c r="H14" s="166"/>
      <c r="I14" s="166"/>
      <c r="J14" s="166"/>
      <c r="K14" s="166"/>
      <c r="L14" s="166"/>
      <c r="M14" s="166"/>
      <c r="N14" s="166"/>
      <c r="O14" s="166"/>
      <c r="P14" s="166"/>
      <c r="Q14" s="166"/>
      <c r="R14" s="166"/>
      <c r="S14" s="166"/>
      <c r="T14" s="166"/>
      <c r="U14" s="166"/>
    </row>
    <row r="15" spans="2:21" s="20" customFormat="1" ht="12" customHeight="1" x14ac:dyDescent="0.2">
      <c r="B15" s="352" t="s">
        <v>2194</v>
      </c>
      <c r="C15" s="166"/>
      <c r="D15" s="166"/>
      <c r="E15" s="166"/>
      <c r="F15" s="166"/>
      <c r="G15" s="166"/>
      <c r="H15" s="166"/>
      <c r="I15" s="166"/>
      <c r="J15" s="166"/>
      <c r="K15" s="166"/>
      <c r="L15" s="166"/>
      <c r="M15" s="166"/>
      <c r="N15" s="166"/>
      <c r="O15" s="166"/>
      <c r="P15" s="166"/>
      <c r="Q15" s="166"/>
      <c r="R15" s="166"/>
      <c r="S15" s="166"/>
      <c r="T15" s="166"/>
      <c r="U15" s="166"/>
    </row>
    <row r="16" spans="2:21" s="20" customFormat="1" ht="12" customHeight="1" x14ac:dyDescent="0.2">
      <c r="B16" s="166" t="s">
        <v>2195</v>
      </c>
      <c r="C16" s="166"/>
      <c r="D16" s="166"/>
      <c r="E16" s="166"/>
      <c r="F16" s="166"/>
      <c r="G16" s="166"/>
      <c r="H16" s="166"/>
      <c r="I16" s="166"/>
      <c r="J16" s="166"/>
      <c r="K16" s="166"/>
      <c r="L16" s="166"/>
      <c r="M16" s="166"/>
      <c r="N16" s="166"/>
      <c r="O16" s="166"/>
      <c r="P16" s="166"/>
      <c r="Q16" s="166"/>
      <c r="R16" s="166"/>
      <c r="S16" s="166"/>
      <c r="T16" s="166"/>
      <c r="U16" s="166"/>
    </row>
    <row r="17" spans="2:20" s="20" customFormat="1" ht="12" customHeight="1" x14ac:dyDescent="0.2">
      <c r="B17" s="166" t="s">
        <v>2196</v>
      </c>
      <c r="C17" s="166"/>
      <c r="D17" s="166"/>
      <c r="E17" s="166"/>
      <c r="F17" s="166"/>
      <c r="G17" s="166"/>
      <c r="H17" s="166"/>
      <c r="I17" s="166"/>
      <c r="J17" s="166"/>
      <c r="K17" s="166"/>
      <c r="L17" s="166"/>
      <c r="M17" s="166"/>
      <c r="N17" s="166"/>
      <c r="O17" s="166"/>
      <c r="P17" s="166"/>
      <c r="Q17" s="166"/>
      <c r="R17" s="166"/>
      <c r="S17" s="166"/>
      <c r="T17" s="166"/>
    </row>
    <row r="18" spans="2:20" s="20" customFormat="1" ht="12" customHeight="1" x14ac:dyDescent="0.2">
      <c r="B18" s="166" t="s">
        <v>2197</v>
      </c>
      <c r="C18" s="166"/>
      <c r="D18" s="166"/>
      <c r="E18" s="166"/>
      <c r="F18" s="166"/>
      <c r="G18" s="166"/>
      <c r="H18" s="166"/>
      <c r="I18" s="166"/>
      <c r="J18" s="166"/>
      <c r="K18" s="166"/>
      <c r="L18" s="166"/>
      <c r="M18" s="166"/>
      <c r="N18" s="166"/>
      <c r="O18" s="166"/>
      <c r="P18" s="166"/>
      <c r="Q18" s="166"/>
      <c r="R18" s="166"/>
      <c r="S18" s="166"/>
      <c r="T18" s="166"/>
    </row>
    <row r="19" spans="2:20" s="20" customFormat="1" ht="12" customHeight="1" x14ac:dyDescent="0.2">
      <c r="B19" s="352" t="s">
        <v>2198</v>
      </c>
      <c r="C19" s="166"/>
      <c r="D19" s="166"/>
      <c r="E19" s="166"/>
      <c r="F19" s="166"/>
      <c r="G19" s="166"/>
      <c r="H19" s="166"/>
      <c r="I19" s="166"/>
      <c r="J19" s="166"/>
      <c r="K19" s="166"/>
      <c r="L19" s="166"/>
      <c r="M19" s="166"/>
      <c r="N19" s="166"/>
      <c r="O19" s="166"/>
      <c r="P19" s="166"/>
      <c r="Q19" s="166"/>
      <c r="R19" s="166"/>
      <c r="S19" s="166"/>
      <c r="T19" s="166"/>
    </row>
    <row r="20" spans="2:20" s="20" customFormat="1" ht="12" customHeight="1" x14ac:dyDescent="0.2">
      <c r="B20" s="166"/>
      <c r="C20" s="2993"/>
      <c r="D20" s="2993"/>
      <c r="E20" s="2993"/>
      <c r="F20" s="2993"/>
      <c r="G20" s="2993"/>
      <c r="H20" s="2993"/>
      <c r="I20" s="2993"/>
      <c r="J20" s="2993"/>
      <c r="K20" s="2993"/>
      <c r="L20" s="2993"/>
      <c r="M20" s="2993"/>
      <c r="N20" s="2993"/>
      <c r="O20" s="2993"/>
      <c r="P20" s="166"/>
      <c r="Q20" s="166"/>
      <c r="R20" s="166"/>
      <c r="S20" s="166"/>
      <c r="T20" s="166"/>
    </row>
    <row r="21" spans="2:20" s="20" customFormat="1" ht="12" customHeight="1" x14ac:dyDescent="0.2">
      <c r="B21" s="166"/>
      <c r="C21" s="2994"/>
      <c r="D21" s="2994"/>
      <c r="E21" s="2994"/>
      <c r="F21" s="2994"/>
      <c r="G21" s="2994"/>
      <c r="H21" s="2994"/>
      <c r="I21" s="2994"/>
      <c r="J21" s="2994"/>
      <c r="K21" s="2994"/>
      <c r="L21" s="2994"/>
      <c r="M21" s="2994"/>
      <c r="N21" s="2994"/>
      <c r="O21" s="2994"/>
      <c r="P21" s="166"/>
      <c r="Q21" s="166"/>
      <c r="R21" s="166"/>
      <c r="S21" s="166"/>
      <c r="T21" s="166"/>
    </row>
    <row r="22" spans="2:20" s="20" customFormat="1" ht="6" customHeight="1" x14ac:dyDescent="0.2">
      <c r="B22" s="166"/>
      <c r="C22" s="166"/>
      <c r="D22" s="166"/>
      <c r="E22" s="166"/>
      <c r="F22" s="166"/>
      <c r="G22" s="166"/>
      <c r="H22" s="166"/>
      <c r="I22" s="166"/>
      <c r="J22" s="166"/>
      <c r="K22" s="166"/>
      <c r="L22" s="166"/>
      <c r="M22" s="166"/>
      <c r="N22" s="166"/>
      <c r="O22" s="166"/>
      <c r="P22" s="166"/>
      <c r="Q22" s="166"/>
      <c r="R22" s="166"/>
      <c r="S22" s="166"/>
      <c r="T22" s="166"/>
    </row>
    <row r="23" spans="2:20" s="20" customFormat="1" ht="12" x14ac:dyDescent="0.2">
      <c r="B23" s="352" t="s">
        <v>2199</v>
      </c>
      <c r="C23" s="166"/>
      <c r="D23" s="166"/>
      <c r="E23" s="166"/>
      <c r="F23" s="166"/>
      <c r="G23" s="166"/>
      <c r="H23" s="166"/>
      <c r="I23" s="166"/>
      <c r="J23" s="166"/>
      <c r="K23" s="166"/>
      <c r="L23" s="166"/>
      <c r="M23" s="166"/>
      <c r="N23" s="166"/>
      <c r="O23" s="166"/>
      <c r="P23" s="166"/>
      <c r="Q23" s="166"/>
      <c r="R23" s="166"/>
      <c r="S23" s="166"/>
      <c r="T23" s="166"/>
    </row>
    <row r="24" spans="2:20" s="32" customFormat="1" ht="12" customHeight="1" x14ac:dyDescent="0.2">
      <c r="B24" s="170"/>
      <c r="C24" s="170" t="s">
        <v>2200</v>
      </c>
      <c r="D24" s="170"/>
      <c r="E24" s="170"/>
      <c r="F24" s="170"/>
      <c r="G24" s="170"/>
      <c r="H24" s="170"/>
      <c r="I24" s="170"/>
      <c r="J24" s="170"/>
      <c r="K24" s="170"/>
      <c r="L24" s="170"/>
      <c r="M24" s="170"/>
      <c r="N24" s="170"/>
      <c r="O24" s="170"/>
      <c r="P24" s="170"/>
      <c r="Q24" s="170"/>
      <c r="R24" s="170"/>
      <c r="S24" s="170"/>
      <c r="T24" s="170"/>
    </row>
    <row r="25" spans="2:20" s="32" customFormat="1" ht="10.35" customHeight="1" x14ac:dyDescent="0.2">
      <c r="B25" s="170"/>
      <c r="C25" s="170"/>
      <c r="D25" s="2990" t="s">
        <v>2201</v>
      </c>
      <c r="E25" s="2990"/>
      <c r="F25" s="2990"/>
      <c r="G25" s="2990"/>
      <c r="H25" s="2990"/>
      <c r="I25" s="2990"/>
      <c r="J25" s="2990"/>
      <c r="K25" s="2990"/>
      <c r="L25" s="1752"/>
      <c r="M25" s="170"/>
      <c r="N25" s="170"/>
      <c r="O25" s="170"/>
      <c r="P25" s="170"/>
      <c r="Q25" s="170"/>
      <c r="R25" s="170"/>
      <c r="S25" s="170"/>
      <c r="T25" s="170"/>
    </row>
    <row r="26" spans="2:20" s="32" customFormat="1" ht="10.35" customHeight="1" x14ac:dyDescent="0.2">
      <c r="B26" s="170"/>
      <c r="C26" s="170"/>
      <c r="D26" s="2990" t="s">
        <v>2202</v>
      </c>
      <c r="E26" s="2991"/>
      <c r="F26" s="2991"/>
      <c r="G26" s="2991"/>
      <c r="H26" s="2991"/>
      <c r="I26" s="2991"/>
      <c r="J26" s="2991"/>
      <c r="K26" s="2991"/>
      <c r="L26" s="1752"/>
      <c r="M26" s="170"/>
      <c r="N26" s="170"/>
      <c r="O26" s="170"/>
      <c r="P26" s="170"/>
      <c r="Q26" s="170"/>
      <c r="R26" s="170"/>
      <c r="S26" s="170"/>
      <c r="T26" s="170"/>
    </row>
    <row r="27" spans="2:20" s="32" customFormat="1" ht="10.35" customHeight="1" x14ac:dyDescent="0.2">
      <c r="B27" s="170"/>
      <c r="C27" s="170"/>
      <c r="D27" s="2990" t="s">
        <v>2203</v>
      </c>
      <c r="E27" s="2991"/>
      <c r="F27" s="2991"/>
      <c r="G27" s="2991"/>
      <c r="H27" s="2991"/>
      <c r="I27" s="2991"/>
      <c r="J27" s="2991"/>
      <c r="K27" s="2991"/>
      <c r="L27" s="1752"/>
      <c r="M27" s="170"/>
      <c r="N27" s="170"/>
      <c r="O27" s="170"/>
      <c r="P27" s="170"/>
      <c r="Q27" s="170"/>
      <c r="R27" s="170"/>
      <c r="S27" s="170"/>
      <c r="T27" s="170"/>
    </row>
    <row r="28" spans="2:20" s="32" customFormat="1" ht="10.35" customHeight="1" x14ac:dyDescent="0.2">
      <c r="B28" s="170"/>
      <c r="C28" s="170"/>
      <c r="D28" s="2990" t="s">
        <v>2204</v>
      </c>
      <c r="E28" s="2991"/>
      <c r="F28" s="2991"/>
      <c r="G28" s="2991"/>
      <c r="H28" s="2991"/>
      <c r="I28" s="2991"/>
      <c r="J28" s="2991"/>
      <c r="K28" s="2991"/>
      <c r="L28" s="1752"/>
      <c r="M28" s="170"/>
      <c r="N28" s="170"/>
      <c r="O28" s="170"/>
      <c r="P28" s="170"/>
      <c r="Q28" s="170"/>
      <c r="R28" s="170"/>
      <c r="S28" s="170"/>
      <c r="T28" s="170"/>
    </row>
    <row r="29" spans="2:20" s="32" customFormat="1" ht="10.35" customHeight="1" x14ac:dyDescent="0.2">
      <c r="B29" s="170"/>
      <c r="C29" s="170"/>
      <c r="D29" s="2990" t="s">
        <v>2205</v>
      </c>
      <c r="E29" s="2991"/>
      <c r="F29" s="2991"/>
      <c r="G29" s="2991"/>
      <c r="H29" s="2991"/>
      <c r="I29" s="2991"/>
      <c r="J29" s="2991"/>
      <c r="K29" s="2991"/>
      <c r="L29" s="1752"/>
      <c r="M29" s="170"/>
      <c r="N29" s="170"/>
      <c r="O29" s="170"/>
      <c r="P29" s="170"/>
      <c r="Q29" s="170"/>
      <c r="R29" s="170"/>
      <c r="S29" s="170"/>
      <c r="T29" s="170"/>
    </row>
    <row r="30" spans="2:20" s="32" customFormat="1" ht="10.5" customHeight="1" x14ac:dyDescent="0.2">
      <c r="B30" s="170"/>
      <c r="C30" s="170"/>
      <c r="D30" s="2408"/>
      <c r="E30" s="2990" t="s">
        <v>2206</v>
      </c>
      <c r="F30" s="2991"/>
      <c r="G30" s="2991"/>
      <c r="H30" s="2991"/>
      <c r="I30" s="2991"/>
      <c r="J30" s="2991"/>
      <c r="K30" s="2991"/>
      <c r="L30" s="1753">
        <f>SUM(L25:L29)</f>
        <v>0</v>
      </c>
      <c r="M30" s="170"/>
      <c r="N30" s="170"/>
      <c r="O30" s="170"/>
      <c r="P30" s="170"/>
      <c r="Q30" s="170"/>
      <c r="R30" s="170"/>
      <c r="S30" s="170"/>
      <c r="T30" s="170"/>
    </row>
    <row r="31" spans="2:20" s="32" customFormat="1" ht="10.35" customHeight="1" x14ac:dyDescent="0.2">
      <c r="B31" s="170"/>
      <c r="C31" s="170"/>
      <c r="D31" s="2408"/>
      <c r="E31" s="2406"/>
      <c r="F31" s="2407"/>
      <c r="G31" s="2407"/>
      <c r="H31" s="2407"/>
      <c r="I31" s="2407"/>
      <c r="J31" s="2407"/>
      <c r="K31" s="2407"/>
      <c r="L31" s="1754"/>
      <c r="M31" s="170"/>
      <c r="N31" s="170"/>
      <c r="O31" s="170"/>
      <c r="P31" s="170"/>
      <c r="Q31" s="170"/>
      <c r="R31" s="170"/>
      <c r="S31" s="170"/>
      <c r="T31" s="170"/>
    </row>
    <row r="32" spans="2:20" s="32" customFormat="1" ht="10.35" customHeight="1" x14ac:dyDescent="0.2">
      <c r="B32" s="170"/>
      <c r="C32" s="170" t="s">
        <v>2207</v>
      </c>
      <c r="D32" s="170"/>
      <c r="E32" s="170"/>
      <c r="F32" s="170"/>
      <c r="G32" s="170"/>
      <c r="H32" s="170"/>
      <c r="I32" s="170"/>
      <c r="J32" s="170"/>
      <c r="K32" s="170"/>
      <c r="L32" s="170"/>
      <c r="M32" s="170"/>
      <c r="N32" s="170"/>
      <c r="O32" s="170"/>
      <c r="P32" s="170"/>
      <c r="Q32" s="170"/>
      <c r="R32" s="170"/>
      <c r="S32" s="170"/>
      <c r="T32" s="2442"/>
    </row>
    <row r="33" spans="3:23" s="32" customFormat="1" ht="10.35" customHeight="1" x14ac:dyDescent="0.2">
      <c r="C33" s="170"/>
      <c r="D33" s="2990" t="s">
        <v>2208</v>
      </c>
      <c r="E33" s="2990"/>
      <c r="F33" s="2990"/>
      <c r="G33" s="2990"/>
      <c r="H33" s="2990"/>
      <c r="I33" s="2990"/>
      <c r="J33" s="2990"/>
      <c r="K33" s="2990"/>
      <c r="L33" s="1752"/>
      <c r="M33" s="170"/>
      <c r="N33" s="170"/>
      <c r="O33" s="170"/>
      <c r="P33" s="170"/>
      <c r="Q33" s="170"/>
      <c r="R33" s="170"/>
      <c r="S33" s="170"/>
      <c r="T33" s="2890"/>
      <c r="U33" s="2890"/>
      <c r="V33" s="2890"/>
      <c r="W33" s="2890"/>
    </row>
    <row r="34" spans="3:23" s="32" customFormat="1" ht="10.35" customHeight="1" x14ac:dyDescent="0.2">
      <c r="C34" s="170"/>
      <c r="D34" s="2990" t="s">
        <v>2209</v>
      </c>
      <c r="E34" s="2990"/>
      <c r="F34" s="2990"/>
      <c r="G34" s="2990"/>
      <c r="H34" s="2990"/>
      <c r="I34" s="2990"/>
      <c r="J34" s="2990"/>
      <c r="K34" s="2990"/>
      <c r="L34" s="1752"/>
      <c r="M34" s="170"/>
      <c r="N34" s="170"/>
      <c r="O34" s="170"/>
      <c r="P34" s="170"/>
      <c r="Q34" s="170"/>
      <c r="R34" s="170"/>
      <c r="S34" s="170"/>
      <c r="T34" s="2380"/>
      <c r="U34" s="2380"/>
      <c r="V34" s="2380"/>
      <c r="W34" s="2380"/>
    </row>
    <row r="35" spans="3:23" s="32" customFormat="1" ht="10.35" customHeight="1" x14ac:dyDescent="0.2">
      <c r="C35" s="170"/>
      <c r="D35" s="2990" t="s">
        <v>2210</v>
      </c>
      <c r="E35" s="2990"/>
      <c r="F35" s="2990"/>
      <c r="G35" s="2990"/>
      <c r="H35" s="2990"/>
      <c r="I35" s="2990"/>
      <c r="J35" s="2990"/>
      <c r="K35" s="2990"/>
      <c r="L35" s="1752"/>
      <c r="M35" s="170"/>
      <c r="N35" s="170"/>
      <c r="O35" s="170"/>
      <c r="P35" s="170"/>
      <c r="Q35" s="170"/>
      <c r="R35" s="170"/>
      <c r="S35" s="170"/>
      <c r="T35" s="2380"/>
      <c r="U35" s="2380"/>
      <c r="V35" s="2380"/>
      <c r="W35" s="2380"/>
    </row>
    <row r="36" spans="3:23" s="32" customFormat="1" ht="10.35" customHeight="1" x14ac:dyDescent="0.2">
      <c r="C36" s="170"/>
      <c r="D36" s="2990" t="s">
        <v>2211</v>
      </c>
      <c r="E36" s="2990"/>
      <c r="F36" s="2990"/>
      <c r="G36" s="2990"/>
      <c r="H36" s="2990"/>
      <c r="I36" s="2990"/>
      <c r="J36" s="2990"/>
      <c r="K36" s="2990"/>
      <c r="L36" s="1752"/>
      <c r="M36" s="170"/>
      <c r="N36" s="170"/>
      <c r="O36" s="170"/>
      <c r="P36" s="170"/>
      <c r="Q36" s="170"/>
      <c r="R36" s="170"/>
      <c r="S36" s="170"/>
      <c r="T36" s="2380"/>
      <c r="U36" s="2380"/>
      <c r="V36" s="2380"/>
      <c r="W36" s="2380"/>
    </row>
    <row r="37" spans="3:23" s="32" customFormat="1" ht="10.35" customHeight="1" x14ac:dyDescent="0.2">
      <c r="C37" s="170"/>
      <c r="D37" s="2990" t="s">
        <v>2212</v>
      </c>
      <c r="E37" s="2990"/>
      <c r="F37" s="2990"/>
      <c r="G37" s="2990"/>
      <c r="H37" s="2990"/>
      <c r="I37" s="2990"/>
      <c r="J37" s="2990"/>
      <c r="K37" s="2990"/>
      <c r="L37" s="1752"/>
      <c r="M37" s="170"/>
      <c r="N37" s="170"/>
      <c r="O37" s="170"/>
      <c r="P37" s="170"/>
      <c r="Q37" s="170"/>
      <c r="R37" s="170"/>
      <c r="S37" s="170"/>
      <c r="T37" s="2380"/>
      <c r="U37" s="2380"/>
      <c r="V37" s="2380"/>
      <c r="W37" s="2380"/>
    </row>
    <row r="38" spans="3:23" s="32" customFormat="1" ht="10.35" customHeight="1" x14ac:dyDescent="0.2">
      <c r="C38" s="170"/>
      <c r="D38" s="2990" t="s">
        <v>1979</v>
      </c>
      <c r="E38" s="2990"/>
      <c r="F38" s="2990"/>
      <c r="G38" s="2990"/>
      <c r="H38" s="2990"/>
      <c r="I38" s="2990"/>
      <c r="J38" s="2990"/>
      <c r="K38" s="2990"/>
      <c r="L38" s="1752"/>
      <c r="M38" s="170"/>
      <c r="N38" s="170"/>
      <c r="O38" s="170"/>
      <c r="P38" s="170"/>
      <c r="Q38" s="170"/>
      <c r="R38" s="170"/>
      <c r="S38" s="170"/>
      <c r="T38" s="2380"/>
      <c r="U38" s="2380"/>
      <c r="V38" s="2380"/>
      <c r="W38" s="2380"/>
    </row>
    <row r="39" spans="3:23" s="32" customFormat="1" ht="10.35" customHeight="1" x14ac:dyDescent="0.2">
      <c r="C39" s="170"/>
      <c r="D39" s="2406"/>
      <c r="E39" s="2990" t="s">
        <v>2213</v>
      </c>
      <c r="F39" s="2991"/>
      <c r="G39" s="2991"/>
      <c r="H39" s="2991"/>
      <c r="I39" s="2991"/>
      <c r="J39" s="2991"/>
      <c r="K39" s="2991"/>
      <c r="L39" s="1755">
        <f>SUM(L33:L38)</f>
        <v>0</v>
      </c>
      <c r="M39" s="170"/>
      <c r="N39" s="170"/>
      <c r="O39" s="170"/>
      <c r="P39" s="170"/>
      <c r="Q39" s="170"/>
      <c r="R39" s="170"/>
      <c r="S39" s="170"/>
      <c r="T39" s="2380"/>
      <c r="U39" s="2380"/>
      <c r="V39" s="2380"/>
      <c r="W39" s="2380"/>
    </row>
    <row r="40" spans="3:23" s="32" customFormat="1" ht="9" customHeight="1" x14ac:dyDescent="0.2">
      <c r="C40" s="170"/>
      <c r="D40" s="2406"/>
      <c r="E40" s="2406"/>
      <c r="F40" s="2407"/>
      <c r="G40" s="2407"/>
      <c r="H40" s="2407"/>
      <c r="I40" s="2407"/>
      <c r="J40" s="2407"/>
      <c r="K40" s="2407"/>
      <c r="L40" s="1754"/>
      <c r="M40" s="170"/>
      <c r="N40" s="170"/>
      <c r="O40" s="170"/>
      <c r="P40" s="170"/>
      <c r="Q40" s="170"/>
      <c r="R40" s="170"/>
      <c r="S40" s="170"/>
      <c r="T40" s="2890"/>
      <c r="U40" s="2890"/>
      <c r="V40" s="2890"/>
      <c r="W40" s="2890"/>
    </row>
    <row r="41" spans="3:23" s="32" customFormat="1" ht="10.35" customHeight="1" x14ac:dyDescent="0.2">
      <c r="C41" s="170" t="s">
        <v>2214</v>
      </c>
      <c r="D41" s="170"/>
      <c r="E41" s="170"/>
      <c r="F41" s="170"/>
      <c r="G41" s="170"/>
      <c r="H41" s="170"/>
      <c r="I41" s="170"/>
      <c r="J41" s="170"/>
      <c r="K41" s="170"/>
      <c r="L41" s="1754"/>
      <c r="M41" s="170"/>
      <c r="N41" s="170"/>
      <c r="O41" s="170"/>
      <c r="P41" s="170"/>
      <c r="Q41" s="170"/>
      <c r="R41" s="170"/>
      <c r="S41" s="170"/>
      <c r="T41" s="2890"/>
      <c r="U41" s="2890"/>
      <c r="V41" s="2890"/>
      <c r="W41" s="2890"/>
    </row>
    <row r="42" spans="3:23" s="32" customFormat="1" ht="10.35" customHeight="1" x14ac:dyDescent="0.2">
      <c r="C42" s="170"/>
      <c r="D42" s="2990" t="s">
        <v>2215</v>
      </c>
      <c r="E42" s="2991"/>
      <c r="F42" s="2991"/>
      <c r="G42" s="2991"/>
      <c r="H42" s="2991"/>
      <c r="I42" s="2991"/>
      <c r="J42" s="2991"/>
      <c r="K42" s="2991"/>
      <c r="L42" s="1752"/>
      <c r="M42" s="170"/>
      <c r="N42" s="170"/>
      <c r="O42" s="170"/>
      <c r="P42" s="170"/>
      <c r="Q42" s="170"/>
      <c r="R42" s="170"/>
      <c r="S42" s="170"/>
      <c r="T42" s="2890"/>
      <c r="U42" s="2890"/>
      <c r="V42" s="2890"/>
      <c r="W42" s="2890"/>
    </row>
    <row r="43" spans="3:23" s="32" customFormat="1" ht="10.35" customHeight="1" x14ac:dyDescent="0.2">
      <c r="C43" s="170"/>
      <c r="D43" s="2990" t="s">
        <v>2216</v>
      </c>
      <c r="E43" s="2991"/>
      <c r="F43" s="2991"/>
      <c r="G43" s="2991"/>
      <c r="H43" s="2991"/>
      <c r="I43" s="2991"/>
      <c r="J43" s="2991"/>
      <c r="K43" s="2991"/>
      <c r="L43" s="1752"/>
      <c r="M43" s="170"/>
      <c r="N43" s="170"/>
      <c r="O43" s="170"/>
      <c r="P43" s="170"/>
      <c r="Q43" s="170"/>
      <c r="R43" s="170"/>
      <c r="S43" s="170"/>
      <c r="T43" s="2890"/>
      <c r="U43" s="2890"/>
      <c r="V43" s="2890"/>
      <c r="W43" s="2890"/>
    </row>
    <row r="44" spans="3:23" s="32" customFormat="1" ht="10.35" customHeight="1" x14ac:dyDescent="0.2">
      <c r="C44" s="170"/>
      <c r="D44" s="2990" t="s">
        <v>2217</v>
      </c>
      <c r="E44" s="2991"/>
      <c r="F44" s="2991"/>
      <c r="G44" s="2991"/>
      <c r="H44" s="2991"/>
      <c r="I44" s="2991"/>
      <c r="J44" s="2991"/>
      <c r="K44" s="2991"/>
      <c r="L44" s="1752"/>
      <c r="M44" s="170"/>
      <c r="N44" s="170"/>
      <c r="O44" s="170"/>
      <c r="P44" s="170"/>
      <c r="Q44" s="170"/>
      <c r="R44" s="170"/>
      <c r="S44" s="170"/>
      <c r="T44" s="170"/>
      <c r="U44" s="170"/>
      <c r="V44" s="170"/>
      <c r="W44" s="170"/>
    </row>
    <row r="45" spans="3:23" s="32" customFormat="1" ht="10.35" customHeight="1" x14ac:dyDescent="0.2">
      <c r="C45" s="170"/>
      <c r="D45" s="2990" t="s">
        <v>1812</v>
      </c>
      <c r="E45" s="2991"/>
      <c r="F45" s="2991"/>
      <c r="G45" s="2991"/>
      <c r="H45" s="2991"/>
      <c r="I45" s="2991"/>
      <c r="J45" s="2991"/>
      <c r="K45" s="2991"/>
      <c r="L45" s="1752"/>
      <c r="M45" s="170"/>
      <c r="N45" s="170"/>
      <c r="O45" s="170"/>
      <c r="P45" s="170"/>
      <c r="Q45" s="170"/>
      <c r="R45" s="170"/>
      <c r="S45" s="170"/>
      <c r="T45" s="170"/>
      <c r="U45" s="170"/>
      <c r="V45" s="170"/>
      <c r="W45" s="170"/>
    </row>
    <row r="46" spans="3:23" s="32" customFormat="1" ht="11.25" customHeight="1" x14ac:dyDescent="0.2">
      <c r="C46" s="170"/>
      <c r="D46" s="2408"/>
      <c r="E46" s="2990" t="s">
        <v>2218</v>
      </c>
      <c r="F46" s="2991"/>
      <c r="G46" s="2991"/>
      <c r="H46" s="2991"/>
      <c r="I46" s="2991"/>
      <c r="J46" s="2991"/>
      <c r="K46" s="2991"/>
      <c r="L46" s="1753">
        <f>SUM(L42:L45)</f>
        <v>0</v>
      </c>
      <c r="M46" s="170"/>
      <c r="N46" s="170"/>
      <c r="O46" s="170"/>
      <c r="P46" s="170"/>
      <c r="Q46" s="170"/>
      <c r="R46" s="170"/>
      <c r="S46" s="170"/>
      <c r="T46" s="170"/>
      <c r="U46" s="170"/>
      <c r="V46" s="170"/>
      <c r="W46" s="170"/>
    </row>
    <row r="47" spans="3:23" s="32" customFormat="1" ht="10.35" customHeight="1" x14ac:dyDescent="0.2">
      <c r="C47" s="170"/>
      <c r="D47" s="2408"/>
      <c r="E47" s="2406"/>
      <c r="F47" s="2407"/>
      <c r="G47" s="2407"/>
      <c r="H47" s="2407"/>
      <c r="I47" s="2407"/>
      <c r="J47" s="2407"/>
      <c r="K47" s="2407"/>
      <c r="L47" s="1754"/>
      <c r="M47" s="170"/>
      <c r="N47" s="170"/>
      <c r="O47" s="170"/>
      <c r="P47" s="170"/>
      <c r="Q47" s="170"/>
      <c r="R47" s="170"/>
      <c r="S47" s="170"/>
      <c r="T47" s="170"/>
      <c r="U47" s="170"/>
      <c r="V47" s="170"/>
      <c r="W47" s="170"/>
    </row>
    <row r="48" spans="3:23" s="32" customFormat="1" ht="10.35" customHeight="1" x14ac:dyDescent="0.2">
      <c r="C48" s="170" t="s">
        <v>2219</v>
      </c>
      <c r="D48" s="170"/>
      <c r="E48" s="170"/>
      <c r="F48" s="170"/>
      <c r="G48" s="170"/>
      <c r="H48" s="170"/>
      <c r="I48" s="170"/>
      <c r="J48" s="170"/>
      <c r="K48" s="170"/>
      <c r="L48" s="170"/>
      <c r="M48" s="170"/>
      <c r="N48" s="170"/>
      <c r="O48" s="170"/>
      <c r="P48" s="170"/>
      <c r="Q48" s="170"/>
      <c r="R48" s="170"/>
      <c r="S48" s="170"/>
      <c r="T48" s="2442"/>
      <c r="U48"/>
      <c r="V48"/>
      <c r="W48"/>
    </row>
    <row r="49" spans="3:23" s="32" customFormat="1" ht="10.35" customHeight="1" x14ac:dyDescent="0.2">
      <c r="C49" s="170"/>
      <c r="D49" s="2990" t="s">
        <v>2220</v>
      </c>
      <c r="E49" s="2990"/>
      <c r="F49" s="2990"/>
      <c r="G49" s="2990"/>
      <c r="H49" s="2990"/>
      <c r="I49" s="2990"/>
      <c r="J49" s="2990"/>
      <c r="K49" s="2990"/>
      <c r="L49" s="1752"/>
      <c r="M49" s="170"/>
      <c r="N49" s="170"/>
      <c r="O49" s="170"/>
      <c r="P49" s="170"/>
      <c r="Q49" s="170"/>
      <c r="R49" s="170"/>
      <c r="S49" s="170"/>
      <c r="T49" s="2890"/>
      <c r="U49" s="2890"/>
      <c r="V49" s="2890"/>
      <c r="W49" s="2890"/>
    </row>
    <row r="50" spans="3:23" s="32" customFormat="1" ht="10.35" customHeight="1" x14ac:dyDescent="0.2">
      <c r="C50" s="170"/>
      <c r="D50" s="2990" t="s">
        <v>2221</v>
      </c>
      <c r="E50" s="2990"/>
      <c r="F50" s="2990"/>
      <c r="G50" s="2990"/>
      <c r="H50" s="2990"/>
      <c r="I50" s="2990"/>
      <c r="J50" s="2990"/>
      <c r="K50" s="2990"/>
      <c r="L50" s="1752"/>
      <c r="M50" s="170"/>
      <c r="N50" s="170"/>
      <c r="O50" s="170"/>
      <c r="P50" s="170"/>
      <c r="Q50" s="170"/>
      <c r="R50" s="170"/>
      <c r="S50" s="170"/>
      <c r="T50" s="2890"/>
      <c r="U50" s="2890"/>
      <c r="V50" s="2890"/>
      <c r="W50" s="2890"/>
    </row>
    <row r="51" spans="3:23" s="32" customFormat="1" ht="10.35" customHeight="1" x14ac:dyDescent="0.2">
      <c r="C51" s="170"/>
      <c r="D51" s="2990" t="s">
        <v>2222</v>
      </c>
      <c r="E51" s="2990"/>
      <c r="F51" s="2990"/>
      <c r="G51" s="2990"/>
      <c r="H51" s="2990"/>
      <c r="I51" s="2990"/>
      <c r="J51" s="2990"/>
      <c r="K51" s="2990"/>
      <c r="L51" s="1752"/>
      <c r="M51" s="170"/>
      <c r="N51" s="170"/>
      <c r="O51" s="170"/>
      <c r="P51" s="170"/>
      <c r="Q51" s="170"/>
      <c r="R51" s="170"/>
      <c r="S51" s="170"/>
      <c r="T51" s="2380"/>
      <c r="U51" s="2380"/>
      <c r="V51" s="2380"/>
      <c r="W51" s="2380"/>
    </row>
    <row r="52" spans="3:23" s="32" customFormat="1" ht="10.35" customHeight="1" x14ac:dyDescent="0.2">
      <c r="C52" s="170"/>
      <c r="D52" s="2990" t="s">
        <v>2223</v>
      </c>
      <c r="E52" s="2990"/>
      <c r="F52" s="2990"/>
      <c r="G52" s="2990"/>
      <c r="H52" s="2990"/>
      <c r="I52" s="2990"/>
      <c r="J52" s="2990"/>
      <c r="K52" s="2990"/>
      <c r="L52" s="1752"/>
      <c r="M52" s="170"/>
      <c r="N52" s="170"/>
      <c r="O52" s="170"/>
      <c r="P52" s="170"/>
      <c r="Q52" s="170"/>
      <c r="R52" s="170"/>
      <c r="S52" s="170"/>
      <c r="T52" s="2380"/>
      <c r="U52" s="2380"/>
      <c r="V52" s="2380"/>
      <c r="W52" s="2380"/>
    </row>
    <row r="53" spans="3:23" s="32" customFormat="1" ht="10.35" customHeight="1" x14ac:dyDescent="0.2">
      <c r="C53" s="170"/>
      <c r="D53" s="2990" t="s">
        <v>2224</v>
      </c>
      <c r="E53" s="2990"/>
      <c r="F53" s="2990"/>
      <c r="G53" s="2990"/>
      <c r="H53" s="2990"/>
      <c r="I53" s="2990"/>
      <c r="J53" s="2990"/>
      <c r="K53" s="2990"/>
      <c r="L53" s="1752"/>
      <c r="M53" s="170"/>
      <c r="N53" s="170"/>
      <c r="O53" s="170"/>
      <c r="P53" s="170"/>
      <c r="Q53" s="170"/>
      <c r="R53" s="170"/>
      <c r="S53" s="170"/>
      <c r="T53" s="2380"/>
      <c r="U53" s="2380"/>
      <c r="V53" s="2380"/>
      <c r="W53" s="2380"/>
    </row>
    <row r="54" spans="3:23" s="32" customFormat="1" ht="10.35" customHeight="1" x14ac:dyDescent="0.2">
      <c r="C54" s="170"/>
      <c r="D54" s="2990" t="s">
        <v>2225</v>
      </c>
      <c r="E54" s="2990"/>
      <c r="F54" s="2990"/>
      <c r="G54" s="2990"/>
      <c r="H54" s="2990"/>
      <c r="I54" s="2990"/>
      <c r="J54" s="2990"/>
      <c r="K54" s="2990"/>
      <c r="L54" s="1752"/>
      <c r="M54" s="170"/>
      <c r="N54" s="170"/>
      <c r="O54" s="170"/>
      <c r="P54" s="170"/>
      <c r="Q54" s="170"/>
      <c r="R54" s="170"/>
      <c r="S54" s="170"/>
      <c r="T54" s="2380"/>
      <c r="U54" s="2380"/>
      <c r="V54" s="2380"/>
      <c r="W54" s="2380"/>
    </row>
    <row r="55" spans="3:23" s="32" customFormat="1" ht="10.35" customHeight="1" x14ac:dyDescent="0.2">
      <c r="C55" s="170"/>
      <c r="D55" s="2990" t="s">
        <v>2226</v>
      </c>
      <c r="E55" s="2990"/>
      <c r="F55" s="2990"/>
      <c r="G55" s="2990"/>
      <c r="H55" s="2990"/>
      <c r="I55" s="2990"/>
      <c r="J55" s="2990"/>
      <c r="K55" s="2990"/>
      <c r="L55" s="1752"/>
      <c r="M55" s="170"/>
      <c r="N55" s="170"/>
      <c r="O55" s="170"/>
      <c r="P55" s="170"/>
      <c r="Q55" s="170"/>
      <c r="R55" s="170"/>
      <c r="S55" s="170"/>
      <c r="T55" s="2380"/>
      <c r="U55" s="2380"/>
      <c r="V55" s="2380"/>
      <c r="W55" s="2380"/>
    </row>
    <row r="56" spans="3:23" s="32" customFormat="1" ht="10.35" customHeight="1" x14ac:dyDescent="0.2">
      <c r="C56" s="170"/>
      <c r="D56" s="2990" t="s">
        <v>2227</v>
      </c>
      <c r="E56" s="2990"/>
      <c r="F56" s="2990"/>
      <c r="G56" s="2990"/>
      <c r="H56" s="2990"/>
      <c r="I56" s="2990"/>
      <c r="J56" s="2990"/>
      <c r="K56" s="2990"/>
      <c r="L56" s="1752"/>
      <c r="M56" s="170"/>
      <c r="N56" s="170"/>
      <c r="O56" s="170"/>
      <c r="P56" s="170"/>
      <c r="Q56" s="170"/>
      <c r="R56" s="170"/>
      <c r="S56" s="170"/>
      <c r="T56" s="2380"/>
      <c r="U56" s="2380"/>
      <c r="V56" s="2380"/>
      <c r="W56" s="2380"/>
    </row>
    <row r="57" spans="3:23" s="32" customFormat="1" ht="10.35" customHeight="1" x14ac:dyDescent="0.2">
      <c r="C57" s="170"/>
      <c r="D57" s="2990" t="s">
        <v>1998</v>
      </c>
      <c r="E57" s="2990"/>
      <c r="F57" s="2990"/>
      <c r="G57" s="2990"/>
      <c r="H57" s="2990"/>
      <c r="I57" s="2990"/>
      <c r="J57" s="2990"/>
      <c r="K57" s="2990"/>
      <c r="L57" s="1752"/>
      <c r="M57" s="170"/>
      <c r="N57" s="170"/>
      <c r="O57" s="170"/>
      <c r="P57" s="170"/>
      <c r="Q57" s="170"/>
      <c r="R57" s="170"/>
      <c r="S57" s="170"/>
      <c r="T57" s="2380"/>
      <c r="U57" s="2380"/>
      <c r="V57" s="2380"/>
      <c r="W57" s="2380"/>
    </row>
    <row r="58" spans="3:23" s="32" customFormat="1" ht="11.25" customHeight="1" x14ac:dyDescent="0.2">
      <c r="C58" s="170"/>
      <c r="D58" s="2408"/>
      <c r="E58" s="2990" t="s">
        <v>2228</v>
      </c>
      <c r="F58" s="2991"/>
      <c r="G58" s="2991"/>
      <c r="H58" s="2991"/>
      <c r="I58" s="2991"/>
      <c r="J58" s="2991"/>
      <c r="K58" s="2991"/>
      <c r="L58" s="1755">
        <f>SUM(L49:L57)</f>
        <v>0</v>
      </c>
      <c r="M58" s="170"/>
      <c r="N58" s="170"/>
      <c r="O58" s="170"/>
      <c r="P58" s="170"/>
      <c r="Q58" s="170"/>
      <c r="R58" s="170"/>
      <c r="S58" s="170"/>
      <c r="T58" s="2890"/>
      <c r="U58" s="2890"/>
      <c r="V58" s="2890"/>
      <c r="W58" s="2890"/>
    </row>
    <row r="59" spans="3:23" s="32" customFormat="1" ht="10.35" customHeight="1" x14ac:dyDescent="0.2">
      <c r="C59" s="170"/>
      <c r="D59" s="2408"/>
      <c r="E59" s="2406"/>
      <c r="F59" s="2407"/>
      <c r="G59" s="2407"/>
      <c r="H59" s="2407"/>
      <c r="I59" s="2407"/>
      <c r="J59" s="2407"/>
      <c r="K59" s="2407"/>
      <c r="L59" s="1756"/>
      <c r="M59" s="170"/>
      <c r="N59" s="170"/>
      <c r="O59" s="170"/>
      <c r="P59" s="170"/>
      <c r="Q59" s="170"/>
      <c r="R59" s="170"/>
      <c r="S59" s="170"/>
      <c r="T59" s="2890"/>
      <c r="U59" s="2890"/>
      <c r="V59" s="2890"/>
      <c r="W59" s="2890"/>
    </row>
    <row r="60" spans="3:23" s="32" customFormat="1" ht="10.35" customHeight="1" x14ac:dyDescent="0.2">
      <c r="C60" s="170" t="s">
        <v>2229</v>
      </c>
      <c r="D60" s="170"/>
      <c r="E60" s="170"/>
      <c r="F60" s="170"/>
      <c r="G60" s="170"/>
      <c r="H60" s="170"/>
      <c r="I60" s="170"/>
      <c r="J60" s="170"/>
      <c r="K60" s="170"/>
      <c r="L60" s="1756"/>
      <c r="M60" s="170"/>
      <c r="N60" s="170"/>
      <c r="O60" s="170"/>
      <c r="P60" s="170"/>
      <c r="Q60" s="170"/>
      <c r="R60" s="170"/>
      <c r="S60" s="170"/>
      <c r="T60" s="2890"/>
      <c r="U60" s="2890"/>
      <c r="V60" s="2890"/>
      <c r="W60" s="2890"/>
    </row>
    <row r="61" spans="3:23" s="32" customFormat="1" ht="10.35" customHeight="1" x14ac:dyDescent="0.2">
      <c r="C61" s="170"/>
      <c r="D61" s="2990" t="s">
        <v>2230</v>
      </c>
      <c r="E61" s="2991"/>
      <c r="F61" s="2991"/>
      <c r="G61" s="2991"/>
      <c r="H61" s="2991"/>
      <c r="I61" s="2991"/>
      <c r="J61" s="2991"/>
      <c r="K61" s="2991"/>
      <c r="L61" s="1752"/>
      <c r="M61" s="170"/>
      <c r="N61" s="170"/>
      <c r="O61" s="170"/>
      <c r="P61" s="170"/>
      <c r="Q61" s="170"/>
      <c r="R61" s="170"/>
      <c r="S61" s="170"/>
      <c r="T61" s="2890"/>
      <c r="U61" s="2890"/>
      <c r="V61" s="2890"/>
      <c r="W61" s="2890"/>
    </row>
    <row r="62" spans="3:23" s="32" customFormat="1" ht="10.35" customHeight="1" x14ac:dyDescent="0.2">
      <c r="C62" s="170"/>
      <c r="D62" s="2990" t="s">
        <v>1626</v>
      </c>
      <c r="E62" s="2991"/>
      <c r="F62" s="2991"/>
      <c r="G62" s="2991"/>
      <c r="H62" s="2991"/>
      <c r="I62" s="2991"/>
      <c r="J62" s="2991"/>
      <c r="K62" s="2991"/>
      <c r="L62" s="1752"/>
      <c r="M62" s="170"/>
      <c r="N62" s="170"/>
      <c r="O62" s="170"/>
      <c r="P62" s="170"/>
      <c r="Q62" s="170"/>
      <c r="R62" s="170"/>
      <c r="S62" s="170"/>
      <c r="T62" s="2890"/>
      <c r="U62" s="2890"/>
      <c r="V62" s="2890"/>
      <c r="W62" s="2890"/>
    </row>
    <row r="63" spans="3:23" s="32" customFormat="1" ht="10.35" customHeight="1" x14ac:dyDescent="0.2">
      <c r="C63" s="170"/>
      <c r="D63" s="2990" t="s">
        <v>1640</v>
      </c>
      <c r="E63" s="2991"/>
      <c r="F63" s="2991"/>
      <c r="G63" s="2991"/>
      <c r="H63" s="2991"/>
      <c r="I63" s="2991"/>
      <c r="J63" s="2991"/>
      <c r="K63" s="2991"/>
      <c r="L63" s="1752"/>
      <c r="M63" s="170"/>
      <c r="N63" s="170"/>
      <c r="O63" s="170"/>
      <c r="P63" s="170"/>
      <c r="Q63" s="170"/>
      <c r="R63" s="170"/>
      <c r="S63" s="170"/>
      <c r="T63" s="170"/>
      <c r="U63" s="170"/>
      <c r="V63" s="170"/>
      <c r="W63" s="170"/>
    </row>
    <row r="64" spans="3:23" s="32" customFormat="1" ht="12" customHeight="1" thickBot="1" x14ac:dyDescent="0.25">
      <c r="C64" s="2992" t="s">
        <v>2231</v>
      </c>
      <c r="D64" s="2992"/>
      <c r="E64" s="2992"/>
      <c r="F64" s="2992"/>
      <c r="G64" s="2992"/>
      <c r="H64" s="2992"/>
      <c r="I64" s="2992"/>
      <c r="J64" s="2992"/>
      <c r="K64" s="170"/>
      <c r="L64" s="1757">
        <f>SUM(L61:L63)</f>
        <v>0</v>
      </c>
      <c r="M64" s="170"/>
      <c r="N64" s="170"/>
      <c r="O64" s="170"/>
      <c r="P64" s="170"/>
      <c r="Q64" s="170"/>
      <c r="R64" s="170"/>
      <c r="S64" s="170"/>
      <c r="T64" s="170"/>
      <c r="U64" s="170"/>
      <c r="V64" s="170"/>
      <c r="W64" s="170"/>
    </row>
    <row r="65" spans="2:12" s="32" customFormat="1" ht="10.35" customHeight="1" thickTop="1" x14ac:dyDescent="0.2">
      <c r="B65" s="170"/>
      <c r="C65" s="2408"/>
      <c r="D65" s="2408"/>
      <c r="E65" s="2408"/>
      <c r="F65" s="2408"/>
      <c r="G65" s="2408"/>
      <c r="H65" s="2408"/>
      <c r="I65" s="2408"/>
      <c r="J65" s="2408"/>
      <c r="K65" s="170"/>
      <c r="L65" s="1754"/>
    </row>
    <row r="66" spans="2:12" s="32" customFormat="1" ht="10.35" customHeight="1" x14ac:dyDescent="0.2">
      <c r="B66" s="170" t="s">
        <v>2232</v>
      </c>
      <c r="C66" s="2408"/>
      <c r="D66" s="2408"/>
      <c r="E66" s="2408"/>
      <c r="F66" s="2408"/>
      <c r="G66" s="2408"/>
      <c r="H66" s="2408"/>
      <c r="I66" s="2408"/>
      <c r="J66" s="2408"/>
      <c r="K66" s="170"/>
      <c r="L66" s="802" t="str">
        <f>IF(ROUND(L30+L39-L46-L58=L64,2),"In bal.","Out of bal.")</f>
        <v>In bal.</v>
      </c>
    </row>
    <row r="67" spans="2:12" s="20" customFormat="1" ht="6" customHeight="1" x14ac:dyDescent="0.2">
      <c r="B67" s="166"/>
      <c r="C67" s="1758"/>
      <c r="D67" s="166"/>
      <c r="E67" s="166"/>
      <c r="F67" s="166"/>
      <c r="G67" s="166"/>
      <c r="H67" s="166"/>
      <c r="I67" s="166"/>
      <c r="J67" s="166"/>
      <c r="K67" s="166"/>
      <c r="L67" s="1759"/>
    </row>
    <row r="68" spans="2:12" s="20" customFormat="1" ht="12" x14ac:dyDescent="0.2">
      <c r="B68" s="352" t="s">
        <v>2233</v>
      </c>
      <c r="C68" s="166"/>
      <c r="D68" s="166"/>
      <c r="E68" s="166"/>
      <c r="F68" s="166"/>
      <c r="G68" s="166"/>
      <c r="H68" s="166"/>
      <c r="I68" s="166"/>
      <c r="J68" s="166"/>
      <c r="K68" s="166"/>
      <c r="L68" s="1759"/>
    </row>
    <row r="69" spans="2:12" s="32" customFormat="1" ht="11.25" customHeight="1" x14ac:dyDescent="0.2">
      <c r="B69" s="170"/>
      <c r="C69" s="2991" t="s">
        <v>2234</v>
      </c>
      <c r="D69" s="2991"/>
      <c r="E69" s="2991"/>
      <c r="F69" s="2991"/>
      <c r="G69" s="2991"/>
      <c r="H69" s="2991"/>
      <c r="I69" s="2991"/>
      <c r="J69" s="2991"/>
      <c r="K69" s="2991"/>
      <c r="L69" s="1752"/>
    </row>
    <row r="70" spans="2:12" s="32" customFormat="1" ht="10.35" customHeight="1" x14ac:dyDescent="0.2">
      <c r="B70" s="170"/>
      <c r="C70" s="2991" t="s">
        <v>2235</v>
      </c>
      <c r="D70" s="2991"/>
      <c r="E70" s="2991"/>
      <c r="F70" s="2991"/>
      <c r="G70" s="2991"/>
      <c r="H70" s="2991"/>
      <c r="I70" s="2991"/>
      <c r="J70" s="2991"/>
      <c r="K70" s="2991"/>
      <c r="L70" s="1752"/>
    </row>
    <row r="71" spans="2:12" s="32" customFormat="1" ht="10.35" customHeight="1" x14ac:dyDescent="0.2">
      <c r="B71" s="170"/>
      <c r="C71" s="2991" t="s">
        <v>2236</v>
      </c>
      <c r="D71" s="2991"/>
      <c r="E71" s="2991"/>
      <c r="F71" s="2991"/>
      <c r="G71" s="2991"/>
      <c r="H71" s="2991"/>
      <c r="I71" s="2991"/>
      <c r="J71" s="2991"/>
      <c r="K71" s="2991"/>
      <c r="L71" s="1752"/>
    </row>
    <row r="72" spans="2:12" s="32" customFormat="1" ht="10.35" customHeight="1" x14ac:dyDescent="0.2">
      <c r="B72" s="170"/>
      <c r="C72" s="2991" t="s">
        <v>2237</v>
      </c>
      <c r="D72" s="2991"/>
      <c r="E72" s="2991"/>
      <c r="F72" s="2991"/>
      <c r="G72" s="2991"/>
      <c r="H72" s="2991"/>
      <c r="I72" s="2991"/>
      <c r="J72" s="2991"/>
      <c r="K72" s="2991"/>
      <c r="L72" s="1752"/>
    </row>
    <row r="73" spans="2:12" s="32" customFormat="1" ht="10.35" customHeight="1" x14ac:dyDescent="0.2">
      <c r="B73" s="170"/>
      <c r="C73" s="170"/>
      <c r="D73" s="2990" t="s">
        <v>2238</v>
      </c>
      <c r="E73" s="2990"/>
      <c r="F73" s="2990"/>
      <c r="G73" s="2990"/>
      <c r="H73" s="2990"/>
      <c r="I73" s="2990"/>
      <c r="J73" s="2990"/>
      <c r="K73" s="2990"/>
      <c r="L73" s="1753">
        <f>SUM(L69:L72)</f>
        <v>0</v>
      </c>
    </row>
    <row r="74" spans="2:12" s="32" customFormat="1" ht="10.35" customHeight="1" x14ac:dyDescent="0.2">
      <c r="B74" s="170"/>
      <c r="C74" s="170" t="s">
        <v>2239</v>
      </c>
      <c r="D74" s="170"/>
      <c r="E74" s="170"/>
      <c r="F74" s="170"/>
      <c r="G74" s="170"/>
      <c r="H74" s="170"/>
      <c r="I74" s="170"/>
      <c r="J74" s="170"/>
      <c r="K74" s="170"/>
      <c r="L74" s="1754"/>
    </row>
    <row r="75" spans="2:12" s="32" customFormat="1" ht="10.35" customHeight="1" x14ac:dyDescent="0.2">
      <c r="B75" s="170"/>
      <c r="C75" s="170"/>
      <c r="D75" s="2991" t="s">
        <v>2240</v>
      </c>
      <c r="E75" s="2991"/>
      <c r="F75" s="2991"/>
      <c r="G75" s="2991"/>
      <c r="H75" s="2991"/>
      <c r="I75" s="2991"/>
      <c r="J75" s="2991"/>
      <c r="K75" s="2991"/>
      <c r="L75" s="1752"/>
    </row>
    <row r="76" spans="2:12" s="32" customFormat="1" ht="10.35" customHeight="1" x14ac:dyDescent="0.2">
      <c r="B76" s="170"/>
      <c r="C76" s="170"/>
      <c r="D76" s="2991" t="s">
        <v>2241</v>
      </c>
      <c r="E76" s="2991"/>
      <c r="F76" s="2991"/>
      <c r="G76" s="2991"/>
      <c r="H76" s="2991"/>
      <c r="I76" s="2991"/>
      <c r="J76" s="2991"/>
      <c r="K76" s="2991"/>
      <c r="L76" s="1752"/>
    </row>
    <row r="77" spans="2:12" s="32" customFormat="1" ht="10.35" customHeight="1" x14ac:dyDescent="0.2">
      <c r="B77" s="170"/>
      <c r="C77" s="170"/>
      <c r="D77" s="2991" t="s">
        <v>2242</v>
      </c>
      <c r="E77" s="2991"/>
      <c r="F77" s="2991"/>
      <c r="G77" s="2991"/>
      <c r="H77" s="2991"/>
      <c r="I77" s="2991"/>
      <c r="J77" s="2991"/>
      <c r="K77" s="2991"/>
      <c r="L77" s="1752"/>
    </row>
    <row r="78" spans="2:12" s="32" customFormat="1" ht="10.35" customHeight="1" x14ac:dyDescent="0.2">
      <c r="B78" s="170"/>
      <c r="C78" s="2991" t="s">
        <v>2243</v>
      </c>
      <c r="D78" s="2991"/>
      <c r="E78" s="2991"/>
      <c r="F78" s="2991"/>
      <c r="G78" s="2991"/>
      <c r="H78" s="2991"/>
      <c r="I78" s="2991"/>
      <c r="J78" s="2991"/>
      <c r="K78" s="2991"/>
      <c r="L78" s="1752"/>
    </row>
    <row r="79" spans="2:12" s="32" customFormat="1" ht="10.35" customHeight="1" x14ac:dyDescent="0.2">
      <c r="B79" s="170"/>
      <c r="C79" s="2991" t="s">
        <v>2244</v>
      </c>
      <c r="D79" s="2991"/>
      <c r="E79" s="2991"/>
      <c r="F79" s="2991"/>
      <c r="G79" s="2991"/>
      <c r="H79" s="2991"/>
      <c r="I79" s="2991"/>
      <c r="J79" s="2991"/>
      <c r="K79" s="2991"/>
      <c r="L79" s="1752"/>
    </row>
    <row r="80" spans="2:12" s="32" customFormat="1" ht="10.35" customHeight="1" x14ac:dyDescent="0.2">
      <c r="B80" s="170"/>
      <c r="C80" s="2991" t="s">
        <v>2245</v>
      </c>
      <c r="D80" s="2991"/>
      <c r="E80" s="2991"/>
      <c r="F80" s="2991"/>
      <c r="G80" s="2991"/>
      <c r="H80" s="2991"/>
      <c r="I80" s="2991"/>
      <c r="J80" s="2991"/>
      <c r="K80" s="2991"/>
      <c r="L80" s="1752"/>
    </row>
    <row r="81" spans="1:12" s="32" customFormat="1" ht="10.35" customHeight="1" x14ac:dyDescent="0.2">
      <c r="A81" s="170"/>
      <c r="B81" s="170"/>
      <c r="C81" s="2991" t="s">
        <v>2246</v>
      </c>
      <c r="D81" s="2991"/>
      <c r="E81" s="2991"/>
      <c r="F81" s="2991"/>
      <c r="G81" s="2991"/>
      <c r="H81" s="2991"/>
      <c r="I81" s="2991"/>
      <c r="J81" s="2991"/>
      <c r="K81" s="2991"/>
      <c r="L81" s="1752"/>
    </row>
    <row r="82" spans="1:12" s="32" customFormat="1" ht="10.35" customHeight="1" x14ac:dyDescent="0.2">
      <c r="A82" s="170"/>
      <c r="B82" s="170"/>
      <c r="C82" s="2991" t="s">
        <v>2247</v>
      </c>
      <c r="D82" s="2991"/>
      <c r="E82" s="2991"/>
      <c r="F82" s="2991"/>
      <c r="G82" s="2991"/>
      <c r="H82" s="2991"/>
      <c r="I82" s="2991"/>
      <c r="J82" s="2991"/>
      <c r="K82" s="2991"/>
      <c r="L82" s="1752"/>
    </row>
    <row r="83" spans="1:12" s="32" customFormat="1" ht="10.35" customHeight="1" x14ac:dyDescent="0.2">
      <c r="A83" s="170"/>
      <c r="B83" s="170"/>
      <c r="C83" s="2990" t="s">
        <v>1844</v>
      </c>
      <c r="D83" s="2990"/>
      <c r="E83" s="2990"/>
      <c r="F83" s="2990"/>
      <c r="G83" s="2990"/>
      <c r="H83" s="2990"/>
      <c r="I83" s="2990"/>
      <c r="J83" s="2990"/>
      <c r="K83" s="2990"/>
      <c r="L83" s="1753">
        <f>SUM(L73:L82)</f>
        <v>0</v>
      </c>
    </row>
    <row r="84" spans="1:12" s="32" customFormat="1" ht="10.35" customHeight="1" x14ac:dyDescent="0.2">
      <c r="A84" s="170"/>
      <c r="B84" s="170"/>
      <c r="C84" s="2991" t="s">
        <v>2248</v>
      </c>
      <c r="D84" s="2991"/>
      <c r="E84" s="2991"/>
      <c r="F84" s="2991"/>
      <c r="G84" s="2991"/>
      <c r="H84" s="2991"/>
      <c r="I84" s="2991"/>
      <c r="J84" s="2991"/>
      <c r="K84" s="2991"/>
      <c r="L84" s="1752"/>
    </row>
    <row r="85" spans="1:12" s="32" customFormat="1" ht="14.25" customHeight="1" thickBot="1" x14ac:dyDescent="0.25">
      <c r="A85" s="170"/>
      <c r="B85" s="170"/>
      <c r="C85" s="2991" t="s">
        <v>2249</v>
      </c>
      <c r="D85" s="2991"/>
      <c r="E85" s="2991"/>
      <c r="F85" s="2991"/>
      <c r="G85" s="2991"/>
      <c r="H85" s="2991"/>
      <c r="I85" s="2991"/>
      <c r="J85" s="2991"/>
      <c r="K85" s="2991"/>
      <c r="L85" s="1757">
        <f>SUM(L83:L84)</f>
        <v>0</v>
      </c>
    </row>
    <row r="86" spans="1:12" s="20" customFormat="1" ht="6" customHeight="1" thickTop="1" x14ac:dyDescent="0.2">
      <c r="A86" s="166"/>
      <c r="B86" s="166"/>
      <c r="C86" s="166"/>
      <c r="D86" s="166"/>
      <c r="E86" s="166"/>
      <c r="F86" s="166"/>
      <c r="G86" s="166"/>
      <c r="H86" s="166"/>
      <c r="I86" s="166"/>
      <c r="J86" s="166"/>
      <c r="K86" s="166"/>
      <c r="L86" s="1759"/>
    </row>
    <row r="87" spans="1:12" x14ac:dyDescent="0.2">
      <c r="B87" s="138" t="s">
        <v>2250</v>
      </c>
      <c r="L87" s="802" t="str">
        <f>IF(ROUND(L64-L85=0,2),"OK","Error")</f>
        <v>OK</v>
      </c>
    </row>
    <row r="89" spans="1:12" ht="15" x14ac:dyDescent="0.2">
      <c r="A89" s="421" t="str">
        <f ca="1">MID(CELL("filename",A68),FIND("]",CELL("filename",A68))+1,256)</f>
        <v>635</v>
      </c>
      <c r="B89" s="421" t="s">
        <v>613</v>
      </c>
    </row>
    <row r="90" spans="1:12" ht="15" x14ac:dyDescent="0.2">
      <c r="A90" s="421" t="s">
        <v>401</v>
      </c>
      <c r="B90" s="421" t="str">
        <f t="shared" ref="B90:B99" ca="1" si="0">IF(ISNA(INDEX(ErrorTable,MATCH($A$89&amp;$A90&amp;FALSE,ErrorKey,0),6)),"",INDEX(ErrorTable,MATCH($A$89&amp;$A90&amp;FALSE,ErrorKey,0),6))</f>
        <v/>
      </c>
    </row>
    <row r="91" spans="1:12" ht="15" x14ac:dyDescent="0.2">
      <c r="A91" s="421" t="s">
        <v>402</v>
      </c>
      <c r="B91" s="421" t="str">
        <f t="shared" ca="1" si="0"/>
        <v/>
      </c>
    </row>
    <row r="92" spans="1:12" ht="15" x14ac:dyDescent="0.2">
      <c r="A92" s="421" t="s">
        <v>403</v>
      </c>
      <c r="B92" s="421" t="str">
        <f t="shared" ca="1" si="0"/>
        <v/>
      </c>
    </row>
    <row r="93" spans="1:12" ht="15" x14ac:dyDescent="0.2">
      <c r="A93" s="421" t="s">
        <v>404</v>
      </c>
      <c r="B93" s="421" t="str">
        <f t="shared" ca="1" si="0"/>
        <v/>
      </c>
    </row>
    <row r="94" spans="1:12" ht="15" x14ac:dyDescent="0.2">
      <c r="A94" s="421" t="s">
        <v>405</v>
      </c>
      <c r="B94" s="421" t="str">
        <f t="shared" ca="1" si="0"/>
        <v/>
      </c>
    </row>
    <row r="95" spans="1:12" ht="15" x14ac:dyDescent="0.2">
      <c r="A95" s="421" t="s">
        <v>406</v>
      </c>
      <c r="B95" s="421" t="str">
        <f t="shared" ca="1" si="0"/>
        <v/>
      </c>
    </row>
    <row r="96" spans="1:12" ht="15" x14ac:dyDescent="0.2">
      <c r="A96" s="421" t="s">
        <v>407</v>
      </c>
      <c r="B96" s="421" t="str">
        <f t="shared" ca="1" si="0"/>
        <v/>
      </c>
    </row>
    <row r="97" spans="1:2" ht="15" x14ac:dyDescent="0.2">
      <c r="A97" s="421" t="s">
        <v>408</v>
      </c>
      <c r="B97" s="421" t="str">
        <f t="shared" ca="1" si="0"/>
        <v/>
      </c>
    </row>
    <row r="98" spans="1:2" ht="15" x14ac:dyDescent="0.2">
      <c r="A98" s="421" t="s">
        <v>409</v>
      </c>
      <c r="B98" s="421" t="str">
        <f t="shared" ca="1" si="0"/>
        <v/>
      </c>
    </row>
    <row r="99" spans="1:2" ht="15" x14ac:dyDescent="0.2">
      <c r="A99" s="421" t="s">
        <v>410</v>
      </c>
      <c r="B99" s="421" t="str">
        <f t="shared" ca="1" si="0"/>
        <v/>
      </c>
    </row>
  </sheetData>
  <sheetProtection algorithmName="SHA-512" hashValue="NvMMdpGNk7k0Q3/YDP9JsWq+YK/4vKXiY4HxYaQ1eryUvxFNHvzNdz4ye39CZ1rdkikvA5Vvh+GX+2hb1Q2Dzg==" saltValue="s3Lkv4b5HI8Vx+94o3wsEw==" spinCount="100000" sheet="1" autoFilter="0"/>
  <customSheetViews>
    <customSheetView guid="{9FCFC836-1CA5-48BF-958D-24D2EA94B219}" showGridLines="0" fitToPage="1" hiddenColumns="1" topLeftCell="B1">
      <selection activeCell="B12" sqref="B12"/>
      <pageMargins left="0" right="0" top="0" bottom="0" header="0" footer="0"/>
      <pageSetup orientation="portrait" r:id="rId1"/>
      <headerFooter alignWithMargins="0">
        <oddFooter>&amp;R&amp;A</oddFooter>
      </headerFooter>
    </customSheetView>
    <customSheetView guid="{BEA4BE86-04D1-4C96-9358-7A260B9D2B2D}" showGridLines="0" fitToPage="1" showRuler="0">
      <selection sqref="A1:N1"/>
      <pageMargins left="0" right="0" top="0" bottom="0" header="0" footer="0"/>
      <pageSetup orientation="portrait" r:id="rId2"/>
      <headerFooter alignWithMargins="0">
        <oddFooter>&amp;R&amp;A</oddFooter>
      </headerFooter>
    </customSheetView>
    <customSheetView guid="{1250FD07-FF56-4A9D-AF9E-C27124A7EBE9}" showGridLines="0" fitToPage="1" showRuler="0">
      <selection sqref="A1:N1"/>
      <pageMargins left="0" right="0" top="0" bottom="0" header="0" footer="0"/>
      <pageSetup orientation="portrait" r:id="rId3"/>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ageSetup orientation="portrait" r:id="rId4"/>
      <headerFooter alignWithMargins="0">
        <oddFooter>&amp;R&amp;A</oddFooter>
      </headerFooter>
    </customSheetView>
  </customSheetViews>
  <mergeCells count="71">
    <mergeCell ref="D75:K75"/>
    <mergeCell ref="D76:K76"/>
    <mergeCell ref="D77:K77"/>
    <mergeCell ref="C80:K80"/>
    <mergeCell ref="D50:K50"/>
    <mergeCell ref="D52:K52"/>
    <mergeCell ref="D53:K53"/>
    <mergeCell ref="D57:K57"/>
    <mergeCell ref="D55:K55"/>
    <mergeCell ref="D56:K56"/>
    <mergeCell ref="E46:K46"/>
    <mergeCell ref="P1:P3"/>
    <mergeCell ref="C20:O20"/>
    <mergeCell ref="C21:O21"/>
    <mergeCell ref="D25:K25"/>
    <mergeCell ref="G7:I7"/>
    <mergeCell ref="G5:I5"/>
    <mergeCell ref="D28:K28"/>
    <mergeCell ref="B1:O1"/>
    <mergeCell ref="B2:O2"/>
    <mergeCell ref="B3:O3"/>
    <mergeCell ref="L5:O5"/>
    <mergeCell ref="L6:O6"/>
    <mergeCell ref="L7:O7"/>
    <mergeCell ref="D26:K26"/>
    <mergeCell ref="D27:K27"/>
    <mergeCell ref="D29:K29"/>
    <mergeCell ref="D43:K43"/>
    <mergeCell ref="D44:K44"/>
    <mergeCell ref="D45:K45"/>
    <mergeCell ref="D42:K42"/>
    <mergeCell ref="E30:K30"/>
    <mergeCell ref="D33:K33"/>
    <mergeCell ref="D36:K36"/>
    <mergeCell ref="C82:K82"/>
    <mergeCell ref="C84:K84"/>
    <mergeCell ref="C85:K85"/>
    <mergeCell ref="C83:K83"/>
    <mergeCell ref="D61:K61"/>
    <mergeCell ref="D62:K62"/>
    <mergeCell ref="D63:K63"/>
    <mergeCell ref="C78:K78"/>
    <mergeCell ref="C79:K79"/>
    <mergeCell ref="C69:K69"/>
    <mergeCell ref="C72:K72"/>
    <mergeCell ref="D73:K73"/>
    <mergeCell ref="C64:J64"/>
    <mergeCell ref="C70:K70"/>
    <mergeCell ref="C71:K71"/>
    <mergeCell ref="C81:K81"/>
    <mergeCell ref="T33:W33"/>
    <mergeCell ref="T40:W40"/>
    <mergeCell ref="T41:W41"/>
    <mergeCell ref="T42:W42"/>
    <mergeCell ref="T43:W43"/>
    <mergeCell ref="T61:W61"/>
    <mergeCell ref="T62:W62"/>
    <mergeCell ref="D51:K51"/>
    <mergeCell ref="D54:K54"/>
    <mergeCell ref="D34:K34"/>
    <mergeCell ref="D35:K35"/>
    <mergeCell ref="D37:K37"/>
    <mergeCell ref="D38:K38"/>
    <mergeCell ref="E39:K39"/>
    <mergeCell ref="T49:W49"/>
    <mergeCell ref="T50:W50"/>
    <mergeCell ref="T58:W58"/>
    <mergeCell ref="T59:W59"/>
    <mergeCell ref="T60:W60"/>
    <mergeCell ref="D49:K49"/>
    <mergeCell ref="E58:K58"/>
  </mergeCells>
  <phoneticPr fontId="18" type="noConversion"/>
  <conditionalFormatting sqref="P1:P3">
    <cfRule type="cellIs" dxfId="46" priority="1" stopIfTrue="1" operator="equal">
      <formula>"na"</formula>
    </cfRule>
  </conditionalFormatting>
  <dataValidations count="1">
    <dataValidation type="textLength" operator="equal" allowBlank="1" showInputMessage="1" showErrorMessage="1" errorTitle="Invalid data!" error="GASB number must be 4 digits." sqref="G7:I7" xr:uid="{00000000-0002-0000-3B00-000000000000}">
      <formula1>4</formula1>
    </dataValidation>
  </dataValidations>
  <hyperlinks>
    <hyperlink ref="B1:O1" location="Index!A1" display="Index!A1" xr:uid="{00000000-0004-0000-3B00-000000000000}"/>
  </hyperlinks>
  <pageMargins left="0.6" right="0.6" top="0.5" bottom="0.5" header="0.3" footer="0.3"/>
  <pageSetup scale="77" fitToWidth="0" orientation="portrait" r:id="rId5"/>
  <legacyDrawing r:id="rId6"/>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91"/>
  <dimension ref="A1:M50"/>
  <sheetViews>
    <sheetView showGridLines="0" zoomScaleNormal="100" zoomScaleSheetLayoutView="100" workbookViewId="0">
      <selection activeCell="A50" sqref="A50"/>
    </sheetView>
  </sheetViews>
  <sheetFormatPr defaultRowHeight="12.75" x14ac:dyDescent="0.2"/>
  <cols>
    <col min="2" max="2" width="18.5703125" customWidth="1"/>
    <col min="3" max="3" width="2" customWidth="1"/>
    <col min="11" max="11" width="7.5703125" customWidth="1"/>
    <col min="12" max="13" width="5.42578125" customWidth="1"/>
  </cols>
  <sheetData>
    <row r="1" spans="1:13" ht="15.75" x14ac:dyDescent="0.25">
      <c r="A1" s="3004" t="str">
        <f>+Index!A1</f>
        <v xml:space="preserve">                                                               Office of the State Controller                                                                </v>
      </c>
      <c r="B1" s="3004"/>
      <c r="C1" s="3004"/>
      <c r="D1" s="3004"/>
      <c r="E1" s="3004"/>
      <c r="F1" s="3004"/>
      <c r="G1" s="3004"/>
      <c r="H1" s="3004"/>
      <c r="I1" s="3004"/>
      <c r="J1" s="3004"/>
      <c r="K1" s="3004"/>
      <c r="L1" s="3004"/>
      <c r="M1" s="2554" t="str">
        <f>IF(Index!$B$88="na","NA","")</f>
        <v/>
      </c>
    </row>
    <row r="2" spans="1:13" ht="15.75" x14ac:dyDescent="0.25">
      <c r="A2" s="2532" t="str">
        <f>Index!A2</f>
        <v>2024 ACFR Worksheets</v>
      </c>
      <c r="B2" s="2532"/>
      <c r="C2" s="2532"/>
      <c r="D2" s="2532"/>
      <c r="E2" s="2532"/>
      <c r="F2" s="2532"/>
      <c r="G2" s="2532"/>
      <c r="H2" s="2532"/>
      <c r="I2" s="2532"/>
      <c r="J2" s="2532"/>
      <c r="K2" s="2532"/>
      <c r="L2" s="2532"/>
      <c r="M2" s="2554"/>
    </row>
    <row r="3" spans="1:13" ht="15" customHeight="1" x14ac:dyDescent="0.25">
      <c r="A3" s="3005" t="s">
        <v>2251</v>
      </c>
      <c r="B3" s="3005"/>
      <c r="C3" s="3005"/>
      <c r="D3" s="3005"/>
      <c r="E3" s="3005"/>
      <c r="F3" s="3005"/>
      <c r="G3" s="3005"/>
      <c r="H3" s="3005"/>
      <c r="I3" s="3005"/>
      <c r="J3" s="3005"/>
      <c r="K3" s="3005"/>
      <c r="L3" s="3005"/>
      <c r="M3" s="2554"/>
    </row>
    <row r="4" spans="1:13" x14ac:dyDescent="0.2">
      <c r="A4" s="1028"/>
    </row>
    <row r="5" spans="1:13" x14ac:dyDescent="0.2">
      <c r="H5" s="1029" t="s">
        <v>318</v>
      </c>
      <c r="I5" s="2677" t="str">
        <f>+Index!E10</f>
        <v>01</v>
      </c>
      <c r="J5" s="2677"/>
      <c r="K5" s="2677"/>
      <c r="L5" s="2677"/>
    </row>
    <row r="6" spans="1:13" x14ac:dyDescent="0.2">
      <c r="H6" s="1029" t="s">
        <v>319</v>
      </c>
      <c r="I6" s="3003" t="str">
        <f>Index!E11</f>
        <v>North Carolina General Assembly</v>
      </c>
      <c r="J6" s="3003"/>
      <c r="K6" s="3003"/>
      <c r="L6" s="3003"/>
    </row>
    <row r="7" spans="1:13" x14ac:dyDescent="0.2">
      <c r="H7" s="1029" t="s">
        <v>2252</v>
      </c>
      <c r="I7" s="3003" t="str">
        <f>CONCATENATE(Index!$E$12," ",Index!$E$14)</f>
        <v xml:space="preserve"> </v>
      </c>
      <c r="J7" s="3003"/>
      <c r="K7" s="3003"/>
      <c r="L7" s="3003"/>
    </row>
    <row r="8" spans="1:13" x14ac:dyDescent="0.2">
      <c r="H8" s="1029" t="s">
        <v>168</v>
      </c>
      <c r="I8" s="3003">
        <f>Index!$E$13</f>
        <v>0</v>
      </c>
      <c r="J8" s="3003"/>
      <c r="K8" s="3003"/>
      <c r="L8" s="3003"/>
    </row>
    <row r="9" spans="1:13" ht="13.5" thickBot="1" x14ac:dyDescent="0.25">
      <c r="A9" s="448"/>
      <c r="B9" s="448"/>
      <c r="C9" s="448"/>
      <c r="D9" s="448"/>
      <c r="E9" s="448"/>
      <c r="F9" s="448"/>
      <c r="G9" s="448"/>
      <c r="H9" s="448"/>
      <c r="I9" s="448"/>
      <c r="J9" s="448"/>
      <c r="K9" s="448"/>
      <c r="L9" s="448"/>
    </row>
    <row r="21" spans="1:12" ht="23.25" customHeight="1" x14ac:dyDescent="0.2">
      <c r="A21" t="s">
        <v>2253</v>
      </c>
    </row>
    <row r="22" spans="1:12" x14ac:dyDescent="0.2">
      <c r="A22" s="3007" t="s">
        <v>2254</v>
      </c>
      <c r="B22" s="3007"/>
      <c r="C22" s="3007"/>
      <c r="D22" s="3007"/>
      <c r="E22" s="3007"/>
      <c r="F22" s="3007"/>
      <c r="G22" s="3007"/>
      <c r="H22" s="3007"/>
      <c r="I22" s="3007"/>
      <c r="J22" s="3007"/>
      <c r="K22" s="3007"/>
      <c r="L22" s="3007"/>
    </row>
    <row r="24" spans="1:12" x14ac:dyDescent="0.2">
      <c r="A24" t="s">
        <v>2255</v>
      </c>
    </row>
    <row r="26" spans="1:12" ht="20.100000000000001" customHeight="1" x14ac:dyDescent="0.2">
      <c r="A26" s="1" t="s">
        <v>2256</v>
      </c>
      <c r="C26" s="1805" t="s">
        <v>519</v>
      </c>
      <c r="D26" s="2811"/>
      <c r="E26" s="2811"/>
      <c r="F26" s="2811"/>
      <c r="G26" s="2811"/>
      <c r="H26" s="2811"/>
      <c r="I26" s="2811"/>
      <c r="J26" s="2811"/>
      <c r="K26" s="2811"/>
      <c r="L26" s="2811"/>
    </row>
    <row r="27" spans="1:12" ht="20.100000000000001" customHeight="1" x14ac:dyDescent="0.2">
      <c r="A27" s="352" t="s">
        <v>2257</v>
      </c>
      <c r="C27" s="1805" t="s">
        <v>522</v>
      </c>
      <c r="D27" s="2818"/>
      <c r="E27" s="2818"/>
      <c r="F27" s="2818"/>
      <c r="G27" s="2818"/>
      <c r="H27" s="2818"/>
      <c r="I27" s="2818"/>
      <c r="J27" s="2818"/>
      <c r="K27" s="2818"/>
      <c r="L27" s="2818"/>
    </row>
    <row r="28" spans="1:12" ht="20.100000000000001" customHeight="1" x14ac:dyDescent="0.2">
      <c r="A28" s="2"/>
      <c r="C28" s="1805" t="s">
        <v>525</v>
      </c>
      <c r="D28" s="2818"/>
      <c r="E28" s="2818"/>
      <c r="F28" s="2818"/>
      <c r="G28" s="2818"/>
      <c r="H28" s="2818"/>
      <c r="I28" s="2818"/>
      <c r="J28" s="2818"/>
      <c r="K28" s="2818"/>
      <c r="L28" s="2818"/>
    </row>
    <row r="29" spans="1:12" ht="20.100000000000001" customHeight="1" x14ac:dyDescent="0.2"/>
    <row r="30" spans="1:12" ht="20.100000000000001" customHeight="1" x14ac:dyDescent="0.2">
      <c r="A30" s="1" t="s">
        <v>2258</v>
      </c>
      <c r="C30" s="1805" t="s">
        <v>519</v>
      </c>
      <c r="D30" s="2811"/>
      <c r="E30" s="2811"/>
      <c r="F30" s="2811"/>
      <c r="G30" s="2811"/>
      <c r="H30" s="2811"/>
      <c r="I30" s="2811"/>
      <c r="J30" s="2811"/>
      <c r="K30" s="2811"/>
      <c r="L30" s="2811"/>
    </row>
    <row r="31" spans="1:12" ht="20.100000000000001" customHeight="1" x14ac:dyDescent="0.2">
      <c r="A31" s="190" t="s">
        <v>2259</v>
      </c>
      <c r="C31" s="1805" t="s">
        <v>522</v>
      </c>
      <c r="D31" s="2818"/>
      <c r="E31" s="2818"/>
      <c r="F31" s="2818"/>
      <c r="G31" s="2818"/>
      <c r="H31" s="2818"/>
      <c r="I31" s="2818"/>
      <c r="J31" s="2818"/>
      <c r="K31" s="2818"/>
      <c r="L31" s="2818"/>
    </row>
    <row r="32" spans="1:12" ht="20.100000000000001" customHeight="1" x14ac:dyDescent="0.2">
      <c r="A32" s="2"/>
      <c r="C32" s="1805" t="s">
        <v>525</v>
      </c>
      <c r="D32" s="2818"/>
      <c r="E32" s="2818"/>
      <c r="F32" s="2818"/>
      <c r="G32" s="2818"/>
      <c r="H32" s="2818"/>
      <c r="I32" s="2818"/>
      <c r="J32" s="2818"/>
      <c r="K32" s="2818"/>
      <c r="L32" s="2818"/>
    </row>
    <row r="33" spans="1:13" ht="8.25" customHeight="1" x14ac:dyDescent="0.2">
      <c r="A33" s="138"/>
    </row>
    <row r="34" spans="1:13" ht="20.100000000000001" customHeight="1" x14ac:dyDescent="0.2">
      <c r="A34" s="1" t="s">
        <v>2260</v>
      </c>
      <c r="C34" s="1805" t="s">
        <v>519</v>
      </c>
      <c r="D34" s="2811"/>
      <c r="E34" s="2811"/>
      <c r="F34" s="2811"/>
      <c r="G34" s="2811"/>
      <c r="H34" s="2811"/>
      <c r="I34" s="2811"/>
      <c r="J34" s="2811"/>
      <c r="K34" s="2811"/>
      <c r="L34" s="2811"/>
    </row>
    <row r="35" spans="1:13" ht="20.100000000000001" customHeight="1" x14ac:dyDescent="0.2">
      <c r="A35" s="352" t="s">
        <v>2261</v>
      </c>
      <c r="C35" s="1805" t="s">
        <v>522</v>
      </c>
      <c r="D35" s="2818"/>
      <c r="E35" s="2818"/>
      <c r="F35" s="2818"/>
      <c r="G35" s="2818"/>
      <c r="H35" s="2818"/>
      <c r="I35" s="2818"/>
      <c r="J35" s="2818"/>
      <c r="K35" s="2818"/>
      <c r="L35" s="2818"/>
    </row>
    <row r="36" spans="1:13" ht="20.100000000000001" customHeight="1" x14ac:dyDescent="0.2">
      <c r="A36" s="2"/>
      <c r="C36" s="1805" t="s">
        <v>525</v>
      </c>
      <c r="D36" s="3008"/>
      <c r="E36" s="3008"/>
      <c r="F36" s="3008"/>
      <c r="G36" s="3008"/>
      <c r="H36" s="3008"/>
      <c r="I36" s="3008"/>
      <c r="J36" s="3008"/>
      <c r="K36" s="3008"/>
      <c r="L36" s="3008"/>
    </row>
    <row r="37" spans="1:13" ht="20.100000000000001" customHeight="1" x14ac:dyDescent="0.2">
      <c r="A37" s="2"/>
      <c r="D37" s="107"/>
      <c r="E37" s="107"/>
      <c r="F37" s="107"/>
      <c r="G37" s="107"/>
      <c r="H37" s="107"/>
      <c r="I37" s="107"/>
      <c r="J37" s="107"/>
      <c r="K37" s="107"/>
      <c r="L37" s="107"/>
    </row>
    <row r="38" spans="1:13" x14ac:dyDescent="0.2">
      <c r="A38" s="1" t="s">
        <v>2262</v>
      </c>
      <c r="K38" s="1032"/>
      <c r="L38" s="1032"/>
      <c r="M38" s="1030"/>
    </row>
    <row r="39" spans="1:13" ht="20.100000000000001" customHeight="1" x14ac:dyDescent="0.2">
      <c r="A39" s="352" t="s">
        <v>2263</v>
      </c>
      <c r="B39" s="138"/>
      <c r="C39" s="1805" t="s">
        <v>519</v>
      </c>
      <c r="D39" s="3006"/>
      <c r="E39" s="3006"/>
      <c r="F39" s="3006"/>
      <c r="G39" s="3006"/>
      <c r="H39" s="3006"/>
      <c r="I39" s="3006"/>
      <c r="J39" s="3006"/>
      <c r="K39" s="3006"/>
      <c r="L39" s="3006"/>
      <c r="M39" s="1030"/>
    </row>
    <row r="40" spans="1:13" ht="20.100000000000001" customHeight="1" x14ac:dyDescent="0.2">
      <c r="A40" s="1"/>
      <c r="B40" s="138"/>
      <c r="C40" s="1805" t="s">
        <v>522</v>
      </c>
      <c r="D40" s="3002"/>
      <c r="E40" s="3002"/>
      <c r="F40" s="3002"/>
      <c r="G40" s="3002"/>
      <c r="H40" s="3002"/>
      <c r="I40" s="3002"/>
      <c r="J40" s="3002"/>
      <c r="K40" s="3002"/>
      <c r="L40" s="3002"/>
      <c r="M40" s="1030"/>
    </row>
    <row r="41" spans="1:13" ht="20.100000000000001" customHeight="1" x14ac:dyDescent="0.2">
      <c r="A41" s="1"/>
      <c r="B41" s="138"/>
      <c r="C41" s="1805" t="s">
        <v>525</v>
      </c>
      <c r="D41" s="3002"/>
      <c r="E41" s="3002"/>
      <c r="F41" s="3002"/>
      <c r="G41" s="3002"/>
      <c r="H41" s="3002"/>
      <c r="I41" s="3002"/>
      <c r="J41" s="3002"/>
      <c r="K41" s="3002"/>
      <c r="L41" s="3002"/>
      <c r="M41" s="1030"/>
    </row>
    <row r="42" spans="1:13" x14ac:dyDescent="0.2">
      <c r="K42" s="1032"/>
      <c r="L42" s="1032"/>
      <c r="M42" s="1030"/>
    </row>
    <row r="43" spans="1:13" ht="24" customHeight="1" x14ac:dyDescent="0.2">
      <c r="A43" s="1" t="s">
        <v>2264</v>
      </c>
      <c r="I43" s="2754"/>
      <c r="J43" s="2754"/>
      <c r="K43" s="2754"/>
      <c r="L43" s="2754"/>
    </row>
    <row r="44" spans="1:13" ht="20.100000000000001" customHeight="1" x14ac:dyDescent="0.2">
      <c r="A44" s="352" t="s">
        <v>2265</v>
      </c>
      <c r="C44" s="1805" t="s">
        <v>519</v>
      </c>
      <c r="D44" s="2811"/>
      <c r="E44" s="2811"/>
      <c r="F44" s="2811"/>
      <c r="G44" s="2811"/>
      <c r="H44" s="2811"/>
      <c r="I44" s="2811"/>
      <c r="J44" s="2811"/>
      <c r="K44" s="2811"/>
      <c r="L44" s="2811"/>
    </row>
    <row r="45" spans="1:13" ht="20.100000000000001" customHeight="1" x14ac:dyDescent="0.2">
      <c r="A45" s="1"/>
      <c r="C45" s="1805" t="s">
        <v>522</v>
      </c>
      <c r="D45" s="2818"/>
      <c r="E45" s="2818"/>
      <c r="F45" s="2818"/>
      <c r="G45" s="2818"/>
      <c r="H45" s="2818"/>
      <c r="I45" s="2818"/>
      <c r="J45" s="2818"/>
      <c r="K45" s="2818"/>
      <c r="L45" s="2818"/>
    </row>
    <row r="46" spans="1:13" ht="20.100000000000001" customHeight="1" x14ac:dyDescent="0.2">
      <c r="A46" s="1"/>
      <c r="C46" s="1805" t="s">
        <v>525</v>
      </c>
      <c r="D46" s="2818"/>
      <c r="E46" s="2818"/>
      <c r="F46" s="2818"/>
      <c r="G46" s="2818"/>
      <c r="H46" s="2818"/>
      <c r="I46" s="2818"/>
      <c r="J46" s="2818"/>
      <c r="K46" s="2818"/>
      <c r="L46" s="2818"/>
    </row>
    <row r="47" spans="1:13" ht="15.75" customHeight="1" x14ac:dyDescent="0.2">
      <c r="A47" s="1"/>
      <c r="I47" s="145"/>
      <c r="J47" s="145"/>
      <c r="K47" s="145"/>
      <c r="L47" s="145"/>
    </row>
    <row r="48" spans="1:13" x14ac:dyDescent="0.2">
      <c r="A48" s="1" t="s">
        <v>2266</v>
      </c>
    </row>
    <row r="49" spans="1:1" x14ac:dyDescent="0.2">
      <c r="A49" s="1" t="s">
        <v>2267</v>
      </c>
    </row>
    <row r="50" spans="1:1" x14ac:dyDescent="0.2">
      <c r="A50" s="1"/>
    </row>
  </sheetData>
  <sheetProtection algorithmName="SHA-512" hashValue="Vjdc5yNygCAHqYWj/pBmWE3JdDzm89EjeY2h/2ywzIqRZa1+aTO91TMrKnaPk9PCvkOcJ1zGEwT2UNfuDSqdTQ==" saltValue="SrIdPwk3fBK4MEosEj/qNA==" spinCount="100000" sheet="1" autoFilter="0"/>
  <mergeCells count="25">
    <mergeCell ref="D36:L36"/>
    <mergeCell ref="D44:L44"/>
    <mergeCell ref="D45:L45"/>
    <mergeCell ref="D46:L46"/>
    <mergeCell ref="D27:L27"/>
    <mergeCell ref="D28:L28"/>
    <mergeCell ref="D31:L31"/>
    <mergeCell ref="D32:L32"/>
    <mergeCell ref="D35:L35"/>
    <mergeCell ref="M1:M3"/>
    <mergeCell ref="D40:L40"/>
    <mergeCell ref="I43:L43"/>
    <mergeCell ref="I8:L8"/>
    <mergeCell ref="D34:L34"/>
    <mergeCell ref="A1:L1"/>
    <mergeCell ref="A2:L2"/>
    <mergeCell ref="A3:L3"/>
    <mergeCell ref="I5:L5"/>
    <mergeCell ref="I6:L6"/>
    <mergeCell ref="I7:L7"/>
    <mergeCell ref="D30:L30"/>
    <mergeCell ref="D26:L26"/>
    <mergeCell ref="D39:L39"/>
    <mergeCell ref="D41:L41"/>
    <mergeCell ref="A22:L22"/>
  </mergeCells>
  <conditionalFormatting sqref="M1:M3">
    <cfRule type="cellIs" dxfId="45" priority="1" stopIfTrue="1" operator="equal">
      <formula>"na"</formula>
    </cfRule>
  </conditionalFormatting>
  <hyperlinks>
    <hyperlink ref="A22" r:id="rId1" display="http://ncosc.s3.amazonaws.com/s3fs-public/documents/GASB_Resources/Financial_Reporting_Updates/gasb_standard_77.pdf" xr:uid="{00000000-0004-0000-3C00-000000000000}"/>
    <hyperlink ref="A22:L22" r:id="rId2" display="Financial Reporting Update GASB 77" xr:uid="{00000000-0004-0000-3C00-000001000000}"/>
    <hyperlink ref="A1:L1" location="Index!A1" display="Index!A1" xr:uid="{DC4C6F33-8261-4198-BD7C-CD47816F6ED1}"/>
  </hyperlinks>
  <pageMargins left="0.6" right="0.6" top="0.5" bottom="0.5" header="0.3" footer="0.3"/>
  <pageSetup scale="85" orientation="portrait" r:id="rId3"/>
  <drawing r:id="rId4"/>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dimension ref="A1:S71"/>
  <sheetViews>
    <sheetView showGridLines="0" topLeftCell="C1" zoomScaleNormal="100" workbookViewId="0">
      <selection activeCell="C28" sqref="C28:E28"/>
    </sheetView>
  </sheetViews>
  <sheetFormatPr defaultColWidth="9.42578125" defaultRowHeight="12.75" x14ac:dyDescent="0.2"/>
  <cols>
    <col min="1" max="1" width="0" style="639" hidden="1" customWidth="1"/>
    <col min="2" max="2" width="9.42578125" style="7" hidden="1" customWidth="1"/>
    <col min="3" max="3" width="12.5703125" style="7" customWidth="1"/>
    <col min="4" max="4" width="4.5703125" style="7" customWidth="1"/>
    <col min="5" max="5" width="8.42578125" style="7" customWidth="1"/>
    <col min="6" max="6" width="1.5703125" style="7" customWidth="1"/>
    <col min="7" max="7" width="15.42578125" style="7" customWidth="1"/>
    <col min="8" max="8" width="1.5703125" style="7" customWidth="1"/>
    <col min="9" max="9" width="15.42578125" style="7" customWidth="1"/>
    <col min="10" max="10" width="1.5703125" style="7" customWidth="1"/>
    <col min="11" max="11" width="15.42578125" style="7" customWidth="1"/>
    <col min="12" max="12" width="1.5703125" style="7" customWidth="1"/>
    <col min="13" max="13" width="15.42578125" style="7" customWidth="1"/>
    <col min="14" max="14" width="1.5703125" style="7" customWidth="1"/>
    <col min="15" max="15" width="15.42578125" style="7" customWidth="1"/>
    <col min="16" max="16" width="1.5703125" style="7" customWidth="1"/>
    <col min="17" max="17" width="15.42578125" style="7" customWidth="1"/>
    <col min="18" max="18" width="4.5703125" style="7" customWidth="1"/>
    <col min="19" max="19" width="7" style="7" hidden="1" customWidth="1"/>
    <col min="20" max="16384" width="9.42578125" style="7"/>
  </cols>
  <sheetData>
    <row r="1" spans="1:18" s="85" customFormat="1" ht="15" customHeight="1" x14ac:dyDescent="0.25">
      <c r="A1" s="639" t="str">
        <f t="shared" ref="A1:A36" si="0">AgyIdx</f>
        <v>01</v>
      </c>
      <c r="C1" s="2553" t="str">
        <f>+Index!$A$1</f>
        <v xml:space="preserve">                                                               Office of the State Controller                                                                </v>
      </c>
      <c r="D1" s="2553"/>
      <c r="E1" s="2553"/>
      <c r="F1" s="2553"/>
      <c r="G1" s="2553"/>
      <c r="H1" s="2553"/>
      <c r="I1" s="2553"/>
      <c r="J1" s="2553"/>
      <c r="K1" s="2553"/>
      <c r="L1" s="2553"/>
      <c r="M1" s="2553"/>
      <c r="N1" s="2553"/>
      <c r="O1" s="2553"/>
      <c r="P1" s="2553"/>
      <c r="Q1" s="2553"/>
      <c r="R1" s="2626" t="str">
        <f>IF(Index!$B$89="na","NA","")</f>
        <v/>
      </c>
    </row>
    <row r="2" spans="1:18" s="85" customFormat="1" ht="15" customHeight="1" x14ac:dyDescent="0.25">
      <c r="A2" s="639" t="str">
        <f t="shared" si="0"/>
        <v>01</v>
      </c>
      <c r="C2" s="3013" t="str">
        <f>+Index!$A$2</f>
        <v>2024 ACFR Worksheets</v>
      </c>
      <c r="D2" s="3013"/>
      <c r="E2" s="3013"/>
      <c r="F2" s="3013"/>
      <c r="G2" s="3013"/>
      <c r="H2" s="3013"/>
      <c r="I2" s="3013"/>
      <c r="J2" s="3013"/>
      <c r="K2" s="3013"/>
      <c r="L2" s="3013"/>
      <c r="M2" s="3013"/>
      <c r="N2" s="3013"/>
      <c r="O2" s="3013"/>
      <c r="P2" s="3013"/>
      <c r="Q2" s="3013"/>
      <c r="R2" s="2626"/>
    </row>
    <row r="3" spans="1:18" s="85" customFormat="1" ht="15" customHeight="1" x14ac:dyDescent="0.25">
      <c r="A3" s="639" t="str">
        <f t="shared" si="0"/>
        <v>01</v>
      </c>
      <c r="C3" s="3013" t="s">
        <v>2268</v>
      </c>
      <c r="D3" s="3013"/>
      <c r="E3" s="3013"/>
      <c r="F3" s="3013"/>
      <c r="G3" s="3013"/>
      <c r="H3" s="3013"/>
      <c r="I3" s="3013"/>
      <c r="J3" s="3013"/>
      <c r="K3" s="3013"/>
      <c r="L3" s="3013"/>
      <c r="M3" s="3013"/>
      <c r="N3" s="3013"/>
      <c r="O3" s="3013"/>
      <c r="P3" s="3013"/>
      <c r="Q3" s="3013"/>
      <c r="R3" s="2626"/>
    </row>
    <row r="4" spans="1:18" s="85" customFormat="1" ht="15" customHeight="1" x14ac:dyDescent="0.25">
      <c r="A4" s="639" t="str">
        <f t="shared" si="0"/>
        <v>01</v>
      </c>
      <c r="C4" s="3013" t="s">
        <v>2269</v>
      </c>
      <c r="D4" s="3013"/>
      <c r="E4" s="3013"/>
      <c r="F4" s="3013"/>
      <c r="G4" s="3013"/>
      <c r="H4" s="3013"/>
      <c r="I4" s="3013"/>
      <c r="J4" s="3013"/>
      <c r="K4" s="3013"/>
      <c r="L4" s="3013"/>
      <c r="M4" s="3013"/>
      <c r="N4" s="3013"/>
      <c r="O4" s="3013"/>
      <c r="P4" s="3013"/>
      <c r="Q4" s="3013"/>
    </row>
    <row r="5" spans="1:18" s="86" customFormat="1" ht="15" customHeight="1" x14ac:dyDescent="0.2">
      <c r="A5" s="639" t="str">
        <f t="shared" si="0"/>
        <v>01</v>
      </c>
      <c r="M5" s="236"/>
    </row>
    <row r="6" spans="1:18" s="86" customFormat="1" ht="15" customHeight="1" x14ac:dyDescent="0.2">
      <c r="A6" s="639" t="str">
        <f t="shared" si="0"/>
        <v>01</v>
      </c>
      <c r="C6" s="191" t="s">
        <v>318</v>
      </c>
      <c r="E6" s="3012" t="str">
        <f>+Index!$E$10</f>
        <v>01</v>
      </c>
      <c r="F6" s="3012"/>
      <c r="G6" s="3012"/>
      <c r="J6" s="191"/>
      <c r="K6" s="191" t="s">
        <v>2270</v>
      </c>
      <c r="L6" s="3009" t="str">
        <f>+Index!$E$11</f>
        <v>North Carolina General Assembly</v>
      </c>
      <c r="M6" s="3009"/>
      <c r="N6" s="3009"/>
      <c r="O6" s="3009"/>
      <c r="P6" s="3009"/>
      <c r="Q6" s="3009"/>
    </row>
    <row r="7" spans="1:18" s="86" customFormat="1" ht="15" customHeight="1" x14ac:dyDescent="0.2">
      <c r="A7" s="639" t="str">
        <f t="shared" si="0"/>
        <v>01</v>
      </c>
      <c r="E7" s="1760"/>
      <c r="F7" s="1760"/>
      <c r="G7" s="1760"/>
      <c r="J7" s="191"/>
      <c r="K7" s="191" t="s">
        <v>320</v>
      </c>
      <c r="L7" s="3010" t="str">
        <f>CONCATENATE(Index!$E$12," ",Index!$E$14)</f>
        <v xml:space="preserve"> </v>
      </c>
      <c r="M7" s="3010"/>
      <c r="N7" s="3010"/>
      <c r="O7" s="3010"/>
      <c r="P7" s="3010"/>
      <c r="Q7" s="3010"/>
    </row>
    <row r="8" spans="1:18" s="86" customFormat="1" ht="15" customHeight="1" x14ac:dyDescent="0.2">
      <c r="A8" s="639" t="str">
        <f t="shared" si="0"/>
        <v>01</v>
      </c>
      <c r="C8" s="86" t="s">
        <v>545</v>
      </c>
      <c r="E8" s="3012" t="s">
        <v>762</v>
      </c>
      <c r="F8" s="3012"/>
      <c r="G8" s="3012"/>
      <c r="J8" s="191"/>
      <c r="K8" s="191" t="s">
        <v>168</v>
      </c>
      <c r="L8" s="3011">
        <f>+Index!$E$13</f>
        <v>0</v>
      </c>
      <c r="M8" s="3011"/>
      <c r="N8" s="3011"/>
      <c r="O8" s="3011"/>
      <c r="P8" s="3011"/>
      <c r="Q8" s="3011"/>
    </row>
    <row r="9" spans="1:18" s="86" customFormat="1" ht="12" customHeight="1" thickBot="1" x14ac:dyDescent="0.25">
      <c r="A9" s="639" t="str">
        <f t="shared" si="0"/>
        <v>01</v>
      </c>
      <c r="C9" s="142"/>
      <c r="D9" s="142"/>
      <c r="E9" s="142"/>
      <c r="F9" s="142"/>
      <c r="G9" s="142"/>
      <c r="H9" s="142"/>
      <c r="I9" s="142"/>
      <c r="J9" s="142"/>
      <c r="K9" s="142"/>
      <c r="L9" s="142"/>
      <c r="M9" s="142"/>
      <c r="N9" s="142"/>
      <c r="O9" s="142"/>
      <c r="P9" s="142"/>
      <c r="Q9" s="142"/>
    </row>
    <row r="10" spans="1:18" s="86" customFormat="1" ht="12" customHeight="1" x14ac:dyDescent="0.2">
      <c r="A10" s="639" t="str">
        <f t="shared" si="0"/>
        <v>01</v>
      </c>
    </row>
    <row r="11" spans="1:18" s="86" customFormat="1" ht="12.75" customHeight="1" x14ac:dyDescent="0.25">
      <c r="A11" s="639" t="str">
        <f t="shared" si="0"/>
        <v>01</v>
      </c>
      <c r="C11" s="143"/>
      <c r="D11" s="143"/>
      <c r="E11" s="143"/>
      <c r="F11" s="143"/>
      <c r="G11" s="2414"/>
      <c r="H11" s="143"/>
      <c r="I11" s="3017" t="s">
        <v>2271</v>
      </c>
      <c r="J11" s="3017"/>
      <c r="K11" s="3017"/>
      <c r="L11" s="3017"/>
      <c r="M11" s="3017"/>
      <c r="N11" s="1333"/>
      <c r="O11" s="1333"/>
      <c r="P11" s="1333"/>
      <c r="Q11" s="1333"/>
    </row>
    <row r="12" spans="1:18" s="86" customFormat="1" ht="12.75" customHeight="1" x14ac:dyDescent="0.25">
      <c r="A12" s="639" t="str">
        <f t="shared" si="0"/>
        <v>01</v>
      </c>
      <c r="C12" s="143"/>
      <c r="D12" s="143"/>
      <c r="E12" s="143"/>
      <c r="F12" s="143"/>
      <c r="G12" s="646"/>
      <c r="H12" s="143"/>
      <c r="I12" s="1761"/>
      <c r="J12" s="149"/>
      <c r="K12" s="192"/>
      <c r="L12" s="194"/>
      <c r="M12" s="2414" t="s">
        <v>2272</v>
      </c>
      <c r="N12" s="149"/>
      <c r="O12" s="144"/>
      <c r="P12" s="143"/>
      <c r="Q12" s="143"/>
    </row>
    <row r="13" spans="1:18" s="86" customFormat="1" ht="12.75" customHeight="1" x14ac:dyDescent="0.25">
      <c r="A13" s="639" t="str">
        <f t="shared" si="0"/>
        <v>01</v>
      </c>
      <c r="C13" s="143"/>
      <c r="D13" s="143"/>
      <c r="E13" s="143"/>
      <c r="F13" s="143"/>
      <c r="G13" s="2414" t="s">
        <v>962</v>
      </c>
      <c r="H13" s="143"/>
      <c r="I13" s="2414"/>
      <c r="J13" s="149"/>
      <c r="K13" s="193"/>
      <c r="L13" s="194"/>
      <c r="M13" s="2414" t="s">
        <v>2273</v>
      </c>
      <c r="N13" s="149"/>
      <c r="O13" s="144"/>
      <c r="P13" s="143"/>
      <c r="Q13" s="143"/>
    </row>
    <row r="14" spans="1:18" s="86" customFormat="1" ht="12.75" customHeight="1" x14ac:dyDescent="0.25">
      <c r="A14" s="639" t="str">
        <f t="shared" si="0"/>
        <v>01</v>
      </c>
      <c r="C14" s="3018"/>
      <c r="D14" s="2754"/>
      <c r="E14" s="2754"/>
      <c r="F14" s="143"/>
      <c r="G14" s="2414" t="s">
        <v>2274</v>
      </c>
      <c r="H14" s="143"/>
      <c r="I14" s="2414" t="s">
        <v>2275</v>
      </c>
      <c r="J14" s="149"/>
      <c r="K14" s="2414" t="s">
        <v>2272</v>
      </c>
      <c r="L14" s="195"/>
      <c r="M14" s="2414" t="s">
        <v>2276</v>
      </c>
      <c r="N14" s="149"/>
      <c r="O14" s="2414" t="s">
        <v>2277</v>
      </c>
      <c r="P14" s="143"/>
      <c r="Q14" s="143"/>
    </row>
    <row r="15" spans="1:18" s="86" customFormat="1" ht="12.75" customHeight="1" x14ac:dyDescent="0.25">
      <c r="A15" s="639" t="str">
        <f t="shared" si="0"/>
        <v>01</v>
      </c>
      <c r="C15" s="3017" t="s">
        <v>2278</v>
      </c>
      <c r="D15" s="2677"/>
      <c r="E15" s="2677"/>
      <c r="F15" s="143"/>
      <c r="G15" s="2413" t="s">
        <v>2279</v>
      </c>
      <c r="H15" s="143"/>
      <c r="I15" s="2413" t="s">
        <v>2280</v>
      </c>
      <c r="J15" s="149"/>
      <c r="K15" s="2413" t="s">
        <v>2281</v>
      </c>
      <c r="L15" s="194"/>
      <c r="M15" s="2413" t="s">
        <v>2282</v>
      </c>
      <c r="N15" s="149"/>
      <c r="O15" s="2413" t="s">
        <v>2283</v>
      </c>
      <c r="P15" s="143"/>
      <c r="Q15" s="647" t="s">
        <v>962</v>
      </c>
    </row>
    <row r="16" spans="1:18" s="87" customFormat="1" ht="12" customHeight="1" x14ac:dyDescent="0.2">
      <c r="A16" s="639" t="str">
        <f t="shared" si="0"/>
        <v>01</v>
      </c>
      <c r="B16" s="1334"/>
      <c r="C16" s="1334"/>
      <c r="D16" s="146"/>
      <c r="E16" s="146"/>
      <c r="F16" s="146"/>
      <c r="G16" s="640" t="s">
        <v>570</v>
      </c>
      <c r="H16" s="641"/>
      <c r="I16" s="640" t="s">
        <v>571</v>
      </c>
      <c r="J16" s="641"/>
      <c r="K16" s="640" t="s">
        <v>572</v>
      </c>
      <c r="L16" s="641"/>
      <c r="M16" s="640" t="s">
        <v>573</v>
      </c>
      <c r="N16" s="641"/>
      <c r="O16" s="640" t="s">
        <v>574</v>
      </c>
      <c r="P16" s="641"/>
      <c r="Q16" s="640" t="s">
        <v>575</v>
      </c>
      <c r="R16" s="1334"/>
    </row>
    <row r="17" spans="1:19" s="87" customFormat="1" ht="13.5" customHeight="1" x14ac:dyDescent="0.2">
      <c r="A17" s="639" t="str">
        <f t="shared" si="0"/>
        <v>01</v>
      </c>
      <c r="B17" s="1334"/>
      <c r="C17" s="148" t="s">
        <v>2284</v>
      </c>
      <c r="D17" s="146"/>
      <c r="E17" s="146"/>
      <c r="F17" s="146"/>
      <c r="G17" s="147"/>
      <c r="H17" s="146"/>
      <c r="I17" s="147"/>
      <c r="J17" s="146"/>
      <c r="K17" s="147"/>
      <c r="L17" s="146"/>
      <c r="M17" s="147"/>
      <c r="N17" s="146"/>
      <c r="O17" s="147"/>
      <c r="P17" s="146"/>
      <c r="Q17" s="147"/>
      <c r="R17" s="1334"/>
      <c r="S17" s="1334"/>
    </row>
    <row r="18" spans="1:19" s="86" customFormat="1" ht="12" customHeight="1" x14ac:dyDescent="0.25">
      <c r="A18" s="639" t="str">
        <f t="shared" si="0"/>
        <v>01</v>
      </c>
      <c r="C18" s="149" t="s">
        <v>2285</v>
      </c>
      <c r="D18" s="143"/>
      <c r="E18" s="143"/>
      <c r="F18" s="143"/>
      <c r="G18" s="143"/>
      <c r="H18" s="143"/>
      <c r="I18" s="143"/>
      <c r="J18" s="143"/>
      <c r="K18" s="143"/>
      <c r="L18" s="143"/>
      <c r="M18" s="143"/>
      <c r="N18" s="143"/>
      <c r="O18" s="143"/>
      <c r="P18" s="143"/>
      <c r="Q18" s="143"/>
      <c r="R18" s="143"/>
    </row>
    <row r="19" spans="1:19" s="86" customFormat="1" ht="12" customHeight="1" x14ac:dyDescent="0.2">
      <c r="A19" s="639" t="str">
        <f t="shared" si="0"/>
        <v>01</v>
      </c>
      <c r="B19" s="86" t="s">
        <v>2286</v>
      </c>
      <c r="C19" s="3014"/>
      <c r="D19" s="3014"/>
      <c r="E19" s="3014"/>
      <c r="F19" s="143"/>
      <c r="G19" s="311"/>
      <c r="H19" s="197"/>
      <c r="I19" s="311"/>
      <c r="J19" s="197"/>
      <c r="K19" s="311"/>
      <c r="L19" s="197"/>
      <c r="M19" s="311"/>
      <c r="N19" s="197"/>
      <c r="O19" s="311"/>
      <c r="P19" s="197"/>
      <c r="Q19" s="196">
        <f>SUM(I19:P19)</f>
        <v>0</v>
      </c>
      <c r="R19" s="315" t="str">
        <f>IF(S19=FALSE,"*","")</f>
        <v/>
      </c>
      <c r="S19" s="316" t="b">
        <f t="shared" ref="S19:S29" si="1">+G19=Q19</f>
        <v>1</v>
      </c>
    </row>
    <row r="20" spans="1:19" s="86" customFormat="1" ht="12" customHeight="1" x14ac:dyDescent="0.2">
      <c r="A20" s="639" t="str">
        <f t="shared" si="0"/>
        <v>01</v>
      </c>
      <c r="B20" s="86" t="s">
        <v>2287</v>
      </c>
      <c r="C20" s="3014"/>
      <c r="D20" s="3014"/>
      <c r="E20" s="3014"/>
      <c r="F20" s="143"/>
      <c r="G20" s="311"/>
      <c r="H20" s="197"/>
      <c r="I20" s="311"/>
      <c r="J20" s="197"/>
      <c r="K20" s="312"/>
      <c r="L20" s="197"/>
      <c r="M20" s="312"/>
      <c r="N20" s="197"/>
      <c r="O20" s="312"/>
      <c r="P20" s="197"/>
      <c r="Q20" s="196">
        <f t="shared" ref="Q20:Q34" si="2">SUM(I20:P20)</f>
        <v>0</v>
      </c>
      <c r="R20" s="315" t="str">
        <f t="shared" ref="R20:R34" si="3">IF(S20=FALSE,"*","")</f>
        <v/>
      </c>
      <c r="S20" s="316" t="b">
        <f t="shared" si="1"/>
        <v>1</v>
      </c>
    </row>
    <row r="21" spans="1:19" s="86" customFormat="1" ht="12" customHeight="1" x14ac:dyDescent="0.2">
      <c r="A21" s="639" t="str">
        <f t="shared" si="0"/>
        <v>01</v>
      </c>
      <c r="B21" s="86" t="s">
        <v>2288</v>
      </c>
      <c r="C21" s="3014"/>
      <c r="D21" s="3014"/>
      <c r="E21" s="3014"/>
      <c r="F21" s="143"/>
      <c r="G21" s="312"/>
      <c r="H21" s="197"/>
      <c r="I21" s="312"/>
      <c r="J21" s="197"/>
      <c r="K21" s="312"/>
      <c r="L21" s="197"/>
      <c r="M21" s="312"/>
      <c r="N21" s="197"/>
      <c r="O21" s="312"/>
      <c r="P21" s="197"/>
      <c r="Q21" s="196">
        <f t="shared" si="2"/>
        <v>0</v>
      </c>
      <c r="R21" s="315" t="str">
        <f t="shared" si="3"/>
        <v/>
      </c>
      <c r="S21" s="316" t="b">
        <f t="shared" si="1"/>
        <v>1</v>
      </c>
    </row>
    <row r="22" spans="1:19" s="86" customFormat="1" ht="12" customHeight="1" x14ac:dyDescent="0.2">
      <c r="A22" s="639" t="str">
        <f t="shared" si="0"/>
        <v>01</v>
      </c>
      <c r="B22" s="86" t="s">
        <v>2289</v>
      </c>
      <c r="C22" s="3015"/>
      <c r="D22" s="3015"/>
      <c r="E22" s="3015"/>
      <c r="F22" s="143"/>
      <c r="G22" s="311"/>
      <c r="H22" s="197"/>
      <c r="I22" s="312"/>
      <c r="J22" s="197"/>
      <c r="K22" s="312"/>
      <c r="L22" s="197"/>
      <c r="M22" s="312"/>
      <c r="N22" s="197"/>
      <c r="O22" s="312"/>
      <c r="P22" s="197"/>
      <c r="Q22" s="196">
        <f t="shared" si="2"/>
        <v>0</v>
      </c>
      <c r="R22" s="315" t="str">
        <f t="shared" si="3"/>
        <v/>
      </c>
      <c r="S22" s="316" t="b">
        <f t="shared" si="1"/>
        <v>1</v>
      </c>
    </row>
    <row r="23" spans="1:19" s="86" customFormat="1" ht="12" customHeight="1" x14ac:dyDescent="0.2">
      <c r="A23" s="639" t="str">
        <f t="shared" si="0"/>
        <v>01</v>
      </c>
      <c r="B23" s="86" t="s">
        <v>2290</v>
      </c>
      <c r="C23" s="3014"/>
      <c r="D23" s="3014"/>
      <c r="E23" s="3014"/>
      <c r="F23" s="143"/>
      <c r="G23" s="311"/>
      <c r="H23" s="197"/>
      <c r="I23" s="311"/>
      <c r="J23" s="197"/>
      <c r="K23" s="312"/>
      <c r="L23" s="197"/>
      <c r="M23" s="312"/>
      <c r="N23" s="197"/>
      <c r="O23" s="312"/>
      <c r="P23" s="197"/>
      <c r="Q23" s="196">
        <f t="shared" si="2"/>
        <v>0</v>
      </c>
      <c r="R23" s="315" t="str">
        <f t="shared" si="3"/>
        <v/>
      </c>
      <c r="S23" s="316" t="b">
        <f t="shared" si="1"/>
        <v>1</v>
      </c>
    </row>
    <row r="24" spans="1:19" s="86" customFormat="1" ht="12" customHeight="1" x14ac:dyDescent="0.2">
      <c r="A24" s="639" t="str">
        <f t="shared" si="0"/>
        <v>01</v>
      </c>
      <c r="B24" s="86" t="s">
        <v>2291</v>
      </c>
      <c r="C24" s="3014"/>
      <c r="D24" s="3014"/>
      <c r="E24" s="3014"/>
      <c r="F24" s="143"/>
      <c r="G24" s="312"/>
      <c r="H24" s="197"/>
      <c r="I24" s="311"/>
      <c r="J24" s="197"/>
      <c r="K24" s="312"/>
      <c r="L24" s="197"/>
      <c r="M24" s="312"/>
      <c r="N24" s="197"/>
      <c r="O24" s="312"/>
      <c r="P24" s="197"/>
      <c r="Q24" s="196">
        <f t="shared" ref="Q24:Q29" si="4">SUM(I24:P24)</f>
        <v>0</v>
      </c>
      <c r="R24" s="315" t="str">
        <f t="shared" si="3"/>
        <v/>
      </c>
      <c r="S24" s="316" t="b">
        <f t="shared" si="1"/>
        <v>1</v>
      </c>
    </row>
    <row r="25" spans="1:19" s="86" customFormat="1" ht="15" customHeight="1" x14ac:dyDescent="0.2">
      <c r="A25" s="639" t="str">
        <f t="shared" si="0"/>
        <v>01</v>
      </c>
      <c r="B25" s="86" t="s">
        <v>2291</v>
      </c>
      <c r="C25" s="3014"/>
      <c r="D25" s="3014"/>
      <c r="E25" s="3014"/>
      <c r="F25" s="143"/>
      <c r="G25" s="312"/>
      <c r="H25" s="197"/>
      <c r="I25" s="311"/>
      <c r="J25" s="197"/>
      <c r="K25" s="312"/>
      <c r="L25" s="197"/>
      <c r="M25" s="312"/>
      <c r="N25" s="197"/>
      <c r="O25" s="312"/>
      <c r="P25" s="197"/>
      <c r="Q25" s="196">
        <f t="shared" si="4"/>
        <v>0</v>
      </c>
      <c r="R25" s="315" t="str">
        <f t="shared" si="3"/>
        <v/>
      </c>
      <c r="S25" s="316" t="b">
        <f t="shared" si="1"/>
        <v>1</v>
      </c>
    </row>
    <row r="26" spans="1:19" s="86" customFormat="1" ht="15" customHeight="1" x14ac:dyDescent="0.2">
      <c r="A26" s="639" t="str">
        <f t="shared" si="0"/>
        <v>01</v>
      </c>
      <c r="C26" s="3014"/>
      <c r="D26" s="3014"/>
      <c r="E26" s="3014"/>
      <c r="F26" s="143"/>
      <c r="G26" s="311"/>
      <c r="H26" s="197"/>
      <c r="I26" s="311"/>
      <c r="J26" s="197"/>
      <c r="K26" s="311"/>
      <c r="L26" s="197"/>
      <c r="M26" s="311"/>
      <c r="N26" s="197"/>
      <c r="O26" s="311"/>
      <c r="P26" s="197"/>
      <c r="Q26" s="196">
        <f t="shared" si="4"/>
        <v>0</v>
      </c>
      <c r="R26" s="315" t="str">
        <f t="shared" si="3"/>
        <v/>
      </c>
      <c r="S26" s="316" t="b">
        <f t="shared" si="1"/>
        <v>1</v>
      </c>
    </row>
    <row r="27" spans="1:19" s="86" customFormat="1" ht="14.25" customHeight="1" x14ac:dyDescent="0.2">
      <c r="A27" s="639" t="str">
        <f t="shared" si="0"/>
        <v>01</v>
      </c>
      <c r="C27" s="3014"/>
      <c r="D27" s="3014"/>
      <c r="E27" s="3014"/>
      <c r="F27" s="143"/>
      <c r="G27" s="311"/>
      <c r="H27" s="197"/>
      <c r="I27" s="312"/>
      <c r="J27" s="197"/>
      <c r="K27" s="312"/>
      <c r="L27" s="197"/>
      <c r="M27" s="312"/>
      <c r="N27" s="197"/>
      <c r="O27" s="312"/>
      <c r="P27" s="197"/>
      <c r="Q27" s="196">
        <f t="shared" si="4"/>
        <v>0</v>
      </c>
      <c r="R27" s="315" t="str">
        <f t="shared" si="3"/>
        <v/>
      </c>
      <c r="S27" s="316" t="b">
        <f t="shared" si="1"/>
        <v>1</v>
      </c>
    </row>
    <row r="28" spans="1:19" s="86" customFormat="1" ht="14.25" customHeight="1" x14ac:dyDescent="0.2">
      <c r="A28" s="639" t="str">
        <f t="shared" si="0"/>
        <v>01</v>
      </c>
      <c r="C28" s="3014"/>
      <c r="D28" s="3014"/>
      <c r="E28" s="3014"/>
      <c r="F28" s="143"/>
      <c r="G28" s="311"/>
      <c r="H28" s="197"/>
      <c r="I28" s="312"/>
      <c r="J28" s="197"/>
      <c r="K28" s="312"/>
      <c r="L28" s="197"/>
      <c r="M28" s="312"/>
      <c r="N28" s="197"/>
      <c r="O28" s="312"/>
      <c r="P28" s="197"/>
      <c r="Q28" s="196">
        <f t="shared" si="4"/>
        <v>0</v>
      </c>
      <c r="R28" s="315" t="str">
        <f t="shared" si="3"/>
        <v/>
      </c>
      <c r="S28" s="316" t="b">
        <f t="shared" si="1"/>
        <v>1</v>
      </c>
    </row>
    <row r="29" spans="1:19" s="86" customFormat="1" ht="14.25" customHeight="1" x14ac:dyDescent="0.2">
      <c r="A29" s="639" t="str">
        <f t="shared" si="0"/>
        <v>01</v>
      </c>
      <c r="C29" s="3014"/>
      <c r="D29" s="3014"/>
      <c r="E29" s="3014"/>
      <c r="F29" s="143"/>
      <c r="G29" s="311"/>
      <c r="H29" s="197"/>
      <c r="I29" s="312"/>
      <c r="J29" s="197"/>
      <c r="K29" s="312"/>
      <c r="L29" s="197"/>
      <c r="M29" s="312"/>
      <c r="N29" s="197"/>
      <c r="O29" s="312"/>
      <c r="P29" s="197"/>
      <c r="Q29" s="196">
        <f t="shared" si="4"/>
        <v>0</v>
      </c>
      <c r="R29" s="315" t="str">
        <f t="shared" si="3"/>
        <v/>
      </c>
      <c r="S29" s="316" t="b">
        <f t="shared" si="1"/>
        <v>1</v>
      </c>
    </row>
    <row r="30" spans="1:19" s="86" customFormat="1" ht="15" customHeight="1" x14ac:dyDescent="0.25">
      <c r="A30" s="639" t="str">
        <f t="shared" si="0"/>
        <v>01</v>
      </c>
      <c r="B30" s="86" t="s">
        <v>2292</v>
      </c>
      <c r="C30" s="149" t="s">
        <v>2293</v>
      </c>
      <c r="D30" s="143"/>
      <c r="E30" s="143"/>
      <c r="F30" s="143"/>
      <c r="G30" s="197"/>
      <c r="H30" s="197"/>
      <c r="I30" s="197"/>
      <c r="J30" s="197"/>
      <c r="K30" s="197"/>
      <c r="L30" s="197"/>
      <c r="M30" s="197"/>
      <c r="N30" s="197"/>
      <c r="O30" s="197"/>
      <c r="P30" s="197"/>
      <c r="Q30" s="197"/>
      <c r="R30" s="317"/>
      <c r="S30" s="316"/>
    </row>
    <row r="31" spans="1:19" s="86" customFormat="1" ht="12" customHeight="1" x14ac:dyDescent="0.2">
      <c r="A31" s="639" t="str">
        <f t="shared" si="0"/>
        <v>01</v>
      </c>
      <c r="B31" s="86" t="s">
        <v>2294</v>
      </c>
      <c r="C31" s="3014"/>
      <c r="D31" s="3014"/>
      <c r="E31" s="3014"/>
      <c r="F31" s="143"/>
      <c r="G31" s="311"/>
      <c r="H31" s="197"/>
      <c r="I31" s="311"/>
      <c r="J31" s="197"/>
      <c r="K31" s="311"/>
      <c r="L31" s="197"/>
      <c r="M31" s="311"/>
      <c r="N31" s="197"/>
      <c r="O31" s="311"/>
      <c r="P31" s="197"/>
      <c r="Q31" s="196">
        <f t="shared" si="2"/>
        <v>0</v>
      </c>
      <c r="R31" s="315" t="str">
        <f t="shared" si="3"/>
        <v/>
      </c>
      <c r="S31" s="316" t="b">
        <f>+G31=Q31</f>
        <v>1</v>
      </c>
    </row>
    <row r="32" spans="1:19" s="86" customFormat="1" ht="12" customHeight="1" x14ac:dyDescent="0.2">
      <c r="A32" s="639" t="str">
        <f t="shared" si="0"/>
        <v>01</v>
      </c>
      <c r="B32" s="86" t="s">
        <v>2295</v>
      </c>
      <c r="C32" s="3015"/>
      <c r="D32" s="3015"/>
      <c r="E32" s="3015"/>
      <c r="F32" s="143"/>
      <c r="G32" s="311"/>
      <c r="H32" s="197"/>
      <c r="I32" s="312"/>
      <c r="J32" s="197"/>
      <c r="K32" s="312"/>
      <c r="L32" s="197"/>
      <c r="M32" s="312"/>
      <c r="N32" s="197"/>
      <c r="O32" s="312"/>
      <c r="P32" s="197"/>
      <c r="Q32" s="196">
        <f t="shared" si="2"/>
        <v>0</v>
      </c>
      <c r="R32" s="315" t="str">
        <f t="shared" si="3"/>
        <v/>
      </c>
      <c r="S32" s="316" t="b">
        <f>+G32=Q32</f>
        <v>1</v>
      </c>
    </row>
    <row r="33" spans="1:19" s="86" customFormat="1" ht="12" customHeight="1" x14ac:dyDescent="0.2">
      <c r="A33" s="639" t="str">
        <f t="shared" si="0"/>
        <v>01</v>
      </c>
      <c r="C33" s="3016"/>
      <c r="D33" s="3016"/>
      <c r="E33" s="3016"/>
      <c r="F33" s="143"/>
      <c r="G33" s="311"/>
      <c r="H33" s="197"/>
      <c r="I33" s="851"/>
      <c r="J33" s="197"/>
      <c r="K33" s="851"/>
      <c r="L33" s="197"/>
      <c r="M33" s="851"/>
      <c r="N33" s="197"/>
      <c r="O33" s="851"/>
      <c r="P33" s="197"/>
      <c r="Q33" s="196">
        <f t="shared" si="2"/>
        <v>0</v>
      </c>
      <c r="R33" s="315" t="str">
        <f t="shared" si="3"/>
        <v/>
      </c>
      <c r="S33" s="316" t="b">
        <f>+G33=Q33</f>
        <v>1</v>
      </c>
    </row>
    <row r="34" spans="1:19" s="86" customFormat="1" ht="12" customHeight="1" thickBot="1" x14ac:dyDescent="0.25">
      <c r="A34" s="639" t="str">
        <f t="shared" si="0"/>
        <v>01</v>
      </c>
      <c r="B34" s="86" t="s">
        <v>2296</v>
      </c>
      <c r="C34" s="3014"/>
      <c r="D34" s="3014"/>
      <c r="E34" s="3014"/>
      <c r="F34" s="143"/>
      <c r="G34" s="313"/>
      <c r="H34" s="197"/>
      <c r="I34" s="314"/>
      <c r="J34" s="197"/>
      <c r="K34" s="314"/>
      <c r="L34" s="197"/>
      <c r="M34" s="314"/>
      <c r="N34" s="197"/>
      <c r="O34" s="314"/>
      <c r="P34" s="197"/>
      <c r="Q34" s="199">
        <f t="shared" si="2"/>
        <v>0</v>
      </c>
      <c r="R34" s="315" t="str">
        <f t="shared" si="3"/>
        <v/>
      </c>
      <c r="S34" s="316" t="b">
        <f>+G34=Q34</f>
        <v>1</v>
      </c>
    </row>
    <row r="35" spans="1:19" s="86" customFormat="1" ht="15" customHeight="1" thickBot="1" x14ac:dyDescent="0.25">
      <c r="A35" s="639" t="str">
        <f t="shared" si="0"/>
        <v>01</v>
      </c>
      <c r="B35" s="86" t="s">
        <v>2297</v>
      </c>
      <c r="C35" s="150" t="s">
        <v>2298</v>
      </c>
      <c r="D35" s="143"/>
      <c r="E35" s="143"/>
      <c r="F35" s="143"/>
      <c r="G35" s="200">
        <f>SUM(G19:G34)</f>
        <v>0</v>
      </c>
      <c r="H35" s="197"/>
      <c r="I35" s="200">
        <f>SUM(I19:I34)</f>
        <v>0</v>
      </c>
      <c r="J35" s="197"/>
      <c r="K35" s="200">
        <f>SUM(K19:K34)</f>
        <v>0</v>
      </c>
      <c r="L35" s="197"/>
      <c r="M35" s="200">
        <f>SUM(M19:M34)</f>
        <v>0</v>
      </c>
      <c r="N35" s="197"/>
      <c r="O35" s="200">
        <f>SUM(O19:O34)</f>
        <v>0</v>
      </c>
      <c r="P35" s="197"/>
      <c r="Q35" s="200">
        <f>SUM(Q19:Q34)</f>
        <v>0</v>
      </c>
      <c r="R35" s="317"/>
      <c r="S35" s="316"/>
    </row>
    <row r="36" spans="1:19" s="86" customFormat="1" ht="12" customHeight="1" thickTop="1" x14ac:dyDescent="0.2">
      <c r="A36" s="639" t="str">
        <f t="shared" si="0"/>
        <v>01</v>
      </c>
      <c r="C36" s="143"/>
      <c r="D36" s="143"/>
      <c r="E36" s="143"/>
      <c r="F36" s="143"/>
      <c r="G36" s="202"/>
      <c r="H36" s="197"/>
      <c r="I36" s="197"/>
      <c r="J36" s="197"/>
      <c r="K36" s="197"/>
      <c r="L36" s="197"/>
      <c r="M36" s="197"/>
      <c r="N36" s="197"/>
      <c r="O36" s="197"/>
      <c r="P36" s="197"/>
      <c r="Q36" s="197"/>
      <c r="R36" s="317"/>
      <c r="S36" s="316"/>
    </row>
    <row r="37" spans="1:19" s="86" customFormat="1" ht="12.75" customHeight="1" x14ac:dyDescent="0.2">
      <c r="A37" s="639" t="str">
        <f t="shared" ref="A37:A64" si="5">AgyIdx</f>
        <v>01</v>
      </c>
      <c r="C37" s="148" t="s">
        <v>2299</v>
      </c>
      <c r="D37" s="143"/>
      <c r="E37" s="143"/>
      <c r="F37" s="143"/>
      <c r="G37" s="197"/>
      <c r="H37" s="197"/>
      <c r="I37" s="197"/>
      <c r="J37" s="197"/>
      <c r="K37" s="197"/>
      <c r="L37" s="197"/>
      <c r="M37" s="197"/>
      <c r="N37" s="197"/>
      <c r="O37" s="197"/>
      <c r="P37" s="197"/>
      <c r="Q37" s="197"/>
      <c r="R37" s="317"/>
      <c r="S37" s="316"/>
    </row>
    <row r="38" spans="1:19" s="86" customFormat="1" ht="12" customHeight="1" x14ac:dyDescent="0.25">
      <c r="A38" s="639" t="str">
        <f t="shared" si="5"/>
        <v>01</v>
      </c>
      <c r="C38" s="149" t="s">
        <v>2300</v>
      </c>
      <c r="D38" s="143"/>
      <c r="E38" s="143"/>
      <c r="F38" s="143"/>
      <c r="G38" s="197"/>
      <c r="H38" s="197"/>
      <c r="I38" s="197"/>
      <c r="J38" s="197"/>
      <c r="K38" s="197"/>
      <c r="L38" s="197"/>
      <c r="M38" s="197"/>
      <c r="N38" s="197"/>
      <c r="O38" s="197"/>
      <c r="P38" s="197"/>
      <c r="Q38" s="197"/>
      <c r="R38" s="317"/>
      <c r="S38" s="316"/>
    </row>
    <row r="39" spans="1:19" s="86" customFormat="1" ht="12" customHeight="1" x14ac:dyDescent="0.2">
      <c r="A39" s="639" t="str">
        <f t="shared" si="5"/>
        <v>01</v>
      </c>
      <c r="B39" s="86" t="s">
        <v>2301</v>
      </c>
      <c r="C39" s="3014"/>
      <c r="D39" s="3014"/>
      <c r="E39" s="3014"/>
      <c r="F39" s="143"/>
      <c r="G39" s="311"/>
      <c r="H39" s="197"/>
      <c r="I39" s="311"/>
      <c r="J39" s="197"/>
      <c r="K39" s="311"/>
      <c r="L39" s="197"/>
      <c r="M39" s="311"/>
      <c r="N39" s="197"/>
      <c r="O39" s="311"/>
      <c r="P39" s="197"/>
      <c r="Q39" s="196">
        <f t="shared" ref="Q39:Q44" si="6">SUM(I39:P39)</f>
        <v>0</v>
      </c>
      <c r="R39" s="315" t="str">
        <f t="shared" ref="R39:R44" si="7">IF(S39=FALSE,"*","")</f>
        <v/>
      </c>
      <c r="S39" s="316" t="b">
        <f t="shared" ref="S39:S44" si="8">+G39=Q39</f>
        <v>1</v>
      </c>
    </row>
    <row r="40" spans="1:19" s="86" customFormat="1" ht="12" customHeight="1" x14ac:dyDescent="0.2">
      <c r="A40" s="639" t="str">
        <f t="shared" si="5"/>
        <v>01</v>
      </c>
      <c r="B40" s="86" t="s">
        <v>2302</v>
      </c>
      <c r="C40" s="3014"/>
      <c r="D40" s="3014"/>
      <c r="E40" s="3014"/>
      <c r="F40" s="143"/>
      <c r="G40" s="311"/>
      <c r="H40" s="197"/>
      <c r="I40" s="311"/>
      <c r="J40" s="197"/>
      <c r="K40" s="311"/>
      <c r="L40" s="197"/>
      <c r="M40" s="311"/>
      <c r="N40" s="197"/>
      <c r="O40" s="311"/>
      <c r="P40" s="197"/>
      <c r="Q40" s="196">
        <f t="shared" si="6"/>
        <v>0</v>
      </c>
      <c r="R40" s="315" t="str">
        <f t="shared" si="7"/>
        <v/>
      </c>
      <c r="S40" s="316" t="b">
        <f t="shared" si="8"/>
        <v>1</v>
      </c>
    </row>
    <row r="41" spans="1:19" s="86" customFormat="1" ht="12" customHeight="1" x14ac:dyDescent="0.2">
      <c r="A41" s="639" t="str">
        <f t="shared" si="5"/>
        <v>01</v>
      </c>
      <c r="B41" s="86" t="s">
        <v>2303</v>
      </c>
      <c r="C41" s="3014"/>
      <c r="D41" s="3014"/>
      <c r="E41" s="3014"/>
      <c r="F41" s="143"/>
      <c r="G41" s="311"/>
      <c r="H41" s="197"/>
      <c r="I41" s="311"/>
      <c r="J41" s="197"/>
      <c r="K41" s="311"/>
      <c r="L41" s="197"/>
      <c r="M41" s="311"/>
      <c r="N41" s="197"/>
      <c r="O41" s="311"/>
      <c r="P41" s="197"/>
      <c r="Q41" s="196">
        <f t="shared" si="6"/>
        <v>0</v>
      </c>
      <c r="R41" s="315" t="str">
        <f t="shared" si="7"/>
        <v/>
      </c>
      <c r="S41" s="316" t="b">
        <f t="shared" si="8"/>
        <v>1</v>
      </c>
    </row>
    <row r="42" spans="1:19" s="86" customFormat="1" ht="12" customHeight="1" x14ac:dyDescent="0.2">
      <c r="A42" s="639" t="str">
        <f t="shared" si="5"/>
        <v>01</v>
      </c>
      <c r="B42" s="86" t="s">
        <v>2304</v>
      </c>
      <c r="C42" s="3014"/>
      <c r="D42" s="3014"/>
      <c r="E42" s="3014"/>
      <c r="F42" s="143"/>
      <c r="G42" s="311"/>
      <c r="H42" s="197"/>
      <c r="I42" s="311"/>
      <c r="J42" s="197"/>
      <c r="K42" s="311"/>
      <c r="L42" s="197"/>
      <c r="M42" s="311"/>
      <c r="N42" s="197"/>
      <c r="O42" s="311"/>
      <c r="P42" s="197"/>
      <c r="Q42" s="196">
        <f t="shared" si="6"/>
        <v>0</v>
      </c>
      <c r="R42" s="315" t="str">
        <f t="shared" si="7"/>
        <v/>
      </c>
      <c r="S42" s="316" t="b">
        <f t="shared" si="8"/>
        <v>1</v>
      </c>
    </row>
    <row r="43" spans="1:19" s="86" customFormat="1" ht="12" customHeight="1" x14ac:dyDescent="0.2">
      <c r="A43" s="639" t="str">
        <f t="shared" si="5"/>
        <v>01</v>
      </c>
      <c r="B43" s="86" t="s">
        <v>2305</v>
      </c>
      <c r="C43" s="3014"/>
      <c r="D43" s="3014"/>
      <c r="E43" s="3014"/>
      <c r="F43" s="143"/>
      <c r="G43" s="311"/>
      <c r="H43" s="197"/>
      <c r="I43" s="311"/>
      <c r="J43" s="197"/>
      <c r="K43" s="311"/>
      <c r="L43" s="197"/>
      <c r="M43" s="311"/>
      <c r="N43" s="197"/>
      <c r="O43" s="311"/>
      <c r="P43" s="197"/>
      <c r="Q43" s="196">
        <f t="shared" si="6"/>
        <v>0</v>
      </c>
      <c r="R43" s="315" t="str">
        <f t="shared" si="7"/>
        <v/>
      </c>
      <c r="S43" s="316" t="b">
        <f t="shared" si="8"/>
        <v>1</v>
      </c>
    </row>
    <row r="44" spans="1:19" s="86" customFormat="1" ht="12" customHeight="1" thickBot="1" x14ac:dyDescent="0.25">
      <c r="A44" s="639" t="str">
        <f t="shared" si="5"/>
        <v>01</v>
      </c>
      <c r="B44" s="86" t="s">
        <v>2306</v>
      </c>
      <c r="C44" s="3014"/>
      <c r="D44" s="3014"/>
      <c r="E44" s="3014"/>
      <c r="F44" s="143"/>
      <c r="G44" s="313"/>
      <c r="H44" s="197"/>
      <c r="I44" s="314"/>
      <c r="J44" s="197"/>
      <c r="K44" s="314"/>
      <c r="L44" s="197"/>
      <c r="M44" s="314"/>
      <c r="N44" s="197"/>
      <c r="O44" s="314"/>
      <c r="P44" s="197"/>
      <c r="Q44" s="196">
        <f t="shared" si="6"/>
        <v>0</v>
      </c>
      <c r="R44" s="315" t="str">
        <f t="shared" si="7"/>
        <v/>
      </c>
      <c r="S44" s="316" t="b">
        <f t="shared" si="8"/>
        <v>1</v>
      </c>
    </row>
    <row r="45" spans="1:19" s="86" customFormat="1" ht="15" customHeight="1" thickBot="1" x14ac:dyDescent="0.25">
      <c r="A45" s="639" t="str">
        <f t="shared" si="5"/>
        <v>01</v>
      </c>
      <c r="B45" s="86" t="s">
        <v>2307</v>
      </c>
      <c r="C45" s="150" t="s">
        <v>2308</v>
      </c>
      <c r="D45" s="143"/>
      <c r="E45" s="143"/>
      <c r="F45" s="143"/>
      <c r="G45" s="201">
        <f>SUM(G39:G44)</f>
        <v>0</v>
      </c>
      <c r="H45" s="197"/>
      <c r="I45" s="201">
        <f>SUM(I39:I44)</f>
        <v>0</v>
      </c>
      <c r="J45" s="197"/>
      <c r="K45" s="201">
        <f>SUM(K39:K44)</f>
        <v>0</v>
      </c>
      <c r="L45" s="197"/>
      <c r="M45" s="201">
        <f>SUM(M39:M44)</f>
        <v>0</v>
      </c>
      <c r="N45" s="197"/>
      <c r="O45" s="201">
        <f>SUM(O39:O44)</f>
        <v>0</v>
      </c>
      <c r="P45" s="197"/>
      <c r="Q45" s="201">
        <f>SUM(Q39:Q44)</f>
        <v>0</v>
      </c>
      <c r="R45" s="317"/>
      <c r="S45" s="1060">
        <f>COUNTIF(S19:S44,FALSE)</f>
        <v>0</v>
      </c>
    </row>
    <row r="46" spans="1:19" ht="15" customHeight="1" thickTop="1" x14ac:dyDescent="0.2">
      <c r="A46" s="639" t="str">
        <f t="shared" si="5"/>
        <v>01</v>
      </c>
      <c r="G46" s="8"/>
      <c r="H46" s="8"/>
      <c r="I46" s="8"/>
      <c r="J46" s="8"/>
      <c r="K46" s="8"/>
      <c r="L46" s="8"/>
      <c r="M46" s="8"/>
      <c r="N46" s="8"/>
      <c r="O46" s="8"/>
      <c r="P46" s="8"/>
      <c r="Q46" s="8"/>
    </row>
    <row r="47" spans="1:19" ht="15" customHeight="1" x14ac:dyDescent="0.2">
      <c r="A47" s="639" t="str">
        <f t="shared" si="5"/>
        <v>01</v>
      </c>
      <c r="G47" s="8"/>
      <c r="H47" s="8"/>
      <c r="I47" s="8"/>
      <c r="J47" s="8"/>
      <c r="K47" s="8"/>
      <c r="L47" s="8"/>
      <c r="M47" s="8"/>
      <c r="N47" s="8"/>
      <c r="O47" s="8"/>
      <c r="P47" s="8"/>
      <c r="Q47" s="8"/>
    </row>
    <row r="48" spans="1:19" ht="15" customHeight="1" x14ac:dyDescent="0.2">
      <c r="A48" s="639" t="str">
        <f t="shared" si="5"/>
        <v>01</v>
      </c>
      <c r="G48" s="8"/>
      <c r="H48" s="8"/>
      <c r="I48" s="8"/>
      <c r="J48" s="8"/>
      <c r="K48" s="8"/>
      <c r="L48" s="8"/>
      <c r="M48" s="8"/>
      <c r="N48" s="8"/>
      <c r="O48" s="8"/>
      <c r="P48" s="8"/>
      <c r="Q48" s="8"/>
    </row>
    <row r="49" spans="1:17" ht="15" customHeight="1" x14ac:dyDescent="0.2">
      <c r="A49" s="639" t="str">
        <f t="shared" si="5"/>
        <v>01</v>
      </c>
      <c r="B49" s="421" t="str">
        <f ca="1">MID(CELL("filename",B15),FIND("]",CELL("filename",B15))+1,256)</f>
        <v>705</v>
      </c>
      <c r="C49" s="421" t="s">
        <v>613</v>
      </c>
      <c r="G49" s="8"/>
      <c r="H49" s="8"/>
      <c r="I49" s="8"/>
      <c r="J49" s="8"/>
      <c r="K49" s="8"/>
      <c r="L49" s="8"/>
      <c r="M49" s="8"/>
      <c r="N49" s="8"/>
      <c r="O49" s="8"/>
      <c r="P49" s="8"/>
      <c r="Q49" s="8"/>
    </row>
    <row r="50" spans="1:17" ht="15" customHeight="1" x14ac:dyDescent="0.2">
      <c r="A50" s="639" t="str">
        <f t="shared" si="5"/>
        <v>01</v>
      </c>
      <c r="B50" s="421" t="s">
        <v>401</v>
      </c>
      <c r="C50" s="421" t="str">
        <f t="shared" ref="C50:C59" ca="1" si="9">IF(ISNA(INDEX(ErrorTable,MATCH($B$49&amp;$B50&amp;FALSE,ErrorKey,0),6)),"",INDEX(ErrorTable,MATCH($B$49&amp;$B50&amp;FALSE,ErrorKey,0),6))</f>
        <v/>
      </c>
      <c r="G50" s="8"/>
      <c r="H50" s="8"/>
      <c r="I50" s="8"/>
      <c r="J50" s="8"/>
      <c r="K50" s="8"/>
      <c r="L50" s="8"/>
      <c r="M50" s="8"/>
      <c r="N50" s="8"/>
      <c r="O50" s="8"/>
      <c r="P50" s="8"/>
      <c r="Q50" s="8"/>
    </row>
    <row r="51" spans="1:17" ht="15" customHeight="1" x14ac:dyDescent="0.2">
      <c r="A51" s="639" t="str">
        <f t="shared" si="5"/>
        <v>01</v>
      </c>
      <c r="B51" s="421" t="s">
        <v>402</v>
      </c>
      <c r="C51" s="421" t="str">
        <f t="shared" ca="1" si="9"/>
        <v/>
      </c>
      <c r="G51" s="8"/>
      <c r="H51" s="8"/>
      <c r="I51" s="8"/>
      <c r="J51" s="8"/>
      <c r="K51" s="8"/>
      <c r="L51" s="8"/>
      <c r="M51" s="8"/>
      <c r="N51" s="8"/>
      <c r="O51" s="8"/>
      <c r="P51" s="8"/>
      <c r="Q51" s="8"/>
    </row>
    <row r="52" spans="1:17" ht="15" customHeight="1" x14ac:dyDescent="0.2">
      <c r="A52" s="639" t="str">
        <f t="shared" si="5"/>
        <v>01</v>
      </c>
      <c r="B52" s="421" t="s">
        <v>403</v>
      </c>
      <c r="C52" s="421" t="str">
        <f t="shared" ca="1" si="9"/>
        <v/>
      </c>
      <c r="G52" s="8"/>
      <c r="H52" s="8"/>
      <c r="I52" s="8"/>
      <c r="J52" s="8"/>
      <c r="K52" s="8"/>
      <c r="L52" s="8"/>
      <c r="M52" s="8"/>
      <c r="N52" s="8"/>
      <c r="O52" s="8"/>
      <c r="P52" s="8"/>
      <c r="Q52" s="8"/>
    </row>
    <row r="53" spans="1:17" ht="15" customHeight="1" x14ac:dyDescent="0.2">
      <c r="A53" s="639" t="str">
        <f t="shared" si="5"/>
        <v>01</v>
      </c>
      <c r="B53" s="421" t="s">
        <v>404</v>
      </c>
      <c r="C53" s="421" t="str">
        <f t="shared" ca="1" si="9"/>
        <v/>
      </c>
      <c r="G53" s="8"/>
      <c r="H53" s="8"/>
      <c r="I53" s="8"/>
      <c r="J53" s="8"/>
      <c r="K53" s="8"/>
      <c r="L53" s="8"/>
      <c r="M53" s="8"/>
      <c r="N53" s="8"/>
      <c r="O53" s="8"/>
      <c r="P53" s="8"/>
      <c r="Q53" s="8"/>
    </row>
    <row r="54" spans="1:17" ht="15" customHeight="1" x14ac:dyDescent="0.2">
      <c r="A54" s="639" t="str">
        <f t="shared" si="5"/>
        <v>01</v>
      </c>
      <c r="B54" s="421" t="s">
        <v>405</v>
      </c>
      <c r="C54" s="421" t="str">
        <f t="shared" ca="1" si="9"/>
        <v/>
      </c>
      <c r="G54" s="8"/>
      <c r="H54" s="8"/>
      <c r="I54" s="8"/>
      <c r="J54" s="8"/>
      <c r="K54" s="8"/>
      <c r="L54" s="8"/>
      <c r="M54" s="8"/>
      <c r="N54" s="8"/>
      <c r="O54" s="8"/>
      <c r="P54" s="8"/>
      <c r="Q54" s="8"/>
    </row>
    <row r="55" spans="1:17" ht="15" customHeight="1" x14ac:dyDescent="0.2">
      <c r="A55" s="639" t="str">
        <f t="shared" si="5"/>
        <v>01</v>
      </c>
      <c r="B55" s="421" t="s">
        <v>406</v>
      </c>
      <c r="C55" s="421" t="str">
        <f t="shared" ca="1" si="9"/>
        <v/>
      </c>
      <c r="G55" s="8"/>
      <c r="H55" s="8"/>
      <c r="I55" s="8"/>
      <c r="J55" s="8"/>
      <c r="K55" s="8"/>
      <c r="L55" s="8"/>
      <c r="M55" s="8"/>
      <c r="N55" s="8"/>
      <c r="O55" s="8"/>
      <c r="P55" s="8"/>
      <c r="Q55" s="8"/>
    </row>
    <row r="56" spans="1:17" ht="15" customHeight="1" x14ac:dyDescent="0.2">
      <c r="A56" s="639" t="str">
        <f t="shared" si="5"/>
        <v>01</v>
      </c>
      <c r="B56" s="421" t="s">
        <v>407</v>
      </c>
      <c r="C56" s="421" t="str">
        <f t="shared" ca="1" si="9"/>
        <v/>
      </c>
      <c r="G56" s="8"/>
      <c r="H56" s="8"/>
      <c r="I56" s="8"/>
      <c r="J56" s="8"/>
      <c r="K56" s="8"/>
      <c r="L56" s="8"/>
      <c r="M56" s="8"/>
      <c r="N56" s="8"/>
      <c r="O56" s="8"/>
      <c r="P56" s="8"/>
      <c r="Q56" s="8"/>
    </row>
    <row r="57" spans="1:17" ht="15" customHeight="1" x14ac:dyDescent="0.2">
      <c r="A57" s="639" t="str">
        <f t="shared" si="5"/>
        <v>01</v>
      </c>
      <c r="B57" s="421" t="s">
        <v>408</v>
      </c>
      <c r="C57" s="421" t="str">
        <f t="shared" ca="1" si="9"/>
        <v/>
      </c>
      <c r="G57" s="8"/>
      <c r="H57" s="8"/>
      <c r="I57" s="8"/>
      <c r="J57" s="8"/>
      <c r="K57" s="8"/>
      <c r="L57" s="8"/>
      <c r="M57" s="8"/>
      <c r="N57" s="8"/>
      <c r="O57" s="8"/>
      <c r="P57" s="8"/>
      <c r="Q57" s="8"/>
    </row>
    <row r="58" spans="1:17" ht="15" customHeight="1" x14ac:dyDescent="0.2">
      <c r="A58" s="639" t="str">
        <f t="shared" si="5"/>
        <v>01</v>
      </c>
      <c r="B58" s="421" t="s">
        <v>409</v>
      </c>
      <c r="C58" s="421" t="str">
        <f t="shared" ca="1" si="9"/>
        <v/>
      </c>
    </row>
    <row r="59" spans="1:17" ht="15" customHeight="1" x14ac:dyDescent="0.2">
      <c r="A59" s="639" t="str">
        <f t="shared" si="5"/>
        <v>01</v>
      </c>
      <c r="B59" s="421" t="s">
        <v>410</v>
      </c>
      <c r="C59" s="421" t="str">
        <f t="shared" ca="1" si="9"/>
        <v/>
      </c>
    </row>
    <row r="60" spans="1:17" ht="15" customHeight="1" x14ac:dyDescent="0.2">
      <c r="A60" s="639" t="str">
        <f t="shared" si="5"/>
        <v>01</v>
      </c>
    </row>
    <row r="61" spans="1:17" ht="15" customHeight="1" x14ac:dyDescent="0.2">
      <c r="A61" s="639" t="str">
        <f t="shared" si="5"/>
        <v>01</v>
      </c>
    </row>
    <row r="62" spans="1:17" ht="15" customHeight="1" x14ac:dyDescent="0.2">
      <c r="A62" s="639" t="str">
        <f t="shared" si="5"/>
        <v>01</v>
      </c>
    </row>
    <row r="63" spans="1:17" ht="15" customHeight="1" x14ac:dyDescent="0.2">
      <c r="A63" s="639" t="str">
        <f t="shared" si="5"/>
        <v>01</v>
      </c>
    </row>
    <row r="64" spans="1:17" ht="15" customHeight="1" x14ac:dyDescent="0.2">
      <c r="A64" s="639" t="str">
        <f t="shared" si="5"/>
        <v>01</v>
      </c>
    </row>
    <row r="65" ht="15" customHeight="1" x14ac:dyDescent="0.2"/>
    <row r="66" ht="15" customHeight="1" x14ac:dyDescent="0.2"/>
    <row r="67" ht="15" customHeight="1" x14ac:dyDescent="0.2"/>
    <row r="68" ht="15" customHeight="1" x14ac:dyDescent="0.2"/>
    <row r="69" ht="15" customHeight="1" x14ac:dyDescent="0.2"/>
    <row r="70" ht="15" customHeight="1" x14ac:dyDescent="0.2"/>
    <row r="71" ht="11.1" customHeight="1" x14ac:dyDescent="0.2"/>
  </sheetData>
  <sheetProtection algorithmName="SHA-512" hashValue="O7YATANOHgd306O56zkaLANYSVpA2Vpxtghxhl3T9LtsJMvvJ1D7D28PWZljo5SQOOb2F4+FFOBlBisxmeRMrQ==" saltValue="hHkbLR50XlYFjHGdK2ValQ==" spinCount="100000" sheet="1" autoFilter="0"/>
  <customSheetViews>
    <customSheetView guid="{9FCFC836-1CA5-48BF-958D-24D2EA94B219}" showGridLines="0" fitToPage="1" hiddenColumns="1" topLeftCell="C1">
      <selection activeCell="B12" sqref="B12"/>
      <pageMargins left="0" right="0" top="0" bottom="0" header="0" footer="0"/>
      <printOptions horizontalCentered="1"/>
      <pageSetup scale="96" orientation="landscape" horizontalDpi="1200" verticalDpi="1200" r:id="rId1"/>
      <headerFooter alignWithMargins="0">
        <oddFooter>&amp;R&amp;A</oddFooter>
      </headerFooter>
    </customSheetView>
    <customSheetView guid="{BEA4BE86-04D1-4C96-9358-7A260B9D2B2D}" showGridLines="0" fitToPage="1" showRuler="0">
      <selection activeCell="C8" sqref="C8:E8"/>
      <pageMargins left="0" right="0" top="0" bottom="0" header="0" footer="0"/>
      <printOptions horizontalCentered="1"/>
      <pageSetup orientation="landscape" horizontalDpi="4294967292" verticalDpi="300" r:id="rId2"/>
      <headerFooter alignWithMargins="0">
        <oddFooter>&amp;R&amp;A</oddFooter>
      </headerFooter>
    </customSheetView>
    <customSheetView guid="{1250FD07-FF56-4A9D-AF9E-C27124A7EBE9}" showGridLines="0" fitToPage="1" showRuler="0">
      <selection activeCell="C8" sqref="C8:E8"/>
      <pageMargins left="0" right="0" top="0" bottom="0" header="0" footer="0"/>
      <printOptions horizontalCentered="1"/>
      <pageSetup orientation="landscape" horizontalDpi="4294967292" verticalDpi="300" r:id="rId3"/>
      <headerFooter alignWithMargins="0">
        <oddFooter>&amp;R&amp;A</oddFooter>
      </headerFooter>
    </customSheetView>
    <customSheetView guid="{B08879A4-635B-4C39-9937-AC7883D562FC}" showGridLines="0" fitToPage="1" hiddenColumns="1" topLeftCell="C1">
      <selection activeCell="B12" sqref="B12"/>
      <pageMargins left="0" right="0" top="0" bottom="0" header="0" footer="0"/>
      <printOptions horizontalCentered="1"/>
      <pageSetup scale="96" orientation="landscape" horizontalDpi="1200" verticalDpi="1200" r:id="rId4"/>
      <headerFooter alignWithMargins="0">
        <oddFooter>&amp;R&amp;A</oddFooter>
      </headerFooter>
    </customSheetView>
  </customSheetViews>
  <mergeCells count="34">
    <mergeCell ref="C27:E27"/>
    <mergeCell ref="C20:E20"/>
    <mergeCell ref="I11:M11"/>
    <mergeCell ref="C19:E19"/>
    <mergeCell ref="C14:E14"/>
    <mergeCell ref="C26:E26"/>
    <mergeCell ref="C25:E25"/>
    <mergeCell ref="C24:E24"/>
    <mergeCell ref="C21:E21"/>
    <mergeCell ref="C22:E22"/>
    <mergeCell ref="C23:E23"/>
    <mergeCell ref="C15:E15"/>
    <mergeCell ref="C44:E44"/>
    <mergeCell ref="C39:E39"/>
    <mergeCell ref="C40:E40"/>
    <mergeCell ref="C41:E41"/>
    <mergeCell ref="C42:E42"/>
    <mergeCell ref="C43:E43"/>
    <mergeCell ref="C34:E34"/>
    <mergeCell ref="C31:E31"/>
    <mergeCell ref="C32:E32"/>
    <mergeCell ref="C28:E28"/>
    <mergeCell ref="C29:E29"/>
    <mergeCell ref="C33:E33"/>
    <mergeCell ref="R1:R3"/>
    <mergeCell ref="C1:Q1"/>
    <mergeCell ref="C2:Q2"/>
    <mergeCell ref="C3:Q3"/>
    <mergeCell ref="C4:Q4"/>
    <mergeCell ref="L6:Q6"/>
    <mergeCell ref="L7:Q7"/>
    <mergeCell ref="L8:Q8"/>
    <mergeCell ref="E6:G6"/>
    <mergeCell ref="E8:G8"/>
  </mergeCells>
  <phoneticPr fontId="18" type="noConversion"/>
  <conditionalFormatting sqref="R1:R3">
    <cfRule type="cellIs" dxfId="44" priority="1" stopIfTrue="1" operator="equal">
      <formula>"na"</formula>
    </cfRule>
  </conditionalFormatting>
  <hyperlinks>
    <hyperlink ref="C1" location="Index!A1" display="Index!A1" xr:uid="{00000000-0004-0000-3D00-000000000000}"/>
  </hyperlinks>
  <pageMargins left="0.6" right="0.6" top="0.5" bottom="0.5" header="0.3" footer="0.3"/>
  <pageSetup scale="85" orientation="landscape" r:id="rId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pageSetUpPr fitToPage="1"/>
  </sheetPr>
  <dimension ref="A1:U85"/>
  <sheetViews>
    <sheetView showGridLines="0" topLeftCell="B1" zoomScale="115" zoomScaleNormal="115" workbookViewId="0">
      <selection activeCell="M47" sqref="M47"/>
    </sheetView>
  </sheetViews>
  <sheetFormatPr defaultColWidth="9.42578125" defaultRowHeight="12.75" x14ac:dyDescent="0.2"/>
  <cols>
    <col min="1" max="1" width="9.42578125" style="4" hidden="1" customWidth="1"/>
    <col min="2" max="2" width="6.5703125" style="4" customWidth="1"/>
    <col min="3" max="3" width="1.5703125" style="4" customWidth="1"/>
    <col min="4" max="4" width="9.42578125" style="4" customWidth="1"/>
    <col min="5" max="5" width="10.85546875" style="4" customWidth="1"/>
    <col min="6" max="6" width="1.5703125" style="4" customWidth="1"/>
    <col min="7" max="7" width="10.42578125" style="4" customWidth="1"/>
    <col min="8" max="8" width="0.5703125" style="4" customWidth="1"/>
    <col min="9" max="9" width="4.5703125" style="4" customWidth="1"/>
    <col min="10" max="10" width="0.5703125" style="4" customWidth="1"/>
    <col min="11" max="11" width="21.42578125" style="4" customWidth="1"/>
    <col min="12" max="12" width="2.5703125" style="4" customWidth="1"/>
    <col min="13" max="13" width="21.28515625" style="4" customWidth="1"/>
    <col min="14" max="14" width="1.42578125" style="4" customWidth="1"/>
    <col min="15" max="15" width="13.42578125" style="4" customWidth="1"/>
    <col min="16" max="16" width="1.42578125" style="4" customWidth="1"/>
    <col min="17" max="17" width="13.42578125" style="4" bestFit="1" customWidth="1"/>
    <col min="18" max="18" width="0.5703125" style="4" customWidth="1"/>
    <col min="19" max="19" width="6.42578125" style="4" customWidth="1"/>
    <col min="20" max="20" width="8.42578125" style="4" customWidth="1"/>
    <col min="21" max="21" width="10.5703125" style="4" bestFit="1" customWidth="1"/>
    <col min="22" max="22" width="2.42578125" style="4" customWidth="1"/>
    <col min="23" max="23" width="9.42578125" style="4"/>
    <col min="24" max="24" width="2.42578125" style="4" customWidth="1"/>
    <col min="25" max="25" width="11.5703125" style="4" customWidth="1"/>
    <col min="26" max="26" width="0.42578125" style="4" customWidth="1"/>
    <col min="27" max="16384" width="9.42578125" style="4"/>
  </cols>
  <sheetData>
    <row r="1" spans="1:21" ht="25.15" customHeight="1" x14ac:dyDescent="0.25">
      <c r="A1" s="4" t="str">
        <f t="shared" ref="A1:A32" si="0">AgyIdx</f>
        <v>01</v>
      </c>
      <c r="B1" s="2553" t="str">
        <f>+Index!$A$1</f>
        <v xml:space="preserve">                                                               Office of the State Controller                                                                </v>
      </c>
      <c r="C1" s="2553"/>
      <c r="D1" s="2553"/>
      <c r="E1" s="2553"/>
      <c r="F1" s="2553"/>
      <c r="G1" s="2553"/>
      <c r="H1" s="2553"/>
      <c r="I1" s="2553"/>
      <c r="J1" s="2553"/>
      <c r="K1" s="2553"/>
      <c r="L1" s="2553"/>
      <c r="M1" s="2553"/>
      <c r="N1" s="2553"/>
      <c r="O1" s="2553"/>
      <c r="P1" s="2553"/>
      <c r="Q1" s="2553"/>
      <c r="R1" s="2553"/>
      <c r="S1" s="2298" t="str">
        <f>IF(Index!$B$90="na","NA","")</f>
        <v/>
      </c>
      <c r="U1" s="2626"/>
    </row>
    <row r="2" spans="1:21" ht="15" customHeight="1" x14ac:dyDescent="0.25">
      <c r="A2" s="4" t="str">
        <f t="shared" si="0"/>
        <v>01</v>
      </c>
      <c r="B2" s="3020" t="str">
        <f>+Index!$A$2</f>
        <v>2024 ACFR Worksheets</v>
      </c>
      <c r="C2" s="3020"/>
      <c r="D2" s="3020"/>
      <c r="E2" s="3020"/>
      <c r="F2" s="3020"/>
      <c r="G2" s="3020"/>
      <c r="H2" s="3020"/>
      <c r="I2" s="3020"/>
      <c r="J2" s="3020"/>
      <c r="K2" s="3020"/>
      <c r="L2" s="3020"/>
      <c r="M2" s="3020"/>
      <c r="N2" s="3020"/>
      <c r="O2" s="3020"/>
      <c r="P2" s="3020"/>
      <c r="Q2" s="3020"/>
      <c r="R2" s="3020"/>
      <c r="S2" s="2298"/>
      <c r="U2" s="2626"/>
    </row>
    <row r="3" spans="1:21" ht="15" customHeight="1" x14ac:dyDescent="0.25">
      <c r="A3" s="4" t="str">
        <f t="shared" si="0"/>
        <v>01</v>
      </c>
      <c r="B3" s="3020" t="s">
        <v>2309</v>
      </c>
      <c r="C3" s="3020"/>
      <c r="D3" s="3020"/>
      <c r="E3" s="3020"/>
      <c r="F3" s="3020"/>
      <c r="G3" s="3020"/>
      <c r="H3" s="3020"/>
      <c r="I3" s="3020"/>
      <c r="J3" s="3020"/>
      <c r="K3" s="3020"/>
      <c r="L3" s="3020"/>
      <c r="M3" s="3020"/>
      <c r="N3" s="3020"/>
      <c r="O3" s="3020"/>
      <c r="P3" s="3020"/>
      <c r="Q3" s="3020"/>
      <c r="R3" s="3020"/>
      <c r="S3" s="2298"/>
      <c r="U3" s="2626"/>
    </row>
    <row r="4" spans="1:21" ht="15" customHeight="1" x14ac:dyDescent="0.25">
      <c r="A4" s="4" t="str">
        <f t="shared" si="0"/>
        <v>01</v>
      </c>
      <c r="B4" s="3020" t="s">
        <v>2310</v>
      </c>
      <c r="C4" s="3020"/>
      <c r="D4" s="3020"/>
      <c r="E4" s="3020"/>
      <c r="F4" s="3020"/>
      <c r="G4" s="3020"/>
      <c r="H4" s="3020"/>
      <c r="I4" s="3020"/>
      <c r="J4" s="3020"/>
      <c r="K4" s="3020"/>
      <c r="L4" s="3020"/>
      <c r="M4" s="3020"/>
      <c r="N4" s="3020"/>
      <c r="O4" s="3020"/>
      <c r="P4" s="3020"/>
      <c r="Q4" s="3020"/>
      <c r="R4" s="3020"/>
    </row>
    <row r="5" spans="1:21" ht="15" customHeight="1" x14ac:dyDescent="0.2">
      <c r="A5" s="4" t="str">
        <f t="shared" si="0"/>
        <v>01</v>
      </c>
      <c r="M5" s="236"/>
    </row>
    <row r="6" spans="1:21" ht="15" customHeight="1" x14ac:dyDescent="0.2">
      <c r="A6" s="4" t="str">
        <f t="shared" si="0"/>
        <v>01</v>
      </c>
      <c r="E6" s="410"/>
      <c r="L6" s="5" t="s">
        <v>318</v>
      </c>
      <c r="M6" s="3021" t="str">
        <f>+Index!$E$10</f>
        <v>01</v>
      </c>
      <c r="N6" s="3021"/>
      <c r="O6" s="3021"/>
      <c r="P6" s="3021"/>
      <c r="Q6" s="3021"/>
    </row>
    <row r="7" spans="1:21" ht="15" customHeight="1" x14ac:dyDescent="0.2">
      <c r="A7" s="4" t="str">
        <f t="shared" si="0"/>
        <v>01</v>
      </c>
      <c r="L7" s="5" t="s">
        <v>319</v>
      </c>
      <c r="M7" s="3021" t="str">
        <f>+Index!$E$11</f>
        <v>North Carolina General Assembly</v>
      </c>
      <c r="N7" s="3021"/>
      <c r="O7" s="3021"/>
      <c r="P7" s="3021"/>
      <c r="Q7" s="3021"/>
    </row>
    <row r="8" spans="1:21" ht="15" customHeight="1" x14ac:dyDescent="0.2">
      <c r="A8" s="4" t="str">
        <f t="shared" si="0"/>
        <v>01</v>
      </c>
      <c r="B8" s="4" t="s">
        <v>545</v>
      </c>
      <c r="E8" s="3022" t="s">
        <v>762</v>
      </c>
      <c r="F8" s="3022"/>
      <c r="G8" s="3022"/>
      <c r="H8" s="151"/>
      <c r="I8" s="151"/>
      <c r="L8" s="5" t="s">
        <v>320</v>
      </c>
      <c r="M8" s="3025" t="str">
        <f>CONCATENATE(Index!$E$12," ",Index!$E$14)</f>
        <v xml:space="preserve"> </v>
      </c>
      <c r="N8" s="3025"/>
      <c r="O8" s="3025"/>
      <c r="P8" s="3025"/>
      <c r="Q8" s="3025"/>
    </row>
    <row r="9" spans="1:21" ht="15" customHeight="1" x14ac:dyDescent="0.2">
      <c r="A9" s="4" t="str">
        <f t="shared" si="0"/>
        <v>01</v>
      </c>
      <c r="E9" s="410"/>
      <c r="F9" s="410"/>
      <c r="G9" s="410"/>
      <c r="H9" s="151"/>
      <c r="I9" s="151"/>
      <c r="L9" s="5" t="s">
        <v>168</v>
      </c>
      <c r="M9" s="3026">
        <f>+Index!$E$13</f>
        <v>0</v>
      </c>
      <c r="N9" s="3026"/>
      <c r="O9" s="3026"/>
      <c r="P9" s="3026"/>
      <c r="Q9" s="3026"/>
    </row>
    <row r="10" spans="1:21" ht="5.25" customHeight="1" thickBot="1" x14ac:dyDescent="0.25">
      <c r="A10" s="4" t="str">
        <f t="shared" si="0"/>
        <v>01</v>
      </c>
      <c r="B10" s="88"/>
      <c r="C10" s="88"/>
      <c r="D10" s="88"/>
      <c r="E10" s="88"/>
      <c r="F10" s="88"/>
      <c r="G10" s="88"/>
      <c r="H10" s="88"/>
      <c r="I10" s="88"/>
      <c r="J10" s="88"/>
      <c r="K10" s="88"/>
      <c r="L10" s="88"/>
      <c r="M10" s="88"/>
      <c r="N10" s="88"/>
      <c r="O10" s="88"/>
      <c r="P10" s="88"/>
      <c r="Q10" s="88"/>
    </row>
    <row r="11" spans="1:21" ht="3" customHeight="1" x14ac:dyDescent="0.2">
      <c r="A11" s="4" t="str">
        <f t="shared" si="0"/>
        <v>01</v>
      </c>
    </row>
    <row r="12" spans="1:21" ht="10.5" customHeight="1" thickBot="1" x14ac:dyDescent="0.3">
      <c r="A12" s="4" t="str">
        <f t="shared" si="0"/>
        <v>01</v>
      </c>
      <c r="B12" s="983"/>
      <c r="C12" s="983"/>
      <c r="D12" s="983"/>
      <c r="E12" s="983"/>
      <c r="F12" s="983"/>
      <c r="G12" s="983"/>
      <c r="H12" s="983"/>
      <c r="I12" s="983"/>
      <c r="J12" s="983"/>
      <c r="K12" s="983"/>
      <c r="L12" s="152"/>
      <c r="M12" s="3024" t="s">
        <v>2311</v>
      </c>
      <c r="N12" s="3024"/>
      <c r="O12" s="3024"/>
      <c r="P12" s="3024"/>
      <c r="Q12" s="3024"/>
      <c r="R12" s="89"/>
      <c r="S12" s="89"/>
    </row>
    <row r="13" spans="1:21" ht="13.35" customHeight="1" x14ac:dyDescent="0.25">
      <c r="A13" s="4" t="str">
        <f t="shared" si="0"/>
        <v>01</v>
      </c>
      <c r="B13" s="983"/>
      <c r="C13" s="983"/>
      <c r="D13" s="983"/>
      <c r="E13" s="983"/>
      <c r="F13" s="983"/>
      <c r="G13" s="983"/>
      <c r="H13" s="983"/>
      <c r="I13" s="983"/>
      <c r="J13" s="983"/>
      <c r="K13" s="153"/>
      <c r="L13" s="984"/>
      <c r="M13" s="3023" t="s">
        <v>2312</v>
      </c>
      <c r="N13" s="3023"/>
      <c r="O13" s="3023"/>
      <c r="P13" s="986"/>
      <c r="Q13" s="986"/>
      <c r="R13" s="89"/>
      <c r="S13" s="89"/>
    </row>
    <row r="14" spans="1:21" ht="13.35" customHeight="1" x14ac:dyDescent="0.25">
      <c r="B14" s="983"/>
      <c r="C14" s="983"/>
      <c r="D14" s="983"/>
      <c r="E14" s="983"/>
      <c r="F14" s="983"/>
      <c r="G14" s="983"/>
      <c r="H14" s="983"/>
      <c r="I14" s="983"/>
      <c r="J14" s="983"/>
      <c r="K14" s="153"/>
      <c r="L14" s="984"/>
      <c r="M14" s="1331" t="s">
        <v>2313</v>
      </c>
      <c r="N14" s="1331"/>
      <c r="O14" s="1331" t="s">
        <v>2314</v>
      </c>
      <c r="P14" s="1332"/>
      <c r="Q14" s="1332" t="s">
        <v>2315</v>
      </c>
      <c r="R14" s="89"/>
      <c r="S14" s="89"/>
    </row>
    <row r="15" spans="1:21" ht="12" customHeight="1" x14ac:dyDescent="0.25">
      <c r="A15" s="4" t="str">
        <f t="shared" si="0"/>
        <v>01</v>
      </c>
      <c r="B15" s="983"/>
      <c r="C15" s="983"/>
      <c r="D15" s="983"/>
      <c r="E15" s="983"/>
      <c r="F15" s="983"/>
      <c r="G15" s="983"/>
      <c r="H15" s="983"/>
      <c r="I15" s="983"/>
      <c r="J15" s="983"/>
      <c r="K15" s="153"/>
      <c r="L15" s="984"/>
      <c r="M15" s="985"/>
      <c r="N15" s="985"/>
      <c r="O15" s="985" t="s">
        <v>2316</v>
      </c>
      <c r="P15" s="986"/>
      <c r="Q15" s="986"/>
      <c r="R15" s="89"/>
      <c r="S15" s="89"/>
    </row>
    <row r="16" spans="1:21" ht="12" customHeight="1" x14ac:dyDescent="0.25">
      <c r="A16" s="4" t="str">
        <f t="shared" si="0"/>
        <v>01</v>
      </c>
      <c r="B16" s="983"/>
      <c r="C16" s="983"/>
      <c r="D16" s="983"/>
      <c r="E16" s="983"/>
      <c r="F16" s="983"/>
      <c r="G16" s="983"/>
      <c r="H16" s="983"/>
      <c r="I16" s="983"/>
      <c r="J16" s="983"/>
      <c r="K16" s="985"/>
      <c r="L16" s="984"/>
      <c r="M16" s="985"/>
      <c r="N16" s="986"/>
      <c r="O16" s="985" t="s">
        <v>2317</v>
      </c>
      <c r="P16" s="986"/>
      <c r="Q16" s="985"/>
      <c r="R16" s="89"/>
      <c r="S16" s="89"/>
    </row>
    <row r="17" spans="1:21" ht="12" customHeight="1" x14ac:dyDescent="0.25">
      <c r="A17" s="4" t="str">
        <f t="shared" si="0"/>
        <v>01</v>
      </c>
      <c r="B17" s="983"/>
      <c r="C17" s="985"/>
      <c r="D17" s="983"/>
      <c r="E17" s="152" t="s">
        <v>50</v>
      </c>
      <c r="F17" s="152"/>
      <c r="G17" s="983"/>
      <c r="H17" s="983"/>
      <c r="I17" s="983"/>
      <c r="J17" s="983"/>
      <c r="K17" s="985" t="s">
        <v>2311</v>
      </c>
      <c r="L17" s="983"/>
      <c r="M17" s="985" t="s">
        <v>2316</v>
      </c>
      <c r="N17" s="986"/>
      <c r="O17" s="985" t="s">
        <v>2318</v>
      </c>
      <c r="P17" s="986"/>
      <c r="Q17" s="985" t="s">
        <v>2277</v>
      </c>
      <c r="R17" s="89"/>
      <c r="S17" s="89"/>
      <c r="U17" s="645" t="s">
        <v>2319</v>
      </c>
    </row>
    <row r="18" spans="1:21" ht="12" customHeight="1" x14ac:dyDescent="0.25">
      <c r="A18" s="4" t="str">
        <f t="shared" si="0"/>
        <v>01</v>
      </c>
      <c r="B18" s="154" t="s">
        <v>2320</v>
      </c>
      <c r="C18" s="988"/>
      <c r="D18" s="988"/>
      <c r="E18" s="988"/>
      <c r="F18" s="154"/>
      <c r="G18" s="988"/>
      <c r="H18" s="983"/>
      <c r="I18" s="983"/>
      <c r="J18" s="983"/>
      <c r="K18" s="990" t="s">
        <v>2321</v>
      </c>
      <c r="L18" s="983"/>
      <c r="M18" s="990" t="s">
        <v>1401</v>
      </c>
      <c r="N18" s="155"/>
      <c r="O18" s="990" t="s">
        <v>2322</v>
      </c>
      <c r="P18" s="155"/>
      <c r="Q18" s="990" t="s">
        <v>1540</v>
      </c>
      <c r="R18" s="89"/>
      <c r="S18" s="89"/>
      <c r="U18" s="2429" t="s">
        <v>553</v>
      </c>
    </row>
    <row r="19" spans="1:21" ht="12" customHeight="1" x14ac:dyDescent="0.2">
      <c r="A19" s="4" t="str">
        <f t="shared" si="0"/>
        <v>01</v>
      </c>
      <c r="B19" s="89"/>
      <c r="C19" s="89"/>
      <c r="D19" s="89"/>
      <c r="E19" s="89"/>
      <c r="F19" s="89"/>
      <c r="G19" s="89"/>
      <c r="H19" s="89"/>
      <c r="I19" s="991"/>
      <c r="J19" s="991"/>
      <c r="K19" s="992" t="s">
        <v>570</v>
      </c>
      <c r="L19" s="992"/>
      <c r="M19" s="992" t="s">
        <v>571</v>
      </c>
      <c r="N19" s="992"/>
      <c r="O19" s="992" t="s">
        <v>572</v>
      </c>
      <c r="P19" s="89"/>
      <c r="Q19" s="992" t="s">
        <v>573</v>
      </c>
      <c r="R19" s="992"/>
      <c r="S19" s="89"/>
    </row>
    <row r="20" spans="1:21" ht="12" customHeight="1" x14ac:dyDescent="0.2">
      <c r="A20" s="4" t="str">
        <f t="shared" si="0"/>
        <v>01</v>
      </c>
      <c r="B20" s="156" t="s">
        <v>2323</v>
      </c>
      <c r="C20" s="858"/>
      <c r="D20" s="89"/>
      <c r="E20" s="89"/>
      <c r="F20" s="89"/>
      <c r="G20" s="89"/>
      <c r="H20" s="89"/>
      <c r="I20" s="991"/>
      <c r="J20" s="991"/>
      <c r="K20" s="993"/>
      <c r="L20" s="993"/>
      <c r="M20" s="993"/>
      <c r="N20" s="993"/>
      <c r="O20" s="993"/>
      <c r="P20" s="993"/>
      <c r="Q20" s="993"/>
      <c r="R20" s="993"/>
      <c r="S20" s="89"/>
    </row>
    <row r="21" spans="1:21" ht="12" customHeight="1" x14ac:dyDescent="0.25">
      <c r="A21" s="4" t="str">
        <f t="shared" si="0"/>
        <v>01</v>
      </c>
      <c r="B21" s="2439" t="s">
        <v>2324</v>
      </c>
      <c r="C21" s="748"/>
      <c r="D21" s="89"/>
      <c r="E21" s="89"/>
      <c r="F21" s="89"/>
      <c r="G21" s="89"/>
      <c r="H21" s="89"/>
      <c r="I21" s="747" t="s">
        <v>2325</v>
      </c>
      <c r="J21" s="749"/>
      <c r="K21" s="1762">
        <f>M21+O21+Q21</f>
        <v>0</v>
      </c>
      <c r="L21" s="995"/>
      <c r="M21" s="838"/>
      <c r="N21" s="995"/>
      <c r="O21" s="838"/>
      <c r="P21" s="995"/>
      <c r="Q21" s="838"/>
      <c r="R21" s="993"/>
      <c r="S21" s="315" t="str">
        <f>IF(T21=FALSE,"*","")</f>
        <v/>
      </c>
      <c r="T21" s="316" t="b">
        <f>+K21=SUM(M21,O21,Q21)</f>
        <v>1</v>
      </c>
      <c r="U21" s="644">
        <f>K21-SUM(M21,O21,Q21)</f>
        <v>0</v>
      </c>
    </row>
    <row r="22" spans="1:21" ht="12" customHeight="1" x14ac:dyDescent="0.25">
      <c r="A22" s="4" t="str">
        <f t="shared" si="0"/>
        <v>01</v>
      </c>
      <c r="B22" s="2439" t="s">
        <v>2326</v>
      </c>
      <c r="C22" s="748"/>
      <c r="D22" s="89"/>
      <c r="E22" s="89"/>
      <c r="F22" s="89"/>
      <c r="G22" s="89"/>
      <c r="H22" s="89"/>
      <c r="I22" s="747" t="s">
        <v>2327</v>
      </c>
      <c r="J22" s="749"/>
      <c r="K22" s="1762">
        <f t="shared" ref="K22:K37" si="1">M22+O22+Q22</f>
        <v>0</v>
      </c>
      <c r="L22" s="995"/>
      <c r="M22" s="838"/>
      <c r="N22" s="995"/>
      <c r="O22" s="838"/>
      <c r="P22" s="995"/>
      <c r="Q22" s="838"/>
      <c r="R22" s="993"/>
      <c r="S22" s="315" t="str">
        <f t="shared" ref="S22:S35" si="2">IF(T22=FALSE,"*","")</f>
        <v/>
      </c>
      <c r="T22" s="316" t="b">
        <f t="shared" ref="T22:T35" si="3">+K22=SUM(M22,O22,Q22)</f>
        <v>1</v>
      </c>
      <c r="U22" s="644">
        <f t="shared" ref="U22:U35" si="4">K22-SUM(M22,O22,Q22)</f>
        <v>0</v>
      </c>
    </row>
    <row r="23" spans="1:21" ht="12" customHeight="1" x14ac:dyDescent="0.25">
      <c r="A23" s="4" t="str">
        <f t="shared" si="0"/>
        <v>01</v>
      </c>
      <c r="B23" s="2439" t="s">
        <v>2328</v>
      </c>
      <c r="C23" s="748"/>
      <c r="D23" s="89"/>
      <c r="E23" s="89"/>
      <c r="F23" s="89"/>
      <c r="G23" s="89"/>
      <c r="H23" s="89"/>
      <c r="I23" s="747" t="s">
        <v>2329</v>
      </c>
      <c r="J23" s="749"/>
      <c r="K23" s="1762">
        <f t="shared" si="1"/>
        <v>0</v>
      </c>
      <c r="L23" s="995"/>
      <c r="M23" s="838"/>
      <c r="N23" s="995"/>
      <c r="O23" s="838"/>
      <c r="P23" s="995"/>
      <c r="Q23" s="838"/>
      <c r="R23" s="993"/>
      <c r="S23" s="315" t="str">
        <f t="shared" si="2"/>
        <v/>
      </c>
      <c r="T23" s="316" t="b">
        <f t="shared" si="3"/>
        <v>1</v>
      </c>
      <c r="U23" s="644">
        <f t="shared" si="4"/>
        <v>0</v>
      </c>
    </row>
    <row r="24" spans="1:21" ht="12" customHeight="1" x14ac:dyDescent="0.25">
      <c r="A24" s="4" t="str">
        <f t="shared" si="0"/>
        <v>01</v>
      </c>
      <c r="B24" s="2439" t="s">
        <v>2330</v>
      </c>
      <c r="C24" s="748"/>
      <c r="D24" s="89"/>
      <c r="E24" s="89"/>
      <c r="F24" s="89"/>
      <c r="G24" s="89"/>
      <c r="H24" s="89"/>
      <c r="I24" s="747" t="s">
        <v>2331</v>
      </c>
      <c r="J24" s="749"/>
      <c r="K24" s="1762">
        <f t="shared" si="1"/>
        <v>0</v>
      </c>
      <c r="L24" s="995"/>
      <c r="M24" s="838"/>
      <c r="N24" s="995"/>
      <c r="O24" s="838"/>
      <c r="P24" s="995"/>
      <c r="Q24" s="838"/>
      <c r="R24" s="993"/>
      <c r="S24" s="315" t="str">
        <f t="shared" si="2"/>
        <v/>
      </c>
      <c r="T24" s="316" t="b">
        <f t="shared" si="3"/>
        <v>1</v>
      </c>
      <c r="U24" s="644">
        <f t="shared" si="4"/>
        <v>0</v>
      </c>
    </row>
    <row r="25" spans="1:21" ht="12" customHeight="1" x14ac:dyDescent="0.25">
      <c r="A25" s="4" t="str">
        <f t="shared" si="0"/>
        <v>01</v>
      </c>
      <c r="B25" s="2439" t="s">
        <v>2332</v>
      </c>
      <c r="C25" s="748"/>
      <c r="D25" s="89"/>
      <c r="E25" s="89"/>
      <c r="F25" s="89"/>
      <c r="G25" s="89"/>
      <c r="H25" s="89"/>
      <c r="I25" s="747" t="s">
        <v>2333</v>
      </c>
      <c r="J25" s="749"/>
      <c r="K25" s="1762">
        <f t="shared" si="1"/>
        <v>0</v>
      </c>
      <c r="L25" s="995"/>
      <c r="M25" s="838"/>
      <c r="N25" s="995"/>
      <c r="O25" s="838"/>
      <c r="P25" s="995"/>
      <c r="Q25" s="838"/>
      <c r="R25" s="993"/>
      <c r="S25" s="315" t="str">
        <f t="shared" si="2"/>
        <v/>
      </c>
      <c r="T25" s="316" t="b">
        <f t="shared" si="3"/>
        <v>1</v>
      </c>
      <c r="U25" s="644">
        <f t="shared" si="4"/>
        <v>0</v>
      </c>
    </row>
    <row r="26" spans="1:21" ht="12" customHeight="1" x14ac:dyDescent="0.25">
      <c r="A26" s="4" t="str">
        <f t="shared" si="0"/>
        <v>01</v>
      </c>
      <c r="B26" s="2439" t="s">
        <v>2334</v>
      </c>
      <c r="C26" s="748"/>
      <c r="D26" s="89"/>
      <c r="E26" s="89"/>
      <c r="F26" s="89"/>
      <c r="G26" s="89"/>
      <c r="H26" s="89"/>
      <c r="I26" s="747" t="s">
        <v>2335</v>
      </c>
      <c r="J26" s="749"/>
      <c r="K26" s="1762">
        <f t="shared" si="1"/>
        <v>0</v>
      </c>
      <c r="L26" s="995"/>
      <c r="M26" s="838"/>
      <c r="N26" s="995"/>
      <c r="O26" s="838"/>
      <c r="P26" s="995"/>
      <c r="Q26" s="838"/>
      <c r="R26" s="993"/>
      <c r="S26" s="315" t="str">
        <f t="shared" si="2"/>
        <v/>
      </c>
      <c r="T26" s="316" t="b">
        <f t="shared" si="3"/>
        <v>1</v>
      </c>
      <c r="U26" s="644">
        <f t="shared" si="4"/>
        <v>0</v>
      </c>
    </row>
    <row r="27" spans="1:21" ht="12" customHeight="1" x14ac:dyDescent="0.25">
      <c r="A27" s="4" t="str">
        <f t="shared" si="0"/>
        <v>01</v>
      </c>
      <c r="B27" s="2439" t="s">
        <v>2336</v>
      </c>
      <c r="C27" s="748"/>
      <c r="D27" s="89"/>
      <c r="E27" s="89"/>
      <c r="F27" s="89"/>
      <c r="G27" s="89"/>
      <c r="H27" s="89"/>
      <c r="I27" s="747" t="s">
        <v>2337</v>
      </c>
      <c r="J27" s="749"/>
      <c r="K27" s="1762">
        <f t="shared" si="1"/>
        <v>0</v>
      </c>
      <c r="L27" s="995"/>
      <c r="M27" s="838"/>
      <c r="N27" s="995"/>
      <c r="O27" s="838"/>
      <c r="P27" s="995"/>
      <c r="Q27" s="838"/>
      <c r="R27" s="993"/>
      <c r="S27" s="315" t="str">
        <f t="shared" si="2"/>
        <v/>
      </c>
      <c r="T27" s="316" t="b">
        <f t="shared" si="3"/>
        <v>1</v>
      </c>
      <c r="U27" s="644">
        <f t="shared" si="4"/>
        <v>0</v>
      </c>
    </row>
    <row r="28" spans="1:21" ht="12" customHeight="1" x14ac:dyDescent="0.25">
      <c r="A28" s="4" t="str">
        <f t="shared" si="0"/>
        <v>01</v>
      </c>
      <c r="B28" s="2439" t="s">
        <v>2338</v>
      </c>
      <c r="C28" s="748"/>
      <c r="D28" s="89"/>
      <c r="E28" s="89"/>
      <c r="F28" s="89"/>
      <c r="G28" s="89"/>
      <c r="H28" s="89"/>
      <c r="I28" s="747" t="s">
        <v>2339</v>
      </c>
      <c r="J28" s="749"/>
      <c r="K28" s="1762">
        <f t="shared" si="1"/>
        <v>0</v>
      </c>
      <c r="L28" s="995"/>
      <c r="M28" s="838"/>
      <c r="N28" s="995"/>
      <c r="O28" s="838"/>
      <c r="P28" s="995"/>
      <c r="Q28" s="838"/>
      <c r="R28" s="993"/>
      <c r="S28" s="315" t="str">
        <f>IF(T28=FALSE,"*","")</f>
        <v/>
      </c>
      <c r="T28" s="316" t="b">
        <f>+K28=SUM(M28,O28,Q28)</f>
        <v>1</v>
      </c>
      <c r="U28" s="644">
        <f t="shared" si="4"/>
        <v>0</v>
      </c>
    </row>
    <row r="29" spans="1:21" ht="12" customHeight="1" x14ac:dyDescent="0.25">
      <c r="A29" s="4" t="str">
        <f t="shared" si="0"/>
        <v>01</v>
      </c>
      <c r="B29" s="2439" t="s">
        <v>2340</v>
      </c>
      <c r="C29" s="748"/>
      <c r="D29" s="89"/>
      <c r="E29" s="89"/>
      <c r="F29" s="89"/>
      <c r="G29" s="89"/>
      <c r="H29" s="89"/>
      <c r="I29" s="747" t="s">
        <v>2341</v>
      </c>
      <c r="J29" s="749"/>
      <c r="K29" s="1762">
        <f t="shared" si="1"/>
        <v>0</v>
      </c>
      <c r="L29" s="995"/>
      <c r="M29" s="838"/>
      <c r="N29" s="995"/>
      <c r="O29" s="838"/>
      <c r="P29" s="995"/>
      <c r="Q29" s="838"/>
      <c r="R29" s="993"/>
      <c r="S29" s="315" t="str">
        <f t="shared" si="2"/>
        <v/>
      </c>
      <c r="T29" s="316" t="b">
        <f t="shared" si="3"/>
        <v>1</v>
      </c>
      <c r="U29" s="644">
        <f t="shared" si="4"/>
        <v>0</v>
      </c>
    </row>
    <row r="30" spans="1:21" ht="12" customHeight="1" x14ac:dyDescent="0.25">
      <c r="A30" s="4" t="str">
        <f t="shared" si="0"/>
        <v>01</v>
      </c>
      <c r="B30" s="2439" t="s">
        <v>1055</v>
      </c>
      <c r="C30" s="748"/>
      <c r="D30" s="89"/>
      <c r="E30" s="89"/>
      <c r="F30" s="89"/>
      <c r="G30" s="89"/>
      <c r="H30" s="89"/>
      <c r="I30" s="747" t="s">
        <v>2342</v>
      </c>
      <c r="J30" s="749"/>
      <c r="K30" s="1762">
        <f t="shared" si="1"/>
        <v>0</v>
      </c>
      <c r="L30" s="995"/>
      <c r="M30" s="838"/>
      <c r="N30" s="995"/>
      <c r="O30" s="838"/>
      <c r="P30" s="995"/>
      <c r="Q30" s="838"/>
      <c r="R30" s="993"/>
      <c r="S30" s="315" t="str">
        <f t="shared" si="2"/>
        <v/>
      </c>
      <c r="T30" s="316" t="b">
        <f t="shared" si="3"/>
        <v>1</v>
      </c>
      <c r="U30" s="644">
        <f t="shared" si="4"/>
        <v>0</v>
      </c>
    </row>
    <row r="31" spans="1:21" ht="12" customHeight="1" x14ac:dyDescent="0.25">
      <c r="A31" s="4" t="str">
        <f t="shared" si="0"/>
        <v>01</v>
      </c>
      <c r="B31" s="2439" t="s">
        <v>2343</v>
      </c>
      <c r="C31" s="748"/>
      <c r="D31" s="89"/>
      <c r="E31" s="89"/>
      <c r="F31" s="89"/>
      <c r="G31" s="89"/>
      <c r="H31" s="89"/>
      <c r="I31" s="747" t="s">
        <v>2344</v>
      </c>
      <c r="J31" s="749"/>
      <c r="K31" s="1762">
        <f t="shared" si="1"/>
        <v>0</v>
      </c>
      <c r="L31" s="995"/>
      <c r="M31" s="838"/>
      <c r="N31" s="995"/>
      <c r="O31" s="838"/>
      <c r="P31" s="995"/>
      <c r="Q31" s="838"/>
      <c r="R31" s="993"/>
      <c r="S31" s="315" t="str">
        <f t="shared" si="2"/>
        <v/>
      </c>
      <c r="T31" s="316" t="b">
        <f t="shared" si="3"/>
        <v>1</v>
      </c>
      <c r="U31" s="644">
        <f t="shared" si="4"/>
        <v>0</v>
      </c>
    </row>
    <row r="32" spans="1:21" ht="12" customHeight="1" x14ac:dyDescent="0.25">
      <c r="A32" s="4" t="str">
        <f t="shared" si="0"/>
        <v>01</v>
      </c>
      <c r="B32" s="2439" t="s">
        <v>2345</v>
      </c>
      <c r="C32" s="748"/>
      <c r="D32" s="89"/>
      <c r="E32" s="89"/>
      <c r="F32" s="89"/>
      <c r="G32" s="89"/>
      <c r="H32" s="89"/>
      <c r="I32" s="747" t="s">
        <v>2346</v>
      </c>
      <c r="J32" s="749"/>
      <c r="K32" s="1762">
        <f t="shared" si="1"/>
        <v>0</v>
      </c>
      <c r="L32" s="995"/>
      <c r="M32" s="838"/>
      <c r="N32" s="995"/>
      <c r="O32" s="838"/>
      <c r="P32" s="995"/>
      <c r="Q32" s="838"/>
      <c r="R32" s="993"/>
      <c r="S32" s="315" t="str">
        <f t="shared" si="2"/>
        <v/>
      </c>
      <c r="T32" s="316" t="b">
        <f t="shared" si="3"/>
        <v>1</v>
      </c>
      <c r="U32" s="644">
        <f t="shared" si="4"/>
        <v>0</v>
      </c>
    </row>
    <row r="33" spans="1:21" ht="12" customHeight="1" x14ac:dyDescent="0.25">
      <c r="A33" s="4" t="str">
        <f t="shared" ref="A33:A64" si="5">AgyIdx</f>
        <v>01</v>
      </c>
      <c r="B33" s="2439" t="s">
        <v>2347</v>
      </c>
      <c r="C33" s="748"/>
      <c r="D33" s="89"/>
      <c r="E33" s="89"/>
      <c r="F33" s="89"/>
      <c r="G33" s="89"/>
      <c r="H33" s="89"/>
      <c r="I33" s="747" t="s">
        <v>2348</v>
      </c>
      <c r="J33" s="749"/>
      <c r="K33" s="1762">
        <f t="shared" si="1"/>
        <v>0</v>
      </c>
      <c r="L33" s="995"/>
      <c r="M33" s="838"/>
      <c r="N33" s="995"/>
      <c r="O33" s="838"/>
      <c r="P33" s="995"/>
      <c r="Q33" s="838"/>
      <c r="R33" s="993"/>
      <c r="S33" s="315" t="str">
        <f t="shared" si="2"/>
        <v/>
      </c>
      <c r="T33" s="316" t="b">
        <f t="shared" si="3"/>
        <v>1</v>
      </c>
      <c r="U33" s="644">
        <f t="shared" si="4"/>
        <v>0</v>
      </c>
    </row>
    <row r="34" spans="1:21" ht="12" customHeight="1" x14ac:dyDescent="0.25">
      <c r="A34" s="4" t="str">
        <f t="shared" si="5"/>
        <v>01</v>
      </c>
      <c r="B34" s="89" t="s">
        <v>2349</v>
      </c>
      <c r="C34" s="748"/>
      <c r="D34" s="89"/>
      <c r="E34" s="89"/>
      <c r="F34" s="89"/>
      <c r="G34" s="89"/>
      <c r="H34" s="89"/>
      <c r="I34" s="747" t="s">
        <v>2350</v>
      </c>
      <c r="J34" s="749"/>
      <c r="K34" s="1762">
        <f t="shared" si="1"/>
        <v>0</v>
      </c>
      <c r="L34" s="995"/>
      <c r="M34" s="999"/>
      <c r="N34" s="995"/>
      <c r="O34" s="999"/>
      <c r="P34" s="995"/>
      <c r="Q34" s="838"/>
      <c r="R34" s="993"/>
      <c r="S34" s="315" t="str">
        <f t="shared" si="2"/>
        <v/>
      </c>
      <c r="T34" s="316" t="b">
        <f t="shared" si="3"/>
        <v>1</v>
      </c>
      <c r="U34" s="644">
        <f t="shared" si="4"/>
        <v>0</v>
      </c>
    </row>
    <row r="35" spans="1:21" ht="12" customHeight="1" x14ac:dyDescent="0.25">
      <c r="A35" s="4" t="str">
        <f t="shared" si="5"/>
        <v>01</v>
      </c>
      <c r="B35" s="89" t="s">
        <v>2351</v>
      </c>
      <c r="C35" s="748"/>
      <c r="D35" s="89"/>
      <c r="E35" s="89"/>
      <c r="F35" s="89"/>
      <c r="G35" s="89"/>
      <c r="H35" s="89"/>
      <c r="I35" s="747" t="s">
        <v>2352</v>
      </c>
      <c r="J35" s="749"/>
      <c r="K35" s="1762">
        <f t="shared" si="1"/>
        <v>0</v>
      </c>
      <c r="L35" s="995"/>
      <c r="M35" s="999"/>
      <c r="N35" s="995"/>
      <c r="O35" s="999"/>
      <c r="P35" s="995"/>
      <c r="Q35" s="838"/>
      <c r="R35" s="993"/>
      <c r="S35" s="315" t="str">
        <f t="shared" si="2"/>
        <v/>
      </c>
      <c r="T35" s="316" t="b">
        <f t="shared" si="3"/>
        <v>1</v>
      </c>
      <c r="U35" s="644">
        <f t="shared" si="4"/>
        <v>0</v>
      </c>
    </row>
    <row r="36" spans="1:21" ht="12" customHeight="1" x14ac:dyDescent="0.25">
      <c r="A36" s="4" t="str">
        <f t="shared" si="5"/>
        <v>01</v>
      </c>
      <c r="B36" s="89" t="s">
        <v>2353</v>
      </c>
      <c r="C36" s="3019" t="s">
        <v>2354</v>
      </c>
      <c r="D36" s="3019"/>
      <c r="E36" s="3019"/>
      <c r="F36" s="3019"/>
      <c r="G36" s="3019"/>
      <c r="H36" s="89"/>
      <c r="I36" s="747" t="s">
        <v>2355</v>
      </c>
      <c r="J36" s="749"/>
      <c r="K36" s="1762">
        <f t="shared" si="1"/>
        <v>0</v>
      </c>
      <c r="L36" s="995"/>
      <c r="M36" s="999"/>
      <c r="N36" s="995"/>
      <c r="O36" s="999"/>
      <c r="P36" s="995"/>
      <c r="Q36" s="838"/>
      <c r="R36" s="993"/>
      <c r="S36" s="315"/>
      <c r="T36" s="316" t="b">
        <f>+K36=SUM(M36,O36,Q36)</f>
        <v>1</v>
      </c>
      <c r="U36" s="644">
        <f>K36-SUM(M36,O36,Q36)</f>
        <v>0</v>
      </c>
    </row>
    <row r="37" spans="1:21" ht="14.25" customHeight="1" thickBot="1" x14ac:dyDescent="0.3">
      <c r="A37" s="4" t="str">
        <f t="shared" si="5"/>
        <v>01</v>
      </c>
      <c r="B37" s="89" t="s">
        <v>2356</v>
      </c>
      <c r="C37" s="3019" t="s">
        <v>2354</v>
      </c>
      <c r="D37" s="3019"/>
      <c r="E37" s="3019"/>
      <c r="F37" s="3019"/>
      <c r="G37" s="3019"/>
      <c r="H37" s="89"/>
      <c r="I37" s="747" t="s">
        <v>2357</v>
      </c>
      <c r="J37" s="749"/>
      <c r="K37" s="1762">
        <f t="shared" si="1"/>
        <v>0</v>
      </c>
      <c r="L37" s="995"/>
      <c r="M37" s="1763"/>
      <c r="N37" s="995"/>
      <c r="O37" s="1763"/>
      <c r="P37" s="995"/>
      <c r="Q37" s="1763"/>
      <c r="R37" s="993"/>
      <c r="S37" s="315"/>
      <c r="T37" s="316" t="b">
        <f>+K37=SUM(M37,O37,Q37)</f>
        <v>1</v>
      </c>
      <c r="U37" s="644">
        <f>K37-SUM(M37,O37,Q37)</f>
        <v>0</v>
      </c>
    </row>
    <row r="38" spans="1:21" ht="14.1" customHeight="1" thickBot="1" x14ac:dyDescent="0.3">
      <c r="A38" s="4" t="str">
        <f t="shared" si="5"/>
        <v>01</v>
      </c>
      <c r="B38" s="858" t="s">
        <v>2358</v>
      </c>
      <c r="C38" s="89"/>
      <c r="D38" s="89"/>
      <c r="E38" s="89"/>
      <c r="F38" s="89"/>
      <c r="G38" s="89"/>
      <c r="H38" s="89"/>
      <c r="I38" s="747" t="s">
        <v>2359</v>
      </c>
      <c r="J38" s="749"/>
      <c r="K38" s="1764">
        <f>SUM(K21:K37)</f>
        <v>0</v>
      </c>
      <c r="L38" s="995"/>
      <c r="M38" s="1764">
        <f>SUM(M21:M37)</f>
        <v>0</v>
      </c>
      <c r="N38" s="995"/>
      <c r="O38" s="1764">
        <f>SUM(O21:O37)</f>
        <v>0</v>
      </c>
      <c r="P38" s="995"/>
      <c r="Q38" s="1764">
        <f>SUM(Q21:Q37)</f>
        <v>0</v>
      </c>
      <c r="R38" s="993"/>
      <c r="S38" s="1004"/>
    </row>
    <row r="39" spans="1:21" ht="4.3499999999999996" customHeight="1" x14ac:dyDescent="0.25">
      <c r="A39" s="4" t="str">
        <f t="shared" si="5"/>
        <v>01</v>
      </c>
      <c r="B39" s="89"/>
      <c r="C39" s="89"/>
      <c r="D39" s="89"/>
      <c r="E39" s="89"/>
      <c r="F39" s="89"/>
      <c r="G39" s="89"/>
      <c r="H39" s="89"/>
      <c r="I39" s="747"/>
      <c r="J39" s="749"/>
      <c r="K39" s="995"/>
      <c r="L39" s="643"/>
      <c r="M39" s="643"/>
      <c r="N39" s="643"/>
      <c r="O39" s="643"/>
      <c r="P39" s="643"/>
      <c r="Q39" s="643"/>
      <c r="R39" s="89"/>
      <c r="S39" s="89"/>
    </row>
    <row r="40" spans="1:21" ht="15" customHeight="1" x14ac:dyDescent="0.25">
      <c r="A40" s="4" t="str">
        <f t="shared" si="5"/>
        <v>01</v>
      </c>
      <c r="B40" s="156" t="s">
        <v>2360</v>
      </c>
      <c r="C40" s="858"/>
      <c r="D40" s="89"/>
      <c r="E40" s="89"/>
      <c r="F40" s="89"/>
      <c r="G40" s="89"/>
      <c r="H40" s="89"/>
      <c r="I40" s="747"/>
      <c r="J40" s="749"/>
      <c r="K40" s="995"/>
      <c r="L40" s="643"/>
      <c r="M40" s="157"/>
      <c r="N40" s="643"/>
      <c r="O40" s="643"/>
      <c r="P40" s="643"/>
      <c r="Q40" s="643"/>
      <c r="R40" s="89"/>
      <c r="S40" s="89"/>
    </row>
    <row r="41" spans="1:21" ht="12" customHeight="1" x14ac:dyDescent="0.25">
      <c r="A41" s="4" t="str">
        <f t="shared" si="5"/>
        <v>01</v>
      </c>
      <c r="B41" s="89" t="s">
        <v>2361</v>
      </c>
      <c r="C41" s="748"/>
      <c r="D41" s="89"/>
      <c r="E41" s="89"/>
      <c r="F41" s="89"/>
      <c r="G41" s="89"/>
      <c r="H41" s="89"/>
      <c r="I41" s="747" t="s">
        <v>2362</v>
      </c>
      <c r="J41" s="749"/>
      <c r="K41" s="838"/>
      <c r="L41" s="995"/>
      <c r="M41" s="995"/>
      <c r="N41" s="643"/>
      <c r="O41" s="643"/>
      <c r="P41" s="643"/>
      <c r="Q41" s="643"/>
      <c r="R41" s="89"/>
      <c r="S41" s="89"/>
    </row>
    <row r="42" spans="1:21" ht="12" customHeight="1" x14ac:dyDescent="0.25">
      <c r="A42" s="4" t="str">
        <f t="shared" si="5"/>
        <v>01</v>
      </c>
      <c r="B42" s="89" t="s">
        <v>2363</v>
      </c>
      <c r="C42" s="748"/>
      <c r="D42" s="89"/>
      <c r="E42" s="89"/>
      <c r="F42" s="89"/>
      <c r="G42" s="89"/>
      <c r="H42" s="89"/>
      <c r="I42" s="747" t="s">
        <v>2364</v>
      </c>
      <c r="J42" s="749"/>
      <c r="K42" s="838"/>
      <c r="L42" s="995"/>
      <c r="M42" s="995"/>
      <c r="N42" s="643"/>
      <c r="O42" s="643"/>
      <c r="P42" s="643"/>
      <c r="Q42" s="643"/>
      <c r="R42" s="89"/>
      <c r="S42" s="89"/>
    </row>
    <row r="43" spans="1:21" ht="12" customHeight="1" x14ac:dyDescent="0.25">
      <c r="A43" s="4" t="str">
        <f t="shared" si="5"/>
        <v>01</v>
      </c>
      <c r="B43" s="89" t="s">
        <v>2365</v>
      </c>
      <c r="C43" s="748"/>
      <c r="D43" s="89"/>
      <c r="E43" s="89"/>
      <c r="F43" s="89"/>
      <c r="G43" s="89"/>
      <c r="H43" s="89"/>
      <c r="I43" s="747" t="s">
        <v>2366</v>
      </c>
      <c r="J43" s="749"/>
      <c r="K43" s="2163"/>
      <c r="L43" s="995"/>
      <c r="M43" s="995"/>
      <c r="N43" s="643"/>
      <c r="O43" s="643"/>
      <c r="P43" s="643"/>
      <c r="Q43" s="643"/>
      <c r="R43" s="89"/>
      <c r="S43" s="89"/>
    </row>
    <row r="44" spans="1:21" ht="12" customHeight="1" x14ac:dyDescent="0.25">
      <c r="A44" s="4" t="str">
        <f t="shared" si="5"/>
        <v>01</v>
      </c>
      <c r="B44" s="2439" t="s">
        <v>2367</v>
      </c>
      <c r="C44" s="748"/>
      <c r="D44" s="89"/>
      <c r="E44" s="89"/>
      <c r="F44" s="89"/>
      <c r="G44" s="89"/>
      <c r="H44" s="89"/>
      <c r="I44" s="747" t="s">
        <v>2368</v>
      </c>
      <c r="J44" s="749"/>
      <c r="K44" s="838"/>
      <c r="L44" s="995"/>
      <c r="M44" s="995"/>
      <c r="N44" s="643"/>
      <c r="O44" s="643"/>
      <c r="P44" s="643"/>
      <c r="Q44" s="643"/>
      <c r="R44" s="89"/>
      <c r="S44" s="89"/>
    </row>
    <row r="45" spans="1:21" ht="12" customHeight="1" x14ac:dyDescent="0.25">
      <c r="A45" s="4" t="str">
        <f t="shared" si="5"/>
        <v>01</v>
      </c>
      <c r="B45" s="2439" t="s">
        <v>2369</v>
      </c>
      <c r="C45" s="748"/>
      <c r="D45" s="89"/>
      <c r="E45" s="89"/>
      <c r="F45" s="89"/>
      <c r="G45" s="89"/>
      <c r="H45" s="89"/>
      <c r="I45" s="747" t="s">
        <v>2370</v>
      </c>
      <c r="J45" s="749"/>
      <c r="K45" s="838"/>
      <c r="L45" s="995"/>
      <c r="M45" s="995"/>
      <c r="N45" s="643"/>
      <c r="O45" s="643"/>
      <c r="P45" s="643"/>
      <c r="Q45" s="643"/>
      <c r="R45" s="89"/>
      <c r="S45" s="89"/>
    </row>
    <row r="46" spans="1:21" ht="12" customHeight="1" x14ac:dyDescent="0.25">
      <c r="A46" s="4" t="str">
        <f t="shared" si="5"/>
        <v>01</v>
      </c>
      <c r="B46" s="89" t="s">
        <v>2371</v>
      </c>
      <c r="C46" s="748"/>
      <c r="D46" s="89"/>
      <c r="E46" s="89"/>
      <c r="F46" s="89"/>
      <c r="G46" s="89"/>
      <c r="H46" s="89"/>
      <c r="I46" s="747" t="s">
        <v>2372</v>
      </c>
      <c r="J46" s="749"/>
      <c r="K46" s="838"/>
      <c r="L46" s="995"/>
      <c r="M46" s="995"/>
      <c r="N46" s="643"/>
      <c r="O46" s="643"/>
      <c r="P46" s="643"/>
      <c r="Q46" s="643"/>
      <c r="R46" s="89"/>
      <c r="S46" s="89"/>
    </row>
    <row r="47" spans="1:21" ht="12" customHeight="1" x14ac:dyDescent="0.25">
      <c r="A47" s="4" t="str">
        <f t="shared" si="5"/>
        <v>01</v>
      </c>
      <c r="B47" s="89" t="s">
        <v>2373</v>
      </c>
      <c r="C47" s="748"/>
      <c r="D47" s="89"/>
      <c r="E47" s="89"/>
      <c r="F47" s="89"/>
      <c r="G47" s="89"/>
      <c r="H47" s="89"/>
      <c r="I47" s="747" t="s">
        <v>2374</v>
      </c>
      <c r="J47" s="749"/>
      <c r="K47" s="838"/>
      <c r="L47" s="995"/>
      <c r="M47" s="995"/>
      <c r="N47" s="643"/>
      <c r="O47" s="643"/>
      <c r="P47" s="643"/>
      <c r="Q47" s="643"/>
      <c r="R47" s="89"/>
      <c r="S47" s="89"/>
    </row>
    <row r="48" spans="1:21" ht="12" customHeight="1" x14ac:dyDescent="0.25">
      <c r="A48" s="4" t="str">
        <f t="shared" si="5"/>
        <v>01</v>
      </c>
      <c r="B48" s="89" t="s">
        <v>2375</v>
      </c>
      <c r="C48" s="748"/>
      <c r="D48" s="89"/>
      <c r="E48" s="89"/>
      <c r="F48" s="89"/>
      <c r="G48" s="89"/>
      <c r="H48" s="89"/>
      <c r="I48" s="747" t="s">
        <v>2376</v>
      </c>
      <c r="J48" s="749"/>
      <c r="K48" s="838"/>
      <c r="L48" s="995"/>
      <c r="M48" s="995"/>
      <c r="N48" s="643"/>
      <c r="O48" s="643"/>
      <c r="P48"/>
      <c r="Q48" s="643"/>
      <c r="R48" s="89"/>
      <c r="S48" s="89"/>
    </row>
    <row r="49" spans="1:19" ht="12" customHeight="1" x14ac:dyDescent="0.25">
      <c r="A49" s="4" t="str">
        <f t="shared" si="5"/>
        <v>01</v>
      </c>
      <c r="B49" s="89" t="s">
        <v>2377</v>
      </c>
      <c r="C49" s="748"/>
      <c r="D49" s="89"/>
      <c r="E49" s="89"/>
      <c r="F49" s="89"/>
      <c r="G49" s="89"/>
      <c r="H49" s="89"/>
      <c r="I49" s="747" t="s">
        <v>2378</v>
      </c>
      <c r="J49" s="749"/>
      <c r="K49" s="838"/>
      <c r="L49" s="995"/>
      <c r="M49" s="995"/>
      <c r="N49" s="643"/>
      <c r="O49" s="643"/>
      <c r="P49" s="643"/>
      <c r="Q49" s="643"/>
      <c r="R49" s="89"/>
      <c r="S49" s="89"/>
    </row>
    <row r="50" spans="1:19" ht="12" customHeight="1" x14ac:dyDescent="0.25">
      <c r="A50" s="4" t="str">
        <f t="shared" si="5"/>
        <v>01</v>
      </c>
      <c r="B50" s="89" t="s">
        <v>2379</v>
      </c>
      <c r="C50" s="748"/>
      <c r="D50" s="89"/>
      <c r="E50" s="89"/>
      <c r="F50" s="89"/>
      <c r="G50" s="89"/>
      <c r="H50" s="89"/>
      <c r="I50" s="747" t="s">
        <v>2380</v>
      </c>
      <c r="J50" s="749"/>
      <c r="K50" s="838"/>
      <c r="L50" s="995"/>
      <c r="M50" s="995"/>
      <c r="N50" s="643"/>
      <c r="O50" s="643"/>
      <c r="P50" s="643"/>
      <c r="Q50" s="643"/>
      <c r="R50" s="89"/>
      <c r="S50" s="89"/>
    </row>
    <row r="51" spans="1:19" ht="12" customHeight="1" x14ac:dyDescent="0.25">
      <c r="A51" s="4" t="str">
        <f t="shared" si="5"/>
        <v>01</v>
      </c>
      <c r="B51" s="89" t="s">
        <v>2381</v>
      </c>
      <c r="C51" s="748"/>
      <c r="D51" s="89"/>
      <c r="E51" s="89"/>
      <c r="F51" s="89"/>
      <c r="G51" s="89"/>
      <c r="H51" s="89"/>
      <c r="I51" s="747" t="s">
        <v>2382</v>
      </c>
      <c r="J51" s="749"/>
      <c r="K51" s="838"/>
      <c r="L51" s="1765"/>
      <c r="M51" s="995"/>
      <c r="N51" s="643"/>
      <c r="O51" s="643"/>
      <c r="P51" s="643"/>
      <c r="Q51" s="643"/>
      <c r="R51" s="89"/>
      <c r="S51" s="89"/>
    </row>
    <row r="52" spans="1:19" ht="12" customHeight="1" x14ac:dyDescent="0.25">
      <c r="A52" s="4" t="str">
        <f t="shared" si="5"/>
        <v>01</v>
      </c>
      <c r="B52" s="89" t="s">
        <v>2383</v>
      </c>
      <c r="C52" s="748"/>
      <c r="D52" s="89"/>
      <c r="E52" s="89"/>
      <c r="F52" s="89"/>
      <c r="G52" s="89"/>
      <c r="H52" s="89"/>
      <c r="I52" s="747" t="s">
        <v>2384</v>
      </c>
      <c r="J52" s="749"/>
      <c r="K52" s="838"/>
      <c r="L52" s="1765"/>
      <c r="M52" s="995"/>
      <c r="N52" s="643"/>
      <c r="O52" s="643"/>
      <c r="P52" s="643"/>
      <c r="Q52" s="643"/>
      <c r="R52" s="89"/>
      <c r="S52" s="89"/>
    </row>
    <row r="53" spans="1:19" ht="12" customHeight="1" x14ac:dyDescent="0.25">
      <c r="A53" s="4" t="str">
        <f t="shared" si="5"/>
        <v>01</v>
      </c>
      <c r="B53" s="89" t="s">
        <v>2385</v>
      </c>
      <c r="C53" s="748"/>
      <c r="D53" s="89"/>
      <c r="E53" s="89"/>
      <c r="F53" s="89"/>
      <c r="G53" s="89"/>
      <c r="H53" s="89"/>
      <c r="I53" s="747" t="s">
        <v>2386</v>
      </c>
      <c r="J53" s="749"/>
      <c r="K53" s="999"/>
      <c r="L53" s="1765"/>
      <c r="M53" s="995"/>
      <c r="N53" s="643"/>
      <c r="O53" s="643"/>
      <c r="P53" s="643"/>
      <c r="Q53" s="643"/>
      <c r="R53" s="89"/>
      <c r="S53" s="89"/>
    </row>
    <row r="54" spans="1:19" ht="12" customHeight="1" x14ac:dyDescent="0.25">
      <c r="A54" s="4" t="str">
        <f t="shared" si="5"/>
        <v>01</v>
      </c>
      <c r="B54" s="89" t="s">
        <v>2387</v>
      </c>
      <c r="C54" s="748"/>
      <c r="D54" s="89"/>
      <c r="E54" s="89"/>
      <c r="F54" s="89"/>
      <c r="G54" s="89"/>
      <c r="H54" s="89"/>
      <c r="I54" s="747" t="s">
        <v>2388</v>
      </c>
      <c r="J54" s="749"/>
      <c r="K54" s="999"/>
      <c r="L54" s="1765"/>
      <c r="M54" s="995"/>
      <c r="N54" s="643"/>
      <c r="O54" s="643"/>
      <c r="P54" s="643"/>
      <c r="Q54" s="643"/>
      <c r="R54" s="89"/>
      <c r="S54" s="89"/>
    </row>
    <row r="55" spans="1:19" ht="12" customHeight="1" x14ac:dyDescent="0.25">
      <c r="A55" s="4" t="str">
        <f t="shared" si="5"/>
        <v>01</v>
      </c>
      <c r="B55" s="89" t="s">
        <v>2389</v>
      </c>
      <c r="C55" s="748"/>
      <c r="D55" s="89"/>
      <c r="E55" s="89"/>
      <c r="F55" s="89"/>
      <c r="G55" s="89"/>
      <c r="H55" s="89"/>
      <c r="I55" s="747" t="s">
        <v>2390</v>
      </c>
      <c r="J55" s="749"/>
      <c r="K55" s="999"/>
      <c r="L55" s="1765"/>
      <c r="M55" s="995"/>
      <c r="N55" s="643"/>
      <c r="O55" s="643"/>
      <c r="P55" s="643"/>
      <c r="Q55" s="643"/>
      <c r="R55" s="89"/>
      <c r="S55" s="89"/>
    </row>
    <row r="56" spans="1:19" ht="12" customHeight="1" x14ac:dyDescent="0.25">
      <c r="A56" s="4" t="str">
        <f t="shared" si="5"/>
        <v>01</v>
      </c>
      <c r="B56" s="89" t="s">
        <v>2391</v>
      </c>
      <c r="C56" s="748"/>
      <c r="D56" s="89"/>
      <c r="E56" s="89"/>
      <c r="F56" s="89"/>
      <c r="G56" s="89"/>
      <c r="H56" s="89"/>
      <c r="I56" s="747" t="s">
        <v>2392</v>
      </c>
      <c r="J56" s="749"/>
      <c r="K56" s="838"/>
      <c r="L56" s="1765"/>
      <c r="M56" s="995"/>
      <c r="N56" s="643"/>
      <c r="O56" s="643"/>
      <c r="P56" s="643"/>
      <c r="Q56" s="643"/>
      <c r="R56" s="89"/>
      <c r="S56" s="89"/>
    </row>
    <row r="57" spans="1:19" ht="12" customHeight="1" x14ac:dyDescent="0.25">
      <c r="A57" s="4" t="str">
        <f t="shared" si="5"/>
        <v>01</v>
      </c>
      <c r="B57" s="89" t="s">
        <v>2393</v>
      </c>
      <c r="C57" s="748"/>
      <c r="D57" s="89"/>
      <c r="E57" s="89"/>
      <c r="F57" s="89"/>
      <c r="G57" s="89"/>
      <c r="H57" s="89"/>
      <c r="I57" s="747" t="s">
        <v>2394</v>
      </c>
      <c r="J57" s="749"/>
      <c r="K57" s="838"/>
      <c r="L57" s="1765"/>
      <c r="M57" s="995"/>
      <c r="N57" s="643"/>
      <c r="O57" s="643"/>
      <c r="P57" s="643"/>
      <c r="Q57" s="643"/>
      <c r="R57" s="89"/>
      <c r="S57" s="89"/>
    </row>
    <row r="58" spans="1:19" ht="12" customHeight="1" x14ac:dyDescent="0.25">
      <c r="A58" s="4" t="str">
        <f t="shared" si="5"/>
        <v>01</v>
      </c>
      <c r="B58" s="89" t="s">
        <v>2395</v>
      </c>
      <c r="C58" s="3019" t="s">
        <v>2354</v>
      </c>
      <c r="D58" s="3019"/>
      <c r="E58" s="3019"/>
      <c r="F58" s="3019"/>
      <c r="G58" s="3019"/>
      <c r="H58" s="89"/>
      <c r="I58" s="747" t="s">
        <v>2396</v>
      </c>
      <c r="J58" s="749"/>
      <c r="K58" s="838"/>
      <c r="L58" s="1765"/>
      <c r="M58" s="995"/>
      <c r="N58" s="643"/>
      <c r="O58" s="643"/>
      <c r="P58" s="643"/>
      <c r="Q58" s="643"/>
      <c r="R58" s="89"/>
      <c r="S58" s="89"/>
    </row>
    <row r="59" spans="1:19" ht="12" customHeight="1" x14ac:dyDescent="0.25">
      <c r="A59" s="4" t="str">
        <f t="shared" si="5"/>
        <v>01</v>
      </c>
      <c r="B59" s="89" t="s">
        <v>2397</v>
      </c>
      <c r="C59" s="3019" t="s">
        <v>2354</v>
      </c>
      <c r="D59" s="3019"/>
      <c r="E59" s="3019"/>
      <c r="F59" s="3019"/>
      <c r="G59" s="3019"/>
      <c r="H59" s="89"/>
      <c r="I59" s="747" t="s">
        <v>2398</v>
      </c>
      <c r="J59" s="749"/>
      <c r="K59" s="838"/>
      <c r="L59" s="1765"/>
      <c r="M59" s="995"/>
      <c r="N59" s="643"/>
      <c r="O59" s="643"/>
      <c r="P59" s="643"/>
      <c r="Q59" s="643"/>
      <c r="R59" s="89"/>
      <c r="S59" s="89"/>
    </row>
    <row r="60" spans="1:19" ht="12" customHeight="1" x14ac:dyDescent="0.25">
      <c r="A60" s="4" t="str">
        <f t="shared" si="5"/>
        <v>01</v>
      </c>
      <c r="B60" s="89" t="s">
        <v>2399</v>
      </c>
      <c r="C60" s="3019" t="s">
        <v>2354</v>
      </c>
      <c r="D60" s="3019"/>
      <c r="E60" s="3019"/>
      <c r="F60" s="3019"/>
      <c r="G60" s="3019"/>
      <c r="H60" s="89"/>
      <c r="I60" s="747" t="s">
        <v>2400</v>
      </c>
      <c r="J60" s="749"/>
      <c r="K60" s="838"/>
      <c r="L60" s="1765"/>
      <c r="M60" s="995"/>
      <c r="N60" s="643"/>
      <c r="O60" s="643"/>
      <c r="P60" s="643"/>
      <c r="Q60" s="643"/>
      <c r="R60" s="89"/>
      <c r="S60" s="89"/>
    </row>
    <row r="61" spans="1:19" ht="12" customHeight="1" x14ac:dyDescent="0.25">
      <c r="A61" s="4" t="str">
        <f t="shared" si="5"/>
        <v>01</v>
      </c>
      <c r="B61" s="89" t="s">
        <v>2401</v>
      </c>
      <c r="C61" s="3019" t="s">
        <v>2354</v>
      </c>
      <c r="D61" s="3019"/>
      <c r="E61" s="3019"/>
      <c r="F61" s="3019"/>
      <c r="G61" s="3019"/>
      <c r="H61" s="89"/>
      <c r="I61" s="747" t="s">
        <v>2402</v>
      </c>
      <c r="J61" s="749"/>
      <c r="K61" s="838"/>
      <c r="L61" s="1765"/>
      <c r="M61" s="995"/>
      <c r="N61" s="643"/>
      <c r="O61" s="643"/>
      <c r="P61" s="643"/>
      <c r="Q61" s="643"/>
      <c r="R61" s="89"/>
      <c r="S61" s="89"/>
    </row>
    <row r="62" spans="1:19" ht="13.5" x14ac:dyDescent="0.25">
      <c r="A62" s="4" t="str">
        <f t="shared" si="5"/>
        <v>01</v>
      </c>
      <c r="B62" s="89"/>
      <c r="C62" s="89"/>
      <c r="D62" s="89"/>
      <c r="E62" s="89"/>
      <c r="F62" s="89"/>
      <c r="G62" s="89"/>
      <c r="H62" s="89"/>
      <c r="I62" s="747"/>
      <c r="J62" s="749"/>
      <c r="K62" s="995"/>
      <c r="L62" s="1766"/>
      <c r="M62" s="643"/>
      <c r="N62" s="643"/>
      <c r="O62" s="643"/>
      <c r="P62" s="643"/>
      <c r="Q62" s="643"/>
      <c r="R62" s="89"/>
      <c r="S62" s="89"/>
    </row>
    <row r="63" spans="1:19" ht="15" customHeight="1" x14ac:dyDescent="0.25">
      <c r="A63" s="4" t="str">
        <f t="shared" si="5"/>
        <v>01</v>
      </c>
      <c r="B63" s="89"/>
      <c r="C63" s="89"/>
      <c r="D63" s="89"/>
      <c r="E63" s="89"/>
      <c r="F63" s="89"/>
      <c r="G63" s="89"/>
      <c r="H63" s="89"/>
      <c r="I63" s="983"/>
      <c r="J63" s="749"/>
      <c r="K63" s="995"/>
      <c r="L63" s="1766"/>
      <c r="M63" s="158" t="s">
        <v>2403</v>
      </c>
      <c r="N63" s="643"/>
      <c r="O63" s="995"/>
      <c r="P63" s="89"/>
      <c r="Q63" s="89"/>
      <c r="R63" s="89"/>
      <c r="S63" s="89"/>
    </row>
    <row r="64" spans="1:19" ht="12.6" customHeight="1" x14ac:dyDescent="0.25">
      <c r="A64" s="4" t="str">
        <f t="shared" si="5"/>
        <v>01</v>
      </c>
      <c r="B64" s="89"/>
      <c r="C64" s="89"/>
      <c r="D64" s="89"/>
      <c r="E64" s="89"/>
      <c r="F64" s="89"/>
      <c r="G64" s="89"/>
      <c r="H64" s="89"/>
      <c r="I64" s="747"/>
      <c r="J64" s="991"/>
      <c r="K64" s="995"/>
      <c r="L64" s="643"/>
      <c r="M64" s="838"/>
      <c r="N64" s="643"/>
      <c r="O64" s="643" t="s">
        <v>2404</v>
      </c>
      <c r="P64" s="89"/>
      <c r="Q64" s="89"/>
      <c r="R64" s="89"/>
      <c r="S64" s="89"/>
    </row>
    <row r="65" spans="1:19" ht="12.6" customHeight="1" x14ac:dyDescent="0.25">
      <c r="A65" s="4" t="str">
        <f t="shared" ref="A65:A74" si="6">AgyIdx</f>
        <v>01</v>
      </c>
      <c r="B65" s="89"/>
      <c r="C65" s="89"/>
      <c r="D65" s="89"/>
      <c r="E65" s="89"/>
      <c r="F65" s="89"/>
      <c r="G65" s="89"/>
      <c r="H65" s="89"/>
      <c r="I65" s="747"/>
      <c r="J65" s="991"/>
      <c r="K65" s="995"/>
      <c r="L65" s="643"/>
      <c r="M65" s="838"/>
      <c r="N65" s="643"/>
      <c r="O65" s="643" t="s">
        <v>2405</v>
      </c>
      <c r="P65" s="89"/>
      <c r="Q65" s="89"/>
      <c r="R65" s="89"/>
      <c r="S65" s="89"/>
    </row>
    <row r="66" spans="1:19" ht="12.6" customHeight="1" x14ac:dyDescent="0.25">
      <c r="A66" s="4" t="str">
        <f t="shared" si="6"/>
        <v>01</v>
      </c>
      <c r="B66" s="858"/>
      <c r="C66" s="89"/>
      <c r="D66" s="89"/>
      <c r="E66" s="89"/>
      <c r="F66" s="89"/>
      <c r="G66" s="89"/>
      <c r="H66" s="89"/>
      <c r="I66" s="747"/>
      <c r="J66" s="991"/>
      <c r="K66" s="995"/>
      <c r="L66" s="643"/>
      <c r="M66" s="838"/>
      <c r="N66" s="643"/>
      <c r="O66" s="643" t="s">
        <v>2406</v>
      </c>
      <c r="P66" s="89"/>
      <c r="Q66" s="89"/>
      <c r="R66" s="89"/>
      <c r="S66" s="89"/>
    </row>
    <row r="67" spans="1:19" ht="12.6" customHeight="1" x14ac:dyDescent="0.25">
      <c r="A67" s="4" t="str">
        <f t="shared" si="6"/>
        <v>01</v>
      </c>
      <c r="B67" s="858"/>
      <c r="C67" s="858"/>
      <c r="D67" s="89"/>
      <c r="E67" s="89"/>
      <c r="F67" s="89"/>
      <c r="G67" s="89"/>
      <c r="H67" s="89"/>
      <c r="I67" s="747"/>
      <c r="J67" s="991"/>
      <c r="K67" s="995"/>
      <c r="L67" s="643"/>
      <c r="M67" s="838"/>
      <c r="N67" s="643"/>
      <c r="O67" s="643" t="s">
        <v>2407</v>
      </c>
      <c r="P67" s="89"/>
      <c r="Q67" s="89"/>
      <c r="R67" s="89"/>
      <c r="S67" s="89"/>
    </row>
    <row r="68" spans="1:19" ht="12.6" customHeight="1" x14ac:dyDescent="0.25">
      <c r="B68" s="858"/>
      <c r="C68" s="858"/>
      <c r="D68" s="89"/>
      <c r="E68" s="89"/>
      <c r="F68" s="89"/>
      <c r="G68" s="89"/>
      <c r="H68" s="89"/>
      <c r="I68" s="747"/>
      <c r="J68" s="991"/>
      <c r="K68" s="995"/>
      <c r="L68" s="643"/>
      <c r="M68" s="838"/>
      <c r="N68" s="643"/>
      <c r="O68" s="643" t="s">
        <v>2408</v>
      </c>
      <c r="P68" s="89"/>
      <c r="Q68" s="89"/>
      <c r="R68" s="89"/>
      <c r="S68" s="89"/>
    </row>
    <row r="69" spans="1:19" ht="12.6" customHeight="1" x14ac:dyDescent="0.25">
      <c r="A69" s="4" t="str">
        <f t="shared" si="6"/>
        <v>01</v>
      </c>
      <c r="B69" s="159" t="s">
        <v>2409</v>
      </c>
      <c r="C69" s="858"/>
      <c r="D69" s="89"/>
      <c r="E69" s="89"/>
      <c r="F69" s="89"/>
      <c r="G69" s="89"/>
      <c r="H69" s="89"/>
      <c r="I69" s="747"/>
      <c r="J69" s="991"/>
      <c r="K69" s="995"/>
      <c r="L69" s="643"/>
      <c r="M69" s="995"/>
      <c r="N69" s="643"/>
      <c r="O69" s="643"/>
      <c r="P69" s="89"/>
      <c r="Q69" s="89"/>
      <c r="R69" s="89"/>
      <c r="S69" s="89"/>
    </row>
    <row r="70" spans="1:19" ht="12" customHeight="1" thickBot="1" x14ac:dyDescent="0.3">
      <c r="A70" s="4" t="str">
        <f t="shared" si="6"/>
        <v>01</v>
      </c>
      <c r="B70" s="159" t="s">
        <v>2410</v>
      </c>
      <c r="C70" s="858"/>
      <c r="D70" s="858"/>
      <c r="E70" s="858"/>
      <c r="F70" s="858"/>
      <c r="G70" s="858"/>
      <c r="H70" s="89"/>
      <c r="I70" s="1000" t="s">
        <v>2411</v>
      </c>
      <c r="J70" s="749"/>
      <c r="K70" s="1767">
        <f>K38+SUM(K41:K62)</f>
        <v>0</v>
      </c>
      <c r="L70" s="747"/>
      <c r="M70" s="1767">
        <f>SUM(M64:M68)</f>
        <v>0</v>
      </c>
      <c r="N70" s="89"/>
      <c r="O70" s="858" t="s">
        <v>2412</v>
      </c>
      <c r="P70" s="89"/>
      <c r="Q70" s="89"/>
      <c r="R70" s="89"/>
      <c r="S70" s="89"/>
    </row>
    <row r="71" spans="1:19" ht="6" customHeight="1" thickTop="1" x14ac:dyDescent="0.2">
      <c r="A71" s="4" t="str">
        <f t="shared" si="6"/>
        <v>01</v>
      </c>
      <c r="B71" s="89"/>
      <c r="C71" s="89"/>
      <c r="D71" s="89"/>
      <c r="E71" s="89"/>
      <c r="F71" s="89"/>
      <c r="G71" s="89"/>
      <c r="H71" s="89"/>
      <c r="I71" s="642"/>
      <c r="J71" s="89"/>
      <c r="K71" s="643"/>
      <c r="L71" s="89"/>
      <c r="M71" s="643"/>
      <c r="N71" s="643"/>
      <c r="O71" s="6"/>
      <c r="P71" s="643"/>
      <c r="Q71" s="643"/>
      <c r="R71" s="89"/>
      <c r="S71" s="89"/>
    </row>
    <row r="72" spans="1:19" ht="15" customHeight="1" thickBot="1" x14ac:dyDescent="0.3">
      <c r="A72" s="4" t="str">
        <f t="shared" si="6"/>
        <v>01</v>
      </c>
      <c r="B72" s="160"/>
      <c r="C72" s="160"/>
      <c r="D72" s="160"/>
      <c r="E72" s="160"/>
      <c r="F72" s="160"/>
      <c r="G72" s="160"/>
      <c r="H72" s="160"/>
      <c r="I72" s="1000" t="s">
        <v>2413</v>
      </c>
      <c r="K72" s="1767"/>
      <c r="L72" s="858" t="s">
        <v>2412</v>
      </c>
      <c r="M72" s="89"/>
      <c r="N72" s="89"/>
      <c r="O72" s="161"/>
      <c r="P72" s="161"/>
      <c r="Q72" s="161"/>
    </row>
    <row r="73" spans="1:19" ht="13.5" thickTop="1" x14ac:dyDescent="0.2">
      <c r="A73" s="4" t="str">
        <f t="shared" si="6"/>
        <v>01</v>
      </c>
      <c r="I73" s="642" t="s">
        <v>2414</v>
      </c>
      <c r="K73" s="643">
        <f>K70-K72</f>
        <v>0</v>
      </c>
      <c r="L73" s="6"/>
      <c r="M73" s="6"/>
      <c r="N73" s="6"/>
      <c r="P73" s="6"/>
      <c r="Q73" s="6"/>
    </row>
    <row r="74" spans="1:19" x14ac:dyDescent="0.2">
      <c r="A74" s="4" t="str">
        <f t="shared" si="6"/>
        <v>01</v>
      </c>
    </row>
    <row r="75" spans="1:19" ht="15" x14ac:dyDescent="0.2">
      <c r="A75" s="421" t="str">
        <f ca="1">MID(CELL("filename",A41),FIND("]",CELL("filename",A41))+1,256)</f>
        <v>710</v>
      </c>
      <c r="B75" s="421" t="s">
        <v>613</v>
      </c>
      <c r="K75" s="421"/>
    </row>
    <row r="76" spans="1:19" ht="15" x14ac:dyDescent="0.2">
      <c r="A76" s="421" t="s">
        <v>401</v>
      </c>
      <c r="B76" s="421" t="str">
        <f t="shared" ref="B76:B85" ca="1" si="7">IF(ISNA(INDEX(ErrorTable,MATCH($A$75&amp;$A76&amp;FALSE,ErrorKey,0),6)),"",INDEX(ErrorTable,MATCH($A$75&amp;$A76&amp;FALSE,ErrorKey,0),6))</f>
        <v/>
      </c>
    </row>
    <row r="77" spans="1:19" ht="15" x14ac:dyDescent="0.2">
      <c r="A77" s="421" t="s">
        <v>402</v>
      </c>
      <c r="B77" s="421" t="str">
        <f t="shared" ca="1" si="7"/>
        <v/>
      </c>
    </row>
    <row r="78" spans="1:19" ht="15" x14ac:dyDescent="0.2">
      <c r="A78" s="421" t="s">
        <v>403</v>
      </c>
      <c r="B78" s="421" t="str">
        <f t="shared" ca="1" si="7"/>
        <v/>
      </c>
    </row>
    <row r="79" spans="1:19" ht="15" x14ac:dyDescent="0.2">
      <c r="A79" s="421" t="s">
        <v>404</v>
      </c>
      <c r="B79" s="421" t="str">
        <f t="shared" ca="1" si="7"/>
        <v/>
      </c>
    </row>
    <row r="80" spans="1:19" ht="15" x14ac:dyDescent="0.2">
      <c r="A80" s="421" t="s">
        <v>405</v>
      </c>
      <c r="B80" s="421" t="str">
        <f t="shared" ca="1" si="7"/>
        <v/>
      </c>
    </row>
    <row r="81" spans="1:2" ht="15" x14ac:dyDescent="0.2">
      <c r="A81" s="421" t="s">
        <v>406</v>
      </c>
      <c r="B81" s="421" t="str">
        <f t="shared" ca="1" si="7"/>
        <v/>
      </c>
    </row>
    <row r="82" spans="1:2" ht="15" x14ac:dyDescent="0.2">
      <c r="A82" s="421" t="s">
        <v>407</v>
      </c>
      <c r="B82" s="421" t="str">
        <f t="shared" ca="1" si="7"/>
        <v/>
      </c>
    </row>
    <row r="83" spans="1:2" ht="15" x14ac:dyDescent="0.2">
      <c r="A83" s="421" t="s">
        <v>408</v>
      </c>
      <c r="B83" s="421" t="str">
        <f t="shared" ca="1" si="7"/>
        <v/>
      </c>
    </row>
    <row r="84" spans="1:2" ht="15" x14ac:dyDescent="0.2">
      <c r="A84" s="421" t="s">
        <v>409</v>
      </c>
      <c r="B84" s="421" t="str">
        <f t="shared" ca="1" si="7"/>
        <v/>
      </c>
    </row>
    <row r="85" spans="1:2" ht="15" x14ac:dyDescent="0.2">
      <c r="A85" s="421" t="s">
        <v>410</v>
      </c>
      <c r="B85" s="421" t="str">
        <f t="shared" ca="1" si="7"/>
        <v/>
      </c>
    </row>
  </sheetData>
  <sheetProtection algorithmName="SHA-512" hashValue="H54/rS4KJpq0G6XTxkB9ytmOUeYudtEJ2DtfRT3VUw23ojV5QinzI+7EA6/LTO4ZAWyK/FOlTJd1FO+l2r9Now==" saltValue="5wPxLBsvjIKxCbl/VbLFbw==" spinCount="100000" sheet="1" autoFilter="0"/>
  <customSheetViews>
    <customSheetView guid="{9FCFC836-1CA5-48BF-958D-24D2EA94B219}" showGridLines="0" fitToPage="1">
      <pageMargins left="0" right="0" top="0" bottom="0" header="0" footer="0"/>
      <printOptions horizontalCentered="1"/>
      <pageSetup scale="89" orientation="portrait" horizontalDpi="1200" verticalDpi="1200" r:id="rId1"/>
      <headerFooter alignWithMargins="0">
        <oddHeader xml:space="preserve"> </oddHeader>
        <oddFooter>&amp;R&amp;A</oddFooter>
      </headerFooter>
    </customSheetView>
    <customSheetView guid="{BEA4BE86-04D1-4C96-9358-7A260B9D2B2D}" showGridLines="0" showRuler="0">
      <selection activeCell="D8" sqref="D8:F8"/>
      <pageMargins left="0" right="0" top="0" bottom="0" header="0" footer="0"/>
      <printOptions horizontalCentered="1"/>
      <pageSetup scale="98" orientation="portrait" horizontalDpi="4294967292" verticalDpi="4294967292" r:id="rId2"/>
      <headerFooter alignWithMargins="0">
        <oddHeader xml:space="preserve"> </oddHeader>
        <oddFooter>&amp;R&amp;A</oddFooter>
      </headerFooter>
    </customSheetView>
    <customSheetView guid="{1250FD07-FF56-4A9D-AF9E-C27124A7EBE9}" showGridLines="0" showRuler="0">
      <selection activeCell="D8" sqref="D8:F8"/>
      <pageMargins left="0" right="0" top="0" bottom="0" header="0" footer="0"/>
      <printOptions horizontalCentered="1"/>
      <pageSetup scale="98" orientation="portrait" horizontalDpi="4294967292" verticalDpi="4294967292" r:id="rId3"/>
      <headerFooter alignWithMargins="0">
        <oddHeader xml:space="preserve"> </oddHeader>
        <oddFooter>&amp;R&amp;A</oddFooter>
      </headerFooter>
    </customSheetView>
    <customSheetView guid="{B08879A4-635B-4C39-9937-AC7883D562FC}" showGridLines="0" fitToPage="1">
      <pageMargins left="0" right="0" top="0" bottom="0" header="0" footer="0"/>
      <printOptions horizontalCentered="1"/>
      <pageSetup scale="89" orientation="portrait" horizontalDpi="1200" verticalDpi="1200" r:id="rId4"/>
      <headerFooter alignWithMargins="0">
        <oddHeader xml:space="preserve"> </oddHeader>
        <oddFooter>&amp;R&amp;A</oddFooter>
      </headerFooter>
    </customSheetView>
  </customSheetViews>
  <mergeCells count="18">
    <mergeCell ref="E8:G8"/>
    <mergeCell ref="C58:G58"/>
    <mergeCell ref="M13:O13"/>
    <mergeCell ref="M12:Q12"/>
    <mergeCell ref="M8:Q8"/>
    <mergeCell ref="M9:Q9"/>
    <mergeCell ref="U1:U3"/>
    <mergeCell ref="B4:R4"/>
    <mergeCell ref="M6:Q6"/>
    <mergeCell ref="M7:Q7"/>
    <mergeCell ref="B1:R1"/>
    <mergeCell ref="B2:R2"/>
    <mergeCell ref="B3:R3"/>
    <mergeCell ref="C36:G36"/>
    <mergeCell ref="C37:G37"/>
    <mergeCell ref="C59:G59"/>
    <mergeCell ref="C60:G60"/>
    <mergeCell ref="C61:G61"/>
  </mergeCells>
  <phoneticPr fontId="18" type="noConversion"/>
  <conditionalFormatting sqref="S1:S3">
    <cfRule type="cellIs" dxfId="43" priority="2" stopIfTrue="1" operator="equal">
      <formula>"na"</formula>
    </cfRule>
  </conditionalFormatting>
  <conditionalFormatting sqref="U1:U3">
    <cfRule type="cellIs" dxfId="42" priority="1" stopIfTrue="1" operator="equal">
      <formula>"na"</formula>
    </cfRule>
  </conditionalFormatting>
  <dataValidations count="1">
    <dataValidation allowBlank="1" showInputMessage="1" showErrorMessage="1" prompt="Enter 'Gross' Amount" sqref="K43" xr:uid="{2FC13116-6AF6-439D-827F-ABCE911D4C25}"/>
  </dataValidations>
  <hyperlinks>
    <hyperlink ref="B1:R1" location="Index!A1" display="Index!A1" xr:uid="{00000000-0004-0000-3E00-000000000000}"/>
  </hyperlinks>
  <pageMargins left="0.6" right="0.6" top="0.5" bottom="0.5" header="0.3" footer="0.3"/>
  <pageSetup scale="74" fitToHeight="0" orientation="portrait" r:id="rId5"/>
  <drawing r:id="rId6"/>
  <extLst>
    <ext xmlns:x14="http://schemas.microsoft.com/office/spreadsheetml/2009/9/main" uri="{CCE6A557-97BC-4b89-ADB6-D9C93CAAB3DF}">
      <x14:dataValidations xmlns:xm="http://schemas.microsoft.com/office/excel/2006/main" count="2">
        <x14:dataValidation type="list" allowBlank="1" showInputMessage="1" showErrorMessage="1" xr:uid="{3855898D-A5AC-4455-A3B1-CAA902980274}">
          <x14:formula1>
            <xm:f>Notes!$X$3:$X$6</xm:f>
          </x14:formula1>
          <xm:sqref>C36:G37</xm:sqref>
        </x14:dataValidation>
        <x14:dataValidation type="list" allowBlank="1" showInputMessage="1" showErrorMessage="1" xr:uid="{BB5CE6BE-4254-4ABB-B879-FA15508C0E4D}">
          <x14:formula1>
            <xm:f>Notes!$X$10:$X$20</xm:f>
          </x14:formula1>
          <xm:sqref>C58:G61</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dimension ref="A1:W62"/>
  <sheetViews>
    <sheetView showGridLines="0" topLeftCell="C1" zoomScaleNormal="100" zoomScaleSheetLayoutView="100" workbookViewId="0">
      <selection activeCell="W40" sqref="W40"/>
    </sheetView>
  </sheetViews>
  <sheetFormatPr defaultColWidth="9.42578125" defaultRowHeight="12.75" x14ac:dyDescent="0.2"/>
  <cols>
    <col min="1" max="1" width="0" style="7" hidden="1" customWidth="1"/>
    <col min="2" max="2" width="9.42578125" style="7" hidden="1" customWidth="1"/>
    <col min="3" max="3" width="12.5703125" style="7" customWidth="1"/>
    <col min="4" max="4" width="4.5703125" style="7" customWidth="1"/>
    <col min="5" max="5" width="8.42578125" style="7" customWidth="1"/>
    <col min="6" max="6" width="1.5703125" style="7" customWidth="1"/>
    <col min="7" max="7" width="14" style="7" customWidth="1"/>
    <col min="8" max="8" width="1.5703125" style="7" customWidth="1"/>
    <col min="9" max="9" width="14" style="7" customWidth="1"/>
    <col min="10" max="10" width="1.5703125" style="7" customWidth="1"/>
    <col min="11" max="11" width="14" style="7" customWidth="1"/>
    <col min="12" max="12" width="1.5703125" style="7" customWidth="1"/>
    <col min="13" max="13" width="14" style="7" customWidth="1"/>
    <col min="14" max="14" width="1.5703125" style="7" customWidth="1"/>
    <col min="15" max="15" width="14" style="7" customWidth="1"/>
    <col min="16" max="16" width="1.5703125" style="7" customWidth="1"/>
    <col min="17" max="17" width="14" style="7" customWidth="1"/>
    <col min="18" max="18" width="4.5703125" style="7" customWidth="1"/>
    <col min="19" max="19" width="9.42578125" style="7" hidden="1" customWidth="1"/>
    <col min="20" max="20" width="17.5703125" style="7" customWidth="1"/>
    <col min="21" max="16384" width="9.42578125" style="7"/>
  </cols>
  <sheetData>
    <row r="1" spans="1:20" s="85" customFormat="1" ht="15" customHeight="1" x14ac:dyDescent="0.25">
      <c r="A1" s="195" t="str">
        <f t="shared" ref="A1:A41" si="0">AgyIdx</f>
        <v>01</v>
      </c>
      <c r="C1" s="2553" t="str">
        <f>+Index!$A$1</f>
        <v xml:space="preserve">                                                               Office of the State Controller                                                                </v>
      </c>
      <c r="D1" s="2553"/>
      <c r="E1" s="2553"/>
      <c r="F1" s="2553"/>
      <c r="G1" s="2553"/>
      <c r="H1" s="2553"/>
      <c r="I1" s="2553"/>
      <c r="J1" s="2553"/>
      <c r="K1" s="2553"/>
      <c r="L1" s="2553"/>
      <c r="M1" s="2553"/>
      <c r="N1" s="2553"/>
      <c r="O1" s="2553"/>
      <c r="P1" s="2553"/>
      <c r="Q1" s="2553"/>
      <c r="R1" s="2626" t="str">
        <f>IF(Index!$B$91="na","NA","")</f>
        <v/>
      </c>
    </row>
    <row r="2" spans="1:20" s="85" customFormat="1" ht="15" customHeight="1" x14ac:dyDescent="0.25">
      <c r="A2" s="195" t="str">
        <f t="shared" si="0"/>
        <v>01</v>
      </c>
      <c r="C2" s="3013" t="str">
        <f>+Index!$A$2</f>
        <v>2024 ACFR Worksheets</v>
      </c>
      <c r="D2" s="3013"/>
      <c r="E2" s="3013"/>
      <c r="F2" s="3013"/>
      <c r="G2" s="3013"/>
      <c r="H2" s="3013"/>
      <c r="I2" s="3013"/>
      <c r="J2" s="3013"/>
      <c r="K2" s="3013"/>
      <c r="L2" s="3013"/>
      <c r="M2" s="3013"/>
      <c r="N2" s="3013"/>
      <c r="O2" s="3013"/>
      <c r="P2" s="3013"/>
      <c r="Q2" s="3013"/>
      <c r="R2" s="2626"/>
    </row>
    <row r="3" spans="1:20" s="85" customFormat="1" ht="15" customHeight="1" x14ac:dyDescent="0.25">
      <c r="A3" s="195" t="str">
        <f t="shared" si="0"/>
        <v>01</v>
      </c>
      <c r="C3" s="3013" t="s">
        <v>2309</v>
      </c>
      <c r="D3" s="3013"/>
      <c r="E3" s="3013"/>
      <c r="F3" s="3013"/>
      <c r="G3" s="3013"/>
      <c r="H3" s="3013"/>
      <c r="I3" s="3013"/>
      <c r="J3" s="3013"/>
      <c r="K3" s="3013"/>
      <c r="L3" s="3013"/>
      <c r="M3" s="3013"/>
      <c r="N3" s="3013"/>
      <c r="O3" s="3013"/>
      <c r="P3" s="3013"/>
      <c r="Q3" s="3013"/>
      <c r="R3" s="2626"/>
    </row>
    <row r="4" spans="1:20" s="85" customFormat="1" ht="15" customHeight="1" x14ac:dyDescent="0.25">
      <c r="A4" s="195" t="str">
        <f t="shared" si="0"/>
        <v>01</v>
      </c>
      <c r="C4" s="3013" t="s">
        <v>2415</v>
      </c>
      <c r="D4" s="3013"/>
      <c r="E4" s="3013"/>
      <c r="F4" s="3013"/>
      <c r="G4" s="3013"/>
      <c r="H4" s="3013"/>
      <c r="I4" s="3013"/>
      <c r="J4" s="3013"/>
      <c r="K4" s="3013"/>
      <c r="L4" s="3013"/>
      <c r="M4" s="3013"/>
      <c r="N4" s="3013"/>
      <c r="O4" s="3013"/>
      <c r="P4" s="3013"/>
      <c r="Q4" s="3013"/>
    </row>
    <row r="5" spans="1:20" s="86" customFormat="1" ht="15" customHeight="1" x14ac:dyDescent="0.2">
      <c r="A5" s="195" t="str">
        <f t="shared" si="0"/>
        <v>01</v>
      </c>
      <c r="M5" s="236"/>
    </row>
    <row r="6" spans="1:20" s="86" customFormat="1" ht="15" customHeight="1" x14ac:dyDescent="0.2">
      <c r="A6" s="195" t="str">
        <f t="shared" si="0"/>
        <v>01</v>
      </c>
      <c r="C6" s="191" t="s">
        <v>318</v>
      </c>
      <c r="E6" s="3012" t="str">
        <f>+Index!$E$10</f>
        <v>01</v>
      </c>
      <c r="F6" s="3012"/>
      <c r="G6" s="3012"/>
      <c r="I6" s="191"/>
      <c r="J6" s="191"/>
      <c r="K6" s="191" t="s">
        <v>2270</v>
      </c>
      <c r="L6" s="3009" t="str">
        <f>+Index!$E$11</f>
        <v>North Carolina General Assembly</v>
      </c>
      <c r="M6" s="3009"/>
      <c r="N6" s="3009"/>
      <c r="O6" s="3009"/>
      <c r="P6" s="3009"/>
      <c r="Q6" s="3009"/>
    </row>
    <row r="7" spans="1:20" s="86" customFormat="1" ht="15" customHeight="1" x14ac:dyDescent="0.2">
      <c r="A7" s="195" t="str">
        <f t="shared" si="0"/>
        <v>01</v>
      </c>
      <c r="E7" s="1760"/>
      <c r="F7" s="1760"/>
      <c r="G7" s="1760"/>
      <c r="I7" s="191"/>
      <c r="J7" s="191"/>
      <c r="K7" s="191" t="s">
        <v>320</v>
      </c>
      <c r="L7" s="3010" t="str">
        <f>CONCATENATE(Index!$E$12," ",Index!$E$14)</f>
        <v xml:space="preserve"> </v>
      </c>
      <c r="M7" s="3010"/>
      <c r="N7" s="3010"/>
      <c r="O7" s="3010"/>
      <c r="P7" s="3010"/>
      <c r="Q7" s="3010"/>
    </row>
    <row r="8" spans="1:20" s="86" customFormat="1" ht="15" customHeight="1" x14ac:dyDescent="0.2">
      <c r="A8" s="195" t="str">
        <f t="shared" si="0"/>
        <v>01</v>
      </c>
      <c r="C8" s="86" t="s">
        <v>545</v>
      </c>
      <c r="E8" s="3012" t="s">
        <v>762</v>
      </c>
      <c r="F8" s="3012"/>
      <c r="G8" s="3012"/>
      <c r="I8" s="191"/>
      <c r="J8" s="191"/>
      <c r="K8" s="191" t="s">
        <v>168</v>
      </c>
      <c r="L8" s="3010">
        <f>+Index!$E$13</f>
        <v>0</v>
      </c>
      <c r="M8" s="3010"/>
      <c r="N8" s="3010"/>
      <c r="O8" s="3010"/>
      <c r="P8" s="3010"/>
      <c r="Q8" s="3010"/>
    </row>
    <row r="9" spans="1:20" s="86" customFormat="1" ht="12" customHeight="1" thickBot="1" x14ac:dyDescent="0.25">
      <c r="A9" s="195" t="str">
        <f t="shared" si="0"/>
        <v>01</v>
      </c>
      <c r="C9" s="142"/>
      <c r="D9" s="142"/>
      <c r="E9" s="142"/>
      <c r="F9" s="142"/>
      <c r="G9" s="142"/>
      <c r="H9" s="142"/>
      <c r="I9" s="142"/>
      <c r="J9" s="142"/>
      <c r="K9" s="142"/>
      <c r="L9" s="142"/>
      <c r="M9" s="142"/>
      <c r="N9" s="142"/>
      <c r="O9" s="142"/>
      <c r="P9" s="142"/>
      <c r="Q9" s="142"/>
    </row>
    <row r="10" spans="1:20" s="86" customFormat="1" ht="12" customHeight="1" x14ac:dyDescent="0.2">
      <c r="A10" s="195" t="str">
        <f t="shared" si="0"/>
        <v>01</v>
      </c>
    </row>
    <row r="11" spans="1:20" s="86" customFormat="1" ht="12.75" customHeight="1" x14ac:dyDescent="0.25">
      <c r="A11" s="195" t="str">
        <f t="shared" si="0"/>
        <v>01</v>
      </c>
      <c r="C11" s="143"/>
      <c r="D11" s="143"/>
      <c r="E11" s="143"/>
      <c r="F11" s="143"/>
      <c r="G11" s="2414"/>
      <c r="H11" s="143"/>
      <c r="I11" s="3017" t="s">
        <v>2271</v>
      </c>
      <c r="J11" s="3017"/>
      <c r="K11" s="3017"/>
      <c r="L11" s="3017"/>
      <c r="M11" s="3017"/>
      <c r="N11" s="1333"/>
      <c r="O11" s="1333"/>
      <c r="P11" s="1333"/>
      <c r="Q11" s="1333"/>
    </row>
    <row r="12" spans="1:20" s="86" customFormat="1" ht="12.75" customHeight="1" x14ac:dyDescent="0.25">
      <c r="A12" s="195"/>
      <c r="C12" s="143"/>
      <c r="D12" s="143"/>
      <c r="E12" s="143"/>
      <c r="F12" s="143"/>
      <c r="G12" s="2414"/>
      <c r="H12" s="143"/>
      <c r="I12" s="1299" t="s">
        <v>2416</v>
      </c>
      <c r="J12" s="1299"/>
      <c r="K12" s="1299" t="s">
        <v>2417</v>
      </c>
      <c r="L12" s="1299"/>
      <c r="M12" s="1299" t="s">
        <v>2418</v>
      </c>
      <c r="N12" s="1299"/>
      <c r="O12" s="1299" t="s">
        <v>2419</v>
      </c>
      <c r="P12" s="1333"/>
      <c r="Q12" s="1333"/>
    </row>
    <row r="13" spans="1:20" s="86" customFormat="1" ht="12.75" customHeight="1" x14ac:dyDescent="0.25">
      <c r="A13" s="195" t="str">
        <f t="shared" si="0"/>
        <v>01</v>
      </c>
      <c r="C13" s="143"/>
      <c r="D13" s="143"/>
      <c r="E13" s="143"/>
      <c r="F13" s="143"/>
      <c r="G13" s="646"/>
      <c r="H13" s="143"/>
      <c r="I13" s="1761"/>
      <c r="J13" s="149"/>
      <c r="K13" s="192"/>
      <c r="L13" s="194"/>
      <c r="M13" s="2414" t="s">
        <v>2272</v>
      </c>
      <c r="N13" s="149"/>
      <c r="O13" s="144"/>
      <c r="P13" s="143"/>
      <c r="Q13" s="143"/>
    </row>
    <row r="14" spans="1:20" s="86" customFormat="1" ht="12" customHeight="1" x14ac:dyDescent="0.25">
      <c r="A14" s="195" t="str">
        <f t="shared" si="0"/>
        <v>01</v>
      </c>
      <c r="C14" s="143"/>
      <c r="D14" s="143"/>
      <c r="E14" s="143"/>
      <c r="F14" s="143"/>
      <c r="G14" s="2414" t="s">
        <v>962</v>
      </c>
      <c r="H14" s="143"/>
      <c r="I14" s="2414"/>
      <c r="J14" s="149"/>
      <c r="K14" s="193"/>
      <c r="L14" s="194"/>
      <c r="M14" s="2414" t="s">
        <v>2273</v>
      </c>
      <c r="N14" s="149"/>
      <c r="O14" s="144"/>
      <c r="P14" s="143"/>
      <c r="Q14" s="143"/>
      <c r="T14" s="143"/>
    </row>
    <row r="15" spans="1:20" s="86" customFormat="1" ht="12" customHeight="1" x14ac:dyDescent="0.25">
      <c r="A15" s="195" t="str">
        <f t="shared" si="0"/>
        <v>01</v>
      </c>
      <c r="C15" s="3018"/>
      <c r="D15" s="2754"/>
      <c r="E15" s="2754"/>
      <c r="F15" s="143"/>
      <c r="G15" s="2414" t="s">
        <v>2274</v>
      </c>
      <c r="H15" s="143"/>
      <c r="I15" s="2414" t="s">
        <v>2275</v>
      </c>
      <c r="J15" s="149"/>
      <c r="K15" s="2414" t="s">
        <v>2272</v>
      </c>
      <c r="L15" s="195"/>
      <c r="M15" s="2414" t="s">
        <v>2276</v>
      </c>
      <c r="N15" s="149"/>
      <c r="O15" s="2414" t="s">
        <v>2277</v>
      </c>
      <c r="P15" s="143"/>
      <c r="Q15" s="143"/>
      <c r="T15" s="646" t="s">
        <v>2319</v>
      </c>
    </row>
    <row r="16" spans="1:20" s="86" customFormat="1" ht="12" customHeight="1" x14ac:dyDescent="0.25">
      <c r="A16" s="195" t="str">
        <f t="shared" si="0"/>
        <v>01</v>
      </c>
      <c r="C16" s="3017" t="s">
        <v>2278</v>
      </c>
      <c r="D16" s="2677"/>
      <c r="E16" s="2677"/>
      <c r="F16" s="143"/>
      <c r="G16" s="2413" t="s">
        <v>2279</v>
      </c>
      <c r="H16" s="143"/>
      <c r="I16" s="2413" t="s">
        <v>2280</v>
      </c>
      <c r="J16" s="149"/>
      <c r="K16" s="2413" t="s">
        <v>2281</v>
      </c>
      <c r="L16" s="194"/>
      <c r="M16" s="2413" t="s">
        <v>2282</v>
      </c>
      <c r="N16" s="149"/>
      <c r="O16" s="2413" t="s">
        <v>2283</v>
      </c>
      <c r="P16" s="143"/>
      <c r="Q16" s="647" t="s">
        <v>962</v>
      </c>
      <c r="T16" s="647" t="s">
        <v>553</v>
      </c>
    </row>
    <row r="17" spans="1:23" s="87" customFormat="1" ht="12" customHeight="1" x14ac:dyDescent="0.2">
      <c r="A17" s="195" t="str">
        <f t="shared" si="0"/>
        <v>01</v>
      </c>
      <c r="B17" s="1334" t="s">
        <v>2420</v>
      </c>
      <c r="C17" s="1334"/>
      <c r="D17" s="146"/>
      <c r="E17" s="146"/>
      <c r="F17" s="146"/>
      <c r="G17" s="640" t="s">
        <v>570</v>
      </c>
      <c r="H17" s="641"/>
      <c r="I17" s="640" t="s">
        <v>571</v>
      </c>
      <c r="J17" s="641"/>
      <c r="K17" s="640" t="s">
        <v>572</v>
      </c>
      <c r="L17" s="641"/>
      <c r="M17" s="640" t="s">
        <v>573</v>
      </c>
      <c r="N17" s="641"/>
      <c r="O17" s="640" t="s">
        <v>574</v>
      </c>
      <c r="P17" s="641"/>
      <c r="Q17" s="640" t="s">
        <v>575</v>
      </c>
      <c r="R17" s="1334"/>
      <c r="S17" s="1334"/>
      <c r="T17" s="648"/>
      <c r="U17" s="1334"/>
      <c r="V17" s="1334"/>
      <c r="W17" s="1334"/>
    </row>
    <row r="18" spans="1:23" s="87" customFormat="1" ht="12" customHeight="1" x14ac:dyDescent="0.25">
      <c r="A18" s="195" t="str">
        <f t="shared" si="0"/>
        <v>01</v>
      </c>
      <c r="B18" s="1334" t="s">
        <v>2421</v>
      </c>
      <c r="C18" s="162" t="s">
        <v>2422</v>
      </c>
      <c r="D18" s="146"/>
      <c r="E18" s="146"/>
      <c r="F18" s="146"/>
      <c r="G18" s="147"/>
      <c r="H18" s="146"/>
      <c r="I18" s="147"/>
      <c r="J18" s="146"/>
      <c r="K18" s="147"/>
      <c r="L18" s="146"/>
      <c r="M18" s="147"/>
      <c r="N18" s="146"/>
      <c r="O18" s="147"/>
      <c r="P18" s="146"/>
      <c r="Q18" s="147"/>
      <c r="R18" s="1334"/>
      <c r="S18" s="1334"/>
      <c r="T18" s="648"/>
      <c r="U18" s="1334"/>
      <c r="V18" s="1334"/>
      <c r="W18" s="1334"/>
    </row>
    <row r="19" spans="1:23" s="86" customFormat="1" ht="12" customHeight="1" x14ac:dyDescent="0.2">
      <c r="A19" s="195" t="str">
        <f t="shared" si="0"/>
        <v>01</v>
      </c>
      <c r="B19" s="1334" t="s">
        <v>2423</v>
      </c>
      <c r="C19" s="3014"/>
      <c r="D19" s="3014"/>
      <c r="E19" s="3014"/>
      <c r="F19" s="143"/>
      <c r="G19" s="311"/>
      <c r="H19" s="197"/>
      <c r="I19" s="311"/>
      <c r="J19" s="197"/>
      <c r="K19" s="311"/>
      <c r="L19" s="197"/>
      <c r="M19" s="311"/>
      <c r="N19" s="197"/>
      <c r="O19" s="311"/>
      <c r="P19" s="197"/>
      <c r="Q19" s="196">
        <f>SUM(I19:P19)</f>
        <v>0</v>
      </c>
      <c r="R19" s="315" t="str">
        <f>IF(S19=FALSE,"*","")</f>
        <v/>
      </c>
      <c r="S19" s="316" t="b">
        <f>+G19=Q19</f>
        <v>1</v>
      </c>
      <c r="T19" s="649" t="str">
        <f>IF(G19=Q19,"",G19-Q19)</f>
        <v/>
      </c>
    </row>
    <row r="20" spans="1:23" s="86" customFormat="1" ht="12" customHeight="1" x14ac:dyDescent="0.2">
      <c r="A20" s="195" t="str">
        <f t="shared" si="0"/>
        <v>01</v>
      </c>
      <c r="B20" s="1334" t="s">
        <v>2424</v>
      </c>
      <c r="C20" s="3014"/>
      <c r="D20" s="3014"/>
      <c r="E20" s="3014"/>
      <c r="F20" s="143"/>
      <c r="G20" s="311"/>
      <c r="H20" s="197"/>
      <c r="I20" s="312"/>
      <c r="J20" s="197"/>
      <c r="K20" s="312"/>
      <c r="L20" s="197"/>
      <c r="M20" s="312"/>
      <c r="N20" s="197"/>
      <c r="O20" s="312"/>
      <c r="P20" s="197"/>
      <c r="Q20" s="196">
        <f t="shared" ref="Q20:Q27" si="1">SUM(I20:P20)</f>
        <v>0</v>
      </c>
      <c r="R20" s="315" t="str">
        <f t="shared" ref="R20:R27" si="2">IF(S20=FALSE,"*","")</f>
        <v/>
      </c>
      <c r="S20" s="316" t="b">
        <f t="shared" ref="S20:S27" si="3">+G20=Q20</f>
        <v>1</v>
      </c>
      <c r="T20" s="649" t="str">
        <f t="shared" ref="T20:T28" si="4">IF(G20=Q20,"",G20-Q20)</f>
        <v/>
      </c>
    </row>
    <row r="21" spans="1:23" s="86" customFormat="1" ht="12" customHeight="1" x14ac:dyDescent="0.2">
      <c r="A21" s="195" t="str">
        <f t="shared" si="0"/>
        <v>01</v>
      </c>
      <c r="B21" s="1334" t="s">
        <v>2425</v>
      </c>
      <c r="C21" s="3014"/>
      <c r="D21" s="3014"/>
      <c r="E21" s="3014"/>
      <c r="F21" s="143"/>
      <c r="G21" s="311"/>
      <c r="H21" s="197"/>
      <c r="I21" s="312"/>
      <c r="J21" s="197"/>
      <c r="K21" s="312"/>
      <c r="L21" s="197"/>
      <c r="M21" s="312"/>
      <c r="N21" s="197"/>
      <c r="O21" s="312"/>
      <c r="P21" s="197"/>
      <c r="Q21" s="196">
        <f t="shared" si="1"/>
        <v>0</v>
      </c>
      <c r="R21" s="315" t="str">
        <f t="shared" si="2"/>
        <v/>
      </c>
      <c r="S21" s="316" t="b">
        <f t="shared" si="3"/>
        <v>1</v>
      </c>
      <c r="T21" s="649" t="str">
        <f t="shared" si="4"/>
        <v/>
      </c>
    </row>
    <row r="22" spans="1:23" s="86" customFormat="1" ht="12" customHeight="1" x14ac:dyDescent="0.2">
      <c r="A22" s="195" t="str">
        <f t="shared" si="0"/>
        <v>01</v>
      </c>
      <c r="B22" s="1334" t="s">
        <v>2426</v>
      </c>
      <c r="C22" s="3014"/>
      <c r="D22" s="3014"/>
      <c r="E22" s="3014"/>
      <c r="F22" s="143"/>
      <c r="G22" s="311"/>
      <c r="H22" s="197"/>
      <c r="I22" s="312"/>
      <c r="J22" s="197"/>
      <c r="K22" s="312"/>
      <c r="L22" s="197"/>
      <c r="M22" s="312"/>
      <c r="N22" s="197"/>
      <c r="O22" s="312"/>
      <c r="P22" s="197"/>
      <c r="Q22" s="196">
        <f t="shared" si="1"/>
        <v>0</v>
      </c>
      <c r="R22" s="315" t="str">
        <f t="shared" si="2"/>
        <v/>
      </c>
      <c r="S22" s="316" t="b">
        <f t="shared" si="3"/>
        <v>1</v>
      </c>
      <c r="T22" s="649" t="str">
        <f t="shared" si="4"/>
        <v/>
      </c>
    </row>
    <row r="23" spans="1:23" s="86" customFormat="1" ht="12" customHeight="1" x14ac:dyDescent="0.2">
      <c r="A23" s="195" t="str">
        <f t="shared" si="0"/>
        <v>01</v>
      </c>
      <c r="B23" s="1334" t="s">
        <v>2427</v>
      </c>
      <c r="C23" s="3014"/>
      <c r="D23" s="3014"/>
      <c r="E23" s="3014"/>
      <c r="F23" s="143"/>
      <c r="G23" s="311"/>
      <c r="H23" s="197"/>
      <c r="I23" s="311"/>
      <c r="J23" s="197"/>
      <c r="K23" s="311"/>
      <c r="L23" s="197"/>
      <c r="M23" s="311"/>
      <c r="N23" s="197"/>
      <c r="O23" s="311"/>
      <c r="P23" s="197"/>
      <c r="Q23" s="196">
        <f t="shared" si="1"/>
        <v>0</v>
      </c>
      <c r="R23" s="315" t="str">
        <f t="shared" si="2"/>
        <v/>
      </c>
      <c r="S23" s="316" t="b">
        <f t="shared" si="3"/>
        <v>1</v>
      </c>
      <c r="T23" s="649" t="str">
        <f t="shared" si="4"/>
        <v/>
      </c>
    </row>
    <row r="24" spans="1:23" s="86" customFormat="1" ht="12" customHeight="1" x14ac:dyDescent="0.2">
      <c r="A24" s="195" t="str">
        <f t="shared" si="0"/>
        <v>01</v>
      </c>
      <c r="B24" s="1334" t="s">
        <v>2428</v>
      </c>
      <c r="C24" s="3027"/>
      <c r="D24" s="3014"/>
      <c r="E24" s="3014"/>
      <c r="F24" s="143"/>
      <c r="G24" s="312"/>
      <c r="H24" s="197"/>
      <c r="I24" s="312"/>
      <c r="J24" s="197"/>
      <c r="K24" s="312"/>
      <c r="L24" s="197"/>
      <c r="M24" s="312"/>
      <c r="N24" s="197"/>
      <c r="O24" s="312"/>
      <c r="P24" s="197"/>
      <c r="Q24" s="196">
        <f t="shared" si="1"/>
        <v>0</v>
      </c>
      <c r="R24" s="315" t="str">
        <f t="shared" si="2"/>
        <v/>
      </c>
      <c r="S24" s="316" t="b">
        <f t="shared" si="3"/>
        <v>1</v>
      </c>
      <c r="T24" s="649" t="str">
        <f t="shared" si="4"/>
        <v/>
      </c>
    </row>
    <row r="25" spans="1:23" s="86" customFormat="1" ht="12" customHeight="1" x14ac:dyDescent="0.2">
      <c r="A25" s="195" t="str">
        <f t="shared" si="0"/>
        <v>01</v>
      </c>
      <c r="B25" s="1334" t="s">
        <v>2429</v>
      </c>
      <c r="C25" s="3014"/>
      <c r="D25" s="3014"/>
      <c r="E25" s="3014"/>
      <c r="F25" s="143"/>
      <c r="G25" s="312"/>
      <c r="H25" s="197"/>
      <c r="I25" s="312"/>
      <c r="J25" s="197"/>
      <c r="K25" s="312"/>
      <c r="L25" s="197"/>
      <c r="M25" s="312"/>
      <c r="N25" s="197"/>
      <c r="O25" s="312"/>
      <c r="P25" s="197"/>
      <c r="Q25" s="196">
        <f t="shared" si="1"/>
        <v>0</v>
      </c>
      <c r="R25" s="315" t="str">
        <f t="shared" si="2"/>
        <v/>
      </c>
      <c r="S25" s="316" t="b">
        <f t="shared" si="3"/>
        <v>1</v>
      </c>
      <c r="T25" s="649" t="str">
        <f t="shared" si="4"/>
        <v/>
      </c>
    </row>
    <row r="26" spans="1:23" s="86" customFormat="1" ht="12" customHeight="1" x14ac:dyDescent="0.2">
      <c r="A26" s="195" t="str">
        <f t="shared" si="0"/>
        <v>01</v>
      </c>
      <c r="B26" s="1334" t="s">
        <v>2430</v>
      </c>
      <c r="C26" s="3014"/>
      <c r="D26" s="3014"/>
      <c r="E26" s="3014"/>
      <c r="F26" s="143"/>
      <c r="G26" s="312"/>
      <c r="H26" s="197"/>
      <c r="I26" s="312"/>
      <c r="J26" s="197"/>
      <c r="K26" s="312"/>
      <c r="L26" s="197"/>
      <c r="M26" s="312"/>
      <c r="N26" s="197"/>
      <c r="O26" s="312"/>
      <c r="P26" s="197"/>
      <c r="Q26" s="196">
        <f t="shared" si="1"/>
        <v>0</v>
      </c>
      <c r="R26" s="315" t="str">
        <f t="shared" si="2"/>
        <v/>
      </c>
      <c r="S26" s="316" t="b">
        <f t="shared" si="3"/>
        <v>1</v>
      </c>
      <c r="T26" s="649" t="str">
        <f t="shared" si="4"/>
        <v/>
      </c>
    </row>
    <row r="27" spans="1:23" s="86" customFormat="1" ht="12" customHeight="1" thickBot="1" x14ac:dyDescent="0.25">
      <c r="A27" s="195" t="str">
        <f t="shared" si="0"/>
        <v>01</v>
      </c>
      <c r="B27" s="1334" t="s">
        <v>2431</v>
      </c>
      <c r="C27" s="3014"/>
      <c r="D27" s="3014"/>
      <c r="E27" s="3014"/>
      <c r="F27" s="143"/>
      <c r="G27" s="313"/>
      <c r="H27" s="197"/>
      <c r="I27" s="313"/>
      <c r="J27" s="197"/>
      <c r="K27" s="313"/>
      <c r="L27" s="197"/>
      <c r="M27" s="313"/>
      <c r="N27" s="197"/>
      <c r="O27" s="313"/>
      <c r="P27" s="197"/>
      <c r="Q27" s="198">
        <f t="shared" si="1"/>
        <v>0</v>
      </c>
      <c r="R27" s="315" t="str">
        <f t="shared" si="2"/>
        <v/>
      </c>
      <c r="S27" s="316" t="b">
        <f t="shared" si="3"/>
        <v>1</v>
      </c>
      <c r="T27" s="649" t="str">
        <f t="shared" si="4"/>
        <v/>
      </c>
    </row>
    <row r="28" spans="1:23" s="86" customFormat="1" ht="14.1" customHeight="1" thickBot="1" x14ac:dyDescent="0.25">
      <c r="A28" s="195" t="str">
        <f t="shared" si="0"/>
        <v>01</v>
      </c>
      <c r="B28" s="1334" t="s">
        <v>2432</v>
      </c>
      <c r="C28" s="163" t="s">
        <v>2433</v>
      </c>
      <c r="D28" s="143"/>
      <c r="E28" s="143"/>
      <c r="F28" s="143"/>
      <c r="G28" s="200">
        <f>SUM(G19:G27)</f>
        <v>0</v>
      </c>
      <c r="H28" s="197"/>
      <c r="I28" s="200">
        <f>SUM(I19:I27)</f>
        <v>0</v>
      </c>
      <c r="J28" s="197"/>
      <c r="K28" s="200">
        <f>SUM(K19:K27)</f>
        <v>0</v>
      </c>
      <c r="L28" s="197"/>
      <c r="M28" s="200">
        <f>SUM(M19:M27)</f>
        <v>0</v>
      </c>
      <c r="N28" s="197"/>
      <c r="O28" s="200">
        <f>SUM(O19:O27)</f>
        <v>0</v>
      </c>
      <c r="P28" s="197"/>
      <c r="Q28" s="200">
        <f>SUM(Q19:Q27)</f>
        <v>0</v>
      </c>
      <c r="R28" s="143"/>
      <c r="T28" s="649" t="str">
        <f t="shared" si="4"/>
        <v/>
      </c>
    </row>
    <row r="29" spans="1:23" s="86" customFormat="1" ht="13.35" customHeight="1" thickTop="1" x14ac:dyDescent="0.25">
      <c r="A29" s="195" t="str">
        <f t="shared" si="0"/>
        <v>01</v>
      </c>
      <c r="C29" s="163"/>
      <c r="D29" s="143"/>
      <c r="E29" s="143"/>
      <c r="F29" s="143"/>
      <c r="G29" s="204"/>
      <c r="H29" s="197"/>
      <c r="I29" s="197"/>
      <c r="J29" s="197"/>
      <c r="K29" s="197"/>
      <c r="L29" s="197"/>
      <c r="M29" s="197"/>
      <c r="N29" s="197"/>
      <c r="O29" s="197"/>
      <c r="P29" s="197"/>
      <c r="Q29" s="197"/>
      <c r="R29" s="143"/>
      <c r="T29" s="649"/>
    </row>
    <row r="30" spans="1:23" s="86" customFormat="1" ht="11.1" customHeight="1" x14ac:dyDescent="0.25">
      <c r="A30" s="195" t="str">
        <f t="shared" si="0"/>
        <v>01</v>
      </c>
      <c r="C30" s="163"/>
      <c r="D30" s="143"/>
      <c r="E30" s="143"/>
      <c r="F30" s="143"/>
      <c r="G30" s="204"/>
      <c r="H30" s="197"/>
      <c r="I30" s="197"/>
      <c r="J30" s="197"/>
      <c r="K30" s="197"/>
      <c r="L30" s="197"/>
      <c r="M30" s="197"/>
      <c r="N30" s="197"/>
      <c r="O30" s="197"/>
      <c r="P30" s="197"/>
      <c r="Q30" s="197"/>
      <c r="R30" s="143"/>
      <c r="T30" s="649"/>
    </row>
    <row r="31" spans="1:23" s="86" customFormat="1" ht="12" customHeight="1" x14ac:dyDescent="0.25">
      <c r="A31" s="195" t="str">
        <f t="shared" si="0"/>
        <v>01</v>
      </c>
      <c r="C31" s="162" t="s">
        <v>2434</v>
      </c>
      <c r="D31" s="143"/>
      <c r="E31" s="143"/>
      <c r="F31" s="143"/>
      <c r="G31" s="197"/>
      <c r="H31" s="197"/>
      <c r="I31" s="197"/>
      <c r="J31" s="197"/>
      <c r="K31" s="197"/>
      <c r="L31" s="197"/>
      <c r="M31" s="197"/>
      <c r="N31" s="197"/>
      <c r="O31" s="197"/>
      <c r="P31" s="197"/>
      <c r="Q31" s="197"/>
      <c r="R31" s="143"/>
      <c r="T31" s="649"/>
    </row>
    <row r="32" spans="1:23" s="86" customFormat="1" ht="12" customHeight="1" x14ac:dyDescent="0.2">
      <c r="A32" s="195" t="str">
        <f t="shared" si="0"/>
        <v>01</v>
      </c>
      <c r="B32" s="86" t="s">
        <v>2435</v>
      </c>
      <c r="C32" s="3014"/>
      <c r="D32" s="3014"/>
      <c r="E32" s="3014"/>
      <c r="F32" s="143"/>
      <c r="G32" s="311"/>
      <c r="H32" s="197"/>
      <c r="I32" s="311"/>
      <c r="J32" s="197"/>
      <c r="K32" s="311"/>
      <c r="L32" s="197"/>
      <c r="M32" s="311"/>
      <c r="N32" s="197"/>
      <c r="O32" s="311"/>
      <c r="P32" s="197"/>
      <c r="Q32" s="196">
        <f>SUM(I32:P32)</f>
        <v>0</v>
      </c>
      <c r="R32" s="315" t="str">
        <f>IF(S32=FALSE,"*","")</f>
        <v/>
      </c>
      <c r="S32" s="316" t="b">
        <f>+G32=Q32</f>
        <v>1</v>
      </c>
      <c r="T32" s="649" t="str">
        <f>IF(G32=Q32,"",G32-Q32)</f>
        <v/>
      </c>
    </row>
    <row r="33" spans="1:23" s="86" customFormat="1" ht="12" customHeight="1" x14ac:dyDescent="0.2">
      <c r="A33" s="195" t="str">
        <f t="shared" si="0"/>
        <v>01</v>
      </c>
      <c r="B33" s="86" t="s">
        <v>2436</v>
      </c>
      <c r="C33" s="3014"/>
      <c r="D33" s="3014"/>
      <c r="E33" s="3014"/>
      <c r="F33" s="143"/>
      <c r="G33" s="311"/>
      <c r="H33" s="197"/>
      <c r="I33" s="312"/>
      <c r="J33" s="197"/>
      <c r="K33" s="311"/>
      <c r="L33" s="197"/>
      <c r="M33" s="312"/>
      <c r="N33" s="197"/>
      <c r="O33" s="312"/>
      <c r="P33" s="197"/>
      <c r="Q33" s="196">
        <f>SUM(I33:P33)</f>
        <v>0</v>
      </c>
      <c r="R33" s="315" t="str">
        <f>IF(S33=FALSE,"*","")</f>
        <v/>
      </c>
      <c r="S33" s="316" t="b">
        <f>+G33=Q33</f>
        <v>1</v>
      </c>
      <c r="T33" s="649" t="str">
        <f>IF(G33=Q33,"",G33-Q33)</f>
        <v/>
      </c>
    </row>
    <row r="34" spans="1:23" s="86" customFormat="1" ht="12" customHeight="1" thickBot="1" x14ac:dyDescent="0.25">
      <c r="A34" s="195" t="str">
        <f t="shared" si="0"/>
        <v>01</v>
      </c>
      <c r="B34" s="86" t="s">
        <v>2437</v>
      </c>
      <c r="C34" s="3014"/>
      <c r="D34" s="3014"/>
      <c r="E34" s="3014"/>
      <c r="F34" s="143"/>
      <c r="G34" s="313"/>
      <c r="H34" s="197"/>
      <c r="I34" s="314"/>
      <c r="J34" s="197"/>
      <c r="K34" s="314"/>
      <c r="L34" s="197"/>
      <c r="M34" s="314"/>
      <c r="N34" s="197"/>
      <c r="O34" s="314"/>
      <c r="P34" s="197"/>
      <c r="Q34" s="198">
        <f>SUM(I34:P34)</f>
        <v>0</v>
      </c>
      <c r="R34" s="315" t="str">
        <f>IF(S34=FALSE,"*","")</f>
        <v/>
      </c>
      <c r="S34" s="316" t="b">
        <f>+G34=Q34</f>
        <v>1</v>
      </c>
      <c r="T34" s="649" t="str">
        <f>IF(G34=Q34,"",G34-Q34)</f>
        <v/>
      </c>
    </row>
    <row r="35" spans="1:23" s="86" customFormat="1" ht="14.1" customHeight="1" thickBot="1" x14ac:dyDescent="0.25">
      <c r="A35" s="195" t="str">
        <f t="shared" si="0"/>
        <v>01</v>
      </c>
      <c r="B35" s="86" t="s">
        <v>2438</v>
      </c>
      <c r="C35" s="165" t="s">
        <v>2439</v>
      </c>
      <c r="D35" s="143"/>
      <c r="E35" s="143"/>
      <c r="F35" s="143"/>
      <c r="G35" s="200">
        <f>SUM(G32:G34)</f>
        <v>0</v>
      </c>
      <c r="H35" s="197"/>
      <c r="I35" s="200">
        <f>SUM(I32:I34)</f>
        <v>0</v>
      </c>
      <c r="J35" s="197"/>
      <c r="K35" s="200">
        <f>SUM(K32:K34)</f>
        <v>0</v>
      </c>
      <c r="L35" s="197"/>
      <c r="M35" s="200">
        <f>SUM(M32:M34)</f>
        <v>0</v>
      </c>
      <c r="N35" s="197"/>
      <c r="O35" s="200">
        <f>SUM(O32:O34)</f>
        <v>0</v>
      </c>
      <c r="P35" s="197"/>
      <c r="Q35" s="200">
        <f>SUM(Q32:Q34)</f>
        <v>0</v>
      </c>
      <c r="R35" s="143"/>
      <c r="T35" s="649" t="str">
        <f>IF(G35=Q35,"",G35-Q35)</f>
        <v/>
      </c>
    </row>
    <row r="36" spans="1:23" ht="13.35" customHeight="1" thickTop="1" x14ac:dyDescent="0.25">
      <c r="A36" s="195" t="str">
        <f t="shared" si="0"/>
        <v>01</v>
      </c>
      <c r="G36" s="204"/>
      <c r="H36" s="203"/>
      <c r="I36" s="203"/>
      <c r="J36" s="203"/>
      <c r="K36" s="203"/>
      <c r="L36" s="203"/>
      <c r="M36" s="203"/>
      <c r="N36" s="203"/>
      <c r="O36" s="203"/>
      <c r="P36" s="203"/>
      <c r="Q36" s="203"/>
      <c r="T36" s="649"/>
    </row>
    <row r="37" spans="1:23" ht="15" customHeight="1" thickBot="1" x14ac:dyDescent="0.25">
      <c r="A37" s="195" t="str">
        <f t="shared" si="0"/>
        <v>01</v>
      </c>
      <c r="B37" s="7" t="s">
        <v>2440</v>
      </c>
      <c r="C37" s="7" t="s">
        <v>2441</v>
      </c>
      <c r="G37" s="200">
        <f>'705'!G35+'705'!G45+'715'!G28+'715'!G35</f>
        <v>0</v>
      </c>
      <c r="H37" s="197"/>
      <c r="I37" s="200">
        <f>'705'!I35+'705'!I45+'715'!I28+'715'!I35</f>
        <v>0</v>
      </c>
      <c r="J37" s="197"/>
      <c r="K37" s="200">
        <f>'705'!K35+'705'!K45+'715'!K28+'715'!K35</f>
        <v>0</v>
      </c>
      <c r="L37" s="197"/>
      <c r="M37" s="200">
        <f>'705'!M35+'705'!M45+'715'!M28+'715'!M35</f>
        <v>0</v>
      </c>
      <c r="N37" s="197"/>
      <c r="O37" s="200">
        <f>'705'!O35+'705'!O45+'715'!O28+'715'!O35</f>
        <v>0</v>
      </c>
      <c r="P37" s="197"/>
      <c r="Q37" s="200">
        <f>'705'!Q35+'705'!Q45+'715'!Q28+'715'!Q35</f>
        <v>0</v>
      </c>
      <c r="S37" s="1060">
        <f>COUNTIF(S19:S36,FALSE)</f>
        <v>0</v>
      </c>
      <c r="T37" s="649" t="str">
        <f>IF(G37=Q37,"",G37-Q37)</f>
        <v/>
      </c>
      <c r="W37" s="1335" t="s">
        <v>2442</v>
      </c>
    </row>
    <row r="38" spans="1:23" ht="15" customHeight="1" thickTop="1" x14ac:dyDescent="0.2">
      <c r="A38" s="195" t="str">
        <f t="shared" si="0"/>
        <v>01</v>
      </c>
      <c r="G38" s="203"/>
      <c r="H38" s="203"/>
      <c r="I38" s="203"/>
      <c r="J38" s="203"/>
      <c r="K38" s="203"/>
      <c r="L38" s="203"/>
      <c r="M38" s="203"/>
      <c r="N38" s="203"/>
      <c r="O38" s="203"/>
      <c r="P38" s="203"/>
      <c r="Q38" s="203"/>
      <c r="T38" s="143"/>
    </row>
    <row r="39" spans="1:23" ht="15" customHeight="1" x14ac:dyDescent="0.2">
      <c r="A39" s="195" t="str">
        <f t="shared" si="0"/>
        <v>01</v>
      </c>
      <c r="G39" s="203"/>
      <c r="H39" s="203"/>
      <c r="I39" s="203"/>
      <c r="J39" s="203"/>
      <c r="K39" s="203"/>
      <c r="L39" s="203"/>
      <c r="M39" s="203"/>
      <c r="N39" s="203"/>
      <c r="O39" s="203"/>
      <c r="P39" s="203"/>
      <c r="Q39" s="203"/>
      <c r="T39" s="143"/>
    </row>
    <row r="40" spans="1:23" ht="15" customHeight="1" x14ac:dyDescent="0.2">
      <c r="A40" s="195" t="str">
        <f t="shared" si="0"/>
        <v>01</v>
      </c>
      <c r="G40" s="203"/>
      <c r="H40" s="203"/>
      <c r="I40" s="203"/>
      <c r="J40" s="203"/>
      <c r="K40" s="203"/>
      <c r="L40" s="203"/>
      <c r="M40" s="203"/>
      <c r="N40" s="203"/>
      <c r="O40" s="203"/>
      <c r="P40" s="203"/>
      <c r="Q40" s="203"/>
      <c r="T40" s="143"/>
    </row>
    <row r="41" spans="1:23" ht="15" customHeight="1" x14ac:dyDescent="0.2">
      <c r="A41" s="195" t="str">
        <f t="shared" si="0"/>
        <v>01</v>
      </c>
      <c r="B41" s="421" t="str">
        <f ca="1">MID(CELL("filename",B18),FIND("]",CELL("filename",B18))+1,256)</f>
        <v>715</v>
      </c>
      <c r="C41" s="421" t="s">
        <v>613</v>
      </c>
      <c r="G41" s="203"/>
      <c r="H41" s="203"/>
      <c r="I41" s="203"/>
      <c r="J41" s="203"/>
      <c r="K41" s="203"/>
      <c r="L41" s="203"/>
      <c r="M41" s="203"/>
      <c r="N41" s="203"/>
      <c r="O41" s="203"/>
      <c r="P41" s="203"/>
      <c r="Q41" s="203"/>
      <c r="T41" s="143"/>
    </row>
    <row r="42" spans="1:23" ht="15" customHeight="1" x14ac:dyDescent="0.2">
      <c r="B42" s="421" t="s">
        <v>401</v>
      </c>
      <c r="C42" s="421" t="str">
        <f t="shared" ref="C42:C51" ca="1" si="5">IF(ISNA(INDEX(ErrorTable,MATCH($B$41&amp;$B42&amp;FALSE,ErrorKey,0),6)),"",INDEX(ErrorTable,MATCH($B$41&amp;$B42&amp;FALSE,ErrorKey,0),6))</f>
        <v/>
      </c>
      <c r="G42" s="203"/>
      <c r="H42" s="203"/>
      <c r="I42" s="203"/>
      <c r="J42" s="203"/>
      <c r="K42" s="203"/>
      <c r="L42" s="203"/>
      <c r="M42" s="203"/>
      <c r="N42" s="203"/>
      <c r="O42" s="203"/>
      <c r="P42" s="203"/>
      <c r="Q42" s="203"/>
      <c r="T42" s="143"/>
    </row>
    <row r="43" spans="1:23" ht="15" customHeight="1" x14ac:dyDescent="0.2">
      <c r="B43" s="421" t="s">
        <v>402</v>
      </c>
      <c r="C43" s="421" t="str">
        <f t="shared" ca="1" si="5"/>
        <v/>
      </c>
      <c r="G43" s="203"/>
      <c r="H43" s="203"/>
      <c r="I43" s="203"/>
      <c r="J43" s="203"/>
      <c r="K43" s="203"/>
      <c r="L43" s="203"/>
      <c r="M43" s="203"/>
      <c r="N43" s="203"/>
      <c r="O43" s="203"/>
      <c r="P43" s="203"/>
      <c r="Q43" s="203"/>
      <c r="T43" s="143"/>
    </row>
    <row r="44" spans="1:23" ht="15" customHeight="1" x14ac:dyDescent="0.2">
      <c r="B44" s="421" t="s">
        <v>403</v>
      </c>
      <c r="C44" s="421" t="str">
        <f t="shared" ca="1" si="5"/>
        <v/>
      </c>
      <c r="G44" s="203"/>
      <c r="H44" s="203"/>
      <c r="I44" s="203"/>
      <c r="J44" s="203"/>
      <c r="K44" s="203"/>
      <c r="L44" s="203"/>
      <c r="M44" s="203"/>
      <c r="N44" s="203"/>
      <c r="O44" s="203"/>
      <c r="P44" s="203"/>
      <c r="Q44" s="203"/>
      <c r="T44" s="143"/>
    </row>
    <row r="45" spans="1:23" ht="15" customHeight="1" x14ac:dyDescent="0.2">
      <c r="B45" s="421" t="s">
        <v>404</v>
      </c>
      <c r="C45" s="421" t="str">
        <f t="shared" ca="1" si="5"/>
        <v/>
      </c>
      <c r="G45" s="8"/>
      <c r="H45" s="8"/>
      <c r="I45" s="8"/>
      <c r="J45" s="8"/>
      <c r="K45" s="8"/>
      <c r="L45" s="8"/>
      <c r="M45" s="8"/>
      <c r="N45" s="8"/>
      <c r="O45" s="8"/>
      <c r="P45" s="8"/>
      <c r="Q45" s="8"/>
      <c r="T45" s="143"/>
    </row>
    <row r="46" spans="1:23" ht="15" customHeight="1" x14ac:dyDescent="0.2">
      <c r="B46" s="421" t="s">
        <v>405</v>
      </c>
      <c r="C46" s="421" t="str">
        <f t="shared" ca="1" si="5"/>
        <v/>
      </c>
      <c r="G46" s="8"/>
      <c r="H46" s="8"/>
      <c r="I46" s="8"/>
      <c r="J46" s="8"/>
      <c r="K46" s="8"/>
      <c r="L46" s="8"/>
      <c r="M46" s="8"/>
      <c r="N46" s="8"/>
      <c r="O46" s="8"/>
      <c r="P46" s="8"/>
      <c r="Q46" s="8"/>
      <c r="T46" s="143"/>
    </row>
    <row r="47" spans="1:23" ht="15" customHeight="1" x14ac:dyDescent="0.2">
      <c r="B47" s="421" t="s">
        <v>406</v>
      </c>
      <c r="C47" s="421" t="str">
        <f t="shared" ca="1" si="5"/>
        <v/>
      </c>
      <c r="G47" s="8"/>
      <c r="H47" s="8"/>
      <c r="I47" s="8"/>
      <c r="J47" s="8"/>
      <c r="K47" s="8"/>
      <c r="L47" s="8"/>
      <c r="M47" s="8"/>
      <c r="N47" s="8"/>
      <c r="O47" s="8"/>
      <c r="P47" s="8"/>
      <c r="Q47" s="8"/>
      <c r="T47" s="143"/>
    </row>
    <row r="48" spans="1:23" ht="15" customHeight="1" x14ac:dyDescent="0.2">
      <c r="B48" s="421" t="s">
        <v>407</v>
      </c>
      <c r="C48" s="421" t="str">
        <f t="shared" ca="1" si="5"/>
        <v/>
      </c>
      <c r="G48" s="8"/>
      <c r="H48" s="8"/>
      <c r="I48" s="8"/>
      <c r="J48" s="8"/>
      <c r="K48" s="8"/>
      <c r="L48" s="8"/>
      <c r="M48" s="8"/>
      <c r="N48" s="8"/>
      <c r="O48" s="8"/>
      <c r="P48" s="8"/>
      <c r="Q48" s="8"/>
      <c r="T48" s="143"/>
    </row>
    <row r="49" spans="2:20" ht="15" customHeight="1" x14ac:dyDescent="0.2">
      <c r="B49" s="421" t="s">
        <v>408</v>
      </c>
      <c r="C49" s="421" t="str">
        <f t="shared" ca="1" si="5"/>
        <v/>
      </c>
      <c r="T49" s="143"/>
    </row>
    <row r="50" spans="2:20" ht="15" customHeight="1" x14ac:dyDescent="0.2">
      <c r="B50" s="421" t="s">
        <v>409</v>
      </c>
      <c r="C50" s="421" t="str">
        <f t="shared" ca="1" si="5"/>
        <v/>
      </c>
    </row>
    <row r="51" spans="2:20" ht="15" customHeight="1" x14ac:dyDescent="0.2">
      <c r="B51" s="421" t="s">
        <v>410</v>
      </c>
      <c r="C51" s="421" t="str">
        <f t="shared" ca="1" si="5"/>
        <v/>
      </c>
    </row>
    <row r="52" spans="2:20" ht="15" customHeight="1" x14ac:dyDescent="0.2"/>
    <row r="53" spans="2:20" ht="15" customHeight="1" x14ac:dyDescent="0.2"/>
    <row r="54" spans="2:20" ht="15" customHeight="1" x14ac:dyDescent="0.2"/>
    <row r="55" spans="2:20" ht="15" customHeight="1" x14ac:dyDescent="0.2"/>
    <row r="56" spans="2:20" ht="15" customHeight="1" x14ac:dyDescent="0.2"/>
    <row r="57" spans="2:20" ht="15" customHeight="1" x14ac:dyDescent="0.2"/>
    <row r="58" spans="2:20" ht="15" customHeight="1" x14ac:dyDescent="0.2"/>
    <row r="59" spans="2:20" ht="15" customHeight="1" x14ac:dyDescent="0.2"/>
    <row r="60" spans="2:20" ht="15" customHeight="1" x14ac:dyDescent="0.2"/>
    <row r="61" spans="2:20" ht="15" customHeight="1" x14ac:dyDescent="0.2"/>
    <row r="62" spans="2:20" ht="11.1" customHeight="1" x14ac:dyDescent="0.2"/>
  </sheetData>
  <sheetProtection algorithmName="SHA-512" hashValue="hHNVMCOtw4fXxmY5gn7mP55iiOuG0VNw8Noef4y3qNc4WTRN/ZV03dgugZgBYoIZRipWOn6UmFFKrvz5tN/X1Q==" saltValue="jOrT5o9mIH1sFFNUmmkOEA==" spinCount="100000" sheet="1" autoFilter="0"/>
  <customSheetViews>
    <customSheetView guid="{9FCFC836-1CA5-48BF-958D-24D2EA94B219}" showGridLines="0" fitToPage="1" hiddenColumns="1" topLeftCell="C1">
      <selection activeCell="B12" sqref="B12"/>
      <pageMargins left="0" right="0" top="0" bottom="0" header="0" footer="0"/>
      <printOptions horizontalCentered="1"/>
      <pageSetup orientation="landscape" horizontalDpi="1200" verticalDpi="1200" r:id="rId1"/>
      <headerFooter alignWithMargins="0">
        <oddFooter>&amp;R&amp;A</oddFooter>
      </headerFooter>
    </customSheetView>
    <customSheetView guid="{BEA4BE86-04D1-4C96-9358-7A260B9D2B2D}" showGridLines="0" fitToPage="1" showRuler="0">
      <selection activeCell="C8" sqref="C8:E8"/>
      <pageMargins left="0" right="0" top="0" bottom="0" header="0" footer="0"/>
      <printOptions horizontalCentered="1"/>
      <pageSetup orientation="landscape" horizontalDpi="4294967292" verticalDpi="300" r:id="rId2"/>
      <headerFooter alignWithMargins="0">
        <oddFooter>&amp;R&amp;A</oddFooter>
      </headerFooter>
    </customSheetView>
    <customSheetView guid="{1250FD07-FF56-4A9D-AF9E-C27124A7EBE9}" showGridLines="0" fitToPage="1" showRuler="0">
      <selection activeCell="C8" sqref="C8:E8"/>
      <pageMargins left="0" right="0" top="0" bottom="0" header="0" footer="0"/>
      <printOptions horizontalCentered="1"/>
      <pageSetup orientation="landscape" horizontalDpi="4294967292" verticalDpi="300" r:id="rId3"/>
      <headerFooter alignWithMargins="0">
        <oddFooter>&amp;R&amp;A</oddFooter>
      </headerFooter>
    </customSheetView>
    <customSheetView guid="{B08879A4-635B-4C39-9937-AC7883D562FC}" showGridLines="0" fitToPage="1" hiddenColumns="1" topLeftCell="C1">
      <selection activeCell="B12" sqref="B12"/>
      <pageMargins left="0" right="0" top="0" bottom="0" header="0" footer="0"/>
      <printOptions horizontalCentered="1"/>
      <pageSetup orientation="landscape" horizontalDpi="1200" verticalDpi="1200" r:id="rId4"/>
      <headerFooter alignWithMargins="0">
        <oddFooter>&amp;R&amp;A</oddFooter>
      </headerFooter>
    </customSheetView>
  </customSheetViews>
  <mergeCells count="25">
    <mergeCell ref="R1:R3"/>
    <mergeCell ref="C1:Q1"/>
    <mergeCell ref="C2:Q2"/>
    <mergeCell ref="C3:Q3"/>
    <mergeCell ref="C4:Q4"/>
    <mergeCell ref="I11:M11"/>
    <mergeCell ref="E6:G6"/>
    <mergeCell ref="L7:Q7"/>
    <mergeCell ref="L8:Q8"/>
    <mergeCell ref="C25:E25"/>
    <mergeCell ref="C21:E21"/>
    <mergeCell ref="C23:E23"/>
    <mergeCell ref="C19:E19"/>
    <mergeCell ref="C22:E22"/>
    <mergeCell ref="L6:Q6"/>
    <mergeCell ref="C15:E15"/>
    <mergeCell ref="E8:G8"/>
    <mergeCell ref="C24:E24"/>
    <mergeCell ref="C20:E20"/>
    <mergeCell ref="C16:E16"/>
    <mergeCell ref="C34:E34"/>
    <mergeCell ref="C32:E32"/>
    <mergeCell ref="C33:E33"/>
    <mergeCell ref="C27:E27"/>
    <mergeCell ref="C26:E26"/>
  </mergeCells>
  <phoneticPr fontId="18" type="noConversion"/>
  <conditionalFormatting sqref="R1:R3">
    <cfRule type="cellIs" dxfId="41" priority="1" stopIfTrue="1" operator="equal">
      <formula>"na"</formula>
    </cfRule>
  </conditionalFormatting>
  <hyperlinks>
    <hyperlink ref="C1" location="Index!A1" display="Index!A1" xr:uid="{00000000-0004-0000-3F00-000000000000}"/>
  </hyperlinks>
  <pageMargins left="0.6" right="0.6" top="0.5" bottom="0.5" header="0.3" footer="0.3"/>
  <pageSetup scale="85" orientation="landscape" r:id="rId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
    <pageSetUpPr fitToPage="1"/>
  </sheetPr>
  <dimension ref="A1:S58"/>
  <sheetViews>
    <sheetView showGridLines="0" topLeftCell="C1" zoomScaleNormal="100" workbookViewId="0">
      <selection activeCell="R31" sqref="R31"/>
    </sheetView>
  </sheetViews>
  <sheetFormatPr defaultColWidth="9.42578125" defaultRowHeight="12" x14ac:dyDescent="0.2"/>
  <cols>
    <col min="1" max="1" width="9.42578125" style="166" hidden="1" customWidth="1"/>
    <col min="2" max="2" width="9.28515625" style="166" bestFit="1" customWidth="1"/>
    <col min="3" max="3" width="1.5703125" style="166" customWidth="1"/>
    <col min="4" max="4" width="6.5703125" style="166" customWidth="1"/>
    <col min="5" max="5" width="8.85546875" style="166" customWidth="1"/>
    <col min="6" max="6" width="14" style="166" customWidth="1"/>
    <col min="7" max="7" width="12.42578125" style="166" customWidth="1"/>
    <col min="8" max="8" width="1.5703125" style="166" customWidth="1"/>
    <col min="9" max="9" width="16.5703125" style="166" customWidth="1"/>
    <col min="10" max="10" width="1.5703125" style="166" customWidth="1"/>
    <col min="11" max="11" width="14.5703125" style="166" customWidth="1"/>
    <col min="12" max="12" width="1.5703125" style="166" customWidth="1"/>
    <col min="13" max="13" width="14.5703125" style="166" customWidth="1"/>
    <col min="14" max="14" width="1.5703125" style="166" customWidth="1"/>
    <col min="15" max="15" width="14.5703125" style="166" customWidth="1"/>
    <col min="16" max="16" width="1.5703125" style="166" customWidth="1"/>
    <col min="17" max="17" width="14.5703125" style="166" customWidth="1"/>
    <col min="18" max="18" width="4.5703125" style="166" customWidth="1"/>
    <col min="19" max="19" width="15.5703125" style="166" customWidth="1"/>
    <col min="20" max="16384" width="9.42578125" style="166"/>
  </cols>
  <sheetData>
    <row r="1" spans="1:19" ht="25.15" customHeight="1" x14ac:dyDescent="0.25">
      <c r="A1" s="166" t="str">
        <f t="shared" ref="A1:A31" si="0">AgyIdx</f>
        <v>01</v>
      </c>
      <c r="C1" s="2553" t="str">
        <f>+Index!$A$1</f>
        <v xml:space="preserve">                                                               Office of the State Controller                                                                </v>
      </c>
      <c r="D1" s="2553"/>
      <c r="E1" s="2553"/>
      <c r="F1" s="2553"/>
      <c r="G1" s="2553"/>
      <c r="H1" s="2553"/>
      <c r="I1" s="2553"/>
      <c r="J1" s="2553"/>
      <c r="K1" s="2553"/>
      <c r="L1" s="2553"/>
      <c r="M1" s="2553"/>
      <c r="N1" s="2553"/>
      <c r="O1" s="2553"/>
      <c r="P1" s="2553"/>
      <c r="Q1" s="2553"/>
      <c r="R1" s="848" t="str">
        <f>IF(Index!$B$92="na","NA","")</f>
        <v/>
      </c>
    </row>
    <row r="2" spans="1:19" ht="15.6" customHeight="1" x14ac:dyDescent="0.25">
      <c r="A2" s="166" t="str">
        <f t="shared" si="0"/>
        <v>01</v>
      </c>
      <c r="C2" s="3013" t="str">
        <f>+Index!$A$2</f>
        <v>2024 ACFR Worksheets</v>
      </c>
      <c r="D2" s="3013"/>
      <c r="E2" s="3013"/>
      <c r="F2" s="3013"/>
      <c r="G2" s="3013"/>
      <c r="H2" s="3013"/>
      <c r="I2" s="3013"/>
      <c r="J2" s="3013"/>
      <c r="K2" s="3013"/>
      <c r="L2" s="3013"/>
      <c r="M2" s="3013"/>
      <c r="N2" s="3013"/>
      <c r="O2" s="3013"/>
      <c r="P2" s="3013"/>
      <c r="Q2" s="3013"/>
      <c r="R2" s="848"/>
    </row>
    <row r="3" spans="1:19" ht="15.6" customHeight="1" x14ac:dyDescent="0.25">
      <c r="A3" s="166" t="str">
        <f t="shared" si="0"/>
        <v>01</v>
      </c>
      <c r="C3" s="2532" t="s">
        <v>2309</v>
      </c>
      <c r="D3" s="2532"/>
      <c r="E3" s="2532"/>
      <c r="F3" s="2532"/>
      <c r="G3" s="2532"/>
      <c r="H3" s="2532"/>
      <c r="I3" s="2532"/>
      <c r="J3" s="2532"/>
      <c r="K3" s="2532"/>
      <c r="L3" s="2532"/>
      <c r="M3" s="2532"/>
      <c r="N3" s="2532"/>
      <c r="O3" s="2532"/>
      <c r="P3" s="2532"/>
      <c r="Q3" s="2532"/>
      <c r="R3" s="848"/>
    </row>
    <row r="4" spans="1:19" ht="15.6" customHeight="1" x14ac:dyDescent="0.25">
      <c r="A4" s="166" t="str">
        <f t="shared" si="0"/>
        <v>01</v>
      </c>
      <c r="C4" s="2532" t="s">
        <v>2443</v>
      </c>
      <c r="D4" s="2532"/>
      <c r="E4" s="2532"/>
      <c r="F4" s="2532"/>
      <c r="G4" s="2532"/>
      <c r="H4" s="2532"/>
      <c r="I4" s="2532"/>
      <c r="J4" s="2532"/>
      <c r="K4" s="2532"/>
      <c r="L4" s="2532"/>
      <c r="M4" s="2532"/>
      <c r="N4" s="2532"/>
      <c r="O4" s="2532"/>
      <c r="P4" s="2532"/>
      <c r="Q4" s="2532"/>
      <c r="R4" s="2251"/>
    </row>
    <row r="5" spans="1:19" ht="13.35" customHeight="1" x14ac:dyDescent="0.2">
      <c r="A5" s="166" t="str">
        <f t="shared" si="0"/>
        <v>01</v>
      </c>
      <c r="M5" s="236"/>
    </row>
    <row r="6" spans="1:19" ht="14.85" customHeight="1" x14ac:dyDescent="0.2">
      <c r="A6" s="166" t="str">
        <f t="shared" si="0"/>
        <v>01</v>
      </c>
      <c r="K6" s="5" t="s">
        <v>318</v>
      </c>
      <c r="M6" s="3032" t="str">
        <f>+Index!$E$10</f>
        <v>01</v>
      </c>
      <c r="N6" s="3033"/>
      <c r="O6" s="3033"/>
      <c r="P6" s="3033"/>
      <c r="Q6" s="3033"/>
    </row>
    <row r="7" spans="1:19" ht="14.85" customHeight="1" x14ac:dyDescent="0.2">
      <c r="A7" s="166" t="str">
        <f t="shared" si="0"/>
        <v>01</v>
      </c>
      <c r="K7" s="5" t="s">
        <v>319</v>
      </c>
      <c r="M7" s="3034" t="str">
        <f>+Index!$E$11</f>
        <v>North Carolina General Assembly</v>
      </c>
      <c r="N7" s="3034"/>
      <c r="O7" s="3034"/>
      <c r="P7" s="3034"/>
      <c r="Q7" s="3034"/>
    </row>
    <row r="8" spans="1:19" ht="14.85" customHeight="1" x14ac:dyDescent="0.2">
      <c r="A8" s="166" t="str">
        <f t="shared" si="0"/>
        <v>01</v>
      </c>
      <c r="C8" s="4" t="s">
        <v>545</v>
      </c>
      <c r="F8" s="2715" t="s">
        <v>762</v>
      </c>
      <c r="G8" s="2715"/>
      <c r="K8" s="5" t="s">
        <v>320</v>
      </c>
      <c r="M8" s="2994" t="str">
        <f>CONCATENATE(Index!$E$12," ",Index!$E$14)</f>
        <v xml:space="preserve"> </v>
      </c>
      <c r="N8" s="2994"/>
      <c r="O8" s="2994"/>
      <c r="P8" s="2994"/>
      <c r="Q8" s="2994"/>
    </row>
    <row r="9" spans="1:19" ht="14.85" customHeight="1" x14ac:dyDescent="0.2">
      <c r="A9" s="166" t="str">
        <f t="shared" si="0"/>
        <v>01</v>
      </c>
      <c r="C9" s="4"/>
      <c r="F9" s="2300"/>
      <c r="G9" s="2300"/>
      <c r="K9" s="5" t="s">
        <v>168</v>
      </c>
      <c r="M9" s="3035">
        <f>+Index!$E$13</f>
        <v>0</v>
      </c>
      <c r="N9" s="3035"/>
      <c r="O9" s="3035"/>
      <c r="P9" s="3035"/>
      <c r="Q9" s="3035"/>
    </row>
    <row r="10" spans="1:19" ht="12.75" customHeight="1" thickBot="1" x14ac:dyDescent="0.25">
      <c r="A10" s="166" t="str">
        <f t="shared" si="0"/>
        <v>01</v>
      </c>
      <c r="C10" s="167"/>
      <c r="D10" s="167"/>
      <c r="E10" s="167"/>
      <c r="F10" s="168"/>
      <c r="G10" s="168"/>
      <c r="H10" s="168"/>
      <c r="I10" s="168"/>
      <c r="J10" s="168"/>
      <c r="K10" s="169"/>
      <c r="L10" s="168"/>
      <c r="M10" s="168"/>
      <c r="N10" s="168"/>
      <c r="O10" s="168"/>
      <c r="P10" s="168"/>
      <c r="Q10" s="168"/>
    </row>
    <row r="11" spans="1:19" ht="12.6" customHeight="1" x14ac:dyDescent="0.2">
      <c r="A11" s="166" t="str">
        <f t="shared" si="0"/>
        <v>01</v>
      </c>
    </row>
    <row r="12" spans="1:19" ht="10.35" customHeight="1" x14ac:dyDescent="0.2">
      <c r="A12" s="166" t="str">
        <f t="shared" si="0"/>
        <v>01</v>
      </c>
      <c r="D12" s="170"/>
      <c r="E12" s="170"/>
      <c r="F12" s="170"/>
      <c r="G12" s="170"/>
      <c r="H12" s="170"/>
      <c r="I12" s="170"/>
      <c r="J12" s="170"/>
      <c r="K12" s="3030" t="s">
        <v>2444</v>
      </c>
      <c r="L12" s="3030"/>
      <c r="M12" s="3030"/>
      <c r="N12" s="3030"/>
      <c r="O12" s="3030"/>
      <c r="P12" s="3030"/>
      <c r="Q12" s="3030"/>
      <c r="R12" s="170"/>
    </row>
    <row r="13" spans="1:19" ht="11.85" customHeight="1" x14ac:dyDescent="0.2">
      <c r="A13" s="166" t="str">
        <f t="shared" si="0"/>
        <v>01</v>
      </c>
      <c r="C13" s="3030" t="s">
        <v>2445</v>
      </c>
      <c r="D13" s="3030"/>
      <c r="E13" s="3030"/>
      <c r="F13" s="3030"/>
      <c r="G13" s="3030"/>
      <c r="H13" s="170"/>
      <c r="I13" s="2418" t="s">
        <v>2311</v>
      </c>
      <c r="J13" s="171"/>
      <c r="K13" s="2418" t="s">
        <v>2446</v>
      </c>
      <c r="L13" s="171"/>
      <c r="M13" s="2418" t="s">
        <v>2447</v>
      </c>
      <c r="N13" s="171"/>
      <c r="O13" s="2418" t="s">
        <v>2448</v>
      </c>
      <c r="P13" s="171"/>
      <c r="Q13" s="2418" t="s">
        <v>2449</v>
      </c>
      <c r="R13" s="170"/>
      <c r="S13" s="2419" t="s">
        <v>2450</v>
      </c>
    </row>
    <row r="14" spans="1:19" ht="9.6" customHeight="1" x14ac:dyDescent="0.2">
      <c r="A14" s="166" t="str">
        <f t="shared" si="0"/>
        <v>01</v>
      </c>
      <c r="C14" s="171"/>
      <c r="D14" s="171"/>
      <c r="E14" s="171"/>
      <c r="F14" s="171"/>
      <c r="G14" s="171"/>
      <c r="H14" s="170"/>
      <c r="I14" s="181" t="s">
        <v>570</v>
      </c>
      <c r="J14" s="181"/>
      <c r="K14" s="181" t="s">
        <v>571</v>
      </c>
      <c r="L14" s="181"/>
      <c r="M14" s="181" t="s">
        <v>572</v>
      </c>
      <c r="N14" s="181"/>
      <c r="O14" s="181" t="s">
        <v>573</v>
      </c>
      <c r="P14" s="181"/>
      <c r="Q14" s="181" t="s">
        <v>574</v>
      </c>
      <c r="R14" s="170"/>
    </row>
    <row r="15" spans="1:19" ht="11.1" customHeight="1" x14ac:dyDescent="0.2">
      <c r="A15" s="166" t="str">
        <f t="shared" si="0"/>
        <v>01</v>
      </c>
      <c r="C15" s="213" t="s">
        <v>2451</v>
      </c>
      <c r="D15" s="170"/>
      <c r="E15" s="170"/>
      <c r="F15" s="170"/>
      <c r="G15" s="170"/>
      <c r="H15" s="170"/>
      <c r="I15" s="170"/>
      <c r="J15" s="170"/>
      <c r="K15" s="170"/>
      <c r="L15" s="170"/>
      <c r="M15" s="170"/>
      <c r="N15" s="170"/>
      <c r="O15" s="170"/>
      <c r="P15" s="170"/>
      <c r="Q15" s="170"/>
      <c r="R15" s="170"/>
    </row>
    <row r="16" spans="1:19" ht="11.25" customHeight="1" x14ac:dyDescent="0.2">
      <c r="A16" s="166" t="str">
        <f t="shared" si="0"/>
        <v>01</v>
      </c>
      <c r="B16" s="166" t="s">
        <v>2452</v>
      </c>
      <c r="C16" s="172"/>
      <c r="D16" s="170" t="s">
        <v>2324</v>
      </c>
      <c r="E16" s="170"/>
      <c r="F16" s="170"/>
      <c r="G16" s="170"/>
      <c r="H16" s="170"/>
      <c r="I16" s="650">
        <f ca="1">SUMIF('710'!$B$21:$B$77,D16,'710'!$K$21:$K$77)</f>
        <v>0</v>
      </c>
      <c r="J16" s="170"/>
      <c r="K16" s="318"/>
      <c r="L16" s="170"/>
      <c r="M16" s="318"/>
      <c r="N16" s="170"/>
      <c r="O16" s="318"/>
      <c r="P16" s="170"/>
      <c r="Q16" s="318"/>
      <c r="R16" s="315"/>
      <c r="S16" s="319" t="str">
        <f ca="1">IF(I16-SUM(K16:Q16)=0,"",I16-SUM(K16:Q16))</f>
        <v/>
      </c>
    </row>
    <row r="17" spans="1:19" ht="11.25" customHeight="1" x14ac:dyDescent="0.2">
      <c r="A17" s="166" t="str">
        <f t="shared" si="0"/>
        <v>01</v>
      </c>
      <c r="B17" s="166" t="s">
        <v>2453</v>
      </c>
      <c r="C17" s="172"/>
      <c r="D17" s="170" t="s">
        <v>2326</v>
      </c>
      <c r="E17" s="170"/>
      <c r="F17" s="170"/>
      <c r="G17" s="170"/>
      <c r="H17" s="170"/>
      <c r="I17" s="650">
        <f ca="1">SUMIF('710'!$B$21:$B$77,D17,'710'!$K$21:$K$77)</f>
        <v>0</v>
      </c>
      <c r="J17" s="170"/>
      <c r="K17" s="318"/>
      <c r="L17" s="170"/>
      <c r="M17" s="318"/>
      <c r="N17" s="170"/>
      <c r="O17" s="318"/>
      <c r="P17" s="170"/>
      <c r="Q17" s="318"/>
      <c r="R17" s="315"/>
      <c r="S17" s="319" t="str">
        <f t="shared" ref="S17:S35" ca="1" si="1">IF(I17-SUM(K17:Q17)=0,"",I17-SUM(K17:Q17))</f>
        <v/>
      </c>
    </row>
    <row r="18" spans="1:19" ht="11.25" customHeight="1" x14ac:dyDescent="0.2">
      <c r="A18" s="166" t="str">
        <f t="shared" si="0"/>
        <v>01</v>
      </c>
      <c r="B18" s="166" t="s">
        <v>2454</v>
      </c>
      <c r="C18" s="172"/>
      <c r="D18" s="170" t="s">
        <v>2328</v>
      </c>
      <c r="E18" s="170"/>
      <c r="F18" s="170"/>
      <c r="G18" s="170"/>
      <c r="H18" s="170"/>
      <c r="I18" s="650">
        <f ca="1">SUMIF('710'!$B$21:$B$77,D18,'710'!$K$21:$K$77)</f>
        <v>0</v>
      </c>
      <c r="J18" s="170"/>
      <c r="K18" s="318"/>
      <c r="L18" s="170"/>
      <c r="M18" s="318"/>
      <c r="N18" s="170"/>
      <c r="O18" s="318"/>
      <c r="P18" s="170"/>
      <c r="Q18" s="318"/>
      <c r="R18" s="315"/>
      <c r="S18" s="319" t="str">
        <f t="shared" ca="1" si="1"/>
        <v/>
      </c>
    </row>
    <row r="19" spans="1:19" ht="11.25" customHeight="1" x14ac:dyDescent="0.2">
      <c r="A19" s="166" t="str">
        <f t="shared" si="0"/>
        <v>01</v>
      </c>
      <c r="B19" s="166" t="s">
        <v>2455</v>
      </c>
      <c r="C19" s="172"/>
      <c r="D19" s="170" t="s">
        <v>2330</v>
      </c>
      <c r="E19" s="170"/>
      <c r="G19" s="170"/>
      <c r="H19" s="170"/>
      <c r="I19" s="650">
        <f ca="1">SUMIF('710'!$B$21:$B$77,D19,'710'!$K$21:$K$77)</f>
        <v>0</v>
      </c>
      <c r="J19" s="170"/>
      <c r="K19" s="318"/>
      <c r="L19" s="170"/>
      <c r="M19" s="318"/>
      <c r="N19" s="170"/>
      <c r="O19" s="318"/>
      <c r="P19" s="170"/>
      <c r="Q19" s="318"/>
      <c r="R19" s="315"/>
      <c r="S19" s="319" t="str">
        <f t="shared" ca="1" si="1"/>
        <v/>
      </c>
    </row>
    <row r="20" spans="1:19" ht="11.25" customHeight="1" x14ac:dyDescent="0.2">
      <c r="A20" s="166" t="str">
        <f t="shared" si="0"/>
        <v>01</v>
      </c>
      <c r="B20" s="166" t="s">
        <v>2456</v>
      </c>
      <c r="C20" s="172"/>
      <c r="D20" s="170" t="s">
        <v>2332</v>
      </c>
      <c r="E20" s="170"/>
      <c r="F20" s="170"/>
      <c r="G20" s="170"/>
      <c r="H20" s="170"/>
      <c r="I20" s="650">
        <f ca="1">SUMIF('710'!$B$21:$B$77,D20,'710'!$K$21:$K$77)</f>
        <v>0</v>
      </c>
      <c r="J20" s="170"/>
      <c r="K20" s="318"/>
      <c r="L20" s="170"/>
      <c r="M20" s="318"/>
      <c r="N20" s="170"/>
      <c r="O20" s="318"/>
      <c r="P20" s="170"/>
      <c r="Q20" s="318"/>
      <c r="R20" s="315"/>
      <c r="S20" s="319" t="str">
        <f t="shared" ca="1" si="1"/>
        <v/>
      </c>
    </row>
    <row r="21" spans="1:19" ht="11.25" customHeight="1" x14ac:dyDescent="0.2">
      <c r="A21" s="166" t="str">
        <f t="shared" si="0"/>
        <v>01</v>
      </c>
      <c r="B21" s="166" t="s">
        <v>2457</v>
      </c>
      <c r="C21" s="172"/>
      <c r="D21" s="170" t="s">
        <v>2334</v>
      </c>
      <c r="E21" s="170"/>
      <c r="F21" s="170"/>
      <c r="G21" s="170"/>
      <c r="H21" s="170"/>
      <c r="I21" s="650">
        <f ca="1">SUMIF('710'!$B$21:$B$77,D21,'710'!$K$21:$K$77)</f>
        <v>0</v>
      </c>
      <c r="J21" s="170"/>
      <c r="K21" s="318"/>
      <c r="L21" s="170"/>
      <c r="M21" s="318"/>
      <c r="N21" s="170"/>
      <c r="O21" s="318"/>
      <c r="P21" s="170"/>
      <c r="Q21" s="318"/>
      <c r="R21" s="315"/>
      <c r="S21" s="319" t="str">
        <f t="shared" ca="1" si="1"/>
        <v/>
      </c>
    </row>
    <row r="22" spans="1:19" ht="11.25" customHeight="1" x14ac:dyDescent="0.2">
      <c r="A22" s="166" t="str">
        <f t="shared" si="0"/>
        <v>01</v>
      </c>
      <c r="B22" s="166" t="s">
        <v>2458</v>
      </c>
      <c r="C22" s="172"/>
      <c r="D22" s="170" t="s">
        <v>2336</v>
      </c>
      <c r="E22" s="170"/>
      <c r="F22" s="170"/>
      <c r="G22" s="170"/>
      <c r="H22" s="170"/>
      <c r="I22" s="650">
        <f ca="1">SUMIF('710'!$B$21:$B$77,D22,'710'!$K$21:$K$77)</f>
        <v>0</v>
      </c>
      <c r="J22" s="170"/>
      <c r="K22" s="318"/>
      <c r="L22" s="170"/>
      <c r="M22" s="318"/>
      <c r="N22" s="170"/>
      <c r="O22" s="318"/>
      <c r="P22" s="170"/>
      <c r="Q22" s="318"/>
      <c r="R22" s="315"/>
      <c r="S22" s="319" t="str">
        <f t="shared" ca="1" si="1"/>
        <v/>
      </c>
    </row>
    <row r="23" spans="1:19" ht="11.25" customHeight="1" x14ac:dyDescent="0.2">
      <c r="A23" s="166" t="str">
        <f t="shared" si="0"/>
        <v>01</v>
      </c>
      <c r="B23" s="166" t="s">
        <v>2459</v>
      </c>
      <c r="C23" s="172"/>
      <c r="D23" s="2439" t="s">
        <v>2338</v>
      </c>
      <c r="E23" s="170"/>
      <c r="F23" s="170"/>
      <c r="G23" s="170"/>
      <c r="H23" s="170"/>
      <c r="I23" s="650">
        <f ca="1">SUMIF('710'!$B$21:$B$77,D23,'710'!$K$21:$K$77)</f>
        <v>0</v>
      </c>
      <c r="J23" s="170"/>
      <c r="K23" s="318"/>
      <c r="L23" s="170"/>
      <c r="M23" s="318"/>
      <c r="N23" s="170"/>
      <c r="O23" s="318"/>
      <c r="P23" s="170"/>
      <c r="Q23" s="318"/>
      <c r="R23" s="315"/>
      <c r="S23" s="319" t="str">
        <f t="shared" ca="1" si="1"/>
        <v/>
      </c>
    </row>
    <row r="24" spans="1:19" ht="11.25" customHeight="1" x14ac:dyDescent="0.2">
      <c r="A24" s="166" t="str">
        <f t="shared" si="0"/>
        <v>01</v>
      </c>
      <c r="B24" s="166" t="s">
        <v>2460</v>
      </c>
      <c r="C24" s="172"/>
      <c r="D24" s="170" t="s">
        <v>2340</v>
      </c>
      <c r="E24" s="170"/>
      <c r="F24" s="170"/>
      <c r="G24" s="170"/>
      <c r="H24" s="170"/>
      <c r="I24" s="650">
        <f ca="1">SUMIF('710'!$B$21:$B$77,D24,'710'!$K$21:$K$77)</f>
        <v>0</v>
      </c>
      <c r="J24" s="170"/>
      <c r="K24" s="318"/>
      <c r="L24" s="170"/>
      <c r="M24" s="318"/>
      <c r="N24" s="170"/>
      <c r="O24" s="318"/>
      <c r="P24" s="170"/>
      <c r="Q24" s="318"/>
      <c r="R24" s="315"/>
      <c r="S24" s="319" t="str">
        <f t="shared" ca="1" si="1"/>
        <v/>
      </c>
    </row>
    <row r="25" spans="1:19" ht="11.25" customHeight="1" x14ac:dyDescent="0.2">
      <c r="A25" s="166" t="str">
        <f t="shared" si="0"/>
        <v>01</v>
      </c>
      <c r="B25" s="166" t="s">
        <v>2461</v>
      </c>
      <c r="C25" s="172"/>
      <c r="D25" s="170" t="s">
        <v>1055</v>
      </c>
      <c r="E25" s="170"/>
      <c r="G25" s="170"/>
      <c r="H25" s="170"/>
      <c r="I25" s="650">
        <f ca="1">SUMIF('710'!$B$21:$B$77,D25,'710'!$K$21:$K$77)</f>
        <v>0</v>
      </c>
      <c r="J25" s="170"/>
      <c r="K25" s="318"/>
      <c r="L25" s="170"/>
      <c r="M25" s="318"/>
      <c r="N25" s="170"/>
      <c r="O25" s="318"/>
      <c r="P25" s="170"/>
      <c r="Q25" s="318"/>
      <c r="R25" s="315"/>
      <c r="S25" s="319" t="str">
        <f t="shared" ca="1" si="1"/>
        <v/>
      </c>
    </row>
    <row r="26" spans="1:19" ht="11.25" customHeight="1" x14ac:dyDescent="0.2">
      <c r="A26" s="166" t="str">
        <f t="shared" si="0"/>
        <v>01</v>
      </c>
      <c r="B26" s="166" t="s">
        <v>2462</v>
      </c>
      <c r="C26" s="172"/>
      <c r="D26" s="89" t="s">
        <v>2377</v>
      </c>
      <c r="E26" s="170"/>
      <c r="F26" s="170"/>
      <c r="G26" s="170"/>
      <c r="H26" s="170"/>
      <c r="I26" s="650">
        <f ca="1">SUMIF('710'!$B$21:$B$77,D26,'710'!$K$21:$K$77)</f>
        <v>0</v>
      </c>
      <c r="J26" s="170"/>
      <c r="K26" s="318"/>
      <c r="L26" s="170"/>
      <c r="M26" s="318"/>
      <c r="N26" s="170"/>
      <c r="O26" s="318"/>
      <c r="P26" s="170"/>
      <c r="Q26" s="318"/>
      <c r="R26" s="315"/>
      <c r="S26" s="319" t="str">
        <f t="shared" ca="1" si="1"/>
        <v/>
      </c>
    </row>
    <row r="27" spans="1:19" ht="11.25" customHeight="1" x14ac:dyDescent="0.2">
      <c r="A27" s="166" t="str">
        <f t="shared" si="0"/>
        <v>01</v>
      </c>
      <c r="B27" s="166" t="s">
        <v>2463</v>
      </c>
      <c r="C27" s="172"/>
      <c r="D27" s="170" t="s">
        <v>2367</v>
      </c>
      <c r="E27" s="170"/>
      <c r="F27" s="180" t="s">
        <v>922</v>
      </c>
      <c r="G27" s="170"/>
      <c r="H27" s="170"/>
      <c r="I27" s="650">
        <f ca="1">SUMIF('710'!$B$21:$B$77,D27,'710'!$K$21:$K$77)</f>
        <v>0</v>
      </c>
      <c r="J27" s="170"/>
      <c r="K27" s="318"/>
      <c r="L27" s="170"/>
      <c r="M27" s="318"/>
      <c r="N27" s="170"/>
      <c r="O27" s="318"/>
      <c r="P27" s="170"/>
      <c r="Q27" s="318"/>
      <c r="R27" s="315"/>
      <c r="S27" s="319" t="str">
        <f t="shared" ca="1" si="1"/>
        <v/>
      </c>
    </row>
    <row r="28" spans="1:19" ht="11.25" customHeight="1" x14ac:dyDescent="0.2">
      <c r="A28" s="166" t="str">
        <f t="shared" si="0"/>
        <v>01</v>
      </c>
      <c r="B28" s="166" t="s">
        <v>2464</v>
      </c>
      <c r="C28" s="172"/>
      <c r="D28" s="170" t="s">
        <v>2363</v>
      </c>
      <c r="E28" s="170"/>
      <c r="F28" s="170"/>
      <c r="G28" s="170"/>
      <c r="H28" s="170"/>
      <c r="I28" s="650">
        <f ca="1">SUMIF('710'!$B$21:$B$77,D28,'710'!$K$21:$K$77)</f>
        <v>0</v>
      </c>
      <c r="J28" s="170"/>
      <c r="K28" s="318"/>
      <c r="L28" s="170"/>
      <c r="M28" s="996"/>
      <c r="N28" s="170"/>
      <c r="O28" s="996"/>
      <c r="P28" s="170"/>
      <c r="Q28" s="996"/>
      <c r="R28" s="315"/>
      <c r="S28" s="319" t="str">
        <f t="shared" ca="1" si="1"/>
        <v/>
      </c>
    </row>
    <row r="29" spans="1:19" ht="11.25" customHeight="1" x14ac:dyDescent="0.2">
      <c r="A29" s="166" t="str">
        <f t="shared" si="0"/>
        <v>01</v>
      </c>
      <c r="B29" s="166" t="s">
        <v>2465</v>
      </c>
      <c r="C29" s="172"/>
      <c r="D29" s="170" t="s">
        <v>2375</v>
      </c>
      <c r="E29" s="170"/>
      <c r="F29" s="170"/>
      <c r="G29" s="170"/>
      <c r="H29" s="170"/>
      <c r="I29" s="650">
        <f ca="1">SUMIF('710'!$B$21:$B$77,D29,'710'!$K$21:$K$77)</f>
        <v>0</v>
      </c>
      <c r="J29" s="170"/>
      <c r="K29" s="318"/>
      <c r="L29" s="170"/>
      <c r="M29" s="318"/>
      <c r="N29" s="170"/>
      <c r="O29" s="318"/>
      <c r="P29" s="170"/>
      <c r="Q29" s="318"/>
      <c r="R29" s="315"/>
      <c r="S29" s="319" t="str">
        <f t="shared" ca="1" si="1"/>
        <v/>
      </c>
    </row>
    <row r="30" spans="1:19" ht="11.25" customHeight="1" x14ac:dyDescent="0.2">
      <c r="A30" s="166" t="str">
        <f t="shared" si="0"/>
        <v>01</v>
      </c>
      <c r="B30" s="166" t="s">
        <v>2466</v>
      </c>
      <c r="C30" s="172"/>
      <c r="D30" s="170" t="s">
        <v>2343</v>
      </c>
      <c r="E30" s="170"/>
      <c r="F30" s="170"/>
      <c r="G30" s="170"/>
      <c r="H30" s="170"/>
      <c r="I30" s="650">
        <f ca="1">SUMIF('710'!$B$21:$B$77,D30,'710'!$K$21:$K$77)</f>
        <v>0</v>
      </c>
      <c r="J30" s="170"/>
      <c r="K30" s="318"/>
      <c r="L30" s="170"/>
      <c r="M30" s="318"/>
      <c r="N30" s="170"/>
      <c r="O30" s="318"/>
      <c r="P30" s="170"/>
      <c r="Q30" s="318"/>
      <c r="R30" s="315"/>
      <c r="S30" s="319" t="str">
        <f t="shared" ca="1" si="1"/>
        <v/>
      </c>
    </row>
    <row r="31" spans="1:19" ht="11.25" customHeight="1" x14ac:dyDescent="0.2">
      <c r="A31" s="166" t="str">
        <f t="shared" si="0"/>
        <v>01</v>
      </c>
      <c r="B31" s="166" t="s">
        <v>2467</v>
      </c>
      <c r="C31" s="172"/>
      <c r="D31" s="170" t="s">
        <v>2345</v>
      </c>
      <c r="E31" s="170"/>
      <c r="F31" s="170"/>
      <c r="G31" s="170"/>
      <c r="H31" s="170"/>
      <c r="I31" s="650">
        <f ca="1">SUMIF('710'!$B$21:$B$77,D31,'710'!$K$21:$K$77)</f>
        <v>0</v>
      </c>
      <c r="J31" s="170"/>
      <c r="K31" s="318"/>
      <c r="L31" s="170"/>
      <c r="M31" s="318"/>
      <c r="N31" s="170"/>
      <c r="O31" s="318"/>
      <c r="P31" s="170"/>
      <c r="Q31" s="318"/>
      <c r="R31" s="315"/>
      <c r="S31" s="319" t="str">
        <f t="shared" ca="1" si="1"/>
        <v/>
      </c>
    </row>
    <row r="32" spans="1:19" ht="11.25" customHeight="1" x14ac:dyDescent="0.2">
      <c r="A32" s="166" t="str">
        <f t="shared" ref="A32:A58" si="2">AgyIdx</f>
        <v>01</v>
      </c>
      <c r="B32" s="166" t="s">
        <v>2468</v>
      </c>
      <c r="C32" s="172"/>
      <c r="D32" s="170" t="s">
        <v>2347</v>
      </c>
      <c r="E32" s="170"/>
      <c r="F32" s="170"/>
      <c r="G32" s="170"/>
      <c r="H32" s="170"/>
      <c r="I32" s="650">
        <f ca="1">SUMIF('710'!$B$21:$B$77,D32,'710'!$K$21:$K$77)</f>
        <v>0</v>
      </c>
      <c r="J32" s="170"/>
      <c r="K32" s="318"/>
      <c r="L32" s="170"/>
      <c r="M32" s="318"/>
      <c r="N32" s="170"/>
      <c r="O32" s="318"/>
      <c r="P32" s="170"/>
      <c r="Q32" s="318"/>
      <c r="R32" s="315"/>
      <c r="S32" s="319" t="str">
        <f t="shared" ca="1" si="1"/>
        <v/>
      </c>
    </row>
    <row r="33" spans="1:19" ht="11.25" customHeight="1" x14ac:dyDescent="0.2">
      <c r="A33" s="166" t="str">
        <f t="shared" si="2"/>
        <v>01</v>
      </c>
      <c r="B33" s="166" t="s">
        <v>2469</v>
      </c>
      <c r="C33" s="172"/>
      <c r="D33" s="89" t="s">
        <v>2353</v>
      </c>
      <c r="E33" s="3031" t="s">
        <v>2354</v>
      </c>
      <c r="F33" s="3031"/>
      <c r="G33" s="3031"/>
      <c r="H33" s="170"/>
      <c r="I33" s="650">
        <f ca="1">SUMIF('710'!$B$21:$B$77,D33,'710'!$K$21:$K$77)</f>
        <v>0</v>
      </c>
      <c r="J33" s="170"/>
      <c r="K33" s="318"/>
      <c r="L33" s="170"/>
      <c r="M33" s="318"/>
      <c r="N33" s="170"/>
      <c r="O33" s="318"/>
      <c r="P33" s="170"/>
      <c r="Q33" s="318"/>
      <c r="R33" s="315"/>
      <c r="S33" s="319" t="str">
        <f ca="1">IF(I33-SUM(K33:Q33)=0,"",I33-SUM(K33:Q33))</f>
        <v/>
      </c>
    </row>
    <row r="34" spans="1:19" ht="11.25" customHeight="1" thickBot="1" x14ac:dyDescent="0.25">
      <c r="A34" s="166" t="str">
        <f t="shared" si="2"/>
        <v>01</v>
      </c>
      <c r="B34" s="166" t="s">
        <v>2470</v>
      </c>
      <c r="C34" s="172"/>
      <c r="D34" s="89" t="s">
        <v>2356</v>
      </c>
      <c r="E34" s="3031" t="s">
        <v>2354</v>
      </c>
      <c r="F34" s="3031"/>
      <c r="G34" s="3031"/>
      <c r="H34" s="170"/>
      <c r="I34" s="650">
        <f ca="1">SUMIF('710'!$B$21:$B$77,D34,'710'!$K$21:$K$77)</f>
        <v>0</v>
      </c>
      <c r="J34" s="170"/>
      <c r="K34" s="750"/>
      <c r="L34" s="170"/>
      <c r="M34" s="750"/>
      <c r="N34" s="170"/>
      <c r="O34" s="750"/>
      <c r="P34" s="170"/>
      <c r="Q34" s="318"/>
      <c r="R34" s="315"/>
      <c r="S34" s="319" t="str">
        <f ca="1">IF(I34-SUM(K34:Q34)=0,"",I34-SUM(K34:Q34))</f>
        <v/>
      </c>
    </row>
    <row r="35" spans="1:19" ht="13.35" customHeight="1" thickBot="1" x14ac:dyDescent="0.3">
      <c r="A35" s="166" t="str">
        <f t="shared" si="2"/>
        <v>01</v>
      </c>
      <c r="B35" s="166" t="s">
        <v>2471</v>
      </c>
      <c r="C35" s="173" t="s">
        <v>2472</v>
      </c>
      <c r="D35" s="170"/>
      <c r="E35" s="170"/>
      <c r="F35" s="170"/>
      <c r="G35" s="170"/>
      <c r="H35" s="170"/>
      <c r="I35" s="174">
        <f ca="1">SUM(I16:I34)</f>
        <v>0</v>
      </c>
      <c r="J35" s="170"/>
      <c r="K35" s="174">
        <f>SUM(K16:K34)</f>
        <v>0</v>
      </c>
      <c r="L35" s="170"/>
      <c r="M35" s="174">
        <f>SUM(M16:M34)</f>
        <v>0</v>
      </c>
      <c r="N35" s="170"/>
      <c r="O35" s="174">
        <f>SUM(O16:O34)</f>
        <v>0</v>
      </c>
      <c r="P35" s="170"/>
      <c r="Q35" s="174">
        <f>SUM(Q16:Q34)</f>
        <v>0</v>
      </c>
      <c r="R35" s="170"/>
      <c r="S35" s="319" t="str">
        <f t="shared" ca="1" si="1"/>
        <v/>
      </c>
    </row>
    <row r="36" spans="1:19" ht="12" customHeight="1" x14ac:dyDescent="0.25">
      <c r="A36" s="166" t="str">
        <f t="shared" si="2"/>
        <v>01</v>
      </c>
      <c r="C36" s="173" t="s">
        <v>2473</v>
      </c>
      <c r="D36" s="170"/>
      <c r="E36" s="170"/>
      <c r="F36" s="170"/>
      <c r="G36" s="170"/>
      <c r="H36" s="170"/>
      <c r="I36" s="170"/>
      <c r="J36" s="170"/>
      <c r="K36" s="170"/>
      <c r="L36" s="170"/>
      <c r="M36" s="170"/>
      <c r="N36" s="170"/>
      <c r="O36" s="170"/>
      <c r="P36" s="170"/>
      <c r="Q36" s="170"/>
      <c r="R36" s="170"/>
    </row>
    <row r="37" spans="1:19" ht="11.25" customHeight="1" x14ac:dyDescent="0.2">
      <c r="A37" s="166" t="str">
        <f t="shared" si="2"/>
        <v>01</v>
      </c>
      <c r="B37" s="166" t="s">
        <v>2474</v>
      </c>
      <c r="C37" s="172"/>
      <c r="D37" s="89" t="s">
        <v>2361</v>
      </c>
      <c r="E37" s="170"/>
      <c r="F37" s="170"/>
      <c r="G37" s="170"/>
      <c r="H37" s="170"/>
      <c r="I37" s="650">
        <f ca="1">SUMIF('710'!$B$21:$B$77,D37,'710'!$K$21:$K$77)</f>
        <v>0</v>
      </c>
      <c r="J37" s="170"/>
      <c r="K37" s="3028" t="s">
        <v>922</v>
      </c>
      <c r="L37" s="3029"/>
      <c r="M37" s="170" t="s">
        <v>2475</v>
      </c>
      <c r="N37" s="170"/>
      <c r="O37" s="170"/>
      <c r="P37" s="170"/>
      <c r="Q37" s="170"/>
      <c r="R37" s="170"/>
    </row>
    <row r="38" spans="1:19" ht="11.25" customHeight="1" x14ac:dyDescent="0.2">
      <c r="A38" s="166" t="str">
        <f t="shared" si="2"/>
        <v>01</v>
      </c>
      <c r="B38" s="166" t="s">
        <v>2476</v>
      </c>
      <c r="C38" s="172"/>
      <c r="D38" s="170" t="s">
        <v>2365</v>
      </c>
      <c r="E38" s="170"/>
      <c r="F38" s="170"/>
      <c r="G38" s="170"/>
      <c r="H38" s="170"/>
      <c r="I38" s="650">
        <f ca="1">SUMIF('710'!$B$21:$B$77,D38,'710'!$K$21:$K$77)</f>
        <v>0</v>
      </c>
      <c r="J38" s="170"/>
      <c r="K38" s="170"/>
      <c r="L38" s="170"/>
      <c r="M38" s="170" t="s">
        <v>2477</v>
      </c>
      <c r="N38" s="170"/>
      <c r="O38" s="170"/>
      <c r="P38" s="170"/>
      <c r="Q38" s="170"/>
      <c r="R38" s="170"/>
    </row>
    <row r="39" spans="1:19" ht="11.25" customHeight="1" x14ac:dyDescent="0.2">
      <c r="A39" s="166" t="str">
        <f t="shared" si="2"/>
        <v>01</v>
      </c>
      <c r="B39" s="166" t="s">
        <v>2478</v>
      </c>
      <c r="C39" s="172"/>
      <c r="D39" s="170" t="s">
        <v>2369</v>
      </c>
      <c r="E39" s="170"/>
      <c r="F39" s="170"/>
      <c r="G39" s="170"/>
      <c r="H39" s="170"/>
      <c r="I39" s="650">
        <f ca="1">SUMIF('710'!$B$21:$B$77,D39,'710'!$K$21:$K$77)</f>
        <v>0</v>
      </c>
      <c r="J39" s="170"/>
      <c r="K39" s="170"/>
      <c r="L39" s="170"/>
      <c r="M39" s="170" t="s">
        <v>2479</v>
      </c>
      <c r="N39" s="170"/>
      <c r="O39" s="170"/>
      <c r="P39" s="170"/>
      <c r="Q39" s="170"/>
      <c r="R39" s="170"/>
    </row>
    <row r="40" spans="1:19" ht="11.25" customHeight="1" x14ac:dyDescent="0.2">
      <c r="A40" s="166" t="str">
        <f t="shared" si="2"/>
        <v>01</v>
      </c>
      <c r="B40" s="166" t="s">
        <v>2480</v>
      </c>
      <c r="C40" s="172"/>
      <c r="D40" s="170" t="s">
        <v>2371</v>
      </c>
      <c r="E40" s="170"/>
      <c r="F40" s="170"/>
      <c r="G40" s="170"/>
      <c r="H40" s="170"/>
      <c r="I40" s="650">
        <f ca="1">SUMIF('710'!$B$21:$B$77,D40,'710'!$K$21:$K$77)</f>
        <v>0</v>
      </c>
      <c r="J40" s="170"/>
      <c r="K40" s="170"/>
      <c r="L40" s="170"/>
      <c r="M40" s="170" t="s">
        <v>2481</v>
      </c>
      <c r="N40" s="170"/>
      <c r="O40" s="170"/>
      <c r="P40" s="170"/>
      <c r="Q40" s="170"/>
      <c r="R40" s="170"/>
    </row>
    <row r="41" spans="1:19" ht="11.25" customHeight="1" x14ac:dyDescent="0.2">
      <c r="A41" s="166" t="str">
        <f t="shared" si="2"/>
        <v>01</v>
      </c>
      <c r="B41" s="166" t="s">
        <v>2482</v>
      </c>
      <c r="C41" s="172"/>
      <c r="D41" s="170" t="s">
        <v>2373</v>
      </c>
      <c r="E41" s="170"/>
      <c r="F41" s="170"/>
      <c r="G41" s="170"/>
      <c r="H41" s="170"/>
      <c r="I41" s="650">
        <f ca="1">SUMIF('710'!$B$21:$B$77,D41,'710'!$K$21:$K$77)</f>
        <v>0</v>
      </c>
      <c r="J41" s="170"/>
      <c r="K41" s="170"/>
      <c r="L41" s="170"/>
      <c r="M41" s="170" t="s">
        <v>2483</v>
      </c>
      <c r="N41" s="170"/>
      <c r="O41" s="170"/>
      <c r="P41" s="170"/>
      <c r="Q41" s="170"/>
      <c r="R41" s="170"/>
    </row>
    <row r="42" spans="1:19" ht="11.25" customHeight="1" x14ac:dyDescent="0.2">
      <c r="A42" s="166" t="str">
        <f t="shared" si="2"/>
        <v>01</v>
      </c>
      <c r="B42" s="166" t="s">
        <v>2484</v>
      </c>
      <c r="C42" s="172"/>
      <c r="D42" s="170" t="s">
        <v>2379</v>
      </c>
      <c r="E42" s="170"/>
      <c r="F42" s="170"/>
      <c r="G42" s="170"/>
      <c r="H42" s="170"/>
      <c r="I42" s="650">
        <f ca="1">SUMIF('710'!$B$21:$B$77,D42,'710'!$K$21:$K$77)</f>
        <v>0</v>
      </c>
      <c r="J42" s="170"/>
      <c r="K42" s="170"/>
      <c r="L42" s="175"/>
      <c r="M42" s="170"/>
      <c r="N42" s="170"/>
      <c r="O42" s="170"/>
      <c r="P42" s="170"/>
      <c r="Q42" s="170"/>
      <c r="R42" s="170"/>
    </row>
    <row r="43" spans="1:19" ht="11.25" customHeight="1" x14ac:dyDescent="0.2">
      <c r="A43" s="166" t="str">
        <f t="shared" si="2"/>
        <v>01</v>
      </c>
      <c r="B43" s="166" t="s">
        <v>2485</v>
      </c>
      <c r="C43" s="172"/>
      <c r="D43" s="170" t="s">
        <v>2381</v>
      </c>
      <c r="E43" s="170"/>
      <c r="F43" s="170"/>
      <c r="G43" s="170"/>
      <c r="H43" s="170"/>
      <c r="I43" s="650">
        <f ca="1">SUMIF('710'!$B$21:$B$77,D43,'710'!$K$21:$K$77)</f>
        <v>0</v>
      </c>
      <c r="J43" s="170"/>
      <c r="K43" s="170"/>
      <c r="L43" s="170"/>
      <c r="N43" s="170"/>
      <c r="O43" s="170"/>
      <c r="P43" s="170"/>
      <c r="Q43" s="170"/>
      <c r="R43" s="170"/>
    </row>
    <row r="44" spans="1:19" ht="11.25" customHeight="1" x14ac:dyDescent="0.2">
      <c r="A44" s="166" t="str">
        <f t="shared" si="2"/>
        <v>01</v>
      </c>
      <c r="B44" s="166" t="s">
        <v>2486</v>
      </c>
      <c r="C44" s="172"/>
      <c r="D44" s="170" t="s">
        <v>2383</v>
      </c>
      <c r="E44" s="170"/>
      <c r="F44" s="170"/>
      <c r="G44" s="170"/>
      <c r="H44" s="170"/>
      <c r="I44" s="650">
        <f ca="1">SUMIF('710'!$B$21:$B$77,D44,'710'!$K$21:$K$77)</f>
        <v>0</v>
      </c>
      <c r="J44" s="170"/>
      <c r="K44" s="170"/>
      <c r="L44" s="170"/>
      <c r="M44" s="170"/>
      <c r="N44" s="170"/>
      <c r="O44" s="170"/>
      <c r="P44" s="170"/>
      <c r="Q44" s="170"/>
      <c r="R44" s="170"/>
    </row>
    <row r="45" spans="1:19" ht="11.25" customHeight="1" x14ac:dyDescent="0.2">
      <c r="A45" s="166" t="str">
        <f t="shared" si="2"/>
        <v>01</v>
      </c>
      <c r="B45" s="166" t="s">
        <v>2487</v>
      </c>
      <c r="C45" s="172"/>
      <c r="D45" s="170" t="s">
        <v>2385</v>
      </c>
      <c r="E45" s="170"/>
      <c r="F45" s="170"/>
      <c r="G45" s="170"/>
      <c r="H45" s="170"/>
      <c r="I45" s="650">
        <f ca="1">SUMIF('710'!$B$21:$B$77,D45,'710'!$K$21:$K$77)</f>
        <v>0</v>
      </c>
      <c r="J45" s="170"/>
      <c r="K45" s="170"/>
      <c r="L45" s="170"/>
      <c r="M45" s="170"/>
      <c r="N45" s="170"/>
      <c r="O45" s="170"/>
      <c r="P45" s="170"/>
      <c r="Q45" s="170"/>
      <c r="R45" s="170"/>
    </row>
    <row r="46" spans="1:19" ht="11.25" customHeight="1" x14ac:dyDescent="0.2">
      <c r="A46" s="166" t="str">
        <f t="shared" si="2"/>
        <v>01</v>
      </c>
      <c r="B46" s="166" t="s">
        <v>2488</v>
      </c>
      <c r="C46" s="172"/>
      <c r="D46" s="170" t="s">
        <v>2387</v>
      </c>
      <c r="E46" s="170"/>
      <c r="F46" s="170"/>
      <c r="G46" s="170"/>
      <c r="H46" s="170"/>
      <c r="I46" s="650">
        <f ca="1">SUMIF('710'!$B$21:$B$77,D46,'710'!$K$21:$K$77)</f>
        <v>0</v>
      </c>
      <c r="J46" s="170"/>
      <c r="K46" s="170"/>
      <c r="L46" s="170"/>
      <c r="M46" s="170"/>
      <c r="N46" s="170"/>
      <c r="O46" s="170"/>
      <c r="P46" s="170"/>
      <c r="Q46" s="170"/>
      <c r="R46" s="170"/>
    </row>
    <row r="47" spans="1:19" ht="11.25" customHeight="1" x14ac:dyDescent="0.2">
      <c r="A47" s="166" t="str">
        <f t="shared" si="2"/>
        <v>01</v>
      </c>
      <c r="B47" s="166" t="s">
        <v>2489</v>
      </c>
      <c r="C47" s="172"/>
      <c r="D47" s="170" t="s">
        <v>2389</v>
      </c>
      <c r="E47" s="170"/>
      <c r="F47" s="170"/>
      <c r="G47" s="170"/>
      <c r="H47" s="170"/>
      <c r="I47" s="650">
        <f ca="1">SUMIF('710'!$B$21:$B$77,D47,'710'!$K$21:$K$77)</f>
        <v>0</v>
      </c>
      <c r="J47" s="170"/>
      <c r="K47" s="170"/>
      <c r="L47" s="170"/>
      <c r="M47" s="170"/>
      <c r="N47" s="170"/>
      <c r="O47" s="170"/>
      <c r="P47" s="170"/>
      <c r="Q47" s="170"/>
      <c r="R47" s="170"/>
    </row>
    <row r="48" spans="1:19" ht="11.25" customHeight="1" x14ac:dyDescent="0.2">
      <c r="A48" s="166" t="str">
        <f t="shared" si="2"/>
        <v>01</v>
      </c>
      <c r="B48" s="166" t="s">
        <v>2490</v>
      </c>
      <c r="C48" s="172"/>
      <c r="D48" s="89" t="s">
        <v>2391</v>
      </c>
      <c r="E48" s="170"/>
      <c r="F48" s="170"/>
      <c r="G48" s="170"/>
      <c r="H48" s="170"/>
      <c r="I48" s="650">
        <f ca="1">SUMIF('710'!$B$21:$B$77,D48,'710'!$K$21:$K$77)</f>
        <v>0</v>
      </c>
      <c r="J48" s="170"/>
      <c r="K48" s="170"/>
      <c r="L48" s="170"/>
      <c r="M48" s="170"/>
      <c r="N48" s="170"/>
      <c r="O48" s="170"/>
      <c r="P48" s="170"/>
      <c r="Q48" s="170"/>
      <c r="R48" s="170"/>
    </row>
    <row r="49" spans="1:18" ht="11.25" customHeight="1" x14ac:dyDescent="0.2">
      <c r="A49" s="166" t="str">
        <f t="shared" si="2"/>
        <v>01</v>
      </c>
      <c r="B49" s="166" t="s">
        <v>2491</v>
      </c>
      <c r="C49" s="1768"/>
      <c r="D49" s="170" t="s">
        <v>2393</v>
      </c>
      <c r="E49" s="1769"/>
      <c r="F49" s="1769"/>
      <c r="G49" s="170"/>
      <c r="H49" s="170"/>
      <c r="I49" s="650">
        <f ca="1">SUMIF('710'!$B$21:$B$77,D49,'710'!$K$21:$K$77)</f>
        <v>0</v>
      </c>
      <c r="J49" s="170"/>
      <c r="K49" s="170"/>
      <c r="L49" s="170"/>
      <c r="M49" s="170"/>
      <c r="N49" s="170"/>
      <c r="O49" s="170"/>
      <c r="P49" s="170"/>
      <c r="Q49" s="170"/>
      <c r="R49" s="170"/>
    </row>
    <row r="50" spans="1:18" ht="11.25" customHeight="1" x14ac:dyDescent="0.2">
      <c r="A50" s="166" t="str">
        <f t="shared" si="2"/>
        <v>01</v>
      </c>
      <c r="B50" s="166" t="s">
        <v>2492</v>
      </c>
      <c r="C50" s="172"/>
      <c r="D50" s="89" t="s">
        <v>2349</v>
      </c>
      <c r="E50" s="170"/>
      <c r="F50" s="170"/>
      <c r="G50" s="170"/>
      <c r="H50" s="170"/>
      <c r="I50" s="650">
        <f ca="1">SUMIF('710'!$B$21:$B$77,D50,'710'!$K$21:$K$77)</f>
        <v>0</v>
      </c>
      <c r="J50" s="170"/>
      <c r="K50" s="170"/>
      <c r="L50" s="170"/>
      <c r="M50" s="170"/>
      <c r="N50" s="170"/>
      <c r="O50" s="170"/>
      <c r="P50" s="170"/>
      <c r="Q50" s="170"/>
      <c r="R50" s="170"/>
    </row>
    <row r="51" spans="1:18" ht="11.25" customHeight="1" x14ac:dyDescent="0.2">
      <c r="A51" s="166" t="str">
        <f t="shared" si="2"/>
        <v>01</v>
      </c>
      <c r="B51" s="166" t="s">
        <v>2493</v>
      </c>
      <c r="C51" s="172"/>
      <c r="D51" s="170" t="s">
        <v>2351</v>
      </c>
      <c r="E51" s="170"/>
      <c r="F51" s="170"/>
      <c r="G51" s="170"/>
      <c r="H51" s="170"/>
      <c r="I51" s="650">
        <f ca="1">SUMIF('710'!$B$21:$B$77,D51,'710'!$K$21:$K$77)</f>
        <v>0</v>
      </c>
      <c r="J51" s="170"/>
      <c r="K51" s="170"/>
      <c r="L51" s="170"/>
      <c r="M51" s="170"/>
      <c r="N51" s="170"/>
      <c r="O51" s="170"/>
      <c r="P51" s="170"/>
      <c r="Q51" s="170"/>
      <c r="R51" s="170"/>
    </row>
    <row r="52" spans="1:18" ht="11.25" customHeight="1" x14ac:dyDescent="0.2">
      <c r="A52" s="166" t="str">
        <f t="shared" si="2"/>
        <v>01</v>
      </c>
      <c r="B52" s="166" t="s">
        <v>2494</v>
      </c>
      <c r="C52" s="172"/>
      <c r="D52" s="89" t="s">
        <v>2395</v>
      </c>
      <c r="E52" s="3031" t="s">
        <v>2354</v>
      </c>
      <c r="F52" s="3031"/>
      <c r="G52" s="3031"/>
      <c r="H52" s="170"/>
      <c r="I52" s="650">
        <f ca="1">SUMIF('710'!$B$21:$B$77,D52,'710'!$K$21:$K$77)</f>
        <v>0</v>
      </c>
      <c r="J52" s="170"/>
      <c r="K52" s="170"/>
      <c r="L52" s="170"/>
      <c r="M52" s="170"/>
      <c r="N52" s="170"/>
      <c r="O52" s="170"/>
      <c r="P52" s="170"/>
      <c r="Q52" s="170"/>
      <c r="R52" s="170"/>
    </row>
    <row r="53" spans="1:18" ht="11.25" customHeight="1" x14ac:dyDescent="0.2">
      <c r="A53" s="166" t="str">
        <f t="shared" si="2"/>
        <v>01</v>
      </c>
      <c r="B53" s="166" t="s">
        <v>2495</v>
      </c>
      <c r="C53" s="172"/>
      <c r="D53" s="89" t="s">
        <v>2397</v>
      </c>
      <c r="E53" s="3031" t="s">
        <v>2354</v>
      </c>
      <c r="F53" s="3031"/>
      <c r="G53" s="3031"/>
      <c r="H53" s="170"/>
      <c r="I53" s="650">
        <f ca="1">SUMIF('710'!$B$21:$B$77,D53,'710'!$K$21:$K$77)</f>
        <v>0</v>
      </c>
      <c r="J53" s="170"/>
      <c r="K53" s="170"/>
      <c r="L53" s="170"/>
      <c r="M53" s="170"/>
      <c r="N53" s="170"/>
      <c r="O53" s="170"/>
      <c r="P53" s="170"/>
      <c r="Q53" s="170"/>
      <c r="R53" s="170"/>
    </row>
    <row r="54" spans="1:18" ht="11.25" customHeight="1" x14ac:dyDescent="0.2">
      <c r="A54" s="166" t="str">
        <f t="shared" si="2"/>
        <v>01</v>
      </c>
      <c r="B54" s="166" t="s">
        <v>2496</v>
      </c>
      <c r="C54" s="172"/>
      <c r="D54" s="89" t="s">
        <v>2399</v>
      </c>
      <c r="E54" s="3031" t="s">
        <v>2354</v>
      </c>
      <c r="F54" s="3031"/>
      <c r="G54" s="3031"/>
      <c r="H54" s="170"/>
      <c r="I54" s="650">
        <f ca="1">SUMIF('710'!$B$21:$B$77,D54,'710'!$K$21:$K$77)</f>
        <v>0</v>
      </c>
      <c r="J54" s="170"/>
      <c r="K54" s="170"/>
      <c r="L54" s="170"/>
      <c r="M54" s="170"/>
      <c r="N54" s="170"/>
      <c r="O54" s="170"/>
      <c r="P54" s="170"/>
      <c r="Q54" s="170"/>
      <c r="R54" s="170"/>
    </row>
    <row r="55" spans="1:18" ht="11.25" customHeight="1" x14ac:dyDescent="0.2">
      <c r="A55" s="166" t="str">
        <f t="shared" si="2"/>
        <v>01</v>
      </c>
      <c r="B55" s="166" t="s">
        <v>2497</v>
      </c>
      <c r="C55" s="172"/>
      <c r="D55" s="89" t="s">
        <v>2401</v>
      </c>
      <c r="E55" s="3031" t="s">
        <v>2354</v>
      </c>
      <c r="F55" s="3031"/>
      <c r="G55" s="3031"/>
      <c r="H55" s="170"/>
      <c r="I55" s="650">
        <f ca="1">SUMIF('710'!$B$21:$B$77,D55,'710'!$K$21:$K$77)</f>
        <v>0</v>
      </c>
      <c r="J55" s="170"/>
      <c r="K55" s="170"/>
      <c r="L55" s="170"/>
      <c r="M55" s="170"/>
      <c r="N55" s="170"/>
      <c r="O55" s="170"/>
      <c r="P55" s="170"/>
      <c r="Q55" s="170"/>
      <c r="R55" s="170"/>
    </row>
    <row r="56" spans="1:18" ht="16.350000000000001" customHeight="1" thickBot="1" x14ac:dyDescent="0.3">
      <c r="A56" s="166" t="str">
        <f t="shared" si="2"/>
        <v>01</v>
      </c>
      <c r="B56" s="166" t="s">
        <v>2498</v>
      </c>
      <c r="C56" s="176" t="s">
        <v>2499</v>
      </c>
      <c r="D56" s="170"/>
      <c r="E56" s="170"/>
      <c r="F56" s="170"/>
      <c r="G56" s="170"/>
      <c r="H56" s="170"/>
      <c r="I56" s="651">
        <f ca="1">I35+SUM(I37:I55)</f>
        <v>0</v>
      </c>
      <c r="J56" s="170"/>
      <c r="K56" s="858" t="s">
        <v>2500</v>
      </c>
      <c r="L56" s="170"/>
      <c r="M56" s="170"/>
      <c r="N56" s="170"/>
      <c r="O56" s="170"/>
      <c r="P56" s="170"/>
      <c r="Q56" s="170"/>
      <c r="R56" s="170"/>
    </row>
    <row r="57" spans="1:18" ht="6" customHeight="1" thickTop="1" x14ac:dyDescent="0.2">
      <c r="A57" s="166" t="str">
        <f t="shared" si="2"/>
        <v>01</v>
      </c>
      <c r="C57" s="170"/>
      <c r="D57" s="170"/>
      <c r="E57" s="170"/>
      <c r="F57" s="170"/>
      <c r="G57" s="170"/>
    </row>
    <row r="58" spans="1:18" ht="12" customHeight="1" x14ac:dyDescent="0.2">
      <c r="A58" s="166" t="str">
        <f t="shared" si="2"/>
        <v>01</v>
      </c>
      <c r="C58" s="177"/>
      <c r="D58" s="170"/>
      <c r="E58" s="170"/>
      <c r="F58" s="170"/>
      <c r="G58" s="170"/>
      <c r="I58" s="209">
        <f ca="1">I56-'710'!K70</f>
        <v>0</v>
      </c>
      <c r="K58" s="166" t="str">
        <f ca="1">IF(I58=0,"","Error")</f>
        <v/>
      </c>
    </row>
  </sheetData>
  <sheetProtection algorithmName="SHA-512" hashValue="NxhCCY7fYDitYaF+L2hN7UBjx5QnPay2Vw0+YveZJ3ZhIGsxunhFxNctQeNr6eNY12CbS1jf+BNv0taohHG4Zw==" saltValue="jcNDRRPEp7s2crSFpFbDKQ==" spinCount="100000" sheet="1" autoFilter="0"/>
  <customSheetViews>
    <customSheetView guid="{9FCFC836-1CA5-48BF-958D-24D2EA94B219}" showGridLines="0" fitToPage="1">
      <pane xSplit="7" ySplit="13" topLeftCell="H26" activePane="bottomRight" state="frozen"/>
      <selection pane="bottomRight" activeCell="D50" sqref="D50"/>
      <pageMargins left="0" right="0" top="0" bottom="0" header="0" footer="0"/>
      <pageSetup scale="80" orientation="landscape" r:id="rId1"/>
      <headerFooter alignWithMargins="0">
        <oddFooter>&amp;R&amp;A</oddFooter>
      </headerFooter>
    </customSheetView>
    <customSheetView guid="{BEA4BE86-04D1-4C96-9358-7A260B9D2B2D}" showGridLines="0" fitToPage="1" showRuler="0" topLeftCell="A13">
      <selection sqref="A1:O1"/>
      <pageMargins left="0" right="0" top="0" bottom="0" header="0" footer="0"/>
      <pageSetup orientation="landscape" r:id="rId2"/>
      <headerFooter alignWithMargins="0">
        <oddFooter>&amp;R&amp;A</oddFooter>
      </headerFooter>
    </customSheetView>
    <customSheetView guid="{1250FD07-FF56-4A9D-AF9E-C27124A7EBE9}" showGridLines="0" fitToPage="1" showRuler="0" topLeftCell="A13">
      <selection sqref="A1:O1"/>
      <pageMargins left="0" right="0" top="0" bottom="0" header="0" footer="0"/>
      <pageSetup orientation="landscape" r:id="rId3"/>
      <headerFooter alignWithMargins="0">
        <oddFooter>&amp;R&amp;A</oddFooter>
      </headerFooter>
    </customSheetView>
    <customSheetView guid="{B08879A4-635B-4C39-9937-AC7883D562FC}" showGridLines="0" fitToPage="1">
      <pane xSplit="7" ySplit="13" topLeftCell="H26" activePane="bottomRight" state="frozen"/>
      <selection pane="bottomRight" activeCell="D50" sqref="D50"/>
      <pageMargins left="0" right="0" top="0" bottom="0" header="0" footer="0"/>
      <pageSetup scale="80" orientation="landscape" r:id="rId4"/>
      <headerFooter alignWithMargins="0">
        <oddFooter>&amp;R&amp;A</oddFooter>
      </headerFooter>
    </customSheetView>
  </customSheetViews>
  <mergeCells count="18">
    <mergeCell ref="E54:G54"/>
    <mergeCell ref="E55:G55"/>
    <mergeCell ref="M6:Q6"/>
    <mergeCell ref="M7:Q7"/>
    <mergeCell ref="M8:Q8"/>
    <mergeCell ref="M9:Q9"/>
    <mergeCell ref="E33:G33"/>
    <mergeCell ref="E34:G34"/>
    <mergeCell ref="E52:G52"/>
    <mergeCell ref="E53:G53"/>
    <mergeCell ref="C4:Q4"/>
    <mergeCell ref="F8:G8"/>
    <mergeCell ref="K37:L37"/>
    <mergeCell ref="C1:Q1"/>
    <mergeCell ref="C2:Q2"/>
    <mergeCell ref="C3:Q3"/>
    <mergeCell ref="C13:G13"/>
    <mergeCell ref="K12:Q12"/>
  </mergeCells>
  <phoneticPr fontId="18" type="noConversion"/>
  <conditionalFormatting sqref="R1:R3">
    <cfRule type="cellIs" dxfId="40" priority="1" stopIfTrue="1" operator="equal">
      <formula>"na"</formula>
    </cfRule>
  </conditionalFormatting>
  <hyperlinks>
    <hyperlink ref="C1:Q1" location="Index!A1" display="Office of the State Controller" xr:uid="{00000000-0004-0000-4000-000000000000}"/>
  </hyperlinks>
  <pageMargins left="0.6" right="0.6" top="0.5" bottom="0.5" header="0.3" footer="0.3"/>
  <pageSetup scale="79" orientation="landscape" r:id="rId5"/>
  <drawing r:id="rId6"/>
  <extLst>
    <ext xmlns:x14="http://schemas.microsoft.com/office/spreadsheetml/2009/9/main" uri="{CCE6A557-97BC-4b89-ADB6-D9C93CAAB3DF}">
      <x14:dataValidations xmlns:xm="http://schemas.microsoft.com/office/excel/2006/main" count="2">
        <x14:dataValidation type="list" allowBlank="1" showInputMessage="1" showErrorMessage="1" xr:uid="{EA022FCA-EB7B-4FF9-889B-3828D6279335}">
          <x14:formula1>
            <xm:f>Notes!$X$3:$X$6</xm:f>
          </x14:formula1>
          <xm:sqref>E33:E34</xm:sqref>
        </x14:dataValidation>
        <x14:dataValidation type="list" allowBlank="1" showInputMessage="1" showErrorMessage="1" xr:uid="{9C257846-E437-4316-9D1B-A7DD57D677BD}">
          <x14:formula1>
            <xm:f>Notes!$X$10:$X$20</xm:f>
          </x14:formula1>
          <xm:sqref>E52:G55</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48"/>
  <dimension ref="A1:Z59"/>
  <sheetViews>
    <sheetView showGridLines="0" topLeftCell="C1" zoomScaleNormal="100" workbookViewId="0">
      <selection activeCell="S38" sqref="S38"/>
    </sheetView>
  </sheetViews>
  <sheetFormatPr defaultColWidth="9.42578125" defaultRowHeight="11.25" x14ac:dyDescent="0.2"/>
  <cols>
    <col min="1" max="1" width="5.42578125" style="171" hidden="1" customWidth="1"/>
    <col min="2" max="2" width="12.5703125" style="171" hidden="1" customWidth="1"/>
    <col min="3" max="3" width="2" style="170" customWidth="1"/>
    <col min="4" max="4" width="6.5703125" style="170" customWidth="1"/>
    <col min="5" max="5" width="28.85546875" style="170" customWidth="1"/>
    <col min="6" max="6" width="14.42578125" style="170" customWidth="1"/>
    <col min="7" max="7" width="0.5703125" style="170" customWidth="1"/>
    <col min="8" max="8" width="14.42578125" style="170" customWidth="1"/>
    <col min="9" max="9" width="0.5703125" style="170" customWidth="1"/>
    <col min="10" max="10" width="14.42578125" style="170" customWidth="1"/>
    <col min="11" max="11" width="0.5703125" style="170" customWidth="1"/>
    <col min="12" max="12" width="14.42578125" style="170" customWidth="1"/>
    <col min="13" max="13" width="0.5703125" style="170" customWidth="1"/>
    <col min="14" max="14" width="13" style="170" customWidth="1"/>
    <col min="15" max="15" width="0.5703125" style="170" customWidth="1"/>
    <col min="16" max="16" width="12.42578125" style="170" customWidth="1"/>
    <col min="17" max="17" width="0.5703125" style="170" customWidth="1"/>
    <col min="18" max="18" width="12.5703125" style="170" customWidth="1"/>
    <col min="19" max="19" width="16.5703125" style="170" customWidth="1"/>
    <col min="20" max="20" width="4.5703125" style="170" customWidth="1"/>
    <col min="21" max="24" width="9.42578125" style="170"/>
    <col min="25" max="25" width="9.42578125" style="1295"/>
    <col min="26" max="16384" width="9.42578125" style="170"/>
  </cols>
  <sheetData>
    <row r="1" spans="1:26" ht="15.75" x14ac:dyDescent="0.25">
      <c r="A1" s="185" t="str">
        <f>AgyIdx</f>
        <v>01</v>
      </c>
      <c r="C1" s="2553" t="str">
        <f>+Index!$A$1</f>
        <v xml:space="preserve">                                                               Office of the State Controller                                                                </v>
      </c>
      <c r="D1" s="2553"/>
      <c r="E1" s="2553"/>
      <c r="F1" s="2553"/>
      <c r="G1" s="2553"/>
      <c r="H1" s="2553"/>
      <c r="I1" s="2553"/>
      <c r="J1" s="2553"/>
      <c r="K1" s="2553"/>
      <c r="L1" s="2553"/>
      <c r="M1" s="2553"/>
      <c r="N1" s="2553"/>
      <c r="O1" s="2553"/>
      <c r="P1" s="2553"/>
      <c r="Q1" s="2553"/>
      <c r="R1" s="2553"/>
      <c r="S1" s="848"/>
      <c r="T1" s="213"/>
      <c r="U1" s="213"/>
      <c r="V1" s="213"/>
      <c r="Z1" s="1295" t="s">
        <v>2501</v>
      </c>
    </row>
    <row r="2" spans="1:26" ht="15.75" x14ac:dyDescent="0.25">
      <c r="A2" s="171" t="str">
        <f t="shared" ref="A2:A33" si="0">AgyIdx</f>
        <v>01</v>
      </c>
      <c r="C2" s="2532" t="str">
        <f>+Index!$A$2</f>
        <v>2024 ACFR Worksheets</v>
      </c>
      <c r="D2" s="2532"/>
      <c r="E2" s="2532"/>
      <c r="F2" s="2532"/>
      <c r="G2" s="2532"/>
      <c r="H2" s="2532"/>
      <c r="I2" s="2532"/>
      <c r="J2" s="2532"/>
      <c r="K2" s="2532"/>
      <c r="L2" s="2532"/>
      <c r="M2" s="2532"/>
      <c r="N2" s="2532"/>
      <c r="O2" s="2532"/>
      <c r="P2" s="2532"/>
      <c r="Q2" s="2532"/>
      <c r="R2" s="2532"/>
      <c r="S2" s="848"/>
    </row>
    <row r="3" spans="1:26" ht="15.75" x14ac:dyDescent="0.25">
      <c r="A3" s="171" t="str">
        <f t="shared" si="0"/>
        <v>01</v>
      </c>
      <c r="C3" s="2532" t="s">
        <v>2309</v>
      </c>
      <c r="D3" s="2532"/>
      <c r="E3" s="2532"/>
      <c r="F3" s="2532"/>
      <c r="G3" s="2532"/>
      <c r="H3" s="2532"/>
      <c r="I3" s="2532"/>
      <c r="J3" s="2532"/>
      <c r="K3" s="2532"/>
      <c r="L3" s="2532"/>
      <c r="M3" s="2532"/>
      <c r="N3" s="2532"/>
      <c r="O3" s="2532"/>
      <c r="P3" s="2532"/>
      <c r="Q3" s="2532"/>
      <c r="R3" s="2532"/>
      <c r="S3" s="848"/>
    </row>
    <row r="4" spans="1:26" ht="15.75" x14ac:dyDescent="0.25">
      <c r="A4" s="171" t="str">
        <f t="shared" si="0"/>
        <v>01</v>
      </c>
      <c r="C4" s="2532" t="s">
        <v>2502</v>
      </c>
      <c r="D4" s="2532"/>
      <c r="E4" s="2532"/>
      <c r="F4" s="2532"/>
      <c r="G4" s="2532"/>
      <c r="H4" s="2532"/>
      <c r="I4" s="2532"/>
      <c r="J4" s="2532"/>
      <c r="K4" s="2532"/>
      <c r="L4" s="2532"/>
      <c r="M4" s="2532"/>
      <c r="N4" s="2532"/>
      <c r="O4" s="2532"/>
      <c r="P4" s="2532"/>
      <c r="Q4" s="2532"/>
      <c r="R4" s="2298" t="str">
        <f>IF(Index!$B$93="na","NA","")</f>
        <v/>
      </c>
      <c r="S4" s="2251"/>
    </row>
    <row r="5" spans="1:26" ht="15.75" customHeight="1" x14ac:dyDescent="0.2">
      <c r="A5" s="171" t="str">
        <f t="shared" si="0"/>
        <v>01</v>
      </c>
      <c r="N5" s="236"/>
      <c r="R5" s="2298"/>
    </row>
    <row r="6" spans="1:26" ht="14.1" customHeight="1" x14ac:dyDescent="0.2">
      <c r="A6" s="171" t="str">
        <f t="shared" si="0"/>
        <v>01</v>
      </c>
      <c r="C6" s="418" t="s">
        <v>318</v>
      </c>
      <c r="F6" s="2325" t="str">
        <f>+Index!$E$10</f>
        <v>01</v>
      </c>
      <c r="L6" s="178" t="s">
        <v>319</v>
      </c>
      <c r="N6" s="3033" t="str">
        <f>+Index!$E$11</f>
        <v>North Carolina General Assembly</v>
      </c>
      <c r="O6" s="3033"/>
      <c r="P6" s="3033"/>
      <c r="Q6" s="3033"/>
      <c r="R6" s="2677"/>
    </row>
    <row r="7" spans="1:26" ht="14.1" customHeight="1" x14ac:dyDescent="0.2">
      <c r="A7" s="171" t="str">
        <f t="shared" si="0"/>
        <v>01</v>
      </c>
      <c r="L7" s="178" t="s">
        <v>320</v>
      </c>
      <c r="N7" s="2994" t="str">
        <f>CONCATENATE(Index!$E$12," ",Index!$E$14)</f>
        <v xml:space="preserve"> </v>
      </c>
      <c r="O7" s="2994"/>
      <c r="P7" s="2994"/>
      <c r="Q7" s="2994"/>
      <c r="R7" s="3003"/>
    </row>
    <row r="8" spans="1:26" ht="14.1" customHeight="1" x14ac:dyDescent="0.2">
      <c r="A8" s="171" t="str">
        <f t="shared" si="0"/>
        <v>01</v>
      </c>
      <c r="C8" s="151" t="s">
        <v>545</v>
      </c>
      <c r="D8" s="166"/>
      <c r="F8" s="2715" t="s">
        <v>762</v>
      </c>
      <c r="G8" s="2715"/>
      <c r="L8" s="178" t="s">
        <v>168</v>
      </c>
      <c r="N8" s="2994">
        <f>+Index!$E$13</f>
        <v>0</v>
      </c>
      <c r="O8" s="2994"/>
      <c r="P8" s="2994"/>
      <c r="Q8" s="2994"/>
      <c r="R8" s="3003"/>
    </row>
    <row r="9" spans="1:26" ht="6.75" customHeight="1" thickBot="1" x14ac:dyDescent="0.25">
      <c r="A9" s="171" t="str">
        <f t="shared" si="0"/>
        <v>01</v>
      </c>
      <c r="C9" s="167"/>
      <c r="D9" s="167"/>
      <c r="E9" s="167"/>
      <c r="F9" s="167"/>
      <c r="G9" s="167"/>
      <c r="H9" s="167"/>
      <c r="I9" s="167"/>
      <c r="J9" s="167"/>
      <c r="K9" s="167"/>
      <c r="L9" s="167"/>
      <c r="M9" s="167"/>
      <c r="N9" s="167"/>
      <c r="O9" s="167"/>
      <c r="P9" s="167"/>
      <c r="Q9" s="167"/>
      <c r="R9" s="167"/>
      <c r="S9" s="179"/>
    </row>
    <row r="10" spans="1:26" ht="12" x14ac:dyDescent="0.2">
      <c r="A10" s="171" t="str">
        <f t="shared" si="0"/>
        <v>01</v>
      </c>
      <c r="C10" s="166"/>
      <c r="D10" s="166"/>
      <c r="E10" s="166"/>
      <c r="F10" s="3037" t="s">
        <v>2503</v>
      </c>
      <c r="G10" s="3037"/>
      <c r="H10" s="3037"/>
      <c r="I10" s="3037"/>
      <c r="J10" s="3037"/>
      <c r="K10" s="3037"/>
      <c r="L10" s="3037"/>
      <c r="M10" s="3037"/>
      <c r="N10" s="3037"/>
      <c r="O10" s="3037"/>
      <c r="P10" s="3037"/>
      <c r="Q10" s="3037"/>
      <c r="R10" s="3037"/>
    </row>
    <row r="11" spans="1:26" ht="12" x14ac:dyDescent="0.2">
      <c r="A11" s="171" t="str">
        <f t="shared" si="0"/>
        <v>01</v>
      </c>
      <c r="C11" s="166"/>
      <c r="D11" s="166"/>
      <c r="E11" s="166"/>
      <c r="F11" s="3038" t="s">
        <v>2504</v>
      </c>
      <c r="G11" s="3038"/>
      <c r="H11" s="3038"/>
      <c r="I11" s="3038"/>
      <c r="J11" s="3038"/>
      <c r="K11" s="3038"/>
      <c r="L11" s="3038"/>
      <c r="M11" s="3038"/>
      <c r="N11" s="3038"/>
      <c r="O11" s="3038"/>
      <c r="P11" s="3038"/>
      <c r="Q11" s="3038"/>
      <c r="R11" s="3038"/>
      <c r="S11" s="171"/>
    </row>
    <row r="12" spans="1:26" ht="12" x14ac:dyDescent="0.2">
      <c r="A12" s="171" t="str">
        <f t="shared" si="0"/>
        <v>01</v>
      </c>
      <c r="C12" s="166"/>
      <c r="D12" s="166"/>
      <c r="E12" s="166"/>
      <c r="F12" s="1770">
        <v>100</v>
      </c>
      <c r="G12" s="1770"/>
      <c r="H12" s="1770">
        <v>120</v>
      </c>
      <c r="I12" s="1770"/>
      <c r="J12" s="1770">
        <v>140</v>
      </c>
      <c r="K12" s="1770"/>
      <c r="L12" s="1770">
        <v>160</v>
      </c>
      <c r="M12" s="1770"/>
      <c r="N12" s="1770">
        <v>180</v>
      </c>
      <c r="O12" s="1770"/>
      <c r="P12" s="1770">
        <v>200</v>
      </c>
      <c r="Q12" s="1770"/>
      <c r="R12" s="1770">
        <v>220</v>
      </c>
      <c r="S12" s="1770">
        <v>240</v>
      </c>
      <c r="U12" s="171"/>
    </row>
    <row r="13" spans="1:26" ht="36" x14ac:dyDescent="0.2">
      <c r="A13" s="171" t="str">
        <f t="shared" si="0"/>
        <v>01</v>
      </c>
      <c r="C13" s="652"/>
      <c r="D13" s="3040" t="s">
        <v>2445</v>
      </c>
      <c r="E13" s="3040"/>
      <c r="F13" s="653" t="s">
        <v>2505</v>
      </c>
      <c r="G13" s="654"/>
      <c r="H13" s="653" t="s">
        <v>2506</v>
      </c>
      <c r="I13" s="654"/>
      <c r="J13" s="653" t="s">
        <v>570</v>
      </c>
      <c r="K13" s="654"/>
      <c r="L13" s="653" t="s">
        <v>2507</v>
      </c>
      <c r="M13" s="654"/>
      <c r="N13" s="653" t="s">
        <v>2508</v>
      </c>
      <c r="O13" s="654"/>
      <c r="P13" s="653" t="s">
        <v>2509</v>
      </c>
      <c r="Q13" s="654"/>
      <c r="R13" s="653" t="s">
        <v>2510</v>
      </c>
      <c r="S13" s="661" t="s">
        <v>962</v>
      </c>
      <c r="U13" s="171"/>
    </row>
    <row r="14" spans="1:26" x14ac:dyDescent="0.2">
      <c r="A14" s="171" t="str">
        <f t="shared" si="0"/>
        <v>01</v>
      </c>
      <c r="B14" s="171" t="s">
        <v>2454</v>
      </c>
      <c r="C14" s="655"/>
      <c r="D14" s="170" t="s">
        <v>2328</v>
      </c>
      <c r="F14" s="656"/>
      <c r="G14" s="657"/>
      <c r="H14" s="656"/>
      <c r="I14" s="658"/>
      <c r="J14" s="656"/>
      <c r="K14" s="658"/>
      <c r="L14" s="656"/>
      <c r="M14" s="658"/>
      <c r="N14" s="656"/>
      <c r="O14" s="658"/>
      <c r="P14" s="656"/>
      <c r="Q14" s="658"/>
      <c r="R14" s="656"/>
      <c r="S14" s="658">
        <f ca="1">SUM(F14:R14)-INDEX('720'!$B$14:$I$57,MATCH('725'!B14,'720'!$B$14:$B$57,0),8)</f>
        <v>0</v>
      </c>
      <c r="Y14" s="1295" t="s">
        <v>2328</v>
      </c>
    </row>
    <row r="15" spans="1:26" x14ac:dyDescent="0.2">
      <c r="A15" s="171" t="str">
        <f t="shared" si="0"/>
        <v>01</v>
      </c>
      <c r="B15" s="171" t="s">
        <v>2455</v>
      </c>
      <c r="C15" s="655"/>
      <c r="D15" s="170" t="s">
        <v>2511</v>
      </c>
      <c r="F15" s="656"/>
      <c r="G15" s="657"/>
      <c r="H15" s="656"/>
      <c r="I15" s="658"/>
      <c r="J15" s="656"/>
      <c r="K15" s="658"/>
      <c r="L15" s="656"/>
      <c r="M15" s="658"/>
      <c r="N15" s="656"/>
      <c r="O15" s="658"/>
      <c r="P15" s="656"/>
      <c r="Q15" s="658"/>
      <c r="R15" s="656"/>
      <c r="S15" s="658">
        <f ca="1">SUM(F15:R15)-INDEX('720'!$B$14:$I$57,MATCH('725'!B15,'720'!$B$14:$B$57,0),8)</f>
        <v>0</v>
      </c>
      <c r="Y15" s="1295" t="s">
        <v>2330</v>
      </c>
    </row>
    <row r="16" spans="1:26" x14ac:dyDescent="0.2">
      <c r="A16" s="171" t="str">
        <f t="shared" si="0"/>
        <v>01</v>
      </c>
      <c r="B16" s="171" t="s">
        <v>2456</v>
      </c>
      <c r="C16" s="655"/>
      <c r="D16" s="170" t="s">
        <v>2332</v>
      </c>
      <c r="F16" s="656"/>
      <c r="G16" s="657"/>
      <c r="H16" s="656"/>
      <c r="I16" s="658"/>
      <c r="J16" s="656"/>
      <c r="K16" s="658"/>
      <c r="L16" s="656"/>
      <c r="M16" s="658"/>
      <c r="N16" s="656"/>
      <c r="O16" s="658"/>
      <c r="P16" s="656"/>
      <c r="Q16" s="658"/>
      <c r="R16" s="656"/>
      <c r="S16" s="658">
        <f ca="1">SUM(F16:R16)-INDEX('720'!$B$14:$I$57,MATCH('725'!B16,'720'!$B$14:$B$57,0),8)</f>
        <v>0</v>
      </c>
      <c r="Y16" s="1295" t="s">
        <v>2332</v>
      </c>
    </row>
    <row r="17" spans="1:25" x14ac:dyDescent="0.2">
      <c r="A17" s="171" t="str">
        <f t="shared" si="0"/>
        <v>01</v>
      </c>
      <c r="B17" s="171" t="s">
        <v>2457</v>
      </c>
      <c r="C17" s="655"/>
      <c r="D17" s="170" t="s">
        <v>2334</v>
      </c>
      <c r="F17" s="656"/>
      <c r="G17" s="657"/>
      <c r="H17" s="656"/>
      <c r="I17" s="658"/>
      <c r="J17" s="656"/>
      <c r="K17" s="658"/>
      <c r="L17" s="656"/>
      <c r="M17" s="658"/>
      <c r="N17" s="656"/>
      <c r="O17" s="658"/>
      <c r="P17" s="656"/>
      <c r="Q17" s="658"/>
      <c r="R17" s="656"/>
      <c r="S17" s="658">
        <f ca="1">SUM(F17:R17)-INDEX('720'!$B$14:$I$57,MATCH('725'!B17,'720'!$B$14:$B$57,0),8)</f>
        <v>0</v>
      </c>
      <c r="Y17" s="1295" t="s">
        <v>2334</v>
      </c>
    </row>
    <row r="18" spans="1:25" x14ac:dyDescent="0.2">
      <c r="A18" s="171" t="str">
        <f t="shared" si="0"/>
        <v>01</v>
      </c>
      <c r="B18" s="171" t="s">
        <v>2458</v>
      </c>
      <c r="C18" s="655"/>
      <c r="D18" s="170" t="s">
        <v>2336</v>
      </c>
      <c r="F18" s="656"/>
      <c r="G18" s="657"/>
      <c r="H18" s="656"/>
      <c r="I18" s="658"/>
      <c r="J18" s="656"/>
      <c r="K18" s="658"/>
      <c r="L18" s="656"/>
      <c r="M18" s="658"/>
      <c r="N18" s="656"/>
      <c r="O18" s="658"/>
      <c r="P18" s="656"/>
      <c r="Q18" s="658"/>
      <c r="R18" s="656"/>
      <c r="S18" s="658">
        <f ca="1">SUM(F18:R18)-INDEX('720'!$B$14:$I$57,MATCH('725'!B18,'720'!$B$14:$B$57,0),8)</f>
        <v>0</v>
      </c>
      <c r="Y18" s="1295" t="s">
        <v>2336</v>
      </c>
    </row>
    <row r="19" spans="1:25" x14ac:dyDescent="0.2">
      <c r="A19" s="171" t="str">
        <f t="shared" si="0"/>
        <v>01</v>
      </c>
      <c r="B19" s="171" t="s">
        <v>2459</v>
      </c>
      <c r="C19" s="655"/>
      <c r="D19" s="2439" t="s">
        <v>2338</v>
      </c>
      <c r="F19" s="656"/>
      <c r="G19" s="657"/>
      <c r="H19" s="656"/>
      <c r="I19" s="658"/>
      <c r="J19" s="656"/>
      <c r="K19" s="658"/>
      <c r="L19" s="656"/>
      <c r="M19" s="658"/>
      <c r="N19" s="656"/>
      <c r="O19" s="658"/>
      <c r="P19" s="656"/>
      <c r="Q19" s="658"/>
      <c r="R19" s="656"/>
      <c r="S19" s="658">
        <f ca="1">SUM(F19:R19)-INDEX('720'!$B$14:$I$57,MATCH('725'!B19,'720'!$B$14:$B$57,0),8)</f>
        <v>0</v>
      </c>
      <c r="Y19" s="1295" t="s">
        <v>2338</v>
      </c>
    </row>
    <row r="20" spans="1:25" x14ac:dyDescent="0.2">
      <c r="A20" s="171" t="str">
        <f t="shared" si="0"/>
        <v>01</v>
      </c>
      <c r="B20" s="171" t="s">
        <v>2460</v>
      </c>
      <c r="C20" s="655"/>
      <c r="D20" s="170" t="s">
        <v>2340</v>
      </c>
      <c r="F20" s="656"/>
      <c r="G20" s="657"/>
      <c r="H20" s="656"/>
      <c r="I20" s="658"/>
      <c r="J20" s="656"/>
      <c r="K20" s="658"/>
      <c r="L20" s="656"/>
      <c r="M20" s="658"/>
      <c r="N20" s="656"/>
      <c r="O20" s="658"/>
      <c r="P20" s="656"/>
      <c r="Q20" s="658"/>
      <c r="R20" s="656"/>
      <c r="S20" s="658">
        <f ca="1">SUM(F20:R20)-INDEX('720'!$B$14:$I$57,MATCH('725'!B20,'720'!$B$14:$B$57,0),8)</f>
        <v>0</v>
      </c>
      <c r="Y20" s="1295" t="s">
        <v>2340</v>
      </c>
    </row>
    <row r="21" spans="1:25" x14ac:dyDescent="0.2">
      <c r="A21" s="171" t="str">
        <f t="shared" si="0"/>
        <v>01</v>
      </c>
      <c r="B21" s="171" t="s">
        <v>2461</v>
      </c>
      <c r="C21" s="655"/>
      <c r="D21" s="170" t="s">
        <v>1055</v>
      </c>
      <c r="F21" s="656"/>
      <c r="G21" s="657"/>
      <c r="H21" s="656"/>
      <c r="I21" s="658"/>
      <c r="J21" s="656"/>
      <c r="K21" s="658"/>
      <c r="L21" s="656"/>
      <c r="M21" s="658"/>
      <c r="N21" s="656"/>
      <c r="O21" s="658"/>
      <c r="P21" s="656"/>
      <c r="Q21" s="658"/>
      <c r="R21" s="656"/>
      <c r="S21" s="658">
        <f ca="1">SUM(F21:R21)-INDEX('720'!$B$14:$I$57,MATCH('725'!B21,'720'!$B$14:$B$57,0),8)</f>
        <v>0</v>
      </c>
      <c r="Y21" s="1295" t="s">
        <v>1055</v>
      </c>
    </row>
    <row r="22" spans="1:25" x14ac:dyDescent="0.2">
      <c r="A22" s="171" t="str">
        <f t="shared" si="0"/>
        <v>01</v>
      </c>
      <c r="B22" s="171" t="s">
        <v>2462</v>
      </c>
      <c r="C22" s="655"/>
      <c r="D22" s="89" t="s">
        <v>2377</v>
      </c>
      <c r="F22" s="656"/>
      <c r="G22" s="657"/>
      <c r="H22" s="656"/>
      <c r="I22" s="658"/>
      <c r="J22" s="656"/>
      <c r="K22" s="658"/>
      <c r="L22" s="656"/>
      <c r="M22" s="658"/>
      <c r="N22" s="656"/>
      <c r="O22" s="658"/>
      <c r="P22" s="656"/>
      <c r="Q22" s="658"/>
      <c r="R22" s="656"/>
      <c r="S22" s="658">
        <f ca="1">SUM(F22:R22)-INDEX('720'!$B$14:$I$57,MATCH('725'!B22,'720'!$B$14:$B$57,0),8)</f>
        <v>0</v>
      </c>
      <c r="Y22" s="1295" t="s">
        <v>2377</v>
      </c>
    </row>
    <row r="23" spans="1:25" ht="12.75" x14ac:dyDescent="0.2">
      <c r="A23" s="171" t="str">
        <f t="shared" si="0"/>
        <v>01</v>
      </c>
      <c r="B23" s="171" t="s">
        <v>2463</v>
      </c>
      <c r="C23" s="655"/>
      <c r="D23" s="170" t="s">
        <v>2367</v>
      </c>
      <c r="F23" s="656"/>
      <c r="G23" s="658"/>
      <c r="H23" s="656"/>
      <c r="I23" s="658"/>
      <c r="J23" s="656"/>
      <c r="K23" s="658"/>
      <c r="L23" s="656"/>
      <c r="M23" s="658"/>
      <c r="N23" s="656"/>
      <c r="O23" s="658"/>
      <c r="P23" s="656"/>
      <c r="Q23" s="658"/>
      <c r="R23" s="996"/>
      <c r="S23" s="658">
        <f ca="1">SUM(F23:R23)-INDEX('720'!$B$14:$I$57,MATCH('725'!B23,'720'!$B$14:$B$57,0),8)</f>
        <v>0</v>
      </c>
      <c r="Y23" s="1295" t="s">
        <v>2367</v>
      </c>
    </row>
    <row r="24" spans="1:25" ht="12.75" x14ac:dyDescent="0.2">
      <c r="A24" s="171" t="str">
        <f t="shared" si="0"/>
        <v>01</v>
      </c>
      <c r="B24" s="171" t="s">
        <v>2464</v>
      </c>
      <c r="C24" s="655"/>
      <c r="D24" s="170" t="s">
        <v>2363</v>
      </c>
      <c r="F24" s="656"/>
      <c r="G24" s="658"/>
      <c r="H24" s="656"/>
      <c r="I24" s="658"/>
      <c r="J24" s="656"/>
      <c r="K24" s="658"/>
      <c r="L24" s="656"/>
      <c r="M24" s="658"/>
      <c r="N24" s="656"/>
      <c r="O24" s="658"/>
      <c r="P24" s="656"/>
      <c r="Q24" s="658"/>
      <c r="R24" s="996"/>
      <c r="S24" s="658">
        <f ca="1">SUM(F24:R24)-INDEX('720'!$B$14:$I$57,MATCH('725'!B24,'720'!$B$14:$B$57,0),8)</f>
        <v>0</v>
      </c>
      <c r="Y24" s="1295" t="s">
        <v>2363</v>
      </c>
    </row>
    <row r="25" spans="1:25" x14ac:dyDescent="0.2">
      <c r="A25" s="171" t="str">
        <f t="shared" si="0"/>
        <v>01</v>
      </c>
      <c r="B25" s="171" t="s">
        <v>2465</v>
      </c>
      <c r="C25" s="655"/>
      <c r="D25" s="170" t="s">
        <v>2375</v>
      </c>
      <c r="F25" s="656"/>
      <c r="G25" s="658"/>
      <c r="H25" s="656"/>
      <c r="I25" s="658"/>
      <c r="J25" s="656"/>
      <c r="K25" s="658"/>
      <c r="L25" s="656"/>
      <c r="M25" s="658"/>
      <c r="N25" s="656"/>
      <c r="O25" s="658"/>
      <c r="P25" s="656"/>
      <c r="Q25" s="658"/>
      <c r="R25" s="656"/>
      <c r="S25" s="658">
        <f ca="1">SUM(F25:R25)-INDEX('720'!$B$14:$I$57,MATCH('725'!B25,'720'!$B$14:$B$57,0),8)</f>
        <v>0</v>
      </c>
      <c r="Y25" s="1295" t="s">
        <v>2375</v>
      </c>
    </row>
    <row r="26" spans="1:25" x14ac:dyDescent="0.2">
      <c r="A26" s="171" t="str">
        <f t="shared" si="0"/>
        <v>01</v>
      </c>
      <c r="B26" s="171" t="s">
        <v>2466</v>
      </c>
      <c r="C26" s="655"/>
      <c r="D26" s="170" t="s">
        <v>2343</v>
      </c>
      <c r="F26" s="656"/>
      <c r="G26" s="658"/>
      <c r="H26" s="656"/>
      <c r="I26" s="658"/>
      <c r="J26" s="656"/>
      <c r="K26" s="658"/>
      <c r="L26" s="656"/>
      <c r="M26" s="658"/>
      <c r="N26" s="656"/>
      <c r="O26" s="658"/>
      <c r="P26" s="656"/>
      <c r="Q26" s="658"/>
      <c r="R26" s="656"/>
      <c r="S26" s="658">
        <f ca="1">SUM(F26:R26)-INDEX('720'!$B$14:$I$57,MATCH('725'!B26,'720'!$B$14:$B$57,0),8)</f>
        <v>0</v>
      </c>
      <c r="Y26" s="1295" t="s">
        <v>2343</v>
      </c>
    </row>
    <row r="27" spans="1:25" x14ac:dyDescent="0.2">
      <c r="A27" s="171" t="str">
        <f t="shared" si="0"/>
        <v>01</v>
      </c>
      <c r="B27" s="171" t="s">
        <v>2467</v>
      </c>
      <c r="C27" s="655"/>
      <c r="D27" s="170" t="s">
        <v>2345</v>
      </c>
      <c r="F27" s="656"/>
      <c r="G27" s="658"/>
      <c r="H27" s="656"/>
      <c r="I27" s="658"/>
      <c r="J27" s="656"/>
      <c r="K27" s="658"/>
      <c r="L27" s="656"/>
      <c r="M27" s="658"/>
      <c r="N27" s="656"/>
      <c r="O27" s="658"/>
      <c r="P27" s="656"/>
      <c r="Q27" s="658"/>
      <c r="R27" s="656"/>
      <c r="S27" s="658">
        <f ca="1">SUM(F27:R27)-INDEX('720'!$B$14:$I$57,MATCH('725'!B27,'720'!$B$14:$B$57,0),8)</f>
        <v>0</v>
      </c>
      <c r="Y27" s="1295" t="s">
        <v>2345</v>
      </c>
    </row>
    <row r="28" spans="1:25" x14ac:dyDescent="0.2">
      <c r="A28" s="171" t="str">
        <f t="shared" si="0"/>
        <v>01</v>
      </c>
      <c r="B28" s="171" t="s">
        <v>2468</v>
      </c>
      <c r="C28" s="655"/>
      <c r="D28" s="170" t="s">
        <v>2347</v>
      </c>
      <c r="F28" s="656"/>
      <c r="G28" s="658"/>
      <c r="H28" s="656"/>
      <c r="I28" s="658"/>
      <c r="J28" s="656"/>
      <c r="K28" s="658"/>
      <c r="L28" s="656"/>
      <c r="M28" s="658"/>
      <c r="N28" s="656"/>
      <c r="O28" s="658"/>
      <c r="P28" s="656"/>
      <c r="Q28" s="658"/>
      <c r="R28" s="656"/>
      <c r="S28" s="658">
        <f ca="1">SUM(F28:R28)-INDEX('720'!$B$14:$I$57,MATCH('725'!B28,'720'!$B$14:$B$57,0),8)</f>
        <v>0</v>
      </c>
      <c r="Y28" s="1295" t="s">
        <v>2347</v>
      </c>
    </row>
    <row r="29" spans="1:25" x14ac:dyDescent="0.2">
      <c r="A29" s="171" t="str">
        <f t="shared" si="0"/>
        <v>01</v>
      </c>
      <c r="B29" s="171" t="s">
        <v>2469</v>
      </c>
      <c r="C29" s="655"/>
      <c r="D29" s="170" t="s">
        <v>2512</v>
      </c>
      <c r="E29" s="785" t="s">
        <v>2354</v>
      </c>
      <c r="F29" s="656"/>
      <c r="G29" s="658"/>
      <c r="H29" s="656"/>
      <c r="I29" s="658"/>
      <c r="J29" s="656"/>
      <c r="K29" s="658"/>
      <c r="L29" s="656"/>
      <c r="M29" s="658"/>
      <c r="N29" s="656"/>
      <c r="O29" s="658"/>
      <c r="P29" s="656"/>
      <c r="Q29" s="658"/>
      <c r="R29" s="656"/>
      <c r="S29" s="658">
        <f ca="1">SUM(F29:R29)-INDEX('720'!$B$14:$I$57,MATCH('725'!B29,'720'!$B$14:$B$57,0),8)</f>
        <v>0</v>
      </c>
      <c r="Y29" s="1295" t="str">
        <f>E29</f>
        <v>Select Other Investment (Click here)</v>
      </c>
    </row>
    <row r="30" spans="1:25" x14ac:dyDescent="0.2">
      <c r="A30" s="171" t="str">
        <f t="shared" si="0"/>
        <v>01</v>
      </c>
      <c r="B30" s="171" t="s">
        <v>2470</v>
      </c>
      <c r="C30" s="655"/>
      <c r="D30" s="170" t="s">
        <v>2513</v>
      </c>
      <c r="E30" s="785" t="s">
        <v>2354</v>
      </c>
      <c r="F30" s="778"/>
      <c r="G30" s="658"/>
      <c r="H30" s="657"/>
      <c r="I30" s="658"/>
      <c r="J30" s="657"/>
      <c r="K30" s="658"/>
      <c r="L30" s="657"/>
      <c r="M30" s="658"/>
      <c r="N30" s="657"/>
      <c r="O30" s="658"/>
      <c r="P30" s="657"/>
      <c r="Q30" s="658"/>
      <c r="R30" s="656"/>
      <c r="S30" s="658">
        <f ca="1">SUM(F30:R30)-INDEX('720'!$B$14:$I$57,MATCH('725'!B30,'720'!$B$14:$B$57,0),8)</f>
        <v>0</v>
      </c>
      <c r="Y30" s="1295" t="str">
        <f>E30</f>
        <v>Select Other Investment (Click here)</v>
      </c>
    </row>
    <row r="31" spans="1:25" ht="12" thickBot="1" x14ac:dyDescent="0.25">
      <c r="A31" s="171" t="str">
        <f t="shared" si="0"/>
        <v>01</v>
      </c>
      <c r="B31" s="171" t="s">
        <v>2471</v>
      </c>
      <c r="C31" s="655"/>
      <c r="D31" s="172" t="s">
        <v>962</v>
      </c>
      <c r="F31" s="659">
        <f>SUM(F14:F30)</f>
        <v>0</v>
      </c>
      <c r="G31" s="658"/>
      <c r="H31" s="659">
        <f>SUM(H14:H30)</f>
        <v>0</v>
      </c>
      <c r="I31" s="658"/>
      <c r="J31" s="659">
        <f>SUM(J14:J30)</f>
        <v>0</v>
      </c>
      <c r="K31" s="658"/>
      <c r="L31" s="659">
        <f>SUM(L14:L30)</f>
        <v>0</v>
      </c>
      <c r="M31" s="658"/>
      <c r="N31" s="659">
        <f>SUM(N14:N30)</f>
        <v>0</v>
      </c>
      <c r="O31" s="658"/>
      <c r="P31" s="659">
        <f>SUM(P14:P30)</f>
        <v>0</v>
      </c>
      <c r="Q31" s="658"/>
      <c r="R31" s="659">
        <f>SUM(R14:R30)</f>
        <v>0</v>
      </c>
      <c r="S31" s="659">
        <f ca="1">SUM(S14:S30)</f>
        <v>0</v>
      </c>
    </row>
    <row r="32" spans="1:25" ht="12.75" thickTop="1" x14ac:dyDescent="0.2">
      <c r="A32" s="171" t="str">
        <f t="shared" si="0"/>
        <v>01</v>
      </c>
      <c r="C32" s="660"/>
      <c r="D32" s="166"/>
      <c r="E32" s="166"/>
      <c r="F32" s="658"/>
      <c r="G32" s="658"/>
      <c r="H32" s="658"/>
      <c r="I32" s="658"/>
      <c r="J32" s="658"/>
      <c r="K32" s="658"/>
      <c r="L32" s="658"/>
      <c r="M32" s="658"/>
      <c r="N32" s="658"/>
      <c r="O32" s="658"/>
      <c r="P32" s="658"/>
      <c r="Q32" s="658"/>
      <c r="R32" s="658"/>
      <c r="S32" s="662" t="str">
        <f ca="1">IF(S31=0,"Ok","Out with 720")</f>
        <v>Ok</v>
      </c>
    </row>
    <row r="33" spans="1:20" ht="9" customHeight="1" x14ac:dyDescent="0.2">
      <c r="A33" s="171" t="str">
        <f t="shared" si="0"/>
        <v>01</v>
      </c>
      <c r="C33" s="182"/>
    </row>
    <row r="34" spans="1:20" ht="9" customHeight="1" x14ac:dyDescent="0.2">
      <c r="A34" s="171" t="str">
        <f t="shared" ref="A34:A59" si="1">AgyIdx</f>
        <v>01</v>
      </c>
      <c r="C34" s="189" t="s">
        <v>2514</v>
      </c>
      <c r="F34" s="181"/>
      <c r="H34" s="181"/>
      <c r="J34" s="181"/>
      <c r="L34" s="181"/>
      <c r="N34" s="181"/>
      <c r="P34" s="181"/>
      <c r="R34" s="181"/>
      <c r="S34" s="181"/>
      <c r="T34" s="181"/>
    </row>
    <row r="35" spans="1:20" ht="9" customHeight="1" x14ac:dyDescent="0.2">
      <c r="A35" s="171" t="str">
        <f t="shared" si="1"/>
        <v>01</v>
      </c>
      <c r="D35" s="2439" t="s">
        <v>2515</v>
      </c>
    </row>
    <row r="36" spans="1:20" x14ac:dyDescent="0.2">
      <c r="A36" s="171" t="str">
        <f t="shared" si="1"/>
        <v>01</v>
      </c>
      <c r="D36" s="2439" t="s">
        <v>2516</v>
      </c>
    </row>
    <row r="37" spans="1:20" x14ac:dyDescent="0.2">
      <c r="A37" s="171" t="str">
        <f t="shared" si="1"/>
        <v>01</v>
      </c>
      <c r="H37" s="2417" t="s">
        <v>340</v>
      </c>
      <c r="J37" s="2424"/>
      <c r="L37" s="2417" t="s">
        <v>341</v>
      </c>
      <c r="N37" s="2424"/>
      <c r="P37" s="2417" t="s">
        <v>2517</v>
      </c>
      <c r="R37" s="2164"/>
      <c r="S37" s="369"/>
      <c r="T37" s="369"/>
    </row>
    <row r="38" spans="1:20" x14ac:dyDescent="0.2">
      <c r="A38" s="171" t="str">
        <f t="shared" si="1"/>
        <v>01</v>
      </c>
      <c r="L38" s="2417"/>
      <c r="P38" s="2417"/>
    </row>
    <row r="39" spans="1:20" x14ac:dyDescent="0.2">
      <c r="A39" s="171" t="str">
        <f t="shared" si="1"/>
        <v>01</v>
      </c>
      <c r="C39" s="170" t="s">
        <v>2518</v>
      </c>
      <c r="L39" s="2417"/>
      <c r="P39" s="2417"/>
    </row>
    <row r="40" spans="1:20" x14ac:dyDescent="0.2">
      <c r="A40" s="171" t="str">
        <f t="shared" si="1"/>
        <v>01</v>
      </c>
      <c r="L40" s="171" t="s">
        <v>1411</v>
      </c>
      <c r="M40" s="171"/>
      <c r="N40" s="171"/>
      <c r="O40" s="171"/>
      <c r="R40" s="171" t="s">
        <v>1703</v>
      </c>
      <c r="S40" s="171"/>
      <c r="T40" s="171"/>
    </row>
    <row r="41" spans="1:20" x14ac:dyDescent="0.2">
      <c r="A41" s="171" t="str">
        <f t="shared" si="1"/>
        <v>01</v>
      </c>
      <c r="C41" s="3039" t="s">
        <v>2445</v>
      </c>
      <c r="D41" s="3039"/>
      <c r="E41" s="3039"/>
      <c r="F41" s="3039"/>
      <c r="G41" s="3039"/>
      <c r="H41" s="3039"/>
      <c r="I41" s="171"/>
      <c r="J41" s="2418" t="s">
        <v>1353</v>
      </c>
      <c r="K41" s="171"/>
      <c r="L41" s="2418" t="s">
        <v>2504</v>
      </c>
      <c r="M41" s="171"/>
      <c r="N41" s="3030" t="s">
        <v>2519</v>
      </c>
      <c r="O41" s="3030"/>
      <c r="P41" s="3030"/>
      <c r="R41" s="2418" t="s">
        <v>2504</v>
      </c>
      <c r="S41" s="171"/>
      <c r="T41" s="171"/>
    </row>
    <row r="42" spans="1:20" x14ac:dyDescent="0.2">
      <c r="A42" s="171" t="str">
        <f t="shared" si="1"/>
        <v>01</v>
      </c>
      <c r="D42" s="3036"/>
      <c r="E42" s="3036"/>
      <c r="F42" s="3036"/>
      <c r="G42" s="3036"/>
      <c r="H42" s="3036"/>
      <c r="I42" s="2439"/>
      <c r="J42" s="318"/>
      <c r="K42" s="2439"/>
      <c r="L42" s="2420"/>
      <c r="M42" s="171"/>
      <c r="N42" s="3036"/>
      <c r="O42" s="3036"/>
      <c r="P42" s="3036"/>
      <c r="R42" s="321"/>
      <c r="S42" s="321"/>
      <c r="T42" s="321"/>
    </row>
    <row r="43" spans="1:20" x14ac:dyDescent="0.2">
      <c r="A43" s="171" t="str">
        <f t="shared" si="1"/>
        <v>01</v>
      </c>
      <c r="D43" s="3036"/>
      <c r="E43" s="3036"/>
      <c r="F43" s="3036"/>
      <c r="G43" s="3036"/>
      <c r="H43" s="3036"/>
      <c r="I43" s="2439"/>
      <c r="J43" s="318"/>
      <c r="K43" s="2439"/>
      <c r="L43" s="2420"/>
      <c r="M43" s="171"/>
      <c r="N43" s="3036"/>
      <c r="O43" s="3036"/>
      <c r="P43" s="3036"/>
      <c r="R43" s="2420"/>
      <c r="S43" s="321"/>
      <c r="T43" s="321"/>
    </row>
    <row r="44" spans="1:20" ht="12.75" x14ac:dyDescent="0.2">
      <c r="A44" s="171" t="str">
        <f t="shared" si="1"/>
        <v>01</v>
      </c>
      <c r="C44" s="183"/>
      <c r="D44" s="182"/>
      <c r="E44"/>
      <c r="F44"/>
      <c r="G44"/>
      <c r="H44"/>
      <c r="I44"/>
      <c r="J44"/>
      <c r="K44"/>
      <c r="L44"/>
      <c r="M44"/>
      <c r="N44"/>
      <c r="O44"/>
      <c r="P44"/>
      <c r="Q44"/>
      <c r="R44"/>
      <c r="S44"/>
      <c r="T44"/>
    </row>
    <row r="45" spans="1:20" x14ac:dyDescent="0.2">
      <c r="A45" s="171" t="str">
        <f t="shared" si="1"/>
        <v>01</v>
      </c>
      <c r="C45" s="182"/>
      <c r="D45" s="182"/>
    </row>
    <row r="46" spans="1:20" x14ac:dyDescent="0.2">
      <c r="A46" s="171" t="str">
        <f t="shared" si="1"/>
        <v>01</v>
      </c>
    </row>
    <row r="47" spans="1:20" x14ac:dyDescent="0.2">
      <c r="A47" s="171" t="str">
        <f t="shared" si="1"/>
        <v>01</v>
      </c>
    </row>
    <row r="48" spans="1:20" x14ac:dyDescent="0.2">
      <c r="A48" s="171" t="str">
        <f t="shared" si="1"/>
        <v>01</v>
      </c>
    </row>
    <row r="49" spans="1:1" x14ac:dyDescent="0.2">
      <c r="A49" s="171" t="str">
        <f t="shared" si="1"/>
        <v>01</v>
      </c>
    </row>
    <row r="50" spans="1:1" x14ac:dyDescent="0.2">
      <c r="A50" s="171" t="str">
        <f t="shared" si="1"/>
        <v>01</v>
      </c>
    </row>
    <row r="51" spans="1:1" x14ac:dyDescent="0.2">
      <c r="A51" s="171" t="str">
        <f t="shared" si="1"/>
        <v>01</v>
      </c>
    </row>
    <row r="52" spans="1:1" x14ac:dyDescent="0.2">
      <c r="A52" s="171" t="str">
        <f t="shared" si="1"/>
        <v>01</v>
      </c>
    </row>
    <row r="53" spans="1:1" x14ac:dyDescent="0.2">
      <c r="A53" s="171" t="str">
        <f t="shared" si="1"/>
        <v>01</v>
      </c>
    </row>
    <row r="54" spans="1:1" x14ac:dyDescent="0.2">
      <c r="A54" s="171" t="str">
        <f t="shared" si="1"/>
        <v>01</v>
      </c>
    </row>
    <row r="55" spans="1:1" x14ac:dyDescent="0.2">
      <c r="A55" s="171" t="str">
        <f t="shared" si="1"/>
        <v>01</v>
      </c>
    </row>
    <row r="56" spans="1:1" x14ac:dyDescent="0.2">
      <c r="A56" s="171" t="str">
        <f t="shared" si="1"/>
        <v>01</v>
      </c>
    </row>
    <row r="57" spans="1:1" x14ac:dyDescent="0.2">
      <c r="A57" s="171" t="str">
        <f t="shared" si="1"/>
        <v>01</v>
      </c>
    </row>
    <row r="58" spans="1:1" x14ac:dyDescent="0.2">
      <c r="A58" s="171" t="str">
        <f t="shared" si="1"/>
        <v>01</v>
      </c>
    </row>
    <row r="59" spans="1:1" x14ac:dyDescent="0.2">
      <c r="A59" s="171" t="str">
        <f t="shared" si="1"/>
        <v>01</v>
      </c>
    </row>
  </sheetData>
  <sheetProtection algorithmName="SHA-512" hashValue="fXSnrc5jfs0eh6l0NKYI7k1NqsFlgKjX0Wd2di+1felvLcW5uhHsAKJEtnN9NsZkxlh0ooggQgI7da1VvnHcuQ==" saltValue="K0AOL3p5SAd8+Yyy59qJEg==" spinCount="100000" sheet="1" autoFilter="0"/>
  <customSheetViews>
    <customSheetView guid="{9FCFC836-1CA5-48BF-958D-24D2EA94B219}" showGridLines="0" hiddenColumns="1" topLeftCell="C1">
      <selection activeCell="B12" sqref="B12"/>
      <pageMargins left="0" right="0" top="0" bottom="0" header="0" footer="0"/>
      <pageSetup orientation="landscape" horizontalDpi="1200" verticalDpi="1200" r:id="rId1"/>
      <headerFooter>
        <oddFooter>&amp;R&amp;A</oddFooter>
      </headerFooter>
    </customSheetView>
    <customSheetView guid="{B08879A4-635B-4C39-9937-AC7883D562FC}" showGridLines="0" hiddenColumns="1" topLeftCell="C1">
      <selection activeCell="B12" sqref="B12"/>
      <pageMargins left="0" right="0" top="0" bottom="0" header="0" footer="0"/>
      <pageSetup orientation="landscape" horizontalDpi="1200" verticalDpi="1200" r:id="rId2"/>
      <headerFooter>
        <oddFooter>&amp;R&amp;A</oddFooter>
      </headerFooter>
    </customSheetView>
  </customSheetViews>
  <mergeCells count="17">
    <mergeCell ref="C1:R1"/>
    <mergeCell ref="C2:R2"/>
    <mergeCell ref="C3:R3"/>
    <mergeCell ref="N6:R6"/>
    <mergeCell ref="D13:E13"/>
    <mergeCell ref="C4:Q4"/>
    <mergeCell ref="D42:H42"/>
    <mergeCell ref="N42:P42"/>
    <mergeCell ref="D43:H43"/>
    <mergeCell ref="N43:P43"/>
    <mergeCell ref="N7:R7"/>
    <mergeCell ref="F8:G8"/>
    <mergeCell ref="N8:R8"/>
    <mergeCell ref="F10:R10"/>
    <mergeCell ref="F11:R11"/>
    <mergeCell ref="C41:H41"/>
    <mergeCell ref="N41:P41"/>
  </mergeCells>
  <conditionalFormatting sqref="R4:R5">
    <cfRule type="cellIs" dxfId="39" priority="1" stopIfTrue="1" operator="equal">
      <formula>"na"</formula>
    </cfRule>
  </conditionalFormatting>
  <conditionalFormatting sqref="S1:S3">
    <cfRule type="cellIs" dxfId="38" priority="2" stopIfTrue="1" operator="equal">
      <formula>"na"</formula>
    </cfRule>
  </conditionalFormatting>
  <hyperlinks>
    <hyperlink ref="C1:Q1" location="Index!A1" display="Index!A1" xr:uid="{00000000-0004-0000-4100-000000000000}"/>
  </hyperlinks>
  <pageMargins left="0.6" right="0.6" top="0.5" bottom="0.5" header="0.3" footer="0.3"/>
  <pageSetup scale="85" orientation="landscape" r:id="rId3"/>
  <extLst>
    <ext xmlns:x14="http://schemas.microsoft.com/office/spreadsheetml/2009/9/main" uri="{CCE6A557-97BC-4b89-ADB6-D9C93CAAB3DF}">
      <x14:dataValidations xmlns:xm="http://schemas.microsoft.com/office/excel/2006/main" count="1">
        <x14:dataValidation type="list" allowBlank="1" showInputMessage="1" showErrorMessage="1" xr:uid="{38E723DF-C51A-4554-B5F7-C93B1402FEDF}">
          <x14:formula1>
            <xm:f>Notes!$X$3:$X$6</xm:f>
          </x14:formula1>
          <xm:sqref>E29:E30</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6"/>
  <dimension ref="A1:S56"/>
  <sheetViews>
    <sheetView showGridLines="0" topLeftCell="B1" zoomScaleNormal="100" workbookViewId="0">
      <selection activeCell="A2" sqref="A2"/>
    </sheetView>
  </sheetViews>
  <sheetFormatPr defaultColWidth="9.42578125" defaultRowHeight="12" x14ac:dyDescent="0.2"/>
  <cols>
    <col min="1" max="1" width="0" style="166" hidden="1" customWidth="1"/>
    <col min="2" max="2" width="2" style="166" customWidth="1"/>
    <col min="3" max="3" width="5.5703125" style="166" customWidth="1"/>
    <col min="4" max="4" width="8.5703125" style="166" customWidth="1"/>
    <col min="5" max="5" width="12.5703125" style="166" customWidth="1"/>
    <col min="6" max="6" width="5.5703125" style="166" customWidth="1"/>
    <col min="7" max="7" width="0.5703125" style="166" customWidth="1"/>
    <col min="8" max="8" width="15.5703125" style="166" customWidth="1"/>
    <col min="9" max="9" width="0.5703125" style="166" customWidth="1"/>
    <col min="10" max="10" width="14.5703125" style="166" customWidth="1"/>
    <col min="11" max="11" width="0.5703125" style="166" customWidth="1"/>
    <col min="12" max="12" width="14.5703125" style="166" customWidth="1"/>
    <col min="13" max="13" width="0.5703125" style="166" customWidth="1"/>
    <col min="14" max="14" width="14.5703125" style="166" customWidth="1"/>
    <col min="15" max="15" width="0.5703125" style="166" customWidth="1"/>
    <col min="16" max="16" width="14.5703125" style="166" customWidth="1"/>
    <col min="17" max="17" width="0.5703125" style="166" customWidth="1"/>
    <col min="18" max="18" width="10.42578125" style="166" customWidth="1"/>
    <col min="19" max="19" width="4.5703125" style="166" customWidth="1"/>
    <col min="20" max="16384" width="9.42578125" style="166"/>
  </cols>
  <sheetData>
    <row r="1" spans="1:19" ht="15.75" x14ac:dyDescent="0.25">
      <c r="A1" s="166" t="str">
        <f t="shared" ref="A1:A32" si="0">AgyIdx</f>
        <v>01</v>
      </c>
      <c r="B1" s="2553" t="str">
        <f>+Index!$A$1</f>
        <v xml:space="preserve">                                                               Office of the State Controller                                                                </v>
      </c>
      <c r="C1" s="2553"/>
      <c r="D1" s="2553"/>
      <c r="E1" s="2553"/>
      <c r="F1" s="2553"/>
      <c r="G1" s="2553"/>
      <c r="H1" s="2553"/>
      <c r="I1" s="2553"/>
      <c r="J1" s="2553"/>
      <c r="K1" s="2553"/>
      <c r="L1" s="2553"/>
      <c r="M1" s="2553"/>
      <c r="N1" s="2553"/>
      <c r="O1" s="2553"/>
      <c r="P1" s="2553"/>
      <c r="Q1" s="2553"/>
      <c r="R1" s="2553"/>
      <c r="S1" s="2626" t="str">
        <f>IF(Index!$B$94="na","NA","")</f>
        <v/>
      </c>
    </row>
    <row r="2" spans="1:19" ht="15.75" x14ac:dyDescent="0.25">
      <c r="A2" s="166" t="str">
        <f t="shared" si="0"/>
        <v>01</v>
      </c>
      <c r="B2" s="2532" t="str">
        <f>+Index!$A$2</f>
        <v>2024 ACFR Worksheets</v>
      </c>
      <c r="C2" s="2532"/>
      <c r="D2" s="2532"/>
      <c r="E2" s="2532"/>
      <c r="F2" s="2532"/>
      <c r="G2" s="2532"/>
      <c r="H2" s="2532"/>
      <c r="I2" s="2532"/>
      <c r="J2" s="2532"/>
      <c r="K2" s="2532"/>
      <c r="L2" s="2532"/>
      <c r="M2" s="2532"/>
      <c r="N2" s="2532"/>
      <c r="O2" s="2532"/>
      <c r="P2" s="2532"/>
      <c r="Q2" s="2532"/>
      <c r="R2" s="2532"/>
      <c r="S2" s="2626"/>
    </row>
    <row r="3" spans="1:19" ht="15.75" x14ac:dyDescent="0.25">
      <c r="A3" s="166" t="str">
        <f t="shared" si="0"/>
        <v>01</v>
      </c>
      <c r="B3" s="2532" t="s">
        <v>2309</v>
      </c>
      <c r="C3" s="2532"/>
      <c r="D3" s="2532"/>
      <c r="E3" s="2532"/>
      <c r="F3" s="2532"/>
      <c r="G3" s="2532"/>
      <c r="H3" s="2532"/>
      <c r="I3" s="2532"/>
      <c r="J3" s="2532"/>
      <c r="K3" s="2532"/>
      <c r="L3" s="2532"/>
      <c r="M3" s="2532"/>
      <c r="N3" s="2532"/>
      <c r="O3" s="2532"/>
      <c r="P3" s="2532"/>
      <c r="Q3" s="2532"/>
      <c r="R3" s="2532"/>
      <c r="S3" s="2626"/>
    </row>
    <row r="4" spans="1:19" ht="15.75" x14ac:dyDescent="0.25">
      <c r="A4" s="166" t="str">
        <f t="shared" si="0"/>
        <v>01</v>
      </c>
      <c r="B4" s="2532" t="s">
        <v>2520</v>
      </c>
      <c r="C4" s="2532"/>
      <c r="D4" s="2532"/>
      <c r="E4" s="2532"/>
      <c r="F4" s="2532"/>
      <c r="G4" s="2532"/>
      <c r="H4" s="2532"/>
      <c r="I4" s="2532"/>
      <c r="J4" s="2532"/>
      <c r="K4" s="2532"/>
      <c r="L4" s="2532"/>
      <c r="M4" s="2532"/>
      <c r="N4" s="2532"/>
      <c r="O4" s="2532"/>
      <c r="P4" s="2532"/>
      <c r="Q4" s="2532"/>
      <c r="R4" s="2532"/>
    </row>
    <row r="5" spans="1:19" ht="15" customHeight="1" x14ac:dyDescent="0.2">
      <c r="A5" s="166" t="str">
        <f t="shared" si="0"/>
        <v>01</v>
      </c>
      <c r="L5" s="236"/>
    </row>
    <row r="6" spans="1:19" ht="15" customHeight="1" x14ac:dyDescent="0.2">
      <c r="A6" s="166" t="str">
        <f t="shared" si="0"/>
        <v>01</v>
      </c>
      <c r="B6" s="419" t="s">
        <v>318</v>
      </c>
      <c r="E6" s="3033" t="str">
        <f>+Index!$E$10</f>
        <v>01</v>
      </c>
      <c r="F6" s="3033"/>
      <c r="J6" s="5" t="s">
        <v>319</v>
      </c>
      <c r="L6" s="3033" t="str">
        <f>+Index!$E$11</f>
        <v>North Carolina General Assembly</v>
      </c>
      <c r="M6" s="3033"/>
      <c r="N6" s="3033"/>
      <c r="O6" s="3033"/>
      <c r="P6" s="3033"/>
      <c r="Q6" s="3033"/>
      <c r="R6" s="3033"/>
    </row>
    <row r="7" spans="1:19" ht="15" customHeight="1" x14ac:dyDescent="0.2">
      <c r="A7" s="166" t="str">
        <f t="shared" si="0"/>
        <v>01</v>
      </c>
      <c r="J7" s="5" t="s">
        <v>320</v>
      </c>
      <c r="L7" s="2993" t="str">
        <f>CONCATENATE(Index!$E$12," ",Index!$E$14)</f>
        <v xml:space="preserve"> </v>
      </c>
      <c r="M7" s="2993"/>
      <c r="N7" s="2993"/>
      <c r="O7" s="2993"/>
      <c r="P7" s="2993"/>
      <c r="Q7" s="2993"/>
      <c r="R7" s="2993"/>
    </row>
    <row r="8" spans="1:19" ht="15" customHeight="1" x14ac:dyDescent="0.2">
      <c r="A8" s="166" t="str">
        <f t="shared" si="0"/>
        <v>01</v>
      </c>
      <c r="B8" s="4" t="s">
        <v>545</v>
      </c>
      <c r="E8" s="2715" t="s">
        <v>762</v>
      </c>
      <c r="F8" s="2715"/>
      <c r="J8" s="5" t="s">
        <v>168</v>
      </c>
      <c r="L8" s="2993">
        <f>+Index!$E$13</f>
        <v>0</v>
      </c>
      <c r="M8" s="2993"/>
      <c r="N8" s="2993"/>
      <c r="O8" s="2993"/>
      <c r="P8" s="2993"/>
      <c r="Q8" s="2993"/>
      <c r="R8" s="2993"/>
    </row>
    <row r="9" spans="1:19" ht="15" customHeight="1" thickBot="1" x14ac:dyDescent="0.25">
      <c r="A9" s="166" t="str">
        <f t="shared" si="0"/>
        <v>01</v>
      </c>
      <c r="B9" s="167"/>
      <c r="C9" s="167"/>
      <c r="D9" s="167"/>
      <c r="E9" s="168"/>
      <c r="F9" s="168"/>
      <c r="G9" s="168"/>
      <c r="H9" s="168"/>
      <c r="I9" s="168"/>
      <c r="J9" s="169"/>
      <c r="K9" s="168"/>
      <c r="L9" s="168"/>
      <c r="M9" s="168"/>
      <c r="N9" s="168"/>
      <c r="O9" s="168"/>
      <c r="P9" s="168"/>
      <c r="Q9" s="168"/>
      <c r="R9" s="168"/>
    </row>
    <row r="10" spans="1:19" ht="15" customHeight="1" x14ac:dyDescent="0.2">
      <c r="A10" s="166" t="str">
        <f t="shared" si="0"/>
        <v>01</v>
      </c>
    </row>
    <row r="11" spans="1:19" ht="12" customHeight="1" x14ac:dyDescent="0.2">
      <c r="A11" s="166" t="str">
        <f t="shared" si="0"/>
        <v>01</v>
      </c>
      <c r="B11" s="166" t="s">
        <v>2521</v>
      </c>
    </row>
    <row r="12" spans="1:19" ht="12" customHeight="1" x14ac:dyDescent="0.2">
      <c r="A12" s="166" t="str">
        <f t="shared" si="0"/>
        <v>01</v>
      </c>
      <c r="B12" s="166" t="s">
        <v>2522</v>
      </c>
      <c r="C12" s="184"/>
      <c r="E12" s="184"/>
      <c r="J12" s="184"/>
      <c r="L12" s="402"/>
      <c r="N12" s="184"/>
      <c r="P12" s="402"/>
    </row>
    <row r="13" spans="1:19" ht="10.35" customHeight="1" x14ac:dyDescent="0.2">
      <c r="A13" s="166" t="str">
        <f t="shared" si="0"/>
        <v>01</v>
      </c>
      <c r="C13" s="184"/>
      <c r="E13" s="184"/>
      <c r="J13" s="184"/>
      <c r="L13" s="185"/>
      <c r="N13" s="184"/>
      <c r="P13" s="185"/>
    </row>
    <row r="14" spans="1:19" ht="12" customHeight="1" x14ac:dyDescent="0.2">
      <c r="A14" s="166" t="str">
        <f t="shared" si="0"/>
        <v>01</v>
      </c>
    </row>
    <row r="15" spans="1:19" ht="8.1" customHeight="1" x14ac:dyDescent="0.2">
      <c r="A15" s="166" t="str">
        <f t="shared" si="0"/>
        <v>01</v>
      </c>
    </row>
    <row r="16" spans="1:19" ht="11.85" customHeight="1" x14ac:dyDescent="0.2">
      <c r="A16" s="166" t="str">
        <f t="shared" si="0"/>
        <v>01</v>
      </c>
      <c r="C16" s="170"/>
      <c r="D16" s="170"/>
      <c r="E16" s="170"/>
      <c r="F16" s="170"/>
      <c r="G16" s="170"/>
      <c r="H16" s="170"/>
      <c r="I16" s="170"/>
      <c r="J16" s="3030" t="s">
        <v>2444</v>
      </c>
      <c r="K16" s="3030"/>
      <c r="L16" s="3030"/>
      <c r="M16" s="3030"/>
      <c r="N16" s="3030"/>
      <c r="O16" s="3030"/>
      <c r="P16" s="3030"/>
      <c r="Q16" s="170"/>
      <c r="R16" s="171"/>
    </row>
    <row r="17" spans="1:18" ht="12.75" customHeight="1" x14ac:dyDescent="0.2">
      <c r="A17" s="166" t="str">
        <f t="shared" si="0"/>
        <v>01</v>
      </c>
      <c r="B17" s="3030" t="s">
        <v>2523</v>
      </c>
      <c r="C17" s="3030"/>
      <c r="D17" s="3030"/>
      <c r="E17" s="3030"/>
      <c r="F17" s="3030"/>
      <c r="G17" s="170"/>
      <c r="H17" s="2418" t="s">
        <v>2311</v>
      </c>
      <c r="I17" s="171"/>
      <c r="J17" s="2418" t="s">
        <v>2446</v>
      </c>
      <c r="K17" s="171"/>
      <c r="L17" s="2418" t="s">
        <v>2447</v>
      </c>
      <c r="M17" s="171"/>
      <c r="N17" s="2418" t="s">
        <v>2448</v>
      </c>
      <c r="O17" s="171"/>
      <c r="P17" s="2418" t="s">
        <v>2449</v>
      </c>
      <c r="Q17" s="170"/>
      <c r="R17" s="2418" t="s">
        <v>2524</v>
      </c>
    </row>
    <row r="18" spans="1:18" ht="10.35" customHeight="1" x14ac:dyDescent="0.2">
      <c r="A18" s="166" t="str">
        <f t="shared" si="0"/>
        <v>01</v>
      </c>
      <c r="B18" s="170"/>
      <c r="C18" s="170"/>
      <c r="D18" s="170"/>
      <c r="E18" s="170"/>
      <c r="F18" s="170"/>
      <c r="G18" s="170"/>
      <c r="H18" s="170"/>
      <c r="I18" s="170"/>
      <c r="J18" s="170"/>
      <c r="K18" s="170"/>
      <c r="L18" s="170"/>
      <c r="M18" s="170"/>
      <c r="N18" s="170"/>
      <c r="O18" s="170"/>
      <c r="P18" s="170"/>
      <c r="Q18" s="170"/>
      <c r="R18" s="171"/>
    </row>
    <row r="19" spans="1:18" ht="12" customHeight="1" x14ac:dyDescent="0.2">
      <c r="A19" s="166" t="str">
        <f t="shared" si="0"/>
        <v>01</v>
      </c>
      <c r="B19" s="2439" t="s">
        <v>2525</v>
      </c>
      <c r="C19" s="170"/>
      <c r="D19" s="170"/>
      <c r="E19" s="170"/>
      <c r="F19" s="170"/>
      <c r="G19" s="170"/>
      <c r="H19" s="170"/>
      <c r="I19" s="170"/>
      <c r="J19" s="170"/>
      <c r="K19" s="170"/>
      <c r="L19" s="170"/>
      <c r="M19" s="170"/>
      <c r="N19" s="170"/>
      <c r="O19" s="170"/>
      <c r="P19" s="170"/>
      <c r="Q19" s="170"/>
      <c r="R19" s="171"/>
    </row>
    <row r="20" spans="1:18" ht="13.35" customHeight="1" x14ac:dyDescent="0.2">
      <c r="A20" s="166" t="str">
        <f t="shared" si="0"/>
        <v>01</v>
      </c>
      <c r="B20" s="172"/>
      <c r="C20" s="3042"/>
      <c r="D20" s="3042"/>
      <c r="E20" s="3042"/>
      <c r="F20" s="3042"/>
      <c r="G20" s="170"/>
      <c r="H20" s="170"/>
      <c r="I20" s="170"/>
      <c r="J20" s="170"/>
      <c r="K20" s="170"/>
      <c r="L20" s="170"/>
      <c r="M20" s="170"/>
      <c r="N20" s="170"/>
      <c r="O20" s="170"/>
      <c r="P20" s="170"/>
      <c r="Q20" s="170"/>
      <c r="R20" s="171"/>
    </row>
    <row r="21" spans="1:18" ht="6" customHeight="1" x14ac:dyDescent="0.2">
      <c r="A21" s="166" t="str">
        <f t="shared" si="0"/>
        <v>01</v>
      </c>
      <c r="B21" s="172"/>
      <c r="C21" s="170"/>
      <c r="D21" s="170"/>
      <c r="E21" s="170"/>
      <c r="F21" s="170"/>
      <c r="G21" s="170"/>
      <c r="H21" s="170"/>
      <c r="I21" s="170"/>
      <c r="J21" s="170"/>
      <c r="K21" s="170"/>
      <c r="L21" s="170"/>
      <c r="M21" s="170"/>
      <c r="N21" s="170"/>
      <c r="O21" s="170"/>
      <c r="P21" s="170"/>
      <c r="Q21" s="170"/>
      <c r="R21" s="171"/>
    </row>
    <row r="22" spans="1:18" ht="12" customHeight="1" x14ac:dyDescent="0.2">
      <c r="A22" s="166" t="str">
        <f t="shared" si="0"/>
        <v>01</v>
      </c>
      <c r="C22" s="2439" t="s">
        <v>2526</v>
      </c>
      <c r="D22" s="170"/>
      <c r="E22" s="170"/>
      <c r="F22" s="170"/>
      <c r="G22" s="170"/>
      <c r="H22" s="170"/>
      <c r="I22" s="170"/>
      <c r="J22" s="170"/>
      <c r="K22" s="170"/>
      <c r="L22" s="170"/>
      <c r="M22" s="170"/>
      <c r="N22" s="170"/>
      <c r="O22" s="170"/>
      <c r="P22" s="170"/>
      <c r="Q22" s="170"/>
      <c r="R22" s="171"/>
    </row>
    <row r="23" spans="1:18" ht="13.35" customHeight="1" x14ac:dyDescent="0.2">
      <c r="A23" s="166" t="str">
        <f t="shared" si="0"/>
        <v>01</v>
      </c>
      <c r="B23" s="172"/>
      <c r="C23" s="3042"/>
      <c r="D23" s="3042"/>
      <c r="E23" s="3042"/>
      <c r="F23" s="3042"/>
      <c r="G23" s="170"/>
      <c r="H23" s="318"/>
      <c r="I23" s="170"/>
      <c r="J23" s="318"/>
      <c r="K23" s="170"/>
      <c r="L23" s="318"/>
      <c r="M23" s="170"/>
      <c r="N23" s="318"/>
      <c r="O23" s="170"/>
      <c r="P23" s="318"/>
      <c r="Q23" s="170"/>
      <c r="R23" s="2424"/>
    </row>
    <row r="24" spans="1:18" ht="13.35" customHeight="1" x14ac:dyDescent="0.2">
      <c r="A24" s="166" t="str">
        <f t="shared" si="0"/>
        <v>01</v>
      </c>
      <c r="B24" s="170"/>
      <c r="C24" s="3041"/>
      <c r="D24" s="3041"/>
      <c r="E24" s="3041"/>
      <c r="F24" s="3041"/>
      <c r="G24" s="170"/>
      <c r="H24" s="318"/>
      <c r="I24" s="170"/>
      <c r="J24" s="318"/>
      <c r="K24" s="170"/>
      <c r="L24" s="318"/>
      <c r="M24" s="170"/>
      <c r="N24" s="318"/>
      <c r="O24" s="170"/>
      <c r="P24" s="318"/>
      <c r="Q24" s="170"/>
      <c r="R24" s="2420"/>
    </row>
    <row r="25" spans="1:18" ht="12" customHeight="1" x14ac:dyDescent="0.2">
      <c r="A25" s="166" t="str">
        <f t="shared" si="0"/>
        <v>01</v>
      </c>
      <c r="B25" s="170"/>
      <c r="C25" s="170"/>
      <c r="D25" s="170"/>
      <c r="E25" s="170"/>
      <c r="F25" s="170"/>
      <c r="G25" s="170"/>
      <c r="H25" s="170"/>
      <c r="I25" s="170"/>
      <c r="J25" s="170"/>
      <c r="K25" s="170"/>
      <c r="L25" s="170"/>
      <c r="M25" s="170"/>
      <c r="N25" s="170"/>
      <c r="O25" s="170"/>
      <c r="P25" s="170"/>
      <c r="Q25" s="170"/>
      <c r="R25" s="171"/>
    </row>
    <row r="26" spans="1:18" ht="12" customHeight="1" x14ac:dyDescent="0.2">
      <c r="A26" s="166" t="str">
        <f t="shared" si="0"/>
        <v>01</v>
      </c>
      <c r="B26" s="2439" t="s">
        <v>2527</v>
      </c>
      <c r="C26" s="170"/>
      <c r="D26" s="170"/>
      <c r="E26" s="170"/>
      <c r="F26" s="170"/>
      <c r="G26" s="170"/>
      <c r="H26" s="170"/>
      <c r="I26" s="170"/>
      <c r="J26" s="170"/>
      <c r="K26" s="170"/>
      <c r="L26" s="170"/>
      <c r="M26" s="170"/>
      <c r="N26" s="170"/>
      <c r="O26" s="170"/>
      <c r="P26" s="170"/>
      <c r="Q26" s="170"/>
      <c r="R26" s="171"/>
    </row>
    <row r="27" spans="1:18" ht="13.35" customHeight="1" x14ac:dyDescent="0.2">
      <c r="A27" s="166" t="str">
        <f t="shared" si="0"/>
        <v>01</v>
      </c>
      <c r="B27" s="170"/>
      <c r="C27" s="3042"/>
      <c r="D27" s="3042"/>
      <c r="E27" s="3042"/>
      <c r="F27" s="3042"/>
      <c r="G27" s="170"/>
      <c r="H27" s="170"/>
      <c r="I27" s="170"/>
      <c r="J27" s="170"/>
      <c r="K27" s="170"/>
      <c r="L27" s="170"/>
      <c r="M27" s="170"/>
      <c r="N27" s="170"/>
      <c r="O27" s="170"/>
      <c r="P27" s="170"/>
      <c r="Q27" s="170"/>
      <c r="R27" s="171"/>
    </row>
    <row r="28" spans="1:18" ht="6" customHeight="1" x14ac:dyDescent="0.2">
      <c r="A28" s="166" t="str">
        <f t="shared" si="0"/>
        <v>01</v>
      </c>
      <c r="B28" s="170"/>
      <c r="C28" s="170"/>
      <c r="D28" s="170"/>
      <c r="E28" s="170"/>
      <c r="F28" s="170"/>
      <c r="G28" s="170"/>
      <c r="H28" s="170"/>
      <c r="I28" s="170"/>
      <c r="J28" s="170"/>
      <c r="K28" s="170"/>
      <c r="L28" s="170"/>
      <c r="M28" s="170"/>
      <c r="N28" s="170"/>
      <c r="O28" s="170"/>
      <c r="P28" s="170"/>
      <c r="Q28" s="170"/>
      <c r="R28" s="171"/>
    </row>
    <row r="29" spans="1:18" ht="12" customHeight="1" x14ac:dyDescent="0.2">
      <c r="A29" s="166" t="str">
        <f t="shared" si="0"/>
        <v>01</v>
      </c>
      <c r="B29" s="170"/>
      <c r="C29" s="2439" t="s">
        <v>2526</v>
      </c>
      <c r="D29" s="170"/>
      <c r="E29" s="170"/>
      <c r="F29" s="170"/>
      <c r="G29" s="170"/>
      <c r="H29" s="170"/>
      <c r="I29" s="170"/>
      <c r="J29" s="170"/>
      <c r="K29" s="170"/>
      <c r="L29" s="170"/>
      <c r="M29" s="170"/>
      <c r="N29" s="170"/>
      <c r="O29" s="170"/>
      <c r="P29" s="170"/>
      <c r="Q29" s="170"/>
      <c r="R29" s="171"/>
    </row>
    <row r="30" spans="1:18" ht="13.35" customHeight="1" x14ac:dyDescent="0.2">
      <c r="A30" s="166" t="str">
        <f t="shared" si="0"/>
        <v>01</v>
      </c>
      <c r="B30" s="172"/>
      <c r="C30" s="3042"/>
      <c r="D30" s="3042"/>
      <c r="E30" s="3042"/>
      <c r="F30" s="3042"/>
      <c r="G30" s="170"/>
      <c r="H30" s="318"/>
      <c r="I30" s="170"/>
      <c r="J30" s="318"/>
      <c r="K30" s="170"/>
      <c r="L30" s="318"/>
      <c r="M30" s="170"/>
      <c r="N30" s="318"/>
      <c r="O30" s="170"/>
      <c r="P30" s="318"/>
      <c r="Q30" s="170"/>
      <c r="R30" s="2424"/>
    </row>
    <row r="31" spans="1:18" ht="13.35" customHeight="1" x14ac:dyDescent="0.2">
      <c r="A31" s="166" t="str">
        <f t="shared" si="0"/>
        <v>01</v>
      </c>
      <c r="B31" s="170"/>
      <c r="C31" s="3041"/>
      <c r="D31" s="3041"/>
      <c r="E31" s="3041"/>
      <c r="F31" s="3041"/>
      <c r="G31" s="170"/>
      <c r="H31" s="318"/>
      <c r="I31" s="170"/>
      <c r="J31" s="318"/>
      <c r="K31" s="170"/>
      <c r="L31" s="318"/>
      <c r="M31" s="170"/>
      <c r="N31" s="318"/>
      <c r="O31" s="170"/>
      <c r="P31" s="318"/>
      <c r="Q31" s="170"/>
      <c r="R31" s="2424"/>
    </row>
    <row r="32" spans="1:18" ht="12" customHeight="1" x14ac:dyDescent="0.2">
      <c r="A32" s="166" t="str">
        <f t="shared" si="0"/>
        <v>01</v>
      </c>
      <c r="C32" s="170"/>
      <c r="D32" s="170"/>
      <c r="E32" s="170"/>
      <c r="F32" s="170"/>
      <c r="G32" s="170"/>
      <c r="H32" s="170"/>
      <c r="I32" s="170"/>
      <c r="J32" s="170"/>
      <c r="K32" s="170"/>
      <c r="L32" s="170"/>
      <c r="M32" s="170"/>
      <c r="N32" s="170"/>
      <c r="O32" s="170"/>
      <c r="P32" s="170"/>
      <c r="Q32" s="170"/>
      <c r="R32" s="171"/>
    </row>
    <row r="33" spans="1:18" ht="12" customHeight="1" x14ac:dyDescent="0.2">
      <c r="A33" s="166" t="str">
        <f t="shared" ref="A33:A56" si="1">AgyIdx</f>
        <v>01</v>
      </c>
      <c r="B33" s="2439" t="s">
        <v>2528</v>
      </c>
      <c r="C33" s="170"/>
      <c r="D33" s="170"/>
      <c r="E33" s="170"/>
      <c r="F33" s="170"/>
      <c r="G33" s="170"/>
      <c r="H33" s="170"/>
      <c r="I33" s="170"/>
      <c r="J33" s="170"/>
      <c r="K33" s="170"/>
      <c r="L33" s="170"/>
      <c r="M33" s="170"/>
      <c r="N33" s="170"/>
      <c r="O33" s="170"/>
      <c r="P33" s="170"/>
      <c r="Q33" s="170"/>
      <c r="R33" s="171"/>
    </row>
    <row r="34" spans="1:18" ht="13.35" customHeight="1" x14ac:dyDescent="0.2">
      <c r="A34" s="166" t="str">
        <f t="shared" si="1"/>
        <v>01</v>
      </c>
      <c r="B34" s="170"/>
      <c r="C34" s="3042"/>
      <c r="D34" s="3042"/>
      <c r="E34" s="3042"/>
      <c r="F34" s="3042"/>
      <c r="G34" s="170"/>
      <c r="H34" s="170"/>
      <c r="I34" s="170"/>
      <c r="J34" s="170"/>
      <c r="K34" s="170"/>
      <c r="L34" s="170"/>
      <c r="M34" s="170"/>
      <c r="N34" s="170"/>
      <c r="O34" s="170"/>
      <c r="P34" s="170"/>
      <c r="Q34" s="170"/>
      <c r="R34" s="171"/>
    </row>
    <row r="35" spans="1:18" ht="6" customHeight="1" x14ac:dyDescent="0.2">
      <c r="A35" s="166" t="str">
        <f t="shared" si="1"/>
        <v>01</v>
      </c>
      <c r="B35" s="170"/>
      <c r="C35" s="170"/>
      <c r="D35" s="170"/>
      <c r="E35" s="170"/>
      <c r="F35" s="170"/>
      <c r="G35" s="170"/>
      <c r="H35" s="170"/>
      <c r="I35" s="170"/>
      <c r="J35" s="170"/>
      <c r="K35" s="170"/>
      <c r="L35" s="170"/>
      <c r="M35" s="170"/>
      <c r="N35" s="170"/>
      <c r="O35" s="170"/>
      <c r="P35" s="170"/>
      <c r="Q35" s="170"/>
      <c r="R35" s="171"/>
    </row>
    <row r="36" spans="1:18" ht="12" customHeight="1" x14ac:dyDescent="0.2">
      <c r="A36" s="166" t="str">
        <f t="shared" si="1"/>
        <v>01</v>
      </c>
      <c r="B36" s="170"/>
      <c r="C36" s="2439" t="s">
        <v>2526</v>
      </c>
      <c r="D36" s="170"/>
      <c r="E36" s="170"/>
      <c r="F36" s="170"/>
      <c r="G36" s="170"/>
      <c r="H36" s="170"/>
      <c r="I36" s="170"/>
      <c r="J36" s="170"/>
      <c r="K36" s="170"/>
      <c r="L36" s="170"/>
      <c r="M36" s="170"/>
      <c r="N36" s="170"/>
      <c r="O36" s="170"/>
      <c r="P36" s="170"/>
      <c r="Q36" s="170"/>
      <c r="R36" s="171"/>
    </row>
    <row r="37" spans="1:18" ht="13.35" customHeight="1" x14ac:dyDescent="0.2">
      <c r="A37" s="166" t="str">
        <f t="shared" si="1"/>
        <v>01</v>
      </c>
      <c r="B37" s="172"/>
      <c r="C37" s="3042"/>
      <c r="D37" s="3042"/>
      <c r="E37" s="3042"/>
      <c r="F37" s="3042"/>
      <c r="G37" s="170"/>
      <c r="H37" s="318"/>
      <c r="I37" s="170"/>
      <c r="J37" s="318"/>
      <c r="K37" s="175"/>
      <c r="L37" s="318"/>
      <c r="M37" s="170"/>
      <c r="N37" s="318"/>
      <c r="O37" s="170"/>
      <c r="P37" s="318"/>
      <c r="Q37" s="170"/>
      <c r="R37" s="2424"/>
    </row>
    <row r="38" spans="1:18" ht="13.35" customHeight="1" x14ac:dyDescent="0.2">
      <c r="A38" s="166" t="str">
        <f t="shared" si="1"/>
        <v>01</v>
      </c>
      <c r="B38" s="172"/>
      <c r="C38" s="3041"/>
      <c r="D38" s="3041"/>
      <c r="E38" s="3041"/>
      <c r="F38" s="3041"/>
      <c r="G38" s="170"/>
      <c r="H38" s="318"/>
      <c r="I38" s="170"/>
      <c r="J38" s="318"/>
      <c r="K38" s="170"/>
      <c r="L38" s="318"/>
      <c r="M38" s="170"/>
      <c r="N38" s="318"/>
      <c r="O38" s="170"/>
      <c r="P38" s="318"/>
      <c r="Q38" s="170"/>
      <c r="R38" s="2420"/>
    </row>
    <row r="39" spans="1:18" ht="10.35" customHeight="1" x14ac:dyDescent="0.2">
      <c r="A39" s="166" t="str">
        <f t="shared" si="1"/>
        <v>01</v>
      </c>
      <c r="B39" s="172"/>
      <c r="C39" s="170"/>
      <c r="D39" s="170"/>
      <c r="E39" s="170"/>
      <c r="F39" s="170"/>
      <c r="G39" s="170"/>
      <c r="H39" s="170"/>
      <c r="I39" s="170"/>
      <c r="J39" s="170"/>
      <c r="K39" s="170"/>
      <c r="L39" s="170"/>
      <c r="M39" s="170"/>
      <c r="N39" s="170"/>
      <c r="O39" s="170"/>
      <c r="P39" s="170"/>
      <c r="Q39" s="170"/>
      <c r="R39" s="170"/>
    </row>
    <row r="40" spans="1:18" ht="10.35" customHeight="1" x14ac:dyDescent="0.2">
      <c r="A40" s="166" t="str">
        <f t="shared" si="1"/>
        <v>01</v>
      </c>
      <c r="B40" s="172"/>
      <c r="C40" s="170"/>
      <c r="D40" s="170"/>
      <c r="E40" s="170"/>
      <c r="F40" s="170"/>
      <c r="G40" s="170"/>
      <c r="H40" s="170"/>
      <c r="I40" s="170"/>
      <c r="J40" s="170"/>
      <c r="K40" s="170"/>
      <c r="L40" s="170"/>
      <c r="M40" s="170"/>
      <c r="N40" s="170"/>
      <c r="O40" s="170"/>
      <c r="P40" s="170"/>
      <c r="Q40" s="170"/>
      <c r="R40" s="170"/>
    </row>
    <row r="41" spans="1:18" ht="11.1" customHeight="1" x14ac:dyDescent="0.2">
      <c r="A41" s="166" t="str">
        <f t="shared" si="1"/>
        <v>01</v>
      </c>
      <c r="B41" s="2439" t="s">
        <v>519</v>
      </c>
      <c r="C41" s="170" t="s">
        <v>2529</v>
      </c>
      <c r="D41" s="170"/>
      <c r="E41" s="170"/>
      <c r="F41" s="170"/>
      <c r="G41" s="170"/>
      <c r="H41" s="170"/>
      <c r="I41" s="170"/>
      <c r="J41" s="170"/>
      <c r="K41" s="170"/>
      <c r="L41" s="170"/>
      <c r="M41" s="170"/>
      <c r="N41" s="170"/>
      <c r="O41" s="170"/>
      <c r="P41" s="170"/>
      <c r="Q41" s="170"/>
    </row>
    <row r="42" spans="1:18" ht="11.1" customHeight="1" x14ac:dyDescent="0.2">
      <c r="A42" s="166" t="str">
        <f t="shared" si="1"/>
        <v>01</v>
      </c>
      <c r="B42" s="172"/>
      <c r="C42" s="170" t="s">
        <v>2530</v>
      </c>
      <c r="D42" s="170"/>
      <c r="E42" s="170"/>
      <c r="F42" s="170"/>
      <c r="G42" s="170"/>
      <c r="H42" s="170"/>
      <c r="I42" s="170"/>
      <c r="J42" s="170"/>
      <c r="K42" s="170"/>
      <c r="L42" s="170"/>
      <c r="M42" s="170"/>
      <c r="N42" s="170"/>
      <c r="O42" s="170"/>
      <c r="P42" s="170"/>
      <c r="Q42" s="170"/>
    </row>
    <row r="43" spans="1:18" ht="11.1" customHeight="1" x14ac:dyDescent="0.2">
      <c r="A43" s="166" t="str">
        <f t="shared" si="1"/>
        <v>01</v>
      </c>
      <c r="B43" s="172"/>
      <c r="C43" s="170" t="s">
        <v>2531</v>
      </c>
      <c r="D43" s="170"/>
      <c r="E43" s="170"/>
      <c r="F43" s="170"/>
      <c r="G43" s="170"/>
      <c r="H43" s="170"/>
      <c r="I43" s="170"/>
      <c r="J43" s="170"/>
      <c r="K43" s="170"/>
      <c r="L43" s="170"/>
      <c r="M43" s="170"/>
      <c r="N43" s="170"/>
      <c r="O43" s="170"/>
      <c r="P43" s="170"/>
      <c r="Q43" s="170"/>
    </row>
    <row r="44" spans="1:18" ht="6" customHeight="1" x14ac:dyDescent="0.2">
      <c r="A44" s="166" t="str">
        <f t="shared" si="1"/>
        <v>01</v>
      </c>
      <c r="B44" s="172"/>
      <c r="C44" s="170"/>
      <c r="D44" s="170"/>
      <c r="E44" s="170"/>
      <c r="F44" s="170"/>
      <c r="G44" s="170"/>
      <c r="H44" s="170"/>
      <c r="I44" s="170"/>
      <c r="J44" s="170"/>
      <c r="K44" s="170"/>
      <c r="L44" s="170"/>
      <c r="M44" s="170"/>
      <c r="N44" s="170"/>
      <c r="O44" s="170"/>
      <c r="P44" s="170"/>
      <c r="Q44" s="170"/>
    </row>
    <row r="45" spans="1:18" ht="11.1" customHeight="1" x14ac:dyDescent="0.2">
      <c r="A45" s="166" t="str">
        <f t="shared" si="1"/>
        <v>01</v>
      </c>
      <c r="B45" s="2439" t="s">
        <v>522</v>
      </c>
      <c r="C45" s="170" t="s">
        <v>2532</v>
      </c>
      <c r="D45" s="170"/>
      <c r="E45" s="170"/>
      <c r="F45" s="170"/>
      <c r="G45" s="170"/>
      <c r="H45" s="170"/>
      <c r="I45" s="170"/>
      <c r="J45" s="170"/>
      <c r="K45" s="170"/>
      <c r="L45" s="170"/>
      <c r="M45" s="170"/>
      <c r="N45" s="170"/>
      <c r="O45" s="170"/>
      <c r="P45" s="170"/>
      <c r="Q45" s="170"/>
    </row>
    <row r="46" spans="1:18" ht="11.1" customHeight="1" x14ac:dyDescent="0.2">
      <c r="A46" s="166" t="str">
        <f t="shared" si="1"/>
        <v>01</v>
      </c>
      <c r="B46" s="172"/>
      <c r="C46" s="170" t="s">
        <v>2533</v>
      </c>
      <c r="D46" s="170"/>
      <c r="E46" s="170"/>
      <c r="F46" s="170"/>
      <c r="G46" s="170"/>
      <c r="H46" s="170"/>
      <c r="I46" s="170"/>
      <c r="J46" s="170"/>
      <c r="K46" s="170"/>
      <c r="L46" s="170"/>
      <c r="M46" s="170"/>
      <c r="N46" s="170"/>
      <c r="O46" s="170"/>
      <c r="P46" s="170"/>
      <c r="Q46" s="170"/>
    </row>
    <row r="47" spans="1:18" ht="10.35" customHeight="1" x14ac:dyDescent="0.2">
      <c r="A47" s="166" t="str">
        <f t="shared" si="1"/>
        <v>01</v>
      </c>
      <c r="B47" s="172"/>
      <c r="C47" s="170"/>
      <c r="D47" s="170"/>
      <c r="E47" s="170"/>
      <c r="F47" s="170"/>
      <c r="G47" s="170"/>
      <c r="H47" s="170"/>
      <c r="I47" s="170"/>
      <c r="J47" s="170"/>
      <c r="K47" s="170"/>
      <c r="L47" s="170"/>
      <c r="M47" s="170"/>
      <c r="N47" s="170"/>
      <c r="O47" s="170"/>
      <c r="P47" s="170"/>
      <c r="Q47" s="170"/>
    </row>
    <row r="48" spans="1:18" ht="8.1" customHeight="1" x14ac:dyDescent="0.2">
      <c r="A48" s="166" t="str">
        <f t="shared" si="1"/>
        <v>01</v>
      </c>
      <c r="B48" s="172"/>
      <c r="C48" s="170"/>
      <c r="D48" s="170"/>
      <c r="E48" s="170"/>
      <c r="F48" s="170"/>
      <c r="G48" s="170"/>
      <c r="H48" s="170"/>
      <c r="I48" s="170"/>
      <c r="J48" s="170"/>
      <c r="K48" s="170"/>
      <c r="L48" s="170"/>
      <c r="M48" s="170"/>
      <c r="N48" s="170"/>
      <c r="O48" s="170"/>
      <c r="P48" s="170"/>
      <c r="Q48" s="170"/>
    </row>
    <row r="49" spans="1:17" ht="12" customHeight="1" x14ac:dyDescent="0.2">
      <c r="A49" s="166" t="str">
        <f t="shared" si="1"/>
        <v>01</v>
      </c>
      <c r="B49" s="2439"/>
      <c r="D49" s="170"/>
      <c r="E49" s="170"/>
      <c r="F49" s="170"/>
      <c r="G49" s="170"/>
      <c r="H49" s="170"/>
      <c r="I49" s="170"/>
      <c r="J49" s="170"/>
      <c r="K49" s="170"/>
      <c r="L49" s="170"/>
      <c r="M49" s="170"/>
      <c r="N49" s="170"/>
      <c r="O49" s="170"/>
      <c r="P49" s="170"/>
      <c r="Q49" s="170"/>
    </row>
    <row r="50" spans="1:17" ht="10.35" customHeight="1" x14ac:dyDescent="0.2">
      <c r="A50" s="166" t="str">
        <f t="shared" si="1"/>
        <v>01</v>
      </c>
      <c r="B50" s="170"/>
      <c r="D50" s="170"/>
      <c r="E50" s="170"/>
      <c r="F50" s="170"/>
    </row>
    <row r="51" spans="1:17" ht="12" customHeight="1" x14ac:dyDescent="0.2">
      <c r="A51" s="166" t="str">
        <f t="shared" si="1"/>
        <v>01</v>
      </c>
      <c r="B51" s="177"/>
      <c r="C51" s="170"/>
      <c r="D51" s="170"/>
      <c r="E51" s="170"/>
      <c r="F51" s="170"/>
    </row>
    <row r="52" spans="1:17" x14ac:dyDescent="0.2">
      <c r="A52" s="166" t="str">
        <f t="shared" si="1"/>
        <v>01</v>
      </c>
    </row>
    <row r="53" spans="1:17" x14ac:dyDescent="0.2">
      <c r="A53" s="166" t="str">
        <f t="shared" si="1"/>
        <v>01</v>
      </c>
    </row>
    <row r="54" spans="1:17" x14ac:dyDescent="0.2">
      <c r="A54" s="166" t="str">
        <f t="shared" si="1"/>
        <v>01</v>
      </c>
    </row>
    <row r="55" spans="1:17" x14ac:dyDescent="0.2">
      <c r="A55" s="166" t="str">
        <f t="shared" si="1"/>
        <v>01</v>
      </c>
    </row>
    <row r="56" spans="1:17" x14ac:dyDescent="0.2">
      <c r="A56" s="166" t="str">
        <f t="shared" si="1"/>
        <v>01</v>
      </c>
    </row>
  </sheetData>
  <sheetProtection algorithmName="SHA-512" hashValue="zwtAGZ4DVwT1uuJpGnSo1mKr6/vFpl0dhnoVTlJ5Nkk6LKD3pnqBw+etBDJn/Ds4xZoJI4UQHTchA6vdzJLr9w==" saltValue="miD4+lUGcf/71IhsjEdlUA==" spinCount="100000" sheet="1" autoFilter="0"/>
  <customSheetViews>
    <customSheetView guid="{9FCFC836-1CA5-48BF-958D-24D2EA94B219}" showGridLines="0" fitToPage="1" hiddenColumns="1" topLeftCell="B1">
      <selection activeCell="B12" sqref="B12"/>
      <pageMargins left="0" right="0" top="0" bottom="0" header="0" footer="0"/>
      <pageSetup orientation="landscape" r:id="rId1"/>
      <headerFooter alignWithMargins="0">
        <oddFooter>&amp;R&amp;A</oddFooter>
      </headerFooter>
    </customSheetView>
    <customSheetView guid="{BEA4BE86-04D1-4C96-9358-7A260B9D2B2D}" showGridLines="0" fitToPage="1" showRuler="0">
      <selection activeCell="D8" sqref="D8:E8"/>
      <pageMargins left="0" right="0" top="0" bottom="0" header="0" footer="0"/>
      <pageSetup orientation="landscape" r:id="rId2"/>
      <headerFooter alignWithMargins="0">
        <oddFooter>&amp;R&amp;A</oddFooter>
      </headerFooter>
    </customSheetView>
    <customSheetView guid="{1250FD07-FF56-4A9D-AF9E-C27124A7EBE9}" showGridLines="0" fitToPage="1" showRuler="0">
      <selection activeCell="D8" sqref="D8:E8"/>
      <pageMargins left="0" right="0" top="0" bottom="0" header="0" footer="0"/>
      <pageSetup orientation="landscape" r:id="rId3"/>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ageSetup orientation="landscape" r:id="rId4"/>
      <headerFooter alignWithMargins="0">
        <oddFooter>&amp;R&amp;A</oddFooter>
      </headerFooter>
    </customSheetView>
  </customSheetViews>
  <mergeCells count="21">
    <mergeCell ref="B17:F17"/>
    <mergeCell ref="J16:P16"/>
    <mergeCell ref="L8:R8"/>
    <mergeCell ref="B3:R3"/>
    <mergeCell ref="B4:R4"/>
    <mergeCell ref="E8:F8"/>
    <mergeCell ref="S1:S3"/>
    <mergeCell ref="L6:R6"/>
    <mergeCell ref="L7:R7"/>
    <mergeCell ref="E6:F6"/>
    <mergeCell ref="B2:R2"/>
    <mergeCell ref="B1:R1"/>
    <mergeCell ref="C38:F38"/>
    <mergeCell ref="C20:F20"/>
    <mergeCell ref="C27:F27"/>
    <mergeCell ref="C34:F34"/>
    <mergeCell ref="C23:F23"/>
    <mergeCell ref="C37:F37"/>
    <mergeCell ref="C31:F31"/>
    <mergeCell ref="C30:F30"/>
    <mergeCell ref="C24:F24"/>
  </mergeCells>
  <phoneticPr fontId="18" type="noConversion"/>
  <conditionalFormatting sqref="S1:S3">
    <cfRule type="cellIs" dxfId="37" priority="1" stopIfTrue="1" operator="equal">
      <formula>"na"</formula>
    </cfRule>
  </conditionalFormatting>
  <hyperlinks>
    <hyperlink ref="B1:R1" location="Index!A1" display="Index!A1" xr:uid="{00000000-0004-0000-4200-000000000000}"/>
  </hyperlinks>
  <pageMargins left="0.6" right="0.6" top="0.5" bottom="0.5" header="0.3" footer="0.3"/>
  <pageSetup scale="85" orientation="landscape" r:id="rId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7">
    <pageSetUpPr fitToPage="1"/>
  </sheetPr>
  <dimension ref="A1:P56"/>
  <sheetViews>
    <sheetView showGridLines="0" topLeftCell="C1" zoomScaleNormal="100" workbookViewId="0">
      <selection activeCell="A2" sqref="A2"/>
    </sheetView>
  </sheetViews>
  <sheetFormatPr defaultColWidth="9.42578125" defaultRowHeight="12" x14ac:dyDescent="0.2"/>
  <cols>
    <col min="1" max="2" width="0" style="166" hidden="1" customWidth="1"/>
    <col min="3" max="3" width="2" style="166" customWidth="1"/>
    <col min="4" max="4" width="5.5703125" style="166" customWidth="1"/>
    <col min="5" max="5" width="8.42578125" style="166" customWidth="1"/>
    <col min="6" max="6" width="12.5703125" style="166" customWidth="1"/>
    <col min="7" max="7" width="8.5703125" style="166" customWidth="1"/>
    <col min="8" max="8" width="1.42578125" style="166" customWidth="1"/>
    <col min="9" max="9" width="17.5703125" style="166" customWidth="1"/>
    <col min="10" max="10" width="1.42578125" style="166" customWidth="1"/>
    <col min="11" max="11" width="16.5703125" style="166" customWidth="1"/>
    <col min="12" max="12" width="1.42578125" style="166" customWidth="1"/>
    <col min="13" max="13" width="15.5703125" style="166" customWidth="1"/>
    <col min="14" max="14" width="1.42578125" style="166" customWidth="1"/>
    <col min="15" max="15" width="17.5703125" style="166" customWidth="1"/>
    <col min="16" max="16" width="4.5703125" style="166" customWidth="1"/>
    <col min="17" max="16384" width="9.42578125" style="166"/>
  </cols>
  <sheetData>
    <row r="1" spans="1:16" ht="15.75" x14ac:dyDescent="0.25">
      <c r="A1" s="166" t="str">
        <f t="shared" ref="A1:A32" si="0">AgyIdx</f>
        <v>01</v>
      </c>
      <c r="C1" s="2553" t="str">
        <f>+Index!$A$1</f>
        <v xml:space="preserve">                                                               Office of the State Controller                                                                </v>
      </c>
      <c r="D1" s="2553"/>
      <c r="E1" s="2553"/>
      <c r="F1" s="2553"/>
      <c r="G1" s="2553"/>
      <c r="H1" s="2553"/>
      <c r="I1" s="2553"/>
      <c r="J1" s="2553"/>
      <c r="K1" s="2553"/>
      <c r="L1" s="2553"/>
      <c r="M1" s="2553"/>
      <c r="N1" s="2553"/>
      <c r="O1" s="2553"/>
      <c r="P1" s="2626" t="str">
        <f>IF(Index!$B$95="na","NA","")</f>
        <v/>
      </c>
    </row>
    <row r="2" spans="1:16" ht="15.75" x14ac:dyDescent="0.25">
      <c r="A2" s="166" t="str">
        <f t="shared" si="0"/>
        <v>01</v>
      </c>
      <c r="C2" s="2532" t="str">
        <f>+Index!$A$2</f>
        <v>2024 ACFR Worksheets</v>
      </c>
      <c r="D2" s="2532"/>
      <c r="E2" s="2532"/>
      <c r="F2" s="2532"/>
      <c r="G2" s="2532"/>
      <c r="H2" s="2532"/>
      <c r="I2" s="2532"/>
      <c r="J2" s="2532"/>
      <c r="K2" s="2532"/>
      <c r="L2" s="2532"/>
      <c r="M2" s="2532"/>
      <c r="N2" s="2532"/>
      <c r="O2" s="2532"/>
      <c r="P2" s="2626"/>
    </row>
    <row r="3" spans="1:16" ht="15.75" x14ac:dyDescent="0.25">
      <c r="A3" s="166" t="str">
        <f t="shared" si="0"/>
        <v>01</v>
      </c>
      <c r="C3" s="2532" t="s">
        <v>2309</v>
      </c>
      <c r="D3" s="2532"/>
      <c r="E3" s="2532"/>
      <c r="F3" s="2532"/>
      <c r="G3" s="2532"/>
      <c r="H3" s="2532"/>
      <c r="I3" s="2532"/>
      <c r="J3" s="2532"/>
      <c r="K3" s="2532"/>
      <c r="L3" s="2532"/>
      <c r="M3" s="2532"/>
      <c r="N3" s="2532"/>
      <c r="O3" s="2532"/>
      <c r="P3" s="2626"/>
    </row>
    <row r="4" spans="1:16" ht="15.75" x14ac:dyDescent="0.25">
      <c r="A4" s="166" t="str">
        <f t="shared" si="0"/>
        <v>01</v>
      </c>
      <c r="C4" s="2532" t="s">
        <v>2534</v>
      </c>
      <c r="D4" s="2532"/>
      <c r="E4" s="2532"/>
      <c r="F4" s="2532"/>
      <c r="G4" s="2532"/>
      <c r="H4" s="2532"/>
      <c r="I4" s="2532"/>
      <c r="J4" s="2532"/>
      <c r="K4" s="2532"/>
      <c r="L4" s="2532"/>
      <c r="M4" s="2532"/>
      <c r="N4" s="2532"/>
      <c r="O4" s="2532"/>
      <c r="P4" s="2251"/>
    </row>
    <row r="5" spans="1:16" ht="15" customHeight="1" x14ac:dyDescent="0.2">
      <c r="A5" s="166" t="str">
        <f t="shared" si="0"/>
        <v>01</v>
      </c>
    </row>
    <row r="6" spans="1:16" ht="15" customHeight="1" x14ac:dyDescent="0.2">
      <c r="A6" s="166" t="str">
        <f t="shared" si="0"/>
        <v>01</v>
      </c>
      <c r="C6" s="138" t="s">
        <v>2535</v>
      </c>
      <c r="F6" s="2715" t="str">
        <f>+Index!$E$10</f>
        <v>01</v>
      </c>
      <c r="G6" s="2715"/>
      <c r="J6" s="5" t="s">
        <v>319</v>
      </c>
      <c r="K6" s="3033" t="str">
        <f>+Index!$E$11</f>
        <v>North Carolina General Assembly</v>
      </c>
      <c r="L6" s="3033"/>
      <c r="M6" s="3033"/>
      <c r="N6" s="3033"/>
      <c r="O6" s="3033"/>
    </row>
    <row r="7" spans="1:16" ht="15" customHeight="1" x14ac:dyDescent="0.2">
      <c r="A7" s="166" t="str">
        <f t="shared" si="0"/>
        <v>01</v>
      </c>
      <c r="J7" s="5" t="s">
        <v>320</v>
      </c>
      <c r="K7" s="2994" t="str">
        <f>CONCATENATE(Index!$E$12," ",Index!$E$14)</f>
        <v xml:space="preserve"> </v>
      </c>
      <c r="L7" s="2994"/>
      <c r="M7" s="2994"/>
      <c r="N7" s="2994"/>
      <c r="O7" s="2994"/>
    </row>
    <row r="8" spans="1:16" ht="15" customHeight="1" x14ac:dyDescent="0.2">
      <c r="A8" s="166" t="str">
        <f t="shared" si="0"/>
        <v>01</v>
      </c>
      <c r="C8" s="4" t="s">
        <v>545</v>
      </c>
      <c r="F8" s="2715" t="s">
        <v>762</v>
      </c>
      <c r="G8" s="2715"/>
      <c r="J8" s="5" t="s">
        <v>168</v>
      </c>
      <c r="K8" s="2993">
        <f>+Index!$E$13</f>
        <v>0</v>
      </c>
      <c r="L8" s="2993"/>
      <c r="M8" s="2993"/>
      <c r="N8" s="2993"/>
      <c r="O8" s="2993"/>
    </row>
    <row r="9" spans="1:16" ht="15" customHeight="1" thickBot="1" x14ac:dyDescent="0.25">
      <c r="A9" s="166" t="str">
        <f t="shared" si="0"/>
        <v>01</v>
      </c>
      <c r="C9" s="167"/>
      <c r="D9" s="167"/>
      <c r="E9" s="167"/>
      <c r="F9" s="168"/>
      <c r="G9" s="168"/>
      <c r="H9" s="168"/>
      <c r="I9" s="168"/>
      <c r="J9" s="168"/>
      <c r="K9" s="169"/>
      <c r="L9" s="168"/>
      <c r="M9" s="168"/>
      <c r="N9" s="168"/>
      <c r="O9" s="168"/>
    </row>
    <row r="10" spans="1:16" ht="15" customHeight="1" x14ac:dyDescent="0.2">
      <c r="A10" s="166" t="str">
        <f t="shared" si="0"/>
        <v>01</v>
      </c>
    </row>
    <row r="11" spans="1:16" ht="12.75" customHeight="1" x14ac:dyDescent="0.2">
      <c r="A11" s="166" t="str">
        <f t="shared" si="0"/>
        <v>01</v>
      </c>
      <c r="C11" s="3045" t="s">
        <v>2536</v>
      </c>
      <c r="D11" s="3045"/>
      <c r="E11" s="3045"/>
      <c r="F11" s="3045"/>
      <c r="G11" s="3045"/>
      <c r="H11" s="3045"/>
      <c r="I11" s="3045"/>
      <c r="J11" s="3045"/>
      <c r="K11" s="3045"/>
      <c r="L11" s="3045"/>
      <c r="M11" s="3045"/>
      <c r="N11" s="3045"/>
      <c r="O11" s="3045"/>
    </row>
    <row r="12" spans="1:16" ht="12.75" customHeight="1" x14ac:dyDescent="0.2">
      <c r="A12" s="166" t="str">
        <f t="shared" si="0"/>
        <v>01</v>
      </c>
      <c r="C12" s="3045"/>
      <c r="D12" s="3045"/>
      <c r="E12" s="3045"/>
      <c r="F12" s="3045"/>
      <c r="G12" s="3045"/>
      <c r="H12" s="3045"/>
      <c r="I12" s="3045"/>
      <c r="J12" s="3045"/>
      <c r="K12" s="3045"/>
      <c r="L12" s="3045"/>
      <c r="M12" s="3045"/>
      <c r="N12" s="3045"/>
      <c r="O12" s="3045"/>
    </row>
    <row r="13" spans="1:16" ht="10.35" customHeight="1" x14ac:dyDescent="0.2">
      <c r="A13" s="166" t="str">
        <f t="shared" si="0"/>
        <v>01</v>
      </c>
    </row>
    <row r="14" spans="1:16" ht="14.1" customHeight="1" x14ac:dyDescent="0.2">
      <c r="A14" s="166" t="str">
        <f t="shared" si="0"/>
        <v>01</v>
      </c>
      <c r="C14" s="166" t="s">
        <v>2537</v>
      </c>
    </row>
    <row r="15" spans="1:16" ht="14.1" customHeight="1" x14ac:dyDescent="0.2">
      <c r="A15" s="166" t="str">
        <f t="shared" si="0"/>
        <v>01</v>
      </c>
      <c r="C15" s="166" t="s">
        <v>2538</v>
      </c>
    </row>
    <row r="16" spans="1:16" ht="12" customHeight="1" x14ac:dyDescent="0.2">
      <c r="A16" s="166" t="str">
        <f t="shared" si="0"/>
        <v>01</v>
      </c>
      <c r="C16" s="190" t="s">
        <v>2539</v>
      </c>
    </row>
    <row r="17" spans="1:16" ht="15" customHeight="1" x14ac:dyDescent="0.2">
      <c r="A17" s="166" t="str">
        <f t="shared" si="0"/>
        <v>01</v>
      </c>
      <c r="D17" s="184"/>
      <c r="F17" s="184"/>
      <c r="I17" s="184"/>
      <c r="K17" s="402"/>
      <c r="M17" s="184"/>
      <c r="O17" s="402"/>
    </row>
    <row r="18" spans="1:16" ht="10.35" customHeight="1" x14ac:dyDescent="0.2">
      <c r="A18" s="166" t="str">
        <f t="shared" si="0"/>
        <v>01</v>
      </c>
      <c r="D18" s="184"/>
      <c r="F18" s="184"/>
      <c r="I18" s="184"/>
      <c r="K18" s="185"/>
      <c r="M18" s="184"/>
      <c r="O18" s="185"/>
    </row>
    <row r="19" spans="1:16" ht="12" customHeight="1" x14ac:dyDescent="0.2">
      <c r="A19" s="166" t="str">
        <f t="shared" si="0"/>
        <v>01</v>
      </c>
      <c r="C19" s="166" t="s">
        <v>2540</v>
      </c>
      <c r="D19" s="184"/>
      <c r="F19" s="184"/>
      <c r="I19" s="184"/>
      <c r="K19" s="185"/>
      <c r="M19" s="184"/>
      <c r="O19" s="185"/>
    </row>
    <row r="20" spans="1:16" ht="12.75" customHeight="1" x14ac:dyDescent="0.2">
      <c r="A20" s="166" t="str">
        <f t="shared" si="0"/>
        <v>01</v>
      </c>
      <c r="D20" s="170"/>
      <c r="E20" s="170"/>
      <c r="F20" s="170"/>
      <c r="G20" s="170"/>
      <c r="H20" s="170"/>
      <c r="I20" s="3039"/>
      <c r="J20" s="3039"/>
      <c r="K20" s="3039"/>
      <c r="L20" s="171"/>
      <c r="M20" s="171"/>
      <c r="N20" s="171"/>
      <c r="O20" s="171"/>
      <c r="P20" s="170"/>
    </row>
    <row r="21" spans="1:16" ht="12.75" customHeight="1" x14ac:dyDescent="0.2">
      <c r="A21" s="166" t="str">
        <f t="shared" si="0"/>
        <v>01</v>
      </c>
      <c r="C21" s="3039" t="s">
        <v>2445</v>
      </c>
      <c r="D21" s="3039"/>
      <c r="E21" s="3039"/>
      <c r="F21" s="3039"/>
      <c r="G21" s="3039"/>
      <c r="H21" s="170"/>
      <c r="I21" s="3039" t="s">
        <v>2541</v>
      </c>
      <c r="J21" s="3039"/>
      <c r="K21" s="3039"/>
      <c r="L21" s="3039"/>
      <c r="M21" s="3039"/>
      <c r="N21" s="171"/>
      <c r="O21" s="171" t="s">
        <v>2311</v>
      </c>
      <c r="P21" s="170"/>
    </row>
    <row r="22" spans="1:16" ht="12.75" customHeight="1" x14ac:dyDescent="0.2">
      <c r="A22" s="166" t="str">
        <f t="shared" si="0"/>
        <v>01</v>
      </c>
      <c r="C22" s="3043" t="s">
        <v>570</v>
      </c>
      <c r="D22" s="3043"/>
      <c r="E22" s="3043"/>
      <c r="F22" s="3043"/>
      <c r="G22" s="3043"/>
      <c r="H22" s="170"/>
      <c r="I22" s="3043" t="s">
        <v>571</v>
      </c>
      <c r="J22" s="3043"/>
      <c r="K22" s="3043"/>
      <c r="L22" s="3043"/>
      <c r="M22" s="3043"/>
      <c r="N22" s="171"/>
      <c r="O22" s="2423" t="s">
        <v>572</v>
      </c>
      <c r="P22" s="170"/>
    </row>
    <row r="23" spans="1:16" ht="21.75" customHeight="1" x14ac:dyDescent="0.2">
      <c r="A23" s="166" t="str">
        <f t="shared" si="0"/>
        <v>01</v>
      </c>
      <c r="B23" s="166">
        <v>100</v>
      </c>
      <c r="C23" s="3044"/>
      <c r="D23" s="3044"/>
      <c r="E23" s="3044"/>
      <c r="F23" s="3044"/>
      <c r="G23" s="3044"/>
      <c r="H23" s="170"/>
      <c r="I23" s="3044"/>
      <c r="J23" s="3044"/>
      <c r="K23" s="3044"/>
      <c r="L23" s="3044"/>
      <c r="M23" s="3044"/>
      <c r="N23" s="170"/>
      <c r="O23" s="324"/>
      <c r="P23" s="170"/>
    </row>
    <row r="24" spans="1:16" ht="14.85" customHeight="1" x14ac:dyDescent="0.2">
      <c r="A24" s="166" t="str">
        <f t="shared" si="0"/>
        <v>01</v>
      </c>
      <c r="B24" s="166">
        <v>120</v>
      </c>
      <c r="C24" s="3044"/>
      <c r="D24" s="3044"/>
      <c r="E24" s="3044"/>
      <c r="F24" s="3044"/>
      <c r="G24" s="3044"/>
      <c r="H24" s="170"/>
      <c r="I24" s="3044"/>
      <c r="J24" s="3044"/>
      <c r="K24" s="3044"/>
      <c r="L24" s="3044"/>
      <c r="M24" s="3044"/>
      <c r="N24" s="170"/>
      <c r="O24" s="324"/>
      <c r="P24" s="170"/>
    </row>
    <row r="25" spans="1:16" ht="14.85" customHeight="1" x14ac:dyDescent="0.2">
      <c r="A25" s="166" t="str">
        <f t="shared" si="0"/>
        <v>01</v>
      </c>
      <c r="B25" s="166">
        <v>140</v>
      </c>
      <c r="C25" s="3044"/>
      <c r="D25" s="3044"/>
      <c r="E25" s="3044"/>
      <c r="F25" s="3044"/>
      <c r="G25" s="3044"/>
      <c r="H25" s="170"/>
      <c r="I25" s="3044"/>
      <c r="J25" s="3044"/>
      <c r="K25" s="3044"/>
      <c r="L25" s="3044"/>
      <c r="M25" s="3044"/>
      <c r="N25" s="170"/>
      <c r="O25" s="324"/>
      <c r="P25" s="170"/>
    </row>
    <row r="26" spans="1:16" ht="14.85" customHeight="1" x14ac:dyDescent="0.2">
      <c r="A26" s="166" t="str">
        <f t="shared" si="0"/>
        <v>01</v>
      </c>
      <c r="B26" s="166">
        <v>160</v>
      </c>
      <c r="C26" s="3044"/>
      <c r="D26" s="3044"/>
      <c r="E26" s="3044"/>
      <c r="F26" s="3044"/>
      <c r="G26" s="3044"/>
      <c r="H26" s="170"/>
      <c r="I26" s="3044"/>
      <c r="J26" s="3044"/>
      <c r="K26" s="3044"/>
      <c r="L26" s="3044"/>
      <c r="M26" s="3044"/>
      <c r="N26" s="170"/>
      <c r="O26" s="324"/>
      <c r="P26" s="170"/>
    </row>
    <row r="27" spans="1:16" ht="14.85" customHeight="1" x14ac:dyDescent="0.2">
      <c r="A27" s="166" t="str">
        <f t="shared" si="0"/>
        <v>01</v>
      </c>
      <c r="B27" s="166">
        <v>180</v>
      </c>
      <c r="C27" s="3044"/>
      <c r="D27" s="3044"/>
      <c r="E27" s="3044"/>
      <c r="F27" s="3044"/>
      <c r="G27" s="3044"/>
      <c r="H27" s="170"/>
      <c r="I27" s="3044"/>
      <c r="J27" s="3044"/>
      <c r="K27" s="3044"/>
      <c r="L27" s="3044"/>
      <c r="M27" s="3044"/>
      <c r="N27" s="170"/>
      <c r="O27" s="324"/>
      <c r="P27" s="170"/>
    </row>
    <row r="28" spans="1:16" ht="14.85" customHeight="1" x14ac:dyDescent="0.2">
      <c r="A28" s="166" t="str">
        <f t="shared" si="0"/>
        <v>01</v>
      </c>
      <c r="B28" s="166">
        <v>200</v>
      </c>
      <c r="C28" s="3044"/>
      <c r="D28" s="3044"/>
      <c r="E28" s="3044"/>
      <c r="F28" s="3044"/>
      <c r="G28" s="3044"/>
      <c r="H28" s="170"/>
      <c r="I28" s="3044"/>
      <c r="J28" s="3044"/>
      <c r="K28" s="3044"/>
      <c r="L28" s="3044"/>
      <c r="M28" s="3044"/>
      <c r="N28" s="170"/>
      <c r="O28" s="324"/>
      <c r="P28" s="170"/>
    </row>
    <row r="29" spans="1:16" ht="14.85" customHeight="1" x14ac:dyDescent="0.2">
      <c r="A29" s="166" t="str">
        <f t="shared" si="0"/>
        <v>01</v>
      </c>
      <c r="B29" s="166">
        <v>220</v>
      </c>
      <c r="C29" s="3044"/>
      <c r="D29" s="3044"/>
      <c r="E29" s="3044"/>
      <c r="F29" s="3044"/>
      <c r="G29" s="3044"/>
      <c r="H29" s="170"/>
      <c r="I29" s="3044"/>
      <c r="J29" s="3044"/>
      <c r="K29" s="3044"/>
      <c r="L29" s="3044"/>
      <c r="M29" s="3044"/>
      <c r="N29" s="170"/>
      <c r="O29" s="324"/>
      <c r="P29" s="170"/>
    </row>
    <row r="30" spans="1:16" ht="14.85" customHeight="1" x14ac:dyDescent="0.2">
      <c r="A30" s="166" t="str">
        <f t="shared" si="0"/>
        <v>01</v>
      </c>
      <c r="B30" s="166">
        <v>240</v>
      </c>
      <c r="C30" s="3044"/>
      <c r="D30" s="3044"/>
      <c r="E30" s="3044"/>
      <c r="F30" s="3044"/>
      <c r="G30" s="3044"/>
      <c r="H30" s="170"/>
      <c r="I30" s="3044"/>
      <c r="J30" s="3044"/>
      <c r="K30" s="3044"/>
      <c r="L30" s="3044"/>
      <c r="M30" s="3044"/>
      <c r="N30" s="170"/>
      <c r="O30" s="324"/>
      <c r="P30" s="170"/>
    </row>
    <row r="31" spans="1:16" ht="14.85" customHeight="1" x14ac:dyDescent="0.2">
      <c r="A31" s="166" t="str">
        <f t="shared" si="0"/>
        <v>01</v>
      </c>
      <c r="B31" s="166">
        <v>260</v>
      </c>
      <c r="C31" s="3044"/>
      <c r="D31" s="3044"/>
      <c r="E31" s="3044"/>
      <c r="F31" s="3044"/>
      <c r="G31" s="3044"/>
      <c r="H31" s="170"/>
      <c r="I31" s="3044"/>
      <c r="J31" s="3044"/>
      <c r="K31" s="3044"/>
      <c r="L31" s="3044"/>
      <c r="M31" s="3044"/>
      <c r="N31" s="170"/>
      <c r="O31" s="324"/>
      <c r="P31" s="170"/>
    </row>
    <row r="32" spans="1:16" ht="18.75" customHeight="1" thickBot="1" x14ac:dyDescent="0.25">
      <c r="A32" s="166" t="str">
        <f t="shared" si="0"/>
        <v>01</v>
      </c>
      <c r="B32" s="166">
        <v>280</v>
      </c>
      <c r="C32" s="172"/>
      <c r="D32" s="170"/>
      <c r="E32" s="170"/>
      <c r="F32" s="170"/>
      <c r="G32" s="170"/>
      <c r="H32" s="170"/>
      <c r="I32" s="170"/>
      <c r="J32" s="170"/>
      <c r="M32" s="2421" t="s">
        <v>962</v>
      </c>
      <c r="N32" s="170"/>
      <c r="O32" s="164">
        <f>SUM(O23:O31)</f>
        <v>0</v>
      </c>
      <c r="P32" s="170"/>
    </row>
    <row r="33" spans="1:16" ht="8.1" customHeight="1" thickTop="1" x14ac:dyDescent="0.2">
      <c r="A33" s="166" t="str">
        <f t="shared" ref="A33:A56" si="1">AgyIdx</f>
        <v>01</v>
      </c>
      <c r="C33" s="172"/>
      <c r="D33" s="170"/>
      <c r="E33" s="170"/>
      <c r="F33" s="170"/>
      <c r="G33" s="170"/>
      <c r="H33" s="170"/>
      <c r="I33" s="170"/>
      <c r="J33" s="170"/>
      <c r="K33" s="2421"/>
      <c r="L33" s="170"/>
      <c r="M33" s="170"/>
      <c r="N33" s="170"/>
      <c r="O33" s="170"/>
      <c r="P33" s="170"/>
    </row>
    <row r="34" spans="1:16" ht="8.1" customHeight="1" x14ac:dyDescent="0.2">
      <c r="A34" s="166" t="str">
        <f t="shared" si="1"/>
        <v>01</v>
      </c>
      <c r="C34" s="172"/>
      <c r="D34" s="170"/>
      <c r="E34" s="170"/>
      <c r="F34" s="170"/>
      <c r="G34" s="170"/>
      <c r="H34" s="170"/>
      <c r="I34" s="170"/>
      <c r="J34" s="170"/>
      <c r="K34" s="170"/>
      <c r="L34" s="170"/>
      <c r="M34" s="170"/>
      <c r="N34" s="170"/>
      <c r="O34" s="170"/>
      <c r="P34" s="170"/>
    </row>
    <row r="35" spans="1:16" ht="11.1" customHeight="1" x14ac:dyDescent="0.2">
      <c r="A35" s="166" t="str">
        <f t="shared" si="1"/>
        <v>01</v>
      </c>
      <c r="C35" s="180" t="s">
        <v>716</v>
      </c>
      <c r="D35" s="170" t="s">
        <v>2542</v>
      </c>
      <c r="E35" s="170"/>
      <c r="F35" s="170"/>
      <c r="G35" s="170"/>
      <c r="H35" s="170"/>
      <c r="I35" s="170"/>
      <c r="J35" s="170"/>
      <c r="K35" s="170"/>
      <c r="L35" s="170"/>
      <c r="M35" s="170"/>
      <c r="N35" s="170"/>
      <c r="O35" s="170"/>
      <c r="P35" s="170"/>
    </row>
    <row r="36" spans="1:16" ht="11.1" customHeight="1" x14ac:dyDescent="0.25">
      <c r="A36" s="166" t="str">
        <f t="shared" si="1"/>
        <v>01</v>
      </c>
      <c r="C36" s="172"/>
      <c r="D36" s="170"/>
      <c r="E36" s="226" t="s">
        <v>2543</v>
      </c>
      <c r="F36" s="170"/>
      <c r="G36" s="170"/>
      <c r="H36" s="170"/>
      <c r="I36" s="170"/>
      <c r="J36" s="170"/>
      <c r="K36" s="170"/>
      <c r="L36" s="170"/>
      <c r="M36" s="170"/>
      <c r="N36" s="170"/>
      <c r="O36" s="170"/>
      <c r="P36" s="170"/>
    </row>
    <row r="37" spans="1:16" ht="11.1" customHeight="1" x14ac:dyDescent="0.25">
      <c r="A37" s="166" t="str">
        <f t="shared" si="1"/>
        <v>01</v>
      </c>
      <c r="C37" s="172"/>
      <c r="D37" s="170"/>
      <c r="E37" s="487" t="s">
        <v>2544</v>
      </c>
      <c r="F37" s="171"/>
      <c r="G37" s="171"/>
      <c r="H37" s="171"/>
      <c r="I37" s="171"/>
      <c r="J37" s="171"/>
      <c r="K37" s="171"/>
      <c r="L37" s="171"/>
      <c r="M37" s="171"/>
      <c r="N37" s="171"/>
      <c r="O37" s="170"/>
      <c r="P37" s="170"/>
    </row>
    <row r="38" spans="1:16" ht="11.1" customHeight="1" x14ac:dyDescent="0.25">
      <c r="A38" s="166" t="str">
        <f t="shared" si="1"/>
        <v>01</v>
      </c>
      <c r="C38" s="172"/>
      <c r="D38" s="170"/>
      <c r="E38" s="1771" t="s">
        <v>2545</v>
      </c>
      <c r="F38" s="187"/>
      <c r="G38" s="187"/>
      <c r="H38" s="187"/>
      <c r="I38" s="187"/>
      <c r="J38" s="187"/>
      <c r="K38" s="170"/>
      <c r="L38" s="170"/>
      <c r="M38" s="170"/>
      <c r="N38" s="170"/>
      <c r="O38" s="170"/>
      <c r="P38" s="170"/>
    </row>
    <row r="39" spans="1:16" ht="12" customHeight="1" thickBot="1" x14ac:dyDescent="0.3">
      <c r="A39" s="166" t="str">
        <f t="shared" si="1"/>
        <v>01</v>
      </c>
      <c r="C39" s="172"/>
      <c r="D39" s="170"/>
      <c r="E39" s="1772" t="s">
        <v>2546</v>
      </c>
      <c r="F39" s="188"/>
      <c r="G39" s="188"/>
      <c r="H39" s="188"/>
      <c r="I39" s="188"/>
      <c r="J39" s="188"/>
      <c r="K39" s="170"/>
      <c r="L39" s="170"/>
      <c r="M39" s="170"/>
      <c r="N39" s="170"/>
      <c r="O39" s="170"/>
      <c r="P39" s="170"/>
    </row>
    <row r="40" spans="1:16" ht="8.1" customHeight="1" thickTop="1" x14ac:dyDescent="0.2">
      <c r="A40" s="166" t="str">
        <f t="shared" si="1"/>
        <v>01</v>
      </c>
      <c r="C40" s="172"/>
      <c r="D40" s="170"/>
      <c r="E40" s="170"/>
      <c r="F40" s="170"/>
      <c r="G40" s="170"/>
      <c r="H40" s="170"/>
      <c r="I40" s="170"/>
      <c r="J40" s="170"/>
      <c r="K40" s="170"/>
      <c r="L40" s="170"/>
      <c r="M40" s="170"/>
      <c r="N40" s="170"/>
      <c r="O40" s="170"/>
      <c r="P40" s="170"/>
    </row>
    <row r="41" spans="1:16" ht="11.1" customHeight="1" x14ac:dyDescent="0.2">
      <c r="A41" s="166" t="str">
        <f t="shared" si="1"/>
        <v>01</v>
      </c>
      <c r="C41" s="180" t="s">
        <v>718</v>
      </c>
      <c r="D41" s="170" t="s">
        <v>2547</v>
      </c>
      <c r="E41" s="170"/>
      <c r="F41" s="170"/>
      <c r="G41" s="170"/>
      <c r="H41" s="170"/>
      <c r="I41" s="170"/>
      <c r="J41" s="170"/>
      <c r="K41" s="170"/>
      <c r="L41" s="170"/>
      <c r="M41" s="170"/>
      <c r="N41" s="170"/>
      <c r="O41" s="170"/>
      <c r="P41" s="170"/>
    </row>
    <row r="42" spans="1:16" ht="11.1" customHeight="1" x14ac:dyDescent="0.2">
      <c r="A42" s="166" t="str">
        <f t="shared" si="1"/>
        <v>01</v>
      </c>
      <c r="C42" s="172"/>
      <c r="D42" s="170" t="s">
        <v>2548</v>
      </c>
      <c r="E42" s="170"/>
      <c r="F42" s="170"/>
      <c r="G42" s="170"/>
      <c r="H42" s="170"/>
      <c r="I42" s="170"/>
      <c r="J42" s="170"/>
      <c r="K42" s="170"/>
      <c r="L42" s="170"/>
      <c r="M42" s="170"/>
      <c r="N42" s="170"/>
      <c r="O42" s="170"/>
      <c r="P42" s="170"/>
    </row>
    <row r="43" spans="1:16" ht="10.35" customHeight="1" x14ac:dyDescent="0.2">
      <c r="A43" s="166" t="str">
        <f t="shared" si="1"/>
        <v>01</v>
      </c>
      <c r="C43" s="2439"/>
      <c r="D43" s="170"/>
      <c r="E43" s="170"/>
      <c r="F43" s="170"/>
      <c r="G43" s="170"/>
      <c r="H43" s="170"/>
      <c r="I43" s="170"/>
      <c r="J43" s="170"/>
      <c r="K43" s="170"/>
      <c r="L43" s="170"/>
      <c r="M43" s="170"/>
      <c r="N43" s="170"/>
      <c r="O43" s="170"/>
      <c r="P43" s="170"/>
    </row>
    <row r="44" spans="1:16" ht="10.35" customHeight="1" x14ac:dyDescent="0.2">
      <c r="A44" s="166" t="str">
        <f t="shared" si="1"/>
        <v>01</v>
      </c>
      <c r="C44" s="170"/>
      <c r="D44" s="170"/>
      <c r="E44" s="170"/>
      <c r="F44" s="170"/>
      <c r="G44" s="170"/>
    </row>
    <row r="45" spans="1:16" ht="12" customHeight="1" x14ac:dyDescent="0.2">
      <c r="A45" s="166" t="str">
        <f t="shared" si="1"/>
        <v>01</v>
      </c>
      <c r="C45" s="177"/>
      <c r="D45" s="170"/>
      <c r="E45" s="170"/>
      <c r="F45" s="170"/>
      <c r="G45" s="170"/>
    </row>
    <row r="46" spans="1:16" x14ac:dyDescent="0.2">
      <c r="A46" s="166" t="str">
        <f t="shared" si="1"/>
        <v>01</v>
      </c>
    </row>
    <row r="47" spans="1:16" x14ac:dyDescent="0.2">
      <c r="A47" s="166" t="str">
        <f t="shared" si="1"/>
        <v>01</v>
      </c>
    </row>
    <row r="48" spans="1:16" x14ac:dyDescent="0.2">
      <c r="A48" s="166" t="str">
        <f t="shared" si="1"/>
        <v>01</v>
      </c>
    </row>
    <row r="49" spans="1:1" x14ac:dyDescent="0.2">
      <c r="A49" s="166" t="str">
        <f t="shared" si="1"/>
        <v>01</v>
      </c>
    </row>
    <row r="50" spans="1:1" x14ac:dyDescent="0.2">
      <c r="A50" s="166" t="str">
        <f t="shared" si="1"/>
        <v>01</v>
      </c>
    </row>
    <row r="51" spans="1:1" x14ac:dyDescent="0.2">
      <c r="A51" s="166" t="str">
        <f t="shared" si="1"/>
        <v>01</v>
      </c>
    </row>
    <row r="52" spans="1:1" x14ac:dyDescent="0.2">
      <c r="A52" s="166" t="str">
        <f t="shared" si="1"/>
        <v>01</v>
      </c>
    </row>
    <row r="53" spans="1:1" x14ac:dyDescent="0.2">
      <c r="A53" s="166" t="str">
        <f t="shared" si="1"/>
        <v>01</v>
      </c>
    </row>
    <row r="54" spans="1:1" x14ac:dyDescent="0.2">
      <c r="A54" s="166" t="str">
        <f t="shared" si="1"/>
        <v>01</v>
      </c>
    </row>
    <row r="55" spans="1:1" x14ac:dyDescent="0.2">
      <c r="A55" s="166" t="str">
        <f t="shared" si="1"/>
        <v>01</v>
      </c>
    </row>
    <row r="56" spans="1:1" x14ac:dyDescent="0.2">
      <c r="A56" s="166" t="str">
        <f t="shared" si="1"/>
        <v>01</v>
      </c>
    </row>
  </sheetData>
  <sheetProtection algorithmName="SHA-512" hashValue="e77C8/KcrEFTZLZGN2Xx1hHYZ5AcXls8boxMaHMU/BYGC3jAD0PGJU7ar+J/vIjzN4ijv+joqnZQZbKkBLeulw==" saltValue="OUzlXPpgDCGagmJozleCnQ==" spinCount="100000" sheet="1" autoFilter="0"/>
  <customSheetViews>
    <customSheetView guid="{9FCFC836-1CA5-48BF-958D-24D2EA94B219}" showGridLines="0" fitToPage="1" hiddenColumns="1" topLeftCell="C1">
      <selection activeCell="B12" sqref="B12"/>
      <pageMargins left="0" right="0" top="0" bottom="0" header="0" footer="0"/>
      <pageSetup scale="96" orientation="landscape" r:id="rId1"/>
      <headerFooter alignWithMargins="0">
        <oddFooter>&amp;R&amp;A</oddFooter>
      </headerFooter>
    </customSheetView>
    <customSheetView guid="{BEA4BE86-04D1-4C96-9358-7A260B9D2B2D}" showGridLines="0" fitToPage="1" showRuler="0">
      <selection activeCell="D8" sqref="D8:E8"/>
      <pageMargins left="0" right="0" top="0" bottom="0" header="0" footer="0"/>
      <pageSetup orientation="landscape" r:id="rId2"/>
      <headerFooter alignWithMargins="0">
        <oddFooter>&amp;R&amp;A</oddFooter>
      </headerFooter>
    </customSheetView>
    <customSheetView guid="{1250FD07-FF56-4A9D-AF9E-C27124A7EBE9}" showGridLines="0" fitToPage="1" showRuler="0">
      <selection activeCell="D8" sqref="D8:E8"/>
      <pageMargins left="0" right="0" top="0" bottom="0" header="0" footer="0"/>
      <pageSetup orientation="landscape" r:id="rId3"/>
      <headerFooter alignWithMargins="0">
        <oddFooter>&amp;R&amp;A</oddFooter>
      </headerFooter>
    </customSheetView>
    <customSheetView guid="{B08879A4-635B-4C39-9937-AC7883D562FC}" showGridLines="0" fitToPage="1" hiddenColumns="1" topLeftCell="C1">
      <selection activeCell="B12" sqref="B12"/>
      <pageMargins left="0" right="0" top="0" bottom="0" header="0" footer="0"/>
      <pageSetup scale="96" orientation="landscape" r:id="rId4"/>
      <headerFooter alignWithMargins="0">
        <oddFooter>&amp;R&amp;A</oddFooter>
      </headerFooter>
    </customSheetView>
  </customSheetViews>
  <mergeCells count="34">
    <mergeCell ref="P1:P3"/>
    <mergeCell ref="C11:O12"/>
    <mergeCell ref="K6:O6"/>
    <mergeCell ref="K7:O7"/>
    <mergeCell ref="K8:O8"/>
    <mergeCell ref="F8:G8"/>
    <mergeCell ref="C1:O1"/>
    <mergeCell ref="I27:M27"/>
    <mergeCell ref="I28:M28"/>
    <mergeCell ref="C28:G28"/>
    <mergeCell ref="C31:G31"/>
    <mergeCell ref="C30:G30"/>
    <mergeCell ref="I30:M30"/>
    <mergeCell ref="I31:M31"/>
    <mergeCell ref="I29:M29"/>
    <mergeCell ref="C29:G29"/>
    <mergeCell ref="C27:G27"/>
    <mergeCell ref="C21:G21"/>
    <mergeCell ref="I20:K20"/>
    <mergeCell ref="I21:M21"/>
    <mergeCell ref="C2:O2"/>
    <mergeCell ref="C3:O3"/>
    <mergeCell ref="C4:O4"/>
    <mergeCell ref="F6:G6"/>
    <mergeCell ref="C22:G22"/>
    <mergeCell ref="I22:M22"/>
    <mergeCell ref="C26:G26"/>
    <mergeCell ref="I25:M25"/>
    <mergeCell ref="I26:M26"/>
    <mergeCell ref="C23:G23"/>
    <mergeCell ref="C24:G24"/>
    <mergeCell ref="I23:M23"/>
    <mergeCell ref="I24:M24"/>
    <mergeCell ref="C25:G25"/>
  </mergeCells>
  <phoneticPr fontId="18" type="noConversion"/>
  <conditionalFormatting sqref="P1:P3">
    <cfRule type="cellIs" dxfId="36" priority="1" stopIfTrue="1" operator="equal">
      <formula>"na"</formula>
    </cfRule>
  </conditionalFormatting>
  <hyperlinks>
    <hyperlink ref="C1:O1" location="Index!A1" display="Index!A1" xr:uid="{00000000-0004-0000-4300-000000000000}"/>
  </hyperlinks>
  <pageMargins left="0.6" right="0.6" top="0.5" bottom="0.5" header="0.3" footer="0.3"/>
  <pageSetup scale="86" fitToHeight="0" orientation="portrait" r:id="rId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pageSetUpPr fitToPage="1"/>
  </sheetPr>
  <dimension ref="A1:R73"/>
  <sheetViews>
    <sheetView showGridLines="0" topLeftCell="C1" zoomScaleNormal="100" workbookViewId="0">
      <selection activeCell="O54" sqref="O54"/>
    </sheetView>
  </sheetViews>
  <sheetFormatPr defaultColWidth="9.42578125" defaultRowHeight="12" x14ac:dyDescent="0.2"/>
  <cols>
    <col min="1" max="1" width="0" style="166" hidden="1" customWidth="1"/>
    <col min="2" max="2" width="9.42578125" style="166" hidden="1" customWidth="1"/>
    <col min="3" max="3" width="2" style="166" customWidth="1"/>
    <col min="4" max="4" width="5.5703125" style="166" customWidth="1"/>
    <col min="5" max="5" width="8.42578125" style="166" customWidth="1"/>
    <col min="6" max="6" width="12.5703125" style="166" customWidth="1"/>
    <col min="7" max="7" width="14.5703125" style="166" bestFit="1" customWidth="1"/>
    <col min="8" max="8" width="12.5703125" style="166" customWidth="1"/>
    <col min="9" max="9" width="8.5703125" style="166" customWidth="1"/>
    <col min="10" max="10" width="1.42578125" style="166" customWidth="1"/>
    <col min="11" max="11" width="17.5703125" style="166" customWidth="1"/>
    <col min="12" max="12" width="1.42578125" style="166" customWidth="1"/>
    <col min="13" max="13" width="16.5703125" style="166" customWidth="1"/>
    <col min="14" max="14" width="1.42578125" style="166" customWidth="1"/>
    <col min="15" max="15" width="17.5703125" style="166" customWidth="1"/>
    <col min="16" max="16" width="4.5703125" style="166" customWidth="1"/>
    <col min="17" max="17" width="9.42578125" style="166"/>
    <col min="18" max="18" width="9.42578125" style="1336"/>
    <col min="19" max="16384" width="9.42578125" style="166"/>
  </cols>
  <sheetData>
    <row r="1" spans="1:18" ht="15.75" x14ac:dyDescent="0.25">
      <c r="A1" s="166" t="str">
        <f t="shared" ref="A1:A45" si="0">AgyIdx</f>
        <v>01</v>
      </c>
      <c r="C1" s="2553" t="str">
        <f>+Index!$A$1</f>
        <v xml:space="preserve">                                                               Office of the State Controller                                                                </v>
      </c>
      <c r="D1" s="2553"/>
      <c r="E1" s="2553"/>
      <c r="F1" s="2553"/>
      <c r="G1" s="2553"/>
      <c r="H1" s="2553"/>
      <c r="I1" s="2553"/>
      <c r="J1" s="2553"/>
      <c r="K1" s="2553"/>
      <c r="L1" s="2553"/>
      <c r="M1" s="2553"/>
      <c r="N1" s="2553"/>
      <c r="O1" s="2553"/>
      <c r="P1" s="2626" t="str">
        <f>IF(Index!$B$96="na","NA","")</f>
        <v/>
      </c>
    </row>
    <row r="2" spans="1:18" ht="15.75" x14ac:dyDescent="0.25">
      <c r="A2" s="166" t="str">
        <f t="shared" si="0"/>
        <v>01</v>
      </c>
      <c r="C2" s="2532" t="str">
        <f>+Index!$A$2</f>
        <v>2024 ACFR Worksheets</v>
      </c>
      <c r="D2" s="2532"/>
      <c r="E2" s="2532"/>
      <c r="F2" s="2532"/>
      <c r="G2" s="2532"/>
      <c r="H2" s="2532"/>
      <c r="I2" s="2532"/>
      <c r="J2" s="2532"/>
      <c r="K2" s="2532"/>
      <c r="L2" s="2532"/>
      <c r="M2" s="2532"/>
      <c r="N2" s="2532"/>
      <c r="O2" s="2532"/>
      <c r="P2" s="2626"/>
    </row>
    <row r="3" spans="1:18" ht="15.75" x14ac:dyDescent="0.25">
      <c r="A3" s="166" t="str">
        <f t="shared" si="0"/>
        <v>01</v>
      </c>
      <c r="C3" s="2532" t="s">
        <v>2309</v>
      </c>
      <c r="D3" s="2532"/>
      <c r="E3" s="2532"/>
      <c r="F3" s="2532"/>
      <c r="G3" s="2532"/>
      <c r="H3" s="2532"/>
      <c r="I3" s="2532"/>
      <c r="J3" s="2532"/>
      <c r="K3" s="2532"/>
      <c r="L3" s="2532"/>
      <c r="M3" s="2532"/>
      <c r="N3" s="2532"/>
      <c r="O3" s="2532"/>
      <c r="P3" s="2626"/>
    </row>
    <row r="4" spans="1:18" ht="15.75" x14ac:dyDescent="0.25">
      <c r="A4" s="166" t="str">
        <f t="shared" si="0"/>
        <v>01</v>
      </c>
      <c r="C4" s="2532" t="s">
        <v>2549</v>
      </c>
      <c r="D4" s="2532"/>
      <c r="E4" s="2532"/>
      <c r="F4" s="2532"/>
      <c r="G4" s="2532"/>
      <c r="H4" s="2532"/>
      <c r="I4" s="2532"/>
      <c r="J4" s="2532"/>
      <c r="K4" s="2532"/>
      <c r="L4" s="2532"/>
      <c r="M4" s="2532"/>
      <c r="N4" s="2532"/>
      <c r="O4" s="2532"/>
      <c r="P4" s="2251"/>
    </row>
    <row r="5" spans="1:18" ht="15" customHeight="1" x14ac:dyDescent="0.2">
      <c r="A5" s="166" t="str">
        <f t="shared" si="0"/>
        <v>01</v>
      </c>
      <c r="K5" s="236"/>
    </row>
    <row r="6" spans="1:18" ht="15" customHeight="1" x14ac:dyDescent="0.2">
      <c r="A6" s="166" t="str">
        <f t="shared" si="0"/>
        <v>01</v>
      </c>
      <c r="C6" s="138" t="s">
        <v>318</v>
      </c>
      <c r="F6" s="2715" t="str">
        <f>+Index!$E$10</f>
        <v>01</v>
      </c>
      <c r="G6" s="2715"/>
      <c r="I6" s="5" t="s">
        <v>319</v>
      </c>
      <c r="K6" s="3033" t="str">
        <f>+Index!$E$11</f>
        <v>North Carolina General Assembly</v>
      </c>
      <c r="L6" s="3033"/>
      <c r="M6" s="3033"/>
      <c r="N6" s="3033"/>
      <c r="O6" s="3033"/>
    </row>
    <row r="7" spans="1:18" ht="15" customHeight="1" x14ac:dyDescent="0.2">
      <c r="A7" s="166" t="str">
        <f t="shared" si="0"/>
        <v>01</v>
      </c>
      <c r="I7" s="5" t="s">
        <v>320</v>
      </c>
      <c r="K7" s="2994" t="str">
        <f>CONCATENATE(Index!$E$12," ",Index!$E$14)</f>
        <v xml:space="preserve"> </v>
      </c>
      <c r="L7" s="2994"/>
      <c r="M7" s="2994"/>
      <c r="N7" s="2994"/>
      <c r="O7" s="2994"/>
    </row>
    <row r="8" spans="1:18" ht="15" customHeight="1" x14ac:dyDescent="0.2">
      <c r="A8" s="166" t="str">
        <f t="shared" si="0"/>
        <v>01</v>
      </c>
      <c r="C8" s="4" t="s">
        <v>545</v>
      </c>
      <c r="D8" s="138"/>
      <c r="F8" s="2715" t="s">
        <v>762</v>
      </c>
      <c r="G8" s="2715"/>
      <c r="H8" s="2300"/>
      <c r="I8" s="5" t="s">
        <v>168</v>
      </c>
      <c r="K8" s="2993">
        <f>+Index!$E$13</f>
        <v>0</v>
      </c>
      <c r="L8" s="2993"/>
      <c r="M8" s="2993"/>
      <c r="N8" s="2993"/>
      <c r="O8" s="2993"/>
    </row>
    <row r="9" spans="1:18" ht="15" customHeight="1" thickBot="1" x14ac:dyDescent="0.25">
      <c r="A9" s="166" t="str">
        <f t="shared" si="0"/>
        <v>01</v>
      </c>
      <c r="C9" s="167"/>
      <c r="D9" s="167"/>
      <c r="E9" s="167"/>
      <c r="F9" s="168"/>
      <c r="G9" s="168"/>
      <c r="H9" s="168"/>
      <c r="I9" s="168"/>
      <c r="J9" s="168"/>
      <c r="K9" s="168"/>
      <c r="L9" s="168"/>
      <c r="M9" s="169"/>
      <c r="N9" s="168"/>
      <c r="O9" s="168"/>
    </row>
    <row r="10" spans="1:18" ht="15" customHeight="1" x14ac:dyDescent="0.2">
      <c r="A10" s="166" t="str">
        <f t="shared" si="0"/>
        <v>01</v>
      </c>
      <c r="C10" s="179"/>
      <c r="D10" s="179"/>
      <c r="E10" s="179"/>
      <c r="M10" s="5"/>
    </row>
    <row r="11" spans="1:18" ht="15" customHeight="1" x14ac:dyDescent="0.2">
      <c r="A11" s="166" t="str">
        <f t="shared" si="0"/>
        <v>01</v>
      </c>
      <c r="C11" s="847" t="s">
        <v>2550</v>
      </c>
      <c r="D11" s="179"/>
      <c r="E11" s="179"/>
      <c r="M11" s="5"/>
    </row>
    <row r="12" spans="1:18" ht="15" customHeight="1" x14ac:dyDescent="0.2">
      <c r="A12" s="166" t="str">
        <f t="shared" si="0"/>
        <v>01</v>
      </c>
      <c r="C12" s="3046" t="s">
        <v>2551</v>
      </c>
      <c r="D12" s="3046"/>
      <c r="E12" s="3046"/>
      <c r="F12" s="3046"/>
      <c r="G12" s="3046"/>
      <c r="H12" s="3046"/>
      <c r="I12" s="3046"/>
      <c r="J12" s="3046"/>
      <c r="K12" s="3046"/>
      <c r="L12" s="3046"/>
      <c r="M12" s="3046"/>
      <c r="N12" s="3046"/>
      <c r="O12" s="3046"/>
    </row>
    <row r="13" spans="1:18" ht="15" customHeight="1" x14ac:dyDescent="0.2">
      <c r="A13" s="166" t="str">
        <f t="shared" si="0"/>
        <v>01</v>
      </c>
      <c r="C13" s="3046"/>
      <c r="D13" s="3046"/>
      <c r="E13" s="3046"/>
      <c r="F13" s="3046"/>
      <c r="G13" s="3046"/>
      <c r="H13" s="3046"/>
      <c r="I13" s="3046"/>
      <c r="J13" s="3046"/>
      <c r="K13" s="3046"/>
      <c r="L13" s="3046"/>
      <c r="M13" s="3046"/>
      <c r="N13" s="3046"/>
      <c r="O13" s="3046"/>
    </row>
    <row r="14" spans="1:18" x14ac:dyDescent="0.2">
      <c r="A14" s="166" t="str">
        <f t="shared" si="0"/>
        <v>01</v>
      </c>
      <c r="D14" s="170"/>
      <c r="E14" s="170"/>
      <c r="F14" s="170"/>
      <c r="G14" s="170"/>
      <c r="H14" s="170"/>
      <c r="I14" s="170"/>
      <c r="J14" s="170"/>
      <c r="K14" s="3039" t="s">
        <v>2552</v>
      </c>
      <c r="L14" s="3039"/>
      <c r="M14" s="3039"/>
      <c r="N14" s="171"/>
      <c r="O14" s="171" t="s">
        <v>2311</v>
      </c>
    </row>
    <row r="15" spans="1:18" ht="12.75" customHeight="1" x14ac:dyDescent="0.2">
      <c r="A15" s="166" t="str">
        <f t="shared" si="0"/>
        <v>01</v>
      </c>
      <c r="C15" s="3039" t="s">
        <v>2445</v>
      </c>
      <c r="D15" s="3039"/>
      <c r="E15" s="3039"/>
      <c r="F15" s="3039"/>
      <c r="G15" s="3039"/>
      <c r="H15" s="3039"/>
      <c r="I15" s="3039"/>
      <c r="J15" s="170"/>
      <c r="K15" s="3039" t="s">
        <v>2553</v>
      </c>
      <c r="L15" s="3039"/>
      <c r="M15" s="3039"/>
      <c r="N15" s="171"/>
      <c r="O15" s="171" t="s">
        <v>2554</v>
      </c>
    </row>
    <row r="16" spans="1:18" ht="22.5" customHeight="1" x14ac:dyDescent="0.2">
      <c r="A16" s="166" t="str">
        <f t="shared" si="0"/>
        <v>01</v>
      </c>
      <c r="C16" s="3048" t="s">
        <v>570</v>
      </c>
      <c r="D16" s="3048"/>
      <c r="E16" s="3048"/>
      <c r="F16" s="3048"/>
      <c r="G16" s="3048"/>
      <c r="H16" s="3048"/>
      <c r="I16" s="3048"/>
      <c r="J16" s="852"/>
      <c r="K16" s="3048" t="s">
        <v>571</v>
      </c>
      <c r="L16" s="3048"/>
      <c r="M16" s="3048"/>
      <c r="N16" s="852"/>
      <c r="O16" s="2425" t="s">
        <v>572</v>
      </c>
      <c r="P16" s="170"/>
      <c r="R16" s="1337"/>
    </row>
    <row r="17" spans="1:16" ht="14.85" customHeight="1" x14ac:dyDescent="0.2">
      <c r="A17" s="166" t="str">
        <f t="shared" si="0"/>
        <v>01</v>
      </c>
      <c r="B17" s="166">
        <v>100</v>
      </c>
      <c r="C17" s="3047" t="s">
        <v>2555</v>
      </c>
      <c r="D17" s="3047"/>
      <c r="E17" s="3047"/>
      <c r="F17" s="3047"/>
      <c r="G17" s="3047"/>
      <c r="H17" s="3047"/>
      <c r="I17" s="3047"/>
      <c r="J17" s="170"/>
      <c r="K17" s="3047" t="s">
        <v>2556</v>
      </c>
      <c r="L17" s="3047"/>
      <c r="M17" s="3047"/>
      <c r="N17" s="170"/>
      <c r="O17" s="324"/>
      <c r="P17" s="170"/>
    </row>
    <row r="18" spans="1:16" ht="14.85" customHeight="1" x14ac:dyDescent="0.2">
      <c r="A18" s="166" t="str">
        <f t="shared" si="0"/>
        <v>01</v>
      </c>
      <c r="B18" s="166">
        <v>120</v>
      </c>
      <c r="C18" s="3047" t="s">
        <v>2555</v>
      </c>
      <c r="D18" s="3047"/>
      <c r="E18" s="3047"/>
      <c r="F18" s="3047"/>
      <c r="G18" s="3047"/>
      <c r="H18" s="3047"/>
      <c r="I18" s="3047"/>
      <c r="J18" s="170"/>
      <c r="K18" s="3047" t="s">
        <v>2556</v>
      </c>
      <c r="L18" s="3047"/>
      <c r="M18" s="3047"/>
      <c r="N18" s="170"/>
      <c r="O18" s="324"/>
      <c r="P18" s="170"/>
    </row>
    <row r="19" spans="1:16" ht="14.85" customHeight="1" x14ac:dyDescent="0.2">
      <c r="A19" s="166" t="str">
        <f t="shared" si="0"/>
        <v>01</v>
      </c>
      <c r="B19" s="166">
        <v>140</v>
      </c>
      <c r="C19" s="3047" t="s">
        <v>2555</v>
      </c>
      <c r="D19" s="3047"/>
      <c r="E19" s="3047"/>
      <c r="F19" s="3047"/>
      <c r="G19" s="3047"/>
      <c r="H19" s="3047"/>
      <c r="I19" s="3047"/>
      <c r="J19" s="170"/>
      <c r="K19" s="3047" t="s">
        <v>2556</v>
      </c>
      <c r="L19" s="3047"/>
      <c r="M19" s="3047"/>
      <c r="N19" s="170"/>
      <c r="O19" s="324"/>
      <c r="P19" s="170"/>
    </row>
    <row r="20" spans="1:16" ht="14.85" customHeight="1" x14ac:dyDescent="0.2">
      <c r="A20" s="166" t="str">
        <f t="shared" si="0"/>
        <v>01</v>
      </c>
      <c r="B20" s="166">
        <v>160</v>
      </c>
      <c r="C20" s="3047" t="s">
        <v>2555</v>
      </c>
      <c r="D20" s="3047"/>
      <c r="E20" s="3047"/>
      <c r="F20" s="3047"/>
      <c r="G20" s="3047"/>
      <c r="H20" s="3047"/>
      <c r="I20" s="3047"/>
      <c r="J20" s="170"/>
      <c r="K20" s="3047" t="s">
        <v>2556</v>
      </c>
      <c r="L20" s="3047"/>
      <c r="M20" s="3047"/>
      <c r="N20" s="170"/>
      <c r="O20" s="324"/>
      <c r="P20" s="170"/>
    </row>
    <row r="21" spans="1:16" ht="14.85" customHeight="1" x14ac:dyDescent="0.2">
      <c r="A21" s="166" t="str">
        <f t="shared" si="0"/>
        <v>01</v>
      </c>
      <c r="B21" s="166">
        <v>180</v>
      </c>
      <c r="C21" s="3047" t="s">
        <v>2555</v>
      </c>
      <c r="D21" s="3047"/>
      <c r="E21" s="3047"/>
      <c r="F21" s="3047"/>
      <c r="G21" s="3047"/>
      <c r="H21" s="3047"/>
      <c r="I21" s="3047"/>
      <c r="J21" s="170"/>
      <c r="K21" s="3047" t="s">
        <v>2556</v>
      </c>
      <c r="L21" s="3047"/>
      <c r="M21" s="3047"/>
      <c r="N21" s="170"/>
      <c r="O21" s="324"/>
      <c r="P21" s="170"/>
    </row>
    <row r="22" spans="1:16" ht="14.85" customHeight="1" x14ac:dyDescent="0.2">
      <c r="A22" s="166" t="str">
        <f t="shared" si="0"/>
        <v>01</v>
      </c>
      <c r="B22" s="166">
        <v>200</v>
      </c>
      <c r="C22" s="3047" t="s">
        <v>2555</v>
      </c>
      <c r="D22" s="3047"/>
      <c r="E22" s="3047"/>
      <c r="F22" s="3047"/>
      <c r="G22" s="3047"/>
      <c r="H22" s="3047"/>
      <c r="I22" s="3047"/>
      <c r="J22" s="170"/>
      <c r="K22" s="3047" t="s">
        <v>2556</v>
      </c>
      <c r="L22" s="3047"/>
      <c r="M22" s="3047"/>
      <c r="N22" s="170"/>
      <c r="O22" s="324"/>
      <c r="P22" s="170"/>
    </row>
    <row r="23" spans="1:16" ht="14.85" customHeight="1" x14ac:dyDescent="0.2">
      <c r="A23" s="166" t="str">
        <f t="shared" si="0"/>
        <v>01</v>
      </c>
      <c r="B23" s="166">
        <v>220</v>
      </c>
      <c r="C23" s="3047" t="s">
        <v>2555</v>
      </c>
      <c r="D23" s="3047"/>
      <c r="E23" s="3047"/>
      <c r="F23" s="3047"/>
      <c r="G23" s="3047"/>
      <c r="H23" s="3047"/>
      <c r="I23" s="3047"/>
      <c r="J23" s="170"/>
      <c r="K23" s="3047" t="s">
        <v>2556</v>
      </c>
      <c r="L23" s="3047"/>
      <c r="M23" s="3047"/>
      <c r="N23" s="170"/>
      <c r="O23" s="324"/>
      <c r="P23" s="170"/>
    </row>
    <row r="24" spans="1:16" ht="14.85" customHeight="1" x14ac:dyDescent="0.2">
      <c r="A24" s="166" t="str">
        <f t="shared" si="0"/>
        <v>01</v>
      </c>
      <c r="B24" s="166">
        <v>240</v>
      </c>
      <c r="C24" s="3047" t="s">
        <v>2555</v>
      </c>
      <c r="D24" s="3047"/>
      <c r="E24" s="3047"/>
      <c r="F24" s="3047"/>
      <c r="G24" s="3047"/>
      <c r="H24" s="3047"/>
      <c r="I24" s="3047"/>
      <c r="J24" s="170"/>
      <c r="K24" s="3047" t="s">
        <v>2556</v>
      </c>
      <c r="L24" s="3047"/>
      <c r="M24" s="3047"/>
      <c r="N24" s="170"/>
      <c r="O24" s="324"/>
      <c r="P24" s="170"/>
    </row>
    <row r="25" spans="1:16" ht="14.85" customHeight="1" x14ac:dyDescent="0.2">
      <c r="A25" s="166" t="str">
        <f t="shared" si="0"/>
        <v>01</v>
      </c>
      <c r="B25" s="166">
        <v>260</v>
      </c>
      <c r="C25" s="3047" t="s">
        <v>2555</v>
      </c>
      <c r="D25" s="3047"/>
      <c r="E25" s="3047"/>
      <c r="F25" s="3047"/>
      <c r="G25" s="3047"/>
      <c r="H25" s="3047"/>
      <c r="I25" s="3047"/>
      <c r="J25" s="170"/>
      <c r="K25" s="3047" t="s">
        <v>2556</v>
      </c>
      <c r="L25" s="3047"/>
      <c r="M25" s="3047"/>
      <c r="N25" s="170"/>
      <c r="O25" s="324"/>
      <c r="P25" s="170"/>
    </row>
    <row r="26" spans="1:16" ht="14.85" customHeight="1" x14ac:dyDescent="0.2">
      <c r="A26" s="166" t="str">
        <f t="shared" si="0"/>
        <v>01</v>
      </c>
      <c r="B26" s="166">
        <v>280</v>
      </c>
      <c r="C26" s="3047" t="s">
        <v>2555</v>
      </c>
      <c r="D26" s="3047"/>
      <c r="E26" s="3047"/>
      <c r="F26" s="3047"/>
      <c r="G26" s="3047"/>
      <c r="H26" s="3047"/>
      <c r="I26" s="3047"/>
      <c r="J26" s="170"/>
      <c r="K26" s="3047" t="s">
        <v>2556</v>
      </c>
      <c r="L26" s="3047"/>
      <c r="M26" s="3047"/>
      <c r="N26" s="170"/>
      <c r="O26" s="324"/>
      <c r="P26" s="170"/>
    </row>
    <row r="27" spans="1:16" ht="14.85" customHeight="1" x14ac:dyDescent="0.2">
      <c r="A27" s="166" t="str">
        <f t="shared" si="0"/>
        <v>01</v>
      </c>
      <c r="B27" s="166">
        <v>300</v>
      </c>
      <c r="C27" s="3047" t="s">
        <v>2555</v>
      </c>
      <c r="D27" s="3047"/>
      <c r="E27" s="3047"/>
      <c r="F27" s="3047"/>
      <c r="G27" s="3047"/>
      <c r="H27" s="3047"/>
      <c r="I27" s="3047"/>
      <c r="J27" s="170"/>
      <c r="K27" s="3047" t="s">
        <v>2556</v>
      </c>
      <c r="L27" s="3047"/>
      <c r="M27" s="3047"/>
      <c r="N27" s="170"/>
      <c r="O27" s="324"/>
      <c r="P27" s="170"/>
    </row>
    <row r="28" spans="1:16" ht="14.85" customHeight="1" x14ac:dyDescent="0.2">
      <c r="A28" s="166" t="str">
        <f t="shared" si="0"/>
        <v>01</v>
      </c>
      <c r="B28" s="166">
        <v>320</v>
      </c>
      <c r="C28" s="3047" t="s">
        <v>2555</v>
      </c>
      <c r="D28" s="3047"/>
      <c r="E28" s="3047"/>
      <c r="F28" s="3047"/>
      <c r="G28" s="3047"/>
      <c r="H28" s="3047"/>
      <c r="I28" s="3047"/>
      <c r="J28" s="170"/>
      <c r="K28" s="3047" t="s">
        <v>2556</v>
      </c>
      <c r="L28" s="3047"/>
      <c r="M28" s="3047"/>
      <c r="N28" s="170"/>
      <c r="O28" s="324"/>
      <c r="P28" s="170"/>
    </row>
    <row r="29" spans="1:16" ht="14.85" customHeight="1" x14ac:dyDescent="0.2">
      <c r="A29" s="166" t="str">
        <f t="shared" si="0"/>
        <v>01</v>
      </c>
      <c r="C29" s="3047" t="s">
        <v>2555</v>
      </c>
      <c r="D29" s="3047"/>
      <c r="E29" s="3047"/>
      <c r="F29" s="3047"/>
      <c r="G29" s="3047"/>
      <c r="H29" s="3047"/>
      <c r="I29" s="3047"/>
      <c r="J29" s="170"/>
      <c r="K29" s="3047" t="s">
        <v>2556</v>
      </c>
      <c r="L29" s="3047"/>
      <c r="M29" s="3047"/>
      <c r="N29" s="170"/>
      <c r="O29" s="324"/>
      <c r="P29" s="170"/>
    </row>
    <row r="30" spans="1:16" ht="14.85" customHeight="1" x14ac:dyDescent="0.2">
      <c r="A30" s="166" t="str">
        <f t="shared" si="0"/>
        <v>01</v>
      </c>
      <c r="C30" s="3047" t="s">
        <v>2555</v>
      </c>
      <c r="D30" s="3047"/>
      <c r="E30" s="3047"/>
      <c r="F30" s="3047"/>
      <c r="G30" s="3047"/>
      <c r="H30" s="3047"/>
      <c r="I30" s="3047"/>
      <c r="J30" s="170"/>
      <c r="K30" s="3047" t="s">
        <v>2556</v>
      </c>
      <c r="L30" s="3047"/>
      <c r="M30" s="3047"/>
      <c r="N30" s="170"/>
      <c r="O30" s="324"/>
      <c r="P30" s="170"/>
    </row>
    <row r="31" spans="1:16" ht="14.85" customHeight="1" x14ac:dyDescent="0.2">
      <c r="A31" s="166" t="str">
        <f t="shared" si="0"/>
        <v>01</v>
      </c>
      <c r="C31" s="3047" t="s">
        <v>2555</v>
      </c>
      <c r="D31" s="3047"/>
      <c r="E31" s="3047"/>
      <c r="F31" s="3047"/>
      <c r="G31" s="3047"/>
      <c r="H31" s="3047"/>
      <c r="I31" s="3047"/>
      <c r="J31" s="170"/>
      <c r="K31" s="3047" t="s">
        <v>2556</v>
      </c>
      <c r="L31" s="3047"/>
      <c r="M31" s="3047"/>
      <c r="N31" s="170"/>
      <c r="O31" s="324"/>
      <c r="P31" s="170"/>
    </row>
    <row r="32" spans="1:16" ht="14.85" customHeight="1" x14ac:dyDescent="0.2">
      <c r="A32" s="166" t="str">
        <f t="shared" si="0"/>
        <v>01</v>
      </c>
      <c r="C32" s="3047" t="s">
        <v>2555</v>
      </c>
      <c r="D32" s="3047"/>
      <c r="E32" s="3047"/>
      <c r="F32" s="3047"/>
      <c r="G32" s="3047"/>
      <c r="H32" s="3047"/>
      <c r="I32" s="3047"/>
      <c r="J32" s="170"/>
      <c r="K32" s="3047" t="s">
        <v>2556</v>
      </c>
      <c r="L32" s="3047"/>
      <c r="M32" s="3047"/>
      <c r="N32" s="170"/>
      <c r="O32" s="324"/>
      <c r="P32" s="170"/>
    </row>
    <row r="33" spans="1:16" ht="14.85" customHeight="1" x14ac:dyDescent="0.2">
      <c r="A33" s="166" t="str">
        <f t="shared" si="0"/>
        <v>01</v>
      </c>
      <c r="C33" s="3047" t="s">
        <v>2555</v>
      </c>
      <c r="D33" s="3047"/>
      <c r="E33" s="3047"/>
      <c r="F33" s="3047"/>
      <c r="G33" s="3047"/>
      <c r="H33" s="3047"/>
      <c r="I33" s="3047"/>
      <c r="J33" s="170"/>
      <c r="K33" s="3047" t="s">
        <v>2556</v>
      </c>
      <c r="L33" s="3047"/>
      <c r="M33" s="3047"/>
      <c r="N33" s="170"/>
      <c r="O33" s="324"/>
      <c r="P33" s="170"/>
    </row>
    <row r="34" spans="1:16" ht="14.85" customHeight="1" x14ac:dyDescent="0.2">
      <c r="A34" s="166" t="str">
        <f t="shared" si="0"/>
        <v>01</v>
      </c>
      <c r="C34" s="3047" t="s">
        <v>2555</v>
      </c>
      <c r="D34" s="3047"/>
      <c r="E34" s="3047"/>
      <c r="F34" s="3047"/>
      <c r="G34" s="3047"/>
      <c r="H34" s="3047"/>
      <c r="I34" s="3047"/>
      <c r="J34" s="170"/>
      <c r="K34" s="3047" t="s">
        <v>2556</v>
      </c>
      <c r="L34" s="3047"/>
      <c r="M34" s="3047"/>
      <c r="N34" s="170"/>
      <c r="O34" s="324"/>
      <c r="P34" s="170"/>
    </row>
    <row r="35" spans="1:16" ht="14.85" customHeight="1" x14ac:dyDescent="0.2">
      <c r="A35" s="166" t="str">
        <f t="shared" si="0"/>
        <v>01</v>
      </c>
      <c r="C35" s="3047" t="s">
        <v>2555</v>
      </c>
      <c r="D35" s="3047"/>
      <c r="E35" s="3047"/>
      <c r="F35" s="3047"/>
      <c r="G35" s="3047"/>
      <c r="H35" s="3047"/>
      <c r="I35" s="3047"/>
      <c r="J35" s="170"/>
      <c r="K35" s="3047" t="s">
        <v>2556</v>
      </c>
      <c r="L35" s="3047"/>
      <c r="M35" s="3047"/>
      <c r="N35" s="170"/>
      <c r="O35" s="324"/>
      <c r="P35" s="170"/>
    </row>
    <row r="36" spans="1:16" ht="14.85" customHeight="1" x14ac:dyDescent="0.2">
      <c r="A36" s="166" t="str">
        <f t="shared" si="0"/>
        <v>01</v>
      </c>
      <c r="C36" s="3047" t="s">
        <v>2555</v>
      </c>
      <c r="D36" s="3047"/>
      <c r="E36" s="3047"/>
      <c r="F36" s="3047"/>
      <c r="G36" s="3047"/>
      <c r="H36" s="3047"/>
      <c r="I36" s="3047"/>
      <c r="J36" s="170"/>
      <c r="K36" s="3047" t="s">
        <v>2556</v>
      </c>
      <c r="L36" s="3047"/>
      <c r="M36" s="3047"/>
      <c r="N36" s="170"/>
      <c r="O36" s="324"/>
      <c r="P36" s="170"/>
    </row>
    <row r="37" spans="1:16" ht="14.85" customHeight="1" x14ac:dyDescent="0.2">
      <c r="A37" s="166" t="str">
        <f t="shared" si="0"/>
        <v>01</v>
      </c>
      <c r="B37" s="166">
        <v>340</v>
      </c>
      <c r="C37" s="3047" t="s">
        <v>2555</v>
      </c>
      <c r="D37" s="3047"/>
      <c r="E37" s="3047"/>
      <c r="F37" s="3047"/>
      <c r="G37" s="3047"/>
      <c r="H37" s="3047"/>
      <c r="I37" s="3047"/>
      <c r="J37" s="170"/>
      <c r="K37" s="3047" t="s">
        <v>2556</v>
      </c>
      <c r="L37" s="3047"/>
      <c r="M37" s="3047"/>
      <c r="N37" s="170"/>
      <c r="O37" s="324"/>
      <c r="P37" s="170"/>
    </row>
    <row r="38" spans="1:16" ht="14.85" customHeight="1" x14ac:dyDescent="0.2">
      <c r="A38" s="166" t="str">
        <f t="shared" si="0"/>
        <v>01</v>
      </c>
      <c r="B38" s="166">
        <v>360</v>
      </c>
      <c r="C38" s="3047" t="s">
        <v>2555</v>
      </c>
      <c r="D38" s="3047"/>
      <c r="E38" s="3047"/>
      <c r="F38" s="3047"/>
      <c r="G38" s="3047"/>
      <c r="H38" s="3047"/>
      <c r="I38" s="3047"/>
      <c r="J38" s="170"/>
      <c r="K38" s="3047" t="s">
        <v>2556</v>
      </c>
      <c r="L38" s="3047"/>
      <c r="M38" s="3047"/>
      <c r="N38" s="170"/>
      <c r="O38" s="324">
        <v>0</v>
      </c>
      <c r="P38" s="170"/>
    </row>
    <row r="39" spans="1:16" ht="14.85" customHeight="1" x14ac:dyDescent="0.2">
      <c r="A39" s="166" t="str">
        <f t="shared" si="0"/>
        <v>01</v>
      </c>
      <c r="C39" s="3047" t="s">
        <v>2555</v>
      </c>
      <c r="D39" s="3047"/>
      <c r="E39" s="3047"/>
      <c r="F39" s="3047"/>
      <c r="G39" s="3047"/>
      <c r="H39" s="3047"/>
      <c r="I39" s="3047"/>
      <c r="J39" s="170"/>
      <c r="K39" s="3047" t="s">
        <v>2556</v>
      </c>
      <c r="L39" s="3047"/>
      <c r="M39" s="3047"/>
      <c r="N39" s="170"/>
      <c r="O39" s="324"/>
      <c r="P39" s="170"/>
    </row>
    <row r="40" spans="1:16" ht="14.85" customHeight="1" x14ac:dyDescent="0.2">
      <c r="A40" s="166" t="str">
        <f t="shared" si="0"/>
        <v>01</v>
      </c>
      <c r="B40" s="166">
        <v>380</v>
      </c>
      <c r="C40" s="3047" t="s">
        <v>2555</v>
      </c>
      <c r="D40" s="3047"/>
      <c r="E40" s="3047"/>
      <c r="F40" s="3047"/>
      <c r="G40" s="3047"/>
      <c r="H40" s="3047"/>
      <c r="I40" s="3047"/>
      <c r="J40" s="170"/>
      <c r="K40" s="3047" t="s">
        <v>2556</v>
      </c>
      <c r="L40" s="3047"/>
      <c r="M40" s="3047"/>
      <c r="N40" s="170"/>
      <c r="O40" s="324"/>
      <c r="P40" s="170"/>
    </row>
    <row r="41" spans="1:16" ht="14.85" customHeight="1" x14ac:dyDescent="0.2">
      <c r="A41" s="166" t="str">
        <f t="shared" si="0"/>
        <v>01</v>
      </c>
      <c r="B41" s="166">
        <v>380</v>
      </c>
      <c r="C41" s="3047" t="s">
        <v>2555</v>
      </c>
      <c r="D41" s="3047"/>
      <c r="E41" s="3047"/>
      <c r="F41" s="3047"/>
      <c r="G41" s="3047"/>
      <c r="H41" s="3047"/>
      <c r="I41" s="3047"/>
      <c r="J41" s="170"/>
      <c r="K41" s="3047" t="s">
        <v>2556</v>
      </c>
      <c r="L41" s="3047"/>
      <c r="M41" s="3047"/>
      <c r="N41" s="170"/>
      <c r="O41" s="324"/>
      <c r="P41" s="170"/>
    </row>
    <row r="42" spans="1:16" ht="14.85" customHeight="1" x14ac:dyDescent="0.2">
      <c r="A42" s="166" t="str">
        <f t="shared" si="0"/>
        <v>01</v>
      </c>
      <c r="B42" s="166">
        <v>380</v>
      </c>
      <c r="C42" s="3047" t="s">
        <v>2555</v>
      </c>
      <c r="D42" s="3047"/>
      <c r="E42" s="3047"/>
      <c r="F42" s="3047"/>
      <c r="G42" s="3047"/>
      <c r="H42" s="3047"/>
      <c r="I42" s="3047"/>
      <c r="J42" s="170"/>
      <c r="K42" s="3047" t="s">
        <v>2556</v>
      </c>
      <c r="L42" s="3047"/>
      <c r="M42" s="3047"/>
      <c r="N42" s="170"/>
      <c r="O42" s="324"/>
      <c r="P42" s="170"/>
    </row>
    <row r="43" spans="1:16" ht="14.85" customHeight="1" x14ac:dyDescent="0.2">
      <c r="A43" s="166" t="str">
        <f t="shared" si="0"/>
        <v>01</v>
      </c>
      <c r="B43" s="166">
        <v>380</v>
      </c>
      <c r="C43" s="3047" t="s">
        <v>2555</v>
      </c>
      <c r="D43" s="3047"/>
      <c r="E43" s="3047"/>
      <c r="F43" s="3047"/>
      <c r="G43" s="3047"/>
      <c r="H43" s="3047"/>
      <c r="I43" s="3047"/>
      <c r="J43" s="170"/>
      <c r="K43" s="3047" t="s">
        <v>2556</v>
      </c>
      <c r="L43" s="3047"/>
      <c r="M43" s="3047"/>
      <c r="N43" s="170"/>
      <c r="O43" s="324"/>
      <c r="P43" s="170"/>
    </row>
    <row r="44" spans="1:16" ht="18.75" customHeight="1" thickBot="1" x14ac:dyDescent="0.25">
      <c r="A44" s="166" t="str">
        <f t="shared" si="0"/>
        <v>01</v>
      </c>
      <c r="B44" s="166">
        <v>400</v>
      </c>
      <c r="C44" s="172"/>
      <c r="D44" s="170"/>
      <c r="E44" s="170"/>
      <c r="F44" s="170"/>
      <c r="G44" s="170"/>
      <c r="H44" s="170"/>
      <c r="I44" s="170"/>
      <c r="J44" s="170"/>
      <c r="K44" s="170"/>
      <c r="L44" s="170"/>
      <c r="M44" s="2421" t="s">
        <v>962</v>
      </c>
      <c r="N44" s="170"/>
      <c r="O44" s="164">
        <f>SUM(O17:O43)</f>
        <v>0</v>
      </c>
      <c r="P44" s="170"/>
    </row>
    <row r="45" spans="1:16" ht="8.1" customHeight="1" thickTop="1" x14ac:dyDescent="0.2">
      <c r="A45" s="166" t="str">
        <f t="shared" si="0"/>
        <v>01</v>
      </c>
      <c r="C45" s="172"/>
      <c r="D45" s="170"/>
      <c r="E45" s="170"/>
      <c r="F45" s="170"/>
      <c r="G45" s="170"/>
      <c r="H45" s="170"/>
      <c r="I45" s="170"/>
      <c r="J45" s="170"/>
      <c r="K45" s="170"/>
      <c r="L45" s="170"/>
      <c r="M45" s="170"/>
      <c r="N45" s="170"/>
      <c r="O45" s="170"/>
      <c r="P45" s="170"/>
    </row>
    <row r="46" spans="1:16" ht="12.75" x14ac:dyDescent="0.2">
      <c r="A46" s="166" t="str">
        <f t="shared" ref="A46:A73" si="1">AgyIdx</f>
        <v>01</v>
      </c>
      <c r="C46" s="847" t="s">
        <v>2557</v>
      </c>
      <c r="D46" s="170"/>
      <c r="E46" s="170"/>
      <c r="F46" s="170"/>
      <c r="G46" s="170"/>
      <c r="H46" s="170"/>
      <c r="I46" s="170"/>
      <c r="J46" s="170"/>
      <c r="K46" s="170"/>
      <c r="L46" s="170"/>
      <c r="M46" s="170"/>
      <c r="N46" s="170"/>
      <c r="O46" s="170"/>
      <c r="P46" s="170"/>
    </row>
    <row r="47" spans="1:16" x14ac:dyDescent="0.2">
      <c r="A47" s="166" t="str">
        <f t="shared" si="1"/>
        <v>01</v>
      </c>
      <c r="C47" s="326" t="s">
        <v>2558</v>
      </c>
      <c r="D47" s="170"/>
      <c r="E47" s="170"/>
      <c r="F47" s="170"/>
      <c r="G47" s="170"/>
      <c r="H47" s="170"/>
      <c r="I47" s="170"/>
      <c r="J47" s="170"/>
      <c r="K47" s="170"/>
      <c r="L47" s="170"/>
      <c r="M47" s="170"/>
      <c r="N47" s="170"/>
      <c r="O47" s="170"/>
      <c r="P47" s="170"/>
    </row>
    <row r="48" spans="1:16" x14ac:dyDescent="0.2">
      <c r="A48" s="166" t="str">
        <f t="shared" si="1"/>
        <v>01</v>
      </c>
      <c r="C48" s="166" t="s">
        <v>2559</v>
      </c>
      <c r="D48" s="170"/>
      <c r="E48" s="170"/>
      <c r="F48" s="170"/>
      <c r="G48" s="170"/>
      <c r="H48" s="170"/>
      <c r="I48" s="170"/>
      <c r="J48" s="170"/>
      <c r="K48" s="170"/>
      <c r="L48" s="170"/>
      <c r="M48" s="170"/>
      <c r="N48" s="170"/>
      <c r="O48" s="170"/>
      <c r="P48" s="170"/>
    </row>
    <row r="49" spans="1:16" x14ac:dyDescent="0.2">
      <c r="A49" s="166" t="str">
        <f t="shared" si="1"/>
        <v>01</v>
      </c>
      <c r="C49" s="180"/>
      <c r="D49" s="170"/>
      <c r="E49" s="170"/>
      <c r="F49" s="170"/>
      <c r="G49" s="170"/>
      <c r="H49" s="170"/>
      <c r="I49" s="170"/>
      <c r="J49" s="170"/>
      <c r="K49" s="170"/>
      <c r="L49" s="170"/>
      <c r="M49" s="170"/>
      <c r="N49" s="170"/>
      <c r="O49" s="170"/>
      <c r="P49" s="170"/>
    </row>
    <row r="50" spans="1:16" x14ac:dyDescent="0.2">
      <c r="A50" s="166" t="str">
        <f t="shared" si="1"/>
        <v>01</v>
      </c>
      <c r="C50" s="326" t="s">
        <v>2560</v>
      </c>
      <c r="D50" s="170"/>
      <c r="E50" s="170"/>
      <c r="F50" s="170"/>
      <c r="G50" s="170"/>
      <c r="H50" s="170"/>
      <c r="I50" s="170"/>
      <c r="J50" s="170"/>
      <c r="K50" s="170"/>
      <c r="L50" s="170"/>
      <c r="M50" s="170"/>
      <c r="N50" s="170"/>
      <c r="O50" s="170"/>
      <c r="P50" s="170"/>
    </row>
    <row r="51" spans="1:16" x14ac:dyDescent="0.2">
      <c r="A51" s="166" t="str">
        <f t="shared" si="1"/>
        <v>01</v>
      </c>
      <c r="C51" s="180"/>
      <c r="D51" s="166" t="s">
        <v>2561</v>
      </c>
      <c r="E51" s="170"/>
      <c r="F51" s="170"/>
      <c r="G51" s="170"/>
      <c r="H51" s="170"/>
      <c r="I51" s="170"/>
      <c r="J51" s="170"/>
      <c r="K51" s="170"/>
      <c r="L51" s="170"/>
      <c r="M51" s="170"/>
      <c r="N51" s="170"/>
      <c r="O51" s="170"/>
      <c r="P51" s="170"/>
    </row>
    <row r="52" spans="1:16" x14ac:dyDescent="0.2">
      <c r="C52" s="180"/>
      <c r="E52" s="170"/>
      <c r="F52" s="170"/>
      <c r="G52" s="170"/>
      <c r="H52" s="170"/>
      <c r="I52" s="170"/>
      <c r="J52" s="170"/>
      <c r="K52" s="170"/>
      <c r="L52" s="170"/>
      <c r="M52" s="170"/>
      <c r="N52" s="170"/>
      <c r="O52" s="170"/>
      <c r="P52" s="170"/>
    </row>
    <row r="53" spans="1:16" ht="12.75" x14ac:dyDescent="0.2">
      <c r="A53" s="166" t="str">
        <f t="shared" si="1"/>
        <v>01</v>
      </c>
      <c r="F53" s="184" t="s">
        <v>2562</v>
      </c>
      <c r="G53" s="863"/>
      <c r="J53" s="184"/>
      <c r="K53" s="864"/>
      <c r="L53" s="170"/>
      <c r="M53" s="2330" t="str">
        <f>IF(O44&gt;0,IF(ISBLANK(G53),"Response Required"," ")," ")</f>
        <v xml:space="preserve"> </v>
      </c>
      <c r="N53" s="170"/>
      <c r="O53" s="2265"/>
      <c r="P53"/>
    </row>
    <row r="54" spans="1:16" ht="12.75" x14ac:dyDescent="0.2">
      <c r="F54" s="865" t="s">
        <v>2563</v>
      </c>
      <c r="J54" s="184"/>
      <c r="K54" s="864"/>
      <c r="L54" s="170"/>
      <c r="M54" s="2330"/>
      <c r="N54" s="170"/>
      <c r="O54" s="2265"/>
      <c r="P54"/>
    </row>
    <row r="55" spans="1:16" ht="11.1" customHeight="1" x14ac:dyDescent="0.2">
      <c r="A55" s="166" t="str">
        <f t="shared" si="1"/>
        <v>01</v>
      </c>
      <c r="C55" s="172"/>
      <c r="D55" s="170"/>
      <c r="E55" s="170"/>
      <c r="F55" s="170"/>
      <c r="G55" s="170"/>
      <c r="H55" s="170"/>
      <c r="I55" s="170"/>
      <c r="J55" s="170"/>
      <c r="K55" s="170"/>
      <c r="L55" s="170"/>
      <c r="M55" s="170"/>
      <c r="N55" s="170"/>
      <c r="O55" s="170"/>
      <c r="P55" s="170"/>
    </row>
    <row r="56" spans="1:16" ht="12" customHeight="1" x14ac:dyDescent="0.2">
      <c r="A56" s="166" t="str">
        <f t="shared" si="1"/>
        <v>01</v>
      </c>
      <c r="C56" s="325" t="s">
        <v>2564</v>
      </c>
      <c r="D56" s="170"/>
      <c r="E56" s="170"/>
      <c r="F56" s="170"/>
      <c r="G56" s="170"/>
      <c r="H56" s="170"/>
      <c r="I56" s="170"/>
      <c r="J56" s="170"/>
      <c r="K56" s="170"/>
      <c r="L56" s="170"/>
      <c r="M56" s="170"/>
      <c r="N56" s="170"/>
      <c r="O56" s="170"/>
      <c r="P56" s="170"/>
    </row>
    <row r="57" spans="1:16" ht="12.75" customHeight="1" x14ac:dyDescent="0.2">
      <c r="A57" s="166" t="str">
        <f t="shared" si="1"/>
        <v>01</v>
      </c>
      <c r="C57" s="172"/>
      <c r="D57" s="170"/>
      <c r="E57" s="170"/>
      <c r="F57" s="170"/>
      <c r="G57" s="170"/>
      <c r="H57" s="170"/>
      <c r="I57" s="170"/>
      <c r="J57" s="170"/>
      <c r="K57" s="170"/>
      <c r="L57" s="170"/>
      <c r="M57" s="170"/>
      <c r="N57" s="170"/>
      <c r="O57" s="170"/>
      <c r="P57" s="170"/>
    </row>
    <row r="58" spans="1:16" ht="12.75" customHeight="1" x14ac:dyDescent="0.2">
      <c r="A58" s="166" t="str">
        <f t="shared" si="1"/>
        <v>01</v>
      </c>
      <c r="C58" s="325"/>
      <c r="F58" s="184" t="s">
        <v>2565</v>
      </c>
      <c r="G58" s="863"/>
      <c r="J58" s="184" t="s">
        <v>2566</v>
      </c>
      <c r="K58" s="2409"/>
      <c r="M58" s="2330" t="str">
        <f>IF(O44&gt;0,IF(ISBLANK(G58),IF(ISBLANK(K58),"Response Required"," ")," ")," ")</f>
        <v xml:space="preserve"> </v>
      </c>
      <c r="N58" s="170"/>
      <c r="O58" s="2265"/>
      <c r="P58" s="170"/>
    </row>
    <row r="59" spans="1:16" ht="10.35" customHeight="1" x14ac:dyDescent="0.2">
      <c r="A59" s="166" t="str">
        <f t="shared" si="1"/>
        <v>01</v>
      </c>
      <c r="C59" s="170"/>
      <c r="D59" s="170"/>
      <c r="E59" s="170"/>
      <c r="F59" s="170"/>
      <c r="G59" s="170"/>
      <c r="H59" s="170"/>
      <c r="I59" s="170"/>
    </row>
    <row r="60" spans="1:16" x14ac:dyDescent="0.2">
      <c r="A60" s="166" t="str">
        <f t="shared" si="1"/>
        <v>01</v>
      </c>
      <c r="D60" s="170"/>
      <c r="E60" s="170"/>
      <c r="F60" s="170"/>
      <c r="G60" s="170"/>
      <c r="H60" s="170"/>
      <c r="I60" s="170"/>
    </row>
    <row r="61" spans="1:16" x14ac:dyDescent="0.2">
      <c r="A61" s="166" t="str">
        <f t="shared" si="1"/>
        <v>01</v>
      </c>
    </row>
    <row r="62" spans="1:16" x14ac:dyDescent="0.2">
      <c r="A62" s="166" t="str">
        <f t="shared" si="1"/>
        <v>01</v>
      </c>
    </row>
    <row r="63" spans="1:16" x14ac:dyDescent="0.2">
      <c r="A63" s="166" t="str">
        <f t="shared" si="1"/>
        <v>01</v>
      </c>
    </row>
    <row r="64" spans="1:16" x14ac:dyDescent="0.2">
      <c r="A64" s="166" t="str">
        <f t="shared" si="1"/>
        <v>01</v>
      </c>
    </row>
    <row r="65" spans="1:1" x14ac:dyDescent="0.2">
      <c r="A65" s="166" t="str">
        <f t="shared" si="1"/>
        <v>01</v>
      </c>
    </row>
    <row r="66" spans="1:1" x14ac:dyDescent="0.2">
      <c r="A66" s="166" t="str">
        <f t="shared" si="1"/>
        <v>01</v>
      </c>
    </row>
    <row r="67" spans="1:1" x14ac:dyDescent="0.2">
      <c r="A67" s="166" t="str">
        <f t="shared" si="1"/>
        <v>01</v>
      </c>
    </row>
    <row r="68" spans="1:1" x14ac:dyDescent="0.2">
      <c r="A68" s="166" t="str">
        <f t="shared" si="1"/>
        <v>01</v>
      </c>
    </row>
    <row r="69" spans="1:1" x14ac:dyDescent="0.2">
      <c r="A69" s="166" t="str">
        <f t="shared" si="1"/>
        <v>01</v>
      </c>
    </row>
    <row r="70" spans="1:1" x14ac:dyDescent="0.2">
      <c r="A70" s="166" t="str">
        <f t="shared" si="1"/>
        <v>01</v>
      </c>
    </row>
    <row r="71" spans="1:1" x14ac:dyDescent="0.2">
      <c r="A71" s="166" t="str">
        <f t="shared" si="1"/>
        <v>01</v>
      </c>
    </row>
    <row r="72" spans="1:1" x14ac:dyDescent="0.2">
      <c r="A72" s="166" t="str">
        <f t="shared" si="1"/>
        <v>01</v>
      </c>
    </row>
    <row r="73" spans="1:1" x14ac:dyDescent="0.2">
      <c r="A73" s="166" t="str">
        <f t="shared" si="1"/>
        <v>01</v>
      </c>
    </row>
  </sheetData>
  <sheetProtection algorithmName="SHA-512" hashValue="QUANcj3hAdRKk8T72+7TFYCm2oXF179B7cAmf7ZjILu91nyLeru3Df9BbcYKR0TAzZxsfya3Kv5t82w7uQ6s0w==" saltValue="U44TMNo43StkHEpZamCaDQ==" spinCount="100000" sheet="1" autoFilter="0"/>
  <customSheetViews>
    <customSheetView guid="{9FCFC836-1CA5-48BF-958D-24D2EA94B219}" showGridLines="0" fitToPage="1" hiddenColumns="1" topLeftCell="C1">
      <selection activeCell="C1" sqref="C1:O1"/>
      <pageMargins left="0" right="0" top="0" bottom="0" header="0" footer="0"/>
      <pageSetup orientation="landscape" r:id="rId1"/>
      <headerFooter alignWithMargins="0">
        <oddFooter>&amp;R&amp;A</oddFooter>
      </headerFooter>
    </customSheetView>
    <customSheetView guid="{BEA4BE86-04D1-4C96-9358-7A260B9D2B2D}" showGridLines="0" fitToPage="1" showRuler="0">
      <selection activeCell="D8" sqref="D8:E8"/>
      <pageMargins left="0" right="0" top="0" bottom="0" header="0" footer="0"/>
      <pageSetup orientation="landscape" r:id="rId2"/>
      <headerFooter alignWithMargins="0">
        <oddFooter>&amp;R&amp;A</oddFooter>
      </headerFooter>
    </customSheetView>
    <customSheetView guid="{1250FD07-FF56-4A9D-AF9E-C27124A7EBE9}" showGridLines="0" fitToPage="1" showRuler="0">
      <selection activeCell="D8" sqref="D8:E8"/>
      <pageMargins left="0" right="0" top="0" bottom="0" header="0" footer="0"/>
      <pageSetup orientation="landscape" r:id="rId3"/>
      <headerFooter alignWithMargins="0">
        <oddFooter>&amp;R&amp;A</oddFooter>
      </headerFooter>
    </customSheetView>
    <customSheetView guid="{B08879A4-635B-4C39-9937-AC7883D562FC}" showGridLines="0" fitToPage="1" hiddenColumns="1" topLeftCell="C1">
      <selection activeCell="C1" sqref="C1:O1"/>
      <pageMargins left="0" right="0" top="0" bottom="0" header="0" footer="0"/>
      <pageSetup orientation="landscape" r:id="rId4"/>
      <headerFooter alignWithMargins="0">
        <oddFooter>&amp;R&amp;A</oddFooter>
      </headerFooter>
    </customSheetView>
  </customSheetViews>
  <mergeCells count="70">
    <mergeCell ref="C40:I40"/>
    <mergeCell ref="K40:M40"/>
    <mergeCell ref="C41:I41"/>
    <mergeCell ref="K41:M41"/>
    <mergeCell ref="C42:I42"/>
    <mergeCell ref="K42:M42"/>
    <mergeCell ref="C35:I35"/>
    <mergeCell ref="C36:I36"/>
    <mergeCell ref="C39:I39"/>
    <mergeCell ref="K29:M29"/>
    <mergeCell ref="K30:M30"/>
    <mergeCell ref="K31:M31"/>
    <mergeCell ref="K32:M32"/>
    <mergeCell ref="K33:M33"/>
    <mergeCell ref="K34:M34"/>
    <mergeCell ref="K35:M35"/>
    <mergeCell ref="K36:M36"/>
    <mergeCell ref="K39:M39"/>
    <mergeCell ref="C4:O4"/>
    <mergeCell ref="F8:G8"/>
    <mergeCell ref="P1:P3"/>
    <mergeCell ref="K6:O6"/>
    <mergeCell ref="K7:O7"/>
    <mergeCell ref="K8:O8"/>
    <mergeCell ref="C1:O1"/>
    <mergeCell ref="C2:O2"/>
    <mergeCell ref="F6:G6"/>
    <mergeCell ref="C3:O3"/>
    <mergeCell ref="K16:M16"/>
    <mergeCell ref="K14:M14"/>
    <mergeCell ref="K15:M15"/>
    <mergeCell ref="C17:I17"/>
    <mergeCell ref="C23:I23"/>
    <mergeCell ref="K23:M23"/>
    <mergeCell ref="C19:I19"/>
    <mergeCell ref="K19:M19"/>
    <mergeCell ref="C22:I22"/>
    <mergeCell ref="K22:M22"/>
    <mergeCell ref="C43:I43"/>
    <mergeCell ref="K43:M43"/>
    <mergeCell ref="C38:I38"/>
    <mergeCell ref="K38:M38"/>
    <mergeCell ref="C27:I27"/>
    <mergeCell ref="K27:M27"/>
    <mergeCell ref="C37:I37"/>
    <mergeCell ref="K37:M37"/>
    <mergeCell ref="C28:I28"/>
    <mergeCell ref="K28:M28"/>
    <mergeCell ref="C29:I29"/>
    <mergeCell ref="C30:I30"/>
    <mergeCell ref="C31:I31"/>
    <mergeCell ref="C32:I32"/>
    <mergeCell ref="C33:I33"/>
    <mergeCell ref="C34:I34"/>
    <mergeCell ref="C12:O13"/>
    <mergeCell ref="C26:I26"/>
    <mergeCell ref="K26:M26"/>
    <mergeCell ref="C24:I24"/>
    <mergeCell ref="K24:M24"/>
    <mergeCell ref="C25:I25"/>
    <mergeCell ref="K25:M25"/>
    <mergeCell ref="K18:M18"/>
    <mergeCell ref="K20:M20"/>
    <mergeCell ref="C21:I21"/>
    <mergeCell ref="K21:M21"/>
    <mergeCell ref="C20:I20"/>
    <mergeCell ref="C18:I18"/>
    <mergeCell ref="C15:I15"/>
    <mergeCell ref="K17:M17"/>
    <mergeCell ref="C16:I16"/>
  </mergeCells>
  <phoneticPr fontId="18" type="noConversion"/>
  <conditionalFormatting sqref="M53:M54">
    <cfRule type="containsText" dxfId="35" priority="6" stopIfTrue="1" operator="containsText" text="Response Required">
      <formula>NOT(ISERROR(SEARCH("Response Required",M53)))</formula>
    </cfRule>
  </conditionalFormatting>
  <conditionalFormatting sqref="M58">
    <cfRule type="containsText" dxfId="34" priority="1" stopIfTrue="1" operator="containsText" text="Response Required">
      <formula>NOT(ISERROR(SEARCH("Response Required",M58)))</formula>
    </cfRule>
  </conditionalFormatting>
  <conditionalFormatting sqref="O58">
    <cfRule type="containsText" dxfId="33" priority="9" stopIfTrue="1" operator="containsText" text="Answer Missing">
      <formula>NOT(ISERROR(SEARCH("Answer Missing",O58)))</formula>
    </cfRule>
  </conditionalFormatting>
  <conditionalFormatting sqref="O53:P54">
    <cfRule type="containsText" dxfId="32" priority="10" stopIfTrue="1" operator="containsText" text="Answer Missing">
      <formula>NOT(ISERROR(SEARCH("Answer Missing",O53)))</formula>
    </cfRule>
  </conditionalFormatting>
  <conditionalFormatting sqref="P1:P3">
    <cfRule type="cellIs" dxfId="31" priority="11" stopIfTrue="1" operator="equal">
      <formula>"na"</formula>
    </cfRule>
  </conditionalFormatting>
  <hyperlinks>
    <hyperlink ref="C1:O1" location="Index!A1" display="Index!A1" xr:uid="{00000000-0004-0000-4400-000000000000}"/>
  </hyperlinks>
  <pageMargins left="0.6" right="0.6" top="0.5" bottom="0.5" header="0.3" footer="0.3"/>
  <pageSetup scale="79" fitToHeight="0" orientation="portrait" r:id="rId5"/>
  <extLst>
    <ext xmlns:x14="http://schemas.microsoft.com/office/spreadsheetml/2009/9/main" uri="{CCE6A557-97BC-4b89-ADB6-D9C93CAAB3DF}">
      <x14:dataValidations xmlns:xm="http://schemas.microsoft.com/office/excel/2006/main" count="2">
        <x14:dataValidation type="list" allowBlank="1" showInputMessage="1" showErrorMessage="1" xr:uid="{CBB1CA4E-87A4-4F62-BF5D-DD5EEDB36E7F}">
          <x14:formula1>
            <xm:f>Notes!$AJ$3:$AJ$11</xm:f>
          </x14:formula1>
          <xm:sqref>C17:I43</xm:sqref>
        </x14:dataValidation>
        <x14:dataValidation type="list" allowBlank="1" showInputMessage="1" showErrorMessage="1" xr:uid="{D3F1AAB8-6930-4B45-BEA6-62F6664DF95B}">
          <x14:formula1>
            <xm:f>Notes!$AN$3:$AN$34</xm:f>
          </x14:formula1>
          <xm:sqref>K17:M43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dimension ref="A1:L89"/>
  <sheetViews>
    <sheetView showGridLines="0" topLeftCell="B1" zoomScaleNormal="100" workbookViewId="0">
      <selection activeCell="B44" sqref="B44"/>
    </sheetView>
  </sheetViews>
  <sheetFormatPr defaultColWidth="9.42578125" defaultRowHeight="12.75" x14ac:dyDescent="0.2"/>
  <cols>
    <col min="1" max="1" width="9.42578125" style="41" hidden="1" customWidth="1"/>
    <col min="2" max="3" width="3.42578125" style="41" customWidth="1"/>
    <col min="4" max="4" width="7.5703125" style="41" customWidth="1"/>
    <col min="5" max="5" width="8.5703125" style="41" customWidth="1"/>
    <col min="6" max="6" width="22.5703125" style="41" customWidth="1"/>
    <col min="7" max="7" width="7.5703125" style="41" customWidth="1"/>
    <col min="8" max="8" width="8.5703125" style="41" customWidth="1"/>
    <col min="9" max="9" width="7.42578125" style="41" customWidth="1"/>
    <col min="10" max="10" width="22.7109375" style="41" customWidth="1"/>
    <col min="11" max="11" width="4.5703125" style="41" customWidth="1"/>
    <col min="12" max="16384" width="9.42578125" style="41"/>
  </cols>
  <sheetData>
    <row r="1" spans="1:12" ht="15.75" x14ac:dyDescent="0.25">
      <c r="A1" s="41" t="str">
        <f t="shared" ref="A1:A10" si="0">AgyIdx</f>
        <v>01</v>
      </c>
      <c r="B1" s="2534" t="str">
        <f>+Index!$A$1</f>
        <v xml:space="preserve">                                                               Office of the State Controller                                                                </v>
      </c>
      <c r="C1" s="2534"/>
      <c r="D1" s="2534"/>
      <c r="E1" s="2534"/>
      <c r="F1" s="2534"/>
      <c r="G1" s="2534"/>
      <c r="H1" s="2534"/>
      <c r="I1" s="2534"/>
      <c r="J1" s="2534"/>
      <c r="K1" s="2533"/>
    </row>
    <row r="2" spans="1:12" ht="15.75" x14ac:dyDescent="0.25">
      <c r="A2" s="41" t="str">
        <f t="shared" si="0"/>
        <v>01</v>
      </c>
      <c r="B2" s="2537" t="str">
        <f>+Index!$A$2</f>
        <v>2024 ACFR Worksheets</v>
      </c>
      <c r="C2" s="2537"/>
      <c r="D2" s="2537"/>
      <c r="E2" s="2537"/>
      <c r="F2" s="2537"/>
      <c r="G2" s="2537"/>
      <c r="H2" s="2537"/>
      <c r="I2" s="2537"/>
      <c r="J2" s="2537"/>
      <c r="K2" s="2533"/>
    </row>
    <row r="3" spans="1:12" ht="15" x14ac:dyDescent="0.25">
      <c r="A3" s="41" t="str">
        <f t="shared" si="0"/>
        <v>01</v>
      </c>
      <c r="B3" s="2561" t="s">
        <v>513</v>
      </c>
      <c r="C3" s="2561"/>
      <c r="D3" s="2561"/>
      <c r="E3" s="2561"/>
      <c r="F3" s="2561"/>
      <c r="G3" s="2561"/>
      <c r="H3" s="2561"/>
      <c r="I3" s="2561"/>
      <c r="J3" s="2561"/>
      <c r="K3" s="2533"/>
    </row>
    <row r="4" spans="1:12" ht="12.75" customHeight="1" x14ac:dyDescent="0.2">
      <c r="A4" s="41" t="str">
        <f t="shared" si="0"/>
        <v>01</v>
      </c>
      <c r="B4" s="247"/>
      <c r="C4" s="247"/>
      <c r="D4" s="247"/>
      <c r="E4" s="247"/>
      <c r="F4" s="247"/>
      <c r="G4" s="247"/>
      <c r="H4" s="247"/>
      <c r="I4" s="247"/>
      <c r="J4" s="242"/>
      <c r="K4" s="243"/>
    </row>
    <row r="5" spans="1:12" x14ac:dyDescent="0.2">
      <c r="A5" s="41" t="str">
        <f t="shared" si="0"/>
        <v>01</v>
      </c>
      <c r="B5" s="612"/>
      <c r="C5" s="612"/>
      <c r="D5" s="612"/>
      <c r="E5" s="245"/>
      <c r="F5" s="796"/>
      <c r="G5" s="790" t="s">
        <v>318</v>
      </c>
      <c r="H5" s="791" t="str">
        <f>+Index!$E$10</f>
        <v>01</v>
      </c>
      <c r="I5" s="2305"/>
      <c r="J5" s="2305"/>
    </row>
    <row r="6" spans="1:12" x14ac:dyDescent="0.2">
      <c r="A6" s="41" t="str">
        <f t="shared" si="0"/>
        <v>01</v>
      </c>
      <c r="B6" s="612"/>
      <c r="C6" s="612"/>
      <c r="D6" s="612"/>
      <c r="E6" s="612"/>
      <c r="F6" s="2271"/>
      <c r="G6" s="790" t="s">
        <v>319</v>
      </c>
      <c r="H6" s="792" t="str">
        <f>AgyName</f>
        <v>North Carolina General Assembly</v>
      </c>
      <c r="I6" s="2307"/>
      <c r="J6" s="2307"/>
    </row>
    <row r="7" spans="1:12" x14ac:dyDescent="0.2">
      <c r="A7" s="41" t="str">
        <f t="shared" si="0"/>
        <v>01</v>
      </c>
      <c r="B7" s="2559" t="s">
        <v>497</v>
      </c>
      <c r="C7" s="2517"/>
      <c r="D7" s="2517"/>
      <c r="E7" s="789" t="s">
        <v>498</v>
      </c>
      <c r="F7" s="247"/>
      <c r="G7" s="790" t="s">
        <v>320</v>
      </c>
      <c r="H7" s="793" t="str">
        <f>CONCATENATE(Index!$E$12," ",Index!$E$14)</f>
        <v xml:space="preserve"> </v>
      </c>
      <c r="I7" s="2306"/>
      <c r="J7" s="2306"/>
    </row>
    <row r="8" spans="1:12" x14ac:dyDescent="0.2">
      <c r="A8" s="41" t="str">
        <f t="shared" si="0"/>
        <v>01</v>
      </c>
      <c r="B8" s="2271"/>
      <c r="C8" s="2271"/>
      <c r="D8" s="796"/>
      <c r="E8" s="247"/>
      <c r="F8" s="247"/>
      <c r="G8" s="790" t="s">
        <v>168</v>
      </c>
      <c r="H8" s="793">
        <f>+Index!$E$13</f>
        <v>0</v>
      </c>
      <c r="I8" s="2306"/>
      <c r="J8" s="2306"/>
    </row>
    <row r="9" spans="1:12" ht="10.35" customHeight="1" thickBot="1" x14ac:dyDescent="0.25">
      <c r="A9" s="41" t="str">
        <f t="shared" si="0"/>
        <v>01</v>
      </c>
      <c r="B9" s="797"/>
      <c r="C9" s="797"/>
      <c r="D9" s="797"/>
      <c r="E9" s="797"/>
      <c r="F9" s="797"/>
      <c r="G9" s="797"/>
      <c r="H9" s="797"/>
      <c r="I9" s="797"/>
      <c r="J9" s="797"/>
    </row>
    <row r="10" spans="1:12" ht="9" customHeight="1" x14ac:dyDescent="0.25">
      <c r="A10" s="41" t="str">
        <f t="shared" si="0"/>
        <v>01</v>
      </c>
      <c r="B10" s="2273"/>
      <c r="C10" s="2273"/>
      <c r="D10" s="2273"/>
      <c r="E10" s="2273"/>
      <c r="F10" s="2273"/>
      <c r="G10" s="2273"/>
      <c r="H10" s="2273"/>
      <c r="I10" s="2273"/>
      <c r="J10" s="2273"/>
    </row>
    <row r="11" spans="1:12" ht="15.75" customHeight="1" x14ac:dyDescent="0.2">
      <c r="B11" s="695" t="s">
        <v>514</v>
      </c>
      <c r="C11" s="695"/>
      <c r="D11" s="695"/>
      <c r="E11" s="695"/>
      <c r="F11" s="695"/>
      <c r="G11" s="695"/>
      <c r="H11" s="695"/>
      <c r="I11" s="695"/>
      <c r="J11" s="695"/>
      <c r="K11" s="794"/>
      <c r="L11" s="776"/>
    </row>
    <row r="12" spans="1:12" ht="12.75" customHeight="1" x14ac:dyDescent="0.2">
      <c r="B12" s="695" t="s">
        <v>515</v>
      </c>
      <c r="C12" s="695"/>
      <c r="D12" s="695"/>
      <c r="E12" s="695"/>
      <c r="F12" s="695"/>
      <c r="G12" s="695"/>
      <c r="H12" s="695"/>
      <c r="I12" s="695"/>
      <c r="J12" s="695"/>
      <c r="K12" s="794"/>
      <c r="L12" s="776"/>
    </row>
    <row r="13" spans="1:12" ht="12.75" customHeight="1" x14ac:dyDescent="0.2">
      <c r="B13" s="2562" t="s">
        <v>516</v>
      </c>
      <c r="C13" s="2563"/>
      <c r="D13" s="2563"/>
      <c r="E13" s="2563"/>
      <c r="F13" s="2563"/>
      <c r="G13" s="695"/>
      <c r="H13" s="695"/>
      <c r="I13" s="695"/>
      <c r="J13" s="695"/>
      <c r="K13" s="794"/>
      <c r="L13" s="776"/>
    </row>
    <row r="14" spans="1:12" ht="12.75" customHeight="1" x14ac:dyDescent="0.2">
      <c r="B14" s="850"/>
      <c r="C14" s="695"/>
      <c r="D14" s="695"/>
      <c r="E14" s="695"/>
      <c r="F14" s="695"/>
      <c r="G14" s="695"/>
      <c r="H14" s="695"/>
      <c r="I14" s="695"/>
      <c r="J14" s="695"/>
      <c r="K14" s="794"/>
      <c r="L14" s="776"/>
    </row>
    <row r="15" spans="1:12" s="43" customFormat="1" ht="12.75" customHeight="1" x14ac:dyDescent="0.25">
      <c r="B15" s="695" t="s">
        <v>517</v>
      </c>
      <c r="C15" s="611"/>
      <c r="D15" s="612"/>
      <c r="E15" s="612"/>
      <c r="F15" s="612"/>
      <c r="G15" s="612"/>
      <c r="H15" s="612"/>
      <c r="I15" s="612"/>
      <c r="J15" s="612"/>
      <c r="K15" s="41"/>
    </row>
    <row r="16" spans="1:12" s="43" customFormat="1" ht="12.75" customHeight="1" x14ac:dyDescent="0.25">
      <c r="B16" s="695" t="s">
        <v>518</v>
      </c>
      <c r="C16" s="611"/>
      <c r="D16" s="612"/>
      <c r="E16" s="612"/>
      <c r="F16" s="612"/>
      <c r="G16" s="612"/>
      <c r="H16" s="612"/>
      <c r="I16" s="612"/>
      <c r="J16" s="612"/>
      <c r="K16" s="41"/>
    </row>
    <row r="17" spans="2:11" s="43" customFormat="1" ht="4.3499999999999996" customHeight="1" x14ac:dyDescent="0.25">
      <c r="B17" s="695"/>
      <c r="C17" s="611"/>
      <c r="D17" s="612"/>
      <c r="E17" s="612"/>
      <c r="F17" s="612"/>
      <c r="G17" s="612"/>
      <c r="H17" s="612"/>
      <c r="I17" s="612"/>
      <c r="J17" s="612"/>
      <c r="K17" s="41"/>
    </row>
    <row r="18" spans="2:11" s="43" customFormat="1" ht="12.75" customHeight="1" x14ac:dyDescent="0.25">
      <c r="B18" s="612"/>
      <c r="C18" s="695" t="s">
        <v>519</v>
      </c>
      <c r="D18" s="2560" t="s">
        <v>520</v>
      </c>
      <c r="E18" s="2517"/>
      <c r="F18" s="2517"/>
      <c r="G18" s="2517"/>
      <c r="H18" s="2517"/>
      <c r="I18" s="2517"/>
      <c r="J18" s="2517"/>
      <c r="K18" s="41"/>
    </row>
    <row r="19" spans="2:11" s="43" customFormat="1" ht="12.75" customHeight="1" x14ac:dyDescent="0.25">
      <c r="B19" s="612"/>
      <c r="C19" s="695"/>
      <c r="D19" s="2560" t="s">
        <v>521</v>
      </c>
      <c r="E19" s="2517"/>
      <c r="F19" s="2517"/>
      <c r="G19" s="2517"/>
      <c r="H19" s="2517"/>
      <c r="I19" s="2517"/>
      <c r="J19" s="2517"/>
      <c r="K19" s="41"/>
    </row>
    <row r="20" spans="2:11" s="43" customFormat="1" ht="4.3499999999999996" customHeight="1" x14ac:dyDescent="0.25">
      <c r="B20" s="612"/>
      <c r="C20" s="695"/>
      <c r="D20" s="2560"/>
      <c r="E20" s="2517"/>
      <c r="F20" s="2517"/>
      <c r="G20" s="2517"/>
      <c r="H20" s="2517"/>
      <c r="I20" s="2517"/>
      <c r="J20" s="2517"/>
      <c r="K20" s="41"/>
    </row>
    <row r="21" spans="2:11" s="43" customFormat="1" ht="12.75" customHeight="1" x14ac:dyDescent="0.25">
      <c r="B21" s="612"/>
      <c r="C21" s="695" t="s">
        <v>522</v>
      </c>
      <c r="D21" s="2560" t="s">
        <v>523</v>
      </c>
      <c r="E21" s="2517"/>
      <c r="F21" s="2517"/>
      <c r="G21" s="2517"/>
      <c r="H21" s="2517"/>
      <c r="I21" s="2517"/>
      <c r="J21" s="2517"/>
      <c r="K21" s="41"/>
    </row>
    <row r="22" spans="2:11" s="43" customFormat="1" ht="12.75" customHeight="1" x14ac:dyDescent="0.25">
      <c r="B22" s="612"/>
      <c r="C22" s="695"/>
      <c r="D22" s="2272" t="s">
        <v>524</v>
      </c>
      <c r="E22" s="138"/>
      <c r="F22" s="138"/>
      <c r="G22" s="138"/>
      <c r="H22" s="138"/>
      <c r="I22" s="138"/>
      <c r="J22" s="138"/>
      <c r="K22" s="41"/>
    </row>
    <row r="23" spans="2:11" s="43" customFormat="1" ht="4.3499999999999996" customHeight="1" x14ac:dyDescent="0.25">
      <c r="B23" s="612"/>
      <c r="C23" s="695"/>
      <c r="D23" s="2560"/>
      <c r="E23" s="2517"/>
      <c r="F23" s="2517"/>
      <c r="G23" s="2517"/>
      <c r="H23" s="2517"/>
      <c r="I23" s="2517"/>
      <c r="J23" s="2517"/>
      <c r="K23" s="41"/>
    </row>
    <row r="24" spans="2:11" s="43" customFormat="1" ht="15.75" x14ac:dyDescent="0.25">
      <c r="B24" s="612"/>
      <c r="C24" s="695" t="s">
        <v>525</v>
      </c>
      <c r="D24" s="2517" t="s">
        <v>526</v>
      </c>
      <c r="E24" s="2517"/>
      <c r="F24" s="2517"/>
      <c r="G24" s="2517"/>
      <c r="H24" s="2517"/>
      <c r="I24" s="2517"/>
      <c r="J24" s="2517"/>
      <c r="K24" s="41"/>
    </row>
    <row r="25" spans="2:11" s="43" customFormat="1" ht="12.75" customHeight="1" x14ac:dyDescent="0.25">
      <c r="B25" s="612"/>
      <c r="C25" s="695"/>
      <c r="D25" s="2517" t="s">
        <v>527</v>
      </c>
      <c r="E25" s="2517"/>
      <c r="F25" s="2517"/>
      <c r="G25" s="2517"/>
      <c r="H25" s="2517"/>
      <c r="I25" s="2517"/>
      <c r="J25" s="2517"/>
      <c r="K25" s="41"/>
    </row>
    <row r="26" spans="2:11" s="43" customFormat="1" ht="12.75" customHeight="1" x14ac:dyDescent="0.25">
      <c r="B26" s="612"/>
      <c r="C26" s="695"/>
      <c r="D26" s="138" t="s">
        <v>528</v>
      </c>
      <c r="E26" s="138"/>
      <c r="F26" s="138"/>
      <c r="G26" s="138"/>
      <c r="H26" s="138"/>
      <c r="I26" s="138"/>
      <c r="J26" s="138"/>
      <c r="K26" s="41"/>
    </row>
    <row r="27" spans="2:11" s="43" customFormat="1" ht="12.75" customHeight="1" x14ac:dyDescent="0.25">
      <c r="B27" s="611"/>
      <c r="C27" s="611"/>
      <c r="D27" s="612"/>
      <c r="E27" s="612"/>
      <c r="F27" s="612"/>
      <c r="G27" s="612"/>
      <c r="H27" s="612"/>
      <c r="I27" s="612"/>
      <c r="J27" s="612"/>
      <c r="K27" s="41"/>
    </row>
    <row r="28" spans="2:11" s="43" customFormat="1" ht="12.75" customHeight="1" x14ac:dyDescent="0.25">
      <c r="B28" s="695" t="s">
        <v>529</v>
      </c>
      <c r="C28" s="611"/>
      <c r="D28" s="612"/>
      <c r="E28" s="612"/>
      <c r="F28" s="612"/>
      <c r="G28" s="612"/>
      <c r="H28" s="612"/>
      <c r="I28" s="612"/>
      <c r="J28" s="612"/>
      <c r="K28" s="41"/>
    </row>
    <row r="29" spans="2:11" s="43" customFormat="1" ht="12.75" customHeight="1" x14ac:dyDescent="0.25">
      <c r="B29" s="695" t="s">
        <v>530</v>
      </c>
      <c r="C29" s="611"/>
      <c r="D29" s="612"/>
      <c r="E29" s="612"/>
      <c r="F29" s="612"/>
      <c r="G29" s="612"/>
      <c r="H29" s="612"/>
      <c r="I29" s="612"/>
      <c r="J29" s="612"/>
      <c r="K29" s="41"/>
    </row>
    <row r="30" spans="2:11" s="43" customFormat="1" ht="12.75" customHeight="1" x14ac:dyDescent="0.25">
      <c r="B30" s="611"/>
      <c r="C30" s="611"/>
      <c r="D30" s="612"/>
      <c r="E30" s="612"/>
      <c r="F30" s="612"/>
      <c r="G30" s="612"/>
      <c r="H30" s="612"/>
      <c r="I30" s="612"/>
      <c r="J30" s="612"/>
      <c r="K30" s="41"/>
    </row>
    <row r="31" spans="2:11" s="43" customFormat="1" ht="12.75" customHeight="1" x14ac:dyDescent="0.25">
      <c r="B31" s="611"/>
      <c r="C31" s="611"/>
      <c r="D31" s="613" t="s">
        <v>340</v>
      </c>
      <c r="E31" s="891"/>
      <c r="F31" s="2265" t="str">
        <f>IF(AND(ISBLANK(E31),ISBLANK(E32))=TRUE,"Answer Missing"," ")</f>
        <v>Answer Missing</v>
      </c>
      <c r="G31" s="612"/>
      <c r="H31" s="612"/>
      <c r="I31" s="612"/>
      <c r="J31" s="612"/>
      <c r="K31" s="41"/>
    </row>
    <row r="32" spans="2:11" s="43" customFormat="1" ht="12.75" customHeight="1" x14ac:dyDescent="0.25">
      <c r="B32" s="611"/>
      <c r="C32" s="611"/>
      <c r="D32" s="613" t="s">
        <v>341</v>
      </c>
      <c r="E32" s="891"/>
      <c r="F32" s="612"/>
      <c r="G32" s="612"/>
      <c r="H32" s="612"/>
      <c r="I32" s="612"/>
      <c r="J32" s="612"/>
      <c r="K32" s="41"/>
    </row>
    <row r="33" spans="2:12" s="43" customFormat="1" ht="12.75" customHeight="1" x14ac:dyDescent="0.25">
      <c r="B33" s="611"/>
      <c r="C33" s="611"/>
      <c r="D33" s="613"/>
      <c r="E33" s="888"/>
      <c r="F33" s="612"/>
      <c r="G33" s="612"/>
      <c r="H33" s="612"/>
      <c r="I33" s="612"/>
      <c r="J33" s="612"/>
      <c r="K33" s="41"/>
    </row>
    <row r="34" spans="2:12" s="43" customFormat="1" ht="12.75" customHeight="1" x14ac:dyDescent="0.25">
      <c r="B34" s="612" t="s">
        <v>531</v>
      </c>
      <c r="C34" s="611"/>
      <c r="D34" s="612"/>
      <c r="E34" s="612"/>
      <c r="F34" s="612"/>
      <c r="G34" s="612"/>
      <c r="H34" s="612"/>
      <c r="I34" s="612"/>
      <c r="J34" s="612"/>
      <c r="K34" s="41"/>
    </row>
    <row r="35" spans="2:12" s="43" customFormat="1" ht="12.75" customHeight="1" x14ac:dyDescent="0.25">
      <c r="B35" s="612" t="s">
        <v>532</v>
      </c>
      <c r="C35" s="611"/>
      <c r="D35" s="612"/>
      <c r="E35" s="612"/>
      <c r="F35" s="612"/>
      <c r="G35" s="612"/>
      <c r="H35" s="612"/>
      <c r="I35" s="612"/>
      <c r="J35" s="612"/>
      <c r="K35" s="41"/>
    </row>
    <row r="36" spans="2:12" s="43" customFormat="1" ht="12.75" customHeight="1" x14ac:dyDescent="0.25">
      <c r="B36" s="612" t="s">
        <v>533</v>
      </c>
      <c r="C36" s="611"/>
      <c r="D36" s="612"/>
      <c r="E36" s="612"/>
      <c r="F36" s="612"/>
      <c r="G36" s="612"/>
      <c r="H36" s="612"/>
      <c r="I36" s="612"/>
      <c r="J36" s="612"/>
      <c r="K36" s="41"/>
    </row>
    <row r="37" spans="2:12" s="43" customFormat="1" ht="12.75" customHeight="1" x14ac:dyDescent="0.25">
      <c r="B37" s="611"/>
      <c r="C37" s="611"/>
      <c r="D37" s="925"/>
      <c r="E37" s="889" t="s">
        <v>534</v>
      </c>
      <c r="F37" s="612"/>
      <c r="G37" s="612"/>
      <c r="H37" s="612"/>
      <c r="I37" s="612"/>
      <c r="J37" s="612"/>
      <c r="K37" s="41"/>
    </row>
    <row r="38" spans="2:12" s="43" customFormat="1" ht="12.75" customHeight="1" x14ac:dyDescent="0.25">
      <c r="B38" s="611"/>
      <c r="C38" s="611"/>
      <c r="D38" s="929"/>
      <c r="E38" s="889" t="s">
        <v>535</v>
      </c>
      <c r="F38" s="612"/>
      <c r="G38" s="612"/>
      <c r="H38" s="612"/>
      <c r="I38" s="612"/>
      <c r="J38" s="612"/>
      <c r="K38" s="41"/>
    </row>
    <row r="39" spans="2:12" s="43" customFormat="1" ht="12.75" customHeight="1" x14ac:dyDescent="0.25">
      <c r="B39" s="611"/>
      <c r="C39" s="611"/>
      <c r="D39" s="929"/>
      <c r="E39" s="889" t="s">
        <v>536</v>
      </c>
      <c r="F39" s="612"/>
      <c r="G39" s="612"/>
      <c r="H39" s="612"/>
      <c r="I39" s="612"/>
      <c r="J39" s="612"/>
      <c r="K39" s="41"/>
    </row>
    <row r="40" spans="2:12" s="43" customFormat="1" ht="12.75" customHeight="1" x14ac:dyDescent="0.25">
      <c r="B40" s="611"/>
      <c r="C40" s="611"/>
      <c r="D40" s="929"/>
      <c r="E40" s="889" t="s">
        <v>537</v>
      </c>
      <c r="F40" s="612"/>
      <c r="G40" s="612"/>
      <c r="H40" s="612"/>
      <c r="I40" s="612"/>
      <c r="J40" s="612"/>
      <c r="K40" s="41"/>
    </row>
    <row r="41" spans="2:12" s="43" customFormat="1" ht="12.75" customHeight="1" x14ac:dyDescent="0.25">
      <c r="B41" s="611"/>
      <c r="C41" s="611"/>
      <c r="D41" s="890"/>
      <c r="E41" s="889"/>
      <c r="F41" s="612"/>
      <c r="G41" s="612"/>
      <c r="H41" s="612"/>
      <c r="I41" s="612"/>
      <c r="J41" s="612"/>
      <c r="K41" s="41"/>
    </row>
    <row r="42" spans="2:12" s="43" customFormat="1" ht="12.75" customHeight="1" x14ac:dyDescent="0.25">
      <c r="B42" s="795" t="s">
        <v>507</v>
      </c>
      <c r="C42" s="611"/>
      <c r="D42" s="612"/>
      <c r="E42" s="612"/>
      <c r="F42" s="612"/>
      <c r="G42" s="612"/>
      <c r="H42" s="612"/>
      <c r="I42" s="612"/>
      <c r="J42" s="612"/>
      <c r="K42" s="41"/>
    </row>
    <row r="43" spans="2:12" ht="12.75" customHeight="1" x14ac:dyDescent="0.2">
      <c r="B43" s="695" t="s">
        <v>538</v>
      </c>
      <c r="C43" s="139"/>
      <c r="D43" s="139"/>
      <c r="E43" s="139"/>
      <c r="F43" s="139"/>
      <c r="G43" s="139"/>
      <c r="H43" s="139"/>
      <c r="I43" s="139"/>
      <c r="J43" s="612"/>
    </row>
    <row r="44" spans="2:12" ht="12.75" customHeight="1" x14ac:dyDescent="0.2">
      <c r="B44" s="695" t="s">
        <v>539</v>
      </c>
      <c r="C44" s="139"/>
      <c r="D44" s="139"/>
      <c r="E44" s="139"/>
      <c r="F44" s="139"/>
      <c r="G44" s="139"/>
      <c r="H44" s="139"/>
      <c r="I44" s="139"/>
      <c r="J44" s="612"/>
    </row>
    <row r="45" spans="2:12" ht="12" customHeight="1" x14ac:dyDescent="0.2">
      <c r="B45" s="611"/>
      <c r="C45" s="611"/>
      <c r="D45" s="612"/>
      <c r="E45" s="612"/>
      <c r="F45" s="612"/>
      <c r="G45" s="612"/>
      <c r="H45" s="612"/>
      <c r="I45" s="612"/>
      <c r="J45" s="612"/>
    </row>
    <row r="46" spans="2:12" ht="5.0999999999999996" customHeight="1" x14ac:dyDescent="0.2">
      <c r="B46" s="611"/>
      <c r="C46" s="611"/>
      <c r="D46" s="612"/>
      <c r="E46" s="612"/>
      <c r="F46" s="612"/>
      <c r="G46" s="612"/>
      <c r="H46" s="612"/>
      <c r="I46" s="612"/>
      <c r="J46" s="612"/>
    </row>
    <row r="47" spans="2:12" ht="15.75" customHeight="1" x14ac:dyDescent="0.2">
      <c r="B47" s="612"/>
      <c r="C47" s="612"/>
      <c r="D47" s="612"/>
      <c r="E47" s="612"/>
      <c r="F47" s="612"/>
      <c r="G47" s="612"/>
      <c r="H47" s="612"/>
      <c r="I47" s="612"/>
      <c r="J47" s="612"/>
    </row>
    <row r="48" spans="2:12" ht="15.75" customHeight="1" x14ac:dyDescent="0.2">
      <c r="B48" s="612"/>
      <c r="C48" s="612"/>
      <c r="D48" s="612"/>
      <c r="E48" s="612"/>
      <c r="F48" s="612"/>
      <c r="G48" s="612"/>
      <c r="H48" s="612"/>
      <c r="I48" s="612"/>
      <c r="J48" s="139"/>
      <c r="K48" s="139"/>
      <c r="L48" s="28"/>
    </row>
    <row r="49" spans="2:12" ht="15.75" customHeight="1" x14ac:dyDescent="0.2">
      <c r="B49" s="612"/>
      <c r="C49" s="612"/>
      <c r="D49" s="612"/>
      <c r="E49" s="612"/>
      <c r="F49" s="612"/>
      <c r="G49" s="612"/>
      <c r="H49" s="612"/>
      <c r="I49" s="612"/>
      <c r="J49" s="139"/>
      <c r="K49" s="139"/>
      <c r="L49" s="139"/>
    </row>
    <row r="50" spans="2:12" ht="15.75" customHeight="1" x14ac:dyDescent="0.2">
      <c r="B50" s="611"/>
      <c r="C50" s="611"/>
      <c r="D50" s="612"/>
      <c r="E50" s="612"/>
      <c r="F50" s="612"/>
      <c r="G50" s="612"/>
      <c r="H50" s="612"/>
      <c r="I50" s="612"/>
      <c r="J50" s="612"/>
    </row>
    <row r="51" spans="2:12" ht="12" customHeight="1" x14ac:dyDescent="0.2">
      <c r="B51" s="611"/>
      <c r="C51" s="611"/>
      <c r="D51" s="612"/>
      <c r="E51" s="612"/>
      <c r="F51" s="612"/>
      <c r="G51" s="612"/>
      <c r="H51" s="612"/>
      <c r="I51" s="612"/>
      <c r="J51" s="612"/>
    </row>
    <row r="52" spans="2:12" ht="12" customHeight="1" x14ac:dyDescent="0.2">
      <c r="B52" s="611"/>
      <c r="C52" s="611"/>
      <c r="D52" s="612"/>
      <c r="E52" s="612"/>
      <c r="F52" s="612"/>
      <c r="G52" s="612"/>
      <c r="H52" s="612"/>
      <c r="I52" s="612"/>
      <c r="J52" s="612"/>
    </row>
    <row r="53" spans="2:12" ht="12" customHeight="1" x14ac:dyDescent="0.2">
      <c r="B53" s="611"/>
      <c r="C53" s="611"/>
      <c r="D53" s="612"/>
      <c r="E53" s="612"/>
      <c r="F53" s="612"/>
      <c r="G53" s="612"/>
      <c r="H53" s="612"/>
      <c r="I53" s="612"/>
      <c r="J53" s="612"/>
    </row>
    <row r="54" spans="2:12" ht="12" customHeight="1" x14ac:dyDescent="0.2">
      <c r="B54" s="611"/>
      <c r="C54" s="611"/>
      <c r="D54" s="612"/>
      <c r="E54" s="612"/>
      <c r="F54" s="612"/>
      <c r="G54" s="612"/>
      <c r="H54" s="612"/>
      <c r="I54" s="612"/>
      <c r="J54" s="612"/>
    </row>
    <row r="55" spans="2:12" ht="5.0999999999999996" customHeight="1" x14ac:dyDescent="0.2">
      <c r="B55" s="611"/>
      <c r="C55" s="611"/>
      <c r="D55" s="612"/>
      <c r="E55" s="612"/>
      <c r="F55" s="612"/>
      <c r="G55" s="612"/>
      <c r="H55" s="612"/>
      <c r="I55" s="612"/>
      <c r="J55" s="612"/>
    </row>
    <row r="56" spans="2:12" ht="12" customHeight="1" x14ac:dyDescent="0.2">
      <c r="B56" s="611"/>
      <c r="C56" s="611"/>
      <c r="D56" s="612"/>
      <c r="E56" s="612"/>
      <c r="F56" s="612"/>
      <c r="G56" s="612"/>
      <c r="H56" s="612"/>
      <c r="I56" s="612"/>
      <c r="J56" s="612"/>
    </row>
    <row r="57" spans="2:12" ht="12" customHeight="1" x14ac:dyDescent="0.2">
      <c r="B57" s="611"/>
      <c r="C57" s="611"/>
      <c r="D57" s="612"/>
      <c r="E57" s="612"/>
      <c r="F57" s="612"/>
      <c r="G57" s="612"/>
      <c r="H57" s="612"/>
      <c r="I57" s="612"/>
      <c r="J57" s="612"/>
    </row>
    <row r="58" spans="2:12" ht="12" customHeight="1" x14ac:dyDescent="0.2">
      <c r="B58" s="611"/>
      <c r="C58" s="611"/>
      <c r="D58" s="612"/>
      <c r="E58" s="612"/>
      <c r="F58" s="612"/>
      <c r="G58" s="612"/>
      <c r="H58" s="612"/>
      <c r="I58" s="612"/>
      <c r="J58" s="612"/>
    </row>
    <row r="59" spans="2:12" ht="12" customHeight="1" x14ac:dyDescent="0.2">
      <c r="B59" s="611"/>
      <c r="C59" s="611"/>
      <c r="D59" s="612"/>
      <c r="E59" s="612"/>
      <c r="F59" s="612"/>
      <c r="G59" s="612"/>
      <c r="H59" s="612"/>
      <c r="I59" s="612"/>
      <c r="J59" s="612"/>
    </row>
    <row r="60" spans="2:12" ht="12" customHeight="1" x14ac:dyDescent="0.2">
      <c r="B60" s="688"/>
      <c r="C60" s="688"/>
      <c r="D60" s="512"/>
      <c r="E60" s="512"/>
      <c r="F60" s="512"/>
      <c r="G60" s="512"/>
      <c r="H60" s="512"/>
      <c r="I60" s="512"/>
      <c r="J60" s="512"/>
    </row>
    <row r="61" spans="2:12" ht="12" customHeight="1" x14ac:dyDescent="0.2">
      <c r="B61" s="688"/>
      <c r="C61" s="688"/>
      <c r="D61" s="512"/>
      <c r="E61" s="512"/>
      <c r="F61" s="512"/>
      <c r="G61" s="512"/>
      <c r="H61" s="512"/>
      <c r="I61" s="512"/>
      <c r="J61" s="512"/>
    </row>
    <row r="62" spans="2:12" ht="5.0999999999999996" customHeight="1" x14ac:dyDescent="0.2">
      <c r="B62" s="688"/>
      <c r="C62" s="688"/>
      <c r="D62" s="512"/>
      <c r="E62" s="512"/>
      <c r="F62" s="512"/>
      <c r="G62" s="512"/>
      <c r="H62" s="512"/>
      <c r="I62" s="512"/>
      <c r="J62" s="512"/>
    </row>
    <row r="66" spans="1:12" ht="14.1" customHeight="1" x14ac:dyDescent="0.2">
      <c r="B66" s="688"/>
      <c r="C66" s="139"/>
      <c r="D66" s="139"/>
      <c r="E66" s="139"/>
      <c r="F66" s="139"/>
      <c r="G66" s="139"/>
      <c r="H66" s="139"/>
      <c r="I66" s="139"/>
      <c r="J66" s="139"/>
      <c r="K66" s="139"/>
      <c r="L66" s="139"/>
    </row>
    <row r="67" spans="1:12" ht="5.0999999999999996" customHeight="1" x14ac:dyDescent="0.2">
      <c r="B67" s="688"/>
      <c r="C67" s="688"/>
      <c r="D67" s="512"/>
      <c r="E67" s="512"/>
      <c r="F67" s="512"/>
      <c r="G67" s="512"/>
      <c r="H67" s="512"/>
      <c r="I67" s="512"/>
      <c r="J67" s="512"/>
    </row>
    <row r="68" spans="1:12" ht="12" customHeight="1" x14ac:dyDescent="0.2">
      <c r="B68" s="688"/>
      <c r="C68" s="688"/>
      <c r="D68" s="512"/>
      <c r="E68" s="512"/>
      <c r="F68" s="512"/>
      <c r="G68" s="512"/>
      <c r="H68" s="512"/>
      <c r="I68" s="512"/>
      <c r="J68" s="512"/>
    </row>
    <row r="69" spans="1:12" x14ac:dyDescent="0.2">
      <c r="B69" s="688"/>
      <c r="C69" s="688"/>
      <c r="D69" s="512"/>
      <c r="E69" s="512"/>
      <c r="F69" s="512"/>
      <c r="G69" s="512"/>
      <c r="H69" s="512"/>
      <c r="I69" s="512"/>
      <c r="J69" s="512"/>
    </row>
    <row r="70" spans="1:12" x14ac:dyDescent="0.2">
      <c r="B70" s="688"/>
      <c r="C70" s="688"/>
      <c r="D70" s="512"/>
      <c r="E70" s="512"/>
      <c r="F70" s="512"/>
      <c r="G70" s="512"/>
      <c r="H70" s="512"/>
      <c r="I70" s="512"/>
      <c r="J70" s="512"/>
    </row>
    <row r="71" spans="1:12" ht="16.5" customHeight="1" x14ac:dyDescent="0.2">
      <c r="B71" s="688"/>
      <c r="C71" s="688"/>
      <c r="D71" s="512"/>
      <c r="E71" s="512"/>
      <c r="F71" s="512"/>
      <c r="G71" s="512"/>
      <c r="H71" s="512"/>
      <c r="I71" s="512"/>
      <c r="J71" s="512"/>
    </row>
    <row r="72" spans="1:12" ht="5.0999999999999996" customHeight="1" x14ac:dyDescent="0.2">
      <c r="B72" s="688"/>
      <c r="C72" s="688"/>
      <c r="D72" s="512"/>
      <c r="E72" s="512"/>
      <c r="F72" s="512"/>
      <c r="G72" s="512"/>
      <c r="H72" s="512"/>
      <c r="I72" s="512"/>
      <c r="J72" s="512"/>
    </row>
    <row r="73" spans="1:12" x14ac:dyDescent="0.2">
      <c r="B73" s="688"/>
      <c r="C73" s="688"/>
      <c r="D73" s="512"/>
      <c r="E73" s="512"/>
      <c r="F73" s="512"/>
      <c r="G73" s="512"/>
      <c r="H73" s="512"/>
      <c r="I73" s="512"/>
      <c r="J73" s="512"/>
    </row>
    <row r="74" spans="1:12" x14ac:dyDescent="0.2">
      <c r="B74" s="688"/>
      <c r="C74" s="688"/>
      <c r="D74" s="512"/>
      <c r="E74" s="512"/>
      <c r="F74" s="512"/>
      <c r="G74" s="512"/>
      <c r="H74" s="512"/>
      <c r="I74" s="512"/>
      <c r="J74" s="512"/>
    </row>
    <row r="75" spans="1:12" x14ac:dyDescent="0.2">
      <c r="B75" s="688"/>
      <c r="C75" s="688"/>
      <c r="D75" s="512"/>
      <c r="E75" s="512"/>
      <c r="F75" s="512"/>
      <c r="G75" s="512"/>
      <c r="H75" s="512"/>
      <c r="I75" s="512"/>
      <c r="J75" s="512"/>
    </row>
    <row r="76" spans="1:12" ht="16.5" customHeight="1" x14ac:dyDescent="0.2">
      <c r="B76" s="688"/>
      <c r="C76" s="688"/>
      <c r="D76" s="512"/>
      <c r="E76" s="512"/>
      <c r="F76" s="512"/>
      <c r="G76" s="512"/>
      <c r="H76" s="512"/>
      <c r="I76" s="512"/>
      <c r="J76" s="512"/>
    </row>
    <row r="77" spans="1:12" ht="11.1" customHeight="1" x14ac:dyDescent="0.2">
      <c r="B77" s="688"/>
      <c r="C77" s="688"/>
      <c r="D77" s="512"/>
      <c r="E77" s="512"/>
      <c r="F77" s="512"/>
      <c r="G77" s="512"/>
      <c r="H77" s="512"/>
      <c r="I77" s="512"/>
      <c r="J77" s="512"/>
    </row>
    <row r="78" spans="1:12" x14ac:dyDescent="0.2">
      <c r="A78" s="41" t="str">
        <f>AgyIdx</f>
        <v>01</v>
      </c>
      <c r="B78" s="688"/>
      <c r="C78" s="688"/>
      <c r="D78" s="512"/>
      <c r="E78" s="512"/>
      <c r="F78" s="512"/>
      <c r="G78" s="512"/>
      <c r="H78" s="512"/>
      <c r="I78" s="512"/>
      <c r="J78" s="512"/>
    </row>
    <row r="79" spans="1:12" ht="15" x14ac:dyDescent="0.2">
      <c r="A79" s="421" t="str">
        <f ca="1">MID(CELL("filename",A1),FIND("]",CELL("filename",A1))+1,256)</f>
        <v>120</v>
      </c>
      <c r="B79" s="688" t="str">
        <f t="shared" ref="B79:B88" ca="1" si="1">IF(ISNA(INDEX(ErrorTable,MATCH($A$79&amp;$A80&amp;FALSE,ErrorKey,0),6)),"",INDEX(ErrorTable,MATCH($A$79&amp;$A80&amp;FALSE,ErrorKey,0),6))</f>
        <v/>
      </c>
      <c r="C79" s="688"/>
      <c r="D79" s="512"/>
      <c r="E79" s="512"/>
      <c r="F79" s="512"/>
      <c r="G79" s="512"/>
      <c r="H79" s="512"/>
      <c r="I79" s="512"/>
      <c r="J79" s="512"/>
    </row>
    <row r="80" spans="1:12" ht="15" x14ac:dyDescent="0.2">
      <c r="A80" s="421" t="s">
        <v>401</v>
      </c>
      <c r="B80" s="688" t="str">
        <f t="shared" ca="1" si="1"/>
        <v/>
      </c>
      <c r="C80" s="688"/>
      <c r="D80" s="512"/>
      <c r="E80" s="512"/>
      <c r="F80" s="512"/>
      <c r="G80" s="512"/>
      <c r="H80" s="512"/>
      <c r="I80" s="512"/>
      <c r="J80" s="512"/>
    </row>
    <row r="81" spans="1:10" ht="15" x14ac:dyDescent="0.2">
      <c r="A81" s="421" t="s">
        <v>402</v>
      </c>
      <c r="B81" s="688" t="str">
        <f t="shared" ca="1" si="1"/>
        <v/>
      </c>
      <c r="C81" s="688"/>
      <c r="D81" s="512"/>
      <c r="E81" s="512"/>
      <c r="F81" s="512"/>
      <c r="G81" s="512"/>
      <c r="H81" s="512"/>
      <c r="I81" s="512"/>
      <c r="J81" s="512"/>
    </row>
    <row r="82" spans="1:10" ht="15" x14ac:dyDescent="0.2">
      <c r="A82" s="421" t="s">
        <v>403</v>
      </c>
      <c r="B82" s="421" t="str">
        <f t="shared" ca="1" si="1"/>
        <v/>
      </c>
      <c r="C82" s="688"/>
      <c r="D82" s="512"/>
      <c r="E82" s="512"/>
      <c r="F82" s="512"/>
      <c r="G82" s="512"/>
      <c r="H82" s="512"/>
      <c r="I82" s="512"/>
      <c r="J82" s="512"/>
    </row>
    <row r="83" spans="1:10" ht="15" x14ac:dyDescent="0.2">
      <c r="A83" s="421" t="s">
        <v>404</v>
      </c>
      <c r="B83" s="421" t="str">
        <f t="shared" ca="1" si="1"/>
        <v/>
      </c>
      <c r="C83" s="421"/>
    </row>
    <row r="84" spans="1:10" ht="15" x14ac:dyDescent="0.2">
      <c r="A84" s="421" t="s">
        <v>405</v>
      </c>
      <c r="B84" s="421" t="str">
        <f t="shared" ca="1" si="1"/>
        <v/>
      </c>
      <c r="C84" s="421"/>
    </row>
    <row r="85" spans="1:10" ht="15" x14ac:dyDescent="0.2">
      <c r="A85" s="421" t="s">
        <v>406</v>
      </c>
      <c r="B85" s="421" t="str">
        <f t="shared" ca="1" si="1"/>
        <v/>
      </c>
      <c r="C85" s="421"/>
    </row>
    <row r="86" spans="1:10" ht="15" x14ac:dyDescent="0.2">
      <c r="A86" s="421" t="s">
        <v>407</v>
      </c>
      <c r="B86" s="421" t="str">
        <f t="shared" ca="1" si="1"/>
        <v/>
      </c>
      <c r="C86" s="421"/>
    </row>
    <row r="87" spans="1:10" ht="15" x14ac:dyDescent="0.2">
      <c r="A87" s="421" t="s">
        <v>408</v>
      </c>
      <c r="B87" s="421" t="str">
        <f t="shared" ca="1" si="1"/>
        <v/>
      </c>
      <c r="C87" s="421"/>
    </row>
    <row r="88" spans="1:10" ht="15" x14ac:dyDescent="0.2">
      <c r="A88" s="421" t="s">
        <v>409</v>
      </c>
      <c r="B88" s="421" t="str">
        <f t="shared" ca="1" si="1"/>
        <v/>
      </c>
      <c r="C88" s="421"/>
    </row>
    <row r="89" spans="1:10" ht="15" x14ac:dyDescent="0.2">
      <c r="A89" s="421" t="s">
        <v>410</v>
      </c>
      <c r="C89" s="421"/>
    </row>
  </sheetData>
  <sheetProtection algorithmName="SHA-512" hashValue="S9zSqCpkQeHzs6I/J+6M8xbDWk/oEyKG0mfXyOzXbh7SNuhdoOluv5fL+LGPB2PTAs1DVvLiVSb9ASc2pQpNKw==" saltValue="pjqM5S52WrC4izYTXDqmJA==" spinCount="100000" sheet="1" autoFilter="0"/>
  <mergeCells count="13">
    <mergeCell ref="K1:K3"/>
    <mergeCell ref="B2:J2"/>
    <mergeCell ref="B3:J3"/>
    <mergeCell ref="B7:D7"/>
    <mergeCell ref="D18:J18"/>
    <mergeCell ref="B13:F13"/>
    <mergeCell ref="D25:J25"/>
    <mergeCell ref="B1:J1"/>
    <mergeCell ref="D19:J19"/>
    <mergeCell ref="D23:J23"/>
    <mergeCell ref="D24:J24"/>
    <mergeCell ref="D20:J20"/>
    <mergeCell ref="D21:J21"/>
  </mergeCells>
  <conditionalFormatting sqref="F31">
    <cfRule type="containsText" dxfId="166" priority="1" stopIfTrue="1" operator="containsText" text="Answer Missing">
      <formula>NOT(ISERROR(SEARCH("Answer Missing",F31)))</formula>
    </cfRule>
  </conditionalFormatting>
  <conditionalFormatting sqref="K1:K3">
    <cfRule type="cellIs" dxfId="165" priority="2" stopIfTrue="1" operator="equal">
      <formula>"na"</formula>
    </cfRule>
  </conditionalFormatting>
  <hyperlinks>
    <hyperlink ref="B1:J1" location="Index!A1" display="Index!A1" xr:uid="{00000000-0004-0000-0600-000000000000}"/>
    <hyperlink ref="B13" r:id="rId1" xr:uid="{00000000-0004-0000-0600-000001000000}"/>
    <hyperlink ref="B13:F13" r:id="rId2" display="Financial Reporting Update for GASB 69" xr:uid="{FE317715-AA12-4BC2-AB74-E48E2ADEB3DB}"/>
  </hyperlinks>
  <pageMargins left="0.6" right="0.6" top="0.5" bottom="0.5" header="0.3" footer="0.3"/>
  <pageSetup scale="85" orientation="portrait"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dimension ref="A1:S55"/>
  <sheetViews>
    <sheetView showGridLines="0" topLeftCell="C1" zoomScaleNormal="100" workbookViewId="0">
      <selection activeCell="T39" sqref="T39"/>
    </sheetView>
  </sheetViews>
  <sheetFormatPr defaultColWidth="9.42578125" defaultRowHeight="12" x14ac:dyDescent="0.2"/>
  <cols>
    <col min="1" max="2" width="0" style="166" hidden="1" customWidth="1"/>
    <col min="3" max="4" width="2" style="166" customWidth="1"/>
    <col min="5" max="5" width="4.42578125" style="166" customWidth="1"/>
    <col min="6" max="6" width="8.42578125" style="166" customWidth="1"/>
    <col min="7" max="7" width="14.5703125" style="166" customWidth="1"/>
    <col min="8" max="8" width="8.5703125" style="166" customWidth="1"/>
    <col min="9" max="9" width="2.42578125" style="166" customWidth="1"/>
    <col min="10" max="10" width="15.5703125" style="166" customWidth="1"/>
    <col min="11" max="11" width="2.42578125" style="166" customWidth="1"/>
    <col min="12" max="12" width="14.5703125" style="166" customWidth="1"/>
    <col min="13" max="13" width="2.42578125" style="166" customWidth="1"/>
    <col min="14" max="14" width="15.5703125" style="166" customWidth="1"/>
    <col min="15" max="15" width="1.42578125" style="166" customWidth="1"/>
    <col min="16" max="16" width="18.5703125" style="166" customWidth="1"/>
    <col min="17" max="17" width="1.42578125" style="166" customWidth="1"/>
    <col min="18" max="18" width="9.42578125" style="166" customWidth="1"/>
    <col min="19" max="19" width="4.5703125" style="166" customWidth="1"/>
    <col min="20" max="16384" width="9.42578125" style="166"/>
  </cols>
  <sheetData>
    <row r="1" spans="1:19" ht="15.75" x14ac:dyDescent="0.25">
      <c r="A1" s="166" t="str">
        <f t="shared" ref="A1:A31" si="0">AgyIdx</f>
        <v>01</v>
      </c>
      <c r="C1" s="2553" t="str">
        <f>+Index!$A$1</f>
        <v xml:space="preserve">                                                               Office of the State Controller                                                                </v>
      </c>
      <c r="D1" s="2553"/>
      <c r="E1" s="2553"/>
      <c r="F1" s="2553"/>
      <c r="G1" s="2553"/>
      <c r="H1" s="2553"/>
      <c r="I1" s="2553"/>
      <c r="J1" s="2553"/>
      <c r="K1" s="2553"/>
      <c r="L1" s="2553"/>
      <c r="M1" s="2553"/>
      <c r="N1" s="2553"/>
      <c r="O1" s="2553"/>
      <c r="P1" s="2553"/>
      <c r="Q1" s="2553"/>
      <c r="R1" s="2553"/>
      <c r="S1" s="2626" t="str">
        <f>IF(Index!$B$97="na","NA","")</f>
        <v/>
      </c>
    </row>
    <row r="2" spans="1:19" ht="15.75" x14ac:dyDescent="0.25">
      <c r="A2" s="166" t="str">
        <f t="shared" si="0"/>
        <v>01</v>
      </c>
      <c r="C2" s="2532" t="str">
        <f>+Index!$A$2</f>
        <v>2024 ACFR Worksheets</v>
      </c>
      <c r="D2" s="2532"/>
      <c r="E2" s="2532"/>
      <c r="F2" s="2532"/>
      <c r="G2" s="2532"/>
      <c r="H2" s="2532"/>
      <c r="I2" s="2532"/>
      <c r="J2" s="2532"/>
      <c r="K2" s="2532"/>
      <c r="L2" s="2532"/>
      <c r="M2" s="2532"/>
      <c r="N2" s="2532"/>
      <c r="O2" s="2532"/>
      <c r="P2" s="2532"/>
      <c r="Q2" s="2532"/>
      <c r="R2" s="2532"/>
      <c r="S2" s="2626"/>
    </row>
    <row r="3" spans="1:19" ht="15.75" x14ac:dyDescent="0.25">
      <c r="A3" s="166" t="str">
        <f t="shared" si="0"/>
        <v>01</v>
      </c>
      <c r="C3" s="2532" t="s">
        <v>2309</v>
      </c>
      <c r="D3" s="2532"/>
      <c r="E3" s="2532"/>
      <c r="F3" s="2532"/>
      <c r="G3" s="2532"/>
      <c r="H3" s="2532"/>
      <c r="I3" s="2532"/>
      <c r="J3" s="2532"/>
      <c r="K3" s="2532"/>
      <c r="L3" s="2532"/>
      <c r="M3" s="2532"/>
      <c r="N3" s="2532"/>
      <c r="O3" s="2532"/>
      <c r="P3" s="2532"/>
      <c r="Q3" s="2532"/>
      <c r="R3" s="2532"/>
      <c r="S3" s="2626"/>
    </row>
    <row r="4" spans="1:19" ht="15.75" x14ac:dyDescent="0.25">
      <c r="A4" s="166" t="str">
        <f t="shared" si="0"/>
        <v>01</v>
      </c>
      <c r="C4" s="2532" t="s">
        <v>2567</v>
      </c>
      <c r="D4" s="2532"/>
      <c r="E4" s="2532"/>
      <c r="F4" s="2532"/>
      <c r="G4" s="2532"/>
      <c r="H4" s="2532"/>
      <c r="I4" s="2532"/>
      <c r="J4" s="2532"/>
      <c r="K4" s="2532"/>
      <c r="L4" s="2532"/>
      <c r="M4" s="2532"/>
      <c r="N4" s="2532"/>
      <c r="O4" s="2532"/>
      <c r="P4" s="2532"/>
      <c r="Q4" s="2532"/>
      <c r="R4" s="2532"/>
      <c r="S4" s="2251"/>
    </row>
    <row r="5" spans="1:19" ht="15" customHeight="1" x14ac:dyDescent="0.2">
      <c r="A5" s="166" t="str">
        <f t="shared" si="0"/>
        <v>01</v>
      </c>
    </row>
    <row r="6" spans="1:19" ht="15" customHeight="1" x14ac:dyDescent="0.2">
      <c r="A6" s="166" t="str">
        <f t="shared" si="0"/>
        <v>01</v>
      </c>
      <c r="C6" s="138" t="s">
        <v>318</v>
      </c>
      <c r="G6" s="2715" t="str">
        <f>+Index!$E$10</f>
        <v>01</v>
      </c>
      <c r="H6" s="2715"/>
      <c r="L6" s="5" t="s">
        <v>319</v>
      </c>
      <c r="N6" s="3033" t="str">
        <f>+Index!$E$11</f>
        <v>North Carolina General Assembly</v>
      </c>
      <c r="O6" s="3033"/>
      <c r="P6" s="3033"/>
      <c r="Q6" s="3033"/>
      <c r="R6" s="3033"/>
    </row>
    <row r="7" spans="1:19" ht="15" customHeight="1" x14ac:dyDescent="0.2">
      <c r="A7" s="166" t="str">
        <f t="shared" si="0"/>
        <v>01</v>
      </c>
      <c r="L7" s="5" t="s">
        <v>320</v>
      </c>
      <c r="N7" s="2993" t="str">
        <f>CONCATENATE(Index!$E$12," ",Index!$E$14)</f>
        <v xml:space="preserve"> </v>
      </c>
      <c r="O7" s="2993"/>
      <c r="P7" s="2993"/>
      <c r="Q7" s="2993"/>
      <c r="R7" s="2993"/>
    </row>
    <row r="8" spans="1:19" ht="15" customHeight="1" x14ac:dyDescent="0.2">
      <c r="A8" s="166" t="str">
        <f t="shared" si="0"/>
        <v>01</v>
      </c>
      <c r="C8" s="4" t="s">
        <v>545</v>
      </c>
      <c r="D8" s="4"/>
      <c r="E8" s="138"/>
      <c r="G8" s="2715" t="s">
        <v>762</v>
      </c>
      <c r="H8" s="2715"/>
      <c r="L8" s="5" t="s">
        <v>168</v>
      </c>
      <c r="N8" s="2993">
        <f>+Index!$E$13</f>
        <v>0</v>
      </c>
      <c r="O8" s="2993"/>
      <c r="P8" s="2993"/>
      <c r="Q8" s="2993"/>
      <c r="R8" s="2993"/>
    </row>
    <row r="9" spans="1:19" ht="15" customHeight="1" thickBot="1" x14ac:dyDescent="0.25">
      <c r="A9" s="166" t="str">
        <f t="shared" si="0"/>
        <v>01</v>
      </c>
      <c r="C9" s="167"/>
      <c r="D9" s="167"/>
      <c r="E9" s="167"/>
      <c r="F9" s="167"/>
      <c r="G9" s="168"/>
      <c r="H9" s="168"/>
      <c r="I9" s="168"/>
      <c r="J9" s="168"/>
      <c r="K9" s="168"/>
      <c r="L9" s="169"/>
      <c r="M9" s="168"/>
      <c r="N9" s="168"/>
      <c r="O9" s="168"/>
      <c r="P9" s="168"/>
      <c r="Q9" s="168"/>
      <c r="R9" s="168"/>
    </row>
    <row r="10" spans="1:19" ht="12" customHeight="1" x14ac:dyDescent="0.2">
      <c r="A10" s="166" t="str">
        <f t="shared" si="0"/>
        <v>01</v>
      </c>
    </row>
    <row r="11" spans="1:19" ht="14.1" customHeight="1" x14ac:dyDescent="0.2">
      <c r="A11" s="166" t="str">
        <f t="shared" si="0"/>
        <v>01</v>
      </c>
      <c r="C11" s="3045" t="s">
        <v>2568</v>
      </c>
      <c r="D11" s="3045"/>
      <c r="E11" s="3045"/>
      <c r="F11" s="3045"/>
      <c r="G11" s="3045"/>
      <c r="H11" s="3045"/>
      <c r="I11" s="3045"/>
      <c r="J11" s="3045"/>
      <c r="K11" s="3045"/>
      <c r="L11" s="3045"/>
      <c r="M11" s="3045"/>
      <c r="N11" s="3045"/>
      <c r="O11" s="3045"/>
      <c r="P11" s="3045"/>
      <c r="Q11" s="3045"/>
      <c r="R11" s="3045"/>
    </row>
    <row r="12" spans="1:19" ht="14.1" customHeight="1" x14ac:dyDescent="0.2">
      <c r="A12" s="166" t="str">
        <f t="shared" si="0"/>
        <v>01</v>
      </c>
      <c r="C12" s="3045"/>
      <c r="D12" s="3045"/>
      <c r="E12" s="3045"/>
      <c r="F12" s="3045"/>
      <c r="G12" s="3045"/>
      <c r="H12" s="3045"/>
      <c r="I12" s="3045"/>
      <c r="J12" s="3045"/>
      <c r="K12" s="3045"/>
      <c r="L12" s="3045"/>
      <c r="M12" s="3045"/>
      <c r="N12" s="3045"/>
      <c r="O12" s="3045"/>
      <c r="P12" s="3045"/>
      <c r="Q12" s="3045"/>
      <c r="R12" s="3045"/>
    </row>
    <row r="13" spans="1:19" ht="11.1" customHeight="1" x14ac:dyDescent="0.2">
      <c r="A13" s="166" t="str">
        <f t="shared" si="0"/>
        <v>01</v>
      </c>
      <c r="E13" s="170"/>
      <c r="F13" s="170"/>
      <c r="G13" s="170"/>
      <c r="H13" s="170"/>
      <c r="I13" s="170"/>
      <c r="J13" s="171"/>
      <c r="K13" s="171"/>
      <c r="L13" s="171"/>
      <c r="M13" s="171"/>
      <c r="N13" s="171"/>
      <c r="O13" s="171"/>
      <c r="P13" s="171"/>
      <c r="Q13" s="171"/>
      <c r="R13" s="171"/>
      <c r="S13" s="170"/>
    </row>
    <row r="14" spans="1:19" ht="14.25" customHeight="1" x14ac:dyDescent="0.2">
      <c r="A14" s="166" t="str">
        <f t="shared" si="0"/>
        <v>01</v>
      </c>
      <c r="C14" s="325" t="s">
        <v>2569</v>
      </c>
      <c r="D14" s="325"/>
      <c r="E14" s="185"/>
      <c r="F14" s="185"/>
      <c r="G14" s="185"/>
      <c r="H14" s="185"/>
      <c r="J14" s="185"/>
      <c r="K14" s="185"/>
      <c r="L14" s="185"/>
      <c r="M14" s="185"/>
      <c r="N14" s="185"/>
      <c r="O14" s="185"/>
      <c r="P14" s="185"/>
      <c r="Q14" s="185"/>
      <c r="R14" s="185"/>
      <c r="S14" s="170"/>
    </row>
    <row r="15" spans="1:19" ht="11.1" customHeight="1" x14ac:dyDescent="0.2">
      <c r="A15" s="166" t="str">
        <f t="shared" si="0"/>
        <v>01</v>
      </c>
      <c r="C15" s="325"/>
      <c r="D15" s="325"/>
      <c r="E15" s="185"/>
      <c r="F15" s="185"/>
      <c r="G15" s="185"/>
      <c r="H15" s="185"/>
      <c r="J15" s="185"/>
      <c r="K15" s="185"/>
      <c r="L15" s="185"/>
      <c r="M15" s="185"/>
      <c r="N15" s="185"/>
      <c r="O15" s="185"/>
      <c r="P15" s="185"/>
      <c r="Q15" s="185"/>
      <c r="R15" s="185"/>
      <c r="S15" s="170"/>
    </row>
    <row r="16" spans="1:19" ht="12" customHeight="1" x14ac:dyDescent="0.2">
      <c r="A16" s="166" t="str">
        <f t="shared" si="0"/>
        <v>01</v>
      </c>
      <c r="C16" s="325"/>
      <c r="D16" s="325"/>
      <c r="E16" s="185"/>
      <c r="F16" s="185"/>
      <c r="G16" s="185"/>
      <c r="H16" s="185"/>
      <c r="J16" s="3040" t="s">
        <v>2570</v>
      </c>
      <c r="K16" s="3040"/>
      <c r="L16" s="3040"/>
      <c r="M16" s="3040"/>
      <c r="N16" s="3040"/>
      <c r="O16" s="185"/>
      <c r="P16" s="185"/>
      <c r="Q16" s="185"/>
      <c r="R16" s="185"/>
      <c r="S16" s="170"/>
    </row>
    <row r="17" spans="1:19" customFormat="1" ht="15" customHeight="1" x14ac:dyDescent="0.2">
      <c r="A17" s="166" t="str">
        <f t="shared" si="0"/>
        <v>01</v>
      </c>
      <c r="F17" s="3040" t="s">
        <v>2571</v>
      </c>
      <c r="G17" s="3040"/>
      <c r="H17" s="3040"/>
      <c r="J17" s="2422" t="s">
        <v>340</v>
      </c>
      <c r="K17" s="145"/>
      <c r="L17" s="2422" t="s">
        <v>2572</v>
      </c>
      <c r="M17" s="145"/>
      <c r="N17" s="2422" t="s">
        <v>2573</v>
      </c>
      <c r="O17" s="145"/>
      <c r="P17" s="145"/>
      <c r="Q17" s="145"/>
      <c r="R17" s="166"/>
    </row>
    <row r="18" spans="1:19" ht="16.350000000000001" customHeight="1" x14ac:dyDescent="0.2">
      <c r="A18" s="166" t="str">
        <f t="shared" si="0"/>
        <v>01</v>
      </c>
      <c r="B18" s="166">
        <v>100</v>
      </c>
      <c r="F18" s="166" t="s">
        <v>2574</v>
      </c>
      <c r="H18" s="184"/>
      <c r="J18" s="323"/>
      <c r="L18" s="323"/>
      <c r="N18" s="323"/>
      <c r="P18" s="184"/>
      <c r="S18" s="170"/>
    </row>
    <row r="19" spans="1:19" ht="12" customHeight="1" x14ac:dyDescent="0.2">
      <c r="A19" s="166" t="str">
        <f t="shared" si="0"/>
        <v>01</v>
      </c>
      <c r="B19" s="166">
        <v>120</v>
      </c>
      <c r="F19" s="325" t="s">
        <v>2575</v>
      </c>
      <c r="H19" s="184"/>
      <c r="J19" s="323"/>
      <c r="L19" s="323"/>
      <c r="N19" s="328"/>
      <c r="P19" s="184"/>
      <c r="S19" s="170"/>
    </row>
    <row r="20" spans="1:19" ht="12" customHeight="1" x14ac:dyDescent="0.2">
      <c r="A20" s="166" t="str">
        <f t="shared" si="0"/>
        <v>01</v>
      </c>
      <c r="B20" s="166">
        <v>140</v>
      </c>
      <c r="F20" s="325" t="s">
        <v>2576</v>
      </c>
      <c r="H20" s="184"/>
      <c r="J20" s="323"/>
      <c r="L20" s="323"/>
      <c r="N20" s="328"/>
      <c r="P20" s="184"/>
      <c r="S20" s="170"/>
    </row>
    <row r="21" spans="1:19" ht="12" customHeight="1" x14ac:dyDescent="0.2">
      <c r="A21" s="166" t="str">
        <f t="shared" si="0"/>
        <v>01</v>
      </c>
      <c r="B21" s="166">
        <v>160</v>
      </c>
      <c r="F21" s="325" t="s">
        <v>2577</v>
      </c>
      <c r="H21" s="184"/>
      <c r="J21" s="323"/>
      <c r="L21" s="323"/>
      <c r="N21" s="328"/>
      <c r="P21" s="184"/>
      <c r="S21" s="170"/>
    </row>
    <row r="22" spans="1:19" ht="12" customHeight="1" x14ac:dyDescent="0.2">
      <c r="A22" s="166" t="str">
        <f t="shared" si="0"/>
        <v>01</v>
      </c>
      <c r="B22" s="166">
        <v>180</v>
      </c>
      <c r="F22" s="325" t="s">
        <v>2578</v>
      </c>
      <c r="H22" s="184"/>
      <c r="J22" s="323"/>
      <c r="L22" s="323"/>
      <c r="N22" s="328"/>
      <c r="P22" s="184"/>
      <c r="S22" s="170"/>
    </row>
    <row r="23" spans="1:19" ht="12" customHeight="1" x14ac:dyDescent="0.2">
      <c r="A23" s="166" t="str">
        <f t="shared" si="0"/>
        <v>01</v>
      </c>
      <c r="B23" s="166">
        <v>200</v>
      </c>
      <c r="F23" s="325" t="s">
        <v>2579</v>
      </c>
      <c r="H23" s="184"/>
      <c r="J23" s="323"/>
      <c r="L23" s="323"/>
      <c r="N23" s="328"/>
      <c r="P23" s="184"/>
      <c r="S23" s="170"/>
    </row>
    <row r="24" spans="1:19" ht="11.1" customHeight="1" x14ac:dyDescent="0.2">
      <c r="A24" s="166" t="str">
        <f t="shared" si="0"/>
        <v>01</v>
      </c>
      <c r="C24" s="185"/>
      <c r="D24" s="185"/>
      <c r="E24" s="325"/>
      <c r="F24" s="185"/>
      <c r="G24" s="185"/>
      <c r="H24" s="185"/>
      <c r="J24" s="185"/>
      <c r="K24" s="185"/>
      <c r="L24" s="185"/>
      <c r="S24" s="170"/>
    </row>
    <row r="25" spans="1:19" ht="15" customHeight="1" x14ac:dyDescent="0.2">
      <c r="A25" s="166" t="str">
        <f t="shared" si="0"/>
        <v>01</v>
      </c>
      <c r="C25" s="325" t="s">
        <v>2580</v>
      </c>
      <c r="D25" s="325"/>
      <c r="E25" s="325"/>
      <c r="F25" s="185"/>
      <c r="G25" s="185"/>
      <c r="H25" s="185"/>
      <c r="J25" s="185"/>
      <c r="K25" s="185"/>
      <c r="L25" s="185"/>
      <c r="S25" s="170"/>
    </row>
    <row r="26" spans="1:19" ht="10.35" customHeight="1" x14ac:dyDescent="0.2">
      <c r="A26" s="166" t="str">
        <f t="shared" si="0"/>
        <v>01</v>
      </c>
      <c r="C26" s="325"/>
      <c r="D26" s="325"/>
      <c r="E26" s="325"/>
      <c r="F26" s="185"/>
      <c r="G26" s="185"/>
      <c r="H26" s="185"/>
      <c r="J26" s="185"/>
      <c r="K26" s="185"/>
      <c r="L26" s="185"/>
      <c r="S26" s="170"/>
    </row>
    <row r="27" spans="1:19" ht="10.35" customHeight="1" x14ac:dyDescent="0.2">
      <c r="A27" s="166" t="str">
        <f t="shared" si="0"/>
        <v>01</v>
      </c>
      <c r="C27" s="138"/>
      <c r="D27" s="325"/>
      <c r="F27" s="185"/>
      <c r="G27" s="185"/>
      <c r="H27" s="185"/>
      <c r="J27" s="185"/>
      <c r="K27" s="185"/>
      <c r="L27" s="185"/>
      <c r="S27" s="170"/>
    </row>
    <row r="28" spans="1:19" ht="10.35" customHeight="1" x14ac:dyDescent="0.2">
      <c r="A28" s="166" t="str">
        <f t="shared" si="0"/>
        <v>01</v>
      </c>
      <c r="C28" s="138"/>
      <c r="D28" s="325"/>
      <c r="F28" s="185"/>
      <c r="G28" s="185"/>
      <c r="H28" s="185"/>
      <c r="J28" s="185"/>
      <c r="K28" s="185"/>
      <c r="L28" s="185"/>
      <c r="S28" s="170"/>
    </row>
    <row r="29" spans="1:19" ht="11.1" customHeight="1" x14ac:dyDescent="0.2">
      <c r="A29" s="166" t="str">
        <f t="shared" si="0"/>
        <v>01</v>
      </c>
      <c r="C29" s="326" t="s">
        <v>716</v>
      </c>
      <c r="D29" s="327" t="s">
        <v>519</v>
      </c>
      <c r="E29" s="325" t="s">
        <v>2581</v>
      </c>
      <c r="F29" s="185"/>
      <c r="G29" s="185"/>
      <c r="H29" s="185"/>
      <c r="J29" s="185"/>
      <c r="K29" s="185"/>
      <c r="L29" s="185"/>
      <c r="S29" s="170"/>
    </row>
    <row r="30" spans="1:19" ht="11.1" customHeight="1" x14ac:dyDescent="0.2">
      <c r="A30" s="166" t="str">
        <f t="shared" si="0"/>
        <v>01</v>
      </c>
      <c r="C30" s="326"/>
      <c r="D30" s="327"/>
      <c r="E30" s="325" t="s">
        <v>2582</v>
      </c>
      <c r="F30" s="185"/>
      <c r="G30" s="185"/>
      <c r="H30" s="185"/>
      <c r="J30" s="185"/>
      <c r="K30" s="185"/>
      <c r="L30" s="185"/>
      <c r="S30" s="170"/>
    </row>
    <row r="31" spans="1:19" ht="11.1" customHeight="1" x14ac:dyDescent="0.2">
      <c r="A31" s="166" t="str">
        <f t="shared" si="0"/>
        <v>01</v>
      </c>
      <c r="C31" s="326"/>
      <c r="D31" s="327"/>
      <c r="E31" s="325" t="s">
        <v>2583</v>
      </c>
      <c r="F31" s="185"/>
      <c r="G31" s="185"/>
      <c r="H31" s="185"/>
      <c r="J31" s="185"/>
      <c r="K31" s="185"/>
      <c r="L31" s="185"/>
      <c r="S31" s="170"/>
    </row>
    <row r="32" spans="1:19" ht="4.3499999999999996" customHeight="1" x14ac:dyDescent="0.2">
      <c r="A32" s="166" t="str">
        <f t="shared" ref="A32:A55" si="1">AgyIdx</f>
        <v>01</v>
      </c>
      <c r="C32" s="326"/>
      <c r="D32" s="327"/>
      <c r="F32" s="185"/>
      <c r="G32" s="185"/>
      <c r="H32" s="185"/>
      <c r="J32" s="185"/>
      <c r="K32" s="185"/>
      <c r="L32" s="185"/>
      <c r="S32" s="170"/>
    </row>
    <row r="33" spans="1:19" ht="10.5" customHeight="1" x14ac:dyDescent="0.2">
      <c r="A33" s="166" t="str">
        <f t="shared" si="1"/>
        <v>01</v>
      </c>
      <c r="C33" s="326"/>
      <c r="D33" s="327" t="s">
        <v>522</v>
      </c>
      <c r="E33" s="166" t="s">
        <v>2584</v>
      </c>
      <c r="F33" s="185"/>
      <c r="G33" s="185"/>
      <c r="H33" s="185"/>
      <c r="J33" s="185"/>
      <c r="K33" s="185"/>
      <c r="L33" s="185"/>
      <c r="S33" s="170"/>
    </row>
    <row r="34" spans="1:19" ht="10.5" customHeight="1" x14ac:dyDescent="0.2">
      <c r="A34" s="166" t="str">
        <f t="shared" si="1"/>
        <v>01</v>
      </c>
      <c r="C34" s="326"/>
      <c r="D34" s="327"/>
      <c r="E34" s="166" t="s">
        <v>2585</v>
      </c>
      <c r="F34" s="185"/>
      <c r="G34" s="185"/>
      <c r="H34" s="185"/>
      <c r="J34" s="185"/>
      <c r="K34" s="185"/>
      <c r="L34" s="185"/>
      <c r="S34" s="170"/>
    </row>
    <row r="35" spans="1:19" ht="4.3499999999999996" customHeight="1" x14ac:dyDescent="0.2">
      <c r="A35" s="166" t="str">
        <f t="shared" si="1"/>
        <v>01</v>
      </c>
      <c r="C35" s="326"/>
      <c r="D35" s="327"/>
      <c r="F35" s="185"/>
      <c r="G35" s="185"/>
      <c r="H35" s="185"/>
      <c r="J35" s="185"/>
      <c r="K35" s="185"/>
      <c r="L35" s="185"/>
      <c r="S35" s="170"/>
    </row>
    <row r="36" spans="1:19" ht="11.1" customHeight="1" x14ac:dyDescent="0.2">
      <c r="A36" s="166" t="str">
        <f t="shared" si="1"/>
        <v>01</v>
      </c>
      <c r="C36" s="326"/>
      <c r="D36" s="327" t="s">
        <v>525</v>
      </c>
      <c r="E36" s="166" t="s">
        <v>2586</v>
      </c>
      <c r="F36" s="185"/>
      <c r="G36" s="185"/>
      <c r="H36" s="185"/>
      <c r="J36" s="185"/>
      <c r="K36" s="185"/>
      <c r="L36" s="185"/>
      <c r="S36" s="170"/>
    </row>
    <row r="37" spans="1:19" ht="11.1" customHeight="1" x14ac:dyDescent="0.2">
      <c r="A37" s="166" t="str">
        <f t="shared" si="1"/>
        <v>01</v>
      </c>
      <c r="C37" s="326"/>
      <c r="D37" s="327"/>
      <c r="E37" s="166" t="s">
        <v>2587</v>
      </c>
      <c r="F37" s="185"/>
      <c r="G37" s="185"/>
      <c r="H37" s="185"/>
      <c r="J37" s="185"/>
      <c r="K37" s="185"/>
      <c r="L37" s="185"/>
      <c r="S37" s="170"/>
    </row>
    <row r="38" spans="1:19" ht="11.1" customHeight="1" x14ac:dyDescent="0.2">
      <c r="A38" s="166" t="str">
        <f t="shared" si="1"/>
        <v>01</v>
      </c>
      <c r="C38" s="325"/>
      <c r="E38" s="166" t="s">
        <v>2588</v>
      </c>
      <c r="F38" s="185"/>
      <c r="G38" s="185"/>
      <c r="H38" s="185"/>
      <c r="J38" s="185"/>
      <c r="K38" s="185"/>
      <c r="L38" s="185"/>
      <c r="S38" s="170"/>
    </row>
    <row r="39" spans="1:19" ht="6" customHeight="1" x14ac:dyDescent="0.2">
      <c r="A39" s="166" t="str">
        <f t="shared" si="1"/>
        <v>01</v>
      </c>
      <c r="C39" s="325"/>
      <c r="E39" s="325"/>
      <c r="F39" s="185"/>
      <c r="G39" s="185"/>
      <c r="H39" s="185"/>
      <c r="J39" s="185"/>
      <c r="K39" s="185"/>
      <c r="L39" s="185"/>
      <c r="S39" s="170"/>
    </row>
    <row r="40" spans="1:19" ht="11.1" customHeight="1" x14ac:dyDescent="0.2">
      <c r="A40" s="166" t="str">
        <f t="shared" si="1"/>
        <v>01</v>
      </c>
      <c r="C40" s="326" t="s">
        <v>718</v>
      </c>
      <c r="D40" s="327"/>
      <c r="E40" s="325" t="s">
        <v>2589</v>
      </c>
      <c r="F40" s="185"/>
      <c r="G40" s="185"/>
      <c r="H40" s="185"/>
      <c r="J40" s="185"/>
      <c r="K40" s="185"/>
      <c r="L40" s="185"/>
      <c r="S40" s="170"/>
    </row>
    <row r="41" spans="1:19" ht="6" customHeight="1" x14ac:dyDescent="0.2">
      <c r="A41" s="166" t="str">
        <f t="shared" si="1"/>
        <v>01</v>
      </c>
      <c r="C41" s="326"/>
      <c r="D41" s="327"/>
      <c r="E41" s="325"/>
      <c r="F41" s="185"/>
      <c r="G41" s="185"/>
      <c r="H41" s="185"/>
      <c r="J41" s="185"/>
      <c r="K41" s="185"/>
      <c r="L41" s="185"/>
      <c r="S41" s="170"/>
    </row>
    <row r="42" spans="1:19" ht="11.1" customHeight="1" x14ac:dyDescent="0.2">
      <c r="A42" s="166" t="str">
        <f t="shared" si="1"/>
        <v>01</v>
      </c>
      <c r="C42" s="326" t="s">
        <v>722</v>
      </c>
      <c r="D42" s="327"/>
      <c r="E42" s="325" t="s">
        <v>2590</v>
      </c>
      <c r="F42" s="185"/>
      <c r="G42" s="185"/>
      <c r="H42" s="185"/>
      <c r="J42" s="185"/>
      <c r="K42" s="185"/>
      <c r="L42" s="185"/>
      <c r="S42" s="170"/>
    </row>
    <row r="43" spans="1:19" ht="6" customHeight="1" x14ac:dyDescent="0.2">
      <c r="A43" s="166" t="str">
        <f t="shared" si="1"/>
        <v>01</v>
      </c>
      <c r="C43" s="185"/>
      <c r="D43" s="185"/>
      <c r="E43" s="325"/>
      <c r="F43" s="185"/>
      <c r="G43" s="185"/>
      <c r="H43" s="185"/>
      <c r="J43" s="185"/>
      <c r="K43" s="185"/>
      <c r="L43" s="185"/>
      <c r="S43" s="170"/>
    </row>
    <row r="44" spans="1:19" ht="11.1" customHeight="1" x14ac:dyDescent="0.2">
      <c r="A44" s="166" t="str">
        <f t="shared" si="1"/>
        <v>01</v>
      </c>
      <c r="C44" s="326" t="s">
        <v>725</v>
      </c>
      <c r="D44" s="185"/>
      <c r="E44" s="325" t="s">
        <v>2591</v>
      </c>
      <c r="F44" s="185"/>
      <c r="G44" s="185"/>
      <c r="H44" s="185"/>
      <c r="J44" s="185"/>
      <c r="K44" s="185"/>
      <c r="L44" s="185"/>
      <c r="S44" s="170"/>
    </row>
    <row r="45" spans="1:19" ht="11.1" customHeight="1" x14ac:dyDescent="0.2">
      <c r="A45" s="166" t="str">
        <f t="shared" si="1"/>
        <v>01</v>
      </c>
      <c r="C45" s="185"/>
      <c r="D45" s="185"/>
      <c r="E45" s="325" t="s">
        <v>2592</v>
      </c>
      <c r="F45" s="185"/>
      <c r="G45" s="185"/>
      <c r="H45" s="185"/>
      <c r="J45" s="185"/>
      <c r="K45" s="185"/>
      <c r="L45" s="185"/>
      <c r="S45" s="170"/>
    </row>
    <row r="46" spans="1:19" ht="11.1" customHeight="1" x14ac:dyDescent="0.2">
      <c r="A46" s="166" t="str">
        <f t="shared" si="1"/>
        <v>01</v>
      </c>
      <c r="C46" s="185"/>
      <c r="D46" s="185"/>
      <c r="E46" s="325" t="s">
        <v>2593</v>
      </c>
      <c r="F46" s="185"/>
      <c r="G46" s="185"/>
      <c r="H46" s="185"/>
      <c r="J46" s="185"/>
      <c r="K46" s="185"/>
      <c r="L46" s="185"/>
      <c r="S46" s="170"/>
    </row>
    <row r="47" spans="1:19" ht="12" customHeight="1" x14ac:dyDescent="0.2">
      <c r="A47" s="166" t="str">
        <f t="shared" si="1"/>
        <v>01</v>
      </c>
      <c r="C47" s="185"/>
      <c r="D47" s="185"/>
      <c r="E47" s="185"/>
      <c r="F47" s="185"/>
      <c r="G47" s="185"/>
      <c r="H47" s="185"/>
      <c r="J47" s="185"/>
      <c r="K47" s="185"/>
      <c r="L47" s="185"/>
      <c r="S47" s="170"/>
    </row>
    <row r="48" spans="1:19" ht="12" customHeight="1" x14ac:dyDescent="0.2">
      <c r="A48" s="166" t="str">
        <f t="shared" si="1"/>
        <v>01</v>
      </c>
      <c r="C48" s="185"/>
      <c r="D48" s="185"/>
      <c r="E48" s="185"/>
      <c r="F48" s="185"/>
      <c r="G48" s="185"/>
      <c r="H48" s="185"/>
      <c r="J48" s="185"/>
      <c r="K48" s="185"/>
      <c r="L48" s="185"/>
      <c r="S48" s="170"/>
    </row>
    <row r="49" spans="1:19" ht="12" customHeight="1" x14ac:dyDescent="0.2">
      <c r="A49" s="166" t="str">
        <f t="shared" si="1"/>
        <v>01</v>
      </c>
      <c r="C49" s="185"/>
      <c r="D49" s="185"/>
      <c r="E49" s="185"/>
      <c r="F49" s="185"/>
      <c r="G49" s="185"/>
      <c r="H49" s="185"/>
      <c r="J49" s="185"/>
      <c r="K49" s="185"/>
      <c r="L49" s="185"/>
      <c r="S49" s="170"/>
    </row>
    <row r="50" spans="1:19" ht="12" customHeight="1" x14ac:dyDescent="0.2">
      <c r="A50" s="166" t="str">
        <f t="shared" si="1"/>
        <v>01</v>
      </c>
      <c r="C50" s="185"/>
      <c r="D50" s="185"/>
      <c r="E50" s="185"/>
      <c r="F50" s="185"/>
      <c r="G50" s="185"/>
      <c r="H50" s="185"/>
      <c r="J50" s="185"/>
      <c r="K50" s="185"/>
      <c r="L50" s="185"/>
      <c r="S50" s="170"/>
    </row>
    <row r="51" spans="1:19" ht="12" customHeight="1" x14ac:dyDescent="0.2">
      <c r="A51" s="166" t="str">
        <f t="shared" si="1"/>
        <v>01</v>
      </c>
      <c r="C51" s="185"/>
      <c r="D51" s="185"/>
      <c r="E51" s="185"/>
      <c r="F51" s="185"/>
      <c r="G51" s="185"/>
      <c r="H51" s="185"/>
      <c r="J51" s="185"/>
      <c r="K51" s="185"/>
      <c r="L51" s="185"/>
      <c r="S51" s="170"/>
    </row>
    <row r="52" spans="1:19" ht="10.35" customHeight="1" x14ac:dyDescent="0.2">
      <c r="A52" s="166" t="str">
        <f t="shared" si="1"/>
        <v>01</v>
      </c>
    </row>
    <row r="53" spans="1:19" ht="12" customHeight="1" x14ac:dyDescent="0.2">
      <c r="A53" s="166" t="str">
        <f t="shared" si="1"/>
        <v>01</v>
      </c>
      <c r="C53" s="1773"/>
      <c r="D53" s="1773"/>
    </row>
    <row r="54" spans="1:19" x14ac:dyDescent="0.2">
      <c r="A54" s="166" t="str">
        <f t="shared" si="1"/>
        <v>01</v>
      </c>
    </row>
    <row r="55" spans="1:19" x14ac:dyDescent="0.2">
      <c r="A55" s="166" t="str">
        <f t="shared" si="1"/>
        <v>01</v>
      </c>
    </row>
  </sheetData>
  <sheetProtection algorithmName="SHA-512" hashValue="f5BAPwSPNY8P/G5axTwqL151Zd8okxtbZJN/K7XhtLYVdUbjZYFy5uoUkuEXXYPjss+xm5OFkU1kaBXudzR4Eg==" saltValue="FdWU3Wr3Tbx7JmTw2H/y/w==" spinCount="100000" sheet="1" autoFilter="0"/>
  <customSheetViews>
    <customSheetView guid="{9FCFC836-1CA5-48BF-958D-24D2EA94B219}" showGridLines="0" fitToPage="1" hiddenColumns="1" topLeftCell="C1">
      <selection activeCell="F37" sqref="F37"/>
      <pageMargins left="0" right="0" top="0" bottom="0" header="0" footer="0"/>
      <pageSetup orientation="landscape" r:id="rId1"/>
      <headerFooter alignWithMargins="0">
        <oddFooter>&amp;R&amp;A</oddFooter>
      </headerFooter>
    </customSheetView>
    <customSheetView guid="{BEA4BE86-04D1-4C96-9358-7A260B9D2B2D}" showGridLines="0" fitToPage="1" showRuler="0">
      <selection activeCell="E8" sqref="E8:F8"/>
      <pageMargins left="0" right="0" top="0" bottom="0" header="0" footer="0"/>
      <pageSetup orientation="landscape" r:id="rId2"/>
      <headerFooter alignWithMargins="0">
        <oddFooter>&amp;R&amp;A</oddFooter>
      </headerFooter>
    </customSheetView>
    <customSheetView guid="{1250FD07-FF56-4A9D-AF9E-C27124A7EBE9}" showGridLines="0" fitToPage="1" showRuler="0">
      <selection activeCell="E8" sqref="E8:F8"/>
      <pageMargins left="0" right="0" top="0" bottom="0" header="0" footer="0"/>
      <pageSetup orientation="landscape" r:id="rId3"/>
      <headerFooter alignWithMargins="0">
        <oddFooter>&amp;R&amp;A</oddFooter>
      </headerFooter>
    </customSheetView>
    <customSheetView guid="{B08879A4-635B-4C39-9937-AC7883D562FC}" showGridLines="0" fitToPage="1" hiddenColumns="1" topLeftCell="C1">
      <selection activeCell="F37" sqref="F37"/>
      <pageMargins left="0" right="0" top="0" bottom="0" header="0" footer="0"/>
      <pageSetup orientation="landscape" r:id="rId4"/>
      <headerFooter alignWithMargins="0">
        <oddFooter>&amp;R&amp;A</oddFooter>
      </headerFooter>
    </customSheetView>
  </customSheetViews>
  <mergeCells count="13">
    <mergeCell ref="F17:H17"/>
    <mergeCell ref="J16:N16"/>
    <mergeCell ref="C4:R4"/>
    <mergeCell ref="G8:H8"/>
    <mergeCell ref="S1:S3"/>
    <mergeCell ref="C11:R12"/>
    <mergeCell ref="N6:R6"/>
    <mergeCell ref="N7:R7"/>
    <mergeCell ref="N8:R8"/>
    <mergeCell ref="C1:R1"/>
    <mergeCell ref="G6:H6"/>
    <mergeCell ref="C2:R2"/>
    <mergeCell ref="C3:R3"/>
  </mergeCells>
  <phoneticPr fontId="18" type="noConversion"/>
  <conditionalFormatting sqref="S1:S3">
    <cfRule type="cellIs" dxfId="30" priority="1" stopIfTrue="1" operator="equal">
      <formula>"na"</formula>
    </cfRule>
  </conditionalFormatting>
  <hyperlinks>
    <hyperlink ref="C1:R1" location="Index!A1" display="Index!A1" xr:uid="{00000000-0004-0000-4500-000000000000}"/>
  </hyperlinks>
  <pageMargins left="0.6" right="0.6" top="0.5" bottom="0.5" header="0.3" footer="0.3"/>
  <pageSetup scale="85" orientation="landscape" r:id="rId5"/>
  <ignoredErrors>
    <ignoredError sqref="C29 C40 C42 C44" numberStoredAsText="1"/>
  </ignoredErrors>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49"/>
  <dimension ref="A1:AK113"/>
  <sheetViews>
    <sheetView showGridLines="0" topLeftCell="B1" zoomScaleNormal="100" zoomScaleSheetLayoutView="100" workbookViewId="0">
      <selection activeCell="C55" sqref="C55:G55"/>
    </sheetView>
  </sheetViews>
  <sheetFormatPr defaultColWidth="9.42578125" defaultRowHeight="12.75" x14ac:dyDescent="0.2"/>
  <cols>
    <col min="1" max="1" width="9.42578125" style="4" hidden="1" customWidth="1"/>
    <col min="2" max="2" width="6.5703125" style="4" customWidth="1"/>
    <col min="3" max="3" width="1.5703125" style="4" customWidth="1"/>
    <col min="4" max="4" width="10.140625" style="4" customWidth="1"/>
    <col min="5" max="5" width="12.28515625" style="4" customWidth="1"/>
    <col min="6" max="6" width="1.5703125" style="4" customWidth="1"/>
    <col min="7" max="7" width="8.140625" style="4" customWidth="1"/>
    <col min="8" max="8" width="0.5703125" style="4" customWidth="1"/>
    <col min="9" max="9" width="5.5703125" style="4" hidden="1" customWidth="1"/>
    <col min="10" max="10" width="2" style="4" customWidth="1"/>
    <col min="11" max="11" width="13.5703125" style="4" customWidth="1"/>
    <col min="12" max="12" width="2.5703125" style="4" customWidth="1"/>
    <col min="13" max="13" width="13.5703125" style="4" customWidth="1"/>
    <col min="14" max="14" width="1.42578125" style="4" customWidth="1"/>
    <col min="15" max="15" width="13.5703125" style="4" customWidth="1"/>
    <col min="16" max="16" width="1.42578125" style="4" customWidth="1"/>
    <col min="17" max="17" width="13.5703125" style="4" customWidth="1"/>
    <col min="18" max="18" width="0.5703125" style="4" customWidth="1"/>
    <col min="19" max="19" width="12.5703125" style="4" customWidth="1"/>
    <col min="20" max="20" width="0.5703125" style="4" customWidth="1"/>
    <col min="21" max="21" width="19" style="4" customWidth="1"/>
    <col min="22" max="22" width="0.5703125" style="4" customWidth="1"/>
    <col min="23" max="23" width="2.5703125" style="4" customWidth="1"/>
    <col min="24" max="24" width="7" style="4" hidden="1" customWidth="1"/>
    <col min="25" max="25" width="16.42578125" style="4" customWidth="1"/>
    <col min="26" max="27" width="2.42578125" style="4" customWidth="1"/>
    <col min="28" max="28" width="39.42578125" style="4" customWidth="1"/>
    <col min="29" max="31" width="39" style="4" customWidth="1"/>
    <col min="32" max="36" width="9.42578125" style="4" customWidth="1"/>
    <col min="37" max="37" width="9.42578125" style="1338"/>
    <col min="38" max="16384" width="9.42578125" style="4"/>
  </cols>
  <sheetData>
    <row r="1" spans="1:37" ht="25.15" customHeight="1" x14ac:dyDescent="0.25">
      <c r="A1" s="4" t="str">
        <f t="shared" ref="A1:A73" si="0">AgyIdx</f>
        <v>01</v>
      </c>
      <c r="B1" s="2553" t="str">
        <f>+Index!$A$1</f>
        <v xml:space="preserve">                                                               Office of the State Controller                                                                </v>
      </c>
      <c r="C1" s="2553"/>
      <c r="D1" s="2553"/>
      <c r="E1" s="2553"/>
      <c r="F1" s="2553"/>
      <c r="G1" s="2553"/>
      <c r="H1" s="2553"/>
      <c r="I1" s="2553"/>
      <c r="J1" s="2553"/>
      <c r="K1" s="2553"/>
      <c r="L1" s="2553"/>
      <c r="M1" s="2553"/>
      <c r="N1" s="2553"/>
      <c r="O1" s="2553"/>
      <c r="P1" s="2553"/>
      <c r="Q1" s="2553"/>
      <c r="R1" s="2553"/>
      <c r="S1" s="2553"/>
      <c r="T1" s="2553"/>
      <c r="U1" s="2298" t="str">
        <f>IF(Index!$B$99="na","NA","")</f>
        <v/>
      </c>
      <c r="V1" s="410"/>
      <c r="W1" s="410"/>
      <c r="Y1" s="2626"/>
    </row>
    <row r="2" spans="1:37" ht="15" customHeight="1" x14ac:dyDescent="0.25">
      <c r="A2" s="4" t="str">
        <f t="shared" si="0"/>
        <v>01</v>
      </c>
      <c r="B2" s="3020" t="str">
        <f>+Index!$A$2</f>
        <v>2024 ACFR Worksheets</v>
      </c>
      <c r="C2" s="3020"/>
      <c r="D2" s="3020"/>
      <c r="E2" s="3020"/>
      <c r="F2" s="3020"/>
      <c r="G2" s="3020"/>
      <c r="H2" s="3020"/>
      <c r="I2" s="3020"/>
      <c r="J2" s="3020"/>
      <c r="K2" s="3020"/>
      <c r="L2" s="3020"/>
      <c r="M2" s="3020"/>
      <c r="N2" s="3020"/>
      <c r="O2" s="3020"/>
      <c r="P2" s="3020"/>
      <c r="Q2" s="3020"/>
      <c r="R2" s="3020"/>
      <c r="S2" s="3020"/>
      <c r="T2" s="3020"/>
      <c r="U2" s="2298"/>
      <c r="V2" s="410"/>
      <c r="W2" s="410"/>
      <c r="Y2" s="2626"/>
    </row>
    <row r="3" spans="1:37" ht="15" customHeight="1" x14ac:dyDescent="0.25">
      <c r="A3" s="4" t="str">
        <f t="shared" si="0"/>
        <v>01</v>
      </c>
      <c r="B3" s="3020" t="s">
        <v>2594</v>
      </c>
      <c r="C3" s="3020"/>
      <c r="D3" s="3020"/>
      <c r="E3" s="3020"/>
      <c r="F3" s="3020"/>
      <c r="G3" s="3020"/>
      <c r="H3" s="3020"/>
      <c r="I3" s="3020"/>
      <c r="J3" s="3020"/>
      <c r="K3" s="3020"/>
      <c r="L3" s="3020"/>
      <c r="M3" s="3020"/>
      <c r="N3" s="3020"/>
      <c r="O3" s="3020"/>
      <c r="P3" s="3020"/>
      <c r="Q3" s="3020"/>
      <c r="R3" s="3020"/>
      <c r="S3" s="3020"/>
      <c r="T3" s="3020"/>
      <c r="U3" s="2298"/>
      <c r="V3" s="410"/>
      <c r="W3" s="410"/>
      <c r="Y3" s="2626"/>
    </row>
    <row r="4" spans="1:37" ht="15" customHeight="1" x14ac:dyDescent="0.25">
      <c r="A4" s="4" t="str">
        <f t="shared" si="0"/>
        <v>01</v>
      </c>
      <c r="B4" s="3020" t="s">
        <v>2595</v>
      </c>
      <c r="C4" s="3020"/>
      <c r="D4" s="3020"/>
      <c r="E4" s="3020"/>
      <c r="F4" s="3020"/>
      <c r="G4" s="3020"/>
      <c r="H4" s="3020"/>
      <c r="I4" s="3020"/>
      <c r="J4" s="3020"/>
      <c r="K4" s="3020"/>
      <c r="L4" s="3020"/>
      <c r="M4" s="3020"/>
      <c r="N4" s="3020"/>
      <c r="O4" s="3020"/>
      <c r="P4" s="3020"/>
      <c r="Q4" s="3020"/>
      <c r="R4" s="3020"/>
      <c r="S4" s="3020"/>
      <c r="T4" s="3020"/>
      <c r="U4" s="1086"/>
      <c r="V4" s="1086"/>
      <c r="W4" s="410"/>
    </row>
    <row r="5" spans="1:37" ht="6" customHeight="1" x14ac:dyDescent="0.2">
      <c r="A5" s="4" t="str">
        <f t="shared" si="0"/>
        <v>01</v>
      </c>
      <c r="B5" s="410"/>
      <c r="C5" s="410"/>
      <c r="D5" s="410"/>
      <c r="E5" s="410"/>
      <c r="F5" s="410"/>
      <c r="G5" s="410"/>
      <c r="H5" s="410"/>
      <c r="I5" s="410"/>
      <c r="J5" s="410"/>
      <c r="K5" s="410"/>
      <c r="L5" s="410"/>
      <c r="M5" s="410"/>
      <c r="N5" s="410"/>
      <c r="O5" s="410"/>
      <c r="P5" s="410"/>
      <c r="Q5" s="410"/>
      <c r="R5" s="410"/>
      <c r="S5" s="410"/>
      <c r="T5" s="410"/>
      <c r="U5" s="410"/>
      <c r="V5" s="410"/>
      <c r="W5" s="410"/>
    </row>
    <row r="6" spans="1:37" ht="15" customHeight="1" x14ac:dyDescent="0.2">
      <c r="A6" s="4" t="str">
        <f t="shared" si="0"/>
        <v>01</v>
      </c>
      <c r="B6" s="410"/>
      <c r="C6" s="410"/>
      <c r="D6" s="410"/>
      <c r="E6" s="410"/>
      <c r="F6" s="410"/>
      <c r="G6" s="410"/>
      <c r="H6" s="410"/>
      <c r="I6" s="410"/>
      <c r="J6" s="410"/>
      <c r="K6" s="410"/>
      <c r="L6" s="5" t="s">
        <v>318</v>
      </c>
      <c r="M6" s="3021" t="str">
        <f>+Index!$E$10</f>
        <v>01</v>
      </c>
      <c r="N6" s="3021"/>
      <c r="O6" s="3021"/>
      <c r="P6" s="3021"/>
      <c r="Q6" s="3021"/>
      <c r="R6" s="410"/>
      <c r="S6" s="410"/>
      <c r="T6" s="410"/>
      <c r="U6" s="410"/>
      <c r="V6" s="410"/>
      <c r="W6" s="410"/>
    </row>
    <row r="7" spans="1:37" ht="15" customHeight="1" x14ac:dyDescent="0.2">
      <c r="A7" s="4" t="str">
        <f t="shared" si="0"/>
        <v>01</v>
      </c>
      <c r="B7" s="410"/>
      <c r="C7" s="410"/>
      <c r="D7" s="410"/>
      <c r="E7" s="410"/>
      <c r="F7" s="410"/>
      <c r="G7" s="410"/>
      <c r="H7" s="410"/>
      <c r="I7" s="410"/>
      <c r="J7" s="410"/>
      <c r="K7" s="410"/>
      <c r="L7" s="5" t="s">
        <v>319</v>
      </c>
      <c r="M7" s="3021" t="str">
        <f>+Index!$E$11</f>
        <v>North Carolina General Assembly</v>
      </c>
      <c r="N7" s="3021"/>
      <c r="O7" s="3021"/>
      <c r="P7" s="3021"/>
      <c r="Q7" s="3021"/>
      <c r="R7" s="410"/>
      <c r="S7" s="410"/>
      <c r="T7" s="410"/>
      <c r="U7" s="410"/>
      <c r="V7" s="410"/>
      <c r="W7" s="410"/>
    </row>
    <row r="8" spans="1:37" ht="15" customHeight="1" x14ac:dyDescent="0.2">
      <c r="A8" s="4" t="str">
        <f t="shared" si="0"/>
        <v>01</v>
      </c>
      <c r="B8" s="419" t="s">
        <v>545</v>
      </c>
      <c r="C8" s="410"/>
      <c r="D8" s="410"/>
      <c r="E8" s="3022" t="s">
        <v>762</v>
      </c>
      <c r="F8" s="3022"/>
      <c r="G8" s="3022"/>
      <c r="H8" s="981"/>
      <c r="I8" s="981"/>
      <c r="J8" s="410"/>
      <c r="K8" s="410"/>
      <c r="L8" s="5" t="s">
        <v>320</v>
      </c>
      <c r="M8" s="3025" t="str">
        <f>CONCATENATE(Index!$E$12," ",Index!$E$14)</f>
        <v xml:space="preserve"> </v>
      </c>
      <c r="N8" s="3025"/>
      <c r="O8" s="3025"/>
      <c r="P8" s="3025"/>
      <c r="Q8" s="3025"/>
      <c r="R8" s="410"/>
      <c r="S8" s="410"/>
      <c r="T8" s="410"/>
      <c r="U8" s="410"/>
      <c r="V8" s="410"/>
      <c r="W8" s="410"/>
    </row>
    <row r="9" spans="1:37" ht="15" customHeight="1" x14ac:dyDescent="0.2">
      <c r="A9" s="4" t="str">
        <f t="shared" si="0"/>
        <v>01</v>
      </c>
      <c r="B9" s="410"/>
      <c r="C9" s="410"/>
      <c r="D9" s="410"/>
      <c r="E9" s="410"/>
      <c r="F9" s="410"/>
      <c r="G9" s="410"/>
      <c r="H9" s="981"/>
      <c r="I9" s="981"/>
      <c r="J9" s="410"/>
      <c r="K9" s="410"/>
      <c r="L9" s="5" t="s">
        <v>168</v>
      </c>
      <c r="M9" s="3026">
        <f>+Index!$E$13</f>
        <v>0</v>
      </c>
      <c r="N9" s="3026"/>
      <c r="O9" s="3026"/>
      <c r="P9" s="3026"/>
      <c r="Q9" s="3026"/>
      <c r="R9" s="410"/>
      <c r="S9" s="410"/>
      <c r="T9" s="410"/>
      <c r="U9" s="410"/>
      <c r="V9" s="410"/>
      <c r="W9" s="410"/>
    </row>
    <row r="10" spans="1:37" ht="5.25" customHeight="1" thickBot="1" x14ac:dyDescent="0.25">
      <c r="A10" s="4" t="str">
        <f t="shared" si="0"/>
        <v>01</v>
      </c>
      <c r="B10" s="982"/>
      <c r="C10" s="982"/>
      <c r="D10" s="982"/>
      <c r="E10" s="982"/>
      <c r="F10" s="982"/>
      <c r="G10" s="982"/>
      <c r="H10" s="982"/>
      <c r="I10" s="982"/>
      <c r="J10" s="982"/>
      <c r="K10" s="982"/>
      <c r="L10" s="982"/>
      <c r="M10" s="982"/>
      <c r="N10" s="982"/>
      <c r="O10" s="982"/>
      <c r="P10" s="982"/>
      <c r="Q10" s="982"/>
      <c r="R10" s="982"/>
      <c r="S10" s="982"/>
      <c r="T10" s="982"/>
      <c r="U10" s="982"/>
      <c r="V10" s="982"/>
      <c r="W10" s="410"/>
    </row>
    <row r="11" spans="1:37" ht="3" customHeight="1" x14ac:dyDescent="0.2">
      <c r="A11" s="4" t="str">
        <f t="shared" si="0"/>
        <v>01</v>
      </c>
    </row>
    <row r="12" spans="1:37" ht="13.35" customHeight="1" thickBot="1" x14ac:dyDescent="0.3">
      <c r="A12" s="4" t="str">
        <f t="shared" si="0"/>
        <v>01</v>
      </c>
      <c r="B12" s="983"/>
      <c r="C12" s="983"/>
      <c r="D12" s="983"/>
      <c r="E12" s="983"/>
      <c r="F12" s="983"/>
      <c r="G12" s="983"/>
      <c r="H12" s="983"/>
      <c r="I12" s="983"/>
      <c r="J12" s="983"/>
      <c r="K12" s="153"/>
      <c r="L12" s="984"/>
      <c r="M12" s="3024" t="s">
        <v>2596</v>
      </c>
      <c r="N12" s="3024"/>
      <c r="O12" s="3024"/>
      <c r="P12" s="3024"/>
      <c r="Q12" s="3024"/>
      <c r="R12" s="89"/>
      <c r="S12" s="89"/>
      <c r="T12" s="89"/>
      <c r="U12" s="89"/>
    </row>
    <row r="13" spans="1:37" ht="13.35" customHeight="1" x14ac:dyDescent="0.25">
      <c r="B13" s="983"/>
      <c r="C13" s="983"/>
      <c r="D13" s="983"/>
      <c r="E13" s="983"/>
      <c r="F13" s="983"/>
      <c r="G13" s="983"/>
      <c r="H13" s="983"/>
      <c r="I13" s="983"/>
      <c r="J13" s="983"/>
      <c r="K13" s="153"/>
      <c r="L13" s="984"/>
      <c r="M13" s="1297" t="s">
        <v>2597</v>
      </c>
      <c r="N13" s="1297"/>
      <c r="O13" s="1297" t="s">
        <v>2598</v>
      </c>
      <c r="P13" s="1297"/>
      <c r="Q13" s="1297" t="s">
        <v>2599</v>
      </c>
      <c r="R13" s="1297"/>
      <c r="S13" s="1297" t="s">
        <v>2600</v>
      </c>
      <c r="T13" s="89"/>
      <c r="U13" s="89"/>
    </row>
    <row r="14" spans="1:37" ht="12" customHeight="1" x14ac:dyDescent="0.25">
      <c r="A14" s="4" t="str">
        <f t="shared" si="0"/>
        <v>01</v>
      </c>
      <c r="B14" s="983"/>
      <c r="C14" s="983"/>
      <c r="D14" s="983"/>
      <c r="E14" s="983"/>
      <c r="F14" s="983"/>
      <c r="G14" s="983"/>
      <c r="H14" s="983"/>
      <c r="I14" s="983"/>
      <c r="J14" s="983"/>
      <c r="K14" s="153"/>
      <c r="L14" s="984"/>
      <c r="M14" s="985" t="s">
        <v>2601</v>
      </c>
      <c r="N14" s="985"/>
      <c r="O14" s="985" t="s">
        <v>2602</v>
      </c>
      <c r="P14" s="986"/>
      <c r="Q14" s="985" t="s">
        <v>2603</v>
      </c>
      <c r="R14" s="89"/>
      <c r="S14" s="89"/>
      <c r="T14" s="89"/>
      <c r="U14" s="985" t="s">
        <v>2604</v>
      </c>
      <c r="AK14"/>
    </row>
    <row r="15" spans="1:37" ht="12" customHeight="1" x14ac:dyDescent="0.25">
      <c r="A15" s="4" t="str">
        <f t="shared" si="0"/>
        <v>01</v>
      </c>
      <c r="B15" s="983"/>
      <c r="C15" s="983"/>
      <c r="D15" s="983"/>
      <c r="E15" s="983"/>
      <c r="F15" s="983"/>
      <c r="G15" s="983"/>
      <c r="H15" s="983"/>
      <c r="I15" s="983"/>
      <c r="J15" s="983"/>
      <c r="K15" s="985"/>
      <c r="L15" s="984"/>
      <c r="M15" s="985" t="s">
        <v>2605</v>
      </c>
      <c r="N15" s="986"/>
      <c r="O15" s="985" t="s">
        <v>2606</v>
      </c>
      <c r="P15" s="986"/>
      <c r="Q15" s="985" t="s">
        <v>2607</v>
      </c>
      <c r="R15" s="89"/>
      <c r="S15" s="985" t="s">
        <v>1359</v>
      </c>
      <c r="T15" s="89"/>
      <c r="U15" s="985" t="s">
        <v>2608</v>
      </c>
    </row>
    <row r="16" spans="1:37" ht="12" customHeight="1" x14ac:dyDescent="0.25">
      <c r="A16" s="4" t="str">
        <f t="shared" si="0"/>
        <v>01</v>
      </c>
      <c r="B16" s="983"/>
      <c r="C16" s="985"/>
      <c r="D16" s="983"/>
      <c r="E16" s="152" t="s">
        <v>50</v>
      </c>
      <c r="F16" s="152"/>
      <c r="G16" s="983"/>
      <c r="H16" s="983"/>
      <c r="I16" s="983"/>
      <c r="J16" s="983"/>
      <c r="K16" s="985"/>
      <c r="L16" s="983"/>
      <c r="M16" s="985" t="s">
        <v>2609</v>
      </c>
      <c r="N16" s="986"/>
      <c r="O16" s="985" t="s">
        <v>2610</v>
      </c>
      <c r="P16" s="986"/>
      <c r="Q16" s="985" t="s">
        <v>2610</v>
      </c>
      <c r="R16" s="89"/>
      <c r="S16" s="985" t="s">
        <v>2611</v>
      </c>
      <c r="T16" s="987"/>
      <c r="U16" s="985" t="s">
        <v>2612</v>
      </c>
      <c r="AB16" s="985" t="s">
        <v>2613</v>
      </c>
      <c r="AC16" s="985" t="s">
        <v>2613</v>
      </c>
      <c r="AD16" s="985" t="s">
        <v>2613</v>
      </c>
      <c r="AE16" s="985" t="s">
        <v>2613</v>
      </c>
    </row>
    <row r="17" spans="1:37" ht="12" customHeight="1" x14ac:dyDescent="0.25">
      <c r="A17" s="4" t="str">
        <f t="shared" si="0"/>
        <v>01</v>
      </c>
      <c r="B17" s="154" t="s">
        <v>2320</v>
      </c>
      <c r="C17" s="988"/>
      <c r="D17" s="988"/>
      <c r="E17" s="988"/>
      <c r="F17" s="154"/>
      <c r="G17" s="988"/>
      <c r="H17" s="983"/>
      <c r="I17" s="983"/>
      <c r="J17" s="983"/>
      <c r="K17" s="989">
        <v>45107</v>
      </c>
      <c r="L17" s="983"/>
      <c r="M17" s="990" t="s">
        <v>2614</v>
      </c>
      <c r="N17" s="155"/>
      <c r="O17" s="990" t="s">
        <v>2615</v>
      </c>
      <c r="P17" s="155"/>
      <c r="Q17" s="990" t="s">
        <v>2616</v>
      </c>
      <c r="R17" s="89"/>
      <c r="S17" s="990" t="s">
        <v>2617</v>
      </c>
      <c r="T17" s="987"/>
      <c r="U17" s="990" t="s">
        <v>2618</v>
      </c>
      <c r="Y17" s="645" t="s">
        <v>2319</v>
      </c>
      <c r="AB17" s="990" t="s">
        <v>2619</v>
      </c>
      <c r="AC17" s="990" t="s">
        <v>2619</v>
      </c>
      <c r="AD17" s="990" t="s">
        <v>2619</v>
      </c>
      <c r="AE17" s="990" t="s">
        <v>2619</v>
      </c>
    </row>
    <row r="18" spans="1:37" ht="12" customHeight="1" x14ac:dyDescent="0.2">
      <c r="A18" s="4" t="str">
        <f t="shared" si="0"/>
        <v>01</v>
      </c>
      <c r="B18" s="89"/>
      <c r="C18" s="89"/>
      <c r="D18" s="89"/>
      <c r="E18" s="89"/>
      <c r="F18" s="89"/>
      <c r="G18" s="89"/>
      <c r="H18" s="89"/>
      <c r="I18" s="991"/>
      <c r="J18" s="991"/>
      <c r="K18" s="992" t="s">
        <v>570</v>
      </c>
      <c r="L18" s="992"/>
      <c r="M18" s="992" t="s">
        <v>571</v>
      </c>
      <c r="N18" s="992"/>
      <c r="O18" s="992" t="s">
        <v>572</v>
      </c>
      <c r="P18" s="89"/>
      <c r="Q18" s="992" t="s">
        <v>573</v>
      </c>
      <c r="R18" s="992"/>
      <c r="S18" s="992" t="s">
        <v>574</v>
      </c>
      <c r="T18" s="992"/>
      <c r="U18" s="992" t="s">
        <v>575</v>
      </c>
      <c r="Y18" s="2429" t="s">
        <v>553</v>
      </c>
      <c r="AB18" s="992" t="s">
        <v>576</v>
      </c>
      <c r="AC18" s="992" t="s">
        <v>577</v>
      </c>
      <c r="AD18" s="992" t="s">
        <v>578</v>
      </c>
      <c r="AE18" s="992" t="s">
        <v>688</v>
      </c>
    </row>
    <row r="19" spans="1:37" ht="12" customHeight="1" x14ac:dyDescent="0.2">
      <c r="A19" s="4" t="str">
        <f t="shared" si="0"/>
        <v>01</v>
      </c>
      <c r="B19" s="156" t="s">
        <v>2620</v>
      </c>
      <c r="C19" s="858"/>
      <c r="D19" s="89"/>
      <c r="E19" s="89"/>
      <c r="F19" s="89"/>
      <c r="G19" s="89"/>
      <c r="H19" s="89"/>
      <c r="I19" s="991"/>
      <c r="J19" s="991"/>
      <c r="K19" s="993"/>
      <c r="L19" s="993"/>
      <c r="M19" s="993"/>
      <c r="N19" s="993"/>
      <c r="O19" s="993"/>
      <c r="P19" s="993"/>
      <c r="Q19" s="993"/>
      <c r="R19" s="993"/>
      <c r="S19" s="89"/>
      <c r="T19" s="89"/>
      <c r="U19" s="89"/>
    </row>
    <row r="20" spans="1:37" ht="12" customHeight="1" x14ac:dyDescent="0.25">
      <c r="A20" s="4" t="str">
        <f t="shared" si="0"/>
        <v>01</v>
      </c>
      <c r="B20" s="2439" t="s">
        <v>2324</v>
      </c>
      <c r="C20" s="748"/>
      <c r="D20" s="89"/>
      <c r="E20" s="89"/>
      <c r="F20" s="89"/>
      <c r="G20" s="89"/>
      <c r="H20" s="89"/>
      <c r="I20" s="747" t="s">
        <v>2621</v>
      </c>
      <c r="J20" s="749"/>
      <c r="K20" s="650">
        <f>SUMIF('710'!$B$21:$B$61,B20,'710'!$K$21:$K$61)</f>
        <v>0</v>
      </c>
      <c r="L20" s="995"/>
      <c r="M20" s="838"/>
      <c r="N20" s="995"/>
      <c r="O20" s="838"/>
      <c r="P20" s="995"/>
      <c r="Q20" s="838"/>
      <c r="R20" s="993"/>
      <c r="S20" s="996"/>
      <c r="T20" s="997"/>
      <c r="U20" s="2324" t="str">
        <f>CONCATENATE(AF20,AG20,AH20,AI20)</f>
        <v/>
      </c>
      <c r="W20" s="315" t="str">
        <f>IF(X20=FALSE,"*","")</f>
        <v/>
      </c>
      <c r="X20" s="316" t="b">
        <f>+K20=SUM(M20,O20,Q20,S20)</f>
        <v>1</v>
      </c>
      <c r="Y20" s="644">
        <f>K20-SUM(M20,O20,Q20, S20)</f>
        <v>0</v>
      </c>
      <c r="AB20" s="1019" t="s">
        <v>2622</v>
      </c>
      <c r="AC20" s="1019" t="s">
        <v>2622</v>
      </c>
      <c r="AD20" s="1019" t="s">
        <v>2622</v>
      </c>
      <c r="AE20" s="1019" t="s">
        <v>2622</v>
      </c>
      <c r="AF20" s="1018" t="str">
        <f>IF(AB20="—","",RIGHT(AB20,7))</f>
        <v/>
      </c>
      <c r="AG20" s="1018" t="str">
        <f>IF(AC20="—","",RIGHT(AC20,7))</f>
        <v/>
      </c>
      <c r="AH20" s="1018" t="str">
        <f>IF(AD20="—","",RIGHT(AD20,7))</f>
        <v/>
      </c>
      <c r="AI20" s="1018" t="str">
        <f>IF(AE20="—","",RIGHT(AE20,7))</f>
        <v/>
      </c>
      <c r="AK20" s="1338" t="s">
        <v>2324</v>
      </c>
    </row>
    <row r="21" spans="1:37" ht="12" customHeight="1" x14ac:dyDescent="0.25">
      <c r="A21" s="4" t="str">
        <f t="shared" si="0"/>
        <v>01</v>
      </c>
      <c r="B21" s="2439" t="s">
        <v>2326</v>
      </c>
      <c r="C21" s="748"/>
      <c r="D21" s="89"/>
      <c r="E21" s="89"/>
      <c r="F21" s="89"/>
      <c r="G21" s="89"/>
      <c r="H21" s="89"/>
      <c r="I21" s="747" t="s">
        <v>2623</v>
      </c>
      <c r="J21" s="749"/>
      <c r="K21" s="650">
        <f>SUMIF('710'!$B$21:$B$61,B21,'710'!$K$21:$K$61)</f>
        <v>0</v>
      </c>
      <c r="L21" s="995"/>
      <c r="M21" s="838"/>
      <c r="N21" s="995"/>
      <c r="O21" s="838"/>
      <c r="P21" s="995"/>
      <c r="Q21" s="838"/>
      <c r="R21" s="993"/>
      <c r="S21" s="996"/>
      <c r="T21" s="997"/>
      <c r="U21" s="2324" t="str">
        <f t="shared" ref="U21:U77" si="1">CONCATENATE(AF21,AG21,AH21,AI21)</f>
        <v/>
      </c>
      <c r="W21" s="315" t="str">
        <f>IF(X21=FALSE,"*","")</f>
        <v/>
      </c>
      <c r="X21" s="316" t="b">
        <f>+K21=SUM(M21,O21,Q21,S21)</f>
        <v>1</v>
      </c>
      <c r="Y21" s="644">
        <f t="shared" ref="Y21:Y47" si="2">K21-SUM(M21,O21,Q21, S21)</f>
        <v>0</v>
      </c>
      <c r="AB21" s="1019" t="s">
        <v>2622</v>
      </c>
      <c r="AC21" s="1019" t="s">
        <v>2622</v>
      </c>
      <c r="AD21" s="1019" t="s">
        <v>2622</v>
      </c>
      <c r="AE21" s="1019" t="s">
        <v>2622</v>
      </c>
      <c r="AF21" s="1018" t="str">
        <f t="shared" ref="AF21:AF77" si="3">IF(AB21="—","",RIGHT(AB21,7))</f>
        <v/>
      </c>
      <c r="AG21" s="1018" t="str">
        <f t="shared" ref="AG21:AG77" si="4">IF(AC21="—","",RIGHT(AC21,7))</f>
        <v/>
      </c>
      <c r="AH21" s="1018" t="str">
        <f t="shared" ref="AH21:AH77" si="5">IF(AD21="—","",RIGHT(AD21,7))</f>
        <v/>
      </c>
      <c r="AI21" s="1018" t="str">
        <f t="shared" ref="AI21:AI77" si="6">IF(AE21="—","",RIGHT(AE21,7))</f>
        <v/>
      </c>
      <c r="AK21" s="1338" t="s">
        <v>2326</v>
      </c>
    </row>
    <row r="22" spans="1:37" ht="12" customHeight="1" x14ac:dyDescent="0.25">
      <c r="A22" s="4" t="str">
        <f t="shared" si="0"/>
        <v>01</v>
      </c>
      <c r="B22" s="2439" t="s">
        <v>2328</v>
      </c>
      <c r="C22" s="748"/>
      <c r="D22" s="89"/>
      <c r="E22" s="89"/>
      <c r="F22" s="89"/>
      <c r="G22" s="89"/>
      <c r="H22" s="89"/>
      <c r="I22" s="747" t="s">
        <v>2624</v>
      </c>
      <c r="J22" s="749"/>
      <c r="K22" s="650">
        <f>SUMIF('710'!$B$21:$B$61,B22,'710'!$K$21:$K$61)</f>
        <v>0</v>
      </c>
      <c r="L22" s="995"/>
      <c r="M22" s="838"/>
      <c r="N22" s="995"/>
      <c r="O22" s="838"/>
      <c r="P22" s="995"/>
      <c r="Q22" s="838"/>
      <c r="R22" s="993"/>
      <c r="S22" s="996"/>
      <c r="T22" s="997"/>
      <c r="U22" s="2324" t="str">
        <f t="shared" si="1"/>
        <v/>
      </c>
      <c r="W22" s="315" t="str">
        <f t="shared" ref="W22:W47" si="7">IF(X22=FALSE,"*","")</f>
        <v/>
      </c>
      <c r="X22" s="316" t="b">
        <f t="shared" ref="X22:X47" si="8">+K22=SUM(M22,O22,Q22,S22)</f>
        <v>1</v>
      </c>
      <c r="Y22" s="644">
        <f t="shared" si="2"/>
        <v>0</v>
      </c>
      <c r="AB22" s="1019" t="s">
        <v>2622</v>
      </c>
      <c r="AC22" s="1019" t="s">
        <v>2622</v>
      </c>
      <c r="AD22" s="1019" t="s">
        <v>2622</v>
      </c>
      <c r="AE22" s="1019" t="s">
        <v>2622</v>
      </c>
      <c r="AF22" s="1018" t="str">
        <f t="shared" si="3"/>
        <v/>
      </c>
      <c r="AG22" s="1018" t="str">
        <f t="shared" si="4"/>
        <v/>
      </c>
      <c r="AH22" s="1018" t="str">
        <f t="shared" si="5"/>
        <v/>
      </c>
      <c r="AI22" s="1018" t="str">
        <f t="shared" si="6"/>
        <v/>
      </c>
      <c r="AK22" s="1338" t="s">
        <v>2328</v>
      </c>
    </row>
    <row r="23" spans="1:37" ht="12" customHeight="1" x14ac:dyDescent="0.25">
      <c r="A23" s="4" t="str">
        <f t="shared" si="0"/>
        <v>01</v>
      </c>
      <c r="B23" s="2439" t="s">
        <v>2330</v>
      </c>
      <c r="C23" s="748"/>
      <c r="D23" s="89"/>
      <c r="E23" s="89"/>
      <c r="F23" s="89"/>
      <c r="G23" s="89"/>
      <c r="H23" s="89"/>
      <c r="I23" s="747" t="s">
        <v>2625</v>
      </c>
      <c r="J23" s="749"/>
      <c r="K23" s="650">
        <f>SUMIF('710'!$B$21:$B$61,B23,'710'!$K$21:$K$61)</f>
        <v>0</v>
      </c>
      <c r="L23" s="995"/>
      <c r="M23" s="838"/>
      <c r="N23" s="995"/>
      <c r="O23" s="838"/>
      <c r="P23" s="995"/>
      <c r="Q23" s="838"/>
      <c r="R23" s="993"/>
      <c r="S23" s="996"/>
      <c r="T23" s="997"/>
      <c r="U23" s="2324" t="str">
        <f t="shared" si="1"/>
        <v/>
      </c>
      <c r="W23" s="315" t="str">
        <f t="shared" si="7"/>
        <v/>
      </c>
      <c r="X23" s="316" t="b">
        <f t="shared" si="8"/>
        <v>1</v>
      </c>
      <c r="Y23" s="644">
        <f t="shared" si="2"/>
        <v>0</v>
      </c>
      <c r="AB23" s="1019" t="s">
        <v>2622</v>
      </c>
      <c r="AC23" s="1019" t="s">
        <v>2622</v>
      </c>
      <c r="AD23" s="1019" t="s">
        <v>2622</v>
      </c>
      <c r="AE23" s="1019" t="s">
        <v>2622</v>
      </c>
      <c r="AF23" s="1018" t="str">
        <f t="shared" si="3"/>
        <v/>
      </c>
      <c r="AG23" s="1018" t="str">
        <f t="shared" si="4"/>
        <v/>
      </c>
      <c r="AH23" s="1018" t="str">
        <f t="shared" si="5"/>
        <v/>
      </c>
      <c r="AI23" s="1018" t="str">
        <f t="shared" si="6"/>
        <v/>
      </c>
      <c r="AK23" s="1338" t="s">
        <v>2330</v>
      </c>
    </row>
    <row r="24" spans="1:37" ht="12" customHeight="1" x14ac:dyDescent="0.25">
      <c r="A24" s="4" t="str">
        <f t="shared" si="0"/>
        <v>01</v>
      </c>
      <c r="B24" s="2439" t="s">
        <v>2332</v>
      </c>
      <c r="C24" s="748"/>
      <c r="D24" s="89"/>
      <c r="E24" s="89"/>
      <c r="F24" s="89"/>
      <c r="G24" s="89"/>
      <c r="H24" s="89"/>
      <c r="I24" s="747" t="s">
        <v>2626</v>
      </c>
      <c r="J24" s="749"/>
      <c r="K24" s="650">
        <f>SUMIF('710'!$B$21:$B$61,B24,'710'!$K$21:$K$61)</f>
        <v>0</v>
      </c>
      <c r="L24" s="995"/>
      <c r="M24" s="838"/>
      <c r="N24" s="995"/>
      <c r="O24" s="838"/>
      <c r="P24" s="995"/>
      <c r="Q24" s="838"/>
      <c r="R24" s="993"/>
      <c r="S24" s="996"/>
      <c r="T24" s="997"/>
      <c r="U24" s="2324" t="str">
        <f t="shared" si="1"/>
        <v/>
      </c>
      <c r="W24" s="315" t="str">
        <f t="shared" si="7"/>
        <v/>
      </c>
      <c r="X24" s="316" t="b">
        <f t="shared" si="8"/>
        <v>1</v>
      </c>
      <c r="Y24" s="644">
        <f t="shared" si="2"/>
        <v>0</v>
      </c>
      <c r="AB24" s="1019" t="s">
        <v>2622</v>
      </c>
      <c r="AC24" s="1019" t="s">
        <v>2622</v>
      </c>
      <c r="AD24" s="1019" t="s">
        <v>2622</v>
      </c>
      <c r="AE24" s="1019" t="s">
        <v>2622</v>
      </c>
      <c r="AF24" s="1018" t="str">
        <f t="shared" si="3"/>
        <v/>
      </c>
      <c r="AG24" s="1018" t="str">
        <f t="shared" si="4"/>
        <v/>
      </c>
      <c r="AH24" s="1018" t="str">
        <f t="shared" si="5"/>
        <v/>
      </c>
      <c r="AI24" s="1018" t="str">
        <f t="shared" si="6"/>
        <v/>
      </c>
      <c r="AK24" s="1338" t="s">
        <v>2332</v>
      </c>
    </row>
    <row r="25" spans="1:37" ht="12" customHeight="1" x14ac:dyDescent="0.25">
      <c r="A25" s="4" t="str">
        <f t="shared" si="0"/>
        <v>01</v>
      </c>
      <c r="B25" s="2439" t="s">
        <v>2334</v>
      </c>
      <c r="C25" s="748"/>
      <c r="D25" s="89"/>
      <c r="E25" s="89"/>
      <c r="F25" s="89"/>
      <c r="G25" s="89"/>
      <c r="H25" s="89"/>
      <c r="I25" s="747" t="s">
        <v>2627</v>
      </c>
      <c r="J25" s="749"/>
      <c r="K25" s="650">
        <f>SUMIF('710'!$B$21:$B$61,B25,'710'!$K$21:$K$61)</f>
        <v>0</v>
      </c>
      <c r="L25" s="995"/>
      <c r="M25" s="838"/>
      <c r="N25" s="995"/>
      <c r="O25" s="838"/>
      <c r="P25" s="995"/>
      <c r="Q25" s="838"/>
      <c r="R25" s="993"/>
      <c r="S25" s="996"/>
      <c r="T25" s="997"/>
      <c r="U25" s="2324" t="str">
        <f t="shared" si="1"/>
        <v/>
      </c>
      <c r="W25" s="315" t="str">
        <f t="shared" si="7"/>
        <v/>
      </c>
      <c r="X25" s="316" t="b">
        <f t="shared" si="8"/>
        <v>1</v>
      </c>
      <c r="Y25" s="644">
        <f t="shared" si="2"/>
        <v>0</v>
      </c>
      <c r="AB25" s="1019" t="s">
        <v>2622</v>
      </c>
      <c r="AC25" s="1019" t="s">
        <v>2622</v>
      </c>
      <c r="AD25" s="1019" t="s">
        <v>2622</v>
      </c>
      <c r="AE25" s="1019" t="s">
        <v>2622</v>
      </c>
      <c r="AF25" s="1018" t="str">
        <f t="shared" si="3"/>
        <v/>
      </c>
      <c r="AG25" s="1018" t="str">
        <f t="shared" si="4"/>
        <v/>
      </c>
      <c r="AH25" s="1018" t="str">
        <f t="shared" si="5"/>
        <v/>
      </c>
      <c r="AI25" s="1018" t="str">
        <f t="shared" si="6"/>
        <v/>
      </c>
      <c r="AK25" s="1338" t="s">
        <v>2334</v>
      </c>
    </row>
    <row r="26" spans="1:37" ht="12" customHeight="1" x14ac:dyDescent="0.25">
      <c r="A26" s="4" t="str">
        <f t="shared" si="0"/>
        <v>01</v>
      </c>
      <c r="B26" s="2439" t="s">
        <v>2336</v>
      </c>
      <c r="C26" s="748"/>
      <c r="D26" s="89"/>
      <c r="E26" s="89"/>
      <c r="F26" s="89"/>
      <c r="G26" s="89"/>
      <c r="H26" s="89"/>
      <c r="I26" s="747" t="s">
        <v>2628</v>
      </c>
      <c r="J26" s="749"/>
      <c r="K26" s="650">
        <f>SUMIF('710'!$B$21:$B$61,B26,'710'!$K$21:$K$61)</f>
        <v>0</v>
      </c>
      <c r="L26" s="995"/>
      <c r="M26" s="838"/>
      <c r="N26" s="995"/>
      <c r="O26" s="838"/>
      <c r="P26" s="995"/>
      <c r="Q26" s="838"/>
      <c r="R26" s="993"/>
      <c r="S26" s="996"/>
      <c r="T26" s="997"/>
      <c r="U26" s="2324" t="str">
        <f t="shared" si="1"/>
        <v/>
      </c>
      <c r="W26" s="315" t="str">
        <f t="shared" si="7"/>
        <v/>
      </c>
      <c r="X26" s="316" t="b">
        <f t="shared" si="8"/>
        <v>1</v>
      </c>
      <c r="Y26" s="644">
        <f t="shared" si="2"/>
        <v>0</v>
      </c>
      <c r="AB26" s="1019" t="s">
        <v>2622</v>
      </c>
      <c r="AC26" s="1019" t="s">
        <v>2622</v>
      </c>
      <c r="AD26" s="1019" t="s">
        <v>2622</v>
      </c>
      <c r="AE26" s="1019" t="s">
        <v>2622</v>
      </c>
      <c r="AF26" s="1018" t="str">
        <f t="shared" si="3"/>
        <v/>
      </c>
      <c r="AG26" s="1018" t="str">
        <f t="shared" si="4"/>
        <v/>
      </c>
      <c r="AH26" s="1018" t="str">
        <f t="shared" si="5"/>
        <v/>
      </c>
      <c r="AI26" s="1018" t="str">
        <f t="shared" si="6"/>
        <v/>
      </c>
      <c r="AK26" s="1338" t="s">
        <v>2336</v>
      </c>
    </row>
    <row r="27" spans="1:37" ht="12" customHeight="1" x14ac:dyDescent="0.25">
      <c r="A27" s="4" t="str">
        <f t="shared" si="0"/>
        <v>01</v>
      </c>
      <c r="B27" s="2439" t="s">
        <v>2338</v>
      </c>
      <c r="C27" s="748"/>
      <c r="D27" s="89"/>
      <c r="E27" s="89"/>
      <c r="F27" s="89"/>
      <c r="G27" s="89"/>
      <c r="H27" s="89"/>
      <c r="I27" s="747" t="s">
        <v>2629</v>
      </c>
      <c r="J27" s="749"/>
      <c r="K27" s="650">
        <f>SUMIF('710'!$B$21:$B$61,B27,'710'!$K$21:$K$61)</f>
        <v>0</v>
      </c>
      <c r="L27" s="995"/>
      <c r="M27" s="838"/>
      <c r="N27" s="995"/>
      <c r="O27" s="838"/>
      <c r="P27" s="995"/>
      <c r="Q27" s="838"/>
      <c r="R27" s="993"/>
      <c r="S27" s="838"/>
      <c r="T27" s="997"/>
      <c r="U27" s="2324" t="str">
        <f t="shared" si="1"/>
        <v/>
      </c>
      <c r="W27" s="315" t="str">
        <f t="shared" si="7"/>
        <v/>
      </c>
      <c r="X27" s="316" t="b">
        <f t="shared" si="8"/>
        <v>1</v>
      </c>
      <c r="Y27" s="644">
        <f t="shared" si="2"/>
        <v>0</v>
      </c>
      <c r="AB27" s="1019" t="s">
        <v>2622</v>
      </c>
      <c r="AC27" s="1019" t="s">
        <v>2622</v>
      </c>
      <c r="AD27" s="1019" t="s">
        <v>2622</v>
      </c>
      <c r="AE27" s="1019" t="s">
        <v>2622</v>
      </c>
      <c r="AF27" s="1018" t="str">
        <f t="shared" si="3"/>
        <v/>
      </c>
      <c r="AG27" s="1018" t="str">
        <f t="shared" si="4"/>
        <v/>
      </c>
      <c r="AH27" s="1018" t="str">
        <f t="shared" si="5"/>
        <v/>
      </c>
      <c r="AI27" s="1018" t="str">
        <f t="shared" si="6"/>
        <v/>
      </c>
      <c r="AK27" s="1338" t="s">
        <v>2338</v>
      </c>
    </row>
    <row r="28" spans="1:37" ht="12" customHeight="1" x14ac:dyDescent="0.25">
      <c r="A28" s="4" t="str">
        <f t="shared" si="0"/>
        <v>01</v>
      </c>
      <c r="B28" s="2439" t="s">
        <v>2340</v>
      </c>
      <c r="C28" s="748"/>
      <c r="D28" s="89"/>
      <c r="E28" s="89"/>
      <c r="F28" s="89"/>
      <c r="G28" s="89"/>
      <c r="H28" s="89"/>
      <c r="I28" s="747" t="s">
        <v>2630</v>
      </c>
      <c r="J28" s="749"/>
      <c r="K28" s="650">
        <f>SUMIF('710'!$B$21:$B$61,B28,'710'!$K$21:$K$61)</f>
        <v>0</v>
      </c>
      <c r="L28" s="995"/>
      <c r="M28" s="838"/>
      <c r="N28" s="995"/>
      <c r="O28" s="838"/>
      <c r="P28" s="995"/>
      <c r="Q28" s="838"/>
      <c r="R28" s="993"/>
      <c r="S28" s="838"/>
      <c r="T28" s="997"/>
      <c r="U28" s="2324" t="str">
        <f t="shared" si="1"/>
        <v/>
      </c>
      <c r="W28" s="315" t="str">
        <f t="shared" si="7"/>
        <v/>
      </c>
      <c r="X28" s="316" t="b">
        <f t="shared" si="8"/>
        <v>1</v>
      </c>
      <c r="Y28" s="644">
        <f t="shared" si="2"/>
        <v>0</v>
      </c>
      <c r="AB28" s="1019" t="s">
        <v>2622</v>
      </c>
      <c r="AC28" s="1019" t="s">
        <v>2622</v>
      </c>
      <c r="AD28" s="1019" t="s">
        <v>2622</v>
      </c>
      <c r="AE28" s="1019" t="s">
        <v>2622</v>
      </c>
      <c r="AF28" s="1018" t="str">
        <f t="shared" si="3"/>
        <v/>
      </c>
      <c r="AG28" s="1018" t="str">
        <f t="shared" si="4"/>
        <v/>
      </c>
      <c r="AH28" s="1018" t="str">
        <f t="shared" si="5"/>
        <v/>
      </c>
      <c r="AI28" s="1018" t="str">
        <f t="shared" si="6"/>
        <v/>
      </c>
      <c r="AK28" s="1338" t="s">
        <v>2340</v>
      </c>
    </row>
    <row r="29" spans="1:37" ht="12" customHeight="1" x14ac:dyDescent="0.25">
      <c r="A29" s="4" t="str">
        <f t="shared" si="0"/>
        <v>01</v>
      </c>
      <c r="B29" s="2439" t="s">
        <v>1055</v>
      </c>
      <c r="C29" s="748"/>
      <c r="D29" s="89"/>
      <c r="E29" s="89"/>
      <c r="F29" s="89"/>
      <c r="G29" s="89"/>
      <c r="H29" s="89"/>
      <c r="I29" s="747" t="s">
        <v>2631</v>
      </c>
      <c r="J29" s="749"/>
      <c r="K29" s="650">
        <f>SUMIF('710'!$B$21:$B$61,B29,'710'!$K$21:$K$61)</f>
        <v>0</v>
      </c>
      <c r="L29" s="995"/>
      <c r="M29" s="838"/>
      <c r="N29" s="995"/>
      <c r="O29" s="838"/>
      <c r="P29" s="995"/>
      <c r="Q29" s="838"/>
      <c r="R29" s="993"/>
      <c r="S29" s="999"/>
      <c r="T29" s="997"/>
      <c r="U29" s="2324" t="str">
        <f t="shared" si="1"/>
        <v/>
      </c>
      <c r="W29" s="315" t="str">
        <f t="shared" si="7"/>
        <v/>
      </c>
      <c r="X29" s="316" t="b">
        <f t="shared" si="8"/>
        <v>1</v>
      </c>
      <c r="Y29" s="644">
        <f t="shared" si="2"/>
        <v>0</v>
      </c>
      <c r="AB29" s="1019" t="s">
        <v>2622</v>
      </c>
      <c r="AC29" s="1019" t="s">
        <v>2622</v>
      </c>
      <c r="AD29" s="1019" t="s">
        <v>2622</v>
      </c>
      <c r="AE29" s="1019" t="s">
        <v>2622</v>
      </c>
      <c r="AF29" s="1018" t="str">
        <f t="shared" si="3"/>
        <v/>
      </c>
      <c r="AG29" s="1018" t="str">
        <f t="shared" si="4"/>
        <v/>
      </c>
      <c r="AH29" s="1018" t="str">
        <f t="shared" si="5"/>
        <v/>
      </c>
      <c r="AI29" s="1018" t="str">
        <f t="shared" si="6"/>
        <v/>
      </c>
      <c r="AK29" s="1338" t="s">
        <v>1055</v>
      </c>
    </row>
    <row r="30" spans="1:37" ht="12" customHeight="1" x14ac:dyDescent="0.25">
      <c r="A30" s="4" t="str">
        <f t="shared" si="0"/>
        <v>01</v>
      </c>
      <c r="B30" s="89" t="s">
        <v>2377</v>
      </c>
      <c r="C30" s="748"/>
      <c r="D30" s="89"/>
      <c r="E30" s="89"/>
      <c r="F30" s="89"/>
      <c r="G30" s="89"/>
      <c r="H30" s="89"/>
      <c r="I30" s="747" t="s">
        <v>2632</v>
      </c>
      <c r="J30" s="749"/>
      <c r="K30" s="650">
        <f>SUMIF('710'!$B$21:$B$61,B30,'710'!$K$21:$K$61)</f>
        <v>0</v>
      </c>
      <c r="L30" s="995"/>
      <c r="M30" s="838"/>
      <c r="N30" s="995"/>
      <c r="O30" s="838"/>
      <c r="P30" s="995"/>
      <c r="Q30" s="838"/>
      <c r="R30" s="993"/>
      <c r="S30" s="996"/>
      <c r="T30" s="997"/>
      <c r="U30" s="2324" t="str">
        <f t="shared" si="1"/>
        <v/>
      </c>
      <c r="W30" s="315" t="str">
        <f t="shared" si="7"/>
        <v/>
      </c>
      <c r="X30" s="316" t="b">
        <f t="shared" si="8"/>
        <v>1</v>
      </c>
      <c r="Y30" s="644">
        <f t="shared" si="2"/>
        <v>0</v>
      </c>
      <c r="AB30" s="1019" t="s">
        <v>2622</v>
      </c>
      <c r="AC30" s="1019" t="s">
        <v>2622</v>
      </c>
      <c r="AD30" s="1019" t="s">
        <v>2622</v>
      </c>
      <c r="AE30" s="1019" t="s">
        <v>2622</v>
      </c>
      <c r="AF30" s="1018" t="str">
        <f t="shared" si="3"/>
        <v/>
      </c>
      <c r="AG30" s="1018" t="str">
        <f t="shared" si="4"/>
        <v/>
      </c>
      <c r="AH30" s="1018" t="str">
        <f t="shared" si="5"/>
        <v/>
      </c>
      <c r="AI30" s="1018" t="str">
        <f t="shared" si="6"/>
        <v/>
      </c>
      <c r="AK30" s="1338" t="s">
        <v>2377</v>
      </c>
    </row>
    <row r="31" spans="1:37" ht="12" customHeight="1" x14ac:dyDescent="0.25">
      <c r="A31" s="4" t="str">
        <f t="shared" si="0"/>
        <v>01</v>
      </c>
      <c r="B31" s="2439" t="s">
        <v>2367</v>
      </c>
      <c r="C31" s="748"/>
      <c r="D31" s="89"/>
      <c r="E31" s="89"/>
      <c r="F31" s="89"/>
      <c r="G31" s="89"/>
      <c r="H31" s="89"/>
      <c r="I31" s="747" t="s">
        <v>2633</v>
      </c>
      <c r="J31" s="749"/>
      <c r="K31" s="650">
        <f>SUMIF('710'!$B$21:$B$61,B31,'710'!$K$21:$K$61)</f>
        <v>0</v>
      </c>
      <c r="L31" s="995"/>
      <c r="M31" s="838"/>
      <c r="N31" s="995"/>
      <c r="O31" s="838"/>
      <c r="P31" s="995"/>
      <c r="Q31" s="838"/>
      <c r="R31" s="993"/>
      <c r="S31" s="996"/>
      <c r="T31" s="997"/>
      <c r="U31" s="2324" t="str">
        <f t="shared" si="1"/>
        <v/>
      </c>
      <c r="W31" s="315" t="str">
        <f t="shared" si="7"/>
        <v/>
      </c>
      <c r="X31" s="316" t="b">
        <f t="shared" si="8"/>
        <v>1</v>
      </c>
      <c r="Y31" s="644">
        <f t="shared" si="2"/>
        <v>0</v>
      </c>
      <c r="AB31" s="1019" t="s">
        <v>2622</v>
      </c>
      <c r="AC31" s="1019" t="s">
        <v>2622</v>
      </c>
      <c r="AD31" s="1019" t="s">
        <v>2622</v>
      </c>
      <c r="AE31" s="1019" t="s">
        <v>2622</v>
      </c>
      <c r="AF31" s="1018" t="str">
        <f t="shared" si="3"/>
        <v/>
      </c>
      <c r="AG31" s="1018" t="str">
        <f t="shared" si="4"/>
        <v/>
      </c>
      <c r="AH31" s="1018" t="str">
        <f t="shared" si="5"/>
        <v/>
      </c>
      <c r="AI31" s="1018" t="str">
        <f t="shared" si="6"/>
        <v/>
      </c>
      <c r="AK31" s="1338" t="s">
        <v>2367</v>
      </c>
    </row>
    <row r="32" spans="1:37" ht="12" customHeight="1" x14ac:dyDescent="0.25">
      <c r="A32" s="4" t="str">
        <f t="shared" si="0"/>
        <v>01</v>
      </c>
      <c r="B32" s="89" t="s">
        <v>2363</v>
      </c>
      <c r="C32" s="748"/>
      <c r="D32" s="89"/>
      <c r="E32" s="89"/>
      <c r="F32" s="89"/>
      <c r="G32" s="89"/>
      <c r="H32" s="89"/>
      <c r="I32" s="747" t="s">
        <v>2634</v>
      </c>
      <c r="J32" s="749"/>
      <c r="K32" s="650">
        <f>SUMIF('710'!$B$21:$B$61,B32,'710'!$K$21:$K$61)</f>
        <v>0</v>
      </c>
      <c r="L32" s="995"/>
      <c r="M32" s="838"/>
      <c r="N32" s="995"/>
      <c r="O32" s="838"/>
      <c r="P32" s="995"/>
      <c r="Q32" s="838"/>
      <c r="R32" s="993"/>
      <c r="S32" s="838"/>
      <c r="T32" s="997"/>
      <c r="U32" s="2324" t="str">
        <f t="shared" si="1"/>
        <v/>
      </c>
      <c r="W32" s="315" t="str">
        <f t="shared" si="7"/>
        <v/>
      </c>
      <c r="X32" s="316" t="b">
        <f t="shared" si="8"/>
        <v>1</v>
      </c>
      <c r="Y32" s="644">
        <f t="shared" si="2"/>
        <v>0</v>
      </c>
      <c r="AB32" s="1019" t="s">
        <v>2622</v>
      </c>
      <c r="AC32" s="1019" t="s">
        <v>2622</v>
      </c>
      <c r="AD32" s="1019" t="s">
        <v>2622</v>
      </c>
      <c r="AE32" s="1019" t="s">
        <v>2622</v>
      </c>
      <c r="AF32" s="1018" t="str">
        <f t="shared" si="3"/>
        <v/>
      </c>
      <c r="AG32" s="1018" t="str">
        <f t="shared" si="4"/>
        <v/>
      </c>
      <c r="AH32" s="1018" t="str">
        <f t="shared" si="5"/>
        <v/>
      </c>
      <c r="AI32" s="1018" t="str">
        <f t="shared" si="6"/>
        <v/>
      </c>
      <c r="AK32" s="1338" t="s">
        <v>2363</v>
      </c>
    </row>
    <row r="33" spans="1:37" ht="12" customHeight="1" x14ac:dyDescent="0.25">
      <c r="A33" s="4" t="str">
        <f t="shared" si="0"/>
        <v>01</v>
      </c>
      <c r="B33" s="89" t="s">
        <v>2375</v>
      </c>
      <c r="C33" s="748"/>
      <c r="D33" s="89"/>
      <c r="E33" s="89"/>
      <c r="F33" s="89"/>
      <c r="G33" s="89"/>
      <c r="H33" s="89"/>
      <c r="I33" s="747" t="s">
        <v>2635</v>
      </c>
      <c r="J33" s="749"/>
      <c r="K33" s="650">
        <f>SUMIF('710'!$B$21:$B$61,B33,'710'!$K$21:$K$61)</f>
        <v>0</v>
      </c>
      <c r="L33" s="995"/>
      <c r="M33" s="838"/>
      <c r="N33" s="995"/>
      <c r="O33" s="838"/>
      <c r="P33" s="995"/>
      <c r="Q33" s="838"/>
      <c r="R33" s="993"/>
      <c r="S33" s="996"/>
      <c r="T33" s="997"/>
      <c r="U33" s="2324" t="str">
        <f t="shared" si="1"/>
        <v/>
      </c>
      <c r="W33" s="315" t="str">
        <f t="shared" si="7"/>
        <v/>
      </c>
      <c r="X33" s="316" t="b">
        <f t="shared" si="8"/>
        <v>1</v>
      </c>
      <c r="Y33" s="644">
        <f t="shared" si="2"/>
        <v>0</v>
      </c>
      <c r="AB33" s="1019" t="s">
        <v>2622</v>
      </c>
      <c r="AC33" s="1019" t="s">
        <v>2622</v>
      </c>
      <c r="AD33" s="1019" t="s">
        <v>2622</v>
      </c>
      <c r="AE33" s="1019" t="s">
        <v>2622</v>
      </c>
      <c r="AF33" s="1018" t="str">
        <f t="shared" si="3"/>
        <v/>
      </c>
      <c r="AG33" s="1018" t="str">
        <f t="shared" si="4"/>
        <v/>
      </c>
      <c r="AH33" s="1018" t="str">
        <f t="shared" si="5"/>
        <v/>
      </c>
      <c r="AI33" s="1018" t="str">
        <f t="shared" si="6"/>
        <v/>
      </c>
      <c r="AK33" s="1338" t="s">
        <v>2375</v>
      </c>
    </row>
    <row r="34" spans="1:37" ht="12" customHeight="1" x14ac:dyDescent="0.25">
      <c r="A34" s="4" t="str">
        <f t="shared" si="0"/>
        <v>01</v>
      </c>
      <c r="B34" s="2439" t="s">
        <v>2369</v>
      </c>
      <c r="C34" s="748"/>
      <c r="D34" s="89"/>
      <c r="E34" s="89"/>
      <c r="F34" s="89"/>
      <c r="G34" s="89"/>
      <c r="H34" s="89"/>
      <c r="I34" s="747" t="s">
        <v>2636</v>
      </c>
      <c r="J34" s="749"/>
      <c r="K34" s="650">
        <f>SUMIF('710'!$B$21:$B$61,B34,'710'!$K$21:$K$61)</f>
        <v>0</v>
      </c>
      <c r="L34" s="995"/>
      <c r="M34" s="838"/>
      <c r="N34" s="995"/>
      <c r="O34" s="838"/>
      <c r="P34" s="995"/>
      <c r="Q34" s="838"/>
      <c r="R34" s="993"/>
      <c r="S34" s="996"/>
      <c r="T34" s="997"/>
      <c r="U34" s="2324" t="str">
        <f t="shared" si="1"/>
        <v/>
      </c>
      <c r="W34" s="315" t="str">
        <f t="shared" si="7"/>
        <v/>
      </c>
      <c r="X34" s="316" t="b">
        <f t="shared" si="8"/>
        <v>1</v>
      </c>
      <c r="Y34" s="644">
        <f t="shared" si="2"/>
        <v>0</v>
      </c>
      <c r="AB34" s="1019" t="s">
        <v>2622</v>
      </c>
      <c r="AC34" s="1019" t="s">
        <v>2622</v>
      </c>
      <c r="AD34" s="1019" t="s">
        <v>2622</v>
      </c>
      <c r="AE34" s="1019" t="s">
        <v>2622</v>
      </c>
      <c r="AF34" s="1018" t="str">
        <f t="shared" si="3"/>
        <v/>
      </c>
      <c r="AG34" s="1018" t="str">
        <f t="shared" si="4"/>
        <v/>
      </c>
      <c r="AH34" s="1018" t="str">
        <f t="shared" si="5"/>
        <v/>
      </c>
      <c r="AI34" s="1018" t="str">
        <f t="shared" si="6"/>
        <v/>
      </c>
      <c r="AK34" s="1338" t="s">
        <v>2369</v>
      </c>
    </row>
    <row r="35" spans="1:37" ht="12" customHeight="1" x14ac:dyDescent="0.25">
      <c r="A35" s="4" t="str">
        <f t="shared" si="0"/>
        <v>01</v>
      </c>
      <c r="B35" s="89" t="s">
        <v>2371</v>
      </c>
      <c r="C35" s="748"/>
      <c r="D35" s="89"/>
      <c r="E35" s="89"/>
      <c r="F35" s="89"/>
      <c r="G35" s="89"/>
      <c r="H35" s="89"/>
      <c r="I35" s="747" t="s">
        <v>2637</v>
      </c>
      <c r="J35" s="749"/>
      <c r="K35" s="650">
        <f>SUMIF('710'!$B$21:$B$61,B35,'710'!$K$21:$K$61)</f>
        <v>0</v>
      </c>
      <c r="L35" s="995"/>
      <c r="M35" s="838"/>
      <c r="N35" s="995"/>
      <c r="O35" s="838"/>
      <c r="P35" s="995"/>
      <c r="Q35" s="838"/>
      <c r="R35" s="993"/>
      <c r="S35" s="996"/>
      <c r="T35" s="997"/>
      <c r="U35" s="2324" t="str">
        <f t="shared" si="1"/>
        <v/>
      </c>
      <c r="W35" s="315" t="str">
        <f t="shared" si="7"/>
        <v/>
      </c>
      <c r="X35" s="316" t="b">
        <f t="shared" si="8"/>
        <v>1</v>
      </c>
      <c r="Y35" s="644">
        <f t="shared" si="2"/>
        <v>0</v>
      </c>
      <c r="AB35" s="1019" t="s">
        <v>2622</v>
      </c>
      <c r="AC35" s="1019" t="s">
        <v>2622</v>
      </c>
      <c r="AD35" s="1019" t="s">
        <v>2622</v>
      </c>
      <c r="AE35" s="1019" t="s">
        <v>2622</v>
      </c>
      <c r="AF35" s="1018" t="str">
        <f t="shared" si="3"/>
        <v/>
      </c>
      <c r="AG35" s="1018" t="str">
        <f t="shared" si="4"/>
        <v/>
      </c>
      <c r="AH35" s="1018" t="str">
        <f t="shared" si="5"/>
        <v/>
      </c>
      <c r="AI35" s="1018" t="str">
        <f t="shared" si="6"/>
        <v/>
      </c>
      <c r="AK35" s="1338" t="s">
        <v>2371</v>
      </c>
    </row>
    <row r="36" spans="1:37" ht="12" customHeight="1" x14ac:dyDescent="0.25">
      <c r="A36" s="4" t="str">
        <f t="shared" si="0"/>
        <v>01</v>
      </c>
      <c r="B36" s="89" t="s">
        <v>2373</v>
      </c>
      <c r="C36" s="748"/>
      <c r="D36" s="89"/>
      <c r="E36" s="89"/>
      <c r="F36" s="89"/>
      <c r="G36" s="89"/>
      <c r="H36" s="89"/>
      <c r="I36" s="747" t="s">
        <v>2638</v>
      </c>
      <c r="J36" s="749"/>
      <c r="K36" s="650">
        <f>SUMIF('710'!$B$21:$B$61,B36,'710'!$K$21:$K$61)</f>
        <v>0</v>
      </c>
      <c r="L36" s="995"/>
      <c r="M36" s="838"/>
      <c r="N36" s="995"/>
      <c r="O36" s="838"/>
      <c r="P36" s="995"/>
      <c r="Q36" s="838"/>
      <c r="R36" s="993"/>
      <c r="S36" s="996"/>
      <c r="T36" s="997"/>
      <c r="U36" s="2324" t="str">
        <f t="shared" si="1"/>
        <v/>
      </c>
      <c r="W36" s="315" t="str">
        <f t="shared" si="7"/>
        <v/>
      </c>
      <c r="X36" s="316" t="b">
        <f t="shared" si="8"/>
        <v>1</v>
      </c>
      <c r="Y36" s="644">
        <f t="shared" si="2"/>
        <v>0</v>
      </c>
      <c r="AB36" s="1019" t="s">
        <v>2622</v>
      </c>
      <c r="AC36" s="1019" t="s">
        <v>2622</v>
      </c>
      <c r="AD36" s="1019" t="s">
        <v>2622</v>
      </c>
      <c r="AE36" s="1019" t="s">
        <v>2622</v>
      </c>
      <c r="AF36" s="1018" t="str">
        <f t="shared" si="3"/>
        <v/>
      </c>
      <c r="AG36" s="1018" t="str">
        <f t="shared" si="4"/>
        <v/>
      </c>
      <c r="AH36" s="1018" t="str">
        <f t="shared" si="5"/>
        <v/>
      </c>
      <c r="AI36" s="1018" t="str">
        <f t="shared" si="6"/>
        <v/>
      </c>
      <c r="AK36" s="1338" t="s">
        <v>2373</v>
      </c>
    </row>
    <row r="37" spans="1:37" ht="12" customHeight="1" x14ac:dyDescent="0.25">
      <c r="A37" s="4" t="str">
        <f t="shared" si="0"/>
        <v>01</v>
      </c>
      <c r="B37" s="89" t="s">
        <v>2391</v>
      </c>
      <c r="C37" s="748"/>
      <c r="D37" s="89"/>
      <c r="E37" s="89"/>
      <c r="F37" s="89"/>
      <c r="G37" s="89"/>
      <c r="H37" s="89"/>
      <c r="I37" s="747" t="s">
        <v>2639</v>
      </c>
      <c r="J37" s="749"/>
      <c r="K37" s="650">
        <f>SUMIF('710'!$B$21:$B$61,B37,'710'!$K$21:$K$61)</f>
        <v>0</v>
      </c>
      <c r="L37" s="995"/>
      <c r="M37" s="838"/>
      <c r="N37" s="995"/>
      <c r="O37" s="838"/>
      <c r="P37" s="995"/>
      <c r="Q37" s="838"/>
      <c r="R37" s="993"/>
      <c r="S37" s="996"/>
      <c r="T37" s="997"/>
      <c r="U37" s="2324" t="str">
        <f t="shared" si="1"/>
        <v/>
      </c>
      <c r="W37" s="315" t="str">
        <f t="shared" si="7"/>
        <v/>
      </c>
      <c r="X37" s="316" t="b">
        <f t="shared" si="8"/>
        <v>1</v>
      </c>
      <c r="Y37" s="644">
        <f t="shared" si="2"/>
        <v>0</v>
      </c>
      <c r="AB37" s="1019" t="s">
        <v>2622</v>
      </c>
      <c r="AC37" s="1019" t="s">
        <v>2622</v>
      </c>
      <c r="AD37" s="1019" t="s">
        <v>2622</v>
      </c>
      <c r="AE37" s="1019" t="s">
        <v>2622</v>
      </c>
      <c r="AF37" s="1018" t="str">
        <f t="shared" si="3"/>
        <v/>
      </c>
      <c r="AG37" s="1018" t="str">
        <f t="shared" si="4"/>
        <v/>
      </c>
      <c r="AH37" s="1018" t="str">
        <f t="shared" si="5"/>
        <v/>
      </c>
      <c r="AI37" s="1018" t="str">
        <f t="shared" si="6"/>
        <v/>
      </c>
      <c r="AK37" s="1338" t="s">
        <v>2391</v>
      </c>
    </row>
    <row r="38" spans="1:37" ht="12" customHeight="1" x14ac:dyDescent="0.25">
      <c r="A38" s="4" t="str">
        <f t="shared" si="0"/>
        <v>01</v>
      </c>
      <c r="B38" s="2439" t="s">
        <v>2343</v>
      </c>
      <c r="C38" s="748"/>
      <c r="D38" s="89"/>
      <c r="E38" s="89"/>
      <c r="F38" s="89"/>
      <c r="G38" s="89"/>
      <c r="H38" s="89"/>
      <c r="I38" s="747" t="s">
        <v>2640</v>
      </c>
      <c r="J38" s="749"/>
      <c r="K38" s="650">
        <f>SUMIF('710'!$B$21:$B$61,B38,'710'!$K$21:$K$61)</f>
        <v>0</v>
      </c>
      <c r="L38" s="995"/>
      <c r="M38" s="838"/>
      <c r="N38" s="995"/>
      <c r="O38" s="838"/>
      <c r="P38" s="995"/>
      <c r="Q38" s="838"/>
      <c r="R38" s="993"/>
      <c r="S38" s="996"/>
      <c r="T38" s="997"/>
      <c r="U38" s="2324" t="str">
        <f t="shared" si="1"/>
        <v/>
      </c>
      <c r="W38" s="315" t="str">
        <f t="shared" si="7"/>
        <v/>
      </c>
      <c r="X38" s="316" t="b">
        <f t="shared" si="8"/>
        <v>1</v>
      </c>
      <c r="Y38" s="644">
        <f t="shared" si="2"/>
        <v>0</v>
      </c>
      <c r="AB38" s="1019" t="s">
        <v>2622</v>
      </c>
      <c r="AC38" s="1019" t="s">
        <v>2622</v>
      </c>
      <c r="AD38" s="1019" t="s">
        <v>2622</v>
      </c>
      <c r="AE38" s="1019" t="s">
        <v>2622</v>
      </c>
      <c r="AF38" s="1018" t="str">
        <f t="shared" si="3"/>
        <v/>
      </c>
      <c r="AG38" s="1018" t="str">
        <f t="shared" si="4"/>
        <v/>
      </c>
      <c r="AH38" s="1018" t="str">
        <f t="shared" si="5"/>
        <v/>
      </c>
      <c r="AI38" s="1018" t="str">
        <f t="shared" si="6"/>
        <v/>
      </c>
      <c r="AK38" s="1338" t="s">
        <v>2343</v>
      </c>
    </row>
    <row r="39" spans="1:37" ht="12" customHeight="1" x14ac:dyDescent="0.25">
      <c r="A39" s="4" t="str">
        <f t="shared" si="0"/>
        <v>01</v>
      </c>
      <c r="B39" s="2439" t="s">
        <v>2345</v>
      </c>
      <c r="C39" s="748"/>
      <c r="D39" s="89"/>
      <c r="E39" s="89"/>
      <c r="F39" s="89"/>
      <c r="G39" s="89"/>
      <c r="H39" s="89"/>
      <c r="I39" s="747" t="s">
        <v>2641</v>
      </c>
      <c r="J39" s="749"/>
      <c r="K39" s="650">
        <f>SUMIF('710'!$B$21:$B$61,B39,'710'!$K$21:$K$61)</f>
        <v>0</v>
      </c>
      <c r="L39" s="995"/>
      <c r="M39" s="838"/>
      <c r="N39" s="995"/>
      <c r="O39" s="838"/>
      <c r="P39" s="995"/>
      <c r="Q39" s="838"/>
      <c r="R39" s="993"/>
      <c r="S39" s="996"/>
      <c r="T39" s="997"/>
      <c r="U39" s="2324" t="str">
        <f t="shared" si="1"/>
        <v/>
      </c>
      <c r="W39" s="315" t="str">
        <f t="shared" si="7"/>
        <v/>
      </c>
      <c r="X39" s="316" t="b">
        <f t="shared" si="8"/>
        <v>1</v>
      </c>
      <c r="Y39" s="644">
        <f t="shared" si="2"/>
        <v>0</v>
      </c>
      <c r="AB39" s="1019" t="s">
        <v>2622</v>
      </c>
      <c r="AC39" s="1019" t="s">
        <v>2622</v>
      </c>
      <c r="AD39" s="1019" t="s">
        <v>2622</v>
      </c>
      <c r="AE39" s="1019" t="s">
        <v>2622</v>
      </c>
      <c r="AF39" s="1018" t="str">
        <f t="shared" si="3"/>
        <v/>
      </c>
      <c r="AG39" s="1018" t="str">
        <f t="shared" si="4"/>
        <v/>
      </c>
      <c r="AH39" s="1018" t="str">
        <f t="shared" si="5"/>
        <v/>
      </c>
      <c r="AI39" s="1018" t="str">
        <f t="shared" si="6"/>
        <v/>
      </c>
      <c r="AK39" s="1338" t="s">
        <v>2345</v>
      </c>
    </row>
    <row r="40" spans="1:37" ht="12" customHeight="1" x14ac:dyDescent="0.25">
      <c r="A40" s="4" t="str">
        <f t="shared" si="0"/>
        <v>01</v>
      </c>
      <c r="B40" s="2439" t="s">
        <v>2347</v>
      </c>
      <c r="C40" s="748"/>
      <c r="D40" s="89"/>
      <c r="E40" s="89"/>
      <c r="F40" s="89"/>
      <c r="G40" s="89"/>
      <c r="H40" s="89"/>
      <c r="I40" s="747" t="s">
        <v>2642</v>
      </c>
      <c r="J40" s="749"/>
      <c r="K40" s="650">
        <f>SUMIF('710'!$B$21:$B$61,B40,'710'!$K$21:$K$61)</f>
        <v>0</v>
      </c>
      <c r="L40" s="995"/>
      <c r="M40" s="838"/>
      <c r="N40" s="995"/>
      <c r="O40" s="838"/>
      <c r="P40" s="995"/>
      <c r="Q40" s="838"/>
      <c r="R40" s="993"/>
      <c r="S40" s="996"/>
      <c r="T40" s="997"/>
      <c r="U40" s="2324" t="str">
        <f t="shared" si="1"/>
        <v/>
      </c>
      <c r="W40" s="315" t="str">
        <f t="shared" si="7"/>
        <v/>
      </c>
      <c r="X40" s="316" t="b">
        <f t="shared" si="8"/>
        <v>1</v>
      </c>
      <c r="Y40" s="644">
        <f t="shared" si="2"/>
        <v>0</v>
      </c>
      <c r="AB40" s="1019" t="s">
        <v>2622</v>
      </c>
      <c r="AC40" s="1019" t="s">
        <v>2622</v>
      </c>
      <c r="AD40" s="1019" t="s">
        <v>2622</v>
      </c>
      <c r="AE40" s="1019" t="s">
        <v>2622</v>
      </c>
      <c r="AF40" s="1018" t="str">
        <f t="shared" si="3"/>
        <v/>
      </c>
      <c r="AG40" s="1018" t="str">
        <f t="shared" si="4"/>
        <v/>
      </c>
      <c r="AH40" s="1018" t="str">
        <f t="shared" si="5"/>
        <v/>
      </c>
      <c r="AI40" s="1018" t="str">
        <f t="shared" si="6"/>
        <v/>
      </c>
      <c r="AK40" s="1338" t="s">
        <v>2347</v>
      </c>
    </row>
    <row r="41" spans="1:37" ht="12" customHeight="1" x14ac:dyDescent="0.25">
      <c r="A41" s="4" t="str">
        <f t="shared" si="0"/>
        <v>01</v>
      </c>
      <c r="B41" s="89" t="s">
        <v>2349</v>
      </c>
      <c r="C41" s="748"/>
      <c r="D41" s="89"/>
      <c r="E41" s="89"/>
      <c r="F41" s="89"/>
      <c r="G41" s="89"/>
      <c r="H41" s="89"/>
      <c r="I41" s="747" t="s">
        <v>2643</v>
      </c>
      <c r="J41" s="749"/>
      <c r="K41" s="650">
        <f>SUMIF('710'!$B$21:$B$61,B41,'710'!$K$21:$K$61)</f>
        <v>0</v>
      </c>
      <c r="L41" s="995"/>
      <c r="M41" s="999"/>
      <c r="N41" s="995"/>
      <c r="O41" s="999"/>
      <c r="P41" s="995"/>
      <c r="Q41" s="838"/>
      <c r="R41" s="993"/>
      <c r="S41" s="996"/>
      <c r="T41" s="997"/>
      <c r="U41" s="2324" t="str">
        <f t="shared" si="1"/>
        <v/>
      </c>
      <c r="W41" s="315" t="str">
        <f t="shared" si="7"/>
        <v/>
      </c>
      <c r="X41" s="316" t="b">
        <f t="shared" si="8"/>
        <v>1</v>
      </c>
      <c r="Y41" s="644">
        <f t="shared" si="2"/>
        <v>0</v>
      </c>
      <c r="AB41" s="1019" t="s">
        <v>2622</v>
      </c>
      <c r="AC41" s="1019" t="s">
        <v>2622</v>
      </c>
      <c r="AD41" s="1019" t="s">
        <v>2622</v>
      </c>
      <c r="AE41" s="1019" t="s">
        <v>2622</v>
      </c>
      <c r="AF41" s="1018" t="str">
        <f t="shared" si="3"/>
        <v/>
      </c>
      <c r="AG41" s="1018" t="str">
        <f t="shared" si="4"/>
        <v/>
      </c>
      <c r="AH41" s="1018" t="str">
        <f t="shared" si="5"/>
        <v/>
      </c>
      <c r="AI41" s="1018" t="str">
        <f t="shared" si="6"/>
        <v/>
      </c>
      <c r="AK41" s="1338" t="s">
        <v>2349</v>
      </c>
    </row>
    <row r="42" spans="1:37" ht="12" customHeight="1" x14ac:dyDescent="0.25">
      <c r="A42" s="4" t="str">
        <f t="shared" si="0"/>
        <v>01</v>
      </c>
      <c r="B42" s="89" t="s">
        <v>2351</v>
      </c>
      <c r="C42" s="748"/>
      <c r="D42" s="89"/>
      <c r="E42" s="89"/>
      <c r="F42" s="89"/>
      <c r="G42" s="89"/>
      <c r="H42" s="89"/>
      <c r="I42" s="747" t="s">
        <v>2644</v>
      </c>
      <c r="J42" s="749"/>
      <c r="K42" s="650">
        <f>SUMIF('710'!$B$21:$B$61,B42,'710'!$K$21:$K$61)</f>
        <v>0</v>
      </c>
      <c r="L42" s="995"/>
      <c r="M42" s="999"/>
      <c r="N42" s="995"/>
      <c r="O42" s="999"/>
      <c r="P42" s="995"/>
      <c r="Q42" s="838"/>
      <c r="R42" s="993"/>
      <c r="S42" s="996"/>
      <c r="T42" s="997"/>
      <c r="U42" s="2324" t="str">
        <f t="shared" si="1"/>
        <v/>
      </c>
      <c r="W42" s="315" t="str">
        <f t="shared" si="7"/>
        <v/>
      </c>
      <c r="X42" s="316" t="b">
        <f t="shared" si="8"/>
        <v>1</v>
      </c>
      <c r="Y42" s="644">
        <f t="shared" si="2"/>
        <v>0</v>
      </c>
      <c r="AB42" s="1019" t="s">
        <v>2622</v>
      </c>
      <c r="AC42" s="1019" t="s">
        <v>2622</v>
      </c>
      <c r="AD42" s="1019" t="s">
        <v>2622</v>
      </c>
      <c r="AE42" s="1019" t="s">
        <v>2622</v>
      </c>
      <c r="AF42" s="1018" t="str">
        <f t="shared" si="3"/>
        <v/>
      </c>
      <c r="AG42" s="1018" t="str">
        <f t="shared" si="4"/>
        <v/>
      </c>
      <c r="AH42" s="1018" t="str">
        <f t="shared" si="5"/>
        <v/>
      </c>
      <c r="AI42" s="1018" t="str">
        <f t="shared" si="6"/>
        <v/>
      </c>
      <c r="AK42" s="1338" t="s">
        <v>2351</v>
      </c>
    </row>
    <row r="43" spans="1:37" ht="12" customHeight="1" x14ac:dyDescent="0.25">
      <c r="A43" s="4" t="str">
        <f t="shared" si="0"/>
        <v>01</v>
      </c>
      <c r="B43" s="89" t="s">
        <v>2379</v>
      </c>
      <c r="C43" s="748"/>
      <c r="D43" s="89"/>
      <c r="E43" s="89"/>
      <c r="F43" s="89"/>
      <c r="G43" s="89"/>
      <c r="H43" s="89"/>
      <c r="I43" s="747" t="s">
        <v>2645</v>
      </c>
      <c r="J43" s="749"/>
      <c r="K43" s="650">
        <f>SUMIF('710'!$B$21:$B$61,B43,'710'!$K$21:$K$61)</f>
        <v>0</v>
      </c>
      <c r="L43" s="995"/>
      <c r="M43" s="999"/>
      <c r="N43" s="995"/>
      <c r="O43" s="999"/>
      <c r="P43" s="995"/>
      <c r="Q43" s="838"/>
      <c r="R43" s="993"/>
      <c r="S43" s="996"/>
      <c r="T43" s="997"/>
      <c r="U43" s="2324" t="str">
        <f t="shared" si="1"/>
        <v/>
      </c>
      <c r="W43" s="315" t="str">
        <f t="shared" si="7"/>
        <v/>
      </c>
      <c r="X43" s="316" t="b">
        <f t="shared" si="8"/>
        <v>1</v>
      </c>
      <c r="Y43" s="644">
        <f t="shared" si="2"/>
        <v>0</v>
      </c>
      <c r="AB43" s="1019" t="s">
        <v>2622</v>
      </c>
      <c r="AC43" s="1019" t="s">
        <v>2622</v>
      </c>
      <c r="AD43" s="1019" t="s">
        <v>2622</v>
      </c>
      <c r="AE43" s="1019" t="s">
        <v>2622</v>
      </c>
      <c r="AF43" s="1018" t="str">
        <f t="shared" si="3"/>
        <v/>
      </c>
      <c r="AG43" s="1018" t="str">
        <f t="shared" si="4"/>
        <v/>
      </c>
      <c r="AH43" s="1018" t="str">
        <f t="shared" si="5"/>
        <v/>
      </c>
      <c r="AI43" s="1018" t="str">
        <f t="shared" si="6"/>
        <v/>
      </c>
      <c r="AK43" s="1338" t="s">
        <v>2379</v>
      </c>
    </row>
    <row r="44" spans="1:37" ht="12" customHeight="1" x14ac:dyDescent="0.25">
      <c r="B44" s="89" t="s">
        <v>2393</v>
      </c>
      <c r="C44" s="748"/>
      <c r="D44" s="89"/>
      <c r="E44" s="89"/>
      <c r="F44" s="89"/>
      <c r="G44" s="89"/>
      <c r="H44" s="89"/>
      <c r="I44" s="747" t="s">
        <v>2646</v>
      </c>
      <c r="J44" s="749"/>
      <c r="K44" s="650">
        <f>SUMIF('710'!$B$21:$B$61,B44,'710'!$K$21:$K$61)</f>
        <v>0</v>
      </c>
      <c r="L44" s="995"/>
      <c r="M44" s="999"/>
      <c r="N44" s="995"/>
      <c r="O44" s="999"/>
      <c r="P44" s="995"/>
      <c r="Q44" s="838"/>
      <c r="R44" s="993"/>
      <c r="S44" s="838"/>
      <c r="T44" s="997"/>
      <c r="U44" s="2324"/>
      <c r="W44" s="315"/>
      <c r="X44" s="316" t="b">
        <f t="shared" si="8"/>
        <v>1</v>
      </c>
      <c r="Y44" s="644">
        <f t="shared" si="2"/>
        <v>0</v>
      </c>
      <c r="AB44" s="1019" t="s">
        <v>2622</v>
      </c>
      <c r="AC44" s="1019" t="s">
        <v>2622</v>
      </c>
      <c r="AD44" s="1019" t="s">
        <v>2622</v>
      </c>
      <c r="AE44" s="1019" t="s">
        <v>2622</v>
      </c>
      <c r="AF44" s="1018"/>
      <c r="AG44" s="1018"/>
      <c r="AH44" s="1018"/>
      <c r="AI44" s="1018"/>
      <c r="AK44" s="1338" t="s">
        <v>2393</v>
      </c>
    </row>
    <row r="45" spans="1:37" ht="12" customHeight="1" x14ac:dyDescent="0.25">
      <c r="A45" s="4" t="str">
        <f t="shared" si="0"/>
        <v>01</v>
      </c>
      <c r="B45" s="89" t="s">
        <v>1373</v>
      </c>
      <c r="C45" s="3019" t="s">
        <v>2354</v>
      </c>
      <c r="D45" s="3019"/>
      <c r="E45" s="3019"/>
      <c r="F45" s="3019"/>
      <c r="G45" s="3019"/>
      <c r="H45" s="89"/>
      <c r="I45" s="747" t="s">
        <v>2647</v>
      </c>
      <c r="J45" s="749"/>
      <c r="K45" s="318"/>
      <c r="L45" s="995"/>
      <c r="M45" s="999"/>
      <c r="N45" s="995"/>
      <c r="O45" s="999"/>
      <c r="P45" s="995"/>
      <c r="Q45" s="838"/>
      <c r="R45" s="993"/>
      <c r="S45" s="838"/>
      <c r="T45" s="997"/>
      <c r="U45" s="2324" t="str">
        <f t="shared" si="1"/>
        <v/>
      </c>
      <c r="W45" s="315" t="str">
        <f t="shared" si="7"/>
        <v/>
      </c>
      <c r="X45" s="316" t="b">
        <f t="shared" si="8"/>
        <v>1</v>
      </c>
      <c r="Y45" s="644">
        <f t="shared" si="2"/>
        <v>0</v>
      </c>
      <c r="AB45" s="1019" t="s">
        <v>2622</v>
      </c>
      <c r="AC45" s="1019" t="s">
        <v>2622</v>
      </c>
      <c r="AD45" s="1019" t="s">
        <v>2622</v>
      </c>
      <c r="AE45" s="1019" t="s">
        <v>2622</v>
      </c>
      <c r="AF45" s="1018" t="str">
        <f t="shared" si="3"/>
        <v/>
      </c>
      <c r="AG45" s="1018" t="str">
        <f t="shared" si="4"/>
        <v/>
      </c>
      <c r="AH45" s="1018" t="str">
        <f t="shared" si="5"/>
        <v/>
      </c>
      <c r="AI45" s="1018" t="str">
        <f t="shared" si="6"/>
        <v/>
      </c>
      <c r="AK45" s="1338" t="str">
        <f>C45</f>
        <v>Select Other Investment (Click here)</v>
      </c>
    </row>
    <row r="46" spans="1:37" ht="12" customHeight="1" x14ac:dyDescent="0.25">
      <c r="A46" s="4" t="str">
        <f t="shared" si="0"/>
        <v>01</v>
      </c>
      <c r="B46" s="89" t="s">
        <v>1373</v>
      </c>
      <c r="C46" s="3019" t="s">
        <v>2354</v>
      </c>
      <c r="D46" s="3019"/>
      <c r="E46" s="3019"/>
      <c r="F46" s="3019"/>
      <c r="G46" s="3019"/>
      <c r="H46" s="89"/>
      <c r="I46" s="747" t="s">
        <v>2648</v>
      </c>
      <c r="J46" s="749"/>
      <c r="K46" s="318"/>
      <c r="L46" s="995"/>
      <c r="M46" s="999"/>
      <c r="N46" s="995"/>
      <c r="O46" s="999"/>
      <c r="P46" s="995"/>
      <c r="Q46" s="838"/>
      <c r="R46" s="993"/>
      <c r="S46" s="838"/>
      <c r="T46" s="997"/>
      <c r="U46" s="2324" t="str">
        <f>CONCATENATE(AF46,AG46,AH46,AI46)</f>
        <v/>
      </c>
      <c r="W46" s="315" t="str">
        <f>IF(X46=FALSE,"*","")</f>
        <v/>
      </c>
      <c r="X46" s="316" t="b">
        <f>+K46=SUM(M46,O46,Q46,S46)</f>
        <v>1</v>
      </c>
      <c r="Y46" s="644">
        <f>K46-SUM(M46,O46,Q46, S46)</f>
        <v>0</v>
      </c>
      <c r="AB46" s="1019" t="s">
        <v>2622</v>
      </c>
      <c r="AC46" s="1019" t="s">
        <v>2622</v>
      </c>
      <c r="AD46" s="1019" t="s">
        <v>2622</v>
      </c>
      <c r="AE46" s="1019" t="s">
        <v>2622</v>
      </c>
      <c r="AF46" s="1018" t="str">
        <f>IF(AB46="—","",RIGHT(AB46,7))</f>
        <v/>
      </c>
      <c r="AG46" s="1018" t="str">
        <f>IF(AC46="—","",RIGHT(AC46,7))</f>
        <v/>
      </c>
      <c r="AH46" s="1018" t="str">
        <f>IF(AD46="—","",RIGHT(AD46,7))</f>
        <v/>
      </c>
      <c r="AI46" s="1018" t="str">
        <f>IF(AE46="—","",RIGHT(AE46,7))</f>
        <v/>
      </c>
      <c r="AK46" s="1338" t="str">
        <f>C46</f>
        <v>Select Other Investment (Click here)</v>
      </c>
    </row>
    <row r="47" spans="1:37" ht="12" customHeight="1" x14ac:dyDescent="0.25">
      <c r="A47" s="4" t="str">
        <f t="shared" si="0"/>
        <v>01</v>
      </c>
      <c r="B47" s="89" t="s">
        <v>1373</v>
      </c>
      <c r="C47" s="3019" t="s">
        <v>2354</v>
      </c>
      <c r="D47" s="3019"/>
      <c r="E47" s="3019"/>
      <c r="F47" s="3019"/>
      <c r="G47" s="3019"/>
      <c r="H47" s="89"/>
      <c r="I47" s="747" t="s">
        <v>2649</v>
      </c>
      <c r="J47" s="749"/>
      <c r="K47" s="318"/>
      <c r="L47" s="995"/>
      <c r="M47" s="999"/>
      <c r="N47" s="995"/>
      <c r="O47" s="999"/>
      <c r="P47" s="995"/>
      <c r="Q47" s="838"/>
      <c r="R47" s="993"/>
      <c r="S47" s="838"/>
      <c r="T47" s="997"/>
      <c r="U47" s="2319" t="str">
        <f t="shared" si="1"/>
        <v/>
      </c>
      <c r="W47" s="315" t="str">
        <f t="shared" si="7"/>
        <v/>
      </c>
      <c r="X47" s="316" t="b">
        <f t="shared" si="8"/>
        <v>1</v>
      </c>
      <c r="Y47" s="644">
        <f t="shared" si="2"/>
        <v>0</v>
      </c>
      <c r="AB47" s="1019" t="s">
        <v>2622</v>
      </c>
      <c r="AC47" s="1019" t="s">
        <v>2622</v>
      </c>
      <c r="AD47" s="1019" t="s">
        <v>2622</v>
      </c>
      <c r="AE47" s="1019" t="s">
        <v>2622</v>
      </c>
      <c r="AF47" s="1018" t="str">
        <f t="shared" si="3"/>
        <v/>
      </c>
      <c r="AG47" s="1018" t="str">
        <f t="shared" si="4"/>
        <v/>
      </c>
      <c r="AH47" s="1018" t="str">
        <f t="shared" si="5"/>
        <v/>
      </c>
      <c r="AI47" s="1018" t="str">
        <f t="shared" si="6"/>
        <v/>
      </c>
      <c r="AK47" s="1338" t="str">
        <f>C47</f>
        <v>Select Other Investment (Click here)</v>
      </c>
    </row>
    <row r="48" spans="1:37" ht="3.75" customHeight="1" x14ac:dyDescent="0.25">
      <c r="A48" s="4" t="str">
        <f t="shared" si="0"/>
        <v>01</v>
      </c>
      <c r="B48" s="89"/>
      <c r="C48" s="89"/>
      <c r="D48" s="89"/>
      <c r="E48" s="89"/>
      <c r="F48" s="89"/>
      <c r="G48" s="89"/>
      <c r="H48" s="89"/>
      <c r="I48" s="747"/>
      <c r="J48" s="749"/>
      <c r="K48" s="995"/>
      <c r="L48" s="643"/>
      <c r="M48" s="643"/>
      <c r="N48" s="643"/>
      <c r="O48" s="643"/>
      <c r="P48" s="643"/>
      <c r="Q48" s="643"/>
      <c r="R48" s="89"/>
      <c r="S48" s="643"/>
      <c r="T48" s="643"/>
      <c r="U48"/>
      <c r="AB48" s="410"/>
      <c r="AC48" s="410"/>
      <c r="AD48" s="410"/>
      <c r="AE48" s="410"/>
      <c r="AF48" s="1018"/>
      <c r="AG48" s="1018"/>
      <c r="AH48" s="1018"/>
      <c r="AI48" s="1018"/>
    </row>
    <row r="49" spans="1:37" ht="15" customHeight="1" x14ac:dyDescent="0.25">
      <c r="A49" s="4" t="str">
        <f t="shared" si="0"/>
        <v>01</v>
      </c>
      <c r="B49" s="156" t="s">
        <v>2650</v>
      </c>
      <c r="C49" s="858"/>
      <c r="D49" s="89"/>
      <c r="E49" s="89"/>
      <c r="F49" s="89"/>
      <c r="G49" s="89"/>
      <c r="H49" s="89"/>
      <c r="I49" s="747"/>
      <c r="J49" s="749"/>
      <c r="K49" s="995"/>
      <c r="L49" s="643"/>
      <c r="M49" s="157"/>
      <c r="N49" s="643"/>
      <c r="O49" s="643"/>
      <c r="P49" s="643"/>
      <c r="Q49" s="643"/>
      <c r="R49" s="89"/>
      <c r="S49" s="89"/>
      <c r="T49" s="89"/>
      <c r="U49"/>
      <c r="AB49" s="410"/>
      <c r="AC49" s="410"/>
      <c r="AD49" s="410"/>
      <c r="AE49" s="410"/>
      <c r="AF49" s="1018"/>
      <c r="AG49" s="1018"/>
      <c r="AH49" s="1018"/>
      <c r="AI49" s="1018"/>
    </row>
    <row r="50" spans="1:37" ht="12" customHeight="1" x14ac:dyDescent="0.25">
      <c r="A50" s="4" t="str">
        <f t="shared" si="0"/>
        <v>01</v>
      </c>
      <c r="B50" s="89" t="s">
        <v>2381</v>
      </c>
      <c r="C50" s="748"/>
      <c r="D50" s="89"/>
      <c r="E50" s="89"/>
      <c r="F50" s="89"/>
      <c r="G50" s="89"/>
      <c r="H50" s="89"/>
      <c r="I50" s="747" t="s">
        <v>2651</v>
      </c>
      <c r="J50" s="749"/>
      <c r="K50" s="650">
        <f>SUMIF('710'!$B$21:$B$61,B50,'710'!$K$21:$K$61)</f>
        <v>0</v>
      </c>
      <c r="L50" s="995"/>
      <c r="M50" s="996"/>
      <c r="N50" s="995"/>
      <c r="O50" s="838"/>
      <c r="P50" s="995"/>
      <c r="Q50" s="838"/>
      <c r="R50" s="89"/>
      <c r="S50" s="996"/>
      <c r="U50" s="2324" t="str">
        <f t="shared" si="1"/>
        <v/>
      </c>
      <c r="W50" s="315"/>
      <c r="X50" s="316"/>
      <c r="Y50" s="644"/>
      <c r="Z50" s="644"/>
      <c r="AA50" s="644"/>
      <c r="AB50" s="1019" t="s">
        <v>2622</v>
      </c>
      <c r="AC50" s="1019" t="s">
        <v>2622</v>
      </c>
      <c r="AD50" s="1019" t="s">
        <v>2622</v>
      </c>
      <c r="AE50" s="1019" t="s">
        <v>2622</v>
      </c>
      <c r="AF50" s="1018" t="str">
        <f t="shared" si="3"/>
        <v/>
      </c>
      <c r="AG50" s="1018" t="str">
        <f t="shared" si="4"/>
        <v/>
      </c>
      <c r="AH50" s="1018" t="str">
        <f t="shared" si="5"/>
        <v/>
      </c>
      <c r="AI50" s="1018" t="str">
        <f t="shared" si="6"/>
        <v/>
      </c>
      <c r="AK50" s="1338" t="s">
        <v>2381</v>
      </c>
    </row>
    <row r="51" spans="1:37" ht="12" customHeight="1" x14ac:dyDescent="0.25">
      <c r="A51" s="4" t="str">
        <f t="shared" si="0"/>
        <v>01</v>
      </c>
      <c r="B51" s="89" t="s">
        <v>2383</v>
      </c>
      <c r="C51" s="748"/>
      <c r="D51" s="89"/>
      <c r="E51" s="89"/>
      <c r="F51" s="89"/>
      <c r="G51" s="89"/>
      <c r="H51" s="89"/>
      <c r="I51" s="747" t="s">
        <v>2652</v>
      </c>
      <c r="J51" s="749"/>
      <c r="K51" s="650">
        <f>SUMIF('710'!$B$21:$B$61,B51,'710'!$K$21:$K$61)</f>
        <v>0</v>
      </c>
      <c r="L51" s="995"/>
      <c r="M51" s="996"/>
      <c r="N51" s="995"/>
      <c r="O51" s="838"/>
      <c r="P51" s="995"/>
      <c r="Q51" s="838"/>
      <c r="R51" s="89"/>
      <c r="S51" s="996"/>
      <c r="U51" s="2324" t="str">
        <f t="shared" si="1"/>
        <v/>
      </c>
      <c r="W51" s="315"/>
      <c r="X51" s="316"/>
      <c r="Y51" s="644"/>
      <c r="Z51" s="644"/>
      <c r="AA51" s="644"/>
      <c r="AB51" s="1019" t="s">
        <v>2622</v>
      </c>
      <c r="AC51" s="1019" t="s">
        <v>2622</v>
      </c>
      <c r="AD51" s="1019" t="s">
        <v>2622</v>
      </c>
      <c r="AE51" s="1019" t="s">
        <v>2622</v>
      </c>
      <c r="AF51" s="1018" t="str">
        <f t="shared" si="3"/>
        <v/>
      </c>
      <c r="AG51" s="1018" t="str">
        <f t="shared" si="4"/>
        <v/>
      </c>
      <c r="AH51" s="1018" t="str">
        <f t="shared" si="5"/>
        <v/>
      </c>
      <c r="AI51" s="1018" t="str">
        <f t="shared" si="6"/>
        <v/>
      </c>
      <c r="AK51" s="1338" t="s">
        <v>2383</v>
      </c>
    </row>
    <row r="52" spans="1:37" ht="12" customHeight="1" x14ac:dyDescent="0.25">
      <c r="A52" s="4" t="str">
        <f t="shared" si="0"/>
        <v>01</v>
      </c>
      <c r="B52" s="89" t="s">
        <v>2385</v>
      </c>
      <c r="C52" s="748"/>
      <c r="D52" s="89"/>
      <c r="E52" s="89"/>
      <c r="F52" s="89"/>
      <c r="G52" s="89"/>
      <c r="H52" s="89"/>
      <c r="I52" s="747" t="s">
        <v>2653</v>
      </c>
      <c r="J52" s="749"/>
      <c r="K52" s="650">
        <f>SUMIF('710'!$B$21:$B$61,B52,'710'!$K$21:$K$61)</f>
        <v>0</v>
      </c>
      <c r="L52" s="995"/>
      <c r="M52" s="996"/>
      <c r="N52" s="995"/>
      <c r="O52" s="838"/>
      <c r="P52" s="995"/>
      <c r="Q52" s="838"/>
      <c r="R52" s="89"/>
      <c r="S52" s="996"/>
      <c r="U52" s="2324" t="str">
        <f t="shared" si="1"/>
        <v/>
      </c>
      <c r="W52" s="315"/>
      <c r="X52" s="316"/>
      <c r="Y52" s="644"/>
      <c r="Z52" s="644"/>
      <c r="AA52" s="644"/>
      <c r="AB52" s="1019" t="s">
        <v>2622</v>
      </c>
      <c r="AC52" s="1019" t="s">
        <v>2622</v>
      </c>
      <c r="AD52" s="1019" t="s">
        <v>2622</v>
      </c>
      <c r="AE52" s="1019" t="s">
        <v>2622</v>
      </c>
      <c r="AF52" s="1018" t="str">
        <f t="shared" si="3"/>
        <v/>
      </c>
      <c r="AG52" s="1018" t="str">
        <f t="shared" si="4"/>
        <v/>
      </c>
      <c r="AH52" s="1018" t="str">
        <f t="shared" si="5"/>
        <v/>
      </c>
      <c r="AI52" s="1018" t="str">
        <f t="shared" si="6"/>
        <v/>
      </c>
      <c r="AK52" s="1338" t="s">
        <v>2385</v>
      </c>
    </row>
    <row r="53" spans="1:37" ht="12" customHeight="1" x14ac:dyDescent="0.25">
      <c r="A53" s="4" t="str">
        <f t="shared" si="0"/>
        <v>01</v>
      </c>
      <c r="B53" s="89" t="s">
        <v>2387</v>
      </c>
      <c r="C53" s="748"/>
      <c r="D53" s="89"/>
      <c r="E53" s="89"/>
      <c r="F53" s="89"/>
      <c r="G53" s="89"/>
      <c r="H53" s="89"/>
      <c r="I53" s="747" t="s">
        <v>2654</v>
      </c>
      <c r="J53" s="749"/>
      <c r="K53" s="650">
        <f>SUMIF('710'!$B$21:$B$61,B53,'710'!$K$21:$K$61)</f>
        <v>0</v>
      </c>
      <c r="L53" s="995"/>
      <c r="M53" s="996"/>
      <c r="N53" s="995"/>
      <c r="O53" s="838"/>
      <c r="P53" s="995"/>
      <c r="Q53" s="838"/>
      <c r="R53" s="89"/>
      <c r="S53" s="996"/>
      <c r="U53" s="2324" t="str">
        <f t="shared" si="1"/>
        <v/>
      </c>
      <c r="W53" s="315"/>
      <c r="X53" s="316"/>
      <c r="Y53" s="644"/>
      <c r="Z53" s="644"/>
      <c r="AA53" s="644"/>
      <c r="AB53" s="1019" t="s">
        <v>2622</v>
      </c>
      <c r="AC53" s="1019" t="s">
        <v>2622</v>
      </c>
      <c r="AD53" s="1019" t="s">
        <v>2622</v>
      </c>
      <c r="AE53" s="1019" t="s">
        <v>2622</v>
      </c>
      <c r="AF53" s="1018" t="str">
        <f t="shared" si="3"/>
        <v/>
      </c>
      <c r="AG53" s="1018" t="str">
        <f t="shared" si="4"/>
        <v/>
      </c>
      <c r="AH53" s="1018" t="str">
        <f t="shared" si="5"/>
        <v/>
      </c>
      <c r="AI53" s="1018" t="str">
        <f t="shared" si="6"/>
        <v/>
      </c>
      <c r="AK53" s="1338" t="s">
        <v>2387</v>
      </c>
    </row>
    <row r="54" spans="1:37" ht="12" customHeight="1" x14ac:dyDescent="0.25">
      <c r="A54" s="4" t="str">
        <f t="shared" si="0"/>
        <v>01</v>
      </c>
      <c r="B54" s="89" t="s">
        <v>2389</v>
      </c>
      <c r="C54" s="748"/>
      <c r="D54" s="89"/>
      <c r="E54" s="89"/>
      <c r="F54" s="89"/>
      <c r="G54" s="89"/>
      <c r="H54" s="89"/>
      <c r="I54" s="747" t="s">
        <v>2655</v>
      </c>
      <c r="J54" s="749"/>
      <c r="K54" s="650">
        <f>SUMIF('710'!$B$21:$B$61,B54,'710'!$K$21:$K$61)</f>
        <v>0</v>
      </c>
      <c r="L54" s="995"/>
      <c r="M54" s="996"/>
      <c r="N54" s="995"/>
      <c r="O54" s="838"/>
      <c r="P54" s="995"/>
      <c r="Q54" s="838"/>
      <c r="R54" s="89"/>
      <c r="S54" s="996"/>
      <c r="U54" s="2324" t="str">
        <f t="shared" si="1"/>
        <v/>
      </c>
      <c r="W54" s="315"/>
      <c r="X54" s="316"/>
      <c r="Y54" s="644"/>
      <c r="Z54" s="644"/>
      <c r="AA54" s="644"/>
      <c r="AB54" s="1019" t="s">
        <v>2622</v>
      </c>
      <c r="AC54" s="1019" t="s">
        <v>2622</v>
      </c>
      <c r="AD54" s="1019" t="s">
        <v>2622</v>
      </c>
      <c r="AE54" s="1019" t="s">
        <v>2622</v>
      </c>
      <c r="AF54" s="1018" t="str">
        <f t="shared" si="3"/>
        <v/>
      </c>
      <c r="AG54" s="1018" t="str">
        <f t="shared" si="4"/>
        <v/>
      </c>
      <c r="AH54" s="1018" t="str">
        <f t="shared" si="5"/>
        <v/>
      </c>
      <c r="AI54" s="1018" t="str">
        <f t="shared" si="6"/>
        <v/>
      </c>
      <c r="AK54" s="1338" t="s">
        <v>2389</v>
      </c>
    </row>
    <row r="55" spans="1:37" ht="12" customHeight="1" x14ac:dyDescent="0.25">
      <c r="A55" s="4" t="str">
        <f t="shared" si="0"/>
        <v>01</v>
      </c>
      <c r="B55" s="89" t="s">
        <v>1373</v>
      </c>
      <c r="C55" s="3019" t="s">
        <v>2354</v>
      </c>
      <c r="D55" s="3019"/>
      <c r="E55" s="3019"/>
      <c r="F55" s="3019"/>
      <c r="G55" s="3019"/>
      <c r="H55" s="89"/>
      <c r="I55" s="747" t="s">
        <v>2656</v>
      </c>
      <c r="J55" s="749"/>
      <c r="K55" s="318"/>
      <c r="L55" s="995"/>
      <c r="M55" s="996"/>
      <c r="N55" s="995"/>
      <c r="O55" s="838"/>
      <c r="P55" s="995"/>
      <c r="Q55" s="838"/>
      <c r="R55" s="89"/>
      <c r="S55" s="996"/>
      <c r="U55" s="2324" t="str">
        <f t="shared" si="1"/>
        <v/>
      </c>
      <c r="W55" s="315"/>
      <c r="X55" s="316"/>
      <c r="Y55" s="644"/>
      <c r="Z55" s="644"/>
      <c r="AA55" s="644"/>
      <c r="AB55" s="1019" t="s">
        <v>2622</v>
      </c>
      <c r="AC55" s="1019" t="s">
        <v>2622</v>
      </c>
      <c r="AD55" s="1019" t="s">
        <v>2622</v>
      </c>
      <c r="AE55" s="1019" t="s">
        <v>2622</v>
      </c>
      <c r="AF55" s="1018" t="str">
        <f t="shared" si="3"/>
        <v/>
      </c>
      <c r="AG55" s="1018" t="str">
        <f t="shared" si="4"/>
        <v/>
      </c>
      <c r="AH55" s="1018" t="str">
        <f t="shared" si="5"/>
        <v/>
      </c>
      <c r="AI55" s="1018" t="str">
        <f t="shared" si="6"/>
        <v/>
      </c>
      <c r="AK55" s="1338" t="str">
        <f t="shared" ref="AK55:AK60" si="9">C55</f>
        <v>Select Other Investment (Click here)</v>
      </c>
    </row>
    <row r="56" spans="1:37" ht="12" customHeight="1" x14ac:dyDescent="0.25">
      <c r="A56" s="4" t="str">
        <f t="shared" si="0"/>
        <v>01</v>
      </c>
      <c r="B56" s="89" t="s">
        <v>1373</v>
      </c>
      <c r="C56" s="3019" t="s">
        <v>2354</v>
      </c>
      <c r="D56" s="3019"/>
      <c r="E56" s="3019"/>
      <c r="F56" s="3019"/>
      <c r="G56" s="3019"/>
      <c r="H56" s="89"/>
      <c r="I56" s="747" t="s">
        <v>2657</v>
      </c>
      <c r="J56" s="749"/>
      <c r="K56" s="318"/>
      <c r="L56" s="995"/>
      <c r="M56" s="996"/>
      <c r="N56" s="995"/>
      <c r="O56" s="838"/>
      <c r="P56" s="995"/>
      <c r="Q56" s="838"/>
      <c r="R56" s="89"/>
      <c r="S56" s="996"/>
      <c r="U56" s="2324" t="str">
        <f>CONCATENATE(AF56,AG56,AH56,AI56)</f>
        <v/>
      </c>
      <c r="W56" s="315"/>
      <c r="X56" s="316"/>
      <c r="Y56" s="644"/>
      <c r="Z56" s="644"/>
      <c r="AA56" s="644"/>
      <c r="AB56" s="1019" t="s">
        <v>2622</v>
      </c>
      <c r="AC56" s="1019" t="s">
        <v>2622</v>
      </c>
      <c r="AD56" s="1019" t="s">
        <v>2622</v>
      </c>
      <c r="AE56" s="1019" t="s">
        <v>2622</v>
      </c>
      <c r="AF56" s="1018" t="str">
        <f>IF(AB56="—","",RIGHT(AB56,7))</f>
        <v/>
      </c>
      <c r="AG56" s="1018" t="str">
        <f>IF(AC56="—","",RIGHT(AC56,7))</f>
        <v/>
      </c>
      <c r="AH56" s="1018" t="str">
        <f>IF(AD56="—","",RIGHT(AD56,7))</f>
        <v/>
      </c>
      <c r="AI56" s="1018" t="str">
        <f>IF(AE56="—","",RIGHT(AE56,7))</f>
        <v/>
      </c>
      <c r="AK56" s="1338" t="str">
        <f t="shared" si="9"/>
        <v>Select Other Investment (Click here)</v>
      </c>
    </row>
    <row r="57" spans="1:37" ht="12" customHeight="1" x14ac:dyDescent="0.25">
      <c r="B57" s="89" t="s">
        <v>1373</v>
      </c>
      <c r="C57" s="3019" t="s">
        <v>2354</v>
      </c>
      <c r="D57" s="3019"/>
      <c r="E57" s="3019"/>
      <c r="F57" s="3019"/>
      <c r="G57" s="3019"/>
      <c r="H57" s="89"/>
      <c r="I57" s="747" t="s">
        <v>2658</v>
      </c>
      <c r="J57" s="749"/>
      <c r="K57" s="318"/>
      <c r="L57" s="995"/>
      <c r="M57" s="996"/>
      <c r="N57" s="995"/>
      <c r="O57" s="838"/>
      <c r="P57" s="995"/>
      <c r="Q57" s="838"/>
      <c r="R57" s="89"/>
      <c r="S57" s="996"/>
      <c r="U57" s="2324"/>
      <c r="W57" s="315"/>
      <c r="X57" s="316"/>
      <c r="Y57" s="644"/>
      <c r="Z57" s="644"/>
      <c r="AA57" s="644"/>
      <c r="AB57" s="1019" t="s">
        <v>2622</v>
      </c>
      <c r="AC57" s="1019" t="s">
        <v>2622</v>
      </c>
      <c r="AD57" s="1019" t="s">
        <v>2622</v>
      </c>
      <c r="AE57" s="1019" t="s">
        <v>2622</v>
      </c>
      <c r="AF57" s="1018"/>
      <c r="AG57" s="1018"/>
      <c r="AH57" s="1018"/>
      <c r="AI57" s="1018"/>
      <c r="AK57" s="1338" t="str">
        <f t="shared" si="9"/>
        <v>Select Other Investment (Click here)</v>
      </c>
    </row>
    <row r="58" spans="1:37" ht="12" customHeight="1" x14ac:dyDescent="0.25">
      <c r="B58" s="89" t="s">
        <v>1373</v>
      </c>
      <c r="C58" s="3019" t="s">
        <v>2354</v>
      </c>
      <c r="D58" s="3019"/>
      <c r="E58" s="3019"/>
      <c r="F58" s="3019"/>
      <c r="G58" s="3019"/>
      <c r="H58" s="89"/>
      <c r="I58" s="747" t="s">
        <v>2659</v>
      </c>
      <c r="J58" s="749"/>
      <c r="K58" s="318"/>
      <c r="L58" s="995"/>
      <c r="M58" s="996"/>
      <c r="N58" s="995"/>
      <c r="O58" s="838"/>
      <c r="P58" s="995"/>
      <c r="Q58" s="838"/>
      <c r="R58" s="89"/>
      <c r="S58" s="996"/>
      <c r="U58" s="2324"/>
      <c r="W58" s="315"/>
      <c r="X58" s="316"/>
      <c r="Y58" s="644"/>
      <c r="Z58" s="644"/>
      <c r="AA58" s="644"/>
      <c r="AB58" s="1019" t="s">
        <v>2622</v>
      </c>
      <c r="AC58" s="1019" t="s">
        <v>2622</v>
      </c>
      <c r="AD58" s="1019" t="s">
        <v>2622</v>
      </c>
      <c r="AE58" s="1019" t="s">
        <v>2622</v>
      </c>
      <c r="AF58" s="1018"/>
      <c r="AG58" s="1018"/>
      <c r="AH58" s="1018"/>
      <c r="AI58" s="1018"/>
      <c r="AK58" s="1338" t="str">
        <f t="shared" si="9"/>
        <v>Select Other Investment (Click here)</v>
      </c>
    </row>
    <row r="59" spans="1:37" ht="12" customHeight="1" x14ac:dyDescent="0.25">
      <c r="B59" s="89" t="s">
        <v>1373</v>
      </c>
      <c r="C59" s="3019" t="s">
        <v>2354</v>
      </c>
      <c r="D59" s="3019"/>
      <c r="E59" s="3019"/>
      <c r="F59" s="3019"/>
      <c r="G59" s="3019"/>
      <c r="H59" s="89"/>
      <c r="I59" s="747" t="s">
        <v>2660</v>
      </c>
      <c r="J59" s="749"/>
      <c r="K59" s="318"/>
      <c r="L59" s="995"/>
      <c r="M59" s="996"/>
      <c r="N59" s="995"/>
      <c r="O59" s="838"/>
      <c r="P59" s="995"/>
      <c r="Q59" s="838"/>
      <c r="R59" s="89"/>
      <c r="S59" s="996"/>
      <c r="U59" s="2324"/>
      <c r="W59" s="315"/>
      <c r="X59" s="316"/>
      <c r="Y59" s="644"/>
      <c r="Z59" s="644"/>
      <c r="AA59" s="644"/>
      <c r="AB59" s="1019" t="s">
        <v>2622</v>
      </c>
      <c r="AC59" s="1019" t="s">
        <v>2622</v>
      </c>
      <c r="AD59" s="1019" t="s">
        <v>2622</v>
      </c>
      <c r="AE59" s="1019" t="s">
        <v>2622</v>
      </c>
      <c r="AF59" s="1018"/>
      <c r="AG59" s="1018"/>
      <c r="AH59" s="1018"/>
      <c r="AI59" s="1018"/>
      <c r="AK59" s="1338" t="str">
        <f t="shared" si="9"/>
        <v>Select Other Investment (Click here)</v>
      </c>
    </row>
    <row r="60" spans="1:37" ht="12" customHeight="1" x14ac:dyDescent="0.25">
      <c r="A60" s="4" t="str">
        <f t="shared" si="0"/>
        <v>01</v>
      </c>
      <c r="B60" s="89" t="s">
        <v>1373</v>
      </c>
      <c r="C60" s="3019" t="s">
        <v>2354</v>
      </c>
      <c r="D60" s="3019"/>
      <c r="E60" s="3019"/>
      <c r="F60" s="3019"/>
      <c r="G60" s="3019"/>
      <c r="H60" s="89"/>
      <c r="I60" s="747" t="s">
        <v>2661</v>
      </c>
      <c r="J60" s="749"/>
      <c r="K60" s="318"/>
      <c r="L60" s="995"/>
      <c r="M60" s="996"/>
      <c r="N60" s="995"/>
      <c r="O60" s="838"/>
      <c r="P60" s="995"/>
      <c r="Q60" s="838"/>
      <c r="R60" s="89"/>
      <c r="S60" s="996"/>
      <c r="U60" s="2319" t="str">
        <f t="shared" si="1"/>
        <v/>
      </c>
      <c r="W60" s="315"/>
      <c r="X60" s="316"/>
      <c r="Y60" s="644"/>
      <c r="Z60" s="644"/>
      <c r="AA60" s="644"/>
      <c r="AB60" s="1019" t="s">
        <v>2622</v>
      </c>
      <c r="AC60" s="1019" t="s">
        <v>2622</v>
      </c>
      <c r="AD60" s="1019" t="s">
        <v>2622</v>
      </c>
      <c r="AE60" s="1019" t="s">
        <v>2622</v>
      </c>
      <c r="AF60" s="1018" t="str">
        <f t="shared" si="3"/>
        <v/>
      </c>
      <c r="AG60" s="1018" t="str">
        <f t="shared" si="4"/>
        <v/>
      </c>
      <c r="AH60" s="1018" t="str">
        <f t="shared" si="5"/>
        <v/>
      </c>
      <c r="AI60" s="1018" t="str">
        <f t="shared" si="6"/>
        <v/>
      </c>
      <c r="AK60" s="1338" t="str">
        <f t="shared" si="9"/>
        <v>Select Other Investment (Click here)</v>
      </c>
    </row>
    <row r="61" spans="1:37" ht="4.5" customHeight="1" x14ac:dyDescent="0.25">
      <c r="A61" s="4" t="str">
        <f t="shared" si="0"/>
        <v>01</v>
      </c>
      <c r="B61" s="89"/>
      <c r="C61" s="89"/>
      <c r="D61" s="89"/>
      <c r="E61" s="89"/>
      <c r="F61" s="89"/>
      <c r="G61" s="89"/>
      <c r="H61" s="89"/>
      <c r="I61" s="747"/>
      <c r="J61" s="991"/>
      <c r="K61" s="997"/>
      <c r="L61" s="643"/>
      <c r="M61" s="997"/>
      <c r="N61" s="643"/>
      <c r="O61" s="643"/>
      <c r="P61" s="89"/>
      <c r="Q61" s="89"/>
      <c r="R61" s="89"/>
      <c r="S61" s="89"/>
      <c r="T61" s="89"/>
      <c r="U61"/>
      <c r="Y61" s="644"/>
      <c r="AB61" s="410"/>
      <c r="AC61" s="410"/>
      <c r="AD61" s="410"/>
      <c r="AE61" s="410"/>
      <c r="AF61" s="1018"/>
      <c r="AG61" s="1018"/>
      <c r="AH61" s="1018"/>
      <c r="AI61" s="1018"/>
    </row>
    <row r="62" spans="1:37" ht="12" customHeight="1" x14ac:dyDescent="0.25">
      <c r="B62" s="156" t="s">
        <v>2662</v>
      </c>
      <c r="C62" s="89"/>
      <c r="D62" s="89"/>
      <c r="E62" s="89"/>
      <c r="F62" s="89"/>
      <c r="G62" s="89"/>
      <c r="H62" s="89"/>
      <c r="I62" s="747"/>
      <c r="J62" s="991"/>
      <c r="K62" s="995"/>
      <c r="L62" s="643"/>
      <c r="M62" s="997"/>
      <c r="N62" s="643"/>
      <c r="O62" s="643"/>
      <c r="P62" s="89"/>
      <c r="Q62" s="89"/>
      <c r="R62" s="89"/>
      <c r="S62" s="89"/>
      <c r="T62" s="89"/>
      <c r="U62" s="89"/>
      <c r="X62" s="316"/>
      <c r="Y62" s="644"/>
      <c r="AB62" s="410"/>
      <c r="AC62" s="410"/>
      <c r="AD62" s="410"/>
      <c r="AE62" s="410"/>
      <c r="AF62" s="1018"/>
      <c r="AG62" s="1018"/>
      <c r="AH62" s="1018"/>
      <c r="AI62" s="1018"/>
    </row>
    <row r="63" spans="1:37" ht="12" customHeight="1" x14ac:dyDescent="0.25">
      <c r="A63" s="4" t="str">
        <f>AgyIdx</f>
        <v>01</v>
      </c>
      <c r="B63" s="89" t="s">
        <v>2365</v>
      </c>
      <c r="C63" s="748"/>
      <c r="D63" s="89"/>
      <c r="E63" s="89"/>
      <c r="F63" s="89"/>
      <c r="G63" s="89"/>
      <c r="H63" s="89"/>
      <c r="I63" s="747" t="s">
        <v>2663</v>
      </c>
      <c r="J63" s="749"/>
      <c r="K63" s="650">
        <f>SUMIF('710'!$B$21:$B$61,B63,'710'!$K$21:$K$61)</f>
        <v>0</v>
      </c>
      <c r="L63" s="995"/>
      <c r="M63" s="996"/>
      <c r="N63" s="995"/>
      <c r="O63" s="996"/>
      <c r="P63" s="995"/>
      <c r="Q63" s="996"/>
      <c r="R63" s="89"/>
      <c r="S63" s="996"/>
      <c r="U63" s="996"/>
      <c r="W63" s="315"/>
      <c r="X63" s="316" t="b">
        <f>+K63=SUM(M63,O63,Q63,S63)</f>
        <v>1</v>
      </c>
      <c r="Y63" s="644">
        <f>SUMIF(M63:Q63,"&gt;0")</f>
        <v>0</v>
      </c>
      <c r="Z63" s="644"/>
      <c r="AA63" s="644"/>
      <c r="AB63" s="644"/>
      <c r="AC63" s="1019"/>
      <c r="AD63" s="1019"/>
      <c r="AE63" s="1019"/>
      <c r="AF63" s="1018"/>
      <c r="AG63" s="1018" t="str">
        <f>IF(AC63="—","",RIGHT(AC63,7))</f>
        <v/>
      </c>
      <c r="AH63" s="1018" t="str">
        <f>IF(AD63="—","",RIGHT(AD63,7))</f>
        <v/>
      </c>
      <c r="AI63" s="1018" t="str">
        <f>IF(AE63="—","",RIGHT(AE63,7))</f>
        <v/>
      </c>
      <c r="AK63" s="1338" t="s">
        <v>2365</v>
      </c>
    </row>
    <row r="64" spans="1:37" ht="4.5" customHeight="1" x14ac:dyDescent="0.25">
      <c r="B64" s="89"/>
      <c r="C64" s="89"/>
      <c r="D64" s="89"/>
      <c r="E64" s="89"/>
      <c r="F64" s="89"/>
      <c r="G64" s="89"/>
      <c r="H64" s="89"/>
      <c r="I64" s="747"/>
      <c r="J64" s="991"/>
      <c r="K64" s="997"/>
      <c r="L64" s="643"/>
      <c r="M64" s="997"/>
      <c r="N64" s="643"/>
      <c r="O64" s="643"/>
      <c r="P64" s="89"/>
      <c r="Q64" s="89"/>
      <c r="R64" s="89"/>
      <c r="S64" s="89"/>
      <c r="T64" s="89"/>
      <c r="U64"/>
      <c r="Y64" s="644"/>
      <c r="AB64" s="410"/>
      <c r="AC64" s="410"/>
      <c r="AD64" s="410"/>
      <c r="AE64" s="410"/>
      <c r="AF64" s="1018"/>
      <c r="AG64" s="1018"/>
      <c r="AH64" s="1018"/>
      <c r="AI64" s="1018"/>
    </row>
    <row r="65" spans="1:37" ht="12.6" customHeight="1" x14ac:dyDescent="0.25">
      <c r="B65" s="156" t="s">
        <v>2664</v>
      </c>
      <c r="C65" s="89"/>
      <c r="D65" s="89"/>
      <c r="E65" s="89"/>
      <c r="F65" s="89"/>
      <c r="G65" s="89"/>
      <c r="H65" s="89"/>
      <c r="I65" s="747"/>
      <c r="J65" s="991"/>
      <c r="K65" s="995"/>
      <c r="L65" s="643"/>
      <c r="M65" s="997"/>
      <c r="N65" s="643"/>
      <c r="O65" s="643"/>
      <c r="P65" s="89"/>
      <c r="Q65" s="89"/>
      <c r="R65" s="89"/>
      <c r="S65" s="89"/>
      <c r="T65" s="89"/>
      <c r="U65"/>
      <c r="Y65" s="644"/>
      <c r="AB65" s="410"/>
      <c r="AC65" s="410"/>
      <c r="AD65" s="410"/>
      <c r="AE65" s="410"/>
      <c r="AF65" s="1018"/>
      <c r="AG65" s="1018"/>
      <c r="AH65" s="1018"/>
      <c r="AI65" s="1018"/>
    </row>
    <row r="66" spans="1:37" ht="12.6" customHeight="1" x14ac:dyDescent="0.25">
      <c r="A66" s="4" t="str">
        <f t="shared" si="0"/>
        <v>01</v>
      </c>
      <c r="B66" s="89" t="s">
        <v>1382</v>
      </c>
      <c r="C66" s="89"/>
      <c r="D66" s="89"/>
      <c r="E66" s="89"/>
      <c r="F66" s="89"/>
      <c r="G66" s="89"/>
      <c r="H66" s="89"/>
      <c r="I66" s="747"/>
      <c r="J66" s="991"/>
      <c r="K66" s="650">
        <f>'340'!I13</f>
        <v>0</v>
      </c>
      <c r="L66" s="995"/>
      <c r="M66" s="838"/>
      <c r="N66" s="995"/>
      <c r="O66" s="838"/>
      <c r="P66" s="995"/>
      <c r="Q66" s="838"/>
      <c r="R66" s="993"/>
      <c r="S66" s="996"/>
      <c r="T66" s="997"/>
      <c r="U66" s="2324" t="str">
        <f t="shared" si="1"/>
        <v/>
      </c>
      <c r="W66" s="315" t="str">
        <f t="shared" ref="W66:W73" si="10">IF(X66=FALSE,"*","")</f>
        <v/>
      </c>
      <c r="X66" s="316" t="b">
        <f>+K66=SUM(M66,O66,Q66,S66)</f>
        <v>1</v>
      </c>
      <c r="Y66" s="644">
        <f t="shared" ref="Y66:Y74" si="11">K66-SUM(M66,O66,Q66, S66)</f>
        <v>0</v>
      </c>
      <c r="AB66" s="1019" t="s">
        <v>2622</v>
      </c>
      <c r="AC66" s="1019" t="s">
        <v>2622</v>
      </c>
      <c r="AD66" s="1019" t="s">
        <v>2622</v>
      </c>
      <c r="AE66" s="1019" t="s">
        <v>2622</v>
      </c>
      <c r="AF66" s="1018" t="str">
        <f t="shared" si="3"/>
        <v/>
      </c>
      <c r="AG66" s="1018" t="str">
        <f t="shared" si="4"/>
        <v/>
      </c>
      <c r="AH66" s="1018" t="str">
        <f t="shared" si="5"/>
        <v/>
      </c>
      <c r="AI66" s="1018" t="str">
        <f t="shared" si="6"/>
        <v/>
      </c>
      <c r="AK66" s="1338" t="s">
        <v>1361</v>
      </c>
    </row>
    <row r="67" spans="1:37" ht="12.6" customHeight="1" x14ac:dyDescent="0.25">
      <c r="A67" s="4" t="str">
        <f t="shared" si="0"/>
        <v>01</v>
      </c>
      <c r="B67" s="89" t="s">
        <v>1363</v>
      </c>
      <c r="C67" s="89"/>
      <c r="D67" s="89"/>
      <c r="E67" s="89"/>
      <c r="F67" s="89"/>
      <c r="G67" s="89"/>
      <c r="H67" s="89"/>
      <c r="I67" s="747"/>
      <c r="J67" s="991"/>
      <c r="K67" s="650">
        <f>'340'!I14</f>
        <v>0</v>
      </c>
      <c r="L67" s="995"/>
      <c r="M67" s="838"/>
      <c r="N67" s="995"/>
      <c r="O67" s="838"/>
      <c r="P67" s="995"/>
      <c r="Q67" s="838"/>
      <c r="R67" s="993"/>
      <c r="S67" s="996"/>
      <c r="T67" s="997"/>
      <c r="U67" s="2324" t="str">
        <f t="shared" si="1"/>
        <v/>
      </c>
      <c r="W67" s="315" t="str">
        <f t="shared" si="10"/>
        <v/>
      </c>
      <c r="X67" s="316" t="b">
        <f t="shared" ref="X67:X74" si="12">+K67=SUM(M67,O67,Q67,S67)</f>
        <v>1</v>
      </c>
      <c r="Y67" s="644">
        <f t="shared" si="11"/>
        <v>0</v>
      </c>
      <c r="AB67" s="1019" t="s">
        <v>2622</v>
      </c>
      <c r="AC67" s="1019" t="s">
        <v>2622</v>
      </c>
      <c r="AD67" s="1019" t="s">
        <v>2622</v>
      </c>
      <c r="AE67" s="1019" t="s">
        <v>2622</v>
      </c>
      <c r="AF67" s="1018" t="str">
        <f t="shared" si="3"/>
        <v/>
      </c>
      <c r="AG67" s="1018" t="str">
        <f t="shared" si="4"/>
        <v/>
      </c>
      <c r="AH67" s="1018" t="str">
        <f t="shared" si="5"/>
        <v/>
      </c>
      <c r="AI67" s="1018" t="str">
        <f t="shared" si="6"/>
        <v/>
      </c>
      <c r="AK67" s="1338" t="s">
        <v>1363</v>
      </c>
    </row>
    <row r="68" spans="1:37" ht="12.6" customHeight="1" x14ac:dyDescent="0.25">
      <c r="A68" s="4" t="str">
        <f t="shared" si="0"/>
        <v>01</v>
      </c>
      <c r="B68" s="89" t="s">
        <v>1365</v>
      </c>
      <c r="C68" s="89"/>
      <c r="D68" s="89"/>
      <c r="E68" s="89"/>
      <c r="F68" s="89"/>
      <c r="G68" s="89"/>
      <c r="H68" s="89"/>
      <c r="I68" s="747"/>
      <c r="J68" s="991"/>
      <c r="K68" s="650">
        <f>'340'!I15</f>
        <v>0</v>
      </c>
      <c r="L68" s="995"/>
      <c r="M68" s="838"/>
      <c r="N68" s="995"/>
      <c r="O68" s="838"/>
      <c r="P68" s="995"/>
      <c r="Q68" s="838"/>
      <c r="R68" s="993"/>
      <c r="S68" s="996"/>
      <c r="T68" s="997"/>
      <c r="U68" s="2324" t="str">
        <f t="shared" si="1"/>
        <v/>
      </c>
      <c r="W68" s="315" t="str">
        <f t="shared" si="10"/>
        <v/>
      </c>
      <c r="X68" s="316" t="b">
        <f t="shared" si="12"/>
        <v>1</v>
      </c>
      <c r="Y68" s="644">
        <f t="shared" si="11"/>
        <v>0</v>
      </c>
      <c r="AB68" s="1019" t="s">
        <v>2622</v>
      </c>
      <c r="AC68" s="1019" t="s">
        <v>2622</v>
      </c>
      <c r="AD68" s="1019" t="s">
        <v>2622</v>
      </c>
      <c r="AE68" s="1019" t="s">
        <v>2622</v>
      </c>
      <c r="AF68" s="1018" t="str">
        <f t="shared" si="3"/>
        <v/>
      </c>
      <c r="AG68" s="1018" t="str">
        <f t="shared" si="4"/>
        <v/>
      </c>
      <c r="AH68" s="1018" t="str">
        <f t="shared" si="5"/>
        <v/>
      </c>
      <c r="AI68" s="1018" t="str">
        <f t="shared" si="6"/>
        <v/>
      </c>
      <c r="AK68" s="1338" t="s">
        <v>1365</v>
      </c>
    </row>
    <row r="69" spans="1:37" ht="12.6" customHeight="1" x14ac:dyDescent="0.25">
      <c r="A69" s="4" t="str">
        <f t="shared" si="0"/>
        <v>01</v>
      </c>
      <c r="B69" s="89" t="s">
        <v>1367</v>
      </c>
      <c r="C69" s="89"/>
      <c r="D69" s="89"/>
      <c r="E69" s="89"/>
      <c r="F69" s="89"/>
      <c r="G69" s="89"/>
      <c r="H69" s="89"/>
      <c r="I69" s="747"/>
      <c r="J69" s="991"/>
      <c r="K69" s="650">
        <f>'340'!I16</f>
        <v>0</v>
      </c>
      <c r="L69" s="995"/>
      <c r="M69" s="838"/>
      <c r="N69" s="995"/>
      <c r="O69" s="838"/>
      <c r="P69" s="995"/>
      <c r="Q69" s="838"/>
      <c r="R69" s="993"/>
      <c r="S69" s="996"/>
      <c r="T69" s="997"/>
      <c r="U69" s="2324" t="str">
        <f t="shared" si="1"/>
        <v/>
      </c>
      <c r="W69" s="315" t="str">
        <f t="shared" si="10"/>
        <v/>
      </c>
      <c r="X69" s="316" t="b">
        <f t="shared" si="12"/>
        <v>1</v>
      </c>
      <c r="Y69" s="644">
        <f t="shared" si="11"/>
        <v>0</v>
      </c>
      <c r="AB69" s="1019" t="s">
        <v>2622</v>
      </c>
      <c r="AC69" s="1019" t="s">
        <v>2622</v>
      </c>
      <c r="AD69" s="1019" t="s">
        <v>2622</v>
      </c>
      <c r="AE69" s="1019" t="s">
        <v>2622</v>
      </c>
      <c r="AF69" s="1018" t="str">
        <f t="shared" si="3"/>
        <v/>
      </c>
      <c r="AG69" s="1018" t="str">
        <f t="shared" si="4"/>
        <v/>
      </c>
      <c r="AH69" s="1018" t="str">
        <f t="shared" si="5"/>
        <v/>
      </c>
      <c r="AI69" s="1018" t="str">
        <f t="shared" si="6"/>
        <v/>
      </c>
      <c r="AK69" s="1338" t="s">
        <v>1367</v>
      </c>
    </row>
    <row r="70" spans="1:37" ht="12.6" customHeight="1" x14ac:dyDescent="0.25">
      <c r="A70" s="4" t="str">
        <f t="shared" si="0"/>
        <v>01</v>
      </c>
      <c r="B70" s="89" t="s">
        <v>1369</v>
      </c>
      <c r="C70" s="89"/>
      <c r="D70" s="89"/>
      <c r="E70" s="89"/>
      <c r="F70" s="89"/>
      <c r="G70" s="89"/>
      <c r="H70" s="89"/>
      <c r="I70" s="747"/>
      <c r="J70" s="991"/>
      <c r="K70" s="650">
        <f>'340'!I17</f>
        <v>0</v>
      </c>
      <c r="L70" s="995"/>
      <c r="M70" s="838"/>
      <c r="N70" s="995"/>
      <c r="O70" s="838"/>
      <c r="P70" s="995"/>
      <c r="Q70" s="838"/>
      <c r="R70" s="993"/>
      <c r="S70" s="996"/>
      <c r="T70" s="997"/>
      <c r="U70" s="2324" t="str">
        <f t="shared" si="1"/>
        <v/>
      </c>
      <c r="W70" s="315" t="str">
        <f t="shared" si="10"/>
        <v/>
      </c>
      <c r="X70" s="316" t="b">
        <f t="shared" si="12"/>
        <v>1</v>
      </c>
      <c r="Y70" s="644">
        <f t="shared" si="11"/>
        <v>0</v>
      </c>
      <c r="AB70" s="1019" t="s">
        <v>2622</v>
      </c>
      <c r="AC70" s="1019" t="s">
        <v>2622</v>
      </c>
      <c r="AD70" s="1019" t="s">
        <v>2622</v>
      </c>
      <c r="AE70" s="1019" t="s">
        <v>2622</v>
      </c>
      <c r="AF70" s="1018" t="str">
        <f t="shared" si="3"/>
        <v/>
      </c>
      <c r="AG70" s="1018" t="str">
        <f t="shared" si="4"/>
        <v/>
      </c>
      <c r="AH70" s="1018" t="str">
        <f t="shared" si="5"/>
        <v/>
      </c>
      <c r="AI70" s="1018" t="str">
        <f t="shared" si="6"/>
        <v/>
      </c>
      <c r="AK70" s="1338" t="s">
        <v>1369</v>
      </c>
    </row>
    <row r="71" spans="1:37" ht="12.6" customHeight="1" x14ac:dyDescent="0.25">
      <c r="A71" s="4" t="str">
        <f t="shared" si="0"/>
        <v>01</v>
      </c>
      <c r="B71" s="89" t="s">
        <v>1371</v>
      </c>
      <c r="C71" s="89"/>
      <c r="D71" s="89"/>
      <c r="E71" s="89"/>
      <c r="F71" s="89"/>
      <c r="G71" s="89"/>
      <c r="H71" s="89"/>
      <c r="I71" s="747"/>
      <c r="J71" s="991"/>
      <c r="K71" s="650">
        <f>'340'!I18</f>
        <v>0</v>
      </c>
      <c r="L71" s="995"/>
      <c r="M71" s="838"/>
      <c r="N71" s="995"/>
      <c r="O71" s="838"/>
      <c r="P71" s="995"/>
      <c r="Q71" s="838"/>
      <c r="R71" s="993"/>
      <c r="S71" s="996"/>
      <c r="T71" s="997"/>
      <c r="U71" s="2324" t="str">
        <f t="shared" si="1"/>
        <v/>
      </c>
      <c r="W71" s="315" t="str">
        <f t="shared" si="10"/>
        <v/>
      </c>
      <c r="X71" s="316" t="b">
        <f t="shared" si="12"/>
        <v>1</v>
      </c>
      <c r="Y71" s="644">
        <f t="shared" si="11"/>
        <v>0</v>
      </c>
      <c r="AB71" s="1019" t="s">
        <v>2622</v>
      </c>
      <c r="AC71" s="1019" t="s">
        <v>2622</v>
      </c>
      <c r="AD71" s="1019" t="s">
        <v>2622</v>
      </c>
      <c r="AE71" s="1019" t="s">
        <v>2622</v>
      </c>
      <c r="AF71" s="1018" t="str">
        <f t="shared" si="3"/>
        <v/>
      </c>
      <c r="AG71" s="1018" t="str">
        <f t="shared" si="4"/>
        <v/>
      </c>
      <c r="AH71" s="1018" t="str">
        <f t="shared" si="5"/>
        <v/>
      </c>
      <c r="AI71" s="1018" t="str">
        <f t="shared" si="6"/>
        <v/>
      </c>
      <c r="AK71" s="1338" t="s">
        <v>1371</v>
      </c>
    </row>
    <row r="72" spans="1:37" ht="12.6" customHeight="1" x14ac:dyDescent="0.25">
      <c r="B72" s="89" t="s">
        <v>1372</v>
      </c>
      <c r="C72" s="89"/>
      <c r="D72" s="89"/>
      <c r="E72" s="89"/>
      <c r="F72" s="89"/>
      <c r="G72" s="89"/>
      <c r="H72" s="89"/>
      <c r="I72" s="747"/>
      <c r="J72" s="991"/>
      <c r="K72" s="650">
        <f>'340'!I19</f>
        <v>0</v>
      </c>
      <c r="L72" s="995"/>
      <c r="M72" s="838"/>
      <c r="N72" s="995"/>
      <c r="O72" s="838"/>
      <c r="P72" s="995"/>
      <c r="Q72" s="838"/>
      <c r="R72" s="993"/>
      <c r="S72" s="996"/>
      <c r="T72" s="997"/>
      <c r="U72" s="2324" t="str">
        <f t="shared" si="1"/>
        <v/>
      </c>
      <c r="W72" s="315" t="str">
        <f>IF(X72=FALSE,"*","")</f>
        <v/>
      </c>
      <c r="X72" s="316" t="b">
        <f>+K72=SUM(M72,O72,Q72,S72)</f>
        <v>1</v>
      </c>
      <c r="Y72" s="644">
        <f>K72-SUM(M72,O72,Q72, S72)</f>
        <v>0</v>
      </c>
      <c r="AB72" s="1019" t="s">
        <v>2622</v>
      </c>
      <c r="AC72" s="1019" t="s">
        <v>2622</v>
      </c>
      <c r="AD72" s="1019" t="s">
        <v>2622</v>
      </c>
      <c r="AE72" s="1019" t="s">
        <v>2622</v>
      </c>
      <c r="AF72" s="1018" t="str">
        <f t="shared" si="3"/>
        <v/>
      </c>
      <c r="AG72" s="1018" t="str">
        <f t="shared" si="4"/>
        <v/>
      </c>
      <c r="AH72" s="1018" t="str">
        <f t="shared" si="5"/>
        <v/>
      </c>
      <c r="AI72" s="1018" t="str">
        <f t="shared" si="6"/>
        <v/>
      </c>
      <c r="AK72" s="1338" t="s">
        <v>1372</v>
      </c>
    </row>
    <row r="73" spans="1:37" ht="12.6" customHeight="1" x14ac:dyDescent="0.25">
      <c r="A73" s="4" t="str">
        <f t="shared" si="0"/>
        <v>01</v>
      </c>
      <c r="B73" s="89" t="s">
        <v>1373</v>
      </c>
      <c r="C73" s="3019"/>
      <c r="D73" s="3019"/>
      <c r="E73" s="3019"/>
      <c r="F73" s="3019"/>
      <c r="G73" s="3019"/>
      <c r="H73" s="89"/>
      <c r="I73" s="747"/>
      <c r="J73" s="991"/>
      <c r="K73" s="650">
        <f>'340'!I20</f>
        <v>0</v>
      </c>
      <c r="L73" s="995"/>
      <c r="M73" s="838"/>
      <c r="N73" s="995"/>
      <c r="O73" s="838"/>
      <c r="P73" s="995"/>
      <c r="Q73" s="838"/>
      <c r="R73" s="993"/>
      <c r="S73" s="996"/>
      <c r="T73" s="997"/>
      <c r="U73" s="2324" t="str">
        <f t="shared" si="1"/>
        <v/>
      </c>
      <c r="W73" s="315" t="str">
        <f t="shared" si="10"/>
        <v/>
      </c>
      <c r="X73" s="316" t="b">
        <f t="shared" si="12"/>
        <v>1</v>
      </c>
      <c r="Y73" s="644">
        <f t="shared" si="11"/>
        <v>0</v>
      </c>
      <c r="AB73" s="1019" t="s">
        <v>2622</v>
      </c>
      <c r="AC73" s="1019" t="s">
        <v>2622</v>
      </c>
      <c r="AD73" s="1019" t="s">
        <v>2622</v>
      </c>
      <c r="AE73" s="1019" t="s">
        <v>2622</v>
      </c>
      <c r="AF73" s="1018" t="str">
        <f t="shared" si="3"/>
        <v/>
      </c>
      <c r="AG73" s="1018" t="str">
        <f t="shared" si="4"/>
        <v/>
      </c>
      <c r="AH73" s="1018" t="str">
        <f t="shared" si="5"/>
        <v/>
      </c>
      <c r="AI73" s="1018" t="str">
        <f t="shared" si="6"/>
        <v/>
      </c>
      <c r="AK73" s="1338" t="s">
        <v>2665</v>
      </c>
    </row>
    <row r="74" spans="1:37" ht="12" customHeight="1" x14ac:dyDescent="0.25">
      <c r="B74" s="89" t="s">
        <v>1373</v>
      </c>
      <c r="C74" s="3051"/>
      <c r="D74" s="3051"/>
      <c r="E74" s="3051"/>
      <c r="F74" s="3051"/>
      <c r="G74" s="3051"/>
      <c r="H74" s="89"/>
      <c r="I74" s="747"/>
      <c r="J74" s="991"/>
      <c r="K74" s="650">
        <f>'340'!I21</f>
        <v>0</v>
      </c>
      <c r="L74" s="995"/>
      <c r="M74" s="838"/>
      <c r="N74" s="995"/>
      <c r="O74" s="838"/>
      <c r="P74" s="995"/>
      <c r="Q74" s="838"/>
      <c r="R74" s="993"/>
      <c r="S74" s="1007"/>
      <c r="T74" s="997"/>
      <c r="U74" s="2319" t="str">
        <f t="shared" si="1"/>
        <v/>
      </c>
      <c r="W74" s="315"/>
      <c r="X74" s="316" t="b">
        <f t="shared" si="12"/>
        <v>1</v>
      </c>
      <c r="Y74" s="644">
        <f t="shared" si="11"/>
        <v>0</v>
      </c>
      <c r="AB74" s="1019" t="s">
        <v>2622</v>
      </c>
      <c r="AC74" s="1019" t="s">
        <v>2622</v>
      </c>
      <c r="AD74" s="1019" t="s">
        <v>2622</v>
      </c>
      <c r="AE74" s="1019" t="s">
        <v>2622</v>
      </c>
      <c r="AF74" s="1018" t="str">
        <f t="shared" si="3"/>
        <v/>
      </c>
      <c r="AG74" s="1018" t="str">
        <f t="shared" si="4"/>
        <v/>
      </c>
      <c r="AH74" s="1018" t="str">
        <f t="shared" si="5"/>
        <v/>
      </c>
      <c r="AI74" s="1018" t="str">
        <f t="shared" si="6"/>
        <v/>
      </c>
      <c r="AK74" s="1338" t="s">
        <v>2666</v>
      </c>
    </row>
    <row r="75" spans="1:37" ht="4.5" customHeight="1" x14ac:dyDescent="0.25">
      <c r="A75" s="4" t="str">
        <f t="shared" ref="A75:A84" si="13">AgyIdx</f>
        <v>01</v>
      </c>
      <c r="B75" s="614"/>
      <c r="C75" s="89"/>
      <c r="D75" s="89"/>
      <c r="E75" s="89"/>
      <c r="F75" s="89"/>
      <c r="G75" s="89"/>
      <c r="H75" s="89"/>
      <c r="I75" s="747"/>
      <c r="J75" s="991"/>
      <c r="K75" s="995"/>
      <c r="L75" s="643"/>
      <c r="M75" s="997"/>
      <c r="N75" s="643"/>
      <c r="O75" s="643"/>
      <c r="P75" s="89"/>
      <c r="Q75" s="89"/>
      <c r="R75" s="89"/>
      <c r="S75" s="89"/>
      <c r="T75" s="89"/>
      <c r="U75"/>
      <c r="X75" s="316"/>
      <c r="Y75" s="644"/>
      <c r="AB75" s="410"/>
      <c r="AC75" s="410"/>
      <c r="AD75" s="410"/>
      <c r="AE75" s="410"/>
      <c r="AF75" s="1018"/>
      <c r="AG75" s="1018"/>
      <c r="AH75" s="1018"/>
      <c r="AI75" s="1018"/>
    </row>
    <row r="76" spans="1:37" ht="13.5" x14ac:dyDescent="0.25">
      <c r="A76" s="4" t="str">
        <f t="shared" si="13"/>
        <v>01</v>
      </c>
      <c r="B76" s="156" t="s">
        <v>2667</v>
      </c>
      <c r="C76" s="89"/>
      <c r="D76" s="89"/>
      <c r="E76" s="89"/>
      <c r="F76" s="89"/>
      <c r="G76" s="89"/>
      <c r="H76" s="89"/>
      <c r="I76" s="747"/>
      <c r="J76" s="991"/>
      <c r="K76" s="995"/>
      <c r="L76" s="643"/>
      <c r="M76" s="997"/>
      <c r="N76" s="643"/>
      <c r="O76" s="643"/>
      <c r="P76" s="89"/>
      <c r="Q76" s="89"/>
      <c r="R76" s="89"/>
      <c r="S76" s="89"/>
      <c r="T76" s="89"/>
      <c r="U76"/>
      <c r="X76" s="316"/>
      <c r="Y76" s="644"/>
      <c r="AB76" s="410"/>
      <c r="AC76" s="410"/>
      <c r="AD76" s="410"/>
      <c r="AE76" s="410"/>
      <c r="AF76" s="1018"/>
      <c r="AG76" s="1018"/>
      <c r="AH76" s="1018"/>
      <c r="AI76" s="1018"/>
    </row>
    <row r="77" spans="1:37" ht="12" customHeight="1" x14ac:dyDescent="0.25">
      <c r="A77" s="4" t="str">
        <f t="shared" si="13"/>
        <v>01</v>
      </c>
      <c r="B77" s="89" t="s">
        <v>1382</v>
      </c>
      <c r="C77" s="89"/>
      <c r="D77" s="89"/>
      <c r="E77" s="89"/>
      <c r="F77" s="89"/>
      <c r="G77" s="89"/>
      <c r="H77" s="89"/>
      <c r="I77" s="747"/>
      <c r="J77" s="991"/>
      <c r="K77" s="650">
        <f>'340'!I31</f>
        <v>0</v>
      </c>
      <c r="L77" s="995"/>
      <c r="M77" s="838"/>
      <c r="N77" s="995"/>
      <c r="O77" s="838"/>
      <c r="P77" s="995"/>
      <c r="Q77" s="838"/>
      <c r="R77" s="993"/>
      <c r="S77" s="996"/>
      <c r="T77" s="997"/>
      <c r="U77" s="2324" t="str">
        <f t="shared" si="1"/>
        <v/>
      </c>
      <c r="W77" s="315"/>
      <c r="X77" s="316" t="b">
        <f t="shared" ref="X77" si="14">+K77=SUM(M77,O77,Q77,S77)</f>
        <v>1</v>
      </c>
      <c r="Y77" s="644">
        <f>K77-SUM(M77,O77,Q77, S77)</f>
        <v>0</v>
      </c>
      <c r="AB77" s="1019" t="s">
        <v>2622</v>
      </c>
      <c r="AC77" s="1019" t="s">
        <v>2622</v>
      </c>
      <c r="AD77" s="1019" t="s">
        <v>2622</v>
      </c>
      <c r="AE77" s="1019" t="s">
        <v>2622</v>
      </c>
      <c r="AF77" s="1018" t="str">
        <f t="shared" si="3"/>
        <v/>
      </c>
      <c r="AG77" s="1018" t="str">
        <f t="shared" si="4"/>
        <v/>
      </c>
      <c r="AH77" s="1018" t="str">
        <f t="shared" si="5"/>
        <v/>
      </c>
      <c r="AI77" s="1018" t="str">
        <f t="shared" si="6"/>
        <v/>
      </c>
      <c r="AK77" s="1323" t="s">
        <v>1382</v>
      </c>
    </row>
    <row r="78" spans="1:37" ht="7.5" customHeight="1" x14ac:dyDescent="0.25">
      <c r="A78" s="4" t="str">
        <f t="shared" si="13"/>
        <v>01</v>
      </c>
      <c r="B78" s="614"/>
      <c r="C78" s="89"/>
      <c r="D78" s="89"/>
      <c r="E78" s="89"/>
      <c r="F78" s="89"/>
      <c r="G78" s="89"/>
      <c r="H78" s="89"/>
      <c r="I78" s="747"/>
      <c r="J78" s="991"/>
      <c r="K78" s="995"/>
      <c r="L78" s="643"/>
      <c r="M78" s="997"/>
      <c r="N78" s="643"/>
      <c r="O78" s="643"/>
      <c r="P78" s="89"/>
      <c r="Q78" s="89"/>
      <c r="R78" s="89"/>
      <c r="S78" s="89"/>
      <c r="T78" s="89"/>
      <c r="U78" s="89"/>
      <c r="X78" s="316"/>
      <c r="Y78" s="644"/>
      <c r="AB78" s="410"/>
      <c r="AC78" s="410"/>
      <c r="AD78" s="410"/>
      <c r="AE78" s="410"/>
      <c r="AF78" s="1018"/>
      <c r="AG78" s="1018"/>
      <c r="AH78" s="1018"/>
      <c r="AI78" s="1018"/>
    </row>
    <row r="79" spans="1:37" ht="7.5" customHeight="1" x14ac:dyDescent="0.25">
      <c r="B79" s="614"/>
      <c r="C79" s="89"/>
      <c r="D79" s="89"/>
      <c r="E79" s="89"/>
      <c r="F79" s="89"/>
      <c r="G79" s="89"/>
      <c r="H79" s="89"/>
      <c r="I79" s="747"/>
      <c r="J79" s="991"/>
      <c r="K79" s="995"/>
      <c r="L79" s="643"/>
      <c r="M79" s="997"/>
      <c r="N79" s="643"/>
      <c r="O79" s="643"/>
      <c r="P79" s="89"/>
      <c r="Q79" s="89"/>
      <c r="R79" s="89"/>
      <c r="S79" s="89"/>
      <c r="T79" s="89"/>
      <c r="U79" s="89"/>
      <c r="X79" s="316"/>
      <c r="Y79" s="644"/>
      <c r="AB79" s="410"/>
      <c r="AC79" s="410"/>
      <c r="AD79" s="410"/>
      <c r="AE79" s="410"/>
      <c r="AF79" s="1018"/>
      <c r="AG79" s="1018"/>
      <c r="AH79" s="1018"/>
      <c r="AI79" s="1018"/>
    </row>
    <row r="80" spans="1:37" ht="13.5" x14ac:dyDescent="0.25">
      <c r="A80" s="4" t="str">
        <f>AgyIdx</f>
        <v>01</v>
      </c>
      <c r="B80" s="614" t="s">
        <v>2668</v>
      </c>
      <c r="C80" s="89"/>
      <c r="D80" s="89"/>
      <c r="E80" s="89"/>
      <c r="F80" s="89"/>
      <c r="G80" s="89"/>
      <c r="H80" s="89"/>
      <c r="I80" s="747"/>
      <c r="J80" s="991"/>
      <c r="K80" s="995"/>
      <c r="L80" s="643"/>
      <c r="M80" s="483" t="s">
        <v>340</v>
      </c>
      <c r="O80" s="813"/>
      <c r="P80" s="3049" t="str">
        <f>IF(AND(ISBLANK(O80),ISBLANK(O81))=TRUE,"Answer Missing"," ")</f>
        <v>Answer Missing</v>
      </c>
      <c r="Q80" s="3050"/>
      <c r="S80" s="3050" t="str">
        <f>IF(ISTEXT(O80), "Narrative WS Required", " ")</f>
        <v xml:space="preserve"> </v>
      </c>
      <c r="T80" s="3050"/>
      <c r="U80" s="3050"/>
      <c r="X80" s="316"/>
      <c r="Y80" s="644"/>
      <c r="AK80" s="1323"/>
    </row>
    <row r="81" spans="1:25" ht="13.5" x14ac:dyDescent="0.25">
      <c r="A81" s="4" t="str">
        <f t="shared" si="13"/>
        <v>01</v>
      </c>
      <c r="B81" s="614" t="s">
        <v>2669</v>
      </c>
      <c r="C81" s="89"/>
      <c r="D81" s="89"/>
      <c r="E81" s="89"/>
      <c r="F81" s="89"/>
      <c r="G81" s="89"/>
      <c r="H81" s="89"/>
      <c r="I81" s="747"/>
      <c r="J81" s="991"/>
      <c r="M81" s="483" t="s">
        <v>341</v>
      </c>
      <c r="O81" s="813"/>
      <c r="P81" s="612"/>
      <c r="X81" s="316"/>
      <c r="Y81" s="644"/>
    </row>
    <row r="82" spans="1:25" ht="5.25" customHeight="1" x14ac:dyDescent="0.25">
      <c r="A82" s="4" t="str">
        <f t="shared" si="13"/>
        <v>01</v>
      </c>
      <c r="B82" s="858"/>
      <c r="C82" s="858"/>
      <c r="G82" s="89"/>
      <c r="H82" s="89"/>
      <c r="I82" s="747"/>
      <c r="J82" s="991"/>
      <c r="K82" s="995"/>
      <c r="L82" s="643"/>
      <c r="M82" s="997"/>
      <c r="N82" s="643"/>
      <c r="O82" s="643"/>
      <c r="P82" s="89"/>
      <c r="X82" s="316"/>
      <c r="Y82" s="644"/>
    </row>
    <row r="83" spans="1:25" ht="13.5" x14ac:dyDescent="0.25">
      <c r="A83" s="4" t="str">
        <f t="shared" si="13"/>
        <v>01</v>
      </c>
      <c r="B83" s="614" t="s">
        <v>2670</v>
      </c>
      <c r="C83" s="89"/>
      <c r="D83" s="89"/>
      <c r="E83" s="89"/>
      <c r="F83" s="89"/>
      <c r="G83" s="89"/>
      <c r="H83" s="89"/>
      <c r="I83" s="747"/>
      <c r="J83" s="991"/>
      <c r="K83" s="995"/>
      <c r="L83" s="747"/>
      <c r="M83" s="483" t="s">
        <v>340</v>
      </c>
      <c r="O83" s="813"/>
      <c r="P83" s="3049" t="str">
        <f>IF(AND(ISBLANK(O83),ISBLANK(O84))=TRUE,"Answer Missing"," ")</f>
        <v>Answer Missing</v>
      </c>
      <c r="Q83" s="3050"/>
      <c r="R83" s="89"/>
      <c r="S83" s="3050" t="str">
        <f>IF(ISTEXT(O83), "Narrative WS Required", " ")</f>
        <v xml:space="preserve"> </v>
      </c>
      <c r="T83" s="3050"/>
      <c r="U83" s="3050"/>
      <c r="X83" s="316"/>
      <c r="Y83" s="644"/>
    </row>
    <row r="84" spans="1:25" ht="13.5" x14ac:dyDescent="0.25">
      <c r="A84" s="4" t="str">
        <f t="shared" si="13"/>
        <v>01</v>
      </c>
      <c r="B84" s="614" t="s">
        <v>2671</v>
      </c>
      <c r="C84" s="89"/>
      <c r="D84" s="89"/>
      <c r="E84" s="89"/>
      <c r="F84" s="89"/>
      <c r="G84" s="89"/>
      <c r="H84" s="89"/>
      <c r="I84" s="747"/>
      <c r="J84" s="991"/>
      <c r="K84" s="643"/>
      <c r="L84" s="89"/>
      <c r="M84" s="483" t="s">
        <v>341</v>
      </c>
      <c r="O84" s="813"/>
      <c r="P84" s="612"/>
      <c r="Q84" s="89"/>
      <c r="R84" s="89"/>
      <c r="X84" s="316"/>
      <c r="Y84" s="644"/>
    </row>
    <row r="85" spans="1:25" ht="3.75" customHeight="1" x14ac:dyDescent="0.25">
      <c r="B85" s="858"/>
      <c r="C85" s="858"/>
      <c r="L85" s="89"/>
      <c r="R85" s="89"/>
      <c r="S85" s="747"/>
      <c r="T85" s="991"/>
      <c r="U85" s="643"/>
      <c r="X85" s="316"/>
      <c r="Y85" s="644"/>
    </row>
    <row r="86" spans="1:25" ht="13.5" x14ac:dyDescent="0.25">
      <c r="B86" s="614" t="s">
        <v>2672</v>
      </c>
      <c r="C86" s="858"/>
      <c r="D86" s="89"/>
      <c r="E86" s="89"/>
      <c r="F86" s="89"/>
      <c r="G86" s="89"/>
      <c r="H86" s="89"/>
      <c r="I86" s="747"/>
      <c r="J86" s="991"/>
      <c r="K86" s="643"/>
      <c r="L86" s="89"/>
      <c r="M86" s="643"/>
      <c r="N86" s="643"/>
      <c r="O86" s="6"/>
      <c r="P86" s="643"/>
      <c r="Q86" s="643"/>
      <c r="R86" s="89"/>
      <c r="X86" s="316"/>
      <c r="Y86" s="644"/>
    </row>
    <row r="87" spans="1:25" ht="13.5" x14ac:dyDescent="0.25">
      <c r="C87" s="858"/>
      <c r="D87" s="89"/>
      <c r="E87" s="89"/>
      <c r="F87" s="89"/>
      <c r="G87" s="89"/>
      <c r="H87" s="89"/>
      <c r="I87" s="747"/>
      <c r="J87" s="991"/>
      <c r="K87" s="643"/>
      <c r="L87" s="89"/>
      <c r="M87" s="643"/>
      <c r="N87" s="643"/>
      <c r="O87" s="6"/>
      <c r="P87" s="643"/>
      <c r="Q87" s="643"/>
      <c r="R87" s="89"/>
      <c r="X87" s="316"/>
      <c r="Y87" s="644"/>
    </row>
    <row r="88" spans="1:25" ht="15" customHeight="1" x14ac:dyDescent="0.25">
      <c r="A88" s="4" t="str">
        <f>AgyIdx</f>
        <v>01</v>
      </c>
      <c r="B88" s="179"/>
      <c r="F88" s="160"/>
      <c r="G88" s="160"/>
      <c r="H88" s="160"/>
      <c r="I88" s="1000"/>
      <c r="K88" s="995"/>
      <c r="L88" s="858"/>
      <c r="M88" s="89"/>
      <c r="N88" s="89"/>
      <c r="O88" s="161"/>
      <c r="P88" s="161"/>
      <c r="Q88" s="161"/>
      <c r="X88" s="316"/>
      <c r="Y88" s="644"/>
    </row>
    <row r="89" spans="1:25" x14ac:dyDescent="0.2">
      <c r="A89" s="4" t="str">
        <f>AgyIdx</f>
        <v>01</v>
      </c>
      <c r="B89" s="847"/>
      <c r="I89" s="642"/>
      <c r="K89" s="643"/>
      <c r="L89" s="6"/>
      <c r="M89" s="6"/>
      <c r="N89" s="6"/>
      <c r="P89" s="6"/>
      <c r="Q89" s="6"/>
      <c r="X89" s="316"/>
      <c r="Y89" s="644"/>
    </row>
    <row r="90" spans="1:25" x14ac:dyDescent="0.2">
      <c r="A90" s="4" t="str">
        <f>AgyIdx</f>
        <v>01</v>
      </c>
      <c r="B90" s="160"/>
    </row>
    <row r="91" spans="1:25" ht="15" x14ac:dyDescent="0.2">
      <c r="A91" s="421"/>
      <c r="B91" s="160"/>
      <c r="K91" s="421"/>
    </row>
    <row r="92" spans="1:25" ht="15" x14ac:dyDescent="0.2">
      <c r="A92" s="421"/>
      <c r="B92" s="160"/>
    </row>
    <row r="93" spans="1:25" ht="15" x14ac:dyDescent="0.2">
      <c r="A93" s="421"/>
      <c r="B93" s="160"/>
    </row>
    <row r="94" spans="1:25" ht="3.75" customHeight="1" x14ac:dyDescent="0.2">
      <c r="A94" s="421"/>
      <c r="B94" s="160"/>
    </row>
    <row r="95" spans="1:25" ht="15" x14ac:dyDescent="0.2">
      <c r="A95" s="421"/>
      <c r="B95" s="160"/>
    </row>
    <row r="96" spans="1:25" ht="15" x14ac:dyDescent="0.2">
      <c r="A96" s="421"/>
      <c r="B96" s="160"/>
    </row>
    <row r="97" spans="1:2" ht="15" x14ac:dyDescent="0.2">
      <c r="A97" s="421"/>
      <c r="B97" s="160"/>
    </row>
    <row r="98" spans="1:2" ht="15" x14ac:dyDescent="0.2">
      <c r="A98" s="421"/>
      <c r="B98" s="160"/>
    </row>
    <row r="99" spans="1:2" ht="15" x14ac:dyDescent="0.2">
      <c r="A99" s="421"/>
      <c r="B99" s="160"/>
    </row>
    <row r="100" spans="1:2" ht="3.75" customHeight="1" x14ac:dyDescent="0.2">
      <c r="A100" s="421"/>
      <c r="B100" s="160"/>
    </row>
    <row r="101" spans="1:2" ht="15" x14ac:dyDescent="0.2">
      <c r="A101" s="421"/>
      <c r="B101" s="160"/>
    </row>
    <row r="102" spans="1:2" ht="15" x14ac:dyDescent="0.2">
      <c r="A102" s="421"/>
      <c r="B102" s="160"/>
    </row>
    <row r="103" spans="1:2" ht="3.75" customHeight="1" x14ac:dyDescent="0.2">
      <c r="A103" s="421"/>
      <c r="B103" s="160"/>
    </row>
    <row r="104" spans="1:2" ht="15" x14ac:dyDescent="0.2">
      <c r="A104" s="421"/>
      <c r="B104" s="160"/>
    </row>
    <row r="105" spans="1:2" ht="3.75" customHeight="1" x14ac:dyDescent="0.2">
      <c r="A105" s="421"/>
    </row>
    <row r="106" spans="1:2" ht="15" x14ac:dyDescent="0.2">
      <c r="A106" s="421"/>
    </row>
    <row r="107" spans="1:2" ht="15" x14ac:dyDescent="0.2">
      <c r="A107" s="421"/>
    </row>
    <row r="108" spans="1:2" ht="15" x14ac:dyDescent="0.2">
      <c r="A108" s="421"/>
    </row>
    <row r="109" spans="1:2" ht="15" x14ac:dyDescent="0.2">
      <c r="A109" s="421"/>
    </row>
    <row r="110" spans="1:2" ht="15" x14ac:dyDescent="0.2">
      <c r="A110" s="421"/>
      <c r="B110" s="421"/>
    </row>
    <row r="111" spans="1:2" ht="15" x14ac:dyDescent="0.2">
      <c r="A111" s="421"/>
      <c r="B111" s="421"/>
    </row>
    <row r="112" spans="1:2" ht="15" x14ac:dyDescent="0.2">
      <c r="A112" s="421"/>
      <c r="B112" s="421"/>
    </row>
    <row r="113" spans="1:2" ht="15" x14ac:dyDescent="0.2">
      <c r="A113" s="421"/>
      <c r="B113" s="421"/>
    </row>
  </sheetData>
  <sheetProtection algorithmName="SHA-512" hashValue="mrSc4wCfAHP6GuA7gfBKPtykha/cxyFmRAgz3WbP6CTjEssll1bCrdYKXFpkF7k+kcWKMXlbdJbu64ceejXg8A==" saltValue="6oaXnPQt0uZc7UJR7dHWCw==" spinCount="100000" sheet="1" autoFilter="0"/>
  <mergeCells count="26">
    <mergeCell ref="C45:G45"/>
    <mergeCell ref="P80:Q80"/>
    <mergeCell ref="S80:U80"/>
    <mergeCell ref="P83:Q83"/>
    <mergeCell ref="S83:U83"/>
    <mergeCell ref="C46:G46"/>
    <mergeCell ref="C47:G47"/>
    <mergeCell ref="C55:G55"/>
    <mergeCell ref="C56:G56"/>
    <mergeCell ref="C57:G57"/>
    <mergeCell ref="C58:G58"/>
    <mergeCell ref="C59:G59"/>
    <mergeCell ref="C60:G60"/>
    <mergeCell ref="C73:G73"/>
    <mergeCell ref="C74:G74"/>
    <mergeCell ref="M12:Q12"/>
    <mergeCell ref="B1:T1"/>
    <mergeCell ref="Y1:Y3"/>
    <mergeCell ref="B2:T2"/>
    <mergeCell ref="B3:T3"/>
    <mergeCell ref="B4:T4"/>
    <mergeCell ref="M6:Q6"/>
    <mergeCell ref="M7:Q7"/>
    <mergeCell ref="E8:G8"/>
    <mergeCell ref="M8:Q8"/>
    <mergeCell ref="M9:Q9"/>
  </mergeCells>
  <conditionalFormatting sqref="P80">
    <cfRule type="containsText" dxfId="29" priority="7" stopIfTrue="1" operator="containsText" text="Answer Missing">
      <formula>NOT(ISERROR(SEARCH("Answer Missing",P80)))</formula>
    </cfRule>
  </conditionalFormatting>
  <conditionalFormatting sqref="P83">
    <cfRule type="containsText" dxfId="28" priority="6" stopIfTrue="1" operator="containsText" text="Answer Missing">
      <formula>NOT(ISERROR(SEARCH("Answer Missing",P83)))</formula>
    </cfRule>
  </conditionalFormatting>
  <conditionalFormatting sqref="S80">
    <cfRule type="containsText" dxfId="27" priority="5" stopIfTrue="1" operator="containsText" text="Answer Missing">
      <formula>NOT(ISERROR(SEARCH("Answer Missing",S80)))</formula>
    </cfRule>
  </conditionalFormatting>
  <conditionalFormatting sqref="S83">
    <cfRule type="containsText" dxfId="26" priority="4" stopIfTrue="1" operator="containsText" text="Answer Missing">
      <formula>NOT(ISERROR(SEARCH("Answer Missing",S83)))</formula>
    </cfRule>
  </conditionalFormatting>
  <conditionalFormatting sqref="U1:U3">
    <cfRule type="cellIs" dxfId="25" priority="9" stopIfTrue="1" operator="equal">
      <formula>"na"</formula>
    </cfRule>
  </conditionalFormatting>
  <conditionalFormatting sqref="Y1:Y3">
    <cfRule type="cellIs" dxfId="24" priority="8" stopIfTrue="1" operator="equal">
      <formula>"na"</formula>
    </cfRule>
  </conditionalFormatting>
  <dataValidations count="1">
    <dataValidation type="list" allowBlank="1" showInputMessage="1" showErrorMessage="1" sqref="AB77:AE77 AB66:AE74 AB20:AE47 AB50:AE60" xr:uid="{00000000-0002-0000-4600-000000000000}">
      <formula1>ValuationTech</formula1>
    </dataValidation>
  </dataValidations>
  <hyperlinks>
    <hyperlink ref="B1:R1" location="Index!A1" display="Index!A1" xr:uid="{00000000-0004-0000-4600-000000000000}"/>
  </hyperlinks>
  <pageMargins left="0.6" right="0.6" top="0.5" bottom="0.5" header="0.3" footer="0.3"/>
  <pageSetup scale="85" fitToWidth="0" fitToHeight="2" orientation="landscape" r:id="rId1"/>
  <rowBreaks count="1" manualBreakCount="1">
    <brk id="48" min="1" max="21"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01467BC-11D3-4469-8B5B-300B632A6834}">
          <x14:formula1>
            <xm:f>Notes!$AC$3:$AC$8</xm:f>
          </x14:formula1>
          <xm:sqref>C45:G47</xm:sqref>
        </x14:dataValidation>
        <x14:dataValidation type="list" allowBlank="1" showInputMessage="1" showErrorMessage="1" xr:uid="{C8F02C7A-E6C2-4311-B629-FCF1585D0CBE}">
          <x14:formula1>
            <xm:f>Notes!$AC$12:$AC$23</xm:f>
          </x14:formula1>
          <xm:sqref>C55:C60</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47"/>
  <dimension ref="A1:U46"/>
  <sheetViews>
    <sheetView showGridLines="0" topLeftCell="B1" zoomScaleNormal="100" workbookViewId="0">
      <selection activeCell="B125" sqref="B125:E125"/>
    </sheetView>
  </sheetViews>
  <sheetFormatPr defaultColWidth="9.42578125" defaultRowHeight="12.75" x14ac:dyDescent="0.2"/>
  <cols>
    <col min="1" max="1" width="6.5703125" style="4" hidden="1" customWidth="1"/>
    <col min="2" max="2" width="6.5703125" style="4" customWidth="1"/>
    <col min="3" max="3" width="1.5703125" style="4" customWidth="1"/>
    <col min="4" max="4" width="6.42578125" style="4" customWidth="1"/>
    <col min="5" max="5" width="7.5703125" style="4" customWidth="1"/>
    <col min="6" max="6" width="1.5703125" style="4" customWidth="1"/>
    <col min="7" max="7" width="4.5703125" style="4" customWidth="1"/>
    <col min="8" max="8" width="0.5703125" style="4" customWidth="1"/>
    <col min="9" max="9" width="3.5703125" style="4" customWidth="1"/>
    <col min="10" max="10" width="1.42578125" style="4" customWidth="1"/>
    <col min="11" max="11" width="13.42578125" style="4" customWidth="1"/>
    <col min="12" max="12" width="2.5703125" style="4" customWidth="1"/>
    <col min="13" max="13" width="11.5703125" style="4" customWidth="1"/>
    <col min="14" max="14" width="1.42578125" style="4" customWidth="1"/>
    <col min="15" max="15" width="8.42578125" style="4" customWidth="1"/>
    <col min="16" max="16" width="1.42578125" style="4" customWidth="1"/>
    <col min="17" max="17" width="15.42578125" style="4" customWidth="1"/>
    <col min="18" max="18" width="0.5703125" style="4" customWidth="1"/>
    <col min="19" max="19" width="7.5703125" style="4" bestFit="1" customWidth="1"/>
    <col min="20" max="20" width="8.42578125" style="4" customWidth="1"/>
    <col min="21" max="21" width="10.5703125" style="4" bestFit="1" customWidth="1"/>
    <col min="22" max="22" width="2.42578125" style="4" customWidth="1"/>
    <col min="23" max="23" width="9.42578125" style="4"/>
    <col min="24" max="24" width="2.42578125" style="4" customWidth="1"/>
    <col min="25" max="25" width="11.5703125" style="4" customWidth="1"/>
    <col min="26" max="26" width="0.42578125" style="4" customWidth="1"/>
    <col min="27" max="16384" width="9.42578125" style="4"/>
  </cols>
  <sheetData>
    <row r="1" spans="1:21" ht="25.15" customHeight="1" x14ac:dyDescent="0.25">
      <c r="B1" s="2553" t="str">
        <f>+Index!$A$1</f>
        <v xml:space="preserve">                                                               Office of the State Controller                                                                </v>
      </c>
      <c r="C1" s="2553"/>
      <c r="D1" s="2553"/>
      <c r="E1" s="2553"/>
      <c r="F1" s="2553"/>
      <c r="G1" s="2553"/>
      <c r="H1" s="2553"/>
      <c r="I1" s="2553"/>
      <c r="J1" s="2553"/>
      <c r="K1" s="2553"/>
      <c r="L1" s="2553"/>
      <c r="M1" s="2553"/>
      <c r="N1" s="2553"/>
      <c r="O1" s="2553"/>
      <c r="P1" s="2553"/>
      <c r="Q1" s="2553"/>
      <c r="R1" s="2553"/>
      <c r="S1" s="2626" t="str">
        <f>IF(Index!$B$100="na","NA","")</f>
        <v/>
      </c>
      <c r="U1" s="2298"/>
    </row>
    <row r="2" spans="1:21" ht="15" customHeight="1" x14ac:dyDescent="0.3">
      <c r="B2" s="3052" t="str">
        <f>+Index!$A$2</f>
        <v>2024 ACFR Worksheets</v>
      </c>
      <c r="C2" s="3052"/>
      <c r="D2" s="3052"/>
      <c r="E2" s="3052"/>
      <c r="F2" s="3052"/>
      <c r="G2" s="3052"/>
      <c r="H2" s="3052"/>
      <c r="I2" s="3052"/>
      <c r="J2" s="3052"/>
      <c r="K2" s="3052"/>
      <c r="L2" s="3052"/>
      <c r="M2" s="3052"/>
      <c r="N2" s="3052"/>
      <c r="O2" s="3052"/>
      <c r="P2" s="3052"/>
      <c r="Q2" s="3052"/>
      <c r="R2" s="3052"/>
      <c r="S2" s="2626"/>
      <c r="U2" s="2298"/>
    </row>
    <row r="3" spans="1:21" ht="15" customHeight="1" x14ac:dyDescent="0.3">
      <c r="B3" s="3052" t="s">
        <v>2309</v>
      </c>
      <c r="C3" s="3052"/>
      <c r="D3" s="3052"/>
      <c r="E3" s="3052"/>
      <c r="F3" s="3052"/>
      <c r="G3" s="3052"/>
      <c r="H3" s="3052"/>
      <c r="I3" s="3052"/>
      <c r="J3" s="3052"/>
      <c r="K3" s="3052"/>
      <c r="L3" s="3052"/>
      <c r="M3" s="3052"/>
      <c r="N3" s="3052"/>
      <c r="O3" s="3052"/>
      <c r="P3" s="3052"/>
      <c r="Q3" s="3052"/>
      <c r="R3" s="3052"/>
      <c r="S3" s="2626"/>
      <c r="U3" s="2298"/>
    </row>
    <row r="4" spans="1:21" ht="15" customHeight="1" x14ac:dyDescent="0.3">
      <c r="B4" s="3052" t="s">
        <v>2673</v>
      </c>
      <c r="C4" s="3052"/>
      <c r="D4" s="3052"/>
      <c r="E4" s="3052"/>
      <c r="F4" s="3052"/>
      <c r="G4" s="3052"/>
      <c r="H4" s="3052"/>
      <c r="I4" s="3052"/>
      <c r="J4" s="3052"/>
      <c r="K4" s="3052"/>
      <c r="L4" s="3052"/>
      <c r="M4" s="3052"/>
      <c r="N4" s="3052"/>
      <c r="O4" s="3052"/>
      <c r="P4" s="3052"/>
      <c r="Q4" s="3052"/>
      <c r="R4" s="3052"/>
    </row>
    <row r="5" spans="1:21" ht="15" customHeight="1" x14ac:dyDescent="0.3">
      <c r="B5" s="3053" t="s">
        <v>2674</v>
      </c>
      <c r="C5" s="3053"/>
      <c r="D5" s="3053"/>
      <c r="E5" s="3053"/>
      <c r="F5" s="3053"/>
      <c r="G5" s="3053"/>
      <c r="H5" s="3053"/>
      <c r="I5" s="3053"/>
      <c r="J5" s="3053"/>
      <c r="K5" s="3053"/>
      <c r="L5" s="3053"/>
      <c r="M5" s="3053"/>
      <c r="N5" s="3053"/>
      <c r="O5" s="3053"/>
      <c r="P5" s="3053"/>
      <c r="Q5" s="3053"/>
      <c r="R5" s="2428"/>
    </row>
    <row r="6" spans="1:21" ht="15" customHeight="1" x14ac:dyDescent="0.2">
      <c r="M6" s="236" t="s">
        <v>2675</v>
      </c>
    </row>
    <row r="7" spans="1:21" ht="15" customHeight="1" x14ac:dyDescent="0.2">
      <c r="E7" s="410"/>
      <c r="L7" s="5" t="s">
        <v>318</v>
      </c>
      <c r="M7" s="3021" t="str">
        <f>+Index!$E$10</f>
        <v>01</v>
      </c>
      <c r="N7" s="3021"/>
      <c r="O7" s="3021"/>
      <c r="P7" s="3021"/>
      <c r="Q7" s="3021"/>
    </row>
    <row r="8" spans="1:21" ht="15" customHeight="1" x14ac:dyDescent="0.2">
      <c r="L8" s="5" t="s">
        <v>319</v>
      </c>
      <c r="M8" s="3021" t="str">
        <f>+Index!$E$11</f>
        <v>North Carolina General Assembly</v>
      </c>
      <c r="N8" s="3021"/>
      <c r="O8" s="3021"/>
      <c r="P8" s="3021"/>
      <c r="Q8" s="3021"/>
    </row>
    <row r="9" spans="1:21" ht="15" customHeight="1" x14ac:dyDescent="0.2">
      <c r="B9" s="4" t="s">
        <v>545</v>
      </c>
      <c r="E9" s="3022" t="s">
        <v>762</v>
      </c>
      <c r="F9" s="3022"/>
      <c r="G9" s="3022"/>
      <c r="H9" s="151"/>
      <c r="I9" s="151"/>
      <c r="L9" s="5" t="s">
        <v>320</v>
      </c>
      <c r="M9" s="3025" t="str">
        <f>CONCATENATE(Index!$E$12," ",Index!$E$14)</f>
        <v xml:space="preserve"> </v>
      </c>
      <c r="N9" s="3025"/>
      <c r="O9" s="3025"/>
      <c r="P9" s="3025"/>
      <c r="Q9" s="3025"/>
    </row>
    <row r="10" spans="1:21" ht="15" customHeight="1" x14ac:dyDescent="0.2">
      <c r="E10" s="410"/>
      <c r="F10" s="410"/>
      <c r="G10" s="410"/>
      <c r="H10" s="151"/>
      <c r="I10" s="151"/>
      <c r="L10" s="5" t="s">
        <v>168</v>
      </c>
      <c r="M10" s="3026">
        <f>+Index!$E$13</f>
        <v>0</v>
      </c>
      <c r="N10" s="3026"/>
      <c r="O10" s="3026"/>
      <c r="P10" s="3026"/>
      <c r="Q10" s="3026"/>
    </row>
    <row r="11" spans="1:21" ht="10.35" customHeight="1" thickBot="1" x14ac:dyDescent="0.25">
      <c r="B11" s="88"/>
      <c r="C11" s="88"/>
      <c r="D11" s="88"/>
      <c r="E11" s="88"/>
      <c r="F11" s="88"/>
      <c r="G11" s="88"/>
      <c r="H11" s="88"/>
      <c r="I11" s="88"/>
      <c r="J11" s="88"/>
      <c r="K11" s="88"/>
      <c r="L11" s="88"/>
      <c r="M11" s="88"/>
      <c r="N11" s="88"/>
      <c r="O11" s="88"/>
      <c r="P11" s="88"/>
      <c r="Q11" s="88"/>
    </row>
    <row r="12" spans="1:21" ht="3" customHeight="1" x14ac:dyDescent="0.2">
      <c r="A12" s="4" t="str">
        <f>AgyIdx</f>
        <v>01</v>
      </c>
    </row>
    <row r="14" spans="1:21" x14ac:dyDescent="0.2">
      <c r="B14" s="4" t="s">
        <v>2676</v>
      </c>
    </row>
    <row r="15" spans="1:21" x14ac:dyDescent="0.2">
      <c r="B15" s="4" t="s">
        <v>2677</v>
      </c>
    </row>
    <row r="17" spans="1:17" x14ac:dyDescent="0.2">
      <c r="B17" s="179" t="s">
        <v>2678</v>
      </c>
    </row>
    <row r="18" spans="1:17" x14ac:dyDescent="0.2">
      <c r="B18" s="179" t="s">
        <v>2679</v>
      </c>
    </row>
    <row r="19" spans="1:17" ht="9" customHeight="1" x14ac:dyDescent="0.2"/>
    <row r="20" spans="1:17" x14ac:dyDescent="0.2">
      <c r="B20" s="3059" t="s">
        <v>2680</v>
      </c>
      <c r="C20" s="3060"/>
      <c r="D20" s="3060"/>
      <c r="E20" s="3060"/>
      <c r="F20" s="3060"/>
      <c r="G20" s="3060"/>
      <c r="H20" s="3060"/>
      <c r="I20" s="3060"/>
      <c r="J20" s="3060"/>
      <c r="K20" s="3060"/>
      <c r="L20" s="3060"/>
      <c r="M20" s="3060"/>
      <c r="N20" s="3060"/>
      <c r="O20" s="3060"/>
      <c r="P20" s="3060"/>
      <c r="Q20" s="3060"/>
    </row>
    <row r="21" spans="1:17" ht="15.75" customHeight="1" x14ac:dyDescent="0.2">
      <c r="Q21" s="645" t="s">
        <v>2681</v>
      </c>
    </row>
    <row r="22" spans="1:17" x14ac:dyDescent="0.2">
      <c r="B22" s="3056" t="s">
        <v>2682</v>
      </c>
      <c r="C22" s="2692"/>
      <c r="D22" s="2692"/>
      <c r="E22" s="2692"/>
      <c r="F22" s="2692"/>
      <c r="G22" s="2692"/>
      <c r="H22" s="2692"/>
      <c r="I22" s="2692"/>
      <c r="K22" s="3056" t="s">
        <v>2683</v>
      </c>
      <c r="L22" s="2692"/>
      <c r="M22" s="2692"/>
      <c r="N22" s="2692"/>
      <c r="O22" s="2692"/>
      <c r="Q22" s="2429" t="s">
        <v>2684</v>
      </c>
    </row>
    <row r="23" spans="1:17" ht="18.75" customHeight="1" x14ac:dyDescent="0.2">
      <c r="A23" s="4" t="str">
        <f t="shared" ref="A23:A28" si="0">AgyIdx</f>
        <v>01</v>
      </c>
      <c r="B23" s="3057"/>
      <c r="C23" s="3058"/>
      <c r="D23" s="3058"/>
      <c r="E23" s="3058"/>
      <c r="F23" s="3058"/>
      <c r="G23" s="3058"/>
      <c r="H23" s="3058"/>
      <c r="I23" s="3058"/>
      <c r="K23" s="3054"/>
      <c r="L23" s="3055"/>
      <c r="M23" s="3055"/>
      <c r="N23" s="3055"/>
      <c r="O23" s="3055"/>
      <c r="Q23" s="690"/>
    </row>
    <row r="24" spans="1:17" ht="15.75" customHeight="1" x14ac:dyDescent="0.2">
      <c r="A24" s="4" t="str">
        <f t="shared" si="0"/>
        <v>01</v>
      </c>
      <c r="B24" s="3057"/>
      <c r="C24" s="3058"/>
      <c r="D24" s="3058"/>
      <c r="E24" s="3058"/>
      <c r="F24" s="3058"/>
      <c r="G24" s="3058"/>
      <c r="H24" s="3058"/>
      <c r="I24" s="3058"/>
      <c r="K24" s="3054"/>
      <c r="L24" s="3055"/>
      <c r="M24" s="3055"/>
      <c r="N24" s="3055"/>
      <c r="O24" s="3055"/>
      <c r="Q24" s="690"/>
    </row>
    <row r="25" spans="1:17" ht="15.75" customHeight="1" x14ac:dyDescent="0.2">
      <c r="A25" s="4" t="str">
        <f t="shared" si="0"/>
        <v>01</v>
      </c>
      <c r="B25" s="3057"/>
      <c r="C25" s="3058"/>
      <c r="D25" s="3058"/>
      <c r="E25" s="3058"/>
      <c r="F25" s="3058"/>
      <c r="G25" s="3058"/>
      <c r="H25" s="3058"/>
      <c r="I25" s="3058"/>
      <c r="K25" s="3054"/>
      <c r="L25" s="3055"/>
      <c r="M25" s="3055"/>
      <c r="N25" s="3055"/>
      <c r="O25" s="3055"/>
      <c r="Q25" s="690"/>
    </row>
    <row r="26" spans="1:17" ht="15.75" customHeight="1" x14ac:dyDescent="0.2">
      <c r="A26" s="4" t="str">
        <f t="shared" si="0"/>
        <v>01</v>
      </c>
      <c r="B26" s="3057"/>
      <c r="C26" s="2694"/>
      <c r="D26" s="2694"/>
      <c r="E26" s="2694"/>
      <c r="F26" s="2694"/>
      <c r="G26" s="2694"/>
      <c r="H26" s="2694"/>
      <c r="I26" s="2694"/>
      <c r="K26" s="3054"/>
      <c r="L26" s="2694"/>
      <c r="M26" s="2694"/>
      <c r="N26" s="2694"/>
      <c r="O26" s="2694"/>
      <c r="Q26" s="690"/>
    </row>
    <row r="27" spans="1:17" ht="15.75" customHeight="1" x14ac:dyDescent="0.2">
      <c r="A27" s="4" t="str">
        <f t="shared" si="0"/>
        <v>01</v>
      </c>
      <c r="B27" s="3057"/>
      <c r="C27" s="2694"/>
      <c r="D27" s="2694"/>
      <c r="E27" s="2694"/>
      <c r="F27" s="2694"/>
      <c r="G27" s="2694"/>
      <c r="H27" s="2694"/>
      <c r="I27" s="2694"/>
      <c r="K27" s="3054"/>
      <c r="L27" s="2694"/>
      <c r="M27" s="2694"/>
      <c r="N27" s="2694"/>
      <c r="O27" s="2694"/>
      <c r="Q27" s="690"/>
    </row>
    <row r="28" spans="1:17" ht="15.75" customHeight="1" x14ac:dyDescent="0.2">
      <c r="A28" s="4" t="str">
        <f t="shared" si="0"/>
        <v>01</v>
      </c>
      <c r="B28" s="3057"/>
      <c r="C28" s="3058"/>
      <c r="D28" s="3058"/>
      <c r="E28" s="3058"/>
      <c r="F28" s="3058"/>
      <c r="G28" s="3058"/>
      <c r="H28" s="3058"/>
      <c r="I28" s="3058"/>
      <c r="K28" s="3054"/>
      <c r="L28" s="3055"/>
      <c r="M28" s="3055"/>
      <c r="N28" s="3055"/>
      <c r="O28" s="3055"/>
      <c r="Q28" s="690"/>
    </row>
    <row r="29" spans="1:17" ht="15.75" customHeight="1" x14ac:dyDescent="0.2"/>
    <row r="30" spans="1:17" x14ac:dyDescent="0.2">
      <c r="B30" s="3059" t="s">
        <v>2685</v>
      </c>
      <c r="C30" s="3060"/>
      <c r="D30" s="3060"/>
      <c r="E30" s="3060"/>
      <c r="F30" s="3060"/>
      <c r="G30" s="3060"/>
      <c r="H30" s="3060"/>
      <c r="I30" s="3060"/>
      <c r="J30" s="3060"/>
      <c r="K30" s="3060"/>
      <c r="L30" s="3060"/>
      <c r="M30" s="3060"/>
      <c r="N30" s="3060"/>
      <c r="O30" s="3060"/>
      <c r="P30" s="3060"/>
      <c r="Q30" s="3060"/>
    </row>
    <row r="31" spans="1:17" ht="15.75" customHeight="1" x14ac:dyDescent="0.2">
      <c r="Q31" s="645" t="s">
        <v>2681</v>
      </c>
    </row>
    <row r="32" spans="1:17" x14ac:dyDescent="0.2">
      <c r="B32" s="3056" t="s">
        <v>2682</v>
      </c>
      <c r="C32" s="2692"/>
      <c r="D32" s="2692"/>
      <c r="E32" s="2692"/>
      <c r="F32" s="2692"/>
      <c r="G32" s="2692"/>
      <c r="H32" s="2692"/>
      <c r="I32" s="2692"/>
      <c r="K32" s="3056" t="s">
        <v>2683</v>
      </c>
      <c r="L32" s="2692"/>
      <c r="M32" s="2692"/>
      <c r="N32" s="2692"/>
      <c r="O32" s="2692"/>
      <c r="Q32" s="2429" t="s">
        <v>2684</v>
      </c>
    </row>
    <row r="33" spans="1:17" ht="18.75" customHeight="1" x14ac:dyDescent="0.2">
      <c r="A33" s="4" t="str">
        <f>AgyIdx</f>
        <v>01</v>
      </c>
      <c r="B33" s="3057"/>
      <c r="C33" s="3058"/>
      <c r="D33" s="3058"/>
      <c r="E33" s="3058"/>
      <c r="F33" s="3058"/>
      <c r="G33" s="3058"/>
      <c r="H33" s="3058"/>
      <c r="I33" s="3058"/>
      <c r="K33" s="3054"/>
      <c r="L33" s="3055"/>
      <c r="M33" s="3055"/>
      <c r="N33" s="3055"/>
      <c r="O33" s="3055"/>
      <c r="Q33" s="690"/>
    </row>
    <row r="34" spans="1:17" ht="15.75" customHeight="1" x14ac:dyDescent="0.2">
      <c r="A34" s="4" t="str">
        <f>AgyIdx</f>
        <v>01</v>
      </c>
      <c r="B34" s="3057"/>
      <c r="C34" s="3058"/>
      <c r="D34" s="3058"/>
      <c r="E34" s="3058"/>
      <c r="F34" s="3058"/>
      <c r="G34" s="3058"/>
      <c r="H34" s="3058"/>
      <c r="I34" s="3058"/>
      <c r="K34" s="3054"/>
      <c r="L34" s="3055"/>
      <c r="M34" s="3055"/>
      <c r="N34" s="3055"/>
      <c r="O34" s="3055"/>
      <c r="Q34" s="690"/>
    </row>
    <row r="35" spans="1:17" ht="15.75" customHeight="1" x14ac:dyDescent="0.2">
      <c r="A35" s="4" t="str">
        <f>AgyIdx</f>
        <v>01</v>
      </c>
      <c r="B35" s="3057"/>
      <c r="C35" s="3061"/>
      <c r="D35" s="3061"/>
      <c r="E35" s="3061"/>
      <c r="F35" s="3061"/>
      <c r="G35" s="3061"/>
      <c r="H35" s="3061"/>
      <c r="I35" s="3061"/>
      <c r="K35" s="3054"/>
      <c r="L35" s="3061"/>
      <c r="M35" s="3061"/>
      <c r="N35" s="3061"/>
      <c r="O35" s="3061"/>
      <c r="Q35" s="690"/>
    </row>
    <row r="36" spans="1:17" ht="15.75" customHeight="1" x14ac:dyDescent="0.2">
      <c r="A36" s="4" t="str">
        <f>AgyIdx</f>
        <v>01</v>
      </c>
      <c r="B36" s="3057"/>
      <c r="C36" s="2694"/>
      <c r="D36" s="2694"/>
      <c r="E36" s="2694"/>
      <c r="F36" s="2694"/>
      <c r="G36" s="2694"/>
      <c r="H36" s="2694"/>
      <c r="I36" s="2694"/>
      <c r="K36" s="3054"/>
      <c r="L36" s="2694"/>
      <c r="M36" s="2694"/>
      <c r="N36" s="2694"/>
      <c r="O36" s="2694"/>
      <c r="Q36" s="690"/>
    </row>
    <row r="37" spans="1:17" ht="15.75" customHeight="1" x14ac:dyDescent="0.2">
      <c r="A37" s="4" t="str">
        <f>AgyIdx</f>
        <v>01</v>
      </c>
      <c r="B37" s="3057"/>
      <c r="C37" s="2694"/>
      <c r="D37" s="2694"/>
      <c r="E37" s="2694"/>
      <c r="F37" s="2694"/>
      <c r="G37" s="2694"/>
      <c r="H37" s="2694"/>
      <c r="I37" s="2694"/>
      <c r="K37" s="3054"/>
      <c r="L37" s="2694"/>
      <c r="M37" s="2694"/>
      <c r="N37" s="2694"/>
      <c r="O37" s="2694"/>
      <c r="Q37" s="690"/>
    </row>
    <row r="38" spans="1:17" ht="15.75" customHeight="1" x14ac:dyDescent="0.2"/>
    <row r="39" spans="1:17" x14ac:dyDescent="0.2">
      <c r="B39" s="3059" t="s">
        <v>2686</v>
      </c>
      <c r="C39" s="3060"/>
      <c r="D39" s="3060"/>
      <c r="E39" s="3060"/>
      <c r="F39" s="3060"/>
      <c r="G39" s="3060"/>
      <c r="H39" s="3060"/>
      <c r="I39" s="3060"/>
      <c r="J39" s="3060"/>
      <c r="K39" s="3060"/>
      <c r="L39" s="3060"/>
      <c r="M39" s="3060"/>
      <c r="N39" s="3060"/>
      <c r="O39" s="3060"/>
      <c r="P39" s="3060"/>
      <c r="Q39" s="3060"/>
    </row>
    <row r="40" spans="1:17" ht="15.75" customHeight="1" x14ac:dyDescent="0.2">
      <c r="Q40" s="645" t="s">
        <v>2681</v>
      </c>
    </row>
    <row r="41" spans="1:17" x14ac:dyDescent="0.2">
      <c r="B41" s="3056" t="s">
        <v>2682</v>
      </c>
      <c r="C41" s="2692"/>
      <c r="D41" s="2692"/>
      <c r="E41" s="2692"/>
      <c r="F41" s="2692"/>
      <c r="G41" s="2692"/>
      <c r="H41" s="2692"/>
      <c r="I41" s="2692"/>
      <c r="K41" s="3056" t="s">
        <v>2683</v>
      </c>
      <c r="L41" s="2692"/>
      <c r="M41" s="2692"/>
      <c r="N41" s="2692"/>
      <c r="O41" s="2692"/>
      <c r="Q41" s="2429" t="s">
        <v>2684</v>
      </c>
    </row>
    <row r="42" spans="1:17" ht="18.75" customHeight="1" x14ac:dyDescent="0.2">
      <c r="A42" s="4" t="str">
        <f>AgyIdx</f>
        <v>01</v>
      </c>
      <c r="B42" s="3057"/>
      <c r="C42" s="3058"/>
      <c r="D42" s="3058"/>
      <c r="E42" s="3058"/>
      <c r="F42" s="3058"/>
      <c r="G42" s="3058"/>
      <c r="H42" s="3058"/>
      <c r="I42" s="3058"/>
      <c r="K42" s="3054"/>
      <c r="L42" s="3055"/>
      <c r="M42" s="3055"/>
      <c r="N42" s="3055"/>
      <c r="O42" s="3055"/>
      <c r="Q42" s="690"/>
    </row>
    <row r="43" spans="1:17" ht="15.75" customHeight="1" x14ac:dyDescent="0.2">
      <c r="A43" s="4" t="str">
        <f>AgyIdx</f>
        <v>01</v>
      </c>
      <c r="B43" s="3057"/>
      <c r="C43" s="3058"/>
      <c r="D43" s="3058"/>
      <c r="E43" s="3058"/>
      <c r="F43" s="3058"/>
      <c r="G43" s="3058"/>
      <c r="H43" s="3058"/>
      <c r="I43" s="3058"/>
      <c r="K43" s="3054"/>
      <c r="L43" s="3055"/>
      <c r="M43" s="3055"/>
      <c r="N43" s="3055"/>
      <c r="O43" s="3055"/>
      <c r="Q43" s="690"/>
    </row>
    <row r="44" spans="1:17" ht="15.75" customHeight="1" x14ac:dyDescent="0.2">
      <c r="A44" s="4" t="str">
        <f>AgyIdx</f>
        <v>01</v>
      </c>
      <c r="B44" s="3057"/>
      <c r="C44" s="3058"/>
      <c r="D44" s="3058"/>
      <c r="E44" s="3058"/>
      <c r="F44" s="3058"/>
      <c r="G44" s="3058"/>
      <c r="H44" s="3058"/>
      <c r="I44" s="3058"/>
      <c r="K44" s="3054"/>
      <c r="L44" s="3055"/>
      <c r="M44" s="3055"/>
      <c r="N44" s="3055"/>
      <c r="O44" s="3055"/>
      <c r="Q44" s="690"/>
    </row>
    <row r="45" spans="1:17" ht="9" customHeight="1" x14ac:dyDescent="0.2"/>
    <row r="46" spans="1:17" ht="9" customHeight="1" x14ac:dyDescent="0.2"/>
  </sheetData>
  <sheetProtection algorithmName="SHA-512" hashValue="xo7rOmXHPH2bTqNd+4FBKeRJx5U4oQSPoqBFgF+YiWUB+LssEGHecIlXEuyXYUcWWXi3ENQ8oPWa7JDpyuRgzg==" saltValue="1XD24h0BTczHN6pidrnBPg==" spinCount="100000" sheet="1" autoFilter="0"/>
  <customSheetViews>
    <customSheetView guid="{9FCFC836-1CA5-48BF-958D-24D2EA94B219}" showGridLines="0" fitToPage="1">
      <selection activeCell="B1" sqref="B1:R1"/>
      <pageMargins left="0" right="0" top="0" bottom="0" header="0" footer="0"/>
      <printOptions horizontalCentered="1"/>
      <pageSetup scale="96" orientation="portrait" r:id="rId1"/>
      <headerFooter alignWithMargins="0">
        <oddHeader xml:space="preserve"> </oddHeader>
        <oddFooter>&amp;R&amp;A</oddFooter>
      </headerFooter>
    </customSheetView>
    <customSheetView guid="{B08879A4-635B-4C39-9937-AC7883D562FC}" showGridLines="0" fitToPage="1">
      <selection activeCell="B1" sqref="B1:R1"/>
      <pageMargins left="0" right="0" top="0" bottom="0" header="0" footer="0"/>
      <printOptions horizontalCentered="1"/>
      <pageSetup scale="96" orientation="portrait" r:id="rId2"/>
      <headerFooter alignWithMargins="0">
        <oddHeader xml:space="preserve"> </oddHeader>
        <oddFooter>&amp;R&amp;A</oddFooter>
      </headerFooter>
    </customSheetView>
  </customSheetViews>
  <mergeCells count="48">
    <mergeCell ref="K26:O26"/>
    <mergeCell ref="B27:I27"/>
    <mergeCell ref="K25:O25"/>
    <mergeCell ref="B25:I25"/>
    <mergeCell ref="M8:Q8"/>
    <mergeCell ref="M9:Q9"/>
    <mergeCell ref="E9:G9"/>
    <mergeCell ref="K22:O22"/>
    <mergeCell ref="K23:O23"/>
    <mergeCell ref="B20:Q20"/>
    <mergeCell ref="B23:I23"/>
    <mergeCell ref="B26:I26"/>
    <mergeCell ref="M10:Q10"/>
    <mergeCell ref="K44:O44"/>
    <mergeCell ref="B39:Q39"/>
    <mergeCell ref="B41:I41"/>
    <mergeCell ref="B34:I34"/>
    <mergeCell ref="B44:I44"/>
    <mergeCell ref="B35:I35"/>
    <mergeCell ref="K37:O37"/>
    <mergeCell ref="B43:I43"/>
    <mergeCell ref="B37:I37"/>
    <mergeCell ref="K35:O35"/>
    <mergeCell ref="B36:I36"/>
    <mergeCell ref="K36:O36"/>
    <mergeCell ref="K28:O28"/>
    <mergeCell ref="K27:O27"/>
    <mergeCell ref="K43:O43"/>
    <mergeCell ref="B22:I22"/>
    <mergeCell ref="K32:O32"/>
    <mergeCell ref="K33:O33"/>
    <mergeCell ref="B42:I42"/>
    <mergeCell ref="K42:O42"/>
    <mergeCell ref="B28:I28"/>
    <mergeCell ref="K34:O34"/>
    <mergeCell ref="B24:I24"/>
    <mergeCell ref="K24:O24"/>
    <mergeCell ref="B33:I33"/>
    <mergeCell ref="B30:Q30"/>
    <mergeCell ref="B32:I32"/>
    <mergeCell ref="K41:O41"/>
    <mergeCell ref="B2:R2"/>
    <mergeCell ref="B3:R3"/>
    <mergeCell ref="B4:R4"/>
    <mergeCell ref="M7:Q7"/>
    <mergeCell ref="S1:S3"/>
    <mergeCell ref="B5:Q5"/>
    <mergeCell ref="B1:R1"/>
  </mergeCells>
  <conditionalFormatting sqref="S1:S3">
    <cfRule type="cellIs" dxfId="23" priority="2" stopIfTrue="1" operator="equal">
      <formula>"na"</formula>
    </cfRule>
  </conditionalFormatting>
  <conditionalFormatting sqref="U1:U3">
    <cfRule type="cellIs" dxfId="22" priority="1" stopIfTrue="1" operator="equal">
      <formula>"na"</formula>
    </cfRule>
  </conditionalFormatting>
  <hyperlinks>
    <hyperlink ref="B1:R1" location="Index!A1" display="Index!A1" xr:uid="{00000000-0004-0000-4700-000000000000}"/>
  </hyperlinks>
  <pageMargins left="0.6" right="0.6" top="0.5" bottom="0.5" header="0.3" footer="0.3"/>
  <pageSetup scale="85" orientation="portrait"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50"/>
  <dimension ref="A1:U54"/>
  <sheetViews>
    <sheetView showGridLines="0" topLeftCell="B1" zoomScaleNormal="100" workbookViewId="0">
      <selection activeCell="M23" sqref="M23"/>
    </sheetView>
  </sheetViews>
  <sheetFormatPr defaultColWidth="9.42578125" defaultRowHeight="12.75" x14ac:dyDescent="0.2"/>
  <cols>
    <col min="1" max="1" width="9.42578125" style="4" hidden="1" customWidth="1"/>
    <col min="2" max="2" width="6.5703125" style="4" customWidth="1"/>
    <col min="3" max="3" width="1.5703125" style="4" customWidth="1"/>
    <col min="4" max="4" width="6.42578125" style="4" customWidth="1"/>
    <col min="5" max="5" width="8.5703125" style="4" customWidth="1"/>
    <col min="6" max="6" width="1.5703125" style="4" customWidth="1"/>
    <col min="7" max="7" width="7.5703125" style="4" customWidth="1"/>
    <col min="8" max="8" width="0.5703125" style="4" customWidth="1"/>
    <col min="9" max="9" width="4.5703125" style="4" hidden="1" customWidth="1"/>
    <col min="10" max="10" width="0.5703125" style="4" customWidth="1"/>
    <col min="11" max="11" width="18.28515625" style="4" customWidth="1"/>
    <col min="12" max="12" width="2.5703125" style="4" customWidth="1"/>
    <col min="13" max="13" width="24.28515625" style="4" customWidth="1"/>
    <col min="14" max="14" width="1.42578125" style="4" customWidth="1"/>
    <col min="15" max="15" width="13.42578125" style="4" customWidth="1"/>
    <col min="16" max="16" width="1.42578125" style="4" customWidth="1"/>
    <col min="17" max="17" width="12.5703125" style="4" customWidth="1"/>
    <col min="18" max="18" width="0.5703125" style="4" customWidth="1"/>
    <col min="19" max="19" width="4.5703125" style="4" customWidth="1"/>
    <col min="20" max="20" width="8.42578125" style="4" customWidth="1"/>
    <col min="21" max="21" width="10.5703125" style="4" bestFit="1" customWidth="1"/>
    <col min="22" max="22" width="2.42578125" style="4" customWidth="1"/>
    <col min="23" max="23" width="9.42578125" style="4"/>
    <col min="24" max="24" width="2.42578125" style="4" customWidth="1"/>
    <col min="25" max="25" width="11.5703125" style="4" customWidth="1"/>
    <col min="26" max="26" width="0.42578125" style="4" customWidth="1"/>
    <col min="27" max="16384" width="9.42578125" style="4"/>
  </cols>
  <sheetData>
    <row r="1" spans="1:21" ht="15" customHeight="1" x14ac:dyDescent="0.25">
      <c r="A1" s="4" t="str">
        <f t="shared" ref="A1:A35" si="0">AgyIdx</f>
        <v>01</v>
      </c>
      <c r="B1" s="2553" t="str">
        <f>+Index!$A$1</f>
        <v xml:space="preserve">                                                               Office of the State Controller                                                                </v>
      </c>
      <c r="C1" s="2553"/>
      <c r="D1" s="2553"/>
      <c r="E1" s="2553"/>
      <c r="F1" s="2553"/>
      <c r="G1" s="2553"/>
      <c r="H1" s="2553"/>
      <c r="I1" s="2553"/>
      <c r="J1" s="2553"/>
      <c r="K1" s="2553"/>
      <c r="L1" s="2553"/>
      <c r="M1" s="2553"/>
      <c r="N1" s="2553"/>
      <c r="O1" s="2553"/>
      <c r="P1" s="2553"/>
      <c r="Q1" s="2553"/>
      <c r="R1" s="2553"/>
      <c r="S1" s="2626" t="str">
        <f>IF(Index!$B$101="na","NA","")</f>
        <v/>
      </c>
      <c r="U1" s="2626"/>
    </row>
    <row r="2" spans="1:21" ht="15" customHeight="1" x14ac:dyDescent="0.25">
      <c r="A2" s="4" t="str">
        <f t="shared" si="0"/>
        <v>01</v>
      </c>
      <c r="B2" s="3020" t="str">
        <f>+Index!$A$2</f>
        <v>2024 ACFR Worksheets</v>
      </c>
      <c r="C2" s="3020"/>
      <c r="D2" s="3020"/>
      <c r="E2" s="3020"/>
      <c r="F2" s="3020"/>
      <c r="G2" s="3020"/>
      <c r="H2" s="3020"/>
      <c r="I2" s="3020"/>
      <c r="J2" s="3020"/>
      <c r="K2" s="3020"/>
      <c r="L2" s="3020"/>
      <c r="M2" s="3020"/>
      <c r="N2" s="3020"/>
      <c r="O2" s="3020"/>
      <c r="P2" s="3020"/>
      <c r="Q2" s="3020"/>
      <c r="R2" s="3020"/>
      <c r="S2" s="2626"/>
      <c r="U2" s="2626"/>
    </row>
    <row r="3" spans="1:21" ht="15" customHeight="1" x14ac:dyDescent="0.25">
      <c r="A3" s="4" t="str">
        <f t="shared" si="0"/>
        <v>01</v>
      </c>
      <c r="B3" s="3020" t="s">
        <v>2309</v>
      </c>
      <c r="C3" s="3020"/>
      <c r="D3" s="3020"/>
      <c r="E3" s="3020"/>
      <c r="F3" s="3020"/>
      <c r="G3" s="3020"/>
      <c r="H3" s="3020"/>
      <c r="I3" s="3020"/>
      <c r="J3" s="3020"/>
      <c r="K3" s="3020"/>
      <c r="L3" s="3020"/>
      <c r="M3" s="3020"/>
      <c r="N3" s="3020"/>
      <c r="O3" s="3020"/>
      <c r="P3" s="3020"/>
      <c r="Q3" s="3020"/>
      <c r="R3" s="3020"/>
      <c r="S3" s="2626"/>
      <c r="U3" s="2626"/>
    </row>
    <row r="4" spans="1:21" ht="15" customHeight="1" x14ac:dyDescent="0.25">
      <c r="A4" s="4" t="str">
        <f t="shared" si="0"/>
        <v>01</v>
      </c>
      <c r="B4" s="3020" t="s">
        <v>2687</v>
      </c>
      <c r="C4" s="3020"/>
      <c r="D4" s="3020"/>
      <c r="E4" s="3020"/>
      <c r="F4" s="3020"/>
      <c r="G4" s="3020"/>
      <c r="H4" s="3020"/>
      <c r="I4" s="3020"/>
      <c r="J4" s="3020"/>
      <c r="K4" s="3020"/>
      <c r="L4" s="3020"/>
      <c r="M4" s="3020"/>
      <c r="N4" s="3020"/>
      <c r="O4" s="3020"/>
      <c r="P4" s="3020"/>
      <c r="Q4" s="3020"/>
      <c r="R4" s="3020"/>
    </row>
    <row r="5" spans="1:21" ht="15" customHeight="1" x14ac:dyDescent="0.25">
      <c r="B5" s="3062" t="s">
        <v>2688</v>
      </c>
      <c r="C5" s="3062"/>
      <c r="D5" s="3062"/>
      <c r="E5" s="3062"/>
      <c r="F5" s="3062"/>
      <c r="G5" s="3062"/>
      <c r="H5" s="3062"/>
      <c r="I5" s="3062"/>
      <c r="J5" s="3062"/>
      <c r="K5" s="3062"/>
      <c r="L5" s="3062"/>
      <c r="M5" s="3062"/>
      <c r="N5" s="3062"/>
      <c r="O5" s="3062"/>
      <c r="P5" s="3062"/>
      <c r="Q5" s="3062"/>
      <c r="R5" s="2416"/>
    </row>
    <row r="6" spans="1:21" ht="15" customHeight="1" x14ac:dyDescent="0.2">
      <c r="A6" s="4" t="str">
        <f t="shared" si="0"/>
        <v>01</v>
      </c>
      <c r="B6" s="3062"/>
      <c r="C6" s="3062"/>
      <c r="D6" s="3062"/>
      <c r="E6" s="3062"/>
      <c r="F6" s="3062"/>
      <c r="G6" s="3062"/>
      <c r="H6" s="3062"/>
      <c r="I6" s="3062"/>
      <c r="J6" s="3062"/>
      <c r="K6" s="3062"/>
      <c r="L6" s="3062"/>
      <c r="M6" s="3062"/>
      <c r="N6" s="3062"/>
      <c r="O6" s="3062"/>
      <c r="P6" s="3062"/>
      <c r="Q6" s="3062"/>
    </row>
    <row r="7" spans="1:21" ht="15" customHeight="1" x14ac:dyDescent="0.2">
      <c r="D7" s="1001"/>
    </row>
    <row r="8" spans="1:21" ht="15" customHeight="1" x14ac:dyDescent="0.2">
      <c r="A8" s="4" t="str">
        <f t="shared" si="0"/>
        <v>01</v>
      </c>
      <c r="E8" s="410"/>
      <c r="L8" s="5" t="s">
        <v>318</v>
      </c>
      <c r="M8" s="3021" t="str">
        <f>+Index!$E$10</f>
        <v>01</v>
      </c>
      <c r="N8" s="3021"/>
      <c r="O8" s="3021"/>
      <c r="P8" s="3021"/>
      <c r="Q8" s="3021"/>
    </row>
    <row r="9" spans="1:21" ht="15" customHeight="1" x14ac:dyDescent="0.2">
      <c r="A9" s="4" t="str">
        <f t="shared" si="0"/>
        <v>01</v>
      </c>
      <c r="L9" s="5" t="s">
        <v>319</v>
      </c>
      <c r="M9" s="3021" t="str">
        <f>+Index!$E$11</f>
        <v>North Carolina General Assembly</v>
      </c>
      <c r="N9" s="3021"/>
      <c r="O9" s="3021"/>
      <c r="P9" s="3021"/>
      <c r="Q9" s="3021"/>
    </row>
    <row r="10" spans="1:21" ht="15" customHeight="1" x14ac:dyDescent="0.2">
      <c r="A10" s="4" t="str">
        <f t="shared" si="0"/>
        <v>01</v>
      </c>
      <c r="B10" s="4" t="s">
        <v>545</v>
      </c>
      <c r="E10" s="3022" t="s">
        <v>762</v>
      </c>
      <c r="F10" s="3022"/>
      <c r="G10" s="3022"/>
      <c r="H10" s="151"/>
      <c r="I10" s="151"/>
      <c r="L10" s="5" t="s">
        <v>320</v>
      </c>
      <c r="M10" s="3025" t="str">
        <f>CONCATENATE(Index!$E$12," ",Index!$E$14)</f>
        <v xml:space="preserve"> </v>
      </c>
      <c r="N10" s="3025"/>
      <c r="O10" s="3025"/>
      <c r="P10" s="3025"/>
      <c r="Q10" s="3025"/>
    </row>
    <row r="11" spans="1:21" ht="15" customHeight="1" x14ac:dyDescent="0.2">
      <c r="A11" s="4" t="str">
        <f t="shared" si="0"/>
        <v>01</v>
      </c>
      <c r="E11" s="410"/>
      <c r="F11" s="410"/>
      <c r="G11" s="410"/>
      <c r="H11" s="151"/>
      <c r="I11" s="151"/>
      <c r="L11" s="5" t="s">
        <v>168</v>
      </c>
      <c r="M11" s="3026">
        <f>+Index!$E$13</f>
        <v>0</v>
      </c>
      <c r="N11" s="3026"/>
      <c r="O11" s="3026"/>
      <c r="P11" s="3026"/>
      <c r="Q11" s="3026"/>
    </row>
    <row r="12" spans="1:21" ht="5.25" customHeight="1" thickBot="1" x14ac:dyDescent="0.25">
      <c r="A12" s="4" t="str">
        <f t="shared" si="0"/>
        <v>01</v>
      </c>
      <c r="B12" s="88"/>
      <c r="C12" s="88"/>
      <c r="D12" s="88"/>
      <c r="E12" s="88"/>
      <c r="F12" s="88"/>
      <c r="G12" s="88"/>
      <c r="H12" s="88"/>
      <c r="I12" s="88"/>
      <c r="J12" s="88"/>
      <c r="K12" s="88"/>
      <c r="L12" s="88"/>
      <c r="M12" s="88"/>
      <c r="N12" s="88"/>
      <c r="O12" s="88"/>
      <c r="P12" s="88"/>
      <c r="Q12" s="88"/>
    </row>
    <row r="13" spans="1:21" ht="3" customHeight="1" x14ac:dyDescent="0.2">
      <c r="A13" s="4" t="str">
        <f t="shared" si="0"/>
        <v>01</v>
      </c>
    </row>
    <row r="14" spans="1:21" ht="10.5" customHeight="1" x14ac:dyDescent="0.25">
      <c r="A14" s="4" t="str">
        <f t="shared" si="0"/>
        <v>01</v>
      </c>
      <c r="B14" s="983"/>
      <c r="C14" s="983"/>
      <c r="D14" s="983"/>
      <c r="E14" s="983"/>
      <c r="F14" s="983"/>
      <c r="G14" s="983"/>
      <c r="H14" s="983"/>
      <c r="I14" s="983"/>
      <c r="J14" s="983"/>
      <c r="K14" s="983"/>
      <c r="L14" s="152"/>
      <c r="M14" s="159"/>
      <c r="N14" s="159"/>
      <c r="O14" s="159"/>
      <c r="P14" s="159"/>
      <c r="Q14" s="159"/>
      <c r="R14" s="89"/>
      <c r="S14" s="89"/>
    </row>
    <row r="15" spans="1:21" ht="13.35" customHeight="1" x14ac:dyDescent="0.25">
      <c r="A15" s="4" t="str">
        <f t="shared" si="0"/>
        <v>01</v>
      </c>
      <c r="B15" s="983"/>
      <c r="C15" s="983"/>
      <c r="D15" s="983"/>
      <c r="E15" s="983"/>
      <c r="F15" s="983"/>
      <c r="G15" s="983"/>
      <c r="H15" s="983"/>
      <c r="I15" s="983"/>
      <c r="J15" s="983"/>
      <c r="R15" s="89"/>
      <c r="S15" s="89"/>
    </row>
    <row r="16" spans="1:21" ht="12" customHeight="1" x14ac:dyDescent="0.25">
      <c r="A16" s="4" t="str">
        <f t="shared" si="0"/>
        <v>01</v>
      </c>
      <c r="B16" s="983"/>
      <c r="C16" s="983"/>
      <c r="D16" s="983"/>
      <c r="E16" s="983"/>
      <c r="F16" s="983"/>
      <c r="G16" s="983"/>
      <c r="H16" s="983"/>
      <c r="I16" s="983"/>
      <c r="J16" s="983"/>
      <c r="K16" s="3063" t="s">
        <v>2689</v>
      </c>
      <c r="L16" s="3063"/>
      <c r="M16" s="3063"/>
      <c r="N16" s="3063"/>
      <c r="O16" s="3063"/>
      <c r="P16" s="3063"/>
      <c r="Q16" s="3063"/>
      <c r="R16" s="89"/>
      <c r="S16" s="89"/>
    </row>
    <row r="17" spans="1:21" ht="12" customHeight="1" x14ac:dyDescent="0.25">
      <c r="A17" s="4" t="str">
        <f t="shared" si="0"/>
        <v>01</v>
      </c>
      <c r="B17" s="983"/>
      <c r="C17" s="983"/>
      <c r="D17" s="983"/>
      <c r="E17" s="983"/>
      <c r="F17" s="983"/>
      <c r="G17" s="983"/>
      <c r="H17" s="983"/>
      <c r="I17" s="983"/>
      <c r="J17" s="983"/>
      <c r="K17" s="985"/>
      <c r="L17" s="984"/>
      <c r="M17" s="985"/>
      <c r="N17" s="986"/>
      <c r="O17" s="985" t="s">
        <v>2690</v>
      </c>
      <c r="P17" s="986"/>
      <c r="Q17" s="985" t="s">
        <v>2690</v>
      </c>
      <c r="R17" s="89"/>
      <c r="S17" s="89"/>
    </row>
    <row r="18" spans="1:21" ht="12" customHeight="1" x14ac:dyDescent="0.25">
      <c r="A18" s="4" t="str">
        <f t="shared" si="0"/>
        <v>01</v>
      </c>
      <c r="B18" s="983"/>
      <c r="C18" s="985"/>
      <c r="D18" s="983"/>
      <c r="E18" s="152" t="s">
        <v>50</v>
      </c>
      <c r="F18" s="152"/>
      <c r="G18" s="983"/>
      <c r="H18" s="983"/>
      <c r="I18" s="983"/>
      <c r="J18" s="983"/>
      <c r="K18" s="985"/>
      <c r="L18" s="983"/>
      <c r="M18" s="985" t="s">
        <v>2691</v>
      </c>
      <c r="N18" s="986"/>
      <c r="O18" s="985" t="s">
        <v>2692</v>
      </c>
      <c r="P18" s="986"/>
      <c r="Q18" s="985" t="s">
        <v>2693</v>
      </c>
      <c r="R18" s="89"/>
      <c r="S18" s="89"/>
      <c r="U18" s="645"/>
    </row>
    <row r="19" spans="1:21" ht="12" customHeight="1" x14ac:dyDescent="0.25">
      <c r="A19" s="4" t="str">
        <f t="shared" si="0"/>
        <v>01</v>
      </c>
      <c r="B19" s="154" t="s">
        <v>2320</v>
      </c>
      <c r="C19" s="988"/>
      <c r="D19" s="988"/>
      <c r="E19" s="988"/>
      <c r="F19" s="154"/>
      <c r="G19" s="988"/>
      <c r="H19" s="983"/>
      <c r="I19" s="983"/>
      <c r="J19" s="983"/>
      <c r="K19" s="990" t="s">
        <v>1353</v>
      </c>
      <c r="L19" s="983"/>
      <c r="M19" s="990" t="s">
        <v>2694</v>
      </c>
      <c r="N19" s="155"/>
      <c r="O19" s="990" t="s">
        <v>2695</v>
      </c>
      <c r="P19" s="155"/>
      <c r="Q19" s="990" t="s">
        <v>2696</v>
      </c>
      <c r="R19" s="89"/>
      <c r="S19" s="89"/>
      <c r="U19" s="645"/>
    </row>
    <row r="20" spans="1:21" ht="12" customHeight="1" x14ac:dyDescent="0.2">
      <c r="A20" s="4" t="str">
        <f t="shared" si="0"/>
        <v>01</v>
      </c>
      <c r="B20" s="89"/>
      <c r="C20" s="89"/>
      <c r="D20" s="89"/>
      <c r="E20" s="89"/>
      <c r="F20" s="89"/>
      <c r="G20" s="89"/>
      <c r="H20" s="89"/>
      <c r="I20" s="991"/>
      <c r="J20" s="991"/>
      <c r="K20" s="992"/>
      <c r="L20" s="992"/>
      <c r="M20" s="992"/>
      <c r="N20" s="992"/>
      <c r="O20" s="992">
        <v>1</v>
      </c>
      <c r="P20" s="89"/>
      <c r="Q20" s="992">
        <v>2</v>
      </c>
      <c r="R20" s="992"/>
      <c r="S20" s="89"/>
    </row>
    <row r="21" spans="1:21" ht="12" customHeight="1" x14ac:dyDescent="0.25">
      <c r="A21" s="4" t="str">
        <f t="shared" si="0"/>
        <v>01</v>
      </c>
      <c r="B21" s="89" t="s">
        <v>2381</v>
      </c>
      <c r="C21" s="748"/>
      <c r="D21" s="89"/>
      <c r="E21" s="89"/>
      <c r="F21" s="89"/>
      <c r="G21" s="89"/>
      <c r="H21" s="89"/>
      <c r="I21" s="994" t="s">
        <v>2382</v>
      </c>
      <c r="J21" s="749"/>
      <c r="K21" s="838"/>
      <c r="L21" s="995"/>
      <c r="M21" s="838"/>
      <c r="N21" s="995"/>
      <c r="O21" s="998"/>
      <c r="P21" s="1002"/>
      <c r="Q21" s="998"/>
      <c r="R21" s="993"/>
      <c r="S21" s="315" t="s">
        <v>655</v>
      </c>
      <c r="T21" s="316"/>
      <c r="U21" s="644"/>
    </row>
    <row r="22" spans="1:21" ht="12" customHeight="1" x14ac:dyDescent="0.25">
      <c r="A22" s="4" t="str">
        <f t="shared" si="0"/>
        <v>01</v>
      </c>
      <c r="B22" s="89" t="s">
        <v>2383</v>
      </c>
      <c r="C22" s="748"/>
      <c r="D22" s="89"/>
      <c r="E22" s="89"/>
      <c r="F22" s="89"/>
      <c r="G22" s="89"/>
      <c r="H22" s="89"/>
      <c r="I22" s="994" t="s">
        <v>2384</v>
      </c>
      <c r="J22" s="749"/>
      <c r="K22" s="838"/>
      <c r="L22" s="995"/>
      <c r="M22" s="838"/>
      <c r="N22" s="995"/>
      <c r="O22" s="998"/>
      <c r="P22" s="1002"/>
      <c r="Q22" s="998"/>
      <c r="R22" s="993"/>
      <c r="S22" s="315" t="s">
        <v>655</v>
      </c>
      <c r="T22" s="316"/>
      <c r="U22" s="644"/>
    </row>
    <row r="23" spans="1:21" ht="12" customHeight="1" x14ac:dyDescent="0.25">
      <c r="A23" s="4" t="str">
        <f t="shared" si="0"/>
        <v>01</v>
      </c>
      <c r="B23" s="89" t="s">
        <v>2385</v>
      </c>
      <c r="C23" s="748"/>
      <c r="D23" s="89"/>
      <c r="E23" s="89"/>
      <c r="F23" s="89"/>
      <c r="G23" s="89"/>
      <c r="H23" s="89"/>
      <c r="I23" s="994" t="s">
        <v>2386</v>
      </c>
      <c r="J23" s="749"/>
      <c r="K23" s="838"/>
      <c r="L23" s="995"/>
      <c r="M23" s="838"/>
      <c r="N23" s="995"/>
      <c r="O23" s="998"/>
      <c r="P23" s="1002"/>
      <c r="Q23" s="998"/>
      <c r="R23" s="993"/>
      <c r="S23" s="315" t="s">
        <v>655</v>
      </c>
      <c r="T23" s="316"/>
      <c r="U23" s="644"/>
    </row>
    <row r="24" spans="1:21" ht="12" customHeight="1" x14ac:dyDescent="0.25">
      <c r="A24" s="4" t="str">
        <f t="shared" si="0"/>
        <v>01</v>
      </c>
      <c r="B24" s="89" t="s">
        <v>2387</v>
      </c>
      <c r="C24" s="748"/>
      <c r="D24" s="89"/>
      <c r="E24" s="89"/>
      <c r="F24" s="89"/>
      <c r="G24" s="89"/>
      <c r="H24" s="89"/>
      <c r="I24" s="994" t="s">
        <v>2388</v>
      </c>
      <c r="J24" s="749"/>
      <c r="K24" s="838"/>
      <c r="L24" s="995"/>
      <c r="M24" s="838"/>
      <c r="N24" s="995"/>
      <c r="O24" s="998"/>
      <c r="P24" s="1002"/>
      <c r="Q24" s="998"/>
      <c r="R24" s="993"/>
      <c r="S24" s="315" t="s">
        <v>655</v>
      </c>
      <c r="T24" s="316"/>
      <c r="U24" s="644"/>
    </row>
    <row r="25" spans="1:21" ht="12" customHeight="1" x14ac:dyDescent="0.25">
      <c r="A25" s="4" t="str">
        <f t="shared" si="0"/>
        <v>01</v>
      </c>
      <c r="B25" s="89" t="s">
        <v>2389</v>
      </c>
      <c r="C25" s="748"/>
      <c r="D25" s="89"/>
      <c r="E25" s="89"/>
      <c r="F25" s="89"/>
      <c r="G25" s="89"/>
      <c r="H25" s="89"/>
      <c r="I25" s="994" t="s">
        <v>2390</v>
      </c>
      <c r="J25" s="749"/>
      <c r="K25" s="838"/>
      <c r="L25" s="995"/>
      <c r="M25" s="838"/>
      <c r="N25" s="995"/>
      <c r="O25" s="998"/>
      <c r="P25" s="1002"/>
      <c r="Q25" s="998"/>
      <c r="R25" s="993"/>
      <c r="S25" s="315" t="s">
        <v>655</v>
      </c>
      <c r="T25" s="316"/>
      <c r="U25" s="644"/>
    </row>
    <row r="26" spans="1:21" ht="12" customHeight="1" x14ac:dyDescent="0.25">
      <c r="A26" s="4" t="str">
        <f t="shared" si="0"/>
        <v>01</v>
      </c>
      <c r="B26" s="89" t="s">
        <v>1373</v>
      </c>
      <c r="C26" s="3019"/>
      <c r="D26" s="3019"/>
      <c r="E26" s="3019"/>
      <c r="F26" s="3019"/>
      <c r="G26" s="3019"/>
      <c r="H26" s="89"/>
      <c r="I26" s="994" t="s">
        <v>2396</v>
      </c>
      <c r="J26" s="749"/>
      <c r="K26" s="838"/>
      <c r="L26" s="995"/>
      <c r="M26" s="838"/>
      <c r="N26" s="995"/>
      <c r="O26" s="998"/>
      <c r="P26" s="1002"/>
      <c r="Q26" s="998"/>
      <c r="R26" s="993"/>
      <c r="S26" s="315" t="s">
        <v>655</v>
      </c>
      <c r="T26" s="316"/>
      <c r="U26" s="644"/>
    </row>
    <row r="27" spans="1:21" ht="12" customHeight="1" x14ac:dyDescent="0.25">
      <c r="B27" s="89" t="s">
        <v>1373</v>
      </c>
      <c r="C27" s="2415"/>
      <c r="D27" s="2415"/>
      <c r="E27" s="2415"/>
      <c r="F27" s="2415"/>
      <c r="G27" s="2415"/>
      <c r="H27" s="89"/>
      <c r="I27" s="994"/>
      <c r="J27" s="749"/>
      <c r="K27" s="838"/>
      <c r="L27" s="995"/>
      <c r="M27" s="838"/>
      <c r="N27" s="995"/>
      <c r="O27" s="998"/>
      <c r="P27" s="1002"/>
      <c r="Q27" s="998"/>
      <c r="R27" s="993"/>
      <c r="S27" s="315"/>
      <c r="T27" s="316"/>
      <c r="U27" s="644"/>
    </row>
    <row r="28" spans="1:21" ht="12" customHeight="1" x14ac:dyDescent="0.25">
      <c r="B28" s="89" t="s">
        <v>1373</v>
      </c>
      <c r="C28" s="2415"/>
      <c r="D28" s="2415"/>
      <c r="E28" s="2415"/>
      <c r="F28" s="2415"/>
      <c r="G28" s="2415"/>
      <c r="H28" s="89"/>
      <c r="I28" s="994"/>
      <c r="J28" s="749"/>
      <c r="K28" s="838"/>
      <c r="L28" s="995"/>
      <c r="M28" s="838"/>
      <c r="N28" s="995"/>
      <c r="O28" s="998"/>
      <c r="P28" s="1002"/>
      <c r="Q28" s="998"/>
      <c r="R28" s="993"/>
      <c r="S28" s="315"/>
      <c r="T28" s="316"/>
      <c r="U28" s="644"/>
    </row>
    <row r="29" spans="1:21" ht="12" customHeight="1" x14ac:dyDescent="0.25">
      <c r="B29" s="89" t="s">
        <v>1373</v>
      </c>
      <c r="C29" s="2415"/>
      <c r="D29" s="2415"/>
      <c r="E29" s="2415"/>
      <c r="F29" s="2415"/>
      <c r="G29" s="2415"/>
      <c r="H29" s="89"/>
      <c r="I29" s="994"/>
      <c r="J29" s="749"/>
      <c r="K29" s="838"/>
      <c r="L29" s="995"/>
      <c r="M29" s="838"/>
      <c r="N29" s="995"/>
      <c r="O29" s="998"/>
      <c r="P29" s="1002"/>
      <c r="Q29" s="998"/>
      <c r="R29" s="993"/>
      <c r="S29" s="315"/>
      <c r="T29" s="316"/>
      <c r="U29" s="644"/>
    </row>
    <row r="30" spans="1:21" ht="12" customHeight="1" x14ac:dyDescent="0.25">
      <c r="A30" s="4" t="str">
        <f t="shared" si="0"/>
        <v>01</v>
      </c>
      <c r="B30" s="89" t="s">
        <v>1373</v>
      </c>
      <c r="C30" s="3051"/>
      <c r="D30" s="3051"/>
      <c r="E30" s="3051"/>
      <c r="F30" s="3051"/>
      <c r="G30" s="3051"/>
      <c r="H30" s="89"/>
      <c r="I30" s="994" t="s">
        <v>2396</v>
      </c>
      <c r="J30" s="749"/>
      <c r="K30" s="838"/>
      <c r="L30" s="995"/>
      <c r="M30" s="838"/>
      <c r="N30" s="995"/>
      <c r="O30" s="998"/>
      <c r="P30" s="1002"/>
      <c r="Q30" s="998"/>
      <c r="R30" s="993"/>
      <c r="S30" s="315" t="s">
        <v>655</v>
      </c>
      <c r="T30" s="316"/>
      <c r="U30" s="644"/>
    </row>
    <row r="31" spans="1:21" ht="12" customHeight="1" x14ac:dyDescent="0.25">
      <c r="A31" s="4" t="str">
        <f t="shared" si="0"/>
        <v>01</v>
      </c>
      <c r="B31" s="89" t="s">
        <v>1373</v>
      </c>
      <c r="C31" s="3051"/>
      <c r="D31" s="3051"/>
      <c r="E31" s="3051"/>
      <c r="F31" s="3051"/>
      <c r="G31" s="3051"/>
      <c r="H31" s="89"/>
      <c r="I31" s="994" t="s">
        <v>2398</v>
      </c>
      <c r="J31" s="749"/>
      <c r="K31" s="838"/>
      <c r="L31" s="995"/>
      <c r="M31" s="838"/>
      <c r="N31" s="995"/>
      <c r="O31" s="998"/>
      <c r="P31" s="1002"/>
      <c r="Q31" s="998"/>
      <c r="R31" s="993"/>
      <c r="S31" s="315" t="s">
        <v>655</v>
      </c>
      <c r="T31" s="316"/>
      <c r="U31" s="644"/>
    </row>
    <row r="32" spans="1:21" ht="14.1" customHeight="1" thickBot="1" x14ac:dyDescent="0.3">
      <c r="A32" s="4" t="str">
        <f t="shared" si="0"/>
        <v>01</v>
      </c>
      <c r="B32" s="858" t="s">
        <v>2697</v>
      </c>
      <c r="C32" s="89"/>
      <c r="D32" s="89"/>
      <c r="E32" s="89"/>
      <c r="F32" s="89"/>
      <c r="G32" s="89"/>
      <c r="H32" s="89"/>
      <c r="I32" s="994"/>
      <c r="J32" s="749"/>
      <c r="K32" s="1003">
        <f>SUM(K21:K31)</f>
        <v>0</v>
      </c>
      <c r="L32" s="995"/>
      <c r="M32" s="995"/>
      <c r="N32" s="995"/>
      <c r="O32" s="995"/>
      <c r="P32" s="995"/>
      <c r="Q32" s="995"/>
      <c r="R32" s="993"/>
      <c r="S32" s="1004"/>
    </row>
    <row r="33" spans="1:19" ht="4.3499999999999996" customHeight="1" thickTop="1" x14ac:dyDescent="0.25">
      <c r="A33" s="4" t="str">
        <f t="shared" si="0"/>
        <v>01</v>
      </c>
      <c r="B33" s="89"/>
      <c r="C33" s="89"/>
      <c r="D33" s="89"/>
      <c r="E33" s="89"/>
      <c r="F33" s="89"/>
      <c r="G33" s="89"/>
      <c r="H33" s="89"/>
      <c r="I33" s="994"/>
      <c r="J33" s="749"/>
      <c r="K33" s="995"/>
      <c r="L33" s="643"/>
      <c r="M33" s="643"/>
      <c r="N33" s="643"/>
      <c r="O33" s="643"/>
      <c r="P33" s="643"/>
      <c r="Q33" s="643"/>
      <c r="R33" s="89"/>
      <c r="S33" s="89"/>
    </row>
    <row r="34" spans="1:19" ht="15" customHeight="1" x14ac:dyDescent="0.25">
      <c r="A34" s="4" t="str">
        <f t="shared" si="0"/>
        <v>01</v>
      </c>
      <c r="B34" s="156"/>
      <c r="C34" s="858"/>
      <c r="D34" s="89"/>
      <c r="E34" s="89"/>
      <c r="F34" s="89"/>
      <c r="G34" s="89"/>
      <c r="H34" s="89"/>
      <c r="I34" s="994"/>
      <c r="J34" s="749"/>
      <c r="K34" s="995"/>
      <c r="L34" s="643"/>
      <c r="M34" s="157"/>
      <c r="N34" s="643"/>
      <c r="O34" s="643"/>
      <c r="P34" s="643"/>
      <c r="Q34" s="643"/>
      <c r="R34" s="89"/>
      <c r="S34" s="89"/>
    </row>
    <row r="35" spans="1:19" ht="12.6" customHeight="1" x14ac:dyDescent="0.25">
      <c r="A35" s="4" t="str">
        <f t="shared" si="0"/>
        <v>01</v>
      </c>
      <c r="B35" s="89"/>
      <c r="C35" s="89"/>
      <c r="D35" s="89"/>
      <c r="E35" s="89"/>
      <c r="F35" s="89"/>
      <c r="G35" s="89"/>
      <c r="H35" s="89"/>
      <c r="I35" s="747"/>
      <c r="J35" s="991"/>
      <c r="K35" s="995"/>
      <c r="L35" s="643"/>
      <c r="M35" s="997"/>
      <c r="N35" s="643"/>
      <c r="O35" s="643"/>
      <c r="P35" s="89"/>
      <c r="Q35" s="89"/>
      <c r="R35" s="89"/>
      <c r="S35" s="89"/>
    </row>
    <row r="36" spans="1:19" ht="12.6" customHeight="1" x14ac:dyDescent="0.25">
      <c r="A36" s="4" t="str">
        <f t="shared" ref="A36:A43" si="1">AgyIdx</f>
        <v>01</v>
      </c>
      <c r="B36" s="614" t="s">
        <v>2698</v>
      </c>
      <c r="C36" s="89"/>
      <c r="D36" s="89"/>
      <c r="E36" s="89"/>
      <c r="F36" s="89"/>
      <c r="G36" s="89"/>
      <c r="H36" s="89"/>
      <c r="I36" s="747"/>
      <c r="J36" s="991"/>
      <c r="K36" s="995"/>
      <c r="L36" s="643"/>
      <c r="M36" s="997"/>
      <c r="N36" s="643"/>
      <c r="O36" s="643"/>
      <c r="P36" s="89"/>
      <c r="Q36" s="89"/>
      <c r="R36" s="89"/>
      <c r="S36" s="89"/>
    </row>
    <row r="37" spans="1:19" ht="12.6" customHeight="1" x14ac:dyDescent="0.25">
      <c r="A37" s="4" t="str">
        <f t="shared" si="1"/>
        <v>01</v>
      </c>
      <c r="B37" s="858"/>
      <c r="C37" s="858"/>
      <c r="D37" s="89"/>
      <c r="E37" s="89"/>
      <c r="F37" s="89"/>
      <c r="G37" s="89"/>
      <c r="H37" s="89"/>
      <c r="I37" s="747"/>
      <c r="J37" s="991"/>
      <c r="K37" s="995"/>
      <c r="L37" s="643"/>
      <c r="M37" s="997"/>
      <c r="N37" s="643"/>
      <c r="O37" s="643"/>
      <c r="P37" s="89"/>
      <c r="Q37" s="89"/>
      <c r="R37" s="89"/>
      <c r="S37" s="89"/>
    </row>
    <row r="38" spans="1:19" ht="12.6" customHeight="1" x14ac:dyDescent="0.25">
      <c r="A38" s="4" t="str">
        <f t="shared" si="1"/>
        <v>01</v>
      </c>
      <c r="B38" s="614" t="s">
        <v>313</v>
      </c>
      <c r="C38" s="858"/>
      <c r="D38" s="89"/>
      <c r="E38" s="89"/>
      <c r="F38" s="89"/>
      <c r="G38" s="89"/>
      <c r="H38" s="89"/>
      <c r="I38" s="747"/>
      <c r="J38" s="991"/>
      <c r="K38" s="995"/>
      <c r="L38" s="643"/>
      <c r="M38" s="995"/>
      <c r="N38" s="643"/>
      <c r="O38" s="643"/>
      <c r="P38" s="89"/>
      <c r="Q38" s="89"/>
      <c r="R38" s="89"/>
      <c r="S38" s="89"/>
    </row>
    <row r="39" spans="1:19" ht="12" customHeight="1" x14ac:dyDescent="0.25">
      <c r="A39" s="4" t="str">
        <f t="shared" si="1"/>
        <v>01</v>
      </c>
      <c r="B39" s="614" t="s">
        <v>2699</v>
      </c>
      <c r="C39" s="858"/>
      <c r="D39" s="858"/>
      <c r="E39" s="858"/>
      <c r="F39" s="858"/>
      <c r="G39" s="858"/>
      <c r="H39" s="89"/>
      <c r="I39" s="1000"/>
      <c r="J39" s="749"/>
      <c r="K39" s="995"/>
      <c r="L39" s="747"/>
      <c r="M39" s="995"/>
      <c r="N39" s="89"/>
      <c r="O39" s="858"/>
      <c r="P39" s="89"/>
      <c r="Q39" s="89"/>
      <c r="R39" s="89"/>
      <c r="S39" s="89"/>
    </row>
    <row r="40" spans="1:19" x14ac:dyDescent="0.2">
      <c r="A40" s="4" t="str">
        <f t="shared" si="1"/>
        <v>01</v>
      </c>
      <c r="B40" s="614" t="s">
        <v>2700</v>
      </c>
      <c r="C40" s="89"/>
      <c r="D40" s="89"/>
      <c r="E40" s="89"/>
      <c r="F40" s="89"/>
      <c r="G40" s="89"/>
      <c r="H40" s="89"/>
      <c r="I40" s="642"/>
      <c r="J40" s="89"/>
      <c r="K40" s="643"/>
      <c r="L40" s="89"/>
      <c r="M40" s="643"/>
      <c r="N40" s="643"/>
      <c r="O40" s="6"/>
      <c r="P40" s="643"/>
      <c r="Q40" s="643"/>
      <c r="R40" s="89"/>
      <c r="S40" s="89"/>
    </row>
    <row r="41" spans="1:19" ht="15" customHeight="1" x14ac:dyDescent="0.25">
      <c r="A41" s="4" t="str">
        <f t="shared" si="1"/>
        <v>01</v>
      </c>
      <c r="B41" s="160"/>
      <c r="C41" s="160"/>
      <c r="D41" s="160"/>
      <c r="E41" s="160"/>
      <c r="F41" s="160"/>
      <c r="G41" s="160"/>
      <c r="H41" s="160"/>
      <c r="I41" s="1000"/>
      <c r="K41" s="995"/>
      <c r="L41" s="858"/>
      <c r="M41" s="89"/>
      <c r="N41" s="89"/>
      <c r="O41" s="161"/>
      <c r="P41" s="161"/>
      <c r="Q41" s="161"/>
    </row>
    <row r="42" spans="1:19" x14ac:dyDescent="0.2">
      <c r="A42" s="4" t="str">
        <f t="shared" si="1"/>
        <v>01</v>
      </c>
      <c r="I42" s="642"/>
      <c r="K42" s="643"/>
      <c r="L42" s="6"/>
      <c r="M42" s="6"/>
      <c r="N42" s="6"/>
      <c r="P42" s="6"/>
      <c r="Q42" s="6"/>
    </row>
    <row r="43" spans="1:19" x14ac:dyDescent="0.2">
      <c r="A43" s="4" t="str">
        <f t="shared" si="1"/>
        <v>01</v>
      </c>
    </row>
    <row r="44" spans="1:19" ht="15" x14ac:dyDescent="0.2">
      <c r="A44" s="421"/>
      <c r="B44" s="421"/>
      <c r="K44" s="421"/>
    </row>
    <row r="45" spans="1:19" ht="15" x14ac:dyDescent="0.2">
      <c r="A45" s="421"/>
      <c r="B45" s="421" t="s">
        <v>655</v>
      </c>
    </row>
    <row r="46" spans="1:19" ht="15" x14ac:dyDescent="0.2">
      <c r="A46" s="421"/>
      <c r="B46" s="421" t="s">
        <v>655</v>
      </c>
    </row>
    <row r="47" spans="1:19" ht="15" x14ac:dyDescent="0.2">
      <c r="A47" s="421"/>
      <c r="B47" s="421" t="s">
        <v>655</v>
      </c>
    </row>
    <row r="48" spans="1:19" ht="15" x14ac:dyDescent="0.2">
      <c r="A48" s="421"/>
      <c r="B48" s="421" t="s">
        <v>655</v>
      </c>
    </row>
    <row r="49" spans="1:2" ht="15" x14ac:dyDescent="0.2">
      <c r="A49" s="421"/>
      <c r="B49" s="421" t="s">
        <v>655</v>
      </c>
    </row>
    <row r="50" spans="1:2" ht="15" x14ac:dyDescent="0.2">
      <c r="A50" s="421"/>
      <c r="B50" s="421" t="s">
        <v>655</v>
      </c>
    </row>
    <row r="51" spans="1:2" ht="15" x14ac:dyDescent="0.2">
      <c r="A51" s="421"/>
      <c r="B51" s="421" t="s">
        <v>655</v>
      </c>
    </row>
    <row r="52" spans="1:2" ht="15" x14ac:dyDescent="0.2">
      <c r="A52" s="421"/>
      <c r="B52" s="421" t="s">
        <v>655</v>
      </c>
    </row>
    <row r="53" spans="1:2" ht="15" x14ac:dyDescent="0.2">
      <c r="A53" s="421"/>
      <c r="B53" s="421" t="s">
        <v>655</v>
      </c>
    </row>
    <row r="54" spans="1:2" ht="15" x14ac:dyDescent="0.2">
      <c r="A54" s="421"/>
      <c r="B54" s="421" t="s">
        <v>655</v>
      </c>
    </row>
  </sheetData>
  <sheetProtection algorithmName="SHA-512" hashValue="w4h7hEHqt8MzTXoT4xARXKtq41DQM5c+W1EkK0LTU/jUAIpS70slzlLkMhSzT8QiREhs9A0sg6He+9VzDo54Mw==" saltValue="KCK/g/kF/nJO++TAdkgRyg==" spinCount="100000" sheet="1" autoFilter="0"/>
  <mergeCells count="16">
    <mergeCell ref="B5:Q6"/>
    <mergeCell ref="C26:G26"/>
    <mergeCell ref="C30:G30"/>
    <mergeCell ref="C31:G31"/>
    <mergeCell ref="K16:Q16"/>
    <mergeCell ref="M8:Q8"/>
    <mergeCell ref="M9:Q9"/>
    <mergeCell ref="E10:G10"/>
    <mergeCell ref="M10:Q10"/>
    <mergeCell ref="M11:Q11"/>
    <mergeCell ref="B4:R4"/>
    <mergeCell ref="B1:R1"/>
    <mergeCell ref="S1:S3"/>
    <mergeCell ref="U1:U3"/>
    <mergeCell ref="B2:R2"/>
    <mergeCell ref="B3:R3"/>
  </mergeCells>
  <conditionalFormatting sqref="S1:S3">
    <cfRule type="cellIs" dxfId="21" priority="2" stopIfTrue="1" operator="equal">
      <formula>"na"</formula>
    </cfRule>
  </conditionalFormatting>
  <conditionalFormatting sqref="U1:U3">
    <cfRule type="cellIs" dxfId="20" priority="1" stopIfTrue="1" operator="equal">
      <formula>"na"</formula>
    </cfRule>
  </conditionalFormatting>
  <hyperlinks>
    <hyperlink ref="B1:R1" location="Index!A1" display="Index!A1" xr:uid="{00000000-0004-0000-4800-000000000000}"/>
  </hyperlinks>
  <pageMargins left="0.6" right="0.6" top="0.5" bottom="0.5" header="0.3" footer="0.3"/>
  <pageSetup scale="85" orientation="portrait" r:id="rId1"/>
  <colBreaks count="1" manualBreakCount="1">
    <brk id="19" max="1048575" man="1"/>
  </col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51">
    <pageSetUpPr fitToPage="1"/>
  </sheetPr>
  <dimension ref="A1:J54"/>
  <sheetViews>
    <sheetView showGridLines="0" zoomScaleNormal="100" workbookViewId="0">
      <selection activeCell="B125" sqref="B125:E125"/>
    </sheetView>
  </sheetViews>
  <sheetFormatPr defaultColWidth="9.42578125" defaultRowHeight="12.75" x14ac:dyDescent="0.2"/>
  <cols>
    <col min="10" max="10" width="9.5703125" customWidth="1"/>
  </cols>
  <sheetData>
    <row r="1" spans="1:10" ht="15.75" x14ac:dyDescent="0.25">
      <c r="A1" s="2534" t="str">
        <f>+Index!$A$1</f>
        <v xml:space="preserve">                                                               Office of the State Controller                                                                </v>
      </c>
      <c r="B1" s="2534"/>
      <c r="C1" s="2534"/>
      <c r="D1" s="2534"/>
      <c r="E1" s="2534"/>
      <c r="F1" s="2534"/>
      <c r="G1" s="2534"/>
      <c r="H1" s="2534"/>
      <c r="I1" s="2534"/>
      <c r="J1" s="2626" t="str">
        <f>IF(Index!$B$102="na","NA","")</f>
        <v/>
      </c>
    </row>
    <row r="2" spans="1:10" ht="15.75" x14ac:dyDescent="0.25">
      <c r="A2" s="2537" t="str">
        <f>+Index!$A$2</f>
        <v>2024 ACFR Worksheets</v>
      </c>
      <c r="B2" s="2537"/>
      <c r="C2" s="2537"/>
      <c r="D2" s="2537"/>
      <c r="E2" s="2537"/>
      <c r="F2" s="2537"/>
      <c r="G2" s="2537"/>
      <c r="H2" s="2537"/>
      <c r="I2" s="2537"/>
      <c r="J2" s="2626"/>
    </row>
    <row r="3" spans="1:10" ht="15.75" x14ac:dyDescent="0.25">
      <c r="A3" s="2538" t="s">
        <v>2309</v>
      </c>
      <c r="B3" s="2538"/>
      <c r="C3" s="2538"/>
      <c r="D3" s="2538"/>
      <c r="E3" s="2538"/>
      <c r="F3" s="2538"/>
      <c r="G3" s="2538"/>
      <c r="H3" s="2538"/>
      <c r="I3" s="2538"/>
      <c r="J3" s="2626"/>
    </row>
    <row r="4" spans="1:10" ht="15.75" x14ac:dyDescent="0.25">
      <c r="A4" s="2538" t="s">
        <v>2701</v>
      </c>
      <c r="B4" s="2538"/>
      <c r="C4" s="2538"/>
      <c r="D4" s="2538"/>
      <c r="E4" s="2538"/>
      <c r="F4" s="2538"/>
      <c r="G4" s="2538"/>
      <c r="H4" s="2538"/>
      <c r="I4" s="2538"/>
    </row>
    <row r="5" spans="1:10" x14ac:dyDescent="0.2">
      <c r="B5" s="247"/>
      <c r="C5" s="247"/>
      <c r="D5" s="247"/>
      <c r="E5" s="41"/>
      <c r="F5" s="247"/>
      <c r="G5" s="247"/>
      <c r="H5" s="247"/>
      <c r="I5" s="242"/>
    </row>
    <row r="6" spans="1:10" x14ac:dyDescent="0.2">
      <c r="A6" s="1001" t="s">
        <v>2702</v>
      </c>
      <c r="B6" s="247"/>
      <c r="C6" s="247"/>
      <c r="D6" s="247"/>
      <c r="E6" s="41"/>
      <c r="F6" s="247"/>
      <c r="G6" s="247"/>
      <c r="H6" s="247"/>
      <c r="I6" s="242"/>
    </row>
    <row r="7" spans="1:10" x14ac:dyDescent="0.2">
      <c r="A7" s="1001" t="s">
        <v>2703</v>
      </c>
      <c r="B7" s="247"/>
      <c r="C7" s="247"/>
      <c r="D7" s="247"/>
      <c r="E7" s="41"/>
      <c r="F7" s="247"/>
      <c r="G7" s="247"/>
      <c r="H7" s="247"/>
      <c r="I7" s="242"/>
    </row>
    <row r="8" spans="1:10" x14ac:dyDescent="0.2">
      <c r="A8" s="41"/>
      <c r="B8" s="612"/>
      <c r="C8" s="612"/>
      <c r="D8" s="245"/>
      <c r="E8" s="796"/>
      <c r="F8" s="790" t="s">
        <v>318</v>
      </c>
      <c r="G8" s="791" t="str">
        <f>+Index!$E$10</f>
        <v>01</v>
      </c>
      <c r="H8" s="2305"/>
      <c r="I8" s="2305"/>
      <c r="J8" s="138"/>
    </row>
    <row r="9" spans="1:10" x14ac:dyDescent="0.2">
      <c r="A9" s="612"/>
      <c r="B9" s="612"/>
      <c r="C9" s="612"/>
      <c r="D9" s="612"/>
      <c r="E9" s="2271"/>
      <c r="F9" s="790" t="s">
        <v>319</v>
      </c>
      <c r="G9" s="792" t="str">
        <f>AgyName</f>
        <v>North Carolina General Assembly</v>
      </c>
      <c r="H9" s="2307"/>
      <c r="I9" s="2307"/>
    </row>
    <row r="10" spans="1:10" x14ac:dyDescent="0.2">
      <c r="A10" s="2700" t="s">
        <v>497</v>
      </c>
      <c r="B10" s="2700"/>
      <c r="C10" s="789" t="s">
        <v>498</v>
      </c>
      <c r="E10" s="247"/>
      <c r="F10" s="790" t="s">
        <v>320</v>
      </c>
      <c r="G10" s="793" t="str">
        <f>CONCATENATE(Index!$E$12," ",Index!$E$14)</f>
        <v xml:space="preserve"> </v>
      </c>
      <c r="H10" s="2306"/>
      <c r="I10" s="2306"/>
    </row>
    <row r="11" spans="1:10" x14ac:dyDescent="0.2">
      <c r="A11" s="2271"/>
      <c r="B11" s="2271"/>
      <c r="C11" s="796"/>
      <c r="D11" s="247"/>
      <c r="E11" s="247"/>
      <c r="F11" s="790" t="s">
        <v>168</v>
      </c>
      <c r="G11" s="793">
        <f>+Index!$E$13</f>
        <v>0</v>
      </c>
      <c r="H11" s="2306"/>
      <c r="I11" s="2306"/>
    </row>
    <row r="12" spans="1:10" ht="13.5" thickBot="1" x14ac:dyDescent="0.25">
      <c r="A12" s="797"/>
      <c r="B12" s="797"/>
      <c r="C12" s="797"/>
      <c r="D12" s="797"/>
      <c r="E12" s="797"/>
      <c r="F12" s="797"/>
      <c r="G12" s="797"/>
      <c r="H12" s="797"/>
      <c r="I12" s="797"/>
      <c r="J12" s="448"/>
    </row>
    <row r="13" spans="1:10" ht="15" x14ac:dyDescent="0.25">
      <c r="A13" s="2273"/>
      <c r="B13" s="2273"/>
      <c r="C13" s="2273"/>
      <c r="D13" s="2273"/>
      <c r="E13" s="2273"/>
      <c r="F13" s="2273"/>
      <c r="G13" s="2273"/>
      <c r="H13" s="2273"/>
      <c r="I13" s="2273"/>
    </row>
    <row r="14" spans="1:10" x14ac:dyDescent="0.2">
      <c r="A14" s="695" t="s">
        <v>2704</v>
      </c>
      <c r="B14" s="695"/>
      <c r="C14" s="695"/>
      <c r="D14" s="695"/>
      <c r="E14" s="695"/>
      <c r="F14" s="695"/>
      <c r="G14" s="695"/>
      <c r="H14" s="695"/>
      <c r="I14" s="695"/>
    </row>
    <row r="15" spans="1:10" x14ac:dyDescent="0.2">
      <c r="A15" s="695" t="s">
        <v>2705</v>
      </c>
      <c r="B15" s="695"/>
      <c r="C15" s="695"/>
      <c r="D15" s="695"/>
      <c r="E15" s="695"/>
      <c r="F15" s="695"/>
      <c r="G15" s="695"/>
      <c r="H15" s="695"/>
      <c r="I15" s="695"/>
    </row>
    <row r="16" spans="1:10" x14ac:dyDescent="0.2">
      <c r="A16" s="695"/>
      <c r="B16" s="695"/>
      <c r="C16" s="695"/>
      <c r="D16" s="695"/>
      <c r="E16" s="695"/>
      <c r="F16" s="695"/>
      <c r="G16" s="695"/>
      <c r="H16" s="695"/>
      <c r="I16" s="695"/>
    </row>
    <row r="17" spans="1:9" x14ac:dyDescent="0.2">
      <c r="A17" s="695" t="s">
        <v>2706</v>
      </c>
      <c r="B17" s="695"/>
      <c r="C17" s="695"/>
      <c r="D17" s="695"/>
      <c r="E17" s="695"/>
      <c r="F17" s="695"/>
      <c r="G17" s="695"/>
      <c r="H17" s="695"/>
      <c r="I17" s="695"/>
    </row>
    <row r="18" spans="1:9" x14ac:dyDescent="0.2">
      <c r="A18" s="850" t="s">
        <v>2707</v>
      </c>
      <c r="B18" s="695"/>
      <c r="C18" s="695"/>
      <c r="D18" s="695"/>
      <c r="E18" s="695"/>
      <c r="F18" s="695"/>
      <c r="G18" s="695"/>
      <c r="H18" s="695"/>
      <c r="I18" s="695"/>
    </row>
    <row r="19" spans="1:9" x14ac:dyDescent="0.2">
      <c r="A19" s="850"/>
      <c r="B19" s="695"/>
      <c r="C19" s="695"/>
      <c r="D19" s="695"/>
      <c r="E19" s="695"/>
      <c r="F19" s="695"/>
      <c r="G19" s="695"/>
      <c r="H19" s="695"/>
      <c r="I19" s="695"/>
    </row>
    <row r="20" spans="1:9" ht="15.75" x14ac:dyDescent="0.25">
      <c r="A20" s="404" t="s">
        <v>2708</v>
      </c>
      <c r="B20" s="695"/>
      <c r="C20" s="695"/>
      <c r="D20" s="695"/>
      <c r="E20" s="695"/>
      <c r="F20" s="695"/>
      <c r="G20" s="695"/>
      <c r="H20" s="695"/>
      <c r="I20" s="695"/>
    </row>
    <row r="21" spans="1:9" ht="15.75" x14ac:dyDescent="0.25">
      <c r="A21" s="404"/>
      <c r="B21" s="695"/>
      <c r="C21" s="695"/>
      <c r="D21" s="695"/>
      <c r="E21" s="695"/>
      <c r="F21" s="695"/>
      <c r="G21" s="695"/>
      <c r="H21" s="695"/>
      <c r="I21" s="695"/>
    </row>
    <row r="22" spans="1:9" x14ac:dyDescent="0.2">
      <c r="A22" s="695" t="s">
        <v>2709</v>
      </c>
      <c r="B22" s="611"/>
      <c r="C22" s="612"/>
      <c r="D22" s="612"/>
      <c r="E22" s="612"/>
      <c r="F22" s="612"/>
      <c r="G22" s="612"/>
      <c r="H22" s="612"/>
      <c r="I22" s="612"/>
    </row>
    <row r="23" spans="1:9" x14ac:dyDescent="0.2">
      <c r="A23" s="695" t="s">
        <v>2710</v>
      </c>
      <c r="B23" s="611"/>
      <c r="C23" s="612"/>
      <c r="D23" s="612"/>
      <c r="E23" s="612"/>
      <c r="F23" s="612"/>
      <c r="G23" s="612"/>
      <c r="H23" s="612"/>
      <c r="I23" s="612"/>
    </row>
    <row r="24" spans="1:9" x14ac:dyDescent="0.2">
      <c r="A24" s="1005" t="s">
        <v>2711</v>
      </c>
      <c r="B24" s="611"/>
      <c r="C24" s="612"/>
      <c r="D24" s="612"/>
      <c r="E24" s="612"/>
      <c r="F24" s="612"/>
      <c r="G24" s="612"/>
      <c r="H24" s="612"/>
      <c r="I24" s="612"/>
    </row>
    <row r="25" spans="1:9" x14ac:dyDescent="0.2">
      <c r="A25" s="889" t="s">
        <v>2712</v>
      </c>
      <c r="B25" s="695"/>
      <c r="C25" s="695"/>
      <c r="D25" s="138"/>
      <c r="E25" s="138"/>
      <c r="F25" s="138"/>
      <c r="G25" s="138"/>
      <c r="H25" s="138"/>
      <c r="I25" s="138"/>
    </row>
    <row r="26" spans="1:9" x14ac:dyDescent="0.2">
      <c r="A26" s="889" t="s">
        <v>2713</v>
      </c>
      <c r="B26" s="695"/>
      <c r="C26" s="695"/>
      <c r="D26" s="138"/>
      <c r="E26" s="138"/>
      <c r="F26" s="138"/>
      <c r="G26" s="138"/>
      <c r="H26" s="138"/>
      <c r="I26" s="138"/>
    </row>
    <row r="27" spans="1:9" x14ac:dyDescent="0.2">
      <c r="A27" s="889" t="s">
        <v>2714</v>
      </c>
      <c r="B27" s="695"/>
      <c r="C27" s="695"/>
      <c r="D27" s="138"/>
      <c r="E27" s="138"/>
      <c r="F27" s="138"/>
      <c r="G27" s="138"/>
      <c r="H27" s="138"/>
      <c r="I27" s="138"/>
    </row>
    <row r="28" spans="1:9" x14ac:dyDescent="0.2">
      <c r="A28" s="889" t="s">
        <v>2715</v>
      </c>
      <c r="B28" s="695"/>
      <c r="C28" s="695"/>
      <c r="D28" s="138"/>
      <c r="E28" s="138"/>
      <c r="F28" s="138"/>
      <c r="G28" s="138"/>
      <c r="H28" s="138"/>
      <c r="I28" s="138"/>
    </row>
    <row r="29" spans="1:9" x14ac:dyDescent="0.2">
      <c r="A29" s="889" t="s">
        <v>2716</v>
      </c>
      <c r="B29" s="695"/>
      <c r="C29" s="695"/>
      <c r="D29" s="138"/>
      <c r="E29" s="138"/>
      <c r="F29" s="138"/>
      <c r="G29" s="138"/>
      <c r="H29" s="138"/>
      <c r="I29" s="138"/>
    </row>
    <row r="30" spans="1:9" x14ac:dyDescent="0.2">
      <c r="A30" s="695"/>
      <c r="B30" s="695"/>
      <c r="C30" s="695"/>
      <c r="D30" s="138"/>
      <c r="E30" s="138"/>
      <c r="F30" s="138"/>
      <c r="G30" s="138"/>
      <c r="H30" s="138"/>
      <c r="I30" s="138"/>
    </row>
    <row r="31" spans="1:9" x14ac:dyDescent="0.2">
      <c r="A31" s="695" t="s">
        <v>2717</v>
      </c>
      <c r="B31" s="695"/>
      <c r="C31" s="695"/>
      <c r="D31" s="138"/>
      <c r="E31" s="138"/>
      <c r="F31" s="138"/>
      <c r="G31" s="138"/>
      <c r="H31" s="138"/>
      <c r="I31" s="138"/>
    </row>
    <row r="32" spans="1:9" x14ac:dyDescent="0.2">
      <c r="A32" s="695" t="s">
        <v>2718</v>
      </c>
      <c r="B32" s="695"/>
      <c r="C32" s="695"/>
      <c r="D32" s="138"/>
      <c r="E32" s="138"/>
      <c r="F32" s="138"/>
      <c r="G32" s="138"/>
      <c r="H32" s="138"/>
      <c r="I32" s="138"/>
    </row>
    <row r="33" spans="1:9" x14ac:dyDescent="0.2">
      <c r="A33" s="695"/>
      <c r="B33" s="695"/>
      <c r="C33" s="613" t="s">
        <v>340</v>
      </c>
      <c r="D33" s="813"/>
      <c r="E33" s="138"/>
      <c r="F33" s="138"/>
      <c r="G33" s="138"/>
      <c r="H33" s="138"/>
      <c r="I33" s="138"/>
    </row>
    <row r="34" spans="1:9" x14ac:dyDescent="0.2">
      <c r="A34" s="695"/>
      <c r="B34" s="695"/>
      <c r="C34" s="613" t="s">
        <v>341</v>
      </c>
      <c r="D34" s="813"/>
      <c r="E34" s="138"/>
      <c r="F34" s="138"/>
      <c r="G34" s="138"/>
      <c r="H34" s="138"/>
      <c r="I34" s="138"/>
    </row>
    <row r="35" spans="1:9" x14ac:dyDescent="0.2">
      <c r="A35" s="612"/>
      <c r="B35" s="695"/>
      <c r="C35" s="695"/>
      <c r="D35" s="138"/>
      <c r="E35" s="138"/>
      <c r="F35" s="138"/>
      <c r="G35" s="138"/>
      <c r="H35" s="138"/>
      <c r="I35" s="138"/>
    </row>
    <row r="36" spans="1:9" x14ac:dyDescent="0.2">
      <c r="A36" s="795" t="s">
        <v>507</v>
      </c>
      <c r="B36" s="695"/>
      <c r="C36" s="695"/>
      <c r="D36" s="138"/>
      <c r="E36" s="138"/>
      <c r="F36" s="138"/>
      <c r="G36" s="138"/>
      <c r="H36" s="138"/>
      <c r="I36" s="138"/>
    </row>
    <row r="37" spans="1:9" x14ac:dyDescent="0.2">
      <c r="A37" s="695" t="s">
        <v>509</v>
      </c>
      <c r="B37" s="695"/>
      <c r="C37" s="695"/>
      <c r="D37" s="138"/>
      <c r="E37" s="138"/>
      <c r="F37" s="138"/>
      <c r="G37" s="138"/>
      <c r="H37" s="138"/>
      <c r="I37" s="138"/>
    </row>
    <row r="38" spans="1:9" x14ac:dyDescent="0.2">
      <c r="A38" s="612"/>
      <c r="B38" s="695"/>
      <c r="C38" s="695"/>
      <c r="D38" s="138"/>
      <c r="E38" s="138"/>
      <c r="F38" s="138"/>
      <c r="G38" s="138"/>
      <c r="H38" s="138"/>
      <c r="I38" s="138"/>
    </row>
    <row r="39" spans="1:9" ht="15.75" x14ac:dyDescent="0.25">
      <c r="A39" s="404" t="s">
        <v>2719</v>
      </c>
      <c r="B39" s="695"/>
      <c r="C39" s="695"/>
      <c r="D39" s="138"/>
      <c r="E39" s="138"/>
      <c r="F39" s="138"/>
      <c r="G39" s="138"/>
      <c r="H39" s="138"/>
      <c r="I39" s="138"/>
    </row>
    <row r="40" spans="1:9" x14ac:dyDescent="0.2">
      <c r="A40" s="612"/>
      <c r="B40" s="695"/>
      <c r="C40" s="695"/>
      <c r="D40" s="138"/>
      <c r="E40" s="138"/>
      <c r="F40" s="138"/>
      <c r="G40" s="138"/>
      <c r="H40" s="138"/>
      <c r="I40" s="138"/>
    </row>
    <row r="41" spans="1:9" x14ac:dyDescent="0.2">
      <c r="A41" s="612" t="s">
        <v>2720</v>
      </c>
      <c r="B41" s="695"/>
      <c r="C41" s="695"/>
      <c r="D41" s="138"/>
      <c r="E41" s="138"/>
      <c r="F41" s="138"/>
      <c r="G41" s="138"/>
      <c r="H41" s="138"/>
      <c r="I41" s="138"/>
    </row>
    <row r="42" spans="1:9" x14ac:dyDescent="0.2">
      <c r="A42" s="612" t="s">
        <v>2721</v>
      </c>
      <c r="B42" s="695"/>
      <c r="C42" s="695"/>
      <c r="D42" s="138"/>
      <c r="E42" s="138"/>
      <c r="F42" s="138"/>
      <c r="G42" s="138"/>
      <c r="H42" s="138"/>
      <c r="I42" s="138"/>
    </row>
    <row r="43" spans="1:9" x14ac:dyDescent="0.2">
      <c r="B43" s="611"/>
      <c r="C43" s="612"/>
      <c r="D43" s="612"/>
      <c r="E43" s="612"/>
      <c r="F43" s="612"/>
      <c r="G43" s="612"/>
      <c r="H43" s="612"/>
      <c r="I43" s="612"/>
    </row>
    <row r="44" spans="1:9" x14ac:dyDescent="0.2">
      <c r="A44" s="695" t="s">
        <v>2722</v>
      </c>
      <c r="B44" s="611"/>
      <c r="C44" s="612"/>
      <c r="D44" s="612"/>
      <c r="E44" s="612"/>
      <c r="F44" s="612"/>
      <c r="G44" s="612"/>
      <c r="H44" s="612"/>
      <c r="I44" s="612"/>
    </row>
    <row r="45" spans="1:9" x14ac:dyDescent="0.2">
      <c r="A45" s="695" t="s">
        <v>2723</v>
      </c>
      <c r="B45" s="611"/>
      <c r="C45" s="612"/>
      <c r="D45" s="612"/>
      <c r="E45" s="612"/>
      <c r="F45" s="612"/>
      <c r="G45" s="612"/>
      <c r="H45" s="612"/>
      <c r="I45" s="612"/>
    </row>
    <row r="46" spans="1:9" x14ac:dyDescent="0.2">
      <c r="A46" s="695" t="s">
        <v>2724</v>
      </c>
      <c r="B46" s="611"/>
      <c r="C46" s="612"/>
      <c r="D46" s="612"/>
      <c r="E46" s="612"/>
      <c r="F46" s="612"/>
      <c r="G46" s="612"/>
      <c r="H46" s="612"/>
      <c r="I46" s="612"/>
    </row>
    <row r="47" spans="1:9" x14ac:dyDescent="0.2">
      <c r="A47" s="695" t="s">
        <v>2725</v>
      </c>
      <c r="B47" s="611"/>
      <c r="C47" s="612"/>
      <c r="D47" s="612"/>
      <c r="E47" s="612"/>
      <c r="F47" s="612"/>
      <c r="G47" s="612"/>
      <c r="H47" s="612"/>
      <c r="I47" s="612"/>
    </row>
    <row r="48" spans="1:9" x14ac:dyDescent="0.2">
      <c r="A48" s="611"/>
      <c r="B48" s="611"/>
      <c r="C48" s="613" t="s">
        <v>340</v>
      </c>
      <c r="D48" s="813"/>
      <c r="E48" s="612"/>
      <c r="F48" s="612"/>
      <c r="G48" s="612"/>
      <c r="H48" s="612"/>
      <c r="I48" s="612"/>
    </row>
    <row r="49" spans="1:9" x14ac:dyDescent="0.2">
      <c r="A49" s="611"/>
      <c r="B49" s="611"/>
      <c r="C49" s="613" t="s">
        <v>341</v>
      </c>
      <c r="D49" s="813"/>
      <c r="E49" s="612"/>
      <c r="F49" s="612"/>
      <c r="G49" s="612"/>
      <c r="H49" s="612"/>
      <c r="I49" s="612"/>
    </row>
    <row r="50" spans="1:9" x14ac:dyDescent="0.2">
      <c r="A50" s="611"/>
      <c r="B50" s="611"/>
      <c r="C50" s="612"/>
      <c r="D50" s="612"/>
      <c r="E50" s="612"/>
      <c r="F50" s="612"/>
      <c r="G50" s="612"/>
      <c r="H50" s="612"/>
      <c r="I50" s="612"/>
    </row>
    <row r="51" spans="1:9" ht="15.75" x14ac:dyDescent="0.25">
      <c r="A51" s="795" t="s">
        <v>507</v>
      </c>
      <c r="B51" s="611"/>
      <c r="C51" s="43"/>
      <c r="D51" s="43"/>
      <c r="E51" s="612"/>
      <c r="F51" s="612"/>
      <c r="G51" s="612"/>
      <c r="H51" s="612"/>
      <c r="I51" s="612"/>
    </row>
    <row r="52" spans="1:9" x14ac:dyDescent="0.2">
      <c r="A52" s="695" t="s">
        <v>509</v>
      </c>
      <c r="B52" s="612"/>
      <c r="C52" s="612"/>
      <c r="D52" s="612"/>
      <c r="E52" s="612"/>
      <c r="F52" s="612"/>
      <c r="G52" s="612"/>
      <c r="H52" s="612"/>
      <c r="I52" s="612"/>
    </row>
    <row r="53" spans="1:9" x14ac:dyDescent="0.2">
      <c r="A53" s="611"/>
      <c r="B53" s="611"/>
      <c r="C53" s="612"/>
      <c r="D53" s="612"/>
      <c r="E53" s="612"/>
      <c r="F53" s="612"/>
      <c r="G53" s="612"/>
      <c r="H53" s="612"/>
      <c r="I53" s="612"/>
    </row>
    <row r="54" spans="1:9" x14ac:dyDescent="0.2">
      <c r="A54" s="41"/>
      <c r="B54" s="139"/>
      <c r="C54" s="139"/>
      <c r="D54" s="139"/>
      <c r="E54" s="139"/>
      <c r="F54" s="139"/>
      <c r="G54" s="139"/>
      <c r="H54" s="139"/>
      <c r="I54" s="612"/>
    </row>
  </sheetData>
  <sheetProtection algorithmName="SHA-512" hashValue="PHhaIenNiUICdWCQ9YtbniEE34tu1r3/hdGRdFTKcpxnQV63XbDQ6l9edKD9jxNVmumU86D6jXyIc6nR55omiA==" saltValue="ZIColezouIf47Nln3d+/4g==" spinCount="100000" sheet="1" autoFilter="0"/>
  <mergeCells count="6">
    <mergeCell ref="A10:B10"/>
    <mergeCell ref="A1:I1"/>
    <mergeCell ref="J1:J3"/>
    <mergeCell ref="A2:I2"/>
    <mergeCell ref="A3:I3"/>
    <mergeCell ref="A4:I4"/>
  </mergeCells>
  <conditionalFormatting sqref="J1:J3">
    <cfRule type="cellIs" dxfId="19" priority="1" stopIfTrue="1" operator="equal">
      <formula>"na"</formula>
    </cfRule>
  </conditionalFormatting>
  <hyperlinks>
    <hyperlink ref="A1:I1" location="Index!A1" display="Index!A1" xr:uid="{00000000-0004-0000-4900-000000000000}"/>
    <hyperlink ref="A18" r:id="rId1" xr:uid="{00000000-0004-0000-4900-000001000000}"/>
  </hyperlinks>
  <pageMargins left="0.6" right="0.6" top="0.5" bottom="0.5" header="0.3" footer="0.3"/>
  <pageSetup orientation="portrait" r:id="rId2"/>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2">
    <tabColor theme="4" tint="0.59999389629810485"/>
  </sheetPr>
  <dimension ref="A1:S280"/>
  <sheetViews>
    <sheetView zoomScaleNormal="100" zoomScaleSheetLayoutView="130" workbookViewId="0">
      <selection activeCell="K11" sqref="K11"/>
    </sheetView>
  </sheetViews>
  <sheetFormatPr defaultRowHeight="12.75" x14ac:dyDescent="0.2"/>
  <cols>
    <col min="1" max="1" width="5.5703125" customWidth="1"/>
    <col min="2" max="2" width="11" customWidth="1"/>
    <col min="3" max="3" width="7.5703125" customWidth="1"/>
    <col min="4" max="4" width="19.42578125" customWidth="1"/>
    <col min="5" max="5" width="13.42578125" customWidth="1"/>
    <col min="6" max="6" width="18.5703125" style="341" customWidth="1"/>
    <col min="7" max="7" width="8.7109375" customWidth="1"/>
    <col min="8" max="8" width="3.5703125" customWidth="1"/>
    <col min="9" max="9" width="18.5703125" customWidth="1"/>
    <col min="10" max="10" width="3.42578125" customWidth="1"/>
    <col min="11" max="11" width="60.42578125" customWidth="1"/>
    <col min="12" max="12" width="13.42578125" style="1297" bestFit="1" customWidth="1"/>
    <col min="15" max="15" width="12.85546875" customWidth="1"/>
  </cols>
  <sheetData>
    <row r="1" spans="1:19" ht="25.15" customHeight="1" x14ac:dyDescent="0.25">
      <c r="A1" s="2553" t="str">
        <f>+Index!$A$1</f>
        <v xml:space="preserve">                                                               Office of the State Controller                                                                </v>
      </c>
      <c r="B1" s="2553"/>
      <c r="C1" s="2553"/>
      <c r="D1" s="2553"/>
      <c r="E1" s="2553"/>
      <c r="F1" s="2553"/>
      <c r="G1" s="2553"/>
      <c r="H1" s="438" t="str">
        <f>IF(Index!$B$103="na", "NA", "")</f>
        <v/>
      </c>
      <c r="I1" s="2441"/>
      <c r="J1" s="2268"/>
      <c r="K1" s="2268"/>
      <c r="L1" s="2412"/>
      <c r="M1" s="2268"/>
      <c r="N1" s="2268"/>
      <c r="O1" s="1340" t="s">
        <v>2726</v>
      </c>
      <c r="P1" s="1340" t="str">
        <f>IFERROR(VLOOKUP(C5,FCCSent,2,FALSE),"")</f>
        <v/>
      </c>
      <c r="Q1" s="1360" t="s">
        <v>2727</v>
      </c>
      <c r="R1" s="2268"/>
    </row>
    <row r="2" spans="1:19" ht="16.5" x14ac:dyDescent="0.3">
      <c r="A2" s="2532" t="str">
        <f>+Index!$A$2</f>
        <v>2024 ACFR Worksheets</v>
      </c>
      <c r="B2" s="2532"/>
      <c r="C2" s="2532"/>
      <c r="D2" s="2532"/>
      <c r="E2" s="2532"/>
      <c r="F2" s="2532"/>
      <c r="G2" s="2532"/>
      <c r="H2" s="438"/>
      <c r="I2" s="322"/>
      <c r="J2" s="322"/>
      <c r="K2" s="329"/>
      <c r="L2" s="1361"/>
      <c r="M2" s="329"/>
      <c r="N2" s="329"/>
      <c r="O2" s="1340" t="s">
        <v>2728</v>
      </c>
      <c r="P2" s="1340" t="str">
        <f>VLOOKUP(C5,FCCSnum,2,FALSE)</f>
        <v>0100</v>
      </c>
      <c r="Q2" s="329"/>
      <c r="R2" s="329"/>
    </row>
    <row r="3" spans="1:19" ht="49.5" customHeight="1" x14ac:dyDescent="0.3">
      <c r="A3" s="3079" t="s">
        <v>2729</v>
      </c>
      <c r="B3" s="3079"/>
      <c r="C3" s="3079"/>
      <c r="D3" s="3079"/>
      <c r="E3" s="3079"/>
      <c r="F3" s="3079"/>
      <c r="G3" s="3079"/>
      <c r="H3" s="322"/>
      <c r="I3" s="322"/>
      <c r="J3" s="322"/>
      <c r="K3" s="329"/>
      <c r="L3" s="1361"/>
      <c r="M3" s="329"/>
      <c r="N3" s="329"/>
      <c r="O3" s="329"/>
      <c r="P3" s="329"/>
      <c r="Q3" s="329"/>
      <c r="R3" s="329"/>
    </row>
    <row r="4" spans="1:19" ht="15.75" customHeight="1" x14ac:dyDescent="0.2">
      <c r="A4" s="3037"/>
      <c r="B4" s="3037"/>
      <c r="C4" s="3037"/>
      <c r="D4" s="3037"/>
      <c r="E4" s="3037"/>
      <c r="F4" s="3037"/>
      <c r="G4" s="3037"/>
      <c r="H4" s="3037"/>
      <c r="I4" s="3037"/>
    </row>
    <row r="5" spans="1:19" s="105" customFormat="1" ht="21.75" customHeight="1" x14ac:dyDescent="0.25">
      <c r="A5" s="105" t="s">
        <v>318</v>
      </c>
      <c r="C5" s="333" t="str">
        <f>+Index!$E$10</f>
        <v>01</v>
      </c>
      <c r="D5" s="886"/>
      <c r="E5" s="424" t="s">
        <v>320</v>
      </c>
      <c r="F5" s="3073" t="str">
        <f>+CONCATENATE(Index!$E$12," ",Index!$E$14)</f>
        <v xml:space="preserve"> </v>
      </c>
      <c r="G5" s="3073"/>
      <c r="K5" s="330"/>
      <c r="L5" s="1362"/>
      <c r="S5" s="104"/>
    </row>
    <row r="6" spans="1:19" s="105" customFormat="1" ht="15" customHeight="1" x14ac:dyDescent="0.2">
      <c r="A6" s="105" t="s">
        <v>319</v>
      </c>
      <c r="C6" s="3078" t="str">
        <f>+Index!$E$11</f>
        <v>North Carolina General Assembly</v>
      </c>
      <c r="D6" s="3078"/>
      <c r="E6" s="425" t="s">
        <v>168</v>
      </c>
      <c r="F6" s="3074">
        <f>+Index!$E$13</f>
        <v>0</v>
      </c>
      <c r="G6" s="3074"/>
      <c r="K6" s="331"/>
      <c r="L6" s="1363"/>
      <c r="M6" s="331"/>
      <c r="N6" s="331"/>
      <c r="O6" s="331"/>
      <c r="P6" s="331"/>
      <c r="Q6" s="331"/>
      <c r="R6" s="106"/>
      <c r="S6" s="104"/>
    </row>
    <row r="7" spans="1:19" s="105" customFormat="1" ht="15" customHeight="1" x14ac:dyDescent="0.2">
      <c r="A7" s="105" t="s">
        <v>545</v>
      </c>
      <c r="C7" s="573" t="e">
        <f>INDEX(NetAssetsData,MATCH('905'!$C$5,NetAssetsDataRow,0),4)</f>
        <v>#N/A</v>
      </c>
      <c r="F7" s="426"/>
      <c r="L7" s="1362"/>
      <c r="S7" s="104"/>
    </row>
    <row r="8" spans="1:19" s="78" customFormat="1" ht="48.75" customHeight="1" x14ac:dyDescent="0.2">
      <c r="A8" s="3075" t="s">
        <v>2730</v>
      </c>
      <c r="B8" s="3076"/>
      <c r="C8" s="3076"/>
      <c r="D8" s="3076"/>
      <c r="E8" s="3076"/>
      <c r="F8" s="3076"/>
      <c r="G8" s="3076"/>
      <c r="H8" s="3076"/>
      <c r="I8" s="3077"/>
      <c r="J8" s="27"/>
      <c r="K8" s="27"/>
      <c r="L8" s="1296"/>
      <c r="M8" s="27"/>
      <c r="N8" s="27"/>
      <c r="O8" s="27"/>
      <c r="P8" s="27"/>
      <c r="Q8" s="27"/>
      <c r="R8" s="27"/>
      <c r="S8" s="27"/>
    </row>
    <row r="9" spans="1:19" x14ac:dyDescent="0.2">
      <c r="A9" s="105"/>
      <c r="F9" s="727" t="s">
        <v>2731</v>
      </c>
      <c r="I9" s="27"/>
    </row>
    <row r="10" spans="1:19" x14ac:dyDescent="0.2">
      <c r="B10" s="3080" t="s">
        <v>2732</v>
      </c>
      <c r="C10" s="3080"/>
      <c r="D10" s="3080"/>
      <c r="E10" s="3080"/>
      <c r="G10" s="138"/>
      <c r="I10" s="711" t="s">
        <v>2733</v>
      </c>
      <c r="L10" s="1364" t="s">
        <v>2734</v>
      </c>
    </row>
    <row r="11" spans="1:19" x14ac:dyDescent="0.2">
      <c r="B11" s="2442" t="s">
        <v>2735</v>
      </c>
      <c r="C11" s="2442"/>
      <c r="F11" s="610" t="str">
        <f>TEXT(Data!$A$2,"mmmm d,yyyy")</f>
        <v>June 30,2024</v>
      </c>
      <c r="G11" s="534"/>
      <c r="I11" s="610" t="str">
        <f>TEXT(Data!$A$4,"mmmm d,yyyy")</f>
        <v>June 30,2023</v>
      </c>
    </row>
    <row r="12" spans="1:19" x14ac:dyDescent="0.2">
      <c r="A12" s="1" t="s">
        <v>2736</v>
      </c>
      <c r="B12" s="213" t="s">
        <v>2737</v>
      </c>
      <c r="C12" s="213"/>
      <c r="G12" s="918"/>
    </row>
    <row r="13" spans="1:19" x14ac:dyDescent="0.2">
      <c r="A13" s="170">
        <v>1000</v>
      </c>
      <c r="B13" s="2890" t="s">
        <v>1935</v>
      </c>
      <c r="C13" s="2890"/>
      <c r="D13" s="2890"/>
      <c r="E13" s="2890"/>
      <c r="F13" s="347">
        <v>0</v>
      </c>
      <c r="G13" s="138"/>
      <c r="I13" s="342" t="e">
        <f>INDEX(PY905Data,MATCH($A13,PY905Row,0),MATCH($C$5,PY905Col,0))</f>
        <v>#N/A</v>
      </c>
      <c r="L13" s="1360">
        <v>11111000</v>
      </c>
    </row>
    <row r="14" spans="1:19" x14ac:dyDescent="0.2">
      <c r="A14" s="170">
        <v>1010</v>
      </c>
      <c r="B14" s="2890" t="s">
        <v>1939</v>
      </c>
      <c r="C14" s="2890"/>
      <c r="D14" s="2890"/>
      <c r="E14" s="2890"/>
      <c r="F14" s="348">
        <v>0</v>
      </c>
      <c r="I14" s="341" t="e">
        <f>INDEX(PY905Data,MATCH($A14,PY905Row,0),MATCH($C$5,PY905Col,0))</f>
        <v>#N/A</v>
      </c>
      <c r="L14" s="1297">
        <v>11121000</v>
      </c>
    </row>
    <row r="15" spans="1:19" x14ac:dyDescent="0.2">
      <c r="A15" s="170">
        <v>1050</v>
      </c>
      <c r="B15" s="2890" t="s">
        <v>2738</v>
      </c>
      <c r="C15" s="2890"/>
      <c r="D15" s="2890"/>
      <c r="E15" s="2890"/>
      <c r="F15" s="348">
        <v>0</v>
      </c>
      <c r="G15" s="138"/>
      <c r="I15" s="341" t="e">
        <f>INDEX(PY905Data,MATCH($A15,PY905Row,0),MATCH($C$5,PY905Col,0))</f>
        <v>#N/A</v>
      </c>
      <c r="L15" s="1297">
        <v>11210100</v>
      </c>
    </row>
    <row r="16" spans="1:19" x14ac:dyDescent="0.2">
      <c r="A16" s="170">
        <v>1060</v>
      </c>
      <c r="B16" s="2890" t="s">
        <v>2739</v>
      </c>
      <c r="C16" s="2890"/>
      <c r="D16" s="2890"/>
      <c r="E16" s="2890"/>
      <c r="F16" s="215">
        <v>0</v>
      </c>
      <c r="G16" s="439"/>
      <c r="I16" s="341" t="e">
        <f>INDEX(PY905Data,MATCH($A16,PY905Row,0),MATCH($C$5,PY905Col,0))</f>
        <v>#N/A</v>
      </c>
      <c r="L16" s="1297">
        <v>11221000</v>
      </c>
    </row>
    <row r="17" spans="1:12" x14ac:dyDescent="0.2">
      <c r="A17" s="170">
        <v>1090</v>
      </c>
      <c r="B17" s="3066" t="s">
        <v>2740</v>
      </c>
      <c r="C17" s="3066"/>
      <c r="D17" s="3066"/>
      <c r="E17" s="3066"/>
      <c r="F17" s="215">
        <v>0</v>
      </c>
      <c r="G17" s="1042" t="e">
        <f>IF(AND(ABS(F17)&gt;=1,$C$7="4XXX"),"Universities do not record securities lending collateral for CAFR"," ")</f>
        <v>#N/A</v>
      </c>
      <c r="I17" s="341" t="e">
        <f>INDEX(PY905Data,MATCH($A17,PY905Row,0),MATCH($C$5,PY905Col,0))</f>
        <v>#N/A</v>
      </c>
      <c r="L17" s="1297">
        <v>11230000</v>
      </c>
    </row>
    <row r="18" spans="1:12" x14ac:dyDescent="0.2">
      <c r="A18" s="170"/>
      <c r="B18" s="170" t="s">
        <v>2741</v>
      </c>
      <c r="C18" s="170"/>
      <c r="I18" s="341"/>
    </row>
    <row r="19" spans="1:12" x14ac:dyDescent="0.2">
      <c r="A19" s="170">
        <v>1110</v>
      </c>
      <c r="B19" s="2894" t="s">
        <v>2742</v>
      </c>
      <c r="C19" s="2894"/>
      <c r="D19" s="2894"/>
      <c r="E19" s="2894"/>
      <c r="F19" s="348">
        <v>0</v>
      </c>
      <c r="I19" s="341" t="e">
        <f t="shared" ref="I19:I37" si="0">INDEX(PY905Data,MATCH($A19,PY905Row,0),MATCH($C$5,PY905Col,0))</f>
        <v>#N/A</v>
      </c>
      <c r="L19" s="1297">
        <v>11320000</v>
      </c>
    </row>
    <row r="20" spans="1:12" x14ac:dyDescent="0.2">
      <c r="A20" s="170">
        <v>1120</v>
      </c>
      <c r="B20" s="2894" t="s">
        <v>2743</v>
      </c>
      <c r="C20" s="2894"/>
      <c r="D20" s="2894"/>
      <c r="E20" s="2894"/>
      <c r="F20" s="348">
        <v>0</v>
      </c>
      <c r="I20" s="341" t="e">
        <f t="shared" si="0"/>
        <v>#N/A</v>
      </c>
      <c r="L20" s="1297">
        <v>11341000</v>
      </c>
    </row>
    <row r="21" spans="1:12" x14ac:dyDescent="0.2">
      <c r="A21" s="170">
        <v>1130</v>
      </c>
      <c r="B21" s="2894" t="s">
        <v>2744</v>
      </c>
      <c r="C21" s="2894"/>
      <c r="D21" s="2894"/>
      <c r="E21" s="2894"/>
      <c r="F21" s="348">
        <v>0</v>
      </c>
      <c r="I21" s="341" t="e">
        <f t="shared" si="0"/>
        <v>#N/A</v>
      </c>
      <c r="L21" s="1297">
        <v>11351000</v>
      </c>
    </row>
    <row r="22" spans="1:12" x14ac:dyDescent="0.2">
      <c r="A22" s="170">
        <v>1160</v>
      </c>
      <c r="B22" s="2894" t="s">
        <v>2745</v>
      </c>
      <c r="C22" s="2894"/>
      <c r="D22" s="2894"/>
      <c r="E22" s="2894"/>
      <c r="F22" s="348">
        <v>0</v>
      </c>
      <c r="I22" s="341" t="e">
        <f t="shared" si="0"/>
        <v>#N/A</v>
      </c>
      <c r="L22" s="1297">
        <v>11336000</v>
      </c>
    </row>
    <row r="23" spans="1:12" x14ac:dyDescent="0.2">
      <c r="A23" s="1221">
        <v>1175</v>
      </c>
      <c r="B23" s="2890" t="s">
        <v>2746</v>
      </c>
      <c r="C23" s="2890"/>
      <c r="D23" s="2890"/>
      <c r="E23" s="2890"/>
      <c r="F23" s="562">
        <f>'535'!H34</f>
        <v>0</v>
      </c>
      <c r="I23" s="341" t="e">
        <f t="shared" si="0"/>
        <v>#N/A</v>
      </c>
      <c r="K23" s="1104"/>
    </row>
    <row r="24" spans="1:12" x14ac:dyDescent="0.2">
      <c r="A24" s="1221">
        <v>1190</v>
      </c>
      <c r="B24" s="3066" t="s">
        <v>2747</v>
      </c>
      <c r="C24" s="3066"/>
      <c r="D24" s="3066"/>
      <c r="E24" s="3066"/>
      <c r="F24" s="562">
        <f>'525'!H26</f>
        <v>0</v>
      </c>
      <c r="G24" t="str">
        <f>IF(F24='525'!H26, " ", "Problem: Must agree to ws 525 total  Due frm St of NC Comp Unit")</f>
        <v xml:space="preserve"> </v>
      </c>
      <c r="I24" s="341" t="e">
        <f t="shared" si="0"/>
        <v>#N/A</v>
      </c>
      <c r="L24" s="971"/>
    </row>
    <row r="25" spans="1:12" x14ac:dyDescent="0.2">
      <c r="A25" s="638">
        <v>1195</v>
      </c>
      <c r="B25" s="3066" t="s">
        <v>2748</v>
      </c>
      <c r="C25" s="3066"/>
      <c r="D25" s="3066"/>
      <c r="E25" s="3066"/>
      <c r="F25" s="562">
        <f>'616'!D30</f>
        <v>0</v>
      </c>
      <c r="G25" t="str">
        <f>IF(F25='616'!D30, " ", "Problem: Must agree to ws 616 total  Due from Agency/Institution Comp Unit")</f>
        <v xml:space="preserve"> </v>
      </c>
      <c r="H25" s="138"/>
      <c r="I25" s="341" t="e">
        <f t="shared" si="0"/>
        <v>#N/A</v>
      </c>
      <c r="L25" s="1297">
        <v>11480000</v>
      </c>
    </row>
    <row r="26" spans="1:12" x14ac:dyDescent="0.2">
      <c r="A26" s="638">
        <v>1200</v>
      </c>
      <c r="B26" s="3066" t="s">
        <v>2749</v>
      </c>
      <c r="C26" s="3066"/>
      <c r="D26" s="3066"/>
      <c r="E26" s="3066"/>
      <c r="F26" s="562">
        <f>'515'!H27</f>
        <v>0</v>
      </c>
      <c r="G26" t="str">
        <f>IF(F26='515'!H27, " ", "Problem: Must agree to ws 515 total  Due from Primary Government")</f>
        <v xml:space="preserve"> </v>
      </c>
      <c r="I26" s="341" t="e">
        <f t="shared" si="0"/>
        <v>#N/A</v>
      </c>
      <c r="L26" s="971"/>
    </row>
    <row r="27" spans="1:12" x14ac:dyDescent="0.2">
      <c r="A27" s="170">
        <v>1220</v>
      </c>
      <c r="B27" s="3069" t="s">
        <v>2750</v>
      </c>
      <c r="C27" s="3069"/>
      <c r="D27" s="3069"/>
      <c r="E27" s="3069"/>
      <c r="F27" s="348">
        <v>0</v>
      </c>
      <c r="I27" s="341" t="e">
        <f t="shared" si="0"/>
        <v>#N/A</v>
      </c>
      <c r="L27" s="1297">
        <v>11611000</v>
      </c>
    </row>
    <row r="28" spans="1:12" x14ac:dyDescent="0.2">
      <c r="A28" s="170">
        <v>1230</v>
      </c>
      <c r="B28" s="2890" t="s">
        <v>2751</v>
      </c>
      <c r="C28" s="2890"/>
      <c r="D28" s="2890"/>
      <c r="E28" s="2890"/>
      <c r="F28" s="348">
        <v>0</v>
      </c>
      <c r="I28" s="341" t="e">
        <f t="shared" si="0"/>
        <v>#N/A</v>
      </c>
      <c r="L28" s="1297">
        <v>11910000</v>
      </c>
    </row>
    <row r="29" spans="1:12" x14ac:dyDescent="0.2">
      <c r="A29" s="170">
        <v>1210</v>
      </c>
      <c r="B29" s="2890" t="s">
        <v>2752</v>
      </c>
      <c r="C29" s="2890"/>
      <c r="D29" s="2890"/>
      <c r="E29" s="2890"/>
      <c r="F29" s="348">
        <v>0</v>
      </c>
      <c r="I29" s="341" t="e">
        <f t="shared" si="0"/>
        <v>#N/A</v>
      </c>
      <c r="L29" s="1297">
        <v>11510000</v>
      </c>
    </row>
    <row r="30" spans="1:12" x14ac:dyDescent="0.2">
      <c r="A30" s="170">
        <v>1211</v>
      </c>
      <c r="B30" s="2890" t="s">
        <v>2753</v>
      </c>
      <c r="C30" s="2890"/>
      <c r="D30" s="2890"/>
      <c r="E30" s="2890"/>
      <c r="F30" s="348">
        <v>0</v>
      </c>
      <c r="I30" s="341" t="e">
        <f t="shared" si="0"/>
        <v>#N/A</v>
      </c>
      <c r="K30" s="1104"/>
      <c r="L30" s="1297">
        <v>11530000</v>
      </c>
    </row>
    <row r="31" spans="1:12" x14ac:dyDescent="0.2">
      <c r="A31" s="2009">
        <v>1214</v>
      </c>
      <c r="B31" s="3072" t="s">
        <v>2754</v>
      </c>
      <c r="C31" s="3072"/>
      <c r="D31" s="3072"/>
      <c r="E31" s="3072"/>
      <c r="F31" s="348">
        <v>0</v>
      </c>
      <c r="I31" s="341" t="e">
        <f>INDEX(PY905Data,MATCH($A31,PY905Row,0),MATCH($C$5,PY905Col,0))</f>
        <v>#N/A</v>
      </c>
      <c r="K31" s="1814" t="s">
        <v>2755</v>
      </c>
      <c r="L31" s="1297">
        <v>11540000</v>
      </c>
    </row>
    <row r="32" spans="1:12" x14ac:dyDescent="0.2">
      <c r="A32" s="170">
        <v>1020</v>
      </c>
      <c r="B32" s="2890" t="s">
        <v>1948</v>
      </c>
      <c r="C32" s="2890"/>
      <c r="D32" s="2890"/>
      <c r="E32" s="2890"/>
      <c r="F32" s="348">
        <v>0</v>
      </c>
      <c r="I32" s="341" t="e">
        <f t="shared" si="0"/>
        <v>#N/A</v>
      </c>
      <c r="L32" s="1359" t="s">
        <v>2756</v>
      </c>
    </row>
    <row r="33" spans="1:12" x14ac:dyDescent="0.2">
      <c r="A33" s="170">
        <v>1030</v>
      </c>
      <c r="B33" s="2890" t="s">
        <v>1952</v>
      </c>
      <c r="C33" s="2890"/>
      <c r="D33" s="2890"/>
      <c r="E33" s="2890"/>
      <c r="F33" s="348">
        <v>0</v>
      </c>
      <c r="I33" s="341" t="e">
        <f t="shared" si="0"/>
        <v>#N/A</v>
      </c>
      <c r="L33" s="1359" t="s">
        <v>2757</v>
      </c>
    </row>
    <row r="34" spans="1:12" x14ac:dyDescent="0.2">
      <c r="A34" s="170">
        <v>1070</v>
      </c>
      <c r="B34" s="2890" t="s">
        <v>2758</v>
      </c>
      <c r="C34" s="2890"/>
      <c r="D34" s="2890"/>
      <c r="E34" s="2890"/>
      <c r="F34" s="348">
        <v>0</v>
      </c>
      <c r="I34" s="341" t="e">
        <f t="shared" si="0"/>
        <v>#N/A</v>
      </c>
      <c r="L34" s="1297">
        <v>11212500</v>
      </c>
    </row>
    <row r="35" spans="1:12" x14ac:dyDescent="0.2">
      <c r="A35" s="170">
        <v>1232</v>
      </c>
      <c r="B35" s="2890" t="s">
        <v>2759</v>
      </c>
      <c r="C35" s="2890"/>
      <c r="D35" s="2890"/>
      <c r="E35" s="2890"/>
      <c r="F35" s="348">
        <v>0</v>
      </c>
      <c r="I35" s="341" t="e">
        <f t="shared" si="0"/>
        <v>#N/A</v>
      </c>
      <c r="L35" s="1297">
        <v>11970000</v>
      </c>
    </row>
    <row r="36" spans="1:12" x14ac:dyDescent="0.2">
      <c r="A36" s="170">
        <v>1235</v>
      </c>
      <c r="B36" s="2890" t="s">
        <v>2760</v>
      </c>
      <c r="C36" s="2890"/>
      <c r="D36" s="2890"/>
      <c r="E36" s="2890"/>
      <c r="F36" s="348">
        <v>0</v>
      </c>
      <c r="I36" s="341" t="e">
        <f t="shared" si="0"/>
        <v>#N/A</v>
      </c>
      <c r="K36" s="971"/>
      <c r="L36" s="1297">
        <v>11491000</v>
      </c>
    </row>
    <row r="37" spans="1:12" x14ac:dyDescent="0.2">
      <c r="A37" s="170">
        <v>1233</v>
      </c>
      <c r="B37" s="2890" t="s">
        <v>2761</v>
      </c>
      <c r="C37" s="2890"/>
      <c r="D37" s="2890"/>
      <c r="E37" s="2890"/>
      <c r="F37" s="348">
        <v>0</v>
      </c>
      <c r="I37" s="341" t="e">
        <f t="shared" si="0"/>
        <v>#N/A</v>
      </c>
      <c r="K37" s="971"/>
      <c r="L37" s="1297">
        <v>11978000</v>
      </c>
    </row>
    <row r="38" spans="1:12" x14ac:dyDescent="0.2">
      <c r="B38" s="2890" t="s">
        <v>2762</v>
      </c>
      <c r="C38" s="2890"/>
      <c r="D38" s="2890"/>
      <c r="E38" s="2890"/>
      <c r="F38" s="350">
        <f>SUM(F12:F37)</f>
        <v>0</v>
      </c>
      <c r="I38" s="350" t="e">
        <f>SUM(I12:I37)</f>
        <v>#N/A</v>
      </c>
      <c r="K38" s="971"/>
    </row>
    <row r="40" spans="1:12" x14ac:dyDescent="0.2">
      <c r="B40" s="213" t="s">
        <v>2763</v>
      </c>
    </row>
    <row r="41" spans="1:12" x14ac:dyDescent="0.2">
      <c r="A41" s="170">
        <v>1300</v>
      </c>
      <c r="B41" s="2890" t="s">
        <v>2738</v>
      </c>
      <c r="C41" s="2890"/>
      <c r="D41" s="2890"/>
      <c r="E41" s="2890"/>
      <c r="F41" s="348">
        <v>0</v>
      </c>
      <c r="I41" s="341" t="e">
        <f>INDEX(PY905Data,MATCH($A41,PY905Row,0),MATCH($C$5,PY905Col,0))</f>
        <v>#N/A</v>
      </c>
      <c r="L41" s="1297">
        <v>12210100</v>
      </c>
    </row>
    <row r="42" spans="1:12" x14ac:dyDescent="0.2">
      <c r="A42" s="170">
        <v>1310</v>
      </c>
      <c r="B42" s="2890" t="s">
        <v>2739</v>
      </c>
      <c r="C42" s="2890"/>
      <c r="D42" s="2890"/>
      <c r="E42" s="2890"/>
      <c r="F42" s="215">
        <v>0</v>
      </c>
      <c r="G42" s="170"/>
      <c r="I42" s="341" t="e">
        <f>INDEX(PY905Data,MATCH($A42,PY905Row,0),MATCH($C$5,PY905Col,0))</f>
        <v>#N/A</v>
      </c>
      <c r="L42" s="1297">
        <v>12212200</v>
      </c>
    </row>
    <row r="43" spans="1:12" x14ac:dyDescent="0.2">
      <c r="A43" s="170"/>
      <c r="B43" s="170" t="s">
        <v>2741</v>
      </c>
      <c r="C43" s="170"/>
      <c r="I43" s="341"/>
    </row>
    <row r="44" spans="1:12" x14ac:dyDescent="0.2">
      <c r="A44" s="170">
        <v>1340</v>
      </c>
      <c r="B44" s="2894" t="s">
        <v>2742</v>
      </c>
      <c r="C44" s="2894"/>
      <c r="D44" s="2894"/>
      <c r="E44" s="2894"/>
      <c r="F44" s="348">
        <v>0</v>
      </c>
      <c r="I44" s="341" t="e">
        <f t="shared" ref="I44:I55" si="1">INDEX(PY905Data,MATCH($A44,PY905Row,0),MATCH($C$5,PY905Col,0))</f>
        <v>#N/A</v>
      </c>
      <c r="L44" s="1297">
        <v>12320000</v>
      </c>
    </row>
    <row r="45" spans="1:12" hidden="1" x14ac:dyDescent="0.2">
      <c r="A45" s="170">
        <v>1345</v>
      </c>
      <c r="B45" s="2894" t="s">
        <v>2743</v>
      </c>
      <c r="C45" s="2894"/>
      <c r="D45" s="2894"/>
      <c r="E45" s="2894"/>
      <c r="F45" s="348">
        <v>0</v>
      </c>
      <c r="G45" s="439"/>
      <c r="I45" s="341" t="e">
        <f t="shared" si="1"/>
        <v>#N/A</v>
      </c>
      <c r="L45" s="1358"/>
    </row>
    <row r="46" spans="1:12" x14ac:dyDescent="0.2">
      <c r="A46" s="170">
        <v>1350</v>
      </c>
      <c r="B46" s="2894" t="s">
        <v>2744</v>
      </c>
      <c r="C46" s="2894"/>
      <c r="D46" s="2894"/>
      <c r="E46" s="2894"/>
      <c r="F46" s="348">
        <v>0</v>
      </c>
      <c r="I46" s="341" t="e">
        <f t="shared" si="1"/>
        <v>#N/A</v>
      </c>
      <c r="L46" s="1297">
        <v>12351000</v>
      </c>
    </row>
    <row r="47" spans="1:12" x14ac:dyDescent="0.2">
      <c r="A47" s="170">
        <v>1370</v>
      </c>
      <c r="B47" s="2894" t="s">
        <v>2745</v>
      </c>
      <c r="C47" s="2894"/>
      <c r="D47" s="2894"/>
      <c r="E47" s="2894"/>
      <c r="F47" s="348">
        <v>0</v>
      </c>
      <c r="I47" s="341" t="e">
        <f t="shared" si="1"/>
        <v>#N/A</v>
      </c>
      <c r="L47" s="1297">
        <v>12336000</v>
      </c>
    </row>
    <row r="48" spans="1:12" x14ac:dyDescent="0.2">
      <c r="A48" s="170">
        <v>1400</v>
      </c>
      <c r="B48" s="2890" t="s">
        <v>2752</v>
      </c>
      <c r="C48" s="2890"/>
      <c r="D48" s="2890"/>
      <c r="E48" s="2890"/>
      <c r="F48" s="348">
        <v>0</v>
      </c>
      <c r="I48" s="341" t="e">
        <f t="shared" si="1"/>
        <v>#N/A</v>
      </c>
      <c r="L48" s="1297">
        <v>12510000</v>
      </c>
    </row>
    <row r="49" spans="1:12" x14ac:dyDescent="0.2">
      <c r="A49" s="170">
        <v>1401</v>
      </c>
      <c r="B49" s="2890" t="s">
        <v>2753</v>
      </c>
      <c r="C49" s="2890"/>
      <c r="D49" s="2890"/>
      <c r="E49" s="2890"/>
      <c r="F49" s="348">
        <v>0</v>
      </c>
      <c r="I49" s="341" t="e">
        <f t="shared" si="1"/>
        <v>#N/A</v>
      </c>
      <c r="K49" s="1104"/>
      <c r="L49" s="1297">
        <v>12530000</v>
      </c>
    </row>
    <row r="50" spans="1:12" x14ac:dyDescent="0.2">
      <c r="A50" s="2009">
        <v>1404</v>
      </c>
      <c r="B50" s="3083" t="s">
        <v>2764</v>
      </c>
      <c r="C50" s="3083"/>
      <c r="D50" s="3083"/>
      <c r="E50" s="3083"/>
      <c r="F50" s="348">
        <v>0</v>
      </c>
      <c r="I50" s="341" t="e">
        <f>INDEX(PY905Data,MATCH($A50,PY905Row,0),MATCH($C$5,PY905Col,0))</f>
        <v>#N/A</v>
      </c>
      <c r="K50" s="1814" t="s">
        <v>2755</v>
      </c>
      <c r="L50" s="1297">
        <v>12540000</v>
      </c>
    </row>
    <row r="51" spans="1:12" x14ac:dyDescent="0.2">
      <c r="A51" s="170">
        <v>1415</v>
      </c>
      <c r="B51" s="2890" t="s">
        <v>2765</v>
      </c>
      <c r="C51" s="2890"/>
      <c r="D51" s="2890"/>
      <c r="E51" s="2890"/>
      <c r="F51" s="348">
        <v>0</v>
      </c>
      <c r="G51" s="138"/>
      <c r="I51" s="341" t="e">
        <f t="shared" si="1"/>
        <v>#N/A</v>
      </c>
      <c r="L51" s="1297">
        <v>12950000</v>
      </c>
    </row>
    <row r="52" spans="1:12" x14ac:dyDescent="0.2">
      <c r="A52" s="170">
        <v>1420</v>
      </c>
      <c r="B52" s="2890" t="s">
        <v>2751</v>
      </c>
      <c r="C52" s="2890"/>
      <c r="D52" s="2890"/>
      <c r="E52" s="2890"/>
      <c r="F52" s="348">
        <v>0</v>
      </c>
      <c r="I52" s="341" t="e">
        <f t="shared" si="1"/>
        <v>#N/A</v>
      </c>
      <c r="L52" s="1297">
        <v>12910000</v>
      </c>
    </row>
    <row r="53" spans="1:12" x14ac:dyDescent="0.2">
      <c r="A53" s="170">
        <v>1270</v>
      </c>
      <c r="B53" s="2890" t="s">
        <v>1948</v>
      </c>
      <c r="C53" s="2890"/>
      <c r="D53" s="2890"/>
      <c r="E53" s="2890"/>
      <c r="F53" s="348">
        <v>0</v>
      </c>
      <c r="I53" s="341" t="e">
        <f t="shared" si="1"/>
        <v>#N/A</v>
      </c>
      <c r="L53" s="1297">
        <v>12111000</v>
      </c>
    </row>
    <row r="54" spans="1:12" x14ac:dyDescent="0.2">
      <c r="A54" s="170">
        <v>1280</v>
      </c>
      <c r="B54" s="2890" t="s">
        <v>1970</v>
      </c>
      <c r="C54" s="2890"/>
      <c r="D54" s="2890"/>
      <c r="E54" s="2890"/>
      <c r="F54" s="348">
        <v>0</v>
      </c>
      <c r="I54" s="341" t="e">
        <f t="shared" si="1"/>
        <v>#N/A</v>
      </c>
      <c r="L54" s="1297">
        <v>12122000</v>
      </c>
    </row>
    <row r="55" spans="1:12" x14ac:dyDescent="0.2">
      <c r="A55" s="170">
        <v>1410</v>
      </c>
      <c r="B55" s="2890" t="s">
        <v>2758</v>
      </c>
      <c r="C55" s="2890"/>
      <c r="D55" s="2890"/>
      <c r="E55" s="2890"/>
      <c r="F55" s="348">
        <v>0</v>
      </c>
      <c r="I55" s="341" t="e">
        <f t="shared" si="1"/>
        <v>#N/A</v>
      </c>
      <c r="L55" s="1297">
        <v>12212500</v>
      </c>
    </row>
    <row r="56" spans="1:12" hidden="1" x14ac:dyDescent="0.2">
      <c r="A56" s="170"/>
      <c r="B56" s="2890" t="s">
        <v>2766</v>
      </c>
      <c r="C56" s="2890"/>
      <c r="D56" s="2890"/>
      <c r="E56" s="2890"/>
      <c r="F56" s="215">
        <v>0</v>
      </c>
      <c r="G56" s="439"/>
      <c r="I56" s="341"/>
      <c r="L56" s="1358"/>
    </row>
    <row r="57" spans="1:12" x14ac:dyDescent="0.2">
      <c r="A57" s="638">
        <v>1395</v>
      </c>
      <c r="B57" s="2890" t="s">
        <v>2767</v>
      </c>
      <c r="C57" s="2890"/>
      <c r="D57" s="2890"/>
      <c r="E57" s="2890"/>
      <c r="F57" s="562">
        <f>'525'!H35</f>
        <v>0</v>
      </c>
      <c r="G57" t="str">
        <f>IF(F57='525'!H35, " ", "Problem: Must agree to ws 525 total  Restricted due frm St of NC Comp Unit")</f>
        <v xml:space="preserve"> </v>
      </c>
      <c r="I57" s="341" t="e">
        <f>INDEX(PY905Data,MATCH($A57,PY905Row,0),MATCH($C$5,PY905Col,0))</f>
        <v>#N/A</v>
      </c>
      <c r="L57" s="971"/>
    </row>
    <row r="58" spans="1:12" x14ac:dyDescent="0.2">
      <c r="A58" s="638">
        <v>1390</v>
      </c>
      <c r="B58" s="2890" t="s">
        <v>2768</v>
      </c>
      <c r="C58" s="2890"/>
      <c r="D58" s="2890"/>
      <c r="E58" s="2890"/>
      <c r="F58" s="562">
        <f>'515'!H33</f>
        <v>0</v>
      </c>
      <c r="G58" t="str">
        <f>IF(F58='515'!H33, " ", "Problem: Must agree to ws 515 total Restricted Due from Primary Govt")</f>
        <v xml:space="preserve"> </v>
      </c>
      <c r="I58" s="341" t="e">
        <f>INDEX(PY905Data,MATCH($A58,PY905Row,0),MATCH($C$5,PY905Col,0))</f>
        <v>#N/A</v>
      </c>
      <c r="L58" s="971"/>
    </row>
    <row r="59" spans="1:12" x14ac:dyDescent="0.2">
      <c r="A59" s="170">
        <v>1432</v>
      </c>
      <c r="B59" s="2890" t="s">
        <v>2759</v>
      </c>
      <c r="C59" s="2890"/>
      <c r="D59" s="2890"/>
      <c r="E59" s="2890"/>
      <c r="F59" s="348">
        <v>0</v>
      </c>
      <c r="I59" s="341" t="e">
        <f>INDEX(PY905Data,MATCH($A59,PY905Row,0),MATCH($C$5,PY905Col,0))</f>
        <v>#N/A</v>
      </c>
      <c r="L59" s="1297">
        <v>12970000</v>
      </c>
    </row>
    <row r="60" spans="1:12" x14ac:dyDescent="0.2">
      <c r="A60" s="170">
        <v>1434</v>
      </c>
      <c r="B60" s="2890" t="s">
        <v>2760</v>
      </c>
      <c r="C60" s="2890"/>
      <c r="D60" s="2890"/>
      <c r="E60" s="2890"/>
      <c r="F60" s="348">
        <v>0</v>
      </c>
      <c r="I60" s="341" t="e">
        <f>INDEX(PY905Data,MATCH($A60,PY905Row,0),MATCH($C$5,PY905Col,0))</f>
        <v>#N/A</v>
      </c>
      <c r="K60" s="971"/>
      <c r="L60" s="1297">
        <v>12491000</v>
      </c>
    </row>
    <row r="61" spans="1:12" x14ac:dyDescent="0.2">
      <c r="A61" s="170">
        <v>1433</v>
      </c>
      <c r="B61" s="2890" t="s">
        <v>2761</v>
      </c>
      <c r="C61" s="2890"/>
      <c r="D61" s="2890"/>
      <c r="E61" s="2890"/>
      <c r="F61" s="348">
        <v>0</v>
      </c>
      <c r="I61" s="341" t="e">
        <f>INDEX(PY905Data,MATCH($A61,PY905Row,0),MATCH($C$5,PY905Col,0))</f>
        <v>#N/A</v>
      </c>
      <c r="K61" s="971"/>
      <c r="L61" s="1297">
        <v>12978000</v>
      </c>
    </row>
    <row r="62" spans="1:12" ht="12.75" customHeight="1" x14ac:dyDescent="0.2">
      <c r="A62" s="170"/>
      <c r="B62" s="2673" t="s">
        <v>2769</v>
      </c>
      <c r="C62" s="2673"/>
      <c r="D62" s="2673"/>
      <c r="E62" s="2673"/>
      <c r="I62" s="341"/>
    </row>
    <row r="63" spans="1:12" x14ac:dyDescent="0.2">
      <c r="A63" s="638">
        <v>1480</v>
      </c>
      <c r="B63" s="2894" t="s">
        <v>2770</v>
      </c>
      <c r="C63" s="2894"/>
      <c r="D63" s="2894"/>
      <c r="E63" s="2894"/>
      <c r="F63" s="562">
        <f>'201'!T20</f>
        <v>0</v>
      </c>
      <c r="G63" s="138" t="str">
        <f>IF(F63='201'!T20," ","Problem:Must agree to worksheet 201 - complete the 201 worksheet first")</f>
        <v xml:space="preserve"> </v>
      </c>
      <c r="I63" s="341" t="e">
        <f>INDEX(PY905Data,MATCH($A63,PY905Row,0),MATCH($C$5,PY905Col,0))</f>
        <v>#N/A</v>
      </c>
    </row>
    <row r="64" spans="1:12" x14ac:dyDescent="0.2">
      <c r="A64" s="638">
        <v>1490</v>
      </c>
      <c r="B64" s="2894" t="s">
        <v>2771</v>
      </c>
      <c r="C64" s="2894"/>
      <c r="D64" s="2894"/>
      <c r="E64" s="2894"/>
      <c r="F64" s="562">
        <f>'201'!T21</f>
        <v>0</v>
      </c>
      <c r="G64" s="138" t="str">
        <f>IF(F64='201'!T21," ","Problem:Must agree to worksheet 201")</f>
        <v xml:space="preserve"> </v>
      </c>
      <c r="I64" s="341" t="e">
        <f>INDEX(PY905Data,MATCH($A64,PY905Row,0),MATCH($C$5,PY905Col,0))</f>
        <v>#N/A</v>
      </c>
    </row>
    <row r="65" spans="1:15" x14ac:dyDescent="0.2">
      <c r="A65" s="638">
        <v>1500</v>
      </c>
      <c r="B65" s="2894" t="s">
        <v>2772</v>
      </c>
      <c r="C65" s="2894"/>
      <c r="D65" s="2894"/>
      <c r="E65" s="2894"/>
      <c r="F65" s="562">
        <f>'201'!T22</f>
        <v>0</v>
      </c>
      <c r="G65" s="138" t="str">
        <f>IF(F65='201'!T22," ","Problem:Must agree to worksheet 201")</f>
        <v xml:space="preserve"> </v>
      </c>
      <c r="I65" s="341" t="e">
        <f t="shared" ref="I65:I68" si="2">INDEX(PY905Data,MATCH($A65,PY905Row,0),MATCH($C$5,PY905Col,0))</f>
        <v>#N/A</v>
      </c>
    </row>
    <row r="66" spans="1:15" x14ac:dyDescent="0.2">
      <c r="A66" s="638">
        <v>1503</v>
      </c>
      <c r="B66" s="2894" t="s">
        <v>2773</v>
      </c>
      <c r="C66" s="2894"/>
      <c r="D66" s="2894"/>
      <c r="E66" s="2894"/>
      <c r="F66" s="562">
        <f>'201'!T23</f>
        <v>0</v>
      </c>
      <c r="G66" s="138" t="str">
        <f>IF(F66='201'!T23," ","Problem:Must agree to worksheet 201")</f>
        <v xml:space="preserve"> </v>
      </c>
      <c r="I66" s="341" t="e">
        <f t="shared" si="2"/>
        <v>#N/A</v>
      </c>
    </row>
    <row r="67" spans="1:15" x14ac:dyDescent="0.2">
      <c r="A67" s="638">
        <v>1505</v>
      </c>
      <c r="B67" s="2894" t="s">
        <v>2774</v>
      </c>
      <c r="C67" s="2894"/>
      <c r="D67" s="2894"/>
      <c r="E67" s="2894"/>
      <c r="F67" s="562">
        <f>'201'!T24</f>
        <v>0</v>
      </c>
      <c r="G67" s="138" t="str">
        <f>IF(F67='201'!T24," ","Problem:Must agree to worksheet 201")</f>
        <v xml:space="preserve"> </v>
      </c>
      <c r="I67" s="341" t="e">
        <f t="shared" si="2"/>
        <v>#N/A</v>
      </c>
    </row>
    <row r="68" spans="1:15" x14ac:dyDescent="0.2">
      <c r="A68" s="638">
        <v>1506</v>
      </c>
      <c r="B68" s="2894" t="s">
        <v>2775</v>
      </c>
      <c r="C68" s="2894"/>
      <c r="D68" s="2894"/>
      <c r="E68" s="2894"/>
      <c r="F68" s="562">
        <f>'201'!T25</f>
        <v>0</v>
      </c>
      <c r="G68" s="138" t="str">
        <f>IF(F68='201'!T25," ","Problem:Must agree to worksheet 201")</f>
        <v xml:space="preserve"> </v>
      </c>
      <c r="I68" s="341" t="e">
        <f t="shared" si="2"/>
        <v>#N/A</v>
      </c>
      <c r="J68" s="138"/>
    </row>
    <row r="69" spans="1:15" ht="12" customHeight="1" x14ac:dyDescent="0.2">
      <c r="A69" s="170"/>
      <c r="B69" s="2890" t="s">
        <v>2776</v>
      </c>
      <c r="C69" s="2890"/>
      <c r="D69" s="2890"/>
      <c r="E69" s="2890"/>
      <c r="F69" s="350">
        <f>SUM(F63:F68)</f>
        <v>0</v>
      </c>
      <c r="G69" s="138"/>
      <c r="I69" s="350" t="e">
        <f>SUM(I63:I68)</f>
        <v>#N/A</v>
      </c>
      <c r="J69" s="138"/>
    </row>
    <row r="70" spans="1:15" ht="10.5" customHeight="1" x14ac:dyDescent="0.2">
      <c r="A70" s="170"/>
      <c r="B70" s="2673" t="s">
        <v>589</v>
      </c>
      <c r="C70" s="2673"/>
      <c r="D70" s="2673"/>
      <c r="E70" s="2673"/>
    </row>
    <row r="71" spans="1:15" x14ac:dyDescent="0.2">
      <c r="A71" s="638">
        <v>1520</v>
      </c>
      <c r="B71" s="2894" t="s">
        <v>2777</v>
      </c>
      <c r="C71" s="2894"/>
      <c r="D71" s="2894"/>
      <c r="E71" s="2894"/>
      <c r="F71" s="562">
        <f>'201'!T27</f>
        <v>0</v>
      </c>
      <c r="G71" s="138" t="str">
        <f>IF(F71='201'!T27," ","Problem:Must agree to worksheet 201")</f>
        <v xml:space="preserve"> </v>
      </c>
      <c r="I71" s="341" t="e">
        <f t="shared" ref="I71:I84" si="3">INDEX(PY905Data,MATCH($A71,PY905Row,0),MATCH($C$5,PY905Col,0))</f>
        <v>#N/A</v>
      </c>
    </row>
    <row r="72" spans="1:15" x14ac:dyDescent="0.2">
      <c r="A72" s="638">
        <v>1530</v>
      </c>
      <c r="B72" s="2894" t="s">
        <v>2778</v>
      </c>
      <c r="C72" s="2894"/>
      <c r="D72" s="2894"/>
      <c r="E72" s="2894"/>
      <c r="F72" s="562">
        <f>'201'!T28</f>
        <v>0</v>
      </c>
      <c r="G72" s="138" t="str">
        <f>IF(F72='201'!T28," ","Problem:Must agree to worksheet 201")</f>
        <v xml:space="preserve"> </v>
      </c>
      <c r="I72" s="341" t="e">
        <f t="shared" si="3"/>
        <v>#N/A</v>
      </c>
    </row>
    <row r="73" spans="1:15" x14ac:dyDescent="0.2">
      <c r="A73" s="638">
        <v>1540</v>
      </c>
      <c r="B73" s="2894" t="s">
        <v>2779</v>
      </c>
      <c r="C73" s="2894"/>
      <c r="D73" s="2894"/>
      <c r="E73" s="2894"/>
      <c r="F73" s="562">
        <f>'201'!T29</f>
        <v>0</v>
      </c>
      <c r="G73" s="138" t="str">
        <f>IF(F73='201'!T29," ","Problem:Must agree to worksheet 201")</f>
        <v xml:space="preserve"> </v>
      </c>
      <c r="I73" s="341" t="e">
        <f t="shared" si="3"/>
        <v>#N/A</v>
      </c>
    </row>
    <row r="74" spans="1:15" x14ac:dyDescent="0.2">
      <c r="A74" s="638">
        <v>1550</v>
      </c>
      <c r="B74" s="2894" t="s">
        <v>2780</v>
      </c>
      <c r="C74" s="2894"/>
      <c r="D74" s="2894"/>
      <c r="E74" s="2894"/>
      <c r="F74" s="562">
        <f>'201'!T30</f>
        <v>0</v>
      </c>
      <c r="G74" s="138" t="str">
        <f>IF(F74='201'!T30," ","Problem:Must agree to worksheet 201")</f>
        <v xml:space="preserve"> </v>
      </c>
      <c r="I74" s="341" t="e">
        <f t="shared" si="3"/>
        <v>#N/A</v>
      </c>
    </row>
    <row r="75" spans="1:15" x14ac:dyDescent="0.2">
      <c r="A75" s="638">
        <v>1481</v>
      </c>
      <c r="B75" s="2894" t="s">
        <v>2781</v>
      </c>
      <c r="C75" s="2894"/>
      <c r="D75" s="2894"/>
      <c r="E75" s="2894"/>
      <c r="F75" s="562">
        <f>'201'!T37</f>
        <v>0</v>
      </c>
      <c r="G75" s="138" t="str">
        <f>IF(F75='201'!T37," ","Problem:Must agree to worksheet 201")</f>
        <v xml:space="preserve"> </v>
      </c>
      <c r="I75" s="341" t="e">
        <f t="shared" si="3"/>
        <v>#N/A</v>
      </c>
      <c r="K75" s="1104"/>
    </row>
    <row r="76" spans="1:15" x14ac:dyDescent="0.2">
      <c r="A76" s="638">
        <v>1521</v>
      </c>
      <c r="B76" s="2894" t="s">
        <v>2782</v>
      </c>
      <c r="C76" s="2894"/>
      <c r="D76" s="2894"/>
      <c r="E76" s="2894"/>
      <c r="F76" s="562">
        <f>'201'!T38</f>
        <v>0</v>
      </c>
      <c r="G76" s="138" t="str">
        <f>IF(F76='201'!T38," ","Problem:Must agree to worksheet 201")</f>
        <v xml:space="preserve"> </v>
      </c>
      <c r="I76" s="341" t="e">
        <f t="shared" si="3"/>
        <v>#N/A</v>
      </c>
      <c r="K76" s="1104"/>
    </row>
    <row r="77" spans="1:15" x14ac:dyDescent="0.2">
      <c r="A77" s="638">
        <v>1531</v>
      </c>
      <c r="B77" s="2894" t="s">
        <v>2783</v>
      </c>
      <c r="C77" s="2894"/>
      <c r="D77" s="2894"/>
      <c r="E77" s="2894"/>
      <c r="F77" s="562">
        <f>'201'!T39</f>
        <v>0</v>
      </c>
      <c r="G77" s="138" t="str">
        <f>IF(F77='201'!T39," ","Problem:Must agree to worksheet 201")</f>
        <v xml:space="preserve"> </v>
      </c>
      <c r="I77" s="341" t="e">
        <f t="shared" si="3"/>
        <v>#N/A</v>
      </c>
      <c r="K77" s="1104"/>
      <c r="O77" s="138"/>
    </row>
    <row r="78" spans="1:15" x14ac:dyDescent="0.2">
      <c r="A78" s="638">
        <v>1551</v>
      </c>
      <c r="B78" s="2894" t="s">
        <v>2784</v>
      </c>
      <c r="C78" s="2894"/>
      <c r="D78" s="2894"/>
      <c r="E78" s="2894"/>
      <c r="F78" s="562">
        <f>'201'!T40</f>
        <v>0</v>
      </c>
      <c r="G78" s="138" t="str">
        <f>IF(F78='201'!T40," ","Problem:Must agree to worksheet 201")</f>
        <v xml:space="preserve"> </v>
      </c>
      <c r="I78" s="341" t="e">
        <f t="shared" si="3"/>
        <v>#N/A</v>
      </c>
      <c r="K78" s="1104"/>
      <c r="O78" s="138"/>
    </row>
    <row r="79" spans="1:15" x14ac:dyDescent="0.2">
      <c r="A79" s="1867">
        <v>1552</v>
      </c>
      <c r="B79" s="2057" t="s">
        <v>2785</v>
      </c>
      <c r="C79" s="2057"/>
      <c r="D79" s="2057"/>
      <c r="E79" s="2057"/>
      <c r="F79" s="562">
        <f>'201'!T41</f>
        <v>0</v>
      </c>
      <c r="G79" s="138"/>
      <c r="I79" s="341" t="e">
        <f t="shared" si="3"/>
        <v>#N/A</v>
      </c>
      <c r="K79" s="1814" t="s">
        <v>2755</v>
      </c>
      <c r="O79" s="138"/>
    </row>
    <row r="80" spans="1:15" x14ac:dyDescent="0.2">
      <c r="A80" s="638">
        <v>1553</v>
      </c>
      <c r="B80" s="2894" t="s">
        <v>2786</v>
      </c>
      <c r="C80" s="2894"/>
      <c r="D80" s="2894"/>
      <c r="E80" s="2894"/>
      <c r="F80" s="562">
        <f>'201'!T33</f>
        <v>0</v>
      </c>
      <c r="G80" s="138" t="str">
        <f>IF(F80='201'!T33," ","Problem:Must agree to worksheet 201")</f>
        <v xml:space="preserve"> </v>
      </c>
      <c r="I80" s="341" t="e">
        <f t="shared" si="3"/>
        <v>#N/A</v>
      </c>
    </row>
    <row r="81" spans="1:12" x14ac:dyDescent="0.2">
      <c r="A81" s="638">
        <v>1555</v>
      </c>
      <c r="B81" s="2894" t="s">
        <v>2787</v>
      </c>
      <c r="C81" s="2894"/>
      <c r="D81" s="2894"/>
      <c r="E81" s="2894"/>
      <c r="F81" s="562">
        <f>'201'!T34</f>
        <v>0</v>
      </c>
      <c r="G81" s="138" t="str">
        <f>IF(F81='201'!T34," ","Problem:Must agree to worksheet 201")</f>
        <v xml:space="preserve"> </v>
      </c>
      <c r="I81" s="341" t="e">
        <f t="shared" si="3"/>
        <v>#N/A</v>
      </c>
    </row>
    <row r="82" spans="1:12" x14ac:dyDescent="0.2">
      <c r="A82" s="638">
        <v>1556</v>
      </c>
      <c r="B82" s="2894" t="s">
        <v>2788</v>
      </c>
      <c r="C82" s="2894"/>
      <c r="D82" s="2894"/>
      <c r="E82" s="2894"/>
      <c r="F82" s="562">
        <f>'201'!T43</f>
        <v>0</v>
      </c>
      <c r="G82" s="138" t="str">
        <f>IF(F82='201'!T43," ","Problem:Must agree to worksheet 201")</f>
        <v xml:space="preserve"> </v>
      </c>
      <c r="I82" s="341" t="e">
        <f t="shared" si="3"/>
        <v>#N/A</v>
      </c>
    </row>
    <row r="83" spans="1:12" x14ac:dyDescent="0.2">
      <c r="A83" s="638">
        <v>1560</v>
      </c>
      <c r="B83" s="2894" t="s">
        <v>2789</v>
      </c>
      <c r="C83" s="2894"/>
      <c r="D83" s="2894"/>
      <c r="E83" s="2894"/>
      <c r="F83" s="562">
        <f>'201'!T35</f>
        <v>0</v>
      </c>
      <c r="G83" s="138" t="str">
        <f>IF(F83='201'!T35," ","Problem:Must agree to worksheet 201")</f>
        <v xml:space="preserve"> </v>
      </c>
      <c r="I83" s="341" t="e">
        <f t="shared" si="3"/>
        <v>#N/A</v>
      </c>
    </row>
    <row r="84" spans="1:12" x14ac:dyDescent="0.2">
      <c r="A84" s="638">
        <v>1570</v>
      </c>
      <c r="B84" s="2890" t="s">
        <v>2790</v>
      </c>
      <c r="C84" s="2890"/>
      <c r="D84" s="2890"/>
      <c r="E84" s="2890"/>
      <c r="F84" s="574">
        <f>-'210'!Q34</f>
        <v>0</v>
      </c>
      <c r="G84" s="138" t="str">
        <f>IF(F84=-'210'!Q34," ","Problem:Must agree to total accumulated depreciation per worksheet 210 cell O25, entered here as a negative number")</f>
        <v xml:space="preserve"> </v>
      </c>
      <c r="I84" s="343" t="e">
        <f t="shared" si="3"/>
        <v>#N/A</v>
      </c>
      <c r="J84" s="138"/>
    </row>
    <row r="85" spans="1:12" x14ac:dyDescent="0.2">
      <c r="A85" s="170"/>
      <c r="B85" s="2890" t="s">
        <v>2791</v>
      </c>
      <c r="C85" s="2890"/>
      <c r="D85" s="2890"/>
      <c r="E85" s="2890"/>
      <c r="F85" s="343">
        <f>SUM(F71:F84)</f>
        <v>0</v>
      </c>
      <c r="G85" s="138"/>
      <c r="I85" s="343" t="e">
        <f>SUM(I71:I84)</f>
        <v>#N/A</v>
      </c>
    </row>
    <row r="86" spans="1:12" x14ac:dyDescent="0.2">
      <c r="A86" s="357"/>
      <c r="B86" s="3067" t="s">
        <v>2792</v>
      </c>
      <c r="C86" s="3067"/>
      <c r="D86" s="3067"/>
      <c r="E86" s="3067"/>
      <c r="F86" s="350">
        <f>SUM(F41:F85)-F69-F85</f>
        <v>0</v>
      </c>
      <c r="I86" s="350" t="e">
        <f>SUM(I41:I85)-I69-I85</f>
        <v>#N/A</v>
      </c>
    </row>
    <row r="87" spans="1:12" ht="6.75" customHeight="1" x14ac:dyDescent="0.2">
      <c r="I87" s="341"/>
    </row>
    <row r="88" spans="1:12" x14ac:dyDescent="0.2">
      <c r="B88" s="3067" t="s">
        <v>2793</v>
      </c>
      <c r="C88" s="3067"/>
      <c r="D88" s="3067"/>
      <c r="E88" s="3067"/>
      <c r="F88" s="343">
        <f>F86+F38</f>
        <v>0</v>
      </c>
      <c r="I88" s="343" t="e">
        <f>I86+I38</f>
        <v>#N/A</v>
      </c>
    </row>
    <row r="89" spans="1:12" ht="6" customHeight="1" x14ac:dyDescent="0.2"/>
    <row r="90" spans="1:12" ht="12.75" customHeight="1" x14ac:dyDescent="0.2">
      <c r="B90" s="2442" t="s">
        <v>1976</v>
      </c>
    </row>
    <row r="91" spans="1:12" ht="12.75" customHeight="1" x14ac:dyDescent="0.2">
      <c r="A91" s="833">
        <v>1234</v>
      </c>
      <c r="B91" s="2890" t="s">
        <v>2794</v>
      </c>
      <c r="C91" s="2890"/>
      <c r="D91" s="2890"/>
      <c r="E91" s="2890"/>
      <c r="F91" s="348">
        <v>0</v>
      </c>
      <c r="I91" s="341" t="e">
        <f t="shared" ref="I91:I97" si="4">INDEX(PY905Data,MATCH($A91,PY905Row,0),MATCH($C$5,PY905Col,0))</f>
        <v>#N/A</v>
      </c>
      <c r="L91" s="1297">
        <v>61100002</v>
      </c>
    </row>
    <row r="92" spans="1:12" ht="12.75" customHeight="1" x14ac:dyDescent="0.2">
      <c r="A92" s="833">
        <v>1236</v>
      </c>
      <c r="B92" s="2890" t="s">
        <v>2209</v>
      </c>
      <c r="C92" s="2890"/>
      <c r="D92" s="2890"/>
      <c r="E92" s="2890"/>
      <c r="F92" s="348">
        <v>0</v>
      </c>
      <c r="I92" s="341" t="e">
        <f t="shared" si="4"/>
        <v>#N/A</v>
      </c>
      <c r="L92" s="1297">
        <v>61100003</v>
      </c>
    </row>
    <row r="93" spans="1:12" ht="12.75" customHeight="1" x14ac:dyDescent="0.2">
      <c r="A93" s="833">
        <v>1242</v>
      </c>
      <c r="B93" s="2890" t="s">
        <v>2795</v>
      </c>
      <c r="C93" s="2890"/>
      <c r="D93" s="2890"/>
      <c r="E93" s="2890"/>
      <c r="F93" s="348">
        <v>0</v>
      </c>
      <c r="I93" s="341" t="e">
        <f t="shared" si="4"/>
        <v>#N/A</v>
      </c>
      <c r="K93" s="971"/>
      <c r="L93" s="1297">
        <v>61100007</v>
      </c>
    </row>
    <row r="94" spans="1:12" ht="12.75" customHeight="1" x14ac:dyDescent="0.2">
      <c r="A94" s="833">
        <v>1237</v>
      </c>
      <c r="B94" s="2890" t="s">
        <v>2210</v>
      </c>
      <c r="C94" s="2890"/>
      <c r="D94" s="2890"/>
      <c r="E94" s="2890"/>
      <c r="F94" s="348">
        <v>0</v>
      </c>
      <c r="I94" s="341" t="e">
        <f t="shared" si="4"/>
        <v>#N/A</v>
      </c>
      <c r="K94" s="918"/>
      <c r="L94" s="1297">
        <v>61100008</v>
      </c>
    </row>
    <row r="95" spans="1:12" ht="12.75" customHeight="1" x14ac:dyDescent="0.2">
      <c r="A95" s="833">
        <v>1241</v>
      </c>
      <c r="B95" s="2890" t="s">
        <v>2211</v>
      </c>
      <c r="C95" s="2890"/>
      <c r="D95" s="2890"/>
      <c r="E95" s="2890"/>
      <c r="F95" s="348">
        <v>0</v>
      </c>
      <c r="I95" s="341" t="e">
        <f t="shared" si="4"/>
        <v>#N/A</v>
      </c>
      <c r="K95" s="971"/>
      <c r="L95" s="1297">
        <v>61100009</v>
      </c>
    </row>
    <row r="96" spans="1:12" ht="12.75" customHeight="1" x14ac:dyDescent="0.2">
      <c r="A96" s="833">
        <v>1238</v>
      </c>
      <c r="B96" s="2890" t="s">
        <v>2212</v>
      </c>
      <c r="C96" s="2890"/>
      <c r="D96" s="2890"/>
      <c r="E96" s="2890"/>
      <c r="F96" s="348">
        <v>0</v>
      </c>
      <c r="I96" s="341" t="e">
        <f t="shared" si="4"/>
        <v>#N/A</v>
      </c>
      <c r="L96" s="1297">
        <v>61100006</v>
      </c>
    </row>
    <row r="97" spans="1:12" ht="12" customHeight="1" x14ac:dyDescent="0.2">
      <c r="A97" s="833">
        <v>1239</v>
      </c>
      <c r="B97" s="2890" t="s">
        <v>1979</v>
      </c>
      <c r="C97" s="2890"/>
      <c r="D97" s="2890"/>
      <c r="E97" s="2890"/>
      <c r="F97" s="349">
        <v>0</v>
      </c>
      <c r="I97" s="341" t="e">
        <f t="shared" si="4"/>
        <v>#N/A</v>
      </c>
      <c r="L97" s="1297">
        <v>61100004</v>
      </c>
    </row>
    <row r="98" spans="1:12" ht="13.5" customHeight="1" x14ac:dyDescent="0.2">
      <c r="B98" s="3067" t="s">
        <v>2796</v>
      </c>
      <c r="C98" s="3067"/>
      <c r="D98" s="3067"/>
      <c r="E98" s="3067"/>
      <c r="F98" s="350">
        <f>SUM(F90:F97)</f>
        <v>0</v>
      </c>
      <c r="I98" s="350" t="e">
        <f>SUM(I90:I97)</f>
        <v>#N/A</v>
      </c>
    </row>
    <row r="99" spans="1:12" ht="6" customHeight="1" x14ac:dyDescent="0.2">
      <c r="B99" s="2380"/>
      <c r="C99" s="2380"/>
      <c r="D99" s="2380"/>
      <c r="E99" s="2380"/>
      <c r="F99" s="348"/>
      <c r="I99" s="341"/>
    </row>
    <row r="100" spans="1:12" ht="9.75" customHeight="1" x14ac:dyDescent="0.2">
      <c r="B100" s="2442" t="s">
        <v>1982</v>
      </c>
    </row>
    <row r="101" spans="1:12" ht="10.5" customHeight="1" x14ac:dyDescent="0.2">
      <c r="B101" s="213" t="s">
        <v>1985</v>
      </c>
    </row>
    <row r="102" spans="1:12" ht="12" customHeight="1" x14ac:dyDescent="0.2">
      <c r="A102" s="170"/>
      <c r="B102" s="170" t="s">
        <v>2797</v>
      </c>
      <c r="C102" s="170"/>
    </row>
    <row r="103" spans="1:12" ht="12.75" customHeight="1" x14ac:dyDescent="0.2">
      <c r="A103" s="170">
        <v>1640</v>
      </c>
      <c r="B103" s="2894" t="s">
        <v>2798</v>
      </c>
      <c r="C103" s="2894"/>
      <c r="D103" s="2894"/>
      <c r="E103" s="2894"/>
      <c r="F103" s="348">
        <v>0</v>
      </c>
      <c r="I103" s="341" t="e">
        <f>INDEX(PY905Data,MATCH($A103,PY905Row,0),MATCH($C$5,PY905Col,0))</f>
        <v>#N/A</v>
      </c>
      <c r="L103" s="1297">
        <v>21110000</v>
      </c>
    </row>
    <row r="104" spans="1:12" x14ac:dyDescent="0.2">
      <c r="A104" s="170">
        <v>1650</v>
      </c>
      <c r="B104" s="2894" t="s">
        <v>2799</v>
      </c>
      <c r="C104" s="2894"/>
      <c r="D104" s="2894"/>
      <c r="E104" s="2894"/>
      <c r="F104" s="348">
        <v>0</v>
      </c>
      <c r="I104" s="341" t="e">
        <f>INDEX(PY905Data,MATCH($A104,PY905Row,0),MATCH($C$5,PY905Col,0))</f>
        <v>#N/A</v>
      </c>
      <c r="L104" s="1297">
        <v>21121000</v>
      </c>
    </row>
    <row r="105" spans="1:12" ht="11.25" customHeight="1" x14ac:dyDescent="0.2">
      <c r="A105" s="170">
        <v>1660</v>
      </c>
      <c r="B105" s="2894" t="s">
        <v>2800</v>
      </c>
      <c r="C105" s="2894"/>
      <c r="D105" s="2894"/>
      <c r="E105" s="2894"/>
      <c r="F105" s="348">
        <v>0</v>
      </c>
      <c r="I105" s="341" t="e">
        <f>INDEX(PY905Data,MATCH($A105,PY905Row,0),MATCH($C$5,PY905Col,0))</f>
        <v>#N/A</v>
      </c>
      <c r="L105" s="1297">
        <v>21131000</v>
      </c>
    </row>
    <row r="106" spans="1:12" x14ac:dyDescent="0.2">
      <c r="A106" s="170">
        <v>1670</v>
      </c>
      <c r="B106" s="2894" t="s">
        <v>2801</v>
      </c>
      <c r="C106" s="2894"/>
      <c r="D106" s="2894"/>
      <c r="E106" s="2894"/>
      <c r="F106" s="348">
        <v>0</v>
      </c>
      <c r="I106" s="341" t="e">
        <f>INDEX(PY905Data,MATCH($A106,PY905Row,0),MATCH($C$5,PY905Col,0))</f>
        <v>#N/A</v>
      </c>
      <c r="L106" s="1297">
        <v>21523000</v>
      </c>
    </row>
    <row r="107" spans="1:12" x14ac:dyDescent="0.2">
      <c r="A107" s="170">
        <v>1840</v>
      </c>
      <c r="B107" s="2890" t="s">
        <v>2802</v>
      </c>
      <c r="C107" s="2890"/>
      <c r="D107" s="2890"/>
      <c r="E107" s="2890"/>
      <c r="F107" s="348">
        <v>0</v>
      </c>
      <c r="I107" s="341" t="e">
        <f>INDEX(PY905Data,MATCH($A107,PY905Row,0),MATCH($C$5,PY905Col,0))</f>
        <v>#N/A</v>
      </c>
      <c r="L107" s="1297">
        <v>21621000</v>
      </c>
    </row>
    <row r="108" spans="1:12" ht="9.75" customHeight="1" x14ac:dyDescent="0.2">
      <c r="A108" s="170"/>
      <c r="B108" s="170" t="s">
        <v>2803</v>
      </c>
      <c r="C108" s="170"/>
      <c r="D108" s="170"/>
      <c r="E108" s="170"/>
      <c r="I108" s="341"/>
    </row>
    <row r="109" spans="1:12" x14ac:dyDescent="0.2">
      <c r="A109" s="638">
        <v>1788</v>
      </c>
      <c r="B109" s="2894" t="s">
        <v>2804</v>
      </c>
      <c r="C109" s="2894"/>
      <c r="D109" s="2894"/>
      <c r="E109" s="2894"/>
      <c r="F109" s="562">
        <f>'310'!M39</f>
        <v>0</v>
      </c>
      <c r="G109" t="str">
        <f>IF(F109='310'!M39," ","Problem: Must agree to ws 310 ")</f>
        <v xml:space="preserve"> </v>
      </c>
      <c r="I109" s="341" t="e">
        <f t="shared" ref="I109:I137" si="5">INDEX(PY905Data,MATCH($A109,PY905Row,0),MATCH($C$5,PY905Col,0))</f>
        <v>#N/A</v>
      </c>
    </row>
    <row r="110" spans="1:12" x14ac:dyDescent="0.2">
      <c r="A110" s="638">
        <v>1789</v>
      </c>
      <c r="B110" s="2894" t="s">
        <v>2805</v>
      </c>
      <c r="C110" s="2894"/>
      <c r="D110" s="2894"/>
      <c r="E110" s="2894"/>
      <c r="F110" s="562">
        <f>'310'!M40</f>
        <v>0</v>
      </c>
      <c r="G110" t="str">
        <f>IF(F110='310'!M40," ","Problem: Must agree to ws 310 ")</f>
        <v xml:space="preserve"> </v>
      </c>
      <c r="I110" s="341" t="e">
        <f t="shared" si="5"/>
        <v>#N/A</v>
      </c>
    </row>
    <row r="111" spans="1:12" x14ac:dyDescent="0.2">
      <c r="A111" s="1190">
        <v>1790</v>
      </c>
      <c r="B111" s="2894" t="s">
        <v>2806</v>
      </c>
      <c r="C111" s="2894"/>
      <c r="D111" s="2894"/>
      <c r="E111" s="2894"/>
      <c r="F111" s="562">
        <f>'310'!M41</f>
        <v>0</v>
      </c>
      <c r="G111" t="str">
        <f>IF(F111='310'!M41," ","Problem: Must agree to ws 310 ")</f>
        <v xml:space="preserve"> </v>
      </c>
      <c r="I111" s="341" t="e">
        <f t="shared" si="5"/>
        <v>#N/A</v>
      </c>
      <c r="K111" s="971"/>
    </row>
    <row r="112" spans="1:12" x14ac:dyDescent="0.2">
      <c r="A112" s="1190">
        <v>1791</v>
      </c>
      <c r="B112" s="2894" t="s">
        <v>2807</v>
      </c>
      <c r="C112" s="2894"/>
      <c r="D112" s="2894"/>
      <c r="E112" s="2894"/>
      <c r="F112" s="562">
        <f>'310'!M42</f>
        <v>0</v>
      </c>
      <c r="G112" t="str">
        <f>IF(F112='310'!M42," ","Problem: Must agree to ws 310 ")</f>
        <v xml:space="preserve"> </v>
      </c>
      <c r="I112" s="341" t="e">
        <f t="shared" si="5"/>
        <v>#N/A</v>
      </c>
      <c r="K112" s="971"/>
    </row>
    <row r="113" spans="1:13" x14ac:dyDescent="0.2">
      <c r="A113" s="638">
        <v>1787</v>
      </c>
      <c r="B113" s="2894" t="s">
        <v>2808</v>
      </c>
      <c r="C113" s="2894"/>
      <c r="D113" s="2894"/>
      <c r="E113" s="2894"/>
      <c r="F113" s="562">
        <f>'310'!M43</f>
        <v>0</v>
      </c>
      <c r="G113" t="str">
        <f>IF(F113='310'!M43," ","Problem: Must agree to ws 310 ")</f>
        <v xml:space="preserve"> </v>
      </c>
      <c r="I113" s="341" t="e">
        <f t="shared" si="5"/>
        <v>#N/A</v>
      </c>
    </row>
    <row r="114" spans="1:13" x14ac:dyDescent="0.2">
      <c r="A114" s="638">
        <v>1730</v>
      </c>
      <c r="B114" s="2890" t="s">
        <v>2809</v>
      </c>
      <c r="C114" s="2890"/>
      <c r="D114" s="2890"/>
      <c r="E114" s="2890"/>
      <c r="F114" s="562">
        <f>'530'!H32</f>
        <v>0</v>
      </c>
      <c r="G114" t="str">
        <f>IF(F114='530'!H32," ","Problem: Must agree to ws 530 Due to St of NC Comp Unit")</f>
        <v xml:space="preserve"> </v>
      </c>
      <c r="I114" s="341" t="e">
        <f t="shared" si="5"/>
        <v>#N/A</v>
      </c>
      <c r="L114" s="971"/>
    </row>
    <row r="115" spans="1:13" x14ac:dyDescent="0.2">
      <c r="A115" s="638">
        <v>1735</v>
      </c>
      <c r="B115" s="2890" t="s">
        <v>2810</v>
      </c>
      <c r="C115" s="2890"/>
      <c r="D115" s="2890"/>
      <c r="E115" s="2890"/>
      <c r="F115" s="562">
        <f>'616'!D47</f>
        <v>0</v>
      </c>
      <c r="G115" s="138" t="str">
        <f>IF(F115='616'!D47, " ", "Problem: Must agree to ws 616 total Due to Agency/Institution Comp Unit")</f>
        <v xml:space="preserve"> </v>
      </c>
      <c r="I115" s="341" t="e">
        <f t="shared" si="5"/>
        <v>#N/A</v>
      </c>
      <c r="L115" s="1297">
        <v>21270000</v>
      </c>
    </row>
    <row r="116" spans="1:13" x14ac:dyDescent="0.2">
      <c r="A116" s="638">
        <v>1740</v>
      </c>
      <c r="B116" s="2890" t="s">
        <v>2811</v>
      </c>
      <c r="C116" s="2890"/>
      <c r="D116" s="2890"/>
      <c r="E116" s="2890"/>
      <c r="F116" s="562">
        <f>'520'!H32</f>
        <v>0</v>
      </c>
      <c r="G116" t="str">
        <f>IF(F116='520'!H32," ","Problem: Must agree to ws 520 Due to Primary Govt")</f>
        <v xml:space="preserve"> </v>
      </c>
      <c r="I116" s="341" t="e">
        <f t="shared" si="5"/>
        <v>#N/A</v>
      </c>
      <c r="L116" s="971"/>
    </row>
    <row r="117" spans="1:13" x14ac:dyDescent="0.2">
      <c r="A117" s="170">
        <v>1890</v>
      </c>
      <c r="B117" s="2890" t="s">
        <v>2812</v>
      </c>
      <c r="C117" s="2890"/>
      <c r="D117" s="2890"/>
      <c r="E117" s="2890"/>
      <c r="F117" s="348">
        <v>0</v>
      </c>
      <c r="I117" s="341" t="e">
        <f t="shared" si="5"/>
        <v>#N/A</v>
      </c>
      <c r="L117" s="1297">
        <v>21811000</v>
      </c>
    </row>
    <row r="118" spans="1:13" ht="11.25" customHeight="1" x14ac:dyDescent="0.2">
      <c r="A118" s="170">
        <v>1750</v>
      </c>
      <c r="B118" s="2890" t="s">
        <v>2813</v>
      </c>
      <c r="C118" s="2890"/>
      <c r="D118" s="2890"/>
      <c r="E118" s="2890"/>
      <c r="F118" s="348">
        <v>0</v>
      </c>
      <c r="I118" s="341" t="e">
        <f t="shared" si="5"/>
        <v>#N/A</v>
      </c>
      <c r="L118" s="1297">
        <v>21310000</v>
      </c>
    </row>
    <row r="119" spans="1:13" ht="10.5" customHeight="1" x14ac:dyDescent="0.2">
      <c r="A119" s="170">
        <v>1760</v>
      </c>
      <c r="B119" s="2890" t="s">
        <v>2814</v>
      </c>
      <c r="C119" s="2890"/>
      <c r="D119" s="2890"/>
      <c r="E119" s="2890"/>
      <c r="F119" s="348">
        <v>0</v>
      </c>
      <c r="G119" s="1042" t="e">
        <f>IF(AND(ABS(F119)&gt;=1,$C$7="4XXX"),"Universities do not record obligations under securities lending for CAFR"," ")</f>
        <v>#N/A</v>
      </c>
      <c r="I119" s="341" t="e">
        <f t="shared" si="5"/>
        <v>#N/A</v>
      </c>
      <c r="L119" s="1297">
        <v>21315000</v>
      </c>
    </row>
    <row r="120" spans="1:13" x14ac:dyDescent="0.2">
      <c r="A120" s="170">
        <v>1870</v>
      </c>
      <c r="B120" s="2890" t="s">
        <v>2815</v>
      </c>
      <c r="C120" s="2890"/>
      <c r="D120" s="2890"/>
      <c r="E120" s="2890"/>
      <c r="F120" s="348">
        <v>0</v>
      </c>
      <c r="I120" s="341" t="e">
        <f t="shared" si="5"/>
        <v>#N/A</v>
      </c>
      <c r="L120" s="1297">
        <v>21712000</v>
      </c>
    </row>
    <row r="121" spans="1:13" x14ac:dyDescent="0.2">
      <c r="A121" s="170">
        <v>1880</v>
      </c>
      <c r="B121" s="2890" t="s">
        <v>2816</v>
      </c>
      <c r="C121" s="2890"/>
      <c r="D121" s="2890"/>
      <c r="E121" s="2890"/>
      <c r="F121" s="348">
        <v>0</v>
      </c>
      <c r="G121" s="170"/>
      <c r="I121" s="341" t="e">
        <f t="shared" si="5"/>
        <v>#N/A</v>
      </c>
      <c r="L121" s="1297">
        <v>21719000</v>
      </c>
    </row>
    <row r="122" spans="1:13" x14ac:dyDescent="0.2">
      <c r="A122" s="170">
        <v>1762</v>
      </c>
      <c r="B122" s="2890" t="s">
        <v>2817</v>
      </c>
      <c r="C122" s="2890"/>
      <c r="D122" s="2890"/>
      <c r="E122" s="2890"/>
      <c r="F122" s="348">
        <v>0</v>
      </c>
      <c r="I122" s="341" t="e">
        <f t="shared" si="5"/>
        <v>#N/A</v>
      </c>
      <c r="L122" s="1297">
        <v>21920000</v>
      </c>
    </row>
    <row r="123" spans="1:13" x14ac:dyDescent="0.2">
      <c r="A123" s="638">
        <v>1775</v>
      </c>
      <c r="B123" s="2890" t="s">
        <v>2818</v>
      </c>
      <c r="C123" s="2890"/>
      <c r="D123" s="2890"/>
      <c r="E123" s="2890"/>
      <c r="F123" s="562">
        <f>'310'!O26</f>
        <v>0</v>
      </c>
      <c r="G123" t="str">
        <f>IF(F123='310'!O26," ","Problem: Must agree to ws 310 Notes from direct borrowings Due within one year")</f>
        <v xml:space="preserve"> </v>
      </c>
      <c r="I123" s="341" t="e">
        <f t="shared" si="5"/>
        <v>#N/A</v>
      </c>
      <c r="K123" s="971"/>
    </row>
    <row r="124" spans="1:13" x14ac:dyDescent="0.2">
      <c r="A124" s="638">
        <v>1780</v>
      </c>
      <c r="B124" s="2890" t="s">
        <v>2819</v>
      </c>
      <c r="C124" s="2890"/>
      <c r="D124" s="2890"/>
      <c r="E124" s="2890"/>
      <c r="F124" s="562">
        <f>'310'!O27</f>
        <v>0</v>
      </c>
      <c r="G124" t="str">
        <f>IF(F124='310'!O27," ","Problem: Must agree to ws 310 Leases liability Due within one year")</f>
        <v xml:space="preserve"> </v>
      </c>
      <c r="I124" s="341" t="e">
        <f t="shared" si="5"/>
        <v>#N/A</v>
      </c>
      <c r="K124" s="138"/>
      <c r="L124" s="1880"/>
      <c r="M124" s="1104"/>
    </row>
    <row r="125" spans="1:13" x14ac:dyDescent="0.2">
      <c r="A125" s="638">
        <v>1785</v>
      </c>
      <c r="B125" s="3066" t="s">
        <v>2820</v>
      </c>
      <c r="C125" s="3066"/>
      <c r="D125" s="3066"/>
      <c r="E125" s="3066"/>
      <c r="F125" s="562">
        <f>'310'!O28</f>
        <v>0</v>
      </c>
      <c r="G125" t="str">
        <f>IF(F125='310'!O28," ","Problem: Must agree to ws 310 SBITA liability Due within one year")</f>
        <v xml:space="preserve"> </v>
      </c>
      <c r="I125" s="341" t="e">
        <f t="shared" si="5"/>
        <v>#N/A</v>
      </c>
      <c r="K125" s="138"/>
      <c r="L125" s="971"/>
    </row>
    <row r="126" spans="1:13" x14ac:dyDescent="0.2">
      <c r="A126" s="1867">
        <v>1786</v>
      </c>
      <c r="B126" s="3072" t="s">
        <v>2821</v>
      </c>
      <c r="C126" s="3072"/>
      <c r="D126" s="3072"/>
      <c r="E126" s="3072"/>
      <c r="F126" s="562">
        <f>'310'!O29</f>
        <v>0</v>
      </c>
      <c r="I126" s="341" t="e">
        <f t="shared" si="5"/>
        <v>#N/A</v>
      </c>
      <c r="K126" s="1814" t="s">
        <v>2822</v>
      </c>
      <c r="L126" s="1309"/>
    </row>
    <row r="127" spans="1:13" x14ac:dyDescent="0.2">
      <c r="A127" s="638">
        <v>1800</v>
      </c>
      <c r="B127" s="2890" t="s">
        <v>2823</v>
      </c>
      <c r="C127" s="2890"/>
      <c r="D127" s="2890"/>
      <c r="E127" s="2890"/>
      <c r="F127" s="562">
        <f>SUM('310'!O17+'310'!O18+'310'!O20+'310'!O21+'310'!O19)</f>
        <v>0</v>
      </c>
      <c r="G127" t="str">
        <f>IF(F127='310'!O17+'310'!O18+'310'!O19+'310'!O20+'310'!O21," ","Problem: Must agree to ws 310 Sum of Bonds &amp; COPS payable Due within one year")</f>
        <v xml:space="preserve"> </v>
      </c>
      <c r="I127" s="341" t="e">
        <f t="shared" si="5"/>
        <v>#N/A</v>
      </c>
      <c r="K127" s="1104"/>
    </row>
    <row r="128" spans="1:13" x14ac:dyDescent="0.2">
      <c r="A128" s="638">
        <v>1850</v>
      </c>
      <c r="B128" s="2890" t="s">
        <v>2824</v>
      </c>
      <c r="C128" s="2890"/>
      <c r="D128" s="2890"/>
      <c r="E128" s="2890"/>
      <c r="F128" s="562">
        <f>'310'!O24</f>
        <v>0</v>
      </c>
      <c r="G128" t="str">
        <f>IF(F128='310'!O24," ","Problem: Must agree to ws 310 Arbitrage rebate payable Due within one year")</f>
        <v xml:space="preserve"> </v>
      </c>
      <c r="I128" s="341" t="e">
        <f t="shared" si="5"/>
        <v>#N/A</v>
      </c>
    </row>
    <row r="129" spans="1:12" x14ac:dyDescent="0.2">
      <c r="A129" s="638">
        <v>1851</v>
      </c>
      <c r="B129" s="2890" t="s">
        <v>2825</v>
      </c>
      <c r="C129" s="2890"/>
      <c r="D129" s="2890"/>
      <c r="E129" s="2890"/>
      <c r="F129" s="562">
        <f>'310'!O25</f>
        <v>0</v>
      </c>
      <c r="G129" t="str">
        <f>IF(F129='310'!O25," ","Problem: Must agree to ws 310 Workers Compensation Due within one year")</f>
        <v xml:space="preserve"> </v>
      </c>
      <c r="I129" s="341" t="e">
        <f>INDEX(PY905Data,MATCH($A129,PY905Row,0),MATCH($C$5,PY905Col,0))</f>
        <v>#N/A</v>
      </c>
    </row>
    <row r="130" spans="1:12" x14ac:dyDescent="0.2">
      <c r="A130" s="638">
        <v>1852</v>
      </c>
      <c r="B130" s="2890" t="s">
        <v>2826</v>
      </c>
      <c r="C130" s="2890"/>
      <c r="D130" s="2890"/>
      <c r="E130" s="2890"/>
      <c r="F130" s="562">
        <f>'310'!O30</f>
        <v>0</v>
      </c>
      <c r="G130" t="str">
        <f>IF(F130='310'!O30," ","Problem: Must agree to ws 310 Annuity and life income payable Due within one year")</f>
        <v xml:space="preserve"> </v>
      </c>
      <c r="I130" s="341" t="e">
        <f>INDEX(PY905Data,MATCH($A130,PY905Row,0),MATCH($C$5,PY905Col,0))</f>
        <v>#N/A</v>
      </c>
    </row>
    <row r="131" spans="1:12" x14ac:dyDescent="0.2">
      <c r="A131" s="638">
        <v>1855</v>
      </c>
      <c r="B131" s="2890" t="s">
        <v>2827</v>
      </c>
      <c r="C131" s="2890"/>
      <c r="D131" s="2890"/>
      <c r="E131" s="2890"/>
      <c r="F131" s="562">
        <f>'310'!O32</f>
        <v>0</v>
      </c>
      <c r="G131" t="str">
        <f>IF(F131='310'!O32," ","Problem: Must agree to ws 310 Pollution remediation payable Due within one year")</f>
        <v xml:space="preserve"> </v>
      </c>
      <c r="I131" s="341" t="e">
        <f t="shared" si="5"/>
        <v>#N/A</v>
      </c>
    </row>
    <row r="132" spans="1:12" x14ac:dyDescent="0.2">
      <c r="A132" s="638">
        <v>1857</v>
      </c>
      <c r="B132" s="2890" t="s">
        <v>2828</v>
      </c>
      <c r="C132" s="2890"/>
      <c r="D132" s="2890"/>
      <c r="E132" s="2890"/>
      <c r="F132" s="562">
        <f>'310'!O33</f>
        <v>0</v>
      </c>
      <c r="G132" t="str">
        <f>IF(F132='310'!O33," ","Problem: Must agree to ws 310 Pollution remediation payable Due within one year")</f>
        <v xml:space="preserve"> </v>
      </c>
      <c r="I132" s="341" t="e">
        <f t="shared" si="5"/>
        <v>#N/A</v>
      </c>
      <c r="K132" s="971"/>
    </row>
    <row r="133" spans="1:12" x14ac:dyDescent="0.2">
      <c r="A133" s="638">
        <v>1860</v>
      </c>
      <c r="B133" s="2890" t="s">
        <v>2829</v>
      </c>
      <c r="C133" s="2890"/>
      <c r="D133" s="2890"/>
      <c r="E133" s="2890"/>
      <c r="F133" s="562">
        <f>'310'!O34</f>
        <v>0</v>
      </c>
      <c r="G133" t="str">
        <f>IF(F133='310'!O34," ","Problem: Must agree to ws 310 Compensated absences Due within one year")</f>
        <v xml:space="preserve"> </v>
      </c>
      <c r="I133" s="341" t="e">
        <f t="shared" si="5"/>
        <v>#N/A</v>
      </c>
    </row>
    <row r="134" spans="1:12" x14ac:dyDescent="0.2">
      <c r="A134" s="638">
        <v>1868</v>
      </c>
      <c r="B134" s="2890" t="s">
        <v>2830</v>
      </c>
      <c r="C134" s="2890"/>
      <c r="D134" s="2890"/>
      <c r="E134" s="2890"/>
      <c r="F134" s="562">
        <f>'310'!O35</f>
        <v>0</v>
      </c>
      <c r="G134" t="str">
        <f>IF(F134='310'!O35," ","Problem: Must agree to ws 310 Net Pension Liability Due within one year")</f>
        <v xml:space="preserve"> </v>
      </c>
      <c r="I134" s="341" t="e">
        <f t="shared" si="5"/>
        <v>#N/A</v>
      </c>
    </row>
    <row r="135" spans="1:12" x14ac:dyDescent="0.2">
      <c r="A135" s="638">
        <v>1869</v>
      </c>
      <c r="B135" s="2890" t="s">
        <v>2831</v>
      </c>
      <c r="C135" s="2890"/>
      <c r="D135" s="2890"/>
      <c r="E135" s="2890"/>
      <c r="F135" s="562">
        <f>'310'!O36</f>
        <v>0</v>
      </c>
      <c r="G135" t="str">
        <f>IF(F135='310'!O36," ","Problem: Must agree to ws 310 Net OPEB Liability Due within one year")</f>
        <v xml:space="preserve"> </v>
      </c>
      <c r="I135" s="341" t="e">
        <f t="shared" si="5"/>
        <v>#N/A</v>
      </c>
      <c r="K135" s="971"/>
    </row>
    <row r="136" spans="1:12" x14ac:dyDescent="0.2">
      <c r="A136" s="638">
        <v>1865</v>
      </c>
      <c r="B136" s="2890" t="s">
        <v>2832</v>
      </c>
      <c r="C136" s="2890"/>
      <c r="D136" s="2890"/>
      <c r="E136" s="2890"/>
      <c r="F136" s="562">
        <f>'310'!O37</f>
        <v>0</v>
      </c>
      <c r="G136" t="str">
        <f>IF(F136='310'!O37," ","Problem: Must agree to ws 310 Liab Insurance Trust Fund Payable, due within one yr")</f>
        <v xml:space="preserve"> </v>
      </c>
      <c r="I136" s="341" t="e">
        <f t="shared" si="5"/>
        <v>#N/A</v>
      </c>
    </row>
    <row r="137" spans="1:12" x14ac:dyDescent="0.2">
      <c r="A137" s="638">
        <v>1866</v>
      </c>
      <c r="B137" s="2890" t="s">
        <v>2833</v>
      </c>
      <c r="C137" s="2890"/>
      <c r="D137" s="2890"/>
      <c r="E137" s="2890"/>
      <c r="F137" s="562">
        <f>'310'!O38</f>
        <v>0</v>
      </c>
      <c r="G137" t="str">
        <f>IF(F137='310'!O38," ","Problem: Must agree to ws 310 Othe LT liabilities Due within one year")</f>
        <v xml:space="preserve"> </v>
      </c>
      <c r="I137" s="341" t="e">
        <f t="shared" si="5"/>
        <v>#N/A</v>
      </c>
    </row>
    <row r="138" spans="1:12" x14ac:dyDescent="0.2">
      <c r="B138" s="3067" t="s">
        <v>2834</v>
      </c>
      <c r="C138" s="3067"/>
      <c r="D138" s="3067"/>
      <c r="E138" s="3067"/>
      <c r="F138" s="350">
        <f>SUM(F103:F137)</f>
        <v>0</v>
      </c>
      <c r="I138" s="350" t="e">
        <f>SUM(I103:I137)</f>
        <v>#N/A</v>
      </c>
    </row>
    <row r="139" spans="1:12" ht="4.5" customHeight="1" x14ac:dyDescent="0.2"/>
    <row r="140" spans="1:12" ht="11.25" customHeight="1" x14ac:dyDescent="0.2">
      <c r="B140" s="213" t="s">
        <v>1991</v>
      </c>
    </row>
    <row r="141" spans="1:12" ht="10.5" customHeight="1" x14ac:dyDescent="0.2">
      <c r="A141" s="170"/>
      <c r="B141" s="170" t="s">
        <v>2797</v>
      </c>
      <c r="C141" s="170"/>
    </row>
    <row r="142" spans="1:12" x14ac:dyDescent="0.2">
      <c r="A142" s="170">
        <v>1940</v>
      </c>
      <c r="B142" s="2894" t="s">
        <v>2835</v>
      </c>
      <c r="C142" s="2894"/>
      <c r="D142" s="2894"/>
      <c r="E142" s="2894"/>
      <c r="F142" s="348">
        <v>0</v>
      </c>
      <c r="G142" s="138"/>
      <c r="I142" s="341" t="e">
        <f t="shared" ref="I142:I164" si="6">INDEX(PY905Data,MATCH($A142,PY905Row,0),MATCH($C$5,PY905Col,0))</f>
        <v>#N/A</v>
      </c>
      <c r="L142" s="1297">
        <v>22110000</v>
      </c>
    </row>
    <row r="143" spans="1:12" ht="12" customHeight="1" x14ac:dyDescent="0.2">
      <c r="A143" s="170">
        <v>1950</v>
      </c>
      <c r="B143" s="2894" t="s">
        <v>2800</v>
      </c>
      <c r="C143" s="2894"/>
      <c r="D143" s="2894"/>
      <c r="E143" s="2894"/>
      <c r="F143" s="348">
        <v>0</v>
      </c>
      <c r="I143" s="341" t="e">
        <f t="shared" si="6"/>
        <v>#N/A</v>
      </c>
      <c r="L143" s="1297">
        <v>22132000</v>
      </c>
    </row>
    <row r="144" spans="1:12" ht="11.25" customHeight="1" x14ac:dyDescent="0.2">
      <c r="A144" s="170">
        <v>1960</v>
      </c>
      <c r="B144" s="2894" t="s">
        <v>2801</v>
      </c>
      <c r="C144" s="2894"/>
      <c r="D144" s="2894"/>
      <c r="E144" s="2894"/>
      <c r="F144" s="348">
        <v>0</v>
      </c>
      <c r="I144" s="341" t="e">
        <f t="shared" si="6"/>
        <v>#N/A</v>
      </c>
      <c r="L144" s="1297">
        <v>22529000</v>
      </c>
    </row>
    <row r="145" spans="1:14" x14ac:dyDescent="0.2">
      <c r="A145" s="638">
        <v>2020</v>
      </c>
      <c r="B145" s="2890" t="s">
        <v>2836</v>
      </c>
      <c r="C145" s="2890"/>
      <c r="D145" s="2890"/>
      <c r="E145" s="2890"/>
      <c r="F145" s="562">
        <f>'535'!H21</f>
        <v>0</v>
      </c>
      <c r="G145" t="str">
        <f>IF(F145='535'!H21," ","Problem: Must agree to ws 535 Advance from Primary Govt")</f>
        <v xml:space="preserve"> </v>
      </c>
      <c r="I145" s="341" t="e">
        <f t="shared" si="6"/>
        <v>#N/A</v>
      </c>
      <c r="L145" s="971"/>
    </row>
    <row r="146" spans="1:14" x14ac:dyDescent="0.2">
      <c r="A146" s="170">
        <v>2097</v>
      </c>
      <c r="B146" s="2890" t="s">
        <v>2812</v>
      </c>
      <c r="C146" s="2890"/>
      <c r="D146" s="2890"/>
      <c r="E146" s="2890"/>
      <c r="F146" s="348">
        <v>0</v>
      </c>
      <c r="I146" s="341" t="e">
        <f t="shared" si="6"/>
        <v>#N/A</v>
      </c>
      <c r="L146" s="1297">
        <v>22811000</v>
      </c>
    </row>
    <row r="147" spans="1:14" x14ac:dyDescent="0.2">
      <c r="A147" s="170">
        <v>2070</v>
      </c>
      <c r="B147" s="2890" t="s">
        <v>2815</v>
      </c>
      <c r="C147" s="2890"/>
      <c r="D147" s="2890"/>
      <c r="E147" s="2890"/>
      <c r="F147" s="348">
        <v>0</v>
      </c>
      <c r="I147" s="341" t="e">
        <f t="shared" si="6"/>
        <v>#N/A</v>
      </c>
      <c r="L147" s="1297">
        <v>22712000</v>
      </c>
    </row>
    <row r="148" spans="1:14" x14ac:dyDescent="0.2">
      <c r="A148" s="170">
        <v>2080</v>
      </c>
      <c r="B148" s="2890" t="s">
        <v>2816</v>
      </c>
      <c r="C148" s="2890"/>
      <c r="D148" s="2890"/>
      <c r="E148" s="2890"/>
      <c r="F148" s="348">
        <v>0</v>
      </c>
      <c r="G148" s="170"/>
      <c r="I148" s="341" t="e">
        <f t="shared" si="6"/>
        <v>#N/A</v>
      </c>
      <c r="L148" s="1297">
        <v>22719000</v>
      </c>
    </row>
    <row r="149" spans="1:14" ht="12" customHeight="1" x14ac:dyDescent="0.2">
      <c r="A149" s="170">
        <v>2024</v>
      </c>
      <c r="B149" s="2890" t="s">
        <v>2817</v>
      </c>
      <c r="C149" s="2890"/>
      <c r="D149" s="2890"/>
      <c r="E149" s="2890"/>
      <c r="F149" s="348">
        <v>0</v>
      </c>
      <c r="I149" s="341" t="e">
        <f t="shared" si="6"/>
        <v>#N/A</v>
      </c>
      <c r="L149" s="1297">
        <v>22920000</v>
      </c>
    </row>
    <row r="150" spans="1:14" x14ac:dyDescent="0.2">
      <c r="A150" s="638">
        <v>2035</v>
      </c>
      <c r="B150" s="2890" t="s">
        <v>2806</v>
      </c>
      <c r="C150" s="2890"/>
      <c r="D150" s="2890"/>
      <c r="E150" s="2890"/>
      <c r="F150" s="562">
        <f>'310'!M26-'310'!O26</f>
        <v>0</v>
      </c>
      <c r="G150" t="str">
        <f>IF(F150='310'!M26-'310'!O26," ","Problem: Must agree to ws 310 Notes from direct borrowings Due more than one year")</f>
        <v xml:space="preserve"> </v>
      </c>
      <c r="I150" s="341" t="e">
        <f t="shared" si="6"/>
        <v>#N/A</v>
      </c>
      <c r="K150" s="971"/>
    </row>
    <row r="151" spans="1:14" x14ac:dyDescent="0.2">
      <c r="A151" s="638">
        <v>2040</v>
      </c>
      <c r="B151" s="2890" t="s">
        <v>2837</v>
      </c>
      <c r="C151" s="2890"/>
      <c r="D151" s="2890"/>
      <c r="E151" s="2890"/>
      <c r="F151" s="562">
        <f>'310'!M27-'310'!O27</f>
        <v>0</v>
      </c>
      <c r="G151" t="str">
        <f>IF(F151='310'!M27-'310'!O27," ","Problem: Must agree to ws 310 Lease Liability Due more than one year")</f>
        <v xml:space="preserve"> </v>
      </c>
      <c r="I151" s="341" t="e">
        <f t="shared" si="6"/>
        <v>#N/A</v>
      </c>
      <c r="K151" s="138"/>
      <c r="L151" s="138"/>
      <c r="M151" s="138"/>
      <c r="N151" s="138"/>
    </row>
    <row r="152" spans="1:14" x14ac:dyDescent="0.2">
      <c r="A152" s="638">
        <v>2046</v>
      </c>
      <c r="B152" s="2673" t="s">
        <v>2838</v>
      </c>
      <c r="C152" s="2673"/>
      <c r="D152" s="2673"/>
      <c r="E152" s="2673"/>
      <c r="F152" s="562">
        <f>'310'!M28-'310'!O28</f>
        <v>0</v>
      </c>
      <c r="G152" t="str">
        <f>IF(F152='310'!M28-'310'!O28," ","Problem: Must agree to ws 310 SBITA liability Due more than one year")</f>
        <v xml:space="preserve"> </v>
      </c>
      <c r="I152" s="341" t="e">
        <f t="shared" si="6"/>
        <v>#N/A</v>
      </c>
      <c r="K152" s="1"/>
      <c r="L152" s="138"/>
      <c r="M152" s="138"/>
      <c r="N152" s="138"/>
    </row>
    <row r="153" spans="1:14" x14ac:dyDescent="0.2">
      <c r="A153" s="1867">
        <v>2047</v>
      </c>
      <c r="B153" s="3072" t="s">
        <v>2839</v>
      </c>
      <c r="C153" s="3072"/>
      <c r="D153" s="3072"/>
      <c r="E153" s="3072"/>
      <c r="F153" s="562">
        <f>'310'!M29-'310'!O29</f>
        <v>0</v>
      </c>
      <c r="I153" s="341" t="e">
        <f t="shared" si="6"/>
        <v>#N/A</v>
      </c>
      <c r="K153" s="1814" t="s">
        <v>2822</v>
      </c>
      <c r="L153" s="138"/>
      <c r="M153" s="138"/>
      <c r="N153" s="138"/>
    </row>
    <row r="154" spans="1:14" x14ac:dyDescent="0.2">
      <c r="A154" s="638">
        <v>2050</v>
      </c>
      <c r="B154" s="2890" t="s">
        <v>2840</v>
      </c>
      <c r="C154" s="2890"/>
      <c r="D154" s="2890"/>
      <c r="E154" s="2890"/>
      <c r="F154" s="562">
        <f>('310'!M17+'310'!M18+'310'!M19+'310'!M20+'310'!M21+'310'!M22+'310'!M23) -'310'!O17-'310'!O18-'310'!O19-'310'!O20-'310'!O21</f>
        <v>0</v>
      </c>
      <c r="G154" s="138"/>
      <c r="I154" s="341" t="e">
        <f t="shared" si="6"/>
        <v>#N/A</v>
      </c>
      <c r="K154" s="1104"/>
    </row>
    <row r="155" spans="1:14" x14ac:dyDescent="0.2">
      <c r="A155" s="638">
        <v>2060</v>
      </c>
      <c r="B155" s="2890" t="s">
        <v>2841</v>
      </c>
      <c r="C155" s="2890"/>
      <c r="D155" s="2890"/>
      <c r="E155" s="2890"/>
      <c r="F155" s="562">
        <f>'310'!M24-'310'!O24</f>
        <v>0</v>
      </c>
      <c r="G155" t="str">
        <f>IF(F155='310'!M24-'310'!O24," ","Problem: Must agree to ws 310 Arbitrage rebate payable Due more than one year")</f>
        <v xml:space="preserve"> </v>
      </c>
      <c r="I155" s="341" t="e">
        <f t="shared" si="6"/>
        <v>#N/A</v>
      </c>
    </row>
    <row r="156" spans="1:14" x14ac:dyDescent="0.2">
      <c r="A156" s="638">
        <v>2061</v>
      </c>
      <c r="B156" s="2890" t="s">
        <v>2842</v>
      </c>
      <c r="C156" s="2890"/>
      <c r="D156" s="2890"/>
      <c r="E156" s="2890"/>
      <c r="F156" s="562">
        <f>'310'!M25-'310'!O25</f>
        <v>0</v>
      </c>
      <c r="G156" t="str">
        <f>IF(F156='310'!M25-'310'!O25," ","Problem: Must agree to ws 310 Worker Compensation Due more than one year")</f>
        <v xml:space="preserve"> </v>
      </c>
      <c r="I156" s="341" t="e">
        <f t="shared" si="6"/>
        <v>#N/A</v>
      </c>
    </row>
    <row r="157" spans="1:14" x14ac:dyDescent="0.2">
      <c r="A157" s="638">
        <v>2045</v>
      </c>
      <c r="B157" s="2890" t="s">
        <v>2843</v>
      </c>
      <c r="C157" s="2890"/>
      <c r="D157" s="2890"/>
      <c r="E157" s="2890"/>
      <c r="F157" s="562">
        <f>'310'!M30-'310'!O30</f>
        <v>0</v>
      </c>
      <c r="G157" t="str">
        <f>IF(F157='310'!M30-'310'!O30," ","Problem: Must agree to ws 310 Annuity and Life income payable Due more than one year")</f>
        <v xml:space="preserve"> </v>
      </c>
      <c r="I157" s="341" t="e">
        <f t="shared" si="6"/>
        <v>#N/A</v>
      </c>
    </row>
    <row r="158" spans="1:14" x14ac:dyDescent="0.2">
      <c r="A158" s="638">
        <v>2085</v>
      </c>
      <c r="B158" s="2890" t="s">
        <v>2844</v>
      </c>
      <c r="C158" s="2890"/>
      <c r="D158" s="2890"/>
      <c r="E158" s="2890"/>
      <c r="F158" s="562">
        <f>'310'!M32-'310'!O32</f>
        <v>0</v>
      </c>
      <c r="G158" t="str">
        <f>IF(F158='310'!M32-'310'!O32," ","Problem: Must agree to ws 310 Pollution remediation payable Due more than one year")</f>
        <v xml:space="preserve"> </v>
      </c>
      <c r="I158" s="341" t="e">
        <f t="shared" si="6"/>
        <v>#N/A</v>
      </c>
    </row>
    <row r="159" spans="1:14" x14ac:dyDescent="0.2">
      <c r="A159" s="638">
        <v>2087</v>
      </c>
      <c r="B159" s="2890" t="s">
        <v>2845</v>
      </c>
      <c r="C159" s="2890"/>
      <c r="D159" s="2890"/>
      <c r="E159" s="2890"/>
      <c r="F159" s="562">
        <f>'310'!M33-'310'!O33</f>
        <v>0</v>
      </c>
      <c r="G159" t="str">
        <f>IF(F159='310'!M33-'310'!O33," ","Problem: Must agree to ws 310 Asset retirement obligation Due more than one year")</f>
        <v xml:space="preserve"> </v>
      </c>
      <c r="I159" s="341" t="e">
        <f t="shared" si="6"/>
        <v>#N/A</v>
      </c>
      <c r="K159" s="971"/>
    </row>
    <row r="160" spans="1:14" x14ac:dyDescent="0.2">
      <c r="A160" s="638">
        <v>2090</v>
      </c>
      <c r="B160" s="2890" t="s">
        <v>2846</v>
      </c>
      <c r="C160" s="2890"/>
      <c r="D160" s="2890"/>
      <c r="E160" s="2890"/>
      <c r="F160" s="562">
        <f>'310'!M34-'310'!O34</f>
        <v>0</v>
      </c>
      <c r="G160" t="str">
        <f>IF(F160='310'!M34-'310'!O34," ","Problem: Must agree to ws 310 Compensated Absences Due more than one year")</f>
        <v xml:space="preserve"> </v>
      </c>
      <c r="I160" s="341" t="e">
        <f t="shared" si="6"/>
        <v>#N/A</v>
      </c>
    </row>
    <row r="161" spans="1:12" x14ac:dyDescent="0.2">
      <c r="A161" s="638">
        <v>2098</v>
      </c>
      <c r="B161" s="2890" t="s">
        <v>2847</v>
      </c>
      <c r="C161" s="2890"/>
      <c r="D161" s="2890"/>
      <c r="E161" s="2890"/>
      <c r="F161" s="562">
        <f>'310'!M35-'310'!O35</f>
        <v>0</v>
      </c>
      <c r="G161" t="str">
        <f>IF(F161='310'!M35-'310'!O35," ","Problem: Must agree to ws 310 Net Pension Liability Due more than one year")</f>
        <v xml:space="preserve"> </v>
      </c>
      <c r="I161" s="341" t="e">
        <f t="shared" si="6"/>
        <v>#N/A</v>
      </c>
      <c r="K161" s="918"/>
    </row>
    <row r="162" spans="1:12" x14ac:dyDescent="0.2">
      <c r="A162" s="638">
        <v>2099</v>
      </c>
      <c r="B162" s="2890" t="s">
        <v>2848</v>
      </c>
      <c r="C162" s="2890"/>
      <c r="D162" s="2890"/>
      <c r="E162" s="2890"/>
      <c r="F162" s="562">
        <f>'310'!M36-'310'!O36</f>
        <v>0</v>
      </c>
      <c r="G162" t="str">
        <f>IF(F162='310'!M36-'310'!O36," ","Problem: Must agree to ws 310 Net OPEB Liability Due more than one year")</f>
        <v xml:space="preserve"> </v>
      </c>
      <c r="I162" s="341" t="e">
        <f t="shared" si="6"/>
        <v>#N/A</v>
      </c>
      <c r="K162" s="971"/>
    </row>
    <row r="163" spans="1:12" x14ac:dyDescent="0.2">
      <c r="A163" s="638">
        <v>2095</v>
      </c>
      <c r="B163" s="2890" t="s">
        <v>2849</v>
      </c>
      <c r="C163" s="2890"/>
      <c r="D163" s="2890"/>
      <c r="E163" s="2890"/>
      <c r="F163" s="562">
        <f>'310'!M37-'310'!O37</f>
        <v>0</v>
      </c>
      <c r="G163" t="str">
        <f>IF(F163='310'!M37-'310'!O37," ","Problem: Must agree to ws 310 Liability Insurance Trust fund payable Due more than one year")</f>
        <v xml:space="preserve"> </v>
      </c>
      <c r="I163" s="341" t="e">
        <f t="shared" si="6"/>
        <v>#N/A</v>
      </c>
    </row>
    <row r="164" spans="1:12" x14ac:dyDescent="0.2">
      <c r="A164" s="638">
        <v>2096</v>
      </c>
      <c r="B164" s="2890" t="s">
        <v>2850</v>
      </c>
      <c r="C164" s="2890"/>
      <c r="D164" s="2890"/>
      <c r="E164" s="2890"/>
      <c r="F164" s="562">
        <f>'310'!M38-'310'!O38</f>
        <v>0</v>
      </c>
      <c r="G164" t="str">
        <f>IF(F164='310'!M38-'310'!O38," ","Problem: Must agree to ws 310 Other Liability Due more than one year")</f>
        <v xml:space="preserve"> </v>
      </c>
      <c r="I164" s="341" t="e">
        <f t="shared" si="6"/>
        <v>#N/A</v>
      </c>
    </row>
    <row r="165" spans="1:12" ht="12" customHeight="1" x14ac:dyDescent="0.2">
      <c r="B165" s="3067" t="s">
        <v>2851</v>
      </c>
      <c r="C165" s="3067"/>
      <c r="D165" s="3067"/>
      <c r="E165" s="3067"/>
      <c r="F165" s="350">
        <f>SUM(F142:F164)</f>
        <v>0</v>
      </c>
      <c r="I165" s="350" t="e">
        <f>SUM(I142:I164)</f>
        <v>#N/A</v>
      </c>
    </row>
    <row r="166" spans="1:12" ht="3" customHeight="1" x14ac:dyDescent="0.2">
      <c r="I166" s="341"/>
    </row>
    <row r="167" spans="1:12" x14ac:dyDescent="0.2">
      <c r="B167" s="3067" t="s">
        <v>2852</v>
      </c>
      <c r="C167" s="3067"/>
      <c r="D167" s="3067"/>
      <c r="E167" s="3067"/>
      <c r="F167" s="343">
        <f>F138+F165</f>
        <v>0</v>
      </c>
      <c r="I167" s="343" t="e">
        <f>I138+I165</f>
        <v>#N/A</v>
      </c>
    </row>
    <row r="168" spans="1:12" ht="3.75" customHeight="1" x14ac:dyDescent="0.2"/>
    <row r="169" spans="1:12" ht="11.25" customHeight="1" x14ac:dyDescent="0.2">
      <c r="B169" s="2442" t="s">
        <v>1996</v>
      </c>
    </row>
    <row r="170" spans="1:12" ht="11.25" customHeight="1" x14ac:dyDescent="0.2">
      <c r="A170" s="170">
        <v>1764</v>
      </c>
      <c r="B170" s="2890" t="s">
        <v>2853</v>
      </c>
      <c r="C170" s="2890"/>
      <c r="D170" s="2890"/>
      <c r="E170" s="2890"/>
      <c r="F170" s="348">
        <v>0</v>
      </c>
      <c r="I170" s="341" t="e">
        <f t="shared" ref="I170:I179" si="7">INDEX(PY905Data,MATCH($A170,PY905Row,0),MATCH($C$5,PY905Col,0))</f>
        <v>#N/A</v>
      </c>
      <c r="L170" s="1297">
        <v>71100003</v>
      </c>
    </row>
    <row r="171" spans="1:12" ht="11.25" customHeight="1" x14ac:dyDescent="0.2">
      <c r="A171" s="170">
        <v>2026</v>
      </c>
      <c r="B171" s="2890" t="s">
        <v>2854</v>
      </c>
      <c r="C171" s="2890"/>
      <c r="D171" s="2890"/>
      <c r="E171" s="2890"/>
      <c r="F171" s="348">
        <v>0</v>
      </c>
      <c r="I171" s="341" t="e">
        <f t="shared" si="7"/>
        <v>#N/A</v>
      </c>
      <c r="K171" s="1"/>
      <c r="L171" s="1297">
        <v>71100004</v>
      </c>
    </row>
    <row r="172" spans="1:12" ht="11.25" customHeight="1" x14ac:dyDescent="0.2">
      <c r="A172" s="170">
        <v>1766</v>
      </c>
      <c r="B172" s="2890" t="s">
        <v>2855</v>
      </c>
      <c r="C172" s="2890"/>
      <c r="D172" s="2890"/>
      <c r="E172" s="2890"/>
      <c r="F172" s="348">
        <v>0</v>
      </c>
      <c r="I172" s="341" t="e">
        <f t="shared" si="7"/>
        <v>#N/A</v>
      </c>
      <c r="L172" s="1297">
        <v>71100005</v>
      </c>
    </row>
    <row r="173" spans="1:12" ht="11.25" customHeight="1" x14ac:dyDescent="0.2">
      <c r="A173" s="170">
        <v>1768</v>
      </c>
      <c r="B173" s="2890" t="s">
        <v>2223</v>
      </c>
      <c r="C173" s="2890"/>
      <c r="D173" s="2890"/>
      <c r="E173" s="2890"/>
      <c r="F173" s="348">
        <v>0</v>
      </c>
      <c r="I173" s="341" t="e">
        <f t="shared" si="7"/>
        <v>#N/A</v>
      </c>
      <c r="L173" s="1297">
        <v>71100006</v>
      </c>
    </row>
    <row r="174" spans="1:12" ht="11.25" customHeight="1" x14ac:dyDescent="0.2">
      <c r="A174" s="170">
        <v>1765</v>
      </c>
      <c r="B174" s="2890" t="s">
        <v>2224</v>
      </c>
      <c r="C174" s="2890"/>
      <c r="D174" s="2890"/>
      <c r="E174" s="2890"/>
      <c r="F174" s="348">
        <v>0</v>
      </c>
      <c r="I174" s="341" t="e">
        <f t="shared" si="7"/>
        <v>#N/A</v>
      </c>
      <c r="L174" s="1297">
        <v>71100008</v>
      </c>
    </row>
    <row r="175" spans="1:12" ht="11.25" customHeight="1" x14ac:dyDescent="0.2">
      <c r="A175" s="170">
        <v>1772</v>
      </c>
      <c r="B175" s="2890" t="s">
        <v>2856</v>
      </c>
      <c r="C175" s="2890"/>
      <c r="D175" s="2890"/>
      <c r="E175" s="2890"/>
      <c r="F175" s="348">
        <v>0</v>
      </c>
      <c r="I175" s="341" t="e">
        <f t="shared" si="7"/>
        <v>#N/A</v>
      </c>
      <c r="K175" s="971"/>
      <c r="L175" s="1297">
        <v>71100009</v>
      </c>
    </row>
    <row r="176" spans="1:12" ht="11.25" customHeight="1" x14ac:dyDescent="0.2">
      <c r="A176" s="170">
        <v>1767</v>
      </c>
      <c r="B176" s="2890" t="s">
        <v>2225</v>
      </c>
      <c r="C176" s="2890"/>
      <c r="D176" s="2890"/>
      <c r="E176" s="2890"/>
      <c r="F176" s="348">
        <v>0</v>
      </c>
      <c r="I176" s="341" t="e">
        <f t="shared" si="7"/>
        <v>#N/A</v>
      </c>
      <c r="K176" s="918"/>
      <c r="L176" s="1297">
        <v>71100010</v>
      </c>
    </row>
    <row r="177" spans="1:13" ht="11.25" customHeight="1" x14ac:dyDescent="0.2">
      <c r="A177" s="170">
        <v>1771</v>
      </c>
      <c r="B177" s="2890" t="s">
        <v>2226</v>
      </c>
      <c r="C177" s="2890"/>
      <c r="D177" s="2890"/>
      <c r="E177" s="2890"/>
      <c r="F177" s="348">
        <v>0</v>
      </c>
      <c r="I177" s="341" t="e">
        <f t="shared" si="7"/>
        <v>#N/A</v>
      </c>
      <c r="K177" s="971"/>
      <c r="L177" s="1297">
        <v>71100011</v>
      </c>
    </row>
    <row r="178" spans="1:13" ht="11.25" customHeight="1" x14ac:dyDescent="0.2">
      <c r="A178" s="170">
        <v>1773</v>
      </c>
      <c r="B178" s="2890" t="s">
        <v>2857</v>
      </c>
      <c r="C178" s="2890"/>
      <c r="D178" s="2890"/>
      <c r="E178" s="2890"/>
      <c r="F178" s="348">
        <v>0</v>
      </c>
      <c r="I178" s="341" t="e">
        <f t="shared" si="7"/>
        <v>#N/A</v>
      </c>
      <c r="K178" s="1104"/>
      <c r="L178" s="1297">
        <v>71100012</v>
      </c>
    </row>
    <row r="179" spans="1:13" ht="11.25" customHeight="1" x14ac:dyDescent="0.2">
      <c r="A179" s="170">
        <v>1769</v>
      </c>
      <c r="B179" s="2890" t="s">
        <v>1998</v>
      </c>
      <c r="C179" s="2890"/>
      <c r="D179" s="2890"/>
      <c r="E179" s="2890"/>
      <c r="F179" s="348">
        <v>0</v>
      </c>
      <c r="I179" s="341" t="e">
        <f t="shared" si="7"/>
        <v>#N/A</v>
      </c>
      <c r="L179" s="1297">
        <v>71100007</v>
      </c>
    </row>
    <row r="180" spans="1:13" ht="11.25" customHeight="1" x14ac:dyDescent="0.2">
      <c r="B180" s="3067" t="s">
        <v>2858</v>
      </c>
      <c r="C180" s="3067"/>
      <c r="D180" s="3067"/>
      <c r="E180" s="3067"/>
      <c r="F180" s="350">
        <f>SUM(F169:F179)</f>
        <v>0</v>
      </c>
      <c r="I180" s="350" t="e">
        <f>SUM(I169:I179)</f>
        <v>#N/A</v>
      </c>
    </row>
    <row r="181" spans="1:13" ht="3" customHeight="1" x14ac:dyDescent="0.2"/>
    <row r="182" spans="1:13" x14ac:dyDescent="0.2">
      <c r="B182" s="213" t="s">
        <v>2229</v>
      </c>
    </row>
    <row r="183" spans="1:13" x14ac:dyDescent="0.2">
      <c r="A183" s="170">
        <v>2130</v>
      </c>
      <c r="B183" s="2890" t="s">
        <v>2230</v>
      </c>
      <c r="C183" s="2890"/>
      <c r="D183" s="2890"/>
      <c r="E183" s="2890"/>
      <c r="F183" s="348">
        <v>0</v>
      </c>
      <c r="G183" t="str">
        <f>IF((F183&lt;=F69+F85)," ","Problem: Must be less than or equal to capital assets, depreciable and nondeprec, net")</f>
        <v xml:space="preserve"> </v>
      </c>
      <c r="I183" s="341" t="e">
        <f>INDEX(PY905Data,MATCH($A183,PY905Row,0),MATCH($C$5,PY905Col,0))</f>
        <v>#N/A</v>
      </c>
      <c r="L183" s="1297" t="s">
        <v>1675</v>
      </c>
      <c r="M183" s="1297" t="s">
        <v>1652</v>
      </c>
    </row>
    <row r="184" spans="1:13" ht="10.5" customHeight="1" x14ac:dyDescent="0.2">
      <c r="A184" s="166"/>
      <c r="B184" s="170" t="s">
        <v>2859</v>
      </c>
      <c r="C184" s="170"/>
      <c r="D184" s="170"/>
      <c r="E184" s="170"/>
      <c r="G184" s="714" t="str">
        <f>IF(AND(SUM(F69+F85)&gt;=1,$F$183=0),"Need to calculate and key Net investment in capital assets"," ")</f>
        <v xml:space="preserve"> </v>
      </c>
      <c r="M184" s="1297"/>
    </row>
    <row r="185" spans="1:13" x14ac:dyDescent="0.2">
      <c r="A185" s="170">
        <v>2140</v>
      </c>
      <c r="B185" s="2894" t="s">
        <v>2860</v>
      </c>
      <c r="C185" s="2894"/>
      <c r="D185" s="2894"/>
      <c r="E185" s="2894"/>
      <c r="F185" s="348">
        <v>0</v>
      </c>
      <c r="G185" t="str">
        <f>IF(F185&lt;0,"Problem: Restricted net assets cannot be negative - see Net Assets Policy in Instructions"," ")</f>
        <v xml:space="preserve"> </v>
      </c>
      <c r="I185" s="341" t="e">
        <f>INDEX(PY905Data,MATCH($A185,PY905Row,0),MATCH($C$5,PY905Col,0))</f>
        <v>#N/A</v>
      </c>
      <c r="L185" s="1297" t="s">
        <v>2861</v>
      </c>
      <c r="M185" s="1297" t="s">
        <v>857</v>
      </c>
    </row>
    <row r="186" spans="1:13" ht="11.25" customHeight="1" x14ac:dyDescent="0.2">
      <c r="A186" s="170">
        <v>2141</v>
      </c>
      <c r="B186" s="2894" t="s">
        <v>2862</v>
      </c>
      <c r="C186" s="2894"/>
      <c r="D186" s="2894"/>
      <c r="E186" s="2894"/>
      <c r="F186" s="348">
        <v>0</v>
      </c>
      <c r="G186" t="str">
        <f t="shared" ref="G186:G192" si="8">IF(F186&lt;0,"Problem: Restricted net assets cannot be negative - see Net Assets Policy in Instructions"," ")</f>
        <v xml:space="preserve"> </v>
      </c>
      <c r="I186" s="341" t="e">
        <f>INDEX(PY905Data,MATCH($A186,PY905Row,0),MATCH($C$5,PY905Col,0))</f>
        <v>#N/A</v>
      </c>
      <c r="L186" s="1297" t="s">
        <v>2861</v>
      </c>
      <c r="M186" s="1297" t="s">
        <v>771</v>
      </c>
    </row>
    <row r="187" spans="1:13" ht="12" customHeight="1" x14ac:dyDescent="0.2">
      <c r="A187" s="170">
        <v>2142</v>
      </c>
      <c r="B187" s="2894" t="s">
        <v>2863</v>
      </c>
      <c r="C187" s="2894"/>
      <c r="D187" s="2894"/>
      <c r="E187" s="2894"/>
      <c r="F187" s="348">
        <v>0</v>
      </c>
      <c r="G187" t="str">
        <f t="shared" si="8"/>
        <v xml:space="preserve"> </v>
      </c>
      <c r="I187" s="341" t="e">
        <f>INDEX(PY905Data,MATCH($A187,PY905Row,0),MATCH($C$5,PY905Col,0))</f>
        <v>#N/A</v>
      </c>
      <c r="L187" s="1297" t="s">
        <v>2861</v>
      </c>
      <c r="M187" s="1297" t="s">
        <v>2864</v>
      </c>
    </row>
    <row r="188" spans="1:13" ht="11.25" customHeight="1" x14ac:dyDescent="0.2">
      <c r="A188" s="166"/>
      <c r="B188" s="170" t="s">
        <v>2865</v>
      </c>
      <c r="M188" s="1297"/>
    </row>
    <row r="189" spans="1:13" x14ac:dyDescent="0.2">
      <c r="A189" s="170">
        <v>2150</v>
      </c>
      <c r="B189" s="2894" t="s">
        <v>2860</v>
      </c>
      <c r="C189" s="2894"/>
      <c r="D189" s="2894"/>
      <c r="E189" s="2894"/>
      <c r="F189" s="348">
        <v>0</v>
      </c>
      <c r="G189" t="str">
        <f t="shared" si="8"/>
        <v xml:space="preserve"> </v>
      </c>
      <c r="I189" s="341" t="e">
        <f>INDEX(PY905Data,MATCH($A189,PY905Row,0),MATCH($C$5,PY905Col,0))</f>
        <v>#N/A</v>
      </c>
      <c r="L189" s="1297" t="s">
        <v>1677</v>
      </c>
      <c r="M189" s="1297" t="s">
        <v>857</v>
      </c>
    </row>
    <row r="190" spans="1:13" x14ac:dyDescent="0.2">
      <c r="A190" s="170">
        <v>2151</v>
      </c>
      <c r="B190" s="2894" t="s">
        <v>2862</v>
      </c>
      <c r="C190" s="2894"/>
      <c r="D190" s="2894"/>
      <c r="E190" s="2894"/>
      <c r="F190" s="348">
        <v>0</v>
      </c>
      <c r="G190" t="str">
        <f t="shared" si="8"/>
        <v xml:space="preserve"> </v>
      </c>
      <c r="I190" s="341" t="e">
        <f>INDEX(PY905Data,MATCH($A190,PY905Row,0),MATCH($C$5,PY905Col,0))</f>
        <v>#N/A</v>
      </c>
      <c r="L190" s="1297" t="s">
        <v>1677</v>
      </c>
      <c r="M190" s="1297" t="s">
        <v>771</v>
      </c>
    </row>
    <row r="191" spans="1:13" x14ac:dyDescent="0.2">
      <c r="A191" s="170">
        <v>2152</v>
      </c>
      <c r="B191" s="2894" t="s">
        <v>2863</v>
      </c>
      <c r="C191" s="2894"/>
      <c r="D191" s="2894"/>
      <c r="E191" s="2894"/>
      <c r="F191" s="348">
        <v>0</v>
      </c>
      <c r="G191" t="str">
        <f t="shared" si="8"/>
        <v xml:space="preserve"> </v>
      </c>
      <c r="I191" s="341" t="e">
        <f>INDEX(PY905Data,MATCH($A191,PY905Row,0),MATCH($C$5,PY905Col,0))</f>
        <v>#N/A</v>
      </c>
      <c r="L191" s="1297" t="s">
        <v>1677</v>
      </c>
      <c r="M191" s="1297" t="s">
        <v>2864</v>
      </c>
    </row>
    <row r="192" spans="1:13" x14ac:dyDescent="0.2">
      <c r="A192" s="170"/>
      <c r="B192" s="2894" t="s">
        <v>2866</v>
      </c>
      <c r="C192" s="2894"/>
      <c r="D192" s="2894"/>
      <c r="E192" s="2894"/>
      <c r="F192" s="348">
        <v>0</v>
      </c>
      <c r="G192" t="str">
        <f t="shared" si="8"/>
        <v xml:space="preserve"> </v>
      </c>
      <c r="I192" s="341" t="e">
        <f>INDEX(PY905Data,MATCH($A192,PY905Row,0),MATCH($C$5,PY905Col,0))</f>
        <v>#N/A</v>
      </c>
      <c r="K192" s="1104" t="s">
        <v>2867</v>
      </c>
      <c r="L192" s="1297" t="s">
        <v>1677</v>
      </c>
      <c r="M192" s="1297" t="s">
        <v>1656</v>
      </c>
    </row>
    <row r="193" spans="1:13" x14ac:dyDescent="0.2">
      <c r="A193" s="170">
        <v>2180</v>
      </c>
      <c r="B193" s="2890" t="s">
        <v>1640</v>
      </c>
      <c r="C193" s="2890"/>
      <c r="D193" s="2890"/>
      <c r="E193" s="2890"/>
      <c r="F193" s="349">
        <v>0</v>
      </c>
      <c r="I193" s="341" t="e">
        <f>INDEX(PY905Data,MATCH($A193,PY905Row,0),MATCH($C$5,PY905Col,0))</f>
        <v>#N/A</v>
      </c>
      <c r="L193" s="1297" t="s">
        <v>1679</v>
      </c>
      <c r="M193" s="1297" t="s">
        <v>680</v>
      </c>
    </row>
    <row r="194" spans="1:13" ht="12" customHeight="1" thickBot="1" x14ac:dyDescent="0.25">
      <c r="B194" s="3067" t="s">
        <v>2868</v>
      </c>
      <c r="C194" s="3067"/>
      <c r="D194" s="3067"/>
      <c r="E194" s="3067"/>
      <c r="F194" s="429">
        <f>SUM(F183:F193)</f>
        <v>0</v>
      </c>
      <c r="I194" s="429" t="e">
        <f>SUM(I183:I193)</f>
        <v>#N/A</v>
      </c>
    </row>
    <row r="195" spans="1:13" ht="4.5" customHeight="1" thickTop="1" x14ac:dyDescent="0.2">
      <c r="I195" s="341"/>
    </row>
    <row r="196" spans="1:13" ht="12.75" customHeight="1" x14ac:dyDescent="0.2">
      <c r="B196" s="170" t="s">
        <v>2869</v>
      </c>
      <c r="C196" s="170"/>
      <c r="D196" s="170"/>
      <c r="E196" s="170"/>
      <c r="F196" s="430" t="str">
        <f>IF(ROUND(F88+F98-F167-F180,2)=F194, "In Bal.","Out of Bal.")</f>
        <v>In Bal.</v>
      </c>
      <c r="I196" s="430" t="e">
        <f>IF(ROUND(I88+I98-I167-I180,2)=I194, "In Bal.","Out of Bal.")</f>
        <v>#N/A</v>
      </c>
    </row>
    <row r="197" spans="1:13" ht="12.75" customHeight="1" thickBot="1" x14ac:dyDescent="0.25">
      <c r="B197" s="170"/>
      <c r="C197" s="170"/>
      <c r="D197" s="170"/>
      <c r="E197" s="170"/>
      <c r="F197" s="430"/>
      <c r="I197" s="430"/>
    </row>
    <row r="198" spans="1:13" ht="12.75" customHeight="1" thickBot="1" x14ac:dyDescent="0.25">
      <c r="B198" s="170"/>
      <c r="C198" s="170"/>
      <c r="D198" s="1774"/>
      <c r="E198" s="975" t="s">
        <v>2870</v>
      </c>
      <c r="F198" s="976" t="str">
        <f>IF(ROUND(F88+F98-F167-F180,2)=F194, "0",((F88+F98-F167-F180)-F194))</f>
        <v>0</v>
      </c>
      <c r="G198" s="976"/>
      <c r="H198" s="976"/>
      <c r="I198" s="977" t="e">
        <f>IF(ROUND(I88+I98-I167-I180,2)=I194, "0",((I88+I98-I167-I180)-I194))</f>
        <v>#N/A</v>
      </c>
    </row>
    <row r="199" spans="1:13" ht="7.5" customHeight="1" x14ac:dyDescent="0.2"/>
    <row r="200" spans="1:13" x14ac:dyDescent="0.2">
      <c r="B200" s="3071" t="s">
        <v>2871</v>
      </c>
      <c r="C200" s="3071"/>
      <c r="D200" s="3071"/>
      <c r="E200" s="3071"/>
      <c r="F200" s="2419" t="str">
        <f>CONCATENATE("FYE ",+TEXT(Data!$A$2,"mmmm d,yyyy"))</f>
        <v>FYE June 30,2024</v>
      </c>
      <c r="I200" s="2419" t="str">
        <f>CONCATENATE("FYE ",+TEXT(Data!$A$4,"mmmm d,yyyy"))</f>
        <v>FYE June 30,2023</v>
      </c>
    </row>
    <row r="201" spans="1:13" x14ac:dyDescent="0.2">
      <c r="B201" s="2442" t="s">
        <v>2000</v>
      </c>
      <c r="C201" s="2442"/>
    </row>
    <row r="202" spans="1:13" x14ac:dyDescent="0.2">
      <c r="A202" s="170">
        <v>2310</v>
      </c>
      <c r="B202" s="3066" t="s">
        <v>2872</v>
      </c>
      <c r="C202" s="3066"/>
      <c r="D202" s="3066"/>
      <c r="E202" s="3066"/>
      <c r="F202" s="347">
        <v>0</v>
      </c>
      <c r="I202" s="347" t="e">
        <f t="shared" ref="I202:I212" si="9">INDEX(PY905Data,MATCH($A202,PY905Row,0),MATCH($C$5,PY905Col,0))</f>
        <v>#N/A</v>
      </c>
      <c r="L202" s="1297">
        <v>44101000</v>
      </c>
    </row>
    <row r="203" spans="1:13" x14ac:dyDescent="0.2">
      <c r="A203" s="170">
        <v>2320</v>
      </c>
      <c r="B203" s="3066" t="s">
        <v>2873</v>
      </c>
      <c r="C203" s="3066"/>
      <c r="D203" s="3066"/>
      <c r="E203" s="3066"/>
      <c r="F203" s="348">
        <v>0</v>
      </c>
      <c r="G203" s="138"/>
      <c r="I203" s="341" t="e">
        <f t="shared" si="9"/>
        <v>#N/A</v>
      </c>
      <c r="L203" s="1297">
        <v>45800000</v>
      </c>
    </row>
    <row r="204" spans="1:13" x14ac:dyDescent="0.2">
      <c r="A204" s="170">
        <v>2330</v>
      </c>
      <c r="B204" s="3066" t="s">
        <v>2874</v>
      </c>
      <c r="C204" s="3066"/>
      <c r="D204" s="3066"/>
      <c r="E204" s="3066"/>
      <c r="F204" s="348">
        <v>0</v>
      </c>
      <c r="G204" s="138"/>
      <c r="I204" s="341" t="e">
        <f t="shared" si="9"/>
        <v>#N/A</v>
      </c>
      <c r="L204" s="1297">
        <v>44200000</v>
      </c>
    </row>
    <row r="205" spans="1:13" x14ac:dyDescent="0.2">
      <c r="A205" s="170">
        <v>2350</v>
      </c>
      <c r="B205" s="3066" t="s">
        <v>2875</v>
      </c>
      <c r="C205" s="3066"/>
      <c r="D205" s="3066"/>
      <c r="E205" s="3066"/>
      <c r="F205" s="348">
        <v>0</v>
      </c>
      <c r="G205" s="138"/>
      <c r="I205" s="341" t="e">
        <f t="shared" si="9"/>
        <v>#N/A</v>
      </c>
      <c r="L205" s="1297">
        <v>42997000</v>
      </c>
    </row>
    <row r="206" spans="1:13" x14ac:dyDescent="0.2">
      <c r="A206" s="170">
        <v>2370</v>
      </c>
      <c r="B206" s="3066" t="s">
        <v>2876</v>
      </c>
      <c r="C206" s="3066"/>
      <c r="D206" s="3066"/>
      <c r="E206" s="3066"/>
      <c r="F206" s="348">
        <v>0</v>
      </c>
      <c r="I206" s="341" t="e">
        <f t="shared" si="9"/>
        <v>#N/A</v>
      </c>
      <c r="L206" s="1359" t="s">
        <v>2877</v>
      </c>
    </row>
    <row r="207" spans="1:13" x14ac:dyDescent="0.2">
      <c r="A207" s="170">
        <v>2390</v>
      </c>
      <c r="B207" s="3069" t="s">
        <v>2002</v>
      </c>
      <c r="C207" s="3069"/>
      <c r="D207" s="3069"/>
      <c r="E207" s="3069"/>
      <c r="F207" s="348">
        <v>0</v>
      </c>
      <c r="I207" s="341" t="e">
        <f t="shared" si="9"/>
        <v>#N/A</v>
      </c>
      <c r="L207" s="1359" t="s">
        <v>2878</v>
      </c>
    </row>
    <row r="208" spans="1:13" x14ac:dyDescent="0.2">
      <c r="A208" s="170">
        <v>2400</v>
      </c>
      <c r="B208" s="2890" t="s">
        <v>2004</v>
      </c>
      <c r="C208" s="2890"/>
      <c r="D208" s="2890"/>
      <c r="E208" s="2890"/>
      <c r="F208" s="348">
        <v>0</v>
      </c>
      <c r="I208" s="341" t="e">
        <f t="shared" si="9"/>
        <v>#N/A</v>
      </c>
      <c r="L208" s="1359" t="s">
        <v>2879</v>
      </c>
    </row>
    <row r="209" spans="1:12" x14ac:dyDescent="0.2">
      <c r="A209" s="170">
        <v>2410</v>
      </c>
      <c r="B209" s="2890" t="s">
        <v>1256</v>
      </c>
      <c r="C209" s="2890"/>
      <c r="D209" s="2890"/>
      <c r="E209" s="2890"/>
      <c r="F209" s="348">
        <v>0</v>
      </c>
      <c r="I209" s="341" t="e">
        <f t="shared" si="9"/>
        <v>#N/A</v>
      </c>
      <c r="L209" s="1297">
        <v>43200000</v>
      </c>
    </row>
    <row r="210" spans="1:12" x14ac:dyDescent="0.2">
      <c r="A210" s="170">
        <v>2420</v>
      </c>
      <c r="B210" s="2890" t="s">
        <v>2880</v>
      </c>
      <c r="C210" s="2890"/>
      <c r="D210" s="2890"/>
      <c r="E210" s="2890"/>
      <c r="F210" s="348">
        <v>0</v>
      </c>
      <c r="I210" s="341" t="e">
        <f t="shared" si="9"/>
        <v>#N/A</v>
      </c>
      <c r="L210" s="1297">
        <v>44410000</v>
      </c>
    </row>
    <row r="211" spans="1:12" x14ac:dyDescent="0.2">
      <c r="A211" s="170">
        <v>2430</v>
      </c>
      <c r="B211" s="2890" t="s">
        <v>1248</v>
      </c>
      <c r="C211" s="2890"/>
      <c r="D211" s="2890"/>
      <c r="E211" s="2890"/>
      <c r="F211" s="348">
        <v>0</v>
      </c>
      <c r="I211" s="341" t="e">
        <f t="shared" si="9"/>
        <v>#N/A</v>
      </c>
      <c r="L211" s="1297">
        <v>47993000</v>
      </c>
    </row>
    <row r="212" spans="1:12" x14ac:dyDescent="0.2">
      <c r="A212" s="170">
        <v>2450</v>
      </c>
      <c r="B212" s="2890" t="s">
        <v>2006</v>
      </c>
      <c r="C212" s="2890"/>
      <c r="D212" s="2890"/>
      <c r="E212" s="2890"/>
      <c r="F212" s="349">
        <v>0</v>
      </c>
      <c r="I212" s="341" t="e">
        <f t="shared" si="9"/>
        <v>#N/A</v>
      </c>
      <c r="L212" s="1297">
        <v>47111000</v>
      </c>
    </row>
    <row r="213" spans="1:12" x14ac:dyDescent="0.2">
      <c r="A213" s="170"/>
      <c r="B213" s="3067" t="s">
        <v>2881</v>
      </c>
      <c r="C213" s="3067"/>
      <c r="D213" s="3067"/>
      <c r="E213" s="3067"/>
      <c r="F213" s="350">
        <f>SUM(F202:F212)</f>
        <v>0</v>
      </c>
      <c r="I213" s="350" t="e">
        <f>SUM(I202:I212)</f>
        <v>#N/A</v>
      </c>
    </row>
    <row r="214" spans="1:12" ht="5.25" customHeight="1" x14ac:dyDescent="0.2"/>
    <row r="215" spans="1:12" ht="13.5" customHeight="1" x14ac:dyDescent="0.2">
      <c r="B215" s="2442" t="s">
        <v>2008</v>
      </c>
    </row>
    <row r="216" spans="1:12" x14ac:dyDescent="0.2">
      <c r="A216" s="170">
        <v>2490</v>
      </c>
      <c r="B216" s="3066" t="s">
        <v>2882</v>
      </c>
      <c r="C216" s="3066"/>
      <c r="D216" s="3066"/>
      <c r="E216" s="3066"/>
      <c r="F216" s="348">
        <v>0</v>
      </c>
      <c r="I216" s="341" t="e">
        <f t="shared" ref="I216:I223" si="10">INDEX(PY905Data,MATCH($A216,PY905Row,0),MATCH($C$5,PY905Col,0))</f>
        <v>#N/A</v>
      </c>
      <c r="K216" s="138"/>
      <c r="L216" s="1297">
        <v>51110000</v>
      </c>
    </row>
    <row r="217" spans="1:12" x14ac:dyDescent="0.2">
      <c r="A217" s="170">
        <v>2510</v>
      </c>
      <c r="B217" s="3066" t="s">
        <v>2883</v>
      </c>
      <c r="C217" s="3066"/>
      <c r="D217" s="3066"/>
      <c r="E217" s="3066"/>
      <c r="F217" s="348">
        <v>0</v>
      </c>
      <c r="I217" s="341" t="e">
        <f t="shared" si="10"/>
        <v>#N/A</v>
      </c>
      <c r="L217" s="1297">
        <v>53110000</v>
      </c>
    </row>
    <row r="218" spans="1:12" x14ac:dyDescent="0.2">
      <c r="A218" s="170">
        <v>2520</v>
      </c>
      <c r="B218" s="3069" t="s">
        <v>2010</v>
      </c>
      <c r="C218" s="3069"/>
      <c r="D218" s="3069"/>
      <c r="E218" s="3069"/>
      <c r="F218" s="348">
        <v>0</v>
      </c>
      <c r="I218" s="341" t="e">
        <f t="shared" si="10"/>
        <v>#N/A</v>
      </c>
      <c r="L218" s="1297">
        <v>52110000</v>
      </c>
    </row>
    <row r="219" spans="1:12" x14ac:dyDescent="0.2">
      <c r="A219" s="170">
        <v>2550</v>
      </c>
      <c r="B219" s="2890" t="s">
        <v>2884</v>
      </c>
      <c r="C219" s="2890"/>
      <c r="D219" s="2890"/>
      <c r="E219" s="2890"/>
      <c r="F219" s="348">
        <v>0</v>
      </c>
      <c r="I219" s="341" t="e">
        <f t="shared" si="10"/>
        <v>#N/A</v>
      </c>
      <c r="L219" s="1297">
        <v>53800000</v>
      </c>
    </row>
    <row r="220" spans="1:12" x14ac:dyDescent="0.2">
      <c r="A220" s="170">
        <v>2540</v>
      </c>
      <c r="B220" s="2890" t="s">
        <v>2885</v>
      </c>
      <c r="C220" s="2890"/>
      <c r="D220" s="2890"/>
      <c r="E220" s="2890"/>
      <c r="F220" s="348">
        <v>0</v>
      </c>
      <c r="I220" s="341" t="e">
        <f t="shared" si="10"/>
        <v>#N/A</v>
      </c>
      <c r="L220" s="1297">
        <v>55210000</v>
      </c>
    </row>
    <row r="221" spans="1:12" x14ac:dyDescent="0.2">
      <c r="A221" s="170">
        <v>2560</v>
      </c>
      <c r="B221" s="2890" t="s">
        <v>683</v>
      </c>
      <c r="C221" s="2890"/>
      <c r="D221" s="2890"/>
      <c r="E221" s="2890"/>
      <c r="F221" s="348">
        <v>0</v>
      </c>
      <c r="G221" s="138" t="str">
        <f>IF(F221='210'!M34," ","Should agree to total accumulated depreciation increases per ws 210, cell K25; provide explanation for difference on ws 210")</f>
        <v xml:space="preserve"> </v>
      </c>
      <c r="I221" s="341" t="e">
        <f t="shared" si="10"/>
        <v>#N/A</v>
      </c>
      <c r="L221" s="1297">
        <v>55430000</v>
      </c>
    </row>
    <row r="222" spans="1:12" x14ac:dyDescent="0.2">
      <c r="A222" s="170">
        <v>2570</v>
      </c>
      <c r="B222" s="2890" t="s">
        <v>2886</v>
      </c>
      <c r="C222" s="2890"/>
      <c r="D222" s="2890"/>
      <c r="E222" s="2890"/>
      <c r="F222" s="348">
        <v>0</v>
      </c>
      <c r="I222" s="341" t="e">
        <f t="shared" si="10"/>
        <v>#N/A</v>
      </c>
      <c r="L222" s="1297">
        <v>52911000</v>
      </c>
    </row>
    <row r="223" spans="1:12" x14ac:dyDescent="0.2">
      <c r="A223" s="170">
        <v>2590</v>
      </c>
      <c r="B223" s="2890" t="s">
        <v>2887</v>
      </c>
      <c r="C223" s="2890"/>
      <c r="D223" s="2890"/>
      <c r="E223" s="2890"/>
      <c r="F223" s="348">
        <v>0</v>
      </c>
      <c r="G223" s="138"/>
      <c r="I223" s="341" t="e">
        <f t="shared" si="10"/>
        <v>#N/A</v>
      </c>
      <c r="L223" s="1297">
        <v>56810000</v>
      </c>
    </row>
    <row r="224" spans="1:12" x14ac:dyDescent="0.2">
      <c r="A224" s="170"/>
      <c r="B224" s="170" t="s">
        <v>1373</v>
      </c>
      <c r="C224" s="857"/>
      <c r="D224" s="857"/>
      <c r="E224" s="857"/>
      <c r="F224" s="857"/>
      <c r="G224" s="138"/>
      <c r="I224" s="341"/>
    </row>
    <row r="225" spans="1:12" x14ac:dyDescent="0.2">
      <c r="A225" s="170">
        <v>2610</v>
      </c>
      <c r="B225" s="2894" t="s">
        <v>2888</v>
      </c>
      <c r="C225" s="2894"/>
      <c r="D225" s="2894"/>
      <c r="E225" s="2894"/>
      <c r="F225" s="348">
        <v>0</v>
      </c>
      <c r="G225" s="138"/>
      <c r="I225" s="341" t="e">
        <f>INDEX(PY905Data,MATCH($A225,PY905Row,0),MATCH($C$5,PY905Col,0))</f>
        <v>#N/A</v>
      </c>
      <c r="L225" s="1297">
        <v>52410000</v>
      </c>
    </row>
    <row r="226" spans="1:12" x14ac:dyDescent="0.2">
      <c r="A226" s="170">
        <v>2625</v>
      </c>
      <c r="B226" s="2894" t="s">
        <v>2012</v>
      </c>
      <c r="C226" s="2894"/>
      <c r="D226" s="2894"/>
      <c r="E226" s="2894"/>
      <c r="F226" s="348">
        <v>0</v>
      </c>
      <c r="G226" s="138"/>
      <c r="I226" s="341" t="e">
        <f>INDEX(PY905Data,MATCH($A226,PY905Row,0),MATCH($C$5,PY905Col,0))</f>
        <v>#N/A</v>
      </c>
      <c r="L226" s="1359">
        <v>56900000</v>
      </c>
    </row>
    <row r="227" spans="1:12" x14ac:dyDescent="0.2">
      <c r="A227" s="170">
        <v>2630</v>
      </c>
      <c r="B227" s="2894" t="s">
        <v>2014</v>
      </c>
      <c r="C227" s="2894"/>
      <c r="D227" s="2894"/>
      <c r="E227" s="2894"/>
      <c r="F227" s="349">
        <v>0</v>
      </c>
      <c r="G227" s="138"/>
      <c r="I227" s="341" t="e">
        <f>INDEX(PY905Data,MATCH($A227,PY905Row,0),MATCH($C$5,PY905Col,0))</f>
        <v>#N/A</v>
      </c>
      <c r="L227" s="1297">
        <v>52511000</v>
      </c>
    </row>
    <row r="228" spans="1:12" x14ac:dyDescent="0.2">
      <c r="B228" s="3067" t="s">
        <v>2889</v>
      </c>
      <c r="C228" s="3067"/>
      <c r="D228" s="3067"/>
      <c r="E228" s="3067"/>
      <c r="F228" s="379">
        <f>SUM(F216:F227)</f>
        <v>0</v>
      </c>
      <c r="I228" s="379" t="e">
        <f>SUM(I216:I227)</f>
        <v>#N/A</v>
      </c>
    </row>
    <row r="229" spans="1:12" x14ac:dyDescent="0.2">
      <c r="B229" s="3067" t="s">
        <v>2890</v>
      </c>
      <c r="C229" s="3067"/>
      <c r="D229" s="3067"/>
      <c r="E229" s="3067"/>
      <c r="F229" s="379">
        <f>F213-F228</f>
        <v>0</v>
      </c>
      <c r="I229" s="379" t="e">
        <f>I213-I228</f>
        <v>#N/A</v>
      </c>
    </row>
    <row r="230" spans="1:12" ht="3.75" customHeight="1" x14ac:dyDescent="0.2">
      <c r="B230" s="2430"/>
      <c r="C230" s="2430"/>
      <c r="D230" s="2430"/>
      <c r="E230" s="2430"/>
    </row>
    <row r="231" spans="1:12" x14ac:dyDescent="0.2">
      <c r="B231" s="2442" t="s">
        <v>2016</v>
      </c>
    </row>
    <row r="232" spans="1:12" x14ac:dyDescent="0.2">
      <c r="A232" s="170">
        <v>2690</v>
      </c>
      <c r="B232" s="3066" t="s">
        <v>2891</v>
      </c>
      <c r="C232" s="3066"/>
      <c r="D232" s="3066"/>
      <c r="E232" s="3066"/>
      <c r="F232" s="348">
        <v>0</v>
      </c>
      <c r="G232" s="503"/>
      <c r="I232" s="341" t="e">
        <f t="shared" ref="I232:I250" si="11">INDEX(PY905Data,MATCH($A232,PY905Row,0),MATCH($C$5,PY905Col,0))</f>
        <v>#N/A</v>
      </c>
      <c r="L232" s="1297">
        <v>49100000</v>
      </c>
    </row>
    <row r="233" spans="1:12" x14ac:dyDescent="0.2">
      <c r="A233" s="170">
        <v>2691</v>
      </c>
      <c r="B233" s="3070" t="s">
        <v>2892</v>
      </c>
      <c r="C233" s="3070"/>
      <c r="D233" s="3070"/>
      <c r="E233" s="3070"/>
      <c r="F233" s="348">
        <v>0</v>
      </c>
      <c r="G233" s="596"/>
      <c r="I233" s="341" t="e">
        <f t="shared" si="11"/>
        <v>#N/A</v>
      </c>
      <c r="K233" s="2022" t="s">
        <v>2893</v>
      </c>
      <c r="L233" s="1297">
        <v>42908000</v>
      </c>
    </row>
    <row r="234" spans="1:12" x14ac:dyDescent="0.2">
      <c r="A234" s="170">
        <v>2692</v>
      </c>
      <c r="B234" s="3066" t="s">
        <v>2894</v>
      </c>
      <c r="C234" s="3066"/>
      <c r="D234" s="3066"/>
      <c r="E234" s="3066"/>
      <c r="F234" s="348">
        <v>0</v>
      </c>
      <c r="G234" s="503"/>
      <c r="I234" s="341" t="e">
        <f t="shared" si="11"/>
        <v>#N/A</v>
      </c>
      <c r="L234" s="1297">
        <v>42990000</v>
      </c>
    </row>
    <row r="235" spans="1:12" s="2013" customFormat="1" x14ac:dyDescent="0.2">
      <c r="A235" s="1978">
        <v>2693</v>
      </c>
      <c r="B235" s="3068" t="s">
        <v>2895</v>
      </c>
      <c r="C235" s="3068"/>
      <c r="D235" s="3068"/>
      <c r="E235" s="3068"/>
      <c r="F235" s="2019">
        <v>0</v>
      </c>
      <c r="G235" s="2020"/>
      <c r="I235" s="2021" t="e">
        <f t="shared" si="11"/>
        <v>#N/A</v>
      </c>
      <c r="K235" s="2022" t="s">
        <v>2896</v>
      </c>
      <c r="L235" s="2023">
        <v>42905000</v>
      </c>
    </row>
    <row r="236" spans="1:12" x14ac:dyDescent="0.2">
      <c r="A236" s="170">
        <v>2700</v>
      </c>
      <c r="B236" s="3066" t="s">
        <v>2019</v>
      </c>
      <c r="C236" s="3066"/>
      <c r="D236" s="3066"/>
      <c r="E236" s="3066"/>
      <c r="F236" s="348">
        <v>0</v>
      </c>
      <c r="I236" s="341" t="e">
        <f t="shared" si="11"/>
        <v>#N/A</v>
      </c>
      <c r="L236" s="1359" t="s">
        <v>2897</v>
      </c>
    </row>
    <row r="237" spans="1:12" x14ac:dyDescent="0.2">
      <c r="A237" s="170">
        <v>2701</v>
      </c>
      <c r="B237" s="3066" t="s">
        <v>2898</v>
      </c>
      <c r="C237" s="3066"/>
      <c r="D237" s="3066"/>
      <c r="E237" s="3066"/>
      <c r="F237" s="348">
        <v>0</v>
      </c>
      <c r="I237" s="341" t="e">
        <f t="shared" si="11"/>
        <v>#N/A</v>
      </c>
      <c r="K237" s="971" t="s">
        <v>2899</v>
      </c>
      <c r="L237" s="1359" t="s">
        <v>2900</v>
      </c>
    </row>
    <row r="238" spans="1:12" x14ac:dyDescent="0.2">
      <c r="A238" s="170">
        <v>2710</v>
      </c>
      <c r="B238" s="3069" t="s">
        <v>2901</v>
      </c>
      <c r="C238" s="3069"/>
      <c r="D238" s="3069"/>
      <c r="E238" s="3069"/>
      <c r="F238" s="348">
        <v>0</v>
      </c>
      <c r="I238" s="341" t="e">
        <f t="shared" si="11"/>
        <v>#N/A</v>
      </c>
      <c r="L238" s="1297">
        <v>46200000</v>
      </c>
    </row>
    <row r="239" spans="1:12" x14ac:dyDescent="0.2">
      <c r="A239" s="170">
        <v>2711</v>
      </c>
      <c r="B239" s="3069" t="s">
        <v>2022</v>
      </c>
      <c r="C239" s="3069"/>
      <c r="D239" s="3069"/>
      <c r="E239" s="3069"/>
      <c r="F239" s="348">
        <v>0</v>
      </c>
      <c r="I239" s="341" t="e">
        <f t="shared" si="11"/>
        <v>#N/A</v>
      </c>
      <c r="K239" s="971" t="s">
        <v>2899</v>
      </c>
      <c r="L239" s="1297">
        <v>46207000</v>
      </c>
    </row>
    <row r="240" spans="1:12" x14ac:dyDescent="0.2">
      <c r="A240" s="170">
        <v>2720</v>
      </c>
      <c r="B240" s="2890" t="s">
        <v>2902</v>
      </c>
      <c r="C240" s="2890"/>
      <c r="D240" s="2890"/>
      <c r="E240" s="2890"/>
      <c r="F240" s="1775">
        <v>0</v>
      </c>
      <c r="G240" s="603" t="str">
        <f>IF(F240&gt;0, "Problem: Expense must be entered as negative number"," ")</f>
        <v xml:space="preserve"> </v>
      </c>
      <c r="I240" s="341" t="e">
        <f t="shared" si="11"/>
        <v>#N/A</v>
      </c>
      <c r="K240" s="971" t="s">
        <v>2899</v>
      </c>
      <c r="L240" s="1297">
        <v>55321000</v>
      </c>
    </row>
    <row r="241" spans="1:12" x14ac:dyDescent="0.2">
      <c r="A241" s="170">
        <v>2740</v>
      </c>
      <c r="B241" s="2890" t="s">
        <v>2903</v>
      </c>
      <c r="C241" s="2890"/>
      <c r="D241" s="2890"/>
      <c r="E241" s="2890"/>
      <c r="F241" s="1775">
        <v>0</v>
      </c>
      <c r="G241" s="603" t="str">
        <f>IF(F241&lt;0, "Problem: Gain must be entered as positive number; if loss, please key to loss caption below instead"," ")</f>
        <v xml:space="preserve"> </v>
      </c>
      <c r="I241" s="341" t="e">
        <f t="shared" si="11"/>
        <v>#N/A</v>
      </c>
      <c r="L241" s="1297">
        <v>44330000</v>
      </c>
    </row>
    <row r="242" spans="1:12" x14ac:dyDescent="0.2">
      <c r="A242" s="170">
        <v>2750</v>
      </c>
      <c r="B242" s="2890" t="s">
        <v>2904</v>
      </c>
      <c r="C242" s="2890"/>
      <c r="D242" s="2890"/>
      <c r="E242" s="2890"/>
      <c r="F242" s="1775">
        <v>0</v>
      </c>
      <c r="G242" s="603" t="str">
        <f>IF(F242&gt;0, "Problem: Expense/Loss must be entered as negative number; if gain, please key to gain caption above instead"," ")</f>
        <v xml:space="preserve"> </v>
      </c>
      <c r="I242" s="341" t="e">
        <f t="shared" si="11"/>
        <v>#N/A</v>
      </c>
      <c r="L242" s="1297">
        <v>55650000</v>
      </c>
    </row>
    <row r="243" spans="1:12" x14ac:dyDescent="0.2">
      <c r="A243" s="170">
        <v>2755</v>
      </c>
      <c r="B243" s="2890" t="s">
        <v>2905</v>
      </c>
      <c r="C243" s="2890"/>
      <c r="D243" s="2890"/>
      <c r="E243" s="2890"/>
      <c r="F243" s="348">
        <v>0</v>
      </c>
      <c r="I243" s="341" t="e">
        <f t="shared" si="11"/>
        <v>#N/A</v>
      </c>
      <c r="K243" s="971"/>
      <c r="L243" s="1297">
        <v>55341000</v>
      </c>
    </row>
    <row r="244" spans="1:12" x14ac:dyDescent="0.2">
      <c r="A244" s="170">
        <v>2760</v>
      </c>
      <c r="B244" s="2890" t="s">
        <v>1250</v>
      </c>
      <c r="C244" s="2890"/>
      <c r="D244" s="2890"/>
      <c r="E244" s="2890"/>
      <c r="F244" s="348">
        <v>0</v>
      </c>
      <c r="I244" s="341" t="e">
        <f t="shared" si="11"/>
        <v>#N/A</v>
      </c>
      <c r="L244" s="1297">
        <v>43111000</v>
      </c>
    </row>
    <row r="245" spans="1:12" x14ac:dyDescent="0.2">
      <c r="A245" s="170">
        <v>2770</v>
      </c>
      <c r="B245" s="2890" t="s">
        <v>2906</v>
      </c>
      <c r="C245" s="2890"/>
      <c r="D245" s="2890"/>
      <c r="E245" s="2890"/>
      <c r="F245" s="348">
        <v>0</v>
      </c>
      <c r="I245" s="341" t="e">
        <f t="shared" si="11"/>
        <v>#N/A</v>
      </c>
      <c r="L245" s="1297">
        <v>47116000</v>
      </c>
    </row>
    <row r="246" spans="1:12" x14ac:dyDescent="0.2">
      <c r="A246" s="170">
        <v>2780</v>
      </c>
      <c r="B246" s="2890" t="s">
        <v>2026</v>
      </c>
      <c r="C246" s="2890"/>
      <c r="D246" s="2890"/>
      <c r="E246" s="2890"/>
      <c r="F246" s="1775">
        <v>0</v>
      </c>
      <c r="G246" s="603" t="str">
        <f>IF(F246&gt;0, "Problem: Nonoperating expense must be entered as negative number; if grant revenue, please see captions above"," ")</f>
        <v xml:space="preserve"> </v>
      </c>
      <c r="I246" s="341" t="e">
        <f t="shared" si="11"/>
        <v>#N/A</v>
      </c>
      <c r="L246" s="1359" t="s">
        <v>2907</v>
      </c>
    </row>
    <row r="247" spans="1:12" x14ac:dyDescent="0.2">
      <c r="A247" s="170">
        <v>2785</v>
      </c>
      <c r="B247" s="2890" t="s">
        <v>1254</v>
      </c>
      <c r="C247" s="2890"/>
      <c r="D247" s="2890"/>
      <c r="E247" s="2890"/>
      <c r="F247" s="348">
        <v>0</v>
      </c>
      <c r="G247" s="138"/>
      <c r="I247" s="341" t="e">
        <f t="shared" si="11"/>
        <v>#N/A</v>
      </c>
      <c r="L247" s="1297">
        <v>42907000</v>
      </c>
    </row>
    <row r="248" spans="1:12" x14ac:dyDescent="0.2">
      <c r="A248" s="170">
        <v>2786</v>
      </c>
      <c r="B248" s="2890" t="s">
        <v>2908</v>
      </c>
      <c r="C248" s="2890"/>
      <c r="D248" s="2890"/>
      <c r="E248" s="2890"/>
      <c r="F248" s="348">
        <v>0</v>
      </c>
      <c r="G248" s="138"/>
      <c r="I248" s="341" t="e">
        <f t="shared" si="11"/>
        <v>#N/A</v>
      </c>
      <c r="K248" s="1104"/>
      <c r="L248" s="1297">
        <v>47128000</v>
      </c>
    </row>
    <row r="249" spans="1:12" x14ac:dyDescent="0.2">
      <c r="A249" s="170">
        <v>2800</v>
      </c>
      <c r="B249" s="2890" t="s">
        <v>2028</v>
      </c>
      <c r="C249" s="2890"/>
      <c r="D249" s="2890"/>
      <c r="E249" s="2890"/>
      <c r="F249" s="1775">
        <v>0</v>
      </c>
      <c r="G249" s="603" t="str">
        <f>IF(F249&lt;0, "Problem: Misc nonperating revenue must be entered as positive number; if expense key to nonoperating expense caption below"," ")</f>
        <v xml:space="preserve"> </v>
      </c>
      <c r="I249" s="341" t="e">
        <f t="shared" si="11"/>
        <v>#N/A</v>
      </c>
      <c r="L249" s="1297">
        <v>44321000</v>
      </c>
    </row>
    <row r="250" spans="1:12" x14ac:dyDescent="0.2">
      <c r="A250" s="170">
        <v>2810</v>
      </c>
      <c r="B250" s="2890" t="s">
        <v>2031</v>
      </c>
      <c r="C250" s="2890"/>
      <c r="D250" s="2890"/>
      <c r="E250" s="2890"/>
      <c r="F250" s="1775">
        <v>0</v>
      </c>
      <c r="G250" s="603" t="str">
        <f>IF(F250&gt;0, "Problem: Misc nonoperating expense must be entered as negative number; if revenue, key to nonoperating revenue caption above."," ")</f>
        <v xml:space="preserve"> </v>
      </c>
      <c r="I250" s="341" t="e">
        <f t="shared" si="11"/>
        <v>#N/A</v>
      </c>
      <c r="L250" s="1297">
        <v>55332000</v>
      </c>
    </row>
    <row r="251" spans="1:12" x14ac:dyDescent="0.2">
      <c r="B251" s="3067" t="s">
        <v>2909</v>
      </c>
      <c r="C251" s="3067"/>
      <c r="D251" s="3067"/>
      <c r="E251" s="3067"/>
      <c r="F251" s="350">
        <f>SUM(F232:F250)</f>
        <v>0</v>
      </c>
      <c r="I251" s="350" t="e">
        <f>SUM(I232:I250)</f>
        <v>#N/A</v>
      </c>
    </row>
    <row r="252" spans="1:12" x14ac:dyDescent="0.2">
      <c r="B252" s="3067" t="s">
        <v>2910</v>
      </c>
      <c r="C252" s="3067"/>
      <c r="D252" s="3067"/>
      <c r="E252" s="3067"/>
      <c r="F252" s="350">
        <f>F229+F251</f>
        <v>0</v>
      </c>
      <c r="I252" s="350" t="e">
        <f>I229+I251</f>
        <v>#N/A</v>
      </c>
      <c r="L252" s="1359"/>
    </row>
    <row r="253" spans="1:12" x14ac:dyDescent="0.2">
      <c r="A253" s="502">
        <v>2870</v>
      </c>
      <c r="B253" s="3066" t="s">
        <v>2911</v>
      </c>
      <c r="C253" s="3066"/>
      <c r="D253" s="3066"/>
      <c r="E253" s="3066"/>
      <c r="F253" s="348">
        <v>0</v>
      </c>
      <c r="G253" s="503"/>
      <c r="I253" s="341" t="e">
        <f t="shared" ref="I253:I259" si="12">INDEX(PY905Data,MATCH($A253,PY905Row,0),MATCH($C$5,PY905Col,0))</f>
        <v>#N/A</v>
      </c>
      <c r="L253" s="1297">
        <v>42901000</v>
      </c>
    </row>
    <row r="254" spans="1:12" x14ac:dyDescent="0.2">
      <c r="A254" s="170">
        <v>2880</v>
      </c>
      <c r="B254" s="3066" t="s">
        <v>2912</v>
      </c>
      <c r="C254" s="3066"/>
      <c r="D254" s="3066"/>
      <c r="E254" s="3066"/>
      <c r="F254" s="348">
        <v>0</v>
      </c>
      <c r="I254" s="341" t="e">
        <f t="shared" si="12"/>
        <v>#N/A</v>
      </c>
      <c r="L254" s="1359" t="s">
        <v>2913</v>
      </c>
    </row>
    <row r="255" spans="1:12" x14ac:dyDescent="0.2">
      <c r="A255" s="170">
        <v>2890</v>
      </c>
      <c r="B255" s="3066" t="s">
        <v>2914</v>
      </c>
      <c r="C255" s="3066"/>
      <c r="D255" s="3066"/>
      <c r="E255" s="3066"/>
      <c r="F255" s="348">
        <v>0</v>
      </c>
      <c r="I255" s="341" t="e">
        <f t="shared" si="12"/>
        <v>#N/A</v>
      </c>
      <c r="L255" s="1297">
        <v>46203000</v>
      </c>
    </row>
    <row r="256" spans="1:12" x14ac:dyDescent="0.2">
      <c r="A256" s="170">
        <v>2900</v>
      </c>
      <c r="B256" s="3066" t="s">
        <v>2915</v>
      </c>
      <c r="C256" s="3066"/>
      <c r="D256" s="3066"/>
      <c r="E256" s="3066"/>
      <c r="F256" s="348">
        <v>0</v>
      </c>
      <c r="G256" s="138"/>
      <c r="I256" s="341" t="e">
        <f t="shared" si="12"/>
        <v>#N/A</v>
      </c>
      <c r="L256" s="1297">
        <v>46205000</v>
      </c>
    </row>
    <row r="257" spans="1:12" x14ac:dyDescent="0.2">
      <c r="A257" s="638">
        <v>2940</v>
      </c>
      <c r="B257" s="3066" t="s">
        <v>2916</v>
      </c>
      <c r="C257" s="3066"/>
      <c r="D257" s="3066"/>
      <c r="E257" s="3066"/>
      <c r="F257" s="562">
        <f>'565'!H29</f>
        <v>0</v>
      </c>
      <c r="G257" t="str">
        <f>IF(F257='565'!H29," ","Problem: Must agree to ws 565 total Interinstitutional transfers")</f>
        <v xml:space="preserve"> </v>
      </c>
      <c r="I257" s="341" t="e">
        <f t="shared" si="12"/>
        <v>#N/A</v>
      </c>
      <c r="L257" s="1297">
        <v>48700000</v>
      </c>
    </row>
    <row r="258" spans="1:12" x14ac:dyDescent="0.2">
      <c r="A258" s="170">
        <v>2950</v>
      </c>
      <c r="B258" s="3066" t="s">
        <v>2917</v>
      </c>
      <c r="C258" s="3066"/>
      <c r="D258" s="3066"/>
      <c r="E258" s="3066"/>
      <c r="F258" s="1775">
        <v>0</v>
      </c>
      <c r="G258" s="462" t="str">
        <f>IF(AND(ABS(F258)&gt;=1,ABS(F258)&lt;10000000),"Problem: Under $10 million threshold - reclassify to another rev or exp"," ")</f>
        <v xml:space="preserve"> </v>
      </c>
      <c r="I258" s="341" t="e">
        <f t="shared" si="12"/>
        <v>#N/A</v>
      </c>
      <c r="L258" s="1297">
        <v>47750000</v>
      </c>
    </row>
    <row r="259" spans="1:12" x14ac:dyDescent="0.2">
      <c r="A259" s="170">
        <v>2960</v>
      </c>
      <c r="B259" s="3066" t="s">
        <v>2918</v>
      </c>
      <c r="C259" s="3066"/>
      <c r="D259" s="3066"/>
      <c r="E259" s="3066"/>
      <c r="F259" s="1776">
        <v>0</v>
      </c>
      <c r="G259" s="462" t="str">
        <f>IF(AND(ABS(F259)&gt;=1,ABS(F259)&lt;10000000),"Problem: Under $10 million threshold - reclassify to another rev or exp"," ")</f>
        <v xml:space="preserve"> </v>
      </c>
      <c r="I259" s="343" t="e">
        <f t="shared" si="12"/>
        <v>#N/A</v>
      </c>
      <c r="L259" s="1297">
        <v>47700000</v>
      </c>
    </row>
    <row r="260" spans="1:12" x14ac:dyDescent="0.2">
      <c r="B260" s="3067" t="s">
        <v>2919</v>
      </c>
      <c r="C260" s="3067"/>
      <c r="D260" s="3067"/>
      <c r="E260" s="3067"/>
      <c r="F260" s="341">
        <f>SUM(F252:F259)</f>
        <v>0</v>
      </c>
      <c r="I260" s="341" t="e">
        <f>SUM(I252:I259)</f>
        <v>#N/A</v>
      </c>
    </row>
    <row r="261" spans="1:12" x14ac:dyDescent="0.2">
      <c r="A261" s="170">
        <v>2980</v>
      </c>
      <c r="B261" s="3066" t="s">
        <v>2920</v>
      </c>
      <c r="C261" s="3066"/>
      <c r="D261" s="3066"/>
      <c r="E261" s="3066"/>
      <c r="F261" s="562" t="e">
        <f>INDEX(NetAssetsData,MATCH('905'!$C$5,NetAssetsDataRow,0),3)</f>
        <v>#N/A</v>
      </c>
      <c r="I261" s="341" t="e">
        <f>INDEX(PY905Data,MATCH($A261,PY905Row,0),MATCH($C$5,PY905Col,0))</f>
        <v>#N/A</v>
      </c>
    </row>
    <row r="262" spans="1:12" x14ac:dyDescent="0.2">
      <c r="A262" s="170">
        <v>2990</v>
      </c>
      <c r="B262" s="3066" t="s">
        <v>1760</v>
      </c>
      <c r="C262" s="3066"/>
      <c r="D262" s="3066"/>
      <c r="E262" s="3066"/>
      <c r="F262" s="562" cm="1">
        <f t="array" ref="F262:G262">+'430BTA'!C40:D40</f>
        <v>0</v>
      </c>
      <c r="G262">
        <v>0</v>
      </c>
      <c r="I262" s="341" t="e">
        <f>INDEX(PY905Data,MATCH($A262,PY905Row,0),MATCH($C$5,PY905Col,0))</f>
        <v>#N/A</v>
      </c>
      <c r="L262" s="1297">
        <v>33000100</v>
      </c>
    </row>
    <row r="263" spans="1:12" ht="13.5" thickBot="1" x14ac:dyDescent="0.25">
      <c r="A263" s="170"/>
      <c r="B263" s="3066" t="s">
        <v>2921</v>
      </c>
      <c r="C263" s="3066"/>
      <c r="D263" s="3066"/>
      <c r="E263" s="3066"/>
      <c r="F263" s="429" t="e">
        <f>SUM(F260:F262)</f>
        <v>#N/A</v>
      </c>
      <c r="I263" s="429" t="e">
        <f>SUM(I260:I262)</f>
        <v>#N/A</v>
      </c>
    </row>
    <row r="264" spans="1:12" ht="9.75" customHeight="1" thickTop="1" x14ac:dyDescent="0.2">
      <c r="I264" s="341"/>
    </row>
    <row r="265" spans="1:12" x14ac:dyDescent="0.2">
      <c r="B265" s="170" t="s">
        <v>2922</v>
      </c>
      <c r="F265" s="430">
        <f>IFERROR((IF(ROUND(F194-F263,2)=0,"OK","Error")),0)</f>
        <v>0</v>
      </c>
      <c r="I265" s="430" t="e">
        <f>IF(ROUND(I194-I263,2)=0, "OK", "Error")</f>
        <v>#N/A</v>
      </c>
    </row>
    <row r="266" spans="1:12" ht="13.5" thickBot="1" x14ac:dyDescent="0.25"/>
    <row r="267" spans="1:12" x14ac:dyDescent="0.2">
      <c r="A267" s="928" t="s">
        <v>2923</v>
      </c>
      <c r="B267" s="548"/>
      <c r="C267" s="548"/>
      <c r="D267" s="548"/>
      <c r="E267" s="548"/>
      <c r="F267" s="549"/>
      <c r="G267" s="550"/>
    </row>
    <row r="268" spans="1:12" x14ac:dyDescent="0.2">
      <c r="A268" s="927" t="s">
        <v>2924</v>
      </c>
      <c r="B268" s="552"/>
      <c r="C268" s="552"/>
      <c r="D268" s="552"/>
      <c r="E268" s="552"/>
      <c r="F268" s="553"/>
      <c r="G268" s="554"/>
    </row>
    <row r="269" spans="1:12" x14ac:dyDescent="0.2">
      <c r="A269" s="927" t="s">
        <v>2925</v>
      </c>
      <c r="B269" s="552"/>
      <c r="C269" s="552"/>
      <c r="D269" s="552"/>
      <c r="E269" s="552"/>
      <c r="F269" s="553"/>
      <c r="G269" s="554"/>
    </row>
    <row r="270" spans="1:12" x14ac:dyDescent="0.2">
      <c r="A270" s="927" t="s">
        <v>2926</v>
      </c>
      <c r="B270" s="552"/>
      <c r="C270" s="552"/>
      <c r="D270" s="552"/>
      <c r="E270" s="552"/>
      <c r="F270" s="553"/>
      <c r="G270" s="554"/>
    </row>
    <row r="271" spans="1:12" x14ac:dyDescent="0.2">
      <c r="A271" s="927" t="s">
        <v>2927</v>
      </c>
      <c r="B271" s="552"/>
      <c r="C271" s="552"/>
      <c r="D271" s="552"/>
      <c r="E271" s="552"/>
      <c r="F271" s="553"/>
      <c r="G271" s="554"/>
    </row>
    <row r="272" spans="1:12" x14ac:dyDescent="0.2">
      <c r="A272" s="927" t="s">
        <v>2928</v>
      </c>
      <c r="B272" s="552"/>
      <c r="C272" s="552"/>
      <c r="D272" s="552"/>
      <c r="E272" s="552"/>
      <c r="F272" s="553"/>
      <c r="G272" s="555"/>
    </row>
    <row r="273" spans="1:7" x14ac:dyDescent="0.2">
      <c r="A273" s="551"/>
      <c r="B273" s="552"/>
      <c r="C273" s="552"/>
      <c r="D273" s="552"/>
      <c r="E273" s="552"/>
      <c r="F273" s="553"/>
      <c r="G273" s="555"/>
    </row>
    <row r="274" spans="1:7" x14ac:dyDescent="0.2">
      <c r="A274" s="3064"/>
      <c r="B274" s="3065"/>
      <c r="C274" s="3065"/>
      <c r="D274" s="3065"/>
      <c r="E274" s="552"/>
      <c r="F274" s="3081"/>
      <c r="G274" s="3082"/>
    </row>
    <row r="275" spans="1:7" x14ac:dyDescent="0.2">
      <c r="A275" s="551" t="s">
        <v>2929</v>
      </c>
      <c r="B275" s="552"/>
      <c r="C275" s="552"/>
      <c r="D275" s="552"/>
      <c r="E275" s="552"/>
      <c r="F275" s="553" t="s">
        <v>677</v>
      </c>
      <c r="G275" s="554"/>
    </row>
    <row r="276" spans="1:7" ht="13.5" thickBot="1" x14ac:dyDescent="0.25">
      <c r="A276" s="556"/>
      <c r="B276" s="557"/>
      <c r="C276" s="557"/>
      <c r="D276" s="557"/>
      <c r="E276" s="557"/>
      <c r="F276" s="558"/>
      <c r="G276" s="559"/>
    </row>
    <row r="280" spans="1:7" x14ac:dyDescent="0.2">
      <c r="A280" s="138" t="s">
        <v>2930</v>
      </c>
    </row>
  </sheetData>
  <sheetProtection algorithmName="SHA-512" hashValue="L1Dale0OZlqHl1dm7oo4jjN0UTvbDX+oF0HERLnfIoXZI2D77GeIoSE+WcRfsvox6g4J3WOqX74pcEiKUokVTA==" saltValue="KfQJlirkA5gDvNz63robIw==" spinCount="100000" sheet="1" autoFilter="0"/>
  <customSheetViews>
    <customSheetView guid="{9FCFC836-1CA5-48BF-958D-24D2EA94B219}" topLeftCell="A49">
      <selection activeCell="F45" sqref="F45"/>
      <rowBreaks count="4" manualBreakCount="4">
        <brk id="54" max="16383" man="1"/>
        <brk id="97" max="16383" man="1"/>
        <brk id="146" max="16383" man="1"/>
        <brk id="180" max="16383" man="1"/>
      </rowBreaks>
      <pageMargins left="0" right="0" top="0" bottom="0" header="0" footer="0"/>
      <printOptions gridLines="1"/>
      <pageSetup scale="95" fitToHeight="3" orientation="portrait" r:id="rId1"/>
      <headerFooter alignWithMargins="0">
        <oddFooter>&amp;R&amp;A (&amp;P of &amp;N)</oddFooter>
      </headerFooter>
    </customSheetView>
    <customSheetView guid="{B08879A4-635B-4C39-9937-AC7883D562FC}" topLeftCell="A49">
      <selection activeCell="F45" sqref="F45"/>
      <rowBreaks count="4" manualBreakCount="4">
        <brk id="54" max="16383" man="1"/>
        <brk id="97" max="16383" man="1"/>
        <brk id="146" max="16383" man="1"/>
        <brk id="180" max="16383" man="1"/>
      </rowBreaks>
      <pageMargins left="0" right="0" top="0" bottom="0" header="0" footer="0"/>
      <printOptions gridLines="1"/>
      <pageSetup scale="95" fitToHeight="3" orientation="portrait" r:id="rId2"/>
      <headerFooter alignWithMargins="0">
        <oddFooter>&amp;R&amp;A (&amp;P of &amp;N)</oddFooter>
      </headerFooter>
    </customSheetView>
  </customSheetViews>
  <mergeCells count="228">
    <mergeCell ref="F274:G274"/>
    <mergeCell ref="B130:E130"/>
    <mergeCell ref="B129:E129"/>
    <mergeCell ref="B31:E31"/>
    <mergeCell ref="B50:E50"/>
    <mergeCell ref="B127:E127"/>
    <mergeCell ref="B122:E122"/>
    <mergeCell ref="B221:E221"/>
    <mergeCell ref="B217:E217"/>
    <mergeCell ref="B152:E152"/>
    <mergeCell ref="B125:E125"/>
    <mergeCell ref="B82:E82"/>
    <mergeCell ref="B192:E192"/>
    <mergeCell ref="B185:E185"/>
    <mergeCell ref="B183:E183"/>
    <mergeCell ref="B162:E162"/>
    <mergeCell ref="B176:E176"/>
    <mergeCell ref="B175:E175"/>
    <mergeCell ref="B160:E160"/>
    <mergeCell ref="B179:E179"/>
    <mergeCell ref="B171:E171"/>
    <mergeCell ref="B180:E180"/>
    <mergeCell ref="B157:E157"/>
    <mergeCell ref="B32:E32"/>
    <mergeCell ref="B111:E111"/>
    <mergeCell ref="B113:E113"/>
    <mergeCell ref="B114:E114"/>
    <mergeCell ref="B110:E110"/>
    <mergeCell ref="B93:E93"/>
    <mergeCell ref="B46:E46"/>
    <mergeCell ref="B57:E57"/>
    <mergeCell ref="B77:E77"/>
    <mergeCell ref="B28:E28"/>
    <mergeCell ref="B63:E63"/>
    <mergeCell ref="B34:E34"/>
    <mergeCell ref="B41:E41"/>
    <mergeCell ref="B47:E47"/>
    <mergeCell ref="B48:E48"/>
    <mergeCell ref="B66:E66"/>
    <mergeCell ref="B64:E64"/>
    <mergeCell ref="B69:E69"/>
    <mergeCell ref="B107:E107"/>
    <mergeCell ref="B97:E97"/>
    <mergeCell ref="B105:E105"/>
    <mergeCell ref="B80:E80"/>
    <mergeCell ref="B81:E81"/>
    <mergeCell ref="B52:E52"/>
    <mergeCell ref="B53:E53"/>
    <mergeCell ref="B56:E56"/>
    <mergeCell ref="B106:E106"/>
    <mergeCell ref="B16:E16"/>
    <mergeCell ref="B83:E83"/>
    <mergeCell ref="B72:E72"/>
    <mergeCell ref="B74:E74"/>
    <mergeCell ref="B91:E91"/>
    <mergeCell ref="B103:E103"/>
    <mergeCell ref="B73:E73"/>
    <mergeCell ref="B84:E84"/>
    <mergeCell ref="B94:E94"/>
    <mergeCell ref="B86:E86"/>
    <mergeCell ref="B95:E95"/>
    <mergeCell ref="B75:E75"/>
    <mergeCell ref="B76:E76"/>
    <mergeCell ref="B61:E61"/>
    <mergeCell ref="B58:E58"/>
    <mergeCell ref="B26:E26"/>
    <mergeCell ref="B27:E27"/>
    <mergeCell ref="B29:E29"/>
    <mergeCell ref="B37:E37"/>
    <mergeCell ref="B33:E33"/>
    <mergeCell ref="A2:G2"/>
    <mergeCell ref="B15:E15"/>
    <mergeCell ref="B19:E19"/>
    <mergeCell ref="B20:E20"/>
    <mergeCell ref="B17:E17"/>
    <mergeCell ref="B25:E25"/>
    <mergeCell ref="B112:E112"/>
    <mergeCell ref="B104:E104"/>
    <mergeCell ref="B109:E109"/>
    <mergeCell ref="B96:E96"/>
    <mergeCell ref="B55:E55"/>
    <mergeCell ref="B59:E59"/>
    <mergeCell ref="B60:E60"/>
    <mergeCell ref="B54:E54"/>
    <mergeCell ref="B65:E65"/>
    <mergeCell ref="B62:E62"/>
    <mergeCell ref="B92:E92"/>
    <mergeCell ref="B78:E78"/>
    <mergeCell ref="B67:E67"/>
    <mergeCell ref="B70:E70"/>
    <mergeCell ref="B88:E88"/>
    <mergeCell ref="B98:E98"/>
    <mergeCell ref="B68:E68"/>
    <mergeCell ref="B85:E85"/>
    <mergeCell ref="A1:G1"/>
    <mergeCell ref="A4:I4"/>
    <mergeCell ref="F5:G5"/>
    <mergeCell ref="F6:G6"/>
    <mergeCell ref="B14:E14"/>
    <mergeCell ref="A8:I8"/>
    <mergeCell ref="B71:E71"/>
    <mergeCell ref="B30:E30"/>
    <mergeCell ref="B49:E49"/>
    <mergeCell ref="B21:E21"/>
    <mergeCell ref="B13:E13"/>
    <mergeCell ref="C6:D6"/>
    <mergeCell ref="B42:E42"/>
    <mergeCell ref="B51:E51"/>
    <mergeCell ref="B38:E38"/>
    <mergeCell ref="B36:E36"/>
    <mergeCell ref="B35:E35"/>
    <mergeCell ref="B23:E23"/>
    <mergeCell ref="B22:E22"/>
    <mergeCell ref="A3:G3"/>
    <mergeCell ref="B10:E10"/>
    <mergeCell ref="B24:E24"/>
    <mergeCell ref="B44:E44"/>
    <mergeCell ref="B45:E45"/>
    <mergeCell ref="B115:E115"/>
    <mergeCell ref="B174:E174"/>
    <mergeCell ref="B138:E138"/>
    <mergeCell ref="B135:E135"/>
    <mergeCell ref="B132:E132"/>
    <mergeCell ref="B123:E123"/>
    <mergeCell ref="B120:E120"/>
    <mergeCell ref="B117:E117"/>
    <mergeCell ref="B118:E118"/>
    <mergeCell ref="B124:E124"/>
    <mergeCell ref="B146:E146"/>
    <mergeCell ref="B153:E153"/>
    <mergeCell ref="B116:E116"/>
    <mergeCell ref="B121:E121"/>
    <mergeCell ref="B145:E145"/>
    <mergeCell ref="B144:E144"/>
    <mergeCell ref="B137:E137"/>
    <mergeCell ref="B119:E119"/>
    <mergeCell ref="B131:E131"/>
    <mergeCell ref="B133:E133"/>
    <mergeCell ref="B128:E128"/>
    <mergeCell ref="B126:E126"/>
    <mergeCell ref="B177:E177"/>
    <mergeCell ref="B159:E159"/>
    <mergeCell ref="B165:E165"/>
    <mergeCell ref="B158:E158"/>
    <mergeCell ref="B172:E172"/>
    <mergeCell ref="B161:E161"/>
    <mergeCell ref="B136:E136"/>
    <mergeCell ref="B148:E148"/>
    <mergeCell ref="B147:E147"/>
    <mergeCell ref="B173:E173"/>
    <mergeCell ref="B154:E154"/>
    <mergeCell ref="B156:E156"/>
    <mergeCell ref="B167:E167"/>
    <mergeCell ref="B170:E170"/>
    <mergeCell ref="B143:E143"/>
    <mergeCell ref="B210:E210"/>
    <mergeCell ref="B200:E200"/>
    <mergeCell ref="B190:E190"/>
    <mergeCell ref="B209:E209"/>
    <mergeCell ref="B193:E193"/>
    <mergeCell ref="B206:E206"/>
    <mergeCell ref="B212:E212"/>
    <mergeCell ref="B134:E134"/>
    <mergeCell ref="B163:E163"/>
    <mergeCell ref="B155:E155"/>
    <mergeCell ref="B164:E164"/>
    <mergeCell ref="B186:E186"/>
    <mergeCell ref="B187:E187"/>
    <mergeCell ref="B204:E204"/>
    <mergeCell ref="B205:E205"/>
    <mergeCell ref="B203:E203"/>
    <mergeCell ref="B189:E189"/>
    <mergeCell ref="B150:E150"/>
    <mergeCell ref="B202:E202"/>
    <mergeCell ref="B142:E142"/>
    <mergeCell ref="B178:E178"/>
    <mergeCell ref="B151:E151"/>
    <mergeCell ref="B211:E211"/>
    <mergeCell ref="B149:E149"/>
    <mergeCell ref="B222:E222"/>
    <mergeCell ref="B219:E219"/>
    <mergeCell ref="B191:E191"/>
    <mergeCell ref="B208:E208"/>
    <mergeCell ref="B194:E194"/>
    <mergeCell ref="B213:E213"/>
    <mergeCell ref="B241:E241"/>
    <mergeCell ref="B249:E249"/>
    <mergeCell ref="B220:E220"/>
    <mergeCell ref="B233:E233"/>
    <mergeCell ref="B229:E229"/>
    <mergeCell ref="B236:E236"/>
    <mergeCell ref="B232:E232"/>
    <mergeCell ref="B207:E207"/>
    <mergeCell ref="B246:E246"/>
    <mergeCell ref="B242:E242"/>
    <mergeCell ref="B218:E218"/>
    <mergeCell ref="B226:E226"/>
    <mergeCell ref="B234:E234"/>
    <mergeCell ref="B243:E243"/>
    <mergeCell ref="B228:E228"/>
    <mergeCell ref="B216:E216"/>
    <mergeCell ref="B239:E239"/>
    <mergeCell ref="B240:E240"/>
    <mergeCell ref="B225:E225"/>
    <mergeCell ref="B227:E227"/>
    <mergeCell ref="B223:E223"/>
    <mergeCell ref="B235:E235"/>
    <mergeCell ref="B263:E263"/>
    <mergeCell ref="B255:E255"/>
    <mergeCell ref="B258:E258"/>
    <mergeCell ref="B259:E259"/>
    <mergeCell ref="B237:E237"/>
    <mergeCell ref="B238:E238"/>
    <mergeCell ref="A274:D274"/>
    <mergeCell ref="B254:E254"/>
    <mergeCell ref="B244:E244"/>
    <mergeCell ref="B250:E250"/>
    <mergeCell ref="B245:E245"/>
    <mergeCell ref="B247:E247"/>
    <mergeCell ref="B260:E260"/>
    <mergeCell ref="B262:E262"/>
    <mergeCell ref="B261:E261"/>
    <mergeCell ref="B256:E256"/>
    <mergeCell ref="B257:E257"/>
    <mergeCell ref="B252:E252"/>
    <mergeCell ref="B253:E253"/>
    <mergeCell ref="B251:E251"/>
    <mergeCell ref="B248:E248"/>
  </mergeCells>
  <phoneticPr fontId="18" type="noConversion"/>
  <hyperlinks>
    <hyperlink ref="B1:G1" location="Index!A1" display="Index!A1" xr:uid="{00000000-0004-0000-4A00-000000000000}"/>
  </hyperlinks>
  <pageMargins left="0.6" right="0.6" top="0.5" bottom="0.5" header="0.3" footer="0.3"/>
  <pageSetup scale="77" fitToHeight="5" orientation="portrait" r:id="rId3"/>
  <rowBreaks count="4" manualBreakCount="4">
    <brk id="61" max="8" man="1"/>
    <brk id="116" max="8" man="1"/>
    <brk id="181" max="8" man="1"/>
    <brk id="230" max="8" man="1"/>
  </rowBreaks>
  <legacyDrawing r:id="rId4"/>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52">
    <tabColor rgb="FFFFFF00"/>
  </sheetPr>
  <dimension ref="A1:G1591"/>
  <sheetViews>
    <sheetView zoomScale="130" zoomScaleNormal="130" workbookViewId="0">
      <pane ySplit="2" topLeftCell="A316" activePane="bottomLeft" state="frozen"/>
      <selection pane="bottomLeft" activeCell="C369" sqref="C369"/>
    </sheetView>
  </sheetViews>
  <sheetFormatPr defaultRowHeight="12.75" x14ac:dyDescent="0.2"/>
  <cols>
    <col min="1" max="1" width="16.140625" style="145" customWidth="1"/>
    <col min="2" max="2" width="22.28515625" style="145" customWidth="1"/>
    <col min="3" max="3" width="85.42578125" style="186" customWidth="1"/>
    <col min="4" max="4" width="54.5703125" style="440" customWidth="1"/>
    <col min="5" max="5" width="12.85546875" style="145" customWidth="1"/>
  </cols>
  <sheetData>
    <row r="1" spans="1:5" ht="28.5" customHeight="1" thickBot="1" x14ac:dyDescent="0.3">
      <c r="C1" s="616" t="s">
        <v>2931</v>
      </c>
      <c r="D1" s="970" t="s">
        <v>2932</v>
      </c>
    </row>
    <row r="2" spans="1:5" ht="18.75" thickBot="1" x14ac:dyDescent="0.3">
      <c r="A2" s="2107" t="s">
        <v>2933</v>
      </c>
      <c r="B2" s="2045" t="s">
        <v>2934</v>
      </c>
      <c r="C2" s="781" t="s">
        <v>2935</v>
      </c>
      <c r="D2" s="883"/>
    </row>
    <row r="3" spans="1:5" x14ac:dyDescent="0.2">
      <c r="A3" s="3092" t="s">
        <v>2732</v>
      </c>
      <c r="B3" s="3092"/>
      <c r="C3" s="3092"/>
      <c r="D3" s="1271" t="s">
        <v>2936</v>
      </c>
      <c r="E3" s="2287" t="s">
        <v>2937</v>
      </c>
    </row>
    <row r="4" spans="1:5" x14ac:dyDescent="0.2">
      <c r="A4" s="2607" t="s">
        <v>2735</v>
      </c>
      <c r="B4" s="2607"/>
      <c r="C4" s="2607"/>
      <c r="D4" s="1777" t="s">
        <v>2938</v>
      </c>
    </row>
    <row r="5" spans="1:5" ht="42" customHeight="1" thickBot="1" x14ac:dyDescent="0.25">
      <c r="A5" s="3093" t="s">
        <v>2737</v>
      </c>
      <c r="B5" s="3093"/>
      <c r="C5" s="3093"/>
      <c r="D5" s="2145" t="s">
        <v>2939</v>
      </c>
    </row>
    <row r="6" spans="1:5" ht="13.5" thickBot="1" x14ac:dyDescent="0.25">
      <c r="A6" s="3087" t="s">
        <v>1538</v>
      </c>
      <c r="B6" s="3088"/>
      <c r="C6" s="3089"/>
      <c r="D6" s="905" t="s">
        <v>2940</v>
      </c>
      <c r="E6" s="145">
        <v>1000</v>
      </c>
    </row>
    <row r="7" spans="1:5" x14ac:dyDescent="0.2">
      <c r="A7" s="145">
        <v>111110</v>
      </c>
      <c r="B7" s="145" t="str">
        <f>+A7&amp;"00"</f>
        <v>11111000</v>
      </c>
      <c r="C7" s="186" t="s">
        <v>2941</v>
      </c>
      <c r="D7" s="2320"/>
    </row>
    <row r="8" spans="1:5" x14ac:dyDescent="0.2">
      <c r="A8" s="145">
        <v>111120</v>
      </c>
      <c r="B8" s="145" t="str">
        <f t="shared" ref="B8:B38" si="0">+A8&amp;"00"</f>
        <v>11112000</v>
      </c>
      <c r="C8" s="186" t="s">
        <v>2942</v>
      </c>
      <c r="D8" s="2320"/>
    </row>
    <row r="9" spans="1:5" x14ac:dyDescent="0.2">
      <c r="A9" s="145">
        <v>111130</v>
      </c>
      <c r="B9" s="145" t="str">
        <f t="shared" si="0"/>
        <v>11113000</v>
      </c>
      <c r="C9" s="186" t="s">
        <v>2943</v>
      </c>
      <c r="D9" s="2320"/>
    </row>
    <row r="10" spans="1:5" x14ac:dyDescent="0.2">
      <c r="A10" s="145">
        <v>111140</v>
      </c>
      <c r="B10" s="145" t="str">
        <f t="shared" si="0"/>
        <v>11114000</v>
      </c>
      <c r="C10" s="186" t="s">
        <v>2944</v>
      </c>
      <c r="D10" s="2320"/>
    </row>
    <row r="11" spans="1:5" x14ac:dyDescent="0.2">
      <c r="A11" s="145">
        <v>111190</v>
      </c>
      <c r="B11" s="145" t="str">
        <f t="shared" si="0"/>
        <v>11119000</v>
      </c>
      <c r="C11" s="186" t="s">
        <v>2945</v>
      </c>
      <c r="D11" s="2320"/>
    </row>
    <row r="12" spans="1:5" ht="13.5" thickBot="1" x14ac:dyDescent="0.25">
      <c r="A12" s="145">
        <v>112121</v>
      </c>
      <c r="B12" s="145" t="str">
        <f t="shared" si="0"/>
        <v>11212100</v>
      </c>
      <c r="C12" s="186" t="s">
        <v>2946</v>
      </c>
      <c r="D12" s="2320"/>
    </row>
    <row r="13" spans="1:5" ht="13.5" thickBot="1" x14ac:dyDescent="0.25">
      <c r="A13" s="3087" t="s">
        <v>1539</v>
      </c>
      <c r="B13" s="3088"/>
      <c r="C13" s="3089"/>
      <c r="D13" s="905" t="s">
        <v>2940</v>
      </c>
      <c r="E13" s="145">
        <v>1010</v>
      </c>
    </row>
    <row r="14" spans="1:5" x14ac:dyDescent="0.2">
      <c r="A14" s="2434"/>
      <c r="B14" s="2300">
        <v>11120000</v>
      </c>
      <c r="C14" s="2161" t="s">
        <v>2947</v>
      </c>
      <c r="D14" s="2160"/>
    </row>
    <row r="15" spans="1:5" x14ac:dyDescent="0.2">
      <c r="A15" s="145">
        <v>111210</v>
      </c>
      <c r="B15" s="145" t="str">
        <f t="shared" si="0"/>
        <v>11121000</v>
      </c>
      <c r="C15" s="186" t="s">
        <v>2948</v>
      </c>
      <c r="D15" s="2320"/>
    </row>
    <row r="16" spans="1:5" x14ac:dyDescent="0.2">
      <c r="A16" s="145">
        <v>111220</v>
      </c>
      <c r="B16" s="145" t="str">
        <f t="shared" si="0"/>
        <v>11122000</v>
      </c>
      <c r="C16" s="186" t="s">
        <v>2949</v>
      </c>
      <c r="D16" s="2320"/>
    </row>
    <row r="17" spans="1:5" x14ac:dyDescent="0.2">
      <c r="A17" s="145">
        <v>111230</v>
      </c>
      <c r="B17" s="145" t="str">
        <f t="shared" si="0"/>
        <v>11123000</v>
      </c>
      <c r="C17" s="186" t="s">
        <v>2950</v>
      </c>
      <c r="D17" s="2320"/>
    </row>
    <row r="18" spans="1:5" x14ac:dyDescent="0.2">
      <c r="A18" s="145">
        <v>111231</v>
      </c>
      <c r="B18" s="145" t="str">
        <f t="shared" si="0"/>
        <v>11123100</v>
      </c>
      <c r="C18" s="186" t="s">
        <v>2951</v>
      </c>
      <c r="D18" s="2320"/>
    </row>
    <row r="19" spans="1:5" x14ac:dyDescent="0.2">
      <c r="A19" s="145">
        <v>111232</v>
      </c>
      <c r="B19" s="145" t="str">
        <f t="shared" si="0"/>
        <v>11123200</v>
      </c>
      <c r="C19" s="186" t="s">
        <v>2952</v>
      </c>
      <c r="D19" s="2320"/>
    </row>
    <row r="20" spans="1:5" x14ac:dyDescent="0.2">
      <c r="A20" s="145">
        <v>111240</v>
      </c>
      <c r="B20" s="145" t="str">
        <f t="shared" si="0"/>
        <v>11124000</v>
      </c>
      <c r="C20" s="186" t="s">
        <v>2953</v>
      </c>
      <c r="D20" s="2320"/>
    </row>
    <row r="21" spans="1:5" x14ac:dyDescent="0.2">
      <c r="A21" s="145">
        <v>111250</v>
      </c>
      <c r="B21" s="145" t="str">
        <f t="shared" si="0"/>
        <v>11125000</v>
      </c>
      <c r="C21" s="186" t="s">
        <v>2954</v>
      </c>
      <c r="D21" s="2320"/>
    </row>
    <row r="22" spans="1:5" x14ac:dyDescent="0.2">
      <c r="A22" s="145">
        <v>111255</v>
      </c>
      <c r="B22" s="145" t="str">
        <f t="shared" si="0"/>
        <v>11125500</v>
      </c>
      <c r="C22" s="186" t="s">
        <v>2955</v>
      </c>
      <c r="D22" s="2320"/>
    </row>
    <row r="23" spans="1:5" x14ac:dyDescent="0.2">
      <c r="A23" s="145">
        <v>111260</v>
      </c>
      <c r="B23" s="2300" t="s">
        <v>2956</v>
      </c>
      <c r="C23" s="186" t="s">
        <v>2957</v>
      </c>
      <c r="D23" s="2320"/>
    </row>
    <row r="24" spans="1:5" x14ac:dyDescent="0.2">
      <c r="A24" s="145">
        <v>111270</v>
      </c>
      <c r="B24" s="2300" t="s">
        <v>2956</v>
      </c>
      <c r="C24" s="186" t="s">
        <v>2958</v>
      </c>
      <c r="D24" s="2320"/>
    </row>
    <row r="25" spans="1:5" x14ac:dyDescent="0.2">
      <c r="A25" s="145">
        <v>111280</v>
      </c>
      <c r="B25" s="145" t="str">
        <f t="shared" si="0"/>
        <v>11128000</v>
      </c>
      <c r="C25" s="186" t="s">
        <v>2959</v>
      </c>
      <c r="D25" s="2320"/>
    </row>
    <row r="26" spans="1:5" ht="13.5" thickBot="1" x14ac:dyDescent="0.25">
      <c r="A26" s="145">
        <v>111290</v>
      </c>
      <c r="B26" s="145" t="str">
        <f t="shared" si="0"/>
        <v>11129000</v>
      </c>
      <c r="C26" s="186" t="s">
        <v>2960</v>
      </c>
      <c r="D26" s="2320"/>
    </row>
    <row r="27" spans="1:5" ht="13.5" thickBot="1" x14ac:dyDescent="0.25">
      <c r="A27" s="3087" t="s">
        <v>2961</v>
      </c>
      <c r="B27" s="3088"/>
      <c r="C27" s="3089"/>
      <c r="D27" s="905" t="s">
        <v>2940</v>
      </c>
      <c r="E27" s="145">
        <v>1020</v>
      </c>
    </row>
    <row r="28" spans="1:5" x14ac:dyDescent="0.2">
      <c r="A28" s="145" t="s">
        <v>2962</v>
      </c>
      <c r="B28" s="145" t="str">
        <f t="shared" si="0"/>
        <v>11R11000</v>
      </c>
      <c r="C28" s="186" t="s">
        <v>2963</v>
      </c>
      <c r="D28" s="2320"/>
    </row>
    <row r="29" spans="1:5" x14ac:dyDescent="0.2">
      <c r="A29" s="145" t="s">
        <v>2964</v>
      </c>
      <c r="B29" s="145" t="str">
        <f t="shared" si="0"/>
        <v>11R12000</v>
      </c>
      <c r="C29" s="186" t="s">
        <v>2965</v>
      </c>
      <c r="D29" s="2320"/>
    </row>
    <row r="30" spans="1:5" x14ac:dyDescent="0.2">
      <c r="A30" s="145" t="s">
        <v>2966</v>
      </c>
      <c r="B30" s="145" t="str">
        <f t="shared" si="0"/>
        <v>11R12100</v>
      </c>
      <c r="C30" s="186" t="s">
        <v>2967</v>
      </c>
      <c r="D30" s="2320"/>
    </row>
    <row r="31" spans="1:5" x14ac:dyDescent="0.2">
      <c r="A31" s="145" t="s">
        <v>2968</v>
      </c>
      <c r="B31" s="145" t="str">
        <f t="shared" si="0"/>
        <v>11R13000</v>
      </c>
      <c r="C31" s="186" t="s">
        <v>2969</v>
      </c>
      <c r="D31" s="2320"/>
    </row>
    <row r="32" spans="1:5" ht="13.5" thickBot="1" x14ac:dyDescent="0.25">
      <c r="A32" s="145" t="s">
        <v>2970</v>
      </c>
      <c r="B32" s="145" t="str">
        <f t="shared" si="0"/>
        <v>11R19000</v>
      </c>
      <c r="C32" s="186" t="s">
        <v>2971</v>
      </c>
      <c r="D32" s="2320"/>
    </row>
    <row r="33" spans="1:5" ht="13.5" thickBot="1" x14ac:dyDescent="0.25">
      <c r="A33" s="3087" t="s">
        <v>1952</v>
      </c>
      <c r="B33" s="3088"/>
      <c r="C33" s="3089"/>
      <c r="D33" s="905" t="s">
        <v>2940</v>
      </c>
      <c r="E33" s="145">
        <v>1030</v>
      </c>
    </row>
    <row r="34" spans="1:5" x14ac:dyDescent="0.2">
      <c r="A34" s="145" t="s">
        <v>2972</v>
      </c>
      <c r="B34" s="145" t="str">
        <f t="shared" si="0"/>
        <v>11R22000</v>
      </c>
      <c r="C34" s="186" t="s">
        <v>2973</v>
      </c>
      <c r="D34" s="2320"/>
    </row>
    <row r="35" spans="1:5" x14ac:dyDescent="0.2">
      <c r="A35" s="145" t="s">
        <v>2974</v>
      </c>
      <c r="B35" s="2300" t="s">
        <v>2975</v>
      </c>
      <c r="C35" s="186" t="s">
        <v>2976</v>
      </c>
      <c r="D35" s="2320"/>
    </row>
    <row r="36" spans="1:5" x14ac:dyDescent="0.2">
      <c r="A36" s="145" t="s">
        <v>2977</v>
      </c>
      <c r="B36" s="2300" t="s">
        <v>2975</v>
      </c>
      <c r="C36" s="186" t="s">
        <v>2978</v>
      </c>
      <c r="D36" s="2320"/>
    </row>
    <row r="37" spans="1:5" x14ac:dyDescent="0.2">
      <c r="A37" s="145" t="s">
        <v>2979</v>
      </c>
      <c r="B37" s="145" t="str">
        <f t="shared" si="0"/>
        <v>11R28000</v>
      </c>
      <c r="C37" s="186" t="s">
        <v>2980</v>
      </c>
      <c r="D37" s="2320"/>
    </row>
    <row r="38" spans="1:5" ht="13.5" thickBot="1" x14ac:dyDescent="0.25">
      <c r="A38" s="145" t="s">
        <v>2981</v>
      </c>
      <c r="B38" s="145" t="str">
        <f t="shared" si="0"/>
        <v>11R29000</v>
      </c>
      <c r="C38" s="186" t="s">
        <v>2982</v>
      </c>
      <c r="D38" s="2320"/>
    </row>
    <row r="39" spans="1:5" ht="13.5" thickBot="1" x14ac:dyDescent="0.25">
      <c r="A39" s="3087" t="s">
        <v>1540</v>
      </c>
      <c r="B39" s="3088"/>
      <c r="C39" s="3089"/>
      <c r="D39" s="905" t="s">
        <v>2940</v>
      </c>
      <c r="E39" s="145">
        <v>1050</v>
      </c>
    </row>
    <row r="40" spans="1:5" x14ac:dyDescent="0.2">
      <c r="A40" s="145">
        <v>112101</v>
      </c>
      <c r="B40" s="145" t="str">
        <f t="shared" ref="B40:B94" si="1">+A40&amp;"00"</f>
        <v>11210100</v>
      </c>
      <c r="C40" s="186" t="s">
        <v>2983</v>
      </c>
      <c r="D40" s="2320"/>
    </row>
    <row r="41" spans="1:5" x14ac:dyDescent="0.2">
      <c r="A41" s="145">
        <v>112102</v>
      </c>
      <c r="B41" s="145" t="str">
        <f t="shared" si="1"/>
        <v>11210200</v>
      </c>
      <c r="C41" s="186" t="s">
        <v>2984</v>
      </c>
      <c r="D41" s="2320"/>
    </row>
    <row r="42" spans="1:5" x14ac:dyDescent="0.2">
      <c r="A42" s="145">
        <v>112103</v>
      </c>
      <c r="B42" s="145" t="str">
        <f t="shared" si="1"/>
        <v>11210300</v>
      </c>
      <c r="C42" s="186" t="s">
        <v>2985</v>
      </c>
      <c r="D42" s="2320"/>
    </row>
    <row r="43" spans="1:5" x14ac:dyDescent="0.2">
      <c r="A43" s="145">
        <v>112104</v>
      </c>
      <c r="B43" s="145" t="str">
        <f t="shared" si="1"/>
        <v>11210400</v>
      </c>
      <c r="C43" s="186" t="s">
        <v>2986</v>
      </c>
      <c r="D43" s="2320"/>
    </row>
    <row r="44" spans="1:5" x14ac:dyDescent="0.2">
      <c r="A44" s="145">
        <v>112105</v>
      </c>
      <c r="B44" s="145" t="str">
        <f t="shared" si="1"/>
        <v>11210500</v>
      </c>
      <c r="C44" s="186" t="s">
        <v>2987</v>
      </c>
      <c r="D44" s="2320"/>
    </row>
    <row r="45" spans="1:5" x14ac:dyDescent="0.2">
      <c r="A45" s="145">
        <v>112106</v>
      </c>
      <c r="B45" s="145" t="str">
        <f t="shared" si="1"/>
        <v>11210600</v>
      </c>
      <c r="C45" s="186" t="s">
        <v>2988</v>
      </c>
      <c r="D45" s="2320"/>
    </row>
    <row r="46" spans="1:5" x14ac:dyDescent="0.2">
      <c r="A46" s="145">
        <v>112107</v>
      </c>
      <c r="B46" s="145" t="str">
        <f t="shared" si="1"/>
        <v>11210700</v>
      </c>
      <c r="C46" s="186" t="s">
        <v>2989</v>
      </c>
      <c r="D46" s="2320"/>
    </row>
    <row r="47" spans="1:5" x14ac:dyDescent="0.2">
      <c r="A47" s="145">
        <v>112108</v>
      </c>
      <c r="B47" s="145" t="str">
        <f t="shared" si="1"/>
        <v>11210800</v>
      </c>
      <c r="C47" s="186" t="s">
        <v>2990</v>
      </c>
      <c r="D47" s="2320"/>
    </row>
    <row r="48" spans="1:5" x14ac:dyDescent="0.2">
      <c r="A48" s="145">
        <v>112109</v>
      </c>
      <c r="B48" s="145" t="str">
        <f t="shared" si="1"/>
        <v>11210900</v>
      </c>
      <c r="C48" s="186" t="s">
        <v>2991</v>
      </c>
      <c r="D48" s="2320"/>
    </row>
    <row r="49" spans="1:4" x14ac:dyDescent="0.2">
      <c r="A49" s="145">
        <v>112110</v>
      </c>
      <c r="B49" s="145" t="str">
        <f t="shared" si="1"/>
        <v>11211000</v>
      </c>
      <c r="C49" s="186" t="s">
        <v>2992</v>
      </c>
      <c r="D49" s="2320"/>
    </row>
    <row r="50" spans="1:4" x14ac:dyDescent="0.2">
      <c r="A50" s="145">
        <v>112111</v>
      </c>
      <c r="B50" s="145" t="str">
        <f t="shared" si="1"/>
        <v>11211100</v>
      </c>
      <c r="C50" s="186" t="s">
        <v>2993</v>
      </c>
      <c r="D50" s="2320"/>
    </row>
    <row r="51" spans="1:4" x14ac:dyDescent="0.2">
      <c r="A51" s="145">
        <v>112112</v>
      </c>
      <c r="B51" s="145" t="str">
        <f t="shared" si="1"/>
        <v>11211200</v>
      </c>
      <c r="C51" s="186" t="s">
        <v>2994</v>
      </c>
      <c r="D51" s="2320"/>
    </row>
    <row r="52" spans="1:4" x14ac:dyDescent="0.2">
      <c r="A52" s="145">
        <v>112113</v>
      </c>
      <c r="B52" s="145" t="str">
        <f t="shared" si="1"/>
        <v>11211300</v>
      </c>
      <c r="C52" s="186" t="s">
        <v>2995</v>
      </c>
      <c r="D52" s="2320"/>
    </row>
    <row r="53" spans="1:4" x14ac:dyDescent="0.2">
      <c r="A53" s="145">
        <v>112114</v>
      </c>
      <c r="B53" s="145" t="str">
        <f t="shared" si="1"/>
        <v>11211400</v>
      </c>
      <c r="C53" s="186" t="s">
        <v>2996</v>
      </c>
      <c r="D53" s="2320"/>
    </row>
    <row r="54" spans="1:4" x14ac:dyDescent="0.2">
      <c r="A54" s="145">
        <v>112115</v>
      </c>
      <c r="B54" s="145" t="str">
        <f t="shared" si="1"/>
        <v>11211500</v>
      </c>
      <c r="C54" s="186" t="s">
        <v>2997</v>
      </c>
      <c r="D54" s="2320"/>
    </row>
    <row r="55" spans="1:4" x14ac:dyDescent="0.2">
      <c r="A55" s="145">
        <v>112116</v>
      </c>
      <c r="B55" s="145" t="str">
        <f t="shared" si="1"/>
        <v>11211600</v>
      </c>
      <c r="C55" s="186" t="s">
        <v>2998</v>
      </c>
      <c r="D55" s="2320"/>
    </row>
    <row r="56" spans="1:4" x14ac:dyDescent="0.2">
      <c r="A56" s="145">
        <v>112117</v>
      </c>
      <c r="B56" s="145" t="str">
        <f t="shared" si="1"/>
        <v>11211700</v>
      </c>
      <c r="C56" s="186" t="s">
        <v>2999</v>
      </c>
      <c r="D56" s="2320"/>
    </row>
    <row r="57" spans="1:4" x14ac:dyDescent="0.2">
      <c r="A57" s="145">
        <v>112118</v>
      </c>
      <c r="B57" s="145" t="str">
        <f t="shared" si="1"/>
        <v>11211800</v>
      </c>
      <c r="C57" s="186" t="s">
        <v>3000</v>
      </c>
      <c r="D57" s="2320"/>
    </row>
    <row r="58" spans="1:4" x14ac:dyDescent="0.2">
      <c r="A58" s="145">
        <v>112119</v>
      </c>
      <c r="B58" s="145" t="str">
        <f t="shared" si="1"/>
        <v>11211900</v>
      </c>
      <c r="C58" s="186" t="s">
        <v>3001</v>
      </c>
      <c r="D58" s="2320"/>
    </row>
    <row r="59" spans="1:4" x14ac:dyDescent="0.2">
      <c r="A59" s="145">
        <v>112120</v>
      </c>
      <c r="B59" s="145" t="str">
        <f t="shared" si="1"/>
        <v>11212000</v>
      </c>
      <c r="C59" s="186" t="s">
        <v>3002</v>
      </c>
      <c r="D59" s="2320"/>
    </row>
    <row r="60" spans="1:4" x14ac:dyDescent="0.2">
      <c r="A60" s="145">
        <v>112122</v>
      </c>
      <c r="B60" s="145" t="str">
        <f t="shared" si="1"/>
        <v>11212200</v>
      </c>
      <c r="C60" s="186" t="s">
        <v>3003</v>
      </c>
      <c r="D60" s="2320"/>
    </row>
    <row r="61" spans="1:4" x14ac:dyDescent="0.2">
      <c r="A61" s="145">
        <v>112123</v>
      </c>
      <c r="B61" s="145" t="str">
        <f t="shared" si="1"/>
        <v>11212300</v>
      </c>
      <c r="C61" s="186" t="s">
        <v>3004</v>
      </c>
      <c r="D61" s="2320"/>
    </row>
    <row r="62" spans="1:4" x14ac:dyDescent="0.2">
      <c r="A62" s="145">
        <v>112124</v>
      </c>
      <c r="B62" s="145" t="str">
        <f t="shared" si="1"/>
        <v>11212400</v>
      </c>
      <c r="C62" s="186" t="s">
        <v>3005</v>
      </c>
      <c r="D62" s="2320"/>
    </row>
    <row r="63" spans="1:4" x14ac:dyDescent="0.2">
      <c r="A63" s="145">
        <v>112150</v>
      </c>
      <c r="B63" s="145" t="str">
        <f t="shared" si="1"/>
        <v>11215000</v>
      </c>
      <c r="C63" s="186" t="s">
        <v>3006</v>
      </c>
      <c r="D63" s="2320"/>
    </row>
    <row r="64" spans="1:4" x14ac:dyDescent="0.2">
      <c r="A64" s="145">
        <v>112151</v>
      </c>
      <c r="B64" s="145" t="str">
        <f t="shared" si="1"/>
        <v>11215100</v>
      </c>
      <c r="C64" s="186" t="s">
        <v>3007</v>
      </c>
      <c r="D64" s="2320"/>
    </row>
    <row r="65" spans="1:5" x14ac:dyDescent="0.2">
      <c r="A65" s="145">
        <v>112190</v>
      </c>
      <c r="B65" s="145" t="str">
        <f t="shared" si="1"/>
        <v>11219000</v>
      </c>
      <c r="C65" s="186" t="s">
        <v>3008</v>
      </c>
      <c r="D65" s="2320"/>
    </row>
    <row r="66" spans="1:5" ht="13.5" thickBot="1" x14ac:dyDescent="0.25">
      <c r="A66" s="145">
        <v>112191</v>
      </c>
      <c r="B66" s="145" t="str">
        <f t="shared" si="1"/>
        <v>11219100</v>
      </c>
      <c r="C66" s="186" t="s">
        <v>3009</v>
      </c>
      <c r="D66" s="2320" t="s">
        <v>3010</v>
      </c>
    </row>
    <row r="67" spans="1:5" ht="13.5" thickBot="1" x14ac:dyDescent="0.25">
      <c r="A67" s="3087" t="s">
        <v>2391</v>
      </c>
      <c r="B67" s="3088"/>
      <c r="C67" s="3089"/>
      <c r="D67" s="907" t="s">
        <v>2940</v>
      </c>
      <c r="E67" s="145">
        <v>1060</v>
      </c>
    </row>
    <row r="68" spans="1:5" x14ac:dyDescent="0.2">
      <c r="A68" s="145">
        <v>112210</v>
      </c>
      <c r="B68" s="145" t="str">
        <f t="shared" si="1"/>
        <v>11221000</v>
      </c>
      <c r="C68" s="186" t="s">
        <v>3011</v>
      </c>
      <c r="D68" s="2320"/>
    </row>
    <row r="69" spans="1:5" x14ac:dyDescent="0.2">
      <c r="A69" s="145">
        <v>112211</v>
      </c>
      <c r="B69" s="145" t="str">
        <f t="shared" si="1"/>
        <v>11221100</v>
      </c>
      <c r="C69" s="186" t="s">
        <v>3012</v>
      </c>
      <c r="D69" s="2320"/>
    </row>
    <row r="70" spans="1:5" x14ac:dyDescent="0.2">
      <c r="A70" s="2300">
        <v>112215</v>
      </c>
      <c r="B70" s="145" t="str">
        <f t="shared" si="1"/>
        <v>11221500</v>
      </c>
      <c r="C70" s="186" t="s">
        <v>3013</v>
      </c>
      <c r="D70" s="2320" t="s">
        <v>3014</v>
      </c>
    </row>
    <row r="71" spans="1:5" x14ac:dyDescent="0.2">
      <c r="A71" s="2300">
        <v>112216</v>
      </c>
      <c r="B71" s="145" t="str">
        <f t="shared" si="1"/>
        <v>11221600</v>
      </c>
      <c r="C71" s="186" t="s">
        <v>3015</v>
      </c>
      <c r="D71" s="2320" t="s">
        <v>3016</v>
      </c>
    </row>
    <row r="72" spans="1:5" x14ac:dyDescent="0.2">
      <c r="A72" s="145">
        <v>112220</v>
      </c>
      <c r="B72" s="145" t="str">
        <f t="shared" si="1"/>
        <v>11222000</v>
      </c>
      <c r="C72" s="186" t="s">
        <v>3017</v>
      </c>
      <c r="D72" s="2320"/>
    </row>
    <row r="73" spans="1:5" x14ac:dyDescent="0.2">
      <c r="A73" s="145">
        <v>112230</v>
      </c>
      <c r="B73" s="145" t="str">
        <f t="shared" si="1"/>
        <v>11223000</v>
      </c>
      <c r="C73" s="186" t="s">
        <v>3018</v>
      </c>
      <c r="D73" s="2320"/>
    </row>
    <row r="74" spans="1:5" x14ac:dyDescent="0.2">
      <c r="A74" s="145">
        <v>112240</v>
      </c>
      <c r="B74" s="145" t="str">
        <f t="shared" si="1"/>
        <v>11224000</v>
      </c>
      <c r="C74" s="186" t="s">
        <v>3019</v>
      </c>
      <c r="D74" s="2320"/>
    </row>
    <row r="75" spans="1:5" x14ac:dyDescent="0.2">
      <c r="A75" s="2300">
        <v>112241</v>
      </c>
      <c r="B75" s="145" t="str">
        <f t="shared" si="1"/>
        <v>11224100</v>
      </c>
      <c r="C75" s="186" t="s">
        <v>3020</v>
      </c>
      <c r="D75" s="2320" t="s">
        <v>3021</v>
      </c>
    </row>
    <row r="76" spans="1:5" x14ac:dyDescent="0.2">
      <c r="A76" s="2300">
        <v>112243</v>
      </c>
      <c r="B76" s="145" t="str">
        <f t="shared" si="1"/>
        <v>11224300</v>
      </c>
      <c r="C76" s="186" t="s">
        <v>3022</v>
      </c>
      <c r="D76" s="138" t="s">
        <v>3023</v>
      </c>
    </row>
    <row r="77" spans="1:5" x14ac:dyDescent="0.2">
      <c r="A77" s="2300">
        <v>112242</v>
      </c>
      <c r="B77" s="145" t="str">
        <f t="shared" si="1"/>
        <v>11224200</v>
      </c>
      <c r="C77" s="186" t="s">
        <v>3024</v>
      </c>
      <c r="D77" s="2320" t="s">
        <v>3021</v>
      </c>
    </row>
    <row r="78" spans="1:5" x14ac:dyDescent="0.2">
      <c r="A78" s="145">
        <v>112260</v>
      </c>
      <c r="B78" s="145" t="str">
        <f t="shared" si="1"/>
        <v>11226000</v>
      </c>
      <c r="C78" s="186" t="s">
        <v>3025</v>
      </c>
      <c r="D78" s="2320"/>
    </row>
    <row r="79" spans="1:5" x14ac:dyDescent="0.2">
      <c r="A79" s="145">
        <v>112280</v>
      </c>
      <c r="B79" s="145" t="str">
        <f t="shared" si="1"/>
        <v>11228000</v>
      </c>
      <c r="C79" s="186" t="s">
        <v>3026</v>
      </c>
      <c r="D79" s="2320"/>
    </row>
    <row r="80" spans="1:5" x14ac:dyDescent="0.2">
      <c r="A80" s="145">
        <v>112281</v>
      </c>
      <c r="B80" s="145" t="str">
        <f t="shared" si="1"/>
        <v>11228100</v>
      </c>
      <c r="C80" s="186" t="s">
        <v>3027</v>
      </c>
      <c r="D80" s="2320"/>
    </row>
    <row r="81" spans="1:5" x14ac:dyDescent="0.2">
      <c r="A81" s="145">
        <v>112282</v>
      </c>
      <c r="B81" s="145" t="str">
        <f t="shared" si="1"/>
        <v>11228200</v>
      </c>
      <c r="C81" s="186" t="s">
        <v>3028</v>
      </c>
      <c r="D81" s="2320"/>
    </row>
    <row r="82" spans="1:5" x14ac:dyDescent="0.2">
      <c r="A82" s="145">
        <v>112283</v>
      </c>
      <c r="B82" s="145" t="str">
        <f t="shared" si="1"/>
        <v>11228300</v>
      </c>
      <c r="C82" s="186" t="s">
        <v>3029</v>
      </c>
      <c r="D82" s="2320"/>
    </row>
    <row r="83" spans="1:5" x14ac:dyDescent="0.2">
      <c r="A83" s="145">
        <v>112284</v>
      </c>
      <c r="B83" s="145" t="str">
        <f t="shared" si="1"/>
        <v>11228400</v>
      </c>
      <c r="C83" s="186" t="s">
        <v>3030</v>
      </c>
      <c r="D83" s="2320" t="s">
        <v>3031</v>
      </c>
    </row>
    <row r="84" spans="1:5" x14ac:dyDescent="0.2">
      <c r="A84" s="2300">
        <v>112285</v>
      </c>
      <c r="B84" s="145" t="str">
        <f t="shared" si="1"/>
        <v>11228500</v>
      </c>
      <c r="C84" s="186" t="s">
        <v>3032</v>
      </c>
      <c r="D84" s="2320" t="s">
        <v>3021</v>
      </c>
    </row>
    <row r="85" spans="1:5" x14ac:dyDescent="0.2">
      <c r="A85" s="2300">
        <v>112286</v>
      </c>
      <c r="B85" s="145" t="str">
        <f t="shared" si="1"/>
        <v>11228600</v>
      </c>
      <c r="C85" s="186" t="s">
        <v>3033</v>
      </c>
      <c r="D85" s="2320" t="s">
        <v>3021</v>
      </c>
    </row>
    <row r="86" spans="1:5" x14ac:dyDescent="0.2">
      <c r="A86" s="2300">
        <v>112287</v>
      </c>
      <c r="B86" s="145" t="str">
        <f t="shared" si="1"/>
        <v>11228700</v>
      </c>
      <c r="C86" s="186" t="s">
        <v>3034</v>
      </c>
      <c r="D86" s="138" t="s">
        <v>3023</v>
      </c>
    </row>
    <row r="87" spans="1:5" x14ac:dyDescent="0.2">
      <c r="A87" s="2300">
        <v>112288</v>
      </c>
      <c r="B87" s="145" t="str">
        <f t="shared" si="1"/>
        <v>11228800</v>
      </c>
      <c r="C87" s="186" t="s">
        <v>3035</v>
      </c>
      <c r="D87" s="138" t="s">
        <v>3014</v>
      </c>
    </row>
    <row r="88" spans="1:5" ht="13.5" thickBot="1" x14ac:dyDescent="0.25">
      <c r="A88" s="2300">
        <v>112289</v>
      </c>
      <c r="B88" s="145" t="str">
        <f t="shared" si="1"/>
        <v>11228900</v>
      </c>
      <c r="C88" s="186" t="s">
        <v>3036</v>
      </c>
      <c r="D88" s="2320" t="s">
        <v>3016</v>
      </c>
    </row>
    <row r="89" spans="1:5" ht="13.5" thickBot="1" x14ac:dyDescent="0.25">
      <c r="A89" s="3087" t="s">
        <v>1542</v>
      </c>
      <c r="B89" s="3088"/>
      <c r="C89" s="3089"/>
      <c r="D89" s="907" t="s">
        <v>2940</v>
      </c>
      <c r="E89" s="145">
        <v>1070</v>
      </c>
    </row>
    <row r="90" spans="1:5" x14ac:dyDescent="0.2">
      <c r="A90" s="145">
        <v>112125</v>
      </c>
      <c r="B90" s="145" t="str">
        <f t="shared" si="1"/>
        <v>11212500</v>
      </c>
      <c r="C90" s="186" t="s">
        <v>3037</v>
      </c>
      <c r="D90" s="2320"/>
    </row>
    <row r="91" spans="1:5" x14ac:dyDescent="0.2">
      <c r="A91" s="145">
        <v>112152</v>
      </c>
      <c r="B91" s="145" t="str">
        <f t="shared" si="1"/>
        <v>11215200</v>
      </c>
      <c r="C91" s="186" t="s">
        <v>3038</v>
      </c>
      <c r="D91" s="2320"/>
    </row>
    <row r="92" spans="1:5" ht="13.5" thickBot="1" x14ac:dyDescent="0.25">
      <c r="A92" s="145">
        <v>112250</v>
      </c>
      <c r="B92" s="145" t="str">
        <f t="shared" si="1"/>
        <v>11225000</v>
      </c>
      <c r="C92" s="186" t="s">
        <v>3039</v>
      </c>
      <c r="D92" s="2320"/>
    </row>
    <row r="93" spans="1:5" ht="13.5" thickBot="1" x14ac:dyDescent="0.25">
      <c r="A93" s="3087" t="s">
        <v>3040</v>
      </c>
      <c r="B93" s="3088"/>
      <c r="C93" s="3089"/>
      <c r="D93" s="905" t="s">
        <v>2940</v>
      </c>
      <c r="E93" s="145">
        <v>1090</v>
      </c>
    </row>
    <row r="94" spans="1:5" x14ac:dyDescent="0.2">
      <c r="A94" s="145">
        <v>112300</v>
      </c>
      <c r="B94" s="145" t="str">
        <f t="shared" si="1"/>
        <v>11230000</v>
      </c>
      <c r="C94" s="186" t="s">
        <v>3041</v>
      </c>
      <c r="D94" s="2320"/>
    </row>
    <row r="95" spans="1:5" ht="13.5" thickBot="1" x14ac:dyDescent="0.25">
      <c r="A95" s="3090" t="s">
        <v>3042</v>
      </c>
      <c r="B95" s="3091"/>
      <c r="C95" s="3091"/>
      <c r="D95" s="908"/>
    </row>
    <row r="96" spans="1:5" ht="13.5" thickBot="1" x14ac:dyDescent="0.25">
      <c r="A96" s="3087" t="s">
        <v>3043</v>
      </c>
      <c r="B96" s="3088"/>
      <c r="C96" s="3089"/>
      <c r="D96" s="905" t="s">
        <v>2940</v>
      </c>
      <c r="E96" s="145">
        <v>1110</v>
      </c>
    </row>
    <row r="97" spans="1:5" x14ac:dyDescent="0.2">
      <c r="A97" s="145">
        <v>113200</v>
      </c>
      <c r="B97" s="145" t="str">
        <f t="shared" ref="B97:B105" si="2">+A97&amp;"00"</f>
        <v>11320000</v>
      </c>
      <c r="C97" s="186" t="s">
        <v>3044</v>
      </c>
      <c r="D97" s="2320"/>
    </row>
    <row r="98" spans="1:5" x14ac:dyDescent="0.2">
      <c r="A98" s="145">
        <v>113210</v>
      </c>
      <c r="B98" s="145" t="str">
        <f t="shared" si="2"/>
        <v>11321000</v>
      </c>
      <c r="C98" s="186" t="s">
        <v>3045</v>
      </c>
      <c r="D98" s="2320"/>
    </row>
    <row r="99" spans="1:5" x14ac:dyDescent="0.2">
      <c r="A99" s="145">
        <v>113220</v>
      </c>
      <c r="B99" s="145" t="str">
        <f t="shared" si="2"/>
        <v>11322000</v>
      </c>
      <c r="C99" s="186" t="s">
        <v>3046</v>
      </c>
      <c r="D99" s="2320"/>
    </row>
    <row r="100" spans="1:5" x14ac:dyDescent="0.2">
      <c r="A100" s="145">
        <v>113230</v>
      </c>
      <c r="B100" s="145" t="str">
        <f t="shared" si="2"/>
        <v>11323000</v>
      </c>
      <c r="C100" s="186" t="s">
        <v>3047</v>
      </c>
      <c r="D100" s="2320" t="s">
        <v>3048</v>
      </c>
    </row>
    <row r="101" spans="1:5" x14ac:dyDescent="0.2">
      <c r="A101" s="145">
        <v>113231</v>
      </c>
      <c r="B101" s="145" t="str">
        <f t="shared" si="2"/>
        <v>11323100</v>
      </c>
      <c r="C101" s="186" t="s">
        <v>3049</v>
      </c>
      <c r="D101" s="2320" t="s">
        <v>3048</v>
      </c>
    </row>
    <row r="102" spans="1:5" x14ac:dyDescent="0.2">
      <c r="A102" s="145">
        <v>113232</v>
      </c>
      <c r="B102" s="145" t="str">
        <f t="shared" si="2"/>
        <v>11323200</v>
      </c>
      <c r="C102" s="186" t="s">
        <v>3050</v>
      </c>
      <c r="D102" s="2320" t="s">
        <v>3048</v>
      </c>
    </row>
    <row r="103" spans="1:5" x14ac:dyDescent="0.2">
      <c r="A103" s="145">
        <v>113300</v>
      </c>
      <c r="B103" s="145" t="str">
        <f t="shared" si="2"/>
        <v>11330000</v>
      </c>
      <c r="C103" s="186" t="s">
        <v>3051</v>
      </c>
      <c r="D103" s="2320"/>
    </row>
    <row r="104" spans="1:5" x14ac:dyDescent="0.2">
      <c r="A104" s="145">
        <v>113310</v>
      </c>
      <c r="B104" s="145" t="str">
        <f t="shared" si="2"/>
        <v>11331000</v>
      </c>
      <c r="C104" s="186" t="s">
        <v>3052</v>
      </c>
      <c r="D104" s="2320"/>
    </row>
    <row r="105" spans="1:5" ht="13.5" thickBot="1" x14ac:dyDescent="0.25">
      <c r="A105" s="145">
        <v>113320</v>
      </c>
      <c r="B105" s="145" t="str">
        <f t="shared" si="2"/>
        <v>11332000</v>
      </c>
      <c r="C105" s="186" t="s">
        <v>3053</v>
      </c>
      <c r="D105" s="2320"/>
    </row>
    <row r="106" spans="1:5" ht="13.5" thickBot="1" x14ac:dyDescent="0.25">
      <c r="A106" s="3087" t="s">
        <v>3054</v>
      </c>
      <c r="B106" s="3088"/>
      <c r="C106" s="3089"/>
      <c r="D106" s="905" t="s">
        <v>2940</v>
      </c>
      <c r="E106" s="145">
        <v>1120</v>
      </c>
    </row>
    <row r="107" spans="1:5" x14ac:dyDescent="0.2">
      <c r="A107" s="145">
        <v>113410</v>
      </c>
      <c r="B107" s="145" t="str">
        <f t="shared" ref="B107:B110" si="3">+A107&amp;"00"</f>
        <v>11341000</v>
      </c>
      <c r="C107" s="186" t="s">
        <v>3055</v>
      </c>
      <c r="D107" s="2320"/>
    </row>
    <row r="108" spans="1:5" x14ac:dyDescent="0.2">
      <c r="A108" s="145">
        <v>113420</v>
      </c>
      <c r="B108" s="145" t="str">
        <f t="shared" si="3"/>
        <v>11342000</v>
      </c>
      <c r="C108" s="186" t="s">
        <v>3056</v>
      </c>
      <c r="D108" s="2320"/>
    </row>
    <row r="109" spans="1:5" x14ac:dyDescent="0.2">
      <c r="A109" s="145">
        <v>113425</v>
      </c>
      <c r="B109" s="145" t="str">
        <f t="shared" si="3"/>
        <v>11342500</v>
      </c>
      <c r="C109" s="186" t="s">
        <v>3057</v>
      </c>
      <c r="D109" s="2320" t="s">
        <v>3058</v>
      </c>
    </row>
    <row r="110" spans="1:5" ht="13.5" thickBot="1" x14ac:dyDescent="0.25">
      <c r="A110" s="2300">
        <v>113450</v>
      </c>
      <c r="B110" s="145" t="str">
        <f t="shared" si="3"/>
        <v>11345000</v>
      </c>
      <c r="C110" s="186" t="s">
        <v>3059</v>
      </c>
      <c r="D110" s="2320" t="s">
        <v>3060</v>
      </c>
    </row>
    <row r="111" spans="1:5" ht="13.5" thickBot="1" x14ac:dyDescent="0.25">
      <c r="A111" s="3087" t="s">
        <v>3061</v>
      </c>
      <c r="B111" s="3088"/>
      <c r="C111" s="3089"/>
      <c r="D111" s="905" t="s">
        <v>2940</v>
      </c>
      <c r="E111" s="145">
        <v>1130</v>
      </c>
    </row>
    <row r="112" spans="1:5" x14ac:dyDescent="0.2">
      <c r="A112" s="145">
        <v>113510</v>
      </c>
      <c r="B112" s="145" t="str">
        <f t="shared" ref="B112:B113" si="4">+A112&amp;"00"</f>
        <v>11351000</v>
      </c>
      <c r="C112" s="186" t="s">
        <v>3062</v>
      </c>
      <c r="D112" s="2320"/>
    </row>
    <row r="113" spans="1:5" ht="13.5" thickBot="1" x14ac:dyDescent="0.25">
      <c r="A113" s="145">
        <v>113520</v>
      </c>
      <c r="B113" s="145" t="str">
        <f t="shared" si="4"/>
        <v>11352000</v>
      </c>
      <c r="C113" s="186" t="s">
        <v>3063</v>
      </c>
      <c r="D113" s="2320"/>
    </row>
    <row r="114" spans="1:5" ht="13.5" thickBot="1" x14ac:dyDescent="0.25">
      <c r="A114" s="3087" t="s">
        <v>3064</v>
      </c>
      <c r="B114" s="3088"/>
      <c r="C114" s="3089"/>
      <c r="D114" s="905" t="s">
        <v>2940</v>
      </c>
      <c r="E114" s="2300" t="s">
        <v>2517</v>
      </c>
    </row>
    <row r="115" spans="1:5" ht="13.5" thickBot="1" x14ac:dyDescent="0.25">
      <c r="A115" s="145">
        <v>113600</v>
      </c>
      <c r="B115" s="145" t="str">
        <f t="shared" ref="B115" si="5">+A115&amp;"00"</f>
        <v>11360000</v>
      </c>
      <c r="C115" s="186" t="s">
        <v>3065</v>
      </c>
      <c r="D115" s="2320"/>
    </row>
    <row r="116" spans="1:5" ht="13.5" thickBot="1" x14ac:dyDescent="0.25">
      <c r="A116" s="3087" t="s">
        <v>3066</v>
      </c>
      <c r="B116" s="3088"/>
      <c r="C116" s="3089"/>
      <c r="D116" s="905" t="s">
        <v>2940</v>
      </c>
      <c r="E116" s="2300" t="s">
        <v>2517</v>
      </c>
    </row>
    <row r="117" spans="1:5" x14ac:dyDescent="0.2">
      <c r="A117" s="145">
        <v>113370</v>
      </c>
      <c r="B117" s="145" t="str">
        <f t="shared" ref="B117:B118" si="6">+A117&amp;"00"</f>
        <v>11337000</v>
      </c>
      <c r="C117" s="186" t="s">
        <v>3067</v>
      </c>
      <c r="D117" s="2320"/>
    </row>
    <row r="118" spans="1:5" ht="13.5" thickBot="1" x14ac:dyDescent="0.25">
      <c r="A118" s="145">
        <v>113700</v>
      </c>
      <c r="B118" s="145" t="str">
        <f t="shared" si="6"/>
        <v>11370000</v>
      </c>
      <c r="C118" s="186" t="s">
        <v>3068</v>
      </c>
      <c r="D118" s="2320"/>
    </row>
    <row r="119" spans="1:5" ht="13.5" thickBot="1" x14ac:dyDescent="0.25">
      <c r="A119" s="3087" t="s">
        <v>3069</v>
      </c>
      <c r="B119" s="3088"/>
      <c r="C119" s="3089"/>
      <c r="D119" s="905" t="s">
        <v>2940</v>
      </c>
      <c r="E119" s="145">
        <v>1160</v>
      </c>
    </row>
    <row r="120" spans="1:5" x14ac:dyDescent="0.2">
      <c r="A120" s="145">
        <v>113360</v>
      </c>
      <c r="B120" s="145" t="str">
        <f t="shared" ref="B120:B183" si="7">+A120&amp;"00"</f>
        <v>11336000</v>
      </c>
      <c r="C120" s="186" t="s">
        <v>3070</v>
      </c>
      <c r="D120" s="2320"/>
    </row>
    <row r="121" spans="1:5" x14ac:dyDescent="0.2">
      <c r="A121" s="145">
        <v>113910</v>
      </c>
      <c r="B121" s="145" t="str">
        <f t="shared" si="7"/>
        <v>11391000</v>
      </c>
      <c r="C121" s="186" t="s">
        <v>3071</v>
      </c>
      <c r="D121" s="2320"/>
    </row>
    <row r="122" spans="1:5" x14ac:dyDescent="0.2">
      <c r="A122" s="145">
        <v>113940</v>
      </c>
      <c r="B122" s="145" t="str">
        <f t="shared" si="7"/>
        <v>11394000</v>
      </c>
      <c r="C122" s="186" t="s">
        <v>3072</v>
      </c>
      <c r="D122" s="2320"/>
    </row>
    <row r="123" spans="1:5" ht="13.5" thickBot="1" x14ac:dyDescent="0.25">
      <c r="A123" s="145">
        <v>113990</v>
      </c>
      <c r="B123" s="145" t="str">
        <f t="shared" si="7"/>
        <v>11399000</v>
      </c>
      <c r="C123" s="186" t="s">
        <v>3073</v>
      </c>
      <c r="D123" s="2320"/>
    </row>
    <row r="124" spans="1:5" ht="13.5" thickBot="1" x14ac:dyDescent="0.25">
      <c r="A124" s="3087" t="s">
        <v>3074</v>
      </c>
      <c r="B124" s="3088"/>
      <c r="C124" s="3089"/>
      <c r="D124" s="905" t="s">
        <v>2940</v>
      </c>
      <c r="E124" s="2300" t="s">
        <v>2517</v>
      </c>
    </row>
    <row r="125" spans="1:5" x14ac:dyDescent="0.2">
      <c r="A125" s="145">
        <v>114318</v>
      </c>
      <c r="B125" s="145" t="str">
        <f t="shared" si="7"/>
        <v>11431800</v>
      </c>
      <c r="C125" s="186" t="s">
        <v>3075</v>
      </c>
      <c r="D125" s="2320"/>
    </row>
    <row r="126" spans="1:5" x14ac:dyDescent="0.2">
      <c r="A126" s="145">
        <v>114319</v>
      </c>
      <c r="B126" s="145" t="str">
        <f t="shared" si="7"/>
        <v>11431900</v>
      </c>
      <c r="C126" s="186" t="s">
        <v>3076</v>
      </c>
      <c r="D126" s="2320"/>
    </row>
    <row r="127" spans="1:5" x14ac:dyDescent="0.2">
      <c r="A127" s="145">
        <v>114321</v>
      </c>
      <c r="B127" s="145" t="str">
        <f t="shared" si="7"/>
        <v>11432100</v>
      </c>
      <c r="C127" s="186" t="s">
        <v>3077</v>
      </c>
      <c r="D127" s="2320"/>
    </row>
    <row r="128" spans="1:5" x14ac:dyDescent="0.2">
      <c r="A128" s="145">
        <v>114418</v>
      </c>
      <c r="B128" s="145" t="str">
        <f t="shared" si="7"/>
        <v>11441800</v>
      </c>
      <c r="C128" s="186" t="s">
        <v>3078</v>
      </c>
      <c r="D128" s="2320"/>
    </row>
    <row r="129" spans="1:5" x14ac:dyDescent="0.2">
      <c r="A129" s="145">
        <v>114419</v>
      </c>
      <c r="B129" s="145" t="str">
        <f t="shared" si="7"/>
        <v>11441900</v>
      </c>
      <c r="C129" s="186" t="s">
        <v>3079</v>
      </c>
      <c r="D129" s="2320"/>
    </row>
    <row r="130" spans="1:5" ht="13.5" thickBot="1" x14ac:dyDescent="0.25">
      <c r="A130" s="145">
        <v>114421</v>
      </c>
      <c r="B130" s="145" t="str">
        <f t="shared" si="7"/>
        <v>11442100</v>
      </c>
      <c r="C130" s="186" t="s">
        <v>3080</v>
      </c>
      <c r="D130" s="2320"/>
    </row>
    <row r="131" spans="1:5" ht="13.5" thickBot="1" x14ac:dyDescent="0.25">
      <c r="A131" s="3087" t="s">
        <v>2201</v>
      </c>
      <c r="B131" s="3088"/>
      <c r="C131" s="3089"/>
      <c r="D131" s="905" t="s">
        <v>2940</v>
      </c>
      <c r="E131" s="2300" t="s">
        <v>2517</v>
      </c>
    </row>
    <row r="132" spans="1:5" x14ac:dyDescent="0.2">
      <c r="A132" s="145">
        <v>114310</v>
      </c>
      <c r="B132" s="145" t="str">
        <f t="shared" si="7"/>
        <v>11431000</v>
      </c>
      <c r="C132" s="186" t="s">
        <v>3081</v>
      </c>
      <c r="D132" s="2320"/>
    </row>
    <row r="133" spans="1:5" x14ac:dyDescent="0.2">
      <c r="A133" s="145">
        <v>114311</v>
      </c>
      <c r="B133" s="145" t="str">
        <f t="shared" si="7"/>
        <v>11431100</v>
      </c>
      <c r="C133" s="186" t="s">
        <v>3082</v>
      </c>
      <c r="D133" s="2320"/>
    </row>
    <row r="134" spans="1:5" x14ac:dyDescent="0.2">
      <c r="A134" s="145">
        <v>114313</v>
      </c>
      <c r="B134" s="145" t="str">
        <f t="shared" si="7"/>
        <v>11431300</v>
      </c>
      <c r="C134" s="186" t="s">
        <v>3083</v>
      </c>
      <c r="D134" s="2320"/>
    </row>
    <row r="135" spans="1:5" x14ac:dyDescent="0.2">
      <c r="A135" s="145">
        <v>114314</v>
      </c>
      <c r="B135" s="145" t="str">
        <f t="shared" si="7"/>
        <v>11431400</v>
      </c>
      <c r="C135" s="186" t="s">
        <v>3084</v>
      </c>
      <c r="D135" s="2320"/>
    </row>
    <row r="136" spans="1:5" x14ac:dyDescent="0.2">
      <c r="A136" s="145">
        <v>114315</v>
      </c>
      <c r="B136" s="145" t="str">
        <f t="shared" si="7"/>
        <v>11431500</v>
      </c>
      <c r="C136" s="186" t="s">
        <v>3085</v>
      </c>
      <c r="D136" s="2320"/>
    </row>
    <row r="137" spans="1:5" x14ac:dyDescent="0.2">
      <c r="A137" s="145">
        <v>114320</v>
      </c>
      <c r="B137" s="145" t="str">
        <f t="shared" si="7"/>
        <v>11432000</v>
      </c>
      <c r="C137" s="186" t="s">
        <v>3086</v>
      </c>
      <c r="D137" s="2320"/>
    </row>
    <row r="138" spans="1:5" x14ac:dyDescent="0.2">
      <c r="A138" s="145">
        <v>114410</v>
      </c>
      <c r="B138" s="145" t="str">
        <f t="shared" si="7"/>
        <v>11441000</v>
      </c>
      <c r="C138" s="186" t="s">
        <v>3087</v>
      </c>
      <c r="D138" s="2320"/>
    </row>
    <row r="139" spans="1:5" x14ac:dyDescent="0.2">
      <c r="A139" s="145">
        <v>114411</v>
      </c>
      <c r="B139" s="145" t="str">
        <f t="shared" si="7"/>
        <v>11441100</v>
      </c>
      <c r="C139" s="186" t="s">
        <v>3088</v>
      </c>
      <c r="D139" s="2320"/>
    </row>
    <row r="140" spans="1:5" x14ac:dyDescent="0.2">
      <c r="A140" s="145">
        <v>114413</v>
      </c>
      <c r="B140" s="145" t="str">
        <f t="shared" si="7"/>
        <v>11441300</v>
      </c>
      <c r="C140" s="186" t="s">
        <v>3089</v>
      </c>
      <c r="D140" s="2320"/>
    </row>
    <row r="141" spans="1:5" x14ac:dyDescent="0.2">
      <c r="A141" s="145">
        <v>114414</v>
      </c>
      <c r="B141" s="145" t="str">
        <f t="shared" si="7"/>
        <v>11441400</v>
      </c>
      <c r="C141" s="186" t="s">
        <v>3090</v>
      </c>
      <c r="D141" s="2320"/>
    </row>
    <row r="142" spans="1:5" x14ac:dyDescent="0.2">
      <c r="A142" s="145">
        <v>114415</v>
      </c>
      <c r="B142" s="145" t="str">
        <f t="shared" si="7"/>
        <v>11441500</v>
      </c>
      <c r="C142" s="186" t="s">
        <v>3091</v>
      </c>
      <c r="D142" s="2320"/>
    </row>
    <row r="143" spans="1:5" x14ac:dyDescent="0.2">
      <c r="A143" s="145">
        <v>114420</v>
      </c>
      <c r="B143" s="145" t="str">
        <f t="shared" si="7"/>
        <v>11442000</v>
      </c>
      <c r="C143" s="186" t="s">
        <v>3092</v>
      </c>
      <c r="D143" s="2320"/>
    </row>
    <row r="144" spans="1:5" ht="13.5" thickBot="1" x14ac:dyDescent="0.25">
      <c r="A144" s="145">
        <v>114421</v>
      </c>
      <c r="B144" s="145" t="str">
        <f t="shared" si="7"/>
        <v>11442100</v>
      </c>
      <c r="C144" s="186" t="s">
        <v>3093</v>
      </c>
      <c r="D144" s="2320"/>
    </row>
    <row r="145" spans="1:5" ht="13.5" thickBot="1" x14ac:dyDescent="0.25">
      <c r="A145" s="3087" t="s">
        <v>3094</v>
      </c>
      <c r="B145" s="3088"/>
      <c r="C145" s="3089"/>
      <c r="D145" s="905" t="s">
        <v>3095</v>
      </c>
      <c r="E145" s="145">
        <v>1175</v>
      </c>
    </row>
    <row r="146" spans="1:5" ht="13.5" thickBot="1" x14ac:dyDescent="0.25">
      <c r="A146" s="2300">
        <v>114501</v>
      </c>
      <c r="B146" s="145" t="str">
        <f t="shared" si="7"/>
        <v>11450100</v>
      </c>
      <c r="C146" s="186" t="s">
        <v>3094</v>
      </c>
      <c r="D146" s="905"/>
    </row>
    <row r="147" spans="1:5" ht="13.5" thickBot="1" x14ac:dyDescent="0.25">
      <c r="A147" s="3087" t="s">
        <v>3096</v>
      </c>
      <c r="B147" s="3088"/>
      <c r="C147" s="3089"/>
      <c r="D147" s="905" t="s">
        <v>2940</v>
      </c>
      <c r="E147" s="145">
        <v>1190</v>
      </c>
    </row>
    <row r="148" spans="1:5" ht="13.5" thickBot="1" x14ac:dyDescent="0.25">
      <c r="A148" s="145">
        <v>114700</v>
      </c>
      <c r="B148" s="145" t="str">
        <f t="shared" si="7"/>
        <v>11470000</v>
      </c>
      <c r="C148" s="186" t="s">
        <v>3097</v>
      </c>
      <c r="D148" s="2320"/>
    </row>
    <row r="149" spans="1:5" ht="13.5" thickBot="1" x14ac:dyDescent="0.25">
      <c r="A149" s="3087" t="s">
        <v>3098</v>
      </c>
      <c r="B149" s="3088"/>
      <c r="C149" s="3089"/>
      <c r="D149" s="905" t="s">
        <v>2940</v>
      </c>
      <c r="E149" s="145">
        <v>1195</v>
      </c>
    </row>
    <row r="150" spans="1:5" ht="13.5" thickBot="1" x14ac:dyDescent="0.25">
      <c r="A150" s="145">
        <v>114800</v>
      </c>
      <c r="B150" s="145" t="str">
        <f t="shared" si="7"/>
        <v>11480000</v>
      </c>
      <c r="C150" s="186" t="s">
        <v>3099</v>
      </c>
      <c r="D150" s="2320" t="s">
        <v>3100</v>
      </c>
    </row>
    <row r="151" spans="1:5" ht="13.5" thickBot="1" x14ac:dyDescent="0.25">
      <c r="A151" s="3087" t="s">
        <v>3101</v>
      </c>
      <c r="B151" s="3088"/>
      <c r="C151" s="3089"/>
      <c r="D151" s="905" t="s">
        <v>2940</v>
      </c>
      <c r="E151" s="145">
        <v>1200</v>
      </c>
    </row>
    <row r="152" spans="1:5" ht="13.5" thickBot="1" x14ac:dyDescent="0.25">
      <c r="A152" s="145">
        <v>114600</v>
      </c>
      <c r="B152" s="145" t="str">
        <f t="shared" si="7"/>
        <v>11460000</v>
      </c>
      <c r="C152" s="186" t="s">
        <v>3102</v>
      </c>
      <c r="D152" s="2320"/>
    </row>
    <row r="153" spans="1:5" ht="13.5" thickBot="1" x14ac:dyDescent="0.25">
      <c r="A153" s="3087" t="s">
        <v>2752</v>
      </c>
      <c r="B153" s="3088"/>
      <c r="C153" s="3089"/>
      <c r="D153" s="905" t="s">
        <v>2940</v>
      </c>
      <c r="E153" s="145">
        <v>1230</v>
      </c>
    </row>
    <row r="154" spans="1:5" x14ac:dyDescent="0.2">
      <c r="A154" s="145">
        <v>115100</v>
      </c>
      <c r="B154" s="145" t="str">
        <f t="shared" si="7"/>
        <v>11510000</v>
      </c>
      <c r="C154" s="186" t="s">
        <v>3103</v>
      </c>
      <c r="D154" s="2320"/>
    </row>
    <row r="155" spans="1:5" x14ac:dyDescent="0.2">
      <c r="A155" s="145">
        <v>115110</v>
      </c>
      <c r="B155" s="145" t="str">
        <f t="shared" si="7"/>
        <v>11511000</v>
      </c>
      <c r="C155" s="186" t="s">
        <v>3104</v>
      </c>
      <c r="D155" s="2320"/>
    </row>
    <row r="156" spans="1:5" x14ac:dyDescent="0.2">
      <c r="A156" s="145">
        <v>115120</v>
      </c>
      <c r="B156" s="145" t="str">
        <f t="shared" si="7"/>
        <v>11512000</v>
      </c>
      <c r="C156" s="186" t="s">
        <v>3105</v>
      </c>
      <c r="D156" s="2320"/>
    </row>
    <row r="157" spans="1:5" x14ac:dyDescent="0.2">
      <c r="A157" s="145">
        <v>115200</v>
      </c>
      <c r="B157" s="145" t="str">
        <f t="shared" si="7"/>
        <v>11520000</v>
      </c>
      <c r="C157" s="186" t="s">
        <v>3106</v>
      </c>
      <c r="D157" s="2320"/>
    </row>
    <row r="158" spans="1:5" x14ac:dyDescent="0.2">
      <c r="A158" s="145">
        <v>115210</v>
      </c>
      <c r="B158" s="145" t="str">
        <f t="shared" si="7"/>
        <v>11521000</v>
      </c>
      <c r="C158" s="186" t="s">
        <v>3107</v>
      </c>
      <c r="D158" s="2320"/>
    </row>
    <row r="159" spans="1:5" ht="13.5" thickBot="1" x14ac:dyDescent="0.25">
      <c r="A159" s="145">
        <v>115220</v>
      </c>
      <c r="B159" s="145" t="str">
        <f t="shared" si="7"/>
        <v>11522000</v>
      </c>
      <c r="C159" s="186" t="s">
        <v>3108</v>
      </c>
      <c r="D159" s="2320"/>
    </row>
    <row r="160" spans="1:5" ht="13.5" thickBot="1" x14ac:dyDescent="0.25">
      <c r="A160" s="3087" t="s">
        <v>3109</v>
      </c>
      <c r="B160" s="3088"/>
      <c r="C160" s="3089"/>
      <c r="D160"/>
      <c r="E160" s="145">
        <v>1211</v>
      </c>
    </row>
    <row r="161" spans="1:5" ht="13.5" thickBot="1" x14ac:dyDescent="0.25">
      <c r="A161" s="2300">
        <v>115300</v>
      </c>
      <c r="B161" s="145" t="str">
        <f t="shared" si="7"/>
        <v>11530000</v>
      </c>
      <c r="C161" s="186" t="s">
        <v>3110</v>
      </c>
      <c r="D161" s="2320" t="s">
        <v>3111</v>
      </c>
    </row>
    <row r="162" spans="1:5" ht="13.5" thickBot="1" x14ac:dyDescent="0.25">
      <c r="A162" s="3087" t="s">
        <v>3112</v>
      </c>
      <c r="B162" s="3088"/>
      <c r="C162" s="3089"/>
      <c r="D162" s="2320"/>
      <c r="E162" s="145">
        <v>1214</v>
      </c>
    </row>
    <row r="163" spans="1:5" ht="13.5" thickBot="1" x14ac:dyDescent="0.25">
      <c r="A163" s="2300">
        <v>115400</v>
      </c>
      <c r="B163" s="145" t="str">
        <f t="shared" si="7"/>
        <v>11540000</v>
      </c>
      <c r="C163" s="186" t="s">
        <v>3113</v>
      </c>
      <c r="D163" s="2320" t="s">
        <v>3114</v>
      </c>
    </row>
    <row r="164" spans="1:5" ht="13.5" thickBot="1" x14ac:dyDescent="0.25">
      <c r="A164" s="3087" t="s">
        <v>2750</v>
      </c>
      <c r="B164" s="3088"/>
      <c r="C164" s="3089"/>
      <c r="D164" s="1866" t="s">
        <v>3115</v>
      </c>
      <c r="E164" s="145">
        <v>1220</v>
      </c>
    </row>
    <row r="165" spans="1:5" x14ac:dyDescent="0.2">
      <c r="A165" s="145">
        <v>116110</v>
      </c>
      <c r="B165" s="145" t="str">
        <f t="shared" si="7"/>
        <v>11611000</v>
      </c>
      <c r="C165" s="186" t="s">
        <v>3116</v>
      </c>
      <c r="D165" s="2320"/>
    </row>
    <row r="166" spans="1:5" x14ac:dyDescent="0.2">
      <c r="A166" s="145">
        <v>116120</v>
      </c>
      <c r="B166" s="145" t="str">
        <f t="shared" si="7"/>
        <v>11612000</v>
      </c>
      <c r="C166" s="186" t="s">
        <v>3117</v>
      </c>
      <c r="D166" s="2320"/>
    </row>
    <row r="167" spans="1:5" x14ac:dyDescent="0.2">
      <c r="A167" s="145">
        <v>116190</v>
      </c>
      <c r="B167" s="145" t="str">
        <f t="shared" si="7"/>
        <v>11619000</v>
      </c>
      <c r="C167" s="186" t="s">
        <v>3118</v>
      </c>
      <c r="D167" s="2320"/>
    </row>
    <row r="168" spans="1:5" x14ac:dyDescent="0.2">
      <c r="A168" s="145">
        <v>116210</v>
      </c>
      <c r="B168" s="145" t="str">
        <f t="shared" si="7"/>
        <v>11621000</v>
      </c>
      <c r="C168" s="186" t="s">
        <v>3119</v>
      </c>
      <c r="D168" s="2320"/>
    </row>
    <row r="169" spans="1:5" x14ac:dyDescent="0.2">
      <c r="A169" s="145">
        <v>116220</v>
      </c>
      <c r="B169" s="145" t="str">
        <f t="shared" si="7"/>
        <v>11622000</v>
      </c>
      <c r="C169" s="186" t="s">
        <v>3120</v>
      </c>
      <c r="D169" s="2320"/>
    </row>
    <row r="170" spans="1:5" x14ac:dyDescent="0.2">
      <c r="A170" s="145">
        <v>116230</v>
      </c>
      <c r="B170" s="145" t="str">
        <f t="shared" si="7"/>
        <v>11623000</v>
      </c>
      <c r="C170" s="186" t="s">
        <v>3121</v>
      </c>
      <c r="D170" s="2320"/>
    </row>
    <row r="171" spans="1:5" x14ac:dyDescent="0.2">
      <c r="A171" s="145">
        <v>116240</v>
      </c>
      <c r="B171" s="145" t="str">
        <f t="shared" si="7"/>
        <v>11624000</v>
      </c>
      <c r="C171" s="186" t="s">
        <v>3122</v>
      </c>
      <c r="D171" s="2320"/>
    </row>
    <row r="172" spans="1:5" x14ac:dyDescent="0.2">
      <c r="A172" s="145">
        <v>116250</v>
      </c>
      <c r="B172" s="145" t="str">
        <f t="shared" si="7"/>
        <v>11625000</v>
      </c>
      <c r="C172" s="186" t="s">
        <v>3123</v>
      </c>
      <c r="D172" s="2320"/>
    </row>
    <row r="173" spans="1:5" x14ac:dyDescent="0.2">
      <c r="A173" s="145">
        <v>116290</v>
      </c>
      <c r="B173" s="145" t="str">
        <f t="shared" si="7"/>
        <v>11629000</v>
      </c>
      <c r="C173" s="186" t="s">
        <v>3124</v>
      </c>
      <c r="D173" s="2320"/>
    </row>
    <row r="174" spans="1:5" x14ac:dyDescent="0.2">
      <c r="A174" s="145">
        <v>116310</v>
      </c>
      <c r="B174" s="145" t="str">
        <f t="shared" si="7"/>
        <v>11631000</v>
      </c>
      <c r="C174" s="186" t="s">
        <v>3125</v>
      </c>
      <c r="D174" s="2320"/>
    </row>
    <row r="175" spans="1:5" x14ac:dyDescent="0.2">
      <c r="A175" s="145">
        <v>116320</v>
      </c>
      <c r="B175" s="145" t="str">
        <f t="shared" si="7"/>
        <v>11632000</v>
      </c>
      <c r="C175" s="186" t="s">
        <v>3126</v>
      </c>
      <c r="D175" s="2320"/>
    </row>
    <row r="176" spans="1:5" x14ac:dyDescent="0.2">
      <c r="A176" s="145">
        <v>116330</v>
      </c>
      <c r="B176" s="145" t="str">
        <f t="shared" si="7"/>
        <v>11633000</v>
      </c>
      <c r="C176" s="186" t="s">
        <v>3127</v>
      </c>
      <c r="D176" s="2320"/>
    </row>
    <row r="177" spans="1:5" x14ac:dyDescent="0.2">
      <c r="A177" s="145">
        <v>116390</v>
      </c>
      <c r="B177" s="145" t="str">
        <f t="shared" si="7"/>
        <v>11639000</v>
      </c>
      <c r="C177" s="186" t="s">
        <v>3128</v>
      </c>
      <c r="D177" s="2320"/>
    </row>
    <row r="178" spans="1:5" x14ac:dyDescent="0.2">
      <c r="A178" s="145">
        <v>116400</v>
      </c>
      <c r="B178" s="145" t="str">
        <f t="shared" si="7"/>
        <v>11640000</v>
      </c>
      <c r="C178" s="186" t="s">
        <v>3129</v>
      </c>
      <c r="D178" s="2320"/>
    </row>
    <row r="179" spans="1:5" x14ac:dyDescent="0.2">
      <c r="A179" s="145">
        <v>116500</v>
      </c>
      <c r="B179" s="145" t="str">
        <f t="shared" si="7"/>
        <v>11650000</v>
      </c>
      <c r="C179" s="186" t="s">
        <v>3130</v>
      </c>
      <c r="D179" s="2320"/>
    </row>
    <row r="180" spans="1:5" x14ac:dyDescent="0.2">
      <c r="A180" s="145">
        <v>116610</v>
      </c>
      <c r="B180" s="145" t="str">
        <f t="shared" si="7"/>
        <v>11661000</v>
      </c>
      <c r="C180" s="186" t="s">
        <v>3131</v>
      </c>
      <c r="D180" s="2320"/>
    </row>
    <row r="181" spans="1:5" x14ac:dyDescent="0.2">
      <c r="A181" s="145">
        <v>116620</v>
      </c>
      <c r="B181" s="145" t="str">
        <f t="shared" si="7"/>
        <v>11662000</v>
      </c>
      <c r="C181" s="186" t="s">
        <v>3132</v>
      </c>
      <c r="D181" s="2320"/>
    </row>
    <row r="182" spans="1:5" x14ac:dyDescent="0.2">
      <c r="A182" s="145">
        <v>116700</v>
      </c>
      <c r="B182" s="145" t="str">
        <f t="shared" si="7"/>
        <v>11670000</v>
      </c>
      <c r="C182" s="186" t="s">
        <v>3133</v>
      </c>
      <c r="D182" s="2320"/>
    </row>
    <row r="183" spans="1:5" x14ac:dyDescent="0.2">
      <c r="A183" s="145">
        <v>116800</v>
      </c>
      <c r="B183" s="145" t="str">
        <f t="shared" si="7"/>
        <v>11680000</v>
      </c>
      <c r="C183" s="186" t="s">
        <v>3134</v>
      </c>
      <c r="D183" s="2320"/>
    </row>
    <row r="184" spans="1:5" x14ac:dyDescent="0.2">
      <c r="A184" s="145">
        <v>116910</v>
      </c>
      <c r="B184" s="145" t="str">
        <f t="shared" ref="B184:B197" si="8">+A184&amp;"00"</f>
        <v>11691000</v>
      </c>
      <c r="C184" s="186" t="s">
        <v>3135</v>
      </c>
      <c r="D184" s="2320"/>
    </row>
    <row r="185" spans="1:5" x14ac:dyDescent="0.2">
      <c r="A185" s="145">
        <v>116990</v>
      </c>
      <c r="B185" s="145" t="str">
        <f t="shared" si="8"/>
        <v>11699000</v>
      </c>
      <c r="C185" s="186" t="s">
        <v>3136</v>
      </c>
      <c r="D185" s="2320"/>
    </row>
    <row r="186" spans="1:5" x14ac:dyDescent="0.2">
      <c r="A186" s="3084" t="s">
        <v>3137</v>
      </c>
      <c r="B186" s="3085"/>
      <c r="C186" s="3086"/>
      <c r="D186" s="905" t="s">
        <v>2940</v>
      </c>
      <c r="E186" s="2300" t="s">
        <v>2517</v>
      </c>
    </row>
    <row r="187" spans="1:5" x14ac:dyDescent="0.2">
      <c r="A187" s="145">
        <v>119400</v>
      </c>
      <c r="B187" s="145" t="str">
        <f t="shared" si="8"/>
        <v>11940000</v>
      </c>
      <c r="C187" s="186" t="s">
        <v>3138</v>
      </c>
      <c r="D187" s="2320"/>
    </row>
    <row r="188" spans="1:5" x14ac:dyDescent="0.2">
      <c r="A188" s="3084" t="s">
        <v>2751</v>
      </c>
      <c r="B188" s="3085"/>
      <c r="C188" s="3086"/>
      <c r="D188" s="905" t="s">
        <v>2940</v>
      </c>
      <c r="E188" s="145">
        <v>1230</v>
      </c>
    </row>
    <row r="189" spans="1:5" x14ac:dyDescent="0.2">
      <c r="A189" s="145">
        <v>119100</v>
      </c>
      <c r="B189" s="145" t="str">
        <f t="shared" si="8"/>
        <v>11910000</v>
      </c>
      <c r="C189" s="186" t="s">
        <v>3139</v>
      </c>
      <c r="D189" s="2320"/>
    </row>
    <row r="190" spans="1:5" x14ac:dyDescent="0.2">
      <c r="A190" s="3084" t="s">
        <v>3140</v>
      </c>
      <c r="B190" s="3085"/>
      <c r="C190" s="3086"/>
      <c r="D190" s="905" t="s">
        <v>2940</v>
      </c>
      <c r="E190" s="2300" t="s">
        <v>2517</v>
      </c>
    </row>
    <row r="191" spans="1:5" x14ac:dyDescent="0.2">
      <c r="A191" s="145">
        <v>119300</v>
      </c>
      <c r="B191" s="145" t="str">
        <f t="shared" si="8"/>
        <v>11930000</v>
      </c>
      <c r="C191" s="186" t="s">
        <v>3141</v>
      </c>
      <c r="D191" s="2320"/>
    </row>
    <row r="192" spans="1:5" x14ac:dyDescent="0.2">
      <c r="A192" s="3084" t="s">
        <v>3142</v>
      </c>
      <c r="B192" s="3085"/>
      <c r="C192" s="3086"/>
      <c r="D192" s="905" t="s">
        <v>2940</v>
      </c>
      <c r="E192" s="145">
        <v>1232</v>
      </c>
    </row>
    <row r="193" spans="1:5" x14ac:dyDescent="0.2">
      <c r="A193" s="2300">
        <v>119700</v>
      </c>
      <c r="B193" s="145" t="str">
        <f t="shared" si="8"/>
        <v>11970000</v>
      </c>
      <c r="C193" s="186" t="s">
        <v>3143</v>
      </c>
      <c r="D193" s="2320"/>
    </row>
    <row r="194" spans="1:5" x14ac:dyDescent="0.2">
      <c r="A194" s="3084" t="s">
        <v>3144</v>
      </c>
      <c r="B194" s="3085"/>
      <c r="C194" s="3086"/>
      <c r="D194" s="905" t="s">
        <v>2940</v>
      </c>
      <c r="E194" s="145">
        <v>1234</v>
      </c>
    </row>
    <row r="195" spans="1:5" x14ac:dyDescent="0.2">
      <c r="A195" s="2300">
        <v>114910</v>
      </c>
      <c r="B195" s="145" t="str">
        <f t="shared" si="8"/>
        <v>11491000</v>
      </c>
      <c r="C195" s="186" t="s">
        <v>3145</v>
      </c>
      <c r="D195" s="2320" t="s">
        <v>3146</v>
      </c>
    </row>
    <row r="196" spans="1:5" x14ac:dyDescent="0.2">
      <c r="A196" s="3084" t="s">
        <v>3147</v>
      </c>
      <c r="B196" s="3085"/>
      <c r="C196" s="3086"/>
      <c r="D196" s="905" t="s">
        <v>2940</v>
      </c>
      <c r="E196" s="145">
        <v>1233</v>
      </c>
    </row>
    <row r="197" spans="1:5" x14ac:dyDescent="0.2">
      <c r="A197" s="2300">
        <v>119780</v>
      </c>
      <c r="B197" s="145" t="str">
        <f t="shared" si="8"/>
        <v>11978000</v>
      </c>
      <c r="C197" s="186" t="s">
        <v>3148</v>
      </c>
      <c r="D197" s="2320" t="s">
        <v>3146</v>
      </c>
    </row>
    <row r="198" spans="1:5" x14ac:dyDescent="0.2">
      <c r="A198" s="3084" t="s">
        <v>3149</v>
      </c>
      <c r="B198" s="3085"/>
      <c r="C198" s="3086"/>
      <c r="D198" s="909"/>
    </row>
    <row r="199" spans="1:5" x14ac:dyDescent="0.2">
      <c r="A199" s="3084" t="s">
        <v>3150</v>
      </c>
      <c r="B199" s="3085"/>
      <c r="C199" s="3086"/>
      <c r="D199" s="908"/>
    </row>
    <row r="200" spans="1:5" x14ac:dyDescent="0.2">
      <c r="A200" s="3084" t="s">
        <v>3151</v>
      </c>
      <c r="B200" s="3085"/>
      <c r="C200" s="3086"/>
      <c r="D200" s="905" t="s">
        <v>2940</v>
      </c>
      <c r="E200" s="145">
        <v>1270</v>
      </c>
    </row>
    <row r="201" spans="1:5" x14ac:dyDescent="0.2">
      <c r="A201" s="145">
        <v>121110</v>
      </c>
      <c r="B201" s="145" t="str">
        <f t="shared" ref="B201:B206" si="9">+A201&amp;"00"</f>
        <v>12111000</v>
      </c>
      <c r="C201" s="186" t="s">
        <v>3152</v>
      </c>
      <c r="D201" s="2320"/>
    </row>
    <row r="202" spans="1:5" x14ac:dyDescent="0.2">
      <c r="A202" s="145">
        <v>121120</v>
      </c>
      <c r="B202" s="145" t="str">
        <f t="shared" si="9"/>
        <v>12112000</v>
      </c>
      <c r="C202" s="186" t="s">
        <v>2942</v>
      </c>
      <c r="D202" s="2320" t="s">
        <v>3153</v>
      </c>
    </row>
    <row r="203" spans="1:5" x14ac:dyDescent="0.2">
      <c r="A203" s="145">
        <v>121130</v>
      </c>
      <c r="B203" s="145" t="str">
        <f t="shared" si="9"/>
        <v>12113000</v>
      </c>
      <c r="C203" s="186" t="s">
        <v>2943</v>
      </c>
      <c r="D203" s="2320" t="s">
        <v>3153</v>
      </c>
    </row>
    <row r="204" spans="1:5" x14ac:dyDescent="0.2">
      <c r="A204" s="145">
        <v>121140</v>
      </c>
      <c r="B204" s="145" t="str">
        <f t="shared" si="9"/>
        <v>12114000</v>
      </c>
      <c r="C204" s="186" t="s">
        <v>3154</v>
      </c>
      <c r="D204" s="2320" t="s">
        <v>3153</v>
      </c>
    </row>
    <row r="205" spans="1:5" x14ac:dyDescent="0.2">
      <c r="A205" s="145">
        <v>121190</v>
      </c>
      <c r="B205" s="145" t="str">
        <f t="shared" si="9"/>
        <v>12119000</v>
      </c>
      <c r="C205" s="186" t="s">
        <v>3155</v>
      </c>
      <c r="D205" s="2320" t="s">
        <v>3153</v>
      </c>
    </row>
    <row r="206" spans="1:5" x14ac:dyDescent="0.2">
      <c r="A206" s="145">
        <v>122121</v>
      </c>
      <c r="B206" s="145" t="str">
        <f t="shared" si="9"/>
        <v>12212100</v>
      </c>
      <c r="C206" s="186" t="s">
        <v>2946</v>
      </c>
      <c r="D206" s="2320" t="s">
        <v>3153</v>
      </c>
    </row>
    <row r="207" spans="1:5" x14ac:dyDescent="0.2">
      <c r="A207" s="3084" t="s">
        <v>3156</v>
      </c>
      <c r="B207" s="3085"/>
      <c r="C207" s="3086"/>
      <c r="D207" s="905" t="s">
        <v>2940</v>
      </c>
      <c r="E207" s="145">
        <v>1280</v>
      </c>
    </row>
    <row r="208" spans="1:5" x14ac:dyDescent="0.2">
      <c r="A208" s="2300">
        <v>121220</v>
      </c>
      <c r="B208" s="145" t="str">
        <f t="shared" ref="B208:B212" si="10">+A208&amp;"00"</f>
        <v>12122000</v>
      </c>
      <c r="C208" s="186" t="s">
        <v>3157</v>
      </c>
      <c r="D208" s="2320"/>
    </row>
    <row r="209" spans="1:5" x14ac:dyDescent="0.2">
      <c r="A209" s="2300">
        <v>121260</v>
      </c>
      <c r="B209" s="145" t="str">
        <f t="shared" si="10"/>
        <v>12126000</v>
      </c>
      <c r="C209" s="186" t="s">
        <v>3158</v>
      </c>
      <c r="D209" s="2320"/>
    </row>
    <row r="210" spans="1:5" x14ac:dyDescent="0.2">
      <c r="A210" s="2300">
        <v>121270</v>
      </c>
      <c r="B210" s="145" t="str">
        <f t="shared" si="10"/>
        <v>12127000</v>
      </c>
      <c r="C210" s="186" t="s">
        <v>3159</v>
      </c>
      <c r="D210" s="2320"/>
    </row>
    <row r="211" spans="1:5" x14ac:dyDescent="0.2">
      <c r="A211" s="2300">
        <v>121280</v>
      </c>
      <c r="B211" s="145" t="str">
        <f t="shared" si="10"/>
        <v>12128000</v>
      </c>
      <c r="C211" s="186" t="s">
        <v>3160</v>
      </c>
      <c r="D211" s="2320"/>
    </row>
    <row r="212" spans="1:5" x14ac:dyDescent="0.2">
      <c r="A212" s="2300">
        <v>121290</v>
      </c>
      <c r="B212" s="145" t="str">
        <f t="shared" si="10"/>
        <v>12129000</v>
      </c>
      <c r="C212" s="186" t="s">
        <v>3161</v>
      </c>
      <c r="D212" s="2320"/>
    </row>
    <row r="213" spans="1:5" x14ac:dyDescent="0.2">
      <c r="A213" s="3084" t="s">
        <v>1540</v>
      </c>
      <c r="B213" s="3085"/>
      <c r="C213" s="3086"/>
      <c r="D213" s="905" t="s">
        <v>2940</v>
      </c>
      <c r="E213" s="145">
        <v>1300</v>
      </c>
    </row>
    <row r="214" spans="1:5" x14ac:dyDescent="0.2">
      <c r="A214" s="145">
        <v>122101</v>
      </c>
      <c r="B214" s="145" t="str">
        <f t="shared" ref="B214:B240" si="11">+A214&amp;"00"</f>
        <v>12210100</v>
      </c>
      <c r="C214" s="186" t="s">
        <v>2983</v>
      </c>
      <c r="D214" s="2320" t="s">
        <v>3153</v>
      </c>
    </row>
    <row r="215" spans="1:5" x14ac:dyDescent="0.2">
      <c r="A215" s="145">
        <v>122102</v>
      </c>
      <c r="B215" s="145" t="str">
        <f t="shared" si="11"/>
        <v>12210200</v>
      </c>
      <c r="C215" s="186" t="s">
        <v>2984</v>
      </c>
      <c r="D215" s="2320" t="s">
        <v>3153</v>
      </c>
    </row>
    <row r="216" spans="1:5" x14ac:dyDescent="0.2">
      <c r="A216" s="145">
        <v>122103</v>
      </c>
      <c r="B216" s="145" t="str">
        <f t="shared" si="11"/>
        <v>12210300</v>
      </c>
      <c r="C216" s="186" t="s">
        <v>2985</v>
      </c>
      <c r="D216" s="2320" t="s">
        <v>3153</v>
      </c>
    </row>
    <row r="217" spans="1:5" x14ac:dyDescent="0.2">
      <c r="A217" s="145">
        <v>122104</v>
      </c>
      <c r="B217" s="145" t="str">
        <f t="shared" si="11"/>
        <v>12210400</v>
      </c>
      <c r="C217" s="186" t="s">
        <v>2986</v>
      </c>
      <c r="D217" s="2320"/>
    </row>
    <row r="218" spans="1:5" x14ac:dyDescent="0.2">
      <c r="A218" s="145">
        <v>122105</v>
      </c>
      <c r="B218" s="145" t="str">
        <f t="shared" si="11"/>
        <v>12210500</v>
      </c>
      <c r="C218" s="186" t="s">
        <v>2987</v>
      </c>
      <c r="D218" s="2320" t="s">
        <v>3153</v>
      </c>
    </row>
    <row r="219" spans="1:5" x14ac:dyDescent="0.2">
      <c r="A219" s="145">
        <v>122106</v>
      </c>
      <c r="B219" s="145" t="str">
        <f t="shared" si="11"/>
        <v>12210600</v>
      </c>
      <c r="C219" s="186" t="s">
        <v>2988</v>
      </c>
      <c r="D219" s="2320" t="s">
        <v>3153</v>
      </c>
    </row>
    <row r="220" spans="1:5" x14ac:dyDescent="0.2">
      <c r="A220" s="145">
        <v>122107</v>
      </c>
      <c r="B220" s="145" t="str">
        <f t="shared" si="11"/>
        <v>12210700</v>
      </c>
      <c r="C220" s="186" t="s">
        <v>3162</v>
      </c>
      <c r="D220" s="2320" t="s">
        <v>3153</v>
      </c>
    </row>
    <row r="221" spans="1:5" x14ac:dyDescent="0.2">
      <c r="A221" s="145">
        <v>122108</v>
      </c>
      <c r="B221" s="145" t="str">
        <f t="shared" si="11"/>
        <v>12210800</v>
      </c>
      <c r="C221" s="186" t="s">
        <v>2990</v>
      </c>
      <c r="D221" s="2320"/>
    </row>
    <row r="222" spans="1:5" x14ac:dyDescent="0.2">
      <c r="A222" s="145">
        <v>122109</v>
      </c>
      <c r="B222" s="145" t="str">
        <f t="shared" si="11"/>
        <v>12210900</v>
      </c>
      <c r="C222" s="186" t="s">
        <v>3163</v>
      </c>
      <c r="D222" s="2320" t="s">
        <v>3153</v>
      </c>
    </row>
    <row r="223" spans="1:5" x14ac:dyDescent="0.2">
      <c r="A223" s="145">
        <v>122110</v>
      </c>
      <c r="B223" s="145" t="str">
        <f t="shared" si="11"/>
        <v>12211000</v>
      </c>
      <c r="C223" s="186" t="s">
        <v>3164</v>
      </c>
      <c r="D223" s="2320" t="s">
        <v>3153</v>
      </c>
    </row>
    <row r="224" spans="1:5" x14ac:dyDescent="0.2">
      <c r="A224" s="145">
        <v>122111</v>
      </c>
      <c r="B224" s="145" t="str">
        <f t="shared" si="11"/>
        <v>12211100</v>
      </c>
      <c r="C224" s="186" t="s">
        <v>3165</v>
      </c>
      <c r="D224" s="2320" t="s">
        <v>3153</v>
      </c>
    </row>
    <row r="225" spans="1:4" x14ac:dyDescent="0.2">
      <c r="A225" s="145">
        <v>122112</v>
      </c>
      <c r="B225" s="145" t="str">
        <f t="shared" si="11"/>
        <v>12211200</v>
      </c>
      <c r="C225" s="186" t="s">
        <v>2994</v>
      </c>
      <c r="D225" s="2320" t="s">
        <v>3153</v>
      </c>
    </row>
    <row r="226" spans="1:4" x14ac:dyDescent="0.2">
      <c r="A226" s="145">
        <v>122113</v>
      </c>
      <c r="B226" s="145" t="str">
        <f t="shared" si="11"/>
        <v>12211300</v>
      </c>
      <c r="C226" s="186" t="s">
        <v>2995</v>
      </c>
      <c r="D226" s="2320" t="s">
        <v>3153</v>
      </c>
    </row>
    <row r="227" spans="1:4" x14ac:dyDescent="0.2">
      <c r="A227" s="145">
        <v>122114</v>
      </c>
      <c r="B227" s="145" t="str">
        <f t="shared" si="11"/>
        <v>12211400</v>
      </c>
      <c r="C227" s="186" t="s">
        <v>2996</v>
      </c>
      <c r="D227" s="2320" t="s">
        <v>3153</v>
      </c>
    </row>
    <row r="228" spans="1:4" x14ac:dyDescent="0.2">
      <c r="A228" s="145">
        <v>122115</v>
      </c>
      <c r="B228" s="145" t="str">
        <f t="shared" si="11"/>
        <v>12211500</v>
      </c>
      <c r="C228" s="186" t="s">
        <v>2997</v>
      </c>
      <c r="D228" s="2320" t="s">
        <v>3153</v>
      </c>
    </row>
    <row r="229" spans="1:4" x14ac:dyDescent="0.2">
      <c r="A229" s="145">
        <v>122116</v>
      </c>
      <c r="B229" s="145" t="str">
        <f t="shared" si="11"/>
        <v>12211600</v>
      </c>
      <c r="C229" s="186" t="s">
        <v>2998</v>
      </c>
      <c r="D229" s="2320" t="s">
        <v>3153</v>
      </c>
    </row>
    <row r="230" spans="1:4" x14ac:dyDescent="0.2">
      <c r="A230" s="145">
        <v>122117</v>
      </c>
      <c r="B230" s="145" t="str">
        <f t="shared" si="11"/>
        <v>12211700</v>
      </c>
      <c r="C230" s="186" t="s">
        <v>2999</v>
      </c>
      <c r="D230" s="2320" t="s">
        <v>3153</v>
      </c>
    </row>
    <row r="231" spans="1:4" x14ac:dyDescent="0.2">
      <c r="A231" s="145">
        <v>122118</v>
      </c>
      <c r="B231" s="145" t="str">
        <f t="shared" si="11"/>
        <v>12211800</v>
      </c>
      <c r="C231" s="186" t="s">
        <v>3000</v>
      </c>
      <c r="D231" s="2320" t="s">
        <v>3153</v>
      </c>
    </row>
    <row r="232" spans="1:4" x14ac:dyDescent="0.2">
      <c r="A232" s="145">
        <v>122119</v>
      </c>
      <c r="B232" s="145" t="str">
        <f t="shared" si="11"/>
        <v>12211900</v>
      </c>
      <c r="C232" s="186" t="s">
        <v>3166</v>
      </c>
      <c r="D232" s="2320"/>
    </row>
    <row r="233" spans="1:4" x14ac:dyDescent="0.2">
      <c r="A233" s="145">
        <v>122120</v>
      </c>
      <c r="B233" s="145" t="str">
        <f t="shared" si="11"/>
        <v>12212000</v>
      </c>
      <c r="C233" s="186" t="s">
        <v>3002</v>
      </c>
      <c r="D233" s="2320" t="s">
        <v>3153</v>
      </c>
    </row>
    <row r="234" spans="1:4" x14ac:dyDescent="0.2">
      <c r="A234" s="145">
        <v>122122</v>
      </c>
      <c r="B234" s="145" t="str">
        <f t="shared" si="11"/>
        <v>12212200</v>
      </c>
      <c r="C234" s="186" t="s">
        <v>3167</v>
      </c>
      <c r="D234" s="2320"/>
    </row>
    <row r="235" spans="1:4" x14ac:dyDescent="0.2">
      <c r="A235" s="145">
        <v>122123</v>
      </c>
      <c r="B235" s="145" t="str">
        <f t="shared" si="11"/>
        <v>12212300</v>
      </c>
      <c r="C235" s="186" t="s">
        <v>3004</v>
      </c>
      <c r="D235" s="2320" t="s">
        <v>3153</v>
      </c>
    </row>
    <row r="236" spans="1:4" x14ac:dyDescent="0.2">
      <c r="A236" s="145">
        <v>122124</v>
      </c>
      <c r="B236" s="145" t="str">
        <f t="shared" si="11"/>
        <v>12212400</v>
      </c>
      <c r="C236" s="186" t="s">
        <v>3168</v>
      </c>
      <c r="D236" s="2320" t="s">
        <v>3153</v>
      </c>
    </row>
    <row r="237" spans="1:4" x14ac:dyDescent="0.2">
      <c r="A237" s="145">
        <v>122150</v>
      </c>
      <c r="B237" s="145" t="str">
        <f t="shared" si="11"/>
        <v>12215000</v>
      </c>
      <c r="C237" s="186" t="s">
        <v>3006</v>
      </c>
      <c r="D237" s="2320"/>
    </row>
    <row r="238" spans="1:4" x14ac:dyDescent="0.2">
      <c r="A238" s="145">
        <v>122151</v>
      </c>
      <c r="B238" s="145" t="str">
        <f t="shared" si="11"/>
        <v>12215100</v>
      </c>
      <c r="C238" s="186" t="s">
        <v>3007</v>
      </c>
      <c r="D238" s="2320"/>
    </row>
    <row r="239" spans="1:4" x14ac:dyDescent="0.2">
      <c r="A239" s="145">
        <v>122190</v>
      </c>
      <c r="B239" s="145" t="str">
        <f t="shared" si="11"/>
        <v>12219000</v>
      </c>
      <c r="C239" s="186" t="s">
        <v>3169</v>
      </c>
      <c r="D239" s="2320"/>
    </row>
    <row r="240" spans="1:4" x14ac:dyDescent="0.2">
      <c r="A240" s="2300">
        <v>122191</v>
      </c>
      <c r="B240" s="145" t="str">
        <f t="shared" si="11"/>
        <v>12219100</v>
      </c>
      <c r="C240" s="186" t="s">
        <v>3170</v>
      </c>
      <c r="D240" s="2320" t="s">
        <v>3010</v>
      </c>
    </row>
    <row r="241" spans="1:5" x14ac:dyDescent="0.2">
      <c r="A241" s="3084" t="s">
        <v>2391</v>
      </c>
      <c r="B241" s="3085"/>
      <c r="C241" s="3086"/>
      <c r="D241" s="905" t="s">
        <v>2940</v>
      </c>
      <c r="E241" s="145">
        <v>1310</v>
      </c>
    </row>
    <row r="242" spans="1:5" x14ac:dyDescent="0.2">
      <c r="A242" s="145">
        <v>122210</v>
      </c>
      <c r="B242" s="145" t="str">
        <f t="shared" ref="B242:B243" si="12">+A242&amp;"00"</f>
        <v>12221000</v>
      </c>
      <c r="C242" s="186" t="s">
        <v>3011</v>
      </c>
      <c r="D242" s="2320" t="s">
        <v>3171</v>
      </c>
    </row>
    <row r="243" spans="1:5" x14ac:dyDescent="0.2">
      <c r="A243" s="145">
        <v>122280</v>
      </c>
      <c r="B243" s="145" t="str">
        <f t="shared" si="12"/>
        <v>12228000</v>
      </c>
      <c r="C243" s="186" t="s">
        <v>3026</v>
      </c>
      <c r="D243" s="2320" t="s">
        <v>3171</v>
      </c>
    </row>
    <row r="244" spans="1:5" x14ac:dyDescent="0.2">
      <c r="A244" s="3084" t="s">
        <v>1542</v>
      </c>
      <c r="B244" s="3085"/>
      <c r="C244" s="3086"/>
      <c r="D244" s="905" t="s">
        <v>2940</v>
      </c>
      <c r="E244" s="145">
        <v>1410</v>
      </c>
    </row>
    <row r="245" spans="1:5" x14ac:dyDescent="0.2">
      <c r="A245" s="145">
        <v>122125</v>
      </c>
      <c r="B245" s="145" t="str">
        <f t="shared" ref="B245:B248" si="13">+A245&amp;"00"</f>
        <v>12212500</v>
      </c>
      <c r="C245" s="186" t="s">
        <v>3172</v>
      </c>
      <c r="D245" s="2320" t="s">
        <v>3173</v>
      </c>
    </row>
    <row r="246" spans="1:5" x14ac:dyDescent="0.2">
      <c r="A246" s="145">
        <v>122126</v>
      </c>
      <c r="B246" s="145" t="str">
        <f t="shared" si="13"/>
        <v>12212600</v>
      </c>
      <c r="C246" s="186" t="s">
        <v>3037</v>
      </c>
      <c r="D246" s="2320" t="s">
        <v>3171</v>
      </c>
    </row>
    <row r="247" spans="1:5" x14ac:dyDescent="0.2">
      <c r="A247" s="145">
        <v>122152</v>
      </c>
      <c r="B247" s="145" t="str">
        <f t="shared" si="13"/>
        <v>12215200</v>
      </c>
      <c r="C247" s="186" t="s">
        <v>3174</v>
      </c>
      <c r="D247" s="2320" t="s">
        <v>3173</v>
      </c>
    </row>
    <row r="248" spans="1:5" x14ac:dyDescent="0.2">
      <c r="A248" s="145">
        <v>122153</v>
      </c>
      <c r="B248" s="145" t="str">
        <f t="shared" si="13"/>
        <v>12215300</v>
      </c>
      <c r="C248" s="186" t="s">
        <v>3038</v>
      </c>
      <c r="D248" s="2320" t="s">
        <v>3171</v>
      </c>
    </row>
    <row r="249" spans="1:5" x14ac:dyDescent="0.2">
      <c r="A249" s="3084" t="s">
        <v>3175</v>
      </c>
      <c r="B249" s="3085"/>
      <c r="C249" s="3086"/>
      <c r="D249" s="905" t="s">
        <v>2940</v>
      </c>
      <c r="E249" s="145">
        <v>1340</v>
      </c>
    </row>
    <row r="250" spans="1:5" x14ac:dyDescent="0.2">
      <c r="A250" s="145">
        <v>123200</v>
      </c>
      <c r="B250" s="145" t="str">
        <f t="shared" ref="B250:B255" si="14">+A250&amp;"00"</f>
        <v>12320000</v>
      </c>
      <c r="C250" s="186" t="s">
        <v>3176</v>
      </c>
      <c r="D250" s="2320"/>
    </row>
    <row r="251" spans="1:5" x14ac:dyDescent="0.2">
      <c r="A251" s="145">
        <v>123210</v>
      </c>
      <c r="B251" s="145" t="str">
        <f t="shared" si="14"/>
        <v>12321000</v>
      </c>
      <c r="C251" s="186" t="s">
        <v>3177</v>
      </c>
      <c r="D251" s="2320"/>
    </row>
    <row r="252" spans="1:5" x14ac:dyDescent="0.2">
      <c r="A252" s="145">
        <v>123220</v>
      </c>
      <c r="B252" s="145" t="str">
        <f t="shared" si="14"/>
        <v>12322000</v>
      </c>
      <c r="C252" s="186" t="s">
        <v>3178</v>
      </c>
      <c r="D252" s="2320"/>
    </row>
    <row r="253" spans="1:5" x14ac:dyDescent="0.2">
      <c r="A253" s="145">
        <v>123300</v>
      </c>
      <c r="B253" s="145" t="str">
        <f t="shared" si="14"/>
        <v>12330000</v>
      </c>
      <c r="C253" s="186" t="s">
        <v>3179</v>
      </c>
      <c r="D253" s="2320"/>
    </row>
    <row r="254" spans="1:5" x14ac:dyDescent="0.2">
      <c r="A254" s="145">
        <v>123310</v>
      </c>
      <c r="B254" s="145" t="str">
        <f t="shared" si="14"/>
        <v>12331000</v>
      </c>
      <c r="C254" s="186" t="s">
        <v>3180</v>
      </c>
      <c r="D254" s="2320"/>
    </row>
    <row r="255" spans="1:5" x14ac:dyDescent="0.2">
      <c r="A255" s="145">
        <v>123320</v>
      </c>
      <c r="B255" s="145" t="str">
        <f t="shared" si="14"/>
        <v>12332000</v>
      </c>
      <c r="C255" s="186" t="s">
        <v>3053</v>
      </c>
      <c r="D255" s="2320"/>
    </row>
    <row r="256" spans="1:5" x14ac:dyDescent="0.2">
      <c r="A256" s="3084" t="s">
        <v>2744</v>
      </c>
      <c r="B256" s="3085"/>
      <c r="C256" s="3086"/>
      <c r="D256" s="905" t="s">
        <v>2940</v>
      </c>
      <c r="E256" s="145">
        <v>1350</v>
      </c>
    </row>
    <row r="257" spans="1:5" x14ac:dyDescent="0.2">
      <c r="A257" s="145">
        <v>123510</v>
      </c>
      <c r="B257" s="145" t="str">
        <f t="shared" ref="B257:B258" si="15">+A257&amp;"00"</f>
        <v>12351000</v>
      </c>
      <c r="C257" s="186" t="s">
        <v>3181</v>
      </c>
      <c r="D257" s="2320"/>
    </row>
    <row r="258" spans="1:5" x14ac:dyDescent="0.2">
      <c r="A258" s="145">
        <v>123520</v>
      </c>
      <c r="B258" s="145" t="str">
        <f t="shared" si="15"/>
        <v>12352000</v>
      </c>
      <c r="C258" s="186" t="s">
        <v>3182</v>
      </c>
      <c r="D258" s="2320"/>
    </row>
    <row r="259" spans="1:5" x14ac:dyDescent="0.2">
      <c r="A259" s="780" t="s">
        <v>3183</v>
      </c>
      <c r="B259" s="2130"/>
      <c r="C259" s="2131"/>
      <c r="D259" s="905" t="s">
        <v>2940</v>
      </c>
      <c r="E259" s="2300" t="s">
        <v>2517</v>
      </c>
    </row>
    <row r="260" spans="1:5" x14ac:dyDescent="0.2">
      <c r="A260" s="145">
        <v>123370</v>
      </c>
      <c r="B260" s="145" t="str">
        <f t="shared" ref="B260:B261" si="16">+A260&amp;"00"</f>
        <v>12337000</v>
      </c>
      <c r="C260" s="186" t="s">
        <v>3184</v>
      </c>
      <c r="D260" s="2320"/>
    </row>
    <row r="261" spans="1:5" x14ac:dyDescent="0.2">
      <c r="A261" s="145">
        <v>123700</v>
      </c>
      <c r="B261" s="145" t="str">
        <f t="shared" si="16"/>
        <v>12370000</v>
      </c>
      <c r="C261" s="186" t="s">
        <v>3185</v>
      </c>
      <c r="D261" s="2320"/>
    </row>
    <row r="262" spans="1:5" x14ac:dyDescent="0.2">
      <c r="A262" s="866" t="s">
        <v>3186</v>
      </c>
      <c r="B262" s="2130"/>
      <c r="C262" s="2131"/>
      <c r="D262" s="905" t="s">
        <v>2940</v>
      </c>
      <c r="E262" s="145">
        <v>1370</v>
      </c>
    </row>
    <row r="263" spans="1:5" x14ac:dyDescent="0.2">
      <c r="A263" s="145">
        <v>123360</v>
      </c>
      <c r="B263" s="145" t="str">
        <f t="shared" ref="B263:B266" si="17">+A263&amp;"00"</f>
        <v>12336000</v>
      </c>
      <c r="C263" s="186" t="s">
        <v>3070</v>
      </c>
      <c r="D263" s="2320"/>
    </row>
    <row r="264" spans="1:5" x14ac:dyDescent="0.2">
      <c r="A264" s="145">
        <v>123910</v>
      </c>
      <c r="B264" s="145" t="str">
        <f t="shared" si="17"/>
        <v>12391000</v>
      </c>
      <c r="C264" s="186" t="s">
        <v>3187</v>
      </c>
      <c r="D264" s="2320"/>
    </row>
    <row r="265" spans="1:5" x14ac:dyDescent="0.2">
      <c r="A265" s="145">
        <v>123940</v>
      </c>
      <c r="B265" s="145" t="str">
        <f t="shared" si="17"/>
        <v>12394000</v>
      </c>
      <c r="C265" s="186" t="s">
        <v>3072</v>
      </c>
      <c r="D265" s="2320"/>
    </row>
    <row r="266" spans="1:5" x14ac:dyDescent="0.2">
      <c r="A266" s="145">
        <v>123990</v>
      </c>
      <c r="B266" s="145" t="str">
        <f t="shared" si="17"/>
        <v>12399000</v>
      </c>
      <c r="C266" s="186" t="s">
        <v>3188</v>
      </c>
      <c r="D266" s="2320"/>
    </row>
    <row r="267" spans="1:5" x14ac:dyDescent="0.2">
      <c r="A267" s="780" t="s">
        <v>3189</v>
      </c>
      <c r="B267" s="2130"/>
      <c r="C267" s="2131"/>
      <c r="D267" s="905" t="s">
        <v>2940</v>
      </c>
      <c r="E267" s="145">
        <v>1390</v>
      </c>
    </row>
    <row r="268" spans="1:5" x14ac:dyDescent="0.2">
      <c r="A268" s="145">
        <v>124100</v>
      </c>
      <c r="B268" s="145" t="str">
        <f t="shared" ref="B268" si="18">+A268&amp;"00"</f>
        <v>12410000</v>
      </c>
      <c r="C268" s="186" t="s">
        <v>3190</v>
      </c>
      <c r="D268" s="2320"/>
    </row>
    <row r="269" spans="1:5" x14ac:dyDescent="0.2">
      <c r="A269" s="780" t="s">
        <v>3191</v>
      </c>
      <c r="B269" s="2130"/>
      <c r="C269" s="2131"/>
      <c r="D269" s="905" t="s">
        <v>2940</v>
      </c>
      <c r="E269" s="145">
        <v>1395</v>
      </c>
    </row>
    <row r="270" spans="1:5" x14ac:dyDescent="0.2">
      <c r="A270" s="2300">
        <v>124200</v>
      </c>
      <c r="B270" s="145" t="str">
        <f t="shared" ref="B270" si="19">+A270&amp;"00"</f>
        <v>12420000</v>
      </c>
      <c r="C270" s="186" t="s">
        <v>3192</v>
      </c>
      <c r="D270" s="2320" t="s">
        <v>3031</v>
      </c>
    </row>
    <row r="271" spans="1:5" x14ac:dyDescent="0.2">
      <c r="A271" s="866" t="s">
        <v>3144</v>
      </c>
      <c r="B271" s="2130"/>
      <c r="C271" s="2131"/>
      <c r="D271" s="905" t="s">
        <v>2940</v>
      </c>
      <c r="E271" s="145">
        <v>1434</v>
      </c>
    </row>
    <row r="272" spans="1:5" x14ac:dyDescent="0.2">
      <c r="A272" s="2300">
        <v>124910</v>
      </c>
      <c r="B272" s="145" t="str">
        <f t="shared" ref="B272" si="20">+A272&amp;"00"</f>
        <v>12491000</v>
      </c>
      <c r="C272" s="186" t="s">
        <v>3145</v>
      </c>
      <c r="D272" s="2320" t="s">
        <v>3146</v>
      </c>
    </row>
    <row r="273" spans="1:5" x14ac:dyDescent="0.2">
      <c r="A273" s="866" t="s">
        <v>2752</v>
      </c>
      <c r="B273" s="2130"/>
      <c r="C273" s="2131"/>
      <c r="D273" s="905" t="s">
        <v>2940</v>
      </c>
      <c r="E273" s="145">
        <v>1400</v>
      </c>
    </row>
    <row r="274" spans="1:5" x14ac:dyDescent="0.2">
      <c r="A274" s="145">
        <v>125100</v>
      </c>
      <c r="B274" s="145" t="str">
        <f t="shared" ref="B274:B279" si="21">+A274&amp;"00"</f>
        <v>12510000</v>
      </c>
      <c r="C274" s="186" t="s">
        <v>3193</v>
      </c>
      <c r="D274" s="2320"/>
    </row>
    <row r="275" spans="1:5" x14ac:dyDescent="0.2">
      <c r="A275" s="145">
        <v>125110</v>
      </c>
      <c r="B275" s="145" t="str">
        <f t="shared" si="21"/>
        <v>12511000</v>
      </c>
      <c r="C275" s="186" t="s">
        <v>3194</v>
      </c>
      <c r="D275" s="2320"/>
    </row>
    <row r="276" spans="1:5" x14ac:dyDescent="0.2">
      <c r="A276" s="145">
        <v>125120</v>
      </c>
      <c r="B276" s="145" t="str">
        <f t="shared" si="21"/>
        <v>12512000</v>
      </c>
      <c r="C276" s="186" t="s">
        <v>3195</v>
      </c>
      <c r="D276" s="2320"/>
    </row>
    <row r="277" spans="1:5" x14ac:dyDescent="0.2">
      <c r="A277" s="145">
        <v>125200</v>
      </c>
      <c r="B277" s="145" t="str">
        <f t="shared" si="21"/>
        <v>12520000</v>
      </c>
      <c r="C277" s="186" t="s">
        <v>3196</v>
      </c>
      <c r="D277" s="2320"/>
    </row>
    <row r="278" spans="1:5" x14ac:dyDescent="0.2">
      <c r="A278" s="145">
        <v>125210</v>
      </c>
      <c r="B278" s="145" t="str">
        <f t="shared" si="21"/>
        <v>12521000</v>
      </c>
      <c r="C278" s="186" t="s">
        <v>3197</v>
      </c>
      <c r="D278" s="2320"/>
    </row>
    <row r="279" spans="1:5" x14ac:dyDescent="0.2">
      <c r="A279" s="145">
        <v>125220</v>
      </c>
      <c r="B279" s="145" t="str">
        <f t="shared" si="21"/>
        <v>12522000</v>
      </c>
      <c r="C279" s="186" t="s">
        <v>3198</v>
      </c>
      <c r="D279" s="2320"/>
    </row>
    <row r="280" spans="1:5" x14ac:dyDescent="0.2">
      <c r="A280" s="866" t="s">
        <v>3109</v>
      </c>
      <c r="B280" s="2130"/>
      <c r="C280" s="2131"/>
      <c r="D280" s="2320"/>
    </row>
    <row r="281" spans="1:5" x14ac:dyDescent="0.2">
      <c r="A281" s="2300">
        <v>125300</v>
      </c>
      <c r="B281" s="145" t="str">
        <f t="shared" ref="B281" si="22">+A281&amp;"00"</f>
        <v>12530000</v>
      </c>
      <c r="C281" s="186" t="s">
        <v>3110</v>
      </c>
      <c r="D281" s="2320" t="s">
        <v>3111</v>
      </c>
    </row>
    <row r="282" spans="1:5" x14ac:dyDescent="0.2">
      <c r="A282" s="780" t="s">
        <v>3112</v>
      </c>
      <c r="B282" s="2130"/>
      <c r="C282" s="2131"/>
      <c r="D282" s="2320"/>
      <c r="E282" s="145">
        <v>1404</v>
      </c>
    </row>
    <row r="283" spans="1:5" x14ac:dyDescent="0.2">
      <c r="A283" s="2300">
        <v>125400</v>
      </c>
      <c r="B283" s="145" t="str">
        <f t="shared" ref="B283" si="23">+A283&amp;"00"</f>
        <v>12540000</v>
      </c>
      <c r="C283" s="186" t="s">
        <v>3199</v>
      </c>
      <c r="D283" s="2320" t="s">
        <v>3114</v>
      </c>
    </row>
    <row r="284" spans="1:5" x14ac:dyDescent="0.2">
      <c r="A284" s="780" t="s">
        <v>3200</v>
      </c>
      <c r="B284" s="2130"/>
      <c r="C284" s="2131"/>
      <c r="D284" s="905" t="s">
        <v>2940</v>
      </c>
      <c r="E284" s="145">
        <v>1415</v>
      </c>
    </row>
    <row r="285" spans="1:5" x14ac:dyDescent="0.2">
      <c r="A285" s="145">
        <v>129500</v>
      </c>
      <c r="B285" s="145" t="str">
        <f t="shared" ref="B285" si="24">+A285&amp;"00"</f>
        <v>12950000</v>
      </c>
      <c r="C285" s="186" t="s">
        <v>3201</v>
      </c>
      <c r="D285" s="2320" t="s">
        <v>3100</v>
      </c>
    </row>
    <row r="286" spans="1:5" x14ac:dyDescent="0.2">
      <c r="A286" s="780" t="s">
        <v>3202</v>
      </c>
      <c r="B286" s="2130"/>
      <c r="C286" s="2131"/>
      <c r="D286" s="905" t="s">
        <v>3203</v>
      </c>
      <c r="E286" s="145">
        <v>1420</v>
      </c>
    </row>
    <row r="287" spans="1:5" x14ac:dyDescent="0.2">
      <c r="A287" s="145">
        <v>129100</v>
      </c>
      <c r="B287" s="145" t="str">
        <f t="shared" ref="B287:B288" si="25">+A287&amp;"00"</f>
        <v>12910000</v>
      </c>
      <c r="C287" s="186" t="s">
        <v>3204</v>
      </c>
      <c r="D287" s="2320"/>
    </row>
    <row r="288" spans="1:5" x14ac:dyDescent="0.2">
      <c r="A288" s="2300">
        <v>129200</v>
      </c>
      <c r="B288" s="145" t="str">
        <f t="shared" si="25"/>
        <v>12920000</v>
      </c>
      <c r="C288" s="186" t="s">
        <v>3205</v>
      </c>
      <c r="D288" s="2320" t="s">
        <v>3206</v>
      </c>
    </row>
    <row r="289" spans="1:5" x14ac:dyDescent="0.2">
      <c r="A289" s="780" t="s">
        <v>1620</v>
      </c>
      <c r="B289" s="2130"/>
      <c r="C289" s="2131"/>
      <c r="D289" s="905" t="s">
        <v>2940</v>
      </c>
      <c r="E289" s="2300" t="s">
        <v>2517</v>
      </c>
    </row>
    <row r="290" spans="1:5" x14ac:dyDescent="0.2">
      <c r="A290" s="145">
        <v>124310</v>
      </c>
      <c r="B290" s="145" t="str">
        <f t="shared" ref="B290:B296" si="26">+A290&amp;"00"</f>
        <v>12431000</v>
      </c>
      <c r="C290" s="186" t="s">
        <v>3207</v>
      </c>
      <c r="D290" s="2320"/>
    </row>
    <row r="291" spans="1:5" x14ac:dyDescent="0.2">
      <c r="A291" s="145">
        <v>124311</v>
      </c>
      <c r="B291" s="145" t="str">
        <f t="shared" si="26"/>
        <v>12431100</v>
      </c>
      <c r="C291" s="186" t="s">
        <v>3208</v>
      </c>
      <c r="D291" s="2320"/>
    </row>
    <row r="292" spans="1:5" x14ac:dyDescent="0.2">
      <c r="A292" s="145">
        <v>124313</v>
      </c>
      <c r="B292" s="145" t="str">
        <f t="shared" si="26"/>
        <v>12431300</v>
      </c>
      <c r="C292" s="186" t="s">
        <v>3209</v>
      </c>
      <c r="D292" s="2320"/>
    </row>
    <row r="293" spans="1:5" x14ac:dyDescent="0.2">
      <c r="A293" s="145">
        <v>124314</v>
      </c>
      <c r="B293" s="145" t="str">
        <f t="shared" si="26"/>
        <v>12431400</v>
      </c>
      <c r="C293" s="186" t="s">
        <v>3210</v>
      </c>
      <c r="D293" s="2320"/>
    </row>
    <row r="294" spans="1:5" x14ac:dyDescent="0.2">
      <c r="A294" s="145">
        <v>124315</v>
      </c>
      <c r="B294" s="145" t="str">
        <f t="shared" si="26"/>
        <v>12431500</v>
      </c>
      <c r="C294" s="186" t="s">
        <v>3211</v>
      </c>
      <c r="D294" s="2320"/>
    </row>
    <row r="295" spans="1:5" x14ac:dyDescent="0.2">
      <c r="A295" s="145">
        <v>124318</v>
      </c>
      <c r="B295" s="145" t="str">
        <f t="shared" si="26"/>
        <v>12431800</v>
      </c>
      <c r="C295" s="186" t="s">
        <v>3212</v>
      </c>
      <c r="D295" s="2320"/>
    </row>
    <row r="296" spans="1:5" x14ac:dyDescent="0.2">
      <c r="A296" s="145">
        <v>124319</v>
      </c>
      <c r="B296" s="145" t="str">
        <f t="shared" si="26"/>
        <v>12431900</v>
      </c>
      <c r="C296" s="186" t="s">
        <v>3213</v>
      </c>
      <c r="D296" s="2320"/>
    </row>
    <row r="297" spans="1:5" x14ac:dyDescent="0.2">
      <c r="A297" s="780" t="s">
        <v>1622</v>
      </c>
      <c r="B297" s="2130"/>
      <c r="C297" s="2131"/>
      <c r="D297" s="905" t="s">
        <v>2940</v>
      </c>
      <c r="E297" s="2300" t="s">
        <v>2517</v>
      </c>
    </row>
    <row r="298" spans="1:5" x14ac:dyDescent="0.2">
      <c r="A298" s="145">
        <v>124700</v>
      </c>
      <c r="B298" s="145" t="str">
        <f t="shared" ref="B298" si="27">+A298&amp;"00"</f>
        <v>12470000</v>
      </c>
      <c r="C298" s="186" t="s">
        <v>3214</v>
      </c>
      <c r="D298" s="2320"/>
    </row>
    <row r="299" spans="1:5" x14ac:dyDescent="0.2">
      <c r="A299" s="866" t="s">
        <v>3142</v>
      </c>
      <c r="B299" s="2130"/>
      <c r="C299" s="2131"/>
      <c r="D299" s="905" t="s">
        <v>2940</v>
      </c>
      <c r="E299" s="145">
        <v>1432</v>
      </c>
    </row>
    <row r="300" spans="1:5" x14ac:dyDescent="0.2">
      <c r="A300" s="2300">
        <v>129700</v>
      </c>
      <c r="B300" s="145" t="str">
        <f t="shared" ref="B300" si="28">+A300&amp;"00"</f>
        <v>12970000</v>
      </c>
      <c r="C300" s="186" t="s">
        <v>3215</v>
      </c>
      <c r="D300" s="2320" t="s">
        <v>3216</v>
      </c>
    </row>
    <row r="301" spans="1:5" x14ac:dyDescent="0.2">
      <c r="A301" s="2300"/>
      <c r="D301" s="2320"/>
    </row>
    <row r="302" spans="1:5" x14ac:dyDescent="0.2">
      <c r="A302" s="2300"/>
      <c r="D302" s="2320"/>
    </row>
    <row r="303" spans="1:5" x14ac:dyDescent="0.2">
      <c r="A303" s="866" t="s">
        <v>3147</v>
      </c>
      <c r="B303" s="2130"/>
      <c r="C303" s="2131"/>
      <c r="D303" s="905" t="s">
        <v>2940</v>
      </c>
      <c r="E303" s="145">
        <v>1433</v>
      </c>
    </row>
    <row r="304" spans="1:5" x14ac:dyDescent="0.2">
      <c r="A304" s="2300">
        <v>129780</v>
      </c>
      <c r="B304" s="145" t="str">
        <f t="shared" ref="B304" si="29">+A304&amp;"00"</f>
        <v>12978000</v>
      </c>
      <c r="C304" s="186" t="s">
        <v>3217</v>
      </c>
      <c r="D304" s="2320" t="s">
        <v>3218</v>
      </c>
    </row>
    <row r="305" spans="1:5" x14ac:dyDescent="0.2">
      <c r="A305" s="831" t="s">
        <v>3219</v>
      </c>
      <c r="B305" s="2132"/>
      <c r="C305" s="2133"/>
      <c r="D305" s="909"/>
    </row>
    <row r="306" spans="1:5" x14ac:dyDescent="0.2">
      <c r="A306" s="866" t="s">
        <v>3220</v>
      </c>
      <c r="B306" s="2411"/>
      <c r="C306" s="2131"/>
      <c r="D306" s="909"/>
    </row>
    <row r="307" spans="1:5" x14ac:dyDescent="0.2">
      <c r="A307" s="780" t="s">
        <v>579</v>
      </c>
      <c r="B307" s="2411"/>
      <c r="C307" s="2131"/>
      <c r="D307" s="2320"/>
    </row>
    <row r="308" spans="1:5" x14ac:dyDescent="0.2">
      <c r="A308" s="780" t="s">
        <v>3221</v>
      </c>
      <c r="B308" s="2130"/>
      <c r="C308" s="2131"/>
      <c r="D308" s="907" t="s">
        <v>2940</v>
      </c>
      <c r="E308" s="145">
        <v>1480</v>
      </c>
    </row>
    <row r="309" spans="1:5" x14ac:dyDescent="0.2">
      <c r="A309" s="145">
        <v>127000</v>
      </c>
      <c r="B309" s="145" t="str">
        <f t="shared" ref="B309:B310" si="30">+A309&amp;"00"</f>
        <v>12700000</v>
      </c>
      <c r="C309" s="186" t="s">
        <v>3222</v>
      </c>
      <c r="D309" s="2320"/>
    </row>
    <row r="310" spans="1:5" x14ac:dyDescent="0.2">
      <c r="A310" s="145">
        <v>127510</v>
      </c>
      <c r="B310" s="145" t="str">
        <f t="shared" si="30"/>
        <v>12751000</v>
      </c>
      <c r="C310" s="186" t="s">
        <v>3223</v>
      </c>
      <c r="D310" s="2320"/>
    </row>
    <row r="311" spans="1:5" x14ac:dyDescent="0.2">
      <c r="A311" s="780" t="s">
        <v>3224</v>
      </c>
      <c r="B311" s="2130"/>
      <c r="C311" s="2131"/>
      <c r="D311" s="907" t="s">
        <v>2940</v>
      </c>
      <c r="E311" s="145">
        <v>1490</v>
      </c>
    </row>
    <row r="312" spans="1:5" x14ac:dyDescent="0.2">
      <c r="A312" s="145">
        <v>127410</v>
      </c>
      <c r="B312" s="145" t="str">
        <f t="shared" ref="B312" si="31">+A312&amp;"00"</f>
        <v>12741000</v>
      </c>
      <c r="C312" s="186" t="s">
        <v>3225</v>
      </c>
      <c r="D312" s="2320"/>
    </row>
    <row r="313" spans="1:5" x14ac:dyDescent="0.2">
      <c r="A313" s="780" t="s">
        <v>3226</v>
      </c>
      <c r="B313" s="2130"/>
      <c r="C313" s="2131"/>
      <c r="D313" s="907" t="s">
        <v>2940</v>
      </c>
      <c r="E313" s="145">
        <v>1500</v>
      </c>
    </row>
    <row r="314" spans="1:5" x14ac:dyDescent="0.2">
      <c r="A314" s="145">
        <v>127800</v>
      </c>
      <c r="B314" s="145" t="str">
        <f t="shared" ref="B314" si="32">+A314&amp;"00"</f>
        <v>12780000</v>
      </c>
      <c r="C314" s="186" t="s">
        <v>3227</v>
      </c>
      <c r="D314" s="2320"/>
    </row>
    <row r="315" spans="1:5" x14ac:dyDescent="0.2">
      <c r="A315" s="780" t="s">
        <v>3228</v>
      </c>
      <c r="B315" s="2130"/>
      <c r="C315" s="2131"/>
      <c r="D315" s="907" t="s">
        <v>2940</v>
      </c>
      <c r="E315" s="145">
        <v>1503</v>
      </c>
    </row>
    <row r="316" spans="1:5" x14ac:dyDescent="0.2">
      <c r="A316" s="2300">
        <v>127830</v>
      </c>
      <c r="B316" s="145" t="str">
        <f t="shared" ref="B316" si="33">+A316&amp;"00"</f>
        <v>12783000</v>
      </c>
      <c r="C316" s="186" t="s">
        <v>3229</v>
      </c>
      <c r="D316" s="2320" t="s">
        <v>3216</v>
      </c>
    </row>
    <row r="317" spans="1:5" x14ac:dyDescent="0.2">
      <c r="A317" s="780" t="s">
        <v>3230</v>
      </c>
      <c r="B317" s="2130"/>
      <c r="C317" s="2131"/>
      <c r="D317" s="907" t="s">
        <v>2940</v>
      </c>
      <c r="E317" s="145">
        <v>1505</v>
      </c>
    </row>
    <row r="318" spans="1:5" x14ac:dyDescent="0.2">
      <c r="A318" s="2300">
        <v>127820</v>
      </c>
      <c r="B318" s="145" t="str">
        <f t="shared" ref="B318" si="34">+A318&amp;"00"</f>
        <v>12782000</v>
      </c>
      <c r="C318" s="186" t="s">
        <v>3231</v>
      </c>
      <c r="D318" s="2320" t="s">
        <v>3216</v>
      </c>
    </row>
    <row r="319" spans="1:5" x14ac:dyDescent="0.2">
      <c r="A319" s="780" t="s">
        <v>3232</v>
      </c>
      <c r="B319" s="2130"/>
      <c r="C319" s="2131"/>
      <c r="D319" s="907" t="s">
        <v>2940</v>
      </c>
      <c r="E319" s="145">
        <v>1506</v>
      </c>
    </row>
    <row r="320" spans="1:5" x14ac:dyDescent="0.2">
      <c r="A320" s="2300">
        <v>127505</v>
      </c>
      <c r="B320" s="145" t="str">
        <f t="shared" ref="B320" si="35">+A320&amp;"00"</f>
        <v>12750500</v>
      </c>
      <c r="C320" s="186" t="s">
        <v>3233</v>
      </c>
      <c r="D320" s="2320"/>
    </row>
    <row r="321" spans="1:5" x14ac:dyDescent="0.2">
      <c r="A321" s="831" t="s">
        <v>3234</v>
      </c>
      <c r="B321" s="2132"/>
      <c r="C321" s="2133"/>
      <c r="D321" s="2320"/>
    </row>
    <row r="322" spans="1:5" x14ac:dyDescent="0.2">
      <c r="A322" s="866" t="s">
        <v>3235</v>
      </c>
      <c r="B322" s="2130"/>
      <c r="C322" s="2131"/>
      <c r="D322" s="905" t="s">
        <v>2940</v>
      </c>
      <c r="E322" s="145">
        <v>1520</v>
      </c>
    </row>
    <row r="323" spans="1:5" x14ac:dyDescent="0.2">
      <c r="A323" s="145">
        <v>127100</v>
      </c>
      <c r="B323" s="145" t="str">
        <f t="shared" ref="B323:B324" si="36">+A323&amp;"00"</f>
        <v>12710000</v>
      </c>
      <c r="C323" s="186" t="s">
        <v>3236</v>
      </c>
      <c r="D323" s="2320"/>
    </row>
    <row r="324" spans="1:5" x14ac:dyDescent="0.2">
      <c r="A324" s="2300">
        <v>127110</v>
      </c>
      <c r="B324" s="145" t="str">
        <f t="shared" si="36"/>
        <v>12711000</v>
      </c>
      <c r="C324" s="186" t="s">
        <v>3237</v>
      </c>
      <c r="D324" s="2320" t="s">
        <v>3238</v>
      </c>
    </row>
    <row r="325" spans="1:5" x14ac:dyDescent="0.2">
      <c r="A325" s="780" t="s">
        <v>3239</v>
      </c>
      <c r="B325" s="2130"/>
      <c r="C325" s="2131"/>
      <c r="D325" s="905" t="s">
        <v>2940</v>
      </c>
      <c r="E325" s="145">
        <v>1530</v>
      </c>
    </row>
    <row r="326" spans="1:5" x14ac:dyDescent="0.2">
      <c r="A326" s="145">
        <v>127310</v>
      </c>
      <c r="B326" s="145" t="str">
        <f t="shared" ref="B326:B329" si="37">+A326&amp;"00"</f>
        <v>12731000</v>
      </c>
      <c r="C326" s="186" t="s">
        <v>3240</v>
      </c>
      <c r="D326" s="2320"/>
    </row>
    <row r="327" spans="1:5" x14ac:dyDescent="0.2">
      <c r="A327" s="145">
        <v>127320</v>
      </c>
      <c r="B327" s="145" t="str">
        <f t="shared" si="37"/>
        <v>12732000</v>
      </c>
      <c r="C327" s="186" t="s">
        <v>3241</v>
      </c>
      <c r="D327" s="2320"/>
    </row>
    <row r="328" spans="1:5" x14ac:dyDescent="0.2">
      <c r="A328" s="145">
        <v>127330</v>
      </c>
      <c r="B328" s="145" t="str">
        <f t="shared" si="37"/>
        <v>12733000</v>
      </c>
      <c r="C328" s="186" t="s">
        <v>3242</v>
      </c>
      <c r="D328" s="2320"/>
    </row>
    <row r="329" spans="1:5" x14ac:dyDescent="0.2">
      <c r="A329" s="145">
        <v>127340</v>
      </c>
      <c r="B329" s="145" t="str">
        <f t="shared" si="37"/>
        <v>12734000</v>
      </c>
      <c r="C329" s="186" t="s">
        <v>3243</v>
      </c>
      <c r="D329" s="2320"/>
    </row>
    <row r="330" spans="1:5" x14ac:dyDescent="0.2">
      <c r="A330" s="780" t="s">
        <v>3244</v>
      </c>
      <c r="B330" s="2130"/>
      <c r="C330" s="2131"/>
      <c r="D330" s="905" t="s">
        <v>2940</v>
      </c>
      <c r="E330" s="145">
        <v>1540</v>
      </c>
    </row>
    <row r="331" spans="1:5" x14ac:dyDescent="0.2">
      <c r="A331" s="145">
        <v>127400</v>
      </c>
      <c r="B331" s="145" t="str">
        <f t="shared" ref="B331" si="38">+A331&amp;"00"</f>
        <v>12740000</v>
      </c>
      <c r="C331" s="186" t="s">
        <v>3245</v>
      </c>
      <c r="D331" s="2320"/>
    </row>
    <row r="332" spans="1:5" x14ac:dyDescent="0.2">
      <c r="A332" s="780" t="s">
        <v>3246</v>
      </c>
      <c r="B332" s="2130"/>
      <c r="C332" s="2131"/>
      <c r="D332" s="905" t="s">
        <v>2940</v>
      </c>
      <c r="E332" s="145">
        <v>1550</v>
      </c>
    </row>
    <row r="333" spans="1:5" x14ac:dyDescent="0.2">
      <c r="A333" s="145">
        <v>127210</v>
      </c>
      <c r="B333" s="145" t="str">
        <f t="shared" ref="B333:B343" si="39">+A333&amp;"00"</f>
        <v>12721000</v>
      </c>
      <c r="C333" s="186" t="s">
        <v>3247</v>
      </c>
      <c r="D333" s="2320"/>
    </row>
    <row r="334" spans="1:5" x14ac:dyDescent="0.2">
      <c r="A334" s="145">
        <v>127220</v>
      </c>
      <c r="B334" s="145" t="str">
        <f t="shared" si="39"/>
        <v>12722000</v>
      </c>
      <c r="C334" s="186" t="s">
        <v>3248</v>
      </c>
      <c r="D334" s="2320"/>
    </row>
    <row r="335" spans="1:5" x14ac:dyDescent="0.2">
      <c r="A335" s="145">
        <v>127230</v>
      </c>
      <c r="B335" s="145" t="str">
        <f t="shared" si="39"/>
        <v>12723000</v>
      </c>
      <c r="C335" s="186" t="s">
        <v>3249</v>
      </c>
      <c r="D335" s="2320"/>
    </row>
    <row r="336" spans="1:5" x14ac:dyDescent="0.2">
      <c r="A336" s="145">
        <v>127240</v>
      </c>
      <c r="B336" s="145" t="str">
        <f t="shared" si="39"/>
        <v>12724000</v>
      </c>
      <c r="C336" s="186" t="s">
        <v>3250</v>
      </c>
      <c r="D336" s="2320"/>
    </row>
    <row r="337" spans="1:7" x14ac:dyDescent="0.2">
      <c r="A337" s="145">
        <v>127250</v>
      </c>
      <c r="B337" s="145" t="str">
        <f t="shared" si="39"/>
        <v>12725000</v>
      </c>
      <c r="C337" s="186" t="s">
        <v>3251</v>
      </c>
      <c r="D337" s="2320"/>
    </row>
    <row r="338" spans="1:7" x14ac:dyDescent="0.2">
      <c r="A338" s="145">
        <v>127255</v>
      </c>
      <c r="B338" s="145" t="str">
        <f t="shared" si="39"/>
        <v>12725500</v>
      </c>
      <c r="C338" s="186" t="s">
        <v>3252</v>
      </c>
      <c r="D338" s="2320"/>
    </row>
    <row r="339" spans="1:7" x14ac:dyDescent="0.2">
      <c r="A339" s="145">
        <v>127260</v>
      </c>
      <c r="B339" s="145" t="str">
        <f t="shared" si="39"/>
        <v>12726000</v>
      </c>
      <c r="C339" s="186" t="s">
        <v>3253</v>
      </c>
      <c r="D339" s="2320"/>
    </row>
    <row r="340" spans="1:7" x14ac:dyDescent="0.2">
      <c r="A340" s="145">
        <v>127265</v>
      </c>
      <c r="B340" s="145" t="str">
        <f t="shared" si="39"/>
        <v>12726500</v>
      </c>
      <c r="C340" s="186" t="s">
        <v>3254</v>
      </c>
      <c r="D340" s="2320"/>
    </row>
    <row r="341" spans="1:7" x14ac:dyDescent="0.2">
      <c r="A341" s="145">
        <v>127270</v>
      </c>
      <c r="B341" s="145" t="str">
        <f t="shared" si="39"/>
        <v>12727000</v>
      </c>
      <c r="C341" s="186" t="s">
        <v>3255</v>
      </c>
      <c r="D341" s="2320"/>
    </row>
    <row r="342" spans="1:7" x14ac:dyDescent="0.2">
      <c r="A342" s="145">
        <v>127280</v>
      </c>
      <c r="B342" s="145" t="str">
        <f t="shared" si="39"/>
        <v>12728000</v>
      </c>
      <c r="C342" s="186" t="s">
        <v>3256</v>
      </c>
      <c r="D342" s="2320"/>
    </row>
    <row r="343" spans="1:7" x14ac:dyDescent="0.2">
      <c r="A343" s="145">
        <v>127290</v>
      </c>
      <c r="B343" s="145" t="str">
        <f t="shared" si="39"/>
        <v>12729000</v>
      </c>
      <c r="C343" s="186" t="s">
        <v>3257</v>
      </c>
      <c r="D343" s="2320"/>
    </row>
    <row r="344" spans="1:7" x14ac:dyDescent="0.2">
      <c r="A344" s="866" t="s">
        <v>3258</v>
      </c>
      <c r="B344" s="2130"/>
      <c r="C344" s="2131"/>
      <c r="D344" s="905" t="s">
        <v>2940</v>
      </c>
      <c r="E344" s="2300" t="s">
        <v>2517</v>
      </c>
    </row>
    <row r="345" spans="1:7" x14ac:dyDescent="0.2">
      <c r="A345" s="145">
        <v>127200</v>
      </c>
      <c r="B345" s="145" t="str">
        <f t="shared" ref="B345" si="40">+A345&amp;"00"</f>
        <v>12720000</v>
      </c>
      <c r="C345" s="186" t="s">
        <v>3259</v>
      </c>
      <c r="D345" s="2320"/>
    </row>
    <row r="346" spans="1:7" x14ac:dyDescent="0.2">
      <c r="A346" s="866" t="s">
        <v>3260</v>
      </c>
      <c r="B346" s="2130"/>
      <c r="C346" s="2131"/>
      <c r="D346" s="905" t="s">
        <v>2940</v>
      </c>
      <c r="E346" s="145">
        <v>1553</v>
      </c>
    </row>
    <row r="347" spans="1:7" x14ac:dyDescent="0.2">
      <c r="A347" s="145">
        <v>127530</v>
      </c>
      <c r="B347" s="145" t="str">
        <f t="shared" ref="B347" si="41">+A347&amp;"00"</f>
        <v>12753000</v>
      </c>
      <c r="C347" s="186" t="s">
        <v>3261</v>
      </c>
      <c r="D347" s="2320"/>
    </row>
    <row r="348" spans="1:7" x14ac:dyDescent="0.2">
      <c r="A348" s="866" t="s">
        <v>3262</v>
      </c>
      <c r="B348" s="2130"/>
      <c r="C348" s="2131"/>
      <c r="D348" s="905" t="s">
        <v>2940</v>
      </c>
      <c r="E348" s="145">
        <v>1555</v>
      </c>
    </row>
    <row r="349" spans="1:7" x14ac:dyDescent="0.2">
      <c r="A349" s="145">
        <v>127520</v>
      </c>
      <c r="B349" s="145" t="str">
        <f t="shared" ref="B349" si="42">+A349&amp;"00"</f>
        <v>12752000</v>
      </c>
      <c r="C349" s="186" t="s">
        <v>3263</v>
      </c>
      <c r="D349" s="2320"/>
      <c r="G349" s="2380"/>
    </row>
    <row r="350" spans="1:7" x14ac:dyDescent="0.2">
      <c r="A350" s="866" t="s">
        <v>3264</v>
      </c>
      <c r="B350" s="2130"/>
      <c r="C350" s="2131"/>
      <c r="D350" s="905" t="s">
        <v>2940</v>
      </c>
      <c r="E350" s="145">
        <v>1560</v>
      </c>
      <c r="G350" s="2380"/>
    </row>
    <row r="351" spans="1:7" x14ac:dyDescent="0.2">
      <c r="A351" s="145">
        <v>127500</v>
      </c>
      <c r="B351" s="145" t="str">
        <f t="shared" ref="B351" si="43">+A351&amp;"00"</f>
        <v>12750000</v>
      </c>
      <c r="C351" s="186" t="s">
        <v>3265</v>
      </c>
      <c r="D351" s="2320"/>
      <c r="G351" s="2380"/>
    </row>
    <row r="352" spans="1:7" x14ac:dyDescent="0.2">
      <c r="A352" s="866" t="s">
        <v>3266</v>
      </c>
      <c r="B352" s="2130"/>
      <c r="C352" s="2131"/>
      <c r="D352" s="1476"/>
      <c r="E352" s="2300">
        <v>1481</v>
      </c>
      <c r="G352" s="2380"/>
    </row>
    <row r="353" spans="1:5" x14ac:dyDescent="0.2">
      <c r="A353" s="2300">
        <v>127001</v>
      </c>
      <c r="B353" s="145" t="str">
        <f t="shared" ref="B353" si="44">+A353&amp;"00"</f>
        <v>12700100</v>
      </c>
      <c r="C353" s="186" t="s">
        <v>3267</v>
      </c>
      <c r="D353" s="1476"/>
      <c r="E353" s="2300"/>
    </row>
    <row r="354" spans="1:5" x14ac:dyDescent="0.2">
      <c r="A354" s="866" t="s">
        <v>3268</v>
      </c>
      <c r="B354" s="2130"/>
      <c r="C354" s="2131"/>
      <c r="D354" s="1476"/>
      <c r="E354" s="2300">
        <v>1521</v>
      </c>
    </row>
    <row r="355" spans="1:5" x14ac:dyDescent="0.2">
      <c r="A355" s="2300">
        <v>127101</v>
      </c>
      <c r="B355" s="145" t="str">
        <f t="shared" ref="B355" si="45">+A355&amp;"00"</f>
        <v>12710100</v>
      </c>
      <c r="C355" s="186" t="s">
        <v>3269</v>
      </c>
      <c r="D355" s="1476"/>
      <c r="E355" s="2300"/>
    </row>
    <row r="356" spans="1:5" x14ac:dyDescent="0.2">
      <c r="A356" s="866" t="s">
        <v>3270</v>
      </c>
      <c r="B356" s="2130"/>
      <c r="C356" s="2131"/>
      <c r="D356" s="1476"/>
      <c r="E356" s="2300">
        <v>1531</v>
      </c>
    </row>
    <row r="357" spans="1:5" x14ac:dyDescent="0.2">
      <c r="A357" s="2300">
        <v>127350</v>
      </c>
      <c r="B357" s="145" t="str">
        <f t="shared" ref="B357" si="46">+A357&amp;"00"</f>
        <v>12735000</v>
      </c>
      <c r="C357" s="186" t="s">
        <v>3271</v>
      </c>
      <c r="D357" s="1476"/>
      <c r="E357" s="2300"/>
    </row>
    <row r="358" spans="1:5" x14ac:dyDescent="0.2">
      <c r="A358" s="866" t="s">
        <v>3272</v>
      </c>
      <c r="B358" s="2130"/>
      <c r="C358" s="2131"/>
      <c r="D358" s="1476"/>
      <c r="E358" s="2300">
        <v>1551</v>
      </c>
    </row>
    <row r="359" spans="1:5" x14ac:dyDescent="0.2">
      <c r="A359" s="2300">
        <v>127295</v>
      </c>
      <c r="B359" s="145" t="str">
        <f t="shared" ref="B359" si="47">+A359&amp;"00"</f>
        <v>12729500</v>
      </c>
      <c r="C359" s="186" t="s">
        <v>3273</v>
      </c>
      <c r="D359" s="1476"/>
    </row>
    <row r="360" spans="1:5" x14ac:dyDescent="0.2">
      <c r="A360" s="2196" t="s">
        <v>3274</v>
      </c>
      <c r="B360" s="2130"/>
      <c r="C360" s="2131"/>
      <c r="D360" s="1476"/>
      <c r="E360" s="1355">
        <v>1552</v>
      </c>
    </row>
    <row r="361" spans="1:5" ht="15" x14ac:dyDescent="0.2">
      <c r="A361" s="2197">
        <v>127550</v>
      </c>
      <c r="B361" s="1355" t="str">
        <f t="shared" ref="B361" si="48">+A361&amp;"00"</f>
        <v>12755000</v>
      </c>
      <c r="C361" s="2198" t="s">
        <v>3275</v>
      </c>
      <c r="D361" s="2202" t="s">
        <v>3276</v>
      </c>
    </row>
    <row r="362" spans="1:5" x14ac:dyDescent="0.2">
      <c r="A362" s="866" t="s">
        <v>3277</v>
      </c>
      <c r="B362" s="2130"/>
      <c r="C362" s="2131"/>
      <c r="D362" s="1866" t="s">
        <v>2940</v>
      </c>
      <c r="E362" s="145">
        <v>1556</v>
      </c>
    </row>
    <row r="363" spans="1:5" x14ac:dyDescent="0.2">
      <c r="A363" s="2300">
        <v>127540</v>
      </c>
      <c r="B363" s="145" t="str">
        <f t="shared" ref="B363" si="49">+A363&amp;"00"</f>
        <v>12754000</v>
      </c>
      <c r="C363" s="186" t="s">
        <v>3278</v>
      </c>
      <c r="D363" s="2320" t="s">
        <v>3279</v>
      </c>
    </row>
    <row r="364" spans="1:5" x14ac:dyDescent="0.2">
      <c r="A364" s="866" t="s">
        <v>3280</v>
      </c>
      <c r="B364" s="2130"/>
      <c r="C364" s="2131"/>
      <c r="D364" s="905" t="s">
        <v>3281</v>
      </c>
      <c r="E364" s="145">
        <v>1570</v>
      </c>
    </row>
    <row r="365" spans="1:5" x14ac:dyDescent="0.2">
      <c r="A365" s="145">
        <v>127900</v>
      </c>
      <c r="B365" s="145" t="str">
        <f t="shared" ref="B365:B392" si="50">+A365&amp;"00"</f>
        <v>12790000</v>
      </c>
      <c r="C365" s="186" t="s">
        <v>3282</v>
      </c>
      <c r="D365" s="2320"/>
    </row>
    <row r="366" spans="1:5" x14ac:dyDescent="0.2">
      <c r="A366" s="145">
        <v>127910</v>
      </c>
      <c r="B366" s="145" t="str">
        <f t="shared" si="50"/>
        <v>12791000</v>
      </c>
      <c r="C366" s="186" t="s">
        <v>3283</v>
      </c>
      <c r="D366" s="2320"/>
    </row>
    <row r="367" spans="1:5" x14ac:dyDescent="0.2">
      <c r="A367" s="2300">
        <v>127911</v>
      </c>
      <c r="B367" s="145" t="str">
        <f t="shared" si="50"/>
        <v>12791100</v>
      </c>
      <c r="C367" s="186" t="s">
        <v>3284</v>
      </c>
      <c r="D367" s="2320" t="s">
        <v>3238</v>
      </c>
    </row>
    <row r="368" spans="1:5" x14ac:dyDescent="0.2">
      <c r="A368" s="145">
        <v>127920</v>
      </c>
      <c r="B368" s="145" t="str">
        <f t="shared" si="50"/>
        <v>12792000</v>
      </c>
      <c r="C368" s="186" t="s">
        <v>3285</v>
      </c>
      <c r="D368" s="2320"/>
    </row>
    <row r="369" spans="1:4" x14ac:dyDescent="0.2">
      <c r="A369" s="145">
        <v>127930</v>
      </c>
      <c r="B369" s="145" t="str">
        <f t="shared" si="50"/>
        <v>12793000</v>
      </c>
      <c r="C369" s="186" t="s">
        <v>3286</v>
      </c>
      <c r="D369" s="2320"/>
    </row>
    <row r="370" spans="1:4" x14ac:dyDescent="0.2">
      <c r="A370" s="145">
        <v>127931</v>
      </c>
      <c r="B370" s="145" t="str">
        <f t="shared" si="50"/>
        <v>12793100</v>
      </c>
      <c r="C370" s="186" t="s">
        <v>3287</v>
      </c>
      <c r="D370" s="2320"/>
    </row>
    <row r="371" spans="1:4" x14ac:dyDescent="0.2">
      <c r="A371" s="145">
        <v>127932</v>
      </c>
      <c r="B371" s="145" t="str">
        <f t="shared" si="50"/>
        <v>12793200</v>
      </c>
      <c r="C371" s="186" t="s">
        <v>3288</v>
      </c>
      <c r="D371" s="2320"/>
    </row>
    <row r="372" spans="1:4" x14ac:dyDescent="0.2">
      <c r="A372" s="145">
        <v>127933</v>
      </c>
      <c r="B372" s="145" t="str">
        <f t="shared" si="50"/>
        <v>12793300</v>
      </c>
      <c r="C372" s="186" t="s">
        <v>3289</v>
      </c>
      <c r="D372" s="2320"/>
    </row>
    <row r="373" spans="1:4" x14ac:dyDescent="0.2">
      <c r="A373" s="145">
        <v>127934</v>
      </c>
      <c r="B373" s="145" t="str">
        <f t="shared" si="50"/>
        <v>12793400</v>
      </c>
      <c r="C373" s="186" t="s">
        <v>3290</v>
      </c>
      <c r="D373" s="2320"/>
    </row>
    <row r="374" spans="1:4" x14ac:dyDescent="0.2">
      <c r="A374" s="145">
        <v>127935</v>
      </c>
      <c r="B374" s="145" t="str">
        <f t="shared" si="50"/>
        <v>12793500</v>
      </c>
      <c r="C374" s="186" t="s">
        <v>3291</v>
      </c>
      <c r="D374" s="2320"/>
    </row>
    <row r="375" spans="1:4" x14ac:dyDescent="0.2">
      <c r="A375" s="145">
        <v>127936</v>
      </c>
      <c r="B375" s="145" t="str">
        <f t="shared" si="50"/>
        <v>12793600</v>
      </c>
      <c r="C375" s="186" t="s">
        <v>3292</v>
      </c>
      <c r="D375" s="2320"/>
    </row>
    <row r="376" spans="1:4" x14ac:dyDescent="0.2">
      <c r="A376" s="2300">
        <v>127937</v>
      </c>
      <c r="B376" s="145" t="str">
        <f t="shared" si="50"/>
        <v>12793700</v>
      </c>
      <c r="C376" s="186" t="s">
        <v>3293</v>
      </c>
      <c r="D376" s="2320"/>
    </row>
    <row r="377" spans="1:4" x14ac:dyDescent="0.2">
      <c r="A377" s="2300">
        <v>127940</v>
      </c>
      <c r="B377" s="145" t="str">
        <f t="shared" si="50"/>
        <v>12794000</v>
      </c>
      <c r="C377" s="186" t="s">
        <v>3294</v>
      </c>
      <c r="D377" s="2320"/>
    </row>
    <row r="378" spans="1:4" x14ac:dyDescent="0.2">
      <c r="A378" s="2300">
        <v>127950</v>
      </c>
      <c r="B378" s="145" t="str">
        <f t="shared" si="50"/>
        <v>12795000</v>
      </c>
      <c r="C378" s="186" t="s">
        <v>3295</v>
      </c>
      <c r="D378" s="2320"/>
    </row>
    <row r="379" spans="1:4" x14ac:dyDescent="0.2">
      <c r="A379" s="2300">
        <v>127951</v>
      </c>
      <c r="B379" s="145" t="str">
        <f t="shared" si="50"/>
        <v>12795100</v>
      </c>
      <c r="C379" s="186" t="s">
        <v>3296</v>
      </c>
      <c r="D379" s="2320"/>
    </row>
    <row r="380" spans="1:4" x14ac:dyDescent="0.2">
      <c r="A380" s="2300">
        <v>127952</v>
      </c>
      <c r="B380" s="145" t="str">
        <f t="shared" si="50"/>
        <v>12795200</v>
      </c>
      <c r="C380" s="186" t="s">
        <v>3297</v>
      </c>
      <c r="D380" s="2320"/>
    </row>
    <row r="381" spans="1:4" x14ac:dyDescent="0.2">
      <c r="A381" s="145">
        <v>127960</v>
      </c>
      <c r="B381" s="145" t="str">
        <f t="shared" si="50"/>
        <v>12796000</v>
      </c>
      <c r="C381" s="186" t="s">
        <v>3298</v>
      </c>
      <c r="D381" s="2320"/>
    </row>
    <row r="382" spans="1:4" x14ac:dyDescent="0.2">
      <c r="A382" s="2300">
        <v>127961</v>
      </c>
      <c r="B382" s="145" t="str">
        <f t="shared" si="50"/>
        <v>12796100</v>
      </c>
      <c r="C382" s="186" t="s">
        <v>3299</v>
      </c>
      <c r="D382" s="2320"/>
    </row>
    <row r="383" spans="1:4" x14ac:dyDescent="0.2">
      <c r="A383" s="145">
        <v>127962</v>
      </c>
      <c r="B383" s="145" t="str">
        <f t="shared" si="50"/>
        <v>12796200</v>
      </c>
      <c r="C383" s="186" t="s">
        <v>3300</v>
      </c>
      <c r="D383" s="2320"/>
    </row>
    <row r="384" spans="1:4" x14ac:dyDescent="0.2">
      <c r="A384" s="2300">
        <v>127963</v>
      </c>
      <c r="B384" s="145" t="str">
        <f t="shared" si="50"/>
        <v>12796300</v>
      </c>
      <c r="C384" s="186" t="s">
        <v>3301</v>
      </c>
      <c r="D384" s="2320"/>
    </row>
    <row r="385" spans="1:5" x14ac:dyDescent="0.2">
      <c r="A385" s="2300">
        <v>127964</v>
      </c>
      <c r="B385" s="145" t="str">
        <f t="shared" si="50"/>
        <v>12796400</v>
      </c>
      <c r="C385" s="186" t="s">
        <v>3302</v>
      </c>
      <c r="D385" s="2320"/>
    </row>
    <row r="386" spans="1:5" x14ac:dyDescent="0.2">
      <c r="A386" s="2300">
        <v>127965</v>
      </c>
      <c r="B386" s="145" t="str">
        <f t="shared" si="50"/>
        <v>12796500</v>
      </c>
      <c r="C386" s="186" t="s">
        <v>3303</v>
      </c>
      <c r="D386" s="2320"/>
    </row>
    <row r="387" spans="1:5" x14ac:dyDescent="0.2">
      <c r="A387" s="2300">
        <v>127970</v>
      </c>
      <c r="B387" s="145" t="str">
        <f t="shared" si="50"/>
        <v>12797000</v>
      </c>
      <c r="C387" s="186" t="s">
        <v>3304</v>
      </c>
      <c r="D387" s="2320" t="s">
        <v>3305</v>
      </c>
    </row>
    <row r="388" spans="1:5" x14ac:dyDescent="0.2">
      <c r="A388" s="2300">
        <v>127971</v>
      </c>
      <c r="B388" s="145" t="str">
        <f t="shared" si="50"/>
        <v>12797100</v>
      </c>
      <c r="C388" s="186" t="s">
        <v>3306</v>
      </c>
      <c r="D388" s="2320" t="s">
        <v>3305</v>
      </c>
    </row>
    <row r="389" spans="1:5" x14ac:dyDescent="0.2">
      <c r="A389" s="2300">
        <v>127972</v>
      </c>
      <c r="B389" s="145" t="str">
        <f t="shared" si="50"/>
        <v>12797200</v>
      </c>
      <c r="C389" s="186" t="s">
        <v>3307</v>
      </c>
      <c r="D389" s="2320" t="s">
        <v>3305</v>
      </c>
    </row>
    <row r="390" spans="1:5" x14ac:dyDescent="0.2">
      <c r="A390" s="2300">
        <v>127973</v>
      </c>
      <c r="B390" s="145" t="str">
        <f t="shared" si="50"/>
        <v>12797300</v>
      </c>
      <c r="C390" s="186" t="s">
        <v>3308</v>
      </c>
      <c r="D390" s="2320" t="s">
        <v>3305</v>
      </c>
    </row>
    <row r="391" spans="1:5" x14ac:dyDescent="0.2">
      <c r="A391" s="2300">
        <v>127974</v>
      </c>
      <c r="B391" s="145" t="str">
        <f t="shared" si="50"/>
        <v>12797400</v>
      </c>
      <c r="C391" s="186" t="s">
        <v>3309</v>
      </c>
      <c r="D391" s="2320" t="s">
        <v>3279</v>
      </c>
    </row>
    <row r="392" spans="1:5" x14ac:dyDescent="0.2">
      <c r="A392" s="1355">
        <v>127976</v>
      </c>
      <c r="B392" s="1355" t="str">
        <f t="shared" si="50"/>
        <v>12797600</v>
      </c>
      <c r="C392" s="2198" t="s">
        <v>3310</v>
      </c>
      <c r="D392" s="2202" t="s">
        <v>3276</v>
      </c>
    </row>
    <row r="393" spans="1:5" x14ac:dyDescent="0.2">
      <c r="A393" s="869" t="s">
        <v>608</v>
      </c>
      <c r="B393" s="2132"/>
      <c r="C393" s="2133"/>
      <c r="D393" s="909"/>
    </row>
    <row r="394" spans="1:5" x14ac:dyDescent="0.2">
      <c r="A394" s="868" t="s">
        <v>3311</v>
      </c>
      <c r="B394" s="2312"/>
      <c r="C394" s="2134"/>
      <c r="D394" s="2320"/>
    </row>
    <row r="395" spans="1:5" x14ac:dyDescent="0.2">
      <c r="A395" s="1"/>
      <c r="D395" s="2320"/>
    </row>
    <row r="396" spans="1:5" x14ac:dyDescent="0.2">
      <c r="A396" s="867" t="s">
        <v>3312</v>
      </c>
      <c r="B396" s="2411"/>
      <c r="C396" s="2131"/>
      <c r="D396" s="2320" t="s">
        <v>3313</v>
      </c>
    </row>
    <row r="397" spans="1:5" x14ac:dyDescent="0.2">
      <c r="A397" s="2135" t="s">
        <v>3314</v>
      </c>
      <c r="B397" s="2130"/>
      <c r="C397" s="2131"/>
      <c r="D397" s="905" t="s">
        <v>2940</v>
      </c>
      <c r="E397" s="145">
        <v>1234</v>
      </c>
    </row>
    <row r="398" spans="1:5" x14ac:dyDescent="0.2">
      <c r="A398" s="2300">
        <v>129701</v>
      </c>
      <c r="B398" s="145">
        <v>61100002</v>
      </c>
      <c r="C398" s="186" t="s">
        <v>3315</v>
      </c>
      <c r="D398" s="2320" t="s">
        <v>3316</v>
      </c>
    </row>
    <row r="399" spans="1:5" x14ac:dyDescent="0.2">
      <c r="A399" s="866" t="s">
        <v>3317</v>
      </c>
      <c r="B399" s="2411"/>
      <c r="C399" s="2131"/>
      <c r="D399" s="905" t="s">
        <v>3318</v>
      </c>
      <c r="E399" s="145">
        <v>1236</v>
      </c>
    </row>
    <row r="400" spans="1:5" x14ac:dyDescent="0.2">
      <c r="A400" s="2300">
        <v>129702</v>
      </c>
      <c r="B400" s="145">
        <v>61100003</v>
      </c>
      <c r="C400" s="186" t="s">
        <v>3319</v>
      </c>
      <c r="D400" s="2320" t="s">
        <v>3320</v>
      </c>
    </row>
    <row r="401" spans="1:5" x14ac:dyDescent="0.2">
      <c r="A401" s="866" t="s">
        <v>3321</v>
      </c>
      <c r="B401" s="2411"/>
      <c r="C401" s="2131"/>
      <c r="D401" s="905" t="s">
        <v>3318</v>
      </c>
      <c r="E401" s="2300" t="s">
        <v>2517</v>
      </c>
    </row>
    <row r="402" spans="1:5" x14ac:dyDescent="0.2">
      <c r="A402" s="2300">
        <v>129704</v>
      </c>
      <c r="B402" s="145">
        <v>61100005</v>
      </c>
      <c r="C402" s="186" t="s">
        <v>3322</v>
      </c>
      <c r="D402" s="2320" t="s">
        <v>3320</v>
      </c>
    </row>
    <row r="403" spans="1:5" x14ac:dyDescent="0.2">
      <c r="A403" s="866" t="s">
        <v>3323</v>
      </c>
      <c r="B403" s="2411"/>
      <c r="C403" s="2131"/>
      <c r="D403" s="905" t="s">
        <v>3324</v>
      </c>
      <c r="E403" s="145">
        <v>1238</v>
      </c>
    </row>
    <row r="404" spans="1:5" x14ac:dyDescent="0.2">
      <c r="A404" s="2300">
        <v>129705</v>
      </c>
      <c r="B404" s="145">
        <v>61100006</v>
      </c>
      <c r="C404" s="186" t="s">
        <v>3325</v>
      </c>
      <c r="D404" s="2320" t="s">
        <v>3060</v>
      </c>
    </row>
    <row r="405" spans="1:5" x14ac:dyDescent="0.2">
      <c r="A405" s="866" t="s">
        <v>3326</v>
      </c>
      <c r="B405" s="2411"/>
      <c r="C405" s="2131"/>
      <c r="D405" s="905" t="s">
        <v>3327</v>
      </c>
      <c r="E405" s="145">
        <v>1242</v>
      </c>
    </row>
    <row r="406" spans="1:5" x14ac:dyDescent="0.2">
      <c r="A406" s="2300">
        <v>129706</v>
      </c>
      <c r="B406" s="145">
        <v>61100007</v>
      </c>
      <c r="C406" s="186" t="s">
        <v>3328</v>
      </c>
      <c r="D406" s="2320" t="s">
        <v>3329</v>
      </c>
    </row>
    <row r="407" spans="1:5" x14ac:dyDescent="0.2">
      <c r="A407" s="866" t="s">
        <v>3330</v>
      </c>
      <c r="B407" s="2411"/>
      <c r="C407" s="2131"/>
      <c r="D407" s="905" t="s">
        <v>3324</v>
      </c>
      <c r="E407" s="145">
        <v>1237</v>
      </c>
    </row>
    <row r="408" spans="1:5" x14ac:dyDescent="0.2">
      <c r="A408" s="2300">
        <v>129710</v>
      </c>
      <c r="B408" s="145">
        <v>61100008</v>
      </c>
      <c r="C408" s="186" t="s">
        <v>3331</v>
      </c>
      <c r="D408" s="2320" t="s">
        <v>3060</v>
      </c>
    </row>
    <row r="409" spans="1:5" x14ac:dyDescent="0.2">
      <c r="A409" s="866" t="s">
        <v>3332</v>
      </c>
      <c r="B409" s="2411"/>
      <c r="C409" s="2131"/>
      <c r="D409" s="905" t="s">
        <v>3333</v>
      </c>
      <c r="E409" s="145">
        <v>1241</v>
      </c>
    </row>
    <row r="410" spans="1:5" x14ac:dyDescent="0.2">
      <c r="A410" s="2300">
        <v>129720</v>
      </c>
      <c r="B410" s="145">
        <v>61100009</v>
      </c>
      <c r="C410" s="186" t="s">
        <v>3334</v>
      </c>
      <c r="D410" s="2320" t="s">
        <v>3335</v>
      </c>
    </row>
    <row r="411" spans="1:5" x14ac:dyDescent="0.2">
      <c r="A411" s="866" t="s">
        <v>3336</v>
      </c>
      <c r="B411" s="2411"/>
      <c r="C411" s="2131"/>
      <c r="D411" s="905" t="s">
        <v>3318</v>
      </c>
      <c r="E411" s="145">
        <v>1239</v>
      </c>
    </row>
    <row r="412" spans="1:5" x14ac:dyDescent="0.2">
      <c r="A412" s="2300">
        <v>129703</v>
      </c>
      <c r="B412" s="145">
        <v>61100004</v>
      </c>
      <c r="C412" s="186" t="s">
        <v>3337</v>
      </c>
      <c r="D412" s="2320" t="s">
        <v>3320</v>
      </c>
    </row>
    <row r="413" spans="1:5" x14ac:dyDescent="0.2">
      <c r="A413" s="866" t="s">
        <v>3338</v>
      </c>
      <c r="B413" s="2411"/>
      <c r="C413" s="2131"/>
      <c r="D413" s="2320"/>
    </row>
    <row r="414" spans="1:5" x14ac:dyDescent="0.2">
      <c r="A414" s="866" t="s">
        <v>3339</v>
      </c>
      <c r="B414" s="2411"/>
      <c r="C414" s="2131"/>
      <c r="D414" s="905" t="s">
        <v>3340</v>
      </c>
      <c r="E414" s="2300" t="s">
        <v>2517</v>
      </c>
    </row>
    <row r="415" spans="1:5" x14ac:dyDescent="0.2">
      <c r="A415"/>
      <c r="D415" s="2320"/>
    </row>
    <row r="416" spans="1:5" x14ac:dyDescent="0.2">
      <c r="A416" s="780" t="s">
        <v>3341</v>
      </c>
      <c r="B416" s="2130"/>
      <c r="C416" s="2131"/>
      <c r="D416" s="905" t="s">
        <v>2940</v>
      </c>
      <c r="E416" s="2300" t="s">
        <v>2517</v>
      </c>
    </row>
    <row r="417" spans="1:5" x14ac:dyDescent="0.2">
      <c r="A417" s="145">
        <v>114191</v>
      </c>
      <c r="B417" s="145" t="str">
        <f t="shared" ref="B417:B425" si="51">+A417&amp;"00"</f>
        <v>11419100</v>
      </c>
      <c r="C417" s="186" t="s">
        <v>3342</v>
      </c>
      <c r="D417" s="2320" t="s">
        <v>3343</v>
      </c>
    </row>
    <row r="418" spans="1:5" x14ac:dyDescent="0.2">
      <c r="A418" s="145">
        <v>114192</v>
      </c>
      <c r="B418" s="145" t="str">
        <f t="shared" si="51"/>
        <v>11419200</v>
      </c>
      <c r="C418" s="186" t="s">
        <v>3344</v>
      </c>
      <c r="D418" s="2320" t="s">
        <v>3343</v>
      </c>
    </row>
    <row r="419" spans="1:5" x14ac:dyDescent="0.2">
      <c r="A419" s="145">
        <v>114193</v>
      </c>
      <c r="B419" s="145" t="str">
        <f t="shared" si="51"/>
        <v>11419300</v>
      </c>
      <c r="C419" s="186" t="s">
        <v>3345</v>
      </c>
      <c r="D419" s="2320" t="s">
        <v>3343</v>
      </c>
    </row>
    <row r="420" spans="1:5" x14ac:dyDescent="0.2">
      <c r="A420" s="145">
        <v>114194</v>
      </c>
      <c r="B420" s="145" t="str">
        <f t="shared" si="51"/>
        <v>11419400</v>
      </c>
      <c r="C420" s="186" t="s">
        <v>3346</v>
      </c>
      <c r="D420" s="2320" t="s">
        <v>3343</v>
      </c>
    </row>
    <row r="421" spans="1:5" x14ac:dyDescent="0.2">
      <c r="A421" s="145">
        <v>114195</v>
      </c>
      <c r="B421" s="145" t="str">
        <f t="shared" si="51"/>
        <v>11419500</v>
      </c>
      <c r="C421" s="186" t="s">
        <v>3347</v>
      </c>
      <c r="D421" s="2320" t="s">
        <v>3343</v>
      </c>
    </row>
    <row r="422" spans="1:5" x14ac:dyDescent="0.2">
      <c r="A422" s="145">
        <v>114196</v>
      </c>
      <c r="B422" s="145" t="str">
        <f t="shared" si="51"/>
        <v>11419600</v>
      </c>
      <c r="C422" s="186" t="s">
        <v>3348</v>
      </c>
      <c r="D422" s="2320" t="s">
        <v>3343</v>
      </c>
    </row>
    <row r="423" spans="1:5" x14ac:dyDescent="0.2">
      <c r="A423" s="145">
        <v>114197</v>
      </c>
      <c r="B423" s="145" t="str">
        <f t="shared" si="51"/>
        <v>11419700</v>
      </c>
      <c r="C423" s="186" t="s">
        <v>3349</v>
      </c>
      <c r="D423" s="2320" t="s">
        <v>3343</v>
      </c>
    </row>
    <row r="424" spans="1:5" x14ac:dyDescent="0.2">
      <c r="A424" s="145">
        <v>114198</v>
      </c>
      <c r="B424" s="145" t="str">
        <f t="shared" si="51"/>
        <v>11419800</v>
      </c>
      <c r="C424" s="186" t="s">
        <v>3350</v>
      </c>
      <c r="D424" s="2320" t="s">
        <v>3343</v>
      </c>
    </row>
    <row r="425" spans="1:5" x14ac:dyDescent="0.2">
      <c r="A425" s="145">
        <v>114199</v>
      </c>
      <c r="B425" s="145" t="str">
        <f t="shared" si="51"/>
        <v>11419900</v>
      </c>
      <c r="C425" s="186" t="s">
        <v>3351</v>
      </c>
      <c r="D425" s="2320" t="s">
        <v>3343</v>
      </c>
    </row>
    <row r="426" spans="1:5" x14ac:dyDescent="0.2">
      <c r="A426" s="780" t="s">
        <v>3352</v>
      </c>
      <c r="B426" s="2130"/>
      <c r="C426" s="2131"/>
      <c r="D426" s="905" t="s">
        <v>3353</v>
      </c>
      <c r="E426" s="2300" t="s">
        <v>2517</v>
      </c>
    </row>
    <row r="427" spans="1:5" x14ac:dyDescent="0.2">
      <c r="A427" s="145">
        <v>113100</v>
      </c>
      <c r="B427" s="145" t="str">
        <f t="shared" ref="B427:B468" si="52">+A427&amp;"00"</f>
        <v>11310000</v>
      </c>
      <c r="C427" s="186" t="s">
        <v>3354</v>
      </c>
      <c r="D427" s="2320"/>
    </row>
    <row r="428" spans="1:5" x14ac:dyDescent="0.2">
      <c r="A428" s="145">
        <v>113330</v>
      </c>
      <c r="B428" s="145" t="str">
        <f t="shared" si="52"/>
        <v>11333000</v>
      </c>
      <c r="C428" s="186" t="s">
        <v>3355</v>
      </c>
      <c r="D428" s="2320"/>
    </row>
    <row r="429" spans="1:5" x14ac:dyDescent="0.2">
      <c r="A429" s="145">
        <v>114290</v>
      </c>
      <c r="B429" s="145" t="str">
        <f t="shared" si="52"/>
        <v>11429000</v>
      </c>
      <c r="C429" s="186" t="s">
        <v>3356</v>
      </c>
      <c r="D429" s="2320" t="s">
        <v>3357</v>
      </c>
    </row>
    <row r="430" spans="1:5" x14ac:dyDescent="0.2">
      <c r="A430" s="145">
        <v>114291</v>
      </c>
      <c r="B430" s="145" t="s">
        <v>3358</v>
      </c>
      <c r="C430" s="186" t="s">
        <v>3359</v>
      </c>
      <c r="D430" s="2320"/>
    </row>
    <row r="431" spans="1:5" x14ac:dyDescent="0.2">
      <c r="A431" s="145">
        <v>114292</v>
      </c>
      <c r="B431" s="145" t="str">
        <f t="shared" si="52"/>
        <v>11429200</v>
      </c>
      <c r="C431" s="186" t="s">
        <v>3360</v>
      </c>
      <c r="D431" s="2320"/>
    </row>
    <row r="432" spans="1:5" x14ac:dyDescent="0.2">
      <c r="A432" s="145">
        <v>114293</v>
      </c>
      <c r="B432" s="145" t="str">
        <f t="shared" si="52"/>
        <v>11429300</v>
      </c>
      <c r="C432" s="186" t="s">
        <v>3361</v>
      </c>
      <c r="D432" s="2320"/>
    </row>
    <row r="433" spans="1:5" x14ac:dyDescent="0.2">
      <c r="A433" s="145">
        <v>114294</v>
      </c>
      <c r="B433" s="145" t="str">
        <f t="shared" si="52"/>
        <v>11429400</v>
      </c>
      <c r="C433" s="186" t="s">
        <v>3362</v>
      </c>
      <c r="D433" s="2320"/>
    </row>
    <row r="434" spans="1:5" x14ac:dyDescent="0.2">
      <c r="A434" s="145">
        <v>114295</v>
      </c>
      <c r="B434" s="145" t="str">
        <f t="shared" si="52"/>
        <v>11429500</v>
      </c>
      <c r="C434" s="186" t="s">
        <v>3363</v>
      </c>
      <c r="D434" s="2320"/>
    </row>
    <row r="435" spans="1:5" x14ac:dyDescent="0.2">
      <c r="A435" s="145">
        <v>114296</v>
      </c>
      <c r="B435" s="145" t="str">
        <f t="shared" si="52"/>
        <v>11429600</v>
      </c>
      <c r="C435" s="186" t="s">
        <v>3364</v>
      </c>
      <c r="D435" s="2320"/>
    </row>
    <row r="436" spans="1:5" x14ac:dyDescent="0.2">
      <c r="A436" s="145">
        <v>114297</v>
      </c>
      <c r="B436" s="145" t="str">
        <f t="shared" si="52"/>
        <v>11429700</v>
      </c>
      <c r="C436" s="186" t="s">
        <v>3365</v>
      </c>
      <c r="D436" s="2320"/>
    </row>
    <row r="437" spans="1:5" x14ac:dyDescent="0.2">
      <c r="A437" s="145">
        <v>114298</v>
      </c>
      <c r="B437" s="145" t="str">
        <f t="shared" si="52"/>
        <v>11429800</v>
      </c>
      <c r="C437" s="186" t="s">
        <v>3366</v>
      </c>
      <c r="D437" s="2320"/>
    </row>
    <row r="438" spans="1:5" x14ac:dyDescent="0.2">
      <c r="A438" s="145">
        <v>114299</v>
      </c>
      <c r="B438" s="145" t="str">
        <f t="shared" si="52"/>
        <v>11429900</v>
      </c>
      <c r="C438" s="186" t="s">
        <v>3367</v>
      </c>
      <c r="D438" s="2320"/>
    </row>
    <row r="439" spans="1:5" x14ac:dyDescent="0.2">
      <c r="A439" s="145">
        <v>114312</v>
      </c>
      <c r="B439" s="145" t="str">
        <f t="shared" si="52"/>
        <v>11431200</v>
      </c>
      <c r="C439" s="186" t="s">
        <v>3368</v>
      </c>
      <c r="D439" s="2320"/>
    </row>
    <row r="440" spans="1:5" x14ac:dyDescent="0.2">
      <c r="A440" s="145">
        <v>114316</v>
      </c>
      <c r="B440" s="145" t="str">
        <f t="shared" si="52"/>
        <v>11431600</v>
      </c>
      <c r="C440" s="186" t="s">
        <v>3369</v>
      </c>
      <c r="D440" s="2320"/>
    </row>
    <row r="441" spans="1:5" x14ac:dyDescent="0.2">
      <c r="A441" s="145">
        <v>114317</v>
      </c>
      <c r="B441" s="145" t="str">
        <f t="shared" si="52"/>
        <v>11431700</v>
      </c>
      <c r="C441" s="186" t="s">
        <v>3370</v>
      </c>
      <c r="D441" s="2320"/>
    </row>
    <row r="442" spans="1:5" x14ac:dyDescent="0.2">
      <c r="A442" s="145">
        <v>114412</v>
      </c>
      <c r="B442" s="145" t="str">
        <f t="shared" si="52"/>
        <v>11441200</v>
      </c>
      <c r="C442" s="186" t="s">
        <v>3368</v>
      </c>
      <c r="D442" s="2320"/>
    </row>
    <row r="443" spans="1:5" x14ac:dyDescent="0.2">
      <c r="A443" s="145">
        <v>114416</v>
      </c>
      <c r="B443" s="145" t="str">
        <f t="shared" si="52"/>
        <v>11441600</v>
      </c>
      <c r="C443" s="186" t="s">
        <v>3371</v>
      </c>
      <c r="D443" s="2320"/>
    </row>
    <row r="444" spans="1:5" x14ac:dyDescent="0.2">
      <c r="A444" s="145">
        <v>114417</v>
      </c>
      <c r="B444" s="145" t="str">
        <f t="shared" si="52"/>
        <v>11441700</v>
      </c>
      <c r="C444" s="186" t="s">
        <v>3372</v>
      </c>
      <c r="D444" s="2320"/>
    </row>
    <row r="445" spans="1:5" x14ac:dyDescent="0.2">
      <c r="A445" s="145">
        <v>119200</v>
      </c>
      <c r="B445" s="145" t="str">
        <f t="shared" si="52"/>
        <v>11920000</v>
      </c>
      <c r="C445" s="186" t="s">
        <v>3373</v>
      </c>
      <c r="D445" s="2320" t="s">
        <v>3374</v>
      </c>
    </row>
    <row r="446" spans="1:5" x14ac:dyDescent="0.2">
      <c r="A446" s="145">
        <v>119500</v>
      </c>
      <c r="B446" s="145" t="str">
        <f t="shared" si="52"/>
        <v>11950000</v>
      </c>
      <c r="C446" s="186" t="s">
        <v>3375</v>
      </c>
      <c r="D446" s="2320"/>
    </row>
    <row r="447" spans="1:5" s="2013" customFormat="1" x14ac:dyDescent="0.2">
      <c r="A447" s="2245">
        <v>119701</v>
      </c>
      <c r="B447" s="1348" t="str">
        <f t="shared" si="52"/>
        <v>11970100</v>
      </c>
      <c r="C447" s="1808" t="s">
        <v>3376</v>
      </c>
      <c r="D447" s="911" t="s">
        <v>3377</v>
      </c>
      <c r="E447" s="1348"/>
    </row>
    <row r="448" spans="1:5" x14ac:dyDescent="0.2">
      <c r="A448" s="2300">
        <v>112205</v>
      </c>
      <c r="B448" s="145" t="str">
        <f t="shared" si="52"/>
        <v>11220500</v>
      </c>
      <c r="C448" s="186" t="s">
        <v>3378</v>
      </c>
      <c r="D448" s="138" t="s">
        <v>3379</v>
      </c>
    </row>
    <row r="449" spans="1:5" x14ac:dyDescent="0.2">
      <c r="A449" s="145">
        <v>124312</v>
      </c>
      <c r="B449" s="145" t="str">
        <f t="shared" si="52"/>
        <v>12431200</v>
      </c>
      <c r="C449" s="186" t="s">
        <v>3380</v>
      </c>
      <c r="D449" s="2320"/>
    </row>
    <row r="450" spans="1:5" x14ac:dyDescent="0.2">
      <c r="A450" s="145">
        <v>124316</v>
      </c>
      <c r="B450" s="145" t="str">
        <f t="shared" si="52"/>
        <v>12431600</v>
      </c>
      <c r="C450" s="186" t="s">
        <v>3381</v>
      </c>
      <c r="D450" s="2320"/>
    </row>
    <row r="451" spans="1:5" x14ac:dyDescent="0.2">
      <c r="A451" s="145">
        <v>124317</v>
      </c>
      <c r="B451" s="145" t="str">
        <f t="shared" si="52"/>
        <v>12431700</v>
      </c>
      <c r="C451" s="186" t="s">
        <v>3382</v>
      </c>
      <c r="D451" s="2320"/>
    </row>
    <row r="452" spans="1:5" x14ac:dyDescent="0.2">
      <c r="A452" s="145">
        <v>124600</v>
      </c>
      <c r="B452" s="145" t="str">
        <f t="shared" si="52"/>
        <v>12460000</v>
      </c>
      <c r="C452" s="186" t="s">
        <v>3383</v>
      </c>
      <c r="D452" s="2320"/>
    </row>
    <row r="453" spans="1:5" x14ac:dyDescent="0.2">
      <c r="A453" s="145">
        <v>127966</v>
      </c>
      <c r="B453" s="145" t="str">
        <f t="shared" si="52"/>
        <v>12796600</v>
      </c>
      <c r="C453" s="186" t="s">
        <v>3384</v>
      </c>
      <c r="D453" s="2320"/>
    </row>
    <row r="454" spans="1:5" s="2013" customFormat="1" ht="25.5" x14ac:dyDescent="0.2">
      <c r="A454" s="1348">
        <v>128100</v>
      </c>
      <c r="B454" s="1348" t="str">
        <f t="shared" si="52"/>
        <v>12810000</v>
      </c>
      <c r="C454" s="1808" t="s">
        <v>3385</v>
      </c>
      <c r="D454" s="911" t="s">
        <v>3386</v>
      </c>
      <c r="E454" s="1348"/>
    </row>
    <row r="455" spans="1:5" x14ac:dyDescent="0.2">
      <c r="A455" s="145">
        <v>128110</v>
      </c>
      <c r="B455" s="145" t="str">
        <f t="shared" si="52"/>
        <v>12811000</v>
      </c>
      <c r="C455" s="186" t="s">
        <v>3387</v>
      </c>
      <c r="D455" s="2320"/>
    </row>
    <row r="456" spans="1:5" x14ac:dyDescent="0.2">
      <c r="A456" s="145">
        <v>128120</v>
      </c>
      <c r="B456" s="145" t="str">
        <f t="shared" si="52"/>
        <v>12812000</v>
      </c>
      <c r="C456" s="186" t="s">
        <v>3388</v>
      </c>
      <c r="D456" s="2320"/>
    </row>
    <row r="457" spans="1:5" x14ac:dyDescent="0.2">
      <c r="A457" s="145">
        <v>128130</v>
      </c>
      <c r="B457" s="145" t="str">
        <f t="shared" si="52"/>
        <v>12813000</v>
      </c>
      <c r="C457" s="186" t="s">
        <v>3389</v>
      </c>
      <c r="D457" s="2320"/>
    </row>
    <row r="458" spans="1:5" x14ac:dyDescent="0.2">
      <c r="A458" s="145">
        <v>128140</v>
      </c>
      <c r="B458" s="145" t="str">
        <f t="shared" si="52"/>
        <v>12814000</v>
      </c>
      <c r="C458" s="186" t="s">
        <v>3390</v>
      </c>
      <c r="D458" s="2320"/>
    </row>
    <row r="459" spans="1:5" x14ac:dyDescent="0.2">
      <c r="A459" s="145">
        <v>128150</v>
      </c>
      <c r="B459" s="145" t="str">
        <f t="shared" si="52"/>
        <v>12815000</v>
      </c>
      <c r="C459" s="186" t="s">
        <v>3391</v>
      </c>
      <c r="D459" s="2320"/>
    </row>
    <row r="460" spans="1:5" x14ac:dyDescent="0.2">
      <c r="A460" s="145">
        <v>128210</v>
      </c>
      <c r="B460" s="145" t="str">
        <f t="shared" si="52"/>
        <v>12821000</v>
      </c>
      <c r="C460" s="186" t="s">
        <v>3392</v>
      </c>
      <c r="D460" s="2320"/>
    </row>
    <row r="461" spans="1:5" x14ac:dyDescent="0.2">
      <c r="A461" s="145">
        <v>128220</v>
      </c>
      <c r="B461" s="145" t="str">
        <f t="shared" si="52"/>
        <v>12822000</v>
      </c>
      <c r="C461" s="186" t="s">
        <v>3393</v>
      </c>
      <c r="D461" s="2320"/>
    </row>
    <row r="462" spans="1:5" x14ac:dyDescent="0.2">
      <c r="A462" s="145">
        <v>128230</v>
      </c>
      <c r="B462" s="145" t="str">
        <f t="shared" si="52"/>
        <v>12823000</v>
      </c>
      <c r="C462" s="186" t="s">
        <v>3394</v>
      </c>
      <c r="D462" s="2320"/>
    </row>
    <row r="463" spans="1:5" x14ac:dyDescent="0.2">
      <c r="A463" s="145">
        <v>128240</v>
      </c>
      <c r="B463" s="145" t="str">
        <f t="shared" si="52"/>
        <v>12824000</v>
      </c>
      <c r="C463" s="186" t="s">
        <v>3395</v>
      </c>
      <c r="D463" s="2320"/>
    </row>
    <row r="464" spans="1:5" x14ac:dyDescent="0.2">
      <c r="A464" s="145">
        <v>128250</v>
      </c>
      <c r="B464" s="145" t="str">
        <f t="shared" si="52"/>
        <v>12825000</v>
      </c>
      <c r="C464" s="186" t="s">
        <v>3396</v>
      </c>
      <c r="D464" s="2320"/>
    </row>
    <row r="465" spans="1:5" x14ac:dyDescent="0.2">
      <c r="A465" s="145">
        <v>128260</v>
      </c>
      <c r="B465" s="145" t="str">
        <f t="shared" si="52"/>
        <v>12826000</v>
      </c>
      <c r="C465" s="186" t="s">
        <v>3397</v>
      </c>
      <c r="D465" s="2320"/>
    </row>
    <row r="466" spans="1:5" x14ac:dyDescent="0.2">
      <c r="A466" s="145">
        <v>129300</v>
      </c>
      <c r="B466" s="145" t="str">
        <f t="shared" si="52"/>
        <v>12930000</v>
      </c>
      <c r="C466" s="186" t="s">
        <v>3398</v>
      </c>
      <c r="D466" s="2320"/>
    </row>
    <row r="467" spans="1:5" x14ac:dyDescent="0.2">
      <c r="A467" s="145">
        <v>129400</v>
      </c>
      <c r="B467" s="145" t="str">
        <f t="shared" si="52"/>
        <v>12940000</v>
      </c>
      <c r="C467" s="186" t="s">
        <v>3399</v>
      </c>
      <c r="D467" s="2320" t="s">
        <v>3400</v>
      </c>
    </row>
    <row r="468" spans="1:5" x14ac:dyDescent="0.2">
      <c r="A468" s="145">
        <v>129900</v>
      </c>
      <c r="B468" s="145" t="str">
        <f t="shared" si="52"/>
        <v>12990000</v>
      </c>
      <c r="C468" s="186" t="s">
        <v>3401</v>
      </c>
      <c r="D468" s="910" t="s">
        <v>3402</v>
      </c>
    </row>
    <row r="469" spans="1:5" x14ac:dyDescent="0.2">
      <c r="A469" s="780" t="s">
        <v>3403</v>
      </c>
      <c r="B469" s="2130"/>
      <c r="C469" s="2131"/>
      <c r="D469" s="905" t="s">
        <v>3404</v>
      </c>
      <c r="E469" s="2300" t="s">
        <v>2517</v>
      </c>
    </row>
    <row r="470" spans="1:5" x14ac:dyDescent="0.2">
      <c r="A470" s="145">
        <v>113801</v>
      </c>
      <c r="B470" s="145" t="str">
        <f t="shared" ref="B470:B477" si="53">+A470&amp;"00"</f>
        <v>11380100</v>
      </c>
      <c r="C470" s="186" t="s">
        <v>3405</v>
      </c>
      <c r="D470" s="2320"/>
    </row>
    <row r="471" spans="1:5" x14ac:dyDescent="0.2">
      <c r="A471" s="145">
        <v>113802</v>
      </c>
      <c r="B471" s="145" t="str">
        <f t="shared" si="53"/>
        <v>11380200</v>
      </c>
      <c r="C471" s="186" t="s">
        <v>3405</v>
      </c>
      <c r="D471" s="2320"/>
    </row>
    <row r="472" spans="1:5" x14ac:dyDescent="0.2">
      <c r="A472" s="145">
        <v>113804</v>
      </c>
      <c r="B472" s="145" t="str">
        <f t="shared" si="53"/>
        <v>11380400</v>
      </c>
      <c r="C472" s="186" t="s">
        <v>3406</v>
      </c>
      <c r="D472" s="2320"/>
    </row>
    <row r="473" spans="1:5" x14ac:dyDescent="0.2">
      <c r="A473" s="145">
        <v>113810</v>
      </c>
      <c r="B473" s="145" t="str">
        <f t="shared" si="53"/>
        <v>11381000</v>
      </c>
      <c r="C473" s="186" t="s">
        <v>3405</v>
      </c>
      <c r="D473" s="2320"/>
    </row>
    <row r="474" spans="1:5" x14ac:dyDescent="0.2">
      <c r="A474" s="145">
        <v>113873</v>
      </c>
      <c r="B474" s="145" t="str">
        <f t="shared" si="53"/>
        <v>11387300</v>
      </c>
      <c r="C474" s="186" t="s">
        <v>3405</v>
      </c>
      <c r="D474" s="2320"/>
    </row>
    <row r="475" spans="1:5" x14ac:dyDescent="0.2">
      <c r="A475" s="145">
        <v>113899</v>
      </c>
      <c r="B475" s="145" t="str">
        <f t="shared" si="53"/>
        <v>11389900</v>
      </c>
      <c r="C475" s="186" t="s">
        <v>3405</v>
      </c>
      <c r="D475" s="2320"/>
    </row>
    <row r="476" spans="1:5" x14ac:dyDescent="0.2">
      <c r="A476" s="145">
        <v>113930</v>
      </c>
      <c r="B476" s="145" t="str">
        <f t="shared" si="53"/>
        <v>11393000</v>
      </c>
      <c r="C476" s="186" t="s">
        <v>3407</v>
      </c>
      <c r="D476" s="2320"/>
    </row>
    <row r="477" spans="1:5" x14ac:dyDescent="0.2">
      <c r="A477" s="145">
        <v>113931</v>
      </c>
      <c r="B477" s="145" t="str">
        <f t="shared" si="53"/>
        <v>11393100</v>
      </c>
      <c r="C477" s="186" t="s">
        <v>3408</v>
      </c>
      <c r="D477" s="2320"/>
    </row>
    <row r="478" spans="1:5" x14ac:dyDescent="0.2">
      <c r="A478" s="869" t="s">
        <v>3409</v>
      </c>
      <c r="B478" s="2132"/>
      <c r="C478" s="2133"/>
      <c r="D478" s="2320"/>
    </row>
    <row r="479" spans="1:5" x14ac:dyDescent="0.2">
      <c r="A479" s="2136" t="s">
        <v>1985</v>
      </c>
      <c r="C479" s="2137"/>
      <c r="D479" s="909"/>
    </row>
    <row r="480" spans="1:5" x14ac:dyDescent="0.2">
      <c r="A480" s="868" t="s">
        <v>3410</v>
      </c>
      <c r="B480" s="2312"/>
      <c r="C480" s="2134"/>
      <c r="D480" s="908"/>
    </row>
    <row r="481" spans="1:5" x14ac:dyDescent="0.2">
      <c r="A481" s="866" t="s">
        <v>3411</v>
      </c>
      <c r="B481" s="2130"/>
      <c r="C481" s="2131"/>
      <c r="D481" s="905" t="s">
        <v>2940</v>
      </c>
      <c r="E481" s="145">
        <v>1640</v>
      </c>
    </row>
    <row r="482" spans="1:5" x14ac:dyDescent="0.2">
      <c r="A482" s="145">
        <v>211100</v>
      </c>
      <c r="B482" s="145" t="str">
        <f t="shared" ref="B482:B499" si="54">+A482&amp;"00"</f>
        <v>21110000</v>
      </c>
      <c r="C482" s="186" t="s">
        <v>3412</v>
      </c>
      <c r="D482" s="899"/>
    </row>
    <row r="483" spans="1:5" x14ac:dyDescent="0.2">
      <c r="A483" s="145">
        <v>211110</v>
      </c>
      <c r="B483" s="145" t="str">
        <f t="shared" si="54"/>
        <v>21111000</v>
      </c>
      <c r="C483" s="186" t="s">
        <v>3413</v>
      </c>
      <c r="D483" s="2320"/>
    </row>
    <row r="484" spans="1:5" x14ac:dyDescent="0.2">
      <c r="A484" s="2300">
        <v>211120</v>
      </c>
      <c r="B484" s="145" t="str">
        <f t="shared" si="54"/>
        <v>21112000</v>
      </c>
      <c r="C484" s="186" t="s">
        <v>3414</v>
      </c>
      <c r="D484" s="2320" t="s">
        <v>3048</v>
      </c>
    </row>
    <row r="485" spans="1:5" x14ac:dyDescent="0.2">
      <c r="A485" s="1603">
        <v>211121</v>
      </c>
      <c r="B485" s="145" t="str">
        <f t="shared" si="54"/>
        <v>21112100</v>
      </c>
      <c r="C485" s="186" t="s">
        <v>3415</v>
      </c>
      <c r="D485" s="2320" t="s">
        <v>3048</v>
      </c>
    </row>
    <row r="486" spans="1:5" x14ac:dyDescent="0.2">
      <c r="A486" s="2047">
        <v>211122</v>
      </c>
      <c r="B486" s="145" t="str">
        <f t="shared" si="54"/>
        <v>21112200</v>
      </c>
      <c r="C486" s="186" t="s">
        <v>3416</v>
      </c>
      <c r="D486" s="911"/>
    </row>
    <row r="487" spans="1:5" x14ac:dyDescent="0.2">
      <c r="A487" s="1603">
        <v>211123</v>
      </c>
      <c r="B487" s="145" t="str">
        <f t="shared" si="54"/>
        <v>21112300</v>
      </c>
      <c r="C487" s="186" t="s">
        <v>3417</v>
      </c>
      <c r="D487" s="2320"/>
    </row>
    <row r="488" spans="1:5" x14ac:dyDescent="0.2">
      <c r="A488" s="145">
        <v>211230</v>
      </c>
      <c r="B488" s="145" t="str">
        <f t="shared" si="54"/>
        <v>21123000</v>
      </c>
      <c r="C488" s="186" t="s">
        <v>3418</v>
      </c>
      <c r="D488" s="2320"/>
    </row>
    <row r="489" spans="1:5" x14ac:dyDescent="0.2">
      <c r="A489" s="145">
        <v>211940</v>
      </c>
      <c r="B489" s="145" t="str">
        <f t="shared" si="54"/>
        <v>21194000</v>
      </c>
      <c r="C489" s="186" t="s">
        <v>3419</v>
      </c>
      <c r="D489" s="2320"/>
    </row>
    <row r="490" spans="1:5" x14ac:dyDescent="0.2">
      <c r="A490" s="145">
        <v>211941</v>
      </c>
      <c r="B490" s="145" t="str">
        <f t="shared" si="54"/>
        <v>21194100</v>
      </c>
      <c r="C490" s="186" t="s">
        <v>3420</v>
      </c>
      <c r="D490" s="2320"/>
    </row>
    <row r="491" spans="1:5" x14ac:dyDescent="0.2">
      <c r="A491" s="145">
        <v>211950</v>
      </c>
      <c r="B491" s="145" t="str">
        <f t="shared" si="54"/>
        <v>21195000</v>
      </c>
      <c r="C491" s="186" t="s">
        <v>3421</v>
      </c>
      <c r="D491" s="2320"/>
    </row>
    <row r="492" spans="1:5" x14ac:dyDescent="0.2">
      <c r="A492" s="145">
        <v>211951</v>
      </c>
      <c r="B492" s="145" t="str">
        <f t="shared" si="54"/>
        <v>21195100</v>
      </c>
      <c r="C492" s="186" t="s">
        <v>3422</v>
      </c>
      <c r="D492" s="2320"/>
    </row>
    <row r="493" spans="1:5" x14ac:dyDescent="0.2">
      <c r="A493" s="145">
        <v>211952</v>
      </c>
      <c r="B493" s="145" t="str">
        <f t="shared" si="54"/>
        <v>21195200</v>
      </c>
      <c r="C493" s="186" t="s">
        <v>3423</v>
      </c>
      <c r="D493" s="2320"/>
    </row>
    <row r="494" spans="1:5" x14ac:dyDescent="0.2">
      <c r="A494" s="145">
        <v>211953</v>
      </c>
      <c r="B494" s="145" t="str">
        <f t="shared" si="54"/>
        <v>21195300</v>
      </c>
      <c r="C494" s="186" t="s">
        <v>3424</v>
      </c>
      <c r="D494" s="2320" t="s">
        <v>3425</v>
      </c>
    </row>
    <row r="495" spans="1:5" x14ac:dyDescent="0.2">
      <c r="A495" s="145">
        <v>211954</v>
      </c>
      <c r="B495" s="145" t="str">
        <f t="shared" si="54"/>
        <v>21195400</v>
      </c>
      <c r="C495" s="186" t="s">
        <v>3426</v>
      </c>
      <c r="D495" s="903" t="s">
        <v>3427</v>
      </c>
    </row>
    <row r="496" spans="1:5" x14ac:dyDescent="0.2">
      <c r="A496" s="145">
        <v>211960</v>
      </c>
      <c r="B496" s="145" t="str">
        <f t="shared" si="54"/>
        <v>21196000</v>
      </c>
      <c r="C496" s="186" t="s">
        <v>3428</v>
      </c>
      <c r="D496" s="2320"/>
    </row>
    <row r="497" spans="1:5" x14ac:dyDescent="0.2">
      <c r="A497" s="145">
        <v>211990</v>
      </c>
      <c r="B497" s="145" t="str">
        <f t="shared" si="54"/>
        <v>21199000</v>
      </c>
      <c r="C497" s="186" t="s">
        <v>3429</v>
      </c>
      <c r="D497" s="2320"/>
    </row>
    <row r="498" spans="1:5" x14ac:dyDescent="0.2">
      <c r="A498" s="2300">
        <v>211991</v>
      </c>
      <c r="B498" s="145" t="str">
        <f t="shared" si="54"/>
        <v>21199100</v>
      </c>
      <c r="C498" s="186" t="s">
        <v>3430</v>
      </c>
      <c r="D498" s="2320" t="s">
        <v>3431</v>
      </c>
    </row>
    <row r="499" spans="1:5" x14ac:dyDescent="0.2">
      <c r="A499" s="145">
        <v>217110</v>
      </c>
      <c r="B499" s="145" t="str">
        <f t="shared" si="54"/>
        <v>21711000</v>
      </c>
      <c r="C499" s="186" t="s">
        <v>3432</v>
      </c>
      <c r="D499" s="2320" t="s">
        <v>3433</v>
      </c>
    </row>
    <row r="500" spans="1:5" ht="12.75" customHeight="1" x14ac:dyDescent="0.2">
      <c r="A500" s="780" t="s">
        <v>3434</v>
      </c>
      <c r="B500" s="2130"/>
      <c r="C500" s="2131"/>
      <c r="D500" s="905" t="s">
        <v>2940</v>
      </c>
      <c r="E500" s="145">
        <v>1650</v>
      </c>
    </row>
    <row r="501" spans="1:5" x14ac:dyDescent="0.2">
      <c r="A501" s="145">
        <v>211210</v>
      </c>
      <c r="B501" s="145" t="str">
        <f t="shared" ref="B501:B502" si="55">+A501&amp;"00"</f>
        <v>21121000</v>
      </c>
      <c r="C501" s="186" t="s">
        <v>3435</v>
      </c>
      <c r="D501" s="2320"/>
    </row>
    <row r="502" spans="1:5" x14ac:dyDescent="0.2">
      <c r="A502" s="145">
        <v>211220</v>
      </c>
      <c r="B502" s="145" t="str">
        <f t="shared" si="55"/>
        <v>21122000</v>
      </c>
      <c r="C502" s="186" t="s">
        <v>3436</v>
      </c>
      <c r="D502" s="2320"/>
    </row>
    <row r="503" spans="1:5" x14ac:dyDescent="0.2">
      <c r="A503" s="780" t="s">
        <v>3437</v>
      </c>
      <c r="B503" s="2130"/>
      <c r="C503" s="2131"/>
      <c r="D503" s="905" t="s">
        <v>2940</v>
      </c>
      <c r="E503" s="145">
        <v>1660</v>
      </c>
    </row>
    <row r="504" spans="1:5" x14ac:dyDescent="0.2">
      <c r="A504" s="145">
        <v>211310</v>
      </c>
      <c r="B504" s="145" t="str">
        <f t="shared" ref="B504:B511" si="56">+A504&amp;"00"</f>
        <v>21131000</v>
      </c>
      <c r="C504" s="186" t="s">
        <v>3438</v>
      </c>
      <c r="D504" s="2320"/>
    </row>
    <row r="505" spans="1:5" x14ac:dyDescent="0.2">
      <c r="A505" s="145">
        <v>211311</v>
      </c>
      <c r="B505" s="145" t="str">
        <f t="shared" si="56"/>
        <v>21131100</v>
      </c>
      <c r="C505" s="186" t="s">
        <v>3439</v>
      </c>
      <c r="D505" s="2320"/>
    </row>
    <row r="506" spans="1:5" x14ac:dyDescent="0.2">
      <c r="A506" s="145">
        <v>211320</v>
      </c>
      <c r="B506" s="145" t="str">
        <f t="shared" si="56"/>
        <v>21132000</v>
      </c>
      <c r="C506" s="186" t="s">
        <v>3440</v>
      </c>
      <c r="D506" s="2320"/>
    </row>
    <row r="507" spans="1:5" x14ac:dyDescent="0.2">
      <c r="A507" s="2300">
        <v>211325</v>
      </c>
      <c r="B507" s="145" t="str">
        <f t="shared" si="56"/>
        <v>21132500</v>
      </c>
      <c r="C507" s="186" t="s">
        <v>3441</v>
      </c>
      <c r="D507" s="2320" t="s">
        <v>3442</v>
      </c>
    </row>
    <row r="508" spans="1:5" x14ac:dyDescent="0.2">
      <c r="A508" s="145">
        <v>211330</v>
      </c>
      <c r="B508" s="145" t="str">
        <f t="shared" si="56"/>
        <v>21133000</v>
      </c>
      <c r="C508" s="186" t="s">
        <v>3443</v>
      </c>
      <c r="D508" s="2320"/>
    </row>
    <row r="509" spans="1:5" x14ac:dyDescent="0.2">
      <c r="A509" s="145">
        <v>211340</v>
      </c>
      <c r="B509" s="145" t="str">
        <f t="shared" si="56"/>
        <v>21134000</v>
      </c>
      <c r="C509" s="186" t="s">
        <v>3444</v>
      </c>
      <c r="D509" s="2320"/>
    </row>
    <row r="510" spans="1:5" x14ac:dyDescent="0.2">
      <c r="A510" s="145">
        <v>211350</v>
      </c>
      <c r="B510" s="145" t="str">
        <f t="shared" si="56"/>
        <v>21135000</v>
      </c>
      <c r="C510" s="186" t="s">
        <v>3445</v>
      </c>
      <c r="D510" s="2320"/>
    </row>
    <row r="511" spans="1:5" x14ac:dyDescent="0.2">
      <c r="A511" s="145">
        <v>211360</v>
      </c>
      <c r="B511" s="145" t="str">
        <f t="shared" si="56"/>
        <v>21136000</v>
      </c>
      <c r="C511" s="186" t="s">
        <v>3446</v>
      </c>
      <c r="D511" s="2320"/>
    </row>
    <row r="512" spans="1:5" x14ac:dyDescent="0.2">
      <c r="A512" s="780" t="s">
        <v>3447</v>
      </c>
      <c r="B512" s="2130"/>
      <c r="C512" s="2131"/>
      <c r="D512" s="905" t="s">
        <v>2940</v>
      </c>
      <c r="E512" s="2300" t="s">
        <v>2517</v>
      </c>
    </row>
    <row r="513" spans="1:5" x14ac:dyDescent="0.2">
      <c r="A513" s="145">
        <v>211601</v>
      </c>
      <c r="B513" s="145" t="str">
        <f t="shared" ref="B513" si="57">+A513&amp;"00"</f>
        <v>21160100</v>
      </c>
      <c r="C513" s="186" t="s">
        <v>3448</v>
      </c>
      <c r="D513" s="912"/>
    </row>
    <row r="514" spans="1:5" x14ac:dyDescent="0.2">
      <c r="A514" s="780" t="s">
        <v>3449</v>
      </c>
      <c r="B514" s="2130"/>
      <c r="C514" s="2131"/>
      <c r="D514" s="905" t="s">
        <v>2940</v>
      </c>
      <c r="E514" s="2300" t="s">
        <v>2517</v>
      </c>
    </row>
    <row r="515" spans="1:5" x14ac:dyDescent="0.2">
      <c r="A515" s="145">
        <v>211500</v>
      </c>
      <c r="B515" s="145" t="str">
        <f t="shared" ref="B515" si="58">+A515&amp;"00"</f>
        <v>21150000</v>
      </c>
      <c r="C515" s="186" t="s">
        <v>3450</v>
      </c>
      <c r="D515" s="2320"/>
    </row>
    <row r="516" spans="1:5" x14ac:dyDescent="0.2">
      <c r="A516" s="780" t="s">
        <v>3451</v>
      </c>
      <c r="B516" s="2130"/>
      <c r="C516" s="2131"/>
      <c r="D516" s="905" t="s">
        <v>2940</v>
      </c>
      <c r="E516" s="145">
        <v>1670</v>
      </c>
    </row>
    <row r="517" spans="1:5" x14ac:dyDescent="0.2">
      <c r="A517" s="145">
        <v>215230</v>
      </c>
      <c r="B517" s="145" t="str">
        <f t="shared" ref="B517:B518" si="59">+A517&amp;"00"</f>
        <v>21523000</v>
      </c>
      <c r="C517" s="186" t="s">
        <v>3452</v>
      </c>
      <c r="D517" s="2320"/>
    </row>
    <row r="518" spans="1:5" x14ac:dyDescent="0.2">
      <c r="A518" s="145">
        <v>215290</v>
      </c>
      <c r="B518" s="145" t="str">
        <f t="shared" si="59"/>
        <v>21529000</v>
      </c>
      <c r="C518" s="186" t="s">
        <v>3453</v>
      </c>
      <c r="D518" s="2320"/>
    </row>
    <row r="519" spans="1:5" x14ac:dyDescent="0.2">
      <c r="A519" s="780" t="s">
        <v>3454</v>
      </c>
      <c r="B519" s="2130"/>
      <c r="C519" s="2131"/>
      <c r="D519" s="905" t="s">
        <v>2940</v>
      </c>
      <c r="E519" s="2300" t="s">
        <v>2517</v>
      </c>
    </row>
    <row r="520" spans="1:5" x14ac:dyDescent="0.2">
      <c r="A520" s="145">
        <v>215220</v>
      </c>
      <c r="B520" s="145" t="str">
        <f t="shared" ref="B520" si="60">+A520&amp;"00"</f>
        <v>21522000</v>
      </c>
      <c r="C520" s="186" t="s">
        <v>3455</v>
      </c>
      <c r="D520" s="2320"/>
    </row>
    <row r="521" spans="1:5" x14ac:dyDescent="0.2">
      <c r="A521" s="780" t="s">
        <v>3456</v>
      </c>
      <c r="B521" s="2130"/>
      <c r="C521" s="2131"/>
      <c r="D521" s="905" t="s">
        <v>2940</v>
      </c>
      <c r="E521" s="2300" t="s">
        <v>2517</v>
      </c>
    </row>
    <row r="522" spans="1:5" x14ac:dyDescent="0.2">
      <c r="A522" s="145">
        <v>212318</v>
      </c>
      <c r="B522" s="145" t="str">
        <f t="shared" ref="B522:B527" si="61">+A522&amp;"00"</f>
        <v>21231800</v>
      </c>
      <c r="C522" s="186" t="s">
        <v>3457</v>
      </c>
      <c r="D522" s="2320"/>
    </row>
    <row r="523" spans="1:5" x14ac:dyDescent="0.2">
      <c r="A523" s="145">
        <v>212319</v>
      </c>
      <c r="B523" s="145" t="str">
        <f t="shared" si="61"/>
        <v>21231900</v>
      </c>
      <c r="C523" s="186" t="s">
        <v>3458</v>
      </c>
      <c r="D523" s="2320"/>
    </row>
    <row r="524" spans="1:5" x14ac:dyDescent="0.2">
      <c r="A524" s="145">
        <v>212321</v>
      </c>
      <c r="B524" s="145" t="str">
        <f t="shared" si="61"/>
        <v>21232100</v>
      </c>
      <c r="C524" s="186" t="s">
        <v>3459</v>
      </c>
      <c r="D524" s="2320"/>
    </row>
    <row r="525" spans="1:5" x14ac:dyDescent="0.2">
      <c r="A525" s="145">
        <v>212418</v>
      </c>
      <c r="B525" s="145" t="str">
        <f t="shared" si="61"/>
        <v>21241800</v>
      </c>
      <c r="C525" s="186" t="s">
        <v>3460</v>
      </c>
      <c r="D525" s="2320"/>
    </row>
    <row r="526" spans="1:5" x14ac:dyDescent="0.2">
      <c r="A526" s="145">
        <v>212419</v>
      </c>
      <c r="B526" s="145" t="str">
        <f t="shared" si="61"/>
        <v>21241900</v>
      </c>
      <c r="C526" s="186" t="s">
        <v>3461</v>
      </c>
      <c r="D526" s="2320"/>
    </row>
    <row r="527" spans="1:5" x14ac:dyDescent="0.2">
      <c r="A527" s="145">
        <v>212421</v>
      </c>
      <c r="B527" s="145" t="str">
        <f t="shared" si="61"/>
        <v>21242100</v>
      </c>
      <c r="C527" s="186" t="s">
        <v>3462</v>
      </c>
      <c r="D527" s="2320"/>
    </row>
    <row r="528" spans="1:5" x14ac:dyDescent="0.2">
      <c r="A528" s="780" t="s">
        <v>3463</v>
      </c>
      <c r="B528" s="2130"/>
      <c r="C528" s="2131"/>
      <c r="D528" s="905" t="s">
        <v>2940</v>
      </c>
      <c r="E528" s="2300" t="s">
        <v>2517</v>
      </c>
    </row>
    <row r="529" spans="1:5" x14ac:dyDescent="0.2">
      <c r="A529" s="145">
        <v>212310</v>
      </c>
      <c r="B529" s="145" t="str">
        <f t="shared" ref="B529:B540" si="62">+A529&amp;"00"</f>
        <v>21231000</v>
      </c>
      <c r="C529" s="186" t="s">
        <v>3464</v>
      </c>
      <c r="D529" s="2320"/>
    </row>
    <row r="530" spans="1:5" x14ac:dyDescent="0.2">
      <c r="A530" s="145">
        <v>212311</v>
      </c>
      <c r="B530" s="145" t="str">
        <f t="shared" si="62"/>
        <v>21231100</v>
      </c>
      <c r="C530" s="186" t="s">
        <v>3465</v>
      </c>
      <c r="D530" s="2320"/>
    </row>
    <row r="531" spans="1:5" x14ac:dyDescent="0.2">
      <c r="A531" s="145">
        <v>212313</v>
      </c>
      <c r="B531" s="145" t="str">
        <f t="shared" si="62"/>
        <v>21231300</v>
      </c>
      <c r="C531" s="186" t="s">
        <v>3466</v>
      </c>
      <c r="D531" s="2320"/>
    </row>
    <row r="532" spans="1:5" x14ac:dyDescent="0.2">
      <c r="A532" s="145">
        <v>212314</v>
      </c>
      <c r="B532" s="145" t="str">
        <f t="shared" si="62"/>
        <v>21231400</v>
      </c>
      <c r="C532" s="186" t="s">
        <v>3467</v>
      </c>
      <c r="D532" s="2320"/>
    </row>
    <row r="533" spans="1:5" x14ac:dyDescent="0.2">
      <c r="A533" s="145">
        <v>212315</v>
      </c>
      <c r="B533" s="145" t="str">
        <f t="shared" si="62"/>
        <v>21231500</v>
      </c>
      <c r="C533" s="186" t="s">
        <v>3468</v>
      </c>
      <c r="D533" s="2320"/>
    </row>
    <row r="534" spans="1:5" x14ac:dyDescent="0.2">
      <c r="A534" s="145">
        <v>212320</v>
      </c>
      <c r="B534" s="145" t="str">
        <f t="shared" si="62"/>
        <v>21232000</v>
      </c>
      <c r="C534" s="186" t="s">
        <v>3469</v>
      </c>
      <c r="D534" s="2320"/>
    </row>
    <row r="535" spans="1:5" x14ac:dyDescent="0.2">
      <c r="A535" s="145">
        <v>212410</v>
      </c>
      <c r="B535" s="145" t="str">
        <f t="shared" si="62"/>
        <v>21241000</v>
      </c>
      <c r="C535" s="186" t="s">
        <v>3470</v>
      </c>
      <c r="D535" s="2320"/>
    </row>
    <row r="536" spans="1:5" x14ac:dyDescent="0.2">
      <c r="A536" s="145">
        <v>212411</v>
      </c>
      <c r="B536" s="145" t="str">
        <f t="shared" si="62"/>
        <v>21241100</v>
      </c>
      <c r="C536" s="186" t="s">
        <v>3471</v>
      </c>
      <c r="D536" s="2320"/>
    </row>
    <row r="537" spans="1:5" x14ac:dyDescent="0.2">
      <c r="A537" s="145">
        <v>212413</v>
      </c>
      <c r="B537" s="145" t="str">
        <f t="shared" si="62"/>
        <v>21241300</v>
      </c>
      <c r="C537" s="186" t="s">
        <v>3472</v>
      </c>
      <c r="D537" s="2320"/>
    </row>
    <row r="538" spans="1:5" x14ac:dyDescent="0.2">
      <c r="A538" s="145">
        <v>212414</v>
      </c>
      <c r="B538" s="145" t="str">
        <f t="shared" si="62"/>
        <v>21241400</v>
      </c>
      <c r="C538" s="186" t="s">
        <v>3473</v>
      </c>
      <c r="D538" s="2320"/>
    </row>
    <row r="539" spans="1:5" x14ac:dyDescent="0.2">
      <c r="A539" s="145">
        <v>212415</v>
      </c>
      <c r="B539" s="145" t="str">
        <f t="shared" si="62"/>
        <v>21241500</v>
      </c>
      <c r="C539" s="186" t="s">
        <v>3474</v>
      </c>
      <c r="D539" s="2320"/>
    </row>
    <row r="540" spans="1:5" x14ac:dyDescent="0.2">
      <c r="A540" s="145">
        <v>212420</v>
      </c>
      <c r="B540" s="145" t="str">
        <f t="shared" si="62"/>
        <v>21242000</v>
      </c>
      <c r="C540" s="186" t="s">
        <v>3475</v>
      </c>
      <c r="D540" s="2320"/>
    </row>
    <row r="541" spans="1:5" x14ac:dyDescent="0.2">
      <c r="A541" s="780" t="s">
        <v>3476</v>
      </c>
      <c r="B541" s="2130"/>
      <c r="C541" s="2131"/>
      <c r="D541" s="905" t="s">
        <v>2940</v>
      </c>
      <c r="E541" s="145">
        <v>1730</v>
      </c>
    </row>
    <row r="542" spans="1:5" x14ac:dyDescent="0.2">
      <c r="A542" s="145">
        <v>212600</v>
      </c>
      <c r="B542" s="145" t="str">
        <f t="shared" ref="B542" si="63">+A542&amp;"00"</f>
        <v>21260000</v>
      </c>
      <c r="C542" s="186" t="s">
        <v>3477</v>
      </c>
      <c r="D542" s="2320" t="s">
        <v>3478</v>
      </c>
    </row>
    <row r="543" spans="1:5" x14ac:dyDescent="0.2">
      <c r="A543" s="866" t="s">
        <v>3479</v>
      </c>
      <c r="B543" s="2130"/>
      <c r="C543" s="2131"/>
      <c r="D543" s="905" t="s">
        <v>2940</v>
      </c>
      <c r="E543" s="145">
        <v>1735</v>
      </c>
    </row>
    <row r="544" spans="1:5" x14ac:dyDescent="0.2">
      <c r="A544" s="145">
        <v>212700</v>
      </c>
      <c r="B544" s="145" t="str">
        <f t="shared" ref="B544" si="64">+A544&amp;"00"</f>
        <v>21270000</v>
      </c>
      <c r="C544" s="186" t="s">
        <v>3480</v>
      </c>
      <c r="D544" s="2320" t="s">
        <v>3100</v>
      </c>
    </row>
    <row r="545" spans="1:6" x14ac:dyDescent="0.2">
      <c r="A545" s="866" t="s">
        <v>3481</v>
      </c>
      <c r="B545" s="2130"/>
      <c r="C545" s="2131"/>
      <c r="D545" s="905" t="s">
        <v>2940</v>
      </c>
      <c r="E545" s="145">
        <v>1740</v>
      </c>
    </row>
    <row r="546" spans="1:6" x14ac:dyDescent="0.2">
      <c r="A546" s="145">
        <v>212500</v>
      </c>
      <c r="B546" s="145" t="str">
        <f t="shared" ref="B546" si="65">+A546&amp;"00"</f>
        <v>21250000</v>
      </c>
      <c r="C546" s="186" t="s">
        <v>3482</v>
      </c>
      <c r="D546" s="2320"/>
    </row>
    <row r="547" spans="1:6" x14ac:dyDescent="0.2">
      <c r="A547" s="866" t="s">
        <v>3483</v>
      </c>
      <c r="B547" s="2130"/>
      <c r="C547" s="2131"/>
      <c r="D547" s="905" t="s">
        <v>2940</v>
      </c>
      <c r="E547" s="145">
        <v>1750</v>
      </c>
    </row>
    <row r="548" spans="1:6" x14ac:dyDescent="0.2">
      <c r="A548" s="145">
        <v>213100</v>
      </c>
      <c r="B548" s="145" t="str">
        <f t="shared" ref="B548" si="66">+A548&amp;"00"</f>
        <v>21310000</v>
      </c>
      <c r="C548" s="186" t="s">
        <v>3484</v>
      </c>
      <c r="D548" s="2320"/>
    </row>
    <row r="549" spans="1:6" x14ac:dyDescent="0.2">
      <c r="A549" s="866" t="s">
        <v>3485</v>
      </c>
      <c r="B549" s="2130"/>
      <c r="C549" s="2131"/>
      <c r="D549" s="905" t="s">
        <v>2940</v>
      </c>
      <c r="E549" s="145">
        <v>1760</v>
      </c>
    </row>
    <row r="550" spans="1:6" x14ac:dyDescent="0.2">
      <c r="A550" s="145">
        <v>213150</v>
      </c>
      <c r="B550" s="145" t="str">
        <f t="shared" ref="B550" si="67">+A550&amp;"00"</f>
        <v>21315000</v>
      </c>
      <c r="C550" s="186" t="s">
        <v>3486</v>
      </c>
      <c r="D550" s="2320"/>
    </row>
    <row r="551" spans="1:6" x14ac:dyDescent="0.2">
      <c r="A551" s="866" t="s">
        <v>2817</v>
      </c>
      <c r="B551" s="2130"/>
      <c r="C551" s="2131"/>
      <c r="D551" s="905" t="s">
        <v>2940</v>
      </c>
      <c r="E551" s="145">
        <v>1762</v>
      </c>
    </row>
    <row r="552" spans="1:6" x14ac:dyDescent="0.2">
      <c r="A552" s="2300">
        <v>219200</v>
      </c>
      <c r="B552" s="145" t="str">
        <f t="shared" ref="B552" si="68">+A552&amp;"00"</f>
        <v>21920000</v>
      </c>
      <c r="C552" s="186" t="s">
        <v>3487</v>
      </c>
      <c r="D552" s="2320" t="s">
        <v>3431</v>
      </c>
    </row>
    <row r="553" spans="1:6" x14ac:dyDescent="0.2">
      <c r="A553" s="866" t="s">
        <v>3488</v>
      </c>
      <c r="B553" s="2130"/>
      <c r="C553" s="2131"/>
      <c r="D553" s="907" t="s">
        <v>2940</v>
      </c>
      <c r="E553" s="145">
        <v>1770</v>
      </c>
    </row>
    <row r="554" spans="1:6" ht="22.5" x14ac:dyDescent="0.2">
      <c r="A554" s="1027">
        <v>213200</v>
      </c>
      <c r="B554" s="145" t="str">
        <f t="shared" ref="B554" si="69">+A554&amp;"00"</f>
        <v>21320000</v>
      </c>
      <c r="C554" s="186" t="s">
        <v>3489</v>
      </c>
      <c r="D554" s="901" t="s">
        <v>3490</v>
      </c>
      <c r="F554" s="138" t="s">
        <v>3491</v>
      </c>
    </row>
    <row r="555" spans="1:6" x14ac:dyDescent="0.2">
      <c r="A555" s="780" t="s">
        <v>3492</v>
      </c>
      <c r="B555" s="2138"/>
      <c r="C555" s="2131"/>
      <c r="D555" s="907" t="s">
        <v>2940</v>
      </c>
      <c r="E555" s="145">
        <v>1780</v>
      </c>
    </row>
    <row r="556" spans="1:6" ht="22.5" x14ac:dyDescent="0.2">
      <c r="A556" s="2300">
        <v>214100</v>
      </c>
      <c r="B556" s="145" t="str">
        <f t="shared" ref="B556" si="70">+A556&amp;"00"</f>
        <v>21410000</v>
      </c>
      <c r="C556" s="186" t="s">
        <v>3493</v>
      </c>
      <c r="D556" s="901" t="s">
        <v>3490</v>
      </c>
      <c r="E556" s="2300"/>
      <c r="F556" s="138" t="s">
        <v>3494</v>
      </c>
    </row>
    <row r="557" spans="1:6" x14ac:dyDescent="0.2">
      <c r="A557" s="866" t="s">
        <v>3495</v>
      </c>
      <c r="B557" s="2130"/>
      <c r="C557" s="2131"/>
      <c r="D557" s="907" t="s">
        <v>2940</v>
      </c>
      <c r="E557" s="2300">
        <v>1785</v>
      </c>
      <c r="F557" s="971"/>
    </row>
    <row r="558" spans="1:6" ht="22.5" x14ac:dyDescent="0.2">
      <c r="A558" s="2300">
        <v>214200</v>
      </c>
      <c r="B558" s="145" t="str">
        <f t="shared" ref="B558" si="71">+A558&amp;"00"</f>
        <v>21420000</v>
      </c>
      <c r="C558" s="186" t="s">
        <v>3496</v>
      </c>
      <c r="D558" s="901" t="s">
        <v>3490</v>
      </c>
      <c r="E558" s="2300"/>
      <c r="F558" s="138" t="s">
        <v>3497</v>
      </c>
    </row>
    <row r="559" spans="1:6" x14ac:dyDescent="0.2">
      <c r="A559" s="866" t="s">
        <v>3498</v>
      </c>
      <c r="B559" s="2139"/>
      <c r="C559" s="2140"/>
      <c r="D559" s="907" t="s">
        <v>2940</v>
      </c>
      <c r="E559" s="2300">
        <v>1786</v>
      </c>
      <c r="F559" s="971"/>
    </row>
    <row r="560" spans="1:6" ht="22.5" x14ac:dyDescent="0.2">
      <c r="A560" s="2300">
        <v>214300</v>
      </c>
      <c r="B560" s="145" t="str">
        <f t="shared" ref="B560" si="72">+A560&amp;"00"</f>
        <v>21430000</v>
      </c>
      <c r="C560" s="186" t="s">
        <v>3499</v>
      </c>
      <c r="D560" s="901" t="s">
        <v>3490</v>
      </c>
      <c r="E560" s="2300"/>
      <c r="F560" s="138" t="s">
        <v>3497</v>
      </c>
    </row>
    <row r="561" spans="1:5" x14ac:dyDescent="0.2">
      <c r="A561" s="866" t="s">
        <v>3500</v>
      </c>
      <c r="B561" s="2130"/>
      <c r="C561" s="2131"/>
      <c r="D561" s="905" t="s">
        <v>2940</v>
      </c>
      <c r="E561" s="2300" t="s">
        <v>2517</v>
      </c>
    </row>
    <row r="562" spans="1:5" x14ac:dyDescent="0.2">
      <c r="A562" s="2141">
        <v>215210</v>
      </c>
      <c r="B562" s="145" t="str">
        <f t="shared" ref="B562" si="73">+A562&amp;"00"</f>
        <v>21521000</v>
      </c>
      <c r="C562" s="186" t="s">
        <v>3501</v>
      </c>
      <c r="D562" s="2320"/>
    </row>
    <row r="563" spans="1:5" x14ac:dyDescent="0.2">
      <c r="A563" s="866" t="s">
        <v>3502</v>
      </c>
      <c r="B563" s="2130"/>
      <c r="C563" s="2131"/>
      <c r="D563" s="905" t="s">
        <v>2940</v>
      </c>
      <c r="E563" s="145">
        <v>1865</v>
      </c>
    </row>
    <row r="564" spans="1:5" ht="22.5" x14ac:dyDescent="0.2">
      <c r="A564" s="2141">
        <v>215291</v>
      </c>
      <c r="B564" s="145" t="str">
        <f t="shared" ref="B564" si="74">+A564&amp;"00"</f>
        <v>21529100</v>
      </c>
      <c r="C564" s="186" t="s">
        <v>3503</v>
      </c>
      <c r="D564" s="901" t="s">
        <v>3490</v>
      </c>
    </row>
    <row r="565" spans="1:5" x14ac:dyDescent="0.2">
      <c r="A565" s="866" t="s">
        <v>3504</v>
      </c>
      <c r="B565" s="2130"/>
      <c r="C565" s="2131"/>
      <c r="D565" s="905" t="s">
        <v>2940</v>
      </c>
      <c r="E565" s="145">
        <v>1788</v>
      </c>
    </row>
    <row r="566" spans="1:5" x14ac:dyDescent="0.2">
      <c r="A566" s="145">
        <v>219100</v>
      </c>
      <c r="B566" s="145" t="str">
        <f t="shared" ref="B566" si="75">+A566&amp;"00"</f>
        <v>21910000</v>
      </c>
      <c r="C566" s="186" t="s">
        <v>3505</v>
      </c>
      <c r="D566" s="2320" t="s">
        <v>3171</v>
      </c>
    </row>
    <row r="567" spans="1:5" x14ac:dyDescent="0.2">
      <c r="A567" s="866" t="s">
        <v>3506</v>
      </c>
      <c r="B567" s="2130"/>
      <c r="C567" s="2131"/>
      <c r="D567" s="905" t="s">
        <v>2940</v>
      </c>
      <c r="E567" s="145">
        <v>1789</v>
      </c>
    </row>
    <row r="568" spans="1:5" s="133" customFormat="1" ht="15" customHeight="1" x14ac:dyDescent="0.2">
      <c r="A568" s="145">
        <v>219101</v>
      </c>
      <c r="B568" s="1027" t="str">
        <f t="shared" ref="B568" si="76">+A568&amp;"00"</f>
        <v>21910100</v>
      </c>
      <c r="C568" s="2052" t="s">
        <v>1055</v>
      </c>
      <c r="D568" s="2320" t="s">
        <v>3171</v>
      </c>
      <c r="E568" s="1027"/>
    </row>
    <row r="569" spans="1:5" x14ac:dyDescent="0.2">
      <c r="A569" s="866" t="s">
        <v>3507</v>
      </c>
      <c r="B569" s="2130"/>
      <c r="C569" s="2131"/>
      <c r="D569" s="905" t="s">
        <v>2940</v>
      </c>
      <c r="E569" s="145">
        <v>1787</v>
      </c>
    </row>
    <row r="570" spans="1:5" x14ac:dyDescent="0.2">
      <c r="A570" s="145">
        <v>219102</v>
      </c>
      <c r="B570" s="145" t="str">
        <f t="shared" ref="B570" si="77">+A570&amp;"00"</f>
        <v>21910200</v>
      </c>
      <c r="C570" s="186" t="s">
        <v>1058</v>
      </c>
      <c r="D570" s="2320" t="s">
        <v>3171</v>
      </c>
    </row>
    <row r="571" spans="1:5" ht="25.5" x14ac:dyDescent="0.2">
      <c r="A571" s="867" t="s">
        <v>3508</v>
      </c>
      <c r="B571" s="2130"/>
      <c r="C571" s="2131"/>
      <c r="D571" s="902" t="s">
        <v>3509</v>
      </c>
      <c r="E571" s="145">
        <v>1800</v>
      </c>
    </row>
    <row r="572" spans="1:5" x14ac:dyDescent="0.2">
      <c r="A572" s="145">
        <v>216100</v>
      </c>
      <c r="B572" s="145" t="str">
        <f t="shared" ref="B572:B576" si="78">+A572&amp;"00"</f>
        <v>21610000</v>
      </c>
      <c r="C572" s="186" t="s">
        <v>3510</v>
      </c>
      <c r="D572" s="2320"/>
    </row>
    <row r="573" spans="1:5" x14ac:dyDescent="0.2">
      <c r="A573" s="2108">
        <v>216103</v>
      </c>
      <c r="B573" s="145" t="str">
        <f t="shared" si="78"/>
        <v>21610300</v>
      </c>
      <c r="C573" s="186" t="s">
        <v>3511</v>
      </c>
      <c r="D573" s="871" t="s">
        <v>3512</v>
      </c>
    </row>
    <row r="574" spans="1:5" x14ac:dyDescent="0.2">
      <c r="A574" s="2109">
        <v>216104</v>
      </c>
      <c r="B574" s="145" t="str">
        <f t="shared" si="78"/>
        <v>21610400</v>
      </c>
      <c r="C574" s="186" t="s">
        <v>3513</v>
      </c>
      <c r="D574" s="871" t="s">
        <v>3514</v>
      </c>
    </row>
    <row r="575" spans="1:5" x14ac:dyDescent="0.2">
      <c r="A575" s="145">
        <v>216105</v>
      </c>
      <c r="B575" s="145" t="str">
        <f t="shared" si="78"/>
        <v>21610500</v>
      </c>
      <c r="C575" s="186" t="s">
        <v>3515</v>
      </c>
      <c r="D575" s="2320" t="s">
        <v>3516</v>
      </c>
    </row>
    <row r="576" spans="1:5" x14ac:dyDescent="0.2">
      <c r="A576" s="145">
        <v>216106</v>
      </c>
      <c r="B576" s="145" t="str">
        <f t="shared" si="78"/>
        <v>21610600</v>
      </c>
      <c r="C576" s="186" t="s">
        <v>3517</v>
      </c>
      <c r="D576" s="2320" t="s">
        <v>3518</v>
      </c>
    </row>
    <row r="577" spans="1:5" x14ac:dyDescent="0.2">
      <c r="A577" s="866" t="s">
        <v>2802</v>
      </c>
      <c r="B577" s="2130"/>
      <c r="C577" s="2131"/>
      <c r="D577" s="2320"/>
      <c r="E577" s="145">
        <v>1840</v>
      </c>
    </row>
    <row r="578" spans="1:5" x14ac:dyDescent="0.2">
      <c r="A578" s="866" t="s">
        <v>3519</v>
      </c>
      <c r="B578" s="2411"/>
      <c r="C578" s="2131"/>
      <c r="D578" s="905" t="s">
        <v>2940</v>
      </c>
    </row>
    <row r="579" spans="1:5" x14ac:dyDescent="0.2">
      <c r="A579" s="145">
        <v>216210</v>
      </c>
      <c r="B579" s="145" t="str">
        <f t="shared" ref="B579" si="79">+A579&amp;"00"</f>
        <v>21621000</v>
      </c>
      <c r="C579" s="186" t="s">
        <v>3520</v>
      </c>
      <c r="D579" s="2320"/>
    </row>
    <row r="580" spans="1:5" x14ac:dyDescent="0.2">
      <c r="A580" s="866" t="s">
        <v>3521</v>
      </c>
      <c r="B580" s="2411"/>
      <c r="C580" s="2131"/>
      <c r="D580" s="905" t="s">
        <v>2940</v>
      </c>
      <c r="E580" s="2300" t="s">
        <v>2517</v>
      </c>
    </row>
    <row r="581" spans="1:5" x14ac:dyDescent="0.2">
      <c r="A581" s="145">
        <v>216220</v>
      </c>
      <c r="B581" s="145" t="str">
        <f t="shared" ref="B581" si="80">+A581&amp;"00"</f>
        <v>21622000</v>
      </c>
      <c r="C581" s="186" t="s">
        <v>3522</v>
      </c>
      <c r="D581" s="2320"/>
    </row>
    <row r="582" spans="1:5" x14ac:dyDescent="0.2">
      <c r="A582" s="866" t="s">
        <v>2815</v>
      </c>
      <c r="B582" s="2130"/>
      <c r="C582" s="2131"/>
      <c r="D582" s="905" t="s">
        <v>2940</v>
      </c>
      <c r="E582" s="145">
        <v>1870</v>
      </c>
    </row>
    <row r="583" spans="1:5" x14ac:dyDescent="0.2">
      <c r="A583" s="145">
        <v>217120</v>
      </c>
      <c r="B583" s="145" t="str">
        <f t="shared" ref="B583:B588" si="81">+A583&amp;"00"</f>
        <v>21712000</v>
      </c>
      <c r="C583" s="186" t="s">
        <v>3523</v>
      </c>
      <c r="D583" s="2320"/>
    </row>
    <row r="584" spans="1:5" x14ac:dyDescent="0.2">
      <c r="A584" s="145">
        <v>217130</v>
      </c>
      <c r="B584" s="145" t="str">
        <f t="shared" si="81"/>
        <v>21713000</v>
      </c>
      <c r="C584" s="186" t="s">
        <v>3524</v>
      </c>
      <c r="D584" s="2320"/>
    </row>
    <row r="585" spans="1:5" x14ac:dyDescent="0.2">
      <c r="A585" s="145">
        <v>217140</v>
      </c>
      <c r="B585" s="145" t="str">
        <f t="shared" si="81"/>
        <v>21714000</v>
      </c>
      <c r="C585" s="186" t="s">
        <v>3525</v>
      </c>
      <c r="D585" s="2320"/>
    </row>
    <row r="586" spans="1:5" x14ac:dyDescent="0.2">
      <c r="A586" s="145">
        <v>217150</v>
      </c>
      <c r="B586" s="145" t="str">
        <f t="shared" si="81"/>
        <v>21715000</v>
      </c>
      <c r="C586" s="186" t="s">
        <v>3526</v>
      </c>
      <c r="D586" s="2320"/>
    </row>
    <row r="587" spans="1:5" x14ac:dyDescent="0.2">
      <c r="A587" s="145">
        <v>217160</v>
      </c>
      <c r="B587" s="145" t="str">
        <f t="shared" si="81"/>
        <v>21716000</v>
      </c>
      <c r="C587" s="186" t="s">
        <v>3527</v>
      </c>
      <c r="D587" s="2320"/>
    </row>
    <row r="588" spans="1:5" x14ac:dyDescent="0.2">
      <c r="A588" s="145">
        <v>217170</v>
      </c>
      <c r="B588" s="145" t="str">
        <f t="shared" si="81"/>
        <v>21717000</v>
      </c>
      <c r="C588" s="186" t="s">
        <v>3450</v>
      </c>
      <c r="D588" s="2320"/>
    </row>
    <row r="589" spans="1:5" x14ac:dyDescent="0.2">
      <c r="A589" s="866" t="s">
        <v>2816</v>
      </c>
      <c r="B589" s="2130"/>
      <c r="C589" s="2131"/>
      <c r="D589" s="905" t="s">
        <v>2940</v>
      </c>
      <c r="E589" s="145">
        <v>1880</v>
      </c>
    </row>
    <row r="590" spans="1:5" x14ac:dyDescent="0.2">
      <c r="A590" s="145">
        <v>217190</v>
      </c>
      <c r="B590" s="145" t="str">
        <f t="shared" ref="B590" si="82">+A590&amp;"00"</f>
        <v>21719000</v>
      </c>
      <c r="C590" s="186" t="s">
        <v>3528</v>
      </c>
      <c r="D590" s="2320"/>
    </row>
    <row r="591" spans="1:5" x14ac:dyDescent="0.2">
      <c r="A591" s="866" t="s">
        <v>3529</v>
      </c>
      <c r="B591" s="2130"/>
      <c r="C591" s="2131"/>
      <c r="D591" s="905" t="s">
        <v>3530</v>
      </c>
      <c r="E591" s="145">
        <v>1850</v>
      </c>
    </row>
    <row r="592" spans="1:5" ht="22.5" x14ac:dyDescent="0.2">
      <c r="A592" s="1348">
        <v>211400</v>
      </c>
      <c r="B592" s="1348" t="str">
        <f t="shared" ref="B592" si="83">+A592&amp;"00"</f>
        <v>21140000</v>
      </c>
      <c r="C592" s="186" t="s">
        <v>3531</v>
      </c>
      <c r="D592" s="901" t="s">
        <v>3490</v>
      </c>
    </row>
    <row r="593" spans="1:5" x14ac:dyDescent="0.2">
      <c r="A593" s="866" t="s">
        <v>3532</v>
      </c>
      <c r="B593" s="2130"/>
      <c r="C593" s="2131"/>
      <c r="D593" s="905" t="s">
        <v>3533</v>
      </c>
      <c r="E593" s="145">
        <v>1851</v>
      </c>
    </row>
    <row r="594" spans="1:5" ht="22.5" x14ac:dyDescent="0.2">
      <c r="A594" s="1348">
        <v>211910</v>
      </c>
      <c r="B594" s="1348" t="str">
        <f t="shared" ref="B594" si="84">+A594&amp;"00"</f>
        <v>21191000</v>
      </c>
      <c r="C594" s="186" t="s">
        <v>3534</v>
      </c>
      <c r="D594" s="901" t="s">
        <v>3535</v>
      </c>
    </row>
    <row r="595" spans="1:5" x14ac:dyDescent="0.2">
      <c r="A595" s="866" t="s">
        <v>3536</v>
      </c>
      <c r="B595" s="2130"/>
      <c r="C595" s="2131"/>
      <c r="D595" s="905" t="s">
        <v>2940</v>
      </c>
      <c r="E595" s="145">
        <v>1852</v>
      </c>
    </row>
    <row r="596" spans="1:5" ht="22.5" x14ac:dyDescent="0.2">
      <c r="A596" s="1027">
        <v>211915</v>
      </c>
      <c r="B596" s="145" t="str">
        <f t="shared" ref="B596" si="85">+A596&amp;"00"</f>
        <v>21191500</v>
      </c>
      <c r="C596" s="186" t="s">
        <v>3537</v>
      </c>
      <c r="D596" s="901" t="s">
        <v>3490</v>
      </c>
    </row>
    <row r="597" spans="1:5" x14ac:dyDescent="0.2">
      <c r="A597" s="866" t="s">
        <v>3538</v>
      </c>
      <c r="B597" s="2130"/>
      <c r="C597" s="2131"/>
      <c r="D597" s="905" t="s">
        <v>2940</v>
      </c>
      <c r="E597" s="2300" t="s">
        <v>2517</v>
      </c>
    </row>
    <row r="598" spans="1:5" x14ac:dyDescent="0.2">
      <c r="A598" s="866" t="s">
        <v>3539</v>
      </c>
      <c r="B598" s="2411"/>
      <c r="C598" s="2131"/>
      <c r="D598" s="2320" t="s">
        <v>3540</v>
      </c>
    </row>
    <row r="599" spans="1:5" x14ac:dyDescent="0.2">
      <c r="A599" s="145">
        <v>211918</v>
      </c>
      <c r="B599" s="145" t="str">
        <f t="shared" ref="B599" si="86">+A599&amp;"00"</f>
        <v>21191800</v>
      </c>
      <c r="C599" s="186" t="s">
        <v>3541</v>
      </c>
      <c r="D599" s="2320"/>
    </row>
    <row r="600" spans="1:5" x14ac:dyDescent="0.2">
      <c r="A600" s="866" t="s">
        <v>3542</v>
      </c>
      <c r="B600" s="2130"/>
      <c r="C600" s="2131"/>
      <c r="D600" s="905" t="s">
        <v>2940</v>
      </c>
      <c r="E600" s="145">
        <v>1855</v>
      </c>
    </row>
    <row r="601" spans="1:5" ht="22.5" x14ac:dyDescent="0.2">
      <c r="A601" s="2046">
        <v>211919</v>
      </c>
      <c r="B601" s="145" t="str">
        <f t="shared" ref="B601" si="87">+A601&amp;"00"</f>
        <v>21191900</v>
      </c>
      <c r="C601" s="186" t="s">
        <v>3543</v>
      </c>
      <c r="D601" s="901" t="s">
        <v>3490</v>
      </c>
    </row>
    <row r="602" spans="1:5" x14ac:dyDescent="0.2">
      <c r="D602" s="2320" t="s">
        <v>3544</v>
      </c>
    </row>
    <row r="603" spans="1:5" x14ac:dyDescent="0.2">
      <c r="A603" s="866" t="s">
        <v>3545</v>
      </c>
      <c r="B603" s="2130"/>
      <c r="C603" s="2131"/>
      <c r="D603" s="905" t="s">
        <v>2940</v>
      </c>
      <c r="E603" s="145">
        <v>1857</v>
      </c>
    </row>
    <row r="604" spans="1:5" ht="22.5" x14ac:dyDescent="0.2">
      <c r="A604" s="2046">
        <v>211925</v>
      </c>
      <c r="B604" s="145" t="str">
        <f t="shared" ref="B604" si="88">+A604&amp;"00"</f>
        <v>21192500</v>
      </c>
      <c r="C604" s="186" t="s">
        <v>3546</v>
      </c>
      <c r="D604" s="901" t="s">
        <v>3490</v>
      </c>
    </row>
    <row r="605" spans="1:5" x14ac:dyDescent="0.2">
      <c r="A605" s="2046"/>
      <c r="D605" s="901" t="s">
        <v>3547</v>
      </c>
    </row>
    <row r="606" spans="1:5" x14ac:dyDescent="0.2">
      <c r="A606" s="866" t="s">
        <v>3548</v>
      </c>
      <c r="B606" s="2130"/>
      <c r="C606" s="2131"/>
      <c r="D606" s="905" t="s">
        <v>2940</v>
      </c>
      <c r="E606" s="145">
        <v>1860</v>
      </c>
    </row>
    <row r="607" spans="1:5" ht="22.5" x14ac:dyDescent="0.2">
      <c r="A607" s="2046">
        <v>211920</v>
      </c>
      <c r="B607" s="145" t="str">
        <f t="shared" ref="B607" si="89">+A607&amp;"00"</f>
        <v>21192000</v>
      </c>
      <c r="C607" s="186" t="s">
        <v>3549</v>
      </c>
      <c r="D607" s="901" t="s">
        <v>3490</v>
      </c>
    </row>
    <row r="608" spans="1:5" x14ac:dyDescent="0.2">
      <c r="A608" s="866" t="s">
        <v>2812</v>
      </c>
      <c r="B608" s="2130"/>
      <c r="C608" s="2131"/>
      <c r="D608" s="905" t="s">
        <v>3550</v>
      </c>
      <c r="E608" s="145">
        <v>1890</v>
      </c>
    </row>
    <row r="609" spans="1:5" x14ac:dyDescent="0.2">
      <c r="A609" s="2300">
        <v>218110</v>
      </c>
      <c r="B609" s="145" t="str">
        <f t="shared" ref="B609:B610" si="90">+A609&amp;"00"</f>
        <v>21811000</v>
      </c>
      <c r="C609" s="186" t="s">
        <v>3551</v>
      </c>
      <c r="D609" s="2320"/>
    </row>
    <row r="610" spans="1:5" x14ac:dyDescent="0.2">
      <c r="A610" s="145">
        <v>218111</v>
      </c>
      <c r="B610" s="145" t="str">
        <f t="shared" si="90"/>
        <v>21811100</v>
      </c>
      <c r="C610" s="186" t="s">
        <v>3552</v>
      </c>
      <c r="D610" s="2320"/>
    </row>
    <row r="611" spans="1:5" x14ac:dyDescent="0.2">
      <c r="A611" s="866" t="s">
        <v>3553</v>
      </c>
      <c r="B611" s="2130"/>
      <c r="C611" s="2131"/>
      <c r="D611" s="905" t="s">
        <v>2940</v>
      </c>
      <c r="E611" s="145">
        <v>1869</v>
      </c>
    </row>
    <row r="612" spans="1:5" x14ac:dyDescent="0.2">
      <c r="A612" s="2300">
        <v>219151</v>
      </c>
      <c r="B612" s="145" t="str">
        <f t="shared" ref="B612" si="91">+A612&amp;"00"</f>
        <v>21915100</v>
      </c>
      <c r="C612" s="186" t="s">
        <v>3554</v>
      </c>
      <c r="D612" s="2320" t="s">
        <v>3146</v>
      </c>
    </row>
    <row r="613" spans="1:5" x14ac:dyDescent="0.2">
      <c r="A613" s="866" t="s">
        <v>3555</v>
      </c>
      <c r="B613" s="2411"/>
      <c r="C613" s="2131"/>
      <c r="D613" s="2320"/>
    </row>
    <row r="614" spans="1:5" x14ac:dyDescent="0.2">
      <c r="A614" s="869" t="s">
        <v>1991</v>
      </c>
      <c r="B614" s="2132"/>
      <c r="C614" s="2133"/>
      <c r="D614" s="2320"/>
    </row>
    <row r="615" spans="1:5" x14ac:dyDescent="0.2">
      <c r="A615" s="868" t="s">
        <v>3410</v>
      </c>
      <c r="B615" s="2312"/>
      <c r="C615" s="2134"/>
      <c r="D615" s="2320"/>
    </row>
    <row r="616" spans="1:5" x14ac:dyDescent="0.2">
      <c r="A616" s="866" t="s">
        <v>3411</v>
      </c>
      <c r="B616" s="2130"/>
      <c r="C616" s="2131"/>
      <c r="D616" s="905" t="s">
        <v>2940</v>
      </c>
      <c r="E616" s="145">
        <v>1940</v>
      </c>
    </row>
    <row r="617" spans="1:5" x14ac:dyDescent="0.2">
      <c r="A617" s="145">
        <v>221100</v>
      </c>
      <c r="B617" s="145" t="str">
        <f t="shared" ref="B617:B621" si="92">+A617&amp;"00"</f>
        <v>22110000</v>
      </c>
      <c r="C617" s="186" t="s">
        <v>3556</v>
      </c>
      <c r="D617" s="2320"/>
    </row>
    <row r="618" spans="1:5" x14ac:dyDescent="0.2">
      <c r="A618" s="145">
        <v>221910</v>
      </c>
      <c r="B618" s="145" t="str">
        <f t="shared" si="92"/>
        <v>22191000</v>
      </c>
      <c r="C618" s="186" t="s">
        <v>3557</v>
      </c>
      <c r="D618" s="2320"/>
    </row>
    <row r="619" spans="1:5" x14ac:dyDescent="0.2">
      <c r="A619" s="145">
        <v>221930</v>
      </c>
      <c r="B619" s="145" t="str">
        <f t="shared" si="92"/>
        <v>22193000</v>
      </c>
      <c r="C619" s="186" t="s">
        <v>3428</v>
      </c>
      <c r="D619" s="2320"/>
    </row>
    <row r="620" spans="1:5" x14ac:dyDescent="0.2">
      <c r="A620" s="145">
        <v>227110</v>
      </c>
      <c r="B620" s="145" t="str">
        <f t="shared" si="92"/>
        <v>22711000</v>
      </c>
      <c r="C620" s="186" t="s">
        <v>3432</v>
      </c>
      <c r="D620" s="2320" t="s">
        <v>3433</v>
      </c>
    </row>
    <row r="621" spans="1:5" x14ac:dyDescent="0.2">
      <c r="A621" s="145">
        <v>221991</v>
      </c>
      <c r="B621" s="145" t="str">
        <f t="shared" si="92"/>
        <v>22199100</v>
      </c>
      <c r="C621" s="186" t="s">
        <v>3558</v>
      </c>
      <c r="D621" s="2320" t="s">
        <v>3431</v>
      </c>
    </row>
    <row r="622" spans="1:5" x14ac:dyDescent="0.2">
      <c r="A622" s="780" t="s">
        <v>3559</v>
      </c>
      <c r="B622" s="2130"/>
      <c r="C622" s="2131"/>
      <c r="D622" s="905" t="s">
        <v>3560</v>
      </c>
      <c r="E622" s="145">
        <v>1940</v>
      </c>
    </row>
    <row r="623" spans="1:5" x14ac:dyDescent="0.2">
      <c r="A623" s="2300">
        <v>221500</v>
      </c>
      <c r="B623" s="145" t="str">
        <f t="shared" ref="B623" si="93">+A623&amp;"00"</f>
        <v>22150000</v>
      </c>
      <c r="C623" s="186" t="s">
        <v>3561</v>
      </c>
      <c r="D623" s="2320" t="s">
        <v>3562</v>
      </c>
    </row>
    <row r="624" spans="1:5" x14ac:dyDescent="0.2">
      <c r="A624" s="780" t="s">
        <v>3447</v>
      </c>
      <c r="B624" s="2411"/>
      <c r="C624" s="2131"/>
      <c r="D624" s="905" t="s">
        <v>2940</v>
      </c>
    </row>
    <row r="625" spans="1:5" x14ac:dyDescent="0.2">
      <c r="A625" s="145">
        <v>221601</v>
      </c>
      <c r="B625" s="145" t="str">
        <f t="shared" ref="B625" si="94">+A625&amp;"00"</f>
        <v>22160100</v>
      </c>
      <c r="C625" s="186" t="s">
        <v>3563</v>
      </c>
      <c r="D625" s="912"/>
    </row>
    <row r="626" spans="1:5" x14ac:dyDescent="0.2">
      <c r="A626" s="780" t="s">
        <v>3564</v>
      </c>
      <c r="B626" s="2411"/>
      <c r="C626" s="2131"/>
      <c r="D626" s="905" t="s">
        <v>3565</v>
      </c>
      <c r="E626" s="145">
        <v>1950</v>
      </c>
    </row>
    <row r="627" spans="1:5" x14ac:dyDescent="0.2">
      <c r="A627" s="2300">
        <v>221320</v>
      </c>
      <c r="B627" s="145" t="str">
        <f t="shared" ref="B627" si="95">+A627&amp;"00"</f>
        <v>22132000</v>
      </c>
      <c r="C627" s="186" t="s">
        <v>3566</v>
      </c>
      <c r="D627" s="2320"/>
    </row>
    <row r="628" spans="1:5" x14ac:dyDescent="0.2">
      <c r="A628" s="866" t="s">
        <v>3567</v>
      </c>
      <c r="B628" s="2411"/>
      <c r="C628" s="2131"/>
      <c r="D628" s="905" t="s">
        <v>2940</v>
      </c>
      <c r="E628" s="145">
        <v>1960</v>
      </c>
    </row>
    <row r="629" spans="1:5" x14ac:dyDescent="0.2">
      <c r="A629" s="145">
        <v>225290</v>
      </c>
      <c r="B629" s="145" t="str">
        <f t="shared" ref="B629" si="96">+A629&amp;"00"</f>
        <v>22529000</v>
      </c>
      <c r="C629" s="186" t="s">
        <v>3568</v>
      </c>
      <c r="D629" s="2320"/>
    </row>
    <row r="630" spans="1:5" x14ac:dyDescent="0.2">
      <c r="A630" s="780" t="s">
        <v>3454</v>
      </c>
      <c r="B630" s="2411"/>
      <c r="C630" s="2131"/>
      <c r="D630" s="905" t="s">
        <v>2940</v>
      </c>
      <c r="E630" s="2300" t="s">
        <v>2517</v>
      </c>
    </row>
    <row r="631" spans="1:5" x14ac:dyDescent="0.2">
      <c r="A631" s="145">
        <v>225220</v>
      </c>
      <c r="B631" s="145" t="str">
        <f t="shared" ref="B631" si="97">+A631&amp;"00"</f>
        <v>22522000</v>
      </c>
      <c r="C631" s="186" t="s">
        <v>3569</v>
      </c>
      <c r="D631" s="2320"/>
    </row>
    <row r="632" spans="1:5" x14ac:dyDescent="0.2">
      <c r="A632" s="780" t="s">
        <v>3476</v>
      </c>
      <c r="B632" s="2411"/>
      <c r="C632" s="2131"/>
      <c r="D632" s="905" t="s">
        <v>3570</v>
      </c>
      <c r="E632" s="2300" t="s">
        <v>2517</v>
      </c>
    </row>
    <row r="633" spans="1:5" x14ac:dyDescent="0.2">
      <c r="C633" t="s">
        <v>3571</v>
      </c>
      <c r="D633" s="2320"/>
    </row>
    <row r="634" spans="1:5" x14ac:dyDescent="0.2">
      <c r="A634" s="780" t="s">
        <v>3481</v>
      </c>
      <c r="B634" s="2411"/>
      <c r="C634" s="2131"/>
      <c r="D634" s="905" t="s">
        <v>2940</v>
      </c>
      <c r="E634" s="2300">
        <v>1740</v>
      </c>
    </row>
    <row r="635" spans="1:5" x14ac:dyDescent="0.2">
      <c r="A635" s="145">
        <v>222700</v>
      </c>
      <c r="B635" s="145" t="str">
        <f t="shared" ref="B635" si="98">+A635&amp;"00"</f>
        <v>22270000</v>
      </c>
      <c r="C635" s="186" t="s">
        <v>3482</v>
      </c>
      <c r="D635" s="2320"/>
    </row>
    <row r="636" spans="1:5" x14ac:dyDescent="0.2">
      <c r="A636" s="780" t="s">
        <v>3572</v>
      </c>
      <c r="B636" s="2411"/>
      <c r="C636" s="2131"/>
      <c r="D636" s="905" t="s">
        <v>2940</v>
      </c>
      <c r="E636" s="145">
        <v>2020</v>
      </c>
    </row>
    <row r="637" spans="1:5" x14ac:dyDescent="0.2">
      <c r="A637" s="145">
        <v>222500</v>
      </c>
      <c r="B637" s="145" t="str">
        <f t="shared" ref="B637" si="99">+A637&amp;"00"</f>
        <v>22250000</v>
      </c>
      <c r="C637" s="186" t="s">
        <v>3573</v>
      </c>
      <c r="D637" s="2320"/>
    </row>
    <row r="638" spans="1:5" x14ac:dyDescent="0.2">
      <c r="A638" s="780" t="s">
        <v>3574</v>
      </c>
      <c r="B638" s="2411"/>
      <c r="C638" s="2131"/>
      <c r="D638" s="905" t="s">
        <v>2940</v>
      </c>
      <c r="E638" s="2300" t="s">
        <v>2517</v>
      </c>
    </row>
    <row r="639" spans="1:5" x14ac:dyDescent="0.2">
      <c r="A639" s="145">
        <v>222310</v>
      </c>
      <c r="B639" s="145" t="str">
        <f t="shared" ref="B639:B645" si="100">+A639&amp;"00"</f>
        <v>22231000</v>
      </c>
      <c r="C639" s="186" t="s">
        <v>3464</v>
      </c>
      <c r="D639" s="2320"/>
    </row>
    <row r="640" spans="1:5" x14ac:dyDescent="0.2">
      <c r="A640" s="145">
        <v>222311</v>
      </c>
      <c r="B640" s="145" t="str">
        <f t="shared" si="100"/>
        <v>22231100</v>
      </c>
      <c r="C640" s="186" t="s">
        <v>3465</v>
      </c>
      <c r="D640" s="2320"/>
    </row>
    <row r="641" spans="1:6" x14ac:dyDescent="0.2">
      <c r="A641" s="145">
        <v>222313</v>
      </c>
      <c r="B641" s="145" t="str">
        <f t="shared" si="100"/>
        <v>22231300</v>
      </c>
      <c r="C641" s="186" t="s">
        <v>3575</v>
      </c>
      <c r="D641" s="2320"/>
    </row>
    <row r="642" spans="1:6" x14ac:dyDescent="0.2">
      <c r="A642" s="145">
        <v>222314</v>
      </c>
      <c r="B642" s="145" t="str">
        <f t="shared" si="100"/>
        <v>22231400</v>
      </c>
      <c r="C642" s="186" t="s">
        <v>3576</v>
      </c>
      <c r="D642" s="2320"/>
    </row>
    <row r="643" spans="1:6" x14ac:dyDescent="0.2">
      <c r="A643" s="145">
        <v>222315</v>
      </c>
      <c r="B643" s="145" t="str">
        <f t="shared" si="100"/>
        <v>22231500</v>
      </c>
      <c r="C643" s="186" t="s">
        <v>3577</v>
      </c>
      <c r="D643" s="2320"/>
    </row>
    <row r="644" spans="1:6" x14ac:dyDescent="0.2">
      <c r="A644" s="145">
        <v>222318</v>
      </c>
      <c r="B644" s="145" t="str">
        <f t="shared" si="100"/>
        <v>22231800</v>
      </c>
      <c r="C644" s="186" t="s">
        <v>3212</v>
      </c>
      <c r="D644" s="2320"/>
    </row>
    <row r="645" spans="1:6" x14ac:dyDescent="0.2">
      <c r="A645" s="145">
        <v>222319</v>
      </c>
      <c r="B645" s="145" t="str">
        <f t="shared" si="100"/>
        <v>22231900</v>
      </c>
      <c r="C645" s="186" t="s">
        <v>3578</v>
      </c>
      <c r="D645" s="2320"/>
    </row>
    <row r="646" spans="1:6" x14ac:dyDescent="0.2">
      <c r="A646" s="780" t="s">
        <v>3579</v>
      </c>
      <c r="B646" s="2411"/>
      <c r="C646" s="2131"/>
      <c r="D646" s="905" t="s">
        <v>2940</v>
      </c>
      <c r="E646" s="2300" t="s">
        <v>2517</v>
      </c>
    </row>
    <row r="647" spans="1:6" x14ac:dyDescent="0.2">
      <c r="A647" s="145">
        <v>222600</v>
      </c>
      <c r="B647" s="145" t="str">
        <f t="shared" ref="B647" si="101">+A647&amp;"00"</f>
        <v>22260000</v>
      </c>
      <c r="C647" s="186" t="s">
        <v>3580</v>
      </c>
      <c r="D647" s="2320"/>
    </row>
    <row r="648" spans="1:6" x14ac:dyDescent="0.2">
      <c r="A648" s="866" t="s">
        <v>3581</v>
      </c>
      <c r="B648" s="2411"/>
      <c r="C648" s="2131"/>
      <c r="D648" s="905" t="s">
        <v>3570</v>
      </c>
      <c r="E648" s="2300" t="s">
        <v>2517</v>
      </c>
    </row>
    <row r="649" spans="1:6" x14ac:dyDescent="0.2">
      <c r="C649" t="s">
        <v>3582</v>
      </c>
      <c r="D649" s="2320"/>
    </row>
    <row r="650" spans="1:6" x14ac:dyDescent="0.2">
      <c r="A650" s="866" t="s">
        <v>2817</v>
      </c>
      <c r="B650" s="2411"/>
      <c r="C650" s="2131"/>
      <c r="D650" s="905" t="s">
        <v>2940</v>
      </c>
      <c r="E650" s="145">
        <v>2024</v>
      </c>
    </row>
    <row r="651" spans="1:6" x14ac:dyDescent="0.2">
      <c r="A651" s="145">
        <v>229200</v>
      </c>
      <c r="B651" s="145" t="str">
        <f t="shared" ref="B651" si="102">+A651&amp;"00"</f>
        <v>22920000</v>
      </c>
      <c r="C651" s="186" t="s">
        <v>3583</v>
      </c>
      <c r="D651" s="2320" t="s">
        <v>3431</v>
      </c>
    </row>
    <row r="652" spans="1:6" x14ac:dyDescent="0.2">
      <c r="A652" s="866" t="s">
        <v>3488</v>
      </c>
      <c r="B652" s="2411"/>
      <c r="C652" s="2131"/>
      <c r="D652" s="907" t="s">
        <v>2940</v>
      </c>
      <c r="E652" s="145">
        <v>2035</v>
      </c>
    </row>
    <row r="653" spans="1:6" ht="22.5" x14ac:dyDescent="0.2">
      <c r="A653" s="2300">
        <v>223200</v>
      </c>
      <c r="B653" s="145" t="str">
        <f t="shared" ref="B653" si="103">+A653&amp;"00"</f>
        <v>22320000</v>
      </c>
      <c r="C653" s="186" t="s">
        <v>3584</v>
      </c>
      <c r="D653" s="901" t="s">
        <v>3585</v>
      </c>
      <c r="F653" s="138" t="s">
        <v>3491</v>
      </c>
    </row>
    <row r="654" spans="1:6" x14ac:dyDescent="0.2">
      <c r="A654" s="866" t="s">
        <v>3492</v>
      </c>
      <c r="B654" s="2411"/>
      <c r="C654" s="2131"/>
      <c r="D654" s="905" t="s">
        <v>2940</v>
      </c>
      <c r="E654" s="145">
        <v>2040</v>
      </c>
    </row>
    <row r="655" spans="1:6" ht="22.5" x14ac:dyDescent="0.2">
      <c r="A655" s="2300">
        <v>224100</v>
      </c>
      <c r="B655" s="145" t="str">
        <f t="shared" ref="B655" si="104">+A655&amp;"00"</f>
        <v>22410000</v>
      </c>
      <c r="C655" s="186" t="s">
        <v>3586</v>
      </c>
      <c r="D655" s="901" t="s">
        <v>3585</v>
      </c>
      <c r="F655" s="138" t="s">
        <v>3494</v>
      </c>
    </row>
    <row r="656" spans="1:6" x14ac:dyDescent="0.2">
      <c r="A656" s="866" t="s">
        <v>3587</v>
      </c>
      <c r="B656" s="2411"/>
      <c r="C656" s="2131"/>
      <c r="D656" s="905" t="s">
        <v>2940</v>
      </c>
      <c r="E656" s="2300">
        <v>2046</v>
      </c>
      <c r="F656" s="138"/>
    </row>
    <row r="657" spans="1:6" ht="22.5" x14ac:dyDescent="0.2">
      <c r="A657" s="2300">
        <v>224200</v>
      </c>
      <c r="B657" s="145" t="str">
        <f t="shared" ref="B657" si="105">+A657&amp;"00"</f>
        <v>22420000</v>
      </c>
      <c r="C657" s="186" t="s">
        <v>3588</v>
      </c>
      <c r="D657" s="901" t="s">
        <v>3585</v>
      </c>
      <c r="E657" s="2300"/>
      <c r="F657" s="138" t="s">
        <v>3497</v>
      </c>
    </row>
    <row r="658" spans="1:6" x14ac:dyDescent="0.2">
      <c r="A658" s="2196" t="s">
        <v>3589</v>
      </c>
      <c r="B658" s="2411"/>
      <c r="C658" s="2131"/>
      <c r="D658" s="905" t="s">
        <v>2940</v>
      </c>
      <c r="E658" s="1355">
        <v>2047</v>
      </c>
      <c r="F658" s="138"/>
    </row>
    <row r="659" spans="1:6" ht="22.5" x14ac:dyDescent="0.2">
      <c r="A659" s="1355">
        <v>224300</v>
      </c>
      <c r="B659" s="1355" t="str">
        <f t="shared" ref="B659" si="106">+A659&amp;"00"</f>
        <v>22430000</v>
      </c>
      <c r="C659" s="2198" t="s">
        <v>3590</v>
      </c>
      <c r="D659" s="2200" t="s">
        <v>3585</v>
      </c>
      <c r="E659" s="2300"/>
      <c r="F659" s="1813" t="s">
        <v>3591</v>
      </c>
    </row>
    <row r="660" spans="1:6" x14ac:dyDescent="0.2">
      <c r="A660" s="866" t="s">
        <v>3500</v>
      </c>
      <c r="B660" s="2411"/>
      <c r="C660" s="2131"/>
      <c r="D660" s="905" t="s">
        <v>2940</v>
      </c>
      <c r="E660" s="2300" t="s">
        <v>2517</v>
      </c>
    </row>
    <row r="661" spans="1:6" x14ac:dyDescent="0.2">
      <c r="A661" s="145">
        <v>225210</v>
      </c>
      <c r="B661" s="145" t="str">
        <f t="shared" ref="B661" si="107">+A661&amp;"00"</f>
        <v>22521000</v>
      </c>
      <c r="C661" s="186" t="s">
        <v>3592</v>
      </c>
      <c r="D661" s="2320"/>
    </row>
    <row r="662" spans="1:6" x14ac:dyDescent="0.2">
      <c r="A662" s="866" t="s">
        <v>3502</v>
      </c>
      <c r="B662" s="2411"/>
      <c r="C662" s="2131"/>
      <c r="D662" s="905" t="s">
        <v>2940</v>
      </c>
      <c r="E662" s="145">
        <v>2095</v>
      </c>
    </row>
    <row r="663" spans="1:6" ht="22.5" x14ac:dyDescent="0.2">
      <c r="A663" s="145">
        <v>225291</v>
      </c>
      <c r="B663" s="145" t="str">
        <f t="shared" ref="B663" si="108">+A663&amp;"00"</f>
        <v>22529100</v>
      </c>
      <c r="C663" s="186" t="s">
        <v>3593</v>
      </c>
      <c r="D663" s="901" t="s">
        <v>3585</v>
      </c>
    </row>
    <row r="664" spans="1:6" x14ac:dyDescent="0.2">
      <c r="A664" s="866" t="s">
        <v>3508</v>
      </c>
      <c r="B664" s="2411"/>
      <c r="C664" s="2131"/>
      <c r="D664" s="904" t="s">
        <v>2940</v>
      </c>
      <c r="E664" s="145">
        <v>2050</v>
      </c>
    </row>
    <row r="665" spans="1:6" ht="22.5" x14ac:dyDescent="0.2">
      <c r="A665" s="145">
        <v>226100</v>
      </c>
      <c r="B665" s="145" t="str">
        <f t="shared" ref="B665:B674" si="109">+A665&amp;"00"</f>
        <v>22610000</v>
      </c>
      <c r="C665" s="186" t="s">
        <v>3510</v>
      </c>
      <c r="D665" s="901" t="s">
        <v>3585</v>
      </c>
    </row>
    <row r="666" spans="1:6" x14ac:dyDescent="0.2">
      <c r="A666" s="145">
        <v>226101</v>
      </c>
      <c r="B666" s="145" t="str">
        <f t="shared" si="109"/>
        <v>22610100</v>
      </c>
      <c r="C666" s="186" t="s">
        <v>3594</v>
      </c>
      <c r="D666" s="2320" t="s">
        <v>3171</v>
      </c>
    </row>
    <row r="667" spans="1:6" x14ac:dyDescent="0.2">
      <c r="A667" s="145">
        <v>226102</v>
      </c>
      <c r="B667" s="145" t="str">
        <f t="shared" si="109"/>
        <v>22610200</v>
      </c>
      <c r="C667" s="186" t="s">
        <v>3595</v>
      </c>
      <c r="D667" s="2320" t="s">
        <v>3516</v>
      </c>
    </row>
    <row r="668" spans="1:6" x14ac:dyDescent="0.2">
      <c r="A668" s="145">
        <v>226103</v>
      </c>
      <c r="B668" s="145" t="str">
        <f t="shared" si="109"/>
        <v>22610300</v>
      </c>
      <c r="C668" s="186" t="s">
        <v>3596</v>
      </c>
      <c r="D668" s="2320" t="s">
        <v>3597</v>
      </c>
    </row>
    <row r="669" spans="1:6" x14ac:dyDescent="0.2">
      <c r="A669" s="2300">
        <v>226104</v>
      </c>
      <c r="B669" s="145" t="str">
        <f t="shared" si="109"/>
        <v>22610400</v>
      </c>
      <c r="C669" s="186" t="s">
        <v>3598</v>
      </c>
      <c r="D669" s="2320" t="s">
        <v>3514</v>
      </c>
    </row>
    <row r="670" spans="1:6" x14ac:dyDescent="0.2">
      <c r="A670" s="145">
        <v>226105</v>
      </c>
      <c r="B670" s="145" t="str">
        <f t="shared" si="109"/>
        <v>22610500</v>
      </c>
      <c r="C670" s="186" t="s">
        <v>3599</v>
      </c>
      <c r="D670" s="2320" t="s">
        <v>3171</v>
      </c>
    </row>
    <row r="671" spans="1:6" x14ac:dyDescent="0.2">
      <c r="A671" s="145">
        <v>226106</v>
      </c>
      <c r="B671" s="145" t="str">
        <f t="shared" si="109"/>
        <v>22610600</v>
      </c>
      <c r="C671" s="186" t="s">
        <v>3600</v>
      </c>
      <c r="D671" s="2320" t="s">
        <v>3031</v>
      </c>
    </row>
    <row r="672" spans="1:6" x14ac:dyDescent="0.2">
      <c r="A672" s="145">
        <v>226110</v>
      </c>
      <c r="B672" s="145" t="str">
        <f t="shared" si="109"/>
        <v>22611000</v>
      </c>
      <c r="C672" s="186" t="s">
        <v>3601</v>
      </c>
      <c r="D672" s="2320"/>
    </row>
    <row r="673" spans="1:5" x14ac:dyDescent="0.2">
      <c r="A673" s="145">
        <v>226120</v>
      </c>
      <c r="B673" s="145" t="str">
        <f t="shared" si="109"/>
        <v>22612000</v>
      </c>
      <c r="C673" s="186" t="s">
        <v>3602</v>
      </c>
      <c r="D673" s="2320" t="s">
        <v>3603</v>
      </c>
    </row>
    <row r="674" spans="1:5" x14ac:dyDescent="0.2">
      <c r="A674" s="145">
        <v>226140</v>
      </c>
      <c r="B674" s="145" t="str">
        <f t="shared" si="109"/>
        <v>22614000</v>
      </c>
      <c r="C674" s="186" t="s">
        <v>3604</v>
      </c>
      <c r="D674" s="2320"/>
    </row>
    <row r="675" spans="1:5" x14ac:dyDescent="0.2">
      <c r="A675" s="866" t="s">
        <v>3605</v>
      </c>
      <c r="B675" s="2411"/>
      <c r="C675" s="2131"/>
      <c r="D675" s="905" t="s">
        <v>2940</v>
      </c>
      <c r="E675" s="2300" t="s">
        <v>2517</v>
      </c>
    </row>
    <row r="676" spans="1:5" x14ac:dyDescent="0.2">
      <c r="A676" s="2300">
        <v>226220</v>
      </c>
      <c r="B676" s="145" t="str">
        <f t="shared" ref="B676" si="110">+A676&amp;"00"</f>
        <v>22622000</v>
      </c>
      <c r="C676" s="186" t="s">
        <v>3522</v>
      </c>
      <c r="D676" s="2320" t="s">
        <v>3606</v>
      </c>
    </row>
    <row r="677" spans="1:5" x14ac:dyDescent="0.2">
      <c r="A677" s="866" t="s">
        <v>2815</v>
      </c>
      <c r="B677" s="2411"/>
      <c r="C677" s="2131"/>
      <c r="D677" s="905" t="s">
        <v>2940</v>
      </c>
      <c r="E677" s="145">
        <v>2070</v>
      </c>
    </row>
    <row r="678" spans="1:5" x14ac:dyDescent="0.2">
      <c r="A678" s="145">
        <v>227120</v>
      </c>
      <c r="B678" s="145" t="str">
        <f t="shared" ref="B678:B683" si="111">+A678&amp;"00"</f>
        <v>22712000</v>
      </c>
      <c r="C678" s="186" t="s">
        <v>3607</v>
      </c>
      <c r="D678" s="2320"/>
    </row>
    <row r="679" spans="1:5" x14ac:dyDescent="0.2">
      <c r="A679" s="145">
        <v>227130</v>
      </c>
      <c r="B679" s="145" t="str">
        <f t="shared" si="111"/>
        <v>22713000</v>
      </c>
      <c r="C679" s="186" t="s">
        <v>3524</v>
      </c>
      <c r="D679" s="2320"/>
    </row>
    <row r="680" spans="1:5" x14ac:dyDescent="0.2">
      <c r="A680" s="145">
        <v>227140</v>
      </c>
      <c r="B680" s="145" t="str">
        <f t="shared" si="111"/>
        <v>22714000</v>
      </c>
      <c r="C680" s="186" t="s">
        <v>3608</v>
      </c>
      <c r="D680" s="2320"/>
    </row>
    <row r="681" spans="1:5" ht="25.5" customHeight="1" x14ac:dyDescent="0.2">
      <c r="A681" s="145">
        <v>227150</v>
      </c>
      <c r="B681" s="145" t="str">
        <f t="shared" si="111"/>
        <v>22715000</v>
      </c>
      <c r="C681" s="186" t="s">
        <v>3526</v>
      </c>
      <c r="D681" s="2320"/>
    </row>
    <row r="682" spans="1:5" x14ac:dyDescent="0.2">
      <c r="A682" s="145">
        <v>227160</v>
      </c>
      <c r="B682" s="145" t="str">
        <f t="shared" si="111"/>
        <v>22716000</v>
      </c>
      <c r="C682" s="186" t="s">
        <v>3609</v>
      </c>
      <c r="D682" s="2320"/>
    </row>
    <row r="683" spans="1:5" ht="25.5" customHeight="1" x14ac:dyDescent="0.2">
      <c r="A683" s="145">
        <v>227170</v>
      </c>
      <c r="B683" s="145" t="str">
        <f t="shared" si="111"/>
        <v>22717000</v>
      </c>
      <c r="C683" s="186" t="s">
        <v>3610</v>
      </c>
      <c r="D683" s="2320"/>
    </row>
    <row r="684" spans="1:5" x14ac:dyDescent="0.2">
      <c r="A684" s="780" t="s">
        <v>2816</v>
      </c>
      <c r="B684" s="2411"/>
      <c r="C684" s="2131"/>
      <c r="D684" s="905" t="s">
        <v>2940</v>
      </c>
      <c r="E684" s="145">
        <v>2080</v>
      </c>
    </row>
    <row r="685" spans="1:5" x14ac:dyDescent="0.2">
      <c r="A685" s="145">
        <v>227190</v>
      </c>
      <c r="B685" s="145" t="str">
        <f t="shared" ref="B685:B692" si="112">+A685&amp;"00"</f>
        <v>22719000</v>
      </c>
      <c r="C685" s="186" t="s">
        <v>3528</v>
      </c>
      <c r="D685" s="2320"/>
    </row>
    <row r="686" spans="1:5" x14ac:dyDescent="0.2">
      <c r="A686" s="145">
        <v>227191</v>
      </c>
      <c r="B686" s="145" t="str">
        <f t="shared" si="112"/>
        <v>22719100</v>
      </c>
      <c r="C686" s="186" t="s">
        <v>3611</v>
      </c>
      <c r="D686" s="2320"/>
    </row>
    <row r="687" spans="1:5" x14ac:dyDescent="0.2">
      <c r="A687" s="780" t="s">
        <v>3529</v>
      </c>
      <c r="B687" s="2411"/>
      <c r="C687" s="2131"/>
      <c r="D687" s="905" t="s">
        <v>3612</v>
      </c>
      <c r="E687" s="145">
        <v>2060</v>
      </c>
    </row>
    <row r="688" spans="1:5" ht="22.5" x14ac:dyDescent="0.2">
      <c r="A688" s="1027">
        <v>221400</v>
      </c>
      <c r="B688" s="145" t="str">
        <f t="shared" si="112"/>
        <v>22140000</v>
      </c>
      <c r="C688" s="186" t="s">
        <v>3531</v>
      </c>
      <c r="D688" s="901" t="s">
        <v>3613</v>
      </c>
    </row>
    <row r="689" spans="1:5" x14ac:dyDescent="0.2">
      <c r="A689" s="780" t="s">
        <v>3614</v>
      </c>
      <c r="B689" s="2411"/>
      <c r="C689" s="2131"/>
      <c r="D689" s="905" t="s">
        <v>3533</v>
      </c>
      <c r="E689" s="145">
        <v>2061</v>
      </c>
    </row>
    <row r="690" spans="1:5" ht="22.5" x14ac:dyDescent="0.2">
      <c r="A690" s="1027">
        <v>221990</v>
      </c>
      <c r="B690" s="145" t="str">
        <f t="shared" si="112"/>
        <v>22199000</v>
      </c>
      <c r="C690" s="186" t="s">
        <v>3615</v>
      </c>
      <c r="D690" s="901" t="s">
        <v>3616</v>
      </c>
    </row>
    <row r="691" spans="1:5" x14ac:dyDescent="0.2">
      <c r="A691" s="780" t="s">
        <v>3536</v>
      </c>
      <c r="B691" s="2411"/>
      <c r="C691" s="2131"/>
      <c r="D691" s="905" t="s">
        <v>2940</v>
      </c>
      <c r="E691" s="145">
        <v>2045</v>
      </c>
    </row>
    <row r="692" spans="1:5" ht="22.5" x14ac:dyDescent="0.2">
      <c r="A692" s="1027">
        <v>221915</v>
      </c>
      <c r="B692" s="145" t="str">
        <f t="shared" si="112"/>
        <v>22191500</v>
      </c>
      <c r="C692" s="186" t="s">
        <v>3537</v>
      </c>
      <c r="D692" s="901" t="s">
        <v>3585</v>
      </c>
    </row>
    <row r="693" spans="1:5" x14ac:dyDescent="0.2">
      <c r="A693" s="866" t="s">
        <v>3538</v>
      </c>
      <c r="B693" s="2411"/>
      <c r="C693" s="2131"/>
      <c r="D693" s="905" t="s">
        <v>2940</v>
      </c>
      <c r="E693" s="2300">
        <v>2046</v>
      </c>
    </row>
    <row r="694" spans="1:5" x14ac:dyDescent="0.2">
      <c r="A694" s="866" t="s">
        <v>3617</v>
      </c>
      <c r="B694" s="2411"/>
      <c r="C694" s="2131"/>
      <c r="D694" s="2320"/>
    </row>
    <row r="695" spans="1:5" x14ac:dyDescent="0.2">
      <c r="A695" s="2300">
        <v>221918</v>
      </c>
      <c r="B695" s="145" t="str">
        <f t="shared" ref="B695" si="113">+A695&amp;"00"</f>
        <v>22191800</v>
      </c>
      <c r="C695" s="186" t="s">
        <v>3618</v>
      </c>
      <c r="D695" s="906" t="s">
        <v>3619</v>
      </c>
    </row>
    <row r="696" spans="1:5" x14ac:dyDescent="0.2">
      <c r="A696" s="780" t="s">
        <v>3542</v>
      </c>
      <c r="B696" s="2411"/>
      <c r="C696" s="2131"/>
      <c r="D696" s="905" t="s">
        <v>2940</v>
      </c>
      <c r="E696" s="145">
        <v>2085</v>
      </c>
    </row>
    <row r="697" spans="1:5" ht="22.5" x14ac:dyDescent="0.2">
      <c r="A697" s="145">
        <v>221919</v>
      </c>
      <c r="B697" s="145" t="str">
        <f t="shared" ref="B697" si="114">+A697&amp;"00"</f>
        <v>22191900</v>
      </c>
      <c r="C697" s="186" t="s">
        <v>3620</v>
      </c>
      <c r="D697" s="901" t="s">
        <v>3585</v>
      </c>
    </row>
    <row r="698" spans="1:5" x14ac:dyDescent="0.2">
      <c r="D698" s="2320" t="s">
        <v>3544</v>
      </c>
    </row>
    <row r="699" spans="1:5" x14ac:dyDescent="0.2">
      <c r="A699" s="780" t="s">
        <v>3621</v>
      </c>
      <c r="B699" s="2411"/>
      <c r="C699" s="2131"/>
      <c r="D699" s="905" t="s">
        <v>2940</v>
      </c>
      <c r="E699" s="145">
        <v>2087</v>
      </c>
    </row>
    <row r="700" spans="1:5" ht="22.5" x14ac:dyDescent="0.2">
      <c r="A700" s="145">
        <v>221925</v>
      </c>
      <c r="B700" s="145" t="str">
        <f t="shared" ref="B700" si="115">+A700&amp;"00"</f>
        <v>22192500</v>
      </c>
      <c r="C700" s="186" t="s">
        <v>3622</v>
      </c>
      <c r="D700" s="901" t="s">
        <v>3585</v>
      </c>
    </row>
    <row r="701" spans="1:5" x14ac:dyDescent="0.2">
      <c r="D701" s="2320" t="s">
        <v>3547</v>
      </c>
    </row>
    <row r="702" spans="1:5" x14ac:dyDescent="0.2">
      <c r="A702" s="866" t="s">
        <v>3548</v>
      </c>
      <c r="B702" s="2411"/>
      <c r="C702" s="2131"/>
      <c r="D702" s="905" t="s">
        <v>2940</v>
      </c>
      <c r="E702" s="145">
        <v>2090</v>
      </c>
    </row>
    <row r="703" spans="1:5" ht="22.5" x14ac:dyDescent="0.2">
      <c r="A703" s="145">
        <v>221920</v>
      </c>
      <c r="B703" s="145" t="str">
        <f t="shared" ref="B703:B709" si="116">+A703&amp;"00"</f>
        <v>22192000</v>
      </c>
      <c r="C703" s="186" t="s">
        <v>3549</v>
      </c>
      <c r="D703" s="901" t="s">
        <v>3585</v>
      </c>
    </row>
    <row r="704" spans="1:5" s="1" customFormat="1" x14ac:dyDescent="0.2">
      <c r="A704" s="866" t="s">
        <v>2812</v>
      </c>
      <c r="B704" s="2129"/>
      <c r="C704" s="2433"/>
      <c r="D704" s="1105"/>
      <c r="E704" s="2287"/>
    </row>
    <row r="705" spans="1:5" x14ac:dyDescent="0.2">
      <c r="A705" s="2300">
        <v>228110</v>
      </c>
      <c r="B705" s="145" t="str">
        <f t="shared" si="116"/>
        <v>22811000</v>
      </c>
      <c r="C705" s="186" t="s">
        <v>3623</v>
      </c>
      <c r="D705" s="901" t="s">
        <v>3624</v>
      </c>
    </row>
    <row r="706" spans="1:5" x14ac:dyDescent="0.2">
      <c r="A706" s="866" t="s">
        <v>1072</v>
      </c>
      <c r="B706" s="2411"/>
      <c r="C706" s="2131"/>
      <c r="D706" s="905" t="s">
        <v>3625</v>
      </c>
      <c r="E706" s="145">
        <v>2098</v>
      </c>
    </row>
    <row r="707" spans="1:5" ht="22.5" x14ac:dyDescent="0.2">
      <c r="A707" s="2300">
        <v>229150</v>
      </c>
      <c r="B707" s="145" t="str">
        <f t="shared" si="116"/>
        <v>22915000</v>
      </c>
      <c r="C707" s="186" t="s">
        <v>3626</v>
      </c>
      <c r="D707" s="901" t="s">
        <v>3627</v>
      </c>
    </row>
    <row r="708" spans="1:5" x14ac:dyDescent="0.2">
      <c r="A708" s="866" t="s">
        <v>1073</v>
      </c>
      <c r="B708" s="2411"/>
      <c r="C708" s="2131"/>
      <c r="D708" s="905" t="s">
        <v>3628</v>
      </c>
      <c r="E708" s="145">
        <v>2099</v>
      </c>
    </row>
    <row r="709" spans="1:5" ht="22.5" x14ac:dyDescent="0.2">
      <c r="A709" s="2300">
        <v>229160</v>
      </c>
      <c r="B709" s="145" t="str">
        <f t="shared" si="116"/>
        <v>22916000</v>
      </c>
      <c r="C709" s="186" t="s">
        <v>3629</v>
      </c>
      <c r="D709" s="901" t="s">
        <v>3630</v>
      </c>
    </row>
    <row r="710" spans="1:5" x14ac:dyDescent="0.2">
      <c r="A710" s="869" t="s">
        <v>3631</v>
      </c>
      <c r="B710" s="2132"/>
      <c r="C710" s="2133"/>
      <c r="D710" s="901"/>
    </row>
    <row r="711" spans="1:5" x14ac:dyDescent="0.2">
      <c r="A711" s="868" t="s">
        <v>3632</v>
      </c>
      <c r="B711" s="2312"/>
      <c r="C711" s="2134"/>
      <c r="D711" s="901"/>
    </row>
    <row r="712" spans="1:5" x14ac:dyDescent="0.2">
      <c r="A712" s="866" t="s">
        <v>1996</v>
      </c>
      <c r="B712" s="2411"/>
      <c r="C712" s="2131"/>
      <c r="D712" s="2320" t="s">
        <v>3633</v>
      </c>
    </row>
    <row r="713" spans="1:5" x14ac:dyDescent="0.2">
      <c r="A713" s="1778" t="s">
        <v>3634</v>
      </c>
      <c r="D713" s="905" t="s">
        <v>2940</v>
      </c>
      <c r="E713" s="145">
        <v>1764</v>
      </c>
    </row>
    <row r="714" spans="1:5" x14ac:dyDescent="0.2">
      <c r="A714" s="2300">
        <v>229201</v>
      </c>
      <c r="B714" s="2343">
        <v>71100003</v>
      </c>
      <c r="C714" s="186" t="s">
        <v>3635</v>
      </c>
      <c r="D714" s="2320" t="s">
        <v>3636</v>
      </c>
    </row>
    <row r="715" spans="1:5" x14ac:dyDescent="0.2">
      <c r="A715" s="866" t="s">
        <v>3637</v>
      </c>
      <c r="B715" s="2201"/>
      <c r="C715" s="2131"/>
      <c r="D715" s="905" t="s">
        <v>2940</v>
      </c>
      <c r="E715" s="145">
        <v>2026</v>
      </c>
    </row>
    <row r="716" spans="1:5" x14ac:dyDescent="0.2">
      <c r="A716" s="2300">
        <v>229202</v>
      </c>
      <c r="B716" s="2343">
        <v>71100004</v>
      </c>
      <c r="C716" s="2304" t="s">
        <v>3638</v>
      </c>
      <c r="D716" s="2320" t="s">
        <v>3639</v>
      </c>
    </row>
    <row r="717" spans="1:5" x14ac:dyDescent="0.2">
      <c r="A717" s="866" t="s">
        <v>3640</v>
      </c>
      <c r="B717" s="2201"/>
      <c r="C717" s="2131"/>
      <c r="D717" s="907" t="s">
        <v>3641</v>
      </c>
      <c r="E717" s="145">
        <v>1766</v>
      </c>
    </row>
    <row r="718" spans="1:5" x14ac:dyDescent="0.2">
      <c r="A718" s="2300">
        <v>229203</v>
      </c>
      <c r="B718" s="145">
        <v>71100005</v>
      </c>
      <c r="C718" s="186" t="s">
        <v>3642</v>
      </c>
      <c r="D718" s="2320" t="s">
        <v>3643</v>
      </c>
    </row>
    <row r="719" spans="1:5" x14ac:dyDescent="0.2">
      <c r="A719" s="866" t="s">
        <v>3644</v>
      </c>
      <c r="B719" s="2411"/>
      <c r="C719" s="2131"/>
      <c r="D719" s="907" t="s">
        <v>3641</v>
      </c>
      <c r="E719" s="145">
        <v>1768</v>
      </c>
    </row>
    <row r="720" spans="1:5" x14ac:dyDescent="0.2">
      <c r="A720" s="2300">
        <v>229204</v>
      </c>
      <c r="B720" s="145">
        <v>71100006</v>
      </c>
      <c r="C720" s="186" t="s">
        <v>3645</v>
      </c>
      <c r="D720" s="2320" t="s">
        <v>3646</v>
      </c>
    </row>
    <row r="721" spans="1:5" x14ac:dyDescent="0.2">
      <c r="A721" s="866" t="s">
        <v>3647</v>
      </c>
      <c r="B721" s="2411"/>
      <c r="C721" s="2131"/>
      <c r="D721" s="907" t="s">
        <v>3641</v>
      </c>
      <c r="E721" s="145">
        <v>1765</v>
      </c>
    </row>
    <row r="722" spans="1:5" x14ac:dyDescent="0.2">
      <c r="A722" s="2300">
        <v>229206</v>
      </c>
      <c r="B722" s="145">
        <v>71100008</v>
      </c>
      <c r="C722" s="186" t="s">
        <v>2224</v>
      </c>
      <c r="D722" s="2320" t="s">
        <v>3646</v>
      </c>
    </row>
    <row r="723" spans="1:5" x14ac:dyDescent="0.2">
      <c r="A723" s="780" t="s">
        <v>3648</v>
      </c>
      <c r="B723" s="2411"/>
      <c r="C723" s="2131"/>
      <c r="D723" s="907" t="s">
        <v>3649</v>
      </c>
      <c r="E723" s="145">
        <v>1767</v>
      </c>
    </row>
    <row r="724" spans="1:5" x14ac:dyDescent="0.2">
      <c r="A724" s="2300">
        <v>229210</v>
      </c>
      <c r="B724" s="145">
        <v>71100010</v>
      </c>
      <c r="C724" s="186" t="s">
        <v>3650</v>
      </c>
      <c r="D724" s="2320" t="s">
        <v>3518</v>
      </c>
    </row>
    <row r="725" spans="1:5" x14ac:dyDescent="0.2">
      <c r="A725" s="866" t="s">
        <v>3651</v>
      </c>
      <c r="B725" s="2411"/>
      <c r="C725" s="2131"/>
      <c r="D725" s="1106" t="s">
        <v>3652</v>
      </c>
      <c r="E725" s="145">
        <v>1771</v>
      </c>
    </row>
    <row r="726" spans="1:5" x14ac:dyDescent="0.2">
      <c r="A726" s="2300">
        <v>229220</v>
      </c>
      <c r="B726" s="145">
        <v>71100011</v>
      </c>
      <c r="C726" s="186" t="s">
        <v>3653</v>
      </c>
      <c r="D726" s="2320" t="s">
        <v>3146</v>
      </c>
    </row>
    <row r="727" spans="1:5" x14ac:dyDescent="0.2">
      <c r="A727" s="866" t="s">
        <v>3654</v>
      </c>
      <c r="B727" s="2411"/>
      <c r="C727" s="2131"/>
      <c r="D727" s="1106" t="s">
        <v>3652</v>
      </c>
      <c r="E727" s="145">
        <v>1772</v>
      </c>
    </row>
    <row r="728" spans="1:5" x14ac:dyDescent="0.2">
      <c r="A728" s="2300">
        <v>229207</v>
      </c>
      <c r="B728" s="145">
        <v>71100009</v>
      </c>
      <c r="C728" s="186" t="s">
        <v>3655</v>
      </c>
      <c r="D728" s="2320" t="s">
        <v>3146</v>
      </c>
    </row>
    <row r="729" spans="1:5" x14ac:dyDescent="0.2">
      <c r="A729" s="780" t="s">
        <v>3656</v>
      </c>
      <c r="B729" s="2411"/>
      <c r="C729" s="2131"/>
      <c r="D729" s="907" t="s">
        <v>3641</v>
      </c>
      <c r="E729" s="145">
        <v>1769</v>
      </c>
    </row>
    <row r="730" spans="1:5" x14ac:dyDescent="0.2">
      <c r="A730" s="2300">
        <v>229205</v>
      </c>
      <c r="B730" s="145">
        <v>71100007</v>
      </c>
      <c r="C730" s="186" t="s">
        <v>3657</v>
      </c>
      <c r="D730" s="2320" t="s">
        <v>3646</v>
      </c>
    </row>
    <row r="731" spans="1:5" x14ac:dyDescent="0.2">
      <c r="A731" s="780" t="s">
        <v>3658</v>
      </c>
      <c r="B731" s="2411"/>
      <c r="C731" s="2131"/>
      <c r="D731" s="2320"/>
    </row>
    <row r="732" spans="1:5" x14ac:dyDescent="0.2">
      <c r="A732" s="2300">
        <v>229208</v>
      </c>
      <c r="B732" s="145">
        <v>71100012</v>
      </c>
      <c r="C732" s="186" t="s">
        <v>3659</v>
      </c>
      <c r="D732" s="2320" t="s">
        <v>3660</v>
      </c>
    </row>
    <row r="733" spans="1:5" x14ac:dyDescent="0.2">
      <c r="A733" s="1" t="s">
        <v>3661</v>
      </c>
      <c r="D733" s="2320"/>
    </row>
    <row r="734" spans="1:5" x14ac:dyDescent="0.2">
      <c r="A734" s="780" t="s">
        <v>3662</v>
      </c>
      <c r="B734" s="2411"/>
      <c r="C734" s="2131"/>
      <c r="D734" s="905" t="s">
        <v>3340</v>
      </c>
      <c r="E734" s="2300" t="s">
        <v>2517</v>
      </c>
    </row>
    <row r="735" spans="1:5" x14ac:dyDescent="0.2">
      <c r="A735"/>
      <c r="D735" s="2320"/>
    </row>
    <row r="736" spans="1:5" x14ac:dyDescent="0.2">
      <c r="A736" s="780" t="s">
        <v>3663</v>
      </c>
      <c r="B736" s="2411"/>
      <c r="C736" s="2131"/>
      <c r="D736" s="905" t="s">
        <v>2940</v>
      </c>
      <c r="E736" s="2300" t="s">
        <v>2517</v>
      </c>
    </row>
    <row r="737" spans="1:5" x14ac:dyDescent="0.2">
      <c r="A737" s="145">
        <v>212191</v>
      </c>
      <c r="B737" s="145" t="str">
        <f t="shared" ref="B737:B745" si="117">+A737&amp;"00"</f>
        <v>21219100</v>
      </c>
      <c r="C737" s="186" t="s">
        <v>3664</v>
      </c>
      <c r="D737" s="2320" t="s">
        <v>3343</v>
      </c>
    </row>
    <row r="738" spans="1:5" x14ac:dyDescent="0.2">
      <c r="A738" s="145">
        <v>212192</v>
      </c>
      <c r="B738" s="145" t="str">
        <f t="shared" si="117"/>
        <v>21219200</v>
      </c>
      <c r="C738" s="186" t="s">
        <v>3665</v>
      </c>
      <c r="D738" s="2320" t="s">
        <v>3343</v>
      </c>
    </row>
    <row r="739" spans="1:5" x14ac:dyDescent="0.2">
      <c r="A739" s="145">
        <v>212193</v>
      </c>
      <c r="B739" s="145" t="str">
        <f t="shared" si="117"/>
        <v>21219300</v>
      </c>
      <c r="C739" s="186" t="s">
        <v>3666</v>
      </c>
      <c r="D739" s="2320" t="s">
        <v>3343</v>
      </c>
    </row>
    <row r="740" spans="1:5" x14ac:dyDescent="0.2">
      <c r="A740" s="145">
        <v>212194</v>
      </c>
      <c r="B740" s="145" t="str">
        <f t="shared" si="117"/>
        <v>21219400</v>
      </c>
      <c r="C740" s="186" t="s">
        <v>3667</v>
      </c>
      <c r="D740" s="2320" t="s">
        <v>3343</v>
      </c>
    </row>
    <row r="741" spans="1:5" x14ac:dyDescent="0.2">
      <c r="A741" s="145">
        <v>212195</v>
      </c>
      <c r="B741" s="145" t="str">
        <f t="shared" si="117"/>
        <v>21219500</v>
      </c>
      <c r="C741" s="186" t="s">
        <v>3668</v>
      </c>
      <c r="D741" s="2320" t="s">
        <v>3343</v>
      </c>
    </row>
    <row r="742" spans="1:5" x14ac:dyDescent="0.2">
      <c r="A742" s="145">
        <v>212196</v>
      </c>
      <c r="B742" s="145" t="str">
        <f t="shared" si="117"/>
        <v>21219600</v>
      </c>
      <c r="C742" s="186" t="s">
        <v>3669</v>
      </c>
      <c r="D742" s="2320" t="s">
        <v>3343</v>
      </c>
    </row>
    <row r="743" spans="1:5" x14ac:dyDescent="0.2">
      <c r="A743" s="145">
        <v>212197</v>
      </c>
      <c r="B743" s="145" t="str">
        <f t="shared" si="117"/>
        <v>21219700</v>
      </c>
      <c r="C743" s="186" t="s">
        <v>3670</v>
      </c>
      <c r="D743" s="2320" t="s">
        <v>3343</v>
      </c>
    </row>
    <row r="744" spans="1:5" x14ac:dyDescent="0.2">
      <c r="A744" s="145">
        <v>212198</v>
      </c>
      <c r="B744" s="145" t="str">
        <f t="shared" si="117"/>
        <v>21219800</v>
      </c>
      <c r="C744" s="186" t="s">
        <v>3671</v>
      </c>
      <c r="D744" s="2320" t="s">
        <v>3343</v>
      </c>
    </row>
    <row r="745" spans="1:5" x14ac:dyDescent="0.2">
      <c r="A745" s="145">
        <v>212199</v>
      </c>
      <c r="B745" s="145" t="str">
        <f t="shared" si="117"/>
        <v>21219900</v>
      </c>
      <c r="C745" s="186" t="s">
        <v>3672</v>
      </c>
      <c r="D745" s="2320" t="s">
        <v>3343</v>
      </c>
    </row>
    <row r="746" spans="1:5" x14ac:dyDescent="0.2">
      <c r="A746" s="780" t="s">
        <v>3673</v>
      </c>
      <c r="B746" s="2411"/>
      <c r="C746" s="2131"/>
      <c r="D746" s="905" t="s">
        <v>3353</v>
      </c>
      <c r="E746" s="2300" t="s">
        <v>2517</v>
      </c>
    </row>
    <row r="747" spans="1:5" x14ac:dyDescent="0.2">
      <c r="A747" s="2300">
        <v>211370</v>
      </c>
      <c r="B747" s="145" t="str">
        <f t="shared" ref="B747:B774" si="118">+A747&amp;"00"</f>
        <v>21137000</v>
      </c>
      <c r="C747" s="186" t="s">
        <v>3674</v>
      </c>
      <c r="D747" s="2320" t="s">
        <v>3031</v>
      </c>
    </row>
    <row r="748" spans="1:5" x14ac:dyDescent="0.2">
      <c r="A748" s="145">
        <v>211600</v>
      </c>
      <c r="B748" s="145" t="str">
        <f t="shared" si="118"/>
        <v>21160000</v>
      </c>
      <c r="C748" s="186" t="s">
        <v>3675</v>
      </c>
      <c r="D748" s="2320"/>
    </row>
    <row r="749" spans="1:5" x14ac:dyDescent="0.2">
      <c r="A749" s="145">
        <v>211999</v>
      </c>
      <c r="B749" s="145">
        <v>21381000</v>
      </c>
      <c r="C749" s="186" t="s">
        <v>3676</v>
      </c>
      <c r="D749" s="2320" t="s">
        <v>3677</v>
      </c>
    </row>
    <row r="750" spans="1:5" x14ac:dyDescent="0.2">
      <c r="A750" s="145">
        <v>212290</v>
      </c>
      <c r="B750" s="2300" t="s">
        <v>2517</v>
      </c>
      <c r="C750" s="186" t="s">
        <v>3678</v>
      </c>
      <c r="D750" s="2320" t="s">
        <v>3357</v>
      </c>
    </row>
    <row r="751" spans="1:5" x14ac:dyDescent="0.2">
      <c r="A751" s="145">
        <v>212291</v>
      </c>
      <c r="B751" s="2300" t="s">
        <v>2517</v>
      </c>
      <c r="C751" s="186" t="s">
        <v>3679</v>
      </c>
      <c r="D751" s="2320"/>
    </row>
    <row r="752" spans="1:5" x14ac:dyDescent="0.2">
      <c r="A752" s="145">
        <v>212292</v>
      </c>
      <c r="B752" s="2300" t="s">
        <v>2517</v>
      </c>
      <c r="C752" s="186" t="s">
        <v>3680</v>
      </c>
      <c r="D752" s="2320"/>
    </row>
    <row r="753" spans="1:4" x14ac:dyDescent="0.2">
      <c r="A753" s="145">
        <v>212293</v>
      </c>
      <c r="B753" s="2300" t="s">
        <v>2517</v>
      </c>
      <c r="C753" s="186" t="s">
        <v>3681</v>
      </c>
      <c r="D753" s="2320"/>
    </row>
    <row r="754" spans="1:4" x14ac:dyDescent="0.2">
      <c r="A754" s="145">
        <v>212294</v>
      </c>
      <c r="B754" s="2300" t="s">
        <v>2517</v>
      </c>
      <c r="C754" s="186" t="s">
        <v>3682</v>
      </c>
      <c r="D754" s="2320"/>
    </row>
    <row r="755" spans="1:4" x14ac:dyDescent="0.2">
      <c r="A755" s="145">
        <v>212295</v>
      </c>
      <c r="B755" s="2300" t="s">
        <v>2517</v>
      </c>
      <c r="C755" s="186" t="s">
        <v>3683</v>
      </c>
      <c r="D755" s="2320"/>
    </row>
    <row r="756" spans="1:4" x14ac:dyDescent="0.2">
      <c r="A756" s="145">
        <v>212296</v>
      </c>
      <c r="B756" s="2300" t="s">
        <v>2517</v>
      </c>
      <c r="C756" s="186" t="s">
        <v>3684</v>
      </c>
      <c r="D756" s="2320"/>
    </row>
    <row r="757" spans="1:4" x14ac:dyDescent="0.2">
      <c r="A757" s="145">
        <v>212297</v>
      </c>
      <c r="B757" s="2300" t="s">
        <v>2517</v>
      </c>
      <c r="C757" s="186" t="s">
        <v>3685</v>
      </c>
      <c r="D757" s="2320"/>
    </row>
    <row r="758" spans="1:4" x14ac:dyDescent="0.2">
      <c r="A758" s="145">
        <v>212298</v>
      </c>
      <c r="B758" s="2300" t="s">
        <v>2517</v>
      </c>
      <c r="C758" s="186" t="s">
        <v>3686</v>
      </c>
      <c r="D758" s="2320"/>
    </row>
    <row r="759" spans="1:4" x14ac:dyDescent="0.2">
      <c r="A759" s="145">
        <v>212299</v>
      </c>
      <c r="B759" s="2300" t="s">
        <v>2517</v>
      </c>
      <c r="C759" s="186" t="s">
        <v>3687</v>
      </c>
      <c r="D759" s="2320"/>
    </row>
    <row r="760" spans="1:4" x14ac:dyDescent="0.2">
      <c r="A760" s="145">
        <v>212312</v>
      </c>
      <c r="B760" s="2300" t="s">
        <v>2517</v>
      </c>
      <c r="C760" s="186" t="s">
        <v>3688</v>
      </c>
      <c r="D760" s="2320"/>
    </row>
    <row r="761" spans="1:4" x14ac:dyDescent="0.2">
      <c r="A761" s="145">
        <v>212316</v>
      </c>
      <c r="B761" s="2300" t="s">
        <v>2517</v>
      </c>
      <c r="C761" s="186" t="s">
        <v>3689</v>
      </c>
      <c r="D761" s="2320"/>
    </row>
    <row r="762" spans="1:4" x14ac:dyDescent="0.2">
      <c r="A762" s="145">
        <v>212317</v>
      </c>
      <c r="B762" s="2300" t="s">
        <v>2517</v>
      </c>
      <c r="C762" s="186" t="s">
        <v>3690</v>
      </c>
      <c r="D762" s="2320"/>
    </row>
    <row r="763" spans="1:4" x14ac:dyDescent="0.2">
      <c r="A763" s="145">
        <v>212412</v>
      </c>
      <c r="B763" s="2300" t="s">
        <v>2517</v>
      </c>
      <c r="C763" s="186" t="s">
        <v>3691</v>
      </c>
      <c r="D763" s="2320"/>
    </row>
    <row r="764" spans="1:4" x14ac:dyDescent="0.2">
      <c r="A764" s="145">
        <v>212416</v>
      </c>
      <c r="B764" s="2300" t="s">
        <v>2517</v>
      </c>
      <c r="C764" s="186" t="s">
        <v>3692</v>
      </c>
      <c r="D764" s="2320"/>
    </row>
    <row r="765" spans="1:4" x14ac:dyDescent="0.2">
      <c r="A765" s="145">
        <v>212417</v>
      </c>
      <c r="B765" s="2300" t="s">
        <v>2517</v>
      </c>
      <c r="C765" s="186" t="s">
        <v>3693</v>
      </c>
      <c r="D765" s="2320"/>
    </row>
    <row r="766" spans="1:4" x14ac:dyDescent="0.2">
      <c r="A766" s="145">
        <v>215110</v>
      </c>
      <c r="B766" s="145">
        <v>21511000</v>
      </c>
      <c r="C766" s="186" t="s">
        <v>3694</v>
      </c>
      <c r="D766" s="2320"/>
    </row>
    <row r="767" spans="1:4" x14ac:dyDescent="0.2">
      <c r="A767" s="145">
        <v>215120</v>
      </c>
      <c r="B767" s="145" t="str">
        <f t="shared" si="118"/>
        <v>21512000</v>
      </c>
      <c r="C767" s="186" t="s">
        <v>3695</v>
      </c>
      <c r="D767" s="2320"/>
    </row>
    <row r="768" spans="1:4" x14ac:dyDescent="0.2">
      <c r="A768" s="145">
        <v>216110</v>
      </c>
      <c r="B768" s="2300" t="s">
        <v>2517</v>
      </c>
      <c r="C768" s="186" t="s">
        <v>3696</v>
      </c>
      <c r="D768" s="2320" t="s">
        <v>3697</v>
      </c>
    </row>
    <row r="769" spans="1:4" x14ac:dyDescent="0.2">
      <c r="A769" s="145">
        <v>216120</v>
      </c>
      <c r="B769" s="2300" t="s">
        <v>2517</v>
      </c>
      <c r="C769" s="186" t="s">
        <v>3698</v>
      </c>
      <c r="D769" s="2320" t="s">
        <v>3699</v>
      </c>
    </row>
    <row r="770" spans="1:4" x14ac:dyDescent="0.2">
      <c r="A770" s="145">
        <v>216130</v>
      </c>
      <c r="B770" s="2300" t="s">
        <v>2517</v>
      </c>
      <c r="C770" s="186" t="s">
        <v>3700</v>
      </c>
      <c r="D770" s="2320" t="s">
        <v>3701</v>
      </c>
    </row>
    <row r="771" spans="1:4" x14ac:dyDescent="0.2">
      <c r="A771" s="145">
        <v>216140</v>
      </c>
      <c r="B771" s="145" t="s">
        <v>3702</v>
      </c>
      <c r="C771" s="186" t="s">
        <v>3703</v>
      </c>
      <c r="D771" s="2320"/>
    </row>
    <row r="772" spans="1:4" x14ac:dyDescent="0.2">
      <c r="A772" s="2300">
        <v>216150</v>
      </c>
      <c r="B772" s="2300" t="s">
        <v>2517</v>
      </c>
      <c r="C772" s="186" t="s">
        <v>3704</v>
      </c>
      <c r="D772" s="2320" t="s">
        <v>3701</v>
      </c>
    </row>
    <row r="773" spans="1:4" x14ac:dyDescent="0.2">
      <c r="A773" s="145">
        <v>216160</v>
      </c>
      <c r="B773" s="2300" t="s">
        <v>2517</v>
      </c>
      <c r="C773" s="186" t="s">
        <v>3705</v>
      </c>
      <c r="D773" s="2320" t="s">
        <v>3701</v>
      </c>
    </row>
    <row r="774" spans="1:4" x14ac:dyDescent="0.2">
      <c r="A774" s="145">
        <v>217180</v>
      </c>
      <c r="B774" s="145" t="str">
        <f t="shared" si="118"/>
        <v>21718000</v>
      </c>
      <c r="C774" s="186" t="s">
        <v>3706</v>
      </c>
      <c r="D774" s="2320" t="s">
        <v>3707</v>
      </c>
    </row>
    <row r="775" spans="1:4" x14ac:dyDescent="0.2">
      <c r="A775" s="145">
        <v>217191</v>
      </c>
      <c r="B775" s="2300" t="s">
        <v>2517</v>
      </c>
      <c r="C775" s="186" t="s">
        <v>3611</v>
      </c>
      <c r="D775" s="2320" t="s">
        <v>3708</v>
      </c>
    </row>
    <row r="776" spans="1:4" x14ac:dyDescent="0.2">
      <c r="A776" s="145">
        <v>218120</v>
      </c>
      <c r="B776" s="2300" t="s">
        <v>2517</v>
      </c>
      <c r="C776" s="186" t="s">
        <v>3709</v>
      </c>
      <c r="D776" s="2320" t="s">
        <v>3710</v>
      </c>
    </row>
    <row r="777" spans="1:4" x14ac:dyDescent="0.2">
      <c r="A777" s="145">
        <v>218200</v>
      </c>
      <c r="B777" s="2300" t="s">
        <v>2517</v>
      </c>
      <c r="C777" s="186" t="s">
        <v>3711</v>
      </c>
      <c r="D777" s="2320" t="s">
        <v>3712</v>
      </c>
    </row>
    <row r="778" spans="1:4" x14ac:dyDescent="0.2">
      <c r="A778" s="145">
        <v>219000</v>
      </c>
      <c r="B778" s="2300" t="s">
        <v>2517</v>
      </c>
      <c r="C778" s="186" t="s">
        <v>3713</v>
      </c>
      <c r="D778" s="910" t="s">
        <v>3402</v>
      </c>
    </row>
    <row r="779" spans="1:4" x14ac:dyDescent="0.2">
      <c r="A779" s="2300">
        <v>219201</v>
      </c>
      <c r="B779" s="2300" t="s">
        <v>2517</v>
      </c>
      <c r="C779" s="186" t="s">
        <v>3714</v>
      </c>
      <c r="D779" s="2320" t="s">
        <v>3715</v>
      </c>
    </row>
    <row r="780" spans="1:4" x14ac:dyDescent="0.2">
      <c r="A780" s="145">
        <v>222312</v>
      </c>
      <c r="B780" s="2300" t="s">
        <v>2517</v>
      </c>
      <c r="C780" s="186" t="s">
        <v>3716</v>
      </c>
      <c r="D780" s="2320" t="s">
        <v>3717</v>
      </c>
    </row>
    <row r="781" spans="1:4" x14ac:dyDescent="0.2">
      <c r="A781" s="145">
        <v>222316</v>
      </c>
      <c r="B781" s="2300" t="s">
        <v>2517</v>
      </c>
      <c r="C781" s="186" t="s">
        <v>3718</v>
      </c>
      <c r="D781" s="2320" t="s">
        <v>3717</v>
      </c>
    </row>
    <row r="782" spans="1:4" x14ac:dyDescent="0.2">
      <c r="A782" s="145">
        <v>222317</v>
      </c>
      <c r="B782" s="2300" t="s">
        <v>2517</v>
      </c>
      <c r="C782" s="186" t="s">
        <v>3382</v>
      </c>
      <c r="D782" s="2320" t="s">
        <v>3717</v>
      </c>
    </row>
    <row r="783" spans="1:4" x14ac:dyDescent="0.2">
      <c r="A783" s="145">
        <v>226130</v>
      </c>
      <c r="B783" s="2300" t="s">
        <v>2517</v>
      </c>
      <c r="C783" s="186" t="s">
        <v>3719</v>
      </c>
      <c r="D783" s="2320" t="s">
        <v>3712</v>
      </c>
    </row>
    <row r="784" spans="1:4" x14ac:dyDescent="0.2">
      <c r="A784" s="145">
        <v>229000</v>
      </c>
      <c r="B784" s="2300" t="s">
        <v>2517</v>
      </c>
      <c r="C784" s="186" t="s">
        <v>3720</v>
      </c>
      <c r="D784" s="910" t="s">
        <v>3402</v>
      </c>
    </row>
    <row r="785" spans="1:5" x14ac:dyDescent="0.2">
      <c r="A785" s="866" t="s">
        <v>3403</v>
      </c>
      <c r="B785" s="2411"/>
      <c r="C785" s="2131"/>
      <c r="D785" s="905" t="s">
        <v>3721</v>
      </c>
      <c r="E785" s="2300" t="s">
        <v>2517</v>
      </c>
    </row>
    <row r="786" spans="1:5" x14ac:dyDescent="0.2">
      <c r="A786" s="145">
        <v>211240</v>
      </c>
      <c r="B786" s="145" t="str">
        <f t="shared" ref="B786:B794" si="119">+A786&amp;"00"</f>
        <v>21124000</v>
      </c>
      <c r="C786" s="186" t="s">
        <v>3722</v>
      </c>
      <c r="D786" s="2320"/>
    </row>
    <row r="787" spans="1:5" x14ac:dyDescent="0.2">
      <c r="A787" s="145">
        <v>211250</v>
      </c>
      <c r="B787" s="145" t="str">
        <f t="shared" si="119"/>
        <v>21125000</v>
      </c>
      <c r="C787" s="186" t="s">
        <v>3723</v>
      </c>
      <c r="D787" s="2320"/>
    </row>
    <row r="788" spans="1:5" x14ac:dyDescent="0.2">
      <c r="A788" s="145">
        <v>211255</v>
      </c>
      <c r="B788" s="145" t="str">
        <f t="shared" si="119"/>
        <v>21125500</v>
      </c>
      <c r="C788" s="186" t="s">
        <v>3724</v>
      </c>
      <c r="D788" s="2320" t="s">
        <v>3425</v>
      </c>
    </row>
    <row r="789" spans="1:5" x14ac:dyDescent="0.2">
      <c r="A789" s="145">
        <v>211260</v>
      </c>
      <c r="B789" s="145" t="str">
        <f t="shared" si="119"/>
        <v>21126000</v>
      </c>
      <c r="C789" s="186" t="s">
        <v>3725</v>
      </c>
      <c r="D789" s="2320"/>
    </row>
    <row r="790" spans="1:5" x14ac:dyDescent="0.2">
      <c r="A790" s="145">
        <v>211270</v>
      </c>
      <c r="B790" s="145" t="str">
        <f t="shared" si="119"/>
        <v>21127000</v>
      </c>
      <c r="C790" s="186" t="s">
        <v>3726</v>
      </c>
      <c r="D790" s="2320"/>
    </row>
    <row r="791" spans="1:5" x14ac:dyDescent="0.2">
      <c r="A791" s="145">
        <v>211280</v>
      </c>
      <c r="B791" s="145" t="str">
        <f t="shared" si="119"/>
        <v>21128000</v>
      </c>
      <c r="C791" s="186" t="s">
        <v>3727</v>
      </c>
      <c r="D791" s="2320"/>
    </row>
    <row r="792" spans="1:5" x14ac:dyDescent="0.2">
      <c r="A792" s="145">
        <v>211930</v>
      </c>
      <c r="B792" s="145" t="str">
        <f t="shared" si="119"/>
        <v>21193000</v>
      </c>
      <c r="C792" s="186" t="s">
        <v>3728</v>
      </c>
      <c r="D792" s="2320"/>
    </row>
    <row r="793" spans="1:5" x14ac:dyDescent="0.2">
      <c r="A793" s="145">
        <v>211970</v>
      </c>
      <c r="B793" s="145" t="str">
        <f t="shared" si="119"/>
        <v>21197000</v>
      </c>
      <c r="C793" s="186" t="s">
        <v>3729</v>
      </c>
      <c r="D793" s="2320"/>
    </row>
    <row r="794" spans="1:5" x14ac:dyDescent="0.2">
      <c r="A794" s="145">
        <v>211971</v>
      </c>
      <c r="B794" s="145" t="str">
        <f t="shared" si="119"/>
        <v>21197100</v>
      </c>
      <c r="C794" s="186" t="s">
        <v>3730</v>
      </c>
      <c r="D794" s="2320"/>
    </row>
    <row r="795" spans="1:5" x14ac:dyDescent="0.2">
      <c r="A795" s="145" t="s">
        <v>3731</v>
      </c>
      <c r="B795" s="145" t="s">
        <v>3732</v>
      </c>
      <c r="C795" s="186" t="s">
        <v>3733</v>
      </c>
      <c r="D795" s="2320"/>
    </row>
    <row r="796" spans="1:5" x14ac:dyDescent="0.2">
      <c r="A796" s="866" t="s">
        <v>3734</v>
      </c>
      <c r="B796" s="2411"/>
      <c r="C796" s="2131"/>
      <c r="D796" s="905" t="s">
        <v>2940</v>
      </c>
      <c r="E796" s="2300" t="s">
        <v>2517</v>
      </c>
    </row>
    <row r="797" spans="1:5" x14ac:dyDescent="0.2">
      <c r="A797" s="2300">
        <v>330000</v>
      </c>
      <c r="B797" s="145">
        <v>32000000</v>
      </c>
      <c r="C797" s="186" t="s">
        <v>3734</v>
      </c>
      <c r="D797" s="2320" t="s">
        <v>3735</v>
      </c>
    </row>
    <row r="798" spans="1:5" x14ac:dyDescent="0.2">
      <c r="A798" s="866" t="s">
        <v>3736</v>
      </c>
      <c r="B798" s="2411"/>
      <c r="C798" s="2131"/>
      <c r="D798" s="905" t="s">
        <v>3737</v>
      </c>
      <c r="E798" s="2300" t="s">
        <v>2517</v>
      </c>
    </row>
    <row r="799" spans="1:5" x14ac:dyDescent="0.2">
      <c r="A799" s="2300">
        <v>330001</v>
      </c>
      <c r="B799" s="145">
        <v>32000100</v>
      </c>
      <c r="C799" s="186" t="s">
        <v>3738</v>
      </c>
      <c r="D799" s="2320" t="s">
        <v>3735</v>
      </c>
    </row>
    <row r="800" spans="1:5" x14ac:dyDescent="0.2">
      <c r="A800" s="866" t="s">
        <v>3739</v>
      </c>
      <c r="B800" s="2411"/>
      <c r="C800" s="2131"/>
      <c r="D800" s="905" t="s">
        <v>2940</v>
      </c>
      <c r="E800" s="2300" t="s">
        <v>2517</v>
      </c>
    </row>
    <row r="801" spans="1:5" x14ac:dyDescent="0.2">
      <c r="A801" s="145">
        <v>399998</v>
      </c>
      <c r="B801" s="145">
        <v>39999800</v>
      </c>
      <c r="C801" s="186" t="s">
        <v>3740</v>
      </c>
      <c r="D801" s="2320"/>
    </row>
    <row r="802" spans="1:5" x14ac:dyDescent="0.2">
      <c r="A802" s="145">
        <v>399999</v>
      </c>
      <c r="B802" s="2300" t="s">
        <v>2517</v>
      </c>
      <c r="C802" s="186" t="s">
        <v>3741</v>
      </c>
      <c r="D802" s="2320"/>
    </row>
    <row r="803" spans="1:5" x14ac:dyDescent="0.2">
      <c r="A803" s="1" t="s">
        <v>3742</v>
      </c>
      <c r="D803" s="2320"/>
    </row>
    <row r="804" spans="1:5" x14ac:dyDescent="0.2">
      <c r="A804" s="866" t="s">
        <v>3743</v>
      </c>
      <c r="B804" s="2411"/>
      <c r="C804" s="2131"/>
      <c r="D804" s="905" t="s">
        <v>2940</v>
      </c>
      <c r="E804" s="2300" t="s">
        <v>2517</v>
      </c>
    </row>
    <row r="805" spans="1:5" x14ac:dyDescent="0.2">
      <c r="A805" s="145">
        <v>390000</v>
      </c>
      <c r="B805" s="2300" t="s">
        <v>2517</v>
      </c>
      <c r="C805" s="186" t="s">
        <v>3744</v>
      </c>
      <c r="D805" s="2320" t="s">
        <v>3745</v>
      </c>
    </row>
    <row r="806" spans="1:5" x14ac:dyDescent="0.2">
      <c r="A806" s="145">
        <v>999999</v>
      </c>
      <c r="B806" s="2300" t="s">
        <v>2517</v>
      </c>
      <c r="C806" s="186" t="s">
        <v>3746</v>
      </c>
      <c r="D806" s="2320" t="s">
        <v>3745</v>
      </c>
    </row>
    <row r="807" spans="1:5" x14ac:dyDescent="0.2">
      <c r="A807" s="145">
        <v>9999999</v>
      </c>
      <c r="B807" s="2300" t="s">
        <v>2517</v>
      </c>
      <c r="C807" s="186" t="s">
        <v>3747</v>
      </c>
      <c r="D807" s="2320" t="s">
        <v>3745</v>
      </c>
    </row>
    <row r="808" spans="1:5" x14ac:dyDescent="0.2">
      <c r="A808" s="866" t="s">
        <v>3748</v>
      </c>
      <c r="B808" s="2411"/>
      <c r="C808" s="2131"/>
      <c r="D808" s="905" t="s">
        <v>3737</v>
      </c>
      <c r="E808" s="2300" t="s">
        <v>2517</v>
      </c>
    </row>
    <row r="809" spans="1:5" x14ac:dyDescent="0.2">
      <c r="A809" s="145">
        <v>310000</v>
      </c>
      <c r="B809" s="2300" t="s">
        <v>2517</v>
      </c>
      <c r="C809" s="186" t="s">
        <v>3749</v>
      </c>
      <c r="D809" s="2320"/>
    </row>
    <row r="810" spans="1:5" x14ac:dyDescent="0.2">
      <c r="A810" s="145">
        <v>311000</v>
      </c>
      <c r="B810" s="2300" t="s">
        <v>2517</v>
      </c>
      <c r="C810" s="186" t="s">
        <v>3750</v>
      </c>
      <c r="D810" s="2320"/>
    </row>
    <row r="811" spans="1:5" x14ac:dyDescent="0.2">
      <c r="A811" s="145">
        <v>320000</v>
      </c>
      <c r="B811" s="145" t="str">
        <f t="shared" ref="B811:B857" si="120">+A811&amp;"00"</f>
        <v>32000000</v>
      </c>
      <c r="C811" s="186" t="s">
        <v>3751</v>
      </c>
      <c r="D811" s="2320"/>
    </row>
    <row r="812" spans="1:5" x14ac:dyDescent="0.2">
      <c r="A812" s="145">
        <v>320001</v>
      </c>
      <c r="B812" s="2300" t="s">
        <v>2517</v>
      </c>
      <c r="C812" s="186" t="s">
        <v>3752</v>
      </c>
      <c r="D812" s="2320"/>
    </row>
    <row r="813" spans="1:5" x14ac:dyDescent="0.2">
      <c r="A813" s="2300" t="s">
        <v>3753</v>
      </c>
      <c r="B813" s="2300" t="s">
        <v>2517</v>
      </c>
      <c r="C813" s="186" t="s">
        <v>3754</v>
      </c>
      <c r="D813" s="2320"/>
    </row>
    <row r="814" spans="1:5" x14ac:dyDescent="0.2">
      <c r="A814" s="145">
        <v>321101</v>
      </c>
      <c r="B814" s="145" t="str">
        <f t="shared" si="120"/>
        <v>32110100</v>
      </c>
      <c r="C814" s="186" t="s">
        <v>3755</v>
      </c>
      <c r="D814" s="2320"/>
    </row>
    <row r="815" spans="1:5" x14ac:dyDescent="0.2">
      <c r="A815" s="145">
        <v>321102</v>
      </c>
      <c r="B815" s="145" t="str">
        <f t="shared" si="120"/>
        <v>32110200</v>
      </c>
      <c r="C815" s="186" t="s">
        <v>3756</v>
      </c>
      <c r="D815" s="2320"/>
    </row>
    <row r="816" spans="1:5" x14ac:dyDescent="0.2">
      <c r="A816" s="145">
        <v>321103</v>
      </c>
      <c r="B816" s="2300" t="s">
        <v>2517</v>
      </c>
      <c r="C816" s="186" t="s">
        <v>3757</v>
      </c>
      <c r="D816" s="2320"/>
    </row>
    <row r="817" spans="1:4" x14ac:dyDescent="0.2">
      <c r="A817" s="145">
        <v>321104</v>
      </c>
      <c r="B817" s="2300" t="s">
        <v>2517</v>
      </c>
      <c r="C817" s="186" t="s">
        <v>3758</v>
      </c>
      <c r="D817" s="2320"/>
    </row>
    <row r="818" spans="1:4" x14ac:dyDescent="0.2">
      <c r="A818" s="145">
        <v>321105</v>
      </c>
      <c r="B818" s="2300" t="s">
        <v>2517</v>
      </c>
      <c r="C818" s="186" t="s">
        <v>3759</v>
      </c>
      <c r="D818" s="2320"/>
    </row>
    <row r="819" spans="1:4" x14ac:dyDescent="0.2">
      <c r="A819" s="145">
        <v>321106</v>
      </c>
      <c r="B819" s="2300" t="s">
        <v>2517</v>
      </c>
      <c r="C819" s="186" t="s">
        <v>3760</v>
      </c>
      <c r="D819" s="2320"/>
    </row>
    <row r="820" spans="1:4" x14ac:dyDescent="0.2">
      <c r="A820" s="145">
        <v>321107</v>
      </c>
      <c r="B820" s="2300" t="s">
        <v>2517</v>
      </c>
      <c r="C820" s="186" t="s">
        <v>3761</v>
      </c>
      <c r="D820" s="2320"/>
    </row>
    <row r="821" spans="1:4" x14ac:dyDescent="0.2">
      <c r="A821" s="145">
        <v>321108</v>
      </c>
      <c r="B821" s="2300" t="s">
        <v>2517</v>
      </c>
      <c r="C821" s="186" t="s">
        <v>3762</v>
      </c>
      <c r="D821" s="2320"/>
    </row>
    <row r="822" spans="1:4" x14ac:dyDescent="0.2">
      <c r="A822" s="145">
        <v>321109</v>
      </c>
      <c r="B822" s="2300" t="s">
        <v>2517</v>
      </c>
      <c r="C822" s="186" t="s">
        <v>3763</v>
      </c>
      <c r="D822" s="2320"/>
    </row>
    <row r="823" spans="1:4" x14ac:dyDescent="0.2">
      <c r="A823" s="145">
        <v>321110</v>
      </c>
      <c r="B823" s="2300" t="s">
        <v>2517</v>
      </c>
      <c r="C823" s="186" t="s">
        <v>3764</v>
      </c>
      <c r="D823" s="2320"/>
    </row>
    <row r="824" spans="1:4" x14ac:dyDescent="0.2">
      <c r="A824" s="145">
        <v>321111</v>
      </c>
      <c r="B824" s="2300" t="s">
        <v>2517</v>
      </c>
      <c r="C824" s="186" t="s">
        <v>3765</v>
      </c>
      <c r="D824" s="2320"/>
    </row>
    <row r="825" spans="1:4" x14ac:dyDescent="0.2">
      <c r="A825" s="145">
        <v>321112</v>
      </c>
      <c r="B825" s="2300" t="s">
        <v>2517</v>
      </c>
      <c r="C825" s="186" t="s">
        <v>3766</v>
      </c>
      <c r="D825" s="2320"/>
    </row>
    <row r="826" spans="1:4" x14ac:dyDescent="0.2">
      <c r="A826" s="145">
        <v>321113</v>
      </c>
      <c r="B826" s="2300" t="s">
        <v>2517</v>
      </c>
      <c r="C826" s="186" t="s">
        <v>3767</v>
      </c>
      <c r="D826" s="2320"/>
    </row>
    <row r="827" spans="1:4" x14ac:dyDescent="0.2">
      <c r="A827" s="145">
        <v>321114</v>
      </c>
      <c r="B827" s="2300" t="s">
        <v>2517</v>
      </c>
      <c r="C827" s="186" t="s">
        <v>3768</v>
      </c>
      <c r="D827" s="2320"/>
    </row>
    <row r="828" spans="1:4" x14ac:dyDescent="0.2">
      <c r="A828" s="145">
        <v>321115</v>
      </c>
      <c r="B828" s="2300" t="s">
        <v>2517</v>
      </c>
      <c r="C828" s="186" t="s">
        <v>3769</v>
      </c>
      <c r="D828" s="2320"/>
    </row>
    <row r="829" spans="1:4" x14ac:dyDescent="0.2">
      <c r="A829" s="145">
        <v>321116</v>
      </c>
      <c r="B829" s="2300" t="s">
        <v>2517</v>
      </c>
      <c r="C829" s="186" t="s">
        <v>3770</v>
      </c>
      <c r="D829" s="2320"/>
    </row>
    <row r="830" spans="1:4" x14ac:dyDescent="0.2">
      <c r="A830" s="145">
        <v>321117</v>
      </c>
      <c r="B830" s="2300" t="s">
        <v>2517</v>
      </c>
      <c r="C830" s="186" t="s">
        <v>3771</v>
      </c>
      <c r="D830" s="2320"/>
    </row>
    <row r="831" spans="1:4" x14ac:dyDescent="0.2">
      <c r="A831" s="145">
        <v>321118</v>
      </c>
      <c r="B831" s="2300" t="s">
        <v>2517</v>
      </c>
      <c r="C831" s="186" t="s">
        <v>3772</v>
      </c>
      <c r="D831" s="2320"/>
    </row>
    <row r="832" spans="1:4" x14ac:dyDescent="0.2">
      <c r="A832" s="145">
        <v>321119</v>
      </c>
      <c r="B832" s="2300" t="s">
        <v>2517</v>
      </c>
      <c r="C832" s="186" t="s">
        <v>3773</v>
      </c>
      <c r="D832" s="2320"/>
    </row>
    <row r="833" spans="1:4" x14ac:dyDescent="0.2">
      <c r="A833" s="145">
        <v>321120</v>
      </c>
      <c r="B833" s="2300" t="s">
        <v>2517</v>
      </c>
      <c r="C833" s="186" t="s">
        <v>3774</v>
      </c>
      <c r="D833" s="2320"/>
    </row>
    <row r="834" spans="1:4" x14ac:dyDescent="0.2">
      <c r="A834" s="145">
        <v>321121</v>
      </c>
      <c r="B834" s="2300" t="s">
        <v>2517</v>
      </c>
      <c r="C834" s="186" t="s">
        <v>3775</v>
      </c>
      <c r="D834" s="2320"/>
    </row>
    <row r="835" spans="1:4" x14ac:dyDescent="0.2">
      <c r="A835" s="145">
        <v>321122</v>
      </c>
      <c r="B835" s="2300" t="s">
        <v>2517</v>
      </c>
      <c r="C835" s="186" t="s">
        <v>3776</v>
      </c>
      <c r="D835" s="2320"/>
    </row>
    <row r="836" spans="1:4" x14ac:dyDescent="0.2">
      <c r="A836" s="145">
        <v>321123</v>
      </c>
      <c r="B836" s="2300" t="s">
        <v>2517</v>
      </c>
      <c r="C836" s="186" t="s">
        <v>3777</v>
      </c>
      <c r="D836" s="2320"/>
    </row>
    <row r="837" spans="1:4" x14ac:dyDescent="0.2">
      <c r="A837" s="145">
        <v>321124</v>
      </c>
      <c r="B837" s="2300" t="s">
        <v>2517</v>
      </c>
      <c r="C837" s="186" t="s">
        <v>3778</v>
      </c>
      <c r="D837" s="2320"/>
    </row>
    <row r="838" spans="1:4" x14ac:dyDescent="0.2">
      <c r="A838" s="145">
        <v>321125</v>
      </c>
      <c r="B838" s="2300" t="s">
        <v>2517</v>
      </c>
      <c r="C838" s="186" t="s">
        <v>3779</v>
      </c>
      <c r="D838" s="2320"/>
    </row>
    <row r="839" spans="1:4" x14ac:dyDescent="0.2">
      <c r="A839" s="145">
        <v>321126</v>
      </c>
      <c r="B839" s="2300" t="s">
        <v>2517</v>
      </c>
      <c r="C839" s="186" t="s">
        <v>3780</v>
      </c>
      <c r="D839" s="2320"/>
    </row>
    <row r="840" spans="1:4" x14ac:dyDescent="0.2">
      <c r="A840" s="145">
        <v>321127</v>
      </c>
      <c r="B840" s="2300" t="s">
        <v>2517</v>
      </c>
      <c r="C840" s="186" t="s">
        <v>3781</v>
      </c>
      <c r="D840" s="2320"/>
    </row>
    <row r="841" spans="1:4" x14ac:dyDescent="0.2">
      <c r="A841" s="145">
        <v>321128</v>
      </c>
      <c r="B841" s="2300" t="s">
        <v>2517</v>
      </c>
      <c r="C841" s="186" t="s">
        <v>3782</v>
      </c>
      <c r="D841" s="2320"/>
    </row>
    <row r="842" spans="1:4" x14ac:dyDescent="0.2">
      <c r="A842" s="145">
        <v>321129</v>
      </c>
      <c r="B842" s="2300" t="s">
        <v>2517</v>
      </c>
      <c r="C842" s="186" t="s">
        <v>3783</v>
      </c>
      <c r="D842" s="2320"/>
    </row>
    <row r="843" spans="1:4" x14ac:dyDescent="0.2">
      <c r="A843" s="145">
        <v>321130</v>
      </c>
      <c r="B843" s="2300" t="s">
        <v>2517</v>
      </c>
      <c r="C843" s="186" t="s">
        <v>3784</v>
      </c>
      <c r="D843" s="2320"/>
    </row>
    <row r="844" spans="1:4" x14ac:dyDescent="0.2">
      <c r="A844" s="145">
        <v>321131</v>
      </c>
      <c r="B844" s="2300" t="s">
        <v>2517</v>
      </c>
      <c r="C844" s="186" t="s">
        <v>3785</v>
      </c>
      <c r="D844" s="2320"/>
    </row>
    <row r="845" spans="1:4" x14ac:dyDescent="0.2">
      <c r="A845" s="145">
        <v>321132</v>
      </c>
      <c r="B845" s="2300" t="s">
        <v>2517</v>
      </c>
      <c r="C845" s="186" t="s">
        <v>3786</v>
      </c>
      <c r="D845" s="2320"/>
    </row>
    <row r="846" spans="1:4" x14ac:dyDescent="0.2">
      <c r="A846" s="145">
        <v>321133</v>
      </c>
      <c r="B846" s="2300" t="s">
        <v>2517</v>
      </c>
      <c r="C846" s="186" t="s">
        <v>3787</v>
      </c>
      <c r="D846" s="2320"/>
    </row>
    <row r="847" spans="1:4" x14ac:dyDescent="0.2">
      <c r="A847" s="145">
        <v>321134</v>
      </c>
      <c r="B847" s="2300" t="s">
        <v>2517</v>
      </c>
      <c r="C847" s="186" t="s">
        <v>3788</v>
      </c>
      <c r="D847" s="2320"/>
    </row>
    <row r="848" spans="1:4" x14ac:dyDescent="0.2">
      <c r="A848" s="145">
        <v>321135</v>
      </c>
      <c r="B848" s="2300" t="s">
        <v>2517</v>
      </c>
      <c r="C848" s="186" t="s">
        <v>3789</v>
      </c>
      <c r="D848" s="2320"/>
    </row>
    <row r="849" spans="1:4" x14ac:dyDescent="0.2">
      <c r="A849" s="145">
        <v>321137</v>
      </c>
      <c r="B849" s="2300" t="s">
        <v>2517</v>
      </c>
      <c r="C849" s="186" t="s">
        <v>3790</v>
      </c>
      <c r="D849" s="2320"/>
    </row>
    <row r="850" spans="1:4" x14ac:dyDescent="0.2">
      <c r="A850" s="145">
        <v>321138</v>
      </c>
      <c r="B850" s="2300" t="s">
        <v>2517</v>
      </c>
      <c r="C850" s="186" t="s">
        <v>3791</v>
      </c>
      <c r="D850" s="2320"/>
    </row>
    <row r="851" spans="1:4" x14ac:dyDescent="0.2">
      <c r="A851" s="145">
        <v>321139</v>
      </c>
      <c r="B851" s="2300" t="s">
        <v>2517</v>
      </c>
      <c r="C851" s="186" t="s">
        <v>3792</v>
      </c>
      <c r="D851" s="2320"/>
    </row>
    <row r="852" spans="1:4" x14ac:dyDescent="0.2">
      <c r="A852" s="145">
        <v>321140</v>
      </c>
      <c r="B852" s="2300" t="s">
        <v>2517</v>
      </c>
      <c r="C852" s="186" t="s">
        <v>3793</v>
      </c>
      <c r="D852" s="2320"/>
    </row>
    <row r="853" spans="1:4" x14ac:dyDescent="0.2">
      <c r="A853" s="145">
        <v>321141</v>
      </c>
      <c r="B853" s="2300" t="s">
        <v>2517</v>
      </c>
      <c r="C853" s="186" t="s">
        <v>3794</v>
      </c>
      <c r="D853" s="2320"/>
    </row>
    <row r="854" spans="1:4" x14ac:dyDescent="0.2">
      <c r="A854" s="145">
        <v>321142</v>
      </c>
      <c r="B854" s="2300" t="s">
        <v>2517</v>
      </c>
      <c r="C854" s="186" t="s">
        <v>3795</v>
      </c>
      <c r="D854" s="2320"/>
    </row>
    <row r="855" spans="1:4" x14ac:dyDescent="0.2">
      <c r="A855" s="145">
        <v>321190</v>
      </c>
      <c r="B855" s="2300" t="s">
        <v>2517</v>
      </c>
      <c r="C855" s="186" t="s">
        <v>3796</v>
      </c>
      <c r="D855" s="2320"/>
    </row>
    <row r="856" spans="1:4" x14ac:dyDescent="0.2">
      <c r="A856" s="145">
        <v>321198</v>
      </c>
      <c r="B856" s="145" t="str">
        <f t="shared" si="120"/>
        <v>32119800</v>
      </c>
      <c r="C856" s="186" t="s">
        <v>3797</v>
      </c>
      <c r="D856" s="2320"/>
    </row>
    <row r="857" spans="1:4" x14ac:dyDescent="0.2">
      <c r="A857" s="145">
        <v>321199</v>
      </c>
      <c r="B857" s="145" t="str">
        <f t="shared" si="120"/>
        <v>32119900</v>
      </c>
      <c r="C857" s="186" t="s">
        <v>3798</v>
      </c>
      <c r="D857" s="2320"/>
    </row>
    <row r="858" spans="1:4" x14ac:dyDescent="0.2">
      <c r="A858" s="145">
        <v>322100</v>
      </c>
      <c r="B858" s="2300" t="s">
        <v>2517</v>
      </c>
      <c r="C858" s="186" t="s">
        <v>3799</v>
      </c>
      <c r="D858" s="2320"/>
    </row>
    <row r="859" spans="1:4" x14ac:dyDescent="0.2">
      <c r="A859" s="145">
        <v>322101</v>
      </c>
      <c r="B859" s="2300" t="s">
        <v>2517</v>
      </c>
      <c r="C859" s="186" t="s">
        <v>3800</v>
      </c>
      <c r="D859" s="2320"/>
    </row>
    <row r="860" spans="1:4" x14ac:dyDescent="0.2">
      <c r="A860" s="145">
        <v>322102</v>
      </c>
      <c r="B860" s="2300" t="s">
        <v>2517</v>
      </c>
      <c r="C860" s="186" t="s">
        <v>3801</v>
      </c>
      <c r="D860" s="2320"/>
    </row>
    <row r="861" spans="1:4" x14ac:dyDescent="0.2">
      <c r="A861" s="145">
        <v>322103</v>
      </c>
      <c r="B861" s="2300" t="s">
        <v>2517</v>
      </c>
      <c r="C861" s="186" t="s">
        <v>3802</v>
      </c>
      <c r="D861" s="2320"/>
    </row>
    <row r="862" spans="1:4" x14ac:dyDescent="0.2">
      <c r="A862" s="145">
        <v>322104</v>
      </c>
      <c r="B862" s="2300" t="s">
        <v>2517</v>
      </c>
      <c r="C862" s="186" t="s">
        <v>3803</v>
      </c>
      <c r="D862" s="2320"/>
    </row>
    <row r="863" spans="1:4" x14ac:dyDescent="0.2">
      <c r="A863" s="145">
        <v>322105</v>
      </c>
      <c r="B863" s="2300" t="s">
        <v>2517</v>
      </c>
      <c r="C863" s="186" t="s">
        <v>3804</v>
      </c>
      <c r="D863" s="2320"/>
    </row>
    <row r="864" spans="1:4" x14ac:dyDescent="0.2">
      <c r="A864" s="145">
        <v>322106</v>
      </c>
      <c r="B864" s="2300" t="s">
        <v>2517</v>
      </c>
      <c r="C864" s="186" t="s">
        <v>3805</v>
      </c>
      <c r="D864" s="2320"/>
    </row>
    <row r="865" spans="1:4" x14ac:dyDescent="0.2">
      <c r="A865" s="145">
        <v>322107</v>
      </c>
      <c r="B865" s="2300" t="s">
        <v>2517</v>
      </c>
      <c r="C865" s="186" t="s">
        <v>3806</v>
      </c>
      <c r="D865" s="2320"/>
    </row>
    <row r="866" spans="1:4" x14ac:dyDescent="0.2">
      <c r="A866" s="145">
        <v>322108</v>
      </c>
      <c r="B866" s="2300" t="s">
        <v>2517</v>
      </c>
      <c r="C866" s="186" t="s">
        <v>3807</v>
      </c>
      <c r="D866" s="2320"/>
    </row>
    <row r="867" spans="1:4" x14ac:dyDescent="0.2">
      <c r="A867" s="145">
        <v>322109</v>
      </c>
      <c r="B867" s="2300" t="s">
        <v>2517</v>
      </c>
      <c r="C867" s="186" t="s">
        <v>3808</v>
      </c>
      <c r="D867" s="2320"/>
    </row>
    <row r="868" spans="1:4" x14ac:dyDescent="0.2">
      <c r="A868" s="145">
        <v>322110</v>
      </c>
      <c r="B868" s="2300" t="s">
        <v>2517</v>
      </c>
      <c r="C868" s="186" t="s">
        <v>3809</v>
      </c>
      <c r="D868" s="2320"/>
    </row>
    <row r="869" spans="1:4" x14ac:dyDescent="0.2">
      <c r="A869" s="145">
        <v>322190</v>
      </c>
      <c r="B869" s="2300" t="s">
        <v>2517</v>
      </c>
      <c r="C869" s="186" t="s">
        <v>3810</v>
      </c>
      <c r="D869" s="2320"/>
    </row>
    <row r="870" spans="1:4" x14ac:dyDescent="0.2">
      <c r="A870" s="145">
        <v>323110</v>
      </c>
      <c r="B870" s="2300" t="s">
        <v>2517</v>
      </c>
      <c r="C870" s="186" t="s">
        <v>3811</v>
      </c>
      <c r="D870" s="2320"/>
    </row>
    <row r="871" spans="1:4" x14ac:dyDescent="0.2">
      <c r="A871" s="145">
        <v>323120</v>
      </c>
      <c r="B871" s="2300" t="s">
        <v>2517</v>
      </c>
      <c r="C871" s="186" t="s">
        <v>3812</v>
      </c>
      <c r="D871" s="2320"/>
    </row>
    <row r="872" spans="1:4" x14ac:dyDescent="0.2">
      <c r="A872" s="145">
        <v>323130</v>
      </c>
      <c r="B872" s="2300" t="s">
        <v>2517</v>
      </c>
      <c r="C872" s="186" t="s">
        <v>3813</v>
      </c>
      <c r="D872" s="2320"/>
    </row>
    <row r="873" spans="1:4" x14ac:dyDescent="0.2">
      <c r="A873" s="145">
        <v>323201</v>
      </c>
      <c r="B873" s="2300" t="s">
        <v>2517</v>
      </c>
      <c r="C873" s="186" t="s">
        <v>3814</v>
      </c>
      <c r="D873" s="2320"/>
    </row>
    <row r="874" spans="1:4" x14ac:dyDescent="0.2">
      <c r="A874" s="145">
        <v>323202</v>
      </c>
      <c r="B874" s="2300" t="s">
        <v>2517</v>
      </c>
      <c r="C874" s="186" t="s">
        <v>3815</v>
      </c>
      <c r="D874" s="2320"/>
    </row>
    <row r="875" spans="1:4" x14ac:dyDescent="0.2">
      <c r="A875" s="145">
        <v>323203</v>
      </c>
      <c r="B875" s="2300" t="s">
        <v>2517</v>
      </c>
      <c r="C875" s="186" t="s">
        <v>3816</v>
      </c>
      <c r="D875" s="2320"/>
    </row>
    <row r="876" spans="1:4" x14ac:dyDescent="0.2">
      <c r="A876" s="145">
        <v>323204</v>
      </c>
      <c r="B876" s="2300" t="s">
        <v>2517</v>
      </c>
      <c r="C876" s="186" t="s">
        <v>3817</v>
      </c>
      <c r="D876" s="2320"/>
    </row>
    <row r="877" spans="1:4" x14ac:dyDescent="0.2">
      <c r="A877" s="145">
        <v>323205</v>
      </c>
      <c r="B877" s="2300" t="s">
        <v>2517</v>
      </c>
      <c r="C877" s="186" t="s">
        <v>3818</v>
      </c>
      <c r="D877" s="2320"/>
    </row>
    <row r="878" spans="1:4" x14ac:dyDescent="0.2">
      <c r="A878" s="145">
        <v>323206</v>
      </c>
      <c r="B878" s="2300" t="s">
        <v>2517</v>
      </c>
      <c r="C878" s="186" t="s">
        <v>3819</v>
      </c>
      <c r="D878" s="2320"/>
    </row>
    <row r="879" spans="1:4" x14ac:dyDescent="0.2">
      <c r="A879" s="145">
        <v>323207</v>
      </c>
      <c r="B879" s="2300" t="s">
        <v>2517</v>
      </c>
      <c r="C879" s="186" t="s">
        <v>3820</v>
      </c>
      <c r="D879" s="2320"/>
    </row>
    <row r="880" spans="1:4" x14ac:dyDescent="0.2">
      <c r="A880" s="145">
        <v>323208</v>
      </c>
      <c r="B880" s="2300" t="s">
        <v>2517</v>
      </c>
      <c r="C880" s="186" t="s">
        <v>3821</v>
      </c>
      <c r="D880" s="2320"/>
    </row>
    <row r="881" spans="1:4" x14ac:dyDescent="0.2">
      <c r="A881" s="145">
        <v>323190</v>
      </c>
      <c r="B881" s="2300" t="s">
        <v>2517</v>
      </c>
      <c r="C881" s="186" t="s">
        <v>3822</v>
      </c>
      <c r="D881" s="2320"/>
    </row>
    <row r="882" spans="1:4" x14ac:dyDescent="0.2">
      <c r="A882" s="145">
        <v>324110</v>
      </c>
      <c r="B882" s="2300" t="s">
        <v>2517</v>
      </c>
      <c r="C882" s="186" t="s">
        <v>3823</v>
      </c>
      <c r="D882" s="2320"/>
    </row>
    <row r="883" spans="1:4" x14ac:dyDescent="0.2">
      <c r="A883" s="145">
        <v>324120</v>
      </c>
      <c r="B883" s="2300" t="s">
        <v>2517</v>
      </c>
      <c r="C883" s="186" t="s">
        <v>3824</v>
      </c>
      <c r="D883" s="2320"/>
    </row>
    <row r="884" spans="1:4" x14ac:dyDescent="0.2">
      <c r="A884" s="145">
        <v>324130</v>
      </c>
      <c r="B884" s="2300" t="s">
        <v>2517</v>
      </c>
      <c r="C884" s="186" t="s">
        <v>3825</v>
      </c>
      <c r="D884" s="2320"/>
    </row>
    <row r="885" spans="1:4" x14ac:dyDescent="0.2">
      <c r="A885" s="145">
        <v>324190</v>
      </c>
      <c r="B885" s="2300" t="s">
        <v>2517</v>
      </c>
      <c r="C885" s="186" t="s">
        <v>3826</v>
      </c>
      <c r="D885" s="2320"/>
    </row>
    <row r="886" spans="1:4" x14ac:dyDescent="0.2">
      <c r="A886" s="145">
        <v>331910</v>
      </c>
      <c r="B886" s="2300" t="s">
        <v>2517</v>
      </c>
      <c r="C886" s="186" t="s">
        <v>3827</v>
      </c>
      <c r="D886" s="2320"/>
    </row>
    <row r="887" spans="1:4" x14ac:dyDescent="0.2">
      <c r="A887" s="145">
        <v>331920</v>
      </c>
      <c r="B887" s="2300" t="s">
        <v>2517</v>
      </c>
      <c r="C887" s="186" t="s">
        <v>3828</v>
      </c>
      <c r="D887" s="2320"/>
    </row>
    <row r="888" spans="1:4" x14ac:dyDescent="0.2">
      <c r="A888" s="145">
        <v>340000</v>
      </c>
      <c r="B888" s="145" t="str">
        <f t="shared" ref="B888" si="121">+A888&amp;"00"</f>
        <v>34000000</v>
      </c>
      <c r="C888" s="186" t="s">
        <v>3829</v>
      </c>
      <c r="D888" s="2320"/>
    </row>
    <row r="889" spans="1:4" x14ac:dyDescent="0.2">
      <c r="A889" s="2048"/>
      <c r="D889" s="138"/>
    </row>
    <row r="890" spans="1:4" x14ac:dyDescent="0.2">
      <c r="A890" s="2300"/>
      <c r="C890" s="138" t="s">
        <v>3830</v>
      </c>
      <c r="D890" s="138"/>
    </row>
    <row r="891" spans="1:4" x14ac:dyDescent="0.2">
      <c r="A891" s="2048"/>
      <c r="C891" s="2142" t="s">
        <v>3831</v>
      </c>
      <c r="D891" s="138"/>
    </row>
    <row r="892" spans="1:4" x14ac:dyDescent="0.2">
      <c r="A892" s="2300"/>
      <c r="C892" s="138"/>
      <c r="D892" s="138"/>
    </row>
    <row r="893" spans="1:4" ht="14.25" customHeight="1" x14ac:dyDescent="0.2">
      <c r="A893" s="2300"/>
      <c r="D893" s="870"/>
    </row>
    <row r="894" spans="1:4" ht="18.75" thickBot="1" x14ac:dyDescent="0.3">
      <c r="A894" s="782" t="s">
        <v>3832</v>
      </c>
      <c r="B894" s="782"/>
      <c r="C894" s="782"/>
      <c r="D894" s="884" t="s">
        <v>3833</v>
      </c>
    </row>
    <row r="895" spans="1:4" x14ac:dyDescent="0.2">
      <c r="A895" s="784" t="s">
        <v>2871</v>
      </c>
      <c r="B895" s="784"/>
      <c r="C895" s="784"/>
      <c r="D895" s="1271" t="s">
        <v>3834</v>
      </c>
    </row>
    <row r="896" spans="1:4" x14ac:dyDescent="0.2">
      <c r="A896" s="783" t="s">
        <v>3835</v>
      </c>
      <c r="B896" s="2411"/>
      <c r="C896" s="2131"/>
      <c r="D896" s="1779" t="s">
        <v>2938</v>
      </c>
    </row>
    <row r="897" spans="1:5" ht="13.5" thickBot="1" x14ac:dyDescent="0.25">
      <c r="A897" s="783" t="s">
        <v>2872</v>
      </c>
      <c r="B897" s="2411"/>
      <c r="C897" s="2131"/>
      <c r="D897" s="1780" t="s">
        <v>3836</v>
      </c>
      <c r="E897" s="145">
        <v>2310</v>
      </c>
    </row>
    <row r="898" spans="1:5" x14ac:dyDescent="0.2">
      <c r="A898" s="1603">
        <v>434101</v>
      </c>
      <c r="B898" s="145" t="str">
        <f t="shared" ref="B898:B917" si="122">LEFT(A898,1)&amp;RIGHT(A898,4)&amp;"000"</f>
        <v>44101000</v>
      </c>
      <c r="C898" s="186" t="s">
        <v>3837</v>
      </c>
      <c r="D898" s="870"/>
    </row>
    <row r="899" spans="1:5" x14ac:dyDescent="0.2">
      <c r="A899" s="1603">
        <v>434102</v>
      </c>
      <c r="B899" s="145" t="str">
        <f t="shared" si="122"/>
        <v>44102000</v>
      </c>
      <c r="C899" s="186" t="s">
        <v>3838</v>
      </c>
      <c r="D899" s="870"/>
    </row>
    <row r="900" spans="1:5" x14ac:dyDescent="0.2">
      <c r="A900" s="145">
        <v>434110</v>
      </c>
      <c r="B900" s="145" t="str">
        <f t="shared" si="122"/>
        <v>44110000</v>
      </c>
      <c r="C900" s="186" t="s">
        <v>3839</v>
      </c>
      <c r="D900"/>
    </row>
    <row r="901" spans="1:5" x14ac:dyDescent="0.2">
      <c r="A901" s="145">
        <v>434120</v>
      </c>
      <c r="B901" s="145" t="str">
        <f t="shared" si="122"/>
        <v>44120000</v>
      </c>
      <c r="C901" s="186" t="s">
        <v>3840</v>
      </c>
      <c r="D901"/>
    </row>
    <row r="902" spans="1:5" x14ac:dyDescent="0.2">
      <c r="A902" s="145">
        <v>434131</v>
      </c>
      <c r="B902" s="145" t="str">
        <f t="shared" si="122"/>
        <v>44131000</v>
      </c>
      <c r="C902" s="186" t="s">
        <v>3841</v>
      </c>
      <c r="D902"/>
    </row>
    <row r="903" spans="1:5" x14ac:dyDescent="0.2">
      <c r="A903" s="145">
        <v>434132</v>
      </c>
      <c r="B903" s="145" t="str">
        <f t="shared" si="122"/>
        <v>44132000</v>
      </c>
      <c r="C903" s="186" t="s">
        <v>3842</v>
      </c>
      <c r="D903"/>
    </row>
    <row r="904" spans="1:5" x14ac:dyDescent="0.2">
      <c r="A904" s="145">
        <v>434133</v>
      </c>
      <c r="B904" s="145" t="str">
        <f t="shared" si="122"/>
        <v>44133000</v>
      </c>
      <c r="C904" s="186" t="s">
        <v>3843</v>
      </c>
      <c r="D904"/>
    </row>
    <row r="905" spans="1:5" x14ac:dyDescent="0.2">
      <c r="A905" s="145">
        <v>434134</v>
      </c>
      <c r="B905" s="145" t="str">
        <f t="shared" si="122"/>
        <v>44134000</v>
      </c>
      <c r="C905" s="186" t="s">
        <v>3844</v>
      </c>
      <c r="D905"/>
    </row>
    <row r="906" spans="1:5" x14ac:dyDescent="0.2">
      <c r="A906" s="145">
        <v>434139</v>
      </c>
      <c r="B906" s="145" t="str">
        <f t="shared" si="122"/>
        <v>44139000</v>
      </c>
      <c r="C906" s="186" t="s">
        <v>3845</v>
      </c>
      <c r="D906"/>
    </row>
    <row r="907" spans="1:5" x14ac:dyDescent="0.2">
      <c r="A907" s="145">
        <v>434140</v>
      </c>
      <c r="B907" s="145" t="str">
        <f t="shared" si="122"/>
        <v>44140000</v>
      </c>
      <c r="C907" s="186" t="s">
        <v>3846</v>
      </c>
      <c r="D907"/>
    </row>
    <row r="908" spans="1:5" x14ac:dyDescent="0.2">
      <c r="A908" s="145">
        <v>434150</v>
      </c>
      <c r="B908" s="145" t="str">
        <f t="shared" si="122"/>
        <v>44150000</v>
      </c>
      <c r="C908" s="186" t="s">
        <v>3847</v>
      </c>
      <c r="D908"/>
    </row>
    <row r="909" spans="1:5" x14ac:dyDescent="0.2">
      <c r="A909" s="145">
        <v>434160</v>
      </c>
      <c r="B909" s="145" t="str">
        <f t="shared" si="122"/>
        <v>44160000</v>
      </c>
      <c r="C909" s="186" t="s">
        <v>3848</v>
      </c>
      <c r="D909"/>
    </row>
    <row r="910" spans="1:5" x14ac:dyDescent="0.2">
      <c r="A910" s="145">
        <v>434170</v>
      </c>
      <c r="B910" s="145" t="str">
        <f t="shared" si="122"/>
        <v>44170000</v>
      </c>
      <c r="C910" s="186" t="s">
        <v>3849</v>
      </c>
      <c r="D910"/>
    </row>
    <row r="911" spans="1:5" x14ac:dyDescent="0.2">
      <c r="A911" s="145">
        <v>434180</v>
      </c>
      <c r="B911" s="145" t="str">
        <f t="shared" si="122"/>
        <v>44180000</v>
      </c>
      <c r="C911" s="186" t="s">
        <v>3850</v>
      </c>
      <c r="D911"/>
    </row>
    <row r="912" spans="1:5" x14ac:dyDescent="0.2">
      <c r="A912" s="145">
        <v>434190</v>
      </c>
      <c r="B912" s="145" t="str">
        <f t="shared" si="122"/>
        <v>44190000</v>
      </c>
      <c r="C912" s="186" t="s">
        <v>3851</v>
      </c>
      <c r="D912"/>
    </row>
    <row r="913" spans="1:5" x14ac:dyDescent="0.2">
      <c r="A913" s="145">
        <v>434195</v>
      </c>
      <c r="B913" s="145" t="str">
        <f t="shared" si="122"/>
        <v>44195000</v>
      </c>
      <c r="C913" s="186" t="s">
        <v>3852</v>
      </c>
      <c r="D913" s="870"/>
    </row>
    <row r="914" spans="1:5" x14ac:dyDescent="0.2">
      <c r="A914" s="1603">
        <v>434196</v>
      </c>
      <c r="B914" s="145" t="str">
        <f t="shared" si="122"/>
        <v>44196000</v>
      </c>
      <c r="C914" s="186" t="s">
        <v>3853</v>
      </c>
      <c r="D914" t="s">
        <v>3048</v>
      </c>
    </row>
    <row r="915" spans="1:5" x14ac:dyDescent="0.2">
      <c r="A915" s="145">
        <v>434310</v>
      </c>
      <c r="B915" s="145" t="str">
        <f t="shared" si="122"/>
        <v>44310000</v>
      </c>
      <c r="C915" s="186" t="s">
        <v>3854</v>
      </c>
      <c r="D915"/>
    </row>
    <row r="916" spans="1:5" x14ac:dyDescent="0.2">
      <c r="A916" s="145">
        <v>434390</v>
      </c>
      <c r="B916" s="145" t="str">
        <f t="shared" si="122"/>
        <v>44390000</v>
      </c>
      <c r="C916" s="186" t="s">
        <v>3855</v>
      </c>
      <c r="D916"/>
    </row>
    <row r="917" spans="1:5" x14ac:dyDescent="0.2">
      <c r="A917" s="145">
        <v>434700</v>
      </c>
      <c r="B917" s="145" t="str">
        <f t="shared" si="122"/>
        <v>44700000</v>
      </c>
      <c r="C917" s="186" t="s">
        <v>3856</v>
      </c>
      <c r="D917" t="s">
        <v>3048</v>
      </c>
    </row>
    <row r="918" spans="1:5" ht="25.5" x14ac:dyDescent="0.2">
      <c r="A918" s="867" t="s">
        <v>2873</v>
      </c>
      <c r="B918" s="2411"/>
      <c r="C918" s="2131"/>
      <c r="D918" s="897" t="s">
        <v>3857</v>
      </c>
      <c r="E918" s="145">
        <v>2320</v>
      </c>
    </row>
    <row r="919" spans="1:5" x14ac:dyDescent="0.2">
      <c r="A919" s="2300" t="s">
        <v>3858</v>
      </c>
      <c r="B919" s="145">
        <v>45800000</v>
      </c>
      <c r="C919" s="186" t="s">
        <v>3859</v>
      </c>
      <c r="D919" s="913"/>
    </row>
    <row r="920" spans="1:5" x14ac:dyDescent="0.2">
      <c r="A920" s="866" t="s">
        <v>2874</v>
      </c>
      <c r="B920" s="2411"/>
      <c r="C920" s="2131"/>
      <c r="D920" s="914" t="s">
        <v>2940</v>
      </c>
      <c r="E920" s="145">
        <v>2330</v>
      </c>
    </row>
    <row r="921" spans="1:5" x14ac:dyDescent="0.2">
      <c r="A921" s="2300">
        <v>434200</v>
      </c>
      <c r="B921" s="145" t="str">
        <f t="shared" ref="B921:B924" si="123">LEFT(A921,1)&amp;RIGHT(A921,4)&amp;"000"</f>
        <v>44200000</v>
      </c>
      <c r="C921" s="186" t="s">
        <v>3860</v>
      </c>
      <c r="D921" s="913"/>
    </row>
    <row r="922" spans="1:5" x14ac:dyDescent="0.2">
      <c r="A922" s="2300">
        <v>434201</v>
      </c>
      <c r="B922" s="145" t="str">
        <f t="shared" si="123"/>
        <v>44201000</v>
      </c>
      <c r="C922" s="186" t="s">
        <v>3861</v>
      </c>
      <c r="D922" s="913"/>
    </row>
    <row r="923" spans="1:5" x14ac:dyDescent="0.2">
      <c r="A923" s="2300">
        <v>535611</v>
      </c>
      <c r="B923" s="145" t="str">
        <f t="shared" si="123"/>
        <v>55611000</v>
      </c>
      <c r="C923" s="186" t="s">
        <v>3862</v>
      </c>
      <c r="D923" s="913"/>
    </row>
    <row r="924" spans="1:5" x14ac:dyDescent="0.2">
      <c r="A924" s="2300">
        <v>535612</v>
      </c>
      <c r="B924" s="145" t="str">
        <f t="shared" si="123"/>
        <v>55612000</v>
      </c>
      <c r="C924" s="186" t="s">
        <v>3863</v>
      </c>
      <c r="D924" s="915"/>
    </row>
    <row r="925" spans="1:5" x14ac:dyDescent="0.2">
      <c r="A925" s="866" t="s">
        <v>3864</v>
      </c>
      <c r="B925" s="2411"/>
      <c r="C925" s="2131"/>
      <c r="D925" s="898" t="s">
        <v>2940</v>
      </c>
      <c r="E925" s="2300" t="s">
        <v>2517</v>
      </c>
    </row>
    <row r="926" spans="1:5" x14ac:dyDescent="0.2">
      <c r="A926" s="2300">
        <v>436150</v>
      </c>
      <c r="B926" s="145" t="str">
        <f t="shared" ref="B926" si="124">LEFT(A926,1)&amp;RIGHT(A926,4)&amp;"000"</f>
        <v>46150000</v>
      </c>
      <c r="C926" s="186" t="s">
        <v>3865</v>
      </c>
      <c r="D926" s="915"/>
    </row>
    <row r="927" spans="1:5" x14ac:dyDescent="0.2">
      <c r="A927" s="866" t="s">
        <v>2875</v>
      </c>
      <c r="B927" s="2411"/>
      <c r="C927" s="2131"/>
      <c r="D927" s="898" t="s">
        <v>2940</v>
      </c>
      <c r="E927" s="145">
        <v>2350</v>
      </c>
    </row>
    <row r="928" spans="1:5" x14ac:dyDescent="0.2">
      <c r="A928" s="2300">
        <v>432997</v>
      </c>
      <c r="B928" s="145" t="str">
        <f t="shared" ref="B928" si="125">LEFT(A928,1)&amp;RIGHT(A928,4)&amp;"000"</f>
        <v>42997000</v>
      </c>
      <c r="C928" s="186" t="s">
        <v>3866</v>
      </c>
      <c r="D928" s="915"/>
    </row>
    <row r="929" spans="1:5" x14ac:dyDescent="0.2">
      <c r="A929" s="866" t="s">
        <v>2876</v>
      </c>
      <c r="B929" s="2411"/>
      <c r="C929" s="2131"/>
      <c r="D929" s="898" t="s">
        <v>3867</v>
      </c>
      <c r="E929" s="145">
        <v>2370</v>
      </c>
    </row>
    <row r="930" spans="1:5" x14ac:dyDescent="0.2">
      <c r="A930" s="868" t="s">
        <v>3868</v>
      </c>
      <c r="B930" s="2312"/>
      <c r="C930" s="2134"/>
      <c r="D930" s="898" t="s">
        <v>3869</v>
      </c>
      <c r="E930" s="145">
        <v>2390</v>
      </c>
    </row>
    <row r="931" spans="1:5" x14ac:dyDescent="0.2">
      <c r="A931" s="866" t="s">
        <v>3870</v>
      </c>
      <c r="B931" s="2411"/>
      <c r="C931" s="2131"/>
      <c r="D931" s="898" t="s">
        <v>3871</v>
      </c>
      <c r="E931" s="145">
        <v>2400</v>
      </c>
    </row>
    <row r="932" spans="1:5" x14ac:dyDescent="0.2">
      <c r="A932" s="866" t="s">
        <v>1256</v>
      </c>
      <c r="B932" s="2411"/>
      <c r="C932" s="2131"/>
      <c r="D932" s="898" t="s">
        <v>2940</v>
      </c>
      <c r="E932" s="145">
        <v>2410</v>
      </c>
    </row>
    <row r="933" spans="1:5" x14ac:dyDescent="0.2">
      <c r="A933" s="145">
        <v>433200</v>
      </c>
      <c r="B933" s="145" t="str">
        <f t="shared" ref="B933:B935" si="126">LEFT(A933,1)&amp;RIGHT(A933,4)&amp;"000"</f>
        <v>43200000</v>
      </c>
      <c r="C933" s="186" t="s">
        <v>3872</v>
      </c>
      <c r="D933"/>
    </row>
    <row r="934" spans="1:5" x14ac:dyDescent="0.2">
      <c r="A934" s="145">
        <v>433210</v>
      </c>
      <c r="B934" s="145" t="str">
        <f t="shared" si="126"/>
        <v>43210000</v>
      </c>
      <c r="C934" s="186" t="s">
        <v>3873</v>
      </c>
      <c r="D934"/>
    </row>
    <row r="935" spans="1:5" x14ac:dyDescent="0.2">
      <c r="A935" s="145">
        <v>437112</v>
      </c>
      <c r="B935" s="145" t="str">
        <f t="shared" si="126"/>
        <v>47112000</v>
      </c>
      <c r="C935" s="186" t="s">
        <v>3874</v>
      </c>
      <c r="D935"/>
    </row>
    <row r="936" spans="1:5" x14ac:dyDescent="0.2">
      <c r="A936" s="866" t="s">
        <v>2880</v>
      </c>
      <c r="B936" s="2411"/>
      <c r="C936" s="2131"/>
      <c r="D936" s="898" t="s">
        <v>2940</v>
      </c>
      <c r="E936" s="145">
        <v>2420</v>
      </c>
    </row>
    <row r="937" spans="1:5" x14ac:dyDescent="0.2">
      <c r="A937" s="145">
        <v>434410</v>
      </c>
      <c r="B937" s="145" t="str">
        <f t="shared" ref="B937:B940" si="127">LEFT(A937,1)&amp;RIGHT(A937,4)&amp;"000"</f>
        <v>44410000</v>
      </c>
      <c r="C937" s="186" t="s">
        <v>3875</v>
      </c>
      <c r="D937"/>
    </row>
    <row r="938" spans="1:5" x14ac:dyDescent="0.2">
      <c r="A938" s="145">
        <v>434420</v>
      </c>
      <c r="B938" s="145" t="str">
        <f t="shared" si="127"/>
        <v>44420000</v>
      </c>
      <c r="C938" s="186" t="s">
        <v>3876</v>
      </c>
      <c r="D938"/>
    </row>
    <row r="939" spans="1:5" x14ac:dyDescent="0.2">
      <c r="A939" s="145">
        <v>434430</v>
      </c>
      <c r="B939" s="145" t="str">
        <f t="shared" si="127"/>
        <v>44430000</v>
      </c>
      <c r="C939" s="186" t="s">
        <v>3877</v>
      </c>
      <c r="D939"/>
    </row>
    <row r="940" spans="1:5" x14ac:dyDescent="0.2">
      <c r="A940" s="2300">
        <v>434440</v>
      </c>
      <c r="B940" s="145" t="str">
        <f t="shared" si="127"/>
        <v>44440000</v>
      </c>
      <c r="C940" s="186" t="s">
        <v>3878</v>
      </c>
      <c r="D940" s="2320" t="s">
        <v>3279</v>
      </c>
    </row>
    <row r="941" spans="1:5" ht="38.25" x14ac:dyDescent="0.2">
      <c r="A941" s="866" t="s">
        <v>1248</v>
      </c>
      <c r="B941" s="2411"/>
      <c r="C941" s="2131"/>
      <c r="D941" s="897" t="s">
        <v>3879</v>
      </c>
      <c r="E941" s="145">
        <v>2430</v>
      </c>
    </row>
    <row r="942" spans="1:5" x14ac:dyDescent="0.2">
      <c r="A942" s="145">
        <v>437993</v>
      </c>
      <c r="B942" s="145" t="str">
        <f t="shared" ref="B942:B947" si="128">LEFT(A942,1)&amp;RIGHT(A942,4)&amp;"000"</f>
        <v>47993000</v>
      </c>
      <c r="C942" s="186" t="s">
        <v>3880</v>
      </c>
      <c r="D942" t="s">
        <v>3881</v>
      </c>
    </row>
    <row r="943" spans="1:5" x14ac:dyDescent="0.2">
      <c r="A943" s="145">
        <v>437994</v>
      </c>
      <c r="B943" s="145" t="str">
        <f t="shared" si="128"/>
        <v>47994000</v>
      </c>
      <c r="C943" s="186" t="s">
        <v>3882</v>
      </c>
      <c r="D943" t="s">
        <v>3881</v>
      </c>
    </row>
    <row r="944" spans="1:5" x14ac:dyDescent="0.2">
      <c r="A944" s="145">
        <v>435901</v>
      </c>
      <c r="B944" s="145" t="str">
        <f t="shared" si="128"/>
        <v>45901000</v>
      </c>
      <c r="C944" s="186" t="s">
        <v>3883</v>
      </c>
      <c r="D944" s="138" t="s">
        <v>3884</v>
      </c>
    </row>
    <row r="945" spans="1:5" x14ac:dyDescent="0.2">
      <c r="A945" s="2300">
        <v>435902</v>
      </c>
      <c r="B945" s="145" t="str">
        <f t="shared" si="128"/>
        <v>45902000</v>
      </c>
      <c r="C945" s="186" t="s">
        <v>3885</v>
      </c>
      <c r="D945" s="138" t="s">
        <v>3884</v>
      </c>
    </row>
    <row r="946" spans="1:5" x14ac:dyDescent="0.2">
      <c r="A946" s="1603">
        <v>435903</v>
      </c>
      <c r="B946" s="145" t="str">
        <f t="shared" si="128"/>
        <v>45903000</v>
      </c>
      <c r="C946" s="186" t="s">
        <v>3886</v>
      </c>
      <c r="D946" s="138" t="s">
        <v>3884</v>
      </c>
    </row>
    <row r="947" spans="1:5" x14ac:dyDescent="0.2">
      <c r="A947" s="2300">
        <v>538030</v>
      </c>
      <c r="B947" s="145" t="str">
        <f t="shared" si="128"/>
        <v>58030000</v>
      </c>
      <c r="C947" s="186" t="s">
        <v>3887</v>
      </c>
      <c r="D947" s="138" t="s">
        <v>3888</v>
      </c>
    </row>
    <row r="948" spans="1:5" x14ac:dyDescent="0.2">
      <c r="A948" s="866" t="s">
        <v>3889</v>
      </c>
      <c r="B948" s="2411"/>
      <c r="C948" s="2131"/>
      <c r="D948" s="898" t="s">
        <v>2940</v>
      </c>
      <c r="E948" s="2300" t="s">
        <v>2517</v>
      </c>
    </row>
    <row r="949" spans="1:5" x14ac:dyDescent="0.2">
      <c r="A949" s="2300">
        <v>435710</v>
      </c>
      <c r="B949" s="145" t="str">
        <f t="shared" ref="B949:B950" si="129">LEFT(A949,1)&amp;RIGHT(A949,4)&amp;"000"</f>
        <v>45710000</v>
      </c>
      <c r="C949" s="186" t="s">
        <v>3890</v>
      </c>
      <c r="D949" s="138" t="s">
        <v>3891</v>
      </c>
    </row>
    <row r="950" spans="1:5" x14ac:dyDescent="0.2">
      <c r="A950" s="2300">
        <v>435711</v>
      </c>
      <c r="B950" s="145" t="str">
        <f t="shared" si="129"/>
        <v>45711000</v>
      </c>
      <c r="C950" s="186" t="s">
        <v>3892</v>
      </c>
      <c r="D950" s="138" t="s">
        <v>3891</v>
      </c>
    </row>
    <row r="951" spans="1:5" x14ac:dyDescent="0.2">
      <c r="A951" s="866" t="s">
        <v>3893</v>
      </c>
      <c r="B951" s="2411"/>
      <c r="C951" s="2131"/>
      <c r="D951" s="898" t="s">
        <v>2940</v>
      </c>
      <c r="E951" s="2300" t="s">
        <v>2517</v>
      </c>
    </row>
    <row r="952" spans="1:5" x14ac:dyDescent="0.2">
      <c r="A952" s="145">
        <v>434600</v>
      </c>
      <c r="B952" s="145" t="str">
        <f t="shared" ref="B952:B967" si="130">LEFT(A952,1)&amp;RIGHT(A952,4)&amp;"000"</f>
        <v>44600000</v>
      </c>
      <c r="C952" s="186" t="s">
        <v>3894</v>
      </c>
      <c r="D952"/>
    </row>
    <row r="953" spans="1:5" x14ac:dyDescent="0.2">
      <c r="A953" s="866" t="s">
        <v>2006</v>
      </c>
      <c r="B953" s="2411"/>
      <c r="C953" s="2131"/>
      <c r="D953" s="898" t="s">
        <v>2940</v>
      </c>
      <c r="E953" s="145">
        <v>2450</v>
      </c>
    </row>
    <row r="954" spans="1:5" x14ac:dyDescent="0.2">
      <c r="A954" s="145">
        <v>437111</v>
      </c>
      <c r="B954" s="145" t="str">
        <f t="shared" si="130"/>
        <v>47111000</v>
      </c>
      <c r="C954" s="186" t="s">
        <v>3895</v>
      </c>
      <c r="D954"/>
    </row>
    <row r="955" spans="1:5" x14ac:dyDescent="0.2">
      <c r="A955" s="145">
        <v>437115</v>
      </c>
      <c r="B955" s="145" t="str">
        <f t="shared" si="130"/>
        <v>47115000</v>
      </c>
      <c r="C955" s="186" t="s">
        <v>3896</v>
      </c>
      <c r="D955"/>
    </row>
    <row r="956" spans="1:5" x14ac:dyDescent="0.2">
      <c r="A956" s="145">
        <v>437117</v>
      </c>
      <c r="B956" s="145" t="str">
        <f t="shared" si="130"/>
        <v>47117000</v>
      </c>
      <c r="C956" s="186" t="s">
        <v>3897</v>
      </c>
      <c r="D956"/>
    </row>
    <row r="957" spans="1:5" x14ac:dyDescent="0.2">
      <c r="A957" s="145">
        <v>437118</v>
      </c>
      <c r="B957" s="145" t="str">
        <f t="shared" si="130"/>
        <v>47118000</v>
      </c>
      <c r="C957" s="186" t="s">
        <v>3898</v>
      </c>
      <c r="D957"/>
    </row>
    <row r="958" spans="1:5" x14ac:dyDescent="0.2">
      <c r="A958" s="145">
        <v>437119</v>
      </c>
      <c r="B958" s="145" t="str">
        <f t="shared" si="130"/>
        <v>47119000</v>
      </c>
      <c r="C958" s="186" t="s">
        <v>3899</v>
      </c>
      <c r="D958"/>
    </row>
    <row r="959" spans="1:5" x14ac:dyDescent="0.2">
      <c r="A959" s="145">
        <v>437120</v>
      </c>
      <c r="B959" s="145" t="str">
        <f t="shared" si="130"/>
        <v>47120000</v>
      </c>
      <c r="C959" s="186" t="s">
        <v>3900</v>
      </c>
      <c r="D959"/>
    </row>
    <row r="960" spans="1:5" x14ac:dyDescent="0.2">
      <c r="A960" s="145">
        <v>437121</v>
      </c>
      <c r="B960" s="145" t="str">
        <f t="shared" si="130"/>
        <v>47121000</v>
      </c>
      <c r="C960" s="186" t="s">
        <v>3901</v>
      </c>
      <c r="D960"/>
    </row>
    <row r="961" spans="1:5" x14ac:dyDescent="0.2">
      <c r="A961" s="145">
        <v>437122</v>
      </c>
      <c r="B961" s="145" t="str">
        <f t="shared" si="130"/>
        <v>47122000</v>
      </c>
      <c r="C961" s="186" t="s">
        <v>3902</v>
      </c>
      <c r="D961"/>
    </row>
    <row r="962" spans="1:5" x14ac:dyDescent="0.2">
      <c r="A962" s="145">
        <v>437123</v>
      </c>
      <c r="B962" s="145" t="str">
        <f t="shared" si="130"/>
        <v>47123000</v>
      </c>
      <c r="C962" s="186" t="s">
        <v>3903</v>
      </c>
      <c r="D962"/>
    </row>
    <row r="963" spans="1:5" x14ac:dyDescent="0.2">
      <c r="A963" s="145">
        <v>437127</v>
      </c>
      <c r="B963" s="145" t="str">
        <f t="shared" si="130"/>
        <v>47127000</v>
      </c>
      <c r="C963" s="186" t="s">
        <v>3904</v>
      </c>
      <c r="D963" s="138" t="s">
        <v>3905</v>
      </c>
    </row>
    <row r="964" spans="1:5" x14ac:dyDescent="0.2">
      <c r="A964" s="145">
        <v>437800</v>
      </c>
      <c r="B964" s="145" t="str">
        <f t="shared" si="130"/>
        <v>47800000</v>
      </c>
      <c r="C964" s="186" t="s">
        <v>3906</v>
      </c>
      <c r="D964"/>
    </row>
    <row r="965" spans="1:5" x14ac:dyDescent="0.2">
      <c r="A965" s="145">
        <v>437985</v>
      </c>
      <c r="B965" s="145" t="str">
        <f t="shared" si="130"/>
        <v>47985000</v>
      </c>
      <c r="C965" s="186" t="s">
        <v>3907</v>
      </c>
      <c r="D965" s="138" t="s">
        <v>3908</v>
      </c>
    </row>
    <row r="966" spans="1:5" x14ac:dyDescent="0.2">
      <c r="A966" s="145">
        <v>437990</v>
      </c>
      <c r="B966" s="145" t="str">
        <f t="shared" si="130"/>
        <v>47990000</v>
      </c>
      <c r="C966" s="186" t="s">
        <v>3909</v>
      </c>
      <c r="D966"/>
    </row>
    <row r="967" spans="1:5" x14ac:dyDescent="0.2">
      <c r="A967" s="145">
        <v>437995</v>
      </c>
      <c r="B967" s="145" t="str">
        <f t="shared" si="130"/>
        <v>47995000</v>
      </c>
      <c r="C967" s="186" t="s">
        <v>3910</v>
      </c>
      <c r="D967"/>
    </row>
    <row r="968" spans="1:5" x14ac:dyDescent="0.2">
      <c r="A968" s="866" t="s">
        <v>3911</v>
      </c>
      <c r="B968" s="2411"/>
      <c r="C968" s="2131"/>
      <c r="D968" s="898" t="s">
        <v>2940</v>
      </c>
      <c r="E968" s="2300" t="s">
        <v>2517</v>
      </c>
    </row>
    <row r="969" spans="1:5" x14ac:dyDescent="0.2">
      <c r="A969" s="2300">
        <v>432998</v>
      </c>
      <c r="B969" s="145" t="str">
        <f t="shared" ref="B969:B972" si="131">LEFT(A969,1)&amp;RIGHT(A969,4)&amp;"000"</f>
        <v>42998000</v>
      </c>
      <c r="C969" s="186" t="s">
        <v>3912</v>
      </c>
      <c r="D969" t="s">
        <v>3913</v>
      </c>
    </row>
    <row r="970" spans="1:5" x14ac:dyDescent="0.2">
      <c r="A970" s="780" t="s">
        <v>3914</v>
      </c>
      <c r="B970" s="2411"/>
      <c r="C970" s="2131"/>
      <c r="D970" s="972" t="s">
        <v>2940</v>
      </c>
      <c r="E970" s="2300" t="s">
        <v>2517</v>
      </c>
    </row>
    <row r="971" spans="1:5" x14ac:dyDescent="0.2">
      <c r="A971" s="2300">
        <v>432996</v>
      </c>
      <c r="B971" s="145" t="str">
        <f t="shared" si="131"/>
        <v>42996000</v>
      </c>
      <c r="C971" s="186" t="s">
        <v>3915</v>
      </c>
      <c r="D971" t="s">
        <v>3343</v>
      </c>
    </row>
    <row r="972" spans="1:5" x14ac:dyDescent="0.2">
      <c r="A972" s="145">
        <v>434500</v>
      </c>
      <c r="B972" s="145" t="str">
        <f t="shared" si="131"/>
        <v>44500000</v>
      </c>
      <c r="C972" s="186" t="s">
        <v>3916</v>
      </c>
      <c r="D972"/>
    </row>
    <row r="973" spans="1:5" x14ac:dyDescent="0.2">
      <c r="A973" s="145">
        <v>435900064</v>
      </c>
      <c r="B973" s="2300" t="s">
        <v>2517</v>
      </c>
      <c r="C973" s="186" t="s">
        <v>3917</v>
      </c>
      <c r="D973" t="s">
        <v>3918</v>
      </c>
    </row>
    <row r="974" spans="1:5" x14ac:dyDescent="0.2">
      <c r="A974" s="2300">
        <v>437210</v>
      </c>
      <c r="B974" s="145" t="str">
        <f t="shared" ref="B974:B987" si="132">LEFT(A974,1)&amp;RIGHT(A974,4)&amp;"000"</f>
        <v>47210000</v>
      </c>
      <c r="C974" s="186" t="s">
        <v>3919</v>
      </c>
      <c r="D974" t="s">
        <v>3343</v>
      </c>
    </row>
    <row r="975" spans="1:5" x14ac:dyDescent="0.2">
      <c r="A975" s="145">
        <v>437211</v>
      </c>
      <c r="B975" s="145" t="str">
        <f t="shared" si="132"/>
        <v>47211000</v>
      </c>
      <c r="C975" s="186" t="s">
        <v>3920</v>
      </c>
      <c r="D975" t="s">
        <v>3343</v>
      </c>
    </row>
    <row r="976" spans="1:5" x14ac:dyDescent="0.2">
      <c r="A976" s="145">
        <v>437212</v>
      </c>
      <c r="B976" s="145" t="str">
        <f t="shared" si="132"/>
        <v>47212000</v>
      </c>
      <c r="C976" s="186" t="s">
        <v>3921</v>
      </c>
      <c r="D976" t="s">
        <v>3343</v>
      </c>
    </row>
    <row r="977" spans="1:5" x14ac:dyDescent="0.2">
      <c r="A977" s="2300">
        <v>437213</v>
      </c>
      <c r="B977" s="145" t="str">
        <f t="shared" si="132"/>
        <v>47213000</v>
      </c>
      <c r="C977" s="186" t="s">
        <v>3922</v>
      </c>
      <c r="D977" s="138" t="s">
        <v>3923</v>
      </c>
    </row>
    <row r="978" spans="1:5" x14ac:dyDescent="0.2">
      <c r="A978" s="145">
        <v>437214</v>
      </c>
      <c r="B978" s="145" t="str">
        <f t="shared" si="132"/>
        <v>47214000</v>
      </c>
      <c r="C978" s="186" t="s">
        <v>3924</v>
      </c>
      <c r="D978" t="s">
        <v>3343</v>
      </c>
    </row>
    <row r="979" spans="1:5" x14ac:dyDescent="0.2">
      <c r="A979" s="145">
        <v>437215</v>
      </c>
      <c r="B979" s="145" t="str">
        <f t="shared" si="132"/>
        <v>47215000</v>
      </c>
      <c r="C979" s="186" t="s">
        <v>3925</v>
      </c>
      <c r="D979" t="s">
        <v>3343</v>
      </c>
    </row>
    <row r="980" spans="1:5" x14ac:dyDescent="0.2">
      <c r="A980" s="145">
        <v>437217</v>
      </c>
      <c r="B980" s="145" t="str">
        <f t="shared" si="132"/>
        <v>47217000</v>
      </c>
      <c r="C980" s="186" t="s">
        <v>3926</v>
      </c>
      <c r="D980" t="s">
        <v>3343</v>
      </c>
    </row>
    <row r="981" spans="1:5" x14ac:dyDescent="0.2">
      <c r="A981" s="145">
        <v>437218</v>
      </c>
      <c r="B981" s="145" t="str">
        <f t="shared" si="132"/>
        <v>47218000</v>
      </c>
      <c r="C981" s="186" t="s">
        <v>3927</v>
      </c>
      <c r="D981" t="s">
        <v>3928</v>
      </c>
    </row>
    <row r="982" spans="1:5" x14ac:dyDescent="0.2">
      <c r="A982" s="2300">
        <v>437219</v>
      </c>
      <c r="B982" s="145" t="str">
        <f t="shared" si="132"/>
        <v>47219000</v>
      </c>
      <c r="C982" s="186" t="s">
        <v>3929</v>
      </c>
      <c r="D982" s="138" t="s">
        <v>3031</v>
      </c>
    </row>
    <row r="983" spans="1:5" x14ac:dyDescent="0.2">
      <c r="A983" s="145">
        <v>437220</v>
      </c>
      <c r="B983" s="145" t="str">
        <f t="shared" si="132"/>
        <v>47220000</v>
      </c>
      <c r="C983" s="186" t="s">
        <v>3930</v>
      </c>
      <c r="D983" t="s">
        <v>3931</v>
      </c>
    </row>
    <row r="984" spans="1:5" x14ac:dyDescent="0.2">
      <c r="A984" s="145">
        <v>437300</v>
      </c>
      <c r="B984" s="145" t="str">
        <f t="shared" si="132"/>
        <v>47300000</v>
      </c>
      <c r="C984" s="186" t="s">
        <v>3932</v>
      </c>
      <c r="D984" t="s">
        <v>3933</v>
      </c>
    </row>
    <row r="985" spans="1:5" x14ac:dyDescent="0.2">
      <c r="A985" s="145">
        <v>437500</v>
      </c>
      <c r="B985" s="145" t="str">
        <f t="shared" si="132"/>
        <v>47500000</v>
      </c>
      <c r="C985" s="186" t="s">
        <v>3934</v>
      </c>
      <c r="D985" t="s">
        <v>3935</v>
      </c>
    </row>
    <row r="986" spans="1:5" x14ac:dyDescent="0.2">
      <c r="A986" s="145">
        <v>437600</v>
      </c>
      <c r="B986" s="145" t="str">
        <f t="shared" si="132"/>
        <v>47600000</v>
      </c>
      <c r="C986" s="186" t="s">
        <v>3936</v>
      </c>
      <c r="D986" t="s">
        <v>3935</v>
      </c>
    </row>
    <row r="987" spans="1:5" x14ac:dyDescent="0.2">
      <c r="A987" s="145">
        <v>437992</v>
      </c>
      <c r="B987" s="145" t="str">
        <f t="shared" si="132"/>
        <v>47992000</v>
      </c>
      <c r="C987" s="186" t="s">
        <v>3937</v>
      </c>
      <c r="D987" t="s">
        <v>3935</v>
      </c>
    </row>
    <row r="988" spans="1:5" x14ac:dyDescent="0.2">
      <c r="A988" s="145">
        <v>438045</v>
      </c>
      <c r="B988" s="145" t="str">
        <f t="shared" ref="B988:B989" si="133">LEFT(A988,1)&amp;RIGHT(A988,4)&amp;"000"</f>
        <v>48045000</v>
      </c>
      <c r="C988" s="186" t="s">
        <v>3938</v>
      </c>
      <c r="D988" t="s">
        <v>3939</v>
      </c>
    </row>
    <row r="989" spans="1:5" x14ac:dyDescent="0.2">
      <c r="A989" s="145">
        <v>438046</v>
      </c>
      <c r="B989" s="145" t="str">
        <f t="shared" si="133"/>
        <v>48046000</v>
      </c>
      <c r="C989" s="186" t="s">
        <v>3940</v>
      </c>
      <c r="D989" t="s">
        <v>3939</v>
      </c>
    </row>
    <row r="990" spans="1:5" x14ac:dyDescent="0.2">
      <c r="A990" s="145" t="s">
        <v>3941</v>
      </c>
      <c r="B990" s="2300" t="s">
        <v>2517</v>
      </c>
      <c r="C990" s="186" t="s">
        <v>3942</v>
      </c>
      <c r="D990" t="s">
        <v>3943</v>
      </c>
    </row>
    <row r="991" spans="1:5" x14ac:dyDescent="0.2">
      <c r="A991" s="2300" t="s">
        <v>3944</v>
      </c>
      <c r="B991" s="2300" t="s">
        <v>2517</v>
      </c>
      <c r="C991" s="186" t="s">
        <v>3945</v>
      </c>
      <c r="D991" s="138" t="s">
        <v>3946</v>
      </c>
    </row>
    <row r="992" spans="1:5" x14ac:dyDescent="0.2">
      <c r="A992" s="866" t="s">
        <v>3947</v>
      </c>
      <c r="B992" s="2411"/>
      <c r="C992" s="2131"/>
      <c r="D992" s="898" t="s">
        <v>2940</v>
      </c>
      <c r="E992" s="2300" t="s">
        <v>2517</v>
      </c>
    </row>
    <row r="993" spans="1:5" x14ac:dyDescent="0.2">
      <c r="A993" s="2300">
        <v>431100</v>
      </c>
      <c r="B993" s="145" t="str">
        <f t="shared" ref="B993:B1019" si="134">LEFT(A993,1)&amp;RIGHT(A993,4)&amp;"000"</f>
        <v>41100000</v>
      </c>
      <c r="C993" s="186" t="s">
        <v>3948</v>
      </c>
      <c r="D993"/>
      <c r="E993" s="2300"/>
    </row>
    <row r="994" spans="1:5" x14ac:dyDescent="0.2">
      <c r="A994" s="2300">
        <v>431101</v>
      </c>
      <c r="B994" s="145" t="str">
        <f t="shared" si="134"/>
        <v>41101000</v>
      </c>
      <c r="C994" s="186" t="s">
        <v>3949</v>
      </c>
      <c r="D994"/>
    </row>
    <row r="995" spans="1:5" x14ac:dyDescent="0.2">
      <c r="A995" s="2300">
        <v>431102</v>
      </c>
      <c r="B995" s="145" t="str">
        <f t="shared" si="134"/>
        <v>41102000</v>
      </c>
      <c r="C995" s="186" t="s">
        <v>3950</v>
      </c>
      <c r="D995"/>
    </row>
    <row r="996" spans="1:5" x14ac:dyDescent="0.2">
      <c r="A996" s="2300">
        <v>431200</v>
      </c>
      <c r="B996" s="145" t="str">
        <f t="shared" si="134"/>
        <v>41200000</v>
      </c>
      <c r="C996" s="186" t="s">
        <v>3951</v>
      </c>
      <c r="D996"/>
    </row>
    <row r="997" spans="1:5" x14ac:dyDescent="0.2">
      <c r="A997" s="2300">
        <v>431201</v>
      </c>
      <c r="B997" s="145" t="str">
        <f t="shared" si="134"/>
        <v>41201000</v>
      </c>
      <c r="C997" s="186" t="s">
        <v>3952</v>
      </c>
      <c r="D997"/>
    </row>
    <row r="998" spans="1:5" x14ac:dyDescent="0.2">
      <c r="A998" s="2300">
        <v>431202</v>
      </c>
      <c r="B998" s="145" t="str">
        <f t="shared" si="134"/>
        <v>41202000</v>
      </c>
      <c r="C998" s="186" t="s">
        <v>3953</v>
      </c>
      <c r="D998"/>
    </row>
    <row r="999" spans="1:5" x14ac:dyDescent="0.2">
      <c r="A999" s="2300">
        <v>431300</v>
      </c>
      <c r="B999" s="145" t="str">
        <f t="shared" si="134"/>
        <v>41300000</v>
      </c>
      <c r="C999" s="186" t="s">
        <v>3954</v>
      </c>
      <c r="D999"/>
    </row>
    <row r="1000" spans="1:5" x14ac:dyDescent="0.2">
      <c r="A1000" s="2300">
        <v>431400</v>
      </c>
      <c r="B1000" s="145" t="str">
        <f t="shared" si="134"/>
        <v>41400000</v>
      </c>
      <c r="C1000" s="186" t="s">
        <v>3955</v>
      </c>
      <c r="D1000"/>
    </row>
    <row r="1001" spans="1:5" x14ac:dyDescent="0.2">
      <c r="A1001" s="2300">
        <v>432999</v>
      </c>
      <c r="B1001" s="145" t="str">
        <f t="shared" si="134"/>
        <v>42999000</v>
      </c>
      <c r="C1001" s="186" t="s">
        <v>3956</v>
      </c>
      <c r="D1001"/>
    </row>
    <row r="1002" spans="1:5" x14ac:dyDescent="0.2">
      <c r="A1002" s="145">
        <v>433110</v>
      </c>
      <c r="B1002" s="145" t="str">
        <f t="shared" si="134"/>
        <v>43110000</v>
      </c>
      <c r="C1002" s="186" t="s">
        <v>3957</v>
      </c>
      <c r="D1002"/>
    </row>
    <row r="1003" spans="1:5" x14ac:dyDescent="0.2">
      <c r="A1003" s="145">
        <v>433112</v>
      </c>
      <c r="B1003" s="145" t="str">
        <f t="shared" si="134"/>
        <v>43112000</v>
      </c>
      <c r="C1003" s="186" t="s">
        <v>3958</v>
      </c>
      <c r="D1003"/>
    </row>
    <row r="1004" spans="1:5" x14ac:dyDescent="0.2">
      <c r="A1004" s="145">
        <v>433113</v>
      </c>
      <c r="B1004" s="145" t="str">
        <f t="shared" si="134"/>
        <v>43113000</v>
      </c>
      <c r="C1004" s="186" t="s">
        <v>3959</v>
      </c>
      <c r="D1004"/>
    </row>
    <row r="1005" spans="1:5" x14ac:dyDescent="0.2">
      <c r="A1005" s="145">
        <v>433114</v>
      </c>
      <c r="B1005" s="145" t="str">
        <f t="shared" si="134"/>
        <v>43114000</v>
      </c>
      <c r="C1005" s="186" t="s">
        <v>3960</v>
      </c>
      <c r="D1005"/>
    </row>
    <row r="1006" spans="1:5" x14ac:dyDescent="0.2">
      <c r="A1006" s="145">
        <v>433120</v>
      </c>
      <c r="B1006" s="145" t="str">
        <f t="shared" si="134"/>
        <v>43120000</v>
      </c>
      <c r="C1006" s="186" t="s">
        <v>3961</v>
      </c>
      <c r="D1006"/>
    </row>
    <row r="1007" spans="1:5" x14ac:dyDescent="0.2">
      <c r="A1007" s="145">
        <v>433122</v>
      </c>
      <c r="B1007" s="145" t="str">
        <f t="shared" si="134"/>
        <v>43122000</v>
      </c>
      <c r="C1007" s="186" t="s">
        <v>3962</v>
      </c>
      <c r="D1007"/>
    </row>
    <row r="1008" spans="1:5" x14ac:dyDescent="0.2">
      <c r="A1008" s="145">
        <v>433130</v>
      </c>
      <c r="B1008" s="145" t="str">
        <f t="shared" si="134"/>
        <v>43130000</v>
      </c>
      <c r="C1008" s="186" t="s">
        <v>3963</v>
      </c>
      <c r="D1008"/>
    </row>
    <row r="1009" spans="1:4" x14ac:dyDescent="0.2">
      <c r="A1009" s="145">
        <v>433132</v>
      </c>
      <c r="B1009" s="145" t="str">
        <f t="shared" si="134"/>
        <v>43132000</v>
      </c>
      <c r="C1009" s="186" t="s">
        <v>3964</v>
      </c>
      <c r="D1009"/>
    </row>
    <row r="1010" spans="1:4" x14ac:dyDescent="0.2">
      <c r="A1010" s="2300">
        <v>433135</v>
      </c>
      <c r="B1010" s="145" t="str">
        <f t="shared" si="134"/>
        <v>43135000</v>
      </c>
      <c r="C1010" s="186" t="s">
        <v>3965</v>
      </c>
      <c r="D1010" s="138" t="s">
        <v>3966</v>
      </c>
    </row>
    <row r="1011" spans="1:4" x14ac:dyDescent="0.2">
      <c r="A1011" s="2300">
        <v>433137</v>
      </c>
      <c r="B1011" s="145" t="str">
        <f t="shared" si="134"/>
        <v>43137000</v>
      </c>
      <c r="C1011" s="186" t="s">
        <v>3967</v>
      </c>
      <c r="D1011" s="138" t="s">
        <v>3966</v>
      </c>
    </row>
    <row r="1012" spans="1:4" x14ac:dyDescent="0.2">
      <c r="A1012" s="145">
        <v>433140</v>
      </c>
      <c r="B1012" s="145" t="str">
        <f t="shared" si="134"/>
        <v>43140000</v>
      </c>
      <c r="C1012" s="186" t="s">
        <v>3968</v>
      </c>
      <c r="D1012"/>
    </row>
    <row r="1013" spans="1:4" x14ac:dyDescent="0.2">
      <c r="A1013" s="145">
        <v>433150</v>
      </c>
      <c r="B1013" s="145" t="str">
        <f t="shared" si="134"/>
        <v>43150000</v>
      </c>
      <c r="C1013" s="186" t="s">
        <v>3969</v>
      </c>
      <c r="D1013"/>
    </row>
    <row r="1014" spans="1:4" x14ac:dyDescent="0.2">
      <c r="A1014" s="145">
        <v>433160</v>
      </c>
      <c r="B1014" s="145" t="str">
        <f t="shared" si="134"/>
        <v>43160000</v>
      </c>
      <c r="C1014" s="186" t="s">
        <v>3970</v>
      </c>
      <c r="D1014"/>
    </row>
    <row r="1015" spans="1:4" x14ac:dyDescent="0.2">
      <c r="A1015" s="145">
        <v>433170</v>
      </c>
      <c r="B1015" s="145" t="str">
        <f t="shared" si="134"/>
        <v>43170000</v>
      </c>
      <c r="C1015" s="186" t="s">
        <v>3971</v>
      </c>
      <c r="D1015"/>
    </row>
    <row r="1016" spans="1:4" x14ac:dyDescent="0.2">
      <c r="A1016" s="145">
        <v>433180</v>
      </c>
      <c r="B1016" s="145" t="str">
        <f t="shared" si="134"/>
        <v>43180000</v>
      </c>
      <c r="C1016" s="186" t="s">
        <v>3972</v>
      </c>
      <c r="D1016" s="138" t="s">
        <v>3973</v>
      </c>
    </row>
    <row r="1017" spans="1:4" x14ac:dyDescent="0.2">
      <c r="A1017" s="145">
        <v>433190</v>
      </c>
      <c r="B1017" s="145" t="str">
        <f t="shared" si="134"/>
        <v>43190000</v>
      </c>
      <c r="C1017" s="186" t="s">
        <v>3974</v>
      </c>
      <c r="D1017" s="138" t="s">
        <v>3973</v>
      </c>
    </row>
    <row r="1018" spans="1:4" x14ac:dyDescent="0.2">
      <c r="A1018" s="145">
        <v>433201</v>
      </c>
      <c r="B1018" s="145" t="str">
        <f t="shared" si="134"/>
        <v>43201000</v>
      </c>
      <c r="C1018" s="186" t="s">
        <v>3975</v>
      </c>
      <c r="D1018" s="138" t="s">
        <v>3976</v>
      </c>
    </row>
    <row r="1019" spans="1:4" x14ac:dyDescent="0.2">
      <c r="A1019" s="145">
        <v>434320</v>
      </c>
      <c r="B1019" s="145" t="str">
        <f t="shared" si="134"/>
        <v>44320000</v>
      </c>
      <c r="C1019" s="186" t="s">
        <v>3977</v>
      </c>
      <c r="D1019"/>
    </row>
    <row r="1020" spans="1:4" x14ac:dyDescent="0.2">
      <c r="A1020" s="2300">
        <v>43550005</v>
      </c>
      <c r="B1020" s="145">
        <v>45500005</v>
      </c>
      <c r="C1020" s="186" t="s">
        <v>3978</v>
      </c>
      <c r="D1020" s="138" t="s">
        <v>3979</v>
      </c>
    </row>
    <row r="1021" spans="1:4" x14ac:dyDescent="0.2">
      <c r="A1021" s="2300">
        <v>43550006</v>
      </c>
      <c r="B1021" s="145">
        <v>45500006</v>
      </c>
      <c r="C1021" s="186" t="s">
        <v>3980</v>
      </c>
      <c r="D1021" s="138" t="s">
        <v>3979</v>
      </c>
    </row>
    <row r="1022" spans="1:4" x14ac:dyDescent="0.2">
      <c r="A1022" s="2300">
        <v>43550007</v>
      </c>
      <c r="B1022" s="145">
        <v>45500007</v>
      </c>
      <c r="C1022" s="186" t="s">
        <v>3981</v>
      </c>
      <c r="D1022" s="138" t="s">
        <v>3979</v>
      </c>
    </row>
    <row r="1023" spans="1:4" x14ac:dyDescent="0.2">
      <c r="A1023" s="2300">
        <v>43550008</v>
      </c>
      <c r="B1023" s="145">
        <v>45500008</v>
      </c>
      <c r="C1023" s="186" t="s">
        <v>3982</v>
      </c>
      <c r="D1023" s="138" t="s">
        <v>3979</v>
      </c>
    </row>
    <row r="1024" spans="1:4" x14ac:dyDescent="0.2">
      <c r="A1024" s="2300">
        <v>435500031</v>
      </c>
      <c r="B1024" s="145">
        <v>45500031</v>
      </c>
      <c r="C1024" s="186" t="s">
        <v>3983</v>
      </c>
      <c r="D1024" s="138" t="s">
        <v>3979</v>
      </c>
    </row>
    <row r="1025" spans="1:4" x14ac:dyDescent="0.2">
      <c r="A1025" s="2300">
        <v>435500118</v>
      </c>
      <c r="B1025" s="145">
        <v>45500118</v>
      </c>
      <c r="C1025" s="186" t="s">
        <v>3984</v>
      </c>
      <c r="D1025" s="138" t="s">
        <v>3985</v>
      </c>
    </row>
    <row r="1026" spans="1:4" x14ac:dyDescent="0.2">
      <c r="A1026" s="145">
        <v>435590</v>
      </c>
      <c r="B1026" s="145" t="str">
        <f t="shared" ref="B1026:B1050" si="135">LEFT(A1026,1)&amp;RIGHT(A1026,4)&amp;"000"</f>
        <v>45590000</v>
      </c>
      <c r="C1026" s="186" t="s">
        <v>3986</v>
      </c>
      <c r="D1026"/>
    </row>
    <row r="1027" spans="1:4" x14ac:dyDescent="0.2">
      <c r="A1027" s="145">
        <v>435811</v>
      </c>
      <c r="B1027" s="145" t="s">
        <v>2517</v>
      </c>
      <c r="C1027" s="186" t="s">
        <v>3987</v>
      </c>
      <c r="D1027" t="s">
        <v>3988</v>
      </c>
    </row>
    <row r="1028" spans="1:4" x14ac:dyDescent="0.2">
      <c r="A1028" s="1603">
        <v>435829</v>
      </c>
      <c r="B1028" s="145" t="str">
        <f t="shared" si="135"/>
        <v>45829000</v>
      </c>
      <c r="C1028" s="186" t="s">
        <v>3989</v>
      </c>
      <c r="D1028"/>
    </row>
    <row r="1029" spans="1:4" x14ac:dyDescent="0.2">
      <c r="A1029" s="145">
        <v>436110</v>
      </c>
      <c r="B1029" s="145" t="str">
        <f t="shared" si="135"/>
        <v>46110000</v>
      </c>
      <c r="C1029" s="186" t="s">
        <v>3990</v>
      </c>
      <c r="D1029"/>
    </row>
    <row r="1030" spans="1:4" x14ac:dyDescent="0.2">
      <c r="A1030" s="145">
        <v>436120</v>
      </c>
      <c r="B1030" s="145" t="str">
        <f t="shared" si="135"/>
        <v>46120000</v>
      </c>
      <c r="C1030" s="186" t="s">
        <v>3991</v>
      </c>
      <c r="D1030"/>
    </row>
    <row r="1031" spans="1:4" x14ac:dyDescent="0.2">
      <c r="A1031" s="145">
        <v>436130</v>
      </c>
      <c r="B1031" s="145" t="str">
        <f t="shared" si="135"/>
        <v>46130000</v>
      </c>
      <c r="C1031" s="186" t="s">
        <v>3992</v>
      </c>
      <c r="D1031" s="870"/>
    </row>
    <row r="1032" spans="1:4" x14ac:dyDescent="0.2">
      <c r="A1032" s="145">
        <v>436140</v>
      </c>
      <c r="B1032" s="145" t="str">
        <f t="shared" si="135"/>
        <v>46140000</v>
      </c>
      <c r="C1032" s="186" t="s">
        <v>3993</v>
      </c>
      <c r="D1032"/>
    </row>
    <row r="1033" spans="1:4" x14ac:dyDescent="0.2">
      <c r="A1033" s="145">
        <v>436160</v>
      </c>
      <c r="B1033" s="145" t="str">
        <f t="shared" si="135"/>
        <v>46160000</v>
      </c>
      <c r="C1033" s="186" t="s">
        <v>3994</v>
      </c>
      <c r="D1033" s="138" t="s">
        <v>3995</v>
      </c>
    </row>
    <row r="1034" spans="1:4" x14ac:dyDescent="0.2">
      <c r="A1034" s="145">
        <v>436201</v>
      </c>
      <c r="B1034" s="145" t="str">
        <f t="shared" si="135"/>
        <v>46201000</v>
      </c>
      <c r="C1034" s="186" t="s">
        <v>3996</v>
      </c>
      <c r="D1034" s="138" t="s">
        <v>3995</v>
      </c>
    </row>
    <row r="1035" spans="1:4" x14ac:dyDescent="0.2">
      <c r="A1035" s="145">
        <v>436300</v>
      </c>
      <c r="B1035" s="145" t="str">
        <f t="shared" si="135"/>
        <v>46300000</v>
      </c>
      <c r="C1035" s="186" t="s">
        <v>3997</v>
      </c>
      <c r="D1035" s="138" t="s">
        <v>3995</v>
      </c>
    </row>
    <row r="1036" spans="1:4" x14ac:dyDescent="0.2">
      <c r="A1036" s="145">
        <v>436301</v>
      </c>
      <c r="B1036" s="145" t="str">
        <f t="shared" si="135"/>
        <v>46301000</v>
      </c>
      <c r="C1036" s="186" t="s">
        <v>3998</v>
      </c>
      <c r="D1036" t="s">
        <v>3999</v>
      </c>
    </row>
    <row r="1037" spans="1:4" x14ac:dyDescent="0.2">
      <c r="A1037" s="145">
        <v>437113</v>
      </c>
      <c r="B1037" s="145" t="str">
        <f t="shared" si="135"/>
        <v>47113000</v>
      </c>
      <c r="C1037" s="186" t="s">
        <v>4000</v>
      </c>
      <c r="D1037"/>
    </row>
    <row r="1038" spans="1:4" x14ac:dyDescent="0.2">
      <c r="A1038" s="145">
        <v>437114</v>
      </c>
      <c r="B1038" s="145" t="str">
        <f t="shared" si="135"/>
        <v>47114000</v>
      </c>
      <c r="C1038" s="186" t="s">
        <v>4001</v>
      </c>
      <c r="D1038"/>
    </row>
    <row r="1039" spans="1:4" x14ac:dyDescent="0.2">
      <c r="A1039" s="145">
        <v>437216</v>
      </c>
      <c r="B1039" s="145" t="str">
        <f t="shared" si="135"/>
        <v>47216000</v>
      </c>
      <c r="C1039" s="186" t="s">
        <v>4002</v>
      </c>
      <c r="D1039"/>
    </row>
    <row r="1040" spans="1:4" x14ac:dyDescent="0.2">
      <c r="A1040" s="2300">
        <v>437221</v>
      </c>
      <c r="B1040" s="145" t="str">
        <f t="shared" si="135"/>
        <v>47221000</v>
      </c>
      <c r="C1040" s="186" t="s">
        <v>4003</v>
      </c>
      <c r="D1040"/>
    </row>
    <row r="1041" spans="1:5" x14ac:dyDescent="0.2">
      <c r="A1041" s="2300">
        <v>437400</v>
      </c>
      <c r="B1041" s="145" t="str">
        <f t="shared" si="135"/>
        <v>47400000</v>
      </c>
      <c r="C1041" s="186" t="s">
        <v>4004</v>
      </c>
      <c r="D1041" s="138" t="s">
        <v>3279</v>
      </c>
    </row>
    <row r="1042" spans="1:5" x14ac:dyDescent="0.2">
      <c r="A1042" s="145">
        <v>437401</v>
      </c>
      <c r="B1042" s="145" t="str">
        <f t="shared" si="135"/>
        <v>47401000</v>
      </c>
      <c r="C1042" s="186" t="s">
        <v>4005</v>
      </c>
      <c r="D1042"/>
    </row>
    <row r="1043" spans="1:5" x14ac:dyDescent="0.2">
      <c r="A1043" s="145">
        <v>437410</v>
      </c>
      <c r="B1043" s="145" t="str">
        <f t="shared" si="135"/>
        <v>47410000</v>
      </c>
      <c r="C1043" s="186" t="s">
        <v>4006</v>
      </c>
      <c r="D1043"/>
    </row>
    <row r="1044" spans="1:5" x14ac:dyDescent="0.2">
      <c r="A1044" s="145">
        <v>437411</v>
      </c>
      <c r="B1044" s="145" t="str">
        <f t="shared" si="135"/>
        <v>47411000</v>
      </c>
      <c r="C1044" s="186" t="s">
        <v>4007</v>
      </c>
      <c r="D1044"/>
    </row>
    <row r="1045" spans="1:5" x14ac:dyDescent="0.2">
      <c r="A1045" s="145">
        <v>437420</v>
      </c>
      <c r="B1045" s="145" t="str">
        <f t="shared" si="135"/>
        <v>47420000</v>
      </c>
      <c r="C1045" s="186" t="s">
        <v>4008</v>
      </c>
      <c r="D1045"/>
    </row>
    <row r="1046" spans="1:5" x14ac:dyDescent="0.2">
      <c r="A1046" s="145">
        <v>437430</v>
      </c>
      <c r="B1046" s="145" t="str">
        <f t="shared" si="135"/>
        <v>47430000</v>
      </c>
      <c r="C1046" s="186" t="s">
        <v>4009</v>
      </c>
      <c r="D1046" s="138" t="s">
        <v>4010</v>
      </c>
    </row>
    <row r="1047" spans="1:5" x14ac:dyDescent="0.2">
      <c r="A1047" s="145">
        <v>438030</v>
      </c>
      <c r="B1047" s="145" t="str">
        <f t="shared" si="135"/>
        <v>48030000</v>
      </c>
      <c r="C1047" s="186" t="s">
        <v>4011</v>
      </c>
      <c r="D1047" s="973"/>
    </row>
    <row r="1048" spans="1:5" x14ac:dyDescent="0.2">
      <c r="A1048" s="145">
        <v>438054</v>
      </c>
      <c r="B1048" s="145" t="str">
        <f t="shared" si="135"/>
        <v>48054000</v>
      </c>
      <c r="C1048" s="186" t="s">
        <v>4012</v>
      </c>
      <c r="D1048" s="138" t="s">
        <v>4013</v>
      </c>
    </row>
    <row r="1049" spans="1:5" x14ac:dyDescent="0.2">
      <c r="A1049" s="145">
        <v>438072</v>
      </c>
      <c r="B1049" s="145" t="str">
        <f t="shared" si="135"/>
        <v>48072000</v>
      </c>
      <c r="C1049" s="186" t="s">
        <v>4014</v>
      </c>
      <c r="D1049"/>
    </row>
    <row r="1050" spans="1:5" x14ac:dyDescent="0.2">
      <c r="A1050" s="145" t="s">
        <v>4015</v>
      </c>
      <c r="B1050" s="145" t="str">
        <f t="shared" si="135"/>
        <v>482AA000</v>
      </c>
      <c r="C1050" s="186" t="s">
        <v>4016</v>
      </c>
      <c r="D1050"/>
    </row>
    <row r="1051" spans="1:5" x14ac:dyDescent="0.2">
      <c r="A1051" s="780" t="s">
        <v>4017</v>
      </c>
      <c r="B1051" s="2411"/>
      <c r="C1051" s="2131"/>
      <c r="D1051"/>
    </row>
    <row r="1052" spans="1:5" x14ac:dyDescent="0.2">
      <c r="A1052" s="866" t="s">
        <v>2882</v>
      </c>
      <c r="B1052" s="2411"/>
      <c r="C1052" s="2131"/>
      <c r="D1052"/>
    </row>
    <row r="1053" spans="1:5" x14ac:dyDescent="0.2">
      <c r="A1053" s="866" t="s">
        <v>4018</v>
      </c>
      <c r="B1053" s="2411"/>
      <c r="C1053" s="2131"/>
      <c r="D1053" s="916" t="s">
        <v>2940</v>
      </c>
      <c r="E1053" s="145">
        <v>2490</v>
      </c>
    </row>
    <row r="1054" spans="1:5" x14ac:dyDescent="0.2">
      <c r="A1054" s="145">
        <v>531110</v>
      </c>
      <c r="B1054" s="145" t="str">
        <f t="shared" ref="B1054:B1087" si="136">LEFT(A1054,1)&amp;RIGHT(A1054,4)&amp;"000"</f>
        <v>51110000</v>
      </c>
      <c r="C1054" s="2304" t="s">
        <v>4019</v>
      </c>
      <c r="D1054"/>
    </row>
    <row r="1055" spans="1:5" x14ac:dyDescent="0.2">
      <c r="A1055" s="145">
        <v>531120</v>
      </c>
      <c r="B1055" s="145" t="str">
        <f t="shared" si="136"/>
        <v>51120000</v>
      </c>
      <c r="C1055" s="186" t="s">
        <v>4020</v>
      </c>
      <c r="D1055"/>
    </row>
    <row r="1056" spans="1:5" x14ac:dyDescent="0.2">
      <c r="A1056" s="145">
        <v>531121</v>
      </c>
      <c r="B1056" s="145" t="str">
        <f t="shared" si="136"/>
        <v>51121000</v>
      </c>
      <c r="C1056" s="186" t="s">
        <v>4021</v>
      </c>
      <c r="D1056"/>
    </row>
    <row r="1057" spans="1:4" x14ac:dyDescent="0.2">
      <c r="A1057" s="145">
        <v>531122</v>
      </c>
      <c r="B1057" s="145" t="str">
        <f t="shared" si="136"/>
        <v>51122000</v>
      </c>
      <c r="C1057" s="186" t="s">
        <v>4022</v>
      </c>
      <c r="D1057"/>
    </row>
    <row r="1058" spans="1:4" x14ac:dyDescent="0.2">
      <c r="A1058" s="145">
        <v>531123</v>
      </c>
      <c r="B1058" s="145" t="str">
        <f t="shared" si="136"/>
        <v>51123000</v>
      </c>
      <c r="C1058" s="186" t="s">
        <v>4023</v>
      </c>
      <c r="D1058"/>
    </row>
    <row r="1059" spans="1:4" x14ac:dyDescent="0.2">
      <c r="A1059" s="145">
        <v>531124</v>
      </c>
      <c r="B1059" s="145" t="str">
        <f t="shared" si="136"/>
        <v>51124000</v>
      </c>
      <c r="C1059" s="186" t="s">
        <v>4024</v>
      </c>
      <c r="D1059"/>
    </row>
    <row r="1060" spans="1:4" x14ac:dyDescent="0.2">
      <c r="A1060" s="145">
        <v>531125</v>
      </c>
      <c r="B1060" s="145" t="str">
        <f t="shared" si="136"/>
        <v>51125000</v>
      </c>
      <c r="C1060" s="186" t="s">
        <v>4025</v>
      </c>
      <c r="D1060"/>
    </row>
    <row r="1061" spans="1:4" x14ac:dyDescent="0.2">
      <c r="A1061" s="145">
        <v>531126</v>
      </c>
      <c r="B1061" s="145" t="str">
        <f t="shared" si="136"/>
        <v>51126000</v>
      </c>
      <c r="C1061" s="186" t="s">
        <v>4026</v>
      </c>
      <c r="D1061"/>
    </row>
    <row r="1062" spans="1:4" x14ac:dyDescent="0.2">
      <c r="A1062" s="145">
        <v>531127</v>
      </c>
      <c r="B1062" s="145" t="str">
        <f t="shared" si="136"/>
        <v>51127000</v>
      </c>
      <c r="C1062" s="186" t="s">
        <v>4027</v>
      </c>
      <c r="D1062"/>
    </row>
    <row r="1063" spans="1:4" x14ac:dyDescent="0.2">
      <c r="A1063" s="145">
        <v>531128</v>
      </c>
      <c r="B1063" s="145" t="str">
        <f t="shared" si="136"/>
        <v>51128000</v>
      </c>
      <c r="C1063" s="186" t="s">
        <v>4028</v>
      </c>
      <c r="D1063"/>
    </row>
    <row r="1064" spans="1:4" x14ac:dyDescent="0.2">
      <c r="A1064" s="145">
        <v>531129</v>
      </c>
      <c r="B1064" s="145" t="str">
        <f t="shared" si="136"/>
        <v>51129000</v>
      </c>
      <c r="C1064" s="186" t="s">
        <v>4029</v>
      </c>
      <c r="D1064"/>
    </row>
    <row r="1065" spans="1:4" x14ac:dyDescent="0.2">
      <c r="A1065" s="145">
        <v>531130</v>
      </c>
      <c r="B1065" s="145" t="str">
        <f t="shared" si="136"/>
        <v>51130000</v>
      </c>
      <c r="C1065" s="186" t="s">
        <v>4030</v>
      </c>
      <c r="D1065"/>
    </row>
    <row r="1066" spans="1:4" x14ac:dyDescent="0.2">
      <c r="A1066" s="145">
        <v>531141</v>
      </c>
      <c r="B1066" s="145">
        <v>51140000</v>
      </c>
      <c r="C1066" s="186" t="s">
        <v>4031</v>
      </c>
      <c r="D1066"/>
    </row>
    <row r="1067" spans="1:4" x14ac:dyDescent="0.2">
      <c r="A1067" s="145">
        <v>531150</v>
      </c>
      <c r="B1067" s="145" t="str">
        <f t="shared" si="136"/>
        <v>51150000</v>
      </c>
      <c r="C1067" s="2304" t="s">
        <v>4032</v>
      </c>
      <c r="D1067"/>
    </row>
    <row r="1068" spans="1:4" x14ac:dyDescent="0.2">
      <c r="A1068" s="145">
        <v>531154</v>
      </c>
      <c r="B1068" s="145" t="str">
        <f t="shared" si="136"/>
        <v>51154000</v>
      </c>
      <c r="C1068" s="2304" t="s">
        <v>4033</v>
      </c>
      <c r="D1068"/>
    </row>
    <row r="1069" spans="1:4" x14ac:dyDescent="0.2">
      <c r="A1069" s="145">
        <v>531161</v>
      </c>
      <c r="B1069" s="145">
        <v>51160000</v>
      </c>
      <c r="C1069" s="2304" t="s">
        <v>4034</v>
      </c>
      <c r="D1069" s="138" t="s">
        <v>4035</v>
      </c>
    </row>
    <row r="1070" spans="1:4" x14ac:dyDescent="0.2">
      <c r="A1070" s="145">
        <v>531191</v>
      </c>
      <c r="B1070" s="145" t="str">
        <f t="shared" si="136"/>
        <v>51191000</v>
      </c>
      <c r="C1070" s="186" t="s">
        <v>4036</v>
      </c>
      <c r="D1070"/>
    </row>
    <row r="1071" spans="1:4" x14ac:dyDescent="0.2">
      <c r="A1071" s="145">
        <v>531192</v>
      </c>
      <c r="B1071" s="145" t="str">
        <f t="shared" si="136"/>
        <v>51192000</v>
      </c>
      <c r="C1071" s="186" t="s">
        <v>4037</v>
      </c>
      <c r="D1071"/>
    </row>
    <row r="1072" spans="1:4" x14ac:dyDescent="0.2">
      <c r="A1072" s="145">
        <v>531210</v>
      </c>
      <c r="B1072" s="145" t="str">
        <f t="shared" si="136"/>
        <v>51210000</v>
      </c>
      <c r="C1072" s="2304" t="s">
        <v>4038</v>
      </c>
      <c r="D1072"/>
    </row>
    <row r="1073" spans="1:4" x14ac:dyDescent="0.2">
      <c r="A1073" s="145">
        <v>531220</v>
      </c>
      <c r="B1073" s="145" t="str">
        <f t="shared" si="136"/>
        <v>51220000</v>
      </c>
      <c r="C1073" s="2304" t="s">
        <v>4039</v>
      </c>
      <c r="D1073"/>
    </row>
    <row r="1074" spans="1:4" x14ac:dyDescent="0.2">
      <c r="A1074" s="1603">
        <v>531230</v>
      </c>
      <c r="B1074" s="145" t="str">
        <f t="shared" si="136"/>
        <v>51230000</v>
      </c>
      <c r="C1074" s="2304" t="s">
        <v>4040</v>
      </c>
      <c r="D1074" t="s">
        <v>4041</v>
      </c>
    </row>
    <row r="1075" spans="1:4" x14ac:dyDescent="0.2">
      <c r="A1075" s="1603">
        <v>531231</v>
      </c>
      <c r="B1075" s="145" t="str">
        <f t="shared" si="136"/>
        <v>51231000</v>
      </c>
      <c r="C1075" s="186" t="s">
        <v>4042</v>
      </c>
      <c r="D1075" t="s">
        <v>4041</v>
      </c>
    </row>
    <row r="1076" spans="1:4" x14ac:dyDescent="0.2">
      <c r="A1076" s="145">
        <v>531251</v>
      </c>
      <c r="B1076" s="145">
        <v>51250000</v>
      </c>
      <c r="C1076" s="2304" t="s">
        <v>4043</v>
      </c>
      <c r="D1076"/>
    </row>
    <row r="1077" spans="1:4" x14ac:dyDescent="0.2">
      <c r="A1077" s="145">
        <v>531257</v>
      </c>
      <c r="B1077" s="145" t="str">
        <f t="shared" si="136"/>
        <v>51257000</v>
      </c>
      <c r="C1077" s="2304" t="s">
        <v>4044</v>
      </c>
      <c r="D1077"/>
    </row>
    <row r="1078" spans="1:4" x14ac:dyDescent="0.2">
      <c r="A1078" s="145">
        <v>531291</v>
      </c>
      <c r="B1078" s="145" t="str">
        <f t="shared" si="136"/>
        <v>51291000</v>
      </c>
      <c r="C1078" s="186" t="s">
        <v>4045</v>
      </c>
      <c r="D1078"/>
    </row>
    <row r="1079" spans="1:4" x14ac:dyDescent="0.2">
      <c r="A1079" s="145">
        <v>531292</v>
      </c>
      <c r="B1079" s="145" t="str">
        <f t="shared" si="136"/>
        <v>51292000</v>
      </c>
      <c r="C1079" s="186" t="s">
        <v>4046</v>
      </c>
      <c r="D1079"/>
    </row>
    <row r="1080" spans="1:4" x14ac:dyDescent="0.2">
      <c r="A1080" s="145">
        <v>531310</v>
      </c>
      <c r="B1080" s="145" t="str">
        <f t="shared" si="136"/>
        <v>51310000</v>
      </c>
      <c r="C1080" s="2304" t="s">
        <v>4047</v>
      </c>
      <c r="D1080"/>
    </row>
    <row r="1081" spans="1:4" x14ac:dyDescent="0.2">
      <c r="A1081" s="145">
        <v>531320</v>
      </c>
      <c r="B1081" s="145" t="str">
        <f t="shared" si="136"/>
        <v>51320000</v>
      </c>
      <c r="C1081" s="2304" t="s">
        <v>4048</v>
      </c>
      <c r="D1081"/>
    </row>
    <row r="1082" spans="1:4" x14ac:dyDescent="0.2">
      <c r="A1082" s="145">
        <v>531321</v>
      </c>
      <c r="B1082" s="145">
        <v>51320001</v>
      </c>
      <c r="C1082" s="2304" t="s">
        <v>4049</v>
      </c>
      <c r="D1082"/>
    </row>
    <row r="1083" spans="1:4" x14ac:dyDescent="0.2">
      <c r="A1083" s="145">
        <v>531322</v>
      </c>
      <c r="B1083" s="145">
        <v>51320002</v>
      </c>
      <c r="C1083" s="2304" t="s">
        <v>4050</v>
      </c>
      <c r="D1083"/>
    </row>
    <row r="1084" spans="1:4" x14ac:dyDescent="0.2">
      <c r="A1084" s="145">
        <v>531323</v>
      </c>
      <c r="B1084" s="145">
        <v>51320003</v>
      </c>
      <c r="C1084" s="2304" t="s">
        <v>4051</v>
      </c>
      <c r="D1084"/>
    </row>
    <row r="1085" spans="1:4" x14ac:dyDescent="0.2">
      <c r="A1085" s="145" t="s">
        <v>2517</v>
      </c>
      <c r="B1085" s="145">
        <v>51320004</v>
      </c>
      <c r="C1085" s="2304" t="s">
        <v>4052</v>
      </c>
      <c r="D1085"/>
    </row>
    <row r="1086" spans="1:4" x14ac:dyDescent="0.2">
      <c r="A1086" s="145" t="s">
        <v>2517</v>
      </c>
      <c r="B1086" s="145">
        <v>51320005</v>
      </c>
      <c r="C1086" s="2304" t="s">
        <v>4053</v>
      </c>
      <c r="D1086"/>
    </row>
    <row r="1087" spans="1:4" x14ac:dyDescent="0.2">
      <c r="A1087" s="145">
        <v>531350</v>
      </c>
      <c r="B1087" s="145" t="str">
        <f t="shared" si="136"/>
        <v>51350000</v>
      </c>
      <c r="C1087" s="2304" t="s">
        <v>4054</v>
      </c>
      <c r="D1087"/>
    </row>
    <row r="1088" spans="1:4" x14ac:dyDescent="0.2">
      <c r="A1088" s="145">
        <v>531410</v>
      </c>
      <c r="B1088" s="145" t="str">
        <f t="shared" ref="B1088:B1119" si="137">LEFT(A1088,1)&amp;RIGHT(A1088,4)&amp;"000"</f>
        <v>51410000</v>
      </c>
      <c r="C1088" s="2304" t="s">
        <v>4055</v>
      </c>
      <c r="D1088"/>
    </row>
    <row r="1089" spans="1:4" x14ac:dyDescent="0.2">
      <c r="A1089" s="145">
        <v>531411</v>
      </c>
      <c r="B1089" s="145">
        <v>51410001</v>
      </c>
      <c r="C1089" s="2304" t="s">
        <v>4056</v>
      </c>
      <c r="D1089"/>
    </row>
    <row r="1090" spans="1:4" x14ac:dyDescent="0.2">
      <c r="A1090" s="145">
        <v>531412</v>
      </c>
      <c r="B1090" s="145">
        <v>51410002</v>
      </c>
      <c r="C1090" s="2304" t="s">
        <v>4057</v>
      </c>
      <c r="D1090"/>
    </row>
    <row r="1091" spans="1:4" x14ac:dyDescent="0.2">
      <c r="A1091" s="145">
        <v>531413</v>
      </c>
      <c r="B1091" s="145">
        <v>51410003</v>
      </c>
      <c r="C1091" s="2304" t="s">
        <v>4058</v>
      </c>
      <c r="D1091"/>
    </row>
    <row r="1092" spans="1:4" x14ac:dyDescent="0.2">
      <c r="A1092" s="145" t="s">
        <v>2517</v>
      </c>
      <c r="B1092" s="145">
        <v>51410004</v>
      </c>
      <c r="C1092" s="2304" t="s">
        <v>4059</v>
      </c>
      <c r="D1092"/>
    </row>
    <row r="1093" spans="1:4" x14ac:dyDescent="0.2">
      <c r="A1093" s="145" t="s">
        <v>2517</v>
      </c>
      <c r="B1093" s="145">
        <v>51414000</v>
      </c>
      <c r="C1093" s="2304" t="s">
        <v>4060</v>
      </c>
      <c r="D1093"/>
    </row>
    <row r="1094" spans="1:4" x14ac:dyDescent="0.2">
      <c r="A1094" s="145">
        <v>531420</v>
      </c>
      <c r="B1094" s="145" t="str">
        <f t="shared" si="137"/>
        <v>51420000</v>
      </c>
      <c r="C1094" s="2304" t="s">
        <v>4061</v>
      </c>
      <c r="D1094"/>
    </row>
    <row r="1095" spans="1:4" x14ac:dyDescent="0.2">
      <c r="A1095" s="145">
        <v>531430</v>
      </c>
      <c r="B1095" s="145" t="str">
        <f t="shared" si="137"/>
        <v>51430000</v>
      </c>
      <c r="C1095" s="2304" t="s">
        <v>4062</v>
      </c>
      <c r="D1095"/>
    </row>
    <row r="1096" spans="1:4" x14ac:dyDescent="0.2">
      <c r="A1096" s="145">
        <v>531431</v>
      </c>
      <c r="B1096" s="145" t="str">
        <f t="shared" si="137"/>
        <v>51431000</v>
      </c>
      <c r="C1096" s="186" t="s">
        <v>4063</v>
      </c>
      <c r="D1096"/>
    </row>
    <row r="1097" spans="1:4" x14ac:dyDescent="0.2">
      <c r="A1097" s="145">
        <v>531432</v>
      </c>
      <c r="B1097" s="145" t="str">
        <f t="shared" si="137"/>
        <v>51432000</v>
      </c>
      <c r="C1097" s="186" t="s">
        <v>4064</v>
      </c>
      <c r="D1097"/>
    </row>
    <row r="1098" spans="1:4" x14ac:dyDescent="0.2">
      <c r="A1098" s="145">
        <v>531433</v>
      </c>
      <c r="B1098" s="145" t="str">
        <f t="shared" si="137"/>
        <v>51433000</v>
      </c>
      <c r="C1098" s="2304" t="s">
        <v>4065</v>
      </c>
      <c r="D1098"/>
    </row>
    <row r="1099" spans="1:4" x14ac:dyDescent="0.2">
      <c r="A1099" s="145" t="s">
        <v>2517</v>
      </c>
      <c r="B1099" s="145">
        <v>51430001</v>
      </c>
      <c r="C1099" s="2304" t="s">
        <v>4066</v>
      </c>
      <c r="D1099"/>
    </row>
    <row r="1100" spans="1:4" x14ac:dyDescent="0.2">
      <c r="A1100" s="145" t="s">
        <v>2517</v>
      </c>
      <c r="B1100" s="145">
        <v>51430002</v>
      </c>
      <c r="C1100" s="2304" t="s">
        <v>4067</v>
      </c>
      <c r="D1100"/>
    </row>
    <row r="1101" spans="1:4" x14ac:dyDescent="0.2">
      <c r="A1101" s="145" t="s">
        <v>2517</v>
      </c>
      <c r="B1101" s="145">
        <v>51430003</v>
      </c>
      <c r="C1101" s="2304" t="s">
        <v>4068</v>
      </c>
      <c r="D1101"/>
    </row>
    <row r="1102" spans="1:4" x14ac:dyDescent="0.2">
      <c r="A1102" s="145" t="s">
        <v>2517</v>
      </c>
      <c r="B1102" s="145">
        <v>51430004</v>
      </c>
      <c r="C1102" s="2304" t="s">
        <v>4069</v>
      </c>
      <c r="D1102"/>
    </row>
    <row r="1103" spans="1:4" x14ac:dyDescent="0.2">
      <c r="A1103" s="145">
        <v>531440</v>
      </c>
      <c r="B1103" s="145">
        <v>51430005</v>
      </c>
      <c r="C1103" s="2304" t="s">
        <v>4070</v>
      </c>
      <c r="D1103"/>
    </row>
    <row r="1104" spans="1:4" x14ac:dyDescent="0.2">
      <c r="A1104" s="145">
        <v>531441</v>
      </c>
      <c r="B1104" s="145">
        <v>51430006</v>
      </c>
      <c r="C1104" s="2304" t="s">
        <v>4071</v>
      </c>
      <c r="D1104"/>
    </row>
    <row r="1105" spans="1:5" x14ac:dyDescent="0.2">
      <c r="A1105" s="145">
        <v>531442</v>
      </c>
      <c r="B1105" s="145">
        <v>51430007</v>
      </c>
      <c r="C1105" s="2304" t="s">
        <v>4072</v>
      </c>
      <c r="D1105"/>
    </row>
    <row r="1106" spans="1:5" x14ac:dyDescent="0.2">
      <c r="A1106" s="145">
        <v>531443</v>
      </c>
      <c r="B1106" s="145">
        <v>51440000</v>
      </c>
      <c r="C1106" s="2304" t="s">
        <v>4073</v>
      </c>
      <c r="D1106"/>
    </row>
    <row r="1107" spans="1:5" x14ac:dyDescent="0.2">
      <c r="A1107" s="145">
        <v>531450</v>
      </c>
      <c r="B1107" s="145" t="str">
        <f t="shared" si="137"/>
        <v>51450000</v>
      </c>
      <c r="C1107" s="2304" t="s">
        <v>4074</v>
      </c>
      <c r="D1107"/>
    </row>
    <row r="1108" spans="1:5" x14ac:dyDescent="0.2">
      <c r="A1108" s="145">
        <v>531620</v>
      </c>
      <c r="B1108" s="145" t="str">
        <f t="shared" si="137"/>
        <v>51620000</v>
      </c>
      <c r="C1108" s="2304" t="s">
        <v>4075</v>
      </c>
      <c r="D1108"/>
    </row>
    <row r="1109" spans="1:5" x14ac:dyDescent="0.2">
      <c r="A1109" s="145">
        <v>531641</v>
      </c>
      <c r="B1109" s="145" t="str">
        <f t="shared" si="137"/>
        <v>51641000</v>
      </c>
      <c r="C1109" s="2304" t="s">
        <v>4076</v>
      </c>
      <c r="D1109"/>
    </row>
    <row r="1110" spans="1:5" x14ac:dyDescent="0.2">
      <c r="A1110" s="145" t="s">
        <v>2517</v>
      </c>
      <c r="B1110" s="145">
        <v>51641001</v>
      </c>
      <c r="C1110" s="2304" t="s">
        <v>4077</v>
      </c>
      <c r="D1110"/>
    </row>
    <row r="1111" spans="1:5" x14ac:dyDescent="0.2">
      <c r="A1111" s="145" t="s">
        <v>2517</v>
      </c>
      <c r="B1111" s="145">
        <v>51641002</v>
      </c>
      <c r="C1111" s="2304" t="s">
        <v>4078</v>
      </c>
      <c r="D1111"/>
    </row>
    <row r="1112" spans="1:5" x14ac:dyDescent="0.2">
      <c r="A1112" s="145" t="s">
        <v>2517</v>
      </c>
      <c r="B1112" s="145">
        <v>51641003</v>
      </c>
      <c r="C1112" s="2304" t="s">
        <v>4079</v>
      </c>
      <c r="D1112"/>
    </row>
    <row r="1113" spans="1:5" x14ac:dyDescent="0.2">
      <c r="A1113" s="145" t="s">
        <v>2517</v>
      </c>
      <c r="B1113" s="145">
        <v>51641004</v>
      </c>
      <c r="C1113" s="2304" t="s">
        <v>4080</v>
      </c>
      <c r="D1113"/>
    </row>
    <row r="1114" spans="1:5" x14ac:dyDescent="0.2">
      <c r="A1114" s="145">
        <v>531642</v>
      </c>
      <c r="B1114" s="145" t="str">
        <f t="shared" si="137"/>
        <v>51642000</v>
      </c>
      <c r="C1114" s="2304" t="s">
        <v>4081</v>
      </c>
      <c r="D1114"/>
    </row>
    <row r="1115" spans="1:5" x14ac:dyDescent="0.2">
      <c r="A1115" s="145">
        <v>531643</v>
      </c>
      <c r="B1115" s="145" t="str">
        <f t="shared" si="137"/>
        <v>51643000</v>
      </c>
      <c r="C1115" s="186" t="s">
        <v>4082</v>
      </c>
      <c r="D1115"/>
    </row>
    <row r="1116" spans="1:5" x14ac:dyDescent="0.2">
      <c r="A1116" s="145">
        <v>531649</v>
      </c>
      <c r="B1116" s="145" t="str">
        <f t="shared" si="137"/>
        <v>51649000</v>
      </c>
      <c r="C1116" s="186" t="s">
        <v>4083</v>
      </c>
      <c r="D1116"/>
    </row>
    <row r="1117" spans="1:5" x14ac:dyDescent="0.2">
      <c r="A1117" s="145">
        <v>531651</v>
      </c>
      <c r="B1117" s="145" t="str">
        <f t="shared" si="137"/>
        <v>51651000</v>
      </c>
      <c r="C1117" s="186" t="s">
        <v>4084</v>
      </c>
      <c r="D1117"/>
    </row>
    <row r="1118" spans="1:5" x14ac:dyDescent="0.2">
      <c r="A1118" s="145">
        <v>531652</v>
      </c>
      <c r="B1118" s="145" t="str">
        <f t="shared" si="137"/>
        <v>51652000</v>
      </c>
      <c r="C1118" s="186" t="s">
        <v>4085</v>
      </c>
      <c r="D1118"/>
    </row>
    <row r="1119" spans="1:5" x14ac:dyDescent="0.2">
      <c r="A1119" s="145">
        <v>531653</v>
      </c>
      <c r="B1119" s="145" t="str">
        <f t="shared" si="137"/>
        <v>51653000</v>
      </c>
      <c r="C1119" s="186" t="s">
        <v>4086</v>
      </c>
      <c r="D1119"/>
    </row>
    <row r="1120" spans="1:5" x14ac:dyDescent="0.2">
      <c r="A1120" s="866" t="s">
        <v>4087</v>
      </c>
      <c r="B1120" s="2411"/>
      <c r="C1120" s="2131"/>
      <c r="D1120" s="898" t="s">
        <v>2940</v>
      </c>
      <c r="E1120" s="145">
        <v>2490</v>
      </c>
    </row>
    <row r="1121" spans="1:4" x14ac:dyDescent="0.2">
      <c r="A1121" s="145">
        <v>531460</v>
      </c>
      <c r="B1121" s="145" t="str">
        <f t="shared" ref="B1121:B1159" si="138">LEFT(A1121,1)&amp;RIGHT(A1121,4)&amp;"000"</f>
        <v>51460000</v>
      </c>
      <c r="C1121" s="2304" t="s">
        <v>4088</v>
      </c>
      <c r="D1121"/>
    </row>
    <row r="1122" spans="1:4" x14ac:dyDescent="0.2">
      <c r="A1122" s="145">
        <v>531461</v>
      </c>
      <c r="B1122" s="145">
        <v>51460001</v>
      </c>
      <c r="C1122" s="2304" t="s">
        <v>4089</v>
      </c>
      <c r="D1122"/>
    </row>
    <row r="1123" spans="1:4" x14ac:dyDescent="0.2">
      <c r="A1123" s="145">
        <v>531471</v>
      </c>
      <c r="B1123" s="145">
        <v>51470000</v>
      </c>
      <c r="C1123" s="2304" t="s">
        <v>4090</v>
      </c>
      <c r="D1123"/>
    </row>
    <row r="1124" spans="1:4" x14ac:dyDescent="0.2">
      <c r="A1124" s="145" t="s">
        <v>2517</v>
      </c>
      <c r="B1124" s="145">
        <v>51475000</v>
      </c>
      <c r="C1124" s="2304" t="s">
        <v>4091</v>
      </c>
      <c r="D1124" s="138"/>
    </row>
    <row r="1125" spans="1:4" x14ac:dyDescent="0.2">
      <c r="A1125" s="2300">
        <v>531480</v>
      </c>
      <c r="B1125" s="145" t="str">
        <f t="shared" si="138"/>
        <v>51480000</v>
      </c>
      <c r="C1125" s="2304" t="s">
        <v>4092</v>
      </c>
      <c r="D1125" s="138" t="s">
        <v>4093</v>
      </c>
    </row>
    <row r="1126" spans="1:4" x14ac:dyDescent="0.2">
      <c r="A1126" s="145" t="s">
        <v>2517</v>
      </c>
      <c r="B1126" s="145">
        <v>51481000</v>
      </c>
      <c r="C1126" s="2304" t="s">
        <v>4094</v>
      </c>
      <c r="D1126" s="138"/>
    </row>
    <row r="1127" spans="1:4" x14ac:dyDescent="0.2">
      <c r="A1127" s="145" t="s">
        <v>2517</v>
      </c>
      <c r="B1127" s="145">
        <v>51484000</v>
      </c>
      <c r="C1127" s="2304" t="s">
        <v>4095</v>
      </c>
      <c r="D1127" s="138"/>
    </row>
    <row r="1128" spans="1:4" x14ac:dyDescent="0.2">
      <c r="A1128" s="145">
        <v>531510</v>
      </c>
      <c r="B1128" s="145" t="str">
        <f t="shared" si="138"/>
        <v>51510000</v>
      </c>
      <c r="C1128" s="2304" t="s">
        <v>4096</v>
      </c>
      <c r="D1128" s="138"/>
    </row>
    <row r="1129" spans="1:4" x14ac:dyDescent="0.2">
      <c r="A1129" s="145">
        <v>531520</v>
      </c>
      <c r="B1129" s="145" t="str">
        <f t="shared" si="138"/>
        <v>51520000</v>
      </c>
      <c r="C1129" s="2304" t="s">
        <v>4097</v>
      </c>
      <c r="D1129" s="138"/>
    </row>
    <row r="1130" spans="1:4" x14ac:dyDescent="0.2">
      <c r="A1130" s="145">
        <v>531530</v>
      </c>
      <c r="B1130" s="145" t="str">
        <f t="shared" si="138"/>
        <v>51530000</v>
      </c>
      <c r="C1130" s="2304" t="s">
        <v>4098</v>
      </c>
      <c r="D1130" s="138"/>
    </row>
    <row r="1131" spans="1:4" x14ac:dyDescent="0.2">
      <c r="A1131" s="145">
        <v>531540</v>
      </c>
      <c r="B1131" s="145" t="str">
        <f t="shared" si="138"/>
        <v>51540000</v>
      </c>
      <c r="C1131" s="2304" t="s">
        <v>4099</v>
      </c>
      <c r="D1131" s="138"/>
    </row>
    <row r="1132" spans="1:4" x14ac:dyDescent="0.2">
      <c r="A1132" s="2300">
        <v>531550</v>
      </c>
      <c r="B1132" s="145" t="str">
        <f t="shared" si="138"/>
        <v>51550000</v>
      </c>
      <c r="C1132" s="2304" t="s">
        <v>4100</v>
      </c>
      <c r="D1132" s="138" t="s">
        <v>4101</v>
      </c>
    </row>
    <row r="1133" spans="1:4" x14ac:dyDescent="0.2">
      <c r="A1133" s="145">
        <v>531560</v>
      </c>
      <c r="B1133" s="145" t="str">
        <f t="shared" si="138"/>
        <v>51560000</v>
      </c>
      <c r="C1133" s="2304" t="s">
        <v>4102</v>
      </c>
      <c r="D1133" s="138"/>
    </row>
    <row r="1134" spans="1:4" x14ac:dyDescent="0.2">
      <c r="A1134" s="145">
        <v>531572</v>
      </c>
      <c r="B1134" s="145" t="str">
        <f t="shared" si="138"/>
        <v>51572000</v>
      </c>
      <c r="C1134" s="186" t="s">
        <v>4103</v>
      </c>
      <c r="D1134" s="138" t="s">
        <v>4104</v>
      </c>
    </row>
    <row r="1135" spans="1:4" x14ac:dyDescent="0.2">
      <c r="A1135" s="145">
        <v>531573</v>
      </c>
      <c r="B1135" s="145" t="str">
        <f t="shared" si="138"/>
        <v>51573000</v>
      </c>
      <c r="C1135" s="186" t="s">
        <v>4105</v>
      </c>
      <c r="D1135" s="138"/>
    </row>
    <row r="1136" spans="1:4" x14ac:dyDescent="0.2">
      <c r="A1136" s="145">
        <v>531574</v>
      </c>
      <c r="B1136" s="145" t="str">
        <f t="shared" si="138"/>
        <v>51574000</v>
      </c>
      <c r="C1136" s="186" t="s">
        <v>4106</v>
      </c>
      <c r="D1136" s="138" t="s">
        <v>3516</v>
      </c>
    </row>
    <row r="1137" spans="1:4" x14ac:dyDescent="0.2">
      <c r="A1137" s="145">
        <v>531575</v>
      </c>
      <c r="B1137" s="145" t="str">
        <f t="shared" si="138"/>
        <v>51575000</v>
      </c>
      <c r="C1137" s="186" t="s">
        <v>4107</v>
      </c>
      <c r="D1137" s="138" t="s">
        <v>3048</v>
      </c>
    </row>
    <row r="1138" spans="1:4" x14ac:dyDescent="0.2">
      <c r="A1138" s="145">
        <v>531576</v>
      </c>
      <c r="B1138" s="145" t="str">
        <f t="shared" si="138"/>
        <v>51576000</v>
      </c>
      <c r="C1138" s="186" t="s">
        <v>4108</v>
      </c>
      <c r="D1138" s="138" t="s">
        <v>3031</v>
      </c>
    </row>
    <row r="1139" spans="1:4" x14ac:dyDescent="0.2">
      <c r="A1139" s="145">
        <v>531577</v>
      </c>
      <c r="B1139" s="145" t="str">
        <f t="shared" si="138"/>
        <v>51577000</v>
      </c>
      <c r="C1139" s="186" t="s">
        <v>4109</v>
      </c>
      <c r="D1139" s="138" t="s">
        <v>4110</v>
      </c>
    </row>
    <row r="1140" spans="1:4" x14ac:dyDescent="0.2">
      <c r="A1140" s="145">
        <v>531590</v>
      </c>
      <c r="B1140" s="145" t="str">
        <f t="shared" si="138"/>
        <v>51590000</v>
      </c>
      <c r="C1140" s="186" t="s">
        <v>4111</v>
      </c>
      <c r="D1140" s="138"/>
    </row>
    <row r="1141" spans="1:4" x14ac:dyDescent="0.2">
      <c r="A1141" s="145">
        <v>531595</v>
      </c>
      <c r="B1141" s="145" t="str">
        <f t="shared" si="138"/>
        <v>51595000</v>
      </c>
      <c r="C1141" s="186" t="s">
        <v>4112</v>
      </c>
      <c r="D1141" s="138" t="s">
        <v>4113</v>
      </c>
    </row>
    <row r="1142" spans="1:4" x14ac:dyDescent="0.2">
      <c r="A1142" s="2300">
        <v>531598</v>
      </c>
      <c r="B1142" s="145" t="str">
        <f t="shared" si="138"/>
        <v>51598000</v>
      </c>
      <c r="C1142" s="186" t="s">
        <v>4114</v>
      </c>
      <c r="D1142" s="138" t="s">
        <v>4115</v>
      </c>
    </row>
    <row r="1143" spans="1:4" x14ac:dyDescent="0.2">
      <c r="A1143" s="145">
        <v>531611</v>
      </c>
      <c r="B1143" s="145" t="str">
        <f t="shared" si="138"/>
        <v>51611000</v>
      </c>
      <c r="C1143" s="186" t="s">
        <v>4116</v>
      </c>
      <c r="D1143" s="138"/>
    </row>
    <row r="1144" spans="1:4" x14ac:dyDescent="0.2">
      <c r="A1144" s="145">
        <v>531624</v>
      </c>
      <c r="B1144" s="145" t="str">
        <f t="shared" si="138"/>
        <v>51624000</v>
      </c>
      <c r="C1144" s="186" t="s">
        <v>4117</v>
      </c>
      <c r="D1144"/>
    </row>
    <row r="1145" spans="1:4" x14ac:dyDescent="0.2">
      <c r="A1145" s="145">
        <v>531625</v>
      </c>
      <c r="B1145" s="145" t="str">
        <f t="shared" si="138"/>
        <v>51625000</v>
      </c>
      <c r="C1145" s="186" t="s">
        <v>4118</v>
      </c>
      <c r="D1145"/>
    </row>
    <row r="1146" spans="1:4" x14ac:dyDescent="0.2">
      <c r="A1146" s="145">
        <v>531626</v>
      </c>
      <c r="B1146" s="145" t="str">
        <f t="shared" si="138"/>
        <v>51626000</v>
      </c>
      <c r="C1146" s="186" t="s">
        <v>4119</v>
      </c>
      <c r="D1146"/>
    </row>
    <row r="1147" spans="1:4" x14ac:dyDescent="0.2">
      <c r="A1147" s="145" t="s">
        <v>2517</v>
      </c>
      <c r="B1147" s="145">
        <v>51630000</v>
      </c>
      <c r="C1147" s="186" t="s">
        <v>4120</v>
      </c>
      <c r="D1147"/>
    </row>
    <row r="1148" spans="1:4" x14ac:dyDescent="0.2">
      <c r="A1148" s="145">
        <v>531631</v>
      </c>
      <c r="B1148" s="145" t="str">
        <f t="shared" si="138"/>
        <v>51631000</v>
      </c>
      <c r="C1148" s="186" t="s">
        <v>4121</v>
      </c>
      <c r="D1148"/>
    </row>
    <row r="1149" spans="1:4" x14ac:dyDescent="0.2">
      <c r="A1149" s="145" t="s">
        <v>2517</v>
      </c>
      <c r="B1149" s="145">
        <v>51631001</v>
      </c>
      <c r="C1149" s="186" t="s">
        <v>4122</v>
      </c>
      <c r="D1149"/>
    </row>
    <row r="1150" spans="1:4" x14ac:dyDescent="0.2">
      <c r="A1150" s="145">
        <v>531632</v>
      </c>
      <c r="B1150" s="145" t="str">
        <f t="shared" si="138"/>
        <v>51632000</v>
      </c>
      <c r="C1150" s="186" t="s">
        <v>4123</v>
      </c>
      <c r="D1150"/>
    </row>
    <row r="1151" spans="1:4" x14ac:dyDescent="0.2">
      <c r="A1151" s="145" t="s">
        <v>2517</v>
      </c>
      <c r="B1151" s="145">
        <v>51633000</v>
      </c>
      <c r="C1151" s="186" t="s">
        <v>4124</v>
      </c>
      <c r="D1151"/>
    </row>
    <row r="1152" spans="1:4" x14ac:dyDescent="0.2">
      <c r="A1152" s="145">
        <v>531633</v>
      </c>
      <c r="B1152" s="145" t="str">
        <f t="shared" si="138"/>
        <v>51633000</v>
      </c>
      <c r="C1152" s="186" t="s">
        <v>4124</v>
      </c>
      <c r="D1152"/>
    </row>
    <row r="1153" spans="1:5" x14ac:dyDescent="0.2">
      <c r="A1153" s="145">
        <v>531634</v>
      </c>
      <c r="B1153" s="145" t="str">
        <f t="shared" si="138"/>
        <v>51634000</v>
      </c>
      <c r="C1153" s="186" t="s">
        <v>4125</v>
      </c>
      <c r="D1153"/>
    </row>
    <row r="1154" spans="1:5" x14ac:dyDescent="0.2">
      <c r="A1154" s="145">
        <v>531639</v>
      </c>
      <c r="B1154" s="145" t="str">
        <f t="shared" si="138"/>
        <v>51639000</v>
      </c>
      <c r="C1154" s="186" t="s">
        <v>4126</v>
      </c>
      <c r="D1154"/>
    </row>
    <row r="1155" spans="1:5" x14ac:dyDescent="0.2">
      <c r="A1155" s="145">
        <v>531660</v>
      </c>
      <c r="B1155" s="145" t="str">
        <f t="shared" si="138"/>
        <v>51660000</v>
      </c>
      <c r="C1155" s="186" t="s">
        <v>4127</v>
      </c>
      <c r="D1155"/>
    </row>
    <row r="1156" spans="1:5" x14ac:dyDescent="0.2">
      <c r="A1156" s="145">
        <v>531664</v>
      </c>
      <c r="B1156" s="145" t="str">
        <f t="shared" si="138"/>
        <v>51664000</v>
      </c>
      <c r="C1156" s="186" t="s">
        <v>4128</v>
      </c>
      <c r="D1156" t="s">
        <v>4129</v>
      </c>
    </row>
    <row r="1157" spans="1:5" x14ac:dyDescent="0.2">
      <c r="A1157" s="145">
        <v>531700</v>
      </c>
      <c r="B1157" s="145" t="str">
        <f t="shared" si="138"/>
        <v>51700000</v>
      </c>
      <c r="C1157" s="186" t="s">
        <v>4130</v>
      </c>
      <c r="D1157"/>
    </row>
    <row r="1158" spans="1:5" x14ac:dyDescent="0.2">
      <c r="A1158" s="145">
        <v>531998</v>
      </c>
      <c r="B1158" s="145" t="str">
        <f t="shared" si="138"/>
        <v>51998000</v>
      </c>
      <c r="C1158" s="186" t="s">
        <v>4131</v>
      </c>
      <c r="D1158"/>
    </row>
    <row r="1159" spans="1:5" x14ac:dyDescent="0.2">
      <c r="A1159" s="145">
        <v>531999</v>
      </c>
      <c r="B1159" s="145" t="str">
        <f t="shared" si="138"/>
        <v>51999000</v>
      </c>
      <c r="C1159" s="186" t="s">
        <v>4132</v>
      </c>
      <c r="D1159"/>
    </row>
    <row r="1160" spans="1:5" x14ac:dyDescent="0.2">
      <c r="A1160" s="145">
        <v>532941</v>
      </c>
      <c r="B1160" s="145" t="str">
        <f t="shared" ref="B1160:B1163" si="139">LEFT(A1160,1)&amp;RIGHT(A1160,4)&amp;"000"</f>
        <v>52941000</v>
      </c>
      <c r="C1160" s="186" t="s">
        <v>4133</v>
      </c>
      <c r="D1160" t="s">
        <v>4134</v>
      </c>
    </row>
    <row r="1161" spans="1:5" x14ac:dyDescent="0.2">
      <c r="A1161" s="145">
        <v>532942</v>
      </c>
      <c r="B1161" s="145" t="str">
        <f t="shared" si="139"/>
        <v>52942000</v>
      </c>
      <c r="C1161" s="186" t="s">
        <v>4135</v>
      </c>
      <c r="D1161" t="s">
        <v>4134</v>
      </c>
    </row>
    <row r="1162" spans="1:5" x14ac:dyDescent="0.2">
      <c r="A1162" s="145">
        <v>532950</v>
      </c>
      <c r="B1162" s="145" t="str">
        <f t="shared" si="139"/>
        <v>52950000</v>
      </c>
      <c r="C1162" s="186" t="s">
        <v>4136</v>
      </c>
      <c r="D1162"/>
    </row>
    <row r="1163" spans="1:5" x14ac:dyDescent="0.2">
      <c r="A1163" s="145">
        <v>532951</v>
      </c>
      <c r="B1163" s="145" t="str">
        <f t="shared" si="139"/>
        <v>52951000</v>
      </c>
      <c r="C1163" s="186" t="s">
        <v>4137</v>
      </c>
      <c r="D1163"/>
    </row>
    <row r="1164" spans="1:5" x14ac:dyDescent="0.2">
      <c r="A1164" s="145">
        <v>535840</v>
      </c>
      <c r="B1164" s="145" t="str">
        <f t="shared" ref="B1164" si="140">LEFT(A1164,1)&amp;RIGHT(A1164,4)&amp;"000"</f>
        <v>55840000</v>
      </c>
      <c r="C1164" s="186" t="s">
        <v>4138</v>
      </c>
      <c r="D1164"/>
    </row>
    <row r="1165" spans="1:5" x14ac:dyDescent="0.2">
      <c r="A1165" s="145" t="s">
        <v>2517</v>
      </c>
      <c r="B1165" s="145">
        <v>55840900</v>
      </c>
      <c r="C1165" s="186" t="s">
        <v>4139</v>
      </c>
      <c r="D1165"/>
    </row>
    <row r="1166" spans="1:5" x14ac:dyDescent="0.2">
      <c r="A1166" s="866" t="s">
        <v>4140</v>
      </c>
      <c r="B1166" s="2411"/>
      <c r="C1166" s="2131"/>
      <c r="D1166" s="898" t="s">
        <v>2940</v>
      </c>
      <c r="E1166" s="145">
        <v>2490</v>
      </c>
    </row>
    <row r="1167" spans="1:5" x14ac:dyDescent="0.2">
      <c r="A1167" s="2300">
        <v>535241</v>
      </c>
      <c r="B1167" s="145" t="str">
        <f t="shared" ref="B1167" si="141">LEFT(A1167,1)&amp;RIGHT(A1167,4)&amp;"000"</f>
        <v>55241000</v>
      </c>
      <c r="C1167" s="186" t="s">
        <v>4141</v>
      </c>
      <c r="D1167" s="2319"/>
    </row>
    <row r="1168" spans="1:5" x14ac:dyDescent="0.2">
      <c r="A1168" s="780" t="s">
        <v>2883</v>
      </c>
      <c r="B1168" s="2411"/>
      <c r="C1168" s="2131"/>
      <c r="D1168" s="898"/>
      <c r="E1168" s="145">
        <v>2510</v>
      </c>
    </row>
    <row r="1169" spans="1:5" ht="25.5" x14ac:dyDescent="0.2">
      <c r="A1169" s="2300" t="s">
        <v>4142</v>
      </c>
      <c r="B1169" s="2300" t="str">
        <f t="shared" ref="B1169" si="142">LEFT(A1169,1)&amp;RIGHT(A1169,4)&amp;"000"</f>
        <v>53XXX000</v>
      </c>
      <c r="C1169" s="2143" t="s">
        <v>4143</v>
      </c>
      <c r="D1169" s="2329"/>
    </row>
    <row r="1170" spans="1:5" ht="25.5" x14ac:dyDescent="0.2">
      <c r="A1170" s="145" t="s">
        <v>4144</v>
      </c>
      <c r="B1170" s="145" t="s">
        <v>4145</v>
      </c>
      <c r="C1170" s="2143" t="s">
        <v>4146</v>
      </c>
      <c r="D1170" s="2320" t="s">
        <v>4147</v>
      </c>
    </row>
    <row r="1171" spans="1:5" x14ac:dyDescent="0.2">
      <c r="A1171" s="866" t="s">
        <v>2010</v>
      </c>
      <c r="B1171" s="2411"/>
      <c r="C1171" s="2131"/>
      <c r="D1171" s="917"/>
      <c r="E1171" s="145">
        <v>2520</v>
      </c>
    </row>
    <row r="1172" spans="1:5" x14ac:dyDescent="0.2">
      <c r="A1172" s="866" t="s">
        <v>4148</v>
      </c>
      <c r="B1172" s="2411"/>
      <c r="C1172" s="2131"/>
      <c r="D1172" s="898" t="s">
        <v>2940</v>
      </c>
      <c r="E1172" s="145">
        <v>2520</v>
      </c>
    </row>
    <row r="1173" spans="1:5" x14ac:dyDescent="0.2">
      <c r="A1173" s="145">
        <v>532110</v>
      </c>
      <c r="B1173" s="145" t="str">
        <f t="shared" ref="B1173:B1214" si="143">LEFT(A1173,1)&amp;RIGHT(A1173,4)&amp;"000"</f>
        <v>52110000</v>
      </c>
      <c r="C1173" s="186" t="s">
        <v>4149</v>
      </c>
      <c r="D1173"/>
    </row>
    <row r="1174" spans="1:5" x14ac:dyDescent="0.2">
      <c r="A1174" s="145">
        <v>532120</v>
      </c>
      <c r="B1174" s="145" t="str">
        <f t="shared" si="143"/>
        <v>52120000</v>
      </c>
      <c r="C1174" s="186" t="s">
        <v>4150</v>
      </c>
      <c r="D1174"/>
    </row>
    <row r="1175" spans="1:5" x14ac:dyDescent="0.2">
      <c r="A1175" s="2300">
        <v>532123</v>
      </c>
      <c r="B1175" s="145" t="str">
        <f t="shared" si="143"/>
        <v>52123000</v>
      </c>
      <c r="C1175" s="186" t="s">
        <v>4151</v>
      </c>
      <c r="D1175"/>
    </row>
    <row r="1176" spans="1:5" x14ac:dyDescent="0.2">
      <c r="A1176" s="145">
        <v>532131</v>
      </c>
      <c r="B1176" s="145" t="str">
        <f t="shared" si="143"/>
        <v>52131000</v>
      </c>
      <c r="C1176" s="186" t="s">
        <v>4152</v>
      </c>
      <c r="D1176"/>
    </row>
    <row r="1177" spans="1:5" x14ac:dyDescent="0.2">
      <c r="A1177" s="145">
        <v>532132</v>
      </c>
      <c r="B1177" s="145" t="str">
        <f t="shared" si="143"/>
        <v>52132000</v>
      </c>
      <c r="C1177" s="186" t="s">
        <v>4153</v>
      </c>
      <c r="D1177"/>
    </row>
    <row r="1178" spans="1:5" x14ac:dyDescent="0.2">
      <c r="A1178" s="145">
        <v>532133</v>
      </c>
      <c r="B1178" s="145" t="str">
        <f t="shared" si="143"/>
        <v>52133000</v>
      </c>
      <c r="C1178" s="186" t="s">
        <v>4154</v>
      </c>
      <c r="D1178"/>
    </row>
    <row r="1179" spans="1:5" x14ac:dyDescent="0.2">
      <c r="A1179" s="2300" t="s">
        <v>4155</v>
      </c>
      <c r="B1179" s="145" t="str">
        <f t="shared" si="143"/>
        <v>5214B000</v>
      </c>
      <c r="C1179" s="186" t="s">
        <v>4156</v>
      </c>
      <c r="D1179" s="138" t="s">
        <v>4157</v>
      </c>
    </row>
    <row r="1180" spans="1:5" x14ac:dyDescent="0.2">
      <c r="A1180" s="2300">
        <v>532140</v>
      </c>
      <c r="B1180" s="145" t="str">
        <f t="shared" si="143"/>
        <v>52140000</v>
      </c>
      <c r="C1180" s="186" t="s">
        <v>4158</v>
      </c>
      <c r="D1180" s="138" t="s">
        <v>4159</v>
      </c>
    </row>
    <row r="1181" spans="1:5" x14ac:dyDescent="0.2">
      <c r="A1181" s="145">
        <v>532141</v>
      </c>
      <c r="B1181" s="145" t="str">
        <f t="shared" si="143"/>
        <v>52141000</v>
      </c>
      <c r="C1181" s="186" t="s">
        <v>4160</v>
      </c>
      <c r="D1181" s="138" t="s">
        <v>4161</v>
      </c>
    </row>
    <row r="1182" spans="1:5" x14ac:dyDescent="0.2">
      <c r="A1182" s="145">
        <v>532142</v>
      </c>
      <c r="B1182" s="145" t="str">
        <f t="shared" si="143"/>
        <v>52142000</v>
      </c>
      <c r="C1182" s="186" t="s">
        <v>4162</v>
      </c>
      <c r="D1182" s="138" t="s">
        <v>4163</v>
      </c>
    </row>
    <row r="1183" spans="1:5" x14ac:dyDescent="0.2">
      <c r="A1183" s="145">
        <v>532143</v>
      </c>
      <c r="B1183" s="145" t="str">
        <f t="shared" si="143"/>
        <v>52143000</v>
      </c>
      <c r="C1183" s="186" t="s">
        <v>4164</v>
      </c>
      <c r="D1183" s="138" t="s">
        <v>4163</v>
      </c>
    </row>
    <row r="1184" spans="1:5" x14ac:dyDescent="0.2">
      <c r="A1184" s="145">
        <v>532144</v>
      </c>
      <c r="B1184" s="145" t="str">
        <f t="shared" si="143"/>
        <v>52144000</v>
      </c>
      <c r="C1184" s="186" t="s">
        <v>4165</v>
      </c>
      <c r="D1184" s="138" t="s">
        <v>4163</v>
      </c>
    </row>
    <row r="1185" spans="1:4" x14ac:dyDescent="0.2">
      <c r="A1185" s="2300">
        <v>532145</v>
      </c>
      <c r="B1185" s="145" t="str">
        <f t="shared" si="143"/>
        <v>52145000</v>
      </c>
      <c r="C1185" s="186" t="s">
        <v>4166</v>
      </c>
      <c r="D1185" s="138" t="s">
        <v>4167</v>
      </c>
    </row>
    <row r="1186" spans="1:4" x14ac:dyDescent="0.2">
      <c r="A1186" s="145">
        <v>532146</v>
      </c>
      <c r="B1186" s="145" t="str">
        <f t="shared" si="143"/>
        <v>52146000</v>
      </c>
      <c r="C1186" s="186" t="s">
        <v>4168</v>
      </c>
      <c r="D1186" s="138" t="s">
        <v>4163</v>
      </c>
    </row>
    <row r="1187" spans="1:4" x14ac:dyDescent="0.2">
      <c r="A1187" s="145">
        <v>532147</v>
      </c>
      <c r="B1187" s="145" t="str">
        <f t="shared" si="143"/>
        <v>52147000</v>
      </c>
      <c r="C1187" s="186" t="s">
        <v>4169</v>
      </c>
      <c r="D1187" s="138"/>
    </row>
    <row r="1188" spans="1:4" x14ac:dyDescent="0.2">
      <c r="A1188" s="145">
        <v>532150</v>
      </c>
      <c r="B1188" s="145" t="str">
        <f t="shared" si="143"/>
        <v>52150000</v>
      </c>
      <c r="C1188" s="186" t="s">
        <v>4170</v>
      </c>
      <c r="D1188" s="138"/>
    </row>
    <row r="1189" spans="1:4" x14ac:dyDescent="0.2">
      <c r="A1189" s="2300">
        <v>532148</v>
      </c>
      <c r="B1189" s="145" t="str">
        <f t="shared" si="143"/>
        <v>52148000</v>
      </c>
      <c r="C1189" s="186" t="s">
        <v>4171</v>
      </c>
      <c r="D1189" s="138" t="s">
        <v>4110</v>
      </c>
    </row>
    <row r="1190" spans="1:4" x14ac:dyDescent="0.2">
      <c r="A1190" s="2300">
        <v>532149</v>
      </c>
      <c r="B1190" s="145" t="str">
        <f t="shared" si="143"/>
        <v>52149000</v>
      </c>
      <c r="C1190" s="186" t="s">
        <v>4172</v>
      </c>
      <c r="D1190" s="138" t="s">
        <v>4110</v>
      </c>
    </row>
    <row r="1191" spans="1:4" x14ac:dyDescent="0.2">
      <c r="A1191" s="145">
        <v>5321500</v>
      </c>
      <c r="B1191" s="145">
        <v>52150000</v>
      </c>
      <c r="C1191" s="186" t="s">
        <v>4173</v>
      </c>
      <c r="D1191"/>
    </row>
    <row r="1192" spans="1:4" x14ac:dyDescent="0.2">
      <c r="A1192" s="145">
        <v>532160</v>
      </c>
      <c r="B1192" s="145" t="str">
        <f t="shared" si="143"/>
        <v>52160000</v>
      </c>
      <c r="C1192" s="186" t="s">
        <v>4174</v>
      </c>
      <c r="D1192"/>
    </row>
    <row r="1193" spans="1:4" x14ac:dyDescent="0.2">
      <c r="A1193" s="145">
        <v>532170</v>
      </c>
      <c r="B1193" s="145" t="str">
        <f t="shared" si="143"/>
        <v>52170000</v>
      </c>
      <c r="C1193" s="186" t="s">
        <v>4175</v>
      </c>
      <c r="D1193"/>
    </row>
    <row r="1194" spans="1:4" x14ac:dyDescent="0.2">
      <c r="A1194" s="145">
        <v>532171</v>
      </c>
      <c r="B1194" s="145" t="str">
        <f t="shared" si="143"/>
        <v>52171000</v>
      </c>
      <c r="C1194" s="186" t="s">
        <v>4176</v>
      </c>
      <c r="D1194"/>
    </row>
    <row r="1195" spans="1:4" x14ac:dyDescent="0.2">
      <c r="A1195" s="145">
        <v>532181</v>
      </c>
      <c r="B1195" s="145" t="str">
        <f t="shared" si="143"/>
        <v>52181000</v>
      </c>
      <c r="C1195" s="186" t="s">
        <v>4177</v>
      </c>
      <c r="D1195"/>
    </row>
    <row r="1196" spans="1:4" x14ac:dyDescent="0.2">
      <c r="A1196" s="145">
        <v>532182</v>
      </c>
      <c r="B1196" s="145" t="str">
        <f t="shared" si="143"/>
        <v>52182000</v>
      </c>
      <c r="C1196" s="186" t="s">
        <v>4178</v>
      </c>
      <c r="D1196"/>
    </row>
    <row r="1197" spans="1:4" x14ac:dyDescent="0.2">
      <c r="A1197" s="145">
        <v>532183</v>
      </c>
      <c r="B1197" s="145" t="str">
        <f t="shared" si="143"/>
        <v>52183000</v>
      </c>
      <c r="C1197" s="186" t="s">
        <v>4179</v>
      </c>
      <c r="D1197"/>
    </row>
    <row r="1198" spans="1:4" x14ac:dyDescent="0.2">
      <c r="A1198" s="145">
        <v>5321830</v>
      </c>
      <c r="B1198" s="145">
        <v>52183000</v>
      </c>
      <c r="C1198" s="186" t="s">
        <v>4180</v>
      </c>
      <c r="D1198" s="138"/>
    </row>
    <row r="1199" spans="1:4" x14ac:dyDescent="0.2">
      <c r="A1199" s="145">
        <v>532185</v>
      </c>
      <c r="B1199" s="145" t="str">
        <f t="shared" si="143"/>
        <v>52185000</v>
      </c>
      <c r="C1199" s="186" t="s">
        <v>4181</v>
      </c>
      <c r="D1199" s="138"/>
    </row>
    <row r="1200" spans="1:4" x14ac:dyDescent="0.2">
      <c r="A1200" s="145">
        <v>5321850</v>
      </c>
      <c r="B1200" s="145">
        <v>52185000</v>
      </c>
      <c r="C1200" s="186" t="s">
        <v>4182</v>
      </c>
      <c r="D1200" s="138"/>
    </row>
    <row r="1201" spans="1:4" x14ac:dyDescent="0.2">
      <c r="A1201" s="145">
        <v>532184</v>
      </c>
      <c r="B1201" s="145" t="str">
        <f t="shared" si="143"/>
        <v>52184000</v>
      </c>
      <c r="C1201" s="186" t="s">
        <v>4183</v>
      </c>
      <c r="D1201" s="138" t="s">
        <v>4184</v>
      </c>
    </row>
    <row r="1202" spans="1:4" x14ac:dyDescent="0.2">
      <c r="A1202" s="145">
        <v>532185</v>
      </c>
      <c r="B1202" s="145" t="str">
        <f t="shared" si="143"/>
        <v>52185000</v>
      </c>
      <c r="C1202" s="186" t="s">
        <v>4181</v>
      </c>
      <c r="D1202" s="138"/>
    </row>
    <row r="1203" spans="1:4" x14ac:dyDescent="0.2">
      <c r="A1203" s="145">
        <v>532186</v>
      </c>
      <c r="B1203" s="145" t="str">
        <f t="shared" si="143"/>
        <v>52186000</v>
      </c>
      <c r="C1203" s="186" t="s">
        <v>4185</v>
      </c>
      <c r="D1203" s="138"/>
    </row>
    <row r="1204" spans="1:4" x14ac:dyDescent="0.2">
      <c r="A1204" s="145">
        <v>532187</v>
      </c>
      <c r="B1204" s="145" t="str">
        <f t="shared" si="143"/>
        <v>52187000</v>
      </c>
      <c r="C1204" s="186" t="s">
        <v>4186</v>
      </c>
      <c r="D1204" s="138"/>
    </row>
    <row r="1205" spans="1:4" x14ac:dyDescent="0.2">
      <c r="A1205" s="145">
        <v>532188</v>
      </c>
      <c r="B1205" s="145" t="str">
        <f t="shared" si="143"/>
        <v>52188000</v>
      </c>
      <c r="C1205" s="186" t="s">
        <v>4187</v>
      </c>
      <c r="D1205" s="138"/>
    </row>
    <row r="1206" spans="1:4" x14ac:dyDescent="0.2">
      <c r="A1206" s="145">
        <v>532189</v>
      </c>
      <c r="B1206" s="145" t="str">
        <f t="shared" si="143"/>
        <v>52189000</v>
      </c>
      <c r="C1206" s="186" t="s">
        <v>4188</v>
      </c>
      <c r="D1206" s="138" t="s">
        <v>4189</v>
      </c>
    </row>
    <row r="1207" spans="1:4" x14ac:dyDescent="0.2">
      <c r="A1207" s="145">
        <v>532191</v>
      </c>
      <c r="B1207" s="145" t="str">
        <f t="shared" si="143"/>
        <v>52191000</v>
      </c>
      <c r="C1207" s="186" t="s">
        <v>4190</v>
      </c>
      <c r="D1207" s="138"/>
    </row>
    <row r="1208" spans="1:4" x14ac:dyDescent="0.2">
      <c r="A1208" s="145">
        <v>532192</v>
      </c>
      <c r="B1208" s="145" t="str">
        <f t="shared" si="143"/>
        <v>52192000</v>
      </c>
      <c r="C1208" s="186" t="s">
        <v>4191</v>
      </c>
      <c r="D1208" s="138"/>
    </row>
    <row r="1209" spans="1:4" x14ac:dyDescent="0.2">
      <c r="A1209" s="145">
        <v>532193</v>
      </c>
      <c r="B1209" s="145" t="str">
        <f t="shared" si="143"/>
        <v>52193000</v>
      </c>
      <c r="C1209" s="186" t="s">
        <v>4192</v>
      </c>
      <c r="D1209"/>
    </row>
    <row r="1210" spans="1:4" x14ac:dyDescent="0.2">
      <c r="A1210" s="145">
        <v>532194</v>
      </c>
      <c r="B1210" s="145" t="str">
        <f t="shared" si="143"/>
        <v>52194000</v>
      </c>
      <c r="C1210" s="186" t="s">
        <v>4193</v>
      </c>
      <c r="D1210"/>
    </row>
    <row r="1211" spans="1:4" x14ac:dyDescent="0.2">
      <c r="A1211" s="145">
        <v>532195</v>
      </c>
      <c r="B1211" s="145" t="str">
        <f t="shared" si="143"/>
        <v>52195000</v>
      </c>
      <c r="C1211" s="186" t="s">
        <v>4194</v>
      </c>
      <c r="D1211" t="s">
        <v>4195</v>
      </c>
    </row>
    <row r="1212" spans="1:4" x14ac:dyDescent="0.2">
      <c r="A1212" s="1603">
        <v>532196</v>
      </c>
      <c r="B1212" s="145" t="str">
        <f t="shared" si="143"/>
        <v>52196000</v>
      </c>
      <c r="C1212" s="186" t="s">
        <v>4196</v>
      </c>
      <c r="D1212" t="s">
        <v>3048</v>
      </c>
    </row>
    <row r="1213" spans="1:4" x14ac:dyDescent="0.2">
      <c r="A1213" s="1603">
        <v>532197</v>
      </c>
      <c r="B1213" s="145" t="str">
        <f t="shared" si="143"/>
        <v>52197000</v>
      </c>
      <c r="C1213" s="186" t="s">
        <v>4197</v>
      </c>
      <c r="D1213" t="s">
        <v>3048</v>
      </c>
    </row>
    <row r="1214" spans="1:4" x14ac:dyDescent="0.2">
      <c r="A1214" s="145">
        <v>532199</v>
      </c>
      <c r="B1214" s="145" t="str">
        <f t="shared" si="143"/>
        <v>52199000</v>
      </c>
      <c r="C1214" s="186" t="s">
        <v>4198</v>
      </c>
      <c r="D1214" t="s">
        <v>4199</v>
      </c>
    </row>
    <row r="1215" spans="1:4" x14ac:dyDescent="0.2">
      <c r="A1215" s="145">
        <v>532199000</v>
      </c>
      <c r="B1215" s="145" t="str">
        <f>LEFT(A1215,1)&amp;RIGHT(A1215,7)</f>
        <v>52199000</v>
      </c>
      <c r="C1215" s="186" t="s">
        <v>4200</v>
      </c>
      <c r="D1215"/>
    </row>
    <row r="1216" spans="1:4" x14ac:dyDescent="0.2">
      <c r="A1216" s="145">
        <v>532199001</v>
      </c>
      <c r="B1216" s="145" t="str">
        <f>LEFT(A1216,1)&amp;RIGHT(A1216,7)</f>
        <v>52199001</v>
      </c>
      <c r="C1216" s="186" t="s">
        <v>4201</v>
      </c>
      <c r="D1216"/>
    </row>
    <row r="1217" spans="1:4" x14ac:dyDescent="0.2">
      <c r="A1217" s="145">
        <v>532199002</v>
      </c>
      <c r="B1217" s="145" t="str">
        <f>LEFT(A1217,1)&amp;RIGHT(A1217,7)</f>
        <v>52199002</v>
      </c>
      <c r="C1217" s="186" t="s">
        <v>4202</v>
      </c>
      <c r="D1217"/>
    </row>
    <row r="1218" spans="1:4" x14ac:dyDescent="0.2">
      <c r="A1218" s="145">
        <v>532199003</v>
      </c>
      <c r="B1218" s="145" t="str">
        <f t="shared" ref="B1218:B1236" si="144">LEFT(A1218,1)&amp;RIGHT(A1218,7)</f>
        <v>52199003</v>
      </c>
      <c r="C1218" s="186" t="s">
        <v>4203</v>
      </c>
      <c r="D1218"/>
    </row>
    <row r="1219" spans="1:4" x14ac:dyDescent="0.2">
      <c r="A1219" s="145">
        <v>532199004</v>
      </c>
      <c r="B1219" s="145" t="str">
        <f t="shared" si="144"/>
        <v>52199004</v>
      </c>
      <c r="C1219" s="186" t="s">
        <v>4204</v>
      </c>
      <c r="D1219"/>
    </row>
    <row r="1220" spans="1:4" x14ac:dyDescent="0.2">
      <c r="A1220" s="145">
        <v>532199005</v>
      </c>
      <c r="B1220" s="145" t="str">
        <f t="shared" si="144"/>
        <v>52199005</v>
      </c>
      <c r="C1220" s="186" t="s">
        <v>4205</v>
      </c>
      <c r="D1220"/>
    </row>
    <row r="1221" spans="1:4" x14ac:dyDescent="0.2">
      <c r="A1221" s="145">
        <v>532199006</v>
      </c>
      <c r="B1221" s="145" t="str">
        <f t="shared" si="144"/>
        <v>52199006</v>
      </c>
      <c r="C1221" s="186" t="s">
        <v>4206</v>
      </c>
      <c r="D1221"/>
    </row>
    <row r="1222" spans="1:4" x14ac:dyDescent="0.2">
      <c r="A1222" s="145">
        <v>532199007</v>
      </c>
      <c r="B1222" s="145" t="str">
        <f t="shared" si="144"/>
        <v>52199007</v>
      </c>
      <c r="C1222" s="186" t="s">
        <v>4207</v>
      </c>
      <c r="D1222"/>
    </row>
    <row r="1223" spans="1:4" x14ac:dyDescent="0.2">
      <c r="A1223" s="145">
        <v>532199008</v>
      </c>
      <c r="B1223" s="145" t="str">
        <f t="shared" si="144"/>
        <v>52199008</v>
      </c>
      <c r="C1223" s="186" t="s">
        <v>4208</v>
      </c>
      <c r="D1223"/>
    </row>
    <row r="1224" spans="1:4" x14ac:dyDescent="0.2">
      <c r="A1224" s="145">
        <v>532199009</v>
      </c>
      <c r="B1224" s="145" t="str">
        <f t="shared" si="144"/>
        <v>52199009</v>
      </c>
      <c r="C1224" s="186" t="s">
        <v>4209</v>
      </c>
      <c r="D1224"/>
    </row>
    <row r="1225" spans="1:4" x14ac:dyDescent="0.2">
      <c r="A1225" s="145">
        <v>532199010</v>
      </c>
      <c r="B1225" s="145" t="str">
        <f t="shared" si="144"/>
        <v>52199010</v>
      </c>
      <c r="C1225" s="186" t="s">
        <v>4210</v>
      </c>
      <c r="D1225"/>
    </row>
    <row r="1226" spans="1:4" hidden="1" x14ac:dyDescent="0.2">
      <c r="A1226" s="145">
        <v>532199215</v>
      </c>
      <c r="B1226" s="2053" t="str">
        <f t="shared" si="144"/>
        <v>52199215</v>
      </c>
      <c r="C1226" s="186" t="s">
        <v>4211</v>
      </c>
      <c r="D1226"/>
    </row>
    <row r="1227" spans="1:4" hidden="1" x14ac:dyDescent="0.2">
      <c r="A1227" s="145">
        <v>532199310</v>
      </c>
      <c r="B1227" s="2053" t="str">
        <f t="shared" si="144"/>
        <v>52199310</v>
      </c>
      <c r="C1227" s="186" t="s">
        <v>4212</v>
      </c>
      <c r="D1227"/>
    </row>
    <row r="1228" spans="1:4" hidden="1" x14ac:dyDescent="0.2">
      <c r="A1228" s="145">
        <v>532199314</v>
      </c>
      <c r="B1228" s="2053" t="str">
        <f t="shared" si="144"/>
        <v>52199314</v>
      </c>
      <c r="C1228" s="186" t="s">
        <v>4213</v>
      </c>
      <c r="D1228"/>
    </row>
    <row r="1229" spans="1:4" hidden="1" x14ac:dyDescent="0.2">
      <c r="A1229" s="145">
        <v>532199356</v>
      </c>
      <c r="B1229" s="2053" t="str">
        <f t="shared" si="144"/>
        <v>52199356</v>
      </c>
      <c r="C1229" s="186" t="s">
        <v>4214</v>
      </c>
      <c r="D1229"/>
    </row>
    <row r="1230" spans="1:4" hidden="1" x14ac:dyDescent="0.2">
      <c r="A1230" s="145" t="s">
        <v>4215</v>
      </c>
      <c r="B1230" s="2053" t="str">
        <f t="shared" si="144"/>
        <v>5219935A</v>
      </c>
      <c r="C1230" s="186" t="s">
        <v>4216</v>
      </c>
      <c r="D1230"/>
    </row>
    <row r="1231" spans="1:4" hidden="1" x14ac:dyDescent="0.2">
      <c r="A1231" s="145">
        <v>532199380</v>
      </c>
      <c r="B1231" s="2053" t="str">
        <f t="shared" si="144"/>
        <v>52199380</v>
      </c>
      <c r="C1231" s="186" t="s">
        <v>4217</v>
      </c>
      <c r="D1231"/>
    </row>
    <row r="1232" spans="1:4" hidden="1" x14ac:dyDescent="0.2">
      <c r="A1232" s="145">
        <v>532199383</v>
      </c>
      <c r="B1232" s="2053" t="str">
        <f t="shared" si="144"/>
        <v>52199383</v>
      </c>
      <c r="C1232" s="186" t="s">
        <v>4218</v>
      </c>
      <c r="D1232"/>
    </row>
    <row r="1233" spans="1:5" hidden="1" x14ac:dyDescent="0.2">
      <c r="A1233" s="145">
        <v>532199476</v>
      </c>
      <c r="B1233" s="2053" t="str">
        <f t="shared" si="144"/>
        <v>52199476</v>
      </c>
      <c r="C1233" s="186" t="s">
        <v>4219</v>
      </c>
      <c r="D1233"/>
    </row>
    <row r="1234" spans="1:5" hidden="1" x14ac:dyDescent="0.2">
      <c r="A1234" s="145">
        <v>532199604</v>
      </c>
      <c r="B1234" s="2053" t="str">
        <f t="shared" si="144"/>
        <v>52199604</v>
      </c>
      <c r="C1234" s="186" t="s">
        <v>4220</v>
      </c>
      <c r="D1234"/>
    </row>
    <row r="1235" spans="1:5" hidden="1" x14ac:dyDescent="0.2">
      <c r="A1235" s="145">
        <v>532199619</v>
      </c>
      <c r="B1235" s="2053" t="str">
        <f t="shared" si="144"/>
        <v>52199619</v>
      </c>
      <c r="C1235" s="186" t="s">
        <v>4221</v>
      </c>
      <c r="D1235"/>
    </row>
    <row r="1236" spans="1:5" x14ac:dyDescent="0.2">
      <c r="A1236" s="145">
        <v>532199900</v>
      </c>
      <c r="B1236" s="145" t="str">
        <f t="shared" si="144"/>
        <v>52199900</v>
      </c>
      <c r="C1236" s="186" t="s">
        <v>4222</v>
      </c>
      <c r="D1236"/>
    </row>
    <row r="1237" spans="1:5" x14ac:dyDescent="0.2">
      <c r="A1237" s="866" t="s">
        <v>4223</v>
      </c>
      <c r="B1237" s="2411"/>
      <c r="C1237" s="2131"/>
      <c r="D1237" s="898" t="s">
        <v>2940</v>
      </c>
      <c r="E1237" s="145">
        <v>2520</v>
      </c>
    </row>
    <row r="1238" spans="1:5" x14ac:dyDescent="0.2">
      <c r="A1238" s="145">
        <v>532210</v>
      </c>
      <c r="B1238" s="145" t="str">
        <f t="shared" ref="B1238:B1246" si="145">LEFT(A1238,1)&amp;RIGHT(A1238,4)&amp;"000"</f>
        <v>52210000</v>
      </c>
      <c r="C1238" s="186" t="s">
        <v>4224</v>
      </c>
      <c r="D1238"/>
    </row>
    <row r="1239" spans="1:5" x14ac:dyDescent="0.2">
      <c r="A1239" s="145">
        <v>532220</v>
      </c>
      <c r="B1239" s="145" t="str">
        <f t="shared" si="145"/>
        <v>52220000</v>
      </c>
      <c r="C1239" s="186" t="s">
        <v>4225</v>
      </c>
      <c r="D1239"/>
    </row>
    <row r="1240" spans="1:5" x14ac:dyDescent="0.2">
      <c r="A1240" s="145">
        <v>532230</v>
      </c>
      <c r="B1240" s="145" t="str">
        <f t="shared" si="145"/>
        <v>52230000</v>
      </c>
      <c r="C1240" s="186" t="s">
        <v>4226</v>
      </c>
      <c r="D1240"/>
    </row>
    <row r="1241" spans="1:5" x14ac:dyDescent="0.2">
      <c r="A1241" s="145">
        <v>532241</v>
      </c>
      <c r="B1241" s="145" t="str">
        <f t="shared" si="145"/>
        <v>52241000</v>
      </c>
      <c r="C1241" s="186" t="s">
        <v>4227</v>
      </c>
      <c r="D1241"/>
    </row>
    <row r="1242" spans="1:5" x14ac:dyDescent="0.2">
      <c r="A1242" s="145">
        <v>532242</v>
      </c>
      <c r="B1242" s="145" t="str">
        <f t="shared" si="145"/>
        <v>52242000</v>
      </c>
      <c r="C1242" s="186" t="s">
        <v>4228</v>
      </c>
      <c r="D1242"/>
    </row>
    <row r="1243" spans="1:5" x14ac:dyDescent="0.2">
      <c r="A1243" s="145">
        <v>532243</v>
      </c>
      <c r="B1243" s="145" t="str">
        <f t="shared" si="145"/>
        <v>52243000</v>
      </c>
      <c r="C1243" s="186" t="s">
        <v>4229</v>
      </c>
      <c r="D1243"/>
    </row>
    <row r="1244" spans="1:5" x14ac:dyDescent="0.2">
      <c r="A1244" s="145">
        <v>532244</v>
      </c>
      <c r="B1244" s="145" t="str">
        <f t="shared" si="145"/>
        <v>52244000</v>
      </c>
      <c r="C1244" s="186" t="s">
        <v>4230</v>
      </c>
      <c r="D1244"/>
    </row>
    <row r="1245" spans="1:5" x14ac:dyDescent="0.2">
      <c r="A1245" s="145">
        <v>532245</v>
      </c>
      <c r="B1245" s="145" t="str">
        <f t="shared" si="145"/>
        <v>52245000</v>
      </c>
      <c r="C1245" s="186" t="s">
        <v>4231</v>
      </c>
      <c r="D1245"/>
    </row>
    <row r="1246" spans="1:5" x14ac:dyDescent="0.2">
      <c r="A1246" s="145">
        <v>532870</v>
      </c>
      <c r="B1246" s="145" t="str">
        <f t="shared" si="145"/>
        <v>52870000</v>
      </c>
      <c r="C1246" s="186" t="s">
        <v>4232</v>
      </c>
      <c r="D1246"/>
    </row>
    <row r="1247" spans="1:5" x14ac:dyDescent="0.2">
      <c r="A1247" s="866" t="s">
        <v>4233</v>
      </c>
      <c r="B1247" s="2411"/>
      <c r="C1247" s="2131"/>
      <c r="D1247" s="898" t="s">
        <v>2940</v>
      </c>
      <c r="E1247" s="145">
        <v>2520</v>
      </c>
    </row>
    <row r="1248" spans="1:5" x14ac:dyDescent="0.2">
      <c r="A1248" s="145">
        <v>532711</v>
      </c>
      <c r="B1248" s="145" t="str">
        <f t="shared" ref="B1248:B1268" si="146">LEFT(A1248,1)&amp;RIGHT(A1248,4)&amp;"000"</f>
        <v>52711000</v>
      </c>
      <c r="C1248" s="186" t="s">
        <v>4234</v>
      </c>
      <c r="D1248"/>
    </row>
    <row r="1249" spans="1:4" x14ac:dyDescent="0.2">
      <c r="A1249" s="145">
        <v>532712</v>
      </c>
      <c r="B1249" s="145" t="str">
        <f t="shared" si="146"/>
        <v>52712000</v>
      </c>
      <c r="C1249" s="186" t="s">
        <v>4235</v>
      </c>
      <c r="D1249"/>
    </row>
    <row r="1250" spans="1:4" x14ac:dyDescent="0.2">
      <c r="A1250" s="145">
        <v>532713</v>
      </c>
      <c r="B1250" s="145" t="str">
        <f t="shared" si="146"/>
        <v>52713000</v>
      </c>
      <c r="C1250" s="186" t="s">
        <v>4236</v>
      </c>
      <c r="D1250"/>
    </row>
    <row r="1251" spans="1:4" x14ac:dyDescent="0.2">
      <c r="A1251" s="145">
        <v>532714</v>
      </c>
      <c r="B1251" s="145" t="str">
        <f t="shared" si="146"/>
        <v>52714000</v>
      </c>
      <c r="C1251" s="186" t="s">
        <v>4237</v>
      </c>
      <c r="D1251"/>
    </row>
    <row r="1252" spans="1:4" x14ac:dyDescent="0.2">
      <c r="A1252" s="145">
        <v>532715</v>
      </c>
      <c r="B1252" s="145" t="str">
        <f t="shared" si="146"/>
        <v>52715000</v>
      </c>
      <c r="C1252" s="186" t="s">
        <v>4238</v>
      </c>
      <c r="D1252"/>
    </row>
    <row r="1253" spans="1:4" x14ac:dyDescent="0.2">
      <c r="A1253" s="145">
        <v>532716</v>
      </c>
      <c r="B1253" s="145" t="str">
        <f t="shared" si="146"/>
        <v>52716000</v>
      </c>
      <c r="C1253" s="186" t="s">
        <v>4239</v>
      </c>
      <c r="D1253"/>
    </row>
    <row r="1254" spans="1:4" x14ac:dyDescent="0.2">
      <c r="A1254" s="145">
        <v>532717</v>
      </c>
      <c r="B1254" s="145" t="str">
        <f t="shared" si="146"/>
        <v>52717000</v>
      </c>
      <c r="C1254" s="186" t="s">
        <v>4240</v>
      </c>
      <c r="D1254"/>
    </row>
    <row r="1255" spans="1:4" x14ac:dyDescent="0.2">
      <c r="A1255" s="145">
        <v>532718</v>
      </c>
      <c r="B1255" s="145" t="str">
        <f t="shared" si="146"/>
        <v>52718000</v>
      </c>
      <c r="C1255" s="186" t="s">
        <v>4241</v>
      </c>
      <c r="D1255"/>
    </row>
    <row r="1256" spans="1:4" x14ac:dyDescent="0.2">
      <c r="A1256" s="145">
        <v>532719</v>
      </c>
      <c r="B1256" s="145" t="str">
        <f t="shared" si="146"/>
        <v>52719000</v>
      </c>
      <c r="C1256" s="186" t="s">
        <v>4242</v>
      </c>
      <c r="D1256"/>
    </row>
    <row r="1257" spans="1:4" x14ac:dyDescent="0.2">
      <c r="A1257" s="145">
        <v>532721</v>
      </c>
      <c r="B1257" s="145" t="str">
        <f t="shared" si="146"/>
        <v>52721000</v>
      </c>
      <c r="C1257" s="186" t="s">
        <v>4243</v>
      </c>
      <c r="D1257"/>
    </row>
    <row r="1258" spans="1:4" x14ac:dyDescent="0.2">
      <c r="A1258" s="145">
        <v>532722</v>
      </c>
      <c r="B1258" s="145" t="str">
        <f t="shared" si="146"/>
        <v>52722000</v>
      </c>
      <c r="C1258" s="186" t="s">
        <v>4244</v>
      </c>
      <c r="D1258"/>
    </row>
    <row r="1259" spans="1:4" x14ac:dyDescent="0.2">
      <c r="A1259" s="145">
        <v>532723</v>
      </c>
      <c r="B1259" s="145" t="str">
        <f t="shared" si="146"/>
        <v>52723000</v>
      </c>
      <c r="C1259" s="186" t="s">
        <v>4245</v>
      </c>
      <c r="D1259"/>
    </row>
    <row r="1260" spans="1:4" x14ac:dyDescent="0.2">
      <c r="A1260" s="145">
        <v>532724</v>
      </c>
      <c r="B1260" s="145" t="str">
        <f t="shared" si="146"/>
        <v>52724000</v>
      </c>
      <c r="C1260" s="186" t="s">
        <v>4246</v>
      </c>
      <c r="D1260"/>
    </row>
    <row r="1261" spans="1:4" x14ac:dyDescent="0.2">
      <c r="A1261" s="145">
        <v>532725</v>
      </c>
      <c r="B1261" s="145" t="str">
        <f t="shared" si="146"/>
        <v>52725000</v>
      </c>
      <c r="C1261" s="186" t="s">
        <v>4247</v>
      </c>
      <c r="D1261"/>
    </row>
    <row r="1262" spans="1:4" x14ac:dyDescent="0.2">
      <c r="A1262" s="145">
        <v>532726</v>
      </c>
      <c r="B1262" s="145" t="str">
        <f t="shared" si="146"/>
        <v>52726000</v>
      </c>
      <c r="C1262" s="186" t="s">
        <v>4248</v>
      </c>
      <c r="D1262"/>
    </row>
    <row r="1263" spans="1:4" x14ac:dyDescent="0.2">
      <c r="A1263" s="145">
        <v>532727</v>
      </c>
      <c r="B1263" s="145" t="str">
        <f t="shared" si="146"/>
        <v>52727000</v>
      </c>
      <c r="C1263" s="186" t="s">
        <v>4249</v>
      </c>
      <c r="D1263"/>
    </row>
    <row r="1264" spans="1:4" x14ac:dyDescent="0.2">
      <c r="A1264" s="145">
        <v>532728</v>
      </c>
      <c r="B1264" s="145" t="str">
        <f t="shared" si="146"/>
        <v>52728000</v>
      </c>
      <c r="C1264" s="186" t="s">
        <v>4250</v>
      </c>
      <c r="D1264"/>
    </row>
    <row r="1265" spans="1:5" x14ac:dyDescent="0.2">
      <c r="A1265" s="145">
        <v>532729</v>
      </c>
      <c r="B1265" s="145" t="str">
        <f t="shared" si="146"/>
        <v>52729000</v>
      </c>
      <c r="C1265" s="186" t="s">
        <v>4251</v>
      </c>
      <c r="D1265"/>
    </row>
    <row r="1266" spans="1:5" x14ac:dyDescent="0.2">
      <c r="A1266" s="145">
        <v>532731</v>
      </c>
      <c r="B1266" s="145" t="str">
        <f t="shared" si="146"/>
        <v>52731000</v>
      </c>
      <c r="C1266" s="186" t="s">
        <v>4252</v>
      </c>
      <c r="D1266"/>
    </row>
    <row r="1267" spans="1:5" x14ac:dyDescent="0.2">
      <c r="A1267" s="145">
        <v>532732</v>
      </c>
      <c r="B1267" s="145" t="str">
        <f t="shared" si="146"/>
        <v>52732000</v>
      </c>
      <c r="C1267" s="186" t="s">
        <v>4253</v>
      </c>
      <c r="D1267"/>
    </row>
    <row r="1268" spans="1:5" x14ac:dyDescent="0.2">
      <c r="A1268" s="145">
        <v>532733</v>
      </c>
      <c r="B1268" s="145" t="str">
        <f t="shared" si="146"/>
        <v>52733000</v>
      </c>
      <c r="C1268" s="186" t="s">
        <v>4254</v>
      </c>
      <c r="D1268"/>
    </row>
    <row r="1269" spans="1:5" x14ac:dyDescent="0.2">
      <c r="A1269" s="866" t="s">
        <v>4255</v>
      </c>
      <c r="B1269" s="2411"/>
      <c r="C1269" s="2131"/>
      <c r="D1269" s="898" t="s">
        <v>2940</v>
      </c>
      <c r="E1269" s="145">
        <v>2520</v>
      </c>
    </row>
    <row r="1270" spans="1:5" x14ac:dyDescent="0.2">
      <c r="A1270" s="1603">
        <v>532810</v>
      </c>
      <c r="B1270" s="145" t="str">
        <f t="shared" ref="B1270:B1279" si="147">LEFT(A1270,1)&amp;RIGHT(A1270,4)&amp;"000"</f>
        <v>52810000</v>
      </c>
      <c r="C1270" s="186" t="s">
        <v>4256</v>
      </c>
      <c r="D1270" s="138" t="s">
        <v>4257</v>
      </c>
    </row>
    <row r="1271" spans="1:5" x14ac:dyDescent="0.2">
      <c r="A1271" s="145">
        <v>532811</v>
      </c>
      <c r="B1271" s="145" t="str">
        <f t="shared" si="147"/>
        <v>52811000</v>
      </c>
      <c r="C1271" s="186" t="s">
        <v>4258</v>
      </c>
      <c r="D1271"/>
    </row>
    <row r="1272" spans="1:5" x14ac:dyDescent="0.2">
      <c r="A1272" s="145">
        <v>532812</v>
      </c>
      <c r="B1272" s="145" t="str">
        <f t="shared" si="147"/>
        <v>52812000</v>
      </c>
      <c r="C1272" s="186" t="s">
        <v>4259</v>
      </c>
      <c r="D1272"/>
    </row>
    <row r="1273" spans="1:5" x14ac:dyDescent="0.2">
      <c r="A1273" s="145">
        <v>532813</v>
      </c>
      <c r="B1273" s="145" t="str">
        <f t="shared" si="147"/>
        <v>52813000</v>
      </c>
      <c r="C1273" s="186" t="s">
        <v>4260</v>
      </c>
      <c r="D1273"/>
    </row>
    <row r="1274" spans="1:5" x14ac:dyDescent="0.2">
      <c r="A1274" s="145">
        <v>532814</v>
      </c>
      <c r="B1274" s="145" t="str">
        <f t="shared" si="147"/>
        <v>52814000</v>
      </c>
      <c r="C1274" s="186" t="s">
        <v>4261</v>
      </c>
      <c r="D1274"/>
    </row>
    <row r="1275" spans="1:5" x14ac:dyDescent="0.2">
      <c r="A1275" s="145">
        <v>532815</v>
      </c>
      <c r="B1275" s="145" t="str">
        <f t="shared" si="147"/>
        <v>52815000</v>
      </c>
      <c r="C1275" s="186" t="s">
        <v>4262</v>
      </c>
      <c r="D1275"/>
    </row>
    <row r="1276" spans="1:5" x14ac:dyDescent="0.2">
      <c r="A1276" s="145">
        <v>532816</v>
      </c>
      <c r="B1276" s="145" t="str">
        <f t="shared" si="147"/>
        <v>52816000</v>
      </c>
      <c r="C1276" s="186" t="s">
        <v>4263</v>
      </c>
      <c r="D1276" t="s">
        <v>4161</v>
      </c>
    </row>
    <row r="1277" spans="1:5" x14ac:dyDescent="0.2">
      <c r="A1277" s="145">
        <v>532817</v>
      </c>
      <c r="B1277" s="145" t="str">
        <f t="shared" si="147"/>
        <v>52817000</v>
      </c>
      <c r="C1277" s="186" t="s">
        <v>4264</v>
      </c>
      <c r="D1277" t="s">
        <v>4161</v>
      </c>
    </row>
    <row r="1278" spans="1:5" x14ac:dyDescent="0.2">
      <c r="A1278" s="145">
        <v>532818</v>
      </c>
      <c r="B1278" s="145" t="str">
        <f t="shared" si="147"/>
        <v>52818000</v>
      </c>
      <c r="C1278" s="186" t="s">
        <v>4265</v>
      </c>
      <c r="D1278" t="s">
        <v>4163</v>
      </c>
    </row>
    <row r="1279" spans="1:5" x14ac:dyDescent="0.2">
      <c r="A1279" s="145">
        <v>532819</v>
      </c>
      <c r="B1279" s="145" t="str">
        <f t="shared" si="147"/>
        <v>52819000</v>
      </c>
      <c r="C1279" s="186" t="s">
        <v>4266</v>
      </c>
      <c r="D1279" t="s">
        <v>4163</v>
      </c>
    </row>
    <row r="1280" spans="1:5" x14ac:dyDescent="0.2">
      <c r="D1280"/>
    </row>
    <row r="1281" spans="1:5" x14ac:dyDescent="0.2">
      <c r="A1281" s="866" t="s">
        <v>4267</v>
      </c>
      <c r="B1281" s="2411"/>
      <c r="C1281" s="2131"/>
      <c r="D1281" s="898" t="s">
        <v>2940</v>
      </c>
      <c r="E1281" s="145">
        <v>2520</v>
      </c>
    </row>
    <row r="1282" spans="1:5" x14ac:dyDescent="0.2">
      <c r="A1282" s="145">
        <v>532821</v>
      </c>
      <c r="B1282" s="145" t="str">
        <f t="shared" ref="B1282:B1289" si="148">LEFT(A1282,1)&amp;RIGHT(A1282,4)&amp;"000"</f>
        <v>52821000</v>
      </c>
      <c r="C1282" s="186" t="s">
        <v>4268</v>
      </c>
      <c r="D1282"/>
    </row>
    <row r="1283" spans="1:5" x14ac:dyDescent="0.2">
      <c r="A1283" s="145">
        <v>532822</v>
      </c>
      <c r="B1283" s="145" t="str">
        <f t="shared" si="148"/>
        <v>52822000</v>
      </c>
      <c r="C1283" s="186" t="s">
        <v>4269</v>
      </c>
      <c r="D1283" s="138" t="s">
        <v>4163</v>
      </c>
    </row>
    <row r="1284" spans="1:5" x14ac:dyDescent="0.2">
      <c r="A1284" s="2300">
        <v>532823</v>
      </c>
      <c r="B1284" s="145" t="str">
        <f t="shared" si="148"/>
        <v>52823000</v>
      </c>
      <c r="C1284" s="186" t="s">
        <v>4270</v>
      </c>
      <c r="D1284" s="138" t="s">
        <v>4110</v>
      </c>
    </row>
    <row r="1285" spans="1:5" x14ac:dyDescent="0.2">
      <c r="A1285" s="2300">
        <v>532824</v>
      </c>
      <c r="B1285" s="145" t="str">
        <f t="shared" si="148"/>
        <v>52824000</v>
      </c>
      <c r="C1285" s="186" t="s">
        <v>4271</v>
      </c>
      <c r="D1285" s="138" t="s">
        <v>4110</v>
      </c>
    </row>
    <row r="1286" spans="1:5" x14ac:dyDescent="0.2">
      <c r="A1286" s="2300">
        <v>532825</v>
      </c>
      <c r="B1286" s="145" t="str">
        <f t="shared" si="148"/>
        <v>52825000</v>
      </c>
      <c r="C1286" s="186" t="s">
        <v>4272</v>
      </c>
      <c r="D1286" s="138" t="s">
        <v>4110</v>
      </c>
    </row>
    <row r="1287" spans="1:5" x14ac:dyDescent="0.2">
      <c r="A1287" s="2300">
        <v>532826</v>
      </c>
      <c r="B1287" s="145" t="str">
        <f t="shared" si="148"/>
        <v>52826000</v>
      </c>
      <c r="C1287" s="186" t="s">
        <v>4273</v>
      </c>
      <c r="D1287" s="138" t="s">
        <v>4110</v>
      </c>
    </row>
    <row r="1288" spans="1:5" x14ac:dyDescent="0.2">
      <c r="A1288" s="2300">
        <v>532827</v>
      </c>
      <c r="B1288" s="145" t="str">
        <f t="shared" si="148"/>
        <v>52827000</v>
      </c>
      <c r="C1288" s="186" t="s">
        <v>4274</v>
      </c>
      <c r="D1288" s="138" t="s">
        <v>4110</v>
      </c>
    </row>
    <row r="1289" spans="1:5" x14ac:dyDescent="0.2">
      <c r="A1289" s="2300">
        <v>532828</v>
      </c>
      <c r="B1289" s="145" t="str">
        <f t="shared" si="148"/>
        <v>52828000</v>
      </c>
      <c r="C1289" s="186" t="s">
        <v>4275</v>
      </c>
      <c r="D1289" s="138" t="s">
        <v>4110</v>
      </c>
    </row>
    <row r="1290" spans="1:5" x14ac:dyDescent="0.2">
      <c r="A1290" s="866" t="s">
        <v>4276</v>
      </c>
      <c r="B1290" s="2411"/>
      <c r="C1290" s="2131"/>
      <c r="D1290" s="898" t="s">
        <v>2940</v>
      </c>
      <c r="E1290" s="145">
        <v>2520</v>
      </c>
    </row>
    <row r="1291" spans="1:5" x14ac:dyDescent="0.2">
      <c r="A1291" s="145">
        <v>532184</v>
      </c>
      <c r="B1291" s="145" t="str">
        <f t="shared" ref="B1291:B1317" si="149">LEFT(A1291,1)&amp;RIGHT(A1291,4)&amp;"000"</f>
        <v>52184000</v>
      </c>
      <c r="C1291" s="186" t="s">
        <v>4183</v>
      </c>
      <c r="D1291"/>
    </row>
    <row r="1292" spans="1:5" x14ac:dyDescent="0.2">
      <c r="A1292" s="145">
        <v>532310</v>
      </c>
      <c r="B1292" s="145" t="str">
        <f t="shared" si="149"/>
        <v>52310000</v>
      </c>
      <c r="C1292" s="186" t="s">
        <v>4277</v>
      </c>
      <c r="D1292"/>
    </row>
    <row r="1293" spans="1:5" x14ac:dyDescent="0.2">
      <c r="A1293" s="145">
        <v>532320</v>
      </c>
      <c r="B1293" s="145" t="str">
        <f t="shared" si="149"/>
        <v>52320000</v>
      </c>
      <c r="C1293" s="186" t="s">
        <v>4278</v>
      </c>
      <c r="D1293"/>
    </row>
    <row r="1294" spans="1:5" x14ac:dyDescent="0.2">
      <c r="A1294" s="145">
        <v>532331</v>
      </c>
      <c r="B1294" s="145" t="str">
        <f t="shared" si="149"/>
        <v>52331000</v>
      </c>
      <c r="C1294" s="186" t="s">
        <v>4279</v>
      </c>
      <c r="D1294"/>
    </row>
    <row r="1295" spans="1:5" x14ac:dyDescent="0.2">
      <c r="A1295" s="145">
        <v>532332</v>
      </c>
      <c r="B1295" s="145" t="str">
        <f t="shared" si="149"/>
        <v>52332000</v>
      </c>
      <c r="C1295" s="186" t="s">
        <v>4280</v>
      </c>
      <c r="D1295"/>
    </row>
    <row r="1296" spans="1:5" x14ac:dyDescent="0.2">
      <c r="A1296" s="145">
        <v>532333</v>
      </c>
      <c r="B1296" s="145" t="str">
        <f t="shared" si="149"/>
        <v>52333000</v>
      </c>
      <c r="C1296" s="186" t="s">
        <v>4281</v>
      </c>
      <c r="D1296"/>
    </row>
    <row r="1297" spans="1:4" x14ac:dyDescent="0.2">
      <c r="A1297" s="145">
        <v>532334</v>
      </c>
      <c r="B1297" s="145" t="str">
        <f t="shared" si="149"/>
        <v>52334000</v>
      </c>
      <c r="C1297" s="186" t="s">
        <v>4282</v>
      </c>
      <c r="D1297" t="s">
        <v>4163</v>
      </c>
    </row>
    <row r="1298" spans="1:4" x14ac:dyDescent="0.2">
      <c r="A1298" s="145">
        <v>532335</v>
      </c>
      <c r="B1298" s="145" t="str">
        <f t="shared" si="149"/>
        <v>52335000</v>
      </c>
      <c r="C1298" s="186" t="s">
        <v>4283</v>
      </c>
      <c r="D1298" t="s">
        <v>4163</v>
      </c>
    </row>
    <row r="1299" spans="1:4" x14ac:dyDescent="0.2">
      <c r="A1299" s="145">
        <v>532336</v>
      </c>
      <c r="B1299" s="145" t="str">
        <f t="shared" si="149"/>
        <v>52336000</v>
      </c>
      <c r="C1299" s="186" t="s">
        <v>4284</v>
      </c>
      <c r="D1299" t="s">
        <v>4163</v>
      </c>
    </row>
    <row r="1300" spans="1:4" x14ac:dyDescent="0.2">
      <c r="A1300" s="145">
        <v>532337</v>
      </c>
      <c r="B1300" s="145" t="str">
        <f t="shared" si="149"/>
        <v>52337000</v>
      </c>
      <c r="C1300" s="186" t="s">
        <v>4285</v>
      </c>
      <c r="D1300" t="s">
        <v>4163</v>
      </c>
    </row>
    <row r="1301" spans="1:4" x14ac:dyDescent="0.2">
      <c r="A1301" s="145">
        <v>532338</v>
      </c>
      <c r="B1301" s="145" t="str">
        <f t="shared" si="149"/>
        <v>52338000</v>
      </c>
      <c r="C1301" s="186" t="s">
        <v>4286</v>
      </c>
      <c r="D1301" t="s">
        <v>4163</v>
      </c>
    </row>
    <row r="1302" spans="1:4" x14ac:dyDescent="0.2">
      <c r="A1302" s="145">
        <v>532339</v>
      </c>
      <c r="B1302" s="145" t="str">
        <f t="shared" si="149"/>
        <v>52339000</v>
      </c>
      <c r="C1302" s="186" t="s">
        <v>4287</v>
      </c>
      <c r="D1302"/>
    </row>
    <row r="1303" spans="1:4" x14ac:dyDescent="0.2">
      <c r="A1303" s="145">
        <v>532390</v>
      </c>
      <c r="B1303" s="145" t="str">
        <f t="shared" si="149"/>
        <v>52390000</v>
      </c>
      <c r="C1303" s="186" t="s">
        <v>4288</v>
      </c>
      <c r="D1303"/>
    </row>
    <row r="1304" spans="1:4" x14ac:dyDescent="0.2">
      <c r="A1304" s="145">
        <v>532840</v>
      </c>
      <c r="B1304" s="145" t="str">
        <f t="shared" si="149"/>
        <v>52840000</v>
      </c>
      <c r="C1304" s="186" t="s">
        <v>4289</v>
      </c>
      <c r="D1304"/>
    </row>
    <row r="1305" spans="1:4" x14ac:dyDescent="0.2">
      <c r="A1305" s="145">
        <v>532849</v>
      </c>
      <c r="B1305" s="145" t="str">
        <f t="shared" si="149"/>
        <v>52849000</v>
      </c>
      <c r="C1305" s="186" t="s">
        <v>4290</v>
      </c>
      <c r="D1305"/>
    </row>
    <row r="1306" spans="1:4" x14ac:dyDescent="0.2">
      <c r="A1306" s="145">
        <v>532850</v>
      </c>
      <c r="B1306" s="145" t="str">
        <f t="shared" si="149"/>
        <v>52850000</v>
      </c>
      <c r="C1306" s="186" t="s">
        <v>4291</v>
      </c>
      <c r="D1306"/>
    </row>
    <row r="1307" spans="1:4" x14ac:dyDescent="0.2">
      <c r="A1307" s="145">
        <v>532860</v>
      </c>
      <c r="B1307" s="145" t="str">
        <f t="shared" si="149"/>
        <v>52860000</v>
      </c>
      <c r="C1307" s="186" t="s">
        <v>4292</v>
      </c>
      <c r="D1307" s="138" t="s">
        <v>4293</v>
      </c>
    </row>
    <row r="1308" spans="1:4" x14ac:dyDescent="0.2">
      <c r="A1308" s="145">
        <v>532925</v>
      </c>
      <c r="B1308" s="145" t="str">
        <f t="shared" si="149"/>
        <v>52925000</v>
      </c>
      <c r="C1308" s="186" t="s">
        <v>4294</v>
      </c>
      <c r="D1308" s="138" t="s">
        <v>3891</v>
      </c>
    </row>
    <row r="1309" spans="1:4" x14ac:dyDescent="0.2">
      <c r="A1309" s="145">
        <v>532930</v>
      </c>
      <c r="B1309" s="145" t="str">
        <f t="shared" si="149"/>
        <v>52930000</v>
      </c>
      <c r="C1309" s="186" t="s">
        <v>4295</v>
      </c>
      <c r="D1309"/>
    </row>
    <row r="1310" spans="1:4" x14ac:dyDescent="0.2">
      <c r="A1310" s="145">
        <v>535621</v>
      </c>
      <c r="B1310" s="145" t="str">
        <f t="shared" si="149"/>
        <v>55621000</v>
      </c>
      <c r="C1310" s="186" t="s">
        <v>4296</v>
      </c>
      <c r="D1310"/>
    </row>
    <row r="1311" spans="1:4" x14ac:dyDescent="0.2">
      <c r="A1311" s="145">
        <v>535622</v>
      </c>
      <c r="B1311" s="145" t="str">
        <f t="shared" si="149"/>
        <v>55622000</v>
      </c>
      <c r="C1311" s="186" t="s">
        <v>4297</v>
      </c>
      <c r="D1311"/>
    </row>
    <row r="1312" spans="1:4" x14ac:dyDescent="0.2">
      <c r="A1312" s="145">
        <v>535630</v>
      </c>
      <c r="B1312" s="145" t="str">
        <f t="shared" si="149"/>
        <v>55630000</v>
      </c>
      <c r="C1312" s="186" t="s">
        <v>4298</v>
      </c>
      <c r="D1312"/>
    </row>
    <row r="1313" spans="1:5" x14ac:dyDescent="0.2">
      <c r="A1313" s="145">
        <v>535660</v>
      </c>
      <c r="B1313" s="145" t="str">
        <f t="shared" si="149"/>
        <v>55660000</v>
      </c>
      <c r="C1313" s="186" t="s">
        <v>4299</v>
      </c>
      <c r="D1313"/>
    </row>
    <row r="1314" spans="1:5" x14ac:dyDescent="0.2">
      <c r="A1314" s="145">
        <v>535670</v>
      </c>
      <c r="B1314" s="145" t="str">
        <f t="shared" si="149"/>
        <v>55670000</v>
      </c>
      <c r="C1314" s="186" t="s">
        <v>4300</v>
      </c>
      <c r="D1314"/>
    </row>
    <row r="1315" spans="1:5" x14ac:dyDescent="0.2">
      <c r="A1315" s="145">
        <v>535680</v>
      </c>
      <c r="B1315" s="145" t="str">
        <f t="shared" si="149"/>
        <v>55680000</v>
      </c>
      <c r="C1315" s="186" t="s">
        <v>4301</v>
      </c>
      <c r="D1315"/>
    </row>
    <row r="1316" spans="1:5" x14ac:dyDescent="0.2">
      <c r="A1316" s="145">
        <v>535810</v>
      </c>
      <c r="B1316" s="145" t="str">
        <f t="shared" si="149"/>
        <v>55810000</v>
      </c>
      <c r="C1316" s="186" t="s">
        <v>4302</v>
      </c>
      <c r="D1316"/>
    </row>
    <row r="1317" spans="1:5" x14ac:dyDescent="0.2">
      <c r="A1317" s="145">
        <v>535890</v>
      </c>
      <c r="B1317" s="145" t="str">
        <f t="shared" si="149"/>
        <v>55890000</v>
      </c>
      <c r="C1317" s="186" t="s">
        <v>4303</v>
      </c>
      <c r="D1317"/>
    </row>
    <row r="1318" spans="1:5" x14ac:dyDescent="0.2">
      <c r="A1318" s="866" t="s">
        <v>4304</v>
      </c>
      <c r="B1318" s="2411"/>
      <c r="C1318" s="2131"/>
      <c r="D1318" s="898" t="s">
        <v>4305</v>
      </c>
      <c r="E1318" s="2300" t="s">
        <v>2517</v>
      </c>
    </row>
    <row r="1319" spans="1:5" x14ac:dyDescent="0.2">
      <c r="A1319" s="2300">
        <v>535980</v>
      </c>
      <c r="B1319" s="145" t="str">
        <f t="shared" ref="B1319:B1333" si="150">LEFT(A1319,1)&amp;RIGHT(A1319,4)&amp;"000"</f>
        <v>55980000</v>
      </c>
      <c r="C1319" s="186" t="s">
        <v>4306</v>
      </c>
      <c r="D1319" t="s">
        <v>3048</v>
      </c>
    </row>
    <row r="1320" spans="1:5" x14ac:dyDescent="0.2">
      <c r="A1320" s="866" t="s">
        <v>4307</v>
      </c>
      <c r="B1320" s="2411"/>
      <c r="C1320" s="2131"/>
      <c r="D1320" s="898" t="s">
        <v>2940</v>
      </c>
      <c r="E1320" s="145">
        <v>2540</v>
      </c>
    </row>
    <row r="1321" spans="1:5" x14ac:dyDescent="0.2">
      <c r="A1321" s="145">
        <v>535210</v>
      </c>
      <c r="B1321" s="145" t="str">
        <f t="shared" si="150"/>
        <v>55210000</v>
      </c>
      <c r="C1321" s="186" t="s">
        <v>4308</v>
      </c>
      <c r="D1321"/>
    </row>
    <row r="1322" spans="1:5" x14ac:dyDescent="0.2">
      <c r="A1322" s="145">
        <v>535219</v>
      </c>
      <c r="B1322" s="145" t="str">
        <f t="shared" si="150"/>
        <v>55219000</v>
      </c>
      <c r="C1322" s="186" t="s">
        <v>4309</v>
      </c>
      <c r="D1322"/>
    </row>
    <row r="1323" spans="1:5" x14ac:dyDescent="0.2">
      <c r="A1323" s="145">
        <v>535221</v>
      </c>
      <c r="B1323" s="145" t="str">
        <f t="shared" si="150"/>
        <v>55221000</v>
      </c>
      <c r="C1323" s="186" t="s">
        <v>4310</v>
      </c>
      <c r="D1323"/>
    </row>
    <row r="1324" spans="1:5" x14ac:dyDescent="0.2">
      <c r="A1324" s="145">
        <v>535222</v>
      </c>
      <c r="B1324" s="145" t="str">
        <f t="shared" si="150"/>
        <v>55222000</v>
      </c>
      <c r="C1324" s="186" t="s">
        <v>4311</v>
      </c>
      <c r="D1324"/>
    </row>
    <row r="1325" spans="1:5" x14ac:dyDescent="0.2">
      <c r="A1325" s="145">
        <v>535223</v>
      </c>
      <c r="B1325" s="145" t="str">
        <f t="shared" si="150"/>
        <v>55223000</v>
      </c>
      <c r="C1325" s="186" t="s">
        <v>4312</v>
      </c>
      <c r="D1325"/>
    </row>
    <row r="1326" spans="1:5" x14ac:dyDescent="0.2">
      <c r="A1326" s="145">
        <v>535232</v>
      </c>
      <c r="B1326" s="145" t="str">
        <f t="shared" si="150"/>
        <v>55232000</v>
      </c>
      <c r="C1326" s="186" t="s">
        <v>4313</v>
      </c>
      <c r="D1326"/>
    </row>
    <row r="1327" spans="1:5" x14ac:dyDescent="0.2">
      <c r="A1327" s="145">
        <v>535242</v>
      </c>
      <c r="B1327" s="145" t="str">
        <f t="shared" si="150"/>
        <v>55242000</v>
      </c>
      <c r="C1327" s="186" t="s">
        <v>4314</v>
      </c>
      <c r="D1327"/>
    </row>
    <row r="1328" spans="1:5" x14ac:dyDescent="0.2">
      <c r="A1328" s="145">
        <v>535243</v>
      </c>
      <c r="B1328" s="145" t="str">
        <f t="shared" si="150"/>
        <v>55243000</v>
      </c>
      <c r="C1328" s="186" t="s">
        <v>4315</v>
      </c>
      <c r="D1328"/>
    </row>
    <row r="1329" spans="1:5" x14ac:dyDescent="0.2">
      <c r="A1329" s="145">
        <v>535244</v>
      </c>
      <c r="B1329" s="145" t="str">
        <f t="shared" si="150"/>
        <v>55244000</v>
      </c>
      <c r="C1329" s="186" t="s">
        <v>4316</v>
      </c>
      <c r="D1329" t="s">
        <v>3031</v>
      </c>
    </row>
    <row r="1330" spans="1:5" x14ac:dyDescent="0.2">
      <c r="A1330" s="145">
        <v>535251</v>
      </c>
      <c r="B1330" s="145" t="str">
        <f t="shared" si="150"/>
        <v>55251000</v>
      </c>
      <c r="C1330" s="186" t="s">
        <v>4317</v>
      </c>
      <c r="D1330"/>
    </row>
    <row r="1331" spans="1:5" x14ac:dyDescent="0.2">
      <c r="A1331" s="145">
        <v>535252</v>
      </c>
      <c r="B1331" s="145" t="str">
        <f t="shared" si="150"/>
        <v>55252000</v>
      </c>
      <c r="C1331" s="186" t="s">
        <v>4318</v>
      </c>
      <c r="D1331"/>
    </row>
    <row r="1332" spans="1:5" x14ac:dyDescent="0.2">
      <c r="A1332" s="145">
        <v>535253</v>
      </c>
      <c r="B1332" s="145" t="str">
        <f t="shared" si="150"/>
        <v>55253000</v>
      </c>
      <c r="C1332" s="186" t="s">
        <v>4319</v>
      </c>
      <c r="D1332"/>
    </row>
    <row r="1333" spans="1:5" x14ac:dyDescent="0.2">
      <c r="A1333" s="145">
        <v>535254</v>
      </c>
      <c r="B1333" s="145" t="str">
        <f t="shared" si="150"/>
        <v>55254000</v>
      </c>
      <c r="C1333" s="186" t="s">
        <v>4320</v>
      </c>
      <c r="D1333"/>
    </row>
    <row r="1334" spans="1:5" x14ac:dyDescent="0.2">
      <c r="A1334" s="866" t="s">
        <v>2884</v>
      </c>
      <c r="B1334" s="2411"/>
      <c r="C1334" s="2131"/>
      <c r="D1334" s="898" t="s">
        <v>2940</v>
      </c>
      <c r="E1334" s="145">
        <v>2550</v>
      </c>
    </row>
    <row r="1335" spans="1:5" x14ac:dyDescent="0.2">
      <c r="A1335" s="145">
        <v>533800</v>
      </c>
      <c r="B1335" s="145" t="str">
        <f t="shared" ref="B1335:B1343" si="151">LEFT(A1335,1)&amp;RIGHT(A1335,4)&amp;"000"</f>
        <v>53800000</v>
      </c>
      <c r="C1335" s="186" t="s">
        <v>4321</v>
      </c>
      <c r="D1335"/>
    </row>
    <row r="1336" spans="1:5" x14ac:dyDescent="0.2">
      <c r="A1336" s="866" t="s">
        <v>683</v>
      </c>
      <c r="B1336" s="2411"/>
      <c r="C1336" s="2131"/>
      <c r="D1336" s="898" t="s">
        <v>2940</v>
      </c>
      <c r="E1336" s="145">
        <v>2560</v>
      </c>
    </row>
    <row r="1337" spans="1:5" x14ac:dyDescent="0.2">
      <c r="A1337" s="145">
        <v>535430</v>
      </c>
      <c r="B1337" s="145" t="str">
        <f t="shared" si="151"/>
        <v>55430000</v>
      </c>
      <c r="C1337" s="186" t="s">
        <v>4322</v>
      </c>
      <c r="D1337"/>
    </row>
    <row r="1338" spans="1:5" x14ac:dyDescent="0.2">
      <c r="A1338" s="866" t="s">
        <v>2886</v>
      </c>
      <c r="B1338" s="2411"/>
      <c r="C1338" s="2131"/>
      <c r="D1338" s="898" t="s">
        <v>2940</v>
      </c>
      <c r="E1338" s="145">
        <v>2570</v>
      </c>
    </row>
    <row r="1339" spans="1:5" x14ac:dyDescent="0.2">
      <c r="A1339" s="145">
        <v>532911</v>
      </c>
      <c r="B1339" s="145" t="str">
        <f t="shared" si="151"/>
        <v>52911000</v>
      </c>
      <c r="C1339" s="186" t="s">
        <v>4323</v>
      </c>
      <c r="D1339"/>
    </row>
    <row r="1340" spans="1:5" x14ac:dyDescent="0.2">
      <c r="A1340" s="145">
        <v>532912</v>
      </c>
      <c r="B1340" s="145" t="str">
        <f t="shared" si="151"/>
        <v>52912000</v>
      </c>
      <c r="C1340" s="186" t="s">
        <v>4324</v>
      </c>
      <c r="D1340"/>
    </row>
    <row r="1341" spans="1:5" x14ac:dyDescent="0.2">
      <c r="A1341" s="145">
        <v>532913</v>
      </c>
      <c r="B1341" s="145" t="str">
        <f t="shared" si="151"/>
        <v>52913000</v>
      </c>
      <c r="C1341" s="186" t="s">
        <v>4325</v>
      </c>
      <c r="D1341"/>
    </row>
    <row r="1342" spans="1:5" x14ac:dyDescent="0.2">
      <c r="A1342" s="145">
        <v>532919</v>
      </c>
      <c r="B1342" s="145" t="str">
        <f t="shared" si="151"/>
        <v>52919000</v>
      </c>
      <c r="C1342" s="186" t="s">
        <v>4326</v>
      </c>
      <c r="D1342"/>
    </row>
    <row r="1343" spans="1:5" x14ac:dyDescent="0.2">
      <c r="A1343" s="145">
        <v>532920</v>
      </c>
      <c r="B1343" s="145" t="str">
        <f t="shared" si="151"/>
        <v>52920000</v>
      </c>
      <c r="C1343" s="186" t="s">
        <v>4327</v>
      </c>
      <c r="D1343"/>
    </row>
    <row r="1344" spans="1:5" x14ac:dyDescent="0.2">
      <c r="A1344" s="866" t="s">
        <v>4328</v>
      </c>
      <c r="B1344" s="2411"/>
      <c r="C1344" s="2131"/>
      <c r="D1344" s="898" t="s">
        <v>2940</v>
      </c>
      <c r="E1344" s="2300" t="s">
        <v>2517</v>
      </c>
    </row>
    <row r="1345" spans="1:5" x14ac:dyDescent="0.2">
      <c r="A1345" s="145">
        <v>535218</v>
      </c>
      <c r="B1345" s="145" t="str">
        <f t="shared" ref="B1345:B1357" si="152">LEFT(A1345,1)&amp;RIGHT(A1345,4)&amp;"000"</f>
        <v>55218000</v>
      </c>
      <c r="C1345" s="186" t="s">
        <v>4329</v>
      </c>
      <c r="D1345"/>
    </row>
    <row r="1346" spans="1:5" x14ac:dyDescent="0.2">
      <c r="A1346" s="866" t="s">
        <v>2887</v>
      </c>
      <c r="B1346" s="2411"/>
      <c r="C1346" s="2131"/>
      <c r="D1346" s="898" t="s">
        <v>2940</v>
      </c>
      <c r="E1346" s="145">
        <v>2590</v>
      </c>
    </row>
    <row r="1347" spans="1:5" x14ac:dyDescent="0.2">
      <c r="A1347" s="145">
        <v>536810</v>
      </c>
      <c r="B1347" s="145" t="str">
        <f t="shared" si="152"/>
        <v>56810000</v>
      </c>
      <c r="C1347" s="186" t="s">
        <v>4330</v>
      </c>
      <c r="D1347"/>
    </row>
    <row r="1348" spans="1:5" x14ac:dyDescent="0.2">
      <c r="A1348" s="145">
        <v>536820</v>
      </c>
      <c r="B1348" s="145" t="str">
        <f t="shared" si="152"/>
        <v>56820000</v>
      </c>
      <c r="C1348" s="186" t="s">
        <v>4331</v>
      </c>
      <c r="D1348"/>
    </row>
    <row r="1349" spans="1:5" x14ac:dyDescent="0.2">
      <c r="A1349" s="145">
        <v>536840</v>
      </c>
      <c r="B1349" s="145" t="str">
        <f t="shared" si="152"/>
        <v>56840000</v>
      </c>
      <c r="C1349" s="186" t="s">
        <v>4332</v>
      </c>
      <c r="D1349"/>
    </row>
    <row r="1350" spans="1:5" x14ac:dyDescent="0.2">
      <c r="A1350" s="145">
        <v>536850</v>
      </c>
      <c r="B1350" s="145" t="str">
        <f t="shared" si="152"/>
        <v>56850000</v>
      </c>
      <c r="C1350" s="186" t="s">
        <v>4333</v>
      </c>
      <c r="D1350"/>
    </row>
    <row r="1351" spans="1:5" x14ac:dyDescent="0.2">
      <c r="A1351" s="145">
        <v>536860</v>
      </c>
      <c r="B1351" s="145" t="str">
        <f t="shared" si="152"/>
        <v>56860000</v>
      </c>
      <c r="C1351" s="186" t="s">
        <v>4334</v>
      </c>
      <c r="D1351"/>
    </row>
    <row r="1352" spans="1:5" x14ac:dyDescent="0.2">
      <c r="A1352" s="145">
        <v>536870</v>
      </c>
      <c r="B1352" s="145" t="str">
        <f t="shared" si="152"/>
        <v>56870000</v>
      </c>
      <c r="C1352" s="186" t="s">
        <v>4335</v>
      </c>
      <c r="D1352"/>
    </row>
    <row r="1353" spans="1:5" x14ac:dyDescent="0.2">
      <c r="A1353" s="145">
        <v>536875</v>
      </c>
      <c r="B1353" s="145" t="str">
        <f t="shared" si="152"/>
        <v>56875000</v>
      </c>
      <c r="C1353" s="186" t="s">
        <v>4336</v>
      </c>
      <c r="D1353"/>
    </row>
    <row r="1354" spans="1:5" x14ac:dyDescent="0.2">
      <c r="A1354" s="145">
        <v>536880</v>
      </c>
      <c r="B1354" s="145" t="str">
        <f t="shared" si="152"/>
        <v>56880000</v>
      </c>
      <c r="C1354" s="186" t="s">
        <v>4337</v>
      </c>
      <c r="D1354"/>
    </row>
    <row r="1355" spans="1:5" x14ac:dyDescent="0.2">
      <c r="A1355" s="145">
        <v>536885</v>
      </c>
      <c r="B1355" s="145" t="str">
        <f t="shared" si="152"/>
        <v>56885000</v>
      </c>
      <c r="C1355" s="186" t="s">
        <v>4338</v>
      </c>
      <c r="D1355"/>
    </row>
    <row r="1356" spans="1:5" x14ac:dyDescent="0.2">
      <c r="A1356" s="145">
        <v>536890</v>
      </c>
      <c r="B1356" s="145" t="str">
        <f t="shared" si="152"/>
        <v>56890000</v>
      </c>
      <c r="C1356" s="186" t="s">
        <v>4339</v>
      </c>
      <c r="D1356"/>
    </row>
    <row r="1357" spans="1:5" x14ac:dyDescent="0.2">
      <c r="A1357" s="2300" t="s">
        <v>4340</v>
      </c>
      <c r="B1357" s="2300" t="str">
        <f t="shared" si="152"/>
        <v>568XX000</v>
      </c>
      <c r="C1357" s="2304" t="s">
        <v>4341</v>
      </c>
      <c r="D1357"/>
    </row>
    <row r="1358" spans="1:5" x14ac:dyDescent="0.2">
      <c r="A1358" s="1" t="s">
        <v>4342</v>
      </c>
      <c r="D1358"/>
    </row>
    <row r="1359" spans="1:5" x14ac:dyDescent="0.2">
      <c r="A1359" s="866" t="s">
        <v>4343</v>
      </c>
      <c r="B1359" s="2411"/>
      <c r="C1359" s="2131"/>
      <c r="D1359" s="898" t="s">
        <v>2940</v>
      </c>
      <c r="E1359" s="145">
        <v>2610</v>
      </c>
    </row>
    <row r="1360" spans="1:5" x14ac:dyDescent="0.2">
      <c r="A1360" s="145">
        <v>532410</v>
      </c>
      <c r="B1360" s="145" t="str">
        <f>LEFT(A1360,1)&amp;RIGHT(A1360,4)&amp;"000"</f>
        <v>52410000</v>
      </c>
      <c r="C1360" s="186" t="s">
        <v>4344</v>
      </c>
      <c r="D1360"/>
    </row>
    <row r="1361" spans="1:4" x14ac:dyDescent="0.2">
      <c r="A1361" s="145">
        <v>532420</v>
      </c>
      <c r="B1361" s="145" t="str">
        <f t="shared" ref="B1361:B1382" si="153">LEFT(A1361,1)&amp;RIGHT(A1361,4)&amp;"000"</f>
        <v>52420000</v>
      </c>
      <c r="C1361" s="186" t="s">
        <v>4345</v>
      </c>
      <c r="D1361"/>
    </row>
    <row r="1362" spans="1:4" x14ac:dyDescent="0.2">
      <c r="A1362" s="145">
        <v>532430</v>
      </c>
      <c r="B1362" s="145" t="str">
        <f t="shared" si="153"/>
        <v>52430000</v>
      </c>
      <c r="C1362" s="186" t="s">
        <v>4346</v>
      </c>
      <c r="D1362"/>
    </row>
    <row r="1363" spans="1:4" x14ac:dyDescent="0.2">
      <c r="A1363" s="145">
        <v>532441</v>
      </c>
      <c r="B1363" s="145" t="str">
        <f t="shared" si="153"/>
        <v>52441000</v>
      </c>
      <c r="C1363" s="186" t="s">
        <v>4347</v>
      </c>
      <c r="D1363"/>
    </row>
    <row r="1364" spans="1:4" x14ac:dyDescent="0.2">
      <c r="A1364" s="145">
        <v>532442</v>
      </c>
      <c r="B1364" s="145" t="str">
        <f t="shared" si="153"/>
        <v>52442000</v>
      </c>
      <c r="C1364" s="186" t="s">
        <v>4348</v>
      </c>
      <c r="D1364" t="s">
        <v>4349</v>
      </c>
    </row>
    <row r="1365" spans="1:4" x14ac:dyDescent="0.2">
      <c r="A1365" s="145">
        <v>532443</v>
      </c>
      <c r="B1365" s="145" t="str">
        <f t="shared" si="153"/>
        <v>52443000</v>
      </c>
      <c r="C1365" s="186" t="s">
        <v>4350</v>
      </c>
      <c r="D1365" t="s">
        <v>4349</v>
      </c>
    </row>
    <row r="1366" spans="1:4" x14ac:dyDescent="0.2">
      <c r="A1366" s="145">
        <v>532444</v>
      </c>
      <c r="B1366" s="145" t="str">
        <f t="shared" si="153"/>
        <v>52444000</v>
      </c>
      <c r="C1366" s="186" t="s">
        <v>4351</v>
      </c>
      <c r="D1366" t="s">
        <v>4349</v>
      </c>
    </row>
    <row r="1367" spans="1:4" x14ac:dyDescent="0.2">
      <c r="A1367" s="145">
        <v>532445</v>
      </c>
      <c r="B1367" s="145" t="str">
        <f t="shared" si="153"/>
        <v>52445000</v>
      </c>
      <c r="C1367" s="186" t="s">
        <v>4352</v>
      </c>
      <c r="D1367" t="s">
        <v>4349</v>
      </c>
    </row>
    <row r="1368" spans="1:4" x14ac:dyDescent="0.2">
      <c r="A1368" s="145">
        <v>532446</v>
      </c>
      <c r="B1368" s="145" t="str">
        <f t="shared" si="153"/>
        <v>52446000</v>
      </c>
      <c r="C1368" s="186" t="s">
        <v>4353</v>
      </c>
      <c r="D1368" t="s">
        <v>4354</v>
      </c>
    </row>
    <row r="1369" spans="1:4" x14ac:dyDescent="0.2">
      <c r="A1369" s="145">
        <v>532447</v>
      </c>
      <c r="B1369" s="145" t="str">
        <f t="shared" si="153"/>
        <v>52447000</v>
      </c>
      <c r="C1369" s="186" t="s">
        <v>4355</v>
      </c>
      <c r="D1369" t="s">
        <v>4354</v>
      </c>
    </row>
    <row r="1370" spans="1:4" x14ac:dyDescent="0.2">
      <c r="A1370" s="145">
        <v>532448</v>
      </c>
      <c r="B1370" s="145" t="str">
        <f t="shared" si="153"/>
        <v>52448000</v>
      </c>
      <c r="C1370" s="186" t="s">
        <v>4356</v>
      </c>
      <c r="D1370" t="s">
        <v>4354</v>
      </c>
    </row>
    <row r="1371" spans="1:4" x14ac:dyDescent="0.2">
      <c r="A1371" s="145">
        <v>532449</v>
      </c>
      <c r="B1371" s="145" t="str">
        <f t="shared" si="153"/>
        <v>52449000</v>
      </c>
      <c r="C1371" s="186" t="s">
        <v>4357</v>
      </c>
      <c r="D1371" t="s">
        <v>4354</v>
      </c>
    </row>
    <row r="1372" spans="1:4" x14ac:dyDescent="0.2">
      <c r="A1372" s="145">
        <v>532450</v>
      </c>
      <c r="B1372" s="145" t="str">
        <f t="shared" si="153"/>
        <v>52450000</v>
      </c>
      <c r="C1372" s="186" t="s">
        <v>4358</v>
      </c>
      <c r="D1372" t="s">
        <v>4354</v>
      </c>
    </row>
    <row r="1373" spans="1:4" x14ac:dyDescent="0.2">
      <c r="A1373" s="145">
        <v>532451</v>
      </c>
      <c r="B1373" s="145" t="str">
        <f t="shared" si="153"/>
        <v>52451000</v>
      </c>
      <c r="C1373" s="186" t="s">
        <v>4359</v>
      </c>
      <c r="D1373" t="s">
        <v>4354</v>
      </c>
    </row>
    <row r="1374" spans="1:4" x14ac:dyDescent="0.2">
      <c r="A1374" s="145">
        <v>532452</v>
      </c>
      <c r="B1374" s="145" t="str">
        <f t="shared" si="153"/>
        <v>52452000</v>
      </c>
      <c r="C1374" s="186" t="s">
        <v>4360</v>
      </c>
      <c r="D1374" t="s">
        <v>4354</v>
      </c>
    </row>
    <row r="1375" spans="1:4" x14ac:dyDescent="0.2">
      <c r="A1375" s="145">
        <v>532490</v>
      </c>
      <c r="B1375" s="145" t="str">
        <f t="shared" si="153"/>
        <v>52490000</v>
      </c>
      <c r="C1375" s="186" t="s">
        <v>4361</v>
      </c>
      <c r="D1375"/>
    </row>
    <row r="1376" spans="1:4" x14ac:dyDescent="0.2">
      <c r="A1376" s="145">
        <v>535111</v>
      </c>
      <c r="B1376" s="145" t="str">
        <f t="shared" si="153"/>
        <v>55111000</v>
      </c>
      <c r="C1376" s="186" t="s">
        <v>4362</v>
      </c>
      <c r="D1376"/>
    </row>
    <row r="1377" spans="1:5" x14ac:dyDescent="0.2">
      <c r="A1377" s="145">
        <v>535112</v>
      </c>
      <c r="B1377" s="145" t="str">
        <f t="shared" si="153"/>
        <v>55112000</v>
      </c>
      <c r="C1377" s="186" t="s">
        <v>4363</v>
      </c>
      <c r="D1377"/>
    </row>
    <row r="1378" spans="1:5" x14ac:dyDescent="0.2">
      <c r="A1378" s="145">
        <v>535113</v>
      </c>
      <c r="B1378" s="145" t="str">
        <f t="shared" si="153"/>
        <v>55113000</v>
      </c>
      <c r="C1378" s="186" t="s">
        <v>4364</v>
      </c>
      <c r="D1378"/>
    </row>
    <row r="1379" spans="1:5" x14ac:dyDescent="0.2">
      <c r="A1379" s="145">
        <v>535114</v>
      </c>
      <c r="B1379" s="145" t="str">
        <f t="shared" si="153"/>
        <v>55114000</v>
      </c>
      <c r="C1379" s="186" t="s">
        <v>4365</v>
      </c>
      <c r="D1379"/>
    </row>
    <row r="1380" spans="1:5" x14ac:dyDescent="0.2">
      <c r="A1380" s="145">
        <v>535115</v>
      </c>
      <c r="B1380" s="145" t="str">
        <f t="shared" si="153"/>
        <v>55115000</v>
      </c>
      <c r="C1380" s="186" t="s">
        <v>4366</v>
      </c>
      <c r="D1380"/>
    </row>
    <row r="1381" spans="1:5" x14ac:dyDescent="0.2">
      <c r="A1381" s="145">
        <v>535120</v>
      </c>
      <c r="B1381" s="145" t="str">
        <f t="shared" si="153"/>
        <v>55120000</v>
      </c>
      <c r="C1381" s="186" t="s">
        <v>4367</v>
      </c>
      <c r="D1381"/>
    </row>
    <row r="1382" spans="1:5" x14ac:dyDescent="0.2">
      <c r="A1382" s="145">
        <v>535830</v>
      </c>
      <c r="B1382" s="145" t="str">
        <f t="shared" si="153"/>
        <v>55830000</v>
      </c>
      <c r="C1382" s="186" t="s">
        <v>4368</v>
      </c>
      <c r="D1382"/>
    </row>
    <row r="1383" spans="1:5" x14ac:dyDescent="0.2">
      <c r="A1383" s="866" t="s">
        <v>4369</v>
      </c>
      <c r="B1383" s="2411"/>
      <c r="C1383" s="2131"/>
      <c r="D1383" s="898" t="s">
        <v>2940</v>
      </c>
      <c r="E1383" s="145">
        <v>2625</v>
      </c>
    </row>
    <row r="1384" spans="1:5" x14ac:dyDescent="0.2">
      <c r="A1384" s="1603" t="s">
        <v>4370</v>
      </c>
      <c r="B1384" s="2300" t="s">
        <v>4371</v>
      </c>
      <c r="C1384" s="186" t="s">
        <v>4372</v>
      </c>
      <c r="D1384" s="138" t="s">
        <v>4373</v>
      </c>
    </row>
    <row r="1385" spans="1:5" x14ac:dyDescent="0.2">
      <c r="A1385" s="145">
        <v>536900</v>
      </c>
      <c r="B1385" s="145">
        <v>56900000</v>
      </c>
      <c r="C1385" s="186" t="s">
        <v>4374</v>
      </c>
      <c r="D1385"/>
    </row>
    <row r="1386" spans="1:5" x14ac:dyDescent="0.2">
      <c r="A1386" s="145" t="s">
        <v>4375</v>
      </c>
      <c r="B1386" s="145" t="s">
        <v>4376</v>
      </c>
      <c r="C1386" s="186" t="s">
        <v>4377</v>
      </c>
      <c r="D1386"/>
    </row>
    <row r="1387" spans="1:5" x14ac:dyDescent="0.2">
      <c r="A1387" s="866" t="s">
        <v>4378</v>
      </c>
      <c r="B1387" s="2411"/>
      <c r="C1387" s="2131"/>
      <c r="D1387" s="898" t="s">
        <v>2940</v>
      </c>
      <c r="E1387" s="145">
        <v>2630</v>
      </c>
    </row>
    <row r="1388" spans="1:5" x14ac:dyDescent="0.2">
      <c r="A1388" s="145">
        <v>532511</v>
      </c>
      <c r="B1388" s="145">
        <v>52511000</v>
      </c>
      <c r="C1388" s="186" t="s">
        <v>4379</v>
      </c>
      <c r="D1388"/>
    </row>
    <row r="1389" spans="1:5" x14ac:dyDescent="0.2">
      <c r="A1389" s="145">
        <v>532512</v>
      </c>
      <c r="B1389" s="145">
        <v>52512000</v>
      </c>
      <c r="C1389" s="186" t="s">
        <v>4380</v>
      </c>
      <c r="D1389"/>
    </row>
    <row r="1390" spans="1:5" x14ac:dyDescent="0.2">
      <c r="A1390" s="145">
        <v>532513</v>
      </c>
      <c r="B1390" s="145">
        <v>52513000</v>
      </c>
      <c r="C1390" s="186" t="s">
        <v>4381</v>
      </c>
      <c r="D1390"/>
    </row>
    <row r="1391" spans="1:5" x14ac:dyDescent="0.2">
      <c r="A1391" s="145">
        <v>532521</v>
      </c>
      <c r="B1391" s="145">
        <v>52521000</v>
      </c>
      <c r="C1391" s="186" t="s">
        <v>4382</v>
      </c>
      <c r="D1391"/>
    </row>
    <row r="1392" spans="1:5" x14ac:dyDescent="0.2">
      <c r="A1392" s="145">
        <v>532523</v>
      </c>
      <c r="B1392" s="145">
        <v>52523000</v>
      </c>
      <c r="C1392" s="186" t="s">
        <v>4383</v>
      </c>
      <c r="D1392"/>
    </row>
    <row r="1393" spans="1:4" x14ac:dyDescent="0.2">
      <c r="A1393" s="145">
        <v>532524</v>
      </c>
      <c r="B1393" s="145">
        <v>52524000</v>
      </c>
      <c r="C1393" s="186" t="s">
        <v>4384</v>
      </c>
      <c r="D1393"/>
    </row>
    <row r="1394" spans="1:4" x14ac:dyDescent="0.2">
      <c r="A1394" s="145">
        <v>532525</v>
      </c>
      <c r="B1394" s="145">
        <v>52525000</v>
      </c>
      <c r="C1394" s="186" t="s">
        <v>4385</v>
      </c>
      <c r="D1394"/>
    </row>
    <row r="1395" spans="1:4" x14ac:dyDescent="0.2">
      <c r="A1395" s="145">
        <v>532530</v>
      </c>
      <c r="B1395" s="145">
        <v>52530000</v>
      </c>
      <c r="C1395" s="186" t="s">
        <v>4386</v>
      </c>
      <c r="D1395" t="s">
        <v>4161</v>
      </c>
    </row>
    <row r="1396" spans="1:4" x14ac:dyDescent="0.2">
      <c r="A1396" s="145">
        <v>532531</v>
      </c>
      <c r="B1396" s="145">
        <v>52531000</v>
      </c>
      <c r="C1396" s="186" t="s">
        <v>4387</v>
      </c>
      <c r="D1396" t="s">
        <v>4161</v>
      </c>
    </row>
    <row r="1397" spans="1:4" x14ac:dyDescent="0.2">
      <c r="A1397" s="145">
        <v>532532</v>
      </c>
      <c r="B1397" s="145">
        <v>52532000</v>
      </c>
      <c r="C1397" s="186" t="s">
        <v>4388</v>
      </c>
      <c r="D1397" t="s">
        <v>4161</v>
      </c>
    </row>
    <row r="1398" spans="1:4" x14ac:dyDescent="0.2">
      <c r="A1398" s="145">
        <v>532533</v>
      </c>
      <c r="B1398" s="145">
        <v>52533000</v>
      </c>
      <c r="C1398" s="186" t="s">
        <v>4389</v>
      </c>
      <c r="D1398" t="s">
        <v>4163</v>
      </c>
    </row>
    <row r="1399" spans="1:4" x14ac:dyDescent="0.2">
      <c r="A1399" s="145">
        <v>532534</v>
      </c>
      <c r="B1399" s="145">
        <v>52534000</v>
      </c>
      <c r="C1399" s="186" t="s">
        <v>4390</v>
      </c>
      <c r="D1399" t="s">
        <v>4163</v>
      </c>
    </row>
    <row r="1400" spans="1:4" x14ac:dyDescent="0.2">
      <c r="A1400" s="145">
        <v>532535</v>
      </c>
      <c r="B1400" s="145">
        <v>52535000</v>
      </c>
      <c r="C1400" s="186" t="s">
        <v>4391</v>
      </c>
      <c r="D1400" t="s">
        <v>4163</v>
      </c>
    </row>
    <row r="1401" spans="1:4" x14ac:dyDescent="0.2">
      <c r="A1401" s="145">
        <v>532536</v>
      </c>
      <c r="B1401" s="145">
        <v>52536000</v>
      </c>
      <c r="C1401" s="186" t="s">
        <v>4392</v>
      </c>
      <c r="D1401" t="s">
        <v>4163</v>
      </c>
    </row>
    <row r="1402" spans="1:4" x14ac:dyDescent="0.2">
      <c r="A1402" s="145">
        <v>532541</v>
      </c>
      <c r="B1402" s="145">
        <v>52541000</v>
      </c>
      <c r="C1402" s="186" t="s">
        <v>4393</v>
      </c>
      <c r="D1402" t="s">
        <v>4163</v>
      </c>
    </row>
    <row r="1403" spans="1:4" x14ac:dyDescent="0.2">
      <c r="A1403" s="145">
        <v>532542</v>
      </c>
      <c r="B1403" s="145">
        <v>52542000</v>
      </c>
      <c r="C1403" s="186" t="s">
        <v>4394</v>
      </c>
      <c r="D1403" t="s">
        <v>4163</v>
      </c>
    </row>
    <row r="1404" spans="1:4" x14ac:dyDescent="0.2">
      <c r="A1404" s="145">
        <v>532543</v>
      </c>
      <c r="B1404" s="145">
        <v>52543000</v>
      </c>
      <c r="C1404" s="186" t="s">
        <v>4395</v>
      </c>
      <c r="D1404" t="s">
        <v>4163</v>
      </c>
    </row>
    <row r="1405" spans="1:4" x14ac:dyDescent="0.2">
      <c r="A1405" s="145">
        <v>532590</v>
      </c>
      <c r="B1405" s="145">
        <v>52590000</v>
      </c>
      <c r="C1405" s="186" t="s">
        <v>4396</v>
      </c>
      <c r="D1405"/>
    </row>
    <row r="1406" spans="1:4" x14ac:dyDescent="0.2">
      <c r="A1406" s="2300">
        <v>535610</v>
      </c>
      <c r="B1406" s="145">
        <v>55610000</v>
      </c>
      <c r="C1406" s="186" t="s">
        <v>4397</v>
      </c>
      <c r="D1406" t="s">
        <v>4398</v>
      </c>
    </row>
    <row r="1407" spans="1:4" x14ac:dyDescent="0.2">
      <c r="A1407" s="145">
        <v>535820</v>
      </c>
      <c r="B1407" s="145">
        <v>55820000</v>
      </c>
      <c r="C1407" s="186" t="s">
        <v>4399</v>
      </c>
      <c r="D1407"/>
    </row>
    <row r="1408" spans="1:4" x14ac:dyDescent="0.2">
      <c r="A1408" s="145">
        <v>535850</v>
      </c>
      <c r="B1408" s="145">
        <v>55850000</v>
      </c>
      <c r="C1408" s="186" t="s">
        <v>4400</v>
      </c>
      <c r="D1408"/>
    </row>
    <row r="1409" spans="1:5" x14ac:dyDescent="0.2">
      <c r="A1409" s="145">
        <v>535900</v>
      </c>
      <c r="B1409" s="145">
        <v>55900000</v>
      </c>
      <c r="C1409" s="186" t="s">
        <v>4401</v>
      </c>
      <c r="D1409"/>
    </row>
    <row r="1410" spans="1:5" x14ac:dyDescent="0.2">
      <c r="A1410" s="145">
        <v>535912</v>
      </c>
      <c r="B1410" s="145">
        <v>55912000</v>
      </c>
      <c r="C1410" s="186" t="s">
        <v>4402</v>
      </c>
      <c r="D1410"/>
    </row>
    <row r="1411" spans="1:5" x14ac:dyDescent="0.2">
      <c r="A1411" s="145">
        <v>535930</v>
      </c>
      <c r="B1411" s="145">
        <v>55930000</v>
      </c>
      <c r="C1411" s="186" t="s">
        <v>4403</v>
      </c>
      <c r="D1411"/>
    </row>
    <row r="1412" spans="1:5" x14ac:dyDescent="0.2">
      <c r="A1412" s="145">
        <v>535935</v>
      </c>
      <c r="B1412" s="145">
        <v>55935000</v>
      </c>
      <c r="C1412" s="186" t="s">
        <v>4404</v>
      </c>
      <c r="D1412" s="138" t="s">
        <v>4405</v>
      </c>
    </row>
    <row r="1413" spans="1:5" x14ac:dyDescent="0.2">
      <c r="A1413" s="145">
        <v>535940</v>
      </c>
      <c r="B1413" s="145">
        <v>55940000</v>
      </c>
      <c r="C1413" s="186" t="s">
        <v>4406</v>
      </c>
      <c r="D1413"/>
    </row>
    <row r="1414" spans="1:5" x14ac:dyDescent="0.2">
      <c r="A1414" s="145">
        <v>535960</v>
      </c>
      <c r="B1414" s="145">
        <v>55960000</v>
      </c>
      <c r="C1414" s="186" t="s">
        <v>4407</v>
      </c>
      <c r="D1414"/>
    </row>
    <row r="1415" spans="1:5" x14ac:dyDescent="0.2">
      <c r="A1415" s="780" t="s">
        <v>4408</v>
      </c>
      <c r="B1415" s="2411"/>
      <c r="C1415" s="2131"/>
      <c r="D1415" s="898" t="s">
        <v>2940</v>
      </c>
      <c r="E1415" s="2300" t="s">
        <v>2517</v>
      </c>
    </row>
    <row r="1416" spans="1:5" x14ac:dyDescent="0.2">
      <c r="D1416"/>
    </row>
    <row r="1417" spans="1:5" x14ac:dyDescent="0.2">
      <c r="A1417" s="780" t="s">
        <v>4409</v>
      </c>
      <c r="B1417" s="2411"/>
      <c r="C1417" s="2131"/>
      <c r="D1417" s="974" t="s">
        <v>2940</v>
      </c>
      <c r="E1417" s="2300" t="s">
        <v>2517</v>
      </c>
    </row>
    <row r="1418" spans="1:5" x14ac:dyDescent="0.2">
      <c r="A1418" s="2300">
        <v>531673</v>
      </c>
      <c r="B1418" s="2300" t="str">
        <f t="shared" ref="B1418:B1430" si="154">LEFT(A1418,1)&amp;RIGHT(A1418,4)&amp;"000"</f>
        <v>51673000</v>
      </c>
      <c r="C1418" s="186" t="s">
        <v>4410</v>
      </c>
      <c r="D1418" s="617" t="s">
        <v>4411</v>
      </c>
    </row>
    <row r="1419" spans="1:5" x14ac:dyDescent="0.2">
      <c r="A1419" s="145">
        <v>532799</v>
      </c>
      <c r="B1419" s="145" t="str">
        <f t="shared" si="154"/>
        <v>52799000</v>
      </c>
      <c r="C1419" s="186" t="s">
        <v>4412</v>
      </c>
      <c r="D1419" t="s">
        <v>4413</v>
      </c>
    </row>
    <row r="1420" spans="1:5" x14ac:dyDescent="0.2">
      <c r="A1420" s="2300">
        <v>534140</v>
      </c>
      <c r="B1420" s="2300" t="str">
        <f t="shared" si="154"/>
        <v>54140000</v>
      </c>
      <c r="C1420" s="186" t="s">
        <v>4414</v>
      </c>
      <c r="D1420" s="138" t="s">
        <v>3305</v>
      </c>
    </row>
    <row r="1421" spans="1:5" x14ac:dyDescent="0.2">
      <c r="A1421" s="2300">
        <v>534240</v>
      </c>
      <c r="B1421" s="2300" t="str">
        <f t="shared" si="154"/>
        <v>54240000</v>
      </c>
      <c r="C1421" s="186" t="s">
        <v>3269</v>
      </c>
      <c r="D1421" s="138" t="s">
        <v>3305</v>
      </c>
    </row>
    <row r="1422" spans="1:5" x14ac:dyDescent="0.2">
      <c r="A1422" s="2300">
        <v>534425</v>
      </c>
      <c r="B1422" s="2300" t="str">
        <f t="shared" si="154"/>
        <v>54425000</v>
      </c>
      <c r="C1422" s="186" t="s">
        <v>3273</v>
      </c>
      <c r="D1422" s="138" t="s">
        <v>3305</v>
      </c>
    </row>
    <row r="1423" spans="1:5" x14ac:dyDescent="0.2">
      <c r="A1423" s="145">
        <v>534560</v>
      </c>
      <c r="B1423" s="2300" t="str">
        <f t="shared" si="154"/>
        <v>54560000</v>
      </c>
      <c r="C1423" s="186" t="s">
        <v>4415</v>
      </c>
      <c r="D1423" s="138" t="s">
        <v>3305</v>
      </c>
    </row>
    <row r="1424" spans="1:5" x14ac:dyDescent="0.2">
      <c r="A1424" s="2300">
        <v>534716</v>
      </c>
      <c r="B1424" s="145" t="str">
        <f t="shared" si="154"/>
        <v>54716000</v>
      </c>
      <c r="C1424" s="186" t="s">
        <v>4416</v>
      </c>
      <c r="D1424" s="138" t="s">
        <v>3279</v>
      </c>
    </row>
    <row r="1425" spans="1:4" x14ac:dyDescent="0.2">
      <c r="A1425" s="2300">
        <v>535311</v>
      </c>
      <c r="B1425" s="2300" t="str">
        <f t="shared" si="154"/>
        <v>55311000</v>
      </c>
      <c r="C1425" s="186" t="s">
        <v>4417</v>
      </c>
      <c r="D1425" s="138" t="s">
        <v>3343</v>
      </c>
    </row>
    <row r="1426" spans="1:4" x14ac:dyDescent="0.2">
      <c r="A1426" s="2300">
        <v>535311674</v>
      </c>
      <c r="B1426" s="2300" t="s">
        <v>2517</v>
      </c>
      <c r="C1426" s="2304" t="s">
        <v>4417</v>
      </c>
      <c r="D1426" s="138" t="s">
        <v>3343</v>
      </c>
    </row>
    <row r="1427" spans="1:4" x14ac:dyDescent="0.2">
      <c r="A1427" s="2300">
        <v>535312</v>
      </c>
      <c r="B1427" s="2300" t="str">
        <f t="shared" si="154"/>
        <v>55312000</v>
      </c>
      <c r="C1427" s="2304" t="s">
        <v>4418</v>
      </c>
      <c r="D1427" s="138" t="s">
        <v>3343</v>
      </c>
    </row>
    <row r="1428" spans="1:4" x14ac:dyDescent="0.2">
      <c r="A1428" s="2300">
        <v>535313</v>
      </c>
      <c r="B1428" s="145" t="str">
        <f t="shared" si="154"/>
        <v>55313000</v>
      </c>
      <c r="C1428" s="186" t="s">
        <v>4419</v>
      </c>
      <c r="D1428" s="138" t="s">
        <v>4420</v>
      </c>
    </row>
    <row r="1429" spans="1:4" x14ac:dyDescent="0.2">
      <c r="A1429" s="2300">
        <v>535314</v>
      </c>
      <c r="B1429" s="145" t="str">
        <f t="shared" si="154"/>
        <v>55314000</v>
      </c>
      <c r="C1429" s="186" t="s">
        <v>4421</v>
      </c>
      <c r="D1429" s="138" t="s">
        <v>3343</v>
      </c>
    </row>
    <row r="1430" spans="1:4" x14ac:dyDescent="0.2">
      <c r="A1430" s="2300">
        <v>535315</v>
      </c>
      <c r="B1430" s="145" t="str">
        <f t="shared" si="154"/>
        <v>55315000</v>
      </c>
      <c r="C1430" s="186" t="s">
        <v>4422</v>
      </c>
      <c r="D1430" s="138" t="s">
        <v>3279</v>
      </c>
    </row>
    <row r="1431" spans="1:4" x14ac:dyDescent="0.2">
      <c r="A1431" s="145">
        <v>535333</v>
      </c>
      <c r="B1431" s="2300" t="str">
        <f t="shared" ref="B1431:B1434" si="155">LEFT(A1431,1)&amp;RIGHT(A1431,4)&amp;"000"</f>
        <v>55333000</v>
      </c>
      <c r="C1431" s="186" t="s">
        <v>4423</v>
      </c>
      <c r="D1431" t="s">
        <v>3343</v>
      </c>
    </row>
    <row r="1432" spans="1:4" x14ac:dyDescent="0.2">
      <c r="A1432" s="2300">
        <v>535334</v>
      </c>
      <c r="B1432" s="2300" t="str">
        <f t="shared" si="155"/>
        <v>55334000</v>
      </c>
      <c r="C1432" s="186" t="s">
        <v>4424</v>
      </c>
      <c r="D1432"/>
    </row>
    <row r="1433" spans="1:4" x14ac:dyDescent="0.2">
      <c r="A1433" s="1603">
        <v>535613</v>
      </c>
      <c r="B1433" s="2300" t="str">
        <f t="shared" si="155"/>
        <v>55613000</v>
      </c>
      <c r="C1433" s="186" t="s">
        <v>4425</v>
      </c>
      <c r="D1433" t="s">
        <v>3343</v>
      </c>
    </row>
    <row r="1434" spans="1:4" x14ac:dyDescent="0.2">
      <c r="A1434" s="145">
        <v>535640</v>
      </c>
      <c r="B1434" s="2300" t="str">
        <f t="shared" si="155"/>
        <v>55640000</v>
      </c>
      <c r="C1434" s="186" t="s">
        <v>4426</v>
      </c>
      <c r="D1434" t="s">
        <v>4427</v>
      </c>
    </row>
    <row r="1435" spans="1:4" x14ac:dyDescent="0.2">
      <c r="A1435" s="1603">
        <v>535675</v>
      </c>
      <c r="B1435" s="2300">
        <v>55675000</v>
      </c>
      <c r="C1435" s="186" t="s">
        <v>4428</v>
      </c>
      <c r="D1435" t="s">
        <v>3343</v>
      </c>
    </row>
    <row r="1436" spans="1:4" x14ac:dyDescent="0.2">
      <c r="A1436" s="145">
        <v>535950</v>
      </c>
      <c r="B1436" s="2300" t="str">
        <f t="shared" ref="B1436:B1439" si="156">LEFT(A1436,1)&amp;RIGHT(A1436,4)&amp;"000"</f>
        <v>55950000</v>
      </c>
      <c r="C1436" s="186" t="s">
        <v>4429</v>
      </c>
      <c r="D1436" t="s">
        <v>4430</v>
      </c>
    </row>
    <row r="1437" spans="1:4" x14ac:dyDescent="0.2">
      <c r="A1437" s="1603">
        <v>538045</v>
      </c>
      <c r="B1437" s="2300" t="str">
        <f t="shared" si="156"/>
        <v>58045000</v>
      </c>
      <c r="C1437" s="186" t="s">
        <v>3938</v>
      </c>
      <c r="D1437" t="s">
        <v>3939</v>
      </c>
    </row>
    <row r="1438" spans="1:4" ht="12" customHeight="1" x14ac:dyDescent="0.2">
      <c r="A1438" s="145">
        <v>538046</v>
      </c>
      <c r="B1438" s="2300" t="str">
        <f t="shared" si="156"/>
        <v>58046000</v>
      </c>
      <c r="C1438" s="186" t="s">
        <v>3940</v>
      </c>
      <c r="D1438" t="s">
        <v>3939</v>
      </c>
    </row>
    <row r="1439" spans="1:4" x14ac:dyDescent="0.2">
      <c r="A1439" s="145" t="s">
        <v>4431</v>
      </c>
      <c r="B1439" s="2300" t="str">
        <f t="shared" si="156"/>
        <v>582XX000</v>
      </c>
      <c r="C1439" s="186" t="s">
        <v>4432</v>
      </c>
      <c r="D1439" t="s">
        <v>3343</v>
      </c>
    </row>
    <row r="1440" spans="1:4" x14ac:dyDescent="0.2">
      <c r="A1440" s="145" t="s">
        <v>4433</v>
      </c>
      <c r="B1440" s="2300">
        <v>58300227</v>
      </c>
      <c r="C1440" s="186" t="s">
        <v>4434</v>
      </c>
      <c r="D1440" t="s">
        <v>3343</v>
      </c>
    </row>
    <row r="1441" spans="1:5" x14ac:dyDescent="0.2">
      <c r="A1441" s="145" t="s">
        <v>4435</v>
      </c>
      <c r="B1441" s="2300">
        <v>58800000</v>
      </c>
      <c r="C1441" s="186" t="s">
        <v>4436</v>
      </c>
      <c r="D1441" t="s">
        <v>3343</v>
      </c>
    </row>
    <row r="1442" spans="1:5" x14ac:dyDescent="0.2">
      <c r="A1442" s="145" t="s">
        <v>4437</v>
      </c>
      <c r="B1442" s="2300" t="s">
        <v>2517</v>
      </c>
      <c r="C1442" s="186" t="s">
        <v>4438</v>
      </c>
      <c r="D1442" t="s">
        <v>4439</v>
      </c>
    </row>
    <row r="1443" spans="1:5" x14ac:dyDescent="0.2">
      <c r="A1443" s="2300" t="s">
        <v>4440</v>
      </c>
      <c r="B1443" s="2300" t="s">
        <v>2517</v>
      </c>
      <c r="C1443" s="186" t="s">
        <v>4441</v>
      </c>
      <c r="D1443" s="138" t="s">
        <v>3946</v>
      </c>
    </row>
    <row r="1444" spans="1:5" x14ac:dyDescent="0.2">
      <c r="A1444" s="780" t="s">
        <v>4442</v>
      </c>
      <c r="B1444" s="2411"/>
      <c r="C1444" s="2131"/>
      <c r="D1444" s="898" t="s">
        <v>4443</v>
      </c>
      <c r="E1444" s="2300" t="s">
        <v>2517</v>
      </c>
    </row>
    <row r="1445" spans="1:5" x14ac:dyDescent="0.2">
      <c r="A1445" s="145">
        <v>531564</v>
      </c>
      <c r="B1445" s="2300" t="s">
        <v>4444</v>
      </c>
      <c r="C1445" s="186" t="s">
        <v>4445</v>
      </c>
      <c r="D1445"/>
    </row>
    <row r="1446" spans="1:5" x14ac:dyDescent="0.2">
      <c r="A1446" s="145">
        <v>531570</v>
      </c>
      <c r="B1446" s="2300" t="str">
        <f t="shared" ref="B1446:B1469" si="157">LEFT(A1446,1)&amp;RIGHT(A1446,4)&amp;"000"</f>
        <v>51570000</v>
      </c>
      <c r="C1446" s="186" t="s">
        <v>4446</v>
      </c>
      <c r="D1446" t="s">
        <v>4447</v>
      </c>
    </row>
    <row r="1447" spans="1:5" x14ac:dyDescent="0.2">
      <c r="A1447" s="145">
        <v>532121</v>
      </c>
      <c r="B1447" s="2300" t="str">
        <f t="shared" si="157"/>
        <v>52121000</v>
      </c>
      <c r="C1447" s="186" t="s">
        <v>4448</v>
      </c>
      <c r="D1447" s="138" t="s">
        <v>4449</v>
      </c>
    </row>
    <row r="1448" spans="1:5" x14ac:dyDescent="0.2">
      <c r="A1448" s="145">
        <v>532440</v>
      </c>
      <c r="B1448" s="2300" t="s">
        <v>4450</v>
      </c>
      <c r="C1448" s="186" t="s">
        <v>4451</v>
      </c>
      <c r="D1448" t="s">
        <v>4452</v>
      </c>
    </row>
    <row r="1449" spans="1:5" x14ac:dyDescent="0.2">
      <c r="A1449" s="145">
        <v>532522</v>
      </c>
      <c r="B1449" s="2300">
        <v>52530000</v>
      </c>
      <c r="C1449" s="186" t="s">
        <v>4453</v>
      </c>
      <c r="D1449" t="s">
        <v>4452</v>
      </c>
    </row>
    <row r="1450" spans="1:5" x14ac:dyDescent="0.2">
      <c r="A1450" s="2300">
        <v>533899</v>
      </c>
      <c r="B1450" s="2300">
        <v>53899000</v>
      </c>
      <c r="C1450" s="2143" t="s">
        <v>4454</v>
      </c>
      <c r="D1450" s="918"/>
    </row>
    <row r="1451" spans="1:5" x14ac:dyDescent="0.2">
      <c r="A1451" s="2300">
        <v>533999</v>
      </c>
      <c r="B1451" s="2300" t="str">
        <f t="shared" si="157"/>
        <v>53999000</v>
      </c>
      <c r="C1451" s="2143" t="s">
        <v>4455</v>
      </c>
      <c r="D1451" s="918"/>
    </row>
    <row r="1452" spans="1:5" x14ac:dyDescent="0.2">
      <c r="A1452" s="145">
        <v>534522</v>
      </c>
      <c r="B1452" s="2300">
        <v>54534000</v>
      </c>
      <c r="C1452" s="186" t="s">
        <v>4456</v>
      </c>
      <c r="D1452" t="s">
        <v>4452</v>
      </c>
    </row>
    <row r="1453" spans="1:5" x14ac:dyDescent="0.2">
      <c r="A1453" s="145">
        <v>534710</v>
      </c>
      <c r="B1453" s="2300">
        <v>54711000</v>
      </c>
      <c r="C1453" s="186" t="s">
        <v>3261</v>
      </c>
      <c r="D1453" t="s">
        <v>4452</v>
      </c>
    </row>
    <row r="1454" spans="1:5" x14ac:dyDescent="0.2">
      <c r="A1454" s="145">
        <v>535233</v>
      </c>
      <c r="B1454" s="2054" t="str">
        <f t="shared" si="157"/>
        <v>55233000</v>
      </c>
      <c r="C1454" s="186" t="s">
        <v>4457</v>
      </c>
      <c r="D1454" t="s">
        <v>4458</v>
      </c>
    </row>
    <row r="1455" spans="1:5" x14ac:dyDescent="0.2">
      <c r="A1455" s="145">
        <v>535335</v>
      </c>
      <c r="B1455" s="2054" t="str">
        <f t="shared" si="157"/>
        <v>55335000</v>
      </c>
      <c r="C1455" s="186" t="s">
        <v>4459</v>
      </c>
      <c r="D1455"/>
    </row>
    <row r="1456" spans="1:5" x14ac:dyDescent="0.2">
      <c r="A1456" s="145">
        <v>535337</v>
      </c>
      <c r="B1456" s="2300" t="str">
        <f t="shared" si="157"/>
        <v>55337000</v>
      </c>
      <c r="C1456" s="186" t="s">
        <v>4460</v>
      </c>
      <c r="D1456" s="138" t="s">
        <v>4461</v>
      </c>
    </row>
    <row r="1457" spans="1:4" x14ac:dyDescent="0.2">
      <c r="A1457" s="145">
        <v>535410</v>
      </c>
      <c r="B1457" s="2300" t="s">
        <v>4462</v>
      </c>
      <c r="C1457" s="186" t="s">
        <v>4463</v>
      </c>
      <c r="D1457" s="138" t="s">
        <v>4464</v>
      </c>
    </row>
    <row r="1458" spans="1:4" x14ac:dyDescent="0.2">
      <c r="A1458" s="145">
        <v>535420</v>
      </c>
      <c r="B1458" s="2300" t="s">
        <v>4465</v>
      </c>
      <c r="C1458" s="186" t="s">
        <v>4466</v>
      </c>
      <c r="D1458" s="138" t="s">
        <v>4464</v>
      </c>
    </row>
    <row r="1459" spans="1:4" x14ac:dyDescent="0.2">
      <c r="A1459" s="145">
        <v>535440</v>
      </c>
      <c r="B1459" s="2054" t="str">
        <f t="shared" si="157"/>
        <v>55440000</v>
      </c>
      <c r="C1459" s="186" t="s">
        <v>4467</v>
      </c>
      <c r="D1459"/>
    </row>
    <row r="1460" spans="1:4" x14ac:dyDescent="0.2">
      <c r="A1460" s="145">
        <v>535631</v>
      </c>
      <c r="B1460" s="2300" t="s">
        <v>4468</v>
      </c>
      <c r="C1460" s="186" t="s">
        <v>4469</v>
      </c>
      <c r="D1460" t="s">
        <v>4470</v>
      </c>
    </row>
    <row r="1461" spans="1:4" x14ac:dyDescent="0.2">
      <c r="A1461" s="145">
        <v>535710</v>
      </c>
      <c r="B1461" s="2054" t="str">
        <f t="shared" si="157"/>
        <v>55710000</v>
      </c>
      <c r="C1461" s="186" t="s">
        <v>4471</v>
      </c>
      <c r="D1461"/>
    </row>
    <row r="1462" spans="1:4" x14ac:dyDescent="0.2">
      <c r="A1462" s="145">
        <v>535909</v>
      </c>
      <c r="B1462" s="2300" t="s">
        <v>4472</v>
      </c>
      <c r="C1462" s="186" t="s">
        <v>4473</v>
      </c>
      <c r="D1462"/>
    </row>
    <row r="1463" spans="1:4" x14ac:dyDescent="0.2">
      <c r="A1463" s="145">
        <v>535910</v>
      </c>
      <c r="B1463" s="2300" t="str">
        <f t="shared" si="157"/>
        <v>55910000</v>
      </c>
      <c r="C1463" s="186" t="s">
        <v>4474</v>
      </c>
      <c r="D1463"/>
    </row>
    <row r="1464" spans="1:4" x14ac:dyDescent="0.2">
      <c r="A1464" s="145">
        <v>535911</v>
      </c>
      <c r="B1464" s="2300" t="s">
        <v>4475</v>
      </c>
      <c r="C1464" s="186" t="s">
        <v>4476</v>
      </c>
      <c r="D1464"/>
    </row>
    <row r="1465" spans="1:4" x14ac:dyDescent="0.2">
      <c r="A1465" s="145">
        <v>535913</v>
      </c>
      <c r="B1465" s="2300" t="s">
        <v>4477</v>
      </c>
      <c r="C1465" s="186" t="s">
        <v>4478</v>
      </c>
      <c r="D1465"/>
    </row>
    <row r="1466" spans="1:4" x14ac:dyDescent="0.2">
      <c r="A1466" s="145">
        <v>535970</v>
      </c>
      <c r="B1466" s="2300" t="s">
        <v>4479</v>
      </c>
      <c r="C1466" s="186" t="s">
        <v>4480</v>
      </c>
      <c r="D1466"/>
    </row>
    <row r="1467" spans="1:4" x14ac:dyDescent="0.2">
      <c r="A1467" s="2300">
        <v>535971</v>
      </c>
      <c r="B1467" s="2300" t="s">
        <v>4481</v>
      </c>
      <c r="C1467" s="186" t="s">
        <v>4482</v>
      </c>
      <c r="D1467"/>
    </row>
    <row r="1468" spans="1:4" x14ac:dyDescent="0.2">
      <c r="A1468" s="145">
        <v>535993</v>
      </c>
      <c r="B1468" s="2300" t="str">
        <f t="shared" si="157"/>
        <v>55993000</v>
      </c>
      <c r="C1468" s="186" t="s">
        <v>4483</v>
      </c>
      <c r="D1468"/>
    </row>
    <row r="1469" spans="1:4" x14ac:dyDescent="0.2">
      <c r="A1469" s="145" t="s">
        <v>4484</v>
      </c>
      <c r="B1469" s="2300" t="str">
        <f t="shared" si="157"/>
        <v>56XXX000</v>
      </c>
      <c r="C1469" s="2304" t="s">
        <v>4485</v>
      </c>
      <c r="D1469"/>
    </row>
    <row r="1470" spans="1:4" x14ac:dyDescent="0.2">
      <c r="A1470" s="2300" t="s">
        <v>4486</v>
      </c>
      <c r="B1470" s="145">
        <v>57100005</v>
      </c>
      <c r="C1470" s="186" t="s">
        <v>4487</v>
      </c>
      <c r="D1470" s="138" t="s">
        <v>4488</v>
      </c>
    </row>
    <row r="1471" spans="1:4" x14ac:dyDescent="0.2">
      <c r="A1471" s="2300">
        <v>538010</v>
      </c>
      <c r="B1471" s="145" t="s">
        <v>4489</v>
      </c>
      <c r="C1471" s="186" t="s">
        <v>4490</v>
      </c>
      <c r="D1471" s="918"/>
    </row>
    <row r="1472" spans="1:4" x14ac:dyDescent="0.2">
      <c r="A1472" s="780" t="s">
        <v>4491</v>
      </c>
      <c r="B1472" s="2411"/>
      <c r="C1472" s="2131"/>
      <c r="D1472"/>
    </row>
    <row r="1473" spans="1:5" x14ac:dyDescent="0.2">
      <c r="A1473" s="780" t="s">
        <v>2891</v>
      </c>
      <c r="B1473" s="2411"/>
      <c r="C1473" s="2131"/>
      <c r="D1473" s="898" t="s">
        <v>3737</v>
      </c>
      <c r="E1473" s="145">
        <v>2690</v>
      </c>
    </row>
    <row r="1474" spans="1:5" x14ac:dyDescent="0.2">
      <c r="A1474" s="2300">
        <v>439100</v>
      </c>
      <c r="B1474" s="145">
        <v>49100000</v>
      </c>
      <c r="C1474" s="186" t="s">
        <v>2891</v>
      </c>
      <c r="D1474" s="919"/>
    </row>
    <row r="1475" spans="1:5" x14ac:dyDescent="0.2">
      <c r="A1475" s="2300">
        <v>538044</v>
      </c>
      <c r="B1475" s="145" t="str">
        <f t="shared" ref="B1475" si="158">LEFT(A1475,1)&amp;RIGHT(A1475,4)&amp;"000"</f>
        <v>58044000</v>
      </c>
      <c r="C1475" s="186" t="s">
        <v>4492</v>
      </c>
      <c r="D1475" s="920"/>
    </row>
    <row r="1476" spans="1:5" x14ac:dyDescent="0.2">
      <c r="A1476" s="780" t="s">
        <v>4493</v>
      </c>
      <c r="B1476" s="2411"/>
      <c r="C1476" s="2131"/>
      <c r="D1476" s="898" t="s">
        <v>3737</v>
      </c>
      <c r="E1476" s="145">
        <v>2691</v>
      </c>
    </row>
    <row r="1477" spans="1:5" x14ac:dyDescent="0.2">
      <c r="A1477" s="2300">
        <v>432908</v>
      </c>
      <c r="B1477" s="145" t="str">
        <f t="shared" ref="B1477:B1478" si="159">LEFT(A1477,1)&amp;RIGHT(A1477,4)&amp;"000"</f>
        <v>42908000</v>
      </c>
      <c r="C1477" s="186" t="s">
        <v>4494</v>
      </c>
      <c r="D1477" s="921"/>
    </row>
    <row r="1478" spans="1:5" x14ac:dyDescent="0.2">
      <c r="A1478" s="2300">
        <v>432910</v>
      </c>
      <c r="B1478" s="145" t="str">
        <f t="shared" si="159"/>
        <v>42910000</v>
      </c>
      <c r="C1478" s="186" t="s">
        <v>4495</v>
      </c>
      <c r="D1478" s="921" t="s">
        <v>3279</v>
      </c>
    </row>
    <row r="1479" spans="1:5" x14ac:dyDescent="0.2">
      <c r="A1479" s="1355" t="s">
        <v>2517</v>
      </c>
      <c r="B1479" s="1355">
        <v>42500138</v>
      </c>
      <c r="C1479" s="2198" t="s">
        <v>4496</v>
      </c>
      <c r="D1479" s="1814" t="s">
        <v>4497</v>
      </c>
    </row>
    <row r="1480" spans="1:5" x14ac:dyDescent="0.2">
      <c r="A1480" s="1355" t="s">
        <v>2517</v>
      </c>
      <c r="B1480" s="1355">
        <v>42500139</v>
      </c>
      <c r="C1480" s="2198" t="s">
        <v>4498</v>
      </c>
      <c r="D1480" s="1814" t="s">
        <v>4497</v>
      </c>
    </row>
    <row r="1481" spans="1:5" x14ac:dyDescent="0.2">
      <c r="A1481" s="1355" t="s">
        <v>2517</v>
      </c>
      <c r="B1481" s="1355">
        <v>42500140</v>
      </c>
      <c r="C1481" s="2198" t="s">
        <v>4499</v>
      </c>
      <c r="D1481" s="1814" t="s">
        <v>4497</v>
      </c>
    </row>
    <row r="1482" spans="1:5" x14ac:dyDescent="0.2">
      <c r="A1482" s="780" t="s">
        <v>4500</v>
      </c>
      <c r="B1482" s="2411"/>
      <c r="C1482" s="2131"/>
      <c r="D1482" s="898" t="s">
        <v>3737</v>
      </c>
      <c r="E1482" s="145">
        <v>2692</v>
      </c>
    </row>
    <row r="1483" spans="1:5" x14ac:dyDescent="0.2">
      <c r="A1483" s="2300">
        <v>432990</v>
      </c>
      <c r="B1483" s="2300" t="str">
        <f t="shared" ref="B1483:B1484" si="160">LEFT(A1483,1)&amp;RIGHT(A1483,4)&amp;"000"</f>
        <v>42990000</v>
      </c>
      <c r="C1483" s="186" t="s">
        <v>4500</v>
      </c>
      <c r="D1483" s="921"/>
    </row>
    <row r="1484" spans="1:5" x14ac:dyDescent="0.2">
      <c r="A1484" s="2300">
        <v>432906</v>
      </c>
      <c r="B1484" s="2300" t="str">
        <f t="shared" si="160"/>
        <v>42906000</v>
      </c>
      <c r="C1484" s="186" t="s">
        <v>4501</v>
      </c>
      <c r="D1484" s="921"/>
    </row>
    <row r="1485" spans="1:5" x14ac:dyDescent="0.2">
      <c r="A1485" s="780" t="s">
        <v>4502</v>
      </c>
      <c r="B1485" s="2411"/>
      <c r="C1485" s="2131"/>
      <c r="D1485" s="1477" t="s">
        <v>4503</v>
      </c>
    </row>
    <row r="1486" spans="1:5" x14ac:dyDescent="0.2">
      <c r="A1486" s="2300">
        <v>432905</v>
      </c>
      <c r="B1486" s="145" t="str">
        <f t="shared" ref="B1486" si="161">LEFT(A1486,1)&amp;RIGHT(A1486,4)&amp;"000"</f>
        <v>42905000</v>
      </c>
      <c r="C1486" s="186" t="s">
        <v>4504</v>
      </c>
      <c r="D1486" s="921"/>
    </row>
    <row r="1487" spans="1:5" x14ac:dyDescent="0.2">
      <c r="A1487" s="1355" t="s">
        <v>2517</v>
      </c>
      <c r="B1487" s="1355">
        <v>42500137</v>
      </c>
      <c r="C1487" s="2198" t="s">
        <v>4505</v>
      </c>
      <c r="D1487" s="1814" t="s">
        <v>4497</v>
      </c>
    </row>
    <row r="1488" spans="1:5" x14ac:dyDescent="0.2">
      <c r="A1488" s="780" t="s">
        <v>4506</v>
      </c>
      <c r="B1488" s="2411"/>
      <c r="C1488" s="2131"/>
      <c r="D1488" s="898" t="s">
        <v>3737</v>
      </c>
      <c r="E1488" s="145">
        <v>2700</v>
      </c>
    </row>
    <row r="1489" spans="1:5" x14ac:dyDescent="0.2">
      <c r="A1489" s="2046">
        <v>432992</v>
      </c>
      <c r="B1489" s="2300" t="str">
        <f t="shared" ref="B1489" si="162">LEFT(A1489,1)&amp;RIGHT(A1489,4)&amp;"000"</f>
        <v>42992000</v>
      </c>
      <c r="C1489" s="186" t="s">
        <v>4507</v>
      </c>
      <c r="D1489" s="1"/>
    </row>
    <row r="1490" spans="1:5" x14ac:dyDescent="0.2">
      <c r="A1490" s="869" t="s">
        <v>4508</v>
      </c>
      <c r="B1490" s="2132"/>
      <c r="C1490" s="2133"/>
      <c r="D1490" s="922" t="s">
        <v>4509</v>
      </c>
      <c r="E1490" s="145">
        <v>2700</v>
      </c>
    </row>
    <row r="1491" spans="1:5" x14ac:dyDescent="0.2">
      <c r="A1491" s="868"/>
      <c r="B1491" s="2312"/>
      <c r="C1491" s="2134"/>
      <c r="D1491" s="916" t="s">
        <v>4510</v>
      </c>
    </row>
    <row r="1492" spans="1:5" x14ac:dyDescent="0.2">
      <c r="A1492" s="900" t="s">
        <v>2901</v>
      </c>
      <c r="B1492" s="2312"/>
      <c r="C1492" s="2134"/>
      <c r="D1492" s="923" t="s">
        <v>3737</v>
      </c>
      <c r="E1492" s="145">
        <v>2710</v>
      </c>
    </row>
    <row r="1493" spans="1:5" x14ac:dyDescent="0.2">
      <c r="A1493" s="145">
        <v>436200</v>
      </c>
      <c r="B1493" s="145">
        <v>46200000</v>
      </c>
      <c r="C1493" s="186" t="s">
        <v>4511</v>
      </c>
      <c r="D1493"/>
    </row>
    <row r="1494" spans="1:5" x14ac:dyDescent="0.2">
      <c r="A1494" s="145">
        <v>436202</v>
      </c>
      <c r="B1494" s="2300" t="str">
        <f t="shared" ref="B1494" si="163">LEFT(A1494,1)&amp;RIGHT(A1494,4)&amp;"000"</f>
        <v>46202000</v>
      </c>
      <c r="C1494" s="186" t="s">
        <v>4512</v>
      </c>
      <c r="D1494"/>
    </row>
    <row r="1495" spans="1:5" x14ac:dyDescent="0.2">
      <c r="A1495" s="780" t="s">
        <v>2022</v>
      </c>
      <c r="B1495" s="2411"/>
      <c r="C1495" s="2131"/>
      <c r="D1495" s="1477" t="s">
        <v>4513</v>
      </c>
      <c r="E1495" s="145">
        <v>2711</v>
      </c>
    </row>
    <row r="1496" spans="1:5" x14ac:dyDescent="0.2">
      <c r="A1496" s="2300">
        <v>436207</v>
      </c>
      <c r="B1496" s="2300" t="str">
        <f>LEFT(A1496,1)&amp;RIGHT(A1496,4)&amp;"000"</f>
        <v>46207000</v>
      </c>
      <c r="C1496" s="186" t="s">
        <v>2022</v>
      </c>
      <c r="D1496" s="1"/>
    </row>
    <row r="1497" spans="1:5" x14ac:dyDescent="0.2">
      <c r="A1497" s="866" t="s">
        <v>2908</v>
      </c>
      <c r="B1497" s="2411"/>
      <c r="C1497" s="2131"/>
      <c r="D1497" s="971"/>
    </row>
    <row r="1498" spans="1:5" x14ac:dyDescent="0.2">
      <c r="A1498" s="2300">
        <v>437128</v>
      </c>
      <c r="B1498" s="2300" t="str">
        <f t="shared" ref="B1498" si="164">LEFT(A1498,1)&amp;RIGHT(A1498,4)&amp;"000"</f>
        <v>47128000</v>
      </c>
      <c r="C1498" s="186" t="s">
        <v>4514</v>
      </c>
      <c r="D1498" s="138" t="s">
        <v>3305</v>
      </c>
    </row>
    <row r="1499" spans="1:5" x14ac:dyDescent="0.2">
      <c r="A1499" s="780" t="s">
        <v>4515</v>
      </c>
      <c r="B1499" s="2411"/>
      <c r="C1499" s="2131"/>
      <c r="D1499"/>
      <c r="E1499" s="145">
        <v>2720</v>
      </c>
    </row>
    <row r="1500" spans="1:5" x14ac:dyDescent="0.2">
      <c r="A1500" s="866" t="s">
        <v>4516</v>
      </c>
      <c r="B1500" s="2411"/>
      <c r="C1500" s="2131"/>
      <c r="D1500" s="923" t="s">
        <v>3737</v>
      </c>
      <c r="E1500" s="145">
        <v>2720</v>
      </c>
    </row>
    <row r="1501" spans="1:5" x14ac:dyDescent="0.2">
      <c r="A1501" s="145">
        <v>535321</v>
      </c>
      <c r="B1501" s="2300">
        <v>55321000</v>
      </c>
      <c r="C1501" s="186" t="s">
        <v>4517</v>
      </c>
      <c r="D1501"/>
    </row>
    <row r="1502" spans="1:5" x14ac:dyDescent="0.2">
      <c r="A1502" s="145">
        <v>535322</v>
      </c>
      <c r="B1502" s="145">
        <v>55322000</v>
      </c>
      <c r="C1502" s="186" t="s">
        <v>4518</v>
      </c>
      <c r="D1502"/>
    </row>
    <row r="1503" spans="1:5" x14ac:dyDescent="0.2">
      <c r="A1503" s="2300">
        <v>535323</v>
      </c>
      <c r="B1503" s="145">
        <v>55323000</v>
      </c>
      <c r="C1503" s="186" t="s">
        <v>4519</v>
      </c>
      <c r="D1503" s="138" t="s">
        <v>3305</v>
      </c>
    </row>
    <row r="1504" spans="1:5" x14ac:dyDescent="0.2">
      <c r="A1504" s="145">
        <v>535324</v>
      </c>
      <c r="B1504" s="145">
        <v>55324000</v>
      </c>
      <c r="C1504" s="186" t="s">
        <v>4520</v>
      </c>
      <c r="D1504"/>
    </row>
    <row r="1505" spans="1:5" x14ac:dyDescent="0.2">
      <c r="A1505" s="145">
        <v>535325</v>
      </c>
      <c r="B1505" s="145">
        <v>55325000</v>
      </c>
      <c r="C1505" s="186" t="s">
        <v>4521</v>
      </c>
      <c r="D1505"/>
    </row>
    <row r="1506" spans="1:5" x14ac:dyDescent="0.2">
      <c r="A1506" s="2300">
        <v>535326</v>
      </c>
      <c r="B1506" s="145">
        <v>55326000</v>
      </c>
      <c r="C1506" s="186" t="s">
        <v>4522</v>
      </c>
      <c r="D1506" s="138" t="s">
        <v>4523</v>
      </c>
    </row>
    <row r="1507" spans="1:5" x14ac:dyDescent="0.2">
      <c r="A1507" s="2300">
        <v>535327</v>
      </c>
      <c r="B1507" s="145">
        <v>55327000</v>
      </c>
      <c r="C1507" s="186" t="s">
        <v>4524</v>
      </c>
      <c r="D1507" s="138" t="s">
        <v>3279</v>
      </c>
    </row>
    <row r="1508" spans="1:5" x14ac:dyDescent="0.2">
      <c r="A1508" s="866" t="s">
        <v>4525</v>
      </c>
      <c r="B1508" s="2411"/>
      <c r="C1508" s="2131"/>
      <c r="D1508" s="898" t="s">
        <v>2940</v>
      </c>
      <c r="E1508" s="145">
        <v>2720</v>
      </c>
    </row>
    <row r="1509" spans="1:5" x14ac:dyDescent="0.2">
      <c r="A1509" s="145">
        <v>535331</v>
      </c>
      <c r="B1509" s="145" t="str">
        <f t="shared" ref="B1509:B1510" si="165">LEFT(A1509,1)&amp;RIGHT(A1509,4)&amp;"000"</f>
        <v>55331000</v>
      </c>
      <c r="C1509" s="186" t="s">
        <v>4526</v>
      </c>
      <c r="D1509"/>
    </row>
    <row r="1510" spans="1:5" x14ac:dyDescent="0.2">
      <c r="A1510" s="2300">
        <v>535336</v>
      </c>
      <c r="B1510" s="145" t="str">
        <f t="shared" si="165"/>
        <v>55336000</v>
      </c>
      <c r="C1510" s="186" t="s">
        <v>4527</v>
      </c>
      <c r="D1510"/>
    </row>
    <row r="1511" spans="1:5" x14ac:dyDescent="0.2">
      <c r="A1511" s="866" t="s">
        <v>4528</v>
      </c>
      <c r="B1511" s="2411"/>
      <c r="C1511" s="2131"/>
      <c r="D1511" s="898" t="s">
        <v>4529</v>
      </c>
      <c r="E1511" s="145" t="s">
        <v>4530</v>
      </c>
    </row>
    <row r="1512" spans="1:5" x14ac:dyDescent="0.2">
      <c r="A1512" s="866" t="s">
        <v>4531</v>
      </c>
      <c r="B1512" s="2411"/>
      <c r="C1512" s="2131"/>
      <c r="D1512" s="898" t="s">
        <v>2940</v>
      </c>
      <c r="E1512" s="145" t="s">
        <v>4530</v>
      </c>
    </row>
    <row r="1513" spans="1:5" x14ac:dyDescent="0.2">
      <c r="A1513" s="2300">
        <v>437510</v>
      </c>
      <c r="B1513" s="145" t="str">
        <f t="shared" ref="B1513" si="166">LEFT(A1513,1)&amp;RIGHT(A1513,4)&amp;"000"</f>
        <v>47510000</v>
      </c>
      <c r="C1513" s="186" t="s">
        <v>4532</v>
      </c>
      <c r="D1513" s="138" t="s">
        <v>4523</v>
      </c>
    </row>
    <row r="1514" spans="1:5" x14ac:dyDescent="0.2">
      <c r="A1514" s="1107" t="s">
        <v>4533</v>
      </c>
      <c r="B1514" s="2411"/>
      <c r="C1514" s="2131"/>
      <c r="D1514" s="898" t="s">
        <v>2940</v>
      </c>
      <c r="E1514" s="2343">
        <v>2755</v>
      </c>
    </row>
    <row r="1515" spans="1:5" x14ac:dyDescent="0.2">
      <c r="A1515" s="2247">
        <v>437520</v>
      </c>
      <c r="B1515" s="1348" t="str">
        <f t="shared" ref="B1515" si="167">LEFT(A1515,1)&amp;RIGHT(A1515,4)&amp;"000"</f>
        <v>47520000</v>
      </c>
      <c r="C1515" s="186" t="s">
        <v>4534</v>
      </c>
      <c r="D1515" s="138" t="s">
        <v>3146</v>
      </c>
    </row>
    <row r="1516" spans="1:5" x14ac:dyDescent="0.2">
      <c r="A1516" s="866" t="s">
        <v>4535</v>
      </c>
      <c r="B1516" s="2411"/>
      <c r="C1516" s="2131"/>
      <c r="D1516" s="898" t="s">
        <v>2940</v>
      </c>
      <c r="E1516" s="145">
        <v>2760</v>
      </c>
    </row>
    <row r="1517" spans="1:5" x14ac:dyDescent="0.2">
      <c r="A1517" s="145">
        <v>433111</v>
      </c>
      <c r="B1517" s="145">
        <v>43111000</v>
      </c>
      <c r="C1517" s="186" t="s">
        <v>4536</v>
      </c>
      <c r="D1517"/>
    </row>
    <row r="1518" spans="1:5" x14ac:dyDescent="0.2">
      <c r="A1518" s="145">
        <v>433121</v>
      </c>
      <c r="B1518" s="145" t="str">
        <f t="shared" ref="B1518:B1529" si="168">LEFT(A1518,1)&amp;RIGHT(A1518,4)&amp;"000"</f>
        <v>43121000</v>
      </c>
      <c r="C1518" s="186" t="s">
        <v>4537</v>
      </c>
      <c r="D1518"/>
    </row>
    <row r="1519" spans="1:5" x14ac:dyDescent="0.2">
      <c r="A1519" s="2300">
        <v>433125</v>
      </c>
      <c r="B1519" s="1348" t="str">
        <f t="shared" si="168"/>
        <v>43125000</v>
      </c>
      <c r="C1519" s="186" t="s">
        <v>4538</v>
      </c>
      <c r="D1519"/>
    </row>
    <row r="1520" spans="1:5" x14ac:dyDescent="0.2">
      <c r="A1520" s="145">
        <v>433131</v>
      </c>
      <c r="B1520" s="1348" t="str">
        <f t="shared" si="168"/>
        <v>43131000</v>
      </c>
      <c r="C1520" s="186" t="s">
        <v>4539</v>
      </c>
      <c r="D1520"/>
    </row>
    <row r="1521" spans="1:5" x14ac:dyDescent="0.2">
      <c r="A1521" s="2300">
        <v>433136</v>
      </c>
      <c r="B1521" s="145" t="str">
        <f t="shared" si="168"/>
        <v>43136000</v>
      </c>
      <c r="C1521" s="186" t="s">
        <v>4540</v>
      </c>
      <c r="D1521" s="138" t="s">
        <v>3624</v>
      </c>
    </row>
    <row r="1522" spans="1:5" x14ac:dyDescent="0.2">
      <c r="A1522" s="145">
        <v>433300</v>
      </c>
      <c r="B1522" s="145" t="str">
        <f t="shared" si="168"/>
        <v>43300000</v>
      </c>
      <c r="C1522" s="186" t="s">
        <v>4541</v>
      </c>
      <c r="D1522"/>
    </row>
    <row r="1523" spans="1:5" x14ac:dyDescent="0.2">
      <c r="A1523" s="145">
        <v>433400</v>
      </c>
      <c r="B1523" s="145" t="str">
        <f t="shared" si="168"/>
        <v>43400000</v>
      </c>
      <c r="C1523" s="186" t="s">
        <v>4542</v>
      </c>
      <c r="D1523"/>
    </row>
    <row r="1524" spans="1:5" x14ac:dyDescent="0.2">
      <c r="A1524" s="145">
        <v>437402</v>
      </c>
      <c r="B1524" s="1348" t="str">
        <f t="shared" si="168"/>
        <v>47402000</v>
      </c>
      <c r="C1524" s="186" t="s">
        <v>4543</v>
      </c>
      <c r="D1524"/>
    </row>
    <row r="1525" spans="1:5" x14ac:dyDescent="0.2">
      <c r="A1525" s="145">
        <v>437412</v>
      </c>
      <c r="B1525" s="1348" t="str">
        <f t="shared" si="168"/>
        <v>47412000</v>
      </c>
      <c r="C1525" s="186" t="s">
        <v>4544</v>
      </c>
      <c r="D1525"/>
    </row>
    <row r="1526" spans="1:5" ht="13.5" customHeight="1" x14ac:dyDescent="0.2">
      <c r="A1526" s="145">
        <v>532122</v>
      </c>
      <c r="B1526" s="1348" t="str">
        <f t="shared" si="168"/>
        <v>52122000</v>
      </c>
      <c r="C1526" s="186" t="s">
        <v>4545</v>
      </c>
      <c r="D1526"/>
    </row>
    <row r="1527" spans="1:5" x14ac:dyDescent="0.2">
      <c r="A1527" s="145">
        <v>535914</v>
      </c>
      <c r="B1527" s="1348" t="str">
        <f t="shared" si="168"/>
        <v>55914000</v>
      </c>
      <c r="C1527" s="186" t="s">
        <v>4546</v>
      </c>
      <c r="D1527"/>
    </row>
    <row r="1528" spans="1:5" x14ac:dyDescent="0.2">
      <c r="A1528" s="145">
        <v>535916</v>
      </c>
      <c r="B1528" s="1348" t="str">
        <f t="shared" si="168"/>
        <v>55916000</v>
      </c>
      <c r="C1528" s="186" t="s">
        <v>4547</v>
      </c>
      <c r="D1528"/>
    </row>
    <row r="1529" spans="1:5" x14ac:dyDescent="0.2">
      <c r="A1529" s="145">
        <v>535918</v>
      </c>
      <c r="B1529" s="1348" t="str">
        <f t="shared" si="168"/>
        <v>55918000</v>
      </c>
      <c r="C1529" s="186" t="s">
        <v>4548</v>
      </c>
      <c r="D1529"/>
    </row>
    <row r="1530" spans="1:5" x14ac:dyDescent="0.2">
      <c r="A1530" s="866" t="s">
        <v>2906</v>
      </c>
      <c r="B1530" s="2411"/>
      <c r="C1530" s="2131"/>
      <c r="D1530" s="898" t="s">
        <v>2940</v>
      </c>
      <c r="E1530" s="145">
        <v>2770</v>
      </c>
    </row>
    <row r="1531" spans="1:5" x14ac:dyDescent="0.2">
      <c r="A1531" s="145">
        <v>437116</v>
      </c>
      <c r="B1531" s="2300" t="str">
        <f t="shared" ref="B1531" si="169">LEFT(A1531,1)&amp;RIGHT(A1531,4)&amp;"000"</f>
        <v>47116000</v>
      </c>
      <c r="C1531" s="186" t="s">
        <v>4549</v>
      </c>
      <c r="D1531"/>
    </row>
    <row r="1532" spans="1:5" x14ac:dyDescent="0.2">
      <c r="A1532" s="780" t="s">
        <v>4550</v>
      </c>
      <c r="B1532" s="2411"/>
      <c r="C1532" s="2131"/>
      <c r="D1532" s="898" t="s">
        <v>2940</v>
      </c>
      <c r="E1532" s="145">
        <v>2780</v>
      </c>
    </row>
    <row r="1533" spans="1:5" x14ac:dyDescent="0.2">
      <c r="A1533" s="1603" t="s">
        <v>4551</v>
      </c>
      <c r="B1533" s="2300" t="str">
        <f t="shared" ref="B1533:B1534" si="170">LEFT(A1533,1)&amp;RIGHT(A1533,4)&amp;"000"</f>
        <v>56J99000</v>
      </c>
      <c r="C1533" s="186" t="s">
        <v>4372</v>
      </c>
      <c r="D1533" s="138" t="s">
        <v>4373</v>
      </c>
    </row>
    <row r="1534" spans="1:5" x14ac:dyDescent="0.2">
      <c r="A1534" s="2300">
        <v>536997</v>
      </c>
      <c r="B1534" s="2300" t="str">
        <f t="shared" si="170"/>
        <v>56997000</v>
      </c>
      <c r="C1534" s="186" t="s">
        <v>4552</v>
      </c>
      <c r="D1534" s="138" t="s">
        <v>3946</v>
      </c>
    </row>
    <row r="1535" spans="1:5" x14ac:dyDescent="0.2">
      <c r="A1535" s="2300">
        <v>536999</v>
      </c>
      <c r="B1535" s="2300" t="s">
        <v>4553</v>
      </c>
      <c r="C1535" s="186" t="s">
        <v>4554</v>
      </c>
      <c r="D1535"/>
    </row>
    <row r="1536" spans="1:5" s="2013" customFormat="1" x14ac:dyDescent="0.2">
      <c r="A1536" s="2300" t="s">
        <v>4555</v>
      </c>
      <c r="B1536" s="2245" t="str">
        <f t="shared" ref="B1536" si="171">LEFT(A1536,1)&amp;RIGHT(A1536,4)&amp;"000"</f>
        <v>56Q99000</v>
      </c>
      <c r="C1536" s="1808" t="s">
        <v>4556</v>
      </c>
      <c r="E1536" s="1348"/>
    </row>
    <row r="1537" spans="1:5" x14ac:dyDescent="0.2">
      <c r="A1537" s="780" t="s">
        <v>4557</v>
      </c>
      <c r="B1537" s="2411"/>
      <c r="C1537" s="2131"/>
      <c r="D1537" s="898" t="s">
        <v>2940</v>
      </c>
      <c r="E1537" s="145">
        <v>2785</v>
      </c>
    </row>
    <row r="1538" spans="1:5" x14ac:dyDescent="0.2">
      <c r="A1538" s="2300">
        <v>432907</v>
      </c>
      <c r="B1538" s="1348" t="str">
        <f t="shared" ref="B1538" si="172">LEFT(A1538,1)&amp;RIGHT(A1538,4)&amp;"000"</f>
        <v>42907000</v>
      </c>
      <c r="C1538" s="186" t="s">
        <v>4558</v>
      </c>
      <c r="D1538" s="138" t="s">
        <v>3946</v>
      </c>
    </row>
    <row r="1539" spans="1:5" x14ac:dyDescent="0.2">
      <c r="A1539" s="866" t="s">
        <v>4559</v>
      </c>
      <c r="B1539" s="2411"/>
      <c r="C1539" s="2131"/>
      <c r="D1539" s="898" t="s">
        <v>2940</v>
      </c>
      <c r="E1539" s="2343">
        <v>2755</v>
      </c>
    </row>
    <row r="1540" spans="1:5" x14ac:dyDescent="0.2">
      <c r="A1540" s="2300">
        <v>535341</v>
      </c>
      <c r="B1540" s="1348" t="str">
        <f t="shared" ref="B1540" si="173">LEFT(A1540,1)&amp;RIGHT(A1540,4)&amp;"000"</f>
        <v>55341000</v>
      </c>
      <c r="C1540" s="186" t="s">
        <v>4560</v>
      </c>
      <c r="D1540" s="138" t="s">
        <v>3146</v>
      </c>
    </row>
    <row r="1541" spans="1:5" x14ac:dyDescent="0.2">
      <c r="A1541" s="866" t="s">
        <v>4561</v>
      </c>
      <c r="B1541" s="2411"/>
      <c r="C1541" s="2131"/>
      <c r="D1541" s="898" t="s">
        <v>2940</v>
      </c>
    </row>
    <row r="1542" spans="1:5" x14ac:dyDescent="0.2">
      <c r="A1542" s="866" t="s">
        <v>4562</v>
      </c>
      <c r="B1542" s="2411"/>
      <c r="C1542" s="2131"/>
      <c r="D1542"/>
      <c r="E1542" s="145">
        <v>2800</v>
      </c>
    </row>
    <row r="1543" spans="1:5" x14ac:dyDescent="0.2">
      <c r="A1543" s="145">
        <v>434321</v>
      </c>
      <c r="B1543" s="145">
        <v>44321000</v>
      </c>
      <c r="C1543" s="186" t="s">
        <v>4563</v>
      </c>
      <c r="D1543"/>
    </row>
    <row r="1544" spans="1:5" x14ac:dyDescent="0.2">
      <c r="A1544" s="2300">
        <v>437550</v>
      </c>
      <c r="B1544" s="1348" t="str">
        <f t="shared" ref="B1544:B1547" si="174">LEFT(A1544,1)&amp;RIGHT(A1544,4)&amp;"000"</f>
        <v>47550000</v>
      </c>
      <c r="C1544" s="186" t="s">
        <v>4564</v>
      </c>
      <c r="D1544" s="138" t="s">
        <v>3146</v>
      </c>
    </row>
    <row r="1545" spans="1:5" x14ac:dyDescent="0.2">
      <c r="A1545" s="145">
        <v>437991</v>
      </c>
      <c r="B1545" s="1348" t="str">
        <f t="shared" si="174"/>
        <v>47991000</v>
      </c>
      <c r="C1545" s="186" t="s">
        <v>4565</v>
      </c>
      <c r="D1545"/>
    </row>
    <row r="1546" spans="1:5" x14ac:dyDescent="0.2">
      <c r="A1546" s="2300">
        <v>437996</v>
      </c>
      <c r="B1546" s="1348" t="str">
        <f t="shared" si="174"/>
        <v>47996000</v>
      </c>
      <c r="C1546" s="186" t="s">
        <v>4566</v>
      </c>
      <c r="D1546" s="138" t="s">
        <v>4567</v>
      </c>
    </row>
    <row r="1547" spans="1:5" x14ac:dyDescent="0.2">
      <c r="A1547" s="2300">
        <v>437997</v>
      </c>
      <c r="B1547" s="1348" t="str">
        <f t="shared" si="174"/>
        <v>47997000</v>
      </c>
      <c r="C1547" s="186" t="s">
        <v>4568</v>
      </c>
      <c r="D1547" s="138" t="s">
        <v>4569</v>
      </c>
    </row>
    <row r="1548" spans="1:5" x14ac:dyDescent="0.2">
      <c r="A1548" s="2300" t="s">
        <v>4570</v>
      </c>
      <c r="B1548" s="1348" t="s">
        <v>4571</v>
      </c>
      <c r="C1548" s="186" t="s">
        <v>4572</v>
      </c>
      <c r="D1548" s="138" t="s">
        <v>4573</v>
      </c>
    </row>
    <row r="1549" spans="1:5" x14ac:dyDescent="0.2">
      <c r="A1549" s="866" t="s">
        <v>4574</v>
      </c>
      <c r="B1549" s="2411"/>
      <c r="C1549" s="2131"/>
      <c r="D1549" s="898" t="s">
        <v>2940</v>
      </c>
      <c r="E1549" s="145">
        <v>2810</v>
      </c>
    </row>
    <row r="1550" spans="1:5" x14ac:dyDescent="0.2">
      <c r="A1550" s="145">
        <v>535332</v>
      </c>
      <c r="B1550" s="2300" t="str">
        <f t="shared" ref="B1550" si="175">LEFT(A1550,1)&amp;RIGHT(A1550,4)&amp;"000"</f>
        <v>55332000</v>
      </c>
      <c r="C1550" s="186" t="s">
        <v>4575</v>
      </c>
      <c r="D1550" s="138" t="s">
        <v>4576</v>
      </c>
    </row>
    <row r="1551" spans="1:5" x14ac:dyDescent="0.2">
      <c r="A1551" s="145">
        <v>535901</v>
      </c>
      <c r="B1551" s="2300">
        <v>55901000</v>
      </c>
      <c r="C1551" s="186" t="s">
        <v>4577</v>
      </c>
      <c r="D1551" s="138" t="s">
        <v>4578</v>
      </c>
    </row>
    <row r="1552" spans="1:5" x14ac:dyDescent="0.2">
      <c r="A1552" s="145">
        <v>535920</v>
      </c>
      <c r="B1552" s="2300" t="str">
        <f t="shared" ref="B1552:B1556" si="176">LEFT(A1552,1)&amp;RIGHT(A1552,4)&amp;"000"</f>
        <v>55920000</v>
      </c>
      <c r="C1552" s="186" t="s">
        <v>4579</v>
      </c>
      <c r="D1552" s="138"/>
    </row>
    <row r="1553" spans="1:5" x14ac:dyDescent="0.2">
      <c r="A1553" s="2300">
        <v>535923</v>
      </c>
      <c r="B1553" s="2300" t="str">
        <f t="shared" si="176"/>
        <v>55923000</v>
      </c>
      <c r="C1553" s="186" t="s">
        <v>4580</v>
      </c>
      <c r="D1553" s="138" t="s">
        <v>4581</v>
      </c>
    </row>
    <row r="1554" spans="1:5" x14ac:dyDescent="0.2">
      <c r="A1554" s="145">
        <v>535925</v>
      </c>
      <c r="B1554" s="2300" t="str">
        <f t="shared" si="176"/>
        <v>55925000</v>
      </c>
      <c r="C1554" s="186" t="s">
        <v>4582</v>
      </c>
      <c r="D1554"/>
    </row>
    <row r="1555" spans="1:5" x14ac:dyDescent="0.2">
      <c r="A1555" s="145">
        <v>535926</v>
      </c>
      <c r="B1555" s="2300" t="str">
        <f t="shared" si="176"/>
        <v>55926000</v>
      </c>
      <c r="C1555" s="186" t="s">
        <v>4583</v>
      </c>
      <c r="D1555"/>
    </row>
    <row r="1556" spans="1:5" x14ac:dyDescent="0.2">
      <c r="A1556" s="145">
        <v>535927</v>
      </c>
      <c r="B1556" s="2300" t="str">
        <f t="shared" si="176"/>
        <v>55927000</v>
      </c>
      <c r="C1556" s="186" t="s">
        <v>4584</v>
      </c>
      <c r="D1556" s="138" t="s">
        <v>4581</v>
      </c>
    </row>
    <row r="1557" spans="1:5" x14ac:dyDescent="0.2">
      <c r="A1557" s="780" t="s">
        <v>4585</v>
      </c>
      <c r="B1557" s="2411"/>
      <c r="C1557" s="2131"/>
      <c r="D1557" s="898" t="s">
        <v>2940</v>
      </c>
    </row>
    <row r="1558" spans="1:5" x14ac:dyDescent="0.2">
      <c r="A1558" s="780" t="s">
        <v>4586</v>
      </c>
      <c r="B1558" s="2411"/>
      <c r="C1558" s="2131"/>
      <c r="D1558"/>
    </row>
    <row r="1559" spans="1:5" ht="25.5" x14ac:dyDescent="0.2">
      <c r="A1559" s="2144" t="s">
        <v>4587</v>
      </c>
      <c r="B1559" s="2132"/>
      <c r="C1559" s="2133"/>
      <c r="D1559" s="924" t="s">
        <v>4588</v>
      </c>
      <c r="E1559" s="145">
        <v>2870</v>
      </c>
    </row>
    <row r="1560" spans="1:5" x14ac:dyDescent="0.2">
      <c r="A1560" s="869" t="s">
        <v>4589</v>
      </c>
      <c r="B1560" s="2132"/>
      <c r="C1560" s="2133"/>
      <c r="D1560" s="922" t="s">
        <v>4590</v>
      </c>
      <c r="E1560" s="145">
        <v>2880</v>
      </c>
    </row>
    <row r="1561" spans="1:5" x14ac:dyDescent="0.2">
      <c r="A1561" s="917"/>
      <c r="B1561" s="2312"/>
      <c r="C1561" s="2134"/>
      <c r="D1561" s="916" t="s">
        <v>4591</v>
      </c>
    </row>
    <row r="1562" spans="1:5" x14ac:dyDescent="0.2">
      <c r="A1562" s="868" t="s">
        <v>4592</v>
      </c>
      <c r="B1562" s="2312"/>
      <c r="C1562" s="2134"/>
      <c r="D1562" s="898" t="s">
        <v>4593</v>
      </c>
      <c r="E1562" s="145">
        <v>2890</v>
      </c>
    </row>
    <row r="1563" spans="1:5" x14ac:dyDescent="0.2">
      <c r="A1563" s="866" t="s">
        <v>2915</v>
      </c>
      <c r="B1563" s="2411"/>
      <c r="C1563" s="2131"/>
      <c r="D1563" s="898" t="s">
        <v>2940</v>
      </c>
      <c r="E1563" s="145">
        <v>2900</v>
      </c>
    </row>
    <row r="1564" spans="1:5" x14ac:dyDescent="0.2">
      <c r="A1564" s="2300">
        <v>436205</v>
      </c>
      <c r="B1564" s="2300">
        <v>46205000</v>
      </c>
      <c r="C1564" s="186" t="s">
        <v>4594</v>
      </c>
      <c r="D1564" s="2329"/>
    </row>
    <row r="1565" spans="1:5" x14ac:dyDescent="0.2">
      <c r="A1565" s="2300">
        <v>436206</v>
      </c>
      <c r="B1565" s="2300" t="str">
        <f t="shared" ref="B1565" si="177">LEFT(A1565,1)&amp;RIGHT(A1565,4)&amp;"000"</f>
        <v>46206000</v>
      </c>
      <c r="C1565" s="186" t="s">
        <v>4595</v>
      </c>
      <c r="D1565" s="2324"/>
    </row>
    <row r="1566" spans="1:5" x14ac:dyDescent="0.2">
      <c r="A1566" s="866" t="s">
        <v>2246</v>
      </c>
      <c r="B1566" s="2411"/>
      <c r="C1566" s="2131"/>
      <c r="D1566" s="898" t="s">
        <v>2940</v>
      </c>
      <c r="E1566" s="2300" t="s">
        <v>2517</v>
      </c>
    </row>
    <row r="1567" spans="1:5" ht="25.5" x14ac:dyDescent="0.2">
      <c r="A1567" s="2245" t="s">
        <v>4596</v>
      </c>
      <c r="B1567" s="2245" t="s">
        <v>4597</v>
      </c>
      <c r="C1567" s="186" t="s">
        <v>4598</v>
      </c>
      <c r="D1567" s="2249" t="s">
        <v>4599</v>
      </c>
    </row>
    <row r="1568" spans="1:5" x14ac:dyDescent="0.2">
      <c r="A1568" s="145" t="s">
        <v>4600</v>
      </c>
      <c r="B1568" s="2300">
        <v>48100001</v>
      </c>
      <c r="C1568" s="186" t="s">
        <v>4601</v>
      </c>
      <c r="D1568"/>
    </row>
    <row r="1569" spans="1:5" x14ac:dyDescent="0.2">
      <c r="A1569" s="145" t="s">
        <v>4602</v>
      </c>
      <c r="B1569" s="2300" t="s">
        <v>4603</v>
      </c>
      <c r="C1569" s="186" t="s">
        <v>4604</v>
      </c>
      <c r="D1569"/>
    </row>
    <row r="1570" spans="1:5" x14ac:dyDescent="0.2">
      <c r="A1570" s="866" t="s">
        <v>2247</v>
      </c>
      <c r="B1570" s="2397"/>
      <c r="C1570" s="2131"/>
      <c r="D1570" s="898" t="s">
        <v>2940</v>
      </c>
      <c r="E1570" s="2300" t="s">
        <v>2517</v>
      </c>
    </row>
    <row r="1571" spans="1:5" ht="51" x14ac:dyDescent="0.2">
      <c r="A1571" s="2245" t="s">
        <v>4605</v>
      </c>
      <c r="B1571" s="2245" t="s">
        <v>4606</v>
      </c>
      <c r="C1571" s="1808" t="s">
        <v>4598</v>
      </c>
      <c r="D1571" s="871" t="s">
        <v>4607</v>
      </c>
    </row>
    <row r="1572" spans="1:5" x14ac:dyDescent="0.2">
      <c r="A1572" s="2300" t="s">
        <v>4608</v>
      </c>
      <c r="B1572" s="2300" t="s">
        <v>4609</v>
      </c>
      <c r="C1572" s="186" t="s">
        <v>4601</v>
      </c>
      <c r="D1572"/>
    </row>
    <row r="1573" spans="1:5" x14ac:dyDescent="0.2">
      <c r="A1573" s="2300" t="s">
        <v>4610</v>
      </c>
      <c r="B1573" s="2248" t="s">
        <v>4611</v>
      </c>
      <c r="C1573" s="186" t="s">
        <v>4604</v>
      </c>
      <c r="D1573"/>
    </row>
    <row r="1574" spans="1:5" x14ac:dyDescent="0.2">
      <c r="A1574" s="866" t="s">
        <v>4612</v>
      </c>
      <c r="B1574" s="2411"/>
      <c r="C1574" s="2131"/>
      <c r="D1574" s="898" t="s">
        <v>2940</v>
      </c>
      <c r="E1574" s="145">
        <v>2940</v>
      </c>
    </row>
    <row r="1575" spans="1:5" x14ac:dyDescent="0.2">
      <c r="A1575" s="145" t="s">
        <v>4613</v>
      </c>
      <c r="B1575" s="145">
        <v>48500000</v>
      </c>
      <c r="C1575" s="186" t="s">
        <v>4614</v>
      </c>
      <c r="D1575"/>
    </row>
    <row r="1576" spans="1:5" x14ac:dyDescent="0.2">
      <c r="A1576" s="145" t="s">
        <v>4615</v>
      </c>
      <c r="B1576" s="145">
        <v>48600000</v>
      </c>
      <c r="C1576" s="186" t="s">
        <v>4616</v>
      </c>
      <c r="D1576"/>
    </row>
    <row r="1577" spans="1:5" x14ac:dyDescent="0.2">
      <c r="A1577" s="145" t="s">
        <v>4617</v>
      </c>
      <c r="B1577" s="145">
        <v>48700000</v>
      </c>
      <c r="C1577" s="186" t="s">
        <v>4618</v>
      </c>
      <c r="D1577"/>
    </row>
    <row r="1578" spans="1:5" x14ac:dyDescent="0.2">
      <c r="A1578" s="145" t="s">
        <v>4619</v>
      </c>
      <c r="B1578" s="2300">
        <v>58500000</v>
      </c>
      <c r="C1578" s="186" t="s">
        <v>4614</v>
      </c>
      <c r="D1578"/>
    </row>
    <row r="1579" spans="1:5" x14ac:dyDescent="0.2">
      <c r="A1579" s="145" t="s">
        <v>4620</v>
      </c>
      <c r="B1579" s="145">
        <v>58600000</v>
      </c>
      <c r="C1579" s="186" t="s">
        <v>4616</v>
      </c>
      <c r="D1579"/>
    </row>
    <row r="1580" spans="1:5" x14ac:dyDescent="0.2">
      <c r="A1580" s="145" t="s">
        <v>4621</v>
      </c>
      <c r="B1580" s="145">
        <v>58700000</v>
      </c>
      <c r="C1580" s="186" t="s">
        <v>4618</v>
      </c>
      <c r="D1580"/>
    </row>
    <row r="1581" spans="1:5" x14ac:dyDescent="0.2">
      <c r="A1581" s="866" t="s">
        <v>2917</v>
      </c>
      <c r="B1581" s="2411"/>
      <c r="C1581" s="2131"/>
      <c r="D1581" s="898" t="s">
        <v>4622</v>
      </c>
      <c r="E1581" s="145">
        <v>2950</v>
      </c>
    </row>
    <row r="1582" spans="1:5" x14ac:dyDescent="0.2">
      <c r="A1582" s="866" t="s">
        <v>4623</v>
      </c>
      <c r="B1582" s="2411"/>
      <c r="C1582" s="2131"/>
      <c r="D1582"/>
      <c r="E1582" s="145">
        <v>2960</v>
      </c>
    </row>
    <row r="1583" spans="1:5" x14ac:dyDescent="0.2">
      <c r="A1583" s="866" t="s">
        <v>4624</v>
      </c>
      <c r="B1583" s="2397"/>
      <c r="C1583" s="2131"/>
      <c r="D1583" s="898" t="s">
        <v>2940</v>
      </c>
      <c r="E1583" s="145">
        <v>2960</v>
      </c>
    </row>
    <row r="1584" spans="1:5" x14ac:dyDescent="0.2">
      <c r="A1584" s="145">
        <v>437700</v>
      </c>
      <c r="B1584" s="2300" t="str">
        <f t="shared" ref="B1584" si="178">LEFT(A1584,1)&amp;RIGHT(A1584,4)&amp;"000"</f>
        <v>47700000</v>
      </c>
      <c r="C1584" s="186" t="s">
        <v>4625</v>
      </c>
      <c r="D1584"/>
    </row>
    <row r="1585" spans="1:5" x14ac:dyDescent="0.2">
      <c r="A1585" s="866" t="s">
        <v>4626</v>
      </c>
      <c r="B1585" s="2397"/>
      <c r="C1585" s="2131"/>
      <c r="D1585" s="898" t="s">
        <v>2940</v>
      </c>
      <c r="E1585" s="145">
        <v>2960</v>
      </c>
    </row>
    <row r="1586" spans="1:5" x14ac:dyDescent="0.2">
      <c r="A1586" s="145">
        <v>535700</v>
      </c>
      <c r="B1586" s="2300" t="str">
        <f t="shared" ref="B1586" si="179">LEFT(A1586,1)&amp;RIGHT(A1586,4)&amp;"000"</f>
        <v>55700000</v>
      </c>
      <c r="C1586" s="186" t="s">
        <v>4627</v>
      </c>
      <c r="D1586"/>
    </row>
    <row r="1587" spans="1:5" x14ac:dyDescent="0.2">
      <c r="A1587" s="866" t="s">
        <v>1760</v>
      </c>
      <c r="B1587" s="2397"/>
      <c r="C1587" s="2131"/>
      <c r="D1587" s="898" t="s">
        <v>4628</v>
      </c>
      <c r="E1587" s="145">
        <v>2990</v>
      </c>
    </row>
    <row r="1588" spans="1:5" x14ac:dyDescent="0.2">
      <c r="B1588" s="2300"/>
      <c r="D1588"/>
    </row>
    <row r="1589" spans="1:5" x14ac:dyDescent="0.2">
      <c r="A1589" s="2300"/>
      <c r="C1589" s="138" t="s">
        <v>3830</v>
      </c>
      <c r="D1589"/>
    </row>
    <row r="1590" spans="1:5" x14ac:dyDescent="0.2">
      <c r="A1590" s="2048"/>
      <c r="C1590" s="2142" t="s">
        <v>3831</v>
      </c>
      <c r="D1590"/>
    </row>
    <row r="1591" spans="1:5" x14ac:dyDescent="0.2">
      <c r="A1591" s="2300"/>
      <c r="D1591"/>
    </row>
  </sheetData>
  <sheetProtection algorithmName="SHA-512" hashValue="RJqD7H0CAR+X3x2qbH75HOYyEuzmICbk0yCbCUZNl6McYO10EO50LfMVCu2Q03TOUQ4UqCm/3P+n1LqEeHNUfw==" saltValue="FFMubd9Pnt8I8zfnHIMj1A==" spinCount="100000" sheet="1" autoFilter="0"/>
  <customSheetViews>
    <customSheetView guid="{9FCFC836-1CA5-48BF-958D-24D2EA94B219}">
      <pane ySplit="1" topLeftCell="A242" activePane="bottomLeft" state="frozen"/>
      <selection pane="bottomLeft" activeCell="B12" sqref="B12"/>
      <pageMargins left="0" right="0" top="0" bottom="0" header="0" footer="0"/>
      <pageSetup scale="80" orientation="portrait" r:id="rId1"/>
      <headerFooter alignWithMargins="0">
        <oddFooter>&amp;L&amp;D &amp;T&amp;C&amp;F&amp;Rpg.&amp;P of &amp;N</oddFooter>
      </headerFooter>
    </customSheetView>
    <customSheetView guid="{B08879A4-635B-4C39-9937-AC7883D562FC}">
      <pane ySplit="1" topLeftCell="A242" activePane="bottomLeft" state="frozen"/>
      <selection pane="bottomLeft" activeCell="B12" sqref="B12"/>
      <pageMargins left="0" right="0" top="0" bottom="0" header="0" footer="0"/>
      <pageSetup scale="80" orientation="portrait" r:id="rId2"/>
      <headerFooter alignWithMargins="0">
        <oddFooter>&amp;L&amp;D &amp;T&amp;C&amp;F&amp;Rpg.&amp;P of &amp;N</oddFooter>
      </headerFooter>
    </customSheetView>
  </customSheetViews>
  <mergeCells count="43">
    <mergeCell ref="A3:C3"/>
    <mergeCell ref="A4:C4"/>
    <mergeCell ref="A5:C5"/>
    <mergeCell ref="A6:C6"/>
    <mergeCell ref="A13:C13"/>
    <mergeCell ref="A27:C27"/>
    <mergeCell ref="A33:C33"/>
    <mergeCell ref="A39:C39"/>
    <mergeCell ref="A67:C67"/>
    <mergeCell ref="A89:C89"/>
    <mergeCell ref="A93:C93"/>
    <mergeCell ref="A95:C95"/>
    <mergeCell ref="A96:C96"/>
    <mergeCell ref="A106:C106"/>
    <mergeCell ref="A111:C111"/>
    <mergeCell ref="A114:C114"/>
    <mergeCell ref="A116:C116"/>
    <mergeCell ref="A119:C119"/>
    <mergeCell ref="A124:C124"/>
    <mergeCell ref="A131:C131"/>
    <mergeCell ref="A145:C145"/>
    <mergeCell ref="A147:C147"/>
    <mergeCell ref="A149:C149"/>
    <mergeCell ref="A151:C151"/>
    <mergeCell ref="A153:C153"/>
    <mergeCell ref="A160:C160"/>
    <mergeCell ref="A162:C162"/>
    <mergeCell ref="A164:C164"/>
    <mergeCell ref="A186:C186"/>
    <mergeCell ref="A188:C188"/>
    <mergeCell ref="A190:C190"/>
    <mergeCell ref="A192:C192"/>
    <mergeCell ref="A194:C194"/>
    <mergeCell ref="A196:C196"/>
    <mergeCell ref="A198:C198"/>
    <mergeCell ref="A244:C244"/>
    <mergeCell ref="A249:C249"/>
    <mergeCell ref="A256:C256"/>
    <mergeCell ref="A199:C199"/>
    <mergeCell ref="A200:C200"/>
    <mergeCell ref="A207:C207"/>
    <mergeCell ref="A213:C213"/>
    <mergeCell ref="A241:C241"/>
  </mergeCells>
  <phoneticPr fontId="18" type="noConversion"/>
  <conditionalFormatting sqref="B1573">
    <cfRule type="duplicateValues" dxfId="18" priority="33"/>
    <cfRule type="duplicateValues" dxfId="17" priority="34"/>
    <cfRule type="duplicateValues" dxfId="16" priority="35"/>
    <cfRule type="duplicateValues" dxfId="15" priority="36"/>
    <cfRule type="duplicateValues" dxfId="14" priority="37"/>
  </conditionalFormatting>
  <hyperlinks>
    <hyperlink ref="A1590" r:id="rId3" display="http://www.osc.nc.gov/sigdocs/sig_docs/sigNCAS_Data_Elements.html " xr:uid="{FEB37B6B-58E8-4B2B-8F4D-8EA7C1513CA7}"/>
    <hyperlink ref="C891" r:id="rId4" xr:uid="{8236A8C1-81F6-40DB-B5A1-37DE658C4FAC}"/>
    <hyperlink ref="C1590" r:id="rId5" xr:uid="{35969B0D-F957-4139-8A41-0CF999EE47E1}"/>
  </hyperlinks>
  <pageMargins left="0.5" right="0.5" top="0.5" bottom="0.5" header="0.5" footer="0.25"/>
  <pageSetup scale="70" orientation="portrait" r:id="rId6"/>
  <headerFooter alignWithMargins="0">
    <oddFooter xml:space="preserve">&amp;L&amp;D &amp;T&amp;CPage &amp;P of &amp;N&amp;R&amp;A </oddFooter>
  </headerFooter>
  <drawing r:id="rId7"/>
  <legacyDrawing r:id="rId8"/>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3">
    <tabColor theme="6" tint="0.39997558519241921"/>
  </sheetPr>
  <dimension ref="A1:Z281"/>
  <sheetViews>
    <sheetView zoomScaleNormal="100" zoomScaleSheetLayoutView="100" workbookViewId="0">
      <selection activeCell="I8" sqref="I8"/>
    </sheetView>
  </sheetViews>
  <sheetFormatPr defaultRowHeight="12.75" x14ac:dyDescent="0.2"/>
  <cols>
    <col min="1" max="1" width="5.5703125" customWidth="1"/>
    <col min="2" max="2" width="11" customWidth="1"/>
    <col min="3" max="3" width="7.5703125" customWidth="1"/>
    <col min="4" max="4" width="23" customWidth="1"/>
    <col min="5" max="5" width="14.42578125" customWidth="1"/>
    <col min="6" max="6" width="22.42578125" style="341" customWidth="1"/>
    <col min="7" max="7" width="3.42578125" customWidth="1"/>
    <col min="8" max="16" width="21.7109375" customWidth="1"/>
    <col min="17" max="17" width="18.7109375" hidden="1" customWidth="1"/>
    <col min="18" max="19" width="18.7109375" customWidth="1"/>
    <col min="21" max="21" width="24" style="1348" bestFit="1" customWidth="1"/>
    <col min="24" max="24" width="11" customWidth="1"/>
  </cols>
  <sheetData>
    <row r="1" spans="1:26" ht="15.75" x14ac:dyDescent="0.25">
      <c r="A1" s="2553" t="str">
        <f>+Index!$A$1</f>
        <v xml:space="preserve">                                                               Office of the State Controller                                                                </v>
      </c>
      <c r="B1" s="2553"/>
      <c r="C1" s="2553"/>
      <c r="D1" s="2553"/>
      <c r="E1" s="2553"/>
      <c r="F1" s="2553"/>
      <c r="G1" s="2553"/>
      <c r="H1" s="600" t="str">
        <f>IF(Index!$B$105="na", "NA", "")</f>
        <v/>
      </c>
      <c r="I1" s="2268"/>
      <c r="J1" s="2268"/>
      <c r="K1" s="2268"/>
      <c r="L1" s="2268"/>
      <c r="M1" s="2268"/>
      <c r="N1" s="2268"/>
      <c r="O1" s="2268"/>
      <c r="P1" s="2268"/>
      <c r="Q1" s="2268"/>
      <c r="R1" s="2268"/>
      <c r="S1" s="2268"/>
      <c r="T1" s="2268"/>
      <c r="U1" s="1339"/>
      <c r="V1" s="2268"/>
      <c r="W1" s="2268"/>
      <c r="X1" s="2268"/>
    </row>
    <row r="2" spans="1:26" ht="16.5" x14ac:dyDescent="0.3">
      <c r="A2" s="2532" t="str">
        <f>+Index!$A$2</f>
        <v>2024 ACFR Worksheets</v>
      </c>
      <c r="B2" s="2532"/>
      <c r="C2" s="2532"/>
      <c r="D2" s="2532"/>
      <c r="E2" s="2532"/>
      <c r="F2" s="2532"/>
      <c r="G2" s="2532"/>
      <c r="H2" s="322"/>
      <c r="I2" s="322"/>
      <c r="J2" s="322"/>
      <c r="K2" s="329"/>
      <c r="L2" s="329"/>
      <c r="M2" s="329"/>
      <c r="N2" s="329"/>
      <c r="O2" s="329"/>
      <c r="P2" s="329"/>
      <c r="Q2" s="329"/>
      <c r="R2" s="329"/>
      <c r="S2" s="329"/>
      <c r="T2" s="329"/>
      <c r="U2" s="1347"/>
      <c r="V2" s="329"/>
      <c r="W2" s="329"/>
      <c r="X2" s="329"/>
    </row>
    <row r="3" spans="1:26" ht="54" customHeight="1" x14ac:dyDescent="0.3">
      <c r="A3" s="3094" t="s">
        <v>4629</v>
      </c>
      <c r="B3" s="3094"/>
      <c r="C3" s="3094"/>
      <c r="D3" s="3094"/>
      <c r="E3" s="3094"/>
      <c r="F3" s="3094"/>
      <c r="G3" s="3094"/>
      <c r="H3" s="599"/>
      <c r="I3" s="599"/>
      <c r="J3" s="599"/>
      <c r="K3" s="599"/>
      <c r="L3" s="329"/>
      <c r="M3" s="329"/>
      <c r="N3" s="329"/>
      <c r="O3" s="329"/>
      <c r="P3" s="329"/>
      <c r="Q3" s="329"/>
      <c r="R3" s="329"/>
      <c r="S3" s="329"/>
      <c r="T3" s="329"/>
      <c r="U3" s="1347"/>
      <c r="V3" s="329"/>
      <c r="W3" s="329"/>
      <c r="X3" s="329"/>
    </row>
    <row r="4" spans="1:26" ht="17.25" customHeight="1" x14ac:dyDescent="0.2">
      <c r="A4" s="3037"/>
      <c r="B4" s="3037"/>
      <c r="C4" s="3037"/>
      <c r="D4" s="3037"/>
      <c r="E4" s="3037"/>
      <c r="F4" s="3037"/>
      <c r="G4" s="3037"/>
    </row>
    <row r="5" spans="1:26" s="105" customFormat="1" ht="21.75" customHeight="1" x14ac:dyDescent="0.25">
      <c r="A5" s="105" t="s">
        <v>318</v>
      </c>
      <c r="C5" s="333" t="str">
        <f>+Index!$E$10</f>
        <v>01</v>
      </c>
      <c r="D5" s="886"/>
      <c r="E5" s="601" t="s">
        <v>320</v>
      </c>
      <c r="F5" s="3073" t="str">
        <f>+CONCATENATE(Index!$E$12," ",Index!$E$14)</f>
        <v xml:space="preserve"> </v>
      </c>
      <c r="G5" s="3073"/>
      <c r="K5" s="330"/>
      <c r="T5" s="1109"/>
      <c r="U5" s="1349"/>
      <c r="Y5" s="104"/>
    </row>
    <row r="6" spans="1:26" s="105" customFormat="1" ht="15" customHeight="1" x14ac:dyDescent="0.2">
      <c r="A6" s="105" t="s">
        <v>319</v>
      </c>
      <c r="C6" s="3078" t="str">
        <f>+Index!$E$11</f>
        <v>North Carolina General Assembly</v>
      </c>
      <c r="D6" s="3078"/>
      <c r="E6" s="425" t="s">
        <v>168</v>
      </c>
      <c r="F6" s="3074">
        <f>+Index!$E$13</f>
        <v>0</v>
      </c>
      <c r="G6" s="3074"/>
      <c r="K6" s="331"/>
      <c r="L6" s="331"/>
      <c r="M6" s="331"/>
      <c r="N6" s="331"/>
      <c r="O6" s="331"/>
      <c r="P6" s="331"/>
      <c r="Q6" s="331"/>
      <c r="R6" s="331"/>
      <c r="S6" s="331"/>
      <c r="T6" s="331"/>
      <c r="U6" s="1350"/>
      <c r="V6" s="331"/>
      <c r="W6" s="331"/>
      <c r="X6" s="106"/>
      <c r="Y6" s="104"/>
    </row>
    <row r="7" spans="1:26" s="105" customFormat="1" ht="15" customHeight="1" x14ac:dyDescent="0.2">
      <c r="A7" s="105" t="s">
        <v>545</v>
      </c>
      <c r="C7" s="595" t="e">
        <f>INDEX(NetAssetsData,MATCH('905Hosp'!$C$5,NetAssetsDataRow,0),4)</f>
        <v>#N/A</v>
      </c>
      <c r="F7" s="426"/>
      <c r="T7" s="428" t="s">
        <v>4630</v>
      </c>
      <c r="U7" s="1349"/>
      <c r="Y7" s="104"/>
    </row>
    <row r="8" spans="1:26" s="105" customFormat="1" ht="81" customHeight="1" x14ac:dyDescent="0.2">
      <c r="A8" s="3075" t="s">
        <v>4631</v>
      </c>
      <c r="B8" s="3095"/>
      <c r="C8" s="3095"/>
      <c r="D8" s="3095"/>
      <c r="E8" s="3095"/>
      <c r="F8" s="3096"/>
      <c r="G8" s="968"/>
      <c r="H8" s="968"/>
      <c r="I8" s="968"/>
      <c r="Q8" s="1222" t="s">
        <v>4632</v>
      </c>
      <c r="T8" s="428"/>
      <c r="U8" s="1349"/>
      <c r="Y8" s="104"/>
    </row>
    <row r="9" spans="1:26" s="78" customFormat="1" ht="12" customHeight="1" thickBot="1" x14ac:dyDescent="0.3">
      <c r="A9" s="3067" t="s">
        <v>4633</v>
      </c>
      <c r="B9" s="3067"/>
      <c r="C9" s="3067"/>
      <c r="D9" s="3067"/>
      <c r="E9" s="1523"/>
      <c r="F9" s="593" t="s">
        <v>4634</v>
      </c>
      <c r="G9" s="594"/>
      <c r="H9" s="598" t="s">
        <v>4635</v>
      </c>
      <c r="I9" s="598" t="s">
        <v>4636</v>
      </c>
      <c r="J9" s="594" t="s">
        <v>4637</v>
      </c>
      <c r="K9" s="594" t="s">
        <v>4638</v>
      </c>
      <c r="L9" s="594" t="s">
        <v>4639</v>
      </c>
      <c r="M9" s="594" t="s">
        <v>4640</v>
      </c>
      <c r="N9" s="593" t="s">
        <v>4641</v>
      </c>
      <c r="O9" s="593" t="s">
        <v>4642</v>
      </c>
      <c r="P9" s="593" t="s">
        <v>4643</v>
      </c>
      <c r="Q9" s="593" t="s">
        <v>4644</v>
      </c>
      <c r="R9" s="593"/>
      <c r="S9" s="593"/>
      <c r="T9" s="535" t="s">
        <v>2025</v>
      </c>
      <c r="U9" s="1351"/>
      <c r="V9" s="27"/>
      <c r="W9" s="27"/>
      <c r="X9" s="1340" t="s">
        <v>2726</v>
      </c>
      <c r="Y9" s="1340" t="s">
        <v>4634</v>
      </c>
      <c r="Z9" s="27"/>
    </row>
    <row r="10" spans="1:26" ht="15" x14ac:dyDescent="0.25">
      <c r="A10" s="3067" t="s">
        <v>4645</v>
      </c>
      <c r="B10" s="3067"/>
      <c r="C10" s="3067"/>
      <c r="D10" s="3067"/>
      <c r="F10" s="428" t="s">
        <v>4646</v>
      </c>
      <c r="H10" s="1124" t="s">
        <v>4646</v>
      </c>
      <c r="I10" s="428" t="s">
        <v>4647</v>
      </c>
      <c r="J10" s="428">
        <v>2635</v>
      </c>
      <c r="K10" s="428">
        <v>2632</v>
      </c>
      <c r="L10" s="428">
        <v>2637</v>
      </c>
      <c r="M10" s="428">
        <v>2638</v>
      </c>
      <c r="N10" s="428">
        <v>2639</v>
      </c>
      <c r="O10" s="428" t="s">
        <v>4646</v>
      </c>
      <c r="P10" s="428" t="s">
        <v>4646</v>
      </c>
      <c r="Q10" s="428" t="s">
        <v>4648</v>
      </c>
      <c r="R10" s="428" t="s">
        <v>4648</v>
      </c>
      <c r="S10" s="428" t="s">
        <v>4648</v>
      </c>
      <c r="X10" s="1340" t="s">
        <v>2728</v>
      </c>
      <c r="Y10" s="1352">
        <v>4800</v>
      </c>
    </row>
    <row r="11" spans="1:26" x14ac:dyDescent="0.2">
      <c r="B11" s="3071" t="s">
        <v>2732</v>
      </c>
      <c r="C11" s="3071"/>
      <c r="D11" s="3071"/>
      <c r="E11" s="3071"/>
      <c r="F11" s="428" t="s">
        <v>4649</v>
      </c>
      <c r="G11" s="428"/>
      <c r="H11" s="1125" t="s">
        <v>4650</v>
      </c>
      <c r="I11" s="341"/>
      <c r="J11" s="428" t="s">
        <v>4651</v>
      </c>
      <c r="K11" s="428" t="s">
        <v>4652</v>
      </c>
      <c r="L11" s="428" t="s">
        <v>4653</v>
      </c>
      <c r="M11" s="428" t="s">
        <v>4654</v>
      </c>
      <c r="N11" s="428" t="s">
        <v>4655</v>
      </c>
      <c r="O11" s="428" t="s">
        <v>4656</v>
      </c>
      <c r="P11" s="428" t="s">
        <v>4657</v>
      </c>
      <c r="Q11" s="428" t="s">
        <v>4658</v>
      </c>
      <c r="R11" s="428"/>
      <c r="S11" s="428"/>
    </row>
    <row r="12" spans="1:26" x14ac:dyDescent="0.2">
      <c r="B12" s="2442"/>
      <c r="C12" s="2442"/>
      <c r="F12" s="535" t="s">
        <v>4659</v>
      </c>
      <c r="G12" s="427"/>
      <c r="H12" s="1126" t="s">
        <v>4635</v>
      </c>
      <c r="I12" s="535" t="s">
        <v>4660</v>
      </c>
      <c r="J12" s="535" t="s">
        <v>4661</v>
      </c>
      <c r="K12" s="535" t="s">
        <v>4662</v>
      </c>
      <c r="L12" s="535" t="s">
        <v>4663</v>
      </c>
      <c r="M12" s="535" t="s">
        <v>4664</v>
      </c>
      <c r="N12" s="535" t="s">
        <v>4665</v>
      </c>
      <c r="O12" s="535" t="s">
        <v>4666</v>
      </c>
      <c r="P12" s="535" t="s">
        <v>4667</v>
      </c>
      <c r="Q12" s="535" t="s">
        <v>4664</v>
      </c>
      <c r="R12" s="535"/>
      <c r="S12" s="535"/>
    </row>
    <row r="13" spans="1:26" x14ac:dyDescent="0.2">
      <c r="A13" s="1" t="s">
        <v>2736</v>
      </c>
      <c r="B13" s="213" t="s">
        <v>2737</v>
      </c>
      <c r="C13" s="213"/>
      <c r="G13" s="918"/>
    </row>
    <row r="14" spans="1:26" x14ac:dyDescent="0.2">
      <c r="A14" s="170">
        <v>1000</v>
      </c>
      <c r="B14" s="2890" t="s">
        <v>1935</v>
      </c>
      <c r="C14" s="2890"/>
      <c r="D14" s="2890"/>
      <c r="E14" s="2890"/>
      <c r="F14" s="342">
        <f>SUM(H14:S14)</f>
        <v>0</v>
      </c>
      <c r="G14" s="2398"/>
      <c r="H14" s="348">
        <v>0</v>
      </c>
      <c r="I14" s="348">
        <v>0</v>
      </c>
      <c r="J14" s="348">
        <v>0</v>
      </c>
      <c r="K14" s="348">
        <v>0</v>
      </c>
      <c r="L14" s="348">
        <v>0</v>
      </c>
      <c r="M14" s="348">
        <v>0</v>
      </c>
      <c r="N14" s="348">
        <v>0</v>
      </c>
      <c r="O14" s="348">
        <v>0</v>
      </c>
      <c r="P14" s="348">
        <v>0</v>
      </c>
      <c r="Q14" s="348">
        <v>0</v>
      </c>
      <c r="R14" s="348">
        <v>0</v>
      </c>
      <c r="S14" s="348">
        <v>0</v>
      </c>
      <c r="U14" s="1353">
        <v>11111000</v>
      </c>
    </row>
    <row r="15" spans="1:26" x14ac:dyDescent="0.2">
      <c r="A15" s="170">
        <v>1010</v>
      </c>
      <c r="B15" s="2890" t="s">
        <v>1939</v>
      </c>
      <c r="C15" s="2890"/>
      <c r="D15" s="2890"/>
      <c r="E15" s="2890"/>
      <c r="F15" s="341">
        <f>SUM(H15:S15)</f>
        <v>0</v>
      </c>
      <c r="G15" s="357"/>
      <c r="H15" s="348">
        <v>0</v>
      </c>
      <c r="I15" s="348">
        <v>0</v>
      </c>
      <c r="J15" s="348">
        <v>0</v>
      </c>
      <c r="K15" s="348">
        <v>0</v>
      </c>
      <c r="L15" s="348">
        <v>0</v>
      </c>
      <c r="M15" s="348">
        <v>0</v>
      </c>
      <c r="N15" s="348">
        <v>0</v>
      </c>
      <c r="O15" s="348">
        <v>0</v>
      </c>
      <c r="P15" s="348">
        <v>0</v>
      </c>
      <c r="Q15" s="348">
        <v>0</v>
      </c>
      <c r="R15" s="348">
        <v>0</v>
      </c>
      <c r="S15" s="348">
        <v>0</v>
      </c>
      <c r="U15" s="1354">
        <v>11121000</v>
      </c>
    </row>
    <row r="16" spans="1:26" x14ac:dyDescent="0.2">
      <c r="A16" s="170">
        <v>1050</v>
      </c>
      <c r="B16" s="2890" t="s">
        <v>2738</v>
      </c>
      <c r="C16" s="2890"/>
      <c r="D16" s="2890"/>
      <c r="E16" s="2890"/>
      <c r="F16" s="341">
        <f t="shared" ref="F16:F23" si="0">SUM(H16:S16)</f>
        <v>0</v>
      </c>
      <c r="G16" s="2398"/>
      <c r="H16" s="348">
        <v>0</v>
      </c>
      <c r="I16" s="348">
        <v>0</v>
      </c>
      <c r="J16" s="348">
        <v>0</v>
      </c>
      <c r="K16" s="348">
        <v>0</v>
      </c>
      <c r="L16" s="348">
        <v>0</v>
      </c>
      <c r="M16" s="348">
        <v>0</v>
      </c>
      <c r="N16" s="348">
        <v>0</v>
      </c>
      <c r="O16" s="348">
        <v>0</v>
      </c>
      <c r="P16" s="348">
        <v>0</v>
      </c>
      <c r="Q16" s="348">
        <v>0</v>
      </c>
      <c r="R16" s="348">
        <v>0</v>
      </c>
      <c r="S16" s="348">
        <v>0</v>
      </c>
      <c r="U16" s="1354">
        <v>11210100</v>
      </c>
    </row>
    <row r="17" spans="1:21" x14ac:dyDescent="0.2">
      <c r="A17" s="170">
        <v>1060</v>
      </c>
      <c r="B17" s="2890" t="s">
        <v>2739</v>
      </c>
      <c r="C17" s="2890"/>
      <c r="D17" s="2890"/>
      <c r="E17" s="2890"/>
      <c r="F17" s="341">
        <f t="shared" si="0"/>
        <v>0</v>
      </c>
      <c r="G17" s="1950"/>
      <c r="H17" s="348">
        <v>0</v>
      </c>
      <c r="I17" s="348">
        <v>0</v>
      </c>
      <c r="J17" s="348">
        <v>0</v>
      </c>
      <c r="K17" s="348">
        <v>0</v>
      </c>
      <c r="L17" s="348">
        <v>0</v>
      </c>
      <c r="M17" s="348">
        <v>0</v>
      </c>
      <c r="N17" s="348">
        <v>0</v>
      </c>
      <c r="O17" s="348">
        <v>0</v>
      </c>
      <c r="P17" s="348">
        <v>0</v>
      </c>
      <c r="Q17" s="348">
        <v>0</v>
      </c>
      <c r="R17" s="348">
        <v>0</v>
      </c>
      <c r="S17" s="348">
        <v>0</v>
      </c>
      <c r="U17" s="1354">
        <v>11221000</v>
      </c>
    </row>
    <row r="18" spans="1:21" x14ac:dyDescent="0.2">
      <c r="A18" s="170">
        <v>1090</v>
      </c>
      <c r="B18" s="2890" t="s">
        <v>2740</v>
      </c>
      <c r="C18" s="2890"/>
      <c r="D18" s="2890"/>
      <c r="E18" s="2890"/>
      <c r="F18" s="341">
        <f t="shared" si="0"/>
        <v>0</v>
      </c>
      <c r="G18" s="1951"/>
      <c r="H18" s="348">
        <v>0</v>
      </c>
      <c r="I18" s="348">
        <v>0</v>
      </c>
      <c r="J18" s="348">
        <v>0</v>
      </c>
      <c r="K18" s="348">
        <v>0</v>
      </c>
      <c r="L18" s="348">
        <v>0</v>
      </c>
      <c r="M18" s="348">
        <v>0</v>
      </c>
      <c r="N18" s="348">
        <v>0</v>
      </c>
      <c r="O18" s="348">
        <v>0</v>
      </c>
      <c r="P18" s="348">
        <v>0</v>
      </c>
      <c r="Q18" s="348">
        <v>0</v>
      </c>
      <c r="R18" s="348">
        <v>0</v>
      </c>
      <c r="S18" s="348">
        <v>0</v>
      </c>
      <c r="U18" s="1354">
        <v>11230000</v>
      </c>
    </row>
    <row r="19" spans="1:21" x14ac:dyDescent="0.2">
      <c r="A19" s="170"/>
      <c r="B19" s="170" t="s">
        <v>2741</v>
      </c>
      <c r="C19" s="170"/>
      <c r="G19" s="357"/>
      <c r="H19" s="215"/>
      <c r="I19" s="348"/>
      <c r="J19" s="348"/>
      <c r="K19" s="348"/>
      <c r="L19" s="348"/>
      <c r="M19" s="348"/>
      <c r="N19" s="348"/>
      <c r="O19" s="348"/>
      <c r="P19" s="348"/>
      <c r="Q19" s="348"/>
      <c r="R19" s="348"/>
      <c r="S19" s="348"/>
      <c r="U19" s="1354"/>
    </row>
    <row r="20" spans="1:21" x14ac:dyDescent="0.2">
      <c r="A20" s="170">
        <v>1110</v>
      </c>
      <c r="B20" s="2894" t="s">
        <v>2742</v>
      </c>
      <c r="C20" s="2894"/>
      <c r="D20" s="2894"/>
      <c r="E20" s="2894"/>
      <c r="F20" s="341">
        <f t="shared" si="0"/>
        <v>0</v>
      </c>
      <c r="G20" s="357"/>
      <c r="H20" s="348">
        <v>0</v>
      </c>
      <c r="I20" s="348">
        <v>0</v>
      </c>
      <c r="J20" s="348">
        <v>0</v>
      </c>
      <c r="K20" s="348">
        <v>0</v>
      </c>
      <c r="L20" s="348">
        <v>0</v>
      </c>
      <c r="M20" s="348">
        <v>0</v>
      </c>
      <c r="N20" s="348">
        <v>0</v>
      </c>
      <c r="O20" s="348">
        <v>0</v>
      </c>
      <c r="P20" s="348">
        <v>0</v>
      </c>
      <c r="Q20" s="348">
        <v>0</v>
      </c>
      <c r="R20" s="348">
        <v>0</v>
      </c>
      <c r="S20" s="348">
        <v>0</v>
      </c>
      <c r="U20" s="1354">
        <v>11320000</v>
      </c>
    </row>
    <row r="21" spans="1:21" x14ac:dyDescent="0.2">
      <c r="A21" s="170">
        <v>1120</v>
      </c>
      <c r="B21" s="2894" t="s">
        <v>2743</v>
      </c>
      <c r="C21" s="2894"/>
      <c r="D21" s="2894"/>
      <c r="E21" s="2894"/>
      <c r="F21" s="341">
        <f t="shared" si="0"/>
        <v>0</v>
      </c>
      <c r="G21" s="357"/>
      <c r="H21" s="348">
        <v>0</v>
      </c>
      <c r="I21" s="348">
        <v>0</v>
      </c>
      <c r="J21" s="348">
        <v>0</v>
      </c>
      <c r="K21" s="348">
        <v>0</v>
      </c>
      <c r="L21" s="348">
        <v>0</v>
      </c>
      <c r="M21" s="348">
        <v>0</v>
      </c>
      <c r="N21" s="348">
        <v>0</v>
      </c>
      <c r="O21" s="348">
        <v>0</v>
      </c>
      <c r="P21" s="348">
        <v>0</v>
      </c>
      <c r="Q21" s="348">
        <v>0</v>
      </c>
      <c r="R21" s="348">
        <v>0</v>
      </c>
      <c r="S21" s="348">
        <v>0</v>
      </c>
      <c r="U21" s="1354">
        <v>11341000</v>
      </c>
    </row>
    <row r="22" spans="1:21" x14ac:dyDescent="0.2">
      <c r="A22" s="170">
        <v>1130</v>
      </c>
      <c r="B22" s="2894" t="s">
        <v>2744</v>
      </c>
      <c r="C22" s="2894"/>
      <c r="D22" s="2894"/>
      <c r="E22" s="2894"/>
      <c r="F22" s="341">
        <f t="shared" si="0"/>
        <v>0</v>
      </c>
      <c r="G22" s="357"/>
      <c r="H22" s="348">
        <v>0</v>
      </c>
      <c r="I22" s="348">
        <v>0</v>
      </c>
      <c r="J22" s="348">
        <v>0</v>
      </c>
      <c r="K22" s="348">
        <v>0</v>
      </c>
      <c r="L22" s="348">
        <v>0</v>
      </c>
      <c r="M22" s="348">
        <v>0</v>
      </c>
      <c r="N22" s="348">
        <v>0</v>
      </c>
      <c r="O22" s="348">
        <v>0</v>
      </c>
      <c r="P22" s="348">
        <v>0</v>
      </c>
      <c r="Q22" s="348">
        <v>0</v>
      </c>
      <c r="R22" s="348">
        <v>0</v>
      </c>
      <c r="S22" s="348">
        <v>0</v>
      </c>
      <c r="U22" s="1354">
        <v>11351000</v>
      </c>
    </row>
    <row r="23" spans="1:21" x14ac:dyDescent="0.2">
      <c r="A23" s="170">
        <v>1160</v>
      </c>
      <c r="B23" s="2894" t="s">
        <v>2745</v>
      </c>
      <c r="C23" s="2894"/>
      <c r="D23" s="2894"/>
      <c r="E23" s="2894"/>
      <c r="F23" s="341">
        <f t="shared" si="0"/>
        <v>0</v>
      </c>
      <c r="G23" s="357"/>
      <c r="H23" s="348">
        <v>0</v>
      </c>
      <c r="I23" s="348">
        <v>0</v>
      </c>
      <c r="J23" s="348">
        <v>0</v>
      </c>
      <c r="K23" s="348">
        <v>0</v>
      </c>
      <c r="L23" s="348">
        <v>0</v>
      </c>
      <c r="M23" s="348">
        <v>0</v>
      </c>
      <c r="N23" s="348">
        <v>0</v>
      </c>
      <c r="O23" s="348">
        <v>0</v>
      </c>
      <c r="P23" s="348">
        <v>0</v>
      </c>
      <c r="Q23" s="348">
        <v>0</v>
      </c>
      <c r="R23" s="348">
        <v>0</v>
      </c>
      <c r="S23" s="348">
        <v>0</v>
      </c>
      <c r="U23" s="1354">
        <v>11336000</v>
      </c>
    </row>
    <row r="24" spans="1:21" x14ac:dyDescent="0.2">
      <c r="A24" s="170">
        <v>1175</v>
      </c>
      <c r="B24" s="2890" t="s">
        <v>2746</v>
      </c>
      <c r="C24" s="2890"/>
      <c r="D24" s="2890"/>
      <c r="E24" s="2890"/>
      <c r="F24" s="562">
        <f>SUM(H24:S24)</f>
        <v>0</v>
      </c>
      <c r="H24" s="1093">
        <v>0</v>
      </c>
      <c r="I24" s="1093">
        <v>0</v>
      </c>
      <c r="J24" s="1093">
        <v>0</v>
      </c>
      <c r="K24" s="1093">
        <v>0</v>
      </c>
      <c r="L24" s="1093">
        <v>0</v>
      </c>
      <c r="M24" s="1093">
        <v>0</v>
      </c>
      <c r="N24" s="1093">
        <v>0</v>
      </c>
      <c r="O24" s="1093">
        <v>0</v>
      </c>
      <c r="P24" s="1093">
        <v>0</v>
      </c>
      <c r="Q24" s="1093"/>
      <c r="R24" s="1093">
        <v>0</v>
      </c>
      <c r="S24" s="1093">
        <v>0</v>
      </c>
      <c r="T24" t="str">
        <f>IF(SUM(H24:S24)=F24,"OK ","Problem: sum of amts keyed for each agency in col H through S must tie to total on combined worksheet")</f>
        <v xml:space="preserve">OK </v>
      </c>
      <c r="U24" s="1354">
        <v>11450100</v>
      </c>
    </row>
    <row r="25" spans="1:21" x14ac:dyDescent="0.2">
      <c r="A25" s="638">
        <v>1190</v>
      </c>
      <c r="B25" s="3066" t="s">
        <v>2747</v>
      </c>
      <c r="C25" s="3066"/>
      <c r="D25" s="3066"/>
      <c r="E25" s="3066"/>
      <c r="F25" s="562">
        <f>'525'!H26</f>
        <v>0</v>
      </c>
      <c r="H25" s="1093">
        <v>0</v>
      </c>
      <c r="I25" s="1093">
        <v>0</v>
      </c>
      <c r="J25" s="1093">
        <v>0</v>
      </c>
      <c r="K25" s="1093">
        <v>0</v>
      </c>
      <c r="L25" s="1093">
        <v>0</v>
      </c>
      <c r="M25" s="1093">
        <v>0</v>
      </c>
      <c r="N25" s="1093">
        <v>0</v>
      </c>
      <c r="O25" s="1093">
        <v>0</v>
      </c>
      <c r="P25" s="1093">
        <v>0</v>
      </c>
      <c r="Q25" s="1093">
        <v>0</v>
      </c>
      <c r="R25" s="1093">
        <v>0</v>
      </c>
      <c r="S25" s="1093">
        <v>0</v>
      </c>
      <c r="T25" t="str">
        <f>IF(SUM(H25:S25)=F25,"OK ","Problem: sum of amts keyed for each agency in col H through S must tie to total on combined worksheet")</f>
        <v xml:space="preserve">OK </v>
      </c>
      <c r="U25" s="1355">
        <v>11470000</v>
      </c>
    </row>
    <row r="26" spans="1:21" x14ac:dyDescent="0.2">
      <c r="A26" s="638">
        <v>1195</v>
      </c>
      <c r="B26" s="3066" t="s">
        <v>2748</v>
      </c>
      <c r="C26" s="3066"/>
      <c r="D26" s="3066"/>
      <c r="E26" s="3066"/>
      <c r="F26" s="562">
        <f>'616'!D30</f>
        <v>0</v>
      </c>
      <c r="H26" s="1093">
        <v>0</v>
      </c>
      <c r="I26" s="1093">
        <v>0</v>
      </c>
      <c r="J26" s="1093">
        <v>0</v>
      </c>
      <c r="K26" s="1093">
        <v>0</v>
      </c>
      <c r="L26" s="1093">
        <v>0</v>
      </c>
      <c r="M26" s="1093">
        <v>0</v>
      </c>
      <c r="N26" s="1093">
        <v>0</v>
      </c>
      <c r="O26" s="1093">
        <v>0</v>
      </c>
      <c r="P26" s="1093">
        <v>0</v>
      </c>
      <c r="Q26" s="1093">
        <v>0</v>
      </c>
      <c r="R26" s="1093">
        <v>0</v>
      </c>
      <c r="S26" s="1093">
        <v>0</v>
      </c>
      <c r="T26" t="str">
        <f>IF(SUM(H26:S26)=F26,"OK ","Problem: sum of amts keyed for each agency in col H through S must tie to total on combined worksheet")</f>
        <v xml:space="preserve">OK </v>
      </c>
      <c r="U26" s="1354">
        <v>11480000</v>
      </c>
    </row>
    <row r="27" spans="1:21" x14ac:dyDescent="0.2">
      <c r="A27" s="638">
        <v>1200</v>
      </c>
      <c r="B27" s="3066" t="s">
        <v>2749</v>
      </c>
      <c r="C27" s="3066"/>
      <c r="D27" s="3066"/>
      <c r="E27" s="3066"/>
      <c r="F27" s="562">
        <f>'515'!H27</f>
        <v>0</v>
      </c>
      <c r="H27" s="1093">
        <v>0</v>
      </c>
      <c r="I27" s="1093">
        <v>0</v>
      </c>
      <c r="J27" s="1093">
        <v>0</v>
      </c>
      <c r="K27" s="1093">
        <v>0</v>
      </c>
      <c r="L27" s="1093">
        <v>0</v>
      </c>
      <c r="M27" s="1093">
        <v>0</v>
      </c>
      <c r="N27" s="1093">
        <v>0</v>
      </c>
      <c r="O27" s="1093">
        <v>0</v>
      </c>
      <c r="P27" s="1093">
        <v>0</v>
      </c>
      <c r="Q27" s="1093">
        <v>0</v>
      </c>
      <c r="R27" s="1093">
        <v>0</v>
      </c>
      <c r="S27" s="1093">
        <v>0</v>
      </c>
      <c r="T27" t="str">
        <f>IF(SUM(H27:S27)=F27,"OK ","Problem: sum of amts keyed for each agency in col H through S must tie to total on combined worksheet")</f>
        <v xml:space="preserve">OK </v>
      </c>
      <c r="U27" s="1355">
        <v>11460000</v>
      </c>
    </row>
    <row r="28" spans="1:21" x14ac:dyDescent="0.2">
      <c r="A28" s="170">
        <v>1220</v>
      </c>
      <c r="B28" s="3069" t="s">
        <v>2750</v>
      </c>
      <c r="C28" s="3069"/>
      <c r="D28" s="3069"/>
      <c r="E28" s="3069"/>
      <c r="F28" s="341">
        <f>SUM(H28:S28)</f>
        <v>0</v>
      </c>
      <c r="G28" s="357"/>
      <c r="H28" s="348">
        <v>0</v>
      </c>
      <c r="I28" s="348">
        <v>0</v>
      </c>
      <c r="J28" s="348">
        <v>0</v>
      </c>
      <c r="K28" s="348">
        <v>0</v>
      </c>
      <c r="L28" s="348">
        <v>0</v>
      </c>
      <c r="M28" s="348">
        <v>0</v>
      </c>
      <c r="N28" s="348">
        <v>0</v>
      </c>
      <c r="O28" s="348">
        <v>0</v>
      </c>
      <c r="P28" s="348">
        <v>0</v>
      </c>
      <c r="Q28" s="348">
        <v>0</v>
      </c>
      <c r="R28" s="348">
        <v>0</v>
      </c>
      <c r="S28" s="348">
        <v>0</v>
      </c>
      <c r="U28" s="1354">
        <v>11611000</v>
      </c>
    </row>
    <row r="29" spans="1:21" x14ac:dyDescent="0.2">
      <c r="A29" s="170">
        <v>1230</v>
      </c>
      <c r="B29" s="2890" t="s">
        <v>2751</v>
      </c>
      <c r="C29" s="2890"/>
      <c r="D29" s="2890"/>
      <c r="E29" s="2890"/>
      <c r="F29" s="341">
        <f t="shared" ref="F29:F38" si="1">SUM(H29:S29)</f>
        <v>0</v>
      </c>
      <c r="G29" s="357"/>
      <c r="H29" s="348">
        <v>0</v>
      </c>
      <c r="I29" s="348">
        <v>0</v>
      </c>
      <c r="J29" s="348">
        <v>0</v>
      </c>
      <c r="K29" s="348">
        <v>0</v>
      </c>
      <c r="L29" s="348">
        <v>0</v>
      </c>
      <c r="M29" s="348">
        <v>0</v>
      </c>
      <c r="N29" s="348">
        <v>0</v>
      </c>
      <c r="O29" s="348">
        <v>0</v>
      </c>
      <c r="P29" s="348">
        <v>0</v>
      </c>
      <c r="Q29" s="348">
        <v>0</v>
      </c>
      <c r="R29" s="348">
        <v>0</v>
      </c>
      <c r="S29" s="348">
        <v>0</v>
      </c>
      <c r="U29" s="1354">
        <v>11910000</v>
      </c>
    </row>
    <row r="30" spans="1:21" x14ac:dyDescent="0.2">
      <c r="A30" s="170">
        <v>1210</v>
      </c>
      <c r="B30" s="2890" t="s">
        <v>2752</v>
      </c>
      <c r="C30" s="2890"/>
      <c r="D30" s="2890"/>
      <c r="E30" s="2890"/>
      <c r="F30" s="341">
        <f t="shared" si="1"/>
        <v>0</v>
      </c>
      <c r="G30" s="357"/>
      <c r="H30" s="348">
        <v>0</v>
      </c>
      <c r="I30" s="348">
        <v>0</v>
      </c>
      <c r="J30" s="348">
        <v>0</v>
      </c>
      <c r="K30" s="348">
        <v>0</v>
      </c>
      <c r="L30" s="348">
        <v>0</v>
      </c>
      <c r="M30" s="348">
        <v>0</v>
      </c>
      <c r="N30" s="348">
        <v>0</v>
      </c>
      <c r="O30" s="348">
        <v>0</v>
      </c>
      <c r="P30" s="348">
        <v>0</v>
      </c>
      <c r="Q30" s="348">
        <v>0</v>
      </c>
      <c r="R30" s="348">
        <v>0</v>
      </c>
      <c r="S30" s="348">
        <v>0</v>
      </c>
      <c r="U30" s="1354">
        <v>11510000</v>
      </c>
    </row>
    <row r="31" spans="1:21" x14ac:dyDescent="0.2">
      <c r="A31" s="170">
        <v>1211</v>
      </c>
      <c r="B31" s="2890" t="s">
        <v>4668</v>
      </c>
      <c r="C31" s="2890"/>
      <c r="D31" s="2890"/>
      <c r="E31" s="2890"/>
      <c r="F31" s="341">
        <f t="shared" si="1"/>
        <v>0</v>
      </c>
      <c r="G31" s="357"/>
      <c r="H31" s="348">
        <v>0</v>
      </c>
      <c r="I31" s="348">
        <v>0</v>
      </c>
      <c r="J31" s="348">
        <v>0</v>
      </c>
      <c r="K31" s="348">
        <v>0</v>
      </c>
      <c r="L31" s="348">
        <v>0</v>
      </c>
      <c r="M31" s="348">
        <v>0</v>
      </c>
      <c r="N31" s="348">
        <v>0</v>
      </c>
      <c r="O31" s="348">
        <v>0</v>
      </c>
      <c r="P31" s="348">
        <v>0</v>
      </c>
      <c r="Q31" s="348"/>
      <c r="R31" s="348"/>
      <c r="S31" s="348"/>
      <c r="U31" s="1462">
        <v>11530000</v>
      </c>
    </row>
    <row r="32" spans="1:21" x14ac:dyDescent="0.2">
      <c r="A32" s="2009">
        <v>1214</v>
      </c>
      <c r="B32" s="3083" t="s">
        <v>4669</v>
      </c>
      <c r="C32" s="3083"/>
      <c r="D32" s="3083"/>
      <c r="E32" s="3083"/>
      <c r="F32" s="341">
        <f t="shared" si="1"/>
        <v>0</v>
      </c>
      <c r="G32" s="357"/>
      <c r="H32" s="348">
        <v>0</v>
      </c>
      <c r="I32" s="348">
        <v>0</v>
      </c>
      <c r="J32" s="348">
        <v>0</v>
      </c>
      <c r="K32" s="348">
        <v>0</v>
      </c>
      <c r="L32" s="348">
        <v>0</v>
      </c>
      <c r="M32" s="348">
        <v>0</v>
      </c>
      <c r="N32" s="348">
        <v>0</v>
      </c>
      <c r="O32" s="348">
        <v>0</v>
      </c>
      <c r="P32" s="348"/>
      <c r="Q32" s="348"/>
      <c r="R32" s="348"/>
      <c r="S32" s="348"/>
      <c r="U32" s="1462">
        <v>11540000</v>
      </c>
    </row>
    <row r="33" spans="1:21" x14ac:dyDescent="0.2">
      <c r="A33" s="170">
        <v>1020</v>
      </c>
      <c r="B33" s="2890" t="s">
        <v>1948</v>
      </c>
      <c r="C33" s="2890"/>
      <c r="D33" s="2890"/>
      <c r="E33" s="2890"/>
      <c r="F33" s="341">
        <f t="shared" si="1"/>
        <v>0</v>
      </c>
      <c r="G33" s="357"/>
      <c r="H33" s="348">
        <v>0</v>
      </c>
      <c r="I33" s="348">
        <v>0</v>
      </c>
      <c r="J33" s="348">
        <v>0</v>
      </c>
      <c r="K33" s="348">
        <v>0</v>
      </c>
      <c r="L33" s="348">
        <v>0</v>
      </c>
      <c r="M33" s="348">
        <v>0</v>
      </c>
      <c r="N33" s="348">
        <v>0</v>
      </c>
      <c r="O33" s="348">
        <v>0</v>
      </c>
      <c r="P33" s="348">
        <v>0</v>
      </c>
      <c r="Q33" s="348">
        <v>0</v>
      </c>
      <c r="R33" s="348">
        <v>0</v>
      </c>
      <c r="S33" s="348">
        <v>0</v>
      </c>
      <c r="U33" s="1354" t="s">
        <v>2756</v>
      </c>
    </row>
    <row r="34" spans="1:21" x14ac:dyDescent="0.2">
      <c r="A34" s="170">
        <v>1030</v>
      </c>
      <c r="B34" s="2890" t="s">
        <v>1952</v>
      </c>
      <c r="C34" s="2890"/>
      <c r="D34" s="2890"/>
      <c r="E34" s="2890"/>
      <c r="F34" s="341">
        <f t="shared" si="1"/>
        <v>0</v>
      </c>
      <c r="G34" s="357"/>
      <c r="H34" s="348">
        <v>0</v>
      </c>
      <c r="I34" s="348">
        <v>0</v>
      </c>
      <c r="J34" s="348">
        <v>0</v>
      </c>
      <c r="K34" s="348">
        <v>0</v>
      </c>
      <c r="L34" s="348">
        <v>0</v>
      </c>
      <c r="M34" s="348">
        <v>0</v>
      </c>
      <c r="N34" s="348">
        <v>0</v>
      </c>
      <c r="O34" s="348">
        <v>0</v>
      </c>
      <c r="P34" s="348">
        <v>0</v>
      </c>
      <c r="Q34" s="348">
        <v>0</v>
      </c>
      <c r="R34" s="348">
        <v>0</v>
      </c>
      <c r="S34" s="348">
        <v>0</v>
      </c>
      <c r="U34" s="1354" t="s">
        <v>2757</v>
      </c>
    </row>
    <row r="35" spans="1:21" x14ac:dyDescent="0.2">
      <c r="A35" s="170">
        <v>1070</v>
      </c>
      <c r="B35" s="2890" t="s">
        <v>2758</v>
      </c>
      <c r="C35" s="2890"/>
      <c r="D35" s="2890"/>
      <c r="E35" s="2890"/>
      <c r="F35" s="341">
        <f t="shared" si="1"/>
        <v>0</v>
      </c>
      <c r="G35" s="357"/>
      <c r="H35" s="348">
        <v>0</v>
      </c>
      <c r="I35" s="348">
        <v>0</v>
      </c>
      <c r="J35" s="348">
        <v>0</v>
      </c>
      <c r="K35" s="348">
        <v>0</v>
      </c>
      <c r="L35" s="348">
        <v>0</v>
      </c>
      <c r="M35" s="348">
        <v>0</v>
      </c>
      <c r="N35" s="348">
        <v>0</v>
      </c>
      <c r="O35" s="348">
        <v>0</v>
      </c>
      <c r="P35" s="348">
        <v>0</v>
      </c>
      <c r="Q35" s="348">
        <v>0</v>
      </c>
      <c r="R35" s="348">
        <v>0</v>
      </c>
      <c r="S35" s="348">
        <v>0</v>
      </c>
      <c r="U35" s="1354">
        <v>11212500</v>
      </c>
    </row>
    <row r="36" spans="1:21" x14ac:dyDescent="0.2">
      <c r="A36" s="170">
        <v>1232</v>
      </c>
      <c r="B36" s="2890" t="s">
        <v>2759</v>
      </c>
      <c r="C36" s="2890"/>
      <c r="D36" s="2890"/>
      <c r="E36" s="2890"/>
      <c r="F36" s="341">
        <f>SUM(H36:S36)</f>
        <v>0</v>
      </c>
      <c r="G36" s="357"/>
      <c r="H36" s="348">
        <v>0</v>
      </c>
      <c r="I36" s="348">
        <v>0</v>
      </c>
      <c r="J36" s="348">
        <v>0</v>
      </c>
      <c r="K36" s="348">
        <v>0</v>
      </c>
      <c r="L36" s="348">
        <v>0</v>
      </c>
      <c r="M36" s="348">
        <v>0</v>
      </c>
      <c r="N36" s="348">
        <v>0</v>
      </c>
      <c r="O36" s="348">
        <v>0</v>
      </c>
      <c r="P36" s="348">
        <v>0</v>
      </c>
      <c r="Q36" s="348">
        <v>0</v>
      </c>
      <c r="R36" s="348">
        <v>0</v>
      </c>
      <c r="S36" s="348">
        <v>0</v>
      </c>
      <c r="U36" s="1354">
        <v>11970000</v>
      </c>
    </row>
    <row r="37" spans="1:21" x14ac:dyDescent="0.2">
      <c r="A37" s="1114">
        <v>1235</v>
      </c>
      <c r="B37" s="2890" t="s">
        <v>2760</v>
      </c>
      <c r="C37" s="2890"/>
      <c r="D37" s="2890"/>
      <c r="E37" s="2890"/>
      <c r="F37" s="341">
        <f>SUM(H37:S37)</f>
        <v>0</v>
      </c>
      <c r="G37" s="357"/>
      <c r="H37" s="348">
        <v>0</v>
      </c>
      <c r="I37" s="348">
        <v>0</v>
      </c>
      <c r="J37" s="348">
        <v>0</v>
      </c>
      <c r="K37" s="348">
        <v>0</v>
      </c>
      <c r="L37" s="348">
        <v>0</v>
      </c>
      <c r="M37" s="348">
        <v>0</v>
      </c>
      <c r="N37" s="348">
        <v>0</v>
      </c>
      <c r="O37" s="348">
        <v>0</v>
      </c>
      <c r="P37" s="348">
        <v>0</v>
      </c>
      <c r="Q37" s="348">
        <v>0</v>
      </c>
      <c r="R37" s="348">
        <v>0</v>
      </c>
      <c r="S37" s="348">
        <v>0</v>
      </c>
      <c r="U37" s="1354">
        <v>11491000</v>
      </c>
    </row>
    <row r="38" spans="1:21" x14ac:dyDescent="0.2">
      <c r="A38" s="1114">
        <v>1233</v>
      </c>
      <c r="B38" s="2890" t="s">
        <v>2761</v>
      </c>
      <c r="C38" s="2890"/>
      <c r="D38" s="2890"/>
      <c r="E38" s="2890"/>
      <c r="F38" s="341">
        <f t="shared" si="1"/>
        <v>0</v>
      </c>
      <c r="G38" s="357"/>
      <c r="H38" s="348">
        <v>0</v>
      </c>
      <c r="I38" s="348">
        <v>0</v>
      </c>
      <c r="J38" s="348">
        <v>0</v>
      </c>
      <c r="K38" s="348">
        <v>0</v>
      </c>
      <c r="L38" s="348">
        <v>0</v>
      </c>
      <c r="M38" s="348">
        <v>0</v>
      </c>
      <c r="N38" s="348">
        <v>0</v>
      </c>
      <c r="O38" s="348">
        <v>0</v>
      </c>
      <c r="P38" s="348">
        <v>0</v>
      </c>
      <c r="Q38" s="348">
        <v>0</v>
      </c>
      <c r="R38" s="348">
        <v>0</v>
      </c>
      <c r="S38" s="348">
        <v>0</v>
      </c>
      <c r="U38" s="1354">
        <v>11978000</v>
      </c>
    </row>
    <row r="39" spans="1:21" x14ac:dyDescent="0.2">
      <c r="B39" s="2890" t="s">
        <v>2762</v>
      </c>
      <c r="C39" s="2890"/>
      <c r="D39" s="2890"/>
      <c r="E39" s="2890"/>
      <c r="F39" s="350">
        <f>SUM(F13:F38)</f>
        <v>0</v>
      </c>
      <c r="H39" s="350">
        <f t="shared" ref="H39:S39" si="2">SUM(H13:H38)</f>
        <v>0</v>
      </c>
      <c r="I39" s="350">
        <f t="shared" si="2"/>
        <v>0</v>
      </c>
      <c r="J39" s="350">
        <f t="shared" si="2"/>
        <v>0</v>
      </c>
      <c r="K39" s="350">
        <f t="shared" si="2"/>
        <v>0</v>
      </c>
      <c r="L39" s="350">
        <f t="shared" si="2"/>
        <v>0</v>
      </c>
      <c r="M39" s="350">
        <f t="shared" si="2"/>
        <v>0</v>
      </c>
      <c r="N39" s="350">
        <f t="shared" si="2"/>
        <v>0</v>
      </c>
      <c r="O39" s="350">
        <f t="shared" si="2"/>
        <v>0</v>
      </c>
      <c r="P39" s="350">
        <f t="shared" si="2"/>
        <v>0</v>
      </c>
      <c r="Q39" s="350">
        <f t="shared" si="2"/>
        <v>0</v>
      </c>
      <c r="R39" s="350">
        <f t="shared" si="2"/>
        <v>0</v>
      </c>
      <c r="S39" s="350">
        <f t="shared" si="2"/>
        <v>0</v>
      </c>
      <c r="T39" t="str">
        <f>IF(SUM(H39:S39)=F39,"OK ","Crossfoot error: sum of Col H thru s must equal total in Col F")</f>
        <v xml:space="preserve">OK </v>
      </c>
      <c r="U39" s="1354"/>
    </row>
    <row r="40" spans="1:21" x14ac:dyDescent="0.2">
      <c r="U40" s="1354"/>
    </row>
    <row r="41" spans="1:21" x14ac:dyDescent="0.2">
      <c r="B41" s="213" t="s">
        <v>2763</v>
      </c>
      <c r="U41" s="1354"/>
    </row>
    <row r="42" spans="1:21" x14ac:dyDescent="0.2">
      <c r="A42" s="170">
        <v>1300</v>
      </c>
      <c r="B42" s="2890" t="s">
        <v>2738</v>
      </c>
      <c r="C42" s="2890"/>
      <c r="D42" s="2890"/>
      <c r="E42" s="2890"/>
      <c r="F42" s="341">
        <f>SUM(H42:S42)</f>
        <v>0</v>
      </c>
      <c r="G42" s="357"/>
      <c r="H42" s="348">
        <v>0</v>
      </c>
      <c r="I42" s="348">
        <v>0</v>
      </c>
      <c r="J42" s="348">
        <v>0</v>
      </c>
      <c r="K42" s="348">
        <v>0</v>
      </c>
      <c r="L42" s="348">
        <v>0</v>
      </c>
      <c r="M42" s="348">
        <v>0</v>
      </c>
      <c r="N42" s="348">
        <v>0</v>
      </c>
      <c r="O42" s="348">
        <v>0</v>
      </c>
      <c r="P42" s="348">
        <v>0</v>
      </c>
      <c r="Q42" s="348">
        <v>0</v>
      </c>
      <c r="R42" s="348">
        <v>0</v>
      </c>
      <c r="S42" s="348">
        <v>0</v>
      </c>
      <c r="U42" s="1354">
        <v>12210100</v>
      </c>
    </row>
    <row r="43" spans="1:21" x14ac:dyDescent="0.2">
      <c r="A43" s="170">
        <v>1310</v>
      </c>
      <c r="B43" s="2890" t="s">
        <v>2739</v>
      </c>
      <c r="C43" s="2890"/>
      <c r="D43" s="2890"/>
      <c r="E43" s="2890"/>
      <c r="F43" s="341">
        <f>SUM(H43:S43)</f>
        <v>0</v>
      </c>
      <c r="G43" s="369"/>
      <c r="H43" s="348">
        <v>0</v>
      </c>
      <c r="I43" s="348">
        <v>0</v>
      </c>
      <c r="J43" s="348">
        <v>0</v>
      </c>
      <c r="K43" s="348">
        <v>0</v>
      </c>
      <c r="L43" s="348">
        <v>0</v>
      </c>
      <c r="M43" s="348">
        <v>0</v>
      </c>
      <c r="N43" s="348">
        <v>0</v>
      </c>
      <c r="O43" s="348">
        <v>0</v>
      </c>
      <c r="P43" s="348">
        <v>0</v>
      </c>
      <c r="Q43" s="348">
        <v>0</v>
      </c>
      <c r="R43" s="348">
        <v>0</v>
      </c>
      <c r="S43" s="348">
        <v>0</v>
      </c>
      <c r="U43" s="1354">
        <v>12212200</v>
      </c>
    </row>
    <row r="44" spans="1:21" x14ac:dyDescent="0.2">
      <c r="A44" s="170"/>
      <c r="B44" s="170" t="s">
        <v>2741</v>
      </c>
      <c r="C44" s="170"/>
      <c r="G44" s="357"/>
      <c r="H44" s="348"/>
      <c r="I44" s="348"/>
      <c r="J44" s="348"/>
      <c r="K44" s="348"/>
      <c r="L44" s="348"/>
      <c r="M44" s="348"/>
      <c r="N44" s="348"/>
      <c r="O44" s="348"/>
      <c r="P44" s="348"/>
      <c r="Q44" s="348"/>
      <c r="R44" s="348"/>
      <c r="S44" s="348"/>
      <c r="U44" s="1354"/>
    </row>
    <row r="45" spans="1:21" x14ac:dyDescent="0.2">
      <c r="A45" s="170">
        <v>1340</v>
      </c>
      <c r="B45" s="2894" t="s">
        <v>2742</v>
      </c>
      <c r="C45" s="2894"/>
      <c r="D45" s="2894"/>
      <c r="E45" s="2894"/>
      <c r="F45" s="341">
        <f t="shared" ref="F45:F57" si="3">SUM(H45:S45)</f>
        <v>0</v>
      </c>
      <c r="G45" s="357"/>
      <c r="H45" s="348">
        <v>0</v>
      </c>
      <c r="I45" s="348">
        <v>0</v>
      </c>
      <c r="J45" s="348">
        <v>0</v>
      </c>
      <c r="K45" s="348">
        <v>0</v>
      </c>
      <c r="L45" s="348">
        <v>0</v>
      </c>
      <c r="M45" s="348">
        <v>0</v>
      </c>
      <c r="N45" s="348">
        <v>0</v>
      </c>
      <c r="O45" s="348">
        <v>0</v>
      </c>
      <c r="P45" s="348">
        <v>0</v>
      </c>
      <c r="Q45" s="348">
        <v>0</v>
      </c>
      <c r="R45" s="348">
        <v>0</v>
      </c>
      <c r="S45" s="348">
        <v>0</v>
      </c>
      <c r="U45" s="1354">
        <v>12320000</v>
      </c>
    </row>
    <row r="46" spans="1:21" hidden="1" x14ac:dyDescent="0.2">
      <c r="A46" s="170">
        <v>1345</v>
      </c>
      <c r="B46" s="2894" t="s">
        <v>2743</v>
      </c>
      <c r="C46" s="2894"/>
      <c r="D46" s="2894"/>
      <c r="E46" s="2894"/>
      <c r="F46" s="341">
        <f t="shared" si="3"/>
        <v>0</v>
      </c>
      <c r="G46" s="1950"/>
      <c r="H46" s="348">
        <v>0</v>
      </c>
      <c r="I46" s="348">
        <v>0</v>
      </c>
      <c r="J46" s="348">
        <v>0</v>
      </c>
      <c r="K46" s="348">
        <v>0</v>
      </c>
      <c r="L46" s="348">
        <v>0</v>
      </c>
      <c r="M46" s="348">
        <v>0</v>
      </c>
      <c r="N46" s="348">
        <v>0</v>
      </c>
      <c r="O46" s="348">
        <v>0</v>
      </c>
      <c r="P46" s="348">
        <v>0</v>
      </c>
      <c r="Q46" s="348">
        <v>0</v>
      </c>
      <c r="R46" s="348">
        <v>0</v>
      </c>
      <c r="S46" s="348">
        <v>0</v>
      </c>
      <c r="U46" s="1356"/>
    </row>
    <row r="47" spans="1:21" x14ac:dyDescent="0.2">
      <c r="A47" s="170">
        <v>1350</v>
      </c>
      <c r="B47" s="2894" t="s">
        <v>2744</v>
      </c>
      <c r="C47" s="2894"/>
      <c r="D47" s="2894"/>
      <c r="E47" s="2894"/>
      <c r="F47" s="341">
        <f t="shared" si="3"/>
        <v>0</v>
      </c>
      <c r="G47" s="357"/>
      <c r="H47" s="348">
        <v>0</v>
      </c>
      <c r="I47" s="348">
        <v>0</v>
      </c>
      <c r="J47" s="348">
        <v>0</v>
      </c>
      <c r="K47" s="348">
        <v>0</v>
      </c>
      <c r="L47" s="348">
        <v>0</v>
      </c>
      <c r="M47" s="348">
        <v>0</v>
      </c>
      <c r="N47" s="348">
        <v>0</v>
      </c>
      <c r="O47" s="348">
        <v>0</v>
      </c>
      <c r="P47" s="348">
        <v>0</v>
      </c>
      <c r="Q47" s="348">
        <v>0</v>
      </c>
      <c r="R47" s="348">
        <v>0</v>
      </c>
      <c r="S47" s="348">
        <v>0</v>
      </c>
      <c r="U47" s="1354">
        <v>12351000</v>
      </c>
    </row>
    <row r="48" spans="1:21" x14ac:dyDescent="0.2">
      <c r="A48" s="170">
        <v>1370</v>
      </c>
      <c r="B48" s="2894" t="s">
        <v>2745</v>
      </c>
      <c r="C48" s="2894"/>
      <c r="D48" s="2894"/>
      <c r="E48" s="2894"/>
      <c r="F48" s="341">
        <f t="shared" si="3"/>
        <v>0</v>
      </c>
      <c r="G48" s="357"/>
      <c r="H48" s="348">
        <v>0</v>
      </c>
      <c r="I48" s="348">
        <v>0</v>
      </c>
      <c r="J48" s="348">
        <v>0</v>
      </c>
      <c r="K48" s="348">
        <v>0</v>
      </c>
      <c r="L48" s="348">
        <v>0</v>
      </c>
      <c r="M48" s="348">
        <v>0</v>
      </c>
      <c r="N48" s="348">
        <v>0</v>
      </c>
      <c r="O48" s="348">
        <v>0</v>
      </c>
      <c r="P48" s="348">
        <v>0</v>
      </c>
      <c r="Q48" s="348">
        <v>0</v>
      </c>
      <c r="R48" s="348">
        <v>0</v>
      </c>
      <c r="S48" s="348">
        <v>0</v>
      </c>
      <c r="U48" s="1354">
        <v>12336000</v>
      </c>
    </row>
    <row r="49" spans="1:22" x14ac:dyDescent="0.2">
      <c r="A49" s="170">
        <v>1400</v>
      </c>
      <c r="B49" s="2890" t="s">
        <v>2752</v>
      </c>
      <c r="C49" s="2890"/>
      <c r="D49" s="2890"/>
      <c r="E49" s="2890"/>
      <c r="F49" s="341">
        <f t="shared" si="3"/>
        <v>0</v>
      </c>
      <c r="G49" s="357"/>
      <c r="H49" s="348">
        <v>0</v>
      </c>
      <c r="I49" s="348">
        <v>0</v>
      </c>
      <c r="J49" s="348">
        <v>0</v>
      </c>
      <c r="K49" s="348">
        <v>0</v>
      </c>
      <c r="L49" s="348">
        <v>0</v>
      </c>
      <c r="M49" s="348">
        <v>0</v>
      </c>
      <c r="N49" s="348">
        <v>0</v>
      </c>
      <c r="O49" s="348">
        <v>0</v>
      </c>
      <c r="P49" s="348">
        <v>0</v>
      </c>
      <c r="Q49" s="348">
        <v>0</v>
      </c>
      <c r="R49" s="348">
        <v>0</v>
      </c>
      <c r="S49" s="348">
        <v>0</v>
      </c>
      <c r="U49" s="1354">
        <v>12510000</v>
      </c>
    </row>
    <row r="50" spans="1:22" x14ac:dyDescent="0.2">
      <c r="A50" s="170">
        <v>1401</v>
      </c>
      <c r="B50" s="2890" t="s">
        <v>4668</v>
      </c>
      <c r="C50" s="2890"/>
      <c r="D50" s="2890"/>
      <c r="E50" s="2890"/>
      <c r="F50" s="341">
        <f t="shared" si="3"/>
        <v>0</v>
      </c>
      <c r="G50" s="357"/>
      <c r="H50" s="348">
        <v>0</v>
      </c>
      <c r="I50" s="348">
        <v>0</v>
      </c>
      <c r="J50" s="348">
        <v>0</v>
      </c>
      <c r="K50" s="348">
        <v>0</v>
      </c>
      <c r="L50" s="348">
        <v>0</v>
      </c>
      <c r="M50" s="348">
        <v>0</v>
      </c>
      <c r="N50" s="348">
        <v>0</v>
      </c>
      <c r="O50" s="348">
        <v>0</v>
      </c>
      <c r="P50" s="348">
        <v>0</v>
      </c>
      <c r="Q50" s="348">
        <v>0</v>
      </c>
      <c r="R50" s="348"/>
      <c r="S50" s="348"/>
      <c r="U50" s="1409">
        <v>12530000</v>
      </c>
    </row>
    <row r="51" spans="1:22" x14ac:dyDescent="0.2">
      <c r="A51" s="2009">
        <v>1404</v>
      </c>
      <c r="B51" s="3083" t="s">
        <v>3199</v>
      </c>
      <c r="C51" s="3083"/>
      <c r="D51" s="3083"/>
      <c r="E51" s="3083"/>
      <c r="F51" s="341">
        <f t="shared" si="3"/>
        <v>0</v>
      </c>
      <c r="G51" s="357"/>
      <c r="H51" s="348">
        <v>0</v>
      </c>
      <c r="I51" s="348">
        <v>0</v>
      </c>
      <c r="J51" s="348">
        <v>0</v>
      </c>
      <c r="K51" s="348">
        <v>0</v>
      </c>
      <c r="L51" s="348">
        <v>0</v>
      </c>
      <c r="M51" s="348">
        <v>0</v>
      </c>
      <c r="N51" s="348">
        <v>0</v>
      </c>
      <c r="O51" s="348">
        <v>0</v>
      </c>
      <c r="P51" s="348"/>
      <c r="Q51" s="348"/>
      <c r="R51" s="348"/>
      <c r="S51" s="348"/>
      <c r="U51" s="1409">
        <v>12540000</v>
      </c>
    </row>
    <row r="52" spans="1:22" x14ac:dyDescent="0.2">
      <c r="A52" s="170">
        <v>1415</v>
      </c>
      <c r="B52" s="2890" t="s">
        <v>2765</v>
      </c>
      <c r="C52" s="2890"/>
      <c r="D52" s="2890"/>
      <c r="E52" s="2890"/>
      <c r="F52" s="341">
        <f t="shared" si="3"/>
        <v>0</v>
      </c>
      <c r="G52" s="1952"/>
      <c r="H52" s="348">
        <v>0</v>
      </c>
      <c r="I52" s="348">
        <v>0</v>
      </c>
      <c r="J52" s="348">
        <v>0</v>
      </c>
      <c r="K52" s="348">
        <v>0</v>
      </c>
      <c r="L52" s="348">
        <v>0</v>
      </c>
      <c r="M52" s="348">
        <v>0</v>
      </c>
      <c r="N52" s="348">
        <v>0</v>
      </c>
      <c r="O52" s="348">
        <v>0</v>
      </c>
      <c r="P52" s="348">
        <v>0</v>
      </c>
      <c r="Q52" s="348">
        <v>0</v>
      </c>
      <c r="R52" s="348">
        <v>0</v>
      </c>
      <c r="S52" s="348">
        <v>0</v>
      </c>
      <c r="U52" s="1354">
        <v>12950000</v>
      </c>
    </row>
    <row r="53" spans="1:22" x14ac:dyDescent="0.2">
      <c r="A53" s="170">
        <v>1420</v>
      </c>
      <c r="B53" s="2890" t="s">
        <v>2751</v>
      </c>
      <c r="C53" s="2890"/>
      <c r="D53" s="2890"/>
      <c r="E53" s="2890"/>
      <c r="F53" s="341">
        <f t="shared" si="3"/>
        <v>0</v>
      </c>
      <c r="G53" s="357"/>
      <c r="H53" s="348">
        <v>0</v>
      </c>
      <c r="I53" s="348">
        <v>0</v>
      </c>
      <c r="J53" s="348">
        <v>0</v>
      </c>
      <c r="K53" s="348">
        <v>0</v>
      </c>
      <c r="L53" s="348">
        <v>0</v>
      </c>
      <c r="M53" s="348">
        <v>0</v>
      </c>
      <c r="N53" s="348">
        <v>0</v>
      </c>
      <c r="O53" s="348">
        <v>0</v>
      </c>
      <c r="P53" s="348">
        <v>0</v>
      </c>
      <c r="Q53" s="348">
        <v>0</v>
      </c>
      <c r="R53" s="348">
        <v>0</v>
      </c>
      <c r="S53" s="348">
        <v>0</v>
      </c>
      <c r="U53" s="1354">
        <v>12910000</v>
      </c>
    </row>
    <row r="54" spans="1:22" x14ac:dyDescent="0.2">
      <c r="A54" s="170">
        <v>1270</v>
      </c>
      <c r="B54" s="2890" t="s">
        <v>1948</v>
      </c>
      <c r="C54" s="2890"/>
      <c r="D54" s="2890"/>
      <c r="E54" s="2890"/>
      <c r="F54" s="341">
        <f t="shared" si="3"/>
        <v>0</v>
      </c>
      <c r="G54" s="357"/>
      <c r="H54" s="348">
        <v>0</v>
      </c>
      <c r="I54" s="348">
        <v>0</v>
      </c>
      <c r="J54" s="348">
        <v>0</v>
      </c>
      <c r="K54" s="348">
        <v>0</v>
      </c>
      <c r="L54" s="348">
        <v>0</v>
      </c>
      <c r="M54" s="348">
        <v>0</v>
      </c>
      <c r="N54" s="348">
        <v>0</v>
      </c>
      <c r="O54" s="348">
        <v>0</v>
      </c>
      <c r="P54" s="348">
        <v>0</v>
      </c>
      <c r="Q54" s="348">
        <v>0</v>
      </c>
      <c r="R54" s="348">
        <v>0</v>
      </c>
      <c r="S54" s="348">
        <v>0</v>
      </c>
      <c r="U54" s="1354">
        <v>12111000</v>
      </c>
    </row>
    <row r="55" spans="1:22" x14ac:dyDescent="0.2">
      <c r="A55" s="170">
        <v>1280</v>
      </c>
      <c r="B55" s="2890" t="s">
        <v>1970</v>
      </c>
      <c r="C55" s="2890"/>
      <c r="D55" s="2890"/>
      <c r="E55" s="2890"/>
      <c r="F55" s="341">
        <f t="shared" si="3"/>
        <v>0</v>
      </c>
      <c r="G55" s="1953"/>
      <c r="H55" s="348">
        <v>0</v>
      </c>
      <c r="I55" s="348">
        <v>0</v>
      </c>
      <c r="J55" s="348">
        <v>0</v>
      </c>
      <c r="K55" s="348">
        <v>0</v>
      </c>
      <c r="L55" s="348">
        <v>0</v>
      </c>
      <c r="M55" s="348">
        <v>0</v>
      </c>
      <c r="N55" s="348">
        <v>0</v>
      </c>
      <c r="O55" s="348">
        <v>0</v>
      </c>
      <c r="P55" s="348">
        <v>0</v>
      </c>
      <c r="Q55" s="348">
        <v>0</v>
      </c>
      <c r="R55" s="348">
        <v>0</v>
      </c>
      <c r="S55" s="348">
        <v>0</v>
      </c>
      <c r="U55" s="1354">
        <v>12122000</v>
      </c>
    </row>
    <row r="56" spans="1:22" x14ac:dyDescent="0.2">
      <c r="A56" s="170">
        <v>1410</v>
      </c>
      <c r="B56" s="2890" t="s">
        <v>2758</v>
      </c>
      <c r="C56" s="2890"/>
      <c r="D56" s="2890"/>
      <c r="E56" s="2890"/>
      <c r="F56" s="341">
        <f t="shared" si="3"/>
        <v>0</v>
      </c>
      <c r="G56" s="357"/>
      <c r="H56" s="348">
        <v>0</v>
      </c>
      <c r="I56" s="348">
        <v>0</v>
      </c>
      <c r="J56" s="348">
        <v>0</v>
      </c>
      <c r="K56" s="348">
        <v>0</v>
      </c>
      <c r="L56" s="348">
        <v>0</v>
      </c>
      <c r="M56" s="348">
        <v>0</v>
      </c>
      <c r="N56" s="348">
        <v>0</v>
      </c>
      <c r="O56" s="348">
        <v>0</v>
      </c>
      <c r="P56" s="348">
        <v>0</v>
      </c>
      <c r="Q56" s="348">
        <v>0</v>
      </c>
      <c r="R56" s="348">
        <v>0</v>
      </c>
      <c r="S56" s="348">
        <v>0</v>
      </c>
      <c r="U56" s="1354">
        <v>12212500</v>
      </c>
    </row>
    <row r="57" spans="1:22" hidden="1" x14ac:dyDescent="0.2">
      <c r="A57" s="170"/>
      <c r="B57" s="2890" t="s">
        <v>2766</v>
      </c>
      <c r="C57" s="2890"/>
      <c r="D57" s="2890"/>
      <c r="E57" s="2890"/>
      <c r="F57" s="341">
        <f t="shared" si="3"/>
        <v>0</v>
      </c>
      <c r="G57" s="439"/>
      <c r="H57" s="348">
        <v>0</v>
      </c>
      <c r="I57" s="348">
        <v>0</v>
      </c>
      <c r="J57" s="348">
        <v>0</v>
      </c>
      <c r="K57" s="348">
        <v>0</v>
      </c>
      <c r="L57" s="348">
        <v>0</v>
      </c>
      <c r="M57" s="348">
        <v>0</v>
      </c>
      <c r="N57" s="348">
        <v>0</v>
      </c>
      <c r="O57" s="348">
        <v>0</v>
      </c>
      <c r="P57" s="348">
        <v>0</v>
      </c>
      <c r="Q57" s="348">
        <v>0</v>
      </c>
      <c r="R57" s="348">
        <v>0</v>
      </c>
      <c r="S57" s="348">
        <v>0</v>
      </c>
      <c r="U57" s="1356"/>
    </row>
    <row r="58" spans="1:22" x14ac:dyDescent="0.2">
      <c r="A58" s="638">
        <v>1395</v>
      </c>
      <c r="B58" s="2890" t="s">
        <v>2767</v>
      </c>
      <c r="C58" s="2890"/>
      <c r="D58" s="2890"/>
      <c r="E58" s="2890"/>
      <c r="F58" s="562">
        <f>'525'!H35</f>
        <v>0</v>
      </c>
      <c r="H58" s="1093">
        <v>0</v>
      </c>
      <c r="I58" s="1093">
        <v>0</v>
      </c>
      <c r="J58" s="1093">
        <v>0</v>
      </c>
      <c r="K58" s="1093">
        <v>0</v>
      </c>
      <c r="L58" s="1093">
        <v>0</v>
      </c>
      <c r="M58" s="1093">
        <v>0</v>
      </c>
      <c r="N58" s="1093">
        <v>0</v>
      </c>
      <c r="O58" s="1093">
        <v>0</v>
      </c>
      <c r="P58" s="1093">
        <v>0</v>
      </c>
      <c r="Q58" s="1093">
        <v>0</v>
      </c>
      <c r="R58" s="1093">
        <v>0</v>
      </c>
      <c r="S58" s="1093">
        <v>0</v>
      </c>
      <c r="T58" t="str">
        <f>IF(SUM(H58:S58)=F58,"OK ","Problem: sum of amts keyed for each agency in col H through S must tie to total on combined worksheet")</f>
        <v xml:space="preserve">OK </v>
      </c>
      <c r="U58" s="1355">
        <v>12420000</v>
      </c>
    </row>
    <row r="59" spans="1:22" x14ac:dyDescent="0.2">
      <c r="A59" s="638">
        <v>1390</v>
      </c>
      <c r="B59" s="2890" t="s">
        <v>2768</v>
      </c>
      <c r="C59" s="2890"/>
      <c r="D59" s="2890"/>
      <c r="E59" s="2890"/>
      <c r="F59" s="562">
        <f>'515'!H33</f>
        <v>0</v>
      </c>
      <c r="H59" s="1093">
        <v>0</v>
      </c>
      <c r="I59" s="1093">
        <v>0</v>
      </c>
      <c r="J59" s="1093">
        <v>0</v>
      </c>
      <c r="K59" s="1093">
        <v>0</v>
      </c>
      <c r="L59" s="1093">
        <v>0</v>
      </c>
      <c r="M59" s="1093">
        <v>0</v>
      </c>
      <c r="N59" s="1093">
        <v>0</v>
      </c>
      <c r="O59" s="1093">
        <v>0</v>
      </c>
      <c r="P59" s="1093">
        <v>0</v>
      </c>
      <c r="Q59" s="1093">
        <v>0</v>
      </c>
      <c r="R59" s="1093">
        <v>0</v>
      </c>
      <c r="S59" s="1093">
        <v>0</v>
      </c>
      <c r="T59" t="str">
        <f>IF(SUM(H59:S59)=F59,"OK ","Problem: sum of amts keyed for each agency in col H throughS must tie to total on combined worksheet")</f>
        <v xml:space="preserve">OK </v>
      </c>
      <c r="U59" s="1355">
        <v>12410000</v>
      </c>
    </row>
    <row r="60" spans="1:22" x14ac:dyDescent="0.2">
      <c r="A60" s="170">
        <v>1432</v>
      </c>
      <c r="B60" s="2890" t="s">
        <v>2759</v>
      </c>
      <c r="C60" s="2890"/>
      <c r="D60" s="2890"/>
      <c r="E60" s="2890"/>
      <c r="F60" s="341">
        <f>SUM(H60:S60)</f>
        <v>0</v>
      </c>
      <c r="G60" s="357"/>
      <c r="H60" s="348">
        <v>0</v>
      </c>
      <c r="I60" s="348">
        <v>0</v>
      </c>
      <c r="J60" s="348">
        <v>0</v>
      </c>
      <c r="K60" s="348">
        <v>0</v>
      </c>
      <c r="L60" s="348">
        <v>0</v>
      </c>
      <c r="M60" s="348">
        <v>0</v>
      </c>
      <c r="N60" s="348">
        <v>0</v>
      </c>
      <c r="O60" s="348">
        <v>0</v>
      </c>
      <c r="P60" s="348">
        <v>0</v>
      </c>
      <c r="Q60" s="348">
        <v>0</v>
      </c>
      <c r="R60" s="348">
        <v>0</v>
      </c>
      <c r="S60" s="348">
        <v>0</v>
      </c>
      <c r="U60" s="1354">
        <v>12970000</v>
      </c>
    </row>
    <row r="61" spans="1:22" x14ac:dyDescent="0.2">
      <c r="A61" s="1114">
        <v>1434</v>
      </c>
      <c r="B61" s="2890" t="s">
        <v>2760</v>
      </c>
      <c r="C61" s="2890"/>
      <c r="D61" s="2890"/>
      <c r="E61" s="2890"/>
      <c r="F61" s="341">
        <f>SUM(H61:S61)</f>
        <v>0</v>
      </c>
      <c r="G61" s="357"/>
      <c r="H61" s="348">
        <v>0</v>
      </c>
      <c r="I61" s="348">
        <v>0</v>
      </c>
      <c r="J61" s="348">
        <v>0</v>
      </c>
      <c r="K61" s="348">
        <v>0</v>
      </c>
      <c r="L61" s="348">
        <v>0</v>
      </c>
      <c r="M61" s="348">
        <v>0</v>
      </c>
      <c r="N61" s="348">
        <v>0</v>
      </c>
      <c r="O61" s="348">
        <v>0</v>
      </c>
      <c r="P61" s="348">
        <v>0</v>
      </c>
      <c r="Q61" s="348">
        <v>0</v>
      </c>
      <c r="R61" s="348">
        <v>0</v>
      </c>
      <c r="S61" s="348">
        <v>0</v>
      </c>
      <c r="U61" s="1354">
        <v>12491000</v>
      </c>
    </row>
    <row r="62" spans="1:22" x14ac:dyDescent="0.2">
      <c r="A62" s="1114">
        <v>1433</v>
      </c>
      <c r="B62" s="2890" t="s">
        <v>2761</v>
      </c>
      <c r="C62" s="2890"/>
      <c r="D62" s="2890"/>
      <c r="E62" s="2890"/>
      <c r="F62" s="341">
        <f>SUM(H62:S62)</f>
        <v>0</v>
      </c>
      <c r="G62" s="357"/>
      <c r="H62" s="348">
        <v>0</v>
      </c>
      <c r="I62" s="348">
        <v>0</v>
      </c>
      <c r="J62" s="348">
        <v>0</v>
      </c>
      <c r="K62" s="348">
        <v>0</v>
      </c>
      <c r="L62" s="348">
        <v>0</v>
      </c>
      <c r="M62" s="348">
        <v>0</v>
      </c>
      <c r="N62" s="348">
        <v>0</v>
      </c>
      <c r="O62" s="348">
        <v>0</v>
      </c>
      <c r="P62" s="348">
        <v>0</v>
      </c>
      <c r="Q62" s="348">
        <v>0</v>
      </c>
      <c r="R62" s="348">
        <v>0</v>
      </c>
      <c r="S62" s="348">
        <v>0</v>
      </c>
      <c r="U62" s="1354">
        <v>12978000</v>
      </c>
    </row>
    <row r="63" spans="1:22" x14ac:dyDescent="0.2">
      <c r="A63" s="170"/>
      <c r="B63" s="2673" t="s">
        <v>2769</v>
      </c>
      <c r="C63" s="2673"/>
      <c r="D63" s="2673"/>
      <c r="E63" s="2673"/>
      <c r="F63" s="341">
        <f>SUM(H63:S63)</f>
        <v>0</v>
      </c>
      <c r="G63" s="357"/>
      <c r="H63" s="348">
        <v>0</v>
      </c>
      <c r="I63" s="348">
        <v>0</v>
      </c>
      <c r="J63" s="348">
        <v>0</v>
      </c>
      <c r="K63" s="348">
        <v>0</v>
      </c>
      <c r="L63" s="348">
        <v>0</v>
      </c>
      <c r="M63" s="348">
        <v>0</v>
      </c>
      <c r="N63" s="348">
        <v>0</v>
      </c>
      <c r="O63" s="348">
        <v>0</v>
      </c>
      <c r="P63" s="348">
        <v>0</v>
      </c>
      <c r="Q63" s="348">
        <v>0</v>
      </c>
      <c r="R63" s="348">
        <v>0</v>
      </c>
      <c r="S63" s="348">
        <v>0</v>
      </c>
      <c r="U63" s="1354"/>
      <c r="V63" s="971" t="s">
        <v>4670</v>
      </c>
    </row>
    <row r="64" spans="1:22" x14ac:dyDescent="0.2">
      <c r="A64" s="638">
        <v>1480</v>
      </c>
      <c r="B64" s="2894" t="s">
        <v>2770</v>
      </c>
      <c r="C64" s="2894"/>
      <c r="D64" s="2894"/>
      <c r="E64" s="2894"/>
      <c r="F64" s="562">
        <f>'201'!T20</f>
        <v>0</v>
      </c>
      <c r="G64" s="138" t="str">
        <f>IF(F64='201'!T20," ","Problem:Must agree to worksheet 201 - complete the 201 worksheet first")</f>
        <v xml:space="preserve"> </v>
      </c>
      <c r="H64" s="1093">
        <v>0</v>
      </c>
      <c r="I64" s="1093">
        <v>0</v>
      </c>
      <c r="J64" s="1093">
        <v>0</v>
      </c>
      <c r="K64" s="1093">
        <v>0</v>
      </c>
      <c r="L64" s="1093">
        <v>0</v>
      </c>
      <c r="M64" s="1093">
        <v>0</v>
      </c>
      <c r="N64" s="1093">
        <v>0</v>
      </c>
      <c r="O64" s="1093">
        <v>0</v>
      </c>
      <c r="P64" s="1093">
        <v>0</v>
      </c>
      <c r="Q64" s="1093">
        <v>0</v>
      </c>
      <c r="R64" s="1093">
        <v>0</v>
      </c>
      <c r="S64" s="1093">
        <v>0</v>
      </c>
      <c r="T64" t="str">
        <f t="shared" ref="T64:T69" si="4">IF(SUM(H64:S64)=F64,"OK ","Problem: sum of amts keyed for each agency in col H through S must tie to total on combined worksheet")</f>
        <v xml:space="preserve">OK </v>
      </c>
      <c r="U64" s="1354"/>
    </row>
    <row r="65" spans="1:21" x14ac:dyDescent="0.2">
      <c r="A65" s="638">
        <v>1490</v>
      </c>
      <c r="B65" s="2894" t="s">
        <v>2771</v>
      </c>
      <c r="C65" s="2894"/>
      <c r="D65" s="2894"/>
      <c r="E65" s="2894"/>
      <c r="F65" s="562">
        <f>'201'!T21</f>
        <v>0</v>
      </c>
      <c r="G65" s="138" t="str">
        <f>IF(F65='201'!T21," ","Problem:Must agree to worksheet 201")</f>
        <v xml:space="preserve"> </v>
      </c>
      <c r="H65" s="1093">
        <v>0</v>
      </c>
      <c r="I65" s="1093">
        <v>0</v>
      </c>
      <c r="J65" s="1093">
        <v>0</v>
      </c>
      <c r="K65" s="1093">
        <v>0</v>
      </c>
      <c r="L65" s="1093">
        <v>0</v>
      </c>
      <c r="M65" s="1093">
        <v>0</v>
      </c>
      <c r="N65" s="1093">
        <v>0</v>
      </c>
      <c r="O65" s="1093">
        <v>0</v>
      </c>
      <c r="P65" s="1093">
        <v>0</v>
      </c>
      <c r="Q65" s="1093">
        <v>0</v>
      </c>
      <c r="R65" s="1093">
        <v>0</v>
      </c>
      <c r="S65" s="1093">
        <v>0</v>
      </c>
      <c r="T65" t="str">
        <f t="shared" si="4"/>
        <v xml:space="preserve">OK </v>
      </c>
      <c r="U65" s="1354"/>
    </row>
    <row r="66" spans="1:21" x14ac:dyDescent="0.2">
      <c r="A66" s="638">
        <v>1500</v>
      </c>
      <c r="B66" s="2894" t="s">
        <v>2772</v>
      </c>
      <c r="C66" s="2894"/>
      <c r="D66" s="2894"/>
      <c r="E66" s="2894"/>
      <c r="F66" s="562">
        <f>'201'!T22</f>
        <v>0</v>
      </c>
      <c r="G66" s="138" t="str">
        <f>IF(F66='201'!T22," ","Problem:Must agree to worksheet 201")</f>
        <v xml:space="preserve"> </v>
      </c>
      <c r="H66" s="1093">
        <v>0</v>
      </c>
      <c r="I66" s="1093">
        <v>0</v>
      </c>
      <c r="J66" s="1093">
        <v>0</v>
      </c>
      <c r="K66" s="1093">
        <v>0</v>
      </c>
      <c r="L66" s="1093">
        <v>0</v>
      </c>
      <c r="M66" s="1093">
        <v>0</v>
      </c>
      <c r="N66" s="1093">
        <v>0</v>
      </c>
      <c r="O66" s="1093">
        <v>0</v>
      </c>
      <c r="P66" s="1093">
        <v>0</v>
      </c>
      <c r="Q66" s="1093">
        <v>0</v>
      </c>
      <c r="R66" s="1093">
        <v>0</v>
      </c>
      <c r="S66" s="1093">
        <v>0</v>
      </c>
      <c r="T66" t="str">
        <f t="shared" si="4"/>
        <v xml:space="preserve">OK </v>
      </c>
      <c r="U66" s="1354"/>
    </row>
    <row r="67" spans="1:21" x14ac:dyDescent="0.2">
      <c r="A67" s="638">
        <v>1503</v>
      </c>
      <c r="B67" s="2894" t="s">
        <v>2773</v>
      </c>
      <c r="C67" s="2894"/>
      <c r="D67" s="2894"/>
      <c r="E67" s="2894"/>
      <c r="F67" s="562">
        <f>'201'!T23</f>
        <v>0</v>
      </c>
      <c r="G67" s="138" t="str">
        <f>IF(F67='201'!T23," ","Problem:Must agree to worksheet 201")</f>
        <v xml:space="preserve"> </v>
      </c>
      <c r="H67" s="1093">
        <v>0</v>
      </c>
      <c r="I67" s="1093">
        <v>0</v>
      </c>
      <c r="J67" s="1093">
        <v>0</v>
      </c>
      <c r="K67" s="1093">
        <v>0</v>
      </c>
      <c r="L67" s="1093">
        <v>0</v>
      </c>
      <c r="M67" s="1093">
        <v>0</v>
      </c>
      <c r="N67" s="1093">
        <v>0</v>
      </c>
      <c r="O67" s="1093">
        <v>0</v>
      </c>
      <c r="P67" s="1093">
        <v>0</v>
      </c>
      <c r="Q67" s="1093">
        <v>0</v>
      </c>
      <c r="R67" s="1093">
        <v>0</v>
      </c>
      <c r="S67" s="1093">
        <v>0</v>
      </c>
      <c r="T67" t="str">
        <f t="shared" si="4"/>
        <v xml:space="preserve">OK </v>
      </c>
      <c r="U67" s="1354"/>
    </row>
    <row r="68" spans="1:21" x14ac:dyDescent="0.2">
      <c r="A68" s="638">
        <v>1505</v>
      </c>
      <c r="B68" s="2894" t="s">
        <v>2774</v>
      </c>
      <c r="C68" s="2894"/>
      <c r="D68" s="2894"/>
      <c r="E68" s="2894"/>
      <c r="F68" s="562">
        <f>'201'!T24</f>
        <v>0</v>
      </c>
      <c r="G68" s="138" t="str">
        <f>IF(F68='201'!T24," ","Problem:Must agree to worksheet 201")</f>
        <v xml:space="preserve"> </v>
      </c>
      <c r="H68" s="1093">
        <v>0</v>
      </c>
      <c r="I68" s="1093">
        <v>0</v>
      </c>
      <c r="J68" s="1093">
        <v>0</v>
      </c>
      <c r="K68" s="1093">
        <v>0</v>
      </c>
      <c r="L68" s="1093">
        <v>0</v>
      </c>
      <c r="M68" s="1093">
        <v>0</v>
      </c>
      <c r="N68" s="1093">
        <v>0</v>
      </c>
      <c r="O68" s="1093">
        <v>0</v>
      </c>
      <c r="P68" s="1093">
        <v>0</v>
      </c>
      <c r="Q68" s="1093">
        <v>0</v>
      </c>
      <c r="R68" s="1093">
        <v>0</v>
      </c>
      <c r="S68" s="1093">
        <v>0</v>
      </c>
      <c r="T68" t="str">
        <f t="shared" si="4"/>
        <v xml:space="preserve">OK </v>
      </c>
      <c r="U68" s="1354"/>
    </row>
    <row r="69" spans="1:21" x14ac:dyDescent="0.2">
      <c r="A69" s="638">
        <v>1506</v>
      </c>
      <c r="B69" s="2894" t="s">
        <v>2775</v>
      </c>
      <c r="C69" s="2894"/>
      <c r="D69" s="2894"/>
      <c r="E69" s="2894"/>
      <c r="F69" s="562">
        <f>'201'!T25</f>
        <v>0</v>
      </c>
      <c r="G69" s="138" t="str">
        <f>IF(F69='201'!T25," ","Problem:Must agree to worksheet 201")</f>
        <v xml:space="preserve"> </v>
      </c>
      <c r="H69" s="1093">
        <v>0</v>
      </c>
      <c r="I69" s="1093">
        <v>0</v>
      </c>
      <c r="J69" s="1093">
        <v>0</v>
      </c>
      <c r="K69" s="1093">
        <v>0</v>
      </c>
      <c r="L69" s="1093">
        <v>0</v>
      </c>
      <c r="M69" s="1093">
        <v>0</v>
      </c>
      <c r="N69" s="1093">
        <v>0</v>
      </c>
      <c r="O69" s="1093">
        <v>0</v>
      </c>
      <c r="P69" s="1093">
        <v>0</v>
      </c>
      <c r="Q69" s="1093">
        <v>0</v>
      </c>
      <c r="R69" s="1093">
        <v>0</v>
      </c>
      <c r="S69" s="1093">
        <v>0</v>
      </c>
      <c r="T69" t="str">
        <f t="shared" si="4"/>
        <v xml:space="preserve">OK </v>
      </c>
      <c r="U69" s="1354"/>
    </row>
    <row r="70" spans="1:21" x14ac:dyDescent="0.2">
      <c r="A70" s="170"/>
      <c r="B70" s="2890" t="s">
        <v>2776</v>
      </c>
      <c r="C70" s="2890"/>
      <c r="D70" s="2890"/>
      <c r="E70" s="2890"/>
      <c r="F70" s="350">
        <f>SUM(F64:F69)</f>
        <v>0</v>
      </c>
      <c r="G70" s="350"/>
      <c r="H70" s="350">
        <f t="shared" ref="H70:M70" si="5">SUM(H64:H69)</f>
        <v>0</v>
      </c>
      <c r="I70" s="350">
        <f t="shared" si="5"/>
        <v>0</v>
      </c>
      <c r="J70" s="350">
        <f t="shared" si="5"/>
        <v>0</v>
      </c>
      <c r="K70" s="350">
        <f t="shared" si="5"/>
        <v>0</v>
      </c>
      <c r="L70" s="350">
        <f t="shared" si="5"/>
        <v>0</v>
      </c>
      <c r="M70" s="350">
        <f t="shared" si="5"/>
        <v>0</v>
      </c>
      <c r="N70" s="350">
        <f t="shared" ref="N70:S70" si="6">SUM(N64:N69)</f>
        <v>0</v>
      </c>
      <c r="O70" s="350">
        <f t="shared" si="6"/>
        <v>0</v>
      </c>
      <c r="P70" s="350">
        <f t="shared" si="6"/>
        <v>0</v>
      </c>
      <c r="Q70" s="350">
        <f t="shared" si="6"/>
        <v>0</v>
      </c>
      <c r="R70" s="350">
        <f t="shared" si="6"/>
        <v>0</v>
      </c>
      <c r="S70" s="350">
        <f t="shared" si="6"/>
        <v>0</v>
      </c>
      <c r="T70" t="str">
        <f>IF(SUM(H70:S70)=F70,"OK ","Crossfoot error: sum of Col H thru S must equal total in Col F")</f>
        <v xml:space="preserve">OK </v>
      </c>
      <c r="U70" s="1354"/>
    </row>
    <row r="71" spans="1:21" x14ac:dyDescent="0.2">
      <c r="A71" s="170"/>
      <c r="B71" s="2673" t="s">
        <v>589</v>
      </c>
      <c r="C71" s="2673"/>
      <c r="D71" s="2673"/>
      <c r="E71" s="2673"/>
      <c r="U71" s="1354"/>
    </row>
    <row r="72" spans="1:21" x14ac:dyDescent="0.2">
      <c r="A72" s="638">
        <v>1520</v>
      </c>
      <c r="B72" s="2894" t="s">
        <v>2777</v>
      </c>
      <c r="C72" s="2894"/>
      <c r="D72" s="2894"/>
      <c r="E72" s="2894"/>
      <c r="F72" s="562">
        <f>'201'!T27</f>
        <v>0</v>
      </c>
      <c r="G72" s="138" t="str">
        <f>IF(F72='201'!T27," ","Problem:Must agree to worksheet 201")</f>
        <v xml:space="preserve"> </v>
      </c>
      <c r="H72" s="1093">
        <v>0</v>
      </c>
      <c r="I72" s="1093">
        <v>0</v>
      </c>
      <c r="J72" s="1093">
        <v>0</v>
      </c>
      <c r="K72" s="1093">
        <v>0</v>
      </c>
      <c r="L72" s="1093">
        <v>0</v>
      </c>
      <c r="M72" s="1093">
        <v>0</v>
      </c>
      <c r="N72" s="1093">
        <v>0</v>
      </c>
      <c r="O72" s="1093">
        <v>0</v>
      </c>
      <c r="P72" s="1093">
        <v>0</v>
      </c>
      <c r="Q72" s="1093">
        <v>0</v>
      </c>
      <c r="R72" s="1093">
        <v>0</v>
      </c>
      <c r="S72" s="1093">
        <v>0</v>
      </c>
      <c r="T72" t="str">
        <f>IF(SUM(H72:S72)=F72,"OK ","Problem: sum of amts keyed for each agency in col H through S must tie to total on combined worksheet")</f>
        <v xml:space="preserve">OK </v>
      </c>
      <c r="U72" s="1354"/>
    </row>
    <row r="73" spans="1:21" x14ac:dyDescent="0.2">
      <c r="A73" s="638">
        <v>1530</v>
      </c>
      <c r="B73" s="2894" t="s">
        <v>2778</v>
      </c>
      <c r="C73" s="2894"/>
      <c r="D73" s="2894"/>
      <c r="E73" s="2894"/>
      <c r="F73" s="562">
        <f>'201'!T28</f>
        <v>0</v>
      </c>
      <c r="G73" s="138" t="str">
        <f>IF(F73='201'!T28," ","Problem:Must agree to worksheet 201")</f>
        <v xml:space="preserve"> </v>
      </c>
      <c r="H73" s="1093">
        <v>0</v>
      </c>
      <c r="I73" s="1093">
        <v>0</v>
      </c>
      <c r="J73" s="1093">
        <v>0</v>
      </c>
      <c r="K73" s="1093">
        <v>0</v>
      </c>
      <c r="L73" s="1093">
        <v>0</v>
      </c>
      <c r="M73" s="1093">
        <v>0</v>
      </c>
      <c r="N73" s="1093">
        <v>0</v>
      </c>
      <c r="O73" s="1093">
        <v>0</v>
      </c>
      <c r="P73" s="1093">
        <v>0</v>
      </c>
      <c r="Q73" s="1093">
        <v>0</v>
      </c>
      <c r="R73" s="1093">
        <v>0</v>
      </c>
      <c r="S73" s="1093">
        <v>0</v>
      </c>
      <c r="T73" t="str">
        <f t="shared" ref="T73:T85" si="7">IF(SUM(H73:S73)=F73,"OK ","Problem: sum of amts keyed for each agency in col H through S must tie to total on combined worksheet")</f>
        <v xml:space="preserve">OK </v>
      </c>
      <c r="U73" s="1354"/>
    </row>
    <row r="74" spans="1:21" x14ac:dyDescent="0.2">
      <c r="A74" s="638">
        <v>1540</v>
      </c>
      <c r="B74" s="2894" t="s">
        <v>2779</v>
      </c>
      <c r="C74" s="2894"/>
      <c r="D74" s="2894"/>
      <c r="E74" s="2894"/>
      <c r="F74" s="562">
        <f>'201'!T29</f>
        <v>0</v>
      </c>
      <c r="G74" s="138" t="str">
        <f>IF(F74='201'!T29," ","Problem:Must agree to worksheet 201")</f>
        <v xml:space="preserve"> </v>
      </c>
      <c r="H74" s="1093">
        <v>0</v>
      </c>
      <c r="I74" s="1093">
        <v>0</v>
      </c>
      <c r="J74" s="1093">
        <v>0</v>
      </c>
      <c r="K74" s="1093">
        <v>0</v>
      </c>
      <c r="L74" s="1093">
        <v>0</v>
      </c>
      <c r="M74" s="1093">
        <v>0</v>
      </c>
      <c r="N74" s="1093">
        <v>0</v>
      </c>
      <c r="O74" s="1093">
        <v>0</v>
      </c>
      <c r="P74" s="1093">
        <v>0</v>
      </c>
      <c r="Q74" s="1093">
        <v>0</v>
      </c>
      <c r="R74" s="1093">
        <v>0</v>
      </c>
      <c r="S74" s="1093">
        <v>0</v>
      </c>
      <c r="T74" t="str">
        <f t="shared" si="7"/>
        <v xml:space="preserve">OK </v>
      </c>
      <c r="U74" s="1354"/>
    </row>
    <row r="75" spans="1:21" x14ac:dyDescent="0.2">
      <c r="A75" s="638">
        <v>1550</v>
      </c>
      <c r="B75" s="2894" t="s">
        <v>2780</v>
      </c>
      <c r="C75" s="2894"/>
      <c r="D75" s="2894"/>
      <c r="E75" s="2894"/>
      <c r="F75" s="562">
        <f>'201'!T30</f>
        <v>0</v>
      </c>
      <c r="G75" s="138" t="str">
        <f>IF(F75='201'!T30," ","Problem:Must agree to worksheet 201")</f>
        <v xml:space="preserve"> </v>
      </c>
      <c r="H75" s="1093">
        <v>0</v>
      </c>
      <c r="I75" s="1093">
        <v>0</v>
      </c>
      <c r="J75" s="1093">
        <v>0</v>
      </c>
      <c r="K75" s="1093">
        <v>0</v>
      </c>
      <c r="L75" s="1093">
        <v>0</v>
      </c>
      <c r="M75" s="1093">
        <v>0</v>
      </c>
      <c r="N75" s="1093">
        <v>0</v>
      </c>
      <c r="O75" s="1093">
        <v>0</v>
      </c>
      <c r="P75" s="1093">
        <v>0</v>
      </c>
      <c r="Q75" s="1093">
        <v>0</v>
      </c>
      <c r="R75" s="1093">
        <v>0</v>
      </c>
      <c r="S75" s="1093">
        <v>0</v>
      </c>
      <c r="T75" t="str">
        <f t="shared" si="7"/>
        <v xml:space="preserve">OK </v>
      </c>
      <c r="U75" s="1354"/>
    </row>
    <row r="76" spans="1:21" x14ac:dyDescent="0.2">
      <c r="A76" s="638">
        <v>1481</v>
      </c>
      <c r="B76" s="2894" t="s">
        <v>2781</v>
      </c>
      <c r="C76" s="2894"/>
      <c r="D76" s="2894"/>
      <c r="E76" s="2894"/>
      <c r="F76" s="562">
        <f>'201'!T37</f>
        <v>0</v>
      </c>
      <c r="G76" s="138"/>
      <c r="H76" s="1093">
        <v>0</v>
      </c>
      <c r="I76" s="1093">
        <v>0</v>
      </c>
      <c r="J76" s="1093">
        <v>0</v>
      </c>
      <c r="K76" s="1093">
        <v>0</v>
      </c>
      <c r="L76" s="1093">
        <v>0</v>
      </c>
      <c r="M76" s="1093">
        <v>0</v>
      </c>
      <c r="N76" s="1093">
        <v>0</v>
      </c>
      <c r="O76" s="1093">
        <v>0</v>
      </c>
      <c r="P76" s="1093">
        <v>0</v>
      </c>
      <c r="Q76" s="1093"/>
      <c r="R76" s="1093">
        <v>0</v>
      </c>
      <c r="S76" s="1093">
        <v>0</v>
      </c>
      <c r="T76" t="str">
        <f t="shared" si="7"/>
        <v xml:space="preserve">OK </v>
      </c>
      <c r="U76" s="1354"/>
    </row>
    <row r="77" spans="1:21" x14ac:dyDescent="0.2">
      <c r="A77" s="638">
        <v>1521</v>
      </c>
      <c r="B77" s="2894" t="s">
        <v>2782</v>
      </c>
      <c r="C77" s="2894"/>
      <c r="D77" s="2894"/>
      <c r="E77" s="2894"/>
      <c r="F77" s="562">
        <f>'201'!T38</f>
        <v>0</v>
      </c>
      <c r="G77" s="138"/>
      <c r="H77" s="1093">
        <v>0</v>
      </c>
      <c r="I77" s="1093">
        <v>0</v>
      </c>
      <c r="J77" s="1093">
        <v>0</v>
      </c>
      <c r="K77" s="1093">
        <v>0</v>
      </c>
      <c r="L77" s="1093">
        <v>0</v>
      </c>
      <c r="M77" s="1093">
        <v>0</v>
      </c>
      <c r="N77" s="1093">
        <v>0</v>
      </c>
      <c r="O77" s="1093">
        <v>0</v>
      </c>
      <c r="P77" s="1093">
        <v>0</v>
      </c>
      <c r="Q77" s="1093"/>
      <c r="R77" s="1093">
        <v>0</v>
      </c>
      <c r="S77" s="1093">
        <v>0</v>
      </c>
      <c r="T77" t="str">
        <f t="shared" si="7"/>
        <v xml:space="preserve">OK </v>
      </c>
      <c r="U77" s="1354"/>
    </row>
    <row r="78" spans="1:21" x14ac:dyDescent="0.2">
      <c r="A78" s="638">
        <v>1531</v>
      </c>
      <c r="B78" s="2894" t="s">
        <v>2783</v>
      </c>
      <c r="C78" s="2894"/>
      <c r="D78" s="2894"/>
      <c r="E78" s="2894"/>
      <c r="F78" s="562">
        <f>'201'!T39</f>
        <v>0</v>
      </c>
      <c r="G78" s="138"/>
      <c r="H78" s="1093">
        <v>0</v>
      </c>
      <c r="I78" s="1093">
        <v>0</v>
      </c>
      <c r="J78" s="1093">
        <v>0</v>
      </c>
      <c r="K78" s="1093">
        <v>0</v>
      </c>
      <c r="L78" s="1093">
        <v>0</v>
      </c>
      <c r="M78" s="1093">
        <v>0</v>
      </c>
      <c r="N78" s="1093">
        <v>0</v>
      </c>
      <c r="O78" s="1093">
        <v>0</v>
      </c>
      <c r="P78" s="1093">
        <v>0</v>
      </c>
      <c r="Q78" s="1093"/>
      <c r="R78" s="1093">
        <v>0</v>
      </c>
      <c r="S78" s="1093">
        <v>0</v>
      </c>
      <c r="T78" t="str">
        <f t="shared" si="7"/>
        <v xml:space="preserve">OK </v>
      </c>
      <c r="U78" s="1354"/>
    </row>
    <row r="79" spans="1:21" x14ac:dyDescent="0.2">
      <c r="A79" s="638">
        <v>1551</v>
      </c>
      <c r="B79" s="2894" t="s">
        <v>2784</v>
      </c>
      <c r="C79" s="2894"/>
      <c r="D79" s="2894"/>
      <c r="E79" s="2894"/>
      <c r="F79" s="562">
        <f>'201'!T40</f>
        <v>0</v>
      </c>
      <c r="G79" s="138"/>
      <c r="H79" s="1093">
        <v>0</v>
      </c>
      <c r="I79" s="1093">
        <v>0</v>
      </c>
      <c r="J79" s="1093">
        <v>0</v>
      </c>
      <c r="K79" s="1093">
        <v>0</v>
      </c>
      <c r="L79" s="1093">
        <v>0</v>
      </c>
      <c r="M79" s="1093">
        <v>0</v>
      </c>
      <c r="N79" s="1093">
        <v>0</v>
      </c>
      <c r="O79" s="1093">
        <v>0</v>
      </c>
      <c r="P79" s="1093">
        <v>0</v>
      </c>
      <c r="Q79" s="1093"/>
      <c r="R79" s="1093">
        <v>0</v>
      </c>
      <c r="S79" s="1093">
        <v>0</v>
      </c>
      <c r="T79" t="str">
        <f t="shared" si="7"/>
        <v xml:space="preserve">OK </v>
      </c>
      <c r="U79" s="1354"/>
    </row>
    <row r="80" spans="1:21" x14ac:dyDescent="0.2">
      <c r="A80" s="1867">
        <v>1552</v>
      </c>
      <c r="B80" s="2057" t="s">
        <v>2785</v>
      </c>
      <c r="C80" s="2014"/>
      <c r="D80" s="2014"/>
      <c r="E80" s="2014"/>
      <c r="F80" s="562"/>
      <c r="G80" s="138"/>
      <c r="H80" s="1093"/>
      <c r="I80" s="1093"/>
      <c r="J80" s="1093"/>
      <c r="K80" s="1093"/>
      <c r="L80" s="1093"/>
      <c r="M80" s="1093"/>
      <c r="N80" s="1093"/>
      <c r="O80" s="1093"/>
      <c r="P80" s="1093"/>
      <c r="Q80" s="1093"/>
      <c r="R80" s="1093"/>
      <c r="S80" s="1093"/>
      <c r="U80" s="1354"/>
    </row>
    <row r="81" spans="1:21" x14ac:dyDescent="0.2">
      <c r="A81" s="638">
        <v>1553</v>
      </c>
      <c r="B81" s="2894" t="s">
        <v>2786</v>
      </c>
      <c r="C81" s="2894"/>
      <c r="D81" s="2894"/>
      <c r="E81" s="2894"/>
      <c r="F81" s="562">
        <f>'201'!T33</f>
        <v>0</v>
      </c>
      <c r="G81" s="138" t="str">
        <f>IF(F81='201'!T33," ","Problem:Must agree to worksheet 201")</f>
        <v xml:space="preserve"> </v>
      </c>
      <c r="H81" s="1093">
        <v>0</v>
      </c>
      <c r="I81" s="1093">
        <v>0</v>
      </c>
      <c r="J81" s="1093">
        <v>0</v>
      </c>
      <c r="K81" s="1093">
        <v>0</v>
      </c>
      <c r="L81" s="1093">
        <v>0</v>
      </c>
      <c r="M81" s="1093">
        <v>0</v>
      </c>
      <c r="N81" s="1093">
        <v>0</v>
      </c>
      <c r="O81" s="1093">
        <v>0</v>
      </c>
      <c r="P81" s="1093">
        <v>0</v>
      </c>
      <c r="Q81" s="1093">
        <v>0</v>
      </c>
      <c r="R81" s="1093">
        <v>0</v>
      </c>
      <c r="S81" s="1093">
        <v>0</v>
      </c>
      <c r="T81" t="str">
        <f t="shared" si="7"/>
        <v xml:space="preserve">OK </v>
      </c>
      <c r="U81" s="1354"/>
    </row>
    <row r="82" spans="1:21" x14ac:dyDescent="0.2">
      <c r="A82" s="638">
        <v>1555</v>
      </c>
      <c r="B82" s="2894" t="s">
        <v>2787</v>
      </c>
      <c r="C82" s="2894"/>
      <c r="D82" s="2894"/>
      <c r="E82" s="2894"/>
      <c r="F82" s="562">
        <f>'201'!T34</f>
        <v>0</v>
      </c>
      <c r="G82" s="138" t="str">
        <f>IF(F82='201'!T34," ","Problem:Must agree to worksheet 201")</f>
        <v xml:space="preserve"> </v>
      </c>
      <c r="H82" s="1093">
        <v>0</v>
      </c>
      <c r="I82" s="1093">
        <v>0</v>
      </c>
      <c r="J82" s="1093">
        <v>0</v>
      </c>
      <c r="K82" s="1093">
        <v>0</v>
      </c>
      <c r="L82" s="1093">
        <v>0</v>
      </c>
      <c r="M82" s="1093">
        <v>0</v>
      </c>
      <c r="N82" s="1093">
        <v>0</v>
      </c>
      <c r="O82" s="1093">
        <v>0</v>
      </c>
      <c r="P82" s="1093">
        <v>0</v>
      </c>
      <c r="Q82" s="1093">
        <v>0</v>
      </c>
      <c r="R82" s="1093">
        <v>0</v>
      </c>
      <c r="S82" s="1093">
        <v>0</v>
      </c>
      <c r="T82" t="str">
        <f t="shared" si="7"/>
        <v xml:space="preserve">OK </v>
      </c>
      <c r="U82" s="1354"/>
    </row>
    <row r="83" spans="1:21" x14ac:dyDescent="0.2">
      <c r="A83" s="638">
        <v>1556</v>
      </c>
      <c r="B83" s="2894" t="s">
        <v>2788</v>
      </c>
      <c r="C83" s="2894"/>
      <c r="D83" s="2894"/>
      <c r="E83" s="2894"/>
      <c r="F83" s="562">
        <f>'201'!T43</f>
        <v>0</v>
      </c>
      <c r="G83" s="138"/>
      <c r="H83" s="1093">
        <v>0</v>
      </c>
      <c r="I83" s="1093">
        <v>0</v>
      </c>
      <c r="J83" s="1093">
        <v>0</v>
      </c>
      <c r="K83" s="1093">
        <v>0</v>
      </c>
      <c r="L83" s="1093">
        <v>0</v>
      </c>
      <c r="M83" s="1093">
        <v>0</v>
      </c>
      <c r="N83" s="1093">
        <v>0</v>
      </c>
      <c r="O83" s="1093">
        <v>0</v>
      </c>
      <c r="P83" s="1093">
        <v>0</v>
      </c>
      <c r="Q83" s="1093">
        <v>0</v>
      </c>
      <c r="R83" s="1093">
        <v>0</v>
      </c>
      <c r="S83" s="1093">
        <v>0</v>
      </c>
      <c r="T83" t="str">
        <f t="shared" si="7"/>
        <v xml:space="preserve">OK </v>
      </c>
      <c r="U83" s="1354"/>
    </row>
    <row r="84" spans="1:21" x14ac:dyDescent="0.2">
      <c r="A84" s="638">
        <v>1560</v>
      </c>
      <c r="B84" s="2894" t="s">
        <v>2789</v>
      </c>
      <c r="C84" s="2894"/>
      <c r="D84" s="2894"/>
      <c r="E84" s="2894"/>
      <c r="F84" s="562">
        <f>'201'!T35</f>
        <v>0</v>
      </c>
      <c r="G84" s="138" t="str">
        <f>IF(F84='201'!T35," ","Problem:Must agree to worksheet 201")</f>
        <v xml:space="preserve"> </v>
      </c>
      <c r="H84" s="1093">
        <v>0</v>
      </c>
      <c r="I84" s="1093">
        <v>0</v>
      </c>
      <c r="J84" s="1093">
        <v>0</v>
      </c>
      <c r="K84" s="1093">
        <v>0</v>
      </c>
      <c r="L84" s="1093">
        <v>0</v>
      </c>
      <c r="M84" s="1093">
        <v>0</v>
      </c>
      <c r="N84" s="1093">
        <v>0</v>
      </c>
      <c r="O84" s="1093">
        <v>0</v>
      </c>
      <c r="P84" s="1093">
        <v>0</v>
      </c>
      <c r="Q84" s="1093">
        <v>0</v>
      </c>
      <c r="R84" s="1093">
        <v>0</v>
      </c>
      <c r="S84" s="1093">
        <v>0</v>
      </c>
      <c r="T84" t="str">
        <f t="shared" si="7"/>
        <v xml:space="preserve">OK </v>
      </c>
      <c r="U84" s="1354"/>
    </row>
    <row r="85" spans="1:21" x14ac:dyDescent="0.2">
      <c r="A85" s="638">
        <v>1570</v>
      </c>
      <c r="B85" s="2890" t="s">
        <v>2790</v>
      </c>
      <c r="C85" s="2890"/>
      <c r="D85" s="2890"/>
      <c r="E85" s="2890"/>
      <c r="F85" s="574">
        <f>-'210'!Q34</f>
        <v>0</v>
      </c>
      <c r="G85" s="138" t="str">
        <f>IF(F85=-'210'!Q34," ","Problem:Must agree to total accumulated depreciation per worksheet 210 cell O25, entered here as a negative number")</f>
        <v xml:space="preserve"> </v>
      </c>
      <c r="H85" s="1093">
        <v>0</v>
      </c>
      <c r="I85" s="1093">
        <v>0</v>
      </c>
      <c r="J85" s="1093">
        <v>0</v>
      </c>
      <c r="K85" s="1093">
        <v>0</v>
      </c>
      <c r="L85" s="1093">
        <v>0</v>
      </c>
      <c r="M85" s="1093">
        <v>0</v>
      </c>
      <c r="N85" s="1093">
        <v>0</v>
      </c>
      <c r="O85" s="1093">
        <v>0</v>
      </c>
      <c r="P85" s="1093">
        <v>0</v>
      </c>
      <c r="Q85" s="1093">
        <v>0</v>
      </c>
      <c r="R85" s="1093">
        <v>0</v>
      </c>
      <c r="S85" s="1093">
        <v>0</v>
      </c>
      <c r="T85" t="str">
        <f t="shared" si="7"/>
        <v xml:space="preserve">OK </v>
      </c>
      <c r="U85" s="1354"/>
    </row>
    <row r="86" spans="1:21" x14ac:dyDescent="0.2">
      <c r="A86" s="170"/>
      <c r="B86" s="2890" t="s">
        <v>2791</v>
      </c>
      <c r="C86" s="2890"/>
      <c r="D86" s="2890"/>
      <c r="E86" s="2890"/>
      <c r="F86" s="343">
        <f>SUM(F72:F85)</f>
        <v>0</v>
      </c>
      <c r="G86" s="617"/>
      <c r="H86" s="343">
        <f t="shared" ref="H86:S86" si="8">SUM(H72:H85)</f>
        <v>0</v>
      </c>
      <c r="I86" s="343">
        <f t="shared" si="8"/>
        <v>0</v>
      </c>
      <c r="J86" s="343">
        <f t="shared" si="8"/>
        <v>0</v>
      </c>
      <c r="K86" s="343">
        <f t="shared" si="8"/>
        <v>0</v>
      </c>
      <c r="L86" s="343">
        <f t="shared" si="8"/>
        <v>0</v>
      </c>
      <c r="M86" s="343">
        <f t="shared" si="8"/>
        <v>0</v>
      </c>
      <c r="N86" s="343">
        <f t="shared" si="8"/>
        <v>0</v>
      </c>
      <c r="O86" s="343">
        <f t="shared" si="8"/>
        <v>0</v>
      </c>
      <c r="P86" s="343">
        <f t="shared" si="8"/>
        <v>0</v>
      </c>
      <c r="Q86" s="343">
        <f t="shared" si="8"/>
        <v>0</v>
      </c>
      <c r="R86" s="343">
        <f t="shared" si="8"/>
        <v>0</v>
      </c>
      <c r="S86" s="343">
        <f t="shared" si="8"/>
        <v>0</v>
      </c>
      <c r="T86" t="str">
        <f>IF(SUM(H86:S86)=F86,"OK ","Crossfoot error: sum of Col H thru S must equal total in Col F")</f>
        <v xml:space="preserve">OK </v>
      </c>
      <c r="U86" s="1354"/>
    </row>
    <row r="87" spans="1:21" x14ac:dyDescent="0.2">
      <c r="A87" s="357"/>
      <c r="B87" s="3067" t="s">
        <v>2792</v>
      </c>
      <c r="C87" s="3067"/>
      <c r="D87" s="3067"/>
      <c r="E87" s="3067"/>
      <c r="F87" s="350">
        <f>SUM(F42:F86)-F70-F86</f>
        <v>0</v>
      </c>
      <c r="H87" s="350">
        <f t="shared" ref="H87:S87" si="9">SUM(H42:H86)-H70-H86</f>
        <v>0</v>
      </c>
      <c r="I87" s="350">
        <f t="shared" si="9"/>
        <v>0</v>
      </c>
      <c r="J87" s="350">
        <f t="shared" si="9"/>
        <v>0</v>
      </c>
      <c r="K87" s="350">
        <f t="shared" si="9"/>
        <v>0</v>
      </c>
      <c r="L87" s="350">
        <f t="shared" si="9"/>
        <v>0</v>
      </c>
      <c r="M87" s="350">
        <f t="shared" si="9"/>
        <v>0</v>
      </c>
      <c r="N87" s="350">
        <f t="shared" si="9"/>
        <v>0</v>
      </c>
      <c r="O87" s="350">
        <f t="shared" si="9"/>
        <v>0</v>
      </c>
      <c r="P87" s="350">
        <f t="shared" si="9"/>
        <v>0</v>
      </c>
      <c r="Q87" s="350">
        <f t="shared" si="9"/>
        <v>0</v>
      </c>
      <c r="R87" s="350">
        <f t="shared" si="9"/>
        <v>0</v>
      </c>
      <c r="S87" s="350">
        <f t="shared" si="9"/>
        <v>0</v>
      </c>
      <c r="T87" t="str">
        <f>IF(SUM(H87:S87)=F87,"OK ","Crossfoot error: sum of Col H thru S must equal total in Col F")</f>
        <v xml:space="preserve">OK </v>
      </c>
      <c r="U87" s="1354"/>
    </row>
    <row r="88" spans="1:21" x14ac:dyDescent="0.2">
      <c r="H88" s="341"/>
      <c r="I88" s="341"/>
      <c r="J88" s="341"/>
      <c r="K88" s="341"/>
      <c r="L88" s="341"/>
      <c r="M88" s="341"/>
      <c r="N88" s="341"/>
      <c r="O88" s="341"/>
      <c r="P88" s="341"/>
      <c r="Q88" s="341"/>
      <c r="R88" s="341"/>
      <c r="S88" s="341"/>
      <c r="U88" s="1354"/>
    </row>
    <row r="89" spans="1:21" x14ac:dyDescent="0.2">
      <c r="B89" s="3067" t="s">
        <v>2793</v>
      </c>
      <c r="C89" s="3067"/>
      <c r="D89" s="3067"/>
      <c r="E89" s="3067"/>
      <c r="F89" s="343">
        <f>F87+F39</f>
        <v>0</v>
      </c>
      <c r="H89" s="343">
        <f t="shared" ref="H89:S89" si="10">H87+H39</f>
        <v>0</v>
      </c>
      <c r="I89" s="343">
        <f t="shared" si="10"/>
        <v>0</v>
      </c>
      <c r="J89" s="343">
        <f t="shared" si="10"/>
        <v>0</v>
      </c>
      <c r="K89" s="343">
        <f t="shared" si="10"/>
        <v>0</v>
      </c>
      <c r="L89" s="343">
        <f t="shared" si="10"/>
        <v>0</v>
      </c>
      <c r="M89" s="343">
        <f t="shared" si="10"/>
        <v>0</v>
      </c>
      <c r="N89" s="343">
        <f t="shared" si="10"/>
        <v>0</v>
      </c>
      <c r="O89" s="343">
        <f t="shared" si="10"/>
        <v>0</v>
      </c>
      <c r="P89" s="343">
        <f t="shared" si="10"/>
        <v>0</v>
      </c>
      <c r="Q89" s="343">
        <f t="shared" si="10"/>
        <v>0</v>
      </c>
      <c r="R89" s="343">
        <f t="shared" si="10"/>
        <v>0</v>
      </c>
      <c r="S89" s="343">
        <f t="shared" si="10"/>
        <v>0</v>
      </c>
      <c r="T89" t="str">
        <f>IF(SUM(H89:S89)=F89,"OK ","Crossfoot error: sum of Col H thru S must equal total in Col F")</f>
        <v xml:space="preserve">OK </v>
      </c>
      <c r="U89" s="1354"/>
    </row>
    <row r="90" spans="1:21" x14ac:dyDescent="0.2">
      <c r="B90" s="2430"/>
      <c r="C90" s="2430"/>
      <c r="D90" s="2430"/>
      <c r="E90" s="2430"/>
      <c r="H90" s="341"/>
      <c r="I90" s="341"/>
      <c r="J90" s="341"/>
      <c r="K90" s="341"/>
      <c r="L90" s="341"/>
      <c r="M90" s="341"/>
      <c r="N90" s="341"/>
      <c r="O90" s="341"/>
      <c r="P90" s="341"/>
      <c r="Q90" s="341"/>
      <c r="R90" s="341"/>
      <c r="S90" s="341"/>
      <c r="U90" s="1354"/>
    </row>
    <row r="91" spans="1:21" x14ac:dyDescent="0.2">
      <c r="B91" s="2442" t="s">
        <v>1976</v>
      </c>
      <c r="H91" s="341"/>
      <c r="I91" s="341"/>
      <c r="J91" s="341"/>
      <c r="K91" s="341"/>
      <c r="L91" s="341"/>
      <c r="M91" s="341"/>
      <c r="N91" s="341"/>
      <c r="O91" s="341"/>
      <c r="P91" s="341"/>
      <c r="Q91" s="341"/>
      <c r="R91" s="341"/>
      <c r="S91" s="341"/>
      <c r="U91" s="1354"/>
    </row>
    <row r="92" spans="1:21" x14ac:dyDescent="0.2">
      <c r="A92" s="833">
        <v>1234</v>
      </c>
      <c r="B92" s="2890" t="s">
        <v>2794</v>
      </c>
      <c r="C92" s="2890"/>
      <c r="D92" s="2890"/>
      <c r="E92" s="2890"/>
      <c r="F92" s="341">
        <f t="shared" ref="F92:F98" si="11">SUM(H92:S92)</f>
        <v>0</v>
      </c>
      <c r="G92" s="357"/>
      <c r="H92" s="348">
        <v>0</v>
      </c>
      <c r="I92" s="348">
        <v>0</v>
      </c>
      <c r="J92" s="348">
        <v>0</v>
      </c>
      <c r="K92" s="348">
        <v>0</v>
      </c>
      <c r="L92" s="348">
        <v>0</v>
      </c>
      <c r="M92" s="348">
        <v>0</v>
      </c>
      <c r="N92" s="348">
        <v>0</v>
      </c>
      <c r="O92" s="348">
        <v>0</v>
      </c>
      <c r="P92" s="348">
        <v>0</v>
      </c>
      <c r="Q92" s="348">
        <v>0</v>
      </c>
      <c r="R92" s="348">
        <v>0</v>
      </c>
      <c r="S92" s="348">
        <v>0</v>
      </c>
      <c r="U92" s="1354">
        <v>61100002</v>
      </c>
    </row>
    <row r="93" spans="1:21" x14ac:dyDescent="0.2">
      <c r="A93" s="833">
        <v>1236</v>
      </c>
      <c r="B93" s="2890" t="s">
        <v>2209</v>
      </c>
      <c r="C93" s="2890"/>
      <c r="D93" s="2890"/>
      <c r="E93" s="2890"/>
      <c r="F93" s="341">
        <f t="shared" si="11"/>
        <v>0</v>
      </c>
      <c r="G93" s="357"/>
      <c r="H93" s="348">
        <v>0</v>
      </c>
      <c r="I93" s="348">
        <v>0</v>
      </c>
      <c r="J93" s="348">
        <v>0</v>
      </c>
      <c r="K93" s="348">
        <v>0</v>
      </c>
      <c r="L93" s="348">
        <v>0</v>
      </c>
      <c r="M93" s="348">
        <v>0</v>
      </c>
      <c r="N93" s="348">
        <v>0</v>
      </c>
      <c r="O93" s="348">
        <v>0</v>
      </c>
      <c r="P93" s="348">
        <v>0</v>
      </c>
      <c r="Q93" s="348">
        <v>0</v>
      </c>
      <c r="R93" s="348">
        <v>0</v>
      </c>
      <c r="S93" s="348">
        <v>0</v>
      </c>
      <c r="U93" s="1354">
        <v>61100003</v>
      </c>
    </row>
    <row r="94" spans="1:21" x14ac:dyDescent="0.2">
      <c r="A94" s="833">
        <v>1242</v>
      </c>
      <c r="B94" s="2890" t="s">
        <v>2795</v>
      </c>
      <c r="C94" s="2890"/>
      <c r="D94" s="2890"/>
      <c r="E94" s="2890"/>
      <c r="F94" s="341">
        <f>SUM(H94:S94)</f>
        <v>0</v>
      </c>
      <c r="G94" s="357"/>
      <c r="H94" s="348">
        <v>0</v>
      </c>
      <c r="I94" s="348">
        <v>0</v>
      </c>
      <c r="J94" s="348">
        <v>0</v>
      </c>
      <c r="K94" s="348">
        <v>0</v>
      </c>
      <c r="L94" s="348">
        <v>0</v>
      </c>
      <c r="M94" s="348">
        <v>0</v>
      </c>
      <c r="N94" s="348">
        <v>0</v>
      </c>
      <c r="O94" s="348">
        <v>0</v>
      </c>
      <c r="P94" s="348">
        <v>0</v>
      </c>
      <c r="Q94" s="348">
        <v>0</v>
      </c>
      <c r="R94" s="348">
        <v>0</v>
      </c>
      <c r="S94" s="348">
        <v>0</v>
      </c>
      <c r="U94" s="1354">
        <v>61100007</v>
      </c>
    </row>
    <row r="95" spans="1:21" x14ac:dyDescent="0.2">
      <c r="A95" s="833">
        <v>1237</v>
      </c>
      <c r="B95" s="2890" t="s">
        <v>2210</v>
      </c>
      <c r="C95" s="2890"/>
      <c r="D95" s="2890"/>
      <c r="E95" s="2890"/>
      <c r="F95" s="341">
        <f t="shared" si="11"/>
        <v>0</v>
      </c>
      <c r="G95" s="357"/>
      <c r="H95" s="348">
        <v>0</v>
      </c>
      <c r="I95" s="348">
        <v>0</v>
      </c>
      <c r="J95" s="348">
        <v>0</v>
      </c>
      <c r="K95" s="348">
        <v>0</v>
      </c>
      <c r="L95" s="348">
        <v>0</v>
      </c>
      <c r="M95" s="348">
        <v>0</v>
      </c>
      <c r="N95" s="348">
        <v>0</v>
      </c>
      <c r="O95" s="348">
        <v>0</v>
      </c>
      <c r="P95" s="348">
        <v>0</v>
      </c>
      <c r="Q95" s="348">
        <v>0</v>
      </c>
      <c r="R95" s="348">
        <v>0</v>
      </c>
      <c r="S95" s="348">
        <v>0</v>
      </c>
      <c r="U95" s="1354">
        <v>61100008</v>
      </c>
    </row>
    <row r="96" spans="1:21" x14ac:dyDescent="0.2">
      <c r="A96" s="1110">
        <v>1241</v>
      </c>
      <c r="B96" s="2890" t="s">
        <v>2211</v>
      </c>
      <c r="C96" s="2890"/>
      <c r="D96" s="2890"/>
      <c r="E96" s="2890"/>
      <c r="F96" s="341">
        <f t="shared" si="11"/>
        <v>0</v>
      </c>
      <c r="G96" s="357"/>
      <c r="H96" s="348">
        <v>0</v>
      </c>
      <c r="I96" s="348">
        <v>0</v>
      </c>
      <c r="J96" s="348">
        <v>0</v>
      </c>
      <c r="K96" s="348">
        <v>0</v>
      </c>
      <c r="L96" s="348">
        <v>0</v>
      </c>
      <c r="M96" s="348">
        <v>0</v>
      </c>
      <c r="N96" s="348">
        <v>0</v>
      </c>
      <c r="O96" s="348">
        <v>0</v>
      </c>
      <c r="P96" s="348">
        <v>0</v>
      </c>
      <c r="Q96" s="348">
        <v>0</v>
      </c>
      <c r="R96" s="348">
        <v>0</v>
      </c>
      <c r="S96" s="348">
        <v>0</v>
      </c>
      <c r="U96" s="1354">
        <v>61100009</v>
      </c>
    </row>
    <row r="97" spans="1:21" x14ac:dyDescent="0.2">
      <c r="A97" s="833">
        <v>1238</v>
      </c>
      <c r="B97" s="2890" t="s">
        <v>2212</v>
      </c>
      <c r="C97" s="2890"/>
      <c r="D97" s="2890"/>
      <c r="E97" s="2890"/>
      <c r="F97" s="341">
        <f t="shared" si="11"/>
        <v>0</v>
      </c>
      <c r="G97" s="357"/>
      <c r="H97" s="348">
        <v>0</v>
      </c>
      <c r="I97" s="348">
        <v>0</v>
      </c>
      <c r="J97" s="348">
        <v>0</v>
      </c>
      <c r="K97" s="348">
        <v>0</v>
      </c>
      <c r="L97" s="348">
        <v>0</v>
      </c>
      <c r="M97" s="348">
        <v>0</v>
      </c>
      <c r="N97" s="348">
        <v>0</v>
      </c>
      <c r="O97" s="348">
        <v>0</v>
      </c>
      <c r="P97" s="348">
        <v>0</v>
      </c>
      <c r="Q97" s="348">
        <v>0</v>
      </c>
      <c r="R97" s="348">
        <v>0</v>
      </c>
      <c r="S97" s="348">
        <v>0</v>
      </c>
      <c r="U97" s="1354">
        <v>61100006</v>
      </c>
    </row>
    <row r="98" spans="1:21" x14ac:dyDescent="0.2">
      <c r="A98" s="833">
        <v>1239</v>
      </c>
      <c r="B98" s="2890" t="s">
        <v>1979</v>
      </c>
      <c r="C98" s="2890"/>
      <c r="D98" s="2890"/>
      <c r="E98" s="2890"/>
      <c r="F98" s="341">
        <f t="shared" si="11"/>
        <v>0</v>
      </c>
      <c r="G98" s="357"/>
      <c r="H98" s="348">
        <v>0</v>
      </c>
      <c r="I98" s="348">
        <v>0</v>
      </c>
      <c r="J98" s="348">
        <v>0</v>
      </c>
      <c r="K98" s="348">
        <v>0</v>
      </c>
      <c r="L98" s="348">
        <v>0</v>
      </c>
      <c r="M98" s="348">
        <v>0</v>
      </c>
      <c r="N98" s="348">
        <v>0</v>
      </c>
      <c r="O98" s="348">
        <v>0</v>
      </c>
      <c r="P98" s="348">
        <v>0</v>
      </c>
      <c r="Q98" s="348">
        <v>0</v>
      </c>
      <c r="R98" s="348">
        <v>0</v>
      </c>
      <c r="S98" s="348">
        <v>0</v>
      </c>
      <c r="U98" s="1354">
        <v>61100004</v>
      </c>
    </row>
    <row r="99" spans="1:21" x14ac:dyDescent="0.2">
      <c r="A99" s="833"/>
      <c r="B99" s="3067" t="s">
        <v>2796</v>
      </c>
      <c r="C99" s="3067"/>
      <c r="D99" s="3067"/>
      <c r="E99" s="3067"/>
      <c r="F99" s="350">
        <f>SUM(F91:F98)</f>
        <v>0</v>
      </c>
      <c r="H99" s="350">
        <f t="shared" ref="H99:S99" si="12">SUM(H91:H98)</f>
        <v>0</v>
      </c>
      <c r="I99" s="350">
        <f t="shared" si="12"/>
        <v>0</v>
      </c>
      <c r="J99" s="350">
        <f t="shared" si="12"/>
        <v>0</v>
      </c>
      <c r="K99" s="350">
        <f t="shared" si="12"/>
        <v>0</v>
      </c>
      <c r="L99" s="350">
        <f t="shared" si="12"/>
        <v>0</v>
      </c>
      <c r="M99" s="350">
        <f t="shared" si="12"/>
        <v>0</v>
      </c>
      <c r="N99" s="350">
        <f t="shared" si="12"/>
        <v>0</v>
      </c>
      <c r="O99" s="350">
        <f t="shared" si="12"/>
        <v>0</v>
      </c>
      <c r="P99" s="350">
        <f t="shared" si="12"/>
        <v>0</v>
      </c>
      <c r="Q99" s="350">
        <f t="shared" si="12"/>
        <v>0</v>
      </c>
      <c r="R99" s="350">
        <f t="shared" si="12"/>
        <v>0</v>
      </c>
      <c r="S99" s="350">
        <f t="shared" si="12"/>
        <v>0</v>
      </c>
      <c r="U99" s="1354"/>
    </row>
    <row r="100" spans="1:21" x14ac:dyDescent="0.2">
      <c r="U100" s="1354"/>
    </row>
    <row r="101" spans="1:21" x14ac:dyDescent="0.2">
      <c r="B101" s="2442" t="s">
        <v>1982</v>
      </c>
      <c r="U101" s="1354"/>
    </row>
    <row r="102" spans="1:21" x14ac:dyDescent="0.2">
      <c r="B102" s="213" t="s">
        <v>1985</v>
      </c>
      <c r="U102" s="1354"/>
    </row>
    <row r="103" spans="1:21" x14ac:dyDescent="0.2">
      <c r="B103" s="170" t="s">
        <v>2797</v>
      </c>
      <c r="C103" s="170"/>
      <c r="U103" s="1354"/>
    </row>
    <row r="104" spans="1:21" x14ac:dyDescent="0.2">
      <c r="A104" s="170">
        <v>1640</v>
      </c>
      <c r="B104" s="2894" t="s">
        <v>2798</v>
      </c>
      <c r="C104" s="2894"/>
      <c r="D104" s="2894"/>
      <c r="E104" s="2894"/>
      <c r="F104" s="341">
        <f>SUM(H104:S104)</f>
        <v>0</v>
      </c>
      <c r="G104" s="357"/>
      <c r="H104" s="348">
        <v>0</v>
      </c>
      <c r="I104" s="348">
        <v>0</v>
      </c>
      <c r="J104" s="348">
        <v>0</v>
      </c>
      <c r="K104" s="348">
        <v>0</v>
      </c>
      <c r="L104" s="348">
        <v>0</v>
      </c>
      <c r="M104" s="348">
        <v>0</v>
      </c>
      <c r="N104" s="348">
        <v>0</v>
      </c>
      <c r="O104" s="348">
        <v>0</v>
      </c>
      <c r="P104" s="348">
        <v>0</v>
      </c>
      <c r="Q104" s="348">
        <v>0</v>
      </c>
      <c r="R104" s="348">
        <v>0</v>
      </c>
      <c r="S104" s="348">
        <v>0</v>
      </c>
      <c r="U104" s="1354">
        <v>21110000</v>
      </c>
    </row>
    <row r="105" spans="1:21" x14ac:dyDescent="0.2">
      <c r="A105" s="170">
        <v>1650</v>
      </c>
      <c r="B105" s="2894" t="s">
        <v>2799</v>
      </c>
      <c r="C105" s="2894"/>
      <c r="D105" s="2894"/>
      <c r="E105" s="2894"/>
      <c r="F105" s="341">
        <f>SUM(H105:S105)</f>
        <v>0</v>
      </c>
      <c r="G105" s="357"/>
      <c r="H105" s="348">
        <v>0</v>
      </c>
      <c r="I105" s="348">
        <v>0</v>
      </c>
      <c r="J105" s="348">
        <v>0</v>
      </c>
      <c r="K105" s="348">
        <v>0</v>
      </c>
      <c r="L105" s="348">
        <v>0</v>
      </c>
      <c r="M105" s="348">
        <v>0</v>
      </c>
      <c r="N105" s="348">
        <v>0</v>
      </c>
      <c r="O105" s="348">
        <v>0</v>
      </c>
      <c r="P105" s="348">
        <v>0</v>
      </c>
      <c r="Q105" s="348">
        <v>0</v>
      </c>
      <c r="R105" s="348">
        <v>0</v>
      </c>
      <c r="S105" s="348">
        <v>0</v>
      </c>
      <c r="U105" s="1354">
        <v>21121000</v>
      </c>
    </row>
    <row r="106" spans="1:21" x14ac:dyDescent="0.2">
      <c r="A106" s="170">
        <v>1660</v>
      </c>
      <c r="B106" s="2894" t="s">
        <v>2800</v>
      </c>
      <c r="C106" s="2894"/>
      <c r="D106" s="2894"/>
      <c r="E106" s="2894"/>
      <c r="F106" s="341">
        <f>SUM(H106:S106)</f>
        <v>0</v>
      </c>
      <c r="G106" s="357"/>
      <c r="H106" s="348">
        <v>0</v>
      </c>
      <c r="I106" s="348">
        <v>0</v>
      </c>
      <c r="J106" s="348">
        <v>0</v>
      </c>
      <c r="K106" s="348">
        <v>0</v>
      </c>
      <c r="L106" s="348">
        <v>0</v>
      </c>
      <c r="M106" s="348">
        <v>0</v>
      </c>
      <c r="N106" s="348">
        <v>0</v>
      </c>
      <c r="O106" s="348">
        <v>0</v>
      </c>
      <c r="P106" s="348">
        <v>0</v>
      </c>
      <c r="Q106" s="348">
        <v>0</v>
      </c>
      <c r="R106" s="348">
        <v>0</v>
      </c>
      <c r="S106" s="348">
        <v>0</v>
      </c>
      <c r="U106" s="1354">
        <v>21131000</v>
      </c>
    </row>
    <row r="107" spans="1:21" x14ac:dyDescent="0.2">
      <c r="A107" s="170">
        <v>1670</v>
      </c>
      <c r="B107" s="2894" t="s">
        <v>2801</v>
      </c>
      <c r="C107" s="2894"/>
      <c r="D107" s="2894"/>
      <c r="E107" s="2894"/>
      <c r="F107" s="341">
        <f>SUM(H107:S107)</f>
        <v>0</v>
      </c>
      <c r="G107" s="357"/>
      <c r="H107" s="348">
        <v>0</v>
      </c>
      <c r="I107" s="348">
        <v>0</v>
      </c>
      <c r="J107" s="348">
        <v>0</v>
      </c>
      <c r="K107" s="348">
        <v>0</v>
      </c>
      <c r="L107" s="348">
        <v>0</v>
      </c>
      <c r="M107" s="348">
        <v>0</v>
      </c>
      <c r="N107" s="348">
        <v>0</v>
      </c>
      <c r="O107" s="348">
        <v>0</v>
      </c>
      <c r="P107" s="348">
        <v>0</v>
      </c>
      <c r="Q107" s="348">
        <v>0</v>
      </c>
      <c r="R107" s="348">
        <v>0</v>
      </c>
      <c r="S107" s="348">
        <v>0</v>
      </c>
      <c r="U107" s="1354">
        <v>21523000</v>
      </c>
    </row>
    <row r="108" spans="1:21" x14ac:dyDescent="0.2">
      <c r="A108" s="170">
        <v>1840</v>
      </c>
      <c r="B108" s="2890" t="s">
        <v>2802</v>
      </c>
      <c r="C108" s="2890"/>
      <c r="D108" s="2890"/>
      <c r="E108" s="2890"/>
      <c r="F108" s="341">
        <f>SUM(H108:S108)</f>
        <v>0</v>
      </c>
      <c r="G108" s="357"/>
      <c r="H108" s="348">
        <v>0</v>
      </c>
      <c r="I108" s="348">
        <v>0</v>
      </c>
      <c r="J108" s="348">
        <v>0</v>
      </c>
      <c r="K108" s="348">
        <v>0</v>
      </c>
      <c r="L108" s="348">
        <v>0</v>
      </c>
      <c r="M108" s="348">
        <v>0</v>
      </c>
      <c r="N108" s="348">
        <v>0</v>
      </c>
      <c r="O108" s="348">
        <v>0</v>
      </c>
      <c r="P108" s="348">
        <v>0</v>
      </c>
      <c r="Q108" s="348">
        <v>0</v>
      </c>
      <c r="R108" s="348">
        <v>0</v>
      </c>
      <c r="S108" s="348">
        <v>0</v>
      </c>
      <c r="U108" s="1354">
        <v>21621000</v>
      </c>
    </row>
    <row r="109" spans="1:21" x14ac:dyDescent="0.2">
      <c r="A109" s="170"/>
      <c r="B109" s="170" t="s">
        <v>2803</v>
      </c>
      <c r="C109" s="170"/>
      <c r="D109" s="170"/>
      <c r="E109" s="170"/>
      <c r="H109" s="341"/>
      <c r="I109" s="341"/>
      <c r="J109" s="341"/>
      <c r="K109" s="341"/>
      <c r="L109" s="341"/>
      <c r="M109" s="341"/>
      <c r="N109" s="341"/>
      <c r="O109" s="341"/>
      <c r="P109" s="341"/>
      <c r="Q109" s="341"/>
      <c r="R109" s="341"/>
      <c r="S109" s="341"/>
      <c r="U109" s="1354"/>
    </row>
    <row r="110" spans="1:21" x14ac:dyDescent="0.2">
      <c r="A110" s="638">
        <v>1788</v>
      </c>
      <c r="B110" s="2894" t="s">
        <v>2804</v>
      </c>
      <c r="C110" s="2894"/>
      <c r="D110" s="2894"/>
      <c r="E110" s="2894"/>
      <c r="F110" s="562">
        <f>'310'!M39</f>
        <v>0</v>
      </c>
      <c r="G110" t="str">
        <f>IF(F110='310'!M39," ","Problem: Must agree to ws 310 ")</f>
        <v xml:space="preserve"> </v>
      </c>
      <c r="H110" s="1093">
        <v>0</v>
      </c>
      <c r="I110" s="1093">
        <v>0</v>
      </c>
      <c r="J110" s="1093">
        <v>0</v>
      </c>
      <c r="K110" s="1093">
        <v>0</v>
      </c>
      <c r="L110" s="1093">
        <v>0</v>
      </c>
      <c r="M110" s="1093">
        <v>0</v>
      </c>
      <c r="N110" s="1093">
        <v>0</v>
      </c>
      <c r="O110" s="1093">
        <v>0</v>
      </c>
      <c r="P110" s="1093">
        <v>0</v>
      </c>
      <c r="Q110" s="1093">
        <v>0</v>
      </c>
      <c r="R110" s="1093">
        <v>0</v>
      </c>
      <c r="S110" s="1093">
        <v>0</v>
      </c>
      <c r="T110" t="str">
        <f t="shared" ref="T110:T117" si="13">IF(SUM(H110:S110)=F110,"OK ","Problem: sum of amts keyed for each agency in col H through S must tie to total on combined worksheet")</f>
        <v xml:space="preserve">OK </v>
      </c>
      <c r="U110" s="1354"/>
    </row>
    <row r="111" spans="1:21" x14ac:dyDescent="0.2">
      <c r="A111" s="638">
        <v>1789</v>
      </c>
      <c r="B111" s="2894" t="s">
        <v>2805</v>
      </c>
      <c r="C111" s="2894"/>
      <c r="D111" s="2894"/>
      <c r="E111" s="2894"/>
      <c r="F111" s="562">
        <f>'310'!M40</f>
        <v>0</v>
      </c>
      <c r="G111" t="str">
        <f>IF(F111='310'!M40," ","Problem: Must agree to ws 310 ")</f>
        <v xml:space="preserve"> </v>
      </c>
      <c r="H111" s="1093">
        <v>0</v>
      </c>
      <c r="I111" s="1093">
        <v>0</v>
      </c>
      <c r="J111" s="1093">
        <v>0</v>
      </c>
      <c r="K111" s="1093">
        <v>0</v>
      </c>
      <c r="L111" s="1093">
        <v>0</v>
      </c>
      <c r="M111" s="1093">
        <v>0</v>
      </c>
      <c r="N111" s="1093">
        <v>0</v>
      </c>
      <c r="O111" s="1093">
        <v>0</v>
      </c>
      <c r="P111" s="1093">
        <v>0</v>
      </c>
      <c r="Q111" s="1093">
        <v>0</v>
      </c>
      <c r="R111" s="1093">
        <v>0</v>
      </c>
      <c r="S111" s="1093">
        <v>0</v>
      </c>
      <c r="T111" t="str">
        <f t="shared" si="13"/>
        <v xml:space="preserve">OK </v>
      </c>
      <c r="U111" s="1354"/>
    </row>
    <row r="112" spans="1:21" x14ac:dyDescent="0.2">
      <c r="A112" s="1190">
        <v>1790</v>
      </c>
      <c r="B112" s="2894" t="s">
        <v>2806</v>
      </c>
      <c r="C112" s="2894"/>
      <c r="D112" s="2894"/>
      <c r="E112" s="2894"/>
      <c r="F112" s="562">
        <f>'310'!M41</f>
        <v>0</v>
      </c>
      <c r="G112" t="str">
        <f>IF(F112='310'!M41," ","Problem: Must agree to ws 310 ")</f>
        <v xml:space="preserve"> </v>
      </c>
      <c r="H112" s="1093">
        <v>0</v>
      </c>
      <c r="I112" s="1093">
        <v>0</v>
      </c>
      <c r="J112" s="1093">
        <v>0</v>
      </c>
      <c r="K112" s="1093">
        <v>0</v>
      </c>
      <c r="L112" s="1093">
        <v>0</v>
      </c>
      <c r="M112" s="1093">
        <v>0</v>
      </c>
      <c r="N112" s="1093">
        <v>0</v>
      </c>
      <c r="O112" s="1093">
        <v>0</v>
      </c>
      <c r="P112" s="1093">
        <v>0</v>
      </c>
      <c r="Q112" s="1093">
        <v>0</v>
      </c>
      <c r="R112" s="1093">
        <v>0</v>
      </c>
      <c r="S112" s="1093">
        <v>0</v>
      </c>
      <c r="T112" t="str">
        <f t="shared" si="13"/>
        <v xml:space="preserve">OK </v>
      </c>
      <c r="U112" s="1354"/>
    </row>
    <row r="113" spans="1:21" x14ac:dyDescent="0.2">
      <c r="A113" s="1190">
        <v>1791</v>
      </c>
      <c r="B113" s="2894" t="s">
        <v>2807</v>
      </c>
      <c r="C113" s="2894"/>
      <c r="D113" s="2894"/>
      <c r="E113" s="2894"/>
      <c r="F113" s="562">
        <f>'310'!M42</f>
        <v>0</v>
      </c>
      <c r="G113" t="str">
        <f>IF(F113='310'!M42," ","Problem: Must agree to ws 310 ")</f>
        <v xml:space="preserve"> </v>
      </c>
      <c r="H113" s="1093">
        <v>0</v>
      </c>
      <c r="I113" s="1093">
        <v>0</v>
      </c>
      <c r="J113" s="1093">
        <v>0</v>
      </c>
      <c r="K113" s="1093">
        <v>0</v>
      </c>
      <c r="L113" s="1093">
        <v>0</v>
      </c>
      <c r="M113" s="1093">
        <v>0</v>
      </c>
      <c r="N113" s="1093">
        <v>0</v>
      </c>
      <c r="O113" s="1093">
        <v>0</v>
      </c>
      <c r="P113" s="1093">
        <v>0</v>
      </c>
      <c r="Q113" s="1093">
        <v>0</v>
      </c>
      <c r="R113" s="1093">
        <v>0</v>
      </c>
      <c r="S113" s="1093">
        <v>0</v>
      </c>
      <c r="T113" t="str">
        <f t="shared" si="13"/>
        <v xml:space="preserve">OK </v>
      </c>
      <c r="U113" s="1354"/>
    </row>
    <row r="114" spans="1:21" x14ac:dyDescent="0.2">
      <c r="A114" s="638">
        <v>1787</v>
      </c>
      <c r="B114" s="2894" t="s">
        <v>2808</v>
      </c>
      <c r="C114" s="2894"/>
      <c r="D114" s="2894"/>
      <c r="E114" s="2894"/>
      <c r="F114" s="562">
        <f>'310'!M43</f>
        <v>0</v>
      </c>
      <c r="G114" t="str">
        <f>IF(F114='310'!M43," ","Problem: Must agree to ws 310 ")</f>
        <v xml:space="preserve"> </v>
      </c>
      <c r="H114" s="1093">
        <v>0</v>
      </c>
      <c r="I114" s="1093">
        <v>0</v>
      </c>
      <c r="J114" s="1093">
        <v>0</v>
      </c>
      <c r="K114" s="1093">
        <v>0</v>
      </c>
      <c r="L114" s="1093">
        <v>0</v>
      </c>
      <c r="M114" s="1093">
        <v>0</v>
      </c>
      <c r="N114" s="1093">
        <v>0</v>
      </c>
      <c r="O114" s="1093">
        <v>0</v>
      </c>
      <c r="P114" s="1093">
        <v>0</v>
      </c>
      <c r="Q114" s="1093">
        <v>0</v>
      </c>
      <c r="R114" s="1093">
        <v>0</v>
      </c>
      <c r="S114" s="1093">
        <v>0</v>
      </c>
      <c r="T114" t="str">
        <f t="shared" si="13"/>
        <v xml:space="preserve">OK </v>
      </c>
      <c r="U114" s="1354"/>
    </row>
    <row r="115" spans="1:21" x14ac:dyDescent="0.2">
      <c r="A115" s="638">
        <v>1730</v>
      </c>
      <c r="B115" s="2890" t="s">
        <v>2809</v>
      </c>
      <c r="C115" s="2890"/>
      <c r="D115" s="2890"/>
      <c r="E115" s="2890"/>
      <c r="F115" s="562">
        <f>'530'!H32</f>
        <v>0</v>
      </c>
      <c r="G115" t="str">
        <f>IF(F115='530'!H32," ","Problem: Must agree to ws 530 Due to St of NC Comp Unit")</f>
        <v xml:space="preserve"> </v>
      </c>
      <c r="H115" s="1093">
        <v>0</v>
      </c>
      <c r="I115" s="1093">
        <v>0</v>
      </c>
      <c r="J115" s="1093">
        <v>0</v>
      </c>
      <c r="K115" s="1093">
        <v>0</v>
      </c>
      <c r="L115" s="1093">
        <v>0</v>
      </c>
      <c r="M115" s="1093">
        <v>0</v>
      </c>
      <c r="N115" s="1093">
        <v>0</v>
      </c>
      <c r="O115" s="1093">
        <v>0</v>
      </c>
      <c r="P115" s="1093">
        <v>0</v>
      </c>
      <c r="Q115" s="1093">
        <v>0</v>
      </c>
      <c r="R115" s="1093">
        <v>0</v>
      </c>
      <c r="S115" s="1093">
        <v>0</v>
      </c>
      <c r="T115" t="str">
        <f t="shared" si="13"/>
        <v xml:space="preserve">OK </v>
      </c>
      <c r="U115" s="1357">
        <v>21260000</v>
      </c>
    </row>
    <row r="116" spans="1:21" x14ac:dyDescent="0.2">
      <c r="A116" s="638">
        <v>1735</v>
      </c>
      <c r="B116" s="2890" t="s">
        <v>4671</v>
      </c>
      <c r="C116" s="2890"/>
      <c r="D116" s="2890"/>
      <c r="E116" s="2890"/>
      <c r="F116" s="562">
        <f>'616'!D47</f>
        <v>0</v>
      </c>
      <c r="G116" s="138"/>
      <c r="H116" s="1093">
        <v>0</v>
      </c>
      <c r="I116" s="1093">
        <v>0</v>
      </c>
      <c r="J116" s="1093">
        <v>0</v>
      </c>
      <c r="K116" s="1093">
        <v>0</v>
      </c>
      <c r="L116" s="1093">
        <v>0</v>
      </c>
      <c r="M116" s="1093">
        <v>0</v>
      </c>
      <c r="N116" s="1093">
        <v>0</v>
      </c>
      <c r="O116" s="1093">
        <v>0</v>
      </c>
      <c r="P116" s="1093">
        <v>0</v>
      </c>
      <c r="Q116" s="1093">
        <v>0</v>
      </c>
      <c r="R116" s="1093">
        <v>0</v>
      </c>
      <c r="S116" s="1093">
        <v>0</v>
      </c>
      <c r="T116" t="str">
        <f t="shared" si="13"/>
        <v xml:space="preserve">OK </v>
      </c>
      <c r="U116" s="1354">
        <v>21270000</v>
      </c>
    </row>
    <row r="117" spans="1:21" x14ac:dyDescent="0.2">
      <c r="A117" s="638">
        <v>1740</v>
      </c>
      <c r="B117" s="2890" t="s">
        <v>2811</v>
      </c>
      <c r="C117" s="2890"/>
      <c r="D117" s="2890"/>
      <c r="E117" s="2890"/>
      <c r="F117" s="562">
        <f>'520'!H32</f>
        <v>0</v>
      </c>
      <c r="G117" t="str">
        <f>IF(F117='520'!H32," ","Problem: Must agree to ws 520 Due to Primary Govt")</f>
        <v xml:space="preserve"> </v>
      </c>
      <c r="H117" s="1093">
        <v>0</v>
      </c>
      <c r="I117" s="1093">
        <v>0</v>
      </c>
      <c r="J117" s="1093">
        <v>0</v>
      </c>
      <c r="K117" s="1093">
        <v>0</v>
      </c>
      <c r="L117" s="1093">
        <v>0</v>
      </c>
      <c r="M117" s="1093">
        <v>0</v>
      </c>
      <c r="N117" s="1093">
        <v>0</v>
      </c>
      <c r="O117" s="1093">
        <v>0</v>
      </c>
      <c r="P117" s="1093">
        <v>0</v>
      </c>
      <c r="Q117" s="1093">
        <v>0</v>
      </c>
      <c r="R117" s="1093">
        <v>0</v>
      </c>
      <c r="S117" s="1093">
        <v>0</v>
      </c>
      <c r="T117" t="str">
        <f t="shared" si="13"/>
        <v xml:space="preserve">OK </v>
      </c>
      <c r="U117" s="1357">
        <v>21250000</v>
      </c>
    </row>
    <row r="118" spans="1:21" x14ac:dyDescent="0.2">
      <c r="A118" s="170">
        <v>1890</v>
      </c>
      <c r="B118" s="2890" t="s">
        <v>2812</v>
      </c>
      <c r="C118" s="2890"/>
      <c r="D118" s="2890"/>
      <c r="E118" s="2890"/>
      <c r="F118" s="341">
        <f t="shared" ref="F118:F123" si="14">SUM(H118:S118)</f>
        <v>0</v>
      </c>
      <c r="G118" s="357"/>
      <c r="H118" s="348">
        <v>0</v>
      </c>
      <c r="I118" s="348">
        <v>0</v>
      </c>
      <c r="J118" s="348">
        <v>0</v>
      </c>
      <c r="K118" s="348">
        <v>0</v>
      </c>
      <c r="L118" s="348">
        <v>0</v>
      </c>
      <c r="M118" s="348">
        <v>0</v>
      </c>
      <c r="N118" s="348">
        <v>0</v>
      </c>
      <c r="O118" s="348">
        <v>0</v>
      </c>
      <c r="P118" s="348">
        <v>0</v>
      </c>
      <c r="Q118" s="348">
        <v>0</v>
      </c>
      <c r="R118" s="348">
        <v>0</v>
      </c>
      <c r="S118" s="348">
        <v>0</v>
      </c>
      <c r="U118" s="1354">
        <v>21811000</v>
      </c>
    </row>
    <row r="119" spans="1:21" x14ac:dyDescent="0.2">
      <c r="A119" s="170">
        <v>1750</v>
      </c>
      <c r="B119" s="2890" t="s">
        <v>2813</v>
      </c>
      <c r="C119" s="2890"/>
      <c r="D119" s="2890"/>
      <c r="E119" s="2890"/>
      <c r="F119" s="341">
        <f t="shared" si="14"/>
        <v>0</v>
      </c>
      <c r="G119" s="357"/>
      <c r="H119" s="348">
        <v>0</v>
      </c>
      <c r="I119" s="348">
        <v>0</v>
      </c>
      <c r="J119" s="348">
        <v>0</v>
      </c>
      <c r="K119" s="348">
        <v>0</v>
      </c>
      <c r="L119" s="348">
        <v>0</v>
      </c>
      <c r="M119" s="348">
        <v>0</v>
      </c>
      <c r="N119" s="348">
        <v>0</v>
      </c>
      <c r="O119" s="348">
        <v>0</v>
      </c>
      <c r="P119" s="348">
        <v>0</v>
      </c>
      <c r="Q119" s="348">
        <v>0</v>
      </c>
      <c r="R119" s="348">
        <v>0</v>
      </c>
      <c r="S119" s="348">
        <v>0</v>
      </c>
      <c r="U119" s="1354">
        <v>21310000</v>
      </c>
    </row>
    <row r="120" spans="1:21" x14ac:dyDescent="0.2">
      <c r="A120" s="170">
        <v>1760</v>
      </c>
      <c r="B120" s="2890" t="s">
        <v>2814</v>
      </c>
      <c r="C120" s="2890"/>
      <c r="D120" s="2890"/>
      <c r="E120" s="2890"/>
      <c r="F120" s="341">
        <f t="shared" si="14"/>
        <v>0</v>
      </c>
      <c r="G120" s="1951"/>
      <c r="H120" s="348">
        <v>0</v>
      </c>
      <c r="I120" s="348">
        <v>0</v>
      </c>
      <c r="J120" s="348">
        <v>0</v>
      </c>
      <c r="K120" s="348">
        <v>0</v>
      </c>
      <c r="L120" s="348">
        <v>0</v>
      </c>
      <c r="M120" s="348">
        <v>0</v>
      </c>
      <c r="N120" s="348">
        <v>0</v>
      </c>
      <c r="O120" s="348">
        <v>0</v>
      </c>
      <c r="P120" s="348">
        <v>0</v>
      </c>
      <c r="Q120" s="348">
        <v>0</v>
      </c>
      <c r="R120" s="348">
        <v>0</v>
      </c>
      <c r="S120" s="348">
        <v>0</v>
      </c>
      <c r="U120" s="1354">
        <v>21315000</v>
      </c>
    </row>
    <row r="121" spans="1:21" x14ac:dyDescent="0.2">
      <c r="A121" s="170">
        <v>1870</v>
      </c>
      <c r="B121" s="2890" t="s">
        <v>2815</v>
      </c>
      <c r="C121" s="2890"/>
      <c r="D121" s="2890"/>
      <c r="E121" s="2890"/>
      <c r="F121" s="341">
        <f t="shared" si="14"/>
        <v>0</v>
      </c>
      <c r="G121" s="357"/>
      <c r="H121" s="348">
        <v>0</v>
      </c>
      <c r="I121" s="348">
        <v>0</v>
      </c>
      <c r="J121" s="348">
        <v>0</v>
      </c>
      <c r="K121" s="348">
        <v>0</v>
      </c>
      <c r="L121" s="348">
        <v>0</v>
      </c>
      <c r="M121" s="348">
        <v>0</v>
      </c>
      <c r="N121" s="348">
        <v>0</v>
      </c>
      <c r="O121" s="348">
        <v>0</v>
      </c>
      <c r="P121" s="348">
        <v>0</v>
      </c>
      <c r="Q121" s="348">
        <v>0</v>
      </c>
      <c r="R121" s="348">
        <v>0</v>
      </c>
      <c r="S121" s="348">
        <v>0</v>
      </c>
      <c r="U121" s="1354">
        <v>21712000</v>
      </c>
    </row>
    <row r="122" spans="1:21" x14ac:dyDescent="0.2">
      <c r="A122" s="170">
        <v>1880</v>
      </c>
      <c r="B122" s="2890" t="s">
        <v>2816</v>
      </c>
      <c r="C122" s="2890"/>
      <c r="D122" s="2890"/>
      <c r="E122" s="2890"/>
      <c r="F122" s="341">
        <f t="shared" si="14"/>
        <v>0</v>
      </c>
      <c r="G122" s="369"/>
      <c r="H122" s="348">
        <v>0</v>
      </c>
      <c r="I122" s="348">
        <v>0</v>
      </c>
      <c r="J122" s="348">
        <v>0</v>
      </c>
      <c r="K122" s="348">
        <v>0</v>
      </c>
      <c r="L122" s="348">
        <v>0</v>
      </c>
      <c r="M122" s="348">
        <v>0</v>
      </c>
      <c r="N122" s="348">
        <v>0</v>
      </c>
      <c r="O122" s="348">
        <v>0</v>
      </c>
      <c r="P122" s="348">
        <v>0</v>
      </c>
      <c r="Q122" s="348">
        <v>0</v>
      </c>
      <c r="R122" s="348">
        <v>0</v>
      </c>
      <c r="S122" s="348">
        <v>0</v>
      </c>
      <c r="U122" s="1354">
        <v>21719000</v>
      </c>
    </row>
    <row r="123" spans="1:21" x14ac:dyDescent="0.2">
      <c r="A123" s="170">
        <v>1762</v>
      </c>
      <c r="B123" s="2890" t="s">
        <v>2817</v>
      </c>
      <c r="C123" s="2890"/>
      <c r="D123" s="2890"/>
      <c r="E123" s="2890"/>
      <c r="F123" s="341">
        <f t="shared" si="14"/>
        <v>0</v>
      </c>
      <c r="G123" s="357"/>
      <c r="H123" s="348">
        <v>0</v>
      </c>
      <c r="I123" s="348">
        <v>0</v>
      </c>
      <c r="J123" s="348">
        <v>0</v>
      </c>
      <c r="K123" s="348">
        <v>0</v>
      </c>
      <c r="L123" s="348">
        <v>0</v>
      </c>
      <c r="M123" s="348">
        <v>0</v>
      </c>
      <c r="N123" s="348">
        <v>0</v>
      </c>
      <c r="O123" s="348">
        <v>0</v>
      </c>
      <c r="P123" s="348">
        <v>0</v>
      </c>
      <c r="Q123" s="348">
        <v>0</v>
      </c>
      <c r="R123" s="348">
        <v>0</v>
      </c>
      <c r="S123" s="348">
        <v>0</v>
      </c>
      <c r="U123" s="1354">
        <v>21920000</v>
      </c>
    </row>
    <row r="124" spans="1:21" x14ac:dyDescent="0.2">
      <c r="A124" s="638">
        <v>1775</v>
      </c>
      <c r="B124" s="2890" t="s">
        <v>2818</v>
      </c>
      <c r="C124" s="2890"/>
      <c r="D124" s="2890"/>
      <c r="E124" s="2890"/>
      <c r="F124" s="562">
        <f>'310'!O26</f>
        <v>0</v>
      </c>
      <c r="G124" t="str">
        <f>IF(F124='310'!O26," ","Problem: Must agree to ws 310 Direct borrowings Due within one year")</f>
        <v xml:space="preserve"> </v>
      </c>
      <c r="H124" s="1093">
        <v>0</v>
      </c>
      <c r="I124" s="1093">
        <v>0</v>
      </c>
      <c r="J124" s="1093">
        <v>0</v>
      </c>
      <c r="K124" s="1093">
        <v>0</v>
      </c>
      <c r="L124" s="1093">
        <v>0</v>
      </c>
      <c r="M124" s="1093">
        <v>0</v>
      </c>
      <c r="N124" s="1093">
        <v>0</v>
      </c>
      <c r="O124" s="1093">
        <v>0</v>
      </c>
      <c r="P124" s="1093">
        <v>0</v>
      </c>
      <c r="Q124" s="1093">
        <v>0</v>
      </c>
      <c r="R124" s="1093">
        <v>0</v>
      </c>
      <c r="S124" s="1093">
        <v>0</v>
      </c>
      <c r="T124" t="str">
        <f t="shared" ref="T124:T138" si="15">IF(SUM(H124:S124)=F124,"OK ","Problem: sum of amts keyed for each agency in col H through S must tie to total on combined worksheet")</f>
        <v xml:space="preserve">OK </v>
      </c>
      <c r="U124" s="1354"/>
    </row>
    <row r="125" spans="1:21" x14ac:dyDescent="0.2">
      <c r="A125" s="638">
        <v>1780</v>
      </c>
      <c r="B125" s="2890" t="s">
        <v>2819</v>
      </c>
      <c r="C125" s="2890"/>
      <c r="D125" s="2890"/>
      <c r="E125" s="2890"/>
      <c r="F125" s="562">
        <f>'310'!O27</f>
        <v>0</v>
      </c>
      <c r="G125" t="str">
        <f>IF(F125='310'!O27," ","Problem: Must agree to ws 310 Capital leases payable Due within one year")</f>
        <v xml:space="preserve"> </v>
      </c>
      <c r="H125" s="1093">
        <v>0</v>
      </c>
      <c r="I125" s="1093">
        <v>0</v>
      </c>
      <c r="J125" s="1093">
        <v>0</v>
      </c>
      <c r="K125" s="1093">
        <v>0</v>
      </c>
      <c r="L125" s="1093">
        <v>0</v>
      </c>
      <c r="M125" s="1093">
        <v>0</v>
      </c>
      <c r="N125" s="1093">
        <v>0</v>
      </c>
      <c r="O125" s="1093">
        <v>0</v>
      </c>
      <c r="P125" s="1093">
        <v>0</v>
      </c>
      <c r="Q125" s="1093">
        <v>0</v>
      </c>
      <c r="R125" s="1093">
        <v>0</v>
      </c>
      <c r="S125" s="1093">
        <v>0</v>
      </c>
      <c r="T125" t="str">
        <f t="shared" si="15"/>
        <v xml:space="preserve">OK </v>
      </c>
      <c r="U125" s="1354"/>
    </row>
    <row r="126" spans="1:21" x14ac:dyDescent="0.2">
      <c r="A126" s="638">
        <v>1785</v>
      </c>
      <c r="B126" s="3069" t="s">
        <v>2820</v>
      </c>
      <c r="C126" s="3069"/>
      <c r="D126" s="3069"/>
      <c r="E126" s="3069"/>
      <c r="F126" s="562">
        <f>'310'!O28</f>
        <v>0</v>
      </c>
      <c r="H126" s="1093">
        <v>0</v>
      </c>
      <c r="I126" s="1093">
        <v>0</v>
      </c>
      <c r="J126" s="1093">
        <v>0</v>
      </c>
      <c r="K126" s="1093">
        <v>0</v>
      </c>
      <c r="L126" s="1093">
        <v>0</v>
      </c>
      <c r="M126" s="1093">
        <v>0</v>
      </c>
      <c r="N126" s="1093">
        <v>0</v>
      </c>
      <c r="O126" s="1093">
        <v>0</v>
      </c>
      <c r="P126" s="1093">
        <v>0</v>
      </c>
      <c r="Q126" s="1093">
        <v>0</v>
      </c>
      <c r="R126" s="1093">
        <v>0</v>
      </c>
      <c r="S126" s="1093">
        <v>0</v>
      </c>
      <c r="T126" t="str">
        <f t="shared" si="15"/>
        <v xml:space="preserve">OK </v>
      </c>
      <c r="U126" s="1354"/>
    </row>
    <row r="127" spans="1:21" x14ac:dyDescent="0.2">
      <c r="A127" s="1867">
        <v>1786</v>
      </c>
      <c r="B127" s="3072" t="s">
        <v>2821</v>
      </c>
      <c r="C127" s="3072"/>
      <c r="D127" s="3072"/>
      <c r="E127" s="3072"/>
      <c r="F127" s="562">
        <f>'310'!O29</f>
        <v>0</v>
      </c>
      <c r="H127" s="1093">
        <v>0</v>
      </c>
      <c r="I127" s="1093">
        <v>0</v>
      </c>
      <c r="J127" s="1093">
        <v>0</v>
      </c>
      <c r="K127" s="1093">
        <v>0</v>
      </c>
      <c r="L127" s="1093">
        <v>0</v>
      </c>
      <c r="M127" s="1093">
        <v>0</v>
      </c>
      <c r="N127" s="1093">
        <v>0</v>
      </c>
      <c r="O127" s="1093">
        <v>0</v>
      </c>
      <c r="P127" s="1093">
        <v>0</v>
      </c>
      <c r="Q127" s="1093">
        <v>0</v>
      </c>
      <c r="R127" s="1093">
        <v>0</v>
      </c>
      <c r="S127" s="1093">
        <v>0</v>
      </c>
      <c r="T127" t="str">
        <f t="shared" si="15"/>
        <v xml:space="preserve">OK </v>
      </c>
      <c r="U127" s="1354"/>
    </row>
    <row r="128" spans="1:21" x14ac:dyDescent="0.2">
      <c r="A128" s="638">
        <v>1800</v>
      </c>
      <c r="B128" s="2890" t="s">
        <v>2823</v>
      </c>
      <c r="C128" s="2890"/>
      <c r="D128" s="2890"/>
      <c r="E128" s="2890"/>
      <c r="F128" s="562">
        <f>SUM('310'!O17+'310'!O18+'310'!O19+'310'!O20+'310'!O21)</f>
        <v>0</v>
      </c>
      <c r="G128" t="str">
        <f>IF(F128='310'!O17+'310'!O18+'310'!O19+'310'!O20+'310'!O21," ","Problem: Must agree to ws 310 Sum of Bonds &amp; COPS payable Due within one year")</f>
        <v xml:space="preserve"> </v>
      </c>
      <c r="H128" s="1093">
        <v>0</v>
      </c>
      <c r="I128" s="1093">
        <v>0</v>
      </c>
      <c r="J128" s="1093">
        <v>0</v>
      </c>
      <c r="K128" s="1093">
        <v>0</v>
      </c>
      <c r="L128" s="1093">
        <v>0</v>
      </c>
      <c r="M128" s="1093">
        <v>0</v>
      </c>
      <c r="N128" s="1093">
        <v>0</v>
      </c>
      <c r="O128" s="1093">
        <v>0</v>
      </c>
      <c r="P128" s="1093">
        <v>0</v>
      </c>
      <c r="Q128" s="1093">
        <v>0</v>
      </c>
      <c r="R128" s="1093">
        <v>0</v>
      </c>
      <c r="S128" s="1093">
        <v>0</v>
      </c>
      <c r="T128" t="str">
        <f t="shared" si="15"/>
        <v xml:space="preserve">OK </v>
      </c>
      <c r="U128" s="1354"/>
    </row>
    <row r="129" spans="1:21" x14ac:dyDescent="0.2">
      <c r="A129" s="638">
        <v>1850</v>
      </c>
      <c r="B129" s="2890" t="s">
        <v>2824</v>
      </c>
      <c r="C129" s="2890"/>
      <c r="D129" s="2890"/>
      <c r="E129" s="2890"/>
      <c r="F129" s="562">
        <f>'310'!O24</f>
        <v>0</v>
      </c>
      <c r="G129" t="str">
        <f>IF(F129='310'!O24," ","Problem: Must agree to ws 310 Arbitrage rebate payable Due within one year")</f>
        <v xml:space="preserve"> </v>
      </c>
      <c r="H129" s="1093">
        <v>0</v>
      </c>
      <c r="I129" s="1093">
        <v>0</v>
      </c>
      <c r="J129" s="1093">
        <v>0</v>
      </c>
      <c r="K129" s="1093">
        <v>0</v>
      </c>
      <c r="L129" s="1093">
        <v>0</v>
      </c>
      <c r="M129" s="1093">
        <v>0</v>
      </c>
      <c r="N129" s="1093">
        <v>0</v>
      </c>
      <c r="O129" s="1093">
        <v>0</v>
      </c>
      <c r="P129" s="1093">
        <v>0</v>
      </c>
      <c r="Q129" s="1093">
        <v>0</v>
      </c>
      <c r="R129" s="1093">
        <v>0</v>
      </c>
      <c r="S129" s="1093">
        <v>0</v>
      </c>
      <c r="T129" t="str">
        <f t="shared" si="15"/>
        <v xml:space="preserve">OK </v>
      </c>
      <c r="U129" s="1354"/>
    </row>
    <row r="130" spans="1:21" x14ac:dyDescent="0.2">
      <c r="A130" s="638">
        <v>1851</v>
      </c>
      <c r="B130" s="2890" t="s">
        <v>2825</v>
      </c>
      <c r="C130" s="2890"/>
      <c r="D130" s="2890"/>
      <c r="E130" s="2890"/>
      <c r="F130" s="562">
        <f>'310'!O25</f>
        <v>0</v>
      </c>
      <c r="G130" t="str">
        <f>IF(F130='310'!O25," ","Problem: Must agree to ws 310 Workers Comp payable Due within one year")</f>
        <v xml:space="preserve"> </v>
      </c>
      <c r="H130" s="1093">
        <v>0</v>
      </c>
      <c r="I130" s="1093">
        <v>0</v>
      </c>
      <c r="J130" s="1093">
        <v>0</v>
      </c>
      <c r="K130" s="1093">
        <v>0</v>
      </c>
      <c r="L130" s="1093">
        <v>0</v>
      </c>
      <c r="M130" s="1093">
        <v>0</v>
      </c>
      <c r="N130" s="1093">
        <v>0</v>
      </c>
      <c r="O130" s="1093">
        <v>0</v>
      </c>
      <c r="P130" s="1093">
        <v>0</v>
      </c>
      <c r="Q130" s="1093">
        <v>0</v>
      </c>
      <c r="R130" s="1093">
        <v>0</v>
      </c>
      <c r="S130" s="1093">
        <v>0</v>
      </c>
      <c r="T130" t="str">
        <f>IF(SUM(H130:S130)=F130,"OK ","Problem: sum of amts keyed for each agency in col H through S must tie to total on combined worksheet")</f>
        <v xml:space="preserve">OK </v>
      </c>
      <c r="U130" s="1354"/>
    </row>
    <row r="131" spans="1:21" x14ac:dyDescent="0.2">
      <c r="A131" s="638">
        <v>1852</v>
      </c>
      <c r="B131" s="2890" t="s">
        <v>2826</v>
      </c>
      <c r="C131" s="2890"/>
      <c r="D131" s="2890"/>
      <c r="E131" s="2890"/>
      <c r="F131" s="562">
        <f>'310'!O30</f>
        <v>0</v>
      </c>
      <c r="G131" t="str">
        <f>IF(F131='310'!O30," ","Problem: Must agree to ws 310 Annuity and life income payable Due within one year")</f>
        <v xml:space="preserve"> </v>
      </c>
      <c r="H131" s="1093">
        <v>0</v>
      </c>
      <c r="I131" s="1093">
        <v>0</v>
      </c>
      <c r="J131" s="1093">
        <v>0</v>
      </c>
      <c r="K131" s="1093">
        <v>0</v>
      </c>
      <c r="L131" s="1093">
        <v>0</v>
      </c>
      <c r="M131" s="1093">
        <v>0</v>
      </c>
      <c r="N131" s="1093">
        <v>0</v>
      </c>
      <c r="O131" s="1093">
        <v>0</v>
      </c>
      <c r="P131" s="1093">
        <v>0</v>
      </c>
      <c r="Q131" s="1093">
        <v>0</v>
      </c>
      <c r="R131" s="1093">
        <v>0</v>
      </c>
      <c r="S131" s="1093">
        <v>0</v>
      </c>
      <c r="T131" t="str">
        <f t="shared" si="15"/>
        <v xml:space="preserve">OK </v>
      </c>
      <c r="U131" s="1354"/>
    </row>
    <row r="132" spans="1:21" x14ac:dyDescent="0.2">
      <c r="A132" s="638">
        <v>1855</v>
      </c>
      <c r="B132" s="2890" t="s">
        <v>2827</v>
      </c>
      <c r="C132" s="2890"/>
      <c r="D132" s="2890"/>
      <c r="E132" s="2890"/>
      <c r="F132" s="562">
        <f>'310'!O32</f>
        <v>0</v>
      </c>
      <c r="G132" t="str">
        <f>IF(F132='310'!O32," ","Problem: Must agree to ws 310 Pollution remediation payable Due within one year")</f>
        <v xml:space="preserve"> </v>
      </c>
      <c r="H132" s="1093">
        <v>0</v>
      </c>
      <c r="I132" s="1093">
        <v>0</v>
      </c>
      <c r="J132" s="1093">
        <v>0</v>
      </c>
      <c r="K132" s="1093">
        <v>0</v>
      </c>
      <c r="L132" s="1093">
        <v>0</v>
      </c>
      <c r="M132" s="1093">
        <v>0</v>
      </c>
      <c r="N132" s="1093">
        <v>0</v>
      </c>
      <c r="O132" s="1093">
        <v>0</v>
      </c>
      <c r="P132" s="1093">
        <v>0</v>
      </c>
      <c r="Q132" s="1093">
        <v>0</v>
      </c>
      <c r="R132" s="1093">
        <v>0</v>
      </c>
      <c r="S132" s="1093">
        <v>0</v>
      </c>
      <c r="T132" t="str">
        <f t="shared" si="15"/>
        <v xml:space="preserve">OK </v>
      </c>
      <c r="U132" s="1354"/>
    </row>
    <row r="133" spans="1:21" x14ac:dyDescent="0.2">
      <c r="A133" s="638">
        <v>1857</v>
      </c>
      <c r="B133" s="2890" t="s">
        <v>4672</v>
      </c>
      <c r="C133" s="2890"/>
      <c r="D133" s="2890"/>
      <c r="E133" s="2890"/>
      <c r="F133" s="562">
        <f>'310'!O33</f>
        <v>0</v>
      </c>
      <c r="G133" t="str">
        <f>IF(F133='310'!O33," ","Problem: Must agree to ws 310 Pollution remediation payable Due within one year")</f>
        <v xml:space="preserve"> </v>
      </c>
      <c r="H133" s="1093">
        <v>0</v>
      </c>
      <c r="I133" s="1093">
        <v>0</v>
      </c>
      <c r="J133" s="1093">
        <v>0</v>
      </c>
      <c r="K133" s="1093">
        <v>0</v>
      </c>
      <c r="L133" s="1093">
        <v>0</v>
      </c>
      <c r="M133" s="1093">
        <v>0</v>
      </c>
      <c r="N133" s="1093">
        <v>0</v>
      </c>
      <c r="O133" s="1093">
        <v>0</v>
      </c>
      <c r="P133" s="1093">
        <v>0</v>
      </c>
      <c r="Q133" s="1093">
        <v>0</v>
      </c>
      <c r="R133" s="1093">
        <v>0</v>
      </c>
      <c r="S133" s="1093">
        <v>0</v>
      </c>
      <c r="T133" t="str">
        <f>IF(SUM(H133:S133)=F133,"OK ","Problem: sum of amts keyed for each agency in col H through S must tie to total on combined worksheet")</f>
        <v xml:space="preserve">OK </v>
      </c>
      <c r="U133" s="1354"/>
    </row>
    <row r="134" spans="1:21" x14ac:dyDescent="0.2">
      <c r="A134" s="638">
        <v>1860</v>
      </c>
      <c r="B134" s="2890" t="s">
        <v>2829</v>
      </c>
      <c r="C134" s="2890"/>
      <c r="D134" s="2890"/>
      <c r="E134" s="2890"/>
      <c r="F134" s="562">
        <f>'310'!O34</f>
        <v>0</v>
      </c>
      <c r="G134" t="str">
        <f>IF(F134='310'!O34," ","Problem: Must agree to ws 310 Compensated absences Due within one year")</f>
        <v xml:space="preserve"> </v>
      </c>
      <c r="H134" s="1093">
        <v>0</v>
      </c>
      <c r="I134" s="1093">
        <v>0</v>
      </c>
      <c r="J134" s="1093">
        <v>0</v>
      </c>
      <c r="K134" s="1093">
        <v>0</v>
      </c>
      <c r="L134" s="1093">
        <v>0</v>
      </c>
      <c r="M134" s="1093">
        <v>0</v>
      </c>
      <c r="N134" s="1093">
        <v>0</v>
      </c>
      <c r="O134" s="1093">
        <v>0</v>
      </c>
      <c r="P134" s="1093">
        <v>0</v>
      </c>
      <c r="Q134" s="1093">
        <v>0</v>
      </c>
      <c r="R134" s="1093">
        <v>0</v>
      </c>
      <c r="S134" s="1093">
        <v>0</v>
      </c>
      <c r="T134" t="str">
        <f t="shared" si="15"/>
        <v xml:space="preserve">OK </v>
      </c>
      <c r="U134" s="1354"/>
    </row>
    <row r="135" spans="1:21" x14ac:dyDescent="0.2">
      <c r="A135" s="638">
        <v>1868</v>
      </c>
      <c r="B135" s="2890" t="s">
        <v>2830</v>
      </c>
      <c r="C135" s="2890"/>
      <c r="D135" s="2890"/>
      <c r="E135" s="2890"/>
      <c r="F135" s="562">
        <f>'310'!O35</f>
        <v>0</v>
      </c>
      <c r="G135" t="str">
        <f>IF(F135='310'!O35," ","Problem: Must agree to ws 310 Net Pension Liability Due within one year")</f>
        <v xml:space="preserve"> </v>
      </c>
      <c r="H135" s="1093">
        <v>0</v>
      </c>
      <c r="I135" s="1093">
        <v>0</v>
      </c>
      <c r="J135" s="1093">
        <v>0</v>
      </c>
      <c r="K135" s="1093">
        <v>0</v>
      </c>
      <c r="L135" s="1093">
        <v>0</v>
      </c>
      <c r="M135" s="1093">
        <v>0</v>
      </c>
      <c r="N135" s="1093">
        <v>0</v>
      </c>
      <c r="O135" s="1093">
        <v>0</v>
      </c>
      <c r="P135" s="1093">
        <v>0</v>
      </c>
      <c r="Q135" s="1093">
        <v>0</v>
      </c>
      <c r="R135" s="1093">
        <v>0</v>
      </c>
      <c r="S135" s="1093">
        <v>0</v>
      </c>
      <c r="T135" t="str">
        <f>IF(SUM(H135:S135)=F135,"OK ","Problem: sum of amts keyed for each agency in col H through S must tie to total on combined worksheet")</f>
        <v xml:space="preserve">OK </v>
      </c>
      <c r="U135" s="1354"/>
    </row>
    <row r="136" spans="1:21" x14ac:dyDescent="0.2">
      <c r="A136" s="638">
        <v>1869</v>
      </c>
      <c r="B136" s="2890" t="s">
        <v>2831</v>
      </c>
      <c r="C136" s="2890"/>
      <c r="D136" s="2890"/>
      <c r="E136" s="2890"/>
      <c r="F136" s="562">
        <f>'310'!O36</f>
        <v>0</v>
      </c>
      <c r="G136" t="str">
        <f>IF(F136='310'!O35," ","Problem: Must agree to ws 310 Net OPEB Liability, due within one yr")</f>
        <v xml:space="preserve"> </v>
      </c>
      <c r="H136" s="1093">
        <v>0</v>
      </c>
      <c r="I136" s="1093">
        <v>0</v>
      </c>
      <c r="J136" s="1093">
        <v>0</v>
      </c>
      <c r="K136" s="1093">
        <v>0</v>
      </c>
      <c r="L136" s="1093">
        <v>0</v>
      </c>
      <c r="M136" s="1093">
        <v>0</v>
      </c>
      <c r="N136" s="1093">
        <v>0</v>
      </c>
      <c r="O136" s="1093">
        <v>0</v>
      </c>
      <c r="P136" s="1093">
        <v>0</v>
      </c>
      <c r="Q136" s="1093">
        <v>0</v>
      </c>
      <c r="R136" s="1093">
        <v>0</v>
      </c>
      <c r="S136" s="1093">
        <v>0</v>
      </c>
      <c r="T136" t="str">
        <f>IF(SUM(H136:S136)=F136,"OK ","Problem: sum of amts keyed for each agency in col H through S must tie to total on combined worksheet")</f>
        <v xml:space="preserve">OK </v>
      </c>
      <c r="U136" s="1354"/>
    </row>
    <row r="137" spans="1:21" x14ac:dyDescent="0.2">
      <c r="A137" s="638">
        <v>1865</v>
      </c>
      <c r="B137" s="2890" t="s">
        <v>2832</v>
      </c>
      <c r="C137" s="2890"/>
      <c r="D137" s="2890"/>
      <c r="E137" s="2890"/>
      <c r="F137" s="562">
        <f>'310'!O37</f>
        <v>0</v>
      </c>
      <c r="G137" t="str">
        <f>IF(F137='310'!O37," ","Problem: Must agree to ws 310 Liab Insurance Trust Fund Payable, due within one yr")</f>
        <v xml:space="preserve"> </v>
      </c>
      <c r="H137" s="1093">
        <v>0</v>
      </c>
      <c r="I137" s="1093">
        <v>0</v>
      </c>
      <c r="J137" s="1093">
        <v>0</v>
      </c>
      <c r="K137" s="1093">
        <v>0</v>
      </c>
      <c r="L137" s="1093">
        <v>0</v>
      </c>
      <c r="M137" s="1093">
        <v>0</v>
      </c>
      <c r="N137" s="1093">
        <v>0</v>
      </c>
      <c r="O137" s="1093">
        <v>0</v>
      </c>
      <c r="P137" s="1093">
        <v>0</v>
      </c>
      <c r="Q137" s="1093">
        <v>0</v>
      </c>
      <c r="R137" s="1093">
        <v>0</v>
      </c>
      <c r="S137" s="1093">
        <v>0</v>
      </c>
      <c r="T137" t="str">
        <f t="shared" si="15"/>
        <v xml:space="preserve">OK </v>
      </c>
      <c r="U137" s="1354"/>
    </row>
    <row r="138" spans="1:21" x14ac:dyDescent="0.2">
      <c r="A138" s="638">
        <v>1866</v>
      </c>
      <c r="B138" s="2890" t="s">
        <v>2833</v>
      </c>
      <c r="C138" s="2890"/>
      <c r="D138" s="2890"/>
      <c r="E138" s="2890"/>
      <c r="F138" s="562">
        <f>'310'!O38</f>
        <v>0</v>
      </c>
      <c r="G138" t="str">
        <f>IF(F138='310'!O38," ","Problem: Must agree to ws 310 Other LT liabilities Due within one year")</f>
        <v xml:space="preserve"> </v>
      </c>
      <c r="H138" s="1093">
        <v>0</v>
      </c>
      <c r="I138" s="1093">
        <v>0</v>
      </c>
      <c r="J138" s="1093">
        <v>0</v>
      </c>
      <c r="K138" s="1093">
        <v>0</v>
      </c>
      <c r="L138" s="1093">
        <v>0</v>
      </c>
      <c r="M138" s="1093">
        <v>0</v>
      </c>
      <c r="N138" s="1093">
        <v>0</v>
      </c>
      <c r="O138" s="1093">
        <v>0</v>
      </c>
      <c r="P138" s="1093">
        <v>0</v>
      </c>
      <c r="Q138" s="1093">
        <v>0</v>
      </c>
      <c r="R138" s="1093">
        <v>0</v>
      </c>
      <c r="S138" s="1093">
        <v>0</v>
      </c>
      <c r="T138" t="str">
        <f t="shared" si="15"/>
        <v xml:space="preserve">OK </v>
      </c>
      <c r="U138" s="1354"/>
    </row>
    <row r="139" spans="1:21" x14ac:dyDescent="0.2">
      <c r="B139" s="3067" t="s">
        <v>2834</v>
      </c>
      <c r="C139" s="3067"/>
      <c r="D139" s="3067"/>
      <c r="E139" s="3067"/>
      <c r="F139" s="350">
        <f>SUM(F104:F138)</f>
        <v>0</v>
      </c>
      <c r="H139" s="350">
        <f t="shared" ref="H139:S139" si="16">SUM(H104:H138)</f>
        <v>0</v>
      </c>
      <c r="I139" s="350">
        <f t="shared" si="16"/>
        <v>0</v>
      </c>
      <c r="J139" s="350">
        <f t="shared" si="16"/>
        <v>0</v>
      </c>
      <c r="K139" s="350">
        <f t="shared" si="16"/>
        <v>0</v>
      </c>
      <c r="L139" s="350">
        <f t="shared" si="16"/>
        <v>0</v>
      </c>
      <c r="M139" s="350">
        <f t="shared" si="16"/>
        <v>0</v>
      </c>
      <c r="N139" s="350">
        <f t="shared" si="16"/>
        <v>0</v>
      </c>
      <c r="O139" s="350">
        <f t="shared" si="16"/>
        <v>0</v>
      </c>
      <c r="P139" s="350">
        <f t="shared" si="16"/>
        <v>0</v>
      </c>
      <c r="Q139" s="350">
        <f t="shared" si="16"/>
        <v>0</v>
      </c>
      <c r="R139" s="350">
        <f t="shared" si="16"/>
        <v>0</v>
      </c>
      <c r="S139" s="350">
        <f t="shared" si="16"/>
        <v>0</v>
      </c>
      <c r="T139" t="str">
        <f>IF(SUM(H139:S139)=F139,"OK ","Crossfoot error: sum of Col H thru S must equal total in Col F")</f>
        <v xml:space="preserve">OK </v>
      </c>
      <c r="U139" s="1354"/>
    </row>
    <row r="140" spans="1:21" x14ac:dyDescent="0.2">
      <c r="U140" s="1354"/>
    </row>
    <row r="141" spans="1:21" x14ac:dyDescent="0.2">
      <c r="B141" s="213" t="s">
        <v>1991</v>
      </c>
      <c r="U141" s="1354"/>
    </row>
    <row r="142" spans="1:21" x14ac:dyDescent="0.2">
      <c r="A142" s="170"/>
      <c r="B142" s="170" t="s">
        <v>2797</v>
      </c>
      <c r="C142" s="170"/>
      <c r="U142" s="1354"/>
    </row>
    <row r="143" spans="1:21" x14ac:dyDescent="0.2">
      <c r="A143" s="170">
        <v>1940</v>
      </c>
      <c r="B143" s="2894" t="s">
        <v>2835</v>
      </c>
      <c r="C143" s="2894"/>
      <c r="D143" s="2894"/>
      <c r="E143" s="2894"/>
      <c r="F143" s="341">
        <f>SUM(H143:S143)</f>
        <v>0</v>
      </c>
      <c r="G143" s="2398"/>
      <c r="H143" s="348">
        <v>0</v>
      </c>
      <c r="I143" s="348">
        <v>0</v>
      </c>
      <c r="J143" s="348">
        <v>0</v>
      </c>
      <c r="K143" s="348">
        <v>0</v>
      </c>
      <c r="L143" s="348">
        <v>0</v>
      </c>
      <c r="M143" s="348">
        <v>0</v>
      </c>
      <c r="N143" s="348">
        <v>0</v>
      </c>
      <c r="O143" s="348">
        <v>0</v>
      </c>
      <c r="P143" s="348">
        <v>0</v>
      </c>
      <c r="Q143" s="348">
        <v>0</v>
      </c>
      <c r="R143" s="348">
        <v>0</v>
      </c>
      <c r="S143" s="348">
        <v>0</v>
      </c>
      <c r="U143" s="1297">
        <v>22110000</v>
      </c>
    </row>
    <row r="144" spans="1:21" x14ac:dyDescent="0.2">
      <c r="A144" s="170">
        <v>1950</v>
      </c>
      <c r="B144" s="2894" t="s">
        <v>2800</v>
      </c>
      <c r="C144" s="2894"/>
      <c r="D144" s="2894"/>
      <c r="E144" s="2894"/>
      <c r="F144" s="341">
        <f>SUM(H144:S144)</f>
        <v>0</v>
      </c>
      <c r="G144" s="357"/>
      <c r="H144" s="348">
        <v>0</v>
      </c>
      <c r="I144" s="348">
        <v>0</v>
      </c>
      <c r="J144" s="348">
        <v>0</v>
      </c>
      <c r="K144" s="348">
        <v>0</v>
      </c>
      <c r="L144" s="348">
        <v>0</v>
      </c>
      <c r="M144" s="348">
        <v>0</v>
      </c>
      <c r="N144" s="348">
        <v>0</v>
      </c>
      <c r="O144" s="348">
        <v>0</v>
      </c>
      <c r="P144" s="348">
        <v>0</v>
      </c>
      <c r="Q144" s="348">
        <v>0</v>
      </c>
      <c r="R144" s="348">
        <v>0</v>
      </c>
      <c r="S144" s="348">
        <v>0</v>
      </c>
      <c r="U144" s="1297">
        <v>22132000</v>
      </c>
    </row>
    <row r="145" spans="1:21" x14ac:dyDescent="0.2">
      <c r="A145" s="170">
        <v>1960</v>
      </c>
      <c r="B145" s="2894" t="s">
        <v>2801</v>
      </c>
      <c r="C145" s="2894"/>
      <c r="D145" s="2894"/>
      <c r="E145" s="2894"/>
      <c r="F145" s="341">
        <f>SUM(H145:S145)</f>
        <v>0</v>
      </c>
      <c r="G145" s="357"/>
      <c r="H145" s="348">
        <v>0</v>
      </c>
      <c r="I145" s="348">
        <v>0</v>
      </c>
      <c r="J145" s="348">
        <v>0</v>
      </c>
      <c r="K145" s="348">
        <v>0</v>
      </c>
      <c r="L145" s="348">
        <v>0</v>
      </c>
      <c r="M145" s="348">
        <v>0</v>
      </c>
      <c r="N145" s="348">
        <v>0</v>
      </c>
      <c r="O145" s="348">
        <v>0</v>
      </c>
      <c r="P145" s="348">
        <v>0</v>
      </c>
      <c r="Q145" s="348">
        <v>0</v>
      </c>
      <c r="R145" s="348">
        <v>0</v>
      </c>
      <c r="S145" s="348">
        <v>0</v>
      </c>
      <c r="U145" s="1297">
        <v>22529000</v>
      </c>
    </row>
    <row r="146" spans="1:21" x14ac:dyDescent="0.2">
      <c r="A146" s="638">
        <v>2020</v>
      </c>
      <c r="B146" s="2890" t="s">
        <v>2836</v>
      </c>
      <c r="C146" s="2890"/>
      <c r="D146" s="2890"/>
      <c r="E146" s="2890"/>
      <c r="F146" s="562">
        <f>'535'!H21</f>
        <v>0</v>
      </c>
      <c r="G146" t="str">
        <f>IF(F146='535'!H21," ","Problem: Must agree to ws 535 Advance from Primary Govt")</f>
        <v xml:space="preserve"> </v>
      </c>
      <c r="H146" s="1093">
        <v>0</v>
      </c>
      <c r="I146" s="1093">
        <v>0</v>
      </c>
      <c r="J146" s="1093">
        <v>0</v>
      </c>
      <c r="K146" s="1093">
        <v>0</v>
      </c>
      <c r="L146" s="1093">
        <v>0</v>
      </c>
      <c r="M146" s="1093">
        <v>0</v>
      </c>
      <c r="N146" s="1093">
        <v>0</v>
      </c>
      <c r="O146" s="1093">
        <v>0</v>
      </c>
      <c r="P146" s="1093">
        <v>0</v>
      </c>
      <c r="Q146" s="1093">
        <v>0</v>
      </c>
      <c r="R146" s="1093">
        <v>0</v>
      </c>
      <c r="S146" s="1093">
        <v>0</v>
      </c>
      <c r="T146" t="str">
        <f>IF(SUM(H146:S146)=F146,"OK ","Problem: sum of amts keyed for each agency in col H through S must tie to total on combined worksheet")</f>
        <v xml:space="preserve">OK </v>
      </c>
      <c r="U146" s="971">
        <v>22250000</v>
      </c>
    </row>
    <row r="147" spans="1:21" x14ac:dyDescent="0.2">
      <c r="A147" s="170">
        <v>2097</v>
      </c>
      <c r="B147" s="2890" t="s">
        <v>2812</v>
      </c>
      <c r="C147" s="2890"/>
      <c r="D147" s="2890"/>
      <c r="E147" s="2890"/>
      <c r="F147" s="341">
        <f>SUM(H147:S147)</f>
        <v>0</v>
      </c>
      <c r="H147" s="348">
        <v>0</v>
      </c>
      <c r="I147" s="348">
        <v>0</v>
      </c>
      <c r="J147" s="348">
        <v>0</v>
      </c>
      <c r="K147" s="348">
        <v>0</v>
      </c>
      <c r="L147" s="348">
        <v>0</v>
      </c>
      <c r="M147" s="348">
        <v>0</v>
      </c>
      <c r="N147" s="348">
        <v>0</v>
      </c>
      <c r="O147" s="348">
        <v>0</v>
      </c>
      <c r="P147" s="348">
        <v>0</v>
      </c>
      <c r="Q147" s="348">
        <v>0</v>
      </c>
      <c r="R147" s="348">
        <v>0</v>
      </c>
      <c r="S147" s="348">
        <v>0</v>
      </c>
      <c r="U147" s="1297">
        <v>22811000</v>
      </c>
    </row>
    <row r="148" spans="1:21" x14ac:dyDescent="0.2">
      <c r="A148" s="170">
        <v>2070</v>
      </c>
      <c r="B148" s="2890" t="s">
        <v>2815</v>
      </c>
      <c r="C148" s="2890"/>
      <c r="D148" s="2890"/>
      <c r="E148" s="2890"/>
      <c r="F148" s="341">
        <f>SUM(H148:S148)</f>
        <v>0</v>
      </c>
      <c r="H148" s="348">
        <v>0</v>
      </c>
      <c r="I148" s="348">
        <v>0</v>
      </c>
      <c r="J148" s="348">
        <v>0</v>
      </c>
      <c r="K148" s="348">
        <v>0</v>
      </c>
      <c r="L148" s="348">
        <v>0</v>
      </c>
      <c r="M148" s="348">
        <v>0</v>
      </c>
      <c r="N148" s="348">
        <v>0</v>
      </c>
      <c r="O148" s="348">
        <v>0</v>
      </c>
      <c r="P148" s="348">
        <v>0</v>
      </c>
      <c r="Q148" s="348">
        <v>0</v>
      </c>
      <c r="R148" s="348">
        <v>0</v>
      </c>
      <c r="S148" s="348">
        <v>0</v>
      </c>
      <c r="U148" s="1297">
        <v>22712000</v>
      </c>
    </row>
    <row r="149" spans="1:21" x14ac:dyDescent="0.2">
      <c r="A149" s="170">
        <v>2080</v>
      </c>
      <c r="B149" s="2890" t="s">
        <v>2816</v>
      </c>
      <c r="C149" s="2890"/>
      <c r="D149" s="2890"/>
      <c r="E149" s="2890"/>
      <c r="F149" s="341">
        <f>SUM(H149:S149)</f>
        <v>0</v>
      </c>
      <c r="G149" s="170"/>
      <c r="H149" s="348">
        <v>0</v>
      </c>
      <c r="I149" s="348">
        <v>0</v>
      </c>
      <c r="J149" s="348">
        <v>0</v>
      </c>
      <c r="K149" s="348">
        <v>0</v>
      </c>
      <c r="L149" s="348">
        <v>0</v>
      </c>
      <c r="M149" s="348">
        <v>0</v>
      </c>
      <c r="N149" s="348">
        <v>0</v>
      </c>
      <c r="O149" s="348">
        <v>0</v>
      </c>
      <c r="P149" s="348">
        <v>0</v>
      </c>
      <c r="Q149" s="348">
        <v>0</v>
      </c>
      <c r="R149" s="348">
        <v>0</v>
      </c>
      <c r="S149" s="348">
        <v>0</v>
      </c>
      <c r="U149" s="1297">
        <v>22719000</v>
      </c>
    </row>
    <row r="150" spans="1:21" x14ac:dyDescent="0.2">
      <c r="A150" s="170">
        <v>2024</v>
      </c>
      <c r="B150" s="2890" t="s">
        <v>2817</v>
      </c>
      <c r="C150" s="2890"/>
      <c r="D150" s="2890"/>
      <c r="E150" s="2890"/>
      <c r="F150" s="341">
        <f>SUM(H150:S150)</f>
        <v>0</v>
      </c>
      <c r="H150" s="348">
        <v>0</v>
      </c>
      <c r="I150" s="348">
        <v>0</v>
      </c>
      <c r="J150" s="348">
        <v>0</v>
      </c>
      <c r="K150" s="348">
        <v>0</v>
      </c>
      <c r="L150" s="348">
        <v>0</v>
      </c>
      <c r="M150" s="348">
        <v>0</v>
      </c>
      <c r="N150" s="348">
        <v>0</v>
      </c>
      <c r="O150" s="348">
        <v>0</v>
      </c>
      <c r="P150" s="348">
        <v>0</v>
      </c>
      <c r="Q150" s="348">
        <v>0</v>
      </c>
      <c r="R150" s="348">
        <v>0</v>
      </c>
      <c r="S150" s="348">
        <v>0</v>
      </c>
      <c r="U150" s="1297">
        <v>22920000</v>
      </c>
    </row>
    <row r="151" spans="1:21" x14ac:dyDescent="0.2">
      <c r="A151" s="638">
        <v>2035</v>
      </c>
      <c r="B151" s="2890" t="s">
        <v>2806</v>
      </c>
      <c r="C151" s="2890"/>
      <c r="D151" s="2890"/>
      <c r="E151" s="2890"/>
      <c r="F151" s="562">
        <f>'310'!M26-'310'!O26</f>
        <v>0</v>
      </c>
      <c r="H151" s="1093">
        <v>0</v>
      </c>
      <c r="I151" s="1093">
        <v>0</v>
      </c>
      <c r="J151" s="1093">
        <v>0</v>
      </c>
      <c r="K151" s="1093">
        <v>0</v>
      </c>
      <c r="L151" s="1093">
        <v>0</v>
      </c>
      <c r="M151" s="1093">
        <v>0</v>
      </c>
      <c r="N151" s="1093">
        <v>0</v>
      </c>
      <c r="O151" s="1093">
        <v>0</v>
      </c>
      <c r="P151" s="1093">
        <v>0</v>
      </c>
      <c r="Q151" s="1093">
        <v>0</v>
      </c>
      <c r="R151" s="1093">
        <v>0</v>
      </c>
      <c r="S151" s="1093">
        <v>0</v>
      </c>
      <c r="T151" t="str">
        <f>IF(SUM(H151:S151)=F151,"OK ","Problem: sum of amts keyed for each agency in col H through S must tie to total on combined worksheet")</f>
        <v xml:space="preserve">OK </v>
      </c>
    </row>
    <row r="152" spans="1:21" x14ac:dyDescent="0.2">
      <c r="A152" s="638">
        <v>2040</v>
      </c>
      <c r="B152" s="2890" t="s">
        <v>4673</v>
      </c>
      <c r="C152" s="2890"/>
      <c r="D152" s="2890"/>
      <c r="E152" s="2890"/>
      <c r="F152" s="562">
        <f>'310'!M27-'310'!O27</f>
        <v>0</v>
      </c>
      <c r="H152" s="1093">
        <v>0</v>
      </c>
      <c r="I152" s="1093">
        <v>0</v>
      </c>
      <c r="J152" s="1093">
        <v>0</v>
      </c>
      <c r="K152" s="1093">
        <v>0</v>
      </c>
      <c r="L152" s="1093">
        <v>0</v>
      </c>
      <c r="M152" s="1093">
        <v>0</v>
      </c>
      <c r="N152" s="1093">
        <v>0</v>
      </c>
      <c r="O152" s="1093">
        <v>0</v>
      </c>
      <c r="P152" s="1093">
        <v>0</v>
      </c>
      <c r="Q152" s="1093">
        <v>0</v>
      </c>
      <c r="R152" s="1093">
        <v>0</v>
      </c>
      <c r="S152" s="1093">
        <v>0</v>
      </c>
      <c r="T152" t="str">
        <f t="shared" ref="T152:T165" si="17">IF(SUM(H152:S152)=F152,"OK ","Problem: sum of amts keyed for each agency in col H through S must tie to total on combined worksheet")</f>
        <v xml:space="preserve">OK </v>
      </c>
      <c r="U152" s="1354"/>
    </row>
    <row r="153" spans="1:21" x14ac:dyDescent="0.2">
      <c r="A153" s="638">
        <v>2046</v>
      </c>
      <c r="B153" s="2673" t="s">
        <v>2838</v>
      </c>
      <c r="C153" s="2673"/>
      <c r="D153" s="2673"/>
      <c r="E153" s="2673"/>
      <c r="F153" s="562">
        <f>'310'!M28-'310'!O28</f>
        <v>0</v>
      </c>
      <c r="H153" s="1093">
        <v>0</v>
      </c>
      <c r="I153" s="1093">
        <v>0</v>
      </c>
      <c r="J153" s="1093">
        <v>0</v>
      </c>
      <c r="K153" s="1093">
        <v>0</v>
      </c>
      <c r="L153" s="1093">
        <v>0</v>
      </c>
      <c r="M153" s="1093">
        <v>0</v>
      </c>
      <c r="N153" s="1093">
        <v>0</v>
      </c>
      <c r="O153" s="1093">
        <v>0</v>
      </c>
      <c r="P153" s="1093">
        <v>0</v>
      </c>
      <c r="Q153" s="1093">
        <v>0</v>
      </c>
      <c r="R153" s="1093">
        <v>0</v>
      </c>
      <c r="S153" s="1093">
        <v>0</v>
      </c>
      <c r="T153" t="str">
        <f t="shared" ref="T153:T154" si="18">IF(SUM(H153:S153)=F153,"OK ","Problem: sum of amts keyed for each agency in col H through S must tie to total on combined worksheet")</f>
        <v xml:space="preserve">OK </v>
      </c>
      <c r="U153" s="1354"/>
    </row>
    <row r="154" spans="1:21" x14ac:dyDescent="0.2">
      <c r="A154" s="1867">
        <v>2047</v>
      </c>
      <c r="B154" s="3072" t="s">
        <v>2839</v>
      </c>
      <c r="C154" s="3072"/>
      <c r="D154" s="3072"/>
      <c r="E154" s="3072"/>
      <c r="F154" s="562">
        <f>'310'!M29-'310'!O29</f>
        <v>0</v>
      </c>
      <c r="H154" s="1093">
        <v>0</v>
      </c>
      <c r="I154" s="1093">
        <v>0</v>
      </c>
      <c r="J154" s="1093">
        <v>0</v>
      </c>
      <c r="K154" s="1093">
        <v>0</v>
      </c>
      <c r="L154" s="1093">
        <v>0</v>
      </c>
      <c r="M154" s="1093">
        <v>0</v>
      </c>
      <c r="N154" s="1093">
        <v>0</v>
      </c>
      <c r="O154" s="1093">
        <v>0</v>
      </c>
      <c r="P154" s="1093">
        <v>0</v>
      </c>
      <c r="Q154" s="1093">
        <v>0</v>
      </c>
      <c r="R154" s="1093">
        <v>0</v>
      </c>
      <c r="S154" s="1093">
        <v>0</v>
      </c>
      <c r="T154" t="str">
        <f t="shared" si="18"/>
        <v xml:space="preserve">OK </v>
      </c>
      <c r="U154" s="1354"/>
    </row>
    <row r="155" spans="1:21" x14ac:dyDescent="0.2">
      <c r="A155" s="638">
        <v>2050</v>
      </c>
      <c r="B155" s="2890" t="s">
        <v>2840</v>
      </c>
      <c r="C155" s="2890"/>
      <c r="D155" s="2890"/>
      <c r="E155" s="2890"/>
      <c r="F155" s="562">
        <f>'310'!M17+'310'!M18+'310'!M19+'310'!M20+'310'!M21+'310'!M22+'310'!M23 -'310'!O17-'310'!O18-'310'!O19-'310'!O20-'310'!O21</f>
        <v>0</v>
      </c>
      <c r="G155" s="138"/>
      <c r="H155" s="1093">
        <v>0</v>
      </c>
      <c r="I155" s="1093">
        <v>0</v>
      </c>
      <c r="J155" s="1093">
        <v>0</v>
      </c>
      <c r="K155" s="1093">
        <v>0</v>
      </c>
      <c r="L155" s="1093">
        <v>0</v>
      </c>
      <c r="M155" s="1093">
        <v>0</v>
      </c>
      <c r="N155" s="1093">
        <v>0</v>
      </c>
      <c r="O155" s="1093">
        <v>0</v>
      </c>
      <c r="P155" s="1093">
        <v>0</v>
      </c>
      <c r="Q155" s="1093">
        <v>0</v>
      </c>
      <c r="R155" s="1093">
        <v>0</v>
      </c>
      <c r="S155" s="1093">
        <v>0</v>
      </c>
      <c r="T155" t="str">
        <f t="shared" si="17"/>
        <v xml:space="preserve">OK </v>
      </c>
      <c r="U155" s="1354"/>
    </row>
    <row r="156" spans="1:21" x14ac:dyDescent="0.2">
      <c r="A156" s="638">
        <v>2060</v>
      </c>
      <c r="B156" s="2890" t="s">
        <v>2841</v>
      </c>
      <c r="C156" s="2890"/>
      <c r="D156" s="2890"/>
      <c r="E156" s="2890"/>
      <c r="F156" s="562">
        <f>'310'!M24-'310'!O24</f>
        <v>0</v>
      </c>
      <c r="H156" s="1093">
        <v>0</v>
      </c>
      <c r="I156" s="1093">
        <v>0</v>
      </c>
      <c r="J156" s="1093">
        <v>0</v>
      </c>
      <c r="K156" s="1093">
        <v>0</v>
      </c>
      <c r="L156" s="1093">
        <v>0</v>
      </c>
      <c r="M156" s="1093">
        <v>0</v>
      </c>
      <c r="N156" s="1093">
        <v>0</v>
      </c>
      <c r="O156" s="1093">
        <v>0</v>
      </c>
      <c r="P156" s="1093">
        <v>0</v>
      </c>
      <c r="Q156" s="1093">
        <v>0</v>
      </c>
      <c r="R156" s="1093">
        <v>0</v>
      </c>
      <c r="S156" s="1093">
        <v>0</v>
      </c>
      <c r="T156" t="str">
        <f t="shared" si="17"/>
        <v xml:space="preserve">OK </v>
      </c>
      <c r="U156" s="1354"/>
    </row>
    <row r="157" spans="1:21" x14ac:dyDescent="0.2">
      <c r="A157" s="638">
        <v>2061</v>
      </c>
      <c r="B157" s="2890" t="s">
        <v>2842</v>
      </c>
      <c r="C157" s="2890"/>
      <c r="D157" s="2890"/>
      <c r="E157" s="2890"/>
      <c r="F157" s="562">
        <f>'310'!M25-'310'!O25</f>
        <v>0</v>
      </c>
      <c r="H157" s="1093">
        <v>0</v>
      </c>
      <c r="I157" s="1093">
        <v>0</v>
      </c>
      <c r="J157" s="1093">
        <v>0</v>
      </c>
      <c r="K157" s="1093">
        <v>0</v>
      </c>
      <c r="L157" s="1093">
        <v>0</v>
      </c>
      <c r="M157" s="1093">
        <v>0</v>
      </c>
      <c r="N157" s="1093">
        <v>0</v>
      </c>
      <c r="O157" s="1093">
        <v>0</v>
      </c>
      <c r="P157" s="1093">
        <v>0</v>
      </c>
      <c r="Q157" s="1093">
        <v>0</v>
      </c>
      <c r="R157" s="1093">
        <v>0</v>
      </c>
      <c r="S157" s="1093">
        <v>0</v>
      </c>
      <c r="T157" t="str">
        <f>IF(SUM(H157:S157)=F157,"OK ","Problem: sum of amts keyed for each agency in col H through S must tie to total on combined worksheet")</f>
        <v xml:space="preserve">OK </v>
      </c>
      <c r="U157" s="1354"/>
    </row>
    <row r="158" spans="1:21" x14ac:dyDescent="0.2">
      <c r="A158" s="638">
        <v>2045</v>
      </c>
      <c r="B158" s="2890" t="s">
        <v>2843</v>
      </c>
      <c r="C158" s="2890"/>
      <c r="D158" s="2890"/>
      <c r="E158" s="2890"/>
      <c r="F158" s="562">
        <f>'310'!M30-'310'!O30</f>
        <v>0</v>
      </c>
      <c r="G158" s="138"/>
      <c r="H158" s="1093">
        <v>0</v>
      </c>
      <c r="I158" s="1093">
        <v>0</v>
      </c>
      <c r="J158" s="1093">
        <v>0</v>
      </c>
      <c r="K158" s="1093">
        <v>0</v>
      </c>
      <c r="L158" s="1093">
        <v>0</v>
      </c>
      <c r="M158" s="1093">
        <v>0</v>
      </c>
      <c r="N158" s="1093">
        <v>0</v>
      </c>
      <c r="O158" s="1093">
        <v>0</v>
      </c>
      <c r="P158" s="1093">
        <v>0</v>
      </c>
      <c r="Q158" s="1093">
        <v>0</v>
      </c>
      <c r="R158" s="1093">
        <v>0</v>
      </c>
      <c r="S158" s="1093">
        <v>0</v>
      </c>
      <c r="T158" t="str">
        <f t="shared" si="17"/>
        <v xml:space="preserve">OK </v>
      </c>
      <c r="U158" s="1354"/>
    </row>
    <row r="159" spans="1:21" x14ac:dyDescent="0.2">
      <c r="A159" s="638">
        <v>2085</v>
      </c>
      <c r="B159" s="2890" t="s">
        <v>2844</v>
      </c>
      <c r="C159" s="2890"/>
      <c r="D159" s="2890"/>
      <c r="E159" s="2890"/>
      <c r="F159" s="562">
        <f>'310'!M32-'310'!O32</f>
        <v>0</v>
      </c>
      <c r="H159" s="1093">
        <v>0</v>
      </c>
      <c r="I159" s="1093">
        <v>0</v>
      </c>
      <c r="J159" s="1093">
        <v>0</v>
      </c>
      <c r="K159" s="1093">
        <v>0</v>
      </c>
      <c r="L159" s="1093">
        <v>0</v>
      </c>
      <c r="M159" s="1093">
        <v>0</v>
      </c>
      <c r="N159" s="1093">
        <v>0</v>
      </c>
      <c r="O159" s="1093">
        <v>0</v>
      </c>
      <c r="P159" s="1093">
        <v>0</v>
      </c>
      <c r="Q159" s="1093">
        <v>0</v>
      </c>
      <c r="R159" s="1093">
        <v>0</v>
      </c>
      <c r="S159" s="1093">
        <v>0</v>
      </c>
      <c r="T159" t="str">
        <f t="shared" si="17"/>
        <v xml:space="preserve">OK </v>
      </c>
      <c r="U159" s="1354"/>
    </row>
    <row r="160" spans="1:21" x14ac:dyDescent="0.2">
      <c r="A160" s="638">
        <v>2087</v>
      </c>
      <c r="B160" s="2890" t="s">
        <v>4674</v>
      </c>
      <c r="C160" s="2890"/>
      <c r="D160" s="2890"/>
      <c r="E160" s="2890"/>
      <c r="F160" s="562">
        <f>'310'!M33-'310'!O33</f>
        <v>0</v>
      </c>
      <c r="H160" s="1093">
        <v>0</v>
      </c>
      <c r="I160" s="1093">
        <v>0</v>
      </c>
      <c r="J160" s="1093">
        <v>0</v>
      </c>
      <c r="K160" s="1093">
        <v>0</v>
      </c>
      <c r="L160" s="1093">
        <v>0</v>
      </c>
      <c r="M160" s="1093">
        <v>0</v>
      </c>
      <c r="N160" s="1093">
        <v>0</v>
      </c>
      <c r="O160" s="1093">
        <v>0</v>
      </c>
      <c r="P160" s="1093">
        <v>0</v>
      </c>
      <c r="Q160" s="1093">
        <v>0</v>
      </c>
      <c r="R160" s="1093">
        <v>0</v>
      </c>
      <c r="S160" s="1093">
        <v>0</v>
      </c>
      <c r="T160" t="str">
        <f>IF(SUM(H160:S160)=F160,"OK ","Problem: sum of amts keyed for each agency in col H through S must tie to total on combined worksheet")</f>
        <v xml:space="preserve">OK </v>
      </c>
      <c r="U160" s="1354"/>
    </row>
    <row r="161" spans="1:21" x14ac:dyDescent="0.2">
      <c r="A161" s="638">
        <v>2090</v>
      </c>
      <c r="B161" s="2890" t="s">
        <v>2846</v>
      </c>
      <c r="C161" s="2890"/>
      <c r="D161" s="2890"/>
      <c r="E161" s="2890"/>
      <c r="F161" s="562">
        <f>'310'!M34-'310'!O34</f>
        <v>0</v>
      </c>
      <c r="H161" s="1093">
        <v>0</v>
      </c>
      <c r="I161" s="1093">
        <v>0</v>
      </c>
      <c r="J161" s="1093">
        <v>0</v>
      </c>
      <c r="K161" s="1093">
        <v>0</v>
      </c>
      <c r="L161" s="1093">
        <v>0</v>
      </c>
      <c r="M161" s="1093">
        <v>0</v>
      </c>
      <c r="N161" s="1093">
        <v>0</v>
      </c>
      <c r="O161" s="1093">
        <v>0</v>
      </c>
      <c r="P161" s="1093">
        <v>0</v>
      </c>
      <c r="Q161" s="1093">
        <v>0</v>
      </c>
      <c r="R161" s="1093">
        <v>0</v>
      </c>
      <c r="S161" s="1093">
        <v>0</v>
      </c>
      <c r="T161" t="str">
        <f t="shared" si="17"/>
        <v xml:space="preserve">OK </v>
      </c>
      <c r="U161" s="1354"/>
    </row>
    <row r="162" spans="1:21" x14ac:dyDescent="0.2">
      <c r="A162" s="638">
        <v>2098</v>
      </c>
      <c r="B162" s="2890" t="s">
        <v>2847</v>
      </c>
      <c r="C162" s="2890"/>
      <c r="D162" s="2890"/>
      <c r="E162" s="2890"/>
      <c r="F162" s="562">
        <f>'310'!M35-'310'!O35</f>
        <v>0</v>
      </c>
      <c r="H162" s="1093">
        <v>0</v>
      </c>
      <c r="I162" s="1093">
        <v>0</v>
      </c>
      <c r="J162" s="1093">
        <v>0</v>
      </c>
      <c r="K162" s="1093">
        <v>0</v>
      </c>
      <c r="L162" s="1093">
        <v>0</v>
      </c>
      <c r="M162" s="1093">
        <v>0</v>
      </c>
      <c r="N162" s="1093">
        <v>0</v>
      </c>
      <c r="O162" s="1093">
        <v>0</v>
      </c>
      <c r="P162" s="1093">
        <v>0</v>
      </c>
      <c r="Q162" s="1093">
        <v>0</v>
      </c>
      <c r="R162" s="1093">
        <v>0</v>
      </c>
      <c r="S162" s="1093">
        <v>0</v>
      </c>
      <c r="T162" t="str">
        <f>IF(SUM(H162:S162)=F162,"OK ","Problem: sum of amts keyed for each agency in col H through S must tie to total on combined worksheet")</f>
        <v xml:space="preserve">OK </v>
      </c>
      <c r="U162" s="1354"/>
    </row>
    <row r="163" spans="1:21" x14ac:dyDescent="0.2">
      <c r="A163" s="638">
        <v>2099</v>
      </c>
      <c r="B163" s="2890" t="s">
        <v>2848</v>
      </c>
      <c r="C163" s="2890"/>
      <c r="D163" s="2890"/>
      <c r="E163" s="2890"/>
      <c r="F163" s="562">
        <f>'310'!M36-'310'!O36</f>
        <v>0</v>
      </c>
      <c r="H163" s="1093">
        <v>0</v>
      </c>
      <c r="I163" s="1093">
        <v>0</v>
      </c>
      <c r="J163" s="1093">
        <v>0</v>
      </c>
      <c r="K163" s="1093">
        <v>0</v>
      </c>
      <c r="L163" s="1093">
        <v>0</v>
      </c>
      <c r="M163" s="1093">
        <v>0</v>
      </c>
      <c r="N163" s="1093">
        <v>0</v>
      </c>
      <c r="O163" s="1093">
        <v>0</v>
      </c>
      <c r="P163" s="1093">
        <v>0</v>
      </c>
      <c r="Q163" s="1093">
        <v>0</v>
      </c>
      <c r="R163" s="1093">
        <v>0</v>
      </c>
      <c r="S163" s="1093">
        <v>0</v>
      </c>
      <c r="T163" t="str">
        <f>IF(SUM(H163:S163)=F163,"OK ","Problem: sum of amts keyed for each agency in col H through S must tie to total on combined worksheet")</f>
        <v xml:space="preserve">OK </v>
      </c>
      <c r="U163" s="1354"/>
    </row>
    <row r="164" spans="1:21" x14ac:dyDescent="0.2">
      <c r="A164" s="638">
        <v>2095</v>
      </c>
      <c r="B164" s="2890" t="s">
        <v>2849</v>
      </c>
      <c r="C164" s="2890"/>
      <c r="D164" s="2890"/>
      <c r="E164" s="2890"/>
      <c r="F164" s="562">
        <f>'310'!M37-'310'!O37</f>
        <v>0</v>
      </c>
      <c r="H164" s="1093">
        <v>0</v>
      </c>
      <c r="I164" s="1093">
        <v>0</v>
      </c>
      <c r="J164" s="1093">
        <v>0</v>
      </c>
      <c r="K164" s="1093">
        <v>0</v>
      </c>
      <c r="L164" s="1093">
        <v>0</v>
      </c>
      <c r="M164" s="1093">
        <v>0</v>
      </c>
      <c r="N164" s="1093">
        <v>0</v>
      </c>
      <c r="O164" s="1093">
        <v>0</v>
      </c>
      <c r="P164" s="1093">
        <v>0</v>
      </c>
      <c r="Q164" s="1093">
        <v>0</v>
      </c>
      <c r="R164" s="1093">
        <v>0</v>
      </c>
      <c r="S164" s="1093">
        <v>0</v>
      </c>
      <c r="T164" t="str">
        <f t="shared" si="17"/>
        <v xml:space="preserve">OK </v>
      </c>
      <c r="U164" s="1354"/>
    </row>
    <row r="165" spans="1:21" x14ac:dyDescent="0.2">
      <c r="A165" s="638">
        <v>2096</v>
      </c>
      <c r="B165" s="2890" t="s">
        <v>2850</v>
      </c>
      <c r="C165" s="2890"/>
      <c r="D165" s="2890"/>
      <c r="E165" s="2890"/>
      <c r="F165" s="562">
        <f>'310'!M38-'310'!O38</f>
        <v>0</v>
      </c>
      <c r="G165" s="138"/>
      <c r="H165" s="1093">
        <v>0</v>
      </c>
      <c r="I165" s="1093">
        <v>0</v>
      </c>
      <c r="J165" s="1093">
        <v>0</v>
      </c>
      <c r="K165" s="1093">
        <v>0</v>
      </c>
      <c r="L165" s="1093">
        <v>0</v>
      </c>
      <c r="M165" s="1093">
        <v>0</v>
      </c>
      <c r="N165" s="1093">
        <v>0</v>
      </c>
      <c r="O165" s="1093">
        <v>0</v>
      </c>
      <c r="P165" s="1093">
        <v>0</v>
      </c>
      <c r="Q165" s="1093">
        <v>0</v>
      </c>
      <c r="R165" s="1093">
        <v>0</v>
      </c>
      <c r="S165" s="1093">
        <v>0</v>
      </c>
      <c r="T165" t="str">
        <f t="shared" si="17"/>
        <v xml:space="preserve">OK </v>
      </c>
      <c r="U165" s="1354"/>
    </row>
    <row r="166" spans="1:21" x14ac:dyDescent="0.2">
      <c r="B166" s="3067" t="s">
        <v>2851</v>
      </c>
      <c r="C166" s="3067"/>
      <c r="D166" s="3067"/>
      <c r="E166" s="3067"/>
      <c r="F166" s="350">
        <f>SUM(F143:F165)</f>
        <v>0</v>
      </c>
      <c r="H166" s="350">
        <f t="shared" ref="H166:S166" si="19">SUM(H143:H165)</f>
        <v>0</v>
      </c>
      <c r="I166" s="350">
        <f t="shared" si="19"/>
        <v>0</v>
      </c>
      <c r="J166" s="350">
        <f t="shared" si="19"/>
        <v>0</v>
      </c>
      <c r="K166" s="350">
        <f t="shared" si="19"/>
        <v>0</v>
      </c>
      <c r="L166" s="350">
        <f t="shared" si="19"/>
        <v>0</v>
      </c>
      <c r="M166" s="350">
        <f t="shared" si="19"/>
        <v>0</v>
      </c>
      <c r="N166" s="350">
        <f t="shared" si="19"/>
        <v>0</v>
      </c>
      <c r="O166" s="350">
        <f t="shared" si="19"/>
        <v>0</v>
      </c>
      <c r="P166" s="350">
        <f t="shared" si="19"/>
        <v>0</v>
      </c>
      <c r="Q166" s="350">
        <f t="shared" si="19"/>
        <v>0</v>
      </c>
      <c r="R166" s="350">
        <f t="shared" si="19"/>
        <v>0</v>
      </c>
      <c r="S166" s="350">
        <f t="shared" si="19"/>
        <v>0</v>
      </c>
      <c r="T166" t="str">
        <f>IF(SUM(H166:S166)=F166,"OK ","Crossfoot error: sum of Col H thru S must equal total in Col F")</f>
        <v xml:space="preserve">OK </v>
      </c>
      <c r="U166" s="1354"/>
    </row>
    <row r="167" spans="1:21" x14ac:dyDescent="0.2">
      <c r="H167" s="341"/>
      <c r="I167" s="341"/>
      <c r="J167" s="341"/>
      <c r="K167" s="341"/>
      <c r="L167" s="341"/>
      <c r="M167" s="341"/>
      <c r="N167" s="341"/>
      <c r="O167" s="341"/>
      <c r="P167" s="341"/>
      <c r="Q167" s="341"/>
      <c r="R167" s="341"/>
      <c r="S167" s="341"/>
      <c r="U167" s="1354"/>
    </row>
    <row r="168" spans="1:21" x14ac:dyDescent="0.2">
      <c r="B168" s="3067" t="s">
        <v>2852</v>
      </c>
      <c r="C168" s="3067"/>
      <c r="D168" s="3067"/>
      <c r="E168" s="3067"/>
      <c r="F168" s="343">
        <f>F139+F166</f>
        <v>0</v>
      </c>
      <c r="H168" s="343">
        <f t="shared" ref="H168:S168" si="20">H139+H166</f>
        <v>0</v>
      </c>
      <c r="I168" s="343">
        <f t="shared" si="20"/>
        <v>0</v>
      </c>
      <c r="J168" s="343">
        <f t="shared" si="20"/>
        <v>0</v>
      </c>
      <c r="K168" s="343">
        <f t="shared" si="20"/>
        <v>0</v>
      </c>
      <c r="L168" s="343">
        <f t="shared" si="20"/>
        <v>0</v>
      </c>
      <c r="M168" s="343">
        <f t="shared" si="20"/>
        <v>0</v>
      </c>
      <c r="N168" s="343">
        <f t="shared" si="20"/>
        <v>0</v>
      </c>
      <c r="O168" s="343">
        <f t="shared" si="20"/>
        <v>0</v>
      </c>
      <c r="P168" s="343">
        <f t="shared" si="20"/>
        <v>0</v>
      </c>
      <c r="Q168" s="343">
        <f t="shared" si="20"/>
        <v>0</v>
      </c>
      <c r="R168" s="343">
        <f t="shared" si="20"/>
        <v>0</v>
      </c>
      <c r="S168" s="343">
        <f t="shared" si="20"/>
        <v>0</v>
      </c>
      <c r="T168" t="str">
        <f>IF(SUM(H168:S168)=F168,"OK ","Crossfoot error: sum of Col H thru S must equal total in Col F")</f>
        <v xml:space="preserve">OK </v>
      </c>
      <c r="U168" s="1354"/>
    </row>
    <row r="169" spans="1:21" x14ac:dyDescent="0.2">
      <c r="F169"/>
      <c r="U169" s="1354"/>
    </row>
    <row r="170" spans="1:21" x14ac:dyDescent="0.2">
      <c r="B170" s="2442" t="s">
        <v>1996</v>
      </c>
      <c r="H170" s="341"/>
      <c r="I170" s="341"/>
      <c r="J170" s="341"/>
      <c r="K170" s="341"/>
      <c r="L170" s="341"/>
      <c r="M170" s="341"/>
      <c r="N170" s="341"/>
      <c r="O170" s="341"/>
      <c r="P170" s="341"/>
      <c r="Q170" s="341"/>
      <c r="R170" s="341"/>
      <c r="S170" s="341"/>
      <c r="U170" s="1354"/>
    </row>
    <row r="171" spans="1:21" x14ac:dyDescent="0.2">
      <c r="A171" s="170">
        <v>1764</v>
      </c>
      <c r="B171" s="2890" t="s">
        <v>2853</v>
      </c>
      <c r="C171" s="2890"/>
      <c r="D171" s="2890"/>
      <c r="E171" s="2890"/>
      <c r="F171" s="341">
        <f t="shared" ref="F171:F180" si="21">SUM(H171:S171)</f>
        <v>0</v>
      </c>
      <c r="G171" s="357"/>
      <c r="H171" s="348">
        <v>0</v>
      </c>
      <c r="I171" s="348">
        <v>0</v>
      </c>
      <c r="J171" s="348">
        <v>0</v>
      </c>
      <c r="K171" s="348">
        <v>0</v>
      </c>
      <c r="L171" s="348">
        <v>0</v>
      </c>
      <c r="M171" s="348">
        <v>0</v>
      </c>
      <c r="N171" s="348">
        <v>0</v>
      </c>
      <c r="O171" s="348">
        <v>0</v>
      </c>
      <c r="P171" s="348">
        <v>0</v>
      </c>
      <c r="Q171" s="348">
        <v>0</v>
      </c>
      <c r="R171" s="348">
        <v>0</v>
      </c>
      <c r="S171" s="348">
        <v>0</v>
      </c>
      <c r="U171" s="1297">
        <v>71100003</v>
      </c>
    </row>
    <row r="172" spans="1:21" x14ac:dyDescent="0.2">
      <c r="A172" s="170">
        <v>2026</v>
      </c>
      <c r="B172" s="2890" t="s">
        <v>2854</v>
      </c>
      <c r="C172" s="2890"/>
      <c r="D172" s="2890"/>
      <c r="E172" s="2890"/>
      <c r="F172" s="341">
        <f t="shared" si="21"/>
        <v>0</v>
      </c>
      <c r="G172" s="357"/>
      <c r="H172" s="348">
        <v>0</v>
      </c>
      <c r="I172" s="348">
        <v>0</v>
      </c>
      <c r="J172" s="348">
        <v>0</v>
      </c>
      <c r="K172" s="348">
        <v>0</v>
      </c>
      <c r="L172" s="348">
        <v>0</v>
      </c>
      <c r="M172" s="348">
        <v>0</v>
      </c>
      <c r="N172" s="348">
        <v>0</v>
      </c>
      <c r="O172" s="348">
        <v>0</v>
      </c>
      <c r="P172" s="348">
        <v>0</v>
      </c>
      <c r="Q172" s="348">
        <v>0</v>
      </c>
      <c r="R172" s="348">
        <v>0</v>
      </c>
      <c r="S172" s="348">
        <v>0</v>
      </c>
      <c r="U172" s="1297">
        <v>71100004</v>
      </c>
    </row>
    <row r="173" spans="1:21" x14ac:dyDescent="0.2">
      <c r="A173" s="170">
        <v>1766</v>
      </c>
      <c r="B173" s="2890" t="s">
        <v>2855</v>
      </c>
      <c r="C173" s="2890"/>
      <c r="D173" s="2890"/>
      <c r="E173" s="2890"/>
      <c r="F173" s="341">
        <f t="shared" si="21"/>
        <v>0</v>
      </c>
      <c r="G173" s="357"/>
      <c r="H173" s="348">
        <v>0</v>
      </c>
      <c r="I173" s="348">
        <v>0</v>
      </c>
      <c r="J173" s="348">
        <v>0</v>
      </c>
      <c r="K173" s="348">
        <v>0</v>
      </c>
      <c r="L173" s="348">
        <v>0</v>
      </c>
      <c r="M173" s="348">
        <v>0</v>
      </c>
      <c r="N173" s="348">
        <v>0</v>
      </c>
      <c r="O173" s="348">
        <v>0</v>
      </c>
      <c r="P173" s="348">
        <v>0</v>
      </c>
      <c r="Q173" s="348">
        <v>0</v>
      </c>
      <c r="R173" s="348">
        <v>0</v>
      </c>
      <c r="S173" s="348">
        <v>0</v>
      </c>
      <c r="U173" s="1297">
        <v>71100005</v>
      </c>
    </row>
    <row r="174" spans="1:21" x14ac:dyDescent="0.2">
      <c r="A174" s="170">
        <v>1768</v>
      </c>
      <c r="B174" s="2890" t="s">
        <v>2223</v>
      </c>
      <c r="C174" s="2890"/>
      <c r="D174" s="2890"/>
      <c r="E174" s="2890"/>
      <c r="F174" s="341">
        <f t="shared" si="21"/>
        <v>0</v>
      </c>
      <c r="G174" s="357"/>
      <c r="H174" s="348">
        <v>0</v>
      </c>
      <c r="I174" s="348">
        <v>0</v>
      </c>
      <c r="J174" s="348">
        <v>0</v>
      </c>
      <c r="K174" s="348">
        <v>0</v>
      </c>
      <c r="L174" s="348">
        <v>0</v>
      </c>
      <c r="M174" s="348">
        <v>0</v>
      </c>
      <c r="N174" s="348">
        <v>0</v>
      </c>
      <c r="O174" s="348">
        <v>0</v>
      </c>
      <c r="P174" s="348">
        <v>0</v>
      </c>
      <c r="Q174" s="348">
        <v>0</v>
      </c>
      <c r="R174" s="348">
        <v>0</v>
      </c>
      <c r="S174" s="348">
        <v>0</v>
      </c>
      <c r="U174" s="1297">
        <v>71100006</v>
      </c>
    </row>
    <row r="175" spans="1:21" x14ac:dyDescent="0.2">
      <c r="A175" s="170">
        <v>1765</v>
      </c>
      <c r="B175" s="2890" t="s">
        <v>2224</v>
      </c>
      <c r="C175" s="2890"/>
      <c r="D175" s="2890"/>
      <c r="E175" s="2890"/>
      <c r="F175" s="341">
        <f>SUM(H175:S175)</f>
        <v>0</v>
      </c>
      <c r="G175" s="357"/>
      <c r="H175" s="348">
        <v>0</v>
      </c>
      <c r="I175" s="348">
        <v>0</v>
      </c>
      <c r="J175" s="348">
        <v>0</v>
      </c>
      <c r="K175" s="348">
        <v>0</v>
      </c>
      <c r="L175" s="348">
        <v>0</v>
      </c>
      <c r="M175" s="348">
        <v>0</v>
      </c>
      <c r="N175" s="348">
        <v>0</v>
      </c>
      <c r="O175" s="348">
        <v>0</v>
      </c>
      <c r="P175" s="348">
        <v>0</v>
      </c>
      <c r="Q175" s="348">
        <v>0</v>
      </c>
      <c r="R175" s="348">
        <v>0</v>
      </c>
      <c r="S175" s="348">
        <v>0</v>
      </c>
      <c r="U175" s="1297">
        <v>71100008</v>
      </c>
    </row>
    <row r="176" spans="1:21" x14ac:dyDescent="0.2">
      <c r="A176" s="170">
        <v>1772</v>
      </c>
      <c r="B176" s="2890" t="s">
        <v>2856</v>
      </c>
      <c r="C176" s="2890"/>
      <c r="D176" s="2890"/>
      <c r="E176" s="2890"/>
      <c r="F176" s="341">
        <f t="shared" si="21"/>
        <v>0</v>
      </c>
      <c r="G176" s="357"/>
      <c r="H176" s="348">
        <v>0</v>
      </c>
      <c r="I176" s="348">
        <v>0</v>
      </c>
      <c r="J176" s="348">
        <v>0</v>
      </c>
      <c r="K176" s="348">
        <v>0</v>
      </c>
      <c r="L176" s="348">
        <v>0</v>
      </c>
      <c r="M176" s="348">
        <v>0</v>
      </c>
      <c r="N176" s="348">
        <v>0</v>
      </c>
      <c r="O176" s="348">
        <v>0</v>
      </c>
      <c r="P176" s="348">
        <v>0</v>
      </c>
      <c r="Q176" s="348">
        <v>0</v>
      </c>
      <c r="R176" s="348">
        <v>0</v>
      </c>
      <c r="S176" s="348">
        <v>0</v>
      </c>
      <c r="U176" s="1297">
        <v>71100009</v>
      </c>
    </row>
    <row r="177" spans="1:22" x14ac:dyDescent="0.2">
      <c r="A177" s="170">
        <v>1767</v>
      </c>
      <c r="B177" s="2890" t="s">
        <v>2225</v>
      </c>
      <c r="C177" s="2890"/>
      <c r="D177" s="2890"/>
      <c r="E177" s="2890"/>
      <c r="F177" s="341">
        <f>SUM(H177:S177)</f>
        <v>0</v>
      </c>
      <c r="G177" s="357"/>
      <c r="H177" s="348">
        <v>0</v>
      </c>
      <c r="I177" s="348">
        <v>0</v>
      </c>
      <c r="J177" s="348">
        <v>0</v>
      </c>
      <c r="K177" s="348">
        <v>0</v>
      </c>
      <c r="L177" s="348">
        <v>0</v>
      </c>
      <c r="M177" s="348">
        <v>0</v>
      </c>
      <c r="N177" s="348">
        <v>0</v>
      </c>
      <c r="O177" s="348">
        <v>0</v>
      </c>
      <c r="P177" s="348">
        <v>0</v>
      </c>
      <c r="Q177" s="348">
        <v>0</v>
      </c>
      <c r="R177" s="348">
        <v>0</v>
      </c>
      <c r="S177" s="348">
        <v>0</v>
      </c>
      <c r="U177" s="1297">
        <v>71100010</v>
      </c>
    </row>
    <row r="178" spans="1:22" x14ac:dyDescent="0.2">
      <c r="A178" s="170">
        <v>1771</v>
      </c>
      <c r="B178" s="2890" t="s">
        <v>2226</v>
      </c>
      <c r="C178" s="2890"/>
      <c r="D178" s="2890"/>
      <c r="E178" s="2890"/>
      <c r="F178" s="341">
        <f t="shared" si="21"/>
        <v>0</v>
      </c>
      <c r="G178" s="357"/>
      <c r="H178" s="348">
        <v>0</v>
      </c>
      <c r="I178" s="348">
        <v>0</v>
      </c>
      <c r="J178" s="348">
        <v>0</v>
      </c>
      <c r="K178" s="348">
        <v>0</v>
      </c>
      <c r="L178" s="348">
        <v>0</v>
      </c>
      <c r="M178" s="348">
        <v>0</v>
      </c>
      <c r="N178" s="348">
        <v>0</v>
      </c>
      <c r="O178" s="348">
        <v>0</v>
      </c>
      <c r="P178" s="348">
        <v>0</v>
      </c>
      <c r="Q178" s="348">
        <v>0</v>
      </c>
      <c r="R178" s="348">
        <v>0</v>
      </c>
      <c r="S178" s="348">
        <v>0</v>
      </c>
      <c r="U178" s="1297">
        <v>71100011</v>
      </c>
    </row>
    <row r="179" spans="1:22" x14ac:dyDescent="0.2">
      <c r="A179" s="170">
        <v>1773</v>
      </c>
      <c r="B179" s="2890" t="s">
        <v>2857</v>
      </c>
      <c r="C179" s="2890"/>
      <c r="D179" s="2890"/>
      <c r="E179" s="2890"/>
      <c r="F179" s="341">
        <f t="shared" si="21"/>
        <v>0</v>
      </c>
      <c r="G179" s="357"/>
      <c r="H179" s="348">
        <v>0</v>
      </c>
      <c r="I179" s="348">
        <v>0</v>
      </c>
      <c r="J179" s="348">
        <v>0</v>
      </c>
      <c r="K179" s="348">
        <v>0</v>
      </c>
      <c r="L179" s="348">
        <v>0</v>
      </c>
      <c r="M179" s="348">
        <v>0</v>
      </c>
      <c r="N179" s="348">
        <v>0</v>
      </c>
      <c r="O179" s="348">
        <v>0</v>
      </c>
      <c r="P179" s="348">
        <v>0</v>
      </c>
      <c r="Q179" s="348"/>
      <c r="R179" s="348"/>
      <c r="S179" s="348"/>
      <c r="U179" s="1297">
        <v>71100012</v>
      </c>
    </row>
    <row r="180" spans="1:22" x14ac:dyDescent="0.2">
      <c r="A180" s="170">
        <v>1769</v>
      </c>
      <c r="B180" s="2890" t="s">
        <v>1998</v>
      </c>
      <c r="C180" s="2890"/>
      <c r="D180" s="2890"/>
      <c r="E180" s="2890"/>
      <c r="F180" s="341">
        <f t="shared" si="21"/>
        <v>0</v>
      </c>
      <c r="G180" s="357"/>
      <c r="H180" s="348">
        <v>0</v>
      </c>
      <c r="I180" s="348">
        <v>0</v>
      </c>
      <c r="J180" s="348">
        <v>0</v>
      </c>
      <c r="K180" s="348">
        <v>0</v>
      </c>
      <c r="L180" s="348">
        <v>0</v>
      </c>
      <c r="M180" s="348">
        <v>0</v>
      </c>
      <c r="N180" s="348">
        <v>0</v>
      </c>
      <c r="O180" s="348">
        <v>0</v>
      </c>
      <c r="P180" s="348">
        <v>0</v>
      </c>
      <c r="Q180" s="348">
        <v>0</v>
      </c>
      <c r="R180" s="348">
        <v>0</v>
      </c>
      <c r="S180" s="348">
        <v>0</v>
      </c>
      <c r="U180" s="1297">
        <v>71100007</v>
      </c>
    </row>
    <row r="181" spans="1:22" x14ac:dyDescent="0.2">
      <c r="B181" s="3067" t="s">
        <v>2858</v>
      </c>
      <c r="C181" s="3067"/>
      <c r="D181" s="3067"/>
      <c r="E181" s="3067"/>
      <c r="F181" s="350">
        <f>SUM(F170:F180)</f>
        <v>0</v>
      </c>
      <c r="H181" s="350">
        <f t="shared" ref="H181:S181" si="22">SUM(H170:H180)</f>
        <v>0</v>
      </c>
      <c r="I181" s="350">
        <f t="shared" si="22"/>
        <v>0</v>
      </c>
      <c r="J181" s="350">
        <f t="shared" si="22"/>
        <v>0</v>
      </c>
      <c r="K181" s="350">
        <f t="shared" si="22"/>
        <v>0</v>
      </c>
      <c r="L181" s="350">
        <f t="shared" si="22"/>
        <v>0</v>
      </c>
      <c r="M181" s="350">
        <f t="shared" si="22"/>
        <v>0</v>
      </c>
      <c r="N181" s="350">
        <f t="shared" si="22"/>
        <v>0</v>
      </c>
      <c r="O181" s="350">
        <f t="shared" si="22"/>
        <v>0</v>
      </c>
      <c r="P181" s="350">
        <f t="shared" si="22"/>
        <v>0</v>
      </c>
      <c r="Q181" s="350">
        <f t="shared" si="22"/>
        <v>0</v>
      </c>
      <c r="R181" s="350">
        <f t="shared" si="22"/>
        <v>0</v>
      </c>
      <c r="S181" s="350">
        <f t="shared" si="22"/>
        <v>0</v>
      </c>
      <c r="U181" s="1354"/>
    </row>
    <row r="182" spans="1:22" x14ac:dyDescent="0.2">
      <c r="U182" s="1354"/>
    </row>
    <row r="183" spans="1:22" x14ac:dyDescent="0.2">
      <c r="B183" s="213" t="s">
        <v>2229</v>
      </c>
      <c r="U183" s="1354"/>
    </row>
    <row r="184" spans="1:22" x14ac:dyDescent="0.2">
      <c r="A184" s="170">
        <v>2130</v>
      </c>
      <c r="B184" s="2890" t="s">
        <v>2230</v>
      </c>
      <c r="C184" s="2890"/>
      <c r="D184" s="2890"/>
      <c r="E184" s="2890"/>
      <c r="F184" s="341">
        <f>SUM(H184:S184)</f>
        <v>0</v>
      </c>
      <c r="G184" s="357" t="str">
        <f>IF((F184&lt;=F70+F86)," ","Problem: Must be less than or equal to capital assets, depreciable and nondeprec, net")</f>
        <v xml:space="preserve"> </v>
      </c>
      <c r="H184" s="348">
        <v>0</v>
      </c>
      <c r="I184" s="348">
        <v>0</v>
      </c>
      <c r="J184" s="348">
        <v>0</v>
      </c>
      <c r="K184" s="348">
        <v>0</v>
      </c>
      <c r="L184" s="348">
        <v>0</v>
      </c>
      <c r="M184" s="348">
        <v>0</v>
      </c>
      <c r="N184" s="348">
        <v>0</v>
      </c>
      <c r="O184" s="348">
        <v>0</v>
      </c>
      <c r="P184" s="348">
        <v>0</v>
      </c>
      <c r="Q184" s="348">
        <v>0</v>
      </c>
      <c r="R184" s="348">
        <v>0</v>
      </c>
      <c r="S184" s="348">
        <v>0</v>
      </c>
      <c r="U184" s="1354" t="s">
        <v>1675</v>
      </c>
      <c r="V184" s="1297" t="s">
        <v>1652</v>
      </c>
    </row>
    <row r="185" spans="1:22" x14ac:dyDescent="0.2">
      <c r="A185" s="166"/>
      <c r="B185" s="170" t="s">
        <v>2859</v>
      </c>
      <c r="C185" s="170"/>
      <c r="D185" s="170"/>
      <c r="E185" s="170"/>
      <c r="F185" s="348"/>
      <c r="G185" s="357"/>
      <c r="H185" s="357"/>
      <c r="I185" s="357"/>
      <c r="J185" s="357"/>
      <c r="K185" s="357"/>
      <c r="L185" s="357"/>
      <c r="M185" s="357"/>
      <c r="N185" s="357"/>
      <c r="O185" s="357"/>
      <c r="P185" s="357"/>
      <c r="Q185" s="357"/>
      <c r="R185" s="357"/>
      <c r="S185" s="357"/>
      <c r="U185" s="1354"/>
      <c r="V185" s="1297"/>
    </row>
    <row r="186" spans="1:22" x14ac:dyDescent="0.2">
      <c r="A186" s="170">
        <v>2140</v>
      </c>
      <c r="B186" s="2894" t="s">
        <v>2860</v>
      </c>
      <c r="C186" s="2894"/>
      <c r="D186" s="2894"/>
      <c r="E186" s="2894"/>
      <c r="F186" s="341">
        <f t="shared" ref="F186:F193" si="23">SUM(H186:S186)</f>
        <v>0</v>
      </c>
      <c r="G186" s="357" t="str">
        <f>IF(F186&lt;0,"Problem: Restricted net assets cannot be negative - see Net Assets Policy in Instructions"," ")</f>
        <v xml:space="preserve"> </v>
      </c>
      <c r="H186" s="348">
        <v>0</v>
      </c>
      <c r="I186" s="348">
        <v>0</v>
      </c>
      <c r="J186" s="348">
        <v>0</v>
      </c>
      <c r="K186" s="348">
        <v>0</v>
      </c>
      <c r="L186" s="348">
        <v>0</v>
      </c>
      <c r="M186" s="348">
        <v>0</v>
      </c>
      <c r="N186" s="348">
        <v>0</v>
      </c>
      <c r="O186" s="348">
        <v>0</v>
      </c>
      <c r="P186" s="348">
        <v>0</v>
      </c>
      <c r="Q186" s="348">
        <v>0</v>
      </c>
      <c r="R186" s="348">
        <v>0</v>
      </c>
      <c r="S186" s="348">
        <v>0</v>
      </c>
      <c r="U186" s="1354" t="s">
        <v>2861</v>
      </c>
      <c r="V186" s="1297" t="s">
        <v>857</v>
      </c>
    </row>
    <row r="187" spans="1:22" x14ac:dyDescent="0.2">
      <c r="A187" s="170">
        <v>2141</v>
      </c>
      <c r="B187" s="2894" t="s">
        <v>2862</v>
      </c>
      <c r="C187" s="2894"/>
      <c r="D187" s="2894"/>
      <c r="E187" s="2894"/>
      <c r="F187" s="341">
        <f t="shared" si="23"/>
        <v>0</v>
      </c>
      <c r="G187" s="357" t="str">
        <f t="shared" ref="G187:G192" si="24">IF(F187&lt;0,"Problem: Restricted net assets cannot be negative - see Net Assets Policy in Instructions"," ")</f>
        <v xml:space="preserve"> </v>
      </c>
      <c r="H187" s="348">
        <v>0</v>
      </c>
      <c r="I187" s="348">
        <v>0</v>
      </c>
      <c r="J187" s="348">
        <v>0</v>
      </c>
      <c r="K187" s="348">
        <v>0</v>
      </c>
      <c r="L187" s="348">
        <v>0</v>
      </c>
      <c r="M187" s="348">
        <v>0</v>
      </c>
      <c r="N187" s="348">
        <v>0</v>
      </c>
      <c r="O187" s="348">
        <v>0</v>
      </c>
      <c r="P187" s="348">
        <v>0</v>
      </c>
      <c r="Q187" s="348">
        <v>0</v>
      </c>
      <c r="R187" s="348">
        <v>0</v>
      </c>
      <c r="S187" s="348">
        <v>0</v>
      </c>
      <c r="U187" s="1354" t="s">
        <v>2861</v>
      </c>
      <c r="V187" s="1297" t="s">
        <v>771</v>
      </c>
    </row>
    <row r="188" spans="1:22" x14ac:dyDescent="0.2">
      <c r="A188" s="170">
        <v>2142</v>
      </c>
      <c r="B188" s="2894" t="s">
        <v>2863</v>
      </c>
      <c r="C188" s="2894"/>
      <c r="D188" s="2894"/>
      <c r="E188" s="2894"/>
      <c r="F188" s="341">
        <f t="shared" si="23"/>
        <v>0</v>
      </c>
      <c r="G188" s="357" t="str">
        <f t="shared" si="24"/>
        <v xml:space="preserve"> </v>
      </c>
      <c r="H188" s="348">
        <v>0</v>
      </c>
      <c r="I188" s="348">
        <v>0</v>
      </c>
      <c r="J188" s="348">
        <v>0</v>
      </c>
      <c r="K188" s="348">
        <v>0</v>
      </c>
      <c r="L188" s="348">
        <v>0</v>
      </c>
      <c r="M188" s="348">
        <v>0</v>
      </c>
      <c r="N188" s="348">
        <v>0</v>
      </c>
      <c r="O188" s="348">
        <v>0</v>
      </c>
      <c r="P188" s="348">
        <v>0</v>
      </c>
      <c r="Q188" s="348">
        <v>0</v>
      </c>
      <c r="R188" s="348">
        <v>0</v>
      </c>
      <c r="S188" s="348">
        <v>0</v>
      </c>
      <c r="U188" s="1354" t="s">
        <v>2861</v>
      </c>
      <c r="V188" s="1297" t="s">
        <v>2864</v>
      </c>
    </row>
    <row r="189" spans="1:22" x14ac:dyDescent="0.2">
      <c r="A189" s="166"/>
      <c r="B189" s="170" t="s">
        <v>2865</v>
      </c>
      <c r="F189" s="348"/>
      <c r="G189" s="357"/>
      <c r="H189" s="357"/>
      <c r="I189" s="357"/>
      <c r="J189" s="357"/>
      <c r="K189" s="357"/>
      <c r="L189" s="357"/>
      <c r="M189" s="357"/>
      <c r="N189" s="357"/>
      <c r="O189" s="357"/>
      <c r="P189" s="357"/>
      <c r="Q189" s="357"/>
      <c r="R189" s="357"/>
      <c r="S189" s="357"/>
      <c r="U189" s="1354"/>
      <c r="V189" s="1297"/>
    </row>
    <row r="190" spans="1:22" x14ac:dyDescent="0.2">
      <c r="A190" s="170">
        <v>2150</v>
      </c>
      <c r="B190" s="2894" t="s">
        <v>2860</v>
      </c>
      <c r="C190" s="2894"/>
      <c r="D190" s="2894"/>
      <c r="E190" s="2894"/>
      <c r="F190" s="341">
        <f t="shared" si="23"/>
        <v>0</v>
      </c>
      <c r="G190" s="357" t="str">
        <f t="shared" si="24"/>
        <v xml:space="preserve"> </v>
      </c>
      <c r="H190" s="348">
        <v>0</v>
      </c>
      <c r="I190" s="348">
        <v>0</v>
      </c>
      <c r="J190" s="348">
        <v>0</v>
      </c>
      <c r="K190" s="348">
        <v>0</v>
      </c>
      <c r="L190" s="348">
        <v>0</v>
      </c>
      <c r="M190" s="348">
        <v>0</v>
      </c>
      <c r="N190" s="348">
        <v>0</v>
      </c>
      <c r="O190" s="348">
        <v>0</v>
      </c>
      <c r="P190" s="348">
        <v>0</v>
      </c>
      <c r="Q190" s="348">
        <v>0</v>
      </c>
      <c r="R190" s="348">
        <v>0</v>
      </c>
      <c r="S190" s="348">
        <v>0</v>
      </c>
      <c r="U190" s="1354" t="s">
        <v>1677</v>
      </c>
      <c r="V190" s="1297" t="s">
        <v>857</v>
      </c>
    </row>
    <row r="191" spans="1:22" x14ac:dyDescent="0.2">
      <c r="A191" s="170">
        <v>2151</v>
      </c>
      <c r="B191" s="2894" t="s">
        <v>2862</v>
      </c>
      <c r="C191" s="2894"/>
      <c r="D191" s="2894"/>
      <c r="E191" s="2894"/>
      <c r="F191" s="341">
        <f t="shared" si="23"/>
        <v>0</v>
      </c>
      <c r="G191" s="357" t="str">
        <f t="shared" si="24"/>
        <v xml:space="preserve"> </v>
      </c>
      <c r="H191" s="348">
        <v>0</v>
      </c>
      <c r="I191" s="348">
        <v>0</v>
      </c>
      <c r="J191" s="348">
        <v>0</v>
      </c>
      <c r="K191" s="348">
        <v>0</v>
      </c>
      <c r="L191" s="348">
        <v>0</v>
      </c>
      <c r="M191" s="348">
        <v>0</v>
      </c>
      <c r="N191" s="348">
        <v>0</v>
      </c>
      <c r="O191" s="348">
        <v>0</v>
      </c>
      <c r="P191" s="348">
        <v>0</v>
      </c>
      <c r="Q191" s="348">
        <v>0</v>
      </c>
      <c r="R191" s="348">
        <v>0</v>
      </c>
      <c r="S191" s="348">
        <v>0</v>
      </c>
      <c r="U191" s="1354" t="s">
        <v>1677</v>
      </c>
      <c r="V191" s="1297" t="s">
        <v>771</v>
      </c>
    </row>
    <row r="192" spans="1:22" x14ac:dyDescent="0.2">
      <c r="A192" s="170">
        <v>2152</v>
      </c>
      <c r="B192" s="2894" t="s">
        <v>2863</v>
      </c>
      <c r="C192" s="2894"/>
      <c r="D192" s="2894"/>
      <c r="E192" s="2894"/>
      <c r="F192" s="341">
        <f t="shared" si="23"/>
        <v>0</v>
      </c>
      <c r="G192" s="357" t="str">
        <f t="shared" si="24"/>
        <v xml:space="preserve"> </v>
      </c>
      <c r="H192" s="348">
        <v>0</v>
      </c>
      <c r="I192" s="348">
        <v>0</v>
      </c>
      <c r="J192" s="348">
        <v>0</v>
      </c>
      <c r="K192" s="348">
        <v>0</v>
      </c>
      <c r="L192" s="348">
        <v>0</v>
      </c>
      <c r="M192" s="348">
        <v>0</v>
      </c>
      <c r="N192" s="348">
        <v>0</v>
      </c>
      <c r="O192" s="348">
        <v>0</v>
      </c>
      <c r="P192" s="348">
        <v>0</v>
      </c>
      <c r="Q192" s="348">
        <v>0</v>
      </c>
      <c r="R192" s="348">
        <v>0</v>
      </c>
      <c r="S192" s="348">
        <v>0</v>
      </c>
      <c r="U192" s="1354" t="s">
        <v>1677</v>
      </c>
      <c r="V192" s="1297" t="s">
        <v>2864</v>
      </c>
    </row>
    <row r="193" spans="1:22" x14ac:dyDescent="0.2">
      <c r="A193" s="170">
        <v>2180</v>
      </c>
      <c r="B193" s="2890" t="s">
        <v>1640</v>
      </c>
      <c r="C193" s="2890"/>
      <c r="D193" s="2890"/>
      <c r="E193" s="2890"/>
      <c r="F193" s="341">
        <f t="shared" si="23"/>
        <v>0</v>
      </c>
      <c r="G193" s="357"/>
      <c r="H193" s="348">
        <v>0</v>
      </c>
      <c r="I193" s="348">
        <v>0</v>
      </c>
      <c r="J193" s="348">
        <v>0</v>
      </c>
      <c r="K193" s="348">
        <v>0</v>
      </c>
      <c r="L193" s="348">
        <v>0</v>
      </c>
      <c r="M193" s="348">
        <v>0</v>
      </c>
      <c r="N193" s="348">
        <v>0</v>
      </c>
      <c r="O193" s="348">
        <v>0</v>
      </c>
      <c r="P193" s="348">
        <v>0</v>
      </c>
      <c r="Q193" s="348">
        <v>0</v>
      </c>
      <c r="R193" s="348">
        <v>0</v>
      </c>
      <c r="S193" s="348">
        <v>0</v>
      </c>
      <c r="U193" s="1354" t="s">
        <v>1679</v>
      </c>
      <c r="V193" s="1297" t="s">
        <v>680</v>
      </c>
    </row>
    <row r="194" spans="1:22" ht="13.5" thickBot="1" x14ac:dyDescent="0.25">
      <c r="B194" s="3067" t="s">
        <v>2868</v>
      </c>
      <c r="C194" s="3067"/>
      <c r="D194" s="3067"/>
      <c r="E194" s="3067"/>
      <c r="F194" s="429">
        <f>SUM(F184:F193)</f>
        <v>0</v>
      </c>
      <c r="H194" s="429">
        <f t="shared" ref="H194:M194" si="25">SUM(H184:H193)</f>
        <v>0</v>
      </c>
      <c r="I194" s="429">
        <f t="shared" si="25"/>
        <v>0</v>
      </c>
      <c r="J194" s="429">
        <f t="shared" si="25"/>
        <v>0</v>
      </c>
      <c r="K194" s="429">
        <f t="shared" si="25"/>
        <v>0</v>
      </c>
      <c r="L194" s="429">
        <f t="shared" si="25"/>
        <v>0</v>
      </c>
      <c r="M194" s="429">
        <f t="shared" si="25"/>
        <v>0</v>
      </c>
      <c r="N194" s="429">
        <f t="shared" ref="N194:S194" si="26">SUM(N184:N193)</f>
        <v>0</v>
      </c>
      <c r="O194" s="429">
        <f t="shared" si="26"/>
        <v>0</v>
      </c>
      <c r="P194" s="429">
        <f t="shared" si="26"/>
        <v>0</v>
      </c>
      <c r="Q194" s="429">
        <f t="shared" si="26"/>
        <v>0</v>
      </c>
      <c r="R194" s="429">
        <f t="shared" si="26"/>
        <v>0</v>
      </c>
      <c r="S194" s="429">
        <f t="shared" si="26"/>
        <v>0</v>
      </c>
      <c r="T194" t="str">
        <f>IF(SUM(H194:S194)=F194,"OK ","Crossfoot error: sum of Col H thru S must equal total in Col F")</f>
        <v xml:space="preserve">OK </v>
      </c>
    </row>
    <row r="195" spans="1:22" ht="13.5" thickTop="1" x14ac:dyDescent="0.2"/>
    <row r="196" spans="1:22" x14ac:dyDescent="0.2">
      <c r="B196" s="170" t="s">
        <v>2869</v>
      </c>
      <c r="C196" s="170"/>
      <c r="D196" s="170"/>
      <c r="E196" s="170"/>
      <c r="F196" s="430" t="str">
        <f>IF(ROUND(F89+F99-F168-F181,2)=F194, "In Bal.","Out of Bal.")</f>
        <v>In Bal.</v>
      </c>
      <c r="H196" s="430" t="str">
        <f t="shared" ref="H196:S196" si="27">IF(ROUND(H89+H99-H168-H181,2)=H194, "In Bal.","Out of Bal.")</f>
        <v>In Bal.</v>
      </c>
      <c r="I196" s="430" t="str">
        <f t="shared" si="27"/>
        <v>In Bal.</v>
      </c>
      <c r="J196" s="430" t="str">
        <f t="shared" si="27"/>
        <v>In Bal.</v>
      </c>
      <c r="K196" s="430" t="str">
        <f t="shared" si="27"/>
        <v>In Bal.</v>
      </c>
      <c r="L196" s="430" t="str">
        <f t="shared" si="27"/>
        <v>In Bal.</v>
      </c>
      <c r="M196" s="430" t="str">
        <f t="shared" si="27"/>
        <v>In Bal.</v>
      </c>
      <c r="N196" s="430" t="str">
        <f t="shared" si="27"/>
        <v>In Bal.</v>
      </c>
      <c r="O196" s="430" t="str">
        <f t="shared" si="27"/>
        <v>In Bal.</v>
      </c>
      <c r="P196" s="430" t="str">
        <f t="shared" si="27"/>
        <v>In Bal.</v>
      </c>
      <c r="Q196" s="430" t="str">
        <f t="shared" si="27"/>
        <v>In Bal.</v>
      </c>
      <c r="R196" s="430" t="str">
        <f t="shared" si="27"/>
        <v>In Bal.</v>
      </c>
      <c r="S196" s="430" t="str">
        <f t="shared" si="27"/>
        <v>In Bal.</v>
      </c>
    </row>
    <row r="197" spans="1:22" ht="7.5" customHeight="1" x14ac:dyDescent="0.2"/>
    <row r="198" spans="1:22" x14ac:dyDescent="0.2">
      <c r="B198" s="3071" t="s">
        <v>2871</v>
      </c>
      <c r="C198" s="3071"/>
      <c r="D198" s="3071"/>
      <c r="E198" s="3071"/>
      <c r="U198" s="1354"/>
    </row>
    <row r="199" spans="1:22" x14ac:dyDescent="0.2">
      <c r="B199" s="2442" t="s">
        <v>2000</v>
      </c>
      <c r="C199" s="2442"/>
      <c r="U199" s="1354"/>
    </row>
    <row r="200" spans="1:22" x14ac:dyDescent="0.2">
      <c r="A200" s="170">
        <v>2310</v>
      </c>
      <c r="B200" s="3066" t="s">
        <v>2872</v>
      </c>
      <c r="C200" s="3066"/>
      <c r="D200" s="3066"/>
      <c r="E200" s="3066"/>
      <c r="F200" s="341">
        <f>SUM(H200:S200)</f>
        <v>0</v>
      </c>
      <c r="G200" s="357"/>
      <c r="H200" s="348">
        <v>0</v>
      </c>
      <c r="I200" s="348">
        <v>0</v>
      </c>
      <c r="J200" s="348">
        <v>0</v>
      </c>
      <c r="K200" s="348">
        <v>0</v>
      </c>
      <c r="L200" s="348">
        <v>0</v>
      </c>
      <c r="M200" s="348">
        <v>0</v>
      </c>
      <c r="N200" s="348">
        <v>0</v>
      </c>
      <c r="O200" s="348">
        <v>0</v>
      </c>
      <c r="P200" s="348">
        <v>0</v>
      </c>
      <c r="Q200" s="348">
        <v>0</v>
      </c>
      <c r="R200" s="348">
        <v>0</v>
      </c>
      <c r="S200" s="348">
        <v>0</v>
      </c>
      <c r="U200" s="1297">
        <v>44101000</v>
      </c>
    </row>
    <row r="201" spans="1:22" x14ac:dyDescent="0.2">
      <c r="A201" s="170">
        <v>2320</v>
      </c>
      <c r="B201" s="3066" t="s">
        <v>2873</v>
      </c>
      <c r="C201" s="3066"/>
      <c r="D201" s="3066"/>
      <c r="E201" s="3066"/>
      <c r="F201" s="341">
        <f t="shared" ref="F201:F210" si="28">SUM(H201:S201)</f>
        <v>0</v>
      </c>
      <c r="G201" s="2398"/>
      <c r="H201" s="348">
        <v>0</v>
      </c>
      <c r="I201" s="348">
        <v>0</v>
      </c>
      <c r="J201" s="348">
        <v>0</v>
      </c>
      <c r="K201" s="348">
        <v>0</v>
      </c>
      <c r="L201" s="348">
        <v>0</v>
      </c>
      <c r="M201" s="348">
        <v>0</v>
      </c>
      <c r="N201" s="348">
        <v>0</v>
      </c>
      <c r="O201" s="348">
        <v>0</v>
      </c>
      <c r="P201" s="348">
        <v>0</v>
      </c>
      <c r="Q201" s="348">
        <v>0</v>
      </c>
      <c r="R201" s="348">
        <v>0</v>
      </c>
      <c r="S201" s="348">
        <v>0</v>
      </c>
      <c r="U201" s="1297">
        <v>45800000</v>
      </c>
    </row>
    <row r="202" spans="1:22" x14ac:dyDescent="0.2">
      <c r="A202" s="170">
        <v>2330</v>
      </c>
      <c r="B202" s="3066" t="s">
        <v>2874</v>
      </c>
      <c r="C202" s="3066"/>
      <c r="D202" s="3066"/>
      <c r="E202" s="3066"/>
      <c r="F202" s="341">
        <f t="shared" si="28"/>
        <v>0</v>
      </c>
      <c r="G202" s="2398"/>
      <c r="H202" s="348">
        <v>0</v>
      </c>
      <c r="I202" s="348">
        <v>0</v>
      </c>
      <c r="J202" s="348">
        <v>0</v>
      </c>
      <c r="K202" s="348">
        <v>0</v>
      </c>
      <c r="L202" s="348">
        <v>0</v>
      </c>
      <c r="M202" s="348">
        <v>0</v>
      </c>
      <c r="N202" s="348">
        <v>0</v>
      </c>
      <c r="O202" s="348">
        <v>0</v>
      </c>
      <c r="P202" s="348">
        <v>0</v>
      </c>
      <c r="Q202" s="348">
        <v>0</v>
      </c>
      <c r="R202" s="348">
        <v>0</v>
      </c>
      <c r="S202" s="348">
        <v>0</v>
      </c>
      <c r="U202" s="1297">
        <v>44200000</v>
      </c>
    </row>
    <row r="203" spans="1:22" x14ac:dyDescent="0.2">
      <c r="A203" s="170">
        <v>2350</v>
      </c>
      <c r="B203" s="3066" t="s">
        <v>2875</v>
      </c>
      <c r="C203" s="3066"/>
      <c r="D203" s="3066"/>
      <c r="E203" s="3066"/>
      <c r="F203" s="341">
        <f t="shared" si="28"/>
        <v>0</v>
      </c>
      <c r="G203" s="2398"/>
      <c r="H203" s="348">
        <v>0</v>
      </c>
      <c r="I203" s="348">
        <v>0</v>
      </c>
      <c r="J203" s="348">
        <v>0</v>
      </c>
      <c r="K203" s="348">
        <v>0</v>
      </c>
      <c r="L203" s="348">
        <v>0</v>
      </c>
      <c r="M203" s="348">
        <v>0</v>
      </c>
      <c r="N203" s="348">
        <v>0</v>
      </c>
      <c r="O203" s="348">
        <v>0</v>
      </c>
      <c r="P203" s="348">
        <v>0</v>
      </c>
      <c r="Q203" s="348">
        <v>0</v>
      </c>
      <c r="R203" s="348">
        <v>0</v>
      </c>
      <c r="S203" s="348">
        <v>0</v>
      </c>
      <c r="U203" s="1297">
        <v>42997000</v>
      </c>
    </row>
    <row r="204" spans="1:22" x14ac:dyDescent="0.2">
      <c r="A204" s="170">
        <v>2370</v>
      </c>
      <c r="B204" s="3066" t="s">
        <v>2876</v>
      </c>
      <c r="C204" s="3066"/>
      <c r="D204" s="3066"/>
      <c r="E204" s="3066"/>
      <c r="F204" s="341">
        <f t="shared" si="28"/>
        <v>0</v>
      </c>
      <c r="G204" s="357"/>
      <c r="H204" s="348">
        <v>0</v>
      </c>
      <c r="I204" s="348">
        <v>0</v>
      </c>
      <c r="J204" s="348">
        <v>0</v>
      </c>
      <c r="K204" s="348">
        <v>0</v>
      </c>
      <c r="L204" s="348">
        <v>0</v>
      </c>
      <c r="M204" s="348">
        <v>0</v>
      </c>
      <c r="N204" s="348">
        <v>0</v>
      </c>
      <c r="O204" s="348">
        <v>0</v>
      </c>
      <c r="P204" s="348">
        <v>0</v>
      </c>
      <c r="Q204" s="348">
        <v>0</v>
      </c>
      <c r="R204" s="348">
        <v>0</v>
      </c>
      <c r="S204" s="348">
        <v>0</v>
      </c>
      <c r="U204" s="1359" t="s">
        <v>2877</v>
      </c>
    </row>
    <row r="205" spans="1:22" x14ac:dyDescent="0.2">
      <c r="A205" s="170">
        <v>2390</v>
      </c>
      <c r="B205" s="3069" t="s">
        <v>2002</v>
      </c>
      <c r="C205" s="3069"/>
      <c r="D205" s="3069"/>
      <c r="E205" s="3069"/>
      <c r="F205" s="341">
        <f t="shared" si="28"/>
        <v>0</v>
      </c>
      <c r="G205" s="357"/>
      <c r="H205" s="348">
        <v>0</v>
      </c>
      <c r="I205" s="348">
        <v>0</v>
      </c>
      <c r="J205" s="348">
        <v>0</v>
      </c>
      <c r="K205" s="348">
        <v>0</v>
      </c>
      <c r="L205" s="348">
        <v>0</v>
      </c>
      <c r="M205" s="348">
        <v>0</v>
      </c>
      <c r="N205" s="348">
        <v>0</v>
      </c>
      <c r="O205" s="348">
        <v>0</v>
      </c>
      <c r="P205" s="348">
        <v>0</v>
      </c>
      <c r="Q205" s="348">
        <v>0</v>
      </c>
      <c r="R205" s="348">
        <v>0</v>
      </c>
      <c r="S205" s="348">
        <v>0</v>
      </c>
      <c r="U205" s="1359" t="s">
        <v>2878</v>
      </c>
    </row>
    <row r="206" spans="1:22" x14ac:dyDescent="0.2">
      <c r="A206" s="170">
        <v>2400</v>
      </c>
      <c r="B206" s="2890" t="s">
        <v>2004</v>
      </c>
      <c r="C206" s="2890"/>
      <c r="D206" s="2890"/>
      <c r="E206" s="2890"/>
      <c r="F206" s="341">
        <f t="shared" si="28"/>
        <v>0</v>
      </c>
      <c r="G206" s="357"/>
      <c r="H206" s="348">
        <v>0</v>
      </c>
      <c r="I206" s="348">
        <v>0</v>
      </c>
      <c r="J206" s="348">
        <v>0</v>
      </c>
      <c r="K206" s="348">
        <v>0</v>
      </c>
      <c r="L206" s="348">
        <v>0</v>
      </c>
      <c r="M206" s="348">
        <v>0</v>
      </c>
      <c r="N206" s="348">
        <v>0</v>
      </c>
      <c r="O206" s="348">
        <v>0</v>
      </c>
      <c r="P206" s="348">
        <v>0</v>
      </c>
      <c r="Q206" s="348">
        <v>0</v>
      </c>
      <c r="R206" s="348">
        <v>0</v>
      </c>
      <c r="S206" s="348">
        <v>0</v>
      </c>
      <c r="U206" s="1359" t="s">
        <v>2879</v>
      </c>
    </row>
    <row r="207" spans="1:22" x14ac:dyDescent="0.2">
      <c r="A207" s="170">
        <v>2410</v>
      </c>
      <c r="B207" s="2890" t="s">
        <v>1256</v>
      </c>
      <c r="C207" s="2890"/>
      <c r="D207" s="2890"/>
      <c r="E207" s="2890"/>
      <c r="F207" s="341">
        <f t="shared" si="28"/>
        <v>0</v>
      </c>
      <c r="G207" s="357"/>
      <c r="H207" s="348">
        <v>0</v>
      </c>
      <c r="I207" s="348">
        <v>0</v>
      </c>
      <c r="J207" s="348">
        <v>0</v>
      </c>
      <c r="K207" s="348">
        <v>0</v>
      </c>
      <c r="L207" s="348">
        <v>0</v>
      </c>
      <c r="M207" s="348">
        <v>0</v>
      </c>
      <c r="N207" s="348">
        <v>0</v>
      </c>
      <c r="O207" s="348">
        <v>0</v>
      </c>
      <c r="P207" s="348">
        <v>0</v>
      </c>
      <c r="Q207" s="348">
        <v>0</v>
      </c>
      <c r="R207" s="348">
        <v>0</v>
      </c>
      <c r="S207" s="348">
        <v>0</v>
      </c>
      <c r="U207" s="1297">
        <v>43200000</v>
      </c>
    </row>
    <row r="208" spans="1:22" x14ac:dyDescent="0.2">
      <c r="A208" s="170">
        <v>2420</v>
      </c>
      <c r="B208" s="2890" t="s">
        <v>2880</v>
      </c>
      <c r="C208" s="2890"/>
      <c r="D208" s="2890"/>
      <c r="E208" s="2890"/>
      <c r="F208" s="341">
        <f t="shared" si="28"/>
        <v>0</v>
      </c>
      <c r="G208" s="357"/>
      <c r="H208" s="348">
        <v>0</v>
      </c>
      <c r="I208" s="348">
        <v>0</v>
      </c>
      <c r="J208" s="348">
        <v>0</v>
      </c>
      <c r="K208" s="348">
        <v>0</v>
      </c>
      <c r="L208" s="348">
        <v>0</v>
      </c>
      <c r="M208" s="348">
        <v>0</v>
      </c>
      <c r="N208" s="348">
        <v>0</v>
      </c>
      <c r="O208" s="348">
        <v>0</v>
      </c>
      <c r="P208" s="348">
        <v>0</v>
      </c>
      <c r="Q208" s="348">
        <v>0</v>
      </c>
      <c r="R208" s="348">
        <v>0</v>
      </c>
      <c r="S208" s="348">
        <v>0</v>
      </c>
      <c r="U208" s="1297">
        <v>44410000</v>
      </c>
    </row>
    <row r="209" spans="1:21" x14ac:dyDescent="0.2">
      <c r="A209" s="170">
        <v>2430</v>
      </c>
      <c r="B209" s="2890" t="s">
        <v>1248</v>
      </c>
      <c r="C209" s="2890"/>
      <c r="D209" s="2890"/>
      <c r="E209" s="2890"/>
      <c r="F209" s="341">
        <f t="shared" si="28"/>
        <v>0</v>
      </c>
      <c r="G209" s="357"/>
      <c r="H209" s="348">
        <v>0</v>
      </c>
      <c r="I209" s="348">
        <v>0</v>
      </c>
      <c r="J209" s="348">
        <v>0</v>
      </c>
      <c r="K209" s="348">
        <v>0</v>
      </c>
      <c r="L209" s="348">
        <v>0</v>
      </c>
      <c r="M209" s="348">
        <v>0</v>
      </c>
      <c r="N209" s="348">
        <v>0</v>
      </c>
      <c r="O209" s="348">
        <v>0</v>
      </c>
      <c r="P209" s="348">
        <v>0</v>
      </c>
      <c r="Q209" s="348">
        <v>0</v>
      </c>
      <c r="R209" s="348">
        <v>0</v>
      </c>
      <c r="S209" s="348">
        <v>0</v>
      </c>
      <c r="U209" s="1297">
        <v>47993000</v>
      </c>
    </row>
    <row r="210" spans="1:21" x14ac:dyDescent="0.2">
      <c r="A210" s="170">
        <v>2450</v>
      </c>
      <c r="B210" s="2890" t="s">
        <v>2006</v>
      </c>
      <c r="C210" s="2890"/>
      <c r="D210" s="2890"/>
      <c r="E210" s="2890"/>
      <c r="F210" s="341">
        <f t="shared" si="28"/>
        <v>0</v>
      </c>
      <c r="G210" s="357"/>
      <c r="H210" s="348">
        <v>0</v>
      </c>
      <c r="I210" s="348">
        <v>0</v>
      </c>
      <c r="J210" s="348">
        <v>0</v>
      </c>
      <c r="K210" s="348">
        <v>0</v>
      </c>
      <c r="L210" s="348">
        <v>0</v>
      </c>
      <c r="M210" s="348">
        <v>0</v>
      </c>
      <c r="N210" s="348">
        <v>0</v>
      </c>
      <c r="O210" s="348">
        <v>0</v>
      </c>
      <c r="P210" s="348">
        <v>0</v>
      </c>
      <c r="Q210" s="348">
        <v>0</v>
      </c>
      <c r="R210" s="348">
        <v>0</v>
      </c>
      <c r="S210" s="348">
        <v>0</v>
      </c>
      <c r="U210" s="1297">
        <v>47111000</v>
      </c>
    </row>
    <row r="211" spans="1:21" x14ac:dyDescent="0.2">
      <c r="A211" s="170"/>
      <c r="B211" s="3067" t="s">
        <v>2881</v>
      </c>
      <c r="C211" s="3067"/>
      <c r="D211" s="3067"/>
      <c r="E211" s="3067"/>
      <c r="F211" s="350">
        <f>SUM(F200:F210)</f>
        <v>0</v>
      </c>
      <c r="H211" s="350">
        <f t="shared" ref="H211:S211" si="29">SUM(H200:H210)</f>
        <v>0</v>
      </c>
      <c r="I211" s="350">
        <f t="shared" si="29"/>
        <v>0</v>
      </c>
      <c r="J211" s="350">
        <f t="shared" si="29"/>
        <v>0</v>
      </c>
      <c r="K211" s="350">
        <f t="shared" si="29"/>
        <v>0</v>
      </c>
      <c r="L211" s="350">
        <f t="shared" si="29"/>
        <v>0</v>
      </c>
      <c r="M211" s="350">
        <f t="shared" si="29"/>
        <v>0</v>
      </c>
      <c r="N211" s="350">
        <f t="shared" si="29"/>
        <v>0</v>
      </c>
      <c r="O211" s="350">
        <f t="shared" si="29"/>
        <v>0</v>
      </c>
      <c r="P211" s="350">
        <f t="shared" si="29"/>
        <v>0</v>
      </c>
      <c r="Q211" s="350">
        <f t="shared" si="29"/>
        <v>0</v>
      </c>
      <c r="R211" s="350">
        <f t="shared" si="29"/>
        <v>0</v>
      </c>
      <c r="S211" s="350">
        <f t="shared" si="29"/>
        <v>0</v>
      </c>
      <c r="T211" t="str">
        <f>IF(SUM(H211:S211)=F211,"OK ","Crossfoot error: sum of Col H thru S must equal total in Col F")</f>
        <v xml:space="preserve">OK </v>
      </c>
      <c r="U211" s="1354"/>
    </row>
    <row r="212" spans="1:21" ht="5.25" customHeight="1" x14ac:dyDescent="0.2">
      <c r="U212" s="1354"/>
    </row>
    <row r="213" spans="1:21" ht="13.5" customHeight="1" x14ac:dyDescent="0.2">
      <c r="B213" s="2442" t="s">
        <v>2008</v>
      </c>
      <c r="U213" s="1354"/>
    </row>
    <row r="214" spans="1:21" x14ac:dyDescent="0.2">
      <c r="A214" s="170">
        <v>2490</v>
      </c>
      <c r="B214" s="3066" t="s">
        <v>2882</v>
      </c>
      <c r="C214" s="3066"/>
      <c r="D214" s="3066"/>
      <c r="E214" s="3066"/>
      <c r="F214" s="341">
        <f>SUM(H214:S214)</f>
        <v>0</v>
      </c>
      <c r="G214" s="357"/>
      <c r="H214" s="348">
        <v>0</v>
      </c>
      <c r="I214" s="348">
        <v>0</v>
      </c>
      <c r="J214" s="348">
        <v>0</v>
      </c>
      <c r="K214" s="348">
        <v>0</v>
      </c>
      <c r="L214" s="348">
        <v>0</v>
      </c>
      <c r="M214" s="348">
        <v>0</v>
      </c>
      <c r="N214" s="348">
        <v>0</v>
      </c>
      <c r="O214" s="348">
        <v>0</v>
      </c>
      <c r="P214" s="348">
        <v>0</v>
      </c>
      <c r="Q214" s="348">
        <v>0</v>
      </c>
      <c r="R214" s="348">
        <v>0</v>
      </c>
      <c r="S214" s="348">
        <v>0</v>
      </c>
      <c r="U214" s="1297">
        <v>51110000</v>
      </c>
    </row>
    <row r="215" spans="1:21" x14ac:dyDescent="0.2">
      <c r="A215" s="170">
        <v>2510</v>
      </c>
      <c r="B215" s="3066" t="s">
        <v>4675</v>
      </c>
      <c r="C215" s="3066"/>
      <c r="D215" s="3066"/>
      <c r="E215" s="3066"/>
      <c r="F215" s="341">
        <f t="shared" ref="F215:F225" si="30">SUM(H215:S215)</f>
        <v>0</v>
      </c>
      <c r="G215" s="357"/>
      <c r="H215" s="348">
        <v>0</v>
      </c>
      <c r="I215" s="348">
        <v>0</v>
      </c>
      <c r="J215" s="348">
        <v>0</v>
      </c>
      <c r="K215" s="348">
        <v>0</v>
      </c>
      <c r="L215" s="348">
        <v>0</v>
      </c>
      <c r="M215" s="348">
        <v>0</v>
      </c>
      <c r="N215" s="348">
        <v>0</v>
      </c>
      <c r="O215" s="348">
        <v>0</v>
      </c>
      <c r="P215" s="348">
        <v>0</v>
      </c>
      <c r="Q215" s="348">
        <v>0</v>
      </c>
      <c r="R215" s="348">
        <v>0</v>
      </c>
      <c r="S215" s="348">
        <v>0</v>
      </c>
      <c r="U215" s="1297">
        <v>53110000</v>
      </c>
    </row>
    <row r="216" spans="1:21" x14ac:dyDescent="0.2">
      <c r="A216" s="170">
        <v>2520</v>
      </c>
      <c r="B216" s="3069" t="s">
        <v>2010</v>
      </c>
      <c r="C216" s="3069"/>
      <c r="D216" s="3069"/>
      <c r="E216" s="3069"/>
      <c r="F216" s="341">
        <f t="shared" si="30"/>
        <v>0</v>
      </c>
      <c r="G216" s="357"/>
      <c r="H216" s="348">
        <v>0</v>
      </c>
      <c r="I216" s="348">
        <v>0</v>
      </c>
      <c r="J216" s="348">
        <v>0</v>
      </c>
      <c r="K216" s="348">
        <v>0</v>
      </c>
      <c r="L216" s="348">
        <v>0</v>
      </c>
      <c r="M216" s="348">
        <v>0</v>
      </c>
      <c r="N216" s="348">
        <v>0</v>
      </c>
      <c r="O216" s="348">
        <v>0</v>
      </c>
      <c r="P216" s="348">
        <v>0</v>
      </c>
      <c r="Q216" s="348">
        <v>0</v>
      </c>
      <c r="R216" s="348">
        <v>0</v>
      </c>
      <c r="S216" s="348">
        <v>0</v>
      </c>
      <c r="U216" s="1297">
        <v>52110000</v>
      </c>
    </row>
    <row r="217" spans="1:21" x14ac:dyDescent="0.2">
      <c r="A217" s="170">
        <v>2550</v>
      </c>
      <c r="B217" s="2890" t="s">
        <v>2884</v>
      </c>
      <c r="C217" s="2890"/>
      <c r="D217" s="2890"/>
      <c r="E217" s="2890"/>
      <c r="F217" s="341">
        <f t="shared" si="30"/>
        <v>0</v>
      </c>
      <c r="G217" s="357"/>
      <c r="H217" s="348">
        <v>0</v>
      </c>
      <c r="I217" s="348">
        <v>0</v>
      </c>
      <c r="J217" s="348">
        <v>0</v>
      </c>
      <c r="K217" s="348">
        <v>0</v>
      </c>
      <c r="L217" s="348">
        <v>0</v>
      </c>
      <c r="M217" s="348">
        <v>0</v>
      </c>
      <c r="N217" s="348">
        <v>0</v>
      </c>
      <c r="O217" s="348">
        <v>0</v>
      </c>
      <c r="P217" s="348">
        <v>0</v>
      </c>
      <c r="Q217" s="348">
        <v>0</v>
      </c>
      <c r="R217" s="348">
        <v>0</v>
      </c>
      <c r="S217" s="348">
        <v>0</v>
      </c>
      <c r="U217" s="1297">
        <v>53800000</v>
      </c>
    </row>
    <row r="218" spans="1:21" x14ac:dyDescent="0.2">
      <c r="A218" s="170">
        <v>2540</v>
      </c>
      <c r="B218" s="2890" t="s">
        <v>2885</v>
      </c>
      <c r="C218" s="2890"/>
      <c r="D218" s="2890"/>
      <c r="E218" s="2890"/>
      <c r="F218" s="341">
        <f t="shared" si="30"/>
        <v>0</v>
      </c>
      <c r="G218" s="357"/>
      <c r="H218" s="348">
        <v>0</v>
      </c>
      <c r="I218" s="348">
        <v>0</v>
      </c>
      <c r="J218" s="348">
        <v>0</v>
      </c>
      <c r="K218" s="348">
        <v>0</v>
      </c>
      <c r="L218" s="348">
        <v>0</v>
      </c>
      <c r="M218" s="348">
        <v>0</v>
      </c>
      <c r="N218" s="348">
        <v>0</v>
      </c>
      <c r="O218" s="348">
        <v>0</v>
      </c>
      <c r="P218" s="348">
        <v>0</v>
      </c>
      <c r="Q218" s="348">
        <v>0</v>
      </c>
      <c r="R218" s="348">
        <v>0</v>
      </c>
      <c r="S218" s="348">
        <v>0</v>
      </c>
      <c r="U218" s="1297">
        <v>55210000</v>
      </c>
    </row>
    <row r="219" spans="1:21" x14ac:dyDescent="0.2">
      <c r="A219" s="170">
        <v>2560</v>
      </c>
      <c r="B219" s="2890" t="s">
        <v>683</v>
      </c>
      <c r="C219" s="2890"/>
      <c r="D219" s="2890"/>
      <c r="E219" s="2890"/>
      <c r="F219" s="341">
        <f t="shared" si="30"/>
        <v>0</v>
      </c>
      <c r="G219" s="2398" t="str">
        <f>IF(F219='210'!M34," ","Should agree to total accumulated depreciation increases per ws 210, cell K25; provide explanation for difference on ws 210")</f>
        <v xml:space="preserve"> </v>
      </c>
      <c r="H219" s="348">
        <v>0</v>
      </c>
      <c r="I219" s="348">
        <v>0</v>
      </c>
      <c r="J219" s="348">
        <v>0</v>
      </c>
      <c r="K219" s="348">
        <v>0</v>
      </c>
      <c r="L219" s="348">
        <v>0</v>
      </c>
      <c r="M219" s="348">
        <v>0</v>
      </c>
      <c r="N219" s="348">
        <v>0</v>
      </c>
      <c r="O219" s="348">
        <v>0</v>
      </c>
      <c r="P219" s="348">
        <v>0</v>
      </c>
      <c r="Q219" s="348">
        <v>0</v>
      </c>
      <c r="R219" s="348">
        <v>0</v>
      </c>
      <c r="S219" s="348">
        <v>0</v>
      </c>
      <c r="U219" s="1297">
        <v>55430000</v>
      </c>
    </row>
    <row r="220" spans="1:21" x14ac:dyDescent="0.2">
      <c r="A220" s="170">
        <v>2570</v>
      </c>
      <c r="B220" s="2890" t="s">
        <v>2886</v>
      </c>
      <c r="C220" s="2890"/>
      <c r="D220" s="2890"/>
      <c r="E220" s="2890"/>
      <c r="F220" s="341">
        <f t="shared" si="30"/>
        <v>0</v>
      </c>
      <c r="G220" s="357"/>
      <c r="H220" s="348">
        <v>0</v>
      </c>
      <c r="I220" s="348">
        <v>0</v>
      </c>
      <c r="J220" s="348">
        <v>0</v>
      </c>
      <c r="K220" s="348">
        <v>0</v>
      </c>
      <c r="L220" s="348">
        <v>0</v>
      </c>
      <c r="M220" s="348">
        <v>0</v>
      </c>
      <c r="N220" s="348">
        <v>0</v>
      </c>
      <c r="O220" s="348">
        <v>0</v>
      </c>
      <c r="P220" s="348">
        <v>0</v>
      </c>
      <c r="Q220" s="348">
        <v>0</v>
      </c>
      <c r="R220" s="348">
        <v>0</v>
      </c>
      <c r="S220" s="348">
        <v>0</v>
      </c>
      <c r="U220" s="1297">
        <v>52911000</v>
      </c>
    </row>
    <row r="221" spans="1:21" x14ac:dyDescent="0.2">
      <c r="A221" s="170">
        <v>2590</v>
      </c>
      <c r="B221" s="3066" t="s">
        <v>2887</v>
      </c>
      <c r="C221" s="3066"/>
      <c r="D221" s="3066"/>
      <c r="E221" s="3066"/>
      <c r="F221" s="341">
        <f t="shared" si="30"/>
        <v>0</v>
      </c>
      <c r="G221" s="2398"/>
      <c r="H221" s="348">
        <v>0</v>
      </c>
      <c r="I221" s="348">
        <v>0</v>
      </c>
      <c r="J221" s="348">
        <v>0</v>
      </c>
      <c r="K221" s="348">
        <v>0</v>
      </c>
      <c r="L221" s="348">
        <v>0</v>
      </c>
      <c r="M221" s="348">
        <v>0</v>
      </c>
      <c r="N221" s="348">
        <v>0</v>
      </c>
      <c r="O221" s="348">
        <v>0</v>
      </c>
      <c r="P221" s="348">
        <v>0</v>
      </c>
      <c r="Q221" s="348">
        <v>0</v>
      </c>
      <c r="R221" s="348">
        <v>0</v>
      </c>
      <c r="S221" s="348">
        <v>0</v>
      </c>
      <c r="U221" s="1297">
        <v>56810000</v>
      </c>
    </row>
    <row r="222" spans="1:21" x14ac:dyDescent="0.2">
      <c r="A222" s="170"/>
      <c r="B222" s="170" t="s">
        <v>1373</v>
      </c>
      <c r="C222" s="857"/>
      <c r="D222" s="857"/>
      <c r="E222" s="857"/>
      <c r="F222" s="1954"/>
      <c r="G222" s="2398"/>
      <c r="H222" s="348"/>
      <c r="I222" s="348"/>
      <c r="J222" s="348"/>
      <c r="K222" s="348"/>
      <c r="L222" s="348"/>
      <c r="M222" s="348"/>
      <c r="N222" s="348"/>
      <c r="O222" s="348"/>
      <c r="P222" s="348"/>
      <c r="Q222" s="348"/>
      <c r="R222" s="348"/>
      <c r="S222" s="348"/>
      <c r="U222" s="1297"/>
    </row>
    <row r="223" spans="1:21" x14ac:dyDescent="0.2">
      <c r="A223" s="170">
        <v>2610</v>
      </c>
      <c r="B223" s="2894" t="s">
        <v>2888</v>
      </c>
      <c r="C223" s="2894"/>
      <c r="D223" s="2894"/>
      <c r="E223" s="2894"/>
      <c r="F223" s="341">
        <f t="shared" si="30"/>
        <v>0</v>
      </c>
      <c r="G223" s="2398"/>
      <c r="H223" s="348">
        <v>0</v>
      </c>
      <c r="I223" s="348">
        <v>0</v>
      </c>
      <c r="J223" s="348">
        <v>0</v>
      </c>
      <c r="K223" s="348">
        <v>0</v>
      </c>
      <c r="L223" s="348">
        <v>0</v>
      </c>
      <c r="M223" s="348">
        <v>0</v>
      </c>
      <c r="N223" s="348">
        <v>0</v>
      </c>
      <c r="O223" s="348">
        <v>0</v>
      </c>
      <c r="P223" s="348">
        <v>0</v>
      </c>
      <c r="Q223" s="348">
        <v>0</v>
      </c>
      <c r="R223" s="348">
        <v>0</v>
      </c>
      <c r="S223" s="348">
        <v>0</v>
      </c>
      <c r="U223" s="1297">
        <v>52410000</v>
      </c>
    </row>
    <row r="224" spans="1:21" x14ac:dyDescent="0.2">
      <c r="A224" s="170">
        <v>2625</v>
      </c>
      <c r="B224" s="2894" t="s">
        <v>2012</v>
      </c>
      <c r="C224" s="2894"/>
      <c r="D224" s="2894"/>
      <c r="E224" s="2894"/>
      <c r="F224" s="341">
        <f t="shared" si="30"/>
        <v>0</v>
      </c>
      <c r="G224" s="2398"/>
      <c r="H224" s="348">
        <v>0</v>
      </c>
      <c r="I224" s="348">
        <v>0</v>
      </c>
      <c r="J224" s="348">
        <v>0</v>
      </c>
      <c r="K224" s="348">
        <v>0</v>
      </c>
      <c r="L224" s="348">
        <v>0</v>
      </c>
      <c r="M224" s="348">
        <v>0</v>
      </c>
      <c r="N224" s="348">
        <v>0</v>
      </c>
      <c r="O224" s="348">
        <v>0</v>
      </c>
      <c r="P224" s="348">
        <v>0</v>
      </c>
      <c r="Q224" s="348">
        <v>0</v>
      </c>
      <c r="R224" s="348">
        <v>0</v>
      </c>
      <c r="S224" s="348">
        <v>0</v>
      </c>
      <c r="U224" s="1359">
        <v>56900000</v>
      </c>
    </row>
    <row r="225" spans="1:21" x14ac:dyDescent="0.2">
      <c r="A225" s="170">
        <v>2630</v>
      </c>
      <c r="B225" s="2894" t="s">
        <v>2014</v>
      </c>
      <c r="C225" s="2894"/>
      <c r="D225" s="2894"/>
      <c r="E225" s="2894"/>
      <c r="F225" s="341">
        <f t="shared" si="30"/>
        <v>0</v>
      </c>
      <c r="G225" s="2398"/>
      <c r="H225" s="348">
        <v>0</v>
      </c>
      <c r="I225" s="348">
        <v>0</v>
      </c>
      <c r="J225" s="348">
        <v>0</v>
      </c>
      <c r="K225" s="348">
        <v>0</v>
      </c>
      <c r="L225" s="348">
        <v>0</v>
      </c>
      <c r="M225" s="348">
        <v>0</v>
      </c>
      <c r="N225" s="348">
        <v>0</v>
      </c>
      <c r="O225" s="348">
        <v>0</v>
      </c>
      <c r="P225" s="348">
        <v>0</v>
      </c>
      <c r="Q225" s="348">
        <v>0</v>
      </c>
      <c r="R225" s="348">
        <v>0</v>
      </c>
      <c r="S225" s="348">
        <v>0</v>
      </c>
      <c r="U225" s="1297">
        <v>52511000</v>
      </c>
    </row>
    <row r="226" spans="1:21" x14ac:dyDescent="0.2">
      <c r="B226" s="3067" t="s">
        <v>2889</v>
      </c>
      <c r="C226" s="3067"/>
      <c r="D226" s="3067"/>
      <c r="E226" s="3067"/>
      <c r="F226" s="379">
        <f>SUM(F214:F225)</f>
        <v>0</v>
      </c>
      <c r="H226" s="379">
        <f t="shared" ref="H226:S226" si="31">SUM(H214:H225)</f>
        <v>0</v>
      </c>
      <c r="I226" s="379">
        <f t="shared" si="31"/>
        <v>0</v>
      </c>
      <c r="J226" s="379">
        <f t="shared" si="31"/>
        <v>0</v>
      </c>
      <c r="K226" s="379">
        <f t="shared" si="31"/>
        <v>0</v>
      </c>
      <c r="L226" s="379">
        <f t="shared" si="31"/>
        <v>0</v>
      </c>
      <c r="M226" s="379">
        <f t="shared" si="31"/>
        <v>0</v>
      </c>
      <c r="N226" s="379">
        <f t="shared" si="31"/>
        <v>0</v>
      </c>
      <c r="O226" s="379">
        <f t="shared" si="31"/>
        <v>0</v>
      </c>
      <c r="P226" s="379">
        <f t="shared" si="31"/>
        <v>0</v>
      </c>
      <c r="Q226" s="379">
        <f t="shared" si="31"/>
        <v>0</v>
      </c>
      <c r="R226" s="379">
        <f t="shared" si="31"/>
        <v>0</v>
      </c>
      <c r="S226" s="379">
        <f t="shared" si="31"/>
        <v>0</v>
      </c>
      <c r="T226" t="str">
        <f>IF(SUM(H226:S226)=F226,"OK ","Crossfoot error: sum of Col H thru S must equal total in Col F")</f>
        <v xml:space="preserve">OK </v>
      </c>
      <c r="U226" s="1354"/>
    </row>
    <row r="227" spans="1:21" x14ac:dyDescent="0.2">
      <c r="B227" s="3067" t="s">
        <v>2890</v>
      </c>
      <c r="C227" s="3067"/>
      <c r="D227" s="3067"/>
      <c r="E227" s="3067"/>
      <c r="F227" s="379">
        <f>F211-F226</f>
        <v>0</v>
      </c>
      <c r="H227" s="379">
        <f t="shared" ref="H227:S227" si="32">H211-H226</f>
        <v>0</v>
      </c>
      <c r="I227" s="379">
        <f t="shared" si="32"/>
        <v>0</v>
      </c>
      <c r="J227" s="379">
        <f t="shared" si="32"/>
        <v>0</v>
      </c>
      <c r="K227" s="379">
        <f t="shared" si="32"/>
        <v>0</v>
      </c>
      <c r="L227" s="379">
        <f t="shared" si="32"/>
        <v>0</v>
      </c>
      <c r="M227" s="379">
        <f t="shared" si="32"/>
        <v>0</v>
      </c>
      <c r="N227" s="379">
        <f t="shared" si="32"/>
        <v>0</v>
      </c>
      <c r="O227" s="379">
        <f t="shared" si="32"/>
        <v>0</v>
      </c>
      <c r="P227" s="379">
        <f t="shared" si="32"/>
        <v>0</v>
      </c>
      <c r="Q227" s="379">
        <f t="shared" si="32"/>
        <v>0</v>
      </c>
      <c r="R227" s="379">
        <f t="shared" si="32"/>
        <v>0</v>
      </c>
      <c r="S227" s="379">
        <f t="shared" si="32"/>
        <v>0</v>
      </c>
      <c r="T227" t="str">
        <f>IF(SUM(H227:S227)=F227,"OK ","Crossfoot error: sum of Col H thru S must equal total in Col F")</f>
        <v xml:space="preserve">OK </v>
      </c>
      <c r="U227" s="1354"/>
    </row>
    <row r="228" spans="1:21" ht="3.75" customHeight="1" x14ac:dyDescent="0.2">
      <c r="B228" s="2430"/>
      <c r="C228" s="2430"/>
      <c r="D228" s="2430"/>
      <c r="E228" s="2430"/>
      <c r="U228" s="1354"/>
    </row>
    <row r="229" spans="1:21" x14ac:dyDescent="0.2">
      <c r="B229" s="2442" t="s">
        <v>2016</v>
      </c>
      <c r="U229" s="1354"/>
    </row>
    <row r="230" spans="1:21" x14ac:dyDescent="0.2">
      <c r="A230" s="170">
        <v>2690</v>
      </c>
      <c r="B230" s="2890" t="s">
        <v>2891</v>
      </c>
      <c r="C230" s="2890"/>
      <c r="D230" s="2890"/>
      <c r="E230" s="2890"/>
      <c r="F230" s="341">
        <f>SUM(H230:S230)</f>
        <v>0</v>
      </c>
      <c r="G230" s="1955"/>
      <c r="H230" s="348">
        <v>0</v>
      </c>
      <c r="I230" s="348">
        <v>0</v>
      </c>
      <c r="J230" s="348">
        <v>0</v>
      </c>
      <c r="K230" s="348">
        <v>0</v>
      </c>
      <c r="L230" s="348">
        <v>0</v>
      </c>
      <c r="M230" s="348">
        <v>0</v>
      </c>
      <c r="N230" s="348">
        <v>0</v>
      </c>
      <c r="O230" s="348">
        <v>0</v>
      </c>
      <c r="P230" s="348">
        <v>0</v>
      </c>
      <c r="Q230" s="348">
        <v>0</v>
      </c>
      <c r="R230" s="348">
        <v>0</v>
      </c>
      <c r="S230" s="348">
        <v>0</v>
      </c>
      <c r="U230" s="1297">
        <v>49100000</v>
      </c>
    </row>
    <row r="231" spans="1:21" x14ac:dyDescent="0.2">
      <c r="A231" s="170">
        <v>2691</v>
      </c>
      <c r="B231" s="3070" t="s">
        <v>2892</v>
      </c>
      <c r="C231" s="3070"/>
      <c r="D231" s="3070"/>
      <c r="E231" s="3070"/>
      <c r="F231" s="341">
        <f t="shared" ref="F231:F248" si="33">SUM(H231:S231)</f>
        <v>0</v>
      </c>
      <c r="G231" s="1956"/>
      <c r="H231" s="348">
        <v>0</v>
      </c>
      <c r="I231" s="348">
        <v>0</v>
      </c>
      <c r="J231" s="348">
        <v>0</v>
      </c>
      <c r="K231" s="348">
        <v>0</v>
      </c>
      <c r="L231" s="348">
        <v>0</v>
      </c>
      <c r="M231" s="348">
        <v>0</v>
      </c>
      <c r="N231" s="348">
        <v>0</v>
      </c>
      <c r="O231" s="348">
        <v>0</v>
      </c>
      <c r="P231" s="348">
        <v>0</v>
      </c>
      <c r="Q231" s="348">
        <v>0</v>
      </c>
      <c r="R231" s="348">
        <v>0</v>
      </c>
      <c r="S231" s="348">
        <v>0</v>
      </c>
      <c r="U231" s="1297">
        <v>42908000</v>
      </c>
    </row>
    <row r="232" spans="1:21" x14ac:dyDescent="0.2">
      <c r="A232" s="170">
        <v>2692</v>
      </c>
      <c r="B232" s="2890" t="s">
        <v>2894</v>
      </c>
      <c r="C232" s="2890"/>
      <c r="D232" s="2890"/>
      <c r="E232" s="2890"/>
      <c r="F232" s="341">
        <f t="shared" si="33"/>
        <v>0</v>
      </c>
      <c r="G232" s="1955"/>
      <c r="H232" s="348">
        <v>0</v>
      </c>
      <c r="I232" s="348">
        <v>0</v>
      </c>
      <c r="J232" s="348">
        <v>0</v>
      </c>
      <c r="K232" s="348">
        <v>0</v>
      </c>
      <c r="L232" s="348">
        <v>0</v>
      </c>
      <c r="M232" s="348">
        <v>0</v>
      </c>
      <c r="N232" s="348">
        <v>0</v>
      </c>
      <c r="O232" s="348">
        <v>0</v>
      </c>
      <c r="P232" s="348">
        <v>0</v>
      </c>
      <c r="Q232" s="348">
        <v>0</v>
      </c>
      <c r="R232" s="348">
        <v>0</v>
      </c>
      <c r="S232" s="348">
        <v>0</v>
      </c>
      <c r="U232" s="1297">
        <v>42990000</v>
      </c>
    </row>
    <row r="233" spans="1:21" x14ac:dyDescent="0.2">
      <c r="A233" s="170">
        <v>2693</v>
      </c>
      <c r="B233" s="3068" t="s">
        <v>2895</v>
      </c>
      <c r="C233" s="3068"/>
      <c r="D233" s="3068"/>
      <c r="E233" s="3068"/>
      <c r="F233" s="341">
        <f t="shared" si="33"/>
        <v>0</v>
      </c>
      <c r="G233" s="1955"/>
      <c r="H233" s="348">
        <v>0</v>
      </c>
      <c r="I233" s="348">
        <v>0</v>
      </c>
      <c r="J233" s="348">
        <v>0</v>
      </c>
      <c r="K233" s="348">
        <v>0</v>
      </c>
      <c r="L233" s="348">
        <v>0</v>
      </c>
      <c r="M233" s="348">
        <v>0</v>
      </c>
      <c r="N233" s="348">
        <v>0</v>
      </c>
      <c r="O233" s="348">
        <v>0</v>
      </c>
      <c r="P233" s="348">
        <v>0</v>
      </c>
      <c r="Q233" s="348"/>
      <c r="R233" s="348">
        <v>0</v>
      </c>
      <c r="S233" s="348">
        <v>0</v>
      </c>
      <c r="U233" s="1359">
        <v>42905000</v>
      </c>
    </row>
    <row r="234" spans="1:21" x14ac:dyDescent="0.2">
      <c r="A234" s="170">
        <v>2700</v>
      </c>
      <c r="B234" s="3066" t="s">
        <v>2019</v>
      </c>
      <c r="C234" s="3066"/>
      <c r="D234" s="3066"/>
      <c r="E234" s="3066"/>
      <c r="F234" s="341">
        <f t="shared" si="33"/>
        <v>0</v>
      </c>
      <c r="G234" s="357"/>
      <c r="H234" s="348">
        <v>0</v>
      </c>
      <c r="I234" s="348">
        <v>0</v>
      </c>
      <c r="J234" s="348">
        <v>0</v>
      </c>
      <c r="K234" s="348">
        <v>0</v>
      </c>
      <c r="L234" s="348">
        <v>0</v>
      </c>
      <c r="M234" s="348">
        <v>0</v>
      </c>
      <c r="N234" s="348">
        <v>0</v>
      </c>
      <c r="O234" s="348">
        <v>0</v>
      </c>
      <c r="P234" s="348">
        <v>0</v>
      </c>
      <c r="Q234" s="348">
        <v>0</v>
      </c>
      <c r="R234" s="348">
        <v>0</v>
      </c>
      <c r="S234" s="348">
        <v>0</v>
      </c>
      <c r="U234" s="1359" t="s">
        <v>2897</v>
      </c>
    </row>
    <row r="235" spans="1:21" x14ac:dyDescent="0.2">
      <c r="A235" s="170">
        <v>2701</v>
      </c>
      <c r="B235" s="3066" t="s">
        <v>2898</v>
      </c>
      <c r="C235" s="3066"/>
      <c r="D235" s="3066"/>
      <c r="E235" s="3066"/>
      <c r="F235" s="341">
        <f t="shared" si="33"/>
        <v>0</v>
      </c>
      <c r="G235" s="357"/>
      <c r="H235" s="348">
        <v>0</v>
      </c>
      <c r="I235" s="348">
        <v>0</v>
      </c>
      <c r="J235" s="348">
        <v>0</v>
      </c>
      <c r="K235" s="348">
        <v>0</v>
      </c>
      <c r="L235" s="348">
        <v>0</v>
      </c>
      <c r="M235" s="348">
        <v>0</v>
      </c>
      <c r="N235" s="348">
        <v>0</v>
      </c>
      <c r="O235" s="348">
        <v>0</v>
      </c>
      <c r="P235" s="348">
        <v>0</v>
      </c>
      <c r="Q235" s="348"/>
      <c r="R235" s="348">
        <v>0</v>
      </c>
      <c r="S235" s="348">
        <v>0</v>
      </c>
      <c r="U235" s="1359" t="s">
        <v>2900</v>
      </c>
    </row>
    <row r="236" spans="1:21" x14ac:dyDescent="0.2">
      <c r="A236" s="170">
        <v>2710</v>
      </c>
      <c r="B236" s="3069" t="s">
        <v>2901</v>
      </c>
      <c r="C236" s="3069"/>
      <c r="D236" s="3069"/>
      <c r="E236" s="3069"/>
      <c r="F236" s="341">
        <f t="shared" si="33"/>
        <v>0</v>
      </c>
      <c r="G236" s="357"/>
      <c r="H236" s="348">
        <v>0</v>
      </c>
      <c r="I236" s="348">
        <v>0</v>
      </c>
      <c r="J236" s="348">
        <v>0</v>
      </c>
      <c r="K236" s="348">
        <v>0</v>
      </c>
      <c r="L236" s="348">
        <v>0</v>
      </c>
      <c r="M236" s="348">
        <v>0</v>
      </c>
      <c r="N236" s="348">
        <v>0</v>
      </c>
      <c r="O236" s="348">
        <v>0</v>
      </c>
      <c r="P236" s="348">
        <v>0</v>
      </c>
      <c r="Q236" s="348">
        <v>0</v>
      </c>
      <c r="R236" s="348">
        <v>0</v>
      </c>
      <c r="S236" s="348">
        <v>0</v>
      </c>
      <c r="U236" s="1297">
        <v>46200000</v>
      </c>
    </row>
    <row r="237" spans="1:21" x14ac:dyDescent="0.2">
      <c r="A237" s="170">
        <v>2711</v>
      </c>
      <c r="B237" s="3069" t="s">
        <v>2022</v>
      </c>
      <c r="C237" s="3069"/>
      <c r="D237" s="3069"/>
      <c r="E237" s="3069"/>
      <c r="F237" s="341">
        <f t="shared" si="33"/>
        <v>0</v>
      </c>
      <c r="G237" s="357"/>
      <c r="H237" s="348">
        <v>0</v>
      </c>
      <c r="I237" s="348">
        <v>0</v>
      </c>
      <c r="J237" s="348">
        <v>0</v>
      </c>
      <c r="K237" s="348">
        <v>0</v>
      </c>
      <c r="L237" s="348">
        <v>0</v>
      </c>
      <c r="M237" s="348">
        <v>0</v>
      </c>
      <c r="N237" s="348">
        <v>0</v>
      </c>
      <c r="O237" s="348">
        <v>0</v>
      </c>
      <c r="P237" s="348">
        <v>0</v>
      </c>
      <c r="Q237" s="348"/>
      <c r="R237" s="348">
        <v>0</v>
      </c>
      <c r="S237" s="348">
        <v>0</v>
      </c>
      <c r="U237" s="1297">
        <v>46207000</v>
      </c>
    </row>
    <row r="238" spans="1:21" x14ac:dyDescent="0.2">
      <c r="A238" s="170">
        <v>2720</v>
      </c>
      <c r="B238" s="2890" t="s">
        <v>2902</v>
      </c>
      <c r="C238" s="2890"/>
      <c r="D238" s="2890"/>
      <c r="E238" s="2890"/>
      <c r="F238" s="341">
        <f t="shared" si="33"/>
        <v>0</v>
      </c>
      <c r="G238" s="1957" t="str">
        <f>IF(F238&gt;0, "Problem: Expense must be entered as negative number"," ")</f>
        <v xml:space="preserve"> </v>
      </c>
      <c r="H238" s="348">
        <v>0</v>
      </c>
      <c r="I238" s="348">
        <v>0</v>
      </c>
      <c r="J238" s="348">
        <v>0</v>
      </c>
      <c r="K238" s="348">
        <v>0</v>
      </c>
      <c r="L238" s="348">
        <v>0</v>
      </c>
      <c r="M238" s="348">
        <v>0</v>
      </c>
      <c r="N238" s="348">
        <v>0</v>
      </c>
      <c r="O238" s="348">
        <v>0</v>
      </c>
      <c r="P238" s="348">
        <v>0</v>
      </c>
      <c r="Q238" s="348">
        <v>0</v>
      </c>
      <c r="R238" s="348">
        <v>0</v>
      </c>
      <c r="S238" s="348">
        <v>0</v>
      </c>
      <c r="U238" s="1297">
        <v>55321000</v>
      </c>
    </row>
    <row r="239" spans="1:21" x14ac:dyDescent="0.2">
      <c r="A239" s="170">
        <v>2740</v>
      </c>
      <c r="B239" s="2890" t="s">
        <v>2903</v>
      </c>
      <c r="C239" s="2890"/>
      <c r="D239" s="2890"/>
      <c r="E239" s="2890"/>
      <c r="F239" s="341">
        <f t="shared" si="33"/>
        <v>0</v>
      </c>
      <c r="G239" s="1957" t="str">
        <f>IF(F239&lt;0, "Problem: Gain must be entered as positive number; if loss, please key to loss caption below instead"," ")</f>
        <v xml:space="preserve"> </v>
      </c>
      <c r="H239" s="348">
        <v>0</v>
      </c>
      <c r="I239" s="348">
        <v>0</v>
      </c>
      <c r="J239" s="348">
        <v>0</v>
      </c>
      <c r="K239" s="348">
        <v>0</v>
      </c>
      <c r="L239" s="348">
        <v>0</v>
      </c>
      <c r="M239" s="348">
        <v>0</v>
      </c>
      <c r="N239" s="348">
        <v>0</v>
      </c>
      <c r="O239" s="348">
        <v>0</v>
      </c>
      <c r="P239" s="348">
        <v>0</v>
      </c>
      <c r="Q239" s="348">
        <v>0</v>
      </c>
      <c r="R239" s="348">
        <v>0</v>
      </c>
      <c r="S239" s="348">
        <v>0</v>
      </c>
      <c r="U239" s="1297">
        <v>44330000</v>
      </c>
    </row>
    <row r="240" spans="1:21" x14ac:dyDescent="0.2">
      <c r="A240" s="170">
        <v>2750</v>
      </c>
      <c r="B240" s="2890" t="s">
        <v>2904</v>
      </c>
      <c r="C240" s="2890"/>
      <c r="D240" s="2890"/>
      <c r="E240" s="2890"/>
      <c r="F240" s="341">
        <f t="shared" si="33"/>
        <v>0</v>
      </c>
      <c r="G240" s="1957" t="str">
        <f>IF(F240&gt;0, "Problem: Expense/Loss must be entered as negative number; if gain, please key to gain caption above instead"," ")</f>
        <v xml:space="preserve"> </v>
      </c>
      <c r="H240" s="348">
        <v>0</v>
      </c>
      <c r="I240" s="348">
        <v>0</v>
      </c>
      <c r="J240" s="348">
        <v>0</v>
      </c>
      <c r="K240" s="348">
        <v>0</v>
      </c>
      <c r="L240" s="348">
        <v>0</v>
      </c>
      <c r="M240" s="348">
        <v>0</v>
      </c>
      <c r="N240" s="348">
        <v>0</v>
      </c>
      <c r="O240" s="348">
        <v>0</v>
      </c>
      <c r="P240" s="348">
        <v>0</v>
      </c>
      <c r="Q240" s="348">
        <v>0</v>
      </c>
      <c r="R240" s="348">
        <v>0</v>
      </c>
      <c r="S240" s="348">
        <v>0</v>
      </c>
      <c r="U240" s="1297">
        <v>55650000</v>
      </c>
    </row>
    <row r="241" spans="1:21" x14ac:dyDescent="0.2">
      <c r="A241" s="170">
        <v>2755</v>
      </c>
      <c r="B241" s="2890" t="s">
        <v>2905</v>
      </c>
      <c r="C241" s="2890"/>
      <c r="D241" s="2890"/>
      <c r="E241" s="2890"/>
      <c r="F241" s="341">
        <f t="shared" si="33"/>
        <v>0</v>
      </c>
      <c r="G241" s="357"/>
      <c r="H241" s="348">
        <v>0</v>
      </c>
      <c r="I241" s="348">
        <v>0</v>
      </c>
      <c r="J241" s="348">
        <v>0</v>
      </c>
      <c r="K241" s="348">
        <v>0</v>
      </c>
      <c r="L241" s="348">
        <v>0</v>
      </c>
      <c r="M241" s="348">
        <v>0</v>
      </c>
      <c r="N241" s="348">
        <v>0</v>
      </c>
      <c r="O241" s="348">
        <v>0</v>
      </c>
      <c r="P241" s="348">
        <v>0</v>
      </c>
      <c r="Q241" s="348">
        <v>0</v>
      </c>
      <c r="R241" s="348">
        <v>0</v>
      </c>
      <c r="S241" s="348">
        <v>0</v>
      </c>
      <c r="U241" s="1297">
        <v>55341000</v>
      </c>
    </row>
    <row r="242" spans="1:21" x14ac:dyDescent="0.2">
      <c r="A242" s="170">
        <v>2760</v>
      </c>
      <c r="B242" s="2890" t="s">
        <v>1250</v>
      </c>
      <c r="C242" s="2890"/>
      <c r="D242" s="2890"/>
      <c r="E242" s="2890"/>
      <c r="F242" s="341">
        <f t="shared" si="33"/>
        <v>0</v>
      </c>
      <c r="G242" s="357"/>
      <c r="H242" s="348">
        <v>0</v>
      </c>
      <c r="I242" s="348">
        <v>0</v>
      </c>
      <c r="J242" s="348">
        <v>0</v>
      </c>
      <c r="K242" s="348">
        <v>0</v>
      </c>
      <c r="L242" s="348">
        <v>0</v>
      </c>
      <c r="M242" s="348">
        <v>0</v>
      </c>
      <c r="N242" s="348">
        <v>0</v>
      </c>
      <c r="O242" s="348">
        <v>0</v>
      </c>
      <c r="P242" s="348">
        <v>0</v>
      </c>
      <c r="Q242" s="348">
        <v>0</v>
      </c>
      <c r="R242" s="348">
        <v>0</v>
      </c>
      <c r="S242" s="348">
        <v>0</v>
      </c>
      <c r="U242" s="1297">
        <v>43111000</v>
      </c>
    </row>
    <row r="243" spans="1:21" x14ac:dyDescent="0.2">
      <c r="A243" s="170">
        <v>2770</v>
      </c>
      <c r="B243" s="2890" t="s">
        <v>2906</v>
      </c>
      <c r="C243" s="2890"/>
      <c r="D243" s="2890"/>
      <c r="E243" s="2890"/>
      <c r="F243" s="341">
        <f t="shared" si="33"/>
        <v>0</v>
      </c>
      <c r="G243" s="357"/>
      <c r="H243" s="348">
        <v>0</v>
      </c>
      <c r="I243" s="348">
        <v>0</v>
      </c>
      <c r="J243" s="348">
        <v>0</v>
      </c>
      <c r="K243" s="348">
        <v>0</v>
      </c>
      <c r="L243" s="348">
        <v>0</v>
      </c>
      <c r="M243" s="348">
        <v>0</v>
      </c>
      <c r="N243" s="348">
        <v>0</v>
      </c>
      <c r="O243" s="348">
        <v>0</v>
      </c>
      <c r="P243" s="348">
        <v>0</v>
      </c>
      <c r="Q243" s="348">
        <v>0</v>
      </c>
      <c r="R243" s="348">
        <v>0</v>
      </c>
      <c r="S243" s="348">
        <v>0</v>
      </c>
      <c r="U243" s="1297">
        <v>47116000</v>
      </c>
    </row>
    <row r="244" spans="1:21" x14ac:dyDescent="0.2">
      <c r="A244" s="170">
        <v>2780</v>
      </c>
      <c r="B244" s="2890" t="s">
        <v>2026</v>
      </c>
      <c r="C244" s="2890"/>
      <c r="D244" s="2890"/>
      <c r="E244" s="2890"/>
      <c r="F244" s="341">
        <f t="shared" si="33"/>
        <v>0</v>
      </c>
      <c r="G244" s="1957" t="str">
        <f>IF(F244&gt;0, "Problem: Nonoperating expense must be entered as negative number; if grant revenue, please see captions above"," ")</f>
        <v xml:space="preserve"> </v>
      </c>
      <c r="H244" s="348">
        <v>0</v>
      </c>
      <c r="I244" s="348">
        <v>0</v>
      </c>
      <c r="J244" s="348">
        <v>0</v>
      </c>
      <c r="K244" s="348">
        <v>0</v>
      </c>
      <c r="L244" s="348">
        <v>0</v>
      </c>
      <c r="M244" s="348">
        <v>0</v>
      </c>
      <c r="N244" s="348">
        <v>0</v>
      </c>
      <c r="O244" s="348">
        <v>0</v>
      </c>
      <c r="P244" s="348">
        <v>0</v>
      </c>
      <c r="Q244" s="348">
        <v>0</v>
      </c>
      <c r="R244" s="348">
        <v>0</v>
      </c>
      <c r="S244" s="348">
        <v>0</v>
      </c>
      <c r="U244" s="1359" t="s">
        <v>2907</v>
      </c>
    </row>
    <row r="245" spans="1:21" x14ac:dyDescent="0.2">
      <c r="A245" s="170">
        <v>2785</v>
      </c>
      <c r="B245" s="2890" t="s">
        <v>1254</v>
      </c>
      <c r="C245" s="2890"/>
      <c r="D245" s="2890"/>
      <c r="E245" s="2890"/>
      <c r="F245" s="341">
        <f t="shared" si="33"/>
        <v>0</v>
      </c>
      <c r="G245" s="2398"/>
      <c r="H245" s="348">
        <v>0</v>
      </c>
      <c r="I245" s="348">
        <v>0</v>
      </c>
      <c r="J245" s="348">
        <v>0</v>
      </c>
      <c r="K245" s="348">
        <v>0</v>
      </c>
      <c r="L245" s="348">
        <v>0</v>
      </c>
      <c r="M245" s="348">
        <v>0</v>
      </c>
      <c r="N245" s="348">
        <v>0</v>
      </c>
      <c r="O245" s="348">
        <v>0</v>
      </c>
      <c r="P245" s="348">
        <v>0</v>
      </c>
      <c r="Q245" s="348">
        <v>0</v>
      </c>
      <c r="R245" s="348">
        <v>0</v>
      </c>
      <c r="S245" s="348">
        <v>0</v>
      </c>
      <c r="U245" s="1297">
        <v>42907000</v>
      </c>
    </row>
    <row r="246" spans="1:21" x14ac:dyDescent="0.2">
      <c r="A246" s="170">
        <v>2786</v>
      </c>
      <c r="B246" s="2890" t="s">
        <v>2908</v>
      </c>
      <c r="C246" s="2890"/>
      <c r="D246" s="2890"/>
      <c r="E246" s="2890"/>
      <c r="F246" s="341">
        <f t="shared" si="33"/>
        <v>0</v>
      </c>
      <c r="G246" s="2398"/>
      <c r="H246" s="348">
        <v>0</v>
      </c>
      <c r="I246" s="348">
        <v>0</v>
      </c>
      <c r="J246" s="348">
        <v>0</v>
      </c>
      <c r="K246" s="348">
        <v>0</v>
      </c>
      <c r="L246" s="348">
        <v>0</v>
      </c>
      <c r="M246" s="348">
        <v>0</v>
      </c>
      <c r="N246" s="348">
        <v>0</v>
      </c>
      <c r="O246" s="348">
        <v>0</v>
      </c>
      <c r="P246" s="348">
        <v>0</v>
      </c>
      <c r="Q246" s="348"/>
      <c r="R246" s="348"/>
      <c r="S246" s="348"/>
      <c r="U246" s="1297">
        <v>47128000</v>
      </c>
    </row>
    <row r="247" spans="1:21" x14ac:dyDescent="0.2">
      <c r="A247" s="170">
        <v>2800</v>
      </c>
      <c r="B247" s="2890" t="s">
        <v>2028</v>
      </c>
      <c r="C247" s="2890"/>
      <c r="D247" s="2890"/>
      <c r="E247" s="2890"/>
      <c r="F247" s="341">
        <f t="shared" si="33"/>
        <v>0</v>
      </c>
      <c r="G247" s="1957" t="str">
        <f>IF(F247&lt;0, "Problem: Misc nonperating revenue must be entered as positive number; if expense key to nonoperating expense caption below"," ")</f>
        <v xml:space="preserve"> </v>
      </c>
      <c r="H247" s="348">
        <v>0</v>
      </c>
      <c r="I247" s="348">
        <v>0</v>
      </c>
      <c r="J247" s="348">
        <v>0</v>
      </c>
      <c r="K247" s="348">
        <v>0</v>
      </c>
      <c r="L247" s="348">
        <v>0</v>
      </c>
      <c r="M247" s="348">
        <v>0</v>
      </c>
      <c r="N247" s="348">
        <v>0</v>
      </c>
      <c r="O247" s="348">
        <v>0</v>
      </c>
      <c r="P247" s="348">
        <v>0</v>
      </c>
      <c r="Q247" s="348">
        <v>0</v>
      </c>
      <c r="R247" s="348">
        <v>0</v>
      </c>
      <c r="S247" s="348">
        <v>0</v>
      </c>
      <c r="U247" s="1297">
        <v>44321000</v>
      </c>
    </row>
    <row r="248" spans="1:21" x14ac:dyDescent="0.2">
      <c r="A248" s="170">
        <v>2810</v>
      </c>
      <c r="B248" s="2890" t="s">
        <v>2031</v>
      </c>
      <c r="C248" s="2890"/>
      <c r="D248" s="2890"/>
      <c r="E248" s="2890"/>
      <c r="F248" s="341">
        <f t="shared" si="33"/>
        <v>0</v>
      </c>
      <c r="G248" s="1957" t="str">
        <f>IF(F248&gt;0, "Problem: Misc nonoperating expense must be entered as negative number; if revenue, key to nonoperating revenue caption above."," ")</f>
        <v xml:space="preserve"> </v>
      </c>
      <c r="H248" s="348">
        <v>0</v>
      </c>
      <c r="I248" s="348">
        <v>0</v>
      </c>
      <c r="J248" s="348">
        <v>0</v>
      </c>
      <c r="K248" s="348">
        <v>0</v>
      </c>
      <c r="L248" s="348">
        <v>0</v>
      </c>
      <c r="M248" s="348">
        <v>0</v>
      </c>
      <c r="N248" s="348">
        <v>0</v>
      </c>
      <c r="O248" s="348">
        <v>0</v>
      </c>
      <c r="P248" s="348">
        <v>0</v>
      </c>
      <c r="Q248" s="348">
        <v>0</v>
      </c>
      <c r="R248" s="348">
        <v>0</v>
      </c>
      <c r="S248" s="348">
        <v>0</v>
      </c>
      <c r="U248" s="1297">
        <v>55332000</v>
      </c>
    </row>
    <row r="249" spans="1:21" x14ac:dyDescent="0.2">
      <c r="B249" s="3067" t="s">
        <v>2909</v>
      </c>
      <c r="C249" s="3067"/>
      <c r="D249" s="3067"/>
      <c r="E249" s="3067"/>
      <c r="F249" s="350">
        <f>SUM(F230:F248)</f>
        <v>0</v>
      </c>
      <c r="H249" s="350">
        <f t="shared" ref="H249:S249" si="34">SUM(H230:H248)</f>
        <v>0</v>
      </c>
      <c r="I249" s="350">
        <f t="shared" si="34"/>
        <v>0</v>
      </c>
      <c r="J249" s="350">
        <f t="shared" si="34"/>
        <v>0</v>
      </c>
      <c r="K249" s="350">
        <f t="shared" si="34"/>
        <v>0</v>
      </c>
      <c r="L249" s="350">
        <f t="shared" si="34"/>
        <v>0</v>
      </c>
      <c r="M249" s="350">
        <f t="shared" si="34"/>
        <v>0</v>
      </c>
      <c r="N249" s="350">
        <f t="shared" si="34"/>
        <v>0</v>
      </c>
      <c r="O249" s="350">
        <f t="shared" si="34"/>
        <v>0</v>
      </c>
      <c r="P249" s="350">
        <f t="shared" si="34"/>
        <v>0</v>
      </c>
      <c r="Q249" s="350">
        <f t="shared" si="34"/>
        <v>0</v>
      </c>
      <c r="R249" s="350">
        <f t="shared" si="34"/>
        <v>0</v>
      </c>
      <c r="S249" s="350">
        <f t="shared" si="34"/>
        <v>0</v>
      </c>
      <c r="T249" t="str">
        <f>IF(SUM(H249:S249)=F249,"OK ","Crossfoot error: sum of Col H thru S must equal total in Col F")</f>
        <v xml:space="preserve">OK </v>
      </c>
      <c r="U249" s="1354"/>
    </row>
    <row r="250" spans="1:21" x14ac:dyDescent="0.2">
      <c r="B250" s="3067" t="s">
        <v>2910</v>
      </c>
      <c r="C250" s="3067"/>
      <c r="D250" s="3067"/>
      <c r="E250" s="3067"/>
      <c r="F250" s="350">
        <f>F227+F249</f>
        <v>0</v>
      </c>
      <c r="H250" s="350">
        <f t="shared" ref="H250:S250" si="35">H227+H249</f>
        <v>0</v>
      </c>
      <c r="I250" s="350">
        <f t="shared" si="35"/>
        <v>0</v>
      </c>
      <c r="J250" s="350">
        <f t="shared" si="35"/>
        <v>0</v>
      </c>
      <c r="K250" s="350">
        <f t="shared" si="35"/>
        <v>0</v>
      </c>
      <c r="L250" s="350">
        <f t="shared" si="35"/>
        <v>0</v>
      </c>
      <c r="M250" s="350">
        <f t="shared" si="35"/>
        <v>0</v>
      </c>
      <c r="N250" s="350">
        <f t="shared" si="35"/>
        <v>0</v>
      </c>
      <c r="O250" s="350">
        <f t="shared" si="35"/>
        <v>0</v>
      </c>
      <c r="P250" s="350">
        <f t="shared" si="35"/>
        <v>0</v>
      </c>
      <c r="Q250" s="350">
        <f t="shared" si="35"/>
        <v>0</v>
      </c>
      <c r="R250" s="350">
        <f t="shared" si="35"/>
        <v>0</v>
      </c>
      <c r="S250" s="350">
        <f t="shared" si="35"/>
        <v>0</v>
      </c>
      <c r="T250" t="str">
        <f>IF(SUM(H250:S250)=F250,"OK ","Crossfoot error: sum of Col H thru S must equal total in Col F")</f>
        <v xml:space="preserve">OK </v>
      </c>
      <c r="U250" s="1354"/>
    </row>
    <row r="251" spans="1:21" x14ac:dyDescent="0.2">
      <c r="A251" s="502">
        <v>2870</v>
      </c>
      <c r="B251" s="3066" t="s">
        <v>2911</v>
      </c>
      <c r="C251" s="3066"/>
      <c r="D251" s="3066"/>
      <c r="E251" s="3066"/>
      <c r="F251" s="341">
        <f>SUM(H251:S251)</f>
        <v>0</v>
      </c>
      <c r="G251" s="1955"/>
      <c r="H251" s="348">
        <v>0</v>
      </c>
      <c r="I251" s="348">
        <v>0</v>
      </c>
      <c r="J251" s="348">
        <v>0</v>
      </c>
      <c r="K251" s="348">
        <v>0</v>
      </c>
      <c r="L251" s="348">
        <v>0</v>
      </c>
      <c r="M251" s="348">
        <v>0</v>
      </c>
      <c r="N251" s="348">
        <v>0</v>
      </c>
      <c r="O251" s="348">
        <v>0</v>
      </c>
      <c r="P251" s="348">
        <v>0</v>
      </c>
      <c r="Q251" s="348">
        <v>0</v>
      </c>
      <c r="R251" s="348">
        <v>0</v>
      </c>
      <c r="S251" s="348">
        <v>0</v>
      </c>
      <c r="U251" s="1297">
        <v>42901000</v>
      </c>
    </row>
    <row r="252" spans="1:21" x14ac:dyDescent="0.2">
      <c r="A252" s="170">
        <v>2880</v>
      </c>
      <c r="B252" s="3066" t="s">
        <v>2912</v>
      </c>
      <c r="C252" s="3066"/>
      <c r="D252" s="3066"/>
      <c r="E252" s="3066"/>
      <c r="F252" s="341">
        <f>SUM(H252:S252)</f>
        <v>0</v>
      </c>
      <c r="G252" s="357"/>
      <c r="H252" s="348">
        <v>0</v>
      </c>
      <c r="I252" s="348">
        <v>0</v>
      </c>
      <c r="J252" s="348">
        <v>0</v>
      </c>
      <c r="K252" s="348">
        <v>0</v>
      </c>
      <c r="L252" s="348">
        <v>0</v>
      </c>
      <c r="M252" s="348">
        <v>0</v>
      </c>
      <c r="N252" s="348">
        <v>0</v>
      </c>
      <c r="O252" s="348">
        <v>0</v>
      </c>
      <c r="P252" s="348">
        <v>0</v>
      </c>
      <c r="Q252" s="348">
        <v>0</v>
      </c>
      <c r="R252" s="348">
        <v>0</v>
      </c>
      <c r="S252" s="348">
        <v>0</v>
      </c>
      <c r="U252" s="1359" t="s">
        <v>2913</v>
      </c>
    </row>
    <row r="253" spans="1:21" x14ac:dyDescent="0.2">
      <c r="A253" s="170">
        <v>2890</v>
      </c>
      <c r="B253" s="3066" t="s">
        <v>2914</v>
      </c>
      <c r="C253" s="3066"/>
      <c r="D253" s="3066"/>
      <c r="E253" s="3066"/>
      <c r="F253" s="341">
        <f>SUM(H253:S253)</f>
        <v>0</v>
      </c>
      <c r="G253" s="357"/>
      <c r="H253" s="348">
        <v>0</v>
      </c>
      <c r="I253" s="348">
        <v>0</v>
      </c>
      <c r="J253" s="348">
        <v>0</v>
      </c>
      <c r="K253" s="348">
        <v>0</v>
      </c>
      <c r="L253" s="348">
        <v>0</v>
      </c>
      <c r="M253" s="348">
        <v>0</v>
      </c>
      <c r="N253" s="348">
        <v>0</v>
      </c>
      <c r="O253" s="348">
        <v>0</v>
      </c>
      <c r="P253" s="348">
        <v>0</v>
      </c>
      <c r="Q253" s="348">
        <v>0</v>
      </c>
      <c r="R253" s="348">
        <v>0</v>
      </c>
      <c r="S253" s="348">
        <v>0</v>
      </c>
      <c r="U253" s="1297">
        <v>46203000</v>
      </c>
    </row>
    <row r="254" spans="1:21" x14ac:dyDescent="0.2">
      <c r="A254" s="170">
        <v>2900</v>
      </c>
      <c r="B254" s="2890" t="s">
        <v>2915</v>
      </c>
      <c r="C254" s="2890"/>
      <c r="D254" s="2890"/>
      <c r="E254" s="2890"/>
      <c r="F254" s="341">
        <f>SUM(H254:S254)</f>
        <v>0</v>
      </c>
      <c r="G254" s="2398"/>
      <c r="H254" s="348">
        <v>0</v>
      </c>
      <c r="I254" s="348">
        <v>0</v>
      </c>
      <c r="J254" s="348">
        <v>0</v>
      </c>
      <c r="K254" s="348">
        <v>0</v>
      </c>
      <c r="L254" s="348">
        <v>0</v>
      </c>
      <c r="M254" s="348">
        <v>0</v>
      </c>
      <c r="N254" s="348">
        <v>0</v>
      </c>
      <c r="O254" s="348">
        <v>0</v>
      </c>
      <c r="P254" s="348">
        <v>0</v>
      </c>
      <c r="Q254" s="348">
        <v>0</v>
      </c>
      <c r="R254" s="348">
        <v>0</v>
      </c>
      <c r="S254" s="348">
        <v>0</v>
      </c>
      <c r="U254" s="1297">
        <v>46205000</v>
      </c>
    </row>
    <row r="255" spans="1:21" x14ac:dyDescent="0.2">
      <c r="A255" s="638">
        <v>2940</v>
      </c>
      <c r="B255" s="2890" t="s">
        <v>4612</v>
      </c>
      <c r="C255" s="2890"/>
      <c r="D255" s="2890"/>
      <c r="E255" s="2890"/>
      <c r="F255" s="562">
        <f>'565'!H29</f>
        <v>0</v>
      </c>
      <c r="G255" t="str">
        <f>IF(F255='565'!H29," ","Problem: Must agree to ws 565 total Interinstitutional transfers")</f>
        <v xml:space="preserve"> </v>
      </c>
      <c r="H255" s="1093">
        <v>0</v>
      </c>
      <c r="I255" s="1093">
        <v>0</v>
      </c>
      <c r="J255" s="1093">
        <v>0</v>
      </c>
      <c r="K255" s="1093">
        <v>0</v>
      </c>
      <c r="L255" s="1093">
        <v>0</v>
      </c>
      <c r="M255" s="1093">
        <v>0</v>
      </c>
      <c r="N255" s="1093">
        <v>0</v>
      </c>
      <c r="O255" s="1093">
        <v>0</v>
      </c>
      <c r="P255" s="1093">
        <v>0</v>
      </c>
      <c r="Q255" s="1093">
        <v>0</v>
      </c>
      <c r="R255" s="1093">
        <v>0</v>
      </c>
      <c r="S255" s="1093">
        <v>0</v>
      </c>
      <c r="U255" s="1297">
        <v>48700000</v>
      </c>
    </row>
    <row r="256" spans="1:21" x14ac:dyDescent="0.2">
      <c r="A256" s="170">
        <v>2950</v>
      </c>
      <c r="B256" s="3066" t="s">
        <v>2917</v>
      </c>
      <c r="C256" s="3066"/>
      <c r="D256" s="3066"/>
      <c r="E256" s="3066"/>
      <c r="F256" s="1127">
        <f>SUM(H256:S256)</f>
        <v>0</v>
      </c>
      <c r="G256" s="1951" t="str">
        <f>IF(AND(ABS(F256)&gt;=1,ABS(F256)&lt;10000000),"Problem: Under $10 million threshold - reclassify to another rev or exp"," ")</f>
        <v xml:space="preserve"> </v>
      </c>
      <c r="H256" s="348">
        <v>0</v>
      </c>
      <c r="I256" s="348">
        <v>0</v>
      </c>
      <c r="J256" s="348">
        <v>0</v>
      </c>
      <c r="K256" s="348">
        <v>0</v>
      </c>
      <c r="L256" s="348">
        <v>0</v>
      </c>
      <c r="M256" s="348">
        <v>0</v>
      </c>
      <c r="N256" s="348">
        <v>0</v>
      </c>
      <c r="O256" s="348">
        <v>0</v>
      </c>
      <c r="P256" s="348">
        <v>0</v>
      </c>
      <c r="Q256" s="348">
        <v>0</v>
      </c>
      <c r="R256" s="348">
        <v>0</v>
      </c>
      <c r="S256" s="348">
        <v>0</v>
      </c>
      <c r="U256" s="1297">
        <v>47750000</v>
      </c>
    </row>
    <row r="257" spans="1:21" x14ac:dyDescent="0.2">
      <c r="A257" s="170">
        <v>2960</v>
      </c>
      <c r="B257" s="3066" t="s">
        <v>2918</v>
      </c>
      <c r="C257" s="3066"/>
      <c r="D257" s="3066"/>
      <c r="E257" s="3066"/>
      <c r="F257" s="1127">
        <f>SUM(H257:S257)</f>
        <v>0</v>
      </c>
      <c r="G257" s="1951" t="str">
        <f>IF(AND(ABS(F257)&gt;=1,ABS(F257)&lt;10000000),"Problem: Under $10 million threshold - reclassify to another rev or exp"," ")</f>
        <v xml:space="preserve"> </v>
      </c>
      <c r="H257" s="348">
        <v>0</v>
      </c>
      <c r="I257" s="348">
        <v>0</v>
      </c>
      <c r="J257" s="348">
        <v>0</v>
      </c>
      <c r="K257" s="348">
        <v>0</v>
      </c>
      <c r="L257" s="348">
        <v>0</v>
      </c>
      <c r="M257" s="348">
        <v>0</v>
      </c>
      <c r="N257" s="348">
        <v>0</v>
      </c>
      <c r="O257" s="348">
        <v>0</v>
      </c>
      <c r="P257" s="348">
        <v>0</v>
      </c>
      <c r="Q257" s="348">
        <v>0</v>
      </c>
      <c r="R257" s="348">
        <v>0</v>
      </c>
      <c r="S257" s="348">
        <v>0</v>
      </c>
      <c r="U257" s="1297">
        <v>47700000</v>
      </c>
    </row>
    <row r="258" spans="1:21" x14ac:dyDescent="0.2">
      <c r="B258" s="3067" t="s">
        <v>2919</v>
      </c>
      <c r="C258" s="3067"/>
      <c r="D258" s="3067"/>
      <c r="E258" s="3067"/>
      <c r="F258" s="597">
        <f>SUM(F250:F257)</f>
        <v>0</v>
      </c>
      <c r="H258" s="597">
        <f t="shared" ref="H258:M258" si="36">SUM(H250:H257)</f>
        <v>0</v>
      </c>
      <c r="I258" s="597">
        <f t="shared" si="36"/>
        <v>0</v>
      </c>
      <c r="J258" s="597">
        <f t="shared" si="36"/>
        <v>0</v>
      </c>
      <c r="K258" s="597">
        <f t="shared" si="36"/>
        <v>0</v>
      </c>
      <c r="L258" s="597">
        <f t="shared" si="36"/>
        <v>0</v>
      </c>
      <c r="M258" s="597">
        <f t="shared" si="36"/>
        <v>0</v>
      </c>
      <c r="N258" s="597">
        <f t="shared" ref="N258:S258" si="37">SUM(N250:N257)</f>
        <v>0</v>
      </c>
      <c r="O258" s="597">
        <f t="shared" si="37"/>
        <v>0</v>
      </c>
      <c r="P258" s="597">
        <f t="shared" si="37"/>
        <v>0</v>
      </c>
      <c r="Q258" s="597">
        <f t="shared" si="37"/>
        <v>0</v>
      </c>
      <c r="R258" s="597">
        <f t="shared" si="37"/>
        <v>0</v>
      </c>
      <c r="S258" s="597">
        <f t="shared" si="37"/>
        <v>0</v>
      </c>
      <c r="U258" s="1297"/>
    </row>
    <row r="259" spans="1:21" x14ac:dyDescent="0.2">
      <c r="A259" s="170">
        <v>2980</v>
      </c>
      <c r="B259" s="3066" t="s">
        <v>2920</v>
      </c>
      <c r="C259" s="3066"/>
      <c r="D259" s="3066"/>
      <c r="E259" s="3066"/>
      <c r="F259" s="562">
        <f>SUM(H259:S259)</f>
        <v>2892342045.4299998</v>
      </c>
      <c r="H259" s="562">
        <v>0</v>
      </c>
      <c r="I259" s="562">
        <f>INDEX(NetAssetsData,MATCH('905Hosp'!$I$9,NetAssetsDataRow,0),3)</f>
        <v>1536837782</v>
      </c>
      <c r="J259" s="562">
        <f>INDEX(NetAssetsData,MATCH('905Hosp'!$J$9,NetAssetsDataRow,0),3)</f>
        <v>230171095.75</v>
      </c>
      <c r="K259" s="562">
        <f>INDEX(NetAssetsData,MATCH('905Hosp'!$K$9,NetAssetsDataRow,0),3)</f>
        <v>20379201</v>
      </c>
      <c r="L259" s="562">
        <f>INDEX(NetAssetsData,MATCH('905Hosp'!$L$9,NetAssetsDataRow,0),3)</f>
        <v>992570401.48000002</v>
      </c>
      <c r="M259" s="562">
        <f>INDEX(NetAssetsData,MATCH('905Hosp'!$M$9,NetAssetsDataRow,0),3)</f>
        <v>-8756257.8200000003</v>
      </c>
      <c r="N259" s="562">
        <f>INDEX(NetAssetsData,MATCH('905Hosp'!$N$9,NetAssetsDataRow,0),3)</f>
        <v>46680181.479999997</v>
      </c>
      <c r="O259" s="562">
        <f>INDEX(NetAssetsData,MATCH('905Hosp'!$O$9,NetAssetsDataRow,0),3)</f>
        <v>-2932183.21</v>
      </c>
      <c r="P259" s="562">
        <f>INDEX(NetAssetsData,MATCH('905Hosp'!$P$9,NetAssetsDataRow,0),3)</f>
        <v>77391824.75</v>
      </c>
      <c r="Q259" s="562">
        <f>INDEX(NetAssetsData,MATCH('905Hosp'!$Q$9,NetAssetsDataRow,0),3)</f>
        <v>0</v>
      </c>
      <c r="R259" s="562">
        <v>0</v>
      </c>
      <c r="S259" s="562">
        <v>0</v>
      </c>
      <c r="T259" t="str">
        <f>IF(SUM(H259:S259)=F259,"OK ","Crossfoot error: sum of Col H thru S must equal total in Col F")</f>
        <v xml:space="preserve">OK </v>
      </c>
      <c r="U259" s="1297"/>
    </row>
    <row r="260" spans="1:21" x14ac:dyDescent="0.2">
      <c r="A260" s="170">
        <v>2990</v>
      </c>
      <c r="B260" s="3066" t="s">
        <v>1760</v>
      </c>
      <c r="C260" s="3066"/>
      <c r="D260" s="3066"/>
      <c r="E260" s="3066"/>
      <c r="F260" s="341">
        <f>SUM(H260:S260)</f>
        <v>0</v>
      </c>
      <c r="G260" s="357"/>
      <c r="H260" s="348">
        <v>0</v>
      </c>
      <c r="I260" s="348">
        <v>0</v>
      </c>
      <c r="J260" s="348">
        <v>0</v>
      </c>
      <c r="K260" s="348">
        <v>0</v>
      </c>
      <c r="L260" s="348">
        <v>0</v>
      </c>
      <c r="M260" s="348">
        <v>0</v>
      </c>
      <c r="N260" s="348">
        <v>0</v>
      </c>
      <c r="O260" s="348">
        <v>0</v>
      </c>
      <c r="P260" s="348">
        <v>0</v>
      </c>
      <c r="Q260" s="348">
        <v>0</v>
      </c>
      <c r="R260" s="348">
        <v>0</v>
      </c>
      <c r="S260" s="348">
        <v>0</v>
      </c>
      <c r="U260" s="1297">
        <v>33000100</v>
      </c>
    </row>
    <row r="261" spans="1:21" ht="13.5" thickBot="1" x14ac:dyDescent="0.25">
      <c r="A261" s="170"/>
      <c r="B261" s="3066" t="s">
        <v>2921</v>
      </c>
      <c r="C261" s="3066"/>
      <c r="D261" s="3066"/>
      <c r="E261" s="3066"/>
      <c r="F261" s="429">
        <f>SUM(F258:F260)</f>
        <v>2892342045.4299998</v>
      </c>
      <c r="H261" s="429">
        <f t="shared" ref="H261:M261" si="38">SUM(H258:H260)</f>
        <v>0</v>
      </c>
      <c r="I261" s="429">
        <f t="shared" si="38"/>
        <v>1536837782</v>
      </c>
      <c r="J261" s="429">
        <f t="shared" si="38"/>
        <v>230171095.75</v>
      </c>
      <c r="K261" s="429">
        <f t="shared" si="38"/>
        <v>20379201</v>
      </c>
      <c r="L261" s="429">
        <f t="shared" si="38"/>
        <v>992570401.48000002</v>
      </c>
      <c r="M261" s="429">
        <f t="shared" si="38"/>
        <v>-8756257.8200000003</v>
      </c>
      <c r="N261" s="429">
        <f t="shared" ref="N261:S261" si="39">SUM(N258:N260)</f>
        <v>46680181.479999997</v>
      </c>
      <c r="O261" s="429">
        <f t="shared" si="39"/>
        <v>-2932183.21</v>
      </c>
      <c r="P261" s="429">
        <f t="shared" si="39"/>
        <v>77391824.75</v>
      </c>
      <c r="Q261" s="429">
        <f t="shared" si="39"/>
        <v>0</v>
      </c>
      <c r="R261" s="429">
        <f t="shared" si="39"/>
        <v>0</v>
      </c>
      <c r="S261" s="429">
        <f t="shared" si="39"/>
        <v>0</v>
      </c>
      <c r="T261" t="str">
        <f>IF(SUM(H261:S261)=F261,"OK ","Crossfoot error: sum of Col H thru S must equal total in Col F")</f>
        <v xml:space="preserve">OK </v>
      </c>
      <c r="U261" s="1354"/>
    </row>
    <row r="262" spans="1:21" ht="9.75" customHeight="1" thickTop="1" x14ac:dyDescent="0.2">
      <c r="U262" s="1354"/>
    </row>
    <row r="263" spans="1:21" x14ac:dyDescent="0.2">
      <c r="B263" s="170" t="s">
        <v>2922</v>
      </c>
      <c r="F263" s="430" t="str">
        <f>IF(ROUND(F194-F261,2)=0,"OK", "Error")</f>
        <v>Error</v>
      </c>
      <c r="H263" s="430" t="str">
        <f t="shared" ref="H263:S263" si="40">IF(ROUND(H194-H261,2)=0,"OK", "Error")</f>
        <v>OK</v>
      </c>
      <c r="I263" s="430" t="str">
        <f t="shared" si="40"/>
        <v>Error</v>
      </c>
      <c r="J263" s="430" t="str">
        <f t="shared" si="40"/>
        <v>Error</v>
      </c>
      <c r="K263" s="430" t="str">
        <f t="shared" si="40"/>
        <v>Error</v>
      </c>
      <c r="L263" s="430" t="str">
        <f t="shared" si="40"/>
        <v>Error</v>
      </c>
      <c r="M263" s="430" t="str">
        <f t="shared" si="40"/>
        <v>Error</v>
      </c>
      <c r="N263" s="430" t="str">
        <f t="shared" si="40"/>
        <v>Error</v>
      </c>
      <c r="O263" s="430" t="str">
        <f t="shared" si="40"/>
        <v>Error</v>
      </c>
      <c r="P263" s="430" t="str">
        <f t="shared" si="40"/>
        <v>Error</v>
      </c>
      <c r="Q263" s="430" t="str">
        <f t="shared" si="40"/>
        <v>OK</v>
      </c>
      <c r="R263" s="430" t="str">
        <f t="shared" si="40"/>
        <v>OK</v>
      </c>
      <c r="S263" s="430" t="str">
        <f t="shared" si="40"/>
        <v>OK</v>
      </c>
    </row>
    <row r="265" spans="1:21" x14ac:dyDescent="0.2">
      <c r="B265" s="166" t="s">
        <v>4676</v>
      </c>
      <c r="F265" s="602" t="str">
        <f>IF(ROUND(SUM(H259:S259),2)=F259,"OK","Problem: Sum of beginning net assets must equal total prior year ending per CAFR")</f>
        <v>OK</v>
      </c>
    </row>
    <row r="266" spans="1:21" ht="13.5" thickBot="1" x14ac:dyDescent="0.25"/>
    <row r="267" spans="1:21" x14ac:dyDescent="0.2">
      <c r="A267" s="928" t="s">
        <v>4677</v>
      </c>
      <c r="B267" s="548"/>
      <c r="C267" s="548"/>
      <c r="D267" s="548"/>
      <c r="E267" s="548"/>
      <c r="F267" s="549"/>
      <c r="G267" s="550"/>
    </row>
    <row r="268" spans="1:21" x14ac:dyDescent="0.2">
      <c r="A268" s="927" t="s">
        <v>4678</v>
      </c>
      <c r="B268" s="552"/>
      <c r="C268" s="552"/>
      <c r="D268" s="552"/>
      <c r="E268" s="552"/>
      <c r="F268" s="553"/>
      <c r="G268" s="554"/>
    </row>
    <row r="269" spans="1:21" x14ac:dyDescent="0.2">
      <c r="A269" s="927" t="s">
        <v>4679</v>
      </c>
      <c r="B269" s="552"/>
      <c r="C269" s="552"/>
      <c r="D269" s="552"/>
      <c r="E269" s="552"/>
      <c r="F269" s="553"/>
      <c r="G269" s="554"/>
    </row>
    <row r="270" spans="1:21" x14ac:dyDescent="0.2">
      <c r="A270" s="927" t="s">
        <v>4680</v>
      </c>
      <c r="B270" s="552"/>
      <c r="C270" s="552"/>
      <c r="D270" s="552"/>
      <c r="E270" s="552"/>
      <c r="F270" s="553"/>
      <c r="G270" s="554"/>
    </row>
    <row r="271" spans="1:21" x14ac:dyDescent="0.2">
      <c r="A271" s="927" t="s">
        <v>4681</v>
      </c>
      <c r="B271" s="552"/>
      <c r="C271" s="552"/>
      <c r="D271" s="552"/>
      <c r="E271" s="552"/>
      <c r="F271" s="553"/>
      <c r="G271" s="554"/>
    </row>
    <row r="272" spans="1:21" x14ac:dyDescent="0.2">
      <c r="A272" s="927"/>
      <c r="B272" s="552"/>
      <c r="C272" s="552"/>
      <c r="D272" s="552"/>
      <c r="E272" s="552"/>
      <c r="F272" s="553"/>
      <c r="G272" s="554"/>
    </row>
    <row r="273" spans="1:7" x14ac:dyDescent="0.2">
      <c r="A273" s="3064"/>
      <c r="B273" s="3065"/>
      <c r="C273" s="3065"/>
      <c r="D273" s="3065"/>
      <c r="E273" s="552"/>
      <c r="F273" s="3097"/>
      <c r="G273" s="3098"/>
    </row>
    <row r="274" spans="1:7" x14ac:dyDescent="0.2">
      <c r="A274" s="551" t="s">
        <v>2929</v>
      </c>
      <c r="B274" s="552"/>
      <c r="C274" s="552"/>
      <c r="D274" s="552"/>
      <c r="E274" s="552"/>
      <c r="F274" s="553" t="s">
        <v>677</v>
      </c>
      <c r="G274" s="554"/>
    </row>
    <row r="275" spans="1:7" ht="13.5" thickBot="1" x14ac:dyDescent="0.25">
      <c r="A275" s="556"/>
      <c r="B275" s="557"/>
      <c r="C275" s="557"/>
      <c r="D275" s="557"/>
      <c r="E275" s="557"/>
      <c r="F275" s="558"/>
      <c r="G275" s="559"/>
    </row>
    <row r="277" spans="1:7" x14ac:dyDescent="0.2">
      <c r="A277" s="138" t="s">
        <v>2930</v>
      </c>
    </row>
    <row r="281" spans="1:7" x14ac:dyDescent="0.2">
      <c r="A281" s="138"/>
    </row>
  </sheetData>
  <sheetProtection algorithmName="SHA-512" hashValue="8hATEPINIlX6VUCsupBTSYikog/+MdpFEw4/ebthisgeSkOjg8UJLgM/q40dB74wFoX5ReBUO7raYG3TpzQBrQ==" saltValue="bSz3Y2pBZbOvaOU2izI9VA==" spinCount="100000" sheet="1" autoFilter="0"/>
  <customSheetViews>
    <customSheetView guid="{9FCFC836-1CA5-48BF-958D-24D2EA94B219}">
      <pane xSplit="6" ySplit="8" topLeftCell="G36" activePane="bottomRight" state="frozen"/>
      <selection pane="bottomRight" activeCell="B45" sqref="B45:E45"/>
      <pageMargins left="0" right="0" top="0" bottom="0" header="0" footer="0"/>
      <printOptions headings="1" gridLines="1"/>
      <pageSetup scale="95" fitToHeight="3" orientation="portrait" r:id="rId1"/>
      <headerFooter alignWithMargins="0">
        <oddFooter>&amp;R&amp;A (&amp;P of &amp;N)</oddFooter>
      </headerFooter>
    </customSheetView>
    <customSheetView guid="{B08879A4-635B-4C39-9937-AC7883D562FC}">
      <pane xSplit="6" ySplit="8" topLeftCell="G36" activePane="bottomRight" state="frozen"/>
      <selection pane="bottomRight" activeCell="B45" sqref="B45:E45"/>
      <pageMargins left="0" right="0" top="0" bottom="0" header="0" footer="0"/>
      <printOptions headings="1" gridLines="1"/>
      <pageSetup scale="95" fitToHeight="3" orientation="portrait" r:id="rId2"/>
      <headerFooter alignWithMargins="0">
        <oddFooter>&amp;R&amp;A (&amp;P of &amp;N)</oddFooter>
      </headerFooter>
    </customSheetView>
  </customSheetViews>
  <mergeCells count="229">
    <mergeCell ref="B126:E126"/>
    <mergeCell ref="B153:E153"/>
    <mergeCell ref="B163:E163"/>
    <mergeCell ref="B175:E175"/>
    <mergeCell ref="B177:E177"/>
    <mergeCell ref="B241:E241"/>
    <mergeCell ref="A8:F8"/>
    <mergeCell ref="A273:D273"/>
    <mergeCell ref="F273:G273"/>
    <mergeCell ref="B162:E162"/>
    <mergeCell ref="B176:E176"/>
    <mergeCell ref="B178:E178"/>
    <mergeCell ref="A9:D9"/>
    <mergeCell ref="B260:E260"/>
    <mergeCell ref="B261:E261"/>
    <mergeCell ref="B254:E254"/>
    <mergeCell ref="B255:E255"/>
    <mergeCell ref="B256:E256"/>
    <mergeCell ref="B257:E257"/>
    <mergeCell ref="B258:E258"/>
    <mergeCell ref="B259:E259"/>
    <mergeCell ref="B248:E248"/>
    <mergeCell ref="B249:E249"/>
    <mergeCell ref="B250:E250"/>
    <mergeCell ref="B251:E251"/>
    <mergeCell ref="B252:E252"/>
    <mergeCell ref="B253:E253"/>
    <mergeCell ref="B240:E240"/>
    <mergeCell ref="B242:E242"/>
    <mergeCell ref="B243:E243"/>
    <mergeCell ref="B244:E244"/>
    <mergeCell ref="B245:E245"/>
    <mergeCell ref="B247:E247"/>
    <mergeCell ref="B246:E246"/>
    <mergeCell ref="B231:E231"/>
    <mergeCell ref="B232:E232"/>
    <mergeCell ref="B234:E234"/>
    <mergeCell ref="B236:E236"/>
    <mergeCell ref="B238:E238"/>
    <mergeCell ref="B239:E239"/>
    <mergeCell ref="B233:E233"/>
    <mergeCell ref="B235:E235"/>
    <mergeCell ref="B237:E237"/>
    <mergeCell ref="B224:E224"/>
    <mergeCell ref="B225:E225"/>
    <mergeCell ref="B226:E226"/>
    <mergeCell ref="B227:E227"/>
    <mergeCell ref="B230:E230"/>
    <mergeCell ref="B218:E218"/>
    <mergeCell ref="B219:E219"/>
    <mergeCell ref="B220:E220"/>
    <mergeCell ref="B221:E221"/>
    <mergeCell ref="B223:E223"/>
    <mergeCell ref="B210:E210"/>
    <mergeCell ref="B211:E211"/>
    <mergeCell ref="B214:E214"/>
    <mergeCell ref="B215:E215"/>
    <mergeCell ref="B216:E216"/>
    <mergeCell ref="B217:E217"/>
    <mergeCell ref="B204:E204"/>
    <mergeCell ref="B205:E205"/>
    <mergeCell ref="B206:E206"/>
    <mergeCell ref="B207:E207"/>
    <mergeCell ref="B208:E208"/>
    <mergeCell ref="B209:E209"/>
    <mergeCell ref="B194:E194"/>
    <mergeCell ref="B198:E198"/>
    <mergeCell ref="B200:E200"/>
    <mergeCell ref="B201:E201"/>
    <mergeCell ref="B202:E202"/>
    <mergeCell ref="B203:E203"/>
    <mergeCell ref="B187:E187"/>
    <mergeCell ref="B188:E188"/>
    <mergeCell ref="B190:E190"/>
    <mergeCell ref="B191:E191"/>
    <mergeCell ref="B192:E192"/>
    <mergeCell ref="B193:E193"/>
    <mergeCell ref="B164:E164"/>
    <mergeCell ref="B165:E165"/>
    <mergeCell ref="B166:E166"/>
    <mergeCell ref="B168:E168"/>
    <mergeCell ref="B184:E184"/>
    <mergeCell ref="B186:E186"/>
    <mergeCell ref="B171:E171"/>
    <mergeCell ref="B172:E172"/>
    <mergeCell ref="B181:E181"/>
    <mergeCell ref="B180:E180"/>
    <mergeCell ref="B173:E173"/>
    <mergeCell ref="B174:E174"/>
    <mergeCell ref="B179:E179"/>
    <mergeCell ref="B152:E152"/>
    <mergeCell ref="B155:E155"/>
    <mergeCell ref="B156:E156"/>
    <mergeCell ref="B158:E158"/>
    <mergeCell ref="B159:E159"/>
    <mergeCell ref="B161:E161"/>
    <mergeCell ref="B157:E157"/>
    <mergeCell ref="B147:E147"/>
    <mergeCell ref="B148:E148"/>
    <mergeCell ref="B149:E149"/>
    <mergeCell ref="B150:E150"/>
    <mergeCell ref="B160:E160"/>
    <mergeCell ref="B151:E151"/>
    <mergeCell ref="B138:E138"/>
    <mergeCell ref="B139:E139"/>
    <mergeCell ref="B143:E143"/>
    <mergeCell ref="B144:E144"/>
    <mergeCell ref="B145:E145"/>
    <mergeCell ref="B146:E146"/>
    <mergeCell ref="B128:E128"/>
    <mergeCell ref="B129:E129"/>
    <mergeCell ref="B131:E131"/>
    <mergeCell ref="B132:E132"/>
    <mergeCell ref="B134:E134"/>
    <mergeCell ref="B137:E137"/>
    <mergeCell ref="B130:E130"/>
    <mergeCell ref="B135:E135"/>
    <mergeCell ref="B136:E136"/>
    <mergeCell ref="B133:E133"/>
    <mergeCell ref="B121:E121"/>
    <mergeCell ref="B122:E122"/>
    <mergeCell ref="B123:E123"/>
    <mergeCell ref="B125:E125"/>
    <mergeCell ref="B115:E115"/>
    <mergeCell ref="B116:E116"/>
    <mergeCell ref="B117:E117"/>
    <mergeCell ref="B118:E118"/>
    <mergeCell ref="B119:E119"/>
    <mergeCell ref="B120:E120"/>
    <mergeCell ref="B124:E124"/>
    <mergeCell ref="B106:E106"/>
    <mergeCell ref="B107:E107"/>
    <mergeCell ref="B108:E108"/>
    <mergeCell ref="B110:E110"/>
    <mergeCell ref="B111:E111"/>
    <mergeCell ref="B114:E114"/>
    <mergeCell ref="B85:E85"/>
    <mergeCell ref="B86:E86"/>
    <mergeCell ref="B87:E87"/>
    <mergeCell ref="B89:E89"/>
    <mergeCell ref="B104:E104"/>
    <mergeCell ref="B105:E105"/>
    <mergeCell ref="B92:E92"/>
    <mergeCell ref="B96:E96"/>
    <mergeCell ref="B97:E97"/>
    <mergeCell ref="B98:E98"/>
    <mergeCell ref="B99:E99"/>
    <mergeCell ref="B95:E95"/>
    <mergeCell ref="B94:E94"/>
    <mergeCell ref="B112:E112"/>
    <mergeCell ref="B113:E113"/>
    <mergeCell ref="B73:E73"/>
    <mergeCell ref="B74:E74"/>
    <mergeCell ref="B75:E75"/>
    <mergeCell ref="B81:E81"/>
    <mergeCell ref="B82:E82"/>
    <mergeCell ref="B84:E84"/>
    <mergeCell ref="B66:E66"/>
    <mergeCell ref="B67:E67"/>
    <mergeCell ref="B68:E68"/>
    <mergeCell ref="B70:E70"/>
    <mergeCell ref="B71:E71"/>
    <mergeCell ref="B72:E72"/>
    <mergeCell ref="B69:E69"/>
    <mergeCell ref="B76:E76"/>
    <mergeCell ref="B77:E77"/>
    <mergeCell ref="B78:E78"/>
    <mergeCell ref="B79:E79"/>
    <mergeCell ref="B83:E83"/>
    <mergeCell ref="B59:E59"/>
    <mergeCell ref="B62:E62"/>
    <mergeCell ref="B63:E63"/>
    <mergeCell ref="B64:E64"/>
    <mergeCell ref="B65:E65"/>
    <mergeCell ref="B53:E53"/>
    <mergeCell ref="B54:E54"/>
    <mergeCell ref="B55:E55"/>
    <mergeCell ref="B56:E56"/>
    <mergeCell ref="B57:E57"/>
    <mergeCell ref="B58:E58"/>
    <mergeCell ref="B60:E60"/>
    <mergeCell ref="B61:E61"/>
    <mergeCell ref="B49:E49"/>
    <mergeCell ref="B52:E52"/>
    <mergeCell ref="B35:E35"/>
    <mergeCell ref="B38:E38"/>
    <mergeCell ref="B39:E39"/>
    <mergeCell ref="B42:E42"/>
    <mergeCell ref="B43:E43"/>
    <mergeCell ref="B36:E36"/>
    <mergeCell ref="B37:E37"/>
    <mergeCell ref="B50:E50"/>
    <mergeCell ref="B51:E51"/>
    <mergeCell ref="B21:E21"/>
    <mergeCell ref="B22:E22"/>
    <mergeCell ref="B23:E23"/>
    <mergeCell ref="B25:E25"/>
    <mergeCell ref="B26:E26"/>
    <mergeCell ref="B45:E45"/>
    <mergeCell ref="B46:E46"/>
    <mergeCell ref="B47:E47"/>
    <mergeCell ref="B48:E48"/>
    <mergeCell ref="B24:E24"/>
    <mergeCell ref="B31:E31"/>
    <mergeCell ref="B32:E32"/>
    <mergeCell ref="B127:E127"/>
    <mergeCell ref="B154:E154"/>
    <mergeCell ref="A1:G1"/>
    <mergeCell ref="A2:G2"/>
    <mergeCell ref="A4:G4"/>
    <mergeCell ref="F5:G5"/>
    <mergeCell ref="C6:D6"/>
    <mergeCell ref="F6:G6"/>
    <mergeCell ref="A3:G3"/>
    <mergeCell ref="A10:D10"/>
    <mergeCell ref="B93:E93"/>
    <mergeCell ref="B11:E11"/>
    <mergeCell ref="B14:E14"/>
    <mergeCell ref="B15:E15"/>
    <mergeCell ref="B16:E16"/>
    <mergeCell ref="B27:E27"/>
    <mergeCell ref="B28:E28"/>
    <mergeCell ref="B29:E29"/>
    <mergeCell ref="B30:E30"/>
    <mergeCell ref="B33:E33"/>
    <mergeCell ref="B17:E17"/>
    <mergeCell ref="B18:E18"/>
    <mergeCell ref="B34:E34"/>
    <mergeCell ref="B20:E20"/>
  </mergeCells>
  <hyperlinks>
    <hyperlink ref="A1:G1" location="Index!A1" display="Index!A1" xr:uid="{00000000-0004-0000-4C00-000000000000}"/>
  </hyperlinks>
  <printOptions headings="1" gridLines="1"/>
  <pageMargins left="0.25" right="0.25" top="0.75" bottom="0.75" header="0.3" footer="0.3"/>
  <pageSetup scale="90" fitToHeight="0" orientation="portrait" r:id="rId3"/>
  <headerFooter alignWithMargins="0">
    <oddFooter xml:space="preserve">&amp;L&amp;D &amp;T&amp;R&amp;A </oddFooter>
  </headerFooter>
  <legacyDrawing r:id="rId4"/>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3"/>
  <dimension ref="B1:W169"/>
  <sheetViews>
    <sheetView topLeftCell="A64" zoomScaleNormal="100" workbookViewId="0">
      <selection activeCell="M87" sqref="M87"/>
    </sheetView>
  </sheetViews>
  <sheetFormatPr defaultColWidth="9.42578125" defaultRowHeight="12.75" x14ac:dyDescent="0.2"/>
  <cols>
    <col min="1" max="1" width="3.5703125" style="357" customWidth="1"/>
    <col min="2" max="2" width="9.42578125" style="357"/>
    <col min="3" max="3" width="5.5703125" style="357" customWidth="1"/>
    <col min="4" max="6" width="9.42578125" style="357"/>
    <col min="7" max="7" width="5.5703125" style="357" customWidth="1"/>
    <col min="8" max="8" width="1.5703125" style="357" customWidth="1"/>
    <col min="9" max="9" width="9.42578125" style="357"/>
    <col min="10" max="10" width="19.42578125" style="215" customWidth="1"/>
    <col min="11" max="12" width="4.5703125" style="357" customWidth="1"/>
    <col min="13" max="13" width="18.5703125" style="357" customWidth="1"/>
    <col min="14" max="15" width="9.42578125" style="357"/>
    <col min="16" max="16" width="15.5703125" style="1342" bestFit="1" customWidth="1"/>
    <col min="17" max="17" width="14.140625" bestFit="1" customWidth="1"/>
    <col min="18" max="18" width="11.42578125" customWidth="1"/>
    <col min="20" max="16384" width="9.42578125" style="357"/>
  </cols>
  <sheetData>
    <row r="1" spans="2:23" ht="25.15" customHeight="1" x14ac:dyDescent="0.25">
      <c r="B1" s="2553" t="str">
        <f>+Index!$A$1</f>
        <v xml:space="preserve">                                                               Office of the State Controller                                                                </v>
      </c>
      <c r="C1" s="2553"/>
      <c r="D1" s="2553"/>
      <c r="E1" s="2553"/>
      <c r="F1" s="2553"/>
      <c r="G1" s="2553"/>
      <c r="H1" s="2553"/>
      <c r="I1" s="2553"/>
      <c r="J1" s="2553"/>
      <c r="K1" s="1781" t="str">
        <f>IF(Index!$B$106="na","NA","")</f>
        <v/>
      </c>
      <c r="L1" s="356"/>
      <c r="M1" s="356"/>
      <c r="N1" s="356"/>
      <c r="O1" s="356"/>
      <c r="P1" s="2412"/>
      <c r="Q1" s="2268"/>
      <c r="R1" s="1340" t="s">
        <v>2726</v>
      </c>
      <c r="S1" s="1340" t="s">
        <v>4682</v>
      </c>
      <c r="T1" s="356"/>
      <c r="U1" s="356"/>
      <c r="V1" s="356"/>
    </row>
    <row r="2" spans="2:23" ht="16.5" x14ac:dyDescent="0.3">
      <c r="B2" s="2532" t="str">
        <f>+Index!$A$2</f>
        <v>2024 ACFR Worksheets</v>
      </c>
      <c r="C2" s="2532"/>
      <c r="D2" s="2532"/>
      <c r="E2" s="2532"/>
      <c r="F2" s="2532"/>
      <c r="G2" s="2532"/>
      <c r="H2" s="2532"/>
      <c r="I2" s="2532"/>
      <c r="J2" s="2532"/>
      <c r="K2" s="1781"/>
      <c r="L2" s="358"/>
      <c r="M2" s="358"/>
      <c r="N2" s="358"/>
      <c r="O2" s="359"/>
      <c r="P2" s="1341"/>
      <c r="Q2" s="329"/>
      <c r="R2" s="1340" t="s">
        <v>2728</v>
      </c>
      <c r="S2" s="1340" t="s">
        <v>4683</v>
      </c>
      <c r="T2" s="359"/>
      <c r="U2" s="359"/>
      <c r="V2" s="359"/>
    </row>
    <row r="3" spans="2:23" ht="33" customHeight="1" x14ac:dyDescent="0.3">
      <c r="B3" s="3105" t="s">
        <v>4684</v>
      </c>
      <c r="C3" s="3105"/>
      <c r="D3" s="3105"/>
      <c r="E3" s="3105"/>
      <c r="F3" s="3105"/>
      <c r="G3" s="3105"/>
      <c r="H3" s="3105"/>
      <c r="I3" s="3105"/>
      <c r="J3" s="3105"/>
      <c r="K3" s="1781"/>
      <c r="L3" s="358"/>
      <c r="M3" s="358"/>
      <c r="N3" s="358"/>
      <c r="O3" s="359"/>
      <c r="P3" s="1341"/>
      <c r="Q3" s="329"/>
      <c r="R3" s="329"/>
      <c r="S3" s="329"/>
      <c r="T3" s="359"/>
      <c r="U3" s="359"/>
      <c r="V3" s="359"/>
    </row>
    <row r="4" spans="2:23" x14ac:dyDescent="0.2">
      <c r="B4" s="768" t="s">
        <v>4685</v>
      </c>
      <c r="C4" s="764"/>
      <c r="D4" s="764"/>
      <c r="E4" s="764"/>
      <c r="F4" s="764"/>
      <c r="G4" s="764"/>
      <c r="H4" s="764"/>
      <c r="I4" s="764"/>
      <c r="J4" s="765"/>
    </row>
    <row r="5" spans="2:23" s="360" customFormat="1" ht="15" customHeight="1" x14ac:dyDescent="0.2">
      <c r="B5" s="105" t="s">
        <v>318</v>
      </c>
      <c r="C5" s="105"/>
      <c r="D5" s="333" t="s">
        <v>4686</v>
      </c>
      <c r="E5" s="332"/>
      <c r="F5" s="105" t="s">
        <v>320</v>
      </c>
      <c r="G5" s="105"/>
      <c r="H5" s="3073" t="str">
        <f>+CONCATENATE(Index!$E$12," ",Index!$E$14)</f>
        <v xml:space="preserve"> </v>
      </c>
      <c r="I5" s="3073"/>
      <c r="J5" s="3073"/>
      <c r="O5" s="361"/>
      <c r="P5" s="1343"/>
      <c r="Q5" s="105"/>
      <c r="R5" s="105"/>
      <c r="S5" s="105"/>
      <c r="W5" s="362"/>
    </row>
    <row r="6" spans="2:23" s="360" customFormat="1" ht="15" customHeight="1" x14ac:dyDescent="0.2">
      <c r="B6" s="105" t="s">
        <v>319</v>
      </c>
      <c r="C6" s="105"/>
      <c r="D6" s="3104" t="s">
        <v>4687</v>
      </c>
      <c r="E6" s="3104"/>
      <c r="F6" s="3104"/>
      <c r="G6" s="3104"/>
      <c r="H6" s="105"/>
      <c r="I6" s="105"/>
      <c r="J6" s="105"/>
      <c r="O6" s="363"/>
      <c r="P6" s="1344"/>
      <c r="Q6" s="331"/>
      <c r="R6" s="331"/>
      <c r="S6" s="331"/>
      <c r="T6" s="363"/>
      <c r="U6" s="363"/>
      <c r="V6" s="364"/>
      <c r="W6" s="362"/>
    </row>
    <row r="7" spans="2:23" s="360" customFormat="1" ht="15" customHeight="1" x14ac:dyDescent="0.2">
      <c r="B7" s="105" t="s">
        <v>545</v>
      </c>
      <c r="D7" s="592">
        <f>INDEX(NetAssetsData,MATCH('906-6B'!$D$5,NetAssetsDataRow,0),4)</f>
        <v>3324</v>
      </c>
      <c r="F7" s="435" t="s">
        <v>168</v>
      </c>
      <c r="G7" s="3099">
        <f>+Index!$E$13</f>
        <v>0</v>
      </c>
      <c r="H7" s="3099"/>
      <c r="I7" s="3099"/>
      <c r="J7" s="3099"/>
      <c r="P7" s="1343"/>
      <c r="Q7" s="105"/>
      <c r="R7" s="105"/>
      <c r="S7" s="105"/>
      <c r="W7" s="362"/>
    </row>
    <row r="8" spans="2:23" s="365" customFormat="1" ht="12" customHeight="1" x14ac:dyDescent="0.2">
      <c r="B8" s="3101" t="s">
        <v>4688</v>
      </c>
      <c r="C8" s="3102"/>
      <c r="D8" s="3102"/>
      <c r="E8" s="3102"/>
      <c r="F8" s="3102"/>
      <c r="G8" s="3102"/>
      <c r="H8" s="3102"/>
      <c r="I8" s="3102"/>
      <c r="J8" s="3103"/>
      <c r="P8" s="1345"/>
      <c r="Q8" s="27"/>
      <c r="R8" s="27"/>
      <c r="S8" s="27"/>
    </row>
    <row r="9" spans="2:23" x14ac:dyDescent="0.2">
      <c r="B9" s="391"/>
      <c r="C9" s="27"/>
      <c r="D9" s="27"/>
      <c r="E9" s="27"/>
      <c r="F9" s="27"/>
      <c r="G9" s="733"/>
      <c r="H9" s="27"/>
      <c r="J9" s="1384" t="s">
        <v>4689</v>
      </c>
      <c r="M9" s="711" t="s">
        <v>2733</v>
      </c>
    </row>
    <row r="10" spans="2:23" x14ac:dyDescent="0.2">
      <c r="B10" s="771" t="s">
        <v>555</v>
      </c>
      <c r="C10" s="773"/>
      <c r="D10" s="773"/>
      <c r="E10"/>
      <c r="F10"/>
      <c r="G10"/>
      <c r="H10"/>
      <c r="I10"/>
      <c r="J10" s="610" t="str">
        <f>TEXT(Data!$A$2,"mmmm d,yyyy")</f>
        <v>June 30,2024</v>
      </c>
      <c r="K10" s="367"/>
      <c r="L10" s="367"/>
      <c r="M10" s="610" t="str">
        <f>TEXT(Data!$A$4,"mmmm d,yyyy")</f>
        <v>June 30,2023</v>
      </c>
      <c r="N10" s="367"/>
    </row>
    <row r="11" spans="2:23" x14ac:dyDescent="0.2">
      <c r="B11" s="3100" t="s">
        <v>1935</v>
      </c>
      <c r="C11" s="3100"/>
      <c r="D11" s="3100"/>
      <c r="E11" s="3100"/>
      <c r="F11" s="3100"/>
      <c r="G11" s="3100"/>
      <c r="H11" s="3100"/>
      <c r="I11" s="3100"/>
      <c r="J11" s="214">
        <v>0</v>
      </c>
      <c r="K11" s="368"/>
      <c r="L11" s="368"/>
      <c r="M11" s="451">
        <f>HLOOKUP($D$5,PriorYr906!$J$9:$K$87,3,FALSE)</f>
        <v>0</v>
      </c>
      <c r="N11" s="368"/>
      <c r="P11" s="1346">
        <v>11111000</v>
      </c>
    </row>
    <row r="12" spans="2:23" x14ac:dyDescent="0.2">
      <c r="B12" s="1782" t="s">
        <v>4690</v>
      </c>
      <c r="C12" s="773"/>
      <c r="D12"/>
      <c r="E12"/>
      <c r="F12"/>
      <c r="G12"/>
      <c r="H12"/>
      <c r="I12"/>
      <c r="J12" s="1783"/>
      <c r="K12" s="368"/>
      <c r="L12" s="368"/>
      <c r="M12" s="2380"/>
      <c r="N12" s="2430"/>
    </row>
    <row r="13" spans="2:23" x14ac:dyDescent="0.2">
      <c r="B13" s="3100" t="s">
        <v>4691</v>
      </c>
      <c r="C13" s="3100"/>
      <c r="D13" s="3100"/>
      <c r="E13" s="3100"/>
      <c r="F13" s="3100"/>
      <c r="G13" s="3100"/>
      <c r="H13" s="3100"/>
      <c r="I13" s="3100"/>
      <c r="J13" s="215">
        <v>0</v>
      </c>
      <c r="K13" s="368"/>
      <c r="L13" s="368"/>
      <c r="M13" s="212">
        <f>HLOOKUP($D$5,PriorYr906!$J$9:$K$87,5,FALSE)</f>
        <v>0</v>
      </c>
      <c r="N13" s="2430"/>
      <c r="P13" s="1346">
        <v>11210100</v>
      </c>
    </row>
    <row r="14" spans="2:23" x14ac:dyDescent="0.2">
      <c r="B14" s="3100" t="s">
        <v>4692</v>
      </c>
      <c r="C14" s="3100"/>
      <c r="D14" s="3100"/>
      <c r="E14" s="3100"/>
      <c r="F14" s="3100"/>
      <c r="G14" s="3100"/>
      <c r="H14" s="3100"/>
      <c r="I14" s="3100"/>
      <c r="J14" s="215">
        <v>0</v>
      </c>
      <c r="K14" s="368"/>
      <c r="L14" s="368"/>
      <c r="M14" s="212">
        <f>HLOOKUP($D$5,PriorYr906!$J$9:$K$87,6,FALSE)</f>
        <v>0</v>
      </c>
      <c r="N14" s="2430"/>
      <c r="R14" s="138" t="s">
        <v>4693</v>
      </c>
    </row>
    <row r="15" spans="2:23" x14ac:dyDescent="0.2">
      <c r="B15" s="3100" t="s">
        <v>4694</v>
      </c>
      <c r="C15" s="3100"/>
      <c r="D15" s="3100"/>
      <c r="E15" s="3100"/>
      <c r="F15" s="3100"/>
      <c r="G15" s="3100"/>
      <c r="H15" s="3100"/>
      <c r="I15" s="3100"/>
      <c r="J15" s="215">
        <v>0</v>
      </c>
      <c r="K15" s="368"/>
      <c r="L15" s="368"/>
      <c r="M15" s="212">
        <f>HLOOKUP($D$5,PriorYr906!$J$9:$K$87,7,FALSE)</f>
        <v>0</v>
      </c>
      <c r="N15" s="2430"/>
      <c r="P15" s="1342">
        <v>11212400</v>
      </c>
      <c r="R15" s="138"/>
    </row>
    <row r="16" spans="2:23" x14ac:dyDescent="0.2">
      <c r="B16" s="3100" t="s">
        <v>4695</v>
      </c>
      <c r="C16" s="3100"/>
      <c r="D16" s="3100"/>
      <c r="E16" s="3100"/>
      <c r="F16" s="3100"/>
      <c r="G16" s="3100"/>
      <c r="H16" s="3100"/>
      <c r="I16" s="3100"/>
      <c r="J16" s="215">
        <v>0</v>
      </c>
      <c r="K16" s="368"/>
      <c r="L16" s="368"/>
      <c r="M16" s="212">
        <f>HLOOKUP($D$5,PriorYr906!$J$9:$K$87,8,FALSE)</f>
        <v>0</v>
      </c>
      <c r="N16" s="2430"/>
      <c r="P16" s="1346">
        <v>11211100</v>
      </c>
    </row>
    <row r="17" spans="2:18" x14ac:dyDescent="0.2">
      <c r="B17" s="3100" t="s">
        <v>4696</v>
      </c>
      <c r="C17" s="3100"/>
      <c r="D17" s="3100"/>
      <c r="E17" s="3100"/>
      <c r="F17" s="3100"/>
      <c r="G17" s="3100"/>
      <c r="H17" s="3100"/>
      <c r="I17" s="3100"/>
      <c r="J17" s="215">
        <v>0</v>
      </c>
      <c r="K17" s="368"/>
      <c r="L17" s="368"/>
      <c r="M17" s="212">
        <f>HLOOKUP($D$5,PriorYr906!$J$9:$K$87,9,FALSE)</f>
        <v>0</v>
      </c>
      <c r="N17" s="2430"/>
      <c r="R17" s="138" t="s">
        <v>4693</v>
      </c>
    </row>
    <row r="18" spans="2:18" x14ac:dyDescent="0.2">
      <c r="B18" s="3100" t="s">
        <v>4697</v>
      </c>
      <c r="C18" s="3100"/>
      <c r="D18" s="3100"/>
      <c r="E18" s="3100"/>
      <c r="F18" s="3100"/>
      <c r="G18" s="3100"/>
      <c r="H18" s="3100"/>
      <c r="I18" s="3100"/>
      <c r="J18" s="215">
        <v>0</v>
      </c>
      <c r="K18" s="368"/>
      <c r="L18" s="368"/>
      <c r="M18" s="212">
        <f>HLOOKUP($D$5,PriorYr906!$J$9:$K$87,10,FALSE)</f>
        <v>0</v>
      </c>
      <c r="N18" s="2430"/>
      <c r="R18" s="138" t="s">
        <v>4693</v>
      </c>
    </row>
    <row r="19" spans="2:18" x14ac:dyDescent="0.2">
      <c r="B19" s="3100" t="s">
        <v>4698</v>
      </c>
      <c r="C19" s="3100"/>
      <c r="D19" s="3100"/>
      <c r="E19" s="3100"/>
      <c r="F19" s="3100"/>
      <c r="G19" s="3100"/>
      <c r="H19" s="3100"/>
      <c r="I19" s="3100"/>
      <c r="J19" s="215">
        <v>0</v>
      </c>
      <c r="K19" s="368"/>
      <c r="L19" s="368"/>
      <c r="M19" s="212">
        <f>HLOOKUP($D$5,PriorYr906!$J$9:$K$87,11,FALSE)</f>
        <v>0</v>
      </c>
      <c r="N19" s="2430"/>
      <c r="P19" s="1346">
        <v>11210500</v>
      </c>
    </row>
    <row r="20" spans="2:18" x14ac:dyDescent="0.2">
      <c r="B20" s="3100" t="s">
        <v>4699</v>
      </c>
      <c r="C20" s="3100"/>
      <c r="D20" s="3100"/>
      <c r="E20" s="3100"/>
      <c r="F20" s="3100"/>
      <c r="G20" s="3100"/>
      <c r="H20" s="3100"/>
      <c r="I20" s="3100"/>
      <c r="J20" s="215">
        <v>0</v>
      </c>
      <c r="K20" s="368"/>
      <c r="L20" s="368"/>
      <c r="M20" s="212">
        <f>HLOOKUP($D$5,PriorYr906!$J$9:$K$87,12,FALSE)</f>
        <v>0</v>
      </c>
      <c r="N20" s="2430"/>
      <c r="P20" s="1346">
        <v>11210600</v>
      </c>
    </row>
    <row r="21" spans="2:18" x14ac:dyDescent="0.2">
      <c r="B21" s="3100" t="s">
        <v>4700</v>
      </c>
      <c r="C21" s="3100"/>
      <c r="D21" s="3100"/>
      <c r="E21" s="3100"/>
      <c r="F21" s="3100"/>
      <c r="G21" s="3100"/>
      <c r="H21" s="3100"/>
      <c r="I21" s="3100"/>
      <c r="J21" s="215">
        <v>0</v>
      </c>
      <c r="K21" s="368"/>
      <c r="L21" s="368"/>
      <c r="M21" s="212">
        <f>HLOOKUP($D$5,PriorYr906!$J$9:$K$87,13,FALSE)</f>
        <v>0</v>
      </c>
      <c r="N21" s="2430"/>
      <c r="P21" s="1342">
        <v>11210800</v>
      </c>
    </row>
    <row r="22" spans="2:18" x14ac:dyDescent="0.2">
      <c r="B22" s="3100" t="s">
        <v>4701</v>
      </c>
      <c r="C22" s="3100"/>
      <c r="D22" s="3100"/>
      <c r="E22" s="3100"/>
      <c r="F22" s="3100"/>
      <c r="G22" s="3100"/>
      <c r="H22" s="3100"/>
      <c r="I22" s="3100"/>
      <c r="J22" s="215">
        <v>0</v>
      </c>
      <c r="K22" s="368"/>
      <c r="L22" s="368"/>
      <c r="M22" s="212">
        <f>HLOOKUP($D$5,PriorYr906!$J$9:$K$87,14,FALSE)</f>
        <v>0</v>
      </c>
      <c r="N22" s="2430"/>
      <c r="P22" s="1342">
        <v>11211000</v>
      </c>
    </row>
    <row r="23" spans="2:18" x14ac:dyDescent="0.2">
      <c r="B23" s="3100" t="s">
        <v>4702</v>
      </c>
      <c r="C23" s="3100"/>
      <c r="D23" s="3100"/>
      <c r="E23" s="3100"/>
      <c r="F23" s="3100"/>
      <c r="G23" s="3100"/>
      <c r="H23" s="3100"/>
      <c r="I23" s="3100"/>
      <c r="J23" s="215">
        <v>0</v>
      </c>
      <c r="K23" s="368"/>
      <c r="L23" s="368"/>
      <c r="M23" s="212">
        <f>HLOOKUP($D$5,PriorYr906!$J$9:$K$87,15,FALSE)</f>
        <v>0</v>
      </c>
      <c r="N23" s="2430"/>
      <c r="P23" s="1342">
        <v>11211300</v>
      </c>
    </row>
    <row r="24" spans="2:18" x14ac:dyDescent="0.2">
      <c r="B24" s="3100" t="s">
        <v>4703</v>
      </c>
      <c r="C24" s="3100"/>
      <c r="D24" s="3100"/>
      <c r="E24" s="3100"/>
      <c r="F24" s="3100"/>
      <c r="G24" s="3100"/>
      <c r="H24" s="3100"/>
      <c r="I24" s="3100"/>
      <c r="J24" s="215">
        <v>0</v>
      </c>
      <c r="K24" s="368"/>
      <c r="L24" s="368"/>
      <c r="M24" s="212">
        <f>HLOOKUP($D$5,PriorYr906!$J$9:$K$87,16,FALSE)</f>
        <v>8634762.5299999993</v>
      </c>
      <c r="N24" s="2430"/>
      <c r="P24" s="1342" t="s">
        <v>4704</v>
      </c>
    </row>
    <row r="25" spans="2:18" x14ac:dyDescent="0.2">
      <c r="B25" s="3100" t="s">
        <v>4705</v>
      </c>
      <c r="C25" s="3100"/>
      <c r="D25" s="3100"/>
      <c r="E25" s="3100"/>
      <c r="F25" s="3100"/>
      <c r="G25" s="3100"/>
      <c r="H25" s="3100"/>
      <c r="I25" s="3100"/>
      <c r="J25" s="215">
        <v>0</v>
      </c>
      <c r="K25" s="368"/>
      <c r="L25" s="368"/>
      <c r="M25" s="212">
        <f>HLOOKUP($D$5,PriorYr906!$J$9:$K$87,17,FALSE)</f>
        <v>0</v>
      </c>
      <c r="N25" s="2430"/>
      <c r="R25" s="138" t="s">
        <v>4693</v>
      </c>
    </row>
    <row r="26" spans="2:18" x14ac:dyDescent="0.2">
      <c r="B26" s="3100" t="s">
        <v>4706</v>
      </c>
      <c r="C26" s="3100"/>
      <c r="D26" s="3100"/>
      <c r="E26" s="3100"/>
      <c r="F26" s="3100"/>
      <c r="G26" s="3100"/>
      <c r="H26" s="3100"/>
      <c r="I26" s="3100"/>
      <c r="J26" s="215">
        <v>0</v>
      </c>
      <c r="K26" s="368"/>
      <c r="L26" s="368"/>
      <c r="M26" s="212">
        <f>HLOOKUP($D$5,PriorYr906!$J$9:$K$87,18,FALSE)</f>
        <v>40759547.810000002</v>
      </c>
      <c r="N26" s="2430"/>
      <c r="P26" s="1342" t="s">
        <v>4707</v>
      </c>
    </row>
    <row r="27" spans="2:18" x14ac:dyDescent="0.2">
      <c r="B27" s="3100" t="s">
        <v>4708</v>
      </c>
      <c r="C27" s="3100"/>
      <c r="D27" s="3100"/>
      <c r="E27" s="3100"/>
      <c r="F27" s="3100"/>
      <c r="G27" s="3100"/>
      <c r="H27" s="3100"/>
      <c r="I27" s="3100"/>
      <c r="J27" s="215">
        <v>0</v>
      </c>
      <c r="K27" s="368"/>
      <c r="L27" s="368"/>
      <c r="M27" s="212">
        <f>HLOOKUP($D$5,PriorYr906!$J$9:$K$87,19,FALSE)</f>
        <v>344500379.39999998</v>
      </c>
      <c r="N27" s="2430"/>
      <c r="P27" s="1342" t="s">
        <v>4709</v>
      </c>
    </row>
    <row r="28" spans="2:18" x14ac:dyDescent="0.2">
      <c r="B28" s="3100" t="s">
        <v>4710</v>
      </c>
      <c r="C28" s="3100"/>
      <c r="D28" s="3100"/>
      <c r="E28" s="3100"/>
      <c r="F28" s="3100"/>
      <c r="G28" s="3100"/>
      <c r="H28" s="3100"/>
      <c r="I28" s="3100"/>
      <c r="J28" s="215">
        <v>0</v>
      </c>
      <c r="K28" s="368"/>
      <c r="L28" s="368"/>
      <c r="M28" s="212">
        <f>HLOOKUP($D$5,PriorYr906!$J$9:$K$87,20,FALSE)</f>
        <v>1276643484.96</v>
      </c>
      <c r="N28" s="2430"/>
      <c r="P28" s="1342">
        <v>11212300</v>
      </c>
    </row>
    <row r="29" spans="2:18" x14ac:dyDescent="0.2">
      <c r="B29" s="3100" t="s">
        <v>3040</v>
      </c>
      <c r="C29" s="3100"/>
      <c r="D29" s="3100"/>
      <c r="E29" s="3100"/>
      <c r="F29" s="3100"/>
      <c r="G29" s="3100"/>
      <c r="H29" s="3100"/>
      <c r="I29" s="3100"/>
      <c r="J29" s="215">
        <v>0</v>
      </c>
      <c r="K29" s="368"/>
      <c r="L29" s="368"/>
      <c r="M29" s="212">
        <f>HLOOKUP($D$5,PriorYr906!$J$9:$K$87,21,FALSE)</f>
        <v>0</v>
      </c>
      <c r="N29" s="2430"/>
      <c r="P29" s="1342">
        <v>11230000</v>
      </c>
    </row>
    <row r="30" spans="2:18" x14ac:dyDescent="0.2">
      <c r="B30" s="773" t="s">
        <v>2741</v>
      </c>
      <c r="C30" s="773"/>
      <c r="D30"/>
      <c r="E30"/>
      <c r="F30"/>
      <c r="G30"/>
      <c r="H30"/>
      <c r="I30"/>
      <c r="K30" s="368"/>
      <c r="L30" s="368"/>
      <c r="M30" s="212">
        <f>HLOOKUP($D$5,PriorYr906!$J$9:$K$87,22,FALSE)</f>
        <v>0</v>
      </c>
      <c r="N30" s="2430"/>
    </row>
    <row r="31" spans="2:18" x14ac:dyDescent="0.2">
      <c r="B31" s="3100" t="s">
        <v>4711</v>
      </c>
      <c r="C31" s="3100"/>
      <c r="D31" s="3100"/>
      <c r="E31" s="3100"/>
      <c r="F31" s="3100"/>
      <c r="G31" s="3100"/>
      <c r="H31" s="3100"/>
      <c r="I31" s="3100"/>
      <c r="J31" s="215">
        <v>0</v>
      </c>
      <c r="K31" s="368"/>
      <c r="L31" s="368"/>
      <c r="M31" s="212">
        <f>HLOOKUP($D$5,PriorYr906!$J$9:$K$87,23,FALSE)</f>
        <v>201.55</v>
      </c>
      <c r="N31" s="2430"/>
      <c r="P31" s="1342">
        <v>11320000</v>
      </c>
    </row>
    <row r="32" spans="2:18" x14ac:dyDescent="0.2">
      <c r="B32" s="3100" t="s">
        <v>4712</v>
      </c>
      <c r="C32" s="3100"/>
      <c r="D32" s="3100"/>
      <c r="E32" s="3100"/>
      <c r="F32" s="3100"/>
      <c r="G32" s="3100"/>
      <c r="H32" s="3100"/>
      <c r="I32" s="3100"/>
      <c r="J32" s="215">
        <v>0</v>
      </c>
      <c r="K32" s="368"/>
      <c r="L32" s="368"/>
      <c r="M32" s="212">
        <f>HLOOKUP($D$5,PriorYr906!$J$9:$K$87,24,FALSE)</f>
        <v>0</v>
      </c>
      <c r="N32" s="2430"/>
      <c r="P32" s="1342">
        <v>11352000</v>
      </c>
    </row>
    <row r="33" spans="2:18" x14ac:dyDescent="0.2">
      <c r="B33" s="3100" t="s">
        <v>4713</v>
      </c>
      <c r="C33" s="3100"/>
      <c r="D33" s="3100"/>
      <c r="E33" s="3100"/>
      <c r="F33" s="3100"/>
      <c r="G33" s="3100"/>
      <c r="H33" s="3100"/>
      <c r="I33" s="3100"/>
      <c r="J33" s="215">
        <v>0</v>
      </c>
      <c r="K33" s="368"/>
      <c r="L33" s="368"/>
      <c r="M33" s="212">
        <f>HLOOKUP($D$5,PriorYr906!$J$9:$K$87,25,FALSE)</f>
        <v>812681.25</v>
      </c>
      <c r="N33" s="2430"/>
      <c r="P33" s="1342">
        <v>11370000</v>
      </c>
    </row>
    <row r="34" spans="2:18" x14ac:dyDescent="0.2">
      <c r="B34" s="3100" t="s">
        <v>2752</v>
      </c>
      <c r="C34" s="3100"/>
      <c r="D34" s="3100"/>
      <c r="E34" s="3100"/>
      <c r="F34" s="3100"/>
      <c r="G34" s="3100"/>
      <c r="H34" s="3100"/>
      <c r="I34" s="3100"/>
      <c r="J34" s="215">
        <v>0</v>
      </c>
      <c r="K34" s="368"/>
      <c r="L34" s="368"/>
      <c r="M34" s="212">
        <f>HLOOKUP($D$5,PriorYr906!$J$9:$K$87,26,FALSE)</f>
        <v>19818405.73</v>
      </c>
      <c r="N34" s="2430"/>
      <c r="P34" s="1342">
        <v>11510000</v>
      </c>
    </row>
    <row r="35" spans="2:18" x14ac:dyDescent="0.2">
      <c r="B35" s="3100" t="s">
        <v>2750</v>
      </c>
      <c r="C35" s="3100"/>
      <c r="D35" s="3100"/>
      <c r="E35" s="3100"/>
      <c r="F35" s="3100"/>
      <c r="G35" s="3100"/>
      <c r="H35" s="3100"/>
      <c r="I35" s="3100"/>
      <c r="J35" s="215">
        <v>0</v>
      </c>
      <c r="K35" s="368"/>
      <c r="L35" s="368"/>
      <c r="M35" s="212">
        <f>HLOOKUP($D$5,PriorYr906!$J$9:$K$87,27,FALSE)</f>
        <v>0</v>
      </c>
      <c r="N35" s="2430"/>
      <c r="P35" s="1342">
        <v>11699000</v>
      </c>
    </row>
    <row r="36" spans="2:18" x14ac:dyDescent="0.2">
      <c r="B36" s="3100" t="s">
        <v>4714</v>
      </c>
      <c r="C36" s="3100"/>
      <c r="D36" s="3100"/>
      <c r="E36" s="3100"/>
      <c r="F36" s="3100"/>
      <c r="G36" s="3100"/>
      <c r="H36" s="3100"/>
      <c r="I36" s="3100"/>
      <c r="J36" s="215">
        <v>0</v>
      </c>
      <c r="K36" s="368"/>
      <c r="L36" s="368"/>
      <c r="M36" s="212">
        <f>HLOOKUP($D$5,PriorYr906!$J$9:$K$87,28,FALSE)</f>
        <v>0</v>
      </c>
      <c r="N36" s="2430"/>
      <c r="P36" s="1342">
        <v>11930000</v>
      </c>
      <c r="R36" s="138"/>
    </row>
    <row r="37" spans="2:18" x14ac:dyDescent="0.2">
      <c r="B37" s="3100" t="s">
        <v>4715</v>
      </c>
      <c r="C37" s="3100"/>
      <c r="D37" s="3100"/>
      <c r="E37" s="3100"/>
      <c r="F37" s="3100"/>
      <c r="G37" s="3100"/>
      <c r="H37" s="3100"/>
      <c r="I37" s="3100"/>
      <c r="J37" s="215">
        <v>0</v>
      </c>
      <c r="K37" s="368"/>
      <c r="L37" s="368"/>
      <c r="M37" s="212">
        <f>HLOOKUP($D$5,PriorYr906!$J$9:$K$87,29,FALSE)</f>
        <v>0</v>
      </c>
      <c r="N37" s="2430"/>
      <c r="P37" s="1342">
        <v>12700000</v>
      </c>
    </row>
    <row r="38" spans="2:18" x14ac:dyDescent="0.2">
      <c r="B38" s="3100" t="s">
        <v>4716</v>
      </c>
      <c r="C38" s="3100"/>
      <c r="D38" s="3100"/>
      <c r="E38" s="3100"/>
      <c r="F38" s="3100"/>
      <c r="G38" s="3100"/>
      <c r="H38" s="3100"/>
      <c r="I38" s="3100"/>
      <c r="J38" s="338">
        <v>0</v>
      </c>
      <c r="K38" s="368"/>
      <c r="L38" s="368"/>
      <c r="M38" s="212">
        <f>HLOOKUP($D$5,PriorYr906!$J$9:$K$87,30,FALSE)</f>
        <v>0</v>
      </c>
      <c r="N38" s="2430"/>
      <c r="P38" s="1342">
        <v>12710000</v>
      </c>
    </row>
    <row r="39" spans="2:18" x14ac:dyDescent="0.2">
      <c r="B39" s="3100" t="s">
        <v>1769</v>
      </c>
      <c r="C39" s="3100"/>
      <c r="D39" s="3100"/>
      <c r="E39" s="3100"/>
      <c r="F39" s="3100"/>
      <c r="G39" s="3100"/>
      <c r="H39" s="3100"/>
      <c r="I39" s="3100"/>
      <c r="J39" s="379">
        <f>SUM(J10:J38)</f>
        <v>0</v>
      </c>
      <c r="K39" s="368"/>
      <c r="L39" s="368"/>
      <c r="M39" s="379">
        <f>SUM(M10:M38)</f>
        <v>1691169463.23</v>
      </c>
      <c r="N39" s="2430"/>
    </row>
    <row r="40" spans="2:18" x14ac:dyDescent="0.2">
      <c r="B40" s="772"/>
      <c r="C40" s="773"/>
      <c r="D40"/>
      <c r="E40"/>
      <c r="F40"/>
      <c r="G40"/>
      <c r="H40"/>
      <c r="I40"/>
      <c r="J40" s="373"/>
      <c r="K40" s="368"/>
      <c r="L40" s="368"/>
      <c r="M40" s="2380"/>
      <c r="N40" s="2430"/>
    </row>
    <row r="41" spans="2:18" x14ac:dyDescent="0.2">
      <c r="B41" s="771" t="s">
        <v>1837</v>
      </c>
      <c r="C41" s="773"/>
      <c r="D41"/>
      <c r="E41"/>
      <c r="F41"/>
      <c r="G41"/>
      <c r="H41"/>
      <c r="I41"/>
      <c r="J41" s="373"/>
      <c r="K41" s="368"/>
      <c r="L41" s="368"/>
      <c r="M41" s="2380"/>
      <c r="N41" s="2430"/>
    </row>
    <row r="42" spans="2:18" x14ac:dyDescent="0.2">
      <c r="B42" s="1784" t="s">
        <v>2797</v>
      </c>
      <c r="C42" s="773"/>
      <c r="D42"/>
      <c r="E42"/>
      <c r="F42"/>
      <c r="G42"/>
      <c r="H42"/>
      <c r="I42"/>
      <c r="J42" s="373"/>
      <c r="K42" s="368"/>
      <c r="L42" s="368"/>
      <c r="M42" s="2380"/>
      <c r="N42" s="2430"/>
    </row>
    <row r="43" spans="2:18" x14ac:dyDescent="0.2">
      <c r="B43" s="3106" t="s">
        <v>2835</v>
      </c>
      <c r="C43" s="3106"/>
      <c r="D43" s="3106"/>
      <c r="E43" s="3106"/>
      <c r="F43" s="3106"/>
      <c r="G43" s="3106"/>
      <c r="H43" s="3106"/>
      <c r="I43" s="3106"/>
      <c r="J43" s="215">
        <v>0</v>
      </c>
      <c r="K43" s="368"/>
      <c r="L43" s="368"/>
      <c r="M43" s="212">
        <f>HLOOKUP($D$5,PriorYr906!$J$9:$K$87,35,FALSE)</f>
        <v>169903.81</v>
      </c>
      <c r="N43" s="2430"/>
      <c r="P43" s="1346">
        <v>21110000</v>
      </c>
    </row>
    <row r="44" spans="2:18" x14ac:dyDescent="0.2">
      <c r="B44" s="3106" t="s">
        <v>2800</v>
      </c>
      <c r="C44" s="3106"/>
      <c r="D44" s="3106"/>
      <c r="E44" s="3106"/>
      <c r="F44" s="3106"/>
      <c r="G44" s="3106"/>
      <c r="H44" s="3106"/>
      <c r="I44" s="3106"/>
      <c r="J44" s="215">
        <v>0</v>
      </c>
      <c r="K44" s="368"/>
      <c r="L44" s="368"/>
      <c r="M44" s="212">
        <f>HLOOKUP($D$5,PriorYr906!$J$9:$K$87,36,FALSE)</f>
        <v>0</v>
      </c>
      <c r="N44" s="2430"/>
      <c r="P44" s="1346">
        <v>21131000</v>
      </c>
    </row>
    <row r="45" spans="2:18" x14ac:dyDescent="0.2">
      <c r="B45" s="3106" t="s">
        <v>4717</v>
      </c>
      <c r="C45" s="3106"/>
      <c r="D45" s="3106"/>
      <c r="E45" s="3106"/>
      <c r="F45" s="3106"/>
      <c r="G45" s="3106"/>
      <c r="H45" s="3106"/>
      <c r="I45" s="3106"/>
      <c r="J45" s="215">
        <v>0</v>
      </c>
      <c r="K45" s="368"/>
      <c r="L45" s="368"/>
      <c r="M45" s="212">
        <f>HLOOKUP($D$5,PriorYr906!$J$9:$K$87,37,FALSE)</f>
        <v>0</v>
      </c>
      <c r="N45" s="2430"/>
      <c r="P45" s="1346">
        <v>21511000</v>
      </c>
    </row>
    <row r="46" spans="2:18" x14ac:dyDescent="0.2">
      <c r="B46" s="3108" t="s">
        <v>2814</v>
      </c>
      <c r="C46" s="3108"/>
      <c r="D46" s="3108"/>
      <c r="E46" s="3108"/>
      <c r="F46" s="3108"/>
      <c r="G46" s="3108"/>
      <c r="H46" s="3108"/>
      <c r="I46" s="3108"/>
      <c r="J46" s="215">
        <v>0</v>
      </c>
      <c r="K46" s="368"/>
      <c r="L46" s="368"/>
      <c r="M46" s="212">
        <f>HLOOKUP($D$5,PriorYr906!$J$9:$K$87,38,FALSE)</f>
        <v>0</v>
      </c>
      <c r="N46" s="2430"/>
      <c r="P46" s="1346">
        <v>21315000</v>
      </c>
    </row>
    <row r="47" spans="2:18" x14ac:dyDescent="0.2">
      <c r="B47" s="3108" t="s">
        <v>2812</v>
      </c>
      <c r="C47" s="3108"/>
      <c r="D47" s="3108"/>
      <c r="E47" s="3108"/>
      <c r="F47" s="3108"/>
      <c r="G47" s="3108"/>
      <c r="H47" s="3108"/>
      <c r="I47" s="3108"/>
      <c r="J47" s="215">
        <v>0</v>
      </c>
      <c r="K47" s="368"/>
      <c r="L47" s="368"/>
      <c r="M47" s="212">
        <f>HLOOKUP($D$5,PriorYr906!$J$9:$K$87,39,FALSE)</f>
        <v>0</v>
      </c>
      <c r="N47" s="2430"/>
      <c r="P47" s="1346">
        <v>21811000</v>
      </c>
    </row>
    <row r="48" spans="2:18" x14ac:dyDescent="0.2">
      <c r="B48" s="3108" t="s">
        <v>2815</v>
      </c>
      <c r="C48" s="3108"/>
      <c r="D48" s="3108"/>
      <c r="E48" s="3108"/>
      <c r="F48" s="3108"/>
      <c r="G48" s="3108"/>
      <c r="H48" s="3108"/>
      <c r="I48" s="3108"/>
      <c r="J48" s="215">
        <v>0</v>
      </c>
      <c r="K48" s="368"/>
      <c r="L48" s="368"/>
      <c r="M48" s="212">
        <f>HLOOKUP($D$5,PriorYr906!$J$9:$K$87,40,FALSE)</f>
        <v>0</v>
      </c>
      <c r="N48" s="2430"/>
      <c r="P48" s="1346">
        <v>21712000</v>
      </c>
    </row>
    <row r="49" spans="2:17" x14ac:dyDescent="0.2">
      <c r="B49" s="3100" t="s">
        <v>2816</v>
      </c>
      <c r="C49" s="3100"/>
      <c r="D49" s="3100"/>
      <c r="E49" s="3100"/>
      <c r="F49" s="3100"/>
      <c r="G49" s="3100"/>
      <c r="H49" s="3100"/>
      <c r="I49" s="3100"/>
      <c r="J49" s="215">
        <v>0</v>
      </c>
      <c r="K49" s="368"/>
      <c r="L49" s="368"/>
      <c r="M49" s="212">
        <f>HLOOKUP($D$5,PriorYr906!$J$9:$K$87,41,FALSE)</f>
        <v>0</v>
      </c>
      <c r="N49" s="2430"/>
      <c r="P49" s="1346">
        <v>21719000</v>
      </c>
    </row>
    <row r="50" spans="2:17" x14ac:dyDescent="0.2">
      <c r="B50" s="3108" t="s">
        <v>1071</v>
      </c>
      <c r="C50" s="3108"/>
      <c r="D50" s="3108"/>
      <c r="E50" s="3108"/>
      <c r="F50" s="3108"/>
      <c r="G50" s="3108"/>
      <c r="H50" s="3108"/>
      <c r="I50" s="3108"/>
      <c r="J50" s="338">
        <v>0</v>
      </c>
      <c r="K50" s="368"/>
      <c r="L50" s="368"/>
      <c r="M50" s="212">
        <f>HLOOKUP($D$5,PriorYr906!$J$9:$K$87,42,FALSE)</f>
        <v>0</v>
      </c>
      <c r="N50" s="2430"/>
      <c r="P50" s="1346">
        <v>21192000</v>
      </c>
    </row>
    <row r="51" spans="2:17" x14ac:dyDescent="0.2">
      <c r="B51" s="3100" t="s">
        <v>1774</v>
      </c>
      <c r="C51" s="3100"/>
      <c r="D51" s="3100"/>
      <c r="E51" s="3100"/>
      <c r="F51" s="3100"/>
      <c r="G51" s="3100"/>
      <c r="H51" s="3100"/>
      <c r="I51" s="3100"/>
      <c r="J51" s="379">
        <f>SUM(J42:J50)</f>
        <v>0</v>
      </c>
      <c r="K51" s="368"/>
      <c r="L51" s="368"/>
      <c r="M51" s="379">
        <f>SUM(M42:M50)</f>
        <v>169903.81</v>
      </c>
      <c r="N51" s="2430"/>
      <c r="P51" s="1346"/>
    </row>
    <row r="52" spans="2:17" x14ac:dyDescent="0.2">
      <c r="B52" s="773"/>
      <c r="C52" s="773"/>
      <c r="D52"/>
      <c r="E52"/>
      <c r="F52"/>
      <c r="G52"/>
      <c r="H52"/>
      <c r="I52"/>
      <c r="J52" s="373"/>
      <c r="K52" s="368"/>
      <c r="L52" s="368"/>
      <c r="M52" s="2440"/>
      <c r="N52" s="2430"/>
      <c r="P52" s="1346"/>
    </row>
    <row r="53" spans="2:17" x14ac:dyDescent="0.2">
      <c r="B53" s="2438" t="s">
        <v>1776</v>
      </c>
      <c r="C53"/>
      <c r="D53"/>
      <c r="E53"/>
      <c r="F53"/>
      <c r="G53"/>
      <c r="H53"/>
      <c r="I53"/>
      <c r="K53" s="368"/>
      <c r="L53" s="368"/>
      <c r="M53" s="2440"/>
      <c r="N53" s="2430"/>
      <c r="P53" s="1346"/>
    </row>
    <row r="54" spans="2:17" x14ac:dyDescent="0.2">
      <c r="B54" s="3111" t="s">
        <v>1624</v>
      </c>
      <c r="C54" s="3111"/>
      <c r="D54" s="3111"/>
      <c r="E54" s="3111"/>
      <c r="F54" s="3111"/>
      <c r="G54" s="3111"/>
      <c r="H54" s="3111"/>
      <c r="I54" s="3111"/>
      <c r="K54" s="368"/>
      <c r="L54" s="368"/>
      <c r="M54" s="2440"/>
      <c r="N54" s="2430"/>
      <c r="P54" s="1346"/>
    </row>
    <row r="55" spans="2:17" x14ac:dyDescent="0.2">
      <c r="B55" s="3108" t="s">
        <v>4718</v>
      </c>
      <c r="C55" s="3108"/>
      <c r="D55" s="3108"/>
      <c r="E55" s="3108"/>
      <c r="F55" s="3108"/>
      <c r="G55" s="3108"/>
      <c r="H55" s="3108"/>
      <c r="I55" s="3108"/>
      <c r="J55" s="215">
        <v>0</v>
      </c>
      <c r="K55" s="368"/>
      <c r="L55" s="368"/>
      <c r="M55" s="212">
        <f>HLOOKUP($D$5,PriorYr906!$J$9:$K$87,47,FALSE)</f>
        <v>1690999559.4200001</v>
      </c>
      <c r="N55" s="2430"/>
      <c r="P55" s="1346" t="s">
        <v>4719</v>
      </c>
      <c r="Q55" s="1297"/>
    </row>
    <row r="56" spans="2:17" ht="13.5" thickBot="1" x14ac:dyDescent="0.25">
      <c r="B56" s="3107" t="s">
        <v>1641</v>
      </c>
      <c r="C56" s="3107"/>
      <c r="D56" s="3107"/>
      <c r="E56" s="3107"/>
      <c r="F56" s="3107"/>
      <c r="G56" s="3107"/>
      <c r="H56" s="3107"/>
      <c r="I56" s="3107"/>
      <c r="J56" s="380">
        <f>SUM(J54:J55)</f>
        <v>0</v>
      </c>
      <c r="K56" s="368"/>
      <c r="L56" s="368"/>
      <c r="M56" s="380">
        <f>SUM(M54:M55)</f>
        <v>1690999559.4200001</v>
      </c>
      <c r="N56" s="2430"/>
      <c r="P56" s="1346"/>
    </row>
    <row r="57" spans="2:17" ht="13.5" thickTop="1" x14ac:dyDescent="0.2">
      <c r="B57" s="2437"/>
      <c r="C57" s="2437"/>
      <c r="D57" s="2437"/>
      <c r="E57" s="2437"/>
      <c r="F57" s="2437"/>
      <c r="G57" s="2437"/>
      <c r="H57" s="2437"/>
      <c r="I57" s="2437"/>
      <c r="K57" s="368"/>
      <c r="L57" s="368"/>
      <c r="M57" s="2380"/>
      <c r="N57" s="2430"/>
      <c r="P57" s="1346"/>
    </row>
    <row r="58" spans="2:17" x14ac:dyDescent="0.2">
      <c r="B58" s="3107" t="s">
        <v>4720</v>
      </c>
      <c r="C58" s="3107"/>
      <c r="D58" s="3107"/>
      <c r="E58" s="3107"/>
      <c r="F58" s="3107"/>
      <c r="G58" s="3107"/>
      <c r="H58" s="3107"/>
      <c r="I58" s="3107"/>
      <c r="J58" s="737" t="str">
        <f>IF(J39-J51=J56,"In Balance","NOT BALANCED")</f>
        <v>In Balance</v>
      </c>
      <c r="K58" s="368"/>
      <c r="L58" s="368"/>
      <c r="M58" s="737" t="str">
        <f>IF(M39-M51=M56,"In Balance","NOT BALANCED")</f>
        <v>In Balance</v>
      </c>
      <c r="N58" s="2430"/>
      <c r="P58" s="1346"/>
    </row>
    <row r="59" spans="2:17" x14ac:dyDescent="0.2">
      <c r="B59"/>
      <c r="C59"/>
      <c r="D59"/>
      <c r="E59"/>
      <c r="F59"/>
      <c r="G59"/>
      <c r="H59"/>
      <c r="I59"/>
      <c r="K59" s="368"/>
      <c r="L59" s="368"/>
      <c r="M59" s="2380"/>
      <c r="N59" s="2430"/>
      <c r="P59" s="1346"/>
    </row>
    <row r="60" spans="2:17" x14ac:dyDescent="0.2">
      <c r="B60" s="774" t="s">
        <v>4721</v>
      </c>
      <c r="C60"/>
      <c r="D60"/>
      <c r="E60"/>
      <c r="F60"/>
      <c r="G60"/>
      <c r="H60"/>
      <c r="I60"/>
      <c r="J60" s="732" t="str">
        <f>CONCATENATE("FYE ",+TEXT(Data!$A$2,"mmmm d,yyyy"))</f>
        <v>FYE June 30,2024</v>
      </c>
      <c r="K60" s="368"/>
      <c r="L60" s="368"/>
      <c r="M60" s="734" t="str">
        <f>CONCATENATE("FYE ",+TEXT(Data!$A$4,"mmmm d,yyyy"))</f>
        <v>FYE June 30,2023</v>
      </c>
      <c r="N60" s="2430"/>
      <c r="P60" s="1346"/>
    </row>
    <row r="61" spans="2:17" x14ac:dyDescent="0.2">
      <c r="B61" s="3110" t="s">
        <v>1850</v>
      </c>
      <c r="C61" s="3110"/>
      <c r="D61" s="3110"/>
      <c r="E61" s="3110"/>
      <c r="F61" s="3110"/>
      <c r="G61" s="3110"/>
      <c r="H61" s="3110"/>
      <c r="I61" s="3110"/>
      <c r="K61" s="368"/>
      <c r="L61" s="368"/>
      <c r="M61" s="2380"/>
      <c r="N61" s="2430"/>
      <c r="P61" s="1346"/>
    </row>
    <row r="62" spans="2:17" x14ac:dyDescent="0.2">
      <c r="B62" s="3066" t="s">
        <v>4722</v>
      </c>
      <c r="C62" s="3066"/>
      <c r="D62" s="3066"/>
      <c r="E62" s="3066"/>
      <c r="F62" s="3066"/>
      <c r="G62" s="3066"/>
      <c r="H62" s="3066"/>
      <c r="I62" s="3066"/>
      <c r="J62" s="214">
        <v>0</v>
      </c>
      <c r="K62" s="368"/>
      <c r="L62" s="368"/>
      <c r="M62" s="451">
        <f>HLOOKUP($D$5,PriorYr906!$J$9:$K$87,54,FALSE)</f>
        <v>5177192.26</v>
      </c>
      <c r="N62" s="2430"/>
      <c r="P62" s="1346">
        <v>46110000</v>
      </c>
    </row>
    <row r="63" spans="2:17" x14ac:dyDescent="0.2">
      <c r="B63" s="3066" t="s">
        <v>4723</v>
      </c>
      <c r="C63" s="3066"/>
      <c r="D63" s="3066"/>
      <c r="E63" s="3066"/>
      <c r="F63" s="3066"/>
      <c r="G63" s="3066"/>
      <c r="H63" s="3066"/>
      <c r="I63" s="3066"/>
      <c r="J63" s="215">
        <v>0</v>
      </c>
      <c r="K63" s="368"/>
      <c r="L63" s="368"/>
      <c r="M63" s="212">
        <f>HLOOKUP($D$5,PriorYr906!$J$9:$K$87,55,FALSE)</f>
        <v>91859222.760000005</v>
      </c>
      <c r="N63" s="2430"/>
      <c r="P63" s="1346">
        <v>46120000</v>
      </c>
    </row>
    <row r="64" spans="2:17" x14ac:dyDescent="0.2">
      <c r="B64" s="3069" t="s">
        <v>4724</v>
      </c>
      <c r="C64" s="3069"/>
      <c r="D64" s="3069"/>
      <c r="E64" s="3069"/>
      <c r="F64" s="3069"/>
      <c r="G64" s="3069"/>
      <c r="H64" s="3069"/>
      <c r="I64" s="3069"/>
      <c r="J64" s="215">
        <v>0</v>
      </c>
      <c r="K64" s="368"/>
      <c r="L64" s="368"/>
      <c r="M64" s="212">
        <f>HLOOKUP($D$5,PriorYr906!$J$9:$K$87,56,FALSE)</f>
        <v>0</v>
      </c>
      <c r="N64" s="2430"/>
      <c r="P64" s="1346">
        <v>46160000</v>
      </c>
    </row>
    <row r="65" spans="2:16" x14ac:dyDescent="0.2">
      <c r="B65" s="3066" t="s">
        <v>4725</v>
      </c>
      <c r="C65" s="3066"/>
      <c r="D65" s="3066"/>
      <c r="E65" s="3066"/>
      <c r="F65" s="3066"/>
      <c r="G65" s="3066"/>
      <c r="H65" s="3066"/>
      <c r="I65" s="3066"/>
      <c r="J65" s="338">
        <v>0</v>
      </c>
      <c r="K65" s="368"/>
      <c r="L65" s="368"/>
      <c r="M65" s="212">
        <f>HLOOKUP($D$5,PriorYr906!$J$9:$K$87,57,FALSE)</f>
        <v>0</v>
      </c>
      <c r="N65" s="2430"/>
      <c r="P65" s="1346">
        <v>42990000</v>
      </c>
    </row>
    <row r="66" spans="2:16" x14ac:dyDescent="0.2">
      <c r="B66" s="3066" t="s">
        <v>4726</v>
      </c>
      <c r="C66" s="3066"/>
      <c r="D66" s="3066"/>
      <c r="E66" s="3066"/>
      <c r="F66" s="3066"/>
      <c r="G66" s="3066"/>
      <c r="H66" s="3066"/>
      <c r="I66" s="3066"/>
      <c r="J66" s="379">
        <f>SUM(J62:J65)</f>
        <v>0</v>
      </c>
      <c r="K66" s="368"/>
      <c r="L66" s="368"/>
      <c r="M66" s="379">
        <f>SUM(M62:M65)</f>
        <v>97036415.019999996</v>
      </c>
      <c r="N66" s="2430"/>
      <c r="P66" s="1346"/>
    </row>
    <row r="67" spans="2:16" x14ac:dyDescent="0.2">
      <c r="B67" s="3110" t="s">
        <v>4727</v>
      </c>
      <c r="C67" s="3110"/>
      <c r="D67" s="3110"/>
      <c r="E67" s="3110"/>
      <c r="F67" s="3110"/>
      <c r="G67" s="3110"/>
      <c r="H67" s="3110"/>
      <c r="I67" s="3110"/>
      <c r="K67" s="368"/>
      <c r="L67" s="368"/>
      <c r="M67" s="2380"/>
      <c r="N67" s="2430"/>
      <c r="P67" s="1346"/>
    </row>
    <row r="68" spans="2:16" x14ac:dyDescent="0.2">
      <c r="B68" s="3066" t="s">
        <v>4728</v>
      </c>
      <c r="C68" s="3066"/>
      <c r="D68" s="3066"/>
      <c r="E68" s="3066"/>
      <c r="F68" s="3066"/>
      <c r="G68" s="3066"/>
      <c r="H68" s="3066"/>
      <c r="I68" s="3066"/>
      <c r="J68" s="215">
        <v>0</v>
      </c>
      <c r="K68" s="368"/>
      <c r="L68" s="368"/>
      <c r="M68" s="212">
        <f>HLOOKUP($D$5,PriorYr906!$J$9:$K$87,60,FALSE)</f>
        <v>-272780843.26999998</v>
      </c>
      <c r="N68" s="2430"/>
      <c r="P68" s="1346">
        <v>43110000</v>
      </c>
    </row>
    <row r="69" spans="2:16" x14ac:dyDescent="0.2">
      <c r="B69" s="3066" t="s">
        <v>4729</v>
      </c>
      <c r="C69" s="3066"/>
      <c r="D69" s="3066"/>
      <c r="E69" s="3066"/>
      <c r="F69" s="3066"/>
      <c r="G69" s="3066"/>
      <c r="H69" s="3066"/>
      <c r="I69" s="3066"/>
      <c r="J69" s="338">
        <v>0</v>
      </c>
      <c r="K69" s="368"/>
      <c r="L69" s="368"/>
      <c r="M69" s="212">
        <f>HLOOKUP($D$5,PriorYr906!$J$9:$K$87,61,FALSE)</f>
        <v>-2434737.38</v>
      </c>
      <c r="N69" s="2430"/>
      <c r="P69" s="1346">
        <v>52120110</v>
      </c>
    </row>
    <row r="70" spans="2:16" x14ac:dyDescent="0.2">
      <c r="B70" s="3066" t="s">
        <v>4730</v>
      </c>
      <c r="C70" s="3066"/>
      <c r="D70" s="3066"/>
      <c r="E70" s="3066"/>
      <c r="F70" s="3066"/>
      <c r="G70" s="3066"/>
      <c r="H70" s="3066"/>
      <c r="I70" s="3066"/>
      <c r="J70" s="379">
        <f>SUM(J68:J69)</f>
        <v>0</v>
      </c>
      <c r="K70" s="368"/>
      <c r="L70" s="368"/>
      <c r="M70" s="379">
        <f>SUM(M68:M69)</f>
        <v>-275215580.64999998</v>
      </c>
      <c r="N70" s="2430"/>
      <c r="P70" s="1346"/>
    </row>
    <row r="71" spans="2:16" x14ac:dyDescent="0.2">
      <c r="B71" s="3110" t="s">
        <v>1853</v>
      </c>
      <c r="C71" s="3110"/>
      <c r="D71" s="3110"/>
      <c r="E71" s="3110"/>
      <c r="F71" s="3110"/>
      <c r="G71" s="3110"/>
      <c r="H71" s="3110"/>
      <c r="I71" s="3110"/>
      <c r="K71" s="368"/>
      <c r="L71" s="368"/>
      <c r="M71" s="2440"/>
      <c r="N71" s="2430"/>
      <c r="P71" s="1346"/>
    </row>
    <row r="72" spans="2:16" x14ac:dyDescent="0.2">
      <c r="B72" s="3066" t="s">
        <v>4731</v>
      </c>
      <c r="C72" s="3066"/>
      <c r="D72" s="3066"/>
      <c r="E72" s="3066"/>
      <c r="F72" s="3066"/>
      <c r="G72" s="3066"/>
      <c r="H72" s="3066"/>
      <c r="I72" s="3066"/>
      <c r="J72" s="215">
        <v>0</v>
      </c>
      <c r="K72" s="368"/>
      <c r="L72" s="368"/>
      <c r="M72" s="212">
        <f>HLOOKUP($D$5,PriorYr906!$J$9:$K$87,64,FALSE)</f>
        <v>0</v>
      </c>
      <c r="N72" s="2430"/>
      <c r="P72" s="1346">
        <v>45100000</v>
      </c>
    </row>
    <row r="73" spans="2:16" x14ac:dyDescent="0.2">
      <c r="B73" s="3066" t="s">
        <v>4732</v>
      </c>
      <c r="C73" s="3066"/>
      <c r="D73" s="3066"/>
      <c r="E73" s="3066"/>
      <c r="F73" s="3066"/>
      <c r="G73" s="3066"/>
      <c r="H73" s="3066"/>
      <c r="I73" s="3066"/>
      <c r="J73" s="215">
        <v>0</v>
      </c>
      <c r="K73" s="368"/>
      <c r="L73" s="368"/>
      <c r="M73" s="212">
        <f>HLOOKUP($D$5,PriorYr906!$J$9:$K$87,65,FALSE)</f>
        <v>964685.91</v>
      </c>
      <c r="N73" s="2430"/>
      <c r="P73" s="1346">
        <v>43200000</v>
      </c>
    </row>
    <row r="74" spans="2:16" x14ac:dyDescent="0.2">
      <c r="B74" s="3066" t="s">
        <v>4733</v>
      </c>
      <c r="C74" s="3066"/>
      <c r="D74" s="3066"/>
      <c r="E74" s="3066"/>
      <c r="F74" s="3066"/>
      <c r="G74" s="3066"/>
      <c r="H74" s="3066"/>
      <c r="I74" s="3066"/>
      <c r="J74" s="215">
        <v>0</v>
      </c>
      <c r="K74" s="368"/>
      <c r="L74" s="368"/>
      <c r="M74" s="212">
        <f>HLOOKUP($D$5,PriorYr906!$J$9:$K$87,66,FALSE)</f>
        <v>320115.25</v>
      </c>
      <c r="N74" s="2430"/>
      <c r="P74" s="1346">
        <v>47111000</v>
      </c>
    </row>
    <row r="75" spans="2:16" x14ac:dyDescent="0.2">
      <c r="B75" s="3066" t="s">
        <v>4734</v>
      </c>
      <c r="C75" s="3066"/>
      <c r="D75" s="3066"/>
      <c r="E75" s="3066"/>
      <c r="F75" s="3066"/>
      <c r="G75" s="3066"/>
      <c r="H75" s="3066"/>
      <c r="I75" s="3066"/>
      <c r="J75" s="379">
        <f>SUM(J72:J74)</f>
        <v>0</v>
      </c>
      <c r="K75" s="368"/>
      <c r="L75" s="368"/>
      <c r="M75" s="379">
        <f>SUM(M72:M74)</f>
        <v>1284801.1599999999</v>
      </c>
      <c r="N75" s="2430"/>
      <c r="P75" s="1346"/>
    </row>
    <row r="76" spans="2:16" x14ac:dyDescent="0.2">
      <c r="B76" s="3066" t="s">
        <v>1854</v>
      </c>
      <c r="C76" s="3066"/>
      <c r="D76" s="3066"/>
      <c r="E76" s="3066"/>
      <c r="F76" s="3066"/>
      <c r="G76" s="3066"/>
      <c r="H76" s="3066"/>
      <c r="I76" s="3066"/>
      <c r="J76" s="379">
        <f>J66+J70+J75</f>
        <v>0</v>
      </c>
      <c r="K76" s="368"/>
      <c r="L76" s="368"/>
      <c r="M76" s="379">
        <f>M66+M70+M75</f>
        <v>-176894364.47</v>
      </c>
      <c r="N76" s="2430"/>
      <c r="P76" s="1346"/>
    </row>
    <row r="77" spans="2:16" x14ac:dyDescent="0.2">
      <c r="B77" s="2380"/>
      <c r="C77"/>
      <c r="D77"/>
      <c r="E77"/>
      <c r="F77"/>
      <c r="G77"/>
      <c r="H77"/>
      <c r="I77"/>
      <c r="K77" s="368"/>
      <c r="L77" s="368"/>
      <c r="M77" s="2380"/>
      <c r="N77" s="2430"/>
      <c r="P77" s="1346"/>
    </row>
    <row r="78" spans="2:16" x14ac:dyDescent="0.2">
      <c r="B78" s="3109" t="s">
        <v>4735</v>
      </c>
      <c r="C78" s="3109"/>
      <c r="D78" s="3109"/>
      <c r="E78" s="3109"/>
      <c r="F78" s="3109"/>
      <c r="G78" s="3109"/>
      <c r="H78" s="3109"/>
      <c r="I78" s="3109"/>
      <c r="K78" s="368"/>
      <c r="L78" s="368"/>
      <c r="M78" s="2380"/>
      <c r="N78" s="2430"/>
      <c r="P78" s="1346"/>
    </row>
    <row r="79" spans="2:16" x14ac:dyDescent="0.2">
      <c r="B79" s="3066" t="s">
        <v>2885</v>
      </c>
      <c r="C79" s="3066"/>
      <c r="D79" s="3066"/>
      <c r="E79" s="3066"/>
      <c r="F79" s="3066"/>
      <c r="G79" s="3066"/>
      <c r="H79" s="3066"/>
      <c r="I79" s="3066"/>
      <c r="J79" s="215">
        <v>0</v>
      </c>
      <c r="K79" s="368"/>
      <c r="L79" s="368"/>
      <c r="M79" s="212">
        <f>HLOOKUP($D$5,PriorYr906!$J$9:$K$87,71,FALSE)</f>
        <v>118308110.52</v>
      </c>
      <c r="N79" s="2430"/>
      <c r="P79" s="1346">
        <v>55210000</v>
      </c>
    </row>
    <row r="80" spans="2:16" x14ac:dyDescent="0.2">
      <c r="B80" s="3066" t="s">
        <v>4328</v>
      </c>
      <c r="C80" s="3066"/>
      <c r="D80" s="3066"/>
      <c r="E80" s="3066"/>
      <c r="F80" s="3066"/>
      <c r="G80" s="3066"/>
      <c r="H80" s="3066"/>
      <c r="I80" s="3066"/>
      <c r="J80" s="215">
        <v>0</v>
      </c>
      <c r="K80" s="368"/>
      <c r="L80" s="368"/>
      <c r="M80" s="212">
        <f>HLOOKUP($D$5,PriorYr906!$J$9:$K$87,72,FALSE)</f>
        <v>0</v>
      </c>
      <c r="N80" s="2430"/>
      <c r="P80" s="1346">
        <v>55218000</v>
      </c>
    </row>
    <row r="81" spans="2:16" x14ac:dyDescent="0.2">
      <c r="B81" s="3066" t="s">
        <v>4736</v>
      </c>
      <c r="C81" s="3066"/>
      <c r="D81" s="3066"/>
      <c r="E81" s="3066"/>
      <c r="F81" s="3066"/>
      <c r="G81" s="3066"/>
      <c r="H81" s="3066"/>
      <c r="I81" s="3066"/>
      <c r="J81" s="215">
        <v>0</v>
      </c>
      <c r="K81" s="368"/>
      <c r="L81" s="368"/>
      <c r="M81" s="212">
        <f>HLOOKUP($D$5,PriorYr906!$J$9:$K$87,73,FALSE)</f>
        <v>1753292.78</v>
      </c>
      <c r="N81" s="2430"/>
      <c r="P81" s="1346" t="s">
        <v>4737</v>
      </c>
    </row>
    <row r="82" spans="2:16" x14ac:dyDescent="0.2">
      <c r="B82" s="3066" t="s">
        <v>4738</v>
      </c>
      <c r="C82" s="3066"/>
      <c r="D82" s="3066"/>
      <c r="E82" s="3066"/>
      <c r="F82" s="3066"/>
      <c r="G82" s="3066"/>
      <c r="H82" s="3066"/>
      <c r="I82" s="3066"/>
      <c r="J82" s="338">
        <v>0</v>
      </c>
      <c r="K82" s="368"/>
      <c r="L82" s="368"/>
      <c r="M82" s="212">
        <f>HLOOKUP($D$5,PriorYr906!$J$9:$K$87,74,FALSE)</f>
        <v>0</v>
      </c>
      <c r="N82" s="2430"/>
      <c r="P82" s="1346">
        <v>55610000</v>
      </c>
    </row>
    <row r="83" spans="2:16" x14ac:dyDescent="0.2">
      <c r="B83" s="3066" t="s">
        <v>4739</v>
      </c>
      <c r="C83" s="3066"/>
      <c r="D83" s="3066"/>
      <c r="E83" s="3066"/>
      <c r="F83" s="3066"/>
      <c r="G83" s="3066"/>
      <c r="H83" s="3066"/>
      <c r="I83" s="3066"/>
      <c r="J83" s="379">
        <f>SUM(J79:J82)</f>
        <v>0</v>
      </c>
      <c r="K83" s="368"/>
      <c r="L83" s="368"/>
      <c r="M83" s="379">
        <f>SUM(M79:M82)</f>
        <v>120061403.3</v>
      </c>
      <c r="N83" s="2430"/>
      <c r="P83" s="1346"/>
    </row>
    <row r="84" spans="2:16" x14ac:dyDescent="0.2">
      <c r="B84" s="3066" t="s">
        <v>4740</v>
      </c>
      <c r="C84" s="3066"/>
      <c r="D84" s="3066"/>
      <c r="E84" s="3066"/>
      <c r="F84" s="3066"/>
      <c r="G84" s="3066"/>
      <c r="H84" s="3066"/>
      <c r="I84" s="3066"/>
      <c r="J84" s="731">
        <f>J76-J83</f>
        <v>0</v>
      </c>
      <c r="K84" s="368"/>
      <c r="L84" s="368"/>
      <c r="M84" s="731">
        <f>M76-M83</f>
        <v>-296955767.76999998</v>
      </c>
      <c r="N84" s="2430"/>
      <c r="P84" s="1346"/>
    </row>
    <row r="85" spans="2:16" x14ac:dyDescent="0.2">
      <c r="B85" s="3108" t="s">
        <v>4741</v>
      </c>
      <c r="C85" s="3108"/>
      <c r="D85" s="3108"/>
      <c r="E85" s="3108"/>
      <c r="F85" s="3108"/>
      <c r="G85" s="3108"/>
      <c r="H85" s="3108"/>
      <c r="I85" s="3108"/>
      <c r="J85" s="591">
        <f>INDEX(NetAssetsData,MATCH('906-6B'!$D$5,NetAssetsDataRow,0),3)</f>
        <v>1690999559.4200001</v>
      </c>
      <c r="K85" s="368"/>
      <c r="L85" s="368"/>
      <c r="M85" s="591">
        <f>HLOOKUP($D$5,PriorYr906!$J$9:$K$87,77,FALSE)</f>
        <v>1987955327.1900001</v>
      </c>
      <c r="N85" s="2430"/>
      <c r="P85" s="1346"/>
    </row>
    <row r="86" spans="2:16" x14ac:dyDescent="0.2">
      <c r="B86" s="3108" t="s">
        <v>4742</v>
      </c>
      <c r="C86" s="3108"/>
      <c r="D86" s="3108"/>
      <c r="E86" s="3108"/>
      <c r="F86" s="3108"/>
      <c r="G86" s="3108"/>
      <c r="H86" s="3108"/>
      <c r="I86" s="3108"/>
      <c r="J86" s="338">
        <v>0</v>
      </c>
      <c r="K86" s="368"/>
      <c r="L86" s="368"/>
      <c r="M86" s="212">
        <f>HLOOKUP($D$5,PriorYr906!$J$9:$K$87,78,FALSE)</f>
        <v>0</v>
      </c>
      <c r="N86" s="2430"/>
      <c r="P86" s="1346">
        <v>33000100</v>
      </c>
    </row>
    <row r="87" spans="2:16" ht="13.5" thickBot="1" x14ac:dyDescent="0.25">
      <c r="B87" s="3108" t="s">
        <v>4743</v>
      </c>
      <c r="C87" s="3108"/>
      <c r="D87" s="3108"/>
      <c r="E87" s="3108"/>
      <c r="F87" s="3108"/>
      <c r="G87" s="3108"/>
      <c r="H87" s="3108"/>
      <c r="I87" s="3108"/>
      <c r="J87" s="381">
        <f>SUM(J84:J86)</f>
        <v>1690999559.4200001</v>
      </c>
      <c r="K87" s="368"/>
      <c r="L87" s="368"/>
      <c r="M87" s="381">
        <f>SUM(M84:M86)</f>
        <v>1690999559.4200001</v>
      </c>
      <c r="N87" s="369"/>
    </row>
    <row r="88" spans="2:16" ht="13.5" thickTop="1" x14ac:dyDescent="0.2">
      <c r="B88"/>
      <c r="C88"/>
      <c r="D88"/>
      <c r="E88"/>
      <c r="F88"/>
      <c r="G88"/>
      <c r="H88"/>
      <c r="I88"/>
      <c r="K88" s="377"/>
      <c r="L88" s="377"/>
      <c r="M88" s="218"/>
      <c r="N88" s="377"/>
    </row>
    <row r="89" spans="2:16" x14ac:dyDescent="0.2">
      <c r="B89"/>
      <c r="C89"/>
      <c r="D89"/>
      <c r="E89"/>
      <c r="F89"/>
      <c r="G89"/>
      <c r="H89"/>
      <c r="I89"/>
      <c r="K89" s="369"/>
      <c r="L89" s="369"/>
      <c r="M89" s="170"/>
      <c r="N89" s="369"/>
    </row>
    <row r="90" spans="2:16" x14ac:dyDescent="0.2">
      <c r="B90" s="3107" t="s">
        <v>4744</v>
      </c>
      <c r="C90" s="3107"/>
      <c r="D90" s="3107"/>
      <c r="E90" s="3107"/>
      <c r="F90" s="3107"/>
      <c r="G90" s="3107"/>
      <c r="H90" s="3107"/>
      <c r="I90" s="3107"/>
      <c r="J90" s="737" t="str">
        <f>IF(J56=J87,"In Balance","NOT BALANCED")</f>
        <v>NOT BALANCED</v>
      </c>
      <c r="K90" s="370"/>
      <c r="L90" s="370"/>
      <c r="M90" s="737" t="str">
        <f>IF(M56=M87,"In Balance","NOT BALANCED")</f>
        <v>In Balance</v>
      </c>
      <c r="N90" s="370"/>
    </row>
    <row r="91" spans="2:16" x14ac:dyDescent="0.2">
      <c r="K91" s="370"/>
      <c r="L91" s="370"/>
      <c r="M91" s="370"/>
      <c r="N91" s="370"/>
    </row>
    <row r="92" spans="2:16" x14ac:dyDescent="0.2">
      <c r="K92" s="2430"/>
      <c r="L92" s="2430"/>
      <c r="M92" s="2430"/>
      <c r="N92" s="2430"/>
    </row>
    <row r="93" spans="2:16" x14ac:dyDescent="0.2">
      <c r="K93" s="2430"/>
      <c r="L93" s="2430"/>
      <c r="M93" s="2430"/>
      <c r="N93" s="2430"/>
    </row>
    <row r="94" spans="2:16" x14ac:dyDescent="0.2">
      <c r="K94" s="2430"/>
      <c r="L94" s="2430"/>
      <c r="M94" s="2430"/>
      <c r="N94" s="2430"/>
    </row>
    <row r="95" spans="2:16" x14ac:dyDescent="0.2">
      <c r="K95" s="2430"/>
      <c r="L95" s="2430"/>
      <c r="M95" s="2430"/>
      <c r="N95" s="2430"/>
    </row>
    <row r="96" spans="2:16" x14ac:dyDescent="0.2">
      <c r="K96" s="2430"/>
      <c r="L96" s="2430"/>
      <c r="M96" s="2430"/>
      <c r="N96" s="2430"/>
    </row>
    <row r="97" spans="11:14" x14ac:dyDescent="0.2">
      <c r="K97" s="2430"/>
      <c r="L97" s="2430"/>
      <c r="M97" s="2430"/>
      <c r="N97" s="2430"/>
    </row>
    <row r="98" spans="11:14" x14ac:dyDescent="0.2">
      <c r="K98" s="2430"/>
      <c r="L98" s="2430"/>
      <c r="M98" s="2430"/>
      <c r="N98" s="2430"/>
    </row>
    <row r="99" spans="11:14" x14ac:dyDescent="0.2">
      <c r="K99" s="2430"/>
      <c r="L99" s="2430"/>
      <c r="M99" s="2430"/>
      <c r="N99" s="2430"/>
    </row>
    <row r="100" spans="11:14" x14ac:dyDescent="0.2">
      <c r="K100" s="2430"/>
      <c r="L100" s="2430"/>
      <c r="M100" s="2430"/>
      <c r="N100" s="2430"/>
    </row>
    <row r="101" spans="11:14" x14ac:dyDescent="0.2">
      <c r="K101" s="2430"/>
      <c r="L101" s="2430"/>
      <c r="M101" s="2430"/>
      <c r="N101" s="2430"/>
    </row>
    <row r="102" spans="11:14" x14ac:dyDescent="0.2">
      <c r="K102" s="369"/>
      <c r="L102" s="369"/>
      <c r="M102" s="369"/>
      <c r="N102" s="369"/>
    </row>
    <row r="103" spans="11:14" x14ac:dyDescent="0.2">
      <c r="K103" s="368"/>
      <c r="L103" s="368"/>
      <c r="M103" s="368"/>
      <c r="N103" s="368"/>
    </row>
    <row r="104" spans="11:14" x14ac:dyDescent="0.2">
      <c r="K104" s="2430"/>
      <c r="L104" s="2430"/>
      <c r="M104" s="2430"/>
      <c r="N104" s="2430"/>
    </row>
    <row r="105" spans="11:14" x14ac:dyDescent="0.2">
      <c r="K105" s="369"/>
      <c r="L105" s="369"/>
      <c r="M105" s="369"/>
      <c r="N105" s="369"/>
    </row>
    <row r="106" spans="11:14" x14ac:dyDescent="0.2">
      <c r="K106" s="369"/>
      <c r="L106" s="369"/>
      <c r="M106" s="369"/>
      <c r="N106" s="369"/>
    </row>
    <row r="107" spans="11:14" x14ac:dyDescent="0.2">
      <c r="K107" s="2430"/>
      <c r="L107" s="2430"/>
      <c r="M107" s="2430"/>
      <c r="N107" s="2430"/>
    </row>
    <row r="108" spans="11:14" x14ac:dyDescent="0.2">
      <c r="K108" s="369"/>
      <c r="L108" s="369"/>
      <c r="M108" s="369"/>
      <c r="N108" s="369"/>
    </row>
    <row r="109" spans="11:14" x14ac:dyDescent="0.2">
      <c r="K109" s="2430"/>
      <c r="L109" s="2430"/>
      <c r="M109" s="2430"/>
      <c r="N109" s="2430"/>
    </row>
    <row r="110" spans="11:14" x14ac:dyDescent="0.2">
      <c r="K110" s="2430"/>
      <c r="L110" s="2430"/>
      <c r="M110" s="2430"/>
      <c r="N110" s="2430"/>
    </row>
    <row r="111" spans="11:14" x14ac:dyDescent="0.2">
      <c r="K111" s="2430"/>
      <c r="L111" s="2430"/>
      <c r="M111" s="2430"/>
      <c r="N111" s="2430"/>
    </row>
    <row r="112" spans="11:14" x14ac:dyDescent="0.2">
      <c r="K112" s="2430"/>
      <c r="L112" s="2430"/>
      <c r="M112" s="2430"/>
      <c r="N112" s="2430"/>
    </row>
    <row r="113" spans="11:14" x14ac:dyDescent="0.2">
      <c r="K113" s="2430"/>
      <c r="L113" s="2430"/>
      <c r="M113" s="2430"/>
      <c r="N113" s="2430"/>
    </row>
    <row r="114" spans="11:14" x14ac:dyDescent="0.2">
      <c r="K114" s="2430"/>
      <c r="L114" s="2430"/>
      <c r="M114" s="2430"/>
      <c r="N114" s="2430"/>
    </row>
    <row r="115" spans="11:14" x14ac:dyDescent="0.2">
      <c r="K115" s="2430"/>
      <c r="L115" s="2430"/>
      <c r="M115" s="2430"/>
      <c r="N115" s="2430"/>
    </row>
    <row r="116" spans="11:14" x14ac:dyDescent="0.2">
      <c r="K116" s="2430"/>
      <c r="L116" s="2430"/>
      <c r="M116" s="2430"/>
      <c r="N116" s="2430"/>
    </row>
    <row r="117" spans="11:14" x14ac:dyDescent="0.2">
      <c r="K117" s="369"/>
      <c r="L117" s="369"/>
      <c r="M117" s="369"/>
      <c r="N117" s="369"/>
    </row>
    <row r="118" spans="11:14" x14ac:dyDescent="0.2">
      <c r="K118" s="369"/>
      <c r="L118" s="369"/>
      <c r="M118" s="369"/>
      <c r="N118" s="369"/>
    </row>
    <row r="120" spans="11:14" x14ac:dyDescent="0.2">
      <c r="K120" s="376"/>
      <c r="L120" s="376"/>
      <c r="M120" s="376"/>
      <c r="N120" s="376"/>
    </row>
    <row r="121" spans="11:14" x14ac:dyDescent="0.2">
      <c r="K121" s="376"/>
      <c r="L121" s="376"/>
      <c r="M121" s="376"/>
      <c r="N121" s="376"/>
    </row>
    <row r="122" spans="11:14" x14ac:dyDescent="0.2">
      <c r="K122" s="376"/>
      <c r="L122" s="376"/>
      <c r="M122" s="376"/>
      <c r="N122" s="376"/>
    </row>
    <row r="123" spans="11:14" x14ac:dyDescent="0.2">
      <c r="K123" s="376"/>
      <c r="L123" s="376"/>
      <c r="M123" s="376"/>
      <c r="N123" s="376"/>
    </row>
    <row r="124" spans="11:14" x14ac:dyDescent="0.2">
      <c r="K124" s="2430"/>
      <c r="L124" s="2430"/>
      <c r="M124" s="2430"/>
      <c r="N124" s="2430"/>
    </row>
    <row r="125" spans="11:14" x14ac:dyDescent="0.2">
      <c r="K125" s="378"/>
      <c r="L125" s="378"/>
      <c r="M125" s="378"/>
      <c r="N125" s="378"/>
    </row>
    <row r="126" spans="11:14" x14ac:dyDescent="0.2">
      <c r="K126" s="2430"/>
      <c r="L126" s="2430"/>
      <c r="M126" s="2430"/>
      <c r="N126" s="2430"/>
    </row>
    <row r="127" spans="11:14" x14ac:dyDescent="0.2">
      <c r="K127" s="2430"/>
      <c r="L127" s="2430"/>
      <c r="M127" s="2430"/>
      <c r="N127" s="2430"/>
    </row>
    <row r="128" spans="11:14" x14ac:dyDescent="0.2">
      <c r="K128" s="2430"/>
      <c r="L128" s="2430"/>
      <c r="M128" s="2430"/>
      <c r="N128" s="2430"/>
    </row>
    <row r="129" spans="11:14" x14ac:dyDescent="0.2">
      <c r="K129" s="2430"/>
      <c r="L129" s="2430"/>
      <c r="M129" s="2430"/>
      <c r="N129" s="2430"/>
    </row>
    <row r="130" spans="11:14" x14ac:dyDescent="0.2">
      <c r="K130" s="2430"/>
      <c r="L130" s="2430"/>
      <c r="M130" s="2430"/>
      <c r="N130" s="2430"/>
    </row>
    <row r="131" spans="11:14" x14ac:dyDescent="0.2">
      <c r="K131" s="2430"/>
      <c r="L131" s="2430"/>
      <c r="M131" s="2430"/>
      <c r="N131" s="2430"/>
    </row>
    <row r="132" spans="11:14" x14ac:dyDescent="0.2">
      <c r="K132" s="2430"/>
      <c r="L132" s="2430"/>
      <c r="M132" s="2430"/>
      <c r="N132" s="2430"/>
    </row>
    <row r="133" spans="11:14" x14ac:dyDescent="0.2">
      <c r="K133" s="2430"/>
      <c r="L133" s="2430"/>
      <c r="M133" s="2430"/>
      <c r="N133" s="2430"/>
    </row>
    <row r="134" spans="11:14" x14ac:dyDescent="0.2">
      <c r="K134" s="2430"/>
      <c r="L134" s="2430"/>
      <c r="M134" s="2430"/>
      <c r="N134" s="2430"/>
    </row>
    <row r="135" spans="11:14" x14ac:dyDescent="0.2">
      <c r="K135" s="378"/>
      <c r="L135" s="378"/>
      <c r="M135" s="378"/>
      <c r="N135" s="378"/>
    </row>
    <row r="136" spans="11:14" x14ac:dyDescent="0.2">
      <c r="K136" s="2430"/>
      <c r="L136" s="2430"/>
      <c r="M136" s="2430"/>
      <c r="N136" s="2430"/>
    </row>
    <row r="137" spans="11:14" x14ac:dyDescent="0.2">
      <c r="K137" s="2430"/>
      <c r="L137" s="2430"/>
      <c r="M137" s="2430"/>
      <c r="N137" s="2430"/>
    </row>
    <row r="138" spans="11:14" x14ac:dyDescent="0.2">
      <c r="K138" s="2430"/>
      <c r="L138" s="2430"/>
      <c r="M138" s="2430"/>
      <c r="N138" s="2430"/>
    </row>
    <row r="139" spans="11:14" x14ac:dyDescent="0.2">
      <c r="K139" s="2430"/>
      <c r="L139" s="2430"/>
      <c r="M139" s="2430"/>
      <c r="N139" s="2430"/>
    </row>
    <row r="140" spans="11:14" x14ac:dyDescent="0.2">
      <c r="K140" s="2430"/>
      <c r="L140" s="2430"/>
      <c r="M140" s="2430"/>
      <c r="N140" s="2430"/>
    </row>
    <row r="141" spans="11:14" x14ac:dyDescent="0.2">
      <c r="K141" s="2430"/>
      <c r="L141" s="2430"/>
      <c r="M141" s="2430"/>
      <c r="N141" s="2430"/>
    </row>
    <row r="142" spans="11:14" x14ac:dyDescent="0.2">
      <c r="K142" s="2430"/>
      <c r="L142" s="2430"/>
      <c r="M142" s="2430"/>
      <c r="N142" s="2430"/>
    </row>
    <row r="143" spans="11:14" x14ac:dyDescent="0.2">
      <c r="K143" s="2430"/>
      <c r="L143" s="2430"/>
      <c r="M143" s="2430"/>
      <c r="N143" s="2430"/>
    </row>
    <row r="144" spans="11:14" x14ac:dyDescent="0.2">
      <c r="K144" s="2430"/>
      <c r="L144" s="2430"/>
      <c r="M144" s="2430"/>
      <c r="N144" s="2430"/>
    </row>
    <row r="145" spans="11:14" x14ac:dyDescent="0.2">
      <c r="K145" s="2430"/>
      <c r="L145" s="2430"/>
      <c r="M145" s="2430"/>
      <c r="N145" s="2430"/>
    </row>
    <row r="146" spans="11:14" x14ac:dyDescent="0.2">
      <c r="K146" s="2430"/>
      <c r="L146" s="2430"/>
      <c r="M146" s="2430"/>
      <c r="N146" s="2430"/>
    </row>
    <row r="147" spans="11:14" x14ac:dyDescent="0.2">
      <c r="K147" s="368"/>
      <c r="L147" s="368"/>
      <c r="M147" s="368"/>
      <c r="N147" s="368"/>
    </row>
    <row r="148" spans="11:14" x14ac:dyDescent="0.2">
      <c r="K148" s="2430"/>
      <c r="L148" s="2430"/>
      <c r="M148" s="2430"/>
      <c r="N148" s="2430"/>
    </row>
    <row r="149" spans="11:14" x14ac:dyDescent="0.2">
      <c r="K149" s="2430"/>
      <c r="L149" s="2430"/>
      <c r="M149" s="2430"/>
      <c r="N149" s="2430"/>
    </row>
    <row r="150" spans="11:14" x14ac:dyDescent="0.2">
      <c r="K150" s="2430"/>
      <c r="L150" s="2430"/>
      <c r="M150" s="2430"/>
      <c r="N150" s="2430"/>
    </row>
    <row r="151" spans="11:14" x14ac:dyDescent="0.2">
      <c r="K151" s="2430"/>
      <c r="L151" s="2430"/>
      <c r="M151" s="2430"/>
      <c r="N151" s="2430"/>
    </row>
    <row r="152" spans="11:14" x14ac:dyDescent="0.2">
      <c r="K152" s="2430"/>
      <c r="L152" s="2430"/>
      <c r="M152" s="2430"/>
      <c r="N152" s="2430"/>
    </row>
    <row r="153" spans="11:14" x14ac:dyDescent="0.2">
      <c r="K153" s="2430"/>
      <c r="L153" s="2430"/>
      <c r="M153" s="2430"/>
      <c r="N153" s="2430"/>
    </row>
    <row r="154" spans="11:14" x14ac:dyDescent="0.2">
      <c r="K154" s="2430"/>
      <c r="L154" s="2430"/>
      <c r="M154" s="2430"/>
      <c r="N154" s="2430"/>
    </row>
    <row r="155" spans="11:14" x14ac:dyDescent="0.2">
      <c r="K155" s="2430"/>
      <c r="L155" s="2430"/>
      <c r="M155" s="2430"/>
      <c r="N155" s="2430"/>
    </row>
    <row r="156" spans="11:14" x14ac:dyDescent="0.2">
      <c r="K156" s="2430"/>
      <c r="L156" s="2430"/>
      <c r="M156" s="2430"/>
      <c r="N156" s="2430"/>
    </row>
    <row r="157" spans="11:14" x14ac:dyDescent="0.2">
      <c r="K157" s="2430"/>
      <c r="L157" s="2430"/>
      <c r="M157" s="2430"/>
      <c r="N157" s="2430"/>
    </row>
    <row r="158" spans="11:14" x14ac:dyDescent="0.2">
      <c r="K158" s="2430"/>
      <c r="L158" s="2430"/>
      <c r="M158" s="2430"/>
      <c r="N158" s="2430"/>
    </row>
    <row r="159" spans="11:14" x14ac:dyDescent="0.2">
      <c r="K159" s="2430"/>
      <c r="L159" s="2430"/>
      <c r="M159" s="2430"/>
      <c r="N159" s="2430"/>
    </row>
    <row r="160" spans="11:14" x14ac:dyDescent="0.2">
      <c r="K160" s="2430"/>
      <c r="L160" s="2430"/>
      <c r="M160" s="2430"/>
      <c r="N160" s="2430"/>
    </row>
    <row r="161" spans="11:14" x14ac:dyDescent="0.2">
      <c r="K161" s="2430"/>
      <c r="L161" s="2430"/>
      <c r="M161" s="2430"/>
      <c r="N161" s="2430"/>
    </row>
    <row r="162" spans="11:14" x14ac:dyDescent="0.2">
      <c r="K162" s="2430"/>
      <c r="L162" s="2430"/>
      <c r="M162" s="2430"/>
      <c r="N162" s="2430"/>
    </row>
    <row r="163" spans="11:14" x14ac:dyDescent="0.2">
      <c r="K163" s="2430"/>
      <c r="L163" s="2430"/>
      <c r="M163" s="2430"/>
      <c r="N163" s="2430"/>
    </row>
    <row r="164" spans="11:14" x14ac:dyDescent="0.2">
      <c r="K164" s="2430"/>
      <c r="L164" s="2430"/>
      <c r="M164" s="2430"/>
      <c r="N164" s="2430"/>
    </row>
    <row r="165" spans="11:14" x14ac:dyDescent="0.2">
      <c r="K165" s="2430"/>
      <c r="L165" s="2430"/>
      <c r="M165" s="2430"/>
      <c r="N165" s="2430"/>
    </row>
    <row r="166" spans="11:14" x14ac:dyDescent="0.2">
      <c r="K166" s="2430"/>
      <c r="L166" s="2430"/>
      <c r="M166" s="2430"/>
      <c r="N166" s="2430"/>
    </row>
    <row r="167" spans="11:14" x14ac:dyDescent="0.2">
      <c r="K167" s="2430"/>
      <c r="L167" s="2430"/>
      <c r="M167" s="2430"/>
      <c r="N167" s="2430"/>
    </row>
    <row r="168" spans="11:14" x14ac:dyDescent="0.2">
      <c r="K168" s="2430"/>
      <c r="L168" s="2430"/>
      <c r="M168" s="2430"/>
      <c r="N168" s="2430"/>
    </row>
    <row r="169" spans="11:14" x14ac:dyDescent="0.2">
      <c r="K169" s="2430"/>
      <c r="L169" s="2430"/>
      <c r="M169" s="2430"/>
      <c r="N169" s="2430"/>
    </row>
  </sheetData>
  <sheetProtection algorithmName="SHA-512" hashValue="5jfo2h+KiHaczDwPaghlvd/XiLvqOOqehnXQvxt2ESEHpyqibbb+hEcffurcRTKOeCXj6BXarNmxFbD7Z8ZLrg==" saltValue="XBU4MXperpCQ9kfw0xUnGg==" spinCount="100000" sheet="1" autoFilter="0"/>
  <customSheetViews>
    <customSheetView guid="{9FCFC836-1CA5-48BF-958D-24D2EA94B219}" showGridLines="0" fitToPage="1" topLeftCell="A73">
      <selection activeCell="B12" sqref="B12"/>
      <rowBreaks count="1" manualBreakCount="1">
        <brk id="59" max="16383" man="1"/>
      </rowBreaks>
      <pageMargins left="0" right="0" top="0" bottom="0" header="0" footer="0"/>
      <pageSetup scale="98" fitToHeight="2" orientation="portrait" r:id="rId1"/>
      <headerFooter alignWithMargins="0">
        <oddFooter>&amp;R&amp;A (&amp;P of &amp;N)</oddFooter>
      </headerFooter>
    </customSheetView>
    <customSheetView guid="{B08879A4-635B-4C39-9937-AC7883D562FC}" showGridLines="0" fitToPage="1" topLeftCell="A73">
      <selection activeCell="B12" sqref="B12"/>
      <rowBreaks count="1" manualBreakCount="1">
        <brk id="59" max="16383" man="1"/>
      </rowBreaks>
      <pageMargins left="0" right="0" top="0" bottom="0" header="0" footer="0"/>
      <pageSetup scale="98" fitToHeight="2" orientation="portrait" r:id="rId2"/>
      <headerFooter alignWithMargins="0">
        <oddFooter>&amp;R&amp;A (&amp;P of &amp;N)</oddFooter>
      </headerFooter>
    </customSheetView>
  </customSheetViews>
  <mergeCells count="74">
    <mergeCell ref="B54:I54"/>
    <mergeCell ref="B65:I65"/>
    <mergeCell ref="B86:I86"/>
    <mergeCell ref="B82:I82"/>
    <mergeCell ref="B85:I85"/>
    <mergeCell ref="B84:I84"/>
    <mergeCell ref="B81:I81"/>
    <mergeCell ref="B58:I58"/>
    <mergeCell ref="B83:I83"/>
    <mergeCell ref="B72:I72"/>
    <mergeCell ref="B75:I75"/>
    <mergeCell ref="B80:I80"/>
    <mergeCell ref="B79:I79"/>
    <mergeCell ref="B64:I64"/>
    <mergeCell ref="B62:I62"/>
    <mergeCell ref="B61:I61"/>
    <mergeCell ref="B69:I69"/>
    <mergeCell ref="B74:I74"/>
    <mergeCell ref="B63:I63"/>
    <mergeCell ref="B71:I71"/>
    <mergeCell ref="B19:I19"/>
    <mergeCell ref="B38:I38"/>
    <mergeCell ref="B20:I20"/>
    <mergeCell ref="B21:I21"/>
    <mergeCell ref="B28:I28"/>
    <mergeCell ref="B29:I29"/>
    <mergeCell ref="B37:I37"/>
    <mergeCell ref="B32:I32"/>
    <mergeCell ref="B35:I35"/>
    <mergeCell ref="B34:I34"/>
    <mergeCell ref="B36:I36"/>
    <mergeCell ref="B46:I46"/>
    <mergeCell ref="B90:I90"/>
    <mergeCell ref="B47:I47"/>
    <mergeCell ref="B48:I48"/>
    <mergeCell ref="B50:I50"/>
    <mergeCell ref="B56:I56"/>
    <mergeCell ref="B78:I78"/>
    <mergeCell ref="B87:I87"/>
    <mergeCell ref="B76:I76"/>
    <mergeCell ref="B51:I51"/>
    <mergeCell ref="B55:I55"/>
    <mergeCell ref="B73:I73"/>
    <mergeCell ref="B67:I67"/>
    <mergeCell ref="B68:I68"/>
    <mergeCell ref="B66:I66"/>
    <mergeCell ref="B70:I70"/>
    <mergeCell ref="B49:I49"/>
    <mergeCell ref="B39:I39"/>
    <mergeCell ref="B45:I45"/>
    <mergeCell ref="B44:I44"/>
    <mergeCell ref="B43:I43"/>
    <mergeCell ref="B11:I11"/>
    <mergeCell ref="B23:I23"/>
    <mergeCell ref="B13:I13"/>
    <mergeCell ref="B18:I18"/>
    <mergeCell ref="B16:I16"/>
    <mergeCell ref="B17:I17"/>
    <mergeCell ref="B22:I22"/>
    <mergeCell ref="H5:J5"/>
    <mergeCell ref="D6:G6"/>
    <mergeCell ref="B1:J1"/>
    <mergeCell ref="B2:J2"/>
    <mergeCell ref="B3:J3"/>
    <mergeCell ref="G7:J7"/>
    <mergeCell ref="B31:I31"/>
    <mergeCell ref="B15:I15"/>
    <mergeCell ref="B33:I33"/>
    <mergeCell ref="B14:I14"/>
    <mergeCell ref="B24:I24"/>
    <mergeCell ref="B25:I25"/>
    <mergeCell ref="B26:I26"/>
    <mergeCell ref="B27:I27"/>
    <mergeCell ref="B8:J8"/>
  </mergeCells>
  <phoneticPr fontId="18" type="noConversion"/>
  <conditionalFormatting sqref="K1:K3">
    <cfRule type="cellIs" dxfId="13" priority="1" stopIfTrue="1" operator="equal">
      <formula>"na"</formula>
    </cfRule>
  </conditionalFormatting>
  <hyperlinks>
    <hyperlink ref="B1:J1" location="Index!A1" display="Index!A1" xr:uid="{00000000-0004-0000-4D00-000000000000}"/>
  </hyperlinks>
  <pageMargins left="0.5" right="0.5" top="0.5" bottom="0.5" header="0.5" footer="0.25"/>
  <pageSetup scale="95" fitToHeight="2" orientation="portrait" r:id="rId3"/>
  <headerFooter alignWithMargins="0">
    <oddFooter xml:space="preserve">&amp;L&amp;D &amp;T&amp;R&amp;A </oddFooter>
  </headerFooter>
  <rowBreaks count="1" manualBreakCount="1">
    <brk id="58" max="11" man="1"/>
  </rowBreaks>
  <legacyDrawing r:id="rId4"/>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54"/>
  <dimension ref="B1:W169"/>
  <sheetViews>
    <sheetView topLeftCell="A61" zoomScaleNormal="100" workbookViewId="0">
      <selection activeCell="N96" sqref="N96"/>
    </sheetView>
  </sheetViews>
  <sheetFormatPr defaultColWidth="9.42578125" defaultRowHeight="12.75" x14ac:dyDescent="0.2"/>
  <cols>
    <col min="1" max="1" width="3.5703125" style="357" customWidth="1"/>
    <col min="2" max="2" width="9.42578125" style="357"/>
    <col min="3" max="3" width="5.5703125" style="357" customWidth="1"/>
    <col min="4" max="6" width="9.42578125" style="357"/>
    <col min="7" max="7" width="5.5703125" style="357" customWidth="1"/>
    <col min="8" max="8" width="1.5703125" style="357" customWidth="1"/>
    <col min="9" max="9" width="9.42578125" style="357"/>
    <col min="10" max="10" width="19.42578125" style="215" customWidth="1"/>
    <col min="11" max="12" width="4.5703125" style="357" customWidth="1"/>
    <col min="13" max="13" width="18.5703125" style="357" customWidth="1"/>
    <col min="14" max="15" width="9.42578125" style="357"/>
    <col min="16" max="16" width="15.5703125" style="1342" bestFit="1" customWidth="1"/>
    <col min="17" max="17" width="9.5703125" customWidth="1"/>
    <col min="18" max="18" width="11.42578125" customWidth="1"/>
    <col min="20" max="16384" width="9.42578125" style="357"/>
  </cols>
  <sheetData>
    <row r="1" spans="2:23" ht="25.15" customHeight="1" x14ac:dyDescent="0.25">
      <c r="B1" s="2553" t="str">
        <f>+Index!$A$1</f>
        <v xml:space="preserve">                                                               Office of the State Controller                                                                </v>
      </c>
      <c r="C1" s="2553"/>
      <c r="D1" s="2553"/>
      <c r="E1" s="2553"/>
      <c r="F1" s="2553"/>
      <c r="G1" s="2553"/>
      <c r="H1" s="2553"/>
      <c r="I1" s="2553"/>
      <c r="J1" s="2553"/>
      <c r="K1" s="1781" t="str">
        <f>IF(Index!$B$107="na","NA","")</f>
        <v/>
      </c>
      <c r="L1" s="356"/>
      <c r="M1" s="356"/>
      <c r="N1" s="356"/>
      <c r="O1" s="356"/>
      <c r="P1" s="2412"/>
      <c r="Q1" s="2268"/>
      <c r="R1" s="1340" t="s">
        <v>2726</v>
      </c>
      <c r="S1" s="1340" t="s">
        <v>4745</v>
      </c>
      <c r="T1" s="356"/>
      <c r="U1" s="356"/>
      <c r="V1" s="356"/>
    </row>
    <row r="2" spans="2:23" ht="16.5" x14ac:dyDescent="0.3">
      <c r="B2" s="2532" t="str">
        <f>+Index!$A$2</f>
        <v>2024 ACFR Worksheets</v>
      </c>
      <c r="C2" s="2532"/>
      <c r="D2" s="2532"/>
      <c r="E2" s="2532"/>
      <c r="F2" s="2532"/>
      <c r="G2" s="2532"/>
      <c r="H2" s="2532"/>
      <c r="I2" s="2532"/>
      <c r="J2" s="2532"/>
      <c r="K2" s="1781"/>
      <c r="L2" s="358"/>
      <c r="M2" s="358"/>
      <c r="N2" s="358"/>
      <c r="O2" s="359"/>
      <c r="P2" s="1341"/>
      <c r="Q2" s="329"/>
      <c r="R2" s="1340" t="s">
        <v>2728</v>
      </c>
      <c r="S2" s="1340" t="s">
        <v>4683</v>
      </c>
      <c r="T2" s="359"/>
      <c r="U2" s="359"/>
      <c r="V2" s="359"/>
    </row>
    <row r="3" spans="2:23" ht="33" customHeight="1" x14ac:dyDescent="0.3">
      <c r="B3" s="3105" t="s">
        <v>4746</v>
      </c>
      <c r="C3" s="3105"/>
      <c r="D3" s="3105"/>
      <c r="E3" s="3105"/>
      <c r="F3" s="3105"/>
      <c r="G3" s="3105"/>
      <c r="H3" s="3105"/>
      <c r="I3" s="3105"/>
      <c r="J3" s="3105"/>
      <c r="K3" s="1781"/>
      <c r="L3" s="358"/>
      <c r="M3" s="358"/>
      <c r="N3" s="358"/>
      <c r="O3" s="359"/>
      <c r="P3" s="1341"/>
      <c r="Q3" s="329"/>
      <c r="R3" s="329"/>
      <c r="S3" s="329"/>
      <c r="T3" s="359"/>
      <c r="U3" s="359"/>
      <c r="V3" s="359"/>
    </row>
    <row r="4" spans="2:23" x14ac:dyDescent="0.2">
      <c r="B4" s="768" t="s">
        <v>4747</v>
      </c>
      <c r="C4" s="764"/>
      <c r="D4" s="764"/>
      <c r="E4" s="764"/>
      <c r="F4" s="764"/>
      <c r="G4" s="764"/>
      <c r="H4" s="764"/>
      <c r="I4" s="764"/>
      <c r="J4" s="765"/>
    </row>
    <row r="5" spans="2:23" s="360" customFormat="1" ht="15" customHeight="1" x14ac:dyDescent="0.2">
      <c r="B5" s="105" t="s">
        <v>318</v>
      </c>
      <c r="C5" s="105"/>
      <c r="D5" s="333" t="s">
        <v>4748</v>
      </c>
      <c r="E5" s="332"/>
      <c r="F5" s="105" t="s">
        <v>320</v>
      </c>
      <c r="G5" s="105"/>
      <c r="H5" s="3073" t="str">
        <f>+CONCATENATE(Index!$E$12," ",Index!$E$14)</f>
        <v xml:space="preserve"> </v>
      </c>
      <c r="I5" s="3073"/>
      <c r="J5" s="3073"/>
      <c r="O5" s="361"/>
      <c r="P5" s="1343"/>
      <c r="Q5" s="105"/>
      <c r="R5" s="105"/>
      <c r="S5" s="105"/>
      <c r="W5" s="362"/>
    </row>
    <row r="6" spans="2:23" s="360" customFormat="1" ht="15" customHeight="1" x14ac:dyDescent="0.2">
      <c r="B6" s="105" t="s">
        <v>319</v>
      </c>
      <c r="C6" s="105"/>
      <c r="D6" s="3104" t="s">
        <v>4749</v>
      </c>
      <c r="E6" s="3104"/>
      <c r="F6" s="3104"/>
      <c r="G6" s="3104"/>
      <c r="H6" s="105"/>
      <c r="I6" s="105"/>
      <c r="J6" s="105"/>
      <c r="O6" s="363"/>
      <c r="P6" s="1344"/>
      <c r="Q6" s="331"/>
      <c r="R6" s="331"/>
      <c r="S6" s="331"/>
      <c r="T6" s="363"/>
      <c r="U6" s="363"/>
      <c r="V6" s="364"/>
      <c r="W6" s="362"/>
    </row>
    <row r="7" spans="2:23" s="360" customFormat="1" ht="15" customHeight="1" x14ac:dyDescent="0.2">
      <c r="B7" s="105" t="s">
        <v>545</v>
      </c>
      <c r="D7" s="592">
        <f>INDEX(NetAssetsData,MATCH('906-6C'!$D$5,NetAssetsDataRow,0),4)</f>
        <v>3318</v>
      </c>
      <c r="F7" s="435" t="s">
        <v>168</v>
      </c>
      <c r="G7" s="3099">
        <f>+Index!$E$13</f>
        <v>0</v>
      </c>
      <c r="H7" s="3099"/>
      <c r="I7" s="3099"/>
      <c r="J7" s="3099"/>
      <c r="P7" s="1343"/>
      <c r="Q7" s="105"/>
      <c r="R7" s="105"/>
      <c r="S7" s="105"/>
      <c r="W7" s="362"/>
    </row>
    <row r="8" spans="2:23" s="365" customFormat="1" ht="12" customHeight="1" x14ac:dyDescent="0.2">
      <c r="B8" s="3101" t="s">
        <v>4688</v>
      </c>
      <c r="C8" s="3102"/>
      <c r="D8" s="3102"/>
      <c r="E8" s="3102"/>
      <c r="F8" s="3102"/>
      <c r="G8" s="3102"/>
      <c r="H8" s="3102"/>
      <c r="I8" s="3102"/>
      <c r="J8" s="3103"/>
      <c r="P8" s="1345"/>
      <c r="Q8" s="27"/>
      <c r="R8" s="27"/>
      <c r="S8" s="27"/>
    </row>
    <row r="9" spans="2:23" x14ac:dyDescent="0.2">
      <c r="B9" s="391"/>
      <c r="C9" s="27"/>
      <c r="D9" s="27"/>
      <c r="E9" s="27"/>
      <c r="F9" s="27"/>
      <c r="G9" s="733"/>
      <c r="H9" s="27"/>
      <c r="J9" s="1384" t="s">
        <v>4689</v>
      </c>
      <c r="M9" s="711" t="s">
        <v>2733</v>
      </c>
    </row>
    <row r="10" spans="2:23" x14ac:dyDescent="0.2">
      <c r="B10" s="771" t="s">
        <v>555</v>
      </c>
      <c r="C10" s="773"/>
      <c r="D10" s="773"/>
      <c r="E10"/>
      <c r="F10"/>
      <c r="G10"/>
      <c r="H10"/>
      <c r="I10"/>
      <c r="J10" s="610" t="str">
        <f>TEXT(Data!$A$2,"mmmm d,yyyy")</f>
        <v>June 30,2024</v>
      </c>
      <c r="K10" s="367"/>
      <c r="L10" s="367"/>
      <c r="M10" s="610" t="str">
        <f>TEXT(Data!$A$4,"mmmm d,yyyy")</f>
        <v>June 30,2023</v>
      </c>
      <c r="N10" s="367"/>
    </row>
    <row r="11" spans="2:23" x14ac:dyDescent="0.2">
      <c r="B11" s="3100" t="s">
        <v>1935</v>
      </c>
      <c r="C11" s="3100"/>
      <c r="D11" s="3100"/>
      <c r="E11" s="3100"/>
      <c r="F11" s="3100"/>
      <c r="G11" s="3100"/>
      <c r="H11" s="3100"/>
      <c r="I11" s="3100"/>
      <c r="J11" s="214">
        <v>0</v>
      </c>
      <c r="K11" s="368"/>
      <c r="L11" s="368"/>
      <c r="M11" s="451">
        <f>HLOOKUP($D$5,PriorYr906!$J$9:$K$87,3,FALSE)</f>
        <v>0</v>
      </c>
      <c r="N11" s="368"/>
      <c r="P11" s="1346">
        <v>11111000</v>
      </c>
    </row>
    <row r="12" spans="2:23" x14ac:dyDescent="0.2">
      <c r="B12" s="1782" t="s">
        <v>4690</v>
      </c>
      <c r="C12" s="773"/>
      <c r="D12"/>
      <c r="E12"/>
      <c r="F12"/>
      <c r="G12"/>
      <c r="H12"/>
      <c r="I12"/>
      <c r="J12" s="1783"/>
      <c r="K12" s="368"/>
      <c r="L12" s="368"/>
      <c r="M12" s="2380"/>
      <c r="N12" s="2430"/>
    </row>
    <row r="13" spans="2:23" x14ac:dyDescent="0.2">
      <c r="B13" s="3100" t="s">
        <v>4691</v>
      </c>
      <c r="C13" s="3100"/>
      <c r="D13" s="3100"/>
      <c r="E13" s="3100"/>
      <c r="F13" s="3100"/>
      <c r="G13" s="3100"/>
      <c r="H13" s="3100"/>
      <c r="I13" s="3100"/>
      <c r="J13" s="215">
        <v>0</v>
      </c>
      <c r="K13" s="368"/>
      <c r="L13" s="368"/>
      <c r="M13" s="212">
        <f>HLOOKUP($D$5,PriorYr906!$J$9:$K$87,5,FALSE)</f>
        <v>0</v>
      </c>
      <c r="N13" s="2430"/>
      <c r="P13" s="1346">
        <v>11210100</v>
      </c>
    </row>
    <row r="14" spans="2:23" x14ac:dyDescent="0.2">
      <c r="B14" s="3100" t="s">
        <v>4692</v>
      </c>
      <c r="C14" s="3100"/>
      <c r="D14" s="3100"/>
      <c r="E14" s="3100"/>
      <c r="F14" s="3100"/>
      <c r="G14" s="3100"/>
      <c r="H14" s="3100"/>
      <c r="I14" s="3100"/>
      <c r="J14" s="215">
        <v>0</v>
      </c>
      <c r="K14" s="368"/>
      <c r="L14" s="368"/>
      <c r="M14" s="212">
        <f>HLOOKUP($D$5,PriorYr906!$J$9:$K$87,6,FALSE)</f>
        <v>0</v>
      </c>
      <c r="N14" s="2430"/>
      <c r="R14" s="138" t="s">
        <v>4693</v>
      </c>
    </row>
    <row r="15" spans="2:23" x14ac:dyDescent="0.2">
      <c r="B15" s="3100" t="s">
        <v>4694</v>
      </c>
      <c r="C15" s="3100"/>
      <c r="D15" s="3100"/>
      <c r="E15" s="3100"/>
      <c r="F15" s="3100"/>
      <c r="G15" s="3100"/>
      <c r="H15" s="3100"/>
      <c r="I15" s="3100"/>
      <c r="J15" s="215">
        <v>0</v>
      </c>
      <c r="K15" s="368"/>
      <c r="L15" s="368"/>
      <c r="M15" s="212">
        <f>HLOOKUP($D$5,PriorYr906!$J$9:$K$87,7,FALSE)</f>
        <v>0</v>
      </c>
      <c r="N15" s="2430"/>
      <c r="P15" s="1342">
        <v>11212400</v>
      </c>
      <c r="R15" s="138"/>
    </row>
    <row r="16" spans="2:23" x14ac:dyDescent="0.2">
      <c r="B16" s="3100" t="s">
        <v>4695</v>
      </c>
      <c r="C16" s="3100"/>
      <c r="D16" s="3100"/>
      <c r="E16" s="3100"/>
      <c r="F16" s="3100"/>
      <c r="G16" s="3100"/>
      <c r="H16" s="3100"/>
      <c r="I16" s="3100"/>
      <c r="J16" s="215">
        <v>0</v>
      </c>
      <c r="K16" s="368"/>
      <c r="L16" s="368"/>
      <c r="M16" s="212">
        <f>HLOOKUP($D$5,PriorYr906!$J$9:$K$87,8,FALSE)</f>
        <v>0</v>
      </c>
      <c r="N16" s="2430"/>
      <c r="P16" s="1346">
        <v>11211100</v>
      </c>
    </row>
    <row r="17" spans="2:18" x14ac:dyDescent="0.2">
      <c r="B17" s="3100" t="s">
        <v>4696</v>
      </c>
      <c r="C17" s="3100"/>
      <c r="D17" s="3100"/>
      <c r="E17" s="3100"/>
      <c r="F17" s="3100"/>
      <c r="G17" s="3100"/>
      <c r="H17" s="3100"/>
      <c r="I17" s="3100"/>
      <c r="J17" s="215">
        <v>0</v>
      </c>
      <c r="K17" s="368"/>
      <c r="L17" s="368"/>
      <c r="M17" s="212">
        <f>HLOOKUP($D$5,PriorYr906!$J$9:$K$87,9,FALSE)</f>
        <v>0</v>
      </c>
      <c r="N17" s="2430"/>
      <c r="R17" s="138" t="s">
        <v>4693</v>
      </c>
    </row>
    <row r="18" spans="2:18" x14ac:dyDescent="0.2">
      <c r="B18" s="3100" t="s">
        <v>4697</v>
      </c>
      <c r="C18" s="3100"/>
      <c r="D18" s="3100"/>
      <c r="E18" s="3100"/>
      <c r="F18" s="3100"/>
      <c r="G18" s="3100"/>
      <c r="H18" s="3100"/>
      <c r="I18" s="3100"/>
      <c r="J18" s="215">
        <v>0</v>
      </c>
      <c r="K18" s="368"/>
      <c r="L18" s="368"/>
      <c r="M18" s="212">
        <f>HLOOKUP($D$5,PriorYr906!$J$9:$K$87,10,FALSE)</f>
        <v>0</v>
      </c>
      <c r="N18" s="2430"/>
      <c r="R18" s="138" t="s">
        <v>4693</v>
      </c>
    </row>
    <row r="19" spans="2:18" x14ac:dyDescent="0.2">
      <c r="B19" s="3100" t="s">
        <v>4698</v>
      </c>
      <c r="C19" s="3100"/>
      <c r="D19" s="3100"/>
      <c r="E19" s="3100"/>
      <c r="F19" s="3100"/>
      <c r="G19" s="3100"/>
      <c r="H19" s="3100"/>
      <c r="I19" s="3100"/>
      <c r="J19" s="215">
        <v>0</v>
      </c>
      <c r="K19" s="368"/>
      <c r="L19" s="368"/>
      <c r="M19" s="212">
        <f>HLOOKUP($D$5,PriorYr906!$J$9:$K$87,11,FALSE)</f>
        <v>0</v>
      </c>
      <c r="N19" s="2430"/>
      <c r="P19" s="1346">
        <v>11210500</v>
      </c>
    </row>
    <row r="20" spans="2:18" x14ac:dyDescent="0.2">
      <c r="B20" s="3100" t="s">
        <v>4699</v>
      </c>
      <c r="C20" s="3100"/>
      <c r="D20" s="3100"/>
      <c r="E20" s="3100"/>
      <c r="F20" s="3100"/>
      <c r="G20" s="3100"/>
      <c r="H20" s="3100"/>
      <c r="I20" s="3100"/>
      <c r="J20" s="215">
        <v>0</v>
      </c>
      <c r="K20" s="368"/>
      <c r="L20" s="368"/>
      <c r="M20" s="212">
        <f>HLOOKUP($D$5,PriorYr906!$J$9:$K$87,12,FALSE)</f>
        <v>0</v>
      </c>
      <c r="N20" s="2430"/>
      <c r="P20" s="1346">
        <v>11210600</v>
      </c>
    </row>
    <row r="21" spans="2:18" x14ac:dyDescent="0.2">
      <c r="B21" s="3100" t="s">
        <v>4700</v>
      </c>
      <c r="C21" s="3100"/>
      <c r="D21" s="3100"/>
      <c r="E21" s="3100"/>
      <c r="F21" s="3100"/>
      <c r="G21" s="3100"/>
      <c r="H21" s="3100"/>
      <c r="I21" s="3100"/>
      <c r="J21" s="215">
        <v>0</v>
      </c>
      <c r="K21" s="368"/>
      <c r="L21" s="368"/>
      <c r="M21" s="212">
        <f>HLOOKUP($D$5,PriorYr906!$J$9:$K$87,13,FALSE)</f>
        <v>0</v>
      </c>
      <c r="N21" s="2430"/>
      <c r="P21" s="1342">
        <v>11210800</v>
      </c>
    </row>
    <row r="22" spans="2:18" x14ac:dyDescent="0.2">
      <c r="B22" s="3100" t="s">
        <v>4701</v>
      </c>
      <c r="C22" s="3100"/>
      <c r="D22" s="3100"/>
      <c r="E22" s="3100"/>
      <c r="F22" s="3100"/>
      <c r="G22" s="3100"/>
      <c r="H22" s="3100"/>
      <c r="I22" s="3100"/>
      <c r="J22" s="215">
        <v>0</v>
      </c>
      <c r="K22" s="368"/>
      <c r="L22" s="368"/>
      <c r="M22" s="212">
        <f>HLOOKUP($D$5,PriorYr906!$J$9:$K$87,14,FALSE)</f>
        <v>0</v>
      </c>
      <c r="N22" s="2430"/>
      <c r="P22" s="1342">
        <v>11211000</v>
      </c>
    </row>
    <row r="23" spans="2:18" x14ac:dyDescent="0.2">
      <c r="B23" s="3100" t="s">
        <v>4702</v>
      </c>
      <c r="C23" s="3100"/>
      <c r="D23" s="3100"/>
      <c r="E23" s="3100"/>
      <c r="F23" s="3100"/>
      <c r="G23" s="3100"/>
      <c r="H23" s="3100"/>
      <c r="I23" s="3100"/>
      <c r="J23" s="215">
        <v>0</v>
      </c>
      <c r="K23" s="368"/>
      <c r="L23" s="368"/>
      <c r="M23" s="212">
        <f>HLOOKUP($D$5,PriorYr906!$J$9:$K$87,15,FALSE)</f>
        <v>0</v>
      </c>
      <c r="N23" s="2430"/>
      <c r="P23" s="1342">
        <v>11211300</v>
      </c>
    </row>
    <row r="24" spans="2:18" x14ac:dyDescent="0.2">
      <c r="B24" s="3100" t="s">
        <v>4703</v>
      </c>
      <c r="C24" s="3100"/>
      <c r="D24" s="3100"/>
      <c r="E24" s="3100"/>
      <c r="F24" s="3100"/>
      <c r="G24" s="3100"/>
      <c r="H24" s="3100"/>
      <c r="I24" s="3100"/>
      <c r="J24" s="215">
        <v>0</v>
      </c>
      <c r="K24" s="368"/>
      <c r="L24" s="368"/>
      <c r="M24" s="212">
        <f>HLOOKUP($D$5,PriorYr906!$J$9:$K$87,16,FALSE)</f>
        <v>45671920.060000002</v>
      </c>
      <c r="N24" s="2430"/>
      <c r="P24" s="1342" t="s">
        <v>4704</v>
      </c>
    </row>
    <row r="25" spans="2:18" x14ac:dyDescent="0.2">
      <c r="B25" s="3100" t="s">
        <v>4705</v>
      </c>
      <c r="C25" s="3100"/>
      <c r="D25" s="3100"/>
      <c r="E25" s="3100"/>
      <c r="F25" s="3100"/>
      <c r="G25" s="3100"/>
      <c r="H25" s="3100"/>
      <c r="I25" s="3100"/>
      <c r="J25" s="215">
        <v>0</v>
      </c>
      <c r="K25" s="368"/>
      <c r="L25" s="368"/>
      <c r="M25" s="212">
        <f>HLOOKUP($D$5,PriorYr906!$J$9:$K$87,17,FALSE)</f>
        <v>0</v>
      </c>
      <c r="N25" s="2430"/>
      <c r="R25" s="138" t="s">
        <v>4693</v>
      </c>
    </row>
    <row r="26" spans="2:18" x14ac:dyDescent="0.2">
      <c r="B26" s="3100" t="s">
        <v>4706</v>
      </c>
      <c r="C26" s="3100"/>
      <c r="D26" s="3100"/>
      <c r="E26" s="3100"/>
      <c r="F26" s="3100"/>
      <c r="G26" s="3100"/>
      <c r="H26" s="3100"/>
      <c r="I26" s="3100"/>
      <c r="J26" s="215">
        <v>0</v>
      </c>
      <c r="K26" s="368"/>
      <c r="L26" s="368"/>
      <c r="M26" s="212">
        <f>HLOOKUP($D$5,PriorYr906!$J$9:$K$87,18,FALSE)</f>
        <v>215589809.46000001</v>
      </c>
      <c r="N26" s="2430"/>
      <c r="P26" s="1342" t="s">
        <v>4707</v>
      </c>
    </row>
    <row r="27" spans="2:18" x14ac:dyDescent="0.2">
      <c r="B27" s="3100" t="s">
        <v>4708</v>
      </c>
      <c r="C27" s="3100"/>
      <c r="D27" s="3100"/>
      <c r="E27" s="3100"/>
      <c r="F27" s="3100"/>
      <c r="G27" s="3100"/>
      <c r="H27" s="3100"/>
      <c r="I27" s="3100"/>
      <c r="J27" s="215">
        <v>0</v>
      </c>
      <c r="K27" s="368"/>
      <c r="L27" s="368"/>
      <c r="M27" s="212">
        <f>HLOOKUP($D$5,PriorYr906!$J$9:$K$87,19,FALSE)</f>
        <v>1822168204.24</v>
      </c>
      <c r="N27" s="2430"/>
      <c r="P27" s="1342" t="s">
        <v>4709</v>
      </c>
    </row>
    <row r="28" spans="2:18" x14ac:dyDescent="0.2">
      <c r="B28" s="3100" t="s">
        <v>4710</v>
      </c>
      <c r="C28" s="3100"/>
      <c r="D28" s="3100"/>
      <c r="E28" s="3100"/>
      <c r="F28" s="3100"/>
      <c r="G28" s="3100"/>
      <c r="H28" s="3100"/>
      <c r="I28" s="3100"/>
      <c r="J28" s="215">
        <v>0</v>
      </c>
      <c r="K28" s="368"/>
      <c r="L28" s="368"/>
      <c r="M28" s="212">
        <f>HLOOKUP($D$5,PriorYr906!$J$9:$K$87,20,FALSE)</f>
        <v>10115062576.940001</v>
      </c>
      <c r="N28" s="2430"/>
      <c r="P28" s="1342">
        <v>11212300</v>
      </c>
    </row>
    <row r="29" spans="2:18" x14ac:dyDescent="0.2">
      <c r="B29" s="3100" t="s">
        <v>3040</v>
      </c>
      <c r="C29" s="3100"/>
      <c r="D29" s="3100"/>
      <c r="E29" s="3100"/>
      <c r="F29" s="3100"/>
      <c r="G29" s="3100"/>
      <c r="H29" s="3100"/>
      <c r="I29" s="3100"/>
      <c r="J29" s="215">
        <v>0</v>
      </c>
      <c r="K29" s="368"/>
      <c r="L29" s="368"/>
      <c r="M29" s="212">
        <f>HLOOKUP($D$5,PriorYr906!$J$9:$K$87,21,FALSE)</f>
        <v>0</v>
      </c>
      <c r="N29" s="2430"/>
      <c r="P29" s="1342">
        <v>11230000</v>
      </c>
    </row>
    <row r="30" spans="2:18" x14ac:dyDescent="0.2">
      <c r="B30" s="773" t="s">
        <v>2741</v>
      </c>
      <c r="C30" s="773"/>
      <c r="D30"/>
      <c r="E30"/>
      <c r="F30"/>
      <c r="G30"/>
      <c r="H30"/>
      <c r="I30"/>
      <c r="K30" s="368"/>
      <c r="L30" s="368"/>
      <c r="M30" s="212">
        <f>HLOOKUP($D$5,PriorYr906!$J$9:$K$87,22,FALSE)</f>
        <v>0</v>
      </c>
      <c r="N30" s="2430"/>
    </row>
    <row r="31" spans="2:18" x14ac:dyDescent="0.2">
      <c r="B31" s="3100" t="s">
        <v>4711</v>
      </c>
      <c r="C31" s="3100"/>
      <c r="D31" s="3100"/>
      <c r="E31" s="3100"/>
      <c r="F31" s="3100"/>
      <c r="G31" s="3100"/>
      <c r="H31" s="3100"/>
      <c r="I31" s="3100"/>
      <c r="J31" s="215">
        <v>0</v>
      </c>
      <c r="K31" s="368"/>
      <c r="L31" s="368"/>
      <c r="M31" s="212">
        <f>HLOOKUP($D$5,PriorYr906!$J$9:$K$87,23,FALSE)</f>
        <v>1186.8900000000001</v>
      </c>
      <c r="N31" s="2430"/>
      <c r="P31" s="1342">
        <v>11320000</v>
      </c>
    </row>
    <row r="32" spans="2:18" x14ac:dyDescent="0.2">
      <c r="B32" s="3100" t="s">
        <v>4712</v>
      </c>
      <c r="C32" s="3100"/>
      <c r="D32" s="3100"/>
      <c r="E32" s="3100"/>
      <c r="F32" s="3100"/>
      <c r="G32" s="3100"/>
      <c r="H32" s="3100"/>
      <c r="I32" s="3100"/>
      <c r="J32" s="215">
        <v>0</v>
      </c>
      <c r="K32" s="368"/>
      <c r="L32" s="368"/>
      <c r="M32" s="212">
        <f>HLOOKUP($D$5,PriorYr906!$J$9:$K$87,24,FALSE)</f>
        <v>0</v>
      </c>
      <c r="N32" s="2430"/>
      <c r="P32" s="1342">
        <v>11352000</v>
      </c>
    </row>
    <row r="33" spans="2:16" x14ac:dyDescent="0.2">
      <c r="B33" s="3100" t="s">
        <v>4713</v>
      </c>
      <c r="C33" s="3100"/>
      <c r="D33" s="3100"/>
      <c r="E33" s="3100"/>
      <c r="F33" s="3100"/>
      <c r="G33" s="3100"/>
      <c r="H33" s="3100"/>
      <c r="I33" s="3100"/>
      <c r="J33" s="215">
        <v>0</v>
      </c>
      <c r="K33" s="368"/>
      <c r="L33" s="368"/>
      <c r="M33" s="212">
        <f>HLOOKUP($D$5,PriorYr906!$J$9:$K$87,25,FALSE)</f>
        <v>9477585.5500000007</v>
      </c>
      <c r="N33" s="2430"/>
      <c r="P33" s="1342">
        <v>11370000</v>
      </c>
    </row>
    <row r="34" spans="2:16" x14ac:dyDescent="0.2">
      <c r="B34" s="3100" t="s">
        <v>2752</v>
      </c>
      <c r="C34" s="3100"/>
      <c r="D34" s="3100"/>
      <c r="E34" s="3100"/>
      <c r="F34" s="3100"/>
      <c r="G34" s="3100"/>
      <c r="H34" s="3100"/>
      <c r="I34" s="3100"/>
      <c r="J34" s="215">
        <v>0</v>
      </c>
      <c r="K34" s="368"/>
      <c r="L34" s="368"/>
      <c r="M34" s="212">
        <f>HLOOKUP($D$5,PriorYr906!$J$9:$K$87,26,FALSE)</f>
        <v>248839531.59</v>
      </c>
      <c r="N34" s="2430"/>
      <c r="P34" s="1342">
        <v>11510000</v>
      </c>
    </row>
    <row r="35" spans="2:16" x14ac:dyDescent="0.2">
      <c r="B35" s="3100" t="s">
        <v>2750</v>
      </c>
      <c r="C35" s="3100"/>
      <c r="D35" s="3100"/>
      <c r="E35" s="3100"/>
      <c r="F35" s="3100"/>
      <c r="G35" s="3100"/>
      <c r="H35" s="3100"/>
      <c r="I35" s="3100"/>
      <c r="J35" s="215">
        <v>0</v>
      </c>
      <c r="K35" s="368"/>
      <c r="L35" s="368"/>
      <c r="M35" s="212">
        <f>HLOOKUP($D$5,PriorYr906!$J$9:$K$87,27,FALSE)</f>
        <v>0</v>
      </c>
      <c r="N35" s="2430"/>
      <c r="P35" s="1342">
        <v>11699000</v>
      </c>
    </row>
    <row r="36" spans="2:16" x14ac:dyDescent="0.2">
      <c r="B36" s="3100" t="s">
        <v>4714</v>
      </c>
      <c r="C36" s="3100"/>
      <c r="D36" s="3100"/>
      <c r="E36" s="3100"/>
      <c r="F36" s="3100"/>
      <c r="G36" s="3100"/>
      <c r="H36" s="3100"/>
      <c r="I36" s="3100"/>
      <c r="J36" s="215">
        <v>0</v>
      </c>
      <c r="K36" s="368"/>
      <c r="L36" s="368"/>
      <c r="M36" s="212">
        <f>HLOOKUP($D$5,PriorYr906!$J$9:$K$87,28,FALSE)</f>
        <v>0</v>
      </c>
      <c r="N36" s="2430"/>
      <c r="P36" s="1342">
        <v>11930000</v>
      </c>
    </row>
    <row r="37" spans="2:16" x14ac:dyDescent="0.2">
      <c r="B37" s="3100" t="s">
        <v>4715</v>
      </c>
      <c r="C37" s="3100"/>
      <c r="D37" s="3100"/>
      <c r="E37" s="3100"/>
      <c r="F37" s="3100"/>
      <c r="G37" s="3100"/>
      <c r="H37" s="3100"/>
      <c r="I37" s="3100"/>
      <c r="J37" s="215">
        <v>0</v>
      </c>
      <c r="K37" s="368"/>
      <c r="L37" s="368"/>
      <c r="M37" s="212">
        <f>HLOOKUP($D$5,PriorYr906!$J$9:$K$87,29,FALSE)</f>
        <v>0</v>
      </c>
      <c r="N37" s="2430"/>
      <c r="P37" s="1342">
        <v>12700000</v>
      </c>
    </row>
    <row r="38" spans="2:16" x14ac:dyDescent="0.2">
      <c r="B38" s="3100" t="s">
        <v>4716</v>
      </c>
      <c r="C38" s="3100"/>
      <c r="D38" s="3100"/>
      <c r="E38" s="3100"/>
      <c r="F38" s="3100"/>
      <c r="G38" s="3100"/>
      <c r="H38" s="3100"/>
      <c r="I38" s="3100"/>
      <c r="J38" s="338">
        <v>0</v>
      </c>
      <c r="K38" s="368"/>
      <c r="L38" s="368"/>
      <c r="M38" s="212">
        <f>HLOOKUP($D$5,PriorYr906!$J$9:$K$87,30,FALSE)</f>
        <v>0</v>
      </c>
      <c r="N38" s="2430"/>
      <c r="P38" s="1342">
        <v>12710000</v>
      </c>
    </row>
    <row r="39" spans="2:16" x14ac:dyDescent="0.2">
      <c r="B39" s="3100" t="s">
        <v>1769</v>
      </c>
      <c r="C39" s="3100"/>
      <c r="D39" s="3100"/>
      <c r="E39" s="3100"/>
      <c r="F39" s="3100"/>
      <c r="G39" s="3100"/>
      <c r="H39" s="3100"/>
      <c r="I39" s="3100"/>
      <c r="J39" s="379">
        <f>SUM(J10:J38)</f>
        <v>0</v>
      </c>
      <c r="K39" s="368"/>
      <c r="L39" s="368"/>
      <c r="M39" s="379">
        <f>SUM(M10:M38)</f>
        <v>12456810814.73</v>
      </c>
      <c r="N39" s="2430"/>
    </row>
    <row r="40" spans="2:16" x14ac:dyDescent="0.2">
      <c r="B40" s="772"/>
      <c r="C40" s="773"/>
      <c r="D40"/>
      <c r="E40"/>
      <c r="F40"/>
      <c r="G40"/>
      <c r="H40"/>
      <c r="I40"/>
      <c r="J40" s="373"/>
      <c r="K40" s="368"/>
      <c r="L40" s="368"/>
      <c r="M40" s="2380"/>
      <c r="N40" s="2430"/>
    </row>
    <row r="41" spans="2:16" x14ac:dyDescent="0.2">
      <c r="B41" s="771" t="s">
        <v>1837</v>
      </c>
      <c r="C41" s="773"/>
      <c r="D41"/>
      <c r="E41"/>
      <c r="F41"/>
      <c r="G41"/>
      <c r="H41"/>
      <c r="I41"/>
      <c r="J41" s="373"/>
      <c r="K41" s="368"/>
      <c r="L41" s="368"/>
      <c r="M41" s="2380"/>
      <c r="N41" s="2430"/>
    </row>
    <row r="42" spans="2:16" x14ac:dyDescent="0.2">
      <c r="B42" s="1784" t="s">
        <v>2797</v>
      </c>
      <c r="C42" s="773"/>
      <c r="D42"/>
      <c r="E42"/>
      <c r="F42"/>
      <c r="G42"/>
      <c r="H42"/>
      <c r="I42"/>
      <c r="J42" s="373"/>
      <c r="K42" s="368"/>
      <c r="L42" s="368"/>
      <c r="M42" s="2380"/>
      <c r="N42" s="2430"/>
    </row>
    <row r="43" spans="2:16" x14ac:dyDescent="0.2">
      <c r="B43" s="3106" t="s">
        <v>2835</v>
      </c>
      <c r="C43" s="3106"/>
      <c r="D43" s="3106"/>
      <c r="E43" s="3106"/>
      <c r="F43" s="3106"/>
      <c r="G43" s="3106"/>
      <c r="H43" s="3106"/>
      <c r="I43" s="3106"/>
      <c r="J43" s="215">
        <v>0</v>
      </c>
      <c r="K43" s="368"/>
      <c r="L43" s="368"/>
      <c r="M43" s="212">
        <f>HLOOKUP($D$5,PriorYr906!$J$9:$K$87,35,FALSE)</f>
        <v>898673.59</v>
      </c>
      <c r="N43" s="2430"/>
      <c r="P43" s="1342">
        <v>21110000</v>
      </c>
    </row>
    <row r="44" spans="2:16" x14ac:dyDescent="0.2">
      <c r="B44" s="3106" t="s">
        <v>2800</v>
      </c>
      <c r="C44" s="3106"/>
      <c r="D44" s="3106"/>
      <c r="E44" s="3106"/>
      <c r="F44" s="3106"/>
      <c r="G44" s="3106"/>
      <c r="H44" s="3106"/>
      <c r="I44" s="3106"/>
      <c r="J44" s="215">
        <v>0</v>
      </c>
      <c r="K44" s="368"/>
      <c r="L44" s="368"/>
      <c r="M44" s="212">
        <f>HLOOKUP($D$5,PriorYr906!$J$9:$K$87,36,FALSE)</f>
        <v>0</v>
      </c>
      <c r="N44" s="2430"/>
      <c r="P44" s="1342">
        <v>21131000</v>
      </c>
    </row>
    <row r="45" spans="2:16" x14ac:dyDescent="0.2">
      <c r="B45" s="3106" t="s">
        <v>4717</v>
      </c>
      <c r="C45" s="3106"/>
      <c r="D45" s="3106"/>
      <c r="E45" s="3106"/>
      <c r="F45" s="3106"/>
      <c r="G45" s="3106"/>
      <c r="H45" s="3106"/>
      <c r="I45" s="3106"/>
      <c r="J45" s="215">
        <v>0</v>
      </c>
      <c r="K45" s="368"/>
      <c r="L45" s="368"/>
      <c r="M45" s="212">
        <f>HLOOKUP($D$5,PriorYr906!$J$9:$K$87,37,FALSE)</f>
        <v>0</v>
      </c>
      <c r="N45" s="2430"/>
      <c r="P45" s="1342">
        <v>21511000</v>
      </c>
    </row>
    <row r="46" spans="2:16" x14ac:dyDescent="0.2">
      <c r="B46" s="3108" t="s">
        <v>2814</v>
      </c>
      <c r="C46" s="3108"/>
      <c r="D46" s="3108"/>
      <c r="E46" s="3108"/>
      <c r="F46" s="3108"/>
      <c r="G46" s="3108"/>
      <c r="H46" s="3108"/>
      <c r="I46" s="3108"/>
      <c r="J46" s="215">
        <v>0</v>
      </c>
      <c r="K46" s="368"/>
      <c r="L46" s="368"/>
      <c r="M46" s="212">
        <f>HLOOKUP($D$5,PriorYr906!$J$9:$K$87,38,FALSE)</f>
        <v>0</v>
      </c>
      <c r="N46" s="2430"/>
      <c r="P46" s="1342">
        <v>21315000</v>
      </c>
    </row>
    <row r="47" spans="2:16" x14ac:dyDescent="0.2">
      <c r="B47" s="3108" t="s">
        <v>2812</v>
      </c>
      <c r="C47" s="3108"/>
      <c r="D47" s="3108"/>
      <c r="E47" s="3108"/>
      <c r="F47" s="3108"/>
      <c r="G47" s="3108"/>
      <c r="H47" s="3108"/>
      <c r="I47" s="3108"/>
      <c r="J47" s="215">
        <v>0</v>
      </c>
      <c r="K47" s="368"/>
      <c r="L47" s="368"/>
      <c r="M47" s="212">
        <f>HLOOKUP($D$5,PriorYr906!$J$9:$K$87,39,FALSE)</f>
        <v>0</v>
      </c>
      <c r="N47" s="2430"/>
      <c r="P47" s="1342">
        <v>21811000</v>
      </c>
    </row>
    <row r="48" spans="2:16" x14ac:dyDescent="0.2">
      <c r="B48" s="3108" t="s">
        <v>2815</v>
      </c>
      <c r="C48" s="3108"/>
      <c r="D48" s="3108"/>
      <c r="E48" s="3108"/>
      <c r="F48" s="3108"/>
      <c r="G48" s="3108"/>
      <c r="H48" s="3108"/>
      <c r="I48" s="3108"/>
      <c r="J48" s="215">
        <v>0</v>
      </c>
      <c r="K48" s="368"/>
      <c r="L48" s="368"/>
      <c r="M48" s="212">
        <f>HLOOKUP($D$5,PriorYr906!$J$9:$K$87,40,FALSE)</f>
        <v>0</v>
      </c>
      <c r="N48" s="2430"/>
      <c r="P48" s="1342">
        <v>21712000</v>
      </c>
    </row>
    <row r="49" spans="2:17" x14ac:dyDescent="0.2">
      <c r="B49" s="3100" t="s">
        <v>2816</v>
      </c>
      <c r="C49" s="3100"/>
      <c r="D49" s="3100"/>
      <c r="E49" s="3100"/>
      <c r="F49" s="3100"/>
      <c r="G49" s="3100"/>
      <c r="H49" s="3100"/>
      <c r="I49" s="3100"/>
      <c r="J49" s="215">
        <v>0</v>
      </c>
      <c r="K49" s="368"/>
      <c r="L49" s="368"/>
      <c r="M49" s="212">
        <f>HLOOKUP($D$5,PriorYr906!$J$9:$K$87,41,FALSE)</f>
        <v>0</v>
      </c>
      <c r="N49" s="2430"/>
      <c r="P49" s="1342">
        <v>21719000</v>
      </c>
    </row>
    <row r="50" spans="2:17" x14ac:dyDescent="0.2">
      <c r="B50" s="3108" t="s">
        <v>1071</v>
      </c>
      <c r="C50" s="3108"/>
      <c r="D50" s="3108"/>
      <c r="E50" s="3108"/>
      <c r="F50" s="3108"/>
      <c r="G50" s="3108"/>
      <c r="H50" s="3108"/>
      <c r="I50" s="3108"/>
      <c r="J50" s="338">
        <v>0</v>
      </c>
      <c r="K50" s="368"/>
      <c r="L50" s="368"/>
      <c r="M50" s="212">
        <f>HLOOKUP($D$5,PriorYr906!$J$9:$K$87,42,FALSE)</f>
        <v>0</v>
      </c>
      <c r="N50" s="2430"/>
      <c r="P50" s="1342">
        <v>21192000</v>
      </c>
    </row>
    <row r="51" spans="2:17" x14ac:dyDescent="0.2">
      <c r="B51" s="3100" t="s">
        <v>1774</v>
      </c>
      <c r="C51" s="3100"/>
      <c r="D51" s="3100"/>
      <c r="E51" s="3100"/>
      <c r="F51" s="3100"/>
      <c r="G51" s="3100"/>
      <c r="H51" s="3100"/>
      <c r="I51" s="3100"/>
      <c r="J51" s="379">
        <f>SUM(J42:J50)</f>
        <v>0</v>
      </c>
      <c r="K51" s="368"/>
      <c r="L51" s="368"/>
      <c r="M51" s="379">
        <f>SUM(M42:M50)</f>
        <v>898673.59</v>
      </c>
      <c r="N51" s="2430"/>
    </row>
    <row r="52" spans="2:17" x14ac:dyDescent="0.2">
      <c r="B52" s="773"/>
      <c r="C52" s="773"/>
      <c r="D52"/>
      <c r="E52"/>
      <c r="F52"/>
      <c r="G52"/>
      <c r="H52"/>
      <c r="I52"/>
      <c r="J52" s="373"/>
      <c r="K52" s="368"/>
      <c r="L52" s="368"/>
      <c r="M52" s="2440"/>
      <c r="N52" s="2430"/>
    </row>
    <row r="53" spans="2:17" x14ac:dyDescent="0.2">
      <c r="B53" s="2438" t="s">
        <v>1776</v>
      </c>
      <c r="C53"/>
      <c r="D53"/>
      <c r="E53"/>
      <c r="F53"/>
      <c r="G53"/>
      <c r="H53"/>
      <c r="I53"/>
      <c r="K53" s="368"/>
      <c r="L53" s="368"/>
      <c r="M53" s="2440"/>
      <c r="N53" s="2430"/>
    </row>
    <row r="54" spans="2:17" x14ac:dyDescent="0.2">
      <c r="B54" s="3111" t="s">
        <v>1624</v>
      </c>
      <c r="C54" s="3111"/>
      <c r="D54" s="3111"/>
      <c r="E54" s="3111"/>
      <c r="F54" s="3111"/>
      <c r="G54" s="3111"/>
      <c r="H54" s="3111"/>
      <c r="I54" s="3111"/>
      <c r="K54" s="368"/>
      <c r="L54" s="368"/>
      <c r="M54" s="2440"/>
      <c r="N54" s="2430"/>
    </row>
    <row r="55" spans="2:17" x14ac:dyDescent="0.2">
      <c r="B55" s="3108" t="s">
        <v>4750</v>
      </c>
      <c r="C55" s="3108"/>
      <c r="D55" s="3108"/>
      <c r="E55" s="3108"/>
      <c r="F55" s="3108"/>
      <c r="G55" s="3108"/>
      <c r="H55" s="3108"/>
      <c r="I55" s="3108"/>
      <c r="J55" s="215">
        <v>0</v>
      </c>
      <c r="K55" s="368"/>
      <c r="L55" s="368"/>
      <c r="M55" s="212">
        <f>HLOOKUP($D$5,PriorYr906!$J$9:$K$87,47,FALSE)</f>
        <v>12455912141.139999</v>
      </c>
      <c r="N55" s="2430"/>
      <c r="P55" s="1342" t="s">
        <v>4751</v>
      </c>
      <c r="Q55" s="1297"/>
    </row>
    <row r="56" spans="2:17" ht="13.5" thickBot="1" x14ac:dyDescent="0.25">
      <c r="B56" s="3107" t="s">
        <v>1641</v>
      </c>
      <c r="C56" s="3107"/>
      <c r="D56" s="3107"/>
      <c r="E56" s="3107"/>
      <c r="F56" s="3107"/>
      <c r="G56" s="3107"/>
      <c r="H56" s="3107"/>
      <c r="I56" s="3107"/>
      <c r="J56" s="380">
        <f>SUM(J54:J55)</f>
        <v>0</v>
      </c>
      <c r="K56" s="368"/>
      <c r="L56" s="368"/>
      <c r="M56" s="380">
        <f>SUM(M54:M55)</f>
        <v>12455912141.139999</v>
      </c>
      <c r="N56" s="2430"/>
    </row>
    <row r="57" spans="2:17" ht="13.5" thickTop="1" x14ac:dyDescent="0.2">
      <c r="B57" s="2437"/>
      <c r="C57" s="2437"/>
      <c r="D57" s="2437"/>
      <c r="E57" s="2437"/>
      <c r="F57" s="2437"/>
      <c r="G57" s="2437"/>
      <c r="H57" s="2437"/>
      <c r="I57" s="2437"/>
      <c r="K57" s="368"/>
      <c r="L57" s="368"/>
      <c r="M57" s="2380"/>
      <c r="N57" s="2430"/>
    </row>
    <row r="58" spans="2:17" x14ac:dyDescent="0.2">
      <c r="B58" s="3107" t="s">
        <v>4720</v>
      </c>
      <c r="C58" s="3107"/>
      <c r="D58" s="3107"/>
      <c r="E58" s="3107"/>
      <c r="F58" s="3107"/>
      <c r="G58" s="3107"/>
      <c r="H58" s="3107"/>
      <c r="I58" s="3107"/>
      <c r="J58" s="737" t="str">
        <f>IF(J39-J51=J56,"In Balance","NOT BALANCED")</f>
        <v>In Balance</v>
      </c>
      <c r="K58" s="368"/>
      <c r="L58" s="368"/>
      <c r="M58" s="737" t="str">
        <f>IF(M39-M51=M56,"In Balance","NOT BALANCED")</f>
        <v>In Balance</v>
      </c>
      <c r="N58" s="2430"/>
    </row>
    <row r="59" spans="2:17" x14ac:dyDescent="0.2">
      <c r="B59"/>
      <c r="C59"/>
      <c r="D59"/>
      <c r="E59"/>
      <c r="F59"/>
      <c r="G59"/>
      <c r="H59"/>
      <c r="I59"/>
      <c r="K59" s="368"/>
      <c r="L59" s="368"/>
      <c r="M59" s="2380"/>
      <c r="N59" s="2430"/>
    </row>
    <row r="60" spans="2:17" x14ac:dyDescent="0.2">
      <c r="B60" s="774" t="s">
        <v>4721</v>
      </c>
      <c r="C60"/>
      <c r="D60"/>
      <c r="E60"/>
      <c r="F60"/>
      <c r="G60"/>
      <c r="H60"/>
      <c r="I60"/>
      <c r="J60" s="732" t="str">
        <f>CONCATENATE("FYE ",+TEXT(Data!$A$2,"mmmm d,yyyy"))</f>
        <v>FYE June 30,2024</v>
      </c>
      <c r="K60" s="368"/>
      <c r="L60" s="368"/>
      <c r="M60" s="734" t="str">
        <f>CONCATENATE("FYE ",+TEXT(Data!$A$4,"mmmm d,yyyy"))</f>
        <v>FYE June 30,2023</v>
      </c>
      <c r="N60" s="2430"/>
    </row>
    <row r="61" spans="2:17" x14ac:dyDescent="0.2">
      <c r="B61" s="3110" t="s">
        <v>1850</v>
      </c>
      <c r="C61" s="3110"/>
      <c r="D61" s="3110"/>
      <c r="E61" s="3110"/>
      <c r="F61" s="3110"/>
      <c r="G61" s="3110"/>
      <c r="H61" s="3110"/>
      <c r="I61" s="3110"/>
      <c r="K61" s="368"/>
      <c r="L61" s="368"/>
      <c r="M61" s="2380"/>
      <c r="N61" s="2430"/>
    </row>
    <row r="62" spans="2:17" x14ac:dyDescent="0.2">
      <c r="B62" s="3066" t="s">
        <v>4722</v>
      </c>
      <c r="C62" s="3066"/>
      <c r="D62" s="3066"/>
      <c r="E62" s="3066"/>
      <c r="F62" s="3066"/>
      <c r="G62" s="3066"/>
      <c r="H62" s="3066"/>
      <c r="I62" s="3066"/>
      <c r="J62" s="214">
        <v>0</v>
      </c>
      <c r="K62" s="368"/>
      <c r="L62" s="368"/>
      <c r="M62" s="451">
        <f>HLOOKUP($D$5,PriorYr906!$J$9:$K$87,54,FALSE)</f>
        <v>272983082.57999998</v>
      </c>
      <c r="N62" s="2430"/>
      <c r="P62" s="1342">
        <v>46110000</v>
      </c>
    </row>
    <row r="63" spans="2:17" x14ac:dyDescent="0.2">
      <c r="B63" s="3066" t="s">
        <v>4723</v>
      </c>
      <c r="C63" s="3066"/>
      <c r="D63" s="3066"/>
      <c r="E63" s="3066"/>
      <c r="F63" s="3066"/>
      <c r="G63" s="3066"/>
      <c r="H63" s="3066"/>
      <c r="I63" s="3066"/>
      <c r="J63" s="215">
        <v>0</v>
      </c>
      <c r="K63" s="368"/>
      <c r="L63" s="368"/>
      <c r="M63" s="212">
        <f>HLOOKUP($D$5,PriorYr906!$J$9:$K$87,55,FALSE)</f>
        <v>467360428.25999999</v>
      </c>
      <c r="N63" s="2430"/>
      <c r="P63" s="1342">
        <v>46120000</v>
      </c>
    </row>
    <row r="64" spans="2:17" x14ac:dyDescent="0.2">
      <c r="B64" s="3069" t="s">
        <v>4724</v>
      </c>
      <c r="C64" s="3069"/>
      <c r="D64" s="3069"/>
      <c r="E64" s="3069"/>
      <c r="F64" s="3069"/>
      <c r="G64" s="3069"/>
      <c r="H64" s="3069"/>
      <c r="I64" s="3069"/>
      <c r="J64" s="215">
        <v>0</v>
      </c>
      <c r="K64" s="368"/>
      <c r="L64" s="368"/>
      <c r="M64" s="212">
        <f>HLOOKUP($D$5,PriorYr906!$J$9:$K$87,56,FALSE)</f>
        <v>0</v>
      </c>
      <c r="N64" s="2430"/>
      <c r="P64" s="1342">
        <v>46160000</v>
      </c>
    </row>
    <row r="65" spans="2:16" x14ac:dyDescent="0.2">
      <c r="B65" s="3066" t="s">
        <v>4725</v>
      </c>
      <c r="C65" s="3066"/>
      <c r="D65" s="3066"/>
      <c r="E65" s="3066"/>
      <c r="F65" s="3066"/>
      <c r="G65" s="3066"/>
      <c r="H65" s="3066"/>
      <c r="I65" s="3066"/>
      <c r="J65" s="338">
        <v>0</v>
      </c>
      <c r="K65" s="368"/>
      <c r="L65" s="368"/>
      <c r="M65" s="212">
        <f>HLOOKUP($D$5,PriorYr906!$J$9:$K$87,57,FALSE)</f>
        <v>0</v>
      </c>
      <c r="N65" s="2430"/>
      <c r="P65" s="1342">
        <v>42990000</v>
      </c>
    </row>
    <row r="66" spans="2:16" x14ac:dyDescent="0.2">
      <c r="B66" s="3066" t="s">
        <v>4726</v>
      </c>
      <c r="C66" s="3066"/>
      <c r="D66" s="3066"/>
      <c r="E66" s="3066"/>
      <c r="F66" s="3066"/>
      <c r="G66" s="3066"/>
      <c r="H66" s="3066"/>
      <c r="I66" s="3066"/>
      <c r="J66" s="379">
        <f>SUM(J62:J65)</f>
        <v>0</v>
      </c>
      <c r="K66" s="368"/>
      <c r="L66" s="368"/>
      <c r="M66" s="379">
        <f>SUM(M62:M65)</f>
        <v>740343510.84000003</v>
      </c>
      <c r="N66" s="2430"/>
    </row>
    <row r="67" spans="2:16" x14ac:dyDescent="0.2">
      <c r="B67" s="3110" t="s">
        <v>4727</v>
      </c>
      <c r="C67" s="3110"/>
      <c r="D67" s="3110"/>
      <c r="E67" s="3110"/>
      <c r="F67" s="3110"/>
      <c r="G67" s="3110"/>
      <c r="H67" s="3110"/>
      <c r="I67" s="3110"/>
      <c r="K67" s="368"/>
      <c r="L67" s="368"/>
      <c r="M67" s="2380"/>
      <c r="N67" s="2430"/>
    </row>
    <row r="68" spans="2:16" x14ac:dyDescent="0.2">
      <c r="B68" s="3066" t="s">
        <v>4728</v>
      </c>
      <c r="C68" s="3066"/>
      <c r="D68" s="3066"/>
      <c r="E68" s="3066"/>
      <c r="F68" s="3066"/>
      <c r="G68" s="3066"/>
      <c r="H68" s="3066"/>
      <c r="I68" s="3066"/>
      <c r="J68" s="215">
        <v>0</v>
      </c>
      <c r="K68" s="368"/>
      <c r="L68" s="368"/>
      <c r="M68" s="212">
        <f>HLOOKUP($D$5,PriorYr906!$J$9:$K$87,60,FALSE)</f>
        <v>-2142423593.6700001</v>
      </c>
      <c r="N68" s="2430"/>
      <c r="P68" s="1342">
        <v>43110000</v>
      </c>
    </row>
    <row r="69" spans="2:16" x14ac:dyDescent="0.2">
      <c r="B69" s="3066" t="s">
        <v>4729</v>
      </c>
      <c r="C69" s="3066"/>
      <c r="D69" s="3066"/>
      <c r="E69" s="3066"/>
      <c r="F69" s="3066"/>
      <c r="G69" s="3066"/>
      <c r="H69" s="3066"/>
      <c r="I69" s="3066"/>
      <c r="J69" s="338">
        <v>0</v>
      </c>
      <c r="K69" s="368"/>
      <c r="L69" s="368"/>
      <c r="M69" s="212">
        <f>HLOOKUP($D$5,PriorYr906!$J$9:$K$87,61,FALSE)</f>
        <v>-18039119.550000001</v>
      </c>
      <c r="N69" s="2430"/>
      <c r="P69" s="1342">
        <v>52120110</v>
      </c>
    </row>
    <row r="70" spans="2:16" x14ac:dyDescent="0.2">
      <c r="B70" s="3066" t="s">
        <v>4730</v>
      </c>
      <c r="C70" s="3066"/>
      <c r="D70" s="3066"/>
      <c r="E70" s="3066"/>
      <c r="F70" s="3066"/>
      <c r="G70" s="3066"/>
      <c r="H70" s="3066"/>
      <c r="I70" s="3066"/>
      <c r="J70" s="379">
        <f>SUM(J68:J69)</f>
        <v>0</v>
      </c>
      <c r="K70" s="368"/>
      <c r="L70" s="368"/>
      <c r="M70" s="379">
        <f>SUM(M68:M69)</f>
        <v>-2160462713.2199998</v>
      </c>
      <c r="N70" s="2430"/>
    </row>
    <row r="71" spans="2:16" x14ac:dyDescent="0.2">
      <c r="B71" s="3110" t="s">
        <v>1853</v>
      </c>
      <c r="C71" s="3110"/>
      <c r="D71" s="3110"/>
      <c r="E71" s="3110"/>
      <c r="F71" s="3110"/>
      <c r="G71" s="3110"/>
      <c r="H71" s="3110"/>
      <c r="I71" s="3110"/>
      <c r="K71" s="368"/>
      <c r="L71" s="368"/>
      <c r="M71" s="2440"/>
      <c r="N71" s="2430"/>
    </row>
    <row r="72" spans="2:16" x14ac:dyDescent="0.2">
      <c r="B72" s="3066" t="s">
        <v>4731</v>
      </c>
      <c r="C72" s="3066"/>
      <c r="D72" s="3066"/>
      <c r="E72" s="3066"/>
      <c r="F72" s="3066"/>
      <c r="G72" s="3066"/>
      <c r="H72" s="3066"/>
      <c r="I72" s="3066"/>
      <c r="J72" s="215">
        <v>0</v>
      </c>
      <c r="K72" s="368"/>
      <c r="L72" s="368"/>
      <c r="M72" s="212">
        <f>HLOOKUP($D$5,PriorYr906!$J$9:$K$87,64,FALSE)</f>
        <v>0</v>
      </c>
      <c r="N72" s="2430"/>
      <c r="P72" s="1342">
        <v>45100000</v>
      </c>
    </row>
    <row r="73" spans="2:16" x14ac:dyDescent="0.2">
      <c r="B73" s="3066" t="s">
        <v>4732</v>
      </c>
      <c r="C73" s="3066"/>
      <c r="D73" s="3066"/>
      <c r="E73" s="3066"/>
      <c r="F73" s="3066"/>
      <c r="G73" s="3066"/>
      <c r="H73" s="3066"/>
      <c r="I73" s="3066"/>
      <c r="J73" s="215">
        <v>0</v>
      </c>
      <c r="K73" s="368"/>
      <c r="L73" s="368"/>
      <c r="M73" s="212">
        <f>HLOOKUP($D$5,PriorYr906!$J$9:$K$87,65,FALSE)</f>
        <v>12172512.24</v>
      </c>
      <c r="N73" s="2430"/>
      <c r="P73" s="1342">
        <v>43200000</v>
      </c>
    </row>
    <row r="74" spans="2:16" x14ac:dyDescent="0.2">
      <c r="B74" s="3066" t="s">
        <v>4733</v>
      </c>
      <c r="C74" s="3066"/>
      <c r="D74" s="3066"/>
      <c r="E74" s="3066"/>
      <c r="F74" s="3066"/>
      <c r="G74" s="3066"/>
      <c r="H74" s="3066"/>
      <c r="I74" s="3066"/>
      <c r="J74" s="215">
        <v>0</v>
      </c>
      <c r="K74" s="368"/>
      <c r="L74" s="368"/>
      <c r="M74" s="212">
        <f>HLOOKUP($D$5,PriorYr906!$J$9:$K$87,66,FALSE)</f>
        <v>2357541.35</v>
      </c>
      <c r="N74" s="2430"/>
      <c r="P74" s="1342">
        <v>47111000</v>
      </c>
    </row>
    <row r="75" spans="2:16" x14ac:dyDescent="0.2">
      <c r="B75" s="3066" t="s">
        <v>4734</v>
      </c>
      <c r="C75" s="3066"/>
      <c r="D75" s="3066"/>
      <c r="E75" s="3066"/>
      <c r="F75" s="3066"/>
      <c r="G75" s="3066"/>
      <c r="H75" s="3066"/>
      <c r="I75" s="3066"/>
      <c r="J75" s="379">
        <f>SUM(J72:J74)</f>
        <v>0</v>
      </c>
      <c r="K75" s="368"/>
      <c r="L75" s="368"/>
      <c r="M75" s="379">
        <f>SUM(M72:M74)</f>
        <v>14530053.59</v>
      </c>
      <c r="N75" s="2430"/>
    </row>
    <row r="76" spans="2:16" x14ac:dyDescent="0.2">
      <c r="B76" s="3066" t="s">
        <v>1854</v>
      </c>
      <c r="C76" s="3066"/>
      <c r="D76" s="3066"/>
      <c r="E76" s="3066"/>
      <c r="F76" s="3066"/>
      <c r="G76" s="3066"/>
      <c r="H76" s="3066"/>
      <c r="I76" s="3066"/>
      <c r="J76" s="379">
        <f>J66+J70+J75</f>
        <v>0</v>
      </c>
      <c r="K76" s="368"/>
      <c r="L76" s="368"/>
      <c r="M76" s="379">
        <f>M66+M70+M75</f>
        <v>-1405589148.79</v>
      </c>
      <c r="N76" s="2430"/>
    </row>
    <row r="77" spans="2:16" x14ac:dyDescent="0.2">
      <c r="B77" s="2380"/>
      <c r="C77"/>
      <c r="D77"/>
      <c r="E77"/>
      <c r="F77"/>
      <c r="G77"/>
      <c r="H77"/>
      <c r="I77"/>
      <c r="K77" s="368"/>
      <c r="L77" s="368"/>
      <c r="M77" s="2380"/>
      <c r="N77" s="2430"/>
    </row>
    <row r="78" spans="2:16" x14ac:dyDescent="0.2">
      <c r="B78" s="3109" t="s">
        <v>4735</v>
      </c>
      <c r="C78" s="3109"/>
      <c r="D78" s="3109"/>
      <c r="E78" s="3109"/>
      <c r="F78" s="3109"/>
      <c r="G78" s="3109"/>
      <c r="H78" s="3109"/>
      <c r="I78" s="3109"/>
      <c r="K78" s="368"/>
      <c r="L78" s="368"/>
      <c r="M78" s="2380"/>
      <c r="N78" s="2430"/>
    </row>
    <row r="79" spans="2:16" x14ac:dyDescent="0.2">
      <c r="B79" s="3066" t="s">
        <v>2885</v>
      </c>
      <c r="C79" s="3066"/>
      <c r="D79" s="3066"/>
      <c r="E79" s="3066"/>
      <c r="F79" s="3066"/>
      <c r="G79" s="3066"/>
      <c r="H79" s="3066"/>
      <c r="I79" s="3066"/>
      <c r="J79" s="215">
        <v>0</v>
      </c>
      <c r="K79" s="368"/>
      <c r="L79" s="368"/>
      <c r="M79" s="212">
        <f>HLOOKUP($D$5,PriorYr906!$J$9:$K$87,71,FALSE)</f>
        <v>793315810.44000006</v>
      </c>
      <c r="N79" s="2430"/>
      <c r="P79" s="1342">
        <v>55210000</v>
      </c>
    </row>
    <row r="80" spans="2:16" x14ac:dyDescent="0.2">
      <c r="B80" s="3066" t="s">
        <v>4328</v>
      </c>
      <c r="C80" s="3066"/>
      <c r="D80" s="3066"/>
      <c r="E80" s="3066"/>
      <c r="F80" s="3066"/>
      <c r="G80" s="3066"/>
      <c r="H80" s="3066"/>
      <c r="I80" s="3066"/>
      <c r="J80" s="215">
        <v>0</v>
      </c>
      <c r="K80" s="368"/>
      <c r="L80" s="368"/>
      <c r="M80" s="212">
        <f>HLOOKUP($D$5,PriorYr906!$J$9:$K$87,72,FALSE)</f>
        <v>0</v>
      </c>
      <c r="N80" s="2430"/>
      <c r="P80" s="1342">
        <v>55218000</v>
      </c>
    </row>
    <row r="81" spans="2:16" x14ac:dyDescent="0.2">
      <c r="B81" s="3066" t="s">
        <v>4736</v>
      </c>
      <c r="C81" s="3066"/>
      <c r="D81" s="3066"/>
      <c r="E81" s="3066"/>
      <c r="F81" s="3066"/>
      <c r="G81" s="3066"/>
      <c r="H81" s="3066"/>
      <c r="I81" s="3066"/>
      <c r="J81" s="215">
        <v>0</v>
      </c>
      <c r="K81" s="368"/>
      <c r="L81" s="368"/>
      <c r="M81" s="212">
        <f>HLOOKUP($D$5,PriorYr906!$J$9:$K$87,73,FALSE)</f>
        <v>9196169.4399999995</v>
      </c>
      <c r="N81" s="2430"/>
      <c r="P81" s="1342" t="s">
        <v>4737</v>
      </c>
    </row>
    <row r="82" spans="2:16" x14ac:dyDescent="0.2">
      <c r="B82" s="3066" t="s">
        <v>4738</v>
      </c>
      <c r="C82" s="3066"/>
      <c r="D82" s="3066"/>
      <c r="E82" s="3066"/>
      <c r="F82" s="3066"/>
      <c r="G82" s="3066"/>
      <c r="H82" s="3066"/>
      <c r="I82" s="3066"/>
      <c r="J82" s="338">
        <v>0</v>
      </c>
      <c r="K82" s="368"/>
      <c r="L82" s="368"/>
      <c r="M82" s="212">
        <f>HLOOKUP($D$5,PriorYr906!$J$9:$K$87,74,FALSE)</f>
        <v>0</v>
      </c>
      <c r="N82" s="2430"/>
      <c r="P82" s="1342">
        <v>55610000</v>
      </c>
    </row>
    <row r="83" spans="2:16" x14ac:dyDescent="0.2">
      <c r="B83" s="3066" t="s">
        <v>4739</v>
      </c>
      <c r="C83" s="3066"/>
      <c r="D83" s="3066"/>
      <c r="E83" s="3066"/>
      <c r="F83" s="3066"/>
      <c r="G83" s="3066"/>
      <c r="H83" s="3066"/>
      <c r="I83" s="3066"/>
      <c r="J83" s="379">
        <f>SUM(J79:J82)</f>
        <v>0</v>
      </c>
      <c r="K83" s="368"/>
      <c r="L83" s="368"/>
      <c r="M83" s="379">
        <f>SUM(M79:M82)</f>
        <v>802511979.88</v>
      </c>
      <c r="N83" s="2430"/>
    </row>
    <row r="84" spans="2:16" x14ac:dyDescent="0.2">
      <c r="B84" s="3066" t="s">
        <v>4740</v>
      </c>
      <c r="C84" s="3066"/>
      <c r="D84" s="3066"/>
      <c r="E84" s="3066"/>
      <c r="F84" s="3066"/>
      <c r="G84" s="3066"/>
      <c r="H84" s="3066"/>
      <c r="I84" s="3066"/>
      <c r="J84" s="731">
        <f>J76-J83</f>
        <v>0</v>
      </c>
      <c r="K84" s="368"/>
      <c r="L84" s="368"/>
      <c r="M84" s="731">
        <f>M76-M83</f>
        <v>-2208101128.6700001</v>
      </c>
      <c r="N84" s="2430"/>
    </row>
    <row r="85" spans="2:16" x14ac:dyDescent="0.2">
      <c r="B85" s="3108" t="s">
        <v>4741</v>
      </c>
      <c r="C85" s="3108"/>
      <c r="D85" s="3108"/>
      <c r="E85" s="3108"/>
      <c r="F85" s="3108"/>
      <c r="G85" s="3108"/>
      <c r="H85" s="3108"/>
      <c r="I85" s="3108"/>
      <c r="J85" s="591">
        <f>INDEX(NetAssetsData,MATCH('906-6C'!$D$5,NetAssetsDataRow,0),3)</f>
        <v>12455912141.139999</v>
      </c>
      <c r="K85" s="368"/>
      <c r="L85" s="368"/>
      <c r="M85" s="591">
        <f>HLOOKUP($D$5,PriorYr906!$J$9:$K$87,77,FALSE)</f>
        <v>14664013269.809999</v>
      </c>
      <c r="N85" s="2430"/>
    </row>
    <row r="86" spans="2:16" x14ac:dyDescent="0.2">
      <c r="B86" s="3108" t="s">
        <v>4742</v>
      </c>
      <c r="C86" s="3108"/>
      <c r="D86" s="3108"/>
      <c r="E86" s="3108"/>
      <c r="F86" s="3108"/>
      <c r="G86" s="3108"/>
      <c r="H86" s="3108"/>
      <c r="I86" s="3108"/>
      <c r="J86" s="338">
        <v>0</v>
      </c>
      <c r="K86" s="368"/>
      <c r="L86" s="368"/>
      <c r="M86" s="212">
        <f>HLOOKUP($D$5,PriorYr906!$J$9:$K$87,78,FALSE)</f>
        <v>0</v>
      </c>
      <c r="N86" s="2430"/>
      <c r="P86" s="1342">
        <v>33000100</v>
      </c>
    </row>
    <row r="87" spans="2:16" ht="13.5" thickBot="1" x14ac:dyDescent="0.25">
      <c r="B87" s="3108" t="s">
        <v>4743</v>
      </c>
      <c r="C87" s="3108"/>
      <c r="D87" s="3108"/>
      <c r="E87" s="3108"/>
      <c r="F87" s="3108"/>
      <c r="G87" s="3108"/>
      <c r="H87" s="3108"/>
      <c r="I87" s="3108"/>
      <c r="J87" s="381">
        <f>SUM(J84:J86)</f>
        <v>12455912141.139999</v>
      </c>
      <c r="K87" s="368"/>
      <c r="L87" s="368"/>
      <c r="M87" s="381">
        <f>SUM(M84:M86)</f>
        <v>12455912141.139999</v>
      </c>
      <c r="N87" s="369"/>
    </row>
    <row r="88" spans="2:16" ht="13.5" thickTop="1" x14ac:dyDescent="0.2">
      <c r="B88"/>
      <c r="C88"/>
      <c r="D88"/>
      <c r="E88"/>
      <c r="F88"/>
      <c r="G88"/>
      <c r="H88"/>
      <c r="I88"/>
      <c r="K88" s="377"/>
      <c r="L88" s="377"/>
      <c r="M88" s="218"/>
      <c r="N88" s="377"/>
    </row>
    <row r="89" spans="2:16" x14ac:dyDescent="0.2">
      <c r="B89"/>
      <c r="C89"/>
      <c r="D89"/>
      <c r="E89"/>
      <c r="F89"/>
      <c r="G89"/>
      <c r="H89"/>
      <c r="I89"/>
      <c r="K89" s="369"/>
      <c r="L89" s="369"/>
      <c r="M89" s="170"/>
      <c r="N89" s="369"/>
    </row>
    <row r="90" spans="2:16" x14ac:dyDescent="0.2">
      <c r="B90" s="3107" t="s">
        <v>4744</v>
      </c>
      <c r="C90" s="3107"/>
      <c r="D90" s="3107"/>
      <c r="E90" s="3107"/>
      <c r="F90" s="3107"/>
      <c r="G90" s="3107"/>
      <c r="H90" s="3107"/>
      <c r="I90" s="3107"/>
      <c r="J90" s="737" t="str">
        <f>IF(J56=J87,"In Balance","NOT BALANCED")</f>
        <v>NOT BALANCED</v>
      </c>
      <c r="K90" s="370"/>
      <c r="L90" s="370"/>
      <c r="M90" s="737" t="str">
        <f>IF(M56=M87,"In Balance","NOT BALANCED")</f>
        <v>In Balance</v>
      </c>
      <c r="N90" s="370"/>
    </row>
    <row r="91" spans="2:16" x14ac:dyDescent="0.2">
      <c r="K91" s="370"/>
      <c r="L91" s="370"/>
      <c r="M91" s="370"/>
      <c r="N91" s="370"/>
    </row>
    <row r="92" spans="2:16" x14ac:dyDescent="0.2">
      <c r="K92" s="2430"/>
      <c r="L92" s="2430"/>
      <c r="M92" s="2430"/>
      <c r="N92" s="2430"/>
    </row>
    <row r="93" spans="2:16" x14ac:dyDescent="0.2">
      <c r="K93" s="2430"/>
      <c r="L93" s="2430"/>
      <c r="M93" s="2430"/>
      <c r="N93" s="2430"/>
    </row>
    <row r="94" spans="2:16" x14ac:dyDescent="0.2">
      <c r="K94" s="2430"/>
      <c r="L94" s="2430"/>
      <c r="M94" s="2430"/>
      <c r="N94" s="2430"/>
    </row>
    <row r="95" spans="2:16" x14ac:dyDescent="0.2">
      <c r="K95" s="2430"/>
      <c r="L95" s="2430"/>
      <c r="M95" s="2430"/>
      <c r="N95" s="2430"/>
    </row>
    <row r="96" spans="2:16" x14ac:dyDescent="0.2">
      <c r="K96" s="2430"/>
      <c r="L96" s="2430"/>
      <c r="M96" s="2430"/>
      <c r="N96" s="2430"/>
    </row>
    <row r="97" spans="11:14" x14ac:dyDescent="0.2">
      <c r="K97" s="2430"/>
      <c r="L97" s="2430"/>
      <c r="M97" s="2430"/>
      <c r="N97" s="2430"/>
    </row>
    <row r="98" spans="11:14" x14ac:dyDescent="0.2">
      <c r="K98" s="2430"/>
      <c r="L98" s="2430"/>
      <c r="M98" s="2430"/>
      <c r="N98" s="2430"/>
    </row>
    <row r="99" spans="11:14" x14ac:dyDescent="0.2">
      <c r="K99" s="2430"/>
      <c r="L99" s="2430"/>
      <c r="M99" s="2430"/>
      <c r="N99" s="2430"/>
    </row>
    <row r="100" spans="11:14" x14ac:dyDescent="0.2">
      <c r="K100" s="2430"/>
      <c r="L100" s="2430"/>
      <c r="M100" s="2430"/>
      <c r="N100" s="2430"/>
    </row>
    <row r="101" spans="11:14" x14ac:dyDescent="0.2">
      <c r="K101" s="2430"/>
      <c r="L101" s="2430"/>
      <c r="M101" s="2430"/>
      <c r="N101" s="2430"/>
    </row>
    <row r="102" spans="11:14" x14ac:dyDescent="0.2">
      <c r="K102" s="369"/>
      <c r="L102" s="369"/>
      <c r="M102" s="369"/>
      <c r="N102" s="369"/>
    </row>
    <row r="103" spans="11:14" x14ac:dyDescent="0.2">
      <c r="K103" s="368"/>
      <c r="L103" s="368"/>
      <c r="M103" s="368"/>
      <c r="N103" s="368"/>
    </row>
    <row r="104" spans="11:14" x14ac:dyDescent="0.2">
      <c r="K104" s="2430"/>
      <c r="L104" s="2430"/>
      <c r="M104" s="2430"/>
      <c r="N104" s="2430"/>
    </row>
    <row r="105" spans="11:14" x14ac:dyDescent="0.2">
      <c r="K105" s="369"/>
      <c r="L105" s="369"/>
      <c r="M105" s="369"/>
      <c r="N105" s="369"/>
    </row>
    <row r="106" spans="11:14" x14ac:dyDescent="0.2">
      <c r="K106" s="369"/>
      <c r="L106" s="369"/>
      <c r="M106" s="369"/>
      <c r="N106" s="369"/>
    </row>
    <row r="107" spans="11:14" x14ac:dyDescent="0.2">
      <c r="K107" s="2430"/>
      <c r="L107" s="2430"/>
      <c r="M107" s="2430"/>
      <c r="N107" s="2430"/>
    </row>
    <row r="108" spans="11:14" x14ac:dyDescent="0.2">
      <c r="K108" s="369"/>
      <c r="L108" s="369"/>
      <c r="M108" s="369"/>
      <c r="N108" s="369"/>
    </row>
    <row r="109" spans="11:14" x14ac:dyDescent="0.2">
      <c r="K109" s="2430"/>
      <c r="L109" s="2430"/>
      <c r="M109" s="2430"/>
      <c r="N109" s="2430"/>
    </row>
    <row r="110" spans="11:14" x14ac:dyDescent="0.2">
      <c r="K110" s="2430"/>
      <c r="L110" s="2430"/>
      <c r="M110" s="2430"/>
      <c r="N110" s="2430"/>
    </row>
    <row r="111" spans="11:14" x14ac:dyDescent="0.2">
      <c r="K111" s="2430"/>
      <c r="L111" s="2430"/>
      <c r="M111" s="2430"/>
      <c r="N111" s="2430"/>
    </row>
    <row r="112" spans="11:14" x14ac:dyDescent="0.2">
      <c r="K112" s="2430"/>
      <c r="L112" s="2430"/>
      <c r="M112" s="2430"/>
      <c r="N112" s="2430"/>
    </row>
    <row r="113" spans="11:14" x14ac:dyDescent="0.2">
      <c r="K113" s="2430"/>
      <c r="L113" s="2430"/>
      <c r="M113" s="2430"/>
      <c r="N113" s="2430"/>
    </row>
    <row r="114" spans="11:14" x14ac:dyDescent="0.2">
      <c r="K114" s="2430"/>
      <c r="L114" s="2430"/>
      <c r="M114" s="2430"/>
      <c r="N114" s="2430"/>
    </row>
    <row r="115" spans="11:14" x14ac:dyDescent="0.2">
      <c r="K115" s="2430"/>
      <c r="L115" s="2430"/>
      <c r="M115" s="2430"/>
      <c r="N115" s="2430"/>
    </row>
    <row r="116" spans="11:14" x14ac:dyDescent="0.2">
      <c r="K116" s="2430"/>
      <c r="L116" s="2430"/>
      <c r="M116" s="2430"/>
      <c r="N116" s="2430"/>
    </row>
    <row r="117" spans="11:14" x14ac:dyDescent="0.2">
      <c r="K117" s="369"/>
      <c r="L117" s="369"/>
      <c r="M117" s="369"/>
      <c r="N117" s="369"/>
    </row>
    <row r="118" spans="11:14" x14ac:dyDescent="0.2">
      <c r="K118" s="369"/>
      <c r="L118" s="369"/>
      <c r="M118" s="369"/>
      <c r="N118" s="369"/>
    </row>
    <row r="120" spans="11:14" x14ac:dyDescent="0.2">
      <c r="K120" s="376"/>
      <c r="L120" s="376"/>
      <c r="M120" s="376"/>
      <c r="N120" s="376"/>
    </row>
    <row r="121" spans="11:14" x14ac:dyDescent="0.2">
      <c r="K121" s="376"/>
      <c r="L121" s="376"/>
      <c r="M121" s="376"/>
      <c r="N121" s="376"/>
    </row>
    <row r="122" spans="11:14" x14ac:dyDescent="0.2">
      <c r="K122" s="376"/>
      <c r="L122" s="376"/>
      <c r="M122" s="376"/>
      <c r="N122" s="376"/>
    </row>
    <row r="123" spans="11:14" x14ac:dyDescent="0.2">
      <c r="K123" s="376"/>
      <c r="L123" s="376"/>
      <c r="M123" s="376"/>
      <c r="N123" s="376"/>
    </row>
    <row r="124" spans="11:14" x14ac:dyDescent="0.2">
      <c r="K124" s="2430"/>
      <c r="L124" s="2430"/>
      <c r="M124" s="2430"/>
      <c r="N124" s="2430"/>
    </row>
    <row r="125" spans="11:14" x14ac:dyDescent="0.2">
      <c r="K125" s="378"/>
      <c r="L125" s="378"/>
      <c r="M125" s="378"/>
      <c r="N125" s="378"/>
    </row>
    <row r="126" spans="11:14" x14ac:dyDescent="0.2">
      <c r="K126" s="2430"/>
      <c r="L126" s="2430"/>
      <c r="M126" s="2430"/>
      <c r="N126" s="2430"/>
    </row>
    <row r="127" spans="11:14" x14ac:dyDescent="0.2">
      <c r="K127" s="2430"/>
      <c r="L127" s="2430"/>
      <c r="M127" s="2430"/>
      <c r="N127" s="2430"/>
    </row>
    <row r="128" spans="11:14" x14ac:dyDescent="0.2">
      <c r="K128" s="2430"/>
      <c r="L128" s="2430"/>
      <c r="M128" s="2430"/>
      <c r="N128" s="2430"/>
    </row>
    <row r="129" spans="11:14" x14ac:dyDescent="0.2">
      <c r="K129" s="2430"/>
      <c r="L129" s="2430"/>
      <c r="M129" s="2430"/>
      <c r="N129" s="2430"/>
    </row>
    <row r="130" spans="11:14" x14ac:dyDescent="0.2">
      <c r="K130" s="2430"/>
      <c r="L130" s="2430"/>
      <c r="M130" s="2430"/>
      <c r="N130" s="2430"/>
    </row>
    <row r="131" spans="11:14" x14ac:dyDescent="0.2">
      <c r="K131" s="2430"/>
      <c r="L131" s="2430"/>
      <c r="M131" s="2430"/>
      <c r="N131" s="2430"/>
    </row>
    <row r="132" spans="11:14" x14ac:dyDescent="0.2">
      <c r="K132" s="2430"/>
      <c r="L132" s="2430"/>
      <c r="M132" s="2430"/>
      <c r="N132" s="2430"/>
    </row>
    <row r="133" spans="11:14" x14ac:dyDescent="0.2">
      <c r="K133" s="2430"/>
      <c r="L133" s="2430"/>
      <c r="M133" s="2430"/>
      <c r="N133" s="2430"/>
    </row>
    <row r="134" spans="11:14" x14ac:dyDescent="0.2">
      <c r="K134" s="2430"/>
      <c r="L134" s="2430"/>
      <c r="M134" s="2430"/>
      <c r="N134" s="2430"/>
    </row>
    <row r="135" spans="11:14" x14ac:dyDescent="0.2">
      <c r="K135" s="378"/>
      <c r="L135" s="378"/>
      <c r="M135" s="378"/>
      <c r="N135" s="378"/>
    </row>
    <row r="136" spans="11:14" x14ac:dyDescent="0.2">
      <c r="K136" s="2430"/>
      <c r="L136" s="2430"/>
      <c r="M136" s="2430"/>
      <c r="N136" s="2430"/>
    </row>
    <row r="137" spans="11:14" x14ac:dyDescent="0.2">
      <c r="K137" s="2430"/>
      <c r="L137" s="2430"/>
      <c r="M137" s="2430"/>
      <c r="N137" s="2430"/>
    </row>
    <row r="138" spans="11:14" x14ac:dyDescent="0.2">
      <c r="K138" s="2430"/>
      <c r="L138" s="2430"/>
      <c r="M138" s="2430"/>
      <c r="N138" s="2430"/>
    </row>
    <row r="139" spans="11:14" x14ac:dyDescent="0.2">
      <c r="K139" s="2430"/>
      <c r="L139" s="2430"/>
      <c r="M139" s="2430"/>
      <c r="N139" s="2430"/>
    </row>
    <row r="140" spans="11:14" x14ac:dyDescent="0.2">
      <c r="K140" s="2430"/>
      <c r="L140" s="2430"/>
      <c r="M140" s="2430"/>
      <c r="N140" s="2430"/>
    </row>
    <row r="141" spans="11:14" x14ac:dyDescent="0.2">
      <c r="K141" s="2430"/>
      <c r="L141" s="2430"/>
      <c r="M141" s="2430"/>
      <c r="N141" s="2430"/>
    </row>
    <row r="142" spans="11:14" x14ac:dyDescent="0.2">
      <c r="K142" s="2430"/>
      <c r="L142" s="2430"/>
      <c r="M142" s="2430"/>
      <c r="N142" s="2430"/>
    </row>
    <row r="143" spans="11:14" x14ac:dyDescent="0.2">
      <c r="K143" s="2430"/>
      <c r="L143" s="2430"/>
      <c r="M143" s="2430"/>
      <c r="N143" s="2430"/>
    </row>
    <row r="144" spans="11:14" x14ac:dyDescent="0.2">
      <c r="K144" s="2430"/>
      <c r="L144" s="2430"/>
      <c r="M144" s="2430"/>
      <c r="N144" s="2430"/>
    </row>
    <row r="145" spans="11:14" x14ac:dyDescent="0.2">
      <c r="K145" s="2430"/>
      <c r="L145" s="2430"/>
      <c r="M145" s="2430"/>
      <c r="N145" s="2430"/>
    </row>
    <row r="146" spans="11:14" x14ac:dyDescent="0.2">
      <c r="K146" s="2430"/>
      <c r="L146" s="2430"/>
      <c r="M146" s="2430"/>
      <c r="N146" s="2430"/>
    </row>
    <row r="147" spans="11:14" x14ac:dyDescent="0.2">
      <c r="K147" s="368"/>
      <c r="L147" s="368"/>
      <c r="M147" s="368"/>
      <c r="N147" s="368"/>
    </row>
    <row r="148" spans="11:14" x14ac:dyDescent="0.2">
      <c r="K148" s="2430"/>
      <c r="L148" s="2430"/>
      <c r="M148" s="2430"/>
      <c r="N148" s="2430"/>
    </row>
    <row r="149" spans="11:14" x14ac:dyDescent="0.2">
      <c r="K149" s="2430"/>
      <c r="L149" s="2430"/>
      <c r="M149" s="2430"/>
      <c r="N149" s="2430"/>
    </row>
    <row r="150" spans="11:14" x14ac:dyDescent="0.2">
      <c r="K150" s="2430"/>
      <c r="L150" s="2430"/>
      <c r="M150" s="2430"/>
      <c r="N150" s="2430"/>
    </row>
    <row r="151" spans="11:14" x14ac:dyDescent="0.2">
      <c r="K151" s="2430"/>
      <c r="L151" s="2430"/>
      <c r="M151" s="2430"/>
      <c r="N151" s="2430"/>
    </row>
    <row r="152" spans="11:14" x14ac:dyDescent="0.2">
      <c r="K152" s="2430"/>
      <c r="L152" s="2430"/>
      <c r="M152" s="2430"/>
      <c r="N152" s="2430"/>
    </row>
    <row r="153" spans="11:14" x14ac:dyDescent="0.2">
      <c r="K153" s="2430"/>
      <c r="L153" s="2430"/>
      <c r="M153" s="2430"/>
      <c r="N153" s="2430"/>
    </row>
    <row r="154" spans="11:14" x14ac:dyDescent="0.2">
      <c r="K154" s="2430"/>
      <c r="L154" s="2430"/>
      <c r="M154" s="2430"/>
      <c r="N154" s="2430"/>
    </row>
    <row r="155" spans="11:14" x14ac:dyDescent="0.2">
      <c r="K155" s="2430"/>
      <c r="L155" s="2430"/>
      <c r="M155" s="2430"/>
      <c r="N155" s="2430"/>
    </row>
    <row r="156" spans="11:14" x14ac:dyDescent="0.2">
      <c r="K156" s="2430"/>
      <c r="L156" s="2430"/>
      <c r="M156" s="2430"/>
      <c r="N156" s="2430"/>
    </row>
    <row r="157" spans="11:14" x14ac:dyDescent="0.2">
      <c r="K157" s="2430"/>
      <c r="L157" s="2430"/>
      <c r="M157" s="2430"/>
      <c r="N157" s="2430"/>
    </row>
    <row r="158" spans="11:14" x14ac:dyDescent="0.2">
      <c r="K158" s="2430"/>
      <c r="L158" s="2430"/>
      <c r="M158" s="2430"/>
      <c r="N158" s="2430"/>
    </row>
    <row r="159" spans="11:14" x14ac:dyDescent="0.2">
      <c r="K159" s="2430"/>
      <c r="L159" s="2430"/>
      <c r="M159" s="2430"/>
      <c r="N159" s="2430"/>
    </row>
    <row r="160" spans="11:14" x14ac:dyDescent="0.2">
      <c r="K160" s="2430"/>
      <c r="L160" s="2430"/>
      <c r="M160" s="2430"/>
      <c r="N160" s="2430"/>
    </row>
    <row r="161" spans="11:14" x14ac:dyDescent="0.2">
      <c r="K161" s="2430"/>
      <c r="L161" s="2430"/>
      <c r="M161" s="2430"/>
      <c r="N161" s="2430"/>
    </row>
    <row r="162" spans="11:14" x14ac:dyDescent="0.2">
      <c r="K162" s="2430"/>
      <c r="L162" s="2430"/>
      <c r="M162" s="2430"/>
      <c r="N162" s="2430"/>
    </row>
    <row r="163" spans="11:14" x14ac:dyDescent="0.2">
      <c r="K163" s="2430"/>
      <c r="L163" s="2430"/>
      <c r="M163" s="2430"/>
      <c r="N163" s="2430"/>
    </row>
    <row r="164" spans="11:14" x14ac:dyDescent="0.2">
      <c r="K164" s="2430"/>
      <c r="L164" s="2430"/>
      <c r="M164" s="2430"/>
      <c r="N164" s="2430"/>
    </row>
    <row r="165" spans="11:14" x14ac:dyDescent="0.2">
      <c r="K165" s="2430"/>
      <c r="L165" s="2430"/>
      <c r="M165" s="2430"/>
      <c r="N165" s="2430"/>
    </row>
    <row r="166" spans="11:14" x14ac:dyDescent="0.2">
      <c r="K166" s="2430"/>
      <c r="L166" s="2430"/>
      <c r="M166" s="2430"/>
      <c r="N166" s="2430"/>
    </row>
    <row r="167" spans="11:14" x14ac:dyDescent="0.2">
      <c r="K167" s="2430"/>
      <c r="L167" s="2430"/>
      <c r="M167" s="2430"/>
      <c r="N167" s="2430"/>
    </row>
    <row r="168" spans="11:14" x14ac:dyDescent="0.2">
      <c r="K168" s="2430"/>
      <c r="L168" s="2430"/>
      <c r="M168" s="2430"/>
      <c r="N168" s="2430"/>
    </row>
    <row r="169" spans="11:14" x14ac:dyDescent="0.2">
      <c r="K169" s="2430"/>
      <c r="L169" s="2430"/>
      <c r="M169" s="2430"/>
      <c r="N169" s="2430"/>
    </row>
  </sheetData>
  <sheetProtection algorithmName="SHA-512" hashValue="qSI0cN0UYjGrdXToULadHjMXciAawvFOPnFPwxdiDl57j3bVgZIBDB231ctLMgEg8tQ0gh//f0MP83OnWAWNgw==" saltValue="2Yz/YF/KySh6FpaslsD/Tw==" spinCount="100000" sheet="1" autoFilter="0"/>
  <mergeCells count="74">
    <mergeCell ref="B1:J1"/>
    <mergeCell ref="B2:J2"/>
    <mergeCell ref="B3:J3"/>
    <mergeCell ref="H5:J5"/>
    <mergeCell ref="D6:G6"/>
    <mergeCell ref="G7:J7"/>
    <mergeCell ref="B11:I11"/>
    <mergeCell ref="B13:I13"/>
    <mergeCell ref="B14:I14"/>
    <mergeCell ref="B8:J8"/>
    <mergeCell ref="B15:I15"/>
    <mergeCell ref="B16:I16"/>
    <mergeCell ref="B17:I17"/>
    <mergeCell ref="B18:I18"/>
    <mergeCell ref="B19:I19"/>
    <mergeCell ref="B20:I20"/>
    <mergeCell ref="B21:I21"/>
    <mergeCell ref="B22:I22"/>
    <mergeCell ref="B23:I23"/>
    <mergeCell ref="B24:I24"/>
    <mergeCell ref="B25:I25"/>
    <mergeCell ref="B26:I26"/>
    <mergeCell ref="B27:I27"/>
    <mergeCell ref="B28:I28"/>
    <mergeCell ref="B29:I29"/>
    <mergeCell ref="B31:I31"/>
    <mergeCell ref="B32:I32"/>
    <mergeCell ref="B33:I33"/>
    <mergeCell ref="B34:I34"/>
    <mergeCell ref="B35:I35"/>
    <mergeCell ref="B36:I36"/>
    <mergeCell ref="B37:I37"/>
    <mergeCell ref="B38:I38"/>
    <mergeCell ref="B39:I39"/>
    <mergeCell ref="B43:I43"/>
    <mergeCell ref="B44:I44"/>
    <mergeCell ref="B45:I45"/>
    <mergeCell ref="B46:I46"/>
    <mergeCell ref="B47:I47"/>
    <mergeCell ref="B48:I48"/>
    <mergeCell ref="B49:I49"/>
    <mergeCell ref="B50:I50"/>
    <mergeCell ref="B51:I51"/>
    <mergeCell ref="B54:I54"/>
    <mergeCell ref="B55:I55"/>
    <mergeCell ref="B56:I56"/>
    <mergeCell ref="B58:I58"/>
    <mergeCell ref="B61:I61"/>
    <mergeCell ref="B62:I62"/>
    <mergeCell ref="B63:I63"/>
    <mergeCell ref="B64:I64"/>
    <mergeCell ref="B65:I65"/>
    <mergeCell ref="B66:I66"/>
    <mergeCell ref="B67:I67"/>
    <mergeCell ref="B68:I68"/>
    <mergeCell ref="B69:I69"/>
    <mergeCell ref="B70:I70"/>
    <mergeCell ref="B71:I71"/>
    <mergeCell ref="B72:I72"/>
    <mergeCell ref="B73:I73"/>
    <mergeCell ref="B74:I74"/>
    <mergeCell ref="B75:I75"/>
    <mergeCell ref="B76:I76"/>
    <mergeCell ref="B78:I78"/>
    <mergeCell ref="B79:I79"/>
    <mergeCell ref="B80:I80"/>
    <mergeCell ref="B87:I87"/>
    <mergeCell ref="B90:I90"/>
    <mergeCell ref="B81:I81"/>
    <mergeCell ref="B82:I82"/>
    <mergeCell ref="B83:I83"/>
    <mergeCell ref="B84:I84"/>
    <mergeCell ref="B85:I85"/>
    <mergeCell ref="B86:I86"/>
  </mergeCells>
  <conditionalFormatting sqref="K1:K3">
    <cfRule type="cellIs" dxfId="12" priority="1" stopIfTrue="1" operator="equal">
      <formula>"na"</formula>
    </cfRule>
  </conditionalFormatting>
  <hyperlinks>
    <hyperlink ref="B1:J1" location="Index!A1" display="Index!A1" xr:uid="{00000000-0004-0000-4E00-000000000000}"/>
  </hyperlinks>
  <pageMargins left="0.5" right="0.5" top="0.5" bottom="0.5" header="0.5" footer="0.25"/>
  <pageSetup scale="90" fitToHeight="2" orientation="portrait" r:id="rId1"/>
  <headerFooter alignWithMargins="0">
    <oddFooter xml:space="preserve">&amp;L&amp;D &amp;T&amp;R&amp;A </oddFooter>
  </headerFooter>
  <rowBreaks count="1" manualBreakCount="1">
    <brk id="59"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9">
    <pageSetUpPr fitToPage="1"/>
  </sheetPr>
  <dimension ref="A1:AA88"/>
  <sheetViews>
    <sheetView showGridLines="0" zoomScaleNormal="100" zoomScaleSheetLayoutView="100" workbookViewId="0">
      <selection activeCell="B5" sqref="B5"/>
    </sheetView>
  </sheetViews>
  <sheetFormatPr defaultColWidth="8" defaultRowHeight="12.75" x14ac:dyDescent="0.2"/>
  <cols>
    <col min="1" max="1" width="0.5703125" style="840" customWidth="1"/>
    <col min="2" max="2" width="54.140625" style="492" customWidth="1"/>
    <col min="3" max="3" width="0.5703125" style="492" customWidth="1"/>
    <col min="4" max="4" width="23.85546875" style="492" customWidth="1"/>
    <col min="5" max="5" width="0.5703125" style="492" customWidth="1"/>
    <col min="6" max="6" width="20.5703125" style="492" customWidth="1"/>
    <col min="7" max="7" width="0.42578125" style="492" customWidth="1"/>
    <col min="8" max="8" width="14.140625" style="492" customWidth="1"/>
    <col min="9" max="9" width="0.5703125" style="492" customWidth="1"/>
    <col min="10" max="10" width="14.5703125" style="492" customWidth="1"/>
    <col min="11" max="11" width="1.42578125" style="492" customWidth="1"/>
    <col min="12" max="12" width="14.42578125" style="492" customWidth="1"/>
    <col min="13" max="13" width="0.7109375" style="492" customWidth="1"/>
    <col min="14" max="14" width="14.42578125" style="492" customWidth="1"/>
    <col min="15" max="15" width="0.5703125" style="492" customWidth="1"/>
    <col min="16" max="16" width="14.42578125" style="492" customWidth="1"/>
    <col min="17" max="17" width="0.5703125" style="492" customWidth="1"/>
    <col min="18" max="18" width="14" style="492" customWidth="1"/>
    <col min="19" max="19" width="0.5703125" style="492" customWidth="1"/>
    <col min="20" max="20" width="24" style="492" customWidth="1"/>
    <col min="21" max="21" width="4.5703125" style="492" customWidth="1"/>
    <col min="22" max="22" width="10.28515625" style="492" customWidth="1"/>
    <col min="23" max="25" width="14.42578125" style="492" customWidth="1"/>
    <col min="26" max="26" width="14.42578125" style="1278" customWidth="1"/>
    <col min="27" max="27" width="14.42578125" style="1281" customWidth="1"/>
    <col min="28" max="232" width="14.42578125" style="492" customWidth="1"/>
    <col min="233" max="16384" width="8" style="492"/>
  </cols>
  <sheetData>
    <row r="1" spans="1:27" s="49" customFormat="1" ht="15" customHeight="1" x14ac:dyDescent="0.3">
      <c r="A1" s="839"/>
      <c r="B1" s="2553" t="str">
        <f>+Index!$A$1</f>
        <v xml:space="preserve">                                                               Office of the State Controller                                                                </v>
      </c>
      <c r="C1" s="2553"/>
      <c r="D1" s="2553"/>
      <c r="E1" s="2553"/>
      <c r="F1" s="2553"/>
      <c r="G1" s="2553"/>
      <c r="H1" s="2553"/>
      <c r="I1" s="2553"/>
      <c r="J1" s="2553"/>
      <c r="K1" s="2553"/>
      <c r="L1" s="2553"/>
      <c r="M1" s="2553"/>
      <c r="N1" s="2553"/>
      <c r="O1" s="2553"/>
      <c r="P1" s="2553"/>
      <c r="Q1" s="2553"/>
      <c r="R1" s="2553"/>
      <c r="S1" s="2553"/>
      <c r="T1" s="2553"/>
      <c r="U1" s="2554" t="str">
        <f>IF(Index!$B$21="na","NA","")</f>
        <v/>
      </c>
      <c r="Z1" s="1280"/>
    </row>
    <row r="2" spans="1:27" s="49" customFormat="1" ht="15" customHeight="1" x14ac:dyDescent="0.3">
      <c r="A2" s="839"/>
      <c r="B2" s="2564" t="str">
        <f>+Index!$A$2</f>
        <v>2024 ACFR Worksheets</v>
      </c>
      <c r="C2" s="2564"/>
      <c r="D2" s="2564"/>
      <c r="E2" s="2564"/>
      <c r="F2" s="2564"/>
      <c r="G2" s="2564"/>
      <c r="H2" s="2564"/>
      <c r="I2" s="2564"/>
      <c r="J2" s="2564"/>
      <c r="K2" s="2564"/>
      <c r="L2" s="2564"/>
      <c r="M2" s="2564"/>
      <c r="N2" s="2564"/>
      <c r="O2" s="2564"/>
      <c r="P2" s="2564"/>
      <c r="Q2" s="2564"/>
      <c r="R2" s="2564"/>
      <c r="S2" s="2564"/>
      <c r="T2" s="2564"/>
      <c r="U2" s="2554"/>
      <c r="Z2" s="1280"/>
    </row>
    <row r="3" spans="1:27" s="49" customFormat="1" ht="15" customHeight="1" x14ac:dyDescent="0.3">
      <c r="A3" s="839"/>
      <c r="B3" s="2564" t="s">
        <v>540</v>
      </c>
      <c r="C3" s="2564"/>
      <c r="D3" s="2564"/>
      <c r="E3" s="2564"/>
      <c r="F3" s="2564"/>
      <c r="G3" s="2564"/>
      <c r="H3" s="2564"/>
      <c r="I3" s="2564"/>
      <c r="J3" s="2564"/>
      <c r="K3" s="2564"/>
      <c r="L3" s="2564"/>
      <c r="M3" s="2564"/>
      <c r="N3" s="2564"/>
      <c r="O3" s="2564"/>
      <c r="P3" s="2564"/>
      <c r="Q3" s="2564"/>
      <c r="R3" s="2564"/>
      <c r="S3" s="2564"/>
      <c r="T3" s="2564"/>
      <c r="U3" s="2554"/>
      <c r="Z3" s="1280"/>
    </row>
    <row r="4" spans="1:27" s="49" customFormat="1" ht="15" customHeight="1" x14ac:dyDescent="0.3">
      <c r="A4" s="839"/>
      <c r="B4" s="2274"/>
      <c r="C4" s="2274"/>
      <c r="D4" s="2274"/>
      <c r="E4" s="2274"/>
      <c r="F4" s="2274"/>
      <c r="G4" s="2274"/>
      <c r="H4" s="2274"/>
      <c r="I4" s="2274"/>
      <c r="J4" s="614" t="s">
        <v>541</v>
      </c>
      <c r="K4" s="2274"/>
      <c r="M4" s="2274"/>
      <c r="O4" s="2274"/>
      <c r="P4" s="2274"/>
      <c r="Q4" s="2274"/>
      <c r="R4" s="2274"/>
      <c r="S4" s="2274"/>
      <c r="T4" s="2274"/>
      <c r="U4" s="2269"/>
      <c r="Z4" s="1280"/>
    </row>
    <row r="5" spans="1:27" s="49" customFormat="1" ht="15" customHeight="1" x14ac:dyDescent="0.3">
      <c r="A5" s="839"/>
      <c r="B5" s="50"/>
      <c r="C5" s="51"/>
      <c r="E5" s="51"/>
      <c r="F5" s="52"/>
      <c r="G5" s="51"/>
      <c r="H5" s="51"/>
      <c r="I5" s="51"/>
      <c r="J5" s="615" t="s">
        <v>542</v>
      </c>
      <c r="K5" s="51"/>
      <c r="M5" s="51"/>
      <c r="O5" s="51"/>
      <c r="P5" s="51"/>
      <c r="Q5" s="53"/>
      <c r="R5" s="53"/>
      <c r="Z5" s="1280"/>
    </row>
    <row r="6" spans="1:27" s="54" customFormat="1" ht="15" customHeight="1" x14ac:dyDescent="0.2">
      <c r="A6" s="842"/>
      <c r="B6" s="1281"/>
      <c r="C6" s="1281"/>
      <c r="D6" s="1530"/>
      <c r="E6" s="1281"/>
      <c r="F6" s="1281"/>
      <c r="G6" s="1281"/>
      <c r="H6" s="1281"/>
      <c r="I6" s="1281"/>
      <c r="J6" s="63" t="s">
        <v>50</v>
      </c>
      <c r="K6" s="1281"/>
      <c r="L6" s="1281" t="s">
        <v>318</v>
      </c>
      <c r="M6" s="1281"/>
      <c r="N6" s="1531" t="str">
        <f>+Index!$E$10</f>
        <v>01</v>
      </c>
      <c r="O6" s="1281"/>
      <c r="P6" s="1281"/>
      <c r="Q6" s="1281"/>
      <c r="R6" s="1281"/>
      <c r="S6" s="1281"/>
      <c r="T6" s="1281"/>
      <c r="U6" s="1281"/>
      <c r="V6" s="1281"/>
      <c r="W6" s="1281"/>
      <c r="X6" s="1281"/>
      <c r="Y6" s="1281"/>
      <c r="Z6" s="1278"/>
      <c r="AA6" s="1281"/>
    </row>
    <row r="7" spans="1:27" s="54" customFormat="1" ht="15" customHeight="1" x14ac:dyDescent="0.2">
      <c r="A7" s="842"/>
      <c r="B7" s="1273" t="s">
        <v>543</v>
      </c>
      <c r="C7" s="1281"/>
      <c r="D7" s="1365" t="s">
        <v>544</v>
      </c>
      <c r="E7" s="1281"/>
      <c r="F7" s="1281"/>
      <c r="G7" s="1281"/>
      <c r="H7" s="1281"/>
      <c r="I7" s="1532"/>
      <c r="J7" s="1281"/>
      <c r="K7" s="1532"/>
      <c r="L7" s="1281" t="s">
        <v>319</v>
      </c>
      <c r="M7" s="1532"/>
      <c r="N7" s="2565" t="str">
        <f>AgyName</f>
        <v>North Carolina General Assembly</v>
      </c>
      <c r="O7" s="2565"/>
      <c r="P7" s="2565"/>
      <c r="Q7" s="2565"/>
      <c r="R7" s="2565"/>
      <c r="S7" s="2565"/>
      <c r="T7" s="2565"/>
      <c r="U7" s="1281"/>
      <c r="V7" s="1281"/>
      <c r="W7" s="1281"/>
      <c r="X7" s="1281"/>
      <c r="Y7" s="1281"/>
      <c r="Z7" s="1278"/>
      <c r="AA7" s="1281"/>
    </row>
    <row r="8" spans="1:27" s="54" customFormat="1" ht="15" customHeight="1" x14ac:dyDescent="0.2">
      <c r="A8" s="842"/>
      <c r="B8" s="1281" t="s">
        <v>545</v>
      </c>
      <c r="C8" s="1281"/>
      <c r="D8" s="1533"/>
      <c r="E8" s="1281"/>
      <c r="F8" s="1281"/>
      <c r="G8" s="1281"/>
      <c r="H8" s="1281"/>
      <c r="I8" s="1532"/>
      <c r="J8" s="1281"/>
      <c r="K8" s="1532"/>
      <c r="L8" s="1281" t="s">
        <v>320</v>
      </c>
      <c r="M8" s="1532"/>
      <c r="N8" s="2566" t="str">
        <f>CONCATENATE(Index!$E$12," ",Index!$E$14)</f>
        <v xml:space="preserve"> </v>
      </c>
      <c r="O8" s="2566"/>
      <c r="P8" s="2566"/>
      <c r="Q8" s="2566"/>
      <c r="R8" s="2566"/>
      <c r="S8" s="2566"/>
      <c r="T8" s="2566"/>
      <c r="U8" s="1281"/>
      <c r="V8" s="1281"/>
      <c r="W8" s="1281"/>
      <c r="X8" s="1281"/>
      <c r="Y8" s="1281"/>
      <c r="Z8" s="1278"/>
      <c r="AA8" s="1281"/>
    </row>
    <row r="9" spans="1:27" s="54" customFormat="1" ht="15" customHeight="1" x14ac:dyDescent="0.2">
      <c r="A9" s="842"/>
      <c r="B9" s="1281"/>
      <c r="C9" s="1281"/>
      <c r="D9" s="1534"/>
      <c r="E9" s="1281"/>
      <c r="F9" s="1281"/>
      <c r="G9" s="1281"/>
      <c r="H9" s="1281"/>
      <c r="I9" s="1532"/>
      <c r="J9" s="1281"/>
      <c r="K9" s="1532"/>
      <c r="L9" s="1281" t="s">
        <v>168</v>
      </c>
      <c r="M9" s="1532"/>
      <c r="N9" s="2567">
        <f>+Index!$E$13</f>
        <v>0</v>
      </c>
      <c r="O9" s="2567"/>
      <c r="P9" s="2567"/>
      <c r="Q9" s="2567"/>
      <c r="R9" s="2567"/>
      <c r="S9" s="2567"/>
      <c r="T9" s="2567"/>
      <c r="U9" s="1281"/>
      <c r="V9" s="1281"/>
      <c r="W9" s="1281"/>
      <c r="X9" s="1281"/>
      <c r="Y9" s="1281"/>
      <c r="Z9" s="1278"/>
      <c r="AA9" s="1281"/>
    </row>
    <row r="10" spans="1:27" s="54" customFormat="1" ht="8.25" customHeight="1" thickBot="1" x14ac:dyDescent="0.25">
      <c r="A10" s="842"/>
      <c r="B10" s="1535"/>
      <c r="C10" s="1535"/>
      <c r="D10" s="1535"/>
      <c r="E10" s="1535"/>
      <c r="F10" s="1535"/>
      <c r="G10" s="1535"/>
      <c r="H10" s="1535"/>
      <c r="I10" s="1535"/>
      <c r="J10" s="1535"/>
      <c r="K10" s="1535"/>
      <c r="L10" s="1535"/>
      <c r="M10" s="1535"/>
      <c r="N10" s="1535"/>
      <c r="O10" s="1535"/>
      <c r="P10" s="1535"/>
      <c r="Q10" s="1535"/>
      <c r="R10" s="1535"/>
      <c r="S10" s="1535"/>
      <c r="T10" s="1535"/>
      <c r="U10" s="1281"/>
      <c r="V10" s="1281"/>
      <c r="W10" s="1281"/>
      <c r="X10" s="1281"/>
      <c r="Y10" s="1281"/>
      <c r="Z10" s="1278"/>
      <c r="AA10" s="1281"/>
    </row>
    <row r="11" spans="1:27" s="54" customFormat="1" ht="16.5" customHeight="1" x14ac:dyDescent="0.2">
      <c r="A11" s="842"/>
      <c r="B11" s="2463" t="s">
        <v>6661</v>
      </c>
      <c r="C11" s="2465"/>
      <c r="D11" s="2465"/>
      <c r="E11" s="2465"/>
      <c r="F11" s="2465"/>
      <c r="G11" s="2465"/>
      <c r="H11" s="2465"/>
      <c r="I11" s="2465"/>
      <c r="J11" s="2464" t="s">
        <v>628</v>
      </c>
      <c r="K11" s="2465"/>
      <c r="L11" s="2466"/>
      <c r="M11" s="2463"/>
      <c r="N11" s="2464" t="s">
        <v>620</v>
      </c>
      <c r="O11" s="2463"/>
      <c r="P11" s="2466"/>
      <c r="Q11" s="2463"/>
      <c r="R11" s="2464" t="s">
        <v>175</v>
      </c>
      <c r="S11" s="2465"/>
      <c r="T11" s="2467"/>
      <c r="U11" s="1281"/>
      <c r="V11" s="1281"/>
      <c r="W11" s="1281"/>
      <c r="X11" s="1281"/>
      <c r="Y11" s="1281"/>
      <c r="Z11" s="1278"/>
      <c r="AA11" s="1281"/>
    </row>
    <row r="12" spans="1:27" ht="17.25" customHeight="1" x14ac:dyDescent="0.2">
      <c r="A12" s="842"/>
      <c r="B12" s="723" t="s">
        <v>546</v>
      </c>
      <c r="C12" s="1536"/>
      <c r="D12" s="1536"/>
      <c r="E12" s="1281"/>
      <c r="F12" s="1281"/>
      <c r="G12" s="1281"/>
      <c r="H12" s="1281"/>
      <c r="I12" s="1281"/>
      <c r="J12" s="1281"/>
      <c r="K12" s="1281"/>
      <c r="L12" s="501"/>
      <c r="M12" s="1281"/>
      <c r="N12" s="1281"/>
      <c r="O12" s="1281"/>
      <c r="P12" s="1281"/>
      <c r="Q12" s="1281"/>
      <c r="R12" s="1281"/>
      <c r="S12" s="1281"/>
      <c r="T12" s="1281"/>
      <c r="U12" s="1281"/>
      <c r="V12" s="1281"/>
      <c r="W12" s="1281"/>
      <c r="X12" s="1281"/>
      <c r="Y12" s="1281"/>
    </row>
    <row r="13" spans="1:27" s="55" customFormat="1" ht="12.75" customHeight="1" x14ac:dyDescent="0.2">
      <c r="A13" s="841"/>
      <c r="D13" s="56"/>
      <c r="F13" s="56"/>
      <c r="H13" s="2568" t="s">
        <v>547</v>
      </c>
      <c r="I13" s="57"/>
      <c r="J13" s="56"/>
      <c r="L13" s="2571" t="s">
        <v>548</v>
      </c>
      <c r="M13" s="2572"/>
      <c r="N13" s="2573"/>
      <c r="P13" s="56"/>
      <c r="Q13" s="1281"/>
      <c r="R13" s="56" t="s">
        <v>549</v>
      </c>
      <c r="T13" s="56"/>
      <c r="Z13" s="1275"/>
    </row>
    <row r="14" spans="1:27" s="55" customFormat="1" x14ac:dyDescent="0.2">
      <c r="A14" s="841"/>
      <c r="D14" s="58"/>
      <c r="F14" s="58" t="s">
        <v>550</v>
      </c>
      <c r="H14" s="2569"/>
      <c r="I14" s="57"/>
      <c r="J14" s="58" t="s">
        <v>551</v>
      </c>
      <c r="L14" s="56"/>
      <c r="N14" s="56"/>
      <c r="P14" s="58"/>
      <c r="Q14" s="1281"/>
      <c r="R14" s="108" t="s">
        <v>552</v>
      </c>
      <c r="T14" s="58"/>
      <c r="Z14" s="1275"/>
    </row>
    <row r="15" spans="1:27" s="55" customFormat="1" x14ac:dyDescent="0.2">
      <c r="A15" s="841"/>
      <c r="D15" s="58" t="s">
        <v>553</v>
      </c>
      <c r="F15" s="1989" t="s">
        <v>554</v>
      </c>
      <c r="H15" s="2569"/>
      <c r="I15" s="57"/>
      <c r="J15" s="58" t="s">
        <v>555</v>
      </c>
      <c r="L15" s="58" t="s">
        <v>556</v>
      </c>
      <c r="N15" s="58" t="s">
        <v>557</v>
      </c>
      <c r="P15" s="58"/>
      <c r="Q15" s="1281"/>
      <c r="R15" s="58" t="s">
        <v>558</v>
      </c>
      <c r="T15" s="58" t="s">
        <v>553</v>
      </c>
      <c r="Z15" s="1275"/>
    </row>
    <row r="16" spans="1:27" s="55" customFormat="1" x14ac:dyDescent="0.2">
      <c r="A16" s="841"/>
      <c r="B16" s="59" t="s">
        <v>559</v>
      </c>
      <c r="D16" s="61" t="str">
        <f>+TEXT(Data!$A$3,"mmmm d, yyyy")</f>
        <v>July 1, 2023</v>
      </c>
      <c r="F16" s="61" t="s">
        <v>553</v>
      </c>
      <c r="H16" s="2570"/>
      <c r="I16" s="57"/>
      <c r="J16" s="61" t="s">
        <v>560</v>
      </c>
      <c r="L16" s="61" t="s">
        <v>548</v>
      </c>
      <c r="N16" s="61" t="s">
        <v>548</v>
      </c>
      <c r="P16" s="60" t="s">
        <v>561</v>
      </c>
      <c r="Q16" s="1281"/>
      <c r="R16" s="61" t="s">
        <v>562</v>
      </c>
      <c r="T16" s="60" t="str">
        <f>+TEXT(Data!$A$2,"mmmm d, yyy")</f>
        <v>June 30, 2024</v>
      </c>
      <c r="Z16" s="1275"/>
    </row>
    <row r="17" spans="1:27" s="55" customFormat="1" x14ac:dyDescent="0.2">
      <c r="A17" s="841"/>
      <c r="F17" s="1275" t="s">
        <v>563</v>
      </c>
      <c r="G17" s="1275"/>
      <c r="H17" s="1275" t="s">
        <v>564</v>
      </c>
      <c r="I17" s="1276"/>
      <c r="J17" s="1275" t="s">
        <v>565</v>
      </c>
      <c r="K17" s="1275"/>
      <c r="L17" s="1275" t="s">
        <v>566</v>
      </c>
      <c r="M17" s="1275"/>
      <c r="N17" s="1275" t="s">
        <v>567</v>
      </c>
      <c r="O17" s="1275"/>
      <c r="P17" s="1277" t="s">
        <v>568</v>
      </c>
      <c r="Q17" s="1278"/>
      <c r="R17" s="1275" t="s">
        <v>569</v>
      </c>
      <c r="T17" s="126"/>
      <c r="W17" s="1279"/>
      <c r="Z17" s="1275"/>
    </row>
    <row r="18" spans="1:27" s="55" customFormat="1" x14ac:dyDescent="0.2">
      <c r="A18" s="841"/>
      <c r="D18" s="55" t="s">
        <v>570</v>
      </c>
      <c r="F18" s="55" t="s">
        <v>571</v>
      </c>
      <c r="H18" s="57" t="s">
        <v>572</v>
      </c>
      <c r="I18" s="57"/>
      <c r="J18" s="55" t="s">
        <v>573</v>
      </c>
      <c r="L18" s="55" t="s">
        <v>574</v>
      </c>
      <c r="N18" s="55" t="s">
        <v>575</v>
      </c>
      <c r="P18" s="126" t="s">
        <v>576</v>
      </c>
      <c r="Q18" s="1281"/>
      <c r="R18" s="55" t="s">
        <v>577</v>
      </c>
      <c r="T18" s="126" t="s">
        <v>578</v>
      </c>
      <c r="Z18" s="1275"/>
    </row>
    <row r="19" spans="1:27" ht="21.75" customHeight="1" x14ac:dyDescent="0.2">
      <c r="A19" s="842"/>
      <c r="B19" s="493" t="s">
        <v>579</v>
      </c>
      <c r="C19" s="1537"/>
      <c r="D19" s="1537"/>
      <c r="E19" s="1537"/>
      <c r="F19" s="1537"/>
      <c r="G19" s="1537"/>
      <c r="H19" s="1537"/>
      <c r="I19" s="1537"/>
      <c r="J19" s="1537"/>
      <c r="K19" s="1537"/>
      <c r="L19" s="1537"/>
      <c r="M19" s="1537"/>
      <c r="N19" s="1537"/>
      <c r="O19" s="1537"/>
      <c r="P19" s="1537"/>
      <c r="Q19" s="1537"/>
      <c r="R19" s="1537"/>
      <c r="S19" s="1537"/>
      <c r="T19" s="1537"/>
      <c r="U19" s="1281"/>
      <c r="V19" s="1281"/>
      <c r="W19" s="1281"/>
      <c r="X19" s="1281"/>
      <c r="Y19" s="1281"/>
      <c r="AA19" s="1282" t="str">
        <f>IF(D7="General Government","Gen Gov",
IF(D7="Primary and secondary education","Prim Sec Ed",
IF(D7="Higher Education","Higher Ed",
IF(D7="Higher education student aid","Higher Ed stu aid",
IF(D7="Health and human services","HHS",
IF(D7="Economic development","Econ Dev",
IF(D7="Environment and natural resources","ENR",
IF(D7="Public safety","Public Safety",
IF(D7="Transportation","Trans",
IF(D7="Highway construction/preservation","Highway Const",
IF(D7="Highway maintenance","Highway Const",
IF(D7="Highway maintenance","Highway Const",
IF(D7="Agriculture","Agric",
IF(D7="Capital projects/repairs and renovations","CapProjectsReno","No Function"))))))))))))))</f>
        <v>Gen Gov</v>
      </c>
    </row>
    <row r="20" spans="1:27" ht="21.75" customHeight="1" x14ac:dyDescent="0.2">
      <c r="A20" s="842">
        <v>1</v>
      </c>
      <c r="B20" s="2281" t="s">
        <v>580</v>
      </c>
      <c r="C20" s="1537"/>
      <c r="D20" s="862" t="str">
        <f>IFERROR(HLOOKUP($N$6,PriorYr905!$E$8:$AI$83,56,FALSE),"")</f>
        <v/>
      </c>
      <c r="E20" s="1537"/>
      <c r="F20" s="862"/>
      <c r="G20" s="1537"/>
      <c r="H20" s="862"/>
      <c r="I20" s="1537"/>
      <c r="J20" s="862"/>
      <c r="K20" s="1537"/>
      <c r="L20" s="862"/>
      <c r="M20" s="1537"/>
      <c r="N20" s="862"/>
      <c r="O20" s="1537"/>
      <c r="P20" s="862"/>
      <c r="Q20" s="1537"/>
      <c r="R20" s="862"/>
      <c r="S20" s="1537"/>
      <c r="T20" s="1538">
        <f t="shared" ref="T20:T25" si="0">SUM(D20:S20)</f>
        <v>0</v>
      </c>
      <c r="U20" s="1281"/>
      <c r="V20" s="1281"/>
      <c r="W20" s="1281"/>
      <c r="X20" s="1281"/>
      <c r="Y20" s="1281"/>
      <c r="Z20" s="1282">
        <v>12700000</v>
      </c>
    </row>
    <row r="21" spans="1:27" ht="21.75" customHeight="1" x14ac:dyDescent="0.2">
      <c r="A21" s="842">
        <v>2</v>
      </c>
      <c r="B21" s="2281" t="s">
        <v>581</v>
      </c>
      <c r="C21" s="1537"/>
      <c r="D21" s="862" t="str">
        <f>IFERROR(HLOOKUP($N$6,PriorYr905!$E$8:$AI$83,57,FALSE),"")</f>
        <v/>
      </c>
      <c r="E21" s="1537"/>
      <c r="F21" s="862"/>
      <c r="G21" s="1537"/>
      <c r="H21" s="862"/>
      <c r="I21" s="1537"/>
      <c r="J21" s="862"/>
      <c r="K21" s="1537"/>
      <c r="L21" s="862"/>
      <c r="M21" s="1537"/>
      <c r="N21" s="862"/>
      <c r="O21" s="1537"/>
      <c r="P21" s="862"/>
      <c r="Q21" s="1537"/>
      <c r="R21" s="862"/>
      <c r="S21" s="1537"/>
      <c r="T21" s="1538">
        <f t="shared" si="0"/>
        <v>0</v>
      </c>
      <c r="U21" s="1281"/>
      <c r="V21" s="1281"/>
      <c r="W21" s="1281"/>
      <c r="X21" s="1281"/>
      <c r="Y21" s="1281"/>
      <c r="Z21" s="1282">
        <v>12741000</v>
      </c>
    </row>
    <row r="22" spans="1:27" ht="21.75" customHeight="1" x14ac:dyDescent="0.2">
      <c r="A22" s="842">
        <v>3</v>
      </c>
      <c r="B22" s="2281" t="s">
        <v>582</v>
      </c>
      <c r="C22" s="1537"/>
      <c r="D22" s="862" t="str">
        <f>IFERROR(HLOOKUP($N$6,PriorYr905!$E$8:$AI$83,58,FALSE),"")</f>
        <v/>
      </c>
      <c r="E22" s="1537"/>
      <c r="F22" s="862"/>
      <c r="G22" s="1537"/>
      <c r="H22" s="996"/>
      <c r="I22" s="1537"/>
      <c r="J22" s="996"/>
      <c r="K22" s="1537"/>
      <c r="L22" s="862"/>
      <c r="M22" s="1537"/>
      <c r="N22" s="862"/>
      <c r="O22" s="1537"/>
      <c r="P22" s="862"/>
      <c r="Q22" s="1537"/>
      <c r="R22" s="862"/>
      <c r="S22" s="1537"/>
      <c r="T22" s="1538">
        <f t="shared" si="0"/>
        <v>0</v>
      </c>
      <c r="U22" s="1281"/>
      <c r="V22" s="1281"/>
      <c r="W22" s="1281"/>
      <c r="X22" s="1281"/>
      <c r="Y22" s="1281"/>
      <c r="Z22" s="1282">
        <v>12780000</v>
      </c>
    </row>
    <row r="23" spans="1:27" ht="21.75" customHeight="1" x14ac:dyDescent="0.2">
      <c r="A23" s="842" t="s">
        <v>583</v>
      </c>
      <c r="B23" s="2281" t="s">
        <v>584</v>
      </c>
      <c r="C23" s="1537"/>
      <c r="D23" s="862" t="str">
        <f>IFERROR(HLOOKUP($N$6,PriorYr905!$E$8:$AI$83,59,FALSE),"")</f>
        <v/>
      </c>
      <c r="E23" s="1537"/>
      <c r="F23" s="862"/>
      <c r="G23" s="1537"/>
      <c r="H23" s="996"/>
      <c r="I23" s="1537"/>
      <c r="J23" s="996"/>
      <c r="K23" s="1537"/>
      <c r="L23" s="862"/>
      <c r="M23" s="1537"/>
      <c r="N23" s="862"/>
      <c r="O23" s="1537"/>
      <c r="P23" s="862"/>
      <c r="Q23" s="1537"/>
      <c r="R23" s="862"/>
      <c r="S23" s="1537"/>
      <c r="T23" s="1538">
        <f t="shared" si="0"/>
        <v>0</v>
      </c>
      <c r="U23" s="1281"/>
      <c r="V23" s="1281"/>
      <c r="W23" s="1281"/>
      <c r="X23" s="1281"/>
      <c r="Y23" s="1281"/>
      <c r="Z23" s="1282">
        <v>12783000</v>
      </c>
    </row>
    <row r="24" spans="1:27" ht="21.75" customHeight="1" x14ac:dyDescent="0.2">
      <c r="A24" s="842" t="s">
        <v>585</v>
      </c>
      <c r="B24" s="261" t="s">
        <v>586</v>
      </c>
      <c r="C24" s="1537"/>
      <c r="D24" s="862" t="str">
        <f>IFERROR(HLOOKUP($N$6,PriorYr905!$E$8:$AI$83,60,FALSE),"")</f>
        <v/>
      </c>
      <c r="E24" s="1537"/>
      <c r="F24" s="862"/>
      <c r="G24" s="1537"/>
      <c r="H24" s="996"/>
      <c r="I24" s="1537"/>
      <c r="J24" s="996"/>
      <c r="K24" s="1537"/>
      <c r="L24" s="862"/>
      <c r="M24" s="1537"/>
      <c r="N24" s="862"/>
      <c r="O24" s="1537"/>
      <c r="P24" s="862"/>
      <c r="Q24" s="1537"/>
      <c r="R24" s="862"/>
      <c r="S24" s="1537"/>
      <c r="T24" s="1538">
        <f t="shared" si="0"/>
        <v>0</v>
      </c>
      <c r="U24" s="1281"/>
      <c r="V24" s="1281"/>
      <c r="W24" s="1281"/>
      <c r="X24" s="1281"/>
      <c r="Y24" s="1281"/>
      <c r="Z24" s="1282">
        <v>12782000</v>
      </c>
    </row>
    <row r="25" spans="1:27" ht="21.75" customHeight="1" x14ac:dyDescent="0.2">
      <c r="A25" s="842" t="s">
        <v>587</v>
      </c>
      <c r="B25" s="261" t="s">
        <v>588</v>
      </c>
      <c r="C25" s="1537"/>
      <c r="D25" s="862" t="str">
        <f>IFERROR(HLOOKUP($N$6,PriorYr905!$E$8:$AI$83,61,FALSE),"")</f>
        <v/>
      </c>
      <c r="E25" s="1537"/>
      <c r="F25" s="1539"/>
      <c r="G25" s="1537"/>
      <c r="H25" s="1539"/>
      <c r="I25" s="1537"/>
      <c r="J25" s="1539"/>
      <c r="K25" s="1537"/>
      <c r="L25" s="1539"/>
      <c r="M25" s="1537"/>
      <c r="N25" s="1539"/>
      <c r="O25" s="1537"/>
      <c r="P25" s="1539"/>
      <c r="Q25" s="1537"/>
      <c r="R25" s="1539"/>
      <c r="S25" s="1537"/>
      <c r="T25" s="1538">
        <f t="shared" si="0"/>
        <v>0</v>
      </c>
      <c r="U25" s="1281"/>
      <c r="V25" s="1281"/>
      <c r="W25" s="1281"/>
      <c r="X25" s="1281"/>
      <c r="Y25" s="1281"/>
      <c r="Z25" s="1282">
        <v>12750500</v>
      </c>
    </row>
    <row r="26" spans="1:27" ht="21.75" customHeight="1" x14ac:dyDescent="0.2">
      <c r="A26" s="842"/>
      <c r="B26" s="493" t="s">
        <v>589</v>
      </c>
      <c r="C26" s="1537"/>
      <c r="D26" s="1541"/>
      <c r="E26" s="1537"/>
      <c r="F26" s="1540"/>
      <c r="G26" s="1537"/>
      <c r="H26" s="1540"/>
      <c r="I26" s="1537"/>
      <c r="J26" s="1540"/>
      <c r="K26" s="1537"/>
      <c r="L26" s="1540"/>
      <c r="M26" s="1537"/>
      <c r="N26" s="1540"/>
      <c r="O26" s="1537"/>
      <c r="P26" s="1540"/>
      <c r="Q26" s="1537"/>
      <c r="R26" s="1540"/>
      <c r="S26" s="1537"/>
      <c r="T26" s="1540"/>
      <c r="U26" s="1281"/>
      <c r="V26" s="1281"/>
      <c r="W26" s="1281"/>
      <c r="X26" s="1281"/>
      <c r="Y26" s="1281"/>
      <c r="Z26" s="1282"/>
    </row>
    <row r="27" spans="1:27" ht="21.75" customHeight="1" x14ac:dyDescent="0.2">
      <c r="A27" s="842">
        <v>4</v>
      </c>
      <c r="B27" s="2281" t="s">
        <v>590</v>
      </c>
      <c r="C27" s="1537"/>
      <c r="D27" s="862" t="str">
        <f>IFERROR(HLOOKUP($N$6,PriorYr905!$E$8:$AI$83,64,FALSE),"")</f>
        <v/>
      </c>
      <c r="E27" s="1537"/>
      <c r="F27" s="862"/>
      <c r="G27" s="1537"/>
      <c r="H27" s="862"/>
      <c r="I27" s="1537"/>
      <c r="J27" s="862"/>
      <c r="K27" s="1537"/>
      <c r="L27" s="862"/>
      <c r="M27" s="1537"/>
      <c r="N27" s="862"/>
      <c r="O27" s="1537"/>
      <c r="P27" s="862"/>
      <c r="Q27" s="1537"/>
      <c r="R27" s="862"/>
      <c r="S27" s="1537"/>
      <c r="T27" s="1538">
        <f t="shared" ref="T27:T40" si="1">SUM(D27:S27)</f>
        <v>0</v>
      </c>
      <c r="U27" s="1281"/>
      <c r="V27" s="1281"/>
      <c r="W27" s="1281"/>
      <c r="X27" s="1281"/>
      <c r="Y27" s="1281"/>
      <c r="Z27" s="1282">
        <v>12710000</v>
      </c>
    </row>
    <row r="28" spans="1:27" ht="21.75" customHeight="1" x14ac:dyDescent="0.2">
      <c r="A28" s="842">
        <v>5</v>
      </c>
      <c r="B28" s="2281" t="s">
        <v>591</v>
      </c>
      <c r="C28" s="1537"/>
      <c r="D28" s="862" t="str">
        <f>IFERROR(HLOOKUP($N$6,PriorYr905!$E$8:$AI$83,65,FALSE),"")</f>
        <v/>
      </c>
      <c r="E28" s="1537"/>
      <c r="F28" s="862"/>
      <c r="G28" s="1537"/>
      <c r="H28" s="862"/>
      <c r="I28" s="1537"/>
      <c r="J28" s="862"/>
      <c r="K28" s="1537"/>
      <c r="L28" s="862"/>
      <c r="M28" s="1537"/>
      <c r="N28" s="862"/>
      <c r="O28" s="1537"/>
      <c r="P28" s="862"/>
      <c r="Q28" s="1537"/>
      <c r="R28" s="862"/>
      <c r="S28" s="1537"/>
      <c r="T28" s="1538">
        <f t="shared" si="1"/>
        <v>0</v>
      </c>
      <c r="U28" s="1281"/>
      <c r="V28" s="1281"/>
      <c r="W28" s="1281"/>
      <c r="X28" s="1281"/>
      <c r="Y28" s="1281"/>
      <c r="Z28" s="1282">
        <v>12732000</v>
      </c>
    </row>
    <row r="29" spans="1:27" ht="21.75" customHeight="1" x14ac:dyDescent="0.2">
      <c r="A29" s="842">
        <v>6</v>
      </c>
      <c r="B29" s="2281" t="s">
        <v>592</v>
      </c>
      <c r="C29" s="1537"/>
      <c r="D29" s="862" t="str">
        <f>IFERROR(HLOOKUP($N$6,PriorYr905!$E$8:$AI$83,66,FALSE),"")</f>
        <v/>
      </c>
      <c r="E29" s="1537"/>
      <c r="F29" s="862"/>
      <c r="G29" s="1537"/>
      <c r="H29" s="862"/>
      <c r="I29" s="1537"/>
      <c r="J29" s="862"/>
      <c r="K29" s="1537"/>
      <c r="L29" s="862"/>
      <c r="M29" s="1537"/>
      <c r="N29" s="862"/>
      <c r="O29" s="1537"/>
      <c r="P29" s="862"/>
      <c r="Q29" s="1537"/>
      <c r="R29" s="862"/>
      <c r="S29" s="1537"/>
      <c r="T29" s="1538">
        <f t="shared" si="1"/>
        <v>0</v>
      </c>
      <c r="U29" s="1281"/>
      <c r="V29" s="1281"/>
      <c r="W29" s="1281"/>
      <c r="X29" s="1281"/>
      <c r="Y29" s="1281"/>
      <c r="Z29" s="1282">
        <v>12740000</v>
      </c>
    </row>
    <row r="30" spans="1:27" ht="21.75" customHeight="1" x14ac:dyDescent="0.2">
      <c r="A30" s="842">
        <v>7</v>
      </c>
      <c r="B30" s="2281" t="s">
        <v>593</v>
      </c>
      <c r="C30" s="1537"/>
      <c r="D30" s="862" t="str">
        <f>IFERROR(HLOOKUP($N$6,PriorYr905!$E$8:$AI$83,67,FALSE),"")</f>
        <v/>
      </c>
      <c r="E30" s="1537"/>
      <c r="F30" s="862"/>
      <c r="G30" s="1537"/>
      <c r="H30" s="862"/>
      <c r="I30" s="1537"/>
      <c r="J30" s="862"/>
      <c r="K30" s="1537"/>
      <c r="L30" s="862"/>
      <c r="M30" s="1537"/>
      <c r="N30" s="862"/>
      <c r="O30" s="1537"/>
      <c r="P30" s="862"/>
      <c r="Q30" s="1537"/>
      <c r="R30" s="862"/>
      <c r="S30" s="1537"/>
      <c r="T30" s="1538">
        <f t="shared" si="1"/>
        <v>0</v>
      </c>
      <c r="U30" s="1281"/>
      <c r="V30" s="1281"/>
      <c r="W30" s="1281"/>
      <c r="X30" s="1281"/>
      <c r="Y30" s="1281"/>
      <c r="Z30" s="1282">
        <v>12729000</v>
      </c>
    </row>
    <row r="31" spans="1:27" ht="21.75" customHeight="1" x14ac:dyDescent="0.2">
      <c r="A31" s="842">
        <v>8</v>
      </c>
      <c r="B31" s="2281" t="s">
        <v>594</v>
      </c>
      <c r="C31" s="1537"/>
      <c r="D31" s="862"/>
      <c r="E31" s="1537"/>
      <c r="F31" s="862"/>
      <c r="G31" s="1537"/>
      <c r="H31" s="862"/>
      <c r="I31" s="1537"/>
      <c r="J31" s="862"/>
      <c r="K31" s="1537"/>
      <c r="L31" s="862"/>
      <c r="M31" s="1537"/>
      <c r="N31" s="862"/>
      <c r="O31" s="1537"/>
      <c r="P31" s="862"/>
      <c r="Q31" s="1537"/>
      <c r="R31" s="862"/>
      <c r="S31" s="1537"/>
      <c r="T31" s="1538">
        <f t="shared" si="1"/>
        <v>0</v>
      </c>
      <c r="U31" s="1281"/>
      <c r="V31" s="1281"/>
      <c r="W31" s="1281"/>
      <c r="X31" s="1281"/>
      <c r="Y31" s="1281"/>
      <c r="Z31" s="1282">
        <v>12720000</v>
      </c>
    </row>
    <row r="32" spans="1:27" ht="21.75" customHeight="1" x14ac:dyDescent="0.2">
      <c r="A32" s="842" t="s">
        <v>595</v>
      </c>
      <c r="B32" s="2281" t="s">
        <v>596</v>
      </c>
      <c r="C32" s="1537"/>
      <c r="D32" s="862"/>
      <c r="E32" s="1537"/>
      <c r="F32" s="862"/>
      <c r="G32" s="1537"/>
      <c r="H32" s="862"/>
      <c r="I32" s="1537"/>
      <c r="J32" s="862"/>
      <c r="K32" s="1537"/>
      <c r="L32" s="862"/>
      <c r="M32" s="1537"/>
      <c r="N32" s="862"/>
      <c r="O32" s="1537"/>
      <c r="P32" s="862"/>
      <c r="Q32" s="1537"/>
      <c r="R32" s="862"/>
      <c r="S32" s="1537"/>
      <c r="T32" s="1538">
        <f t="shared" si="1"/>
        <v>0</v>
      </c>
      <c r="U32" s="1281"/>
      <c r="V32" s="1281"/>
      <c r="W32" s="1281"/>
      <c r="X32" s="1281"/>
      <c r="Y32" s="1281"/>
      <c r="Z32" s="1282">
        <v>12720001</v>
      </c>
    </row>
    <row r="33" spans="1:26" ht="21.75" customHeight="1" x14ac:dyDescent="0.2">
      <c r="A33" s="842">
        <v>9</v>
      </c>
      <c r="B33" s="2281" t="s">
        <v>597</v>
      </c>
      <c r="C33" s="1537"/>
      <c r="D33" s="862" t="str">
        <f>IFERROR(HLOOKUP($N$6,PriorYr905!$E$8:$AI$83,73,FALSE),"")</f>
        <v/>
      </c>
      <c r="E33" s="1537"/>
      <c r="F33" s="862"/>
      <c r="G33" s="1537"/>
      <c r="H33" s="862"/>
      <c r="I33" s="1537"/>
      <c r="J33" s="862"/>
      <c r="K33" s="1537"/>
      <c r="L33" s="862"/>
      <c r="M33" s="1537"/>
      <c r="N33" s="862"/>
      <c r="O33" s="1537"/>
      <c r="P33" s="862"/>
      <c r="Q33" s="1537"/>
      <c r="R33" s="862"/>
      <c r="S33" s="1537"/>
      <c r="T33" s="1538">
        <f t="shared" si="1"/>
        <v>0</v>
      </c>
      <c r="U33" s="1281"/>
      <c r="V33" s="1281"/>
      <c r="W33" s="1281"/>
      <c r="X33" s="1281"/>
      <c r="Y33" s="1281"/>
      <c r="Z33" s="1282">
        <v>12753000</v>
      </c>
    </row>
    <row r="34" spans="1:26" ht="21.75" customHeight="1" x14ac:dyDescent="0.2">
      <c r="A34" s="842">
        <v>10</v>
      </c>
      <c r="B34" s="2281" t="s">
        <v>598</v>
      </c>
      <c r="C34" s="1537"/>
      <c r="D34" s="862" t="str">
        <f>IFERROR(HLOOKUP($N$6,PriorYr905!$E$8:$AI$83,74,FALSE),"")</f>
        <v/>
      </c>
      <c r="E34" s="1537"/>
      <c r="F34" s="862"/>
      <c r="G34" s="1537"/>
      <c r="H34" s="862"/>
      <c r="I34" s="1537"/>
      <c r="J34" s="862"/>
      <c r="K34" s="1537"/>
      <c r="L34" s="862"/>
      <c r="M34" s="1537"/>
      <c r="N34" s="862"/>
      <c r="O34" s="1537"/>
      <c r="P34" s="862"/>
      <c r="Q34" s="1537"/>
      <c r="R34" s="862"/>
      <c r="S34" s="1537"/>
      <c r="T34" s="1538">
        <f t="shared" si="1"/>
        <v>0</v>
      </c>
      <c r="U34" s="1281"/>
      <c r="V34" s="1281"/>
      <c r="W34" s="1281"/>
      <c r="X34" s="1281"/>
      <c r="Y34" s="1281"/>
      <c r="Z34" s="1282">
        <v>12752000</v>
      </c>
    </row>
    <row r="35" spans="1:26" ht="21.75" customHeight="1" x14ac:dyDescent="0.2">
      <c r="A35" s="842">
        <v>11</v>
      </c>
      <c r="B35" s="2281" t="s">
        <v>599</v>
      </c>
      <c r="C35" s="1537"/>
      <c r="D35" s="862" t="str">
        <f>IFERROR(HLOOKUP($N$6,PriorYr905!$E$8:$AI$83,76,FALSE),"")</f>
        <v/>
      </c>
      <c r="E35" s="1537"/>
      <c r="F35" s="862"/>
      <c r="G35" s="1537"/>
      <c r="H35" s="862"/>
      <c r="I35" s="1537"/>
      <c r="J35" s="862"/>
      <c r="K35" s="1537"/>
      <c r="L35" s="862"/>
      <c r="M35" s="1537"/>
      <c r="N35" s="862"/>
      <c r="O35" s="1537"/>
      <c r="P35" s="862"/>
      <c r="Q35" s="1537"/>
      <c r="R35" s="862"/>
      <c r="S35" s="1537"/>
      <c r="T35" s="1538">
        <f t="shared" si="1"/>
        <v>0</v>
      </c>
      <c r="U35" s="1281"/>
      <c r="V35" s="1281"/>
      <c r="W35" s="1281"/>
      <c r="X35" s="1281"/>
      <c r="Y35" s="1281"/>
      <c r="Z35" s="1282">
        <v>12750000</v>
      </c>
    </row>
    <row r="36" spans="1:26" ht="21.75" customHeight="1" x14ac:dyDescent="0.2">
      <c r="A36" s="842"/>
      <c r="B36" s="493" t="s">
        <v>600</v>
      </c>
      <c r="C36" s="1537"/>
      <c r="D36" s="1541"/>
      <c r="E36" s="1537"/>
      <c r="F36" s="1541"/>
      <c r="G36" s="1537"/>
      <c r="H36" s="1541"/>
      <c r="I36" s="1537"/>
      <c r="J36" s="1541"/>
      <c r="K36" s="1537"/>
      <c r="L36" s="1541"/>
      <c r="M36" s="1537"/>
      <c r="N36" s="1541"/>
      <c r="O36" s="1537"/>
      <c r="P36" s="1541"/>
      <c r="Q36" s="1537"/>
      <c r="R36" s="1541"/>
      <c r="S36" s="1537"/>
      <c r="T36" s="1540"/>
      <c r="U36" s="1281"/>
      <c r="V36" s="1281"/>
      <c r="W36" s="1281"/>
      <c r="X36" s="1281"/>
      <c r="Y36" s="1281"/>
      <c r="Z36" s="1282"/>
    </row>
    <row r="37" spans="1:26" ht="21.75" customHeight="1" x14ac:dyDescent="0.2">
      <c r="A37" s="842">
        <v>12</v>
      </c>
      <c r="B37" s="2281" t="s">
        <v>601</v>
      </c>
      <c r="C37" s="1537"/>
      <c r="D37" s="862" t="str">
        <f>IFERROR(HLOOKUP($N$6,PriorYr905!$E$8:$AI$83,68,FALSE),"")</f>
        <v/>
      </c>
      <c r="E37" s="1537"/>
      <c r="F37" s="862"/>
      <c r="G37" s="1537"/>
      <c r="H37" s="862"/>
      <c r="I37" s="1537"/>
      <c r="J37" s="862"/>
      <c r="K37" s="1537"/>
      <c r="L37" s="862"/>
      <c r="M37" s="1537"/>
      <c r="N37" s="862"/>
      <c r="O37" s="1537"/>
      <c r="P37" s="862"/>
      <c r="Q37" s="1537"/>
      <c r="R37" s="862"/>
      <c r="S37" s="1537"/>
      <c r="T37" s="1538">
        <f t="shared" si="1"/>
        <v>0</v>
      </c>
      <c r="U37" s="1400"/>
      <c r="V37" s="1402"/>
      <c r="W37" s="1281"/>
      <c r="X37" s="1281"/>
      <c r="Y37" s="1281"/>
      <c r="Z37" s="1282">
        <v>12700100</v>
      </c>
    </row>
    <row r="38" spans="1:26" ht="21.75" customHeight="1" x14ac:dyDescent="0.2">
      <c r="A38" s="842">
        <v>13</v>
      </c>
      <c r="B38" s="2281" t="s">
        <v>602</v>
      </c>
      <c r="C38" s="1537"/>
      <c r="D38" s="862" t="str">
        <f>IFERROR(HLOOKUP($N$6,PriorYr905!$E$8:$AI$83,69,FALSE),"")</f>
        <v/>
      </c>
      <c r="E38" s="1537"/>
      <c r="F38" s="862"/>
      <c r="G38" s="1537"/>
      <c r="H38" s="862"/>
      <c r="I38" s="1537"/>
      <c r="J38" s="862"/>
      <c r="K38" s="1537"/>
      <c r="L38" s="862"/>
      <c r="M38" s="1537"/>
      <c r="N38" s="862"/>
      <c r="O38" s="1537"/>
      <c r="P38" s="862"/>
      <c r="Q38" s="1537"/>
      <c r="R38" s="862"/>
      <c r="S38" s="1537"/>
      <c r="T38" s="1538">
        <f t="shared" si="1"/>
        <v>0</v>
      </c>
      <c r="U38" s="1402"/>
      <c r="V38" s="1402"/>
      <c r="W38" s="1281"/>
      <c r="X38" s="1281"/>
      <c r="Y38" s="1281"/>
      <c r="Z38" s="1282">
        <v>12710100</v>
      </c>
    </row>
    <row r="39" spans="1:26" ht="21.75" customHeight="1" x14ac:dyDescent="0.2">
      <c r="A39" s="842">
        <v>14</v>
      </c>
      <c r="B39" s="2281" t="s">
        <v>603</v>
      </c>
      <c r="C39" s="1537"/>
      <c r="D39" s="862" t="str">
        <f>IFERROR(HLOOKUP($N$6,PriorYr905!$E$8:$AI$83,70,FALSE),"")</f>
        <v/>
      </c>
      <c r="E39" s="1537"/>
      <c r="F39" s="862"/>
      <c r="G39" s="1537"/>
      <c r="H39" s="862"/>
      <c r="I39" s="1537"/>
      <c r="J39" s="862"/>
      <c r="K39" s="1537"/>
      <c r="L39" s="862"/>
      <c r="M39" s="1537"/>
      <c r="N39" s="862"/>
      <c r="O39" s="1537"/>
      <c r="P39" s="862"/>
      <c r="Q39" s="1537"/>
      <c r="R39" s="862"/>
      <c r="S39" s="1537"/>
      <c r="T39" s="1538">
        <f t="shared" si="1"/>
        <v>0</v>
      </c>
      <c r="U39" s="1402"/>
      <c r="V39" s="1402"/>
      <c r="W39" s="1281"/>
      <c r="X39" s="1281"/>
      <c r="Y39" s="1281"/>
      <c r="Z39" s="1282">
        <v>12735000</v>
      </c>
    </row>
    <row r="40" spans="1:26" ht="21.75" customHeight="1" x14ac:dyDescent="0.2">
      <c r="A40" s="842">
        <v>15</v>
      </c>
      <c r="B40" s="2281" t="s">
        <v>604</v>
      </c>
      <c r="C40" s="1537"/>
      <c r="D40" s="1539" t="str">
        <f>IFERROR(HLOOKUP($N$6,PriorYr905!$E$8:$AI$83,71,FALSE),"")</f>
        <v/>
      </c>
      <c r="E40" s="1537"/>
      <c r="F40" s="1539"/>
      <c r="G40" s="1537"/>
      <c r="H40" s="1539"/>
      <c r="I40" s="1537"/>
      <c r="J40" s="1539"/>
      <c r="K40" s="1537"/>
      <c r="L40" s="1539"/>
      <c r="M40" s="1537"/>
      <c r="N40" s="1539"/>
      <c r="O40" s="1537"/>
      <c r="P40" s="1539"/>
      <c r="Q40" s="1537"/>
      <c r="R40" s="1539"/>
      <c r="S40" s="1537"/>
      <c r="T40" s="1942">
        <f t="shared" si="1"/>
        <v>0</v>
      </c>
      <c r="U40" s="1402"/>
      <c r="V40" s="1402"/>
      <c r="W40" s="1281"/>
      <c r="X40" s="1281"/>
      <c r="Y40" s="1281"/>
      <c r="Z40" s="1282">
        <v>12729500</v>
      </c>
    </row>
    <row r="41" spans="1:26" ht="21.75" customHeight="1" x14ac:dyDescent="0.2">
      <c r="A41" s="842"/>
      <c r="B41" s="2281" t="s">
        <v>605</v>
      </c>
      <c r="C41" s="1537"/>
      <c r="D41" s="1539" t="str">
        <f>IFERROR(HLOOKUP($N$6,PriorYr905!$E$8:$AI$83,72,FALSE),"")</f>
        <v/>
      </c>
      <c r="E41" s="1537"/>
      <c r="F41" s="1539"/>
      <c r="G41" s="1537"/>
      <c r="H41" s="1539"/>
      <c r="I41" s="1537"/>
      <c r="J41" s="1539"/>
      <c r="K41" s="1537"/>
      <c r="L41" s="1539"/>
      <c r="M41" s="1537"/>
      <c r="N41" s="1539"/>
      <c r="O41" s="1537"/>
      <c r="P41" s="1539"/>
      <c r="Q41" s="1537"/>
      <c r="R41" s="1539"/>
      <c r="S41" s="1537"/>
      <c r="T41" s="1942">
        <f t="shared" ref="T41" si="2">SUM(D41:S41)</f>
        <v>0</v>
      </c>
      <c r="U41" s="1402"/>
      <c r="V41" s="1402"/>
      <c r="W41" s="1281"/>
      <c r="X41" s="1281"/>
      <c r="Y41" s="1281"/>
      <c r="Z41" s="2003">
        <v>12755000</v>
      </c>
    </row>
    <row r="42" spans="1:26" ht="21.75" customHeight="1" x14ac:dyDescent="0.2">
      <c r="A42" s="842"/>
      <c r="B42" s="493" t="s">
        <v>606</v>
      </c>
      <c r="C42" s="1537"/>
      <c r="D42" s="1541"/>
      <c r="E42" s="1537"/>
      <c r="F42" s="1541"/>
      <c r="G42" s="1537"/>
      <c r="H42" s="1541"/>
      <c r="I42" s="1537"/>
      <c r="J42" s="1541"/>
      <c r="K42" s="1537"/>
      <c r="L42" s="1541"/>
      <c r="M42" s="1537"/>
      <c r="N42" s="1541"/>
      <c r="O42" s="1537"/>
      <c r="P42" s="1541"/>
      <c r="Q42" s="1537"/>
      <c r="R42" s="1541"/>
      <c r="S42" s="1537"/>
      <c r="T42" s="1540"/>
      <c r="U42" s="1402"/>
      <c r="V42" s="1402"/>
      <c r="W42" s="1281"/>
      <c r="X42" s="1281"/>
      <c r="Y42" s="1281"/>
      <c r="Z42" s="1282"/>
    </row>
    <row r="43" spans="1:26" ht="21.75" customHeight="1" x14ac:dyDescent="0.2">
      <c r="A43" s="842"/>
      <c r="B43" s="2281" t="s">
        <v>607</v>
      </c>
      <c r="C43" s="1537"/>
      <c r="D43" s="2002" t="str">
        <f>IFERROR(HLOOKUP($N$6,PriorYr905!$E$8:$AI$83,75,FALSE),"")</f>
        <v/>
      </c>
      <c r="E43" s="1537"/>
      <c r="F43" s="862"/>
      <c r="G43" s="1537"/>
      <c r="H43" s="862"/>
      <c r="I43" s="1537"/>
      <c r="J43" s="862"/>
      <c r="K43" s="1537"/>
      <c r="L43" s="862"/>
      <c r="M43" s="1537"/>
      <c r="N43" s="862"/>
      <c r="O43" s="1537"/>
      <c r="P43" s="862"/>
      <c r="Q43" s="1537"/>
      <c r="R43" s="862"/>
      <c r="S43" s="1537"/>
      <c r="T43" s="1538">
        <f t="shared" ref="T43" si="3">SUM(D43:S43)</f>
        <v>0</v>
      </c>
      <c r="U43" s="1402"/>
      <c r="V43" s="1281"/>
      <c r="W43" s="1281"/>
      <c r="X43" s="1281"/>
      <c r="Y43" s="1281"/>
      <c r="Z43" s="1282">
        <v>12754000</v>
      </c>
    </row>
    <row r="44" spans="1:26" ht="21.75" customHeight="1" thickBot="1" x14ac:dyDescent="0.25">
      <c r="A44" s="842"/>
      <c r="B44" s="2275" t="s">
        <v>608</v>
      </c>
      <c r="C44" s="1537"/>
      <c r="D44" s="1542">
        <f>SUM(D20:D43)</f>
        <v>0</v>
      </c>
      <c r="E44" s="1540">
        <f>SUM(E20:E35)</f>
        <v>0</v>
      </c>
      <c r="F44" s="1542">
        <f>SUM(F20:F43)</f>
        <v>0</v>
      </c>
      <c r="G44" s="1540">
        <f>SUM(G20:G35)</f>
        <v>0</v>
      </c>
      <c r="H44" s="1542">
        <f>SUM(H20:H43)</f>
        <v>0</v>
      </c>
      <c r="I44" s="1540">
        <f>SUM(I20:I35)</f>
        <v>0</v>
      </c>
      <c r="J44" s="1542">
        <f>SUM(J20:J43)</f>
        <v>0</v>
      </c>
      <c r="K44" s="1540">
        <f>SUM(K20:K35)</f>
        <v>0</v>
      </c>
      <c r="L44" s="1542">
        <f>SUM(L20:L43)</f>
        <v>0</v>
      </c>
      <c r="M44" s="1540">
        <f>SUM(M20:M35)</f>
        <v>0</v>
      </c>
      <c r="N44" s="1542">
        <f>SUM(N20:N43)</f>
        <v>0</v>
      </c>
      <c r="O44" s="1540">
        <f>SUM(O20:O35)</f>
        <v>0</v>
      </c>
      <c r="P44" s="1542">
        <f>SUM(P20:P43)</f>
        <v>0</v>
      </c>
      <c r="Q44" s="1540">
        <f>SUM(Q20:Q35)</f>
        <v>0</v>
      </c>
      <c r="R44" s="1542">
        <f>SUM(R20:R43)</f>
        <v>0</v>
      </c>
      <c r="S44" s="1540">
        <f>SUM(S20:S35)</f>
        <v>0</v>
      </c>
      <c r="T44" s="1542">
        <f>SUM(T20:T43)</f>
        <v>0</v>
      </c>
      <c r="U44" s="1281"/>
      <c r="V44" s="1281"/>
      <c r="W44" s="1281"/>
      <c r="X44" s="1281"/>
      <c r="Y44" s="1281"/>
      <c r="Z44" s="1282"/>
    </row>
    <row r="45" spans="1:26" ht="16.5" customHeight="1" thickTop="1" x14ac:dyDescent="0.2">
      <c r="A45" s="842"/>
      <c r="B45" s="494"/>
      <c r="C45" s="1281"/>
      <c r="D45" s="1540"/>
      <c r="E45" s="1537"/>
      <c r="F45" s="861" t="str">
        <f>IF(W45&gt;0,"Worksheet 430G or Worksheet 430BTA must be completed"," ")</f>
        <v xml:space="preserve"> </v>
      </c>
      <c r="G45" s="1537"/>
      <c r="H45" s="1540"/>
      <c r="I45" s="1537"/>
      <c r="J45" s="1540"/>
      <c r="K45" s="1537"/>
      <c r="L45" s="1540"/>
      <c r="M45" s="1537"/>
      <c r="N45" s="62"/>
      <c r="O45" s="1537"/>
      <c r="P45" s="1540"/>
      <c r="Q45" s="1281"/>
      <c r="R45" s="1540"/>
      <c r="S45" s="1281"/>
      <c r="T45" s="1540"/>
      <c r="U45" s="1281"/>
      <c r="V45" s="1281"/>
      <c r="W45" s="1281">
        <f>SUM(F20:F35)</f>
        <v>0</v>
      </c>
      <c r="X45" s="1281"/>
      <c r="Y45" s="1281"/>
    </row>
    <row r="46" spans="1:26" ht="6" customHeight="1" x14ac:dyDescent="0.2">
      <c r="A46" s="842"/>
      <c r="B46" s="494"/>
      <c r="C46" s="1281"/>
      <c r="D46" s="1540"/>
      <c r="E46" s="1537"/>
      <c r="F46" s="1540"/>
      <c r="G46" s="1537"/>
      <c r="H46" s="1540"/>
      <c r="I46" s="1537"/>
      <c r="J46" s="1540"/>
      <c r="K46" s="1537"/>
      <c r="L46" s="1540"/>
      <c r="M46" s="1537"/>
      <c r="N46" s="62"/>
      <c r="O46" s="1537"/>
      <c r="P46" s="1540"/>
      <c r="Q46" s="1281"/>
      <c r="R46" s="1540"/>
      <c r="S46" s="1281"/>
      <c r="T46" s="1540"/>
      <c r="U46" s="1281"/>
      <c r="V46" s="1281"/>
      <c r="W46" s="1281"/>
      <c r="X46" s="1281"/>
      <c r="Y46" s="1281"/>
    </row>
    <row r="47" spans="1:26" ht="6" customHeight="1" x14ac:dyDescent="0.2">
      <c r="A47" s="842"/>
      <c r="B47" s="494"/>
      <c r="C47" s="1281"/>
      <c r="D47" s="1540"/>
      <c r="E47" s="1537"/>
      <c r="F47" s="1540"/>
      <c r="G47" s="1537"/>
      <c r="H47" s="1540"/>
      <c r="I47" s="1537"/>
      <c r="J47" s="1540"/>
      <c r="K47" s="1537"/>
      <c r="L47" s="1540"/>
      <c r="M47" s="1537"/>
      <c r="N47" s="62"/>
      <c r="O47" s="1537"/>
      <c r="P47" s="1540"/>
      <c r="Q47" s="1281"/>
      <c r="R47" s="1540"/>
      <c r="S47" s="1281"/>
      <c r="T47" s="1540"/>
      <c r="U47" s="1281"/>
      <c r="V47" s="1281"/>
      <c r="W47" s="1281"/>
      <c r="X47" s="1281"/>
      <c r="Y47" s="1281"/>
    </row>
    <row r="48" spans="1:26" ht="12" customHeight="1" x14ac:dyDescent="0.2">
      <c r="A48" s="842"/>
      <c r="B48" s="2574" t="s">
        <v>609</v>
      </c>
      <c r="C48" s="2552"/>
      <c r="D48" s="2552"/>
      <c r="E48" s="2552"/>
      <c r="F48" s="2552"/>
      <c r="G48" s="2552"/>
      <c r="H48" s="2552"/>
      <c r="I48" s="2552"/>
      <c r="J48" s="2552"/>
      <c r="K48" s="2552"/>
      <c r="L48" s="2552"/>
      <c r="M48" s="2552"/>
      <c r="N48" s="2552"/>
      <c r="O48" s="2552"/>
      <c r="P48" s="2552"/>
      <c r="Q48" s="2552"/>
      <c r="R48" s="2552"/>
      <c r="S48" s="2552"/>
      <c r="T48" s="2552"/>
      <c r="U48" s="1281"/>
      <c r="V48" s="1281"/>
      <c r="W48" s="1281"/>
      <c r="X48" s="1281"/>
      <c r="Y48" s="1281"/>
    </row>
    <row r="49" spans="1:26" ht="15.75" customHeight="1" x14ac:dyDescent="0.25">
      <c r="A49" s="842"/>
      <c r="B49" s="2275" t="s">
        <v>610</v>
      </c>
      <c r="C49" s="1281"/>
      <c r="D49" s="1281"/>
      <c r="E49" s="42"/>
      <c r="F49" s="42"/>
      <c r="G49" s="42"/>
      <c r="H49" s="42"/>
      <c r="I49" s="42"/>
      <c r="J49" s="42"/>
      <c r="K49" s="42"/>
      <c r="L49" s="42"/>
      <c r="M49" s="42"/>
      <c r="N49" s="42"/>
      <c r="O49" s="42"/>
      <c r="P49" s="42"/>
      <c r="Q49" s="42"/>
      <c r="R49" s="42"/>
      <c r="S49" s="42"/>
      <c r="T49" s="42"/>
      <c r="U49" s="1281"/>
      <c r="V49" s="1281"/>
      <c r="W49" s="1281"/>
      <c r="X49" s="1281"/>
      <c r="Y49" s="1281"/>
    </row>
    <row r="50" spans="1:26" ht="15.75" customHeight="1" x14ac:dyDescent="0.25">
      <c r="A50" s="842"/>
      <c r="B50" s="493" t="s">
        <v>611</v>
      </c>
      <c r="C50" s="1281"/>
      <c r="D50" s="1281"/>
      <c r="E50" s="42"/>
      <c r="F50" s="42"/>
      <c r="G50" s="42"/>
      <c r="H50" s="42"/>
      <c r="I50" s="42"/>
      <c r="J50" s="42"/>
      <c r="K50" s="42"/>
      <c r="L50" s="42"/>
      <c r="M50" s="42"/>
      <c r="N50" s="42"/>
      <c r="O50" s="42"/>
      <c r="P50" s="42"/>
      <c r="Q50" s="42"/>
      <c r="R50" s="42"/>
      <c r="S50" s="42"/>
      <c r="T50" s="42"/>
      <c r="U50" s="1281"/>
      <c r="V50" s="1281"/>
      <c r="W50" s="1281"/>
      <c r="X50" s="1281"/>
      <c r="Y50" s="1281"/>
    </row>
    <row r="51" spans="1:26" ht="15.75" customHeight="1" x14ac:dyDescent="0.25">
      <c r="A51" s="842"/>
      <c r="B51" s="561" t="s">
        <v>612</v>
      </c>
      <c r="C51" s="1281"/>
      <c r="D51" s="1281"/>
      <c r="E51" s="42"/>
      <c r="F51" s="42"/>
      <c r="G51" s="42"/>
      <c r="H51" s="42"/>
      <c r="I51" s="42"/>
      <c r="J51" s="42"/>
      <c r="K51" s="42"/>
      <c r="L51" s="42"/>
      <c r="M51" s="42"/>
      <c r="N51" s="42"/>
      <c r="O51" s="42"/>
      <c r="P51" s="42"/>
      <c r="Q51" s="42"/>
      <c r="R51" s="42"/>
      <c r="S51" s="42"/>
      <c r="T51" s="42"/>
      <c r="U51" s="1281"/>
      <c r="V51" s="1281"/>
      <c r="W51" s="1281"/>
      <c r="X51" s="1281"/>
      <c r="Y51" s="1281"/>
    </row>
    <row r="52" spans="1:26" ht="15.75" customHeight="1" x14ac:dyDescent="0.25">
      <c r="A52" s="842"/>
      <c r="B52" s="2275"/>
      <c r="C52" s="1281"/>
      <c r="D52" s="400"/>
      <c r="E52" s="42"/>
      <c r="F52" s="42"/>
      <c r="G52" s="42"/>
      <c r="H52" s="1281"/>
      <c r="I52" s="268"/>
      <c r="J52" s="268"/>
      <c r="K52" s="268"/>
      <c r="L52" s="1543"/>
      <c r="M52" s="268"/>
      <c r="N52" s="268"/>
      <c r="O52" s="486"/>
      <c r="P52" s="1281"/>
      <c r="Q52" s="42"/>
      <c r="R52" s="42"/>
      <c r="S52" s="42"/>
      <c r="T52" s="42"/>
      <c r="U52" s="1281"/>
      <c r="V52" s="1281"/>
      <c r="W52" s="1281"/>
      <c r="X52" s="1281"/>
      <c r="Y52" s="1281"/>
    </row>
    <row r="53" spans="1:26" ht="7.5" customHeight="1" x14ac:dyDescent="0.25">
      <c r="A53" s="842"/>
      <c r="B53" s="2275"/>
      <c r="C53" s="1281"/>
      <c r="D53" s="1281"/>
      <c r="E53" s="42"/>
      <c r="F53" s="42"/>
      <c r="G53" s="42"/>
      <c r="H53" s="400"/>
      <c r="I53" s="268"/>
      <c r="J53" s="268"/>
      <c r="K53" s="268"/>
      <c r="L53" s="268"/>
      <c r="M53" s="268"/>
      <c r="N53" s="268"/>
      <c r="O53" s="486"/>
      <c r="P53" s="1543"/>
      <c r="Q53" s="42"/>
      <c r="R53" s="42"/>
      <c r="S53" s="42"/>
      <c r="T53" s="42"/>
      <c r="U53" s="1281"/>
      <c r="V53" s="1281"/>
      <c r="W53" s="1281"/>
      <c r="X53" s="1281"/>
      <c r="Y53" s="1281"/>
    </row>
    <row r="54" spans="1:26" ht="15.75" customHeight="1" x14ac:dyDescent="0.25">
      <c r="A54" s="842"/>
      <c r="B54" s="2468" t="s">
        <v>6654</v>
      </c>
      <c r="C54" s="1281"/>
      <c r="D54" s="1281"/>
      <c r="E54" s="42"/>
      <c r="F54" s="42"/>
      <c r="G54" s="42"/>
      <c r="H54" s="42"/>
      <c r="I54" s="42"/>
      <c r="J54" s="42"/>
      <c r="K54" s="42"/>
      <c r="L54" s="42"/>
      <c r="M54" s="42"/>
      <c r="N54" s="42"/>
      <c r="O54" s="42"/>
      <c r="P54" s="42"/>
      <c r="Q54" s="42"/>
      <c r="R54" s="42"/>
      <c r="S54" s="42"/>
      <c r="T54" s="42"/>
      <c r="U54" s="1281"/>
      <c r="V54" s="1281"/>
      <c r="W54" s="1281"/>
      <c r="X54" s="1281"/>
      <c r="Y54" s="1281"/>
    </row>
    <row r="55" spans="1:26" ht="13.5" customHeight="1" x14ac:dyDescent="0.2">
      <c r="A55" s="842"/>
      <c r="B55" s="2469" t="s">
        <v>6655</v>
      </c>
      <c r="C55" s="268"/>
      <c r="D55" s="268"/>
      <c r="E55" s="268"/>
      <c r="F55" s="268"/>
      <c r="G55" s="268"/>
      <c r="H55" s="268"/>
      <c r="I55" s="486"/>
      <c r="J55" s="1543"/>
      <c r="K55" s="1281"/>
      <c r="L55" s="1281"/>
      <c r="M55" s="1281"/>
      <c r="N55" s="1281"/>
      <c r="O55" s="1281"/>
      <c r="P55" s="1281"/>
      <c r="Q55" s="1543"/>
      <c r="R55" s="1543"/>
      <c r="S55" s="1543"/>
      <c r="T55" s="1543"/>
      <c r="U55" s="1281"/>
      <c r="V55" s="1281"/>
      <c r="W55" s="1281"/>
      <c r="X55" s="1281"/>
      <c r="Y55" s="1281"/>
    </row>
    <row r="56" spans="1:26" ht="13.5" customHeight="1" x14ac:dyDescent="0.2">
      <c r="A56" s="843" t="str">
        <f ca="1">MID(CELL("filename",A1),FIND("]",CELL("filename",A1))+1,256)</f>
        <v>201</v>
      </c>
      <c r="B56" s="495"/>
      <c r="C56" s="268"/>
      <c r="D56" s="268"/>
      <c r="E56" s="268"/>
      <c r="F56" s="268"/>
      <c r="G56" s="268"/>
      <c r="H56" s="268"/>
      <c r="I56" s="268"/>
      <c r="J56" s="1543"/>
      <c r="K56" s="1543"/>
      <c r="L56" s="1543"/>
      <c r="M56" s="1543"/>
      <c r="N56" s="1543"/>
      <c r="O56" s="1543"/>
      <c r="P56" s="1543"/>
      <c r="Q56" s="1543"/>
      <c r="R56" s="1543"/>
      <c r="S56" s="1543"/>
      <c r="T56" s="1543"/>
      <c r="U56" s="1281"/>
      <c r="V56" s="1281"/>
      <c r="W56" s="1281"/>
      <c r="X56" s="1281"/>
      <c r="Y56" s="1281"/>
    </row>
    <row r="57" spans="1:26" ht="15" x14ac:dyDescent="0.2">
      <c r="A57" s="843"/>
      <c r="B57" s="1543"/>
      <c r="C57" s="496"/>
      <c r="D57" s="1543"/>
      <c r="E57" s="1543"/>
      <c r="F57" s="1543"/>
      <c r="G57" s="1543"/>
      <c r="H57" s="1543"/>
      <c r="I57" s="1543"/>
      <c r="J57" s="1543"/>
      <c r="K57" s="1543"/>
      <c r="L57" s="1543"/>
      <c r="M57" s="1543"/>
      <c r="N57" s="1543"/>
      <c r="O57" s="1543"/>
      <c r="P57" s="1543"/>
      <c r="Q57" s="1543"/>
      <c r="R57" s="1543"/>
      <c r="S57" s="1543"/>
      <c r="T57" s="1543"/>
      <c r="U57" s="1281"/>
      <c r="V57" s="1281"/>
      <c r="W57" s="1281"/>
      <c r="X57" s="1281"/>
      <c r="Y57" s="1281"/>
    </row>
    <row r="58" spans="1:26" ht="15" x14ac:dyDescent="0.2">
      <c r="A58" s="843"/>
      <c r="B58" s="421"/>
      <c r="C58" s="421"/>
      <c r="D58" s="1281"/>
      <c r="E58" s="1281"/>
      <c r="F58" s="1281"/>
      <c r="G58" s="1281"/>
      <c r="H58" s="1281"/>
      <c r="I58" s="1281"/>
      <c r="J58" s="1281"/>
      <c r="K58" s="1281"/>
      <c r="L58" s="1281"/>
      <c r="M58" s="1281"/>
      <c r="N58" s="1281"/>
      <c r="O58" s="1281"/>
      <c r="P58" s="1281"/>
      <c r="Q58" s="1281"/>
      <c r="R58" s="1281"/>
      <c r="S58" s="1281"/>
      <c r="T58" s="1281"/>
      <c r="U58" s="1281"/>
      <c r="V58" s="1281"/>
      <c r="W58" s="1281"/>
      <c r="X58" s="1281"/>
      <c r="Y58" s="1281"/>
    </row>
    <row r="59" spans="1:26" s="53" customFormat="1" ht="15" x14ac:dyDescent="0.2">
      <c r="A59" s="843"/>
      <c r="B59" s="421" t="s">
        <v>613</v>
      </c>
      <c r="C59" s="421"/>
      <c r="Z59" s="1283"/>
    </row>
    <row r="60" spans="1:26" s="53" customFormat="1" ht="15" x14ac:dyDescent="0.2">
      <c r="A60" s="843" t="s">
        <v>401</v>
      </c>
      <c r="B60" s="421" t="str">
        <f t="shared" ref="B60:B69" ca="1" si="4">IF(ISNA(INDEX(ErrorTable,MATCH($A$56&amp;$A60&amp;FALSE,ErrorKey,0),6)),"",INDEX(ErrorTable,MATCH($A$56&amp;$A60&amp;FALSE,ErrorKey,0),6))</f>
        <v/>
      </c>
      <c r="C60" s="421"/>
      <c r="Z60" s="1283"/>
    </row>
    <row r="61" spans="1:26" s="53" customFormat="1" ht="15" x14ac:dyDescent="0.2">
      <c r="A61" s="843" t="s">
        <v>402</v>
      </c>
      <c r="B61" s="421" t="str">
        <f t="shared" ca="1" si="4"/>
        <v/>
      </c>
      <c r="C61" s="421"/>
      <c r="Z61" s="1283"/>
    </row>
    <row r="62" spans="1:26" s="53" customFormat="1" ht="15" x14ac:dyDescent="0.2">
      <c r="A62" s="843" t="s">
        <v>403</v>
      </c>
      <c r="B62" s="421" t="str">
        <f t="shared" ca="1" si="4"/>
        <v/>
      </c>
      <c r="C62" s="421"/>
      <c r="Z62" s="1283"/>
    </row>
    <row r="63" spans="1:26" s="53" customFormat="1" ht="15" x14ac:dyDescent="0.2">
      <c r="A63" s="843" t="s">
        <v>404</v>
      </c>
      <c r="B63" s="421" t="str">
        <f t="shared" ca="1" si="4"/>
        <v/>
      </c>
      <c r="C63" s="421"/>
      <c r="Z63" s="1283"/>
    </row>
    <row r="64" spans="1:26" s="53" customFormat="1" ht="15" x14ac:dyDescent="0.2">
      <c r="A64" s="843" t="s">
        <v>405</v>
      </c>
      <c r="B64" s="421" t="str">
        <f t="shared" ca="1" si="4"/>
        <v/>
      </c>
      <c r="C64" s="421"/>
      <c r="Z64" s="1283"/>
    </row>
    <row r="65" spans="1:26" s="53" customFormat="1" ht="15" x14ac:dyDescent="0.2">
      <c r="A65" s="843" t="s">
        <v>406</v>
      </c>
      <c r="B65" s="421" t="str">
        <f t="shared" ca="1" si="4"/>
        <v/>
      </c>
      <c r="C65" s="421"/>
      <c r="Z65" s="1283"/>
    </row>
    <row r="66" spans="1:26" s="53" customFormat="1" ht="15" x14ac:dyDescent="0.2">
      <c r="A66" s="843" t="s">
        <v>407</v>
      </c>
      <c r="B66" s="421" t="str">
        <f t="shared" ca="1" si="4"/>
        <v/>
      </c>
      <c r="C66" s="421"/>
      <c r="Z66" s="1283"/>
    </row>
    <row r="67" spans="1:26" s="53" customFormat="1" ht="20.100000000000001" customHeight="1" x14ac:dyDescent="0.2">
      <c r="A67" s="843" t="s">
        <v>408</v>
      </c>
      <c r="B67" s="421" t="str">
        <f t="shared" ca="1" si="4"/>
        <v/>
      </c>
      <c r="Z67" s="1283"/>
    </row>
    <row r="68" spans="1:26" s="53" customFormat="1" ht="20.100000000000001" customHeight="1" x14ac:dyDescent="0.2">
      <c r="A68" s="843" t="s">
        <v>409</v>
      </c>
      <c r="B68" s="421" t="str">
        <f t="shared" ca="1" si="4"/>
        <v/>
      </c>
      <c r="Z68" s="1283"/>
    </row>
    <row r="69" spans="1:26" s="53" customFormat="1" ht="20.100000000000001" customHeight="1" x14ac:dyDescent="0.2">
      <c r="A69" s="843" t="s">
        <v>410</v>
      </c>
      <c r="B69" s="421" t="str">
        <f t="shared" ca="1" si="4"/>
        <v/>
      </c>
      <c r="Z69" s="1283"/>
    </row>
    <row r="70" spans="1:26" s="53" customFormat="1" ht="20.100000000000001" customHeight="1" x14ac:dyDescent="0.2">
      <c r="A70" s="844"/>
      <c r="Z70" s="1283"/>
    </row>
    <row r="71" spans="1:26" s="53" customFormat="1" ht="20.100000000000001" customHeight="1" x14ac:dyDescent="0.2">
      <c r="A71" s="844"/>
      <c r="Z71" s="1283"/>
    </row>
    <row r="72" spans="1:26" s="53" customFormat="1" ht="20.100000000000001" customHeight="1" x14ac:dyDescent="0.2">
      <c r="A72" s="844"/>
      <c r="Z72" s="1283"/>
    </row>
    <row r="73" spans="1:26" s="53" customFormat="1" ht="20.100000000000001" customHeight="1" x14ac:dyDescent="0.2">
      <c r="A73" s="844"/>
      <c r="Z73" s="1283"/>
    </row>
    <row r="74" spans="1:26" ht="20.100000000000001" customHeight="1" x14ac:dyDescent="0.2">
      <c r="A74" s="844"/>
      <c r="B74" s="1281"/>
      <c r="C74" s="1281"/>
      <c r="D74" s="1281"/>
      <c r="E74" s="1281"/>
      <c r="F74" s="1281"/>
      <c r="G74" s="1281"/>
      <c r="H74" s="1281"/>
      <c r="I74" s="1281"/>
      <c r="J74" s="1281"/>
      <c r="K74" s="1281"/>
      <c r="L74" s="1281"/>
      <c r="M74" s="1281"/>
      <c r="N74" s="1281"/>
      <c r="O74" s="1281"/>
      <c r="P74" s="1281"/>
      <c r="Q74" s="53"/>
      <c r="R74" s="53"/>
      <c r="S74" s="1281"/>
      <c r="T74" s="1281"/>
      <c r="U74" s="1281"/>
      <c r="V74" s="1281"/>
      <c r="W74" s="1281"/>
      <c r="X74" s="1281"/>
      <c r="Y74" s="1281"/>
    </row>
    <row r="75" spans="1:26" ht="20.100000000000001" customHeight="1" x14ac:dyDescent="0.2">
      <c r="A75" s="844"/>
      <c r="B75" s="1281"/>
      <c r="C75" s="1281"/>
      <c r="D75" s="1281"/>
      <c r="E75" s="1281"/>
      <c r="F75" s="1281"/>
      <c r="G75" s="1281"/>
      <c r="H75" s="1281"/>
      <c r="I75" s="1281"/>
      <c r="J75" s="1281"/>
      <c r="K75" s="1281"/>
      <c r="L75" s="1281"/>
      <c r="M75" s="1281"/>
      <c r="N75" s="1281"/>
      <c r="O75" s="1281"/>
      <c r="P75" s="1281"/>
      <c r="Q75" s="53"/>
      <c r="R75" s="53"/>
      <c r="S75" s="1281"/>
      <c r="T75" s="1281"/>
      <c r="U75" s="1281"/>
      <c r="V75" s="1281"/>
      <c r="W75" s="1281"/>
      <c r="X75" s="1281"/>
      <c r="Y75" s="1281"/>
    </row>
    <row r="76" spans="1:26" ht="20.100000000000001" customHeight="1" x14ac:dyDescent="0.2">
      <c r="A76" s="844"/>
      <c r="B76" s="1281"/>
      <c r="C76" s="1281"/>
      <c r="D76" s="1281"/>
      <c r="E76" s="1281"/>
      <c r="F76" s="1281"/>
      <c r="G76" s="1281"/>
      <c r="H76" s="1281"/>
      <c r="I76" s="1281"/>
      <c r="J76" s="1281"/>
      <c r="K76" s="1281"/>
      <c r="L76" s="1281"/>
      <c r="M76" s="1281"/>
      <c r="N76" s="1281"/>
      <c r="O76" s="1281"/>
      <c r="P76" s="1281"/>
      <c r="Q76" s="53"/>
      <c r="R76" s="53"/>
      <c r="S76" s="1281"/>
      <c r="T76" s="1281"/>
      <c r="U76" s="1281"/>
      <c r="V76" s="1281"/>
      <c r="W76" s="1281"/>
      <c r="X76" s="1281"/>
      <c r="Y76" s="1281"/>
    </row>
    <row r="77" spans="1:26" ht="20.100000000000001" customHeight="1" x14ac:dyDescent="0.2">
      <c r="A77" s="842"/>
      <c r="B77" s="1281"/>
      <c r="C77" s="1281"/>
      <c r="D77" s="1281"/>
      <c r="E77" s="1281"/>
      <c r="F77" s="1281"/>
      <c r="G77" s="1281"/>
      <c r="H77" s="1281"/>
      <c r="I77" s="1281"/>
      <c r="J77" s="1281"/>
      <c r="K77" s="1281"/>
      <c r="L77" s="1281"/>
      <c r="M77" s="1281"/>
      <c r="N77" s="1281"/>
      <c r="O77" s="1281"/>
      <c r="P77" s="1281"/>
      <c r="Q77" s="53"/>
      <c r="R77" s="53"/>
      <c r="S77" s="1281"/>
      <c r="T77" s="1281"/>
      <c r="U77" s="1281"/>
      <c r="V77" s="1281"/>
      <c r="W77" s="1281"/>
      <c r="X77" s="1281"/>
      <c r="Y77" s="1281"/>
    </row>
    <row r="78" spans="1:26" ht="20.100000000000001" customHeight="1" x14ac:dyDescent="0.2">
      <c r="A78" s="842"/>
      <c r="B78" s="1281"/>
      <c r="C78" s="1281"/>
      <c r="D78" s="1281"/>
      <c r="E78" s="1281"/>
      <c r="F78" s="1281"/>
      <c r="G78" s="1281"/>
      <c r="H78" s="1281"/>
      <c r="I78" s="1281"/>
      <c r="J78" s="1281"/>
      <c r="K78" s="1281"/>
      <c r="L78" s="1281"/>
      <c r="M78" s="1281"/>
      <c r="N78" s="1281"/>
      <c r="O78" s="1281"/>
      <c r="P78" s="1281"/>
      <c r="Q78" s="53"/>
      <c r="R78" s="53"/>
      <c r="S78" s="1281"/>
      <c r="T78" s="1281"/>
      <c r="U78" s="1281"/>
      <c r="V78" s="1281"/>
      <c r="W78" s="1281"/>
      <c r="X78" s="1281"/>
      <c r="Y78" s="1281"/>
    </row>
    <row r="79" spans="1:26" ht="20.100000000000001" customHeight="1" x14ac:dyDescent="0.2">
      <c r="A79" s="842"/>
      <c r="B79" s="1281"/>
      <c r="C79" s="1281"/>
      <c r="D79" s="1281"/>
      <c r="E79" s="1281"/>
      <c r="F79" s="1281"/>
      <c r="G79" s="1281"/>
      <c r="H79" s="1281"/>
      <c r="I79" s="1281"/>
      <c r="J79" s="1281"/>
      <c r="K79" s="1281"/>
      <c r="L79" s="1281"/>
      <c r="M79" s="1281"/>
      <c r="N79" s="1281"/>
      <c r="O79" s="1281"/>
      <c r="P79" s="1281"/>
      <c r="Q79" s="53"/>
      <c r="R79" s="53"/>
      <c r="S79" s="1281"/>
      <c r="T79" s="1281"/>
      <c r="U79" s="1281"/>
      <c r="V79" s="1281"/>
      <c r="W79" s="1281"/>
      <c r="X79" s="1281"/>
      <c r="Y79" s="1281"/>
    </row>
    <row r="80" spans="1:26" ht="20.100000000000001" customHeight="1" x14ac:dyDescent="0.2">
      <c r="A80" s="842"/>
      <c r="B80" s="1281"/>
      <c r="C80" s="1281"/>
      <c r="D80" s="1281"/>
      <c r="E80" s="1281"/>
      <c r="F80" s="1281"/>
      <c r="G80" s="1281"/>
      <c r="H80" s="1281"/>
      <c r="I80" s="1281"/>
      <c r="J80" s="1281"/>
      <c r="K80" s="1281"/>
      <c r="L80" s="1281"/>
      <c r="M80" s="1281"/>
      <c r="N80" s="1281"/>
      <c r="O80" s="1281"/>
      <c r="P80" s="1281"/>
      <c r="Q80" s="53"/>
      <c r="R80" s="53"/>
      <c r="S80" s="1281"/>
      <c r="T80" s="1281"/>
      <c r="U80" s="1281"/>
      <c r="V80" s="1281"/>
      <c r="W80" s="1281"/>
      <c r="X80" s="1281"/>
      <c r="Y80" s="1281"/>
    </row>
    <row r="81" spans="1:25" ht="20.100000000000001" customHeight="1" x14ac:dyDescent="0.2">
      <c r="A81" s="842"/>
      <c r="B81" s="1281"/>
      <c r="C81" s="1281"/>
      <c r="D81" s="1281"/>
      <c r="E81" s="1281"/>
      <c r="F81" s="1281"/>
      <c r="G81" s="1281"/>
      <c r="H81" s="1281"/>
      <c r="I81" s="1281"/>
      <c r="J81" s="1281"/>
      <c r="K81" s="1281"/>
      <c r="L81" s="1281"/>
      <c r="M81" s="1281"/>
      <c r="N81" s="1281"/>
      <c r="O81" s="1281"/>
      <c r="P81" s="1281"/>
      <c r="Q81" s="53"/>
      <c r="R81" s="53"/>
      <c r="S81" s="1281"/>
      <c r="T81" s="1281"/>
      <c r="U81" s="1281"/>
      <c r="V81" s="1281"/>
      <c r="W81" s="1281"/>
      <c r="X81" s="1281"/>
      <c r="Y81" s="1281"/>
    </row>
    <row r="82" spans="1:25" ht="20.100000000000001" customHeight="1" x14ac:dyDescent="0.2">
      <c r="A82" s="842"/>
      <c r="B82" s="1281"/>
      <c r="C82" s="1281"/>
      <c r="D82" s="1281"/>
      <c r="E82" s="1281"/>
      <c r="F82" s="1281"/>
      <c r="G82" s="1281"/>
      <c r="H82" s="1281"/>
      <c r="I82" s="1281"/>
      <c r="J82" s="1281"/>
      <c r="K82" s="1281"/>
      <c r="L82" s="1281"/>
      <c r="M82" s="1281"/>
      <c r="N82" s="1281"/>
      <c r="O82" s="1281"/>
      <c r="P82" s="1281"/>
      <c r="Q82" s="53"/>
      <c r="R82" s="53"/>
      <c r="S82" s="1281"/>
      <c r="T82" s="1281"/>
      <c r="U82" s="1281"/>
      <c r="V82" s="1281"/>
      <c r="W82" s="1281"/>
      <c r="X82" s="1281"/>
      <c r="Y82" s="1281"/>
    </row>
    <row r="83" spans="1:25" x14ac:dyDescent="0.2">
      <c r="A83" s="842"/>
      <c r="B83" s="1281"/>
      <c r="C83" s="1281"/>
      <c r="D83" s="1281"/>
      <c r="E83" s="1281"/>
      <c r="F83" s="1281"/>
      <c r="G83" s="1281"/>
      <c r="H83" s="1281"/>
      <c r="I83" s="1281"/>
      <c r="J83" s="1281"/>
      <c r="K83" s="1281"/>
      <c r="L83" s="1281"/>
      <c r="M83" s="1281"/>
      <c r="N83" s="1281"/>
      <c r="O83" s="1281"/>
      <c r="P83" s="1281"/>
      <c r="Q83" s="53"/>
      <c r="R83" s="53"/>
      <c r="S83" s="1281"/>
      <c r="T83" s="1281"/>
      <c r="U83" s="1281"/>
      <c r="V83" s="1281"/>
      <c r="W83" s="1281"/>
      <c r="X83" s="1281"/>
      <c r="Y83" s="1281"/>
    </row>
    <row r="84" spans="1:25" x14ac:dyDescent="0.2">
      <c r="A84" s="842"/>
      <c r="B84" s="1281"/>
      <c r="C84" s="1281"/>
      <c r="D84" s="1281"/>
      <c r="E84" s="1281"/>
      <c r="F84" s="1281"/>
      <c r="G84" s="1281"/>
      <c r="H84" s="1281"/>
      <c r="I84" s="1281"/>
      <c r="J84" s="1281"/>
      <c r="K84" s="1281"/>
      <c r="L84" s="1281"/>
      <c r="M84" s="1281"/>
      <c r="N84" s="1281"/>
      <c r="O84" s="1281"/>
      <c r="P84" s="1281"/>
      <c r="Q84" s="53"/>
      <c r="R84" s="53"/>
      <c r="S84" s="1281"/>
      <c r="T84" s="1281"/>
      <c r="U84" s="1281"/>
      <c r="V84" s="1281"/>
      <c r="W84" s="1281"/>
      <c r="X84" s="1281"/>
      <c r="Y84" s="1281"/>
    </row>
    <row r="85" spans="1:25" x14ac:dyDescent="0.2">
      <c r="A85" s="842"/>
      <c r="B85" s="1281"/>
      <c r="C85" s="1281"/>
      <c r="D85" s="1281"/>
      <c r="E85" s="1281"/>
      <c r="F85" s="1281"/>
      <c r="G85" s="1281"/>
      <c r="H85" s="1281"/>
      <c r="I85" s="1281"/>
      <c r="J85" s="1281"/>
      <c r="K85" s="1281"/>
      <c r="L85" s="1281"/>
      <c r="M85" s="1281"/>
      <c r="N85" s="1281"/>
      <c r="O85" s="1281"/>
      <c r="P85" s="1281"/>
      <c r="Q85" s="53"/>
      <c r="R85" s="53"/>
      <c r="S85" s="1281"/>
      <c r="T85" s="1281"/>
      <c r="U85" s="1281"/>
      <c r="V85" s="1281"/>
      <c r="W85" s="1281"/>
      <c r="X85" s="1281"/>
      <c r="Y85" s="1281"/>
    </row>
    <row r="86" spans="1:25" x14ac:dyDescent="0.2">
      <c r="A86" s="842"/>
      <c r="B86" s="1281"/>
      <c r="C86" s="1281"/>
      <c r="D86" s="1281"/>
      <c r="E86" s="1281"/>
      <c r="F86" s="1281"/>
      <c r="G86" s="1281"/>
      <c r="H86" s="1281"/>
      <c r="I86" s="1281"/>
      <c r="J86" s="1281"/>
      <c r="K86" s="1281"/>
      <c r="L86" s="1281"/>
      <c r="M86" s="1281"/>
      <c r="N86" s="1281"/>
      <c r="O86" s="1281"/>
      <c r="P86" s="1281"/>
      <c r="Q86" s="53"/>
      <c r="R86" s="53"/>
      <c r="S86" s="1281"/>
      <c r="T86" s="1281"/>
      <c r="U86" s="1281"/>
      <c r="V86" s="1281"/>
      <c r="W86" s="1281"/>
      <c r="X86" s="1281"/>
      <c r="Y86" s="1281"/>
    </row>
    <row r="87" spans="1:25" x14ac:dyDescent="0.2">
      <c r="A87" s="842"/>
      <c r="B87" s="1281"/>
      <c r="C87" s="1281"/>
      <c r="D87" s="1281"/>
      <c r="E87" s="1281"/>
      <c r="F87" s="1281"/>
      <c r="G87" s="1281"/>
      <c r="H87" s="1281"/>
      <c r="I87" s="1281"/>
      <c r="J87" s="1281"/>
      <c r="K87" s="1281"/>
      <c r="L87" s="1281"/>
      <c r="M87" s="1281"/>
      <c r="N87" s="1281"/>
      <c r="O87" s="1281"/>
      <c r="P87" s="1281"/>
      <c r="Q87" s="53"/>
      <c r="R87" s="53"/>
      <c r="S87" s="1281"/>
      <c r="T87" s="1281"/>
      <c r="U87" s="1281"/>
      <c r="V87" s="1281"/>
      <c r="W87" s="1281"/>
      <c r="X87" s="1281"/>
      <c r="Y87" s="1281"/>
    </row>
    <row r="88" spans="1:25" x14ac:dyDescent="0.2">
      <c r="A88" s="842"/>
      <c r="B88" s="1281"/>
      <c r="C88" s="1281"/>
      <c r="D88" s="1281"/>
      <c r="E88" s="1281"/>
      <c r="F88" s="1281"/>
      <c r="G88" s="1281"/>
      <c r="H88" s="1281"/>
      <c r="I88" s="1281"/>
      <c r="J88" s="1281"/>
      <c r="K88" s="1281"/>
      <c r="L88" s="1281"/>
      <c r="M88" s="1281"/>
      <c r="N88" s="1281"/>
      <c r="O88" s="1281"/>
      <c r="P88" s="1281"/>
      <c r="Q88" s="53"/>
      <c r="R88" s="53"/>
      <c r="S88" s="1281"/>
      <c r="T88" s="1281"/>
      <c r="U88" s="1281"/>
      <c r="V88" s="1281"/>
      <c r="W88" s="1281"/>
      <c r="X88" s="1281"/>
      <c r="Y88" s="1281"/>
    </row>
  </sheetData>
  <sheetProtection algorithmName="SHA-512" hashValue="wVATDxi4zZKN1r2QsX3iPSKSP034mA6kdh41AMSnMREuH5b5Ix+jYrv74IVpTROR26a3ax1WcEIbruOQXzRkog==" saltValue="C9v3pBqA/mADDyqe9yYxlw==" spinCount="100000" sheet="1" autoFilter="0"/>
  <customSheetViews>
    <customSheetView guid="{9FCFC836-1CA5-48BF-958D-24D2EA94B219}" showGridLines="0" fitToPage="1" hiddenColumns="1" topLeftCell="B1">
      <selection activeCell="H38" sqref="H38"/>
      <pageMargins left="0" right="0" top="0" bottom="0" header="0" footer="0"/>
      <pageSetup scale="66" pageOrder="overThenDown" orientation="landscape" r:id="rId1"/>
      <headerFooter alignWithMargins="0">
        <oddFooter>&amp;R&amp;A</oddFooter>
      </headerFooter>
    </customSheetView>
    <customSheetView guid="{B08879A4-635B-4C39-9937-AC7883D562FC}" showGridLines="0" fitToPage="1" hiddenColumns="1" topLeftCell="B1">
      <selection activeCell="H38" sqref="H38"/>
      <pageMargins left="0" right="0" top="0" bottom="0" header="0" footer="0"/>
      <pageSetup scale="66" pageOrder="overThenDown" orientation="landscape" r:id="rId2"/>
      <headerFooter alignWithMargins="0">
        <oddFooter>&amp;R&amp;A</oddFooter>
      </headerFooter>
    </customSheetView>
  </customSheetViews>
  <mergeCells count="10">
    <mergeCell ref="N9:T9"/>
    <mergeCell ref="H13:H16"/>
    <mergeCell ref="L13:N13"/>
    <mergeCell ref="B48:T48"/>
    <mergeCell ref="B1:T1"/>
    <mergeCell ref="U1:U3"/>
    <mergeCell ref="B2:T2"/>
    <mergeCell ref="B3:T3"/>
    <mergeCell ref="N7:T7"/>
    <mergeCell ref="N8:T8"/>
  </mergeCells>
  <conditionalFormatting sqref="U1:U4">
    <cfRule type="cellIs" dxfId="164" priority="1" stopIfTrue="1" operator="equal">
      <formula>"na"</formula>
    </cfRule>
  </conditionalFormatting>
  <dataValidations xWindow="336" yWindow="316" count="7">
    <dataValidation type="decimal" operator="lessThanOrEqual" allowBlank="1" showInputMessage="1" showErrorMessage="1" errorTitle="Invalid data!" error="Decrease in CIP must be a negative number." sqref="R24:R25" xr:uid="{00000000-0002-0000-0700-000000000000}">
      <formula1>0</formula1>
    </dataValidation>
    <dataValidation type="textLength" operator="equal" allowBlank="1" showInputMessage="1" showErrorMessage="1" errorTitle="Invalid data!" error="GASB number must be 4 digits." promptTitle="Capital Assets GASB Number" prompt="For primary government governmental fund types, the GASB fund number for Capital Assets should be 5100." sqref="D8:D9" xr:uid="{00000000-0002-0000-0700-000001000000}">
      <formula1>4</formula1>
    </dataValidation>
    <dataValidation type="decimal" operator="greaterThanOrEqual" allowBlank="1" showInputMessage="1" showErrorMessage="1" errorTitle="Invalid data!" error="Amount must be positive." sqref="J22:J24 H20:H25 D43 H27:H43" xr:uid="{00000000-0002-0000-0700-000002000000}">
      <formula1>0</formula1>
    </dataValidation>
    <dataValidation type="decimal" operator="lessThan" allowBlank="1" showErrorMessage="1" errorTitle="Invalid data!" error="Retirements must be entered as negative numbers." sqref="P20:P25 P27:P43" xr:uid="{00000000-0002-0000-0700-000003000000}">
      <formula1>0</formula1>
    </dataValidation>
    <dataValidation type="decimal" operator="lessThanOrEqual" allowBlank="1" showInputMessage="1" showErrorMessage="1" errorTitle="Invalid data!" error="Amount must be negative." sqref="J25 J20:J21 J27:J43" xr:uid="{00000000-0002-0000-0700-000004000000}">
      <formula1>0</formula1>
    </dataValidation>
    <dataValidation type="decimal" operator="greaterThanOrEqual" allowBlank="1" showInputMessage="1" showErrorMessage="1" errorTitle="Invalid data!" error="Amount must be positive!" sqref="L20:L25 N20:N25 N27:N43 L27:L43" xr:uid="{00000000-0002-0000-0700-000005000000}">
      <formula1>0</formula1>
    </dataValidation>
    <dataValidation type="list" allowBlank="1" showInputMessage="1" showErrorMessage="1" sqref="D7" xr:uid="{15963BF4-3A6B-457B-B467-68E2EBD16FB5}">
      <formula1>"No Function,General government,Primary and secondary education, Higher education, Health and human services,Economic development, Environment and natural resources, Public safety, Transportation, Agriculture"</formula1>
    </dataValidation>
  </dataValidations>
  <hyperlinks>
    <hyperlink ref="B1:T1" location="Index!A1" display="Index!A1" xr:uid="{00000000-0004-0000-0700-000000000000}"/>
  </hyperlinks>
  <pageMargins left="0.6" right="0.6" top="0.5" bottom="0.5" header="0.3" footer="0.3"/>
  <pageSetup scale="63" orientation="landscape" r:id="rId3"/>
  <ignoredErrors>
    <ignoredError sqref="D26 D36" unlockedFormula="1"/>
    <ignoredError sqref="K44:L44" formula="1"/>
  </ignoredErrors>
  <legacyDrawing r:id="rId4"/>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55"/>
  <dimension ref="A1:V170"/>
  <sheetViews>
    <sheetView zoomScaleNormal="100" workbookViewId="0">
      <selection sqref="A1:M1"/>
    </sheetView>
  </sheetViews>
  <sheetFormatPr defaultColWidth="9.42578125" defaultRowHeight="12.75" x14ac:dyDescent="0.2"/>
  <cols>
    <col min="1" max="1" width="3.5703125" style="357" customWidth="1"/>
    <col min="2" max="2" width="9.42578125" style="357"/>
    <col min="3" max="3" width="5.5703125" style="357" customWidth="1"/>
    <col min="4" max="6" width="9.42578125" style="357"/>
    <col min="7" max="7" width="5.5703125" style="357" customWidth="1"/>
    <col min="8" max="8" width="1.5703125" style="357" customWidth="1"/>
    <col min="9" max="9" width="9.42578125" style="357"/>
    <col min="10" max="10" width="19.42578125" style="215" customWidth="1"/>
    <col min="11" max="11" width="4.5703125" style="357" customWidth="1"/>
    <col min="12" max="13" width="18.5703125" style="357" customWidth="1"/>
    <col min="14" max="16384" width="9.42578125" style="357"/>
  </cols>
  <sheetData>
    <row r="1" spans="1:22" ht="25.15" customHeight="1" x14ac:dyDescent="0.25">
      <c r="A1"/>
      <c r="B1" s="2553" t="str">
        <f>+Index!$A$1</f>
        <v xml:space="preserve">                                                               Office of the State Controller                                                                </v>
      </c>
      <c r="C1" s="2553"/>
      <c r="D1" s="2553"/>
      <c r="E1" s="2553"/>
      <c r="F1" s="2553"/>
      <c r="G1" s="2553"/>
      <c r="H1" s="2553"/>
      <c r="I1" s="2553"/>
      <c r="J1" s="2553"/>
      <c r="K1" s="849" t="str">
        <f>IF(Index!$B$108="na","NA","")</f>
        <v/>
      </c>
      <c r="L1" s="2268"/>
      <c r="M1" s="2268"/>
      <c r="N1" s="356"/>
      <c r="O1" s="356"/>
      <c r="P1" s="356"/>
      <c r="Q1" s="356"/>
      <c r="R1" s="356"/>
      <c r="S1" s="356"/>
      <c r="T1" s="356"/>
      <c r="U1" s="356"/>
    </row>
    <row r="2" spans="1:22" ht="16.5" x14ac:dyDescent="0.3">
      <c r="A2"/>
      <c r="B2" s="2532" t="str">
        <f>+Index!$A$2</f>
        <v>2024 ACFR Worksheets</v>
      </c>
      <c r="C2" s="2532"/>
      <c r="D2" s="2532"/>
      <c r="E2" s="2532"/>
      <c r="F2" s="2532"/>
      <c r="G2" s="2532"/>
      <c r="H2" s="2532"/>
      <c r="I2" s="2532"/>
      <c r="J2" s="2532"/>
      <c r="K2" s="849"/>
      <c r="L2" s="322"/>
      <c r="M2" s="322"/>
      <c r="N2" s="359"/>
      <c r="O2" s="359"/>
      <c r="P2" s="359"/>
      <c r="Q2" s="359"/>
      <c r="R2" s="359"/>
      <c r="S2" s="359"/>
      <c r="T2" s="359"/>
      <c r="U2" s="359"/>
    </row>
    <row r="3" spans="1:22" ht="42" customHeight="1" x14ac:dyDescent="0.3">
      <c r="A3"/>
      <c r="B3" s="3105" t="s">
        <v>4752</v>
      </c>
      <c r="C3" s="3105"/>
      <c r="D3" s="3105"/>
      <c r="E3" s="3105"/>
      <c r="F3" s="3105"/>
      <c r="G3" s="3105"/>
      <c r="H3" s="3105"/>
      <c r="I3" s="3105"/>
      <c r="J3" s="3105"/>
      <c r="K3" s="849"/>
      <c r="L3" s="322"/>
      <c r="M3" s="322"/>
      <c r="N3" s="359"/>
      <c r="O3" s="359"/>
      <c r="P3" s="359"/>
      <c r="Q3" s="359"/>
      <c r="R3" s="359"/>
      <c r="S3" s="359"/>
      <c r="T3" s="359"/>
      <c r="U3" s="359"/>
    </row>
    <row r="4" spans="1:22" x14ac:dyDescent="0.2">
      <c r="A4"/>
      <c r="B4" s="809" t="s">
        <v>4753</v>
      </c>
      <c r="C4" s="764"/>
      <c r="D4" s="764"/>
      <c r="E4" s="764"/>
      <c r="F4" s="764"/>
      <c r="G4" s="764"/>
      <c r="H4" s="764"/>
      <c r="I4" s="764"/>
      <c r="J4" s="765"/>
      <c r="K4"/>
      <c r="L4"/>
      <c r="M4"/>
    </row>
    <row r="5" spans="1:22" s="360" customFormat="1" ht="15" customHeight="1" x14ac:dyDescent="0.2">
      <c r="A5" s="105"/>
      <c r="B5" s="105" t="s">
        <v>318</v>
      </c>
      <c r="C5" s="105"/>
      <c r="D5" s="333" t="s">
        <v>4754</v>
      </c>
      <c r="E5" s="332"/>
      <c r="F5" s="105" t="s">
        <v>320</v>
      </c>
      <c r="G5" s="105"/>
      <c r="H5" s="3073" t="str">
        <f>+CONCATENATE(Index!$E$12," ",Index!$E$14)</f>
        <v xml:space="preserve"> </v>
      </c>
      <c r="I5" s="3073"/>
      <c r="J5" s="3073"/>
      <c r="K5" s="105"/>
      <c r="L5" s="105"/>
      <c r="M5" s="105"/>
      <c r="N5" s="361"/>
      <c r="V5" s="362"/>
    </row>
    <row r="6" spans="1:22" s="360" customFormat="1" ht="15" customHeight="1" x14ac:dyDescent="0.2">
      <c r="A6" s="105"/>
      <c r="B6" s="105" t="s">
        <v>319</v>
      </c>
      <c r="C6" s="105"/>
      <c r="D6" s="3104" t="s">
        <v>4755</v>
      </c>
      <c r="E6" s="3104"/>
      <c r="F6" s="3104"/>
      <c r="G6" s="3104"/>
      <c r="H6" s="105"/>
      <c r="I6" s="105"/>
      <c r="J6" s="105"/>
      <c r="K6" s="105"/>
      <c r="L6" s="105"/>
      <c r="M6" s="105"/>
      <c r="N6" s="363"/>
      <c r="O6" s="363"/>
      <c r="P6" s="363"/>
      <c r="Q6" s="363"/>
      <c r="R6" s="363"/>
      <c r="S6" s="363"/>
      <c r="T6" s="363"/>
      <c r="U6" s="364"/>
      <c r="V6" s="362"/>
    </row>
    <row r="7" spans="1:22" s="360" customFormat="1" ht="15" customHeight="1" x14ac:dyDescent="0.2">
      <c r="A7" s="105"/>
      <c r="B7" s="105" t="s">
        <v>545</v>
      </c>
      <c r="C7" s="105"/>
      <c r="D7" s="767" t="s">
        <v>4756</v>
      </c>
      <c r="E7" s="105"/>
      <c r="F7" s="431" t="s">
        <v>168</v>
      </c>
      <c r="G7" s="3099">
        <f>+Index!$E$13</f>
        <v>0</v>
      </c>
      <c r="H7" s="3099"/>
      <c r="I7" s="3099"/>
      <c r="J7" s="3099"/>
      <c r="K7" s="105"/>
      <c r="L7" s="105"/>
      <c r="M7" s="105"/>
      <c r="V7" s="362"/>
    </row>
    <row r="8" spans="1:22" s="365" customFormat="1" ht="12" customHeight="1" x14ac:dyDescent="0.2">
      <c r="A8" s="27"/>
      <c r="B8" s="803" t="s">
        <v>4757</v>
      </c>
      <c r="C8" s="804"/>
      <c r="D8" s="804"/>
      <c r="E8" s="804"/>
      <c r="F8" s="804"/>
      <c r="G8" s="805"/>
      <c r="H8" s="806"/>
      <c r="I8" s="807"/>
      <c r="J8" s="808"/>
      <c r="K8" s="27"/>
      <c r="L8" s="27"/>
      <c r="M8" s="27"/>
    </row>
    <row r="9" spans="1:22" x14ac:dyDescent="0.2">
      <c r="A9"/>
      <c r="B9" s="391"/>
      <c r="C9" s="27"/>
      <c r="D9" s="27"/>
      <c r="E9" s="27"/>
      <c r="F9" s="27"/>
      <c r="G9" s="733"/>
      <c r="H9" s="27"/>
      <c r="I9"/>
      <c r="J9" s="770" t="s">
        <v>4758</v>
      </c>
      <c r="K9"/>
      <c r="L9" s="711" t="s">
        <v>4759</v>
      </c>
      <c r="M9" s="711" t="s">
        <v>4760</v>
      </c>
    </row>
    <row r="10" spans="1:22" x14ac:dyDescent="0.2">
      <c r="A10"/>
      <c r="B10" s="771" t="s">
        <v>555</v>
      </c>
      <c r="C10" s="773"/>
      <c r="D10" s="773"/>
      <c r="E10"/>
      <c r="F10"/>
      <c r="G10"/>
      <c r="H10"/>
      <c r="I10"/>
      <c r="J10" s="610" t="str">
        <f>TEXT(Data!$A$2,"mmmm d,yyyy")</f>
        <v>June 30,2024</v>
      </c>
      <c r="K10" s="2442"/>
      <c r="L10" s="610" t="str">
        <f>TEXT(Data!$A$2,"mmmm d,yyyy")</f>
        <v>June 30,2024</v>
      </c>
      <c r="M10" s="610" t="str">
        <f>TEXT(Data!$A$2,"mmmm d,yyyy")</f>
        <v>June 30,2024</v>
      </c>
    </row>
    <row r="11" spans="1:22" x14ac:dyDescent="0.2">
      <c r="A11"/>
      <c r="B11" s="3100" t="s">
        <v>1935</v>
      </c>
      <c r="C11" s="3100"/>
      <c r="D11" s="3100"/>
      <c r="E11" s="3100"/>
      <c r="F11" s="3100"/>
      <c r="G11" s="3100"/>
      <c r="H11" s="3100"/>
      <c r="I11" s="3100"/>
      <c r="J11" s="451">
        <f>SUM(L11+M11)</f>
        <v>0</v>
      </c>
      <c r="K11" s="213"/>
      <c r="L11" s="451">
        <f>'906-6B'!J11</f>
        <v>0</v>
      </c>
      <c r="M11" s="451">
        <f>'906-6C'!J11</f>
        <v>0</v>
      </c>
    </row>
    <row r="12" spans="1:22" x14ac:dyDescent="0.2">
      <c r="A12"/>
      <c r="B12" s="1782" t="s">
        <v>4690</v>
      </c>
      <c r="C12" s="773"/>
      <c r="D12"/>
      <c r="E12"/>
      <c r="F12"/>
      <c r="G12"/>
      <c r="H12"/>
      <c r="I12"/>
      <c r="J12" s="738"/>
      <c r="K12" s="213"/>
      <c r="L12" s="2380"/>
      <c r="M12" s="2380"/>
    </row>
    <row r="13" spans="1:22" x14ac:dyDescent="0.2">
      <c r="A13"/>
      <c r="B13" s="3100" t="s">
        <v>4691</v>
      </c>
      <c r="C13" s="3100"/>
      <c r="D13" s="3100"/>
      <c r="E13" s="3100"/>
      <c r="F13" s="3100"/>
      <c r="G13" s="3100"/>
      <c r="H13" s="3100"/>
      <c r="I13" s="3100"/>
      <c r="J13" s="212">
        <f>SUM(L13:M13)</f>
        <v>0</v>
      </c>
      <c r="K13" s="213"/>
      <c r="L13" s="212">
        <f>'906-6B'!J13</f>
        <v>0</v>
      </c>
      <c r="M13" s="212">
        <f>'906-6C'!J13</f>
        <v>0</v>
      </c>
    </row>
    <row r="14" spans="1:22" x14ac:dyDescent="0.2">
      <c r="A14"/>
      <c r="B14" s="3100" t="s">
        <v>4692</v>
      </c>
      <c r="C14" s="3100"/>
      <c r="D14" s="3100"/>
      <c r="E14" s="3100"/>
      <c r="F14" s="3100"/>
      <c r="G14" s="3100"/>
      <c r="H14" s="3100"/>
      <c r="I14" s="3100"/>
      <c r="J14" s="212">
        <f t="shared" ref="J14:J38" si="0">SUM(L14:M14)</f>
        <v>0</v>
      </c>
      <c r="K14" s="213"/>
      <c r="L14" s="212">
        <f>'906-6B'!J14</f>
        <v>0</v>
      </c>
      <c r="M14" s="212">
        <f>'906-6C'!J14</f>
        <v>0</v>
      </c>
    </row>
    <row r="15" spans="1:22" x14ac:dyDescent="0.2">
      <c r="A15"/>
      <c r="B15" s="3100" t="s">
        <v>4694</v>
      </c>
      <c r="C15" s="3100"/>
      <c r="D15" s="3100"/>
      <c r="E15" s="3100"/>
      <c r="F15" s="3100"/>
      <c r="G15" s="3100"/>
      <c r="H15" s="3100"/>
      <c r="I15" s="3100"/>
      <c r="J15" s="212">
        <f t="shared" si="0"/>
        <v>0</v>
      </c>
      <c r="K15" s="213"/>
      <c r="L15" s="212">
        <f>'906-6B'!J15</f>
        <v>0</v>
      </c>
      <c r="M15" s="212">
        <f>'906-6C'!J15</f>
        <v>0</v>
      </c>
    </row>
    <row r="16" spans="1:22" x14ac:dyDescent="0.2">
      <c r="A16"/>
      <c r="B16" s="3100" t="s">
        <v>4695</v>
      </c>
      <c r="C16" s="3100"/>
      <c r="D16" s="3100"/>
      <c r="E16" s="3100"/>
      <c r="F16" s="3100"/>
      <c r="G16" s="3100"/>
      <c r="H16" s="3100"/>
      <c r="I16" s="3100"/>
      <c r="J16" s="212">
        <f t="shared" si="0"/>
        <v>0</v>
      </c>
      <c r="K16" s="213"/>
      <c r="L16" s="212">
        <f>'906-6B'!J16</f>
        <v>0</v>
      </c>
      <c r="M16" s="212">
        <f>'906-6C'!J16</f>
        <v>0</v>
      </c>
    </row>
    <row r="17" spans="1:13" x14ac:dyDescent="0.2">
      <c r="A17"/>
      <c r="B17" s="3100" t="s">
        <v>4696</v>
      </c>
      <c r="C17" s="3100"/>
      <c r="D17" s="3100"/>
      <c r="E17" s="3100"/>
      <c r="F17" s="3100"/>
      <c r="G17" s="3100"/>
      <c r="H17" s="3100"/>
      <c r="I17" s="3100"/>
      <c r="J17" s="212">
        <f t="shared" si="0"/>
        <v>0</v>
      </c>
      <c r="K17" s="213"/>
      <c r="L17" s="212">
        <f>'906-6B'!J17</f>
        <v>0</v>
      </c>
      <c r="M17" s="212">
        <f>'906-6C'!J17</f>
        <v>0</v>
      </c>
    </row>
    <row r="18" spans="1:13" x14ac:dyDescent="0.2">
      <c r="A18"/>
      <c r="B18" s="3100" t="s">
        <v>4697</v>
      </c>
      <c r="C18" s="3100"/>
      <c r="D18" s="3100"/>
      <c r="E18" s="3100"/>
      <c r="F18" s="3100"/>
      <c r="G18" s="3100"/>
      <c r="H18" s="3100"/>
      <c r="I18" s="3100"/>
      <c r="J18" s="212">
        <f t="shared" si="0"/>
        <v>0</v>
      </c>
      <c r="K18" s="213"/>
      <c r="L18" s="212">
        <f>'906-6B'!J18</f>
        <v>0</v>
      </c>
      <c r="M18" s="212">
        <f>'906-6C'!J18</f>
        <v>0</v>
      </c>
    </row>
    <row r="19" spans="1:13" x14ac:dyDescent="0.2">
      <c r="A19"/>
      <c r="B19" s="3100" t="s">
        <v>4698</v>
      </c>
      <c r="C19" s="3100"/>
      <c r="D19" s="3100"/>
      <c r="E19" s="3100"/>
      <c r="F19" s="3100"/>
      <c r="G19" s="3100"/>
      <c r="H19" s="3100"/>
      <c r="I19" s="3100"/>
      <c r="J19" s="212">
        <f t="shared" si="0"/>
        <v>0</v>
      </c>
      <c r="K19" s="213"/>
      <c r="L19" s="212">
        <f>'906-6B'!J19</f>
        <v>0</v>
      </c>
      <c r="M19" s="212">
        <f>'906-6C'!J19</f>
        <v>0</v>
      </c>
    </row>
    <row r="20" spans="1:13" x14ac:dyDescent="0.2">
      <c r="A20"/>
      <c r="B20" s="3100" t="s">
        <v>4699</v>
      </c>
      <c r="C20" s="3100"/>
      <c r="D20" s="3100"/>
      <c r="E20" s="3100"/>
      <c r="F20" s="3100"/>
      <c r="G20" s="3100"/>
      <c r="H20" s="3100"/>
      <c r="I20" s="3100"/>
      <c r="J20" s="212">
        <f t="shared" si="0"/>
        <v>0</v>
      </c>
      <c r="K20" s="213"/>
      <c r="L20" s="212">
        <f>'906-6B'!J20</f>
        <v>0</v>
      </c>
      <c r="M20" s="212">
        <f>'906-6C'!J20</f>
        <v>0</v>
      </c>
    </row>
    <row r="21" spans="1:13" x14ac:dyDescent="0.2">
      <c r="A21"/>
      <c r="B21" s="3100" t="s">
        <v>4700</v>
      </c>
      <c r="C21" s="3100"/>
      <c r="D21" s="3100"/>
      <c r="E21" s="3100"/>
      <c r="F21" s="3100"/>
      <c r="G21" s="3100"/>
      <c r="H21" s="3100"/>
      <c r="I21" s="3100"/>
      <c r="J21" s="212">
        <f t="shared" si="0"/>
        <v>0</v>
      </c>
      <c r="K21" s="213"/>
      <c r="L21" s="212">
        <f>'906-6B'!J21</f>
        <v>0</v>
      </c>
      <c r="M21" s="212">
        <f>'906-6C'!J21</f>
        <v>0</v>
      </c>
    </row>
    <row r="22" spans="1:13" x14ac:dyDescent="0.2">
      <c r="A22"/>
      <c r="B22" s="3100" t="s">
        <v>4701</v>
      </c>
      <c r="C22" s="3100"/>
      <c r="D22" s="3100"/>
      <c r="E22" s="3100"/>
      <c r="F22" s="3100"/>
      <c r="G22" s="3100"/>
      <c r="H22" s="3100"/>
      <c r="I22" s="3100"/>
      <c r="J22" s="212">
        <f t="shared" si="0"/>
        <v>0</v>
      </c>
      <c r="K22" s="213"/>
      <c r="L22" s="212">
        <f>'906-6B'!J22</f>
        <v>0</v>
      </c>
      <c r="M22" s="212">
        <f>'906-6C'!J22</f>
        <v>0</v>
      </c>
    </row>
    <row r="23" spans="1:13" x14ac:dyDescent="0.2">
      <c r="A23"/>
      <c r="B23" s="3100" t="s">
        <v>4702</v>
      </c>
      <c r="C23" s="3100"/>
      <c r="D23" s="3100"/>
      <c r="E23" s="3100"/>
      <c r="F23" s="3100"/>
      <c r="G23" s="3100"/>
      <c r="H23" s="3100"/>
      <c r="I23" s="3100"/>
      <c r="J23" s="212">
        <f t="shared" si="0"/>
        <v>0</v>
      </c>
      <c r="K23" s="213"/>
      <c r="L23" s="212">
        <f>'906-6B'!J23</f>
        <v>0</v>
      </c>
      <c r="M23" s="212">
        <f>'906-6C'!J23</f>
        <v>0</v>
      </c>
    </row>
    <row r="24" spans="1:13" x14ac:dyDescent="0.2">
      <c r="A24"/>
      <c r="B24" s="3100" t="s">
        <v>4703</v>
      </c>
      <c r="C24" s="3100"/>
      <c r="D24" s="3100"/>
      <c r="E24" s="3100"/>
      <c r="F24" s="3100"/>
      <c r="G24" s="3100"/>
      <c r="H24" s="3100"/>
      <c r="I24" s="3100"/>
      <c r="J24" s="212">
        <f t="shared" si="0"/>
        <v>0</v>
      </c>
      <c r="K24" s="213"/>
      <c r="L24" s="212">
        <f>'906-6B'!J24</f>
        <v>0</v>
      </c>
      <c r="M24" s="212">
        <f>'906-6C'!J24</f>
        <v>0</v>
      </c>
    </row>
    <row r="25" spans="1:13" x14ac:dyDescent="0.2">
      <c r="A25"/>
      <c r="B25" s="3100" t="s">
        <v>4705</v>
      </c>
      <c r="C25" s="3100"/>
      <c r="D25" s="3100"/>
      <c r="E25" s="3100"/>
      <c r="F25" s="3100"/>
      <c r="G25" s="3100"/>
      <c r="H25" s="3100"/>
      <c r="I25" s="3100"/>
      <c r="J25" s="212">
        <f t="shared" si="0"/>
        <v>0</v>
      </c>
      <c r="K25" s="213"/>
      <c r="L25" s="212">
        <f>'906-6B'!J25</f>
        <v>0</v>
      </c>
      <c r="M25" s="212">
        <f>'906-6C'!J25</f>
        <v>0</v>
      </c>
    </row>
    <row r="26" spans="1:13" x14ac:dyDescent="0.2">
      <c r="A26"/>
      <c r="B26" s="3100" t="s">
        <v>4706</v>
      </c>
      <c r="C26" s="3100"/>
      <c r="D26" s="3100"/>
      <c r="E26" s="3100"/>
      <c r="F26" s="3100"/>
      <c r="G26" s="3100"/>
      <c r="H26" s="3100"/>
      <c r="I26" s="3100"/>
      <c r="J26" s="212">
        <f t="shared" si="0"/>
        <v>0</v>
      </c>
      <c r="K26" s="213"/>
      <c r="L26" s="212">
        <f>'906-6B'!J26</f>
        <v>0</v>
      </c>
      <c r="M26" s="212">
        <f>'906-6C'!J26</f>
        <v>0</v>
      </c>
    </row>
    <row r="27" spans="1:13" x14ac:dyDescent="0.2">
      <c r="A27"/>
      <c r="B27" s="3100" t="s">
        <v>4708</v>
      </c>
      <c r="C27" s="3100"/>
      <c r="D27" s="3100"/>
      <c r="E27" s="3100"/>
      <c r="F27" s="3100"/>
      <c r="G27" s="3100"/>
      <c r="H27" s="3100"/>
      <c r="I27" s="3100"/>
      <c r="J27" s="212">
        <f t="shared" si="0"/>
        <v>0</v>
      </c>
      <c r="K27" s="213"/>
      <c r="L27" s="212">
        <f>'906-6B'!J27</f>
        <v>0</v>
      </c>
      <c r="M27" s="212">
        <f>'906-6C'!J27</f>
        <v>0</v>
      </c>
    </row>
    <row r="28" spans="1:13" x14ac:dyDescent="0.2">
      <c r="A28"/>
      <c r="B28" s="3100" t="s">
        <v>4710</v>
      </c>
      <c r="C28" s="3100"/>
      <c r="D28" s="3100"/>
      <c r="E28" s="3100"/>
      <c r="F28" s="3100"/>
      <c r="G28" s="3100"/>
      <c r="H28" s="3100"/>
      <c r="I28" s="3100"/>
      <c r="J28" s="212">
        <f t="shared" si="0"/>
        <v>0</v>
      </c>
      <c r="K28" s="213"/>
      <c r="L28" s="212">
        <f>'906-6B'!J28</f>
        <v>0</v>
      </c>
      <c r="M28" s="212">
        <f>'906-6C'!J28</f>
        <v>0</v>
      </c>
    </row>
    <row r="29" spans="1:13" x14ac:dyDescent="0.2">
      <c r="A29"/>
      <c r="B29" s="3100" t="s">
        <v>3040</v>
      </c>
      <c r="C29" s="3100"/>
      <c r="D29" s="3100"/>
      <c r="E29" s="3100"/>
      <c r="F29" s="3100"/>
      <c r="G29" s="3100"/>
      <c r="H29" s="3100"/>
      <c r="I29" s="3100"/>
      <c r="J29" s="212">
        <f t="shared" si="0"/>
        <v>0</v>
      </c>
      <c r="K29" s="213"/>
      <c r="L29" s="212">
        <f>'906-6B'!J29</f>
        <v>0</v>
      </c>
      <c r="M29" s="212">
        <f>'906-6C'!J29</f>
        <v>0</v>
      </c>
    </row>
    <row r="30" spans="1:13" x14ac:dyDescent="0.2">
      <c r="A30"/>
      <c r="B30" s="773" t="s">
        <v>2741</v>
      </c>
      <c r="C30" s="773"/>
      <c r="D30"/>
      <c r="E30"/>
      <c r="F30"/>
      <c r="G30"/>
      <c r="H30"/>
      <c r="I30"/>
      <c r="J30" s="212">
        <f t="shared" si="0"/>
        <v>0</v>
      </c>
      <c r="K30" s="213"/>
      <c r="L30" s="212">
        <f>'906-6B'!J30</f>
        <v>0</v>
      </c>
      <c r="M30" s="212">
        <f>'906-6C'!J30</f>
        <v>0</v>
      </c>
    </row>
    <row r="31" spans="1:13" x14ac:dyDescent="0.2">
      <c r="A31"/>
      <c r="B31" s="3100" t="s">
        <v>4711</v>
      </c>
      <c r="C31" s="3100"/>
      <c r="D31" s="3100"/>
      <c r="E31" s="3100"/>
      <c r="F31" s="3100"/>
      <c r="G31" s="3100"/>
      <c r="H31" s="3100"/>
      <c r="I31" s="3100"/>
      <c r="J31" s="212">
        <f t="shared" si="0"/>
        <v>0</v>
      </c>
      <c r="K31" s="213"/>
      <c r="L31" s="212">
        <f>'906-6B'!J31</f>
        <v>0</v>
      </c>
      <c r="M31" s="212">
        <f>'906-6C'!J31</f>
        <v>0</v>
      </c>
    </row>
    <row r="32" spans="1:13" x14ac:dyDescent="0.2">
      <c r="A32"/>
      <c r="B32" s="3100" t="s">
        <v>4712</v>
      </c>
      <c r="C32" s="3100"/>
      <c r="D32" s="3100"/>
      <c r="E32" s="3100"/>
      <c r="F32" s="3100"/>
      <c r="G32" s="3100"/>
      <c r="H32" s="3100"/>
      <c r="I32" s="3100"/>
      <c r="J32" s="212">
        <f t="shared" si="0"/>
        <v>0</v>
      </c>
      <c r="K32" s="213"/>
      <c r="L32" s="212">
        <f>'906-6B'!J32</f>
        <v>0</v>
      </c>
      <c r="M32" s="212">
        <f>'906-6C'!J32</f>
        <v>0</v>
      </c>
    </row>
    <row r="33" spans="1:13" x14ac:dyDescent="0.2">
      <c r="A33"/>
      <c r="B33" s="3100" t="s">
        <v>4713</v>
      </c>
      <c r="C33" s="3100"/>
      <c r="D33" s="3100"/>
      <c r="E33" s="3100"/>
      <c r="F33" s="3100"/>
      <c r="G33" s="3100"/>
      <c r="H33" s="3100"/>
      <c r="I33" s="3100"/>
      <c r="J33" s="212">
        <f t="shared" si="0"/>
        <v>0</v>
      </c>
      <c r="K33" s="213"/>
      <c r="L33" s="212">
        <f>'906-6B'!J33</f>
        <v>0</v>
      </c>
      <c r="M33" s="212">
        <f>'906-6C'!J33</f>
        <v>0</v>
      </c>
    </row>
    <row r="34" spans="1:13" x14ac:dyDescent="0.2">
      <c r="A34"/>
      <c r="B34" s="3100" t="s">
        <v>2752</v>
      </c>
      <c r="C34" s="3100"/>
      <c r="D34" s="3100"/>
      <c r="E34" s="3100"/>
      <c r="F34" s="3100"/>
      <c r="G34" s="3100"/>
      <c r="H34" s="3100"/>
      <c r="I34" s="3100"/>
      <c r="J34" s="212">
        <f t="shared" si="0"/>
        <v>0</v>
      </c>
      <c r="K34" s="213"/>
      <c r="L34" s="212">
        <f>'906-6B'!J34</f>
        <v>0</v>
      </c>
      <c r="M34" s="212">
        <f>'906-6C'!J34</f>
        <v>0</v>
      </c>
    </row>
    <row r="35" spans="1:13" x14ac:dyDescent="0.2">
      <c r="A35"/>
      <c r="B35" s="3100" t="s">
        <v>2750</v>
      </c>
      <c r="C35" s="3100"/>
      <c r="D35" s="3100"/>
      <c r="E35" s="3100"/>
      <c r="F35" s="3100"/>
      <c r="G35" s="3100"/>
      <c r="H35" s="3100"/>
      <c r="I35" s="3100"/>
      <c r="J35" s="212">
        <f t="shared" si="0"/>
        <v>0</v>
      </c>
      <c r="K35" s="213"/>
      <c r="L35" s="212">
        <f>'906-6B'!J35</f>
        <v>0</v>
      </c>
      <c r="M35" s="212">
        <f>'906-6C'!J35</f>
        <v>0</v>
      </c>
    </row>
    <row r="36" spans="1:13" x14ac:dyDescent="0.2">
      <c r="A36"/>
      <c r="B36" s="3100" t="s">
        <v>4714</v>
      </c>
      <c r="C36" s="3100"/>
      <c r="D36" s="3100"/>
      <c r="E36" s="3100"/>
      <c r="F36" s="3100"/>
      <c r="G36" s="3100"/>
      <c r="H36" s="3100"/>
      <c r="I36" s="3100"/>
      <c r="J36" s="212">
        <f t="shared" si="0"/>
        <v>0</v>
      </c>
      <c r="K36" s="213"/>
      <c r="L36" s="212">
        <f>'906-6B'!J36</f>
        <v>0</v>
      </c>
      <c r="M36" s="212">
        <f>'906-6C'!J36</f>
        <v>0</v>
      </c>
    </row>
    <row r="37" spans="1:13" x14ac:dyDescent="0.2">
      <c r="A37"/>
      <c r="B37" s="3100" t="s">
        <v>4715</v>
      </c>
      <c r="C37" s="3100"/>
      <c r="D37" s="3100"/>
      <c r="E37" s="3100"/>
      <c r="F37" s="3100"/>
      <c r="G37" s="3100"/>
      <c r="H37" s="3100"/>
      <c r="I37" s="3100"/>
      <c r="J37" s="212">
        <f t="shared" si="0"/>
        <v>0</v>
      </c>
      <c r="K37" s="213"/>
      <c r="L37" s="212">
        <f>'906-6B'!J37</f>
        <v>0</v>
      </c>
      <c r="M37" s="212">
        <f>'906-6C'!J37</f>
        <v>0</v>
      </c>
    </row>
    <row r="38" spans="1:13" x14ac:dyDescent="0.2">
      <c r="A38"/>
      <c r="B38" s="3100" t="s">
        <v>4716</v>
      </c>
      <c r="C38" s="3100"/>
      <c r="D38" s="3100"/>
      <c r="E38" s="3100"/>
      <c r="F38" s="3100"/>
      <c r="G38" s="3100"/>
      <c r="H38" s="3100"/>
      <c r="I38" s="3100"/>
      <c r="J38" s="212">
        <f t="shared" si="0"/>
        <v>0</v>
      </c>
      <c r="K38" s="213"/>
      <c r="L38" s="212">
        <f>'906-6B'!J38</f>
        <v>0</v>
      </c>
      <c r="M38" s="212">
        <f>'906-6C'!J38</f>
        <v>0</v>
      </c>
    </row>
    <row r="39" spans="1:13" x14ac:dyDescent="0.2">
      <c r="A39"/>
      <c r="B39" s="3100" t="s">
        <v>1769</v>
      </c>
      <c r="C39" s="3100"/>
      <c r="D39" s="3100"/>
      <c r="E39" s="3100"/>
      <c r="F39" s="3100"/>
      <c r="G39" s="3100"/>
      <c r="H39" s="3100"/>
      <c r="I39" s="3100"/>
      <c r="J39" s="379">
        <f>SUM(J10:J38)</f>
        <v>0</v>
      </c>
      <c r="K39" s="213"/>
      <c r="L39" s="379">
        <f>SUM(L10:L38)</f>
        <v>0</v>
      </c>
      <c r="M39" s="379">
        <f>SUM(M10:M38)</f>
        <v>0</v>
      </c>
    </row>
    <row r="40" spans="1:13" x14ac:dyDescent="0.2">
      <c r="A40"/>
      <c r="B40" s="772"/>
      <c r="C40" s="773"/>
      <c r="D40"/>
      <c r="E40"/>
      <c r="F40"/>
      <c r="G40"/>
      <c r="H40"/>
      <c r="I40"/>
      <c r="J40" s="739"/>
      <c r="K40" s="213"/>
      <c r="L40" s="2380"/>
      <c r="M40" s="2380"/>
    </row>
    <row r="41" spans="1:13" x14ac:dyDescent="0.2">
      <c r="A41"/>
      <c r="B41" s="771" t="s">
        <v>1837</v>
      </c>
      <c r="C41" s="773"/>
      <c r="D41"/>
      <c r="E41"/>
      <c r="F41"/>
      <c r="G41"/>
      <c r="H41"/>
      <c r="I41"/>
      <c r="J41" s="739"/>
      <c r="K41" s="213"/>
      <c r="L41" s="2380"/>
      <c r="M41" s="2380"/>
    </row>
    <row r="42" spans="1:13" x14ac:dyDescent="0.2">
      <c r="A42"/>
      <c r="B42" s="1784" t="s">
        <v>2797</v>
      </c>
      <c r="C42" s="773"/>
      <c r="D42"/>
      <c r="E42"/>
      <c r="F42"/>
      <c r="G42"/>
      <c r="H42"/>
      <c r="I42"/>
      <c r="J42" s="739"/>
      <c r="K42" s="213"/>
      <c r="L42" s="2380"/>
      <c r="M42" s="2380"/>
    </row>
    <row r="43" spans="1:13" x14ac:dyDescent="0.2">
      <c r="A43"/>
      <c r="B43" s="3106" t="s">
        <v>2835</v>
      </c>
      <c r="C43" s="3106"/>
      <c r="D43" s="3106"/>
      <c r="E43" s="3106"/>
      <c r="F43" s="3106"/>
      <c r="G43" s="3106"/>
      <c r="H43" s="3106"/>
      <c r="I43" s="3106"/>
      <c r="J43" s="212">
        <f t="shared" ref="J43:J50" si="1">SUM(L43:M43)</f>
        <v>0</v>
      </c>
      <c r="K43" s="213"/>
      <c r="L43" s="212">
        <f>'906-6B'!J43</f>
        <v>0</v>
      </c>
      <c r="M43" s="212">
        <f>'906-6C'!J43</f>
        <v>0</v>
      </c>
    </row>
    <row r="44" spans="1:13" x14ac:dyDescent="0.2">
      <c r="A44"/>
      <c r="B44" s="3106" t="s">
        <v>2800</v>
      </c>
      <c r="C44" s="3106"/>
      <c r="D44" s="3106"/>
      <c r="E44" s="3106"/>
      <c r="F44" s="3106"/>
      <c r="G44" s="3106"/>
      <c r="H44" s="3106"/>
      <c r="I44" s="3106"/>
      <c r="J44" s="212">
        <f t="shared" si="1"/>
        <v>0</v>
      </c>
      <c r="K44" s="213"/>
      <c r="L44" s="212">
        <f>'906-6B'!J44</f>
        <v>0</v>
      </c>
      <c r="M44" s="212">
        <f>'906-6C'!J44</f>
        <v>0</v>
      </c>
    </row>
    <row r="45" spans="1:13" x14ac:dyDescent="0.2">
      <c r="A45"/>
      <c r="B45" s="3106" t="s">
        <v>4717</v>
      </c>
      <c r="C45" s="3106"/>
      <c r="D45" s="3106"/>
      <c r="E45" s="3106"/>
      <c r="F45" s="3106"/>
      <c r="G45" s="3106"/>
      <c r="H45" s="3106"/>
      <c r="I45" s="3106"/>
      <c r="J45" s="212">
        <f t="shared" si="1"/>
        <v>0</v>
      </c>
      <c r="K45" s="213"/>
      <c r="L45" s="212">
        <f>'906-6B'!J45</f>
        <v>0</v>
      </c>
      <c r="M45" s="212">
        <f>'906-6C'!J45</f>
        <v>0</v>
      </c>
    </row>
    <row r="46" spans="1:13" x14ac:dyDescent="0.2">
      <c r="A46"/>
      <c r="B46" s="3108" t="s">
        <v>2814</v>
      </c>
      <c r="C46" s="3108"/>
      <c r="D46" s="3108"/>
      <c r="E46" s="3108"/>
      <c r="F46" s="3108"/>
      <c r="G46" s="3108"/>
      <c r="H46" s="3108"/>
      <c r="I46" s="3108"/>
      <c r="J46" s="212">
        <f t="shared" si="1"/>
        <v>0</v>
      </c>
      <c r="K46" s="213"/>
      <c r="L46" s="212">
        <f>'906-6B'!J46</f>
        <v>0</v>
      </c>
      <c r="M46" s="212">
        <f>'906-6C'!J46</f>
        <v>0</v>
      </c>
    </row>
    <row r="47" spans="1:13" x14ac:dyDescent="0.2">
      <c r="A47"/>
      <c r="B47" s="3108" t="s">
        <v>2812</v>
      </c>
      <c r="C47" s="3108"/>
      <c r="D47" s="3108"/>
      <c r="E47" s="3108"/>
      <c r="F47" s="3108"/>
      <c r="G47" s="3108"/>
      <c r="H47" s="3108"/>
      <c r="I47" s="3108"/>
      <c r="J47" s="212">
        <f t="shared" si="1"/>
        <v>0</v>
      </c>
      <c r="K47" s="213"/>
      <c r="L47" s="212">
        <f>'906-6B'!J47</f>
        <v>0</v>
      </c>
      <c r="M47" s="212">
        <f>'906-6C'!J47</f>
        <v>0</v>
      </c>
    </row>
    <row r="48" spans="1:13" x14ac:dyDescent="0.2">
      <c r="A48"/>
      <c r="B48" s="3108" t="s">
        <v>2815</v>
      </c>
      <c r="C48" s="3108"/>
      <c r="D48" s="3108"/>
      <c r="E48" s="3108"/>
      <c r="F48" s="3108"/>
      <c r="G48" s="3108"/>
      <c r="H48" s="3108"/>
      <c r="I48" s="3108"/>
      <c r="J48" s="212">
        <f t="shared" si="1"/>
        <v>0</v>
      </c>
      <c r="K48" s="213"/>
      <c r="L48" s="212">
        <f>'906-6B'!J48</f>
        <v>0</v>
      </c>
      <c r="M48" s="212">
        <f>'906-6C'!J48</f>
        <v>0</v>
      </c>
    </row>
    <row r="49" spans="1:13" x14ac:dyDescent="0.2">
      <c r="A49"/>
      <c r="B49" s="3100" t="s">
        <v>2816</v>
      </c>
      <c r="C49" s="3100"/>
      <c r="D49" s="3100"/>
      <c r="E49" s="3100"/>
      <c r="F49" s="3100"/>
      <c r="G49" s="3100"/>
      <c r="H49" s="3100"/>
      <c r="I49" s="3100"/>
      <c r="J49" s="212">
        <f t="shared" si="1"/>
        <v>0</v>
      </c>
      <c r="K49" s="213"/>
      <c r="L49" s="212">
        <f>'906-6B'!J49</f>
        <v>0</v>
      </c>
      <c r="M49" s="212">
        <f>'906-6C'!J49</f>
        <v>0</v>
      </c>
    </row>
    <row r="50" spans="1:13" x14ac:dyDescent="0.2">
      <c r="A50"/>
      <c r="B50" s="3108" t="s">
        <v>1071</v>
      </c>
      <c r="C50" s="3108"/>
      <c r="D50" s="3108"/>
      <c r="E50" s="3108"/>
      <c r="F50" s="3108"/>
      <c r="G50" s="3108"/>
      <c r="H50" s="3108"/>
      <c r="I50" s="3108"/>
      <c r="J50" s="212">
        <f t="shared" si="1"/>
        <v>0</v>
      </c>
      <c r="K50" s="213"/>
      <c r="L50" s="212">
        <f>'906-6B'!J50</f>
        <v>0</v>
      </c>
      <c r="M50" s="212">
        <f>'906-6C'!J50</f>
        <v>0</v>
      </c>
    </row>
    <row r="51" spans="1:13" x14ac:dyDescent="0.2">
      <c r="A51"/>
      <c r="B51" s="3100" t="s">
        <v>1774</v>
      </c>
      <c r="C51" s="3100"/>
      <c r="D51" s="3100"/>
      <c r="E51" s="3100"/>
      <c r="F51" s="3100"/>
      <c r="G51" s="3100"/>
      <c r="H51" s="3100"/>
      <c r="I51" s="3100"/>
      <c r="J51" s="379">
        <f>SUM(J42:J50)</f>
        <v>0</v>
      </c>
      <c r="K51" s="213"/>
      <c r="L51" s="379">
        <f>SUM(L42:L50)</f>
        <v>0</v>
      </c>
      <c r="M51" s="379">
        <f>SUM(M42:M50)</f>
        <v>0</v>
      </c>
    </row>
    <row r="52" spans="1:13" x14ac:dyDescent="0.2">
      <c r="A52"/>
      <c r="B52" s="773"/>
      <c r="C52" s="773"/>
      <c r="D52"/>
      <c r="E52"/>
      <c r="F52"/>
      <c r="G52"/>
      <c r="H52"/>
      <c r="I52"/>
      <c r="J52" s="739"/>
      <c r="K52" s="213"/>
      <c r="L52" s="2440"/>
      <c r="M52" s="2440"/>
    </row>
    <row r="53" spans="1:13" x14ac:dyDescent="0.2">
      <c r="A53"/>
      <c r="B53" s="2438" t="s">
        <v>1776</v>
      </c>
      <c r="C53"/>
      <c r="D53"/>
      <c r="E53"/>
      <c r="F53"/>
      <c r="G53"/>
      <c r="H53"/>
      <c r="I53"/>
      <c r="J53" s="212"/>
      <c r="K53" s="213"/>
      <c r="L53" s="2440"/>
      <c r="M53" s="2440"/>
    </row>
    <row r="54" spans="1:13" x14ac:dyDescent="0.2">
      <c r="A54"/>
      <c r="B54" s="3111" t="s">
        <v>1624</v>
      </c>
      <c r="C54" s="3111"/>
      <c r="D54" s="3111"/>
      <c r="E54" s="3111"/>
      <c r="F54" s="3111"/>
      <c r="G54" s="3111"/>
      <c r="H54" s="3111"/>
      <c r="I54" s="3111"/>
      <c r="J54" s="212"/>
      <c r="K54" s="213"/>
      <c r="L54" s="2440"/>
      <c r="M54" s="2440"/>
    </row>
    <row r="55" spans="1:13" x14ac:dyDescent="0.2">
      <c r="A55"/>
      <c r="B55" s="3108" t="s">
        <v>4750</v>
      </c>
      <c r="C55" s="3108"/>
      <c r="D55" s="3108"/>
      <c r="E55" s="3108"/>
      <c r="F55" s="3108"/>
      <c r="G55" s="3108"/>
      <c r="H55" s="3108"/>
      <c r="I55" s="3108"/>
      <c r="J55" s="212">
        <f>SUM(L55:M55)</f>
        <v>0</v>
      </c>
      <c r="K55" s="213"/>
      <c r="L55" s="212"/>
      <c r="M55" s="212">
        <f>'906-6C'!J55</f>
        <v>0</v>
      </c>
    </row>
    <row r="56" spans="1:13" x14ac:dyDescent="0.2">
      <c r="A56"/>
      <c r="B56" s="3108" t="s">
        <v>4718</v>
      </c>
      <c r="C56" s="3108"/>
      <c r="D56" s="3108"/>
      <c r="E56" s="3108"/>
      <c r="F56" s="3108"/>
      <c r="G56" s="3108"/>
      <c r="H56" s="3108"/>
      <c r="I56" s="3108"/>
      <c r="J56" s="212">
        <f>SUM(L56:M56)</f>
        <v>0</v>
      </c>
      <c r="K56" s="213"/>
      <c r="L56" s="212">
        <f>'906-6B'!J55</f>
        <v>0</v>
      </c>
      <c r="M56" s="212"/>
    </row>
    <row r="57" spans="1:13" ht="13.5" thickBot="1" x14ac:dyDescent="0.25">
      <c r="A57"/>
      <c r="B57" s="3107" t="s">
        <v>1641</v>
      </c>
      <c r="C57" s="3107"/>
      <c r="D57" s="3107"/>
      <c r="E57" s="3107"/>
      <c r="F57" s="3107"/>
      <c r="G57" s="3107"/>
      <c r="H57" s="3107"/>
      <c r="I57" s="3107"/>
      <c r="J57" s="380">
        <f>SUM(J54:J56)</f>
        <v>0</v>
      </c>
      <c r="K57" s="213"/>
      <c r="L57" s="380">
        <f>SUM(L54:L56)</f>
        <v>0</v>
      </c>
      <c r="M57" s="380">
        <f>SUM(M54:M56)</f>
        <v>0</v>
      </c>
    </row>
    <row r="58" spans="1:13" ht="13.5" thickTop="1" x14ac:dyDescent="0.2">
      <c r="A58"/>
      <c r="B58" s="2437"/>
      <c r="C58" s="2437"/>
      <c r="D58" s="2437"/>
      <c r="E58" s="2437"/>
      <c r="F58" s="2437"/>
      <c r="G58" s="2437"/>
      <c r="H58" s="2437"/>
      <c r="I58" s="2437"/>
      <c r="J58" s="212"/>
      <c r="K58" s="213"/>
      <c r="L58" s="2380"/>
      <c r="M58" s="2380"/>
    </row>
    <row r="59" spans="1:13" x14ac:dyDescent="0.2">
      <c r="A59"/>
      <c r="B59" s="3107" t="s">
        <v>4720</v>
      </c>
      <c r="C59" s="3107"/>
      <c r="D59" s="3107"/>
      <c r="E59" s="3107"/>
      <c r="F59" s="3107"/>
      <c r="G59" s="3107"/>
      <c r="H59" s="3107"/>
      <c r="I59" s="3107"/>
      <c r="J59" s="737" t="str">
        <f>IF(ROUND(J39-J51,2)=J57,"In Balance","NOT BALANCED")</f>
        <v>In Balance</v>
      </c>
      <c r="K59" s="213"/>
      <c r="L59" s="737" t="str">
        <f>IF(ROUND(L39-L51,2)=L57,"In Balance","NOT BALANCED")</f>
        <v>In Balance</v>
      </c>
      <c r="M59" s="737" t="str">
        <f>IF(ROUND(M39-M51,2)=M57,"In Balance","NOT BALANCED")</f>
        <v>In Balance</v>
      </c>
    </row>
    <row r="60" spans="1:13" x14ac:dyDescent="0.2">
      <c r="A60"/>
      <c r="B60"/>
      <c r="C60"/>
      <c r="D60"/>
      <c r="E60"/>
      <c r="F60"/>
      <c r="G60"/>
      <c r="H60"/>
      <c r="I60"/>
      <c r="J60" s="770" t="s">
        <v>4758</v>
      </c>
      <c r="K60"/>
      <c r="L60" s="711" t="s">
        <v>4759</v>
      </c>
      <c r="M60" s="711" t="s">
        <v>4760</v>
      </c>
    </row>
    <row r="61" spans="1:13" x14ac:dyDescent="0.2">
      <c r="A61"/>
      <c r="B61" s="774" t="s">
        <v>4721</v>
      </c>
      <c r="C61"/>
      <c r="D61"/>
      <c r="E61"/>
      <c r="F61"/>
      <c r="G61"/>
      <c r="H61"/>
      <c r="I61"/>
      <c r="J61" s="734" t="str">
        <f>CONCATENATE("FYE ",+TEXT(Data!$A$2,"mmmm d,yyyy"))</f>
        <v>FYE June 30,2024</v>
      </c>
      <c r="K61" s="213"/>
      <c r="L61" s="734" t="str">
        <f>CONCATENATE("FYE ",+TEXT(Data!$A$2,"mmmm d,yyyy"))</f>
        <v>FYE June 30,2024</v>
      </c>
      <c r="M61" s="734" t="str">
        <f>CONCATENATE("FYE ",+TEXT(Data!$A$2,"mmmm d,yyyy"))</f>
        <v>FYE June 30,2024</v>
      </c>
    </row>
    <row r="62" spans="1:13" x14ac:dyDescent="0.2">
      <c r="A62"/>
      <c r="B62" s="3110" t="s">
        <v>1850</v>
      </c>
      <c r="C62" s="3110"/>
      <c r="D62" s="3110"/>
      <c r="E62" s="3110"/>
      <c r="F62" s="3110"/>
      <c r="G62" s="3110"/>
      <c r="H62" s="3110"/>
      <c r="I62" s="3110"/>
      <c r="J62" s="212"/>
      <c r="K62" s="213"/>
      <c r="L62" s="2380"/>
      <c r="M62" s="2380"/>
    </row>
    <row r="63" spans="1:13" x14ac:dyDescent="0.2">
      <c r="A63"/>
      <c r="B63" s="3066" t="s">
        <v>4722</v>
      </c>
      <c r="C63" s="3066"/>
      <c r="D63" s="3066"/>
      <c r="E63" s="3066"/>
      <c r="F63" s="3066"/>
      <c r="G63" s="3066"/>
      <c r="H63" s="3066"/>
      <c r="I63" s="3066"/>
      <c r="J63" s="451">
        <f>SUM(L63+M63)</f>
        <v>0</v>
      </c>
      <c r="K63" s="213"/>
      <c r="L63" s="451">
        <f>'906-6B'!J62</f>
        <v>0</v>
      </c>
      <c r="M63" s="451">
        <f>'906-6C'!J62</f>
        <v>0</v>
      </c>
    </row>
    <row r="64" spans="1:13" x14ac:dyDescent="0.2">
      <c r="A64"/>
      <c r="B64" s="3066" t="s">
        <v>4723</v>
      </c>
      <c r="C64" s="3066"/>
      <c r="D64" s="3066"/>
      <c r="E64" s="3066"/>
      <c r="F64" s="3066"/>
      <c r="G64" s="3066"/>
      <c r="H64" s="3066"/>
      <c r="I64" s="3066"/>
      <c r="J64" s="212">
        <f>SUM(L64:M64)</f>
        <v>0</v>
      </c>
      <c r="K64" s="213"/>
      <c r="L64" s="212">
        <f>'906-6B'!J63</f>
        <v>0</v>
      </c>
      <c r="M64" s="212">
        <f>'906-6C'!J63</f>
        <v>0</v>
      </c>
    </row>
    <row r="65" spans="1:13" x14ac:dyDescent="0.2">
      <c r="A65"/>
      <c r="B65" s="3069" t="s">
        <v>4724</v>
      </c>
      <c r="C65" s="3069"/>
      <c r="D65" s="3069"/>
      <c r="E65" s="3069"/>
      <c r="F65" s="3069"/>
      <c r="G65" s="3069"/>
      <c r="H65" s="3069"/>
      <c r="I65" s="3069"/>
      <c r="J65" s="212">
        <f>SUM(L65:M65)</f>
        <v>0</v>
      </c>
      <c r="K65" s="213"/>
      <c r="L65" s="212">
        <f>'906-6B'!J64</f>
        <v>0</v>
      </c>
      <c r="M65" s="212">
        <f>'906-6C'!J64</f>
        <v>0</v>
      </c>
    </row>
    <row r="66" spans="1:13" x14ac:dyDescent="0.2">
      <c r="A66"/>
      <c r="B66" s="3066" t="s">
        <v>4725</v>
      </c>
      <c r="C66" s="3066"/>
      <c r="D66" s="3066"/>
      <c r="E66" s="3066"/>
      <c r="F66" s="3066"/>
      <c r="G66" s="3066"/>
      <c r="H66" s="3066"/>
      <c r="I66" s="3066"/>
      <c r="J66" s="212">
        <f>SUM(L66:M66)</f>
        <v>0</v>
      </c>
      <c r="K66" s="213"/>
      <c r="L66" s="212">
        <f>'906-6B'!J65</f>
        <v>0</v>
      </c>
      <c r="M66" s="212">
        <f>'906-6C'!J65</f>
        <v>0</v>
      </c>
    </row>
    <row r="67" spans="1:13" x14ac:dyDescent="0.2">
      <c r="A67"/>
      <c r="B67" s="3066" t="s">
        <v>4726</v>
      </c>
      <c r="C67" s="3066"/>
      <c r="D67" s="3066"/>
      <c r="E67" s="3066"/>
      <c r="F67" s="3066"/>
      <c r="G67" s="3066"/>
      <c r="H67" s="3066"/>
      <c r="I67" s="3066"/>
      <c r="J67" s="379">
        <f>SUM(J63:J66)</f>
        <v>0</v>
      </c>
      <c r="K67" s="213"/>
      <c r="L67" s="379">
        <f>SUM(L63:L66)</f>
        <v>0</v>
      </c>
      <c r="M67" s="379">
        <f>SUM(M63:M66)</f>
        <v>0</v>
      </c>
    </row>
    <row r="68" spans="1:13" x14ac:dyDescent="0.2">
      <c r="A68"/>
      <c r="B68" s="3110" t="s">
        <v>4727</v>
      </c>
      <c r="C68" s="3110"/>
      <c r="D68" s="3110"/>
      <c r="E68" s="3110"/>
      <c r="F68" s="3110"/>
      <c r="G68" s="3110"/>
      <c r="H68" s="3110"/>
      <c r="I68" s="3110"/>
      <c r="J68" s="212"/>
      <c r="K68" s="213"/>
      <c r="L68" s="2380"/>
      <c r="M68" s="2380"/>
    </row>
    <row r="69" spans="1:13" x14ac:dyDescent="0.2">
      <c r="A69"/>
      <c r="B69" s="3066" t="s">
        <v>4728</v>
      </c>
      <c r="C69" s="3066"/>
      <c r="D69" s="3066"/>
      <c r="E69" s="3066"/>
      <c r="F69" s="3066"/>
      <c r="G69" s="3066"/>
      <c r="H69" s="3066"/>
      <c r="I69" s="3066"/>
      <c r="J69" s="212">
        <f>SUM(L69:M69)</f>
        <v>0</v>
      </c>
      <c r="K69" s="213"/>
      <c r="L69" s="212">
        <f>'906-6B'!J68</f>
        <v>0</v>
      </c>
      <c r="M69" s="212">
        <f>'906-6C'!J68</f>
        <v>0</v>
      </c>
    </row>
    <row r="70" spans="1:13" x14ac:dyDescent="0.2">
      <c r="A70"/>
      <c r="B70" s="3066" t="s">
        <v>4729</v>
      </c>
      <c r="C70" s="3066"/>
      <c r="D70" s="3066"/>
      <c r="E70" s="3066"/>
      <c r="F70" s="3066"/>
      <c r="G70" s="3066"/>
      <c r="H70" s="3066"/>
      <c r="I70" s="3066"/>
      <c r="J70" s="212">
        <f>SUM(L70:M70)</f>
        <v>0</v>
      </c>
      <c r="K70" s="213"/>
      <c r="L70" s="212">
        <f>'906-6B'!J69</f>
        <v>0</v>
      </c>
      <c r="M70" s="212">
        <f>'906-6C'!J69</f>
        <v>0</v>
      </c>
    </row>
    <row r="71" spans="1:13" x14ac:dyDescent="0.2">
      <c r="A71"/>
      <c r="B71" s="3066" t="s">
        <v>4730</v>
      </c>
      <c r="C71" s="3066"/>
      <c r="D71" s="3066"/>
      <c r="E71" s="3066"/>
      <c r="F71" s="3066"/>
      <c r="G71" s="3066"/>
      <c r="H71" s="3066"/>
      <c r="I71" s="3066"/>
      <c r="J71" s="379">
        <f>SUM(J69:J70)</f>
        <v>0</v>
      </c>
      <c r="K71" s="213"/>
      <c r="L71" s="379">
        <f>SUM(L69:L70)</f>
        <v>0</v>
      </c>
      <c r="M71" s="379">
        <f>SUM(M69:M70)</f>
        <v>0</v>
      </c>
    </row>
    <row r="72" spans="1:13" x14ac:dyDescent="0.2">
      <c r="A72"/>
      <c r="B72" s="3110" t="s">
        <v>1853</v>
      </c>
      <c r="C72" s="3110"/>
      <c r="D72" s="3110"/>
      <c r="E72" s="3110"/>
      <c r="F72" s="3110"/>
      <c r="G72" s="3110"/>
      <c r="H72" s="3110"/>
      <c r="I72" s="3110"/>
      <c r="J72" s="212"/>
      <c r="K72" s="213"/>
      <c r="L72" s="2440"/>
      <c r="M72" s="2440"/>
    </row>
    <row r="73" spans="1:13" x14ac:dyDescent="0.2">
      <c r="A73"/>
      <c r="B73" s="3066" t="s">
        <v>4731</v>
      </c>
      <c r="C73" s="3066"/>
      <c r="D73" s="3066"/>
      <c r="E73" s="3066"/>
      <c r="F73" s="3066"/>
      <c r="G73" s="3066"/>
      <c r="H73" s="3066"/>
      <c r="I73" s="3066"/>
      <c r="J73" s="212">
        <f>SUM(L73:M73)</f>
        <v>0</v>
      </c>
      <c r="K73" s="213"/>
      <c r="L73" s="212">
        <f>'906-6B'!J72</f>
        <v>0</v>
      </c>
      <c r="M73" s="212">
        <f>'906-6C'!J72</f>
        <v>0</v>
      </c>
    </row>
    <row r="74" spans="1:13" x14ac:dyDescent="0.2">
      <c r="A74"/>
      <c r="B74" s="3066" t="s">
        <v>4732</v>
      </c>
      <c r="C74" s="3066"/>
      <c r="D74" s="3066"/>
      <c r="E74" s="3066"/>
      <c r="F74" s="3066"/>
      <c r="G74" s="3066"/>
      <c r="H74" s="3066"/>
      <c r="I74" s="3066"/>
      <c r="J74" s="212">
        <f>SUM(L74:M74)</f>
        <v>0</v>
      </c>
      <c r="K74" s="213"/>
      <c r="L74" s="212">
        <f>'906-6B'!J73</f>
        <v>0</v>
      </c>
      <c r="M74" s="212">
        <f>'906-6C'!J73</f>
        <v>0</v>
      </c>
    </row>
    <row r="75" spans="1:13" x14ac:dyDescent="0.2">
      <c r="A75"/>
      <c r="B75" s="3066" t="s">
        <v>4733</v>
      </c>
      <c r="C75" s="3066"/>
      <c r="D75" s="3066"/>
      <c r="E75" s="3066"/>
      <c r="F75" s="3066"/>
      <c r="G75" s="3066"/>
      <c r="H75" s="3066"/>
      <c r="I75" s="3066"/>
      <c r="J75" s="212">
        <f>SUM(L75:M75)</f>
        <v>0</v>
      </c>
      <c r="K75" s="213"/>
      <c r="L75" s="212">
        <f>'906-6B'!J74</f>
        <v>0</v>
      </c>
      <c r="M75" s="212">
        <f>'906-6C'!J74</f>
        <v>0</v>
      </c>
    </row>
    <row r="76" spans="1:13" x14ac:dyDescent="0.2">
      <c r="A76"/>
      <c r="B76" s="3066" t="s">
        <v>4734</v>
      </c>
      <c r="C76" s="3066"/>
      <c r="D76" s="3066"/>
      <c r="E76" s="3066"/>
      <c r="F76" s="3066"/>
      <c r="G76" s="3066"/>
      <c r="H76" s="3066"/>
      <c r="I76" s="3066"/>
      <c r="J76" s="379">
        <f>SUM(J73:J75)</f>
        <v>0</v>
      </c>
      <c r="K76" s="213"/>
      <c r="L76" s="379">
        <f>SUM(L73:L75)</f>
        <v>0</v>
      </c>
      <c r="M76" s="379">
        <f>SUM(M73:M75)</f>
        <v>0</v>
      </c>
    </row>
    <row r="77" spans="1:13" x14ac:dyDescent="0.2">
      <c r="A77"/>
      <c r="B77" s="3066" t="s">
        <v>1854</v>
      </c>
      <c r="C77" s="3066"/>
      <c r="D77" s="3066"/>
      <c r="E77" s="3066"/>
      <c r="F77" s="3066"/>
      <c r="G77" s="3066"/>
      <c r="H77" s="3066"/>
      <c r="I77" s="3066"/>
      <c r="J77" s="379">
        <f>J67+J71+J76</f>
        <v>0</v>
      </c>
      <c r="K77" s="213"/>
      <c r="L77" s="379">
        <f>L67+L71+L76</f>
        <v>0</v>
      </c>
      <c r="M77" s="379">
        <f>M67+M71+M76</f>
        <v>0</v>
      </c>
    </row>
    <row r="78" spans="1:13" x14ac:dyDescent="0.2">
      <c r="A78"/>
      <c r="B78" s="2380"/>
      <c r="C78"/>
      <c r="D78"/>
      <c r="E78"/>
      <c r="F78"/>
      <c r="G78"/>
      <c r="H78"/>
      <c r="I78"/>
      <c r="J78" s="212"/>
      <c r="K78" s="213"/>
      <c r="L78" s="2380"/>
      <c r="M78" s="2380"/>
    </row>
    <row r="79" spans="1:13" x14ac:dyDescent="0.2">
      <c r="A79"/>
      <c r="B79" s="3109" t="s">
        <v>4735</v>
      </c>
      <c r="C79" s="3109"/>
      <c r="D79" s="3109"/>
      <c r="E79" s="3109"/>
      <c r="F79" s="3109"/>
      <c r="G79" s="3109"/>
      <c r="H79" s="3109"/>
      <c r="I79" s="3109"/>
      <c r="J79" s="212"/>
      <c r="K79" s="213"/>
      <c r="L79" s="2380"/>
      <c r="M79" s="2380"/>
    </row>
    <row r="80" spans="1:13" x14ac:dyDescent="0.2">
      <c r="A80"/>
      <c r="B80" s="3066" t="s">
        <v>2885</v>
      </c>
      <c r="C80" s="3066"/>
      <c r="D80" s="3066"/>
      <c r="E80" s="3066"/>
      <c r="F80" s="3066"/>
      <c r="G80" s="3066"/>
      <c r="H80" s="3066"/>
      <c r="I80" s="3066"/>
      <c r="J80" s="212">
        <f>SUM(L80:M80)</f>
        <v>0</v>
      </c>
      <c r="K80" s="213"/>
      <c r="L80" s="212">
        <f>'906-6B'!J79</f>
        <v>0</v>
      </c>
      <c r="M80" s="212">
        <f>'906-6C'!J79</f>
        <v>0</v>
      </c>
    </row>
    <row r="81" spans="1:13" x14ac:dyDescent="0.2">
      <c r="A81"/>
      <c r="B81" s="3066" t="s">
        <v>4328</v>
      </c>
      <c r="C81" s="3066"/>
      <c r="D81" s="3066"/>
      <c r="E81" s="3066"/>
      <c r="F81" s="3066"/>
      <c r="G81" s="3066"/>
      <c r="H81" s="3066"/>
      <c r="I81" s="3066"/>
      <c r="J81" s="212">
        <f>SUM(L81:M81)</f>
        <v>0</v>
      </c>
      <c r="K81" s="213"/>
      <c r="L81" s="212">
        <f>'906-6B'!J80</f>
        <v>0</v>
      </c>
      <c r="M81" s="212">
        <f>'906-6C'!J80</f>
        <v>0</v>
      </c>
    </row>
    <row r="82" spans="1:13" x14ac:dyDescent="0.2">
      <c r="A82"/>
      <c r="B82" s="3066" t="s">
        <v>4736</v>
      </c>
      <c r="C82" s="3066"/>
      <c r="D82" s="3066"/>
      <c r="E82" s="3066"/>
      <c r="F82" s="3066"/>
      <c r="G82" s="3066"/>
      <c r="H82" s="3066"/>
      <c r="I82" s="3066"/>
      <c r="J82" s="212">
        <f>SUM(L82:M82)</f>
        <v>0</v>
      </c>
      <c r="K82" s="213"/>
      <c r="L82" s="212">
        <f>'906-6B'!J81</f>
        <v>0</v>
      </c>
      <c r="M82" s="212">
        <f>'906-6C'!J81</f>
        <v>0</v>
      </c>
    </row>
    <row r="83" spans="1:13" x14ac:dyDescent="0.2">
      <c r="A83"/>
      <c r="B83" s="3066" t="s">
        <v>4738</v>
      </c>
      <c r="C83" s="3066"/>
      <c r="D83" s="3066"/>
      <c r="E83" s="3066"/>
      <c r="F83" s="3066"/>
      <c r="G83" s="3066"/>
      <c r="H83" s="3066"/>
      <c r="I83" s="3066"/>
      <c r="J83" s="212">
        <f>SUM(L83:M83)</f>
        <v>0</v>
      </c>
      <c r="K83" s="213"/>
      <c r="L83" s="212">
        <f>'906-6B'!J82</f>
        <v>0</v>
      </c>
      <c r="M83" s="212">
        <f>'906-6C'!J82</f>
        <v>0</v>
      </c>
    </row>
    <row r="84" spans="1:13" x14ac:dyDescent="0.2">
      <c r="A84"/>
      <c r="B84" s="3066" t="s">
        <v>4739</v>
      </c>
      <c r="C84" s="3066"/>
      <c r="D84" s="3066"/>
      <c r="E84" s="3066"/>
      <c r="F84" s="3066"/>
      <c r="G84" s="3066"/>
      <c r="H84" s="3066"/>
      <c r="I84" s="3066"/>
      <c r="J84" s="379">
        <f>SUM(J80:J83)</f>
        <v>0</v>
      </c>
      <c r="K84" s="213"/>
      <c r="L84" s="379">
        <f>SUM(L80:L83)</f>
        <v>0</v>
      </c>
      <c r="M84" s="379">
        <f>SUM(M80:M83)</f>
        <v>0</v>
      </c>
    </row>
    <row r="85" spans="1:13" x14ac:dyDescent="0.2">
      <c r="A85"/>
      <c r="B85" s="3066" t="s">
        <v>4740</v>
      </c>
      <c r="C85" s="3066"/>
      <c r="D85" s="3066"/>
      <c r="E85" s="3066"/>
      <c r="F85" s="3066"/>
      <c r="G85" s="3066"/>
      <c r="H85" s="3066"/>
      <c r="I85" s="3066"/>
      <c r="J85" s="731">
        <f>J77-J84</f>
        <v>0</v>
      </c>
      <c r="K85" s="213"/>
      <c r="L85" s="731">
        <f>L77-L84</f>
        <v>0</v>
      </c>
      <c r="M85" s="731">
        <f>M77-M84</f>
        <v>0</v>
      </c>
    </row>
    <row r="86" spans="1:13" x14ac:dyDescent="0.2">
      <c r="A86"/>
      <c r="B86" s="3108" t="s">
        <v>4741</v>
      </c>
      <c r="C86" s="3108"/>
      <c r="D86" s="3108"/>
      <c r="E86" s="3108"/>
      <c r="F86" s="3108"/>
      <c r="G86" s="3108"/>
      <c r="H86" s="3108"/>
      <c r="I86" s="3108"/>
      <c r="J86" s="212">
        <f>SUM(L86:M86)</f>
        <v>14146911700.559999</v>
      </c>
      <c r="K86" s="213"/>
      <c r="L86" s="212">
        <f>'906-6B'!J85</f>
        <v>1690999559.4200001</v>
      </c>
      <c r="M86" s="212">
        <f>'906-6C'!J85</f>
        <v>12455912141.139999</v>
      </c>
    </row>
    <row r="87" spans="1:13" x14ac:dyDescent="0.2">
      <c r="A87"/>
      <c r="B87" s="3108" t="s">
        <v>4742</v>
      </c>
      <c r="C87" s="3108"/>
      <c r="D87" s="3108"/>
      <c r="E87" s="3108"/>
      <c r="F87" s="3108"/>
      <c r="G87" s="3108"/>
      <c r="H87" s="3108"/>
      <c r="I87" s="3108"/>
      <c r="J87" s="212">
        <f>SUM(L87:M87)</f>
        <v>0</v>
      </c>
      <c r="K87" s="213"/>
      <c r="L87" s="212">
        <f>'906-6B'!J86</f>
        <v>0</v>
      </c>
      <c r="M87" s="212">
        <f>'906-6C'!J86</f>
        <v>0</v>
      </c>
    </row>
    <row r="88" spans="1:13" ht="13.5" thickBot="1" x14ac:dyDescent="0.25">
      <c r="A88"/>
      <c r="B88" s="3108" t="s">
        <v>4743</v>
      </c>
      <c r="C88" s="3108"/>
      <c r="D88" s="3108"/>
      <c r="E88" s="3108"/>
      <c r="F88" s="3108"/>
      <c r="G88" s="3108"/>
      <c r="H88" s="3108"/>
      <c r="I88" s="3108"/>
      <c r="J88" s="381">
        <f>SUM(J85:J87)</f>
        <v>14146911700.559999</v>
      </c>
      <c r="K88" s="213"/>
      <c r="L88" s="381">
        <f>SUM(L85:L87)</f>
        <v>1690999559.4200001</v>
      </c>
      <c r="M88" s="381">
        <f>SUM(M85:M87)</f>
        <v>12455912141.139999</v>
      </c>
    </row>
    <row r="89" spans="1:13" ht="13.5" thickTop="1" x14ac:dyDescent="0.2">
      <c r="A89"/>
      <c r="B89"/>
      <c r="C89"/>
      <c r="D89"/>
      <c r="E89"/>
      <c r="F89"/>
      <c r="G89"/>
      <c r="H89"/>
      <c r="I89"/>
      <c r="J89" s="212"/>
      <c r="K89" s="218"/>
      <c r="L89" s="218"/>
      <c r="M89" s="218"/>
    </row>
    <row r="90" spans="1:13" x14ac:dyDescent="0.2">
      <c r="A90"/>
      <c r="B90"/>
      <c r="C90"/>
      <c r="D90"/>
      <c r="E90"/>
      <c r="F90"/>
      <c r="G90"/>
      <c r="H90"/>
      <c r="I90"/>
      <c r="J90" s="212"/>
      <c r="K90" s="170"/>
      <c r="L90" s="170"/>
      <c r="M90" s="170"/>
    </row>
    <row r="91" spans="1:13" x14ac:dyDescent="0.2">
      <c r="A91"/>
      <c r="B91" s="3107" t="s">
        <v>4761</v>
      </c>
      <c r="C91" s="3107"/>
      <c r="D91" s="3107"/>
      <c r="E91" s="3107"/>
      <c r="F91" s="3107"/>
      <c r="G91" s="3107"/>
      <c r="H91" s="3107"/>
      <c r="I91" s="3107"/>
      <c r="J91" s="737" t="str">
        <f>IF(ROUND(J57-J88,2)=0,"In Balance","NOT BALANCED")</f>
        <v>NOT BALANCED</v>
      </c>
      <c r="K91" s="2440"/>
      <c r="L91" s="737" t="str">
        <f>IF(ROUND(L57-L88,2)=0,"In Balance","NOT BALANCED")</f>
        <v>NOT BALANCED</v>
      </c>
      <c r="M91" s="737" t="str">
        <f>IF(ROUND(M57-M88,2)=0,"In Balance","NOT BALANCED")</f>
        <v>NOT BALANCED</v>
      </c>
    </row>
    <row r="92" spans="1:13" x14ac:dyDescent="0.2">
      <c r="B92"/>
      <c r="C92"/>
      <c r="D92"/>
      <c r="E92"/>
      <c r="F92"/>
      <c r="G92"/>
      <c r="H92"/>
      <c r="I92"/>
      <c r="J92" s="212"/>
      <c r="K92" s="2440"/>
      <c r="L92" s="2440"/>
      <c r="M92" s="2440"/>
    </row>
    <row r="93" spans="1:13" x14ac:dyDescent="0.2">
      <c r="B93" s="2398"/>
      <c r="J93" s="374"/>
      <c r="K93" s="769"/>
      <c r="L93" s="374"/>
      <c r="M93" s="374"/>
    </row>
    <row r="94" spans="1:13" x14ac:dyDescent="0.2">
      <c r="K94" s="2430"/>
      <c r="L94" s="2430"/>
      <c r="M94" s="2430"/>
    </row>
    <row r="95" spans="1:13" x14ac:dyDescent="0.2">
      <c r="K95" s="2430"/>
      <c r="L95" s="2430"/>
      <c r="M95" s="2430"/>
    </row>
    <row r="96" spans="1:13" x14ac:dyDescent="0.2">
      <c r="K96" s="2430"/>
      <c r="L96" s="2430"/>
      <c r="M96" s="2430"/>
    </row>
    <row r="97" spans="11:13" x14ac:dyDescent="0.2">
      <c r="K97" s="2430"/>
      <c r="L97" s="2430"/>
      <c r="M97" s="2430"/>
    </row>
    <row r="98" spans="11:13" x14ac:dyDescent="0.2">
      <c r="K98" s="2430"/>
      <c r="L98" s="2430"/>
      <c r="M98" s="2430"/>
    </row>
    <row r="99" spans="11:13" x14ac:dyDescent="0.2">
      <c r="K99" s="2430"/>
      <c r="L99" s="2430"/>
      <c r="M99" s="2430"/>
    </row>
    <row r="100" spans="11:13" x14ac:dyDescent="0.2">
      <c r="K100" s="2430"/>
      <c r="L100" s="2430"/>
      <c r="M100" s="2430"/>
    </row>
    <row r="101" spans="11:13" x14ac:dyDescent="0.2">
      <c r="K101" s="2430"/>
      <c r="L101" s="2430"/>
      <c r="M101" s="2430"/>
    </row>
    <row r="102" spans="11:13" x14ac:dyDescent="0.2">
      <c r="K102" s="2430"/>
      <c r="L102" s="2430"/>
      <c r="M102" s="2430"/>
    </row>
    <row r="103" spans="11:13" x14ac:dyDescent="0.2">
      <c r="K103" s="369"/>
      <c r="L103" s="369"/>
      <c r="M103" s="369"/>
    </row>
    <row r="104" spans="11:13" x14ac:dyDescent="0.2">
      <c r="K104" s="368"/>
      <c r="L104" s="368"/>
      <c r="M104" s="368"/>
    </row>
    <row r="105" spans="11:13" x14ac:dyDescent="0.2">
      <c r="K105" s="2430"/>
      <c r="L105" s="2430"/>
      <c r="M105" s="2430"/>
    </row>
    <row r="106" spans="11:13" x14ac:dyDescent="0.2">
      <c r="K106" s="369"/>
      <c r="L106" s="369"/>
      <c r="M106" s="369"/>
    </row>
    <row r="107" spans="11:13" x14ac:dyDescent="0.2">
      <c r="K107" s="369"/>
      <c r="L107" s="369"/>
      <c r="M107" s="369"/>
    </row>
    <row r="108" spans="11:13" x14ac:dyDescent="0.2">
      <c r="K108" s="2430"/>
      <c r="L108" s="2430"/>
      <c r="M108" s="2430"/>
    </row>
    <row r="109" spans="11:13" x14ac:dyDescent="0.2">
      <c r="K109" s="369"/>
      <c r="L109" s="369"/>
      <c r="M109" s="369"/>
    </row>
    <row r="110" spans="11:13" x14ac:dyDescent="0.2">
      <c r="K110" s="2430"/>
      <c r="L110" s="2430"/>
      <c r="M110" s="2430"/>
    </row>
    <row r="111" spans="11:13" x14ac:dyDescent="0.2">
      <c r="K111" s="2430"/>
      <c r="L111" s="2430"/>
      <c r="M111" s="2430"/>
    </row>
    <row r="112" spans="11:13" x14ac:dyDescent="0.2">
      <c r="K112" s="2430"/>
      <c r="L112" s="2430"/>
      <c r="M112" s="2430"/>
    </row>
    <row r="113" spans="11:13" x14ac:dyDescent="0.2">
      <c r="K113" s="2430"/>
      <c r="L113" s="2430"/>
      <c r="M113" s="2430"/>
    </row>
    <row r="114" spans="11:13" x14ac:dyDescent="0.2">
      <c r="K114" s="2430"/>
      <c r="L114" s="2430"/>
      <c r="M114" s="2430"/>
    </row>
    <row r="115" spans="11:13" x14ac:dyDescent="0.2">
      <c r="K115" s="2430"/>
      <c r="L115" s="2430"/>
      <c r="M115" s="2430"/>
    </row>
    <row r="116" spans="11:13" x14ac:dyDescent="0.2">
      <c r="K116" s="2430"/>
      <c r="L116" s="2430"/>
      <c r="M116" s="2430"/>
    </row>
    <row r="117" spans="11:13" x14ac:dyDescent="0.2">
      <c r="K117" s="2430"/>
      <c r="L117" s="2430"/>
      <c r="M117" s="2430"/>
    </row>
    <row r="118" spans="11:13" x14ac:dyDescent="0.2">
      <c r="K118" s="369"/>
      <c r="L118" s="369"/>
      <c r="M118" s="369"/>
    </row>
    <row r="119" spans="11:13" x14ac:dyDescent="0.2">
      <c r="K119" s="369"/>
      <c r="L119" s="369"/>
      <c r="M119" s="369"/>
    </row>
    <row r="121" spans="11:13" x14ac:dyDescent="0.2">
      <c r="K121" s="376"/>
      <c r="L121" s="376"/>
      <c r="M121" s="376"/>
    </row>
    <row r="122" spans="11:13" x14ac:dyDescent="0.2">
      <c r="K122" s="376"/>
      <c r="L122" s="376"/>
      <c r="M122" s="376"/>
    </row>
    <row r="123" spans="11:13" x14ac:dyDescent="0.2">
      <c r="K123" s="376"/>
      <c r="L123" s="376"/>
      <c r="M123" s="376"/>
    </row>
    <row r="124" spans="11:13" x14ac:dyDescent="0.2">
      <c r="K124" s="376"/>
      <c r="L124" s="376"/>
      <c r="M124" s="376"/>
    </row>
    <row r="125" spans="11:13" x14ac:dyDescent="0.2">
      <c r="K125" s="2430"/>
      <c r="L125" s="2430"/>
      <c r="M125" s="2430"/>
    </row>
    <row r="126" spans="11:13" x14ac:dyDescent="0.2">
      <c r="K126" s="378"/>
      <c r="L126" s="378"/>
      <c r="M126" s="378"/>
    </row>
    <row r="127" spans="11:13" x14ac:dyDescent="0.2">
      <c r="K127" s="2430"/>
      <c r="L127" s="2430"/>
      <c r="M127" s="2430"/>
    </row>
    <row r="128" spans="11:13" x14ac:dyDescent="0.2">
      <c r="K128" s="2430"/>
      <c r="L128" s="2430"/>
      <c r="M128" s="2430"/>
    </row>
    <row r="129" spans="11:13" x14ac:dyDescent="0.2">
      <c r="K129" s="2430"/>
      <c r="L129" s="2430"/>
      <c r="M129" s="2430"/>
    </row>
    <row r="130" spans="11:13" x14ac:dyDescent="0.2">
      <c r="K130" s="2430"/>
      <c r="L130" s="2430"/>
      <c r="M130" s="2430"/>
    </row>
    <row r="131" spans="11:13" x14ac:dyDescent="0.2">
      <c r="K131" s="2430"/>
      <c r="L131" s="2430"/>
      <c r="M131" s="2430"/>
    </row>
    <row r="132" spans="11:13" x14ac:dyDescent="0.2">
      <c r="K132" s="2430"/>
      <c r="L132" s="2430"/>
      <c r="M132" s="2430"/>
    </row>
    <row r="133" spans="11:13" x14ac:dyDescent="0.2">
      <c r="K133" s="2430"/>
      <c r="L133" s="2430"/>
      <c r="M133" s="2430"/>
    </row>
    <row r="134" spans="11:13" x14ac:dyDescent="0.2">
      <c r="K134" s="2430"/>
      <c r="L134" s="2430"/>
      <c r="M134" s="2430"/>
    </row>
    <row r="135" spans="11:13" x14ac:dyDescent="0.2">
      <c r="K135" s="2430"/>
      <c r="L135" s="2430"/>
      <c r="M135" s="2430"/>
    </row>
    <row r="136" spans="11:13" x14ac:dyDescent="0.2">
      <c r="K136" s="378"/>
      <c r="L136" s="378"/>
      <c r="M136" s="378"/>
    </row>
    <row r="137" spans="11:13" x14ac:dyDescent="0.2">
      <c r="K137" s="2430"/>
      <c r="L137" s="2430"/>
      <c r="M137" s="2430"/>
    </row>
    <row r="138" spans="11:13" x14ac:dyDescent="0.2">
      <c r="K138" s="2430"/>
      <c r="L138" s="2430"/>
      <c r="M138" s="2430"/>
    </row>
    <row r="139" spans="11:13" x14ac:dyDescent="0.2">
      <c r="K139" s="2430"/>
      <c r="L139" s="2430"/>
      <c r="M139" s="2430"/>
    </row>
    <row r="140" spans="11:13" x14ac:dyDescent="0.2">
      <c r="K140" s="2430"/>
      <c r="L140" s="2430"/>
      <c r="M140" s="2430"/>
    </row>
    <row r="141" spans="11:13" x14ac:dyDescent="0.2">
      <c r="K141" s="2430"/>
      <c r="L141" s="2430"/>
      <c r="M141" s="2430"/>
    </row>
    <row r="142" spans="11:13" x14ac:dyDescent="0.2">
      <c r="K142" s="2430"/>
      <c r="L142" s="2430"/>
      <c r="M142" s="2430"/>
    </row>
    <row r="143" spans="11:13" x14ac:dyDescent="0.2">
      <c r="K143" s="2430"/>
      <c r="L143" s="2430"/>
      <c r="M143" s="2430"/>
    </row>
    <row r="144" spans="11:13" x14ac:dyDescent="0.2">
      <c r="K144" s="2430"/>
      <c r="L144" s="2430"/>
      <c r="M144" s="2430"/>
    </row>
    <row r="145" spans="11:13" x14ac:dyDescent="0.2">
      <c r="K145" s="2430"/>
      <c r="L145" s="2430"/>
      <c r="M145" s="2430"/>
    </row>
    <row r="146" spans="11:13" x14ac:dyDescent="0.2">
      <c r="K146" s="2430"/>
      <c r="L146" s="2430"/>
      <c r="M146" s="2430"/>
    </row>
    <row r="147" spans="11:13" x14ac:dyDescent="0.2">
      <c r="K147" s="2430"/>
      <c r="L147" s="2430"/>
      <c r="M147" s="2430"/>
    </row>
    <row r="148" spans="11:13" x14ac:dyDescent="0.2">
      <c r="K148" s="368"/>
      <c r="L148" s="368"/>
      <c r="M148" s="368"/>
    </row>
    <row r="149" spans="11:13" x14ac:dyDescent="0.2">
      <c r="K149" s="2430"/>
      <c r="L149" s="2430"/>
      <c r="M149" s="2430"/>
    </row>
    <row r="150" spans="11:13" x14ac:dyDescent="0.2">
      <c r="K150" s="2430"/>
      <c r="L150" s="2430"/>
      <c r="M150" s="2430"/>
    </row>
    <row r="151" spans="11:13" x14ac:dyDescent="0.2">
      <c r="K151" s="2430"/>
      <c r="L151" s="2430"/>
      <c r="M151" s="2430"/>
    </row>
    <row r="152" spans="11:13" x14ac:dyDescent="0.2">
      <c r="K152" s="2430"/>
      <c r="L152" s="2430"/>
      <c r="M152" s="2430"/>
    </row>
    <row r="153" spans="11:13" x14ac:dyDescent="0.2">
      <c r="K153" s="2430"/>
      <c r="L153" s="2430"/>
      <c r="M153" s="2430"/>
    </row>
    <row r="154" spans="11:13" x14ac:dyDescent="0.2">
      <c r="K154" s="2430"/>
      <c r="L154" s="2430"/>
      <c r="M154" s="2430"/>
    </row>
    <row r="155" spans="11:13" x14ac:dyDescent="0.2">
      <c r="K155" s="2430"/>
      <c r="L155" s="2430"/>
      <c r="M155" s="2430"/>
    </row>
    <row r="156" spans="11:13" x14ac:dyDescent="0.2">
      <c r="K156" s="2430"/>
      <c r="L156" s="2430"/>
      <c r="M156" s="2430"/>
    </row>
    <row r="157" spans="11:13" x14ac:dyDescent="0.2">
      <c r="K157" s="2430"/>
      <c r="L157" s="2430"/>
      <c r="M157" s="2430"/>
    </row>
    <row r="158" spans="11:13" x14ac:dyDescent="0.2">
      <c r="K158" s="2430"/>
      <c r="L158" s="2430"/>
      <c r="M158" s="2430"/>
    </row>
    <row r="159" spans="11:13" x14ac:dyDescent="0.2">
      <c r="K159" s="2430"/>
      <c r="L159" s="2430"/>
      <c r="M159" s="2430"/>
    </row>
    <row r="160" spans="11:13" x14ac:dyDescent="0.2">
      <c r="K160" s="2430"/>
      <c r="L160" s="2430"/>
      <c r="M160" s="2430"/>
    </row>
    <row r="161" spans="11:13" x14ac:dyDescent="0.2">
      <c r="K161" s="2430"/>
      <c r="L161" s="2430"/>
      <c r="M161" s="2430"/>
    </row>
    <row r="162" spans="11:13" x14ac:dyDescent="0.2">
      <c r="K162" s="2430"/>
      <c r="L162" s="2430"/>
      <c r="M162" s="2430"/>
    </row>
    <row r="163" spans="11:13" x14ac:dyDescent="0.2">
      <c r="K163" s="2430"/>
      <c r="L163" s="2430"/>
      <c r="M163" s="2430"/>
    </row>
    <row r="164" spans="11:13" x14ac:dyDescent="0.2">
      <c r="K164" s="2430"/>
      <c r="L164" s="2430"/>
      <c r="M164" s="2430"/>
    </row>
    <row r="165" spans="11:13" x14ac:dyDescent="0.2">
      <c r="K165" s="2430"/>
      <c r="L165" s="2430"/>
      <c r="M165" s="2430"/>
    </row>
    <row r="166" spans="11:13" x14ac:dyDescent="0.2">
      <c r="K166" s="2430"/>
      <c r="L166" s="2430"/>
      <c r="M166" s="2430"/>
    </row>
    <row r="167" spans="11:13" x14ac:dyDescent="0.2">
      <c r="K167" s="2430"/>
      <c r="L167" s="2430"/>
      <c r="M167" s="2430"/>
    </row>
    <row r="168" spans="11:13" x14ac:dyDescent="0.2">
      <c r="K168" s="2430"/>
      <c r="L168" s="2430"/>
      <c r="M168" s="2430"/>
    </row>
    <row r="169" spans="11:13" x14ac:dyDescent="0.2">
      <c r="K169" s="2430"/>
      <c r="L169" s="2430"/>
      <c r="M169" s="2430"/>
    </row>
    <row r="170" spans="11:13" x14ac:dyDescent="0.2">
      <c r="K170" s="2430"/>
      <c r="L170" s="2430"/>
      <c r="M170" s="2430"/>
    </row>
  </sheetData>
  <sheetProtection algorithmName="SHA-512" hashValue="AGbwQxkYNcZllr/tLhYzywj8Tnen0ZhrJ25++ZB7hoEG/CSWM7H9ZutPvwUXvK0aj90f6mxdksSb+FEyLuQ0Og==" saltValue="1AL/FNtCay3t2hyIArCiUQ==" spinCount="100000" sheet="1" autoFilter="0"/>
  <mergeCells count="74">
    <mergeCell ref="B1:J1"/>
    <mergeCell ref="B2:J2"/>
    <mergeCell ref="B3:J3"/>
    <mergeCell ref="H5:J5"/>
    <mergeCell ref="D6:G6"/>
    <mergeCell ref="G7:J7"/>
    <mergeCell ref="B11:I11"/>
    <mergeCell ref="B13:I13"/>
    <mergeCell ref="B14:I14"/>
    <mergeCell ref="B15:I15"/>
    <mergeCell ref="B16:I16"/>
    <mergeCell ref="B17:I17"/>
    <mergeCell ref="B18:I18"/>
    <mergeCell ref="B19:I19"/>
    <mergeCell ref="B20:I20"/>
    <mergeCell ref="B21:I21"/>
    <mergeCell ref="B22:I22"/>
    <mergeCell ref="B23:I23"/>
    <mergeCell ref="B24:I24"/>
    <mergeCell ref="B25:I25"/>
    <mergeCell ref="B26:I26"/>
    <mergeCell ref="B27:I27"/>
    <mergeCell ref="B28:I28"/>
    <mergeCell ref="B29:I29"/>
    <mergeCell ref="B31:I31"/>
    <mergeCell ref="B32:I32"/>
    <mergeCell ref="B33:I33"/>
    <mergeCell ref="B34:I34"/>
    <mergeCell ref="B35:I35"/>
    <mergeCell ref="B36:I36"/>
    <mergeCell ref="B37:I37"/>
    <mergeCell ref="B38:I38"/>
    <mergeCell ref="B39:I39"/>
    <mergeCell ref="B43:I43"/>
    <mergeCell ref="B44:I44"/>
    <mergeCell ref="B45:I45"/>
    <mergeCell ref="B46:I46"/>
    <mergeCell ref="B47:I47"/>
    <mergeCell ref="B48:I48"/>
    <mergeCell ref="B49:I49"/>
    <mergeCell ref="B50:I50"/>
    <mergeCell ref="B51:I51"/>
    <mergeCell ref="B54:I54"/>
    <mergeCell ref="B56:I56"/>
    <mergeCell ref="B57:I57"/>
    <mergeCell ref="B59:I59"/>
    <mergeCell ref="B62:I62"/>
    <mergeCell ref="B55:I55"/>
    <mergeCell ref="B63:I63"/>
    <mergeCell ref="B64:I64"/>
    <mergeCell ref="B65:I65"/>
    <mergeCell ref="B66:I66"/>
    <mergeCell ref="B67:I67"/>
    <mergeCell ref="B68:I68"/>
    <mergeCell ref="B69:I69"/>
    <mergeCell ref="B70:I70"/>
    <mergeCell ref="B71:I71"/>
    <mergeCell ref="B72:I72"/>
    <mergeCell ref="B73:I73"/>
    <mergeCell ref="B74:I74"/>
    <mergeCell ref="B75:I75"/>
    <mergeCell ref="B76:I76"/>
    <mergeCell ref="B77:I77"/>
    <mergeCell ref="B79:I79"/>
    <mergeCell ref="B80:I80"/>
    <mergeCell ref="B81:I81"/>
    <mergeCell ref="B88:I88"/>
    <mergeCell ref="B91:I91"/>
    <mergeCell ref="B82:I82"/>
    <mergeCell ref="B83:I83"/>
    <mergeCell ref="B84:I84"/>
    <mergeCell ref="B85:I85"/>
    <mergeCell ref="B86:I86"/>
    <mergeCell ref="B87:I87"/>
  </mergeCells>
  <conditionalFormatting sqref="K1:K3">
    <cfRule type="cellIs" dxfId="11" priority="1" stopIfTrue="1" operator="equal">
      <formula>"na"</formula>
    </cfRule>
  </conditionalFormatting>
  <hyperlinks>
    <hyperlink ref="B1:J1" location="Index!A1" display="Index!A1" xr:uid="{00000000-0004-0000-4F00-000000000000}"/>
  </hyperlinks>
  <printOptions headings="1"/>
  <pageMargins left="0.75" right="0.5" top="0.5" bottom="0.5" header="0.5" footer="0.25"/>
  <pageSetup scale="91" fitToHeight="2" orientation="portrait" r:id="rId1"/>
  <headerFooter alignWithMargins="0">
    <oddFooter>&amp;R&amp;A (&amp;P of &amp;N)</oddFooter>
  </headerFooter>
  <rowBreaks count="1" manualBreakCount="1">
    <brk id="59" max="10"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74">
    <pageSetUpPr fitToPage="1"/>
  </sheetPr>
  <dimension ref="A1:U62"/>
  <sheetViews>
    <sheetView showGridLines="0" zoomScaleNormal="100" workbookViewId="0">
      <selection activeCell="G12" sqref="G12"/>
    </sheetView>
  </sheetViews>
  <sheetFormatPr defaultRowHeight="12.75" x14ac:dyDescent="0.2"/>
  <cols>
    <col min="2" max="2" width="5.5703125" customWidth="1"/>
    <col min="4" max="4" width="3.5703125" customWidth="1"/>
    <col min="5" max="5" width="17.5703125" bestFit="1" customWidth="1"/>
    <col min="6" max="6" width="1.5703125" customWidth="1"/>
    <col min="7" max="7" width="17.5703125" bestFit="1" customWidth="1"/>
    <col min="8" max="8" width="0.5703125" style="212" customWidth="1"/>
    <col min="9" max="9" width="17.5703125" bestFit="1" customWidth="1"/>
    <col min="10" max="10" width="0.5703125" customWidth="1"/>
    <col min="11" max="11" width="18.5703125" bestFit="1" customWidth="1"/>
    <col min="12" max="12" width="4.5703125" customWidth="1"/>
  </cols>
  <sheetData>
    <row r="1" spans="1:21" ht="15.75" x14ac:dyDescent="0.25">
      <c r="A1" s="2553" t="str">
        <f>+Index!$A$1</f>
        <v xml:space="preserve">                                                               Office of the State Controller                                                                </v>
      </c>
      <c r="B1" s="2553"/>
      <c r="C1" s="2553"/>
      <c r="D1" s="2553"/>
      <c r="E1" s="2553"/>
      <c r="F1" s="2553"/>
      <c r="G1" s="2553"/>
      <c r="H1" s="2553"/>
      <c r="I1" s="2553"/>
      <c r="J1" s="2553"/>
      <c r="K1" s="2553"/>
      <c r="L1" s="2554" t="str">
        <f>IF(Index!$B$109="na","NA","")</f>
        <v/>
      </c>
      <c r="M1" s="2268"/>
      <c r="N1" s="2268"/>
      <c r="O1" s="2268"/>
      <c r="P1" s="2268"/>
      <c r="Q1" s="2268"/>
      <c r="R1" s="2268"/>
      <c r="S1" s="2268"/>
      <c r="T1" s="2268"/>
    </row>
    <row r="2" spans="1:21" ht="16.5" x14ac:dyDescent="0.3">
      <c r="A2" s="2532" t="str">
        <f>+Index!$A$2</f>
        <v>2024 ACFR Worksheets</v>
      </c>
      <c r="B2" s="2532"/>
      <c r="C2" s="2532"/>
      <c r="D2" s="2532"/>
      <c r="E2" s="2532"/>
      <c r="F2" s="2532"/>
      <c r="G2" s="2532"/>
      <c r="H2" s="2532"/>
      <c r="I2" s="2532"/>
      <c r="J2" s="2532"/>
      <c r="K2" s="2532"/>
      <c r="L2" s="2554"/>
      <c r="M2" s="329"/>
      <c r="N2" s="329"/>
      <c r="O2" s="329"/>
      <c r="P2" s="329"/>
      <c r="Q2" s="329"/>
      <c r="R2" s="329"/>
      <c r="S2" s="329"/>
      <c r="T2" s="329"/>
    </row>
    <row r="3" spans="1:21" ht="16.5" x14ac:dyDescent="0.3">
      <c r="A3" s="3105" t="s">
        <v>4762</v>
      </c>
      <c r="B3" s="3105"/>
      <c r="C3" s="3105"/>
      <c r="D3" s="3105"/>
      <c r="E3" s="3105"/>
      <c r="F3" s="3105"/>
      <c r="G3" s="3105"/>
      <c r="H3" s="3105"/>
      <c r="I3" s="3105"/>
      <c r="J3" s="3105"/>
      <c r="K3" s="3105"/>
      <c r="L3" s="2554"/>
      <c r="M3" s="329"/>
      <c r="N3" s="329"/>
      <c r="O3" s="329"/>
      <c r="P3" s="329"/>
      <c r="Q3" s="329"/>
      <c r="R3" s="329"/>
      <c r="S3" s="329"/>
      <c r="T3" s="329"/>
    </row>
    <row r="4" spans="1:21" ht="16.5" customHeight="1" x14ac:dyDescent="0.3">
      <c r="A4" s="3105" t="s">
        <v>4763</v>
      </c>
      <c r="B4" s="3105"/>
      <c r="C4" s="3105"/>
      <c r="D4" s="3105"/>
      <c r="E4" s="3105"/>
      <c r="F4" s="3105"/>
      <c r="G4" s="3105"/>
      <c r="H4" s="3105"/>
      <c r="I4" s="3105"/>
      <c r="J4" s="3105"/>
      <c r="K4" s="3105"/>
      <c r="L4" s="2269"/>
      <c r="M4" s="329"/>
      <c r="N4" s="329"/>
      <c r="O4" s="329"/>
      <c r="P4" s="329"/>
      <c r="Q4" s="329"/>
      <c r="R4" s="329"/>
      <c r="S4" s="329"/>
      <c r="T4" s="329"/>
    </row>
    <row r="6" spans="1:21" s="105" customFormat="1" ht="15" customHeight="1" x14ac:dyDescent="0.2">
      <c r="A6" s="105" t="s">
        <v>318</v>
      </c>
      <c r="C6" s="335" t="str">
        <f>+Index!$E$10</f>
        <v>01</v>
      </c>
      <c r="D6" s="332"/>
      <c r="G6" s="431" t="s">
        <v>320</v>
      </c>
      <c r="H6" s="3073" t="str">
        <f>+CONCATENATE(Index!$E$12," ",Index!$E$14)</f>
        <v xml:space="preserve"> </v>
      </c>
      <c r="I6" s="3112"/>
      <c r="J6" s="3112"/>
      <c r="K6" s="3112"/>
      <c r="M6" s="330"/>
      <c r="U6" s="104"/>
    </row>
    <row r="7" spans="1:21" s="105" customFormat="1" ht="15" customHeight="1" x14ac:dyDescent="0.2">
      <c r="A7" s="105" t="s">
        <v>319</v>
      </c>
      <c r="C7" s="3104" t="str">
        <f>+Index!$E$11</f>
        <v>North Carolina General Assembly</v>
      </c>
      <c r="D7" s="3104"/>
      <c r="E7" s="3104"/>
      <c r="M7" s="331"/>
      <c r="N7" s="331"/>
      <c r="O7" s="331"/>
      <c r="P7" s="331"/>
      <c r="Q7" s="331"/>
      <c r="R7" s="331"/>
      <c r="S7" s="331"/>
      <c r="T7" s="106"/>
      <c r="U7" s="104"/>
    </row>
    <row r="8" spans="1:21" s="105" customFormat="1" ht="15" customHeight="1" x14ac:dyDescent="0.2">
      <c r="A8" s="105" t="s">
        <v>545</v>
      </c>
      <c r="C8" s="2435"/>
      <c r="G8" s="431" t="s">
        <v>168</v>
      </c>
      <c r="I8" s="3099">
        <f>+Index!$E$13</f>
        <v>0</v>
      </c>
      <c r="J8" s="3099"/>
      <c r="K8" s="3099"/>
      <c r="L8" s="360"/>
      <c r="U8" s="104"/>
    </row>
    <row r="9" spans="1:21" s="27" customFormat="1" ht="6" customHeight="1" thickBot="1" x14ac:dyDescent="0.25">
      <c r="A9" s="1523"/>
      <c r="B9" s="1523"/>
      <c r="C9" s="1523"/>
      <c r="D9" s="1523"/>
      <c r="E9" s="1523"/>
      <c r="F9" s="1523"/>
      <c r="G9" s="1523"/>
      <c r="H9" s="1523"/>
      <c r="I9" s="1523"/>
      <c r="J9" s="1523"/>
      <c r="K9" s="1523"/>
    </row>
    <row r="10" spans="1:21" ht="6" customHeight="1" x14ac:dyDescent="0.2">
      <c r="H10"/>
    </row>
    <row r="11" spans="1:21" ht="25.5" x14ac:dyDescent="0.2">
      <c r="F11" s="138"/>
      <c r="G11" s="334" t="s">
        <v>4764</v>
      </c>
    </row>
    <row r="12" spans="1:21" x14ac:dyDescent="0.2">
      <c r="A12" s="1" t="s">
        <v>555</v>
      </c>
      <c r="G12" s="145"/>
      <c r="H12" s="211"/>
    </row>
    <row r="13" spans="1:21" x14ac:dyDescent="0.2">
      <c r="A13" t="s">
        <v>4765</v>
      </c>
      <c r="G13" s="336">
        <v>0</v>
      </c>
    </row>
    <row r="14" spans="1:21" x14ac:dyDescent="0.2">
      <c r="A14" t="s">
        <v>4690</v>
      </c>
      <c r="G14" s="1260" t="s">
        <v>50</v>
      </c>
    </row>
    <row r="15" spans="1:21" x14ac:dyDescent="0.2">
      <c r="A15" t="s">
        <v>4700</v>
      </c>
      <c r="G15" s="336">
        <v>0</v>
      </c>
    </row>
    <row r="16" spans="1:21" x14ac:dyDescent="0.2">
      <c r="A16" t="s">
        <v>4766</v>
      </c>
      <c r="G16" s="336">
        <v>0</v>
      </c>
    </row>
    <row r="17" spans="1:7" x14ac:dyDescent="0.2">
      <c r="A17" t="s">
        <v>4767</v>
      </c>
      <c r="G17" s="336">
        <v>0</v>
      </c>
    </row>
    <row r="18" spans="1:7" x14ac:dyDescent="0.2">
      <c r="A18" t="s">
        <v>4768</v>
      </c>
      <c r="G18" s="336">
        <v>0</v>
      </c>
    </row>
    <row r="19" spans="1:7" x14ac:dyDescent="0.2">
      <c r="A19" t="s">
        <v>4701</v>
      </c>
      <c r="G19" s="336">
        <v>0</v>
      </c>
    </row>
    <row r="20" spans="1:7" x14ac:dyDescent="0.2">
      <c r="A20" t="s">
        <v>4699</v>
      </c>
      <c r="G20" s="336">
        <v>0</v>
      </c>
    </row>
    <row r="21" spans="1:7" x14ac:dyDescent="0.2">
      <c r="A21" t="s">
        <v>4769</v>
      </c>
      <c r="G21" s="336">
        <v>0</v>
      </c>
    </row>
    <row r="22" spans="1:7" x14ac:dyDescent="0.2">
      <c r="A22" t="s">
        <v>4770</v>
      </c>
      <c r="G22" s="336">
        <v>0</v>
      </c>
    </row>
    <row r="23" spans="1:7" x14ac:dyDescent="0.2">
      <c r="A23" t="s">
        <v>4702</v>
      </c>
      <c r="G23" s="336">
        <v>0</v>
      </c>
    </row>
    <row r="24" spans="1:7" x14ac:dyDescent="0.2">
      <c r="A24" t="s">
        <v>2741</v>
      </c>
      <c r="G24" s="1260" t="s">
        <v>50</v>
      </c>
    </row>
    <row r="25" spans="1:7" x14ac:dyDescent="0.2">
      <c r="A25" t="s">
        <v>4771</v>
      </c>
      <c r="G25" s="336">
        <v>0</v>
      </c>
    </row>
    <row r="26" spans="1:7" ht="12.75" customHeight="1" x14ac:dyDescent="0.2">
      <c r="A26" t="s">
        <v>4712</v>
      </c>
      <c r="G26" s="336">
        <v>0</v>
      </c>
    </row>
    <row r="27" spans="1:7" x14ac:dyDescent="0.2">
      <c r="A27" t="s">
        <v>4713</v>
      </c>
      <c r="G27" s="336">
        <v>0</v>
      </c>
    </row>
    <row r="28" spans="1:7" x14ac:dyDescent="0.2">
      <c r="A28" t="s">
        <v>4772</v>
      </c>
      <c r="G28" s="336">
        <v>0</v>
      </c>
    </row>
    <row r="29" spans="1:7" x14ac:dyDescent="0.2">
      <c r="A29" t="s">
        <v>2750</v>
      </c>
      <c r="G29" s="336">
        <v>0</v>
      </c>
    </row>
    <row r="30" spans="1:7" x14ac:dyDescent="0.2">
      <c r="A30" t="s">
        <v>4714</v>
      </c>
      <c r="G30" s="336">
        <v>0</v>
      </c>
    </row>
    <row r="31" spans="1:7" x14ac:dyDescent="0.2">
      <c r="A31" t="s">
        <v>4773</v>
      </c>
      <c r="G31" s="336">
        <v>0</v>
      </c>
    </row>
    <row r="32" spans="1:7" x14ac:dyDescent="0.2">
      <c r="A32" t="s">
        <v>4774</v>
      </c>
      <c r="G32" s="337">
        <v>0</v>
      </c>
    </row>
    <row r="33" spans="1:12" ht="6" customHeight="1" x14ac:dyDescent="0.2">
      <c r="G33" s="1260"/>
    </row>
    <row r="34" spans="1:12" x14ac:dyDescent="0.2">
      <c r="A34" s="1" t="s">
        <v>1769</v>
      </c>
      <c r="G34" s="1261">
        <f>SUM(G13:G32)</f>
        <v>0</v>
      </c>
    </row>
    <row r="35" spans="1:12" ht="9" customHeight="1" x14ac:dyDescent="0.2">
      <c r="G35" s="1260"/>
    </row>
    <row r="36" spans="1:12" x14ac:dyDescent="0.2">
      <c r="A36" s="1" t="s">
        <v>1837</v>
      </c>
      <c r="G36" s="1260"/>
    </row>
    <row r="37" spans="1:12" x14ac:dyDescent="0.2">
      <c r="A37" t="s">
        <v>4775</v>
      </c>
      <c r="G37" s="337">
        <v>0</v>
      </c>
    </row>
    <row r="38" spans="1:12" x14ac:dyDescent="0.2">
      <c r="G38" s="1260" t="s">
        <v>50</v>
      </c>
    </row>
    <row r="39" spans="1:12" x14ac:dyDescent="0.2">
      <c r="A39" s="1" t="s">
        <v>1776</v>
      </c>
      <c r="G39" s="1260"/>
    </row>
    <row r="40" spans="1:12" x14ac:dyDescent="0.2">
      <c r="A40" s="138" t="s">
        <v>1624</v>
      </c>
      <c r="G40" s="1260"/>
    </row>
    <row r="41" spans="1:12" x14ac:dyDescent="0.2">
      <c r="A41" s="2339" t="s">
        <v>4776</v>
      </c>
      <c r="G41" s="336">
        <v>0</v>
      </c>
      <c r="I41" s="2380"/>
    </row>
    <row r="42" spans="1:12" ht="13.5" thickBot="1" x14ac:dyDescent="0.25">
      <c r="A42" s="1" t="s">
        <v>1641</v>
      </c>
      <c r="G42" s="1479">
        <f>G37+G41</f>
        <v>0</v>
      </c>
      <c r="I42" s="2380"/>
    </row>
    <row r="43" spans="1:12" ht="13.5" thickTop="1" x14ac:dyDescent="0.2">
      <c r="G43" s="291"/>
      <c r="I43" s="2380"/>
      <c r="J43" s="2380"/>
      <c r="K43" s="2380"/>
      <c r="L43" s="2380"/>
    </row>
    <row r="44" spans="1:12" x14ac:dyDescent="0.2">
      <c r="A44" s="1" t="s">
        <v>548</v>
      </c>
      <c r="I44" s="2380"/>
      <c r="J44" s="2380"/>
      <c r="K44" s="2380"/>
      <c r="L44" s="2380"/>
    </row>
    <row r="45" spans="1:12" x14ac:dyDescent="0.2">
      <c r="A45" s="138" t="s">
        <v>1850</v>
      </c>
      <c r="I45" s="2380"/>
      <c r="J45" s="2380"/>
      <c r="K45" s="2380"/>
      <c r="L45" s="2380"/>
    </row>
    <row r="46" spans="1:12" x14ac:dyDescent="0.2">
      <c r="A46" s="2339" t="s">
        <v>4777</v>
      </c>
      <c r="G46" s="337">
        <v>0</v>
      </c>
      <c r="I46" s="2380"/>
      <c r="J46" s="2380"/>
      <c r="K46" s="2380"/>
      <c r="L46" s="2380"/>
    </row>
    <row r="47" spans="1:12" x14ac:dyDescent="0.2">
      <c r="A47" s="138" t="s">
        <v>4727</v>
      </c>
      <c r="I47" s="2380"/>
      <c r="J47" s="2380"/>
      <c r="K47" s="2380"/>
      <c r="L47" s="2380"/>
    </row>
    <row r="48" spans="1:12" x14ac:dyDescent="0.2">
      <c r="A48" s="2339" t="s">
        <v>1250</v>
      </c>
      <c r="G48" s="1478">
        <v>0</v>
      </c>
      <c r="I48" s="2380"/>
      <c r="J48" s="2380"/>
      <c r="K48" s="2380"/>
      <c r="L48" s="2380"/>
    </row>
    <row r="49" spans="1:12" x14ac:dyDescent="0.2">
      <c r="A49" s="2339" t="s">
        <v>4778</v>
      </c>
      <c r="G49" s="1478">
        <v>0</v>
      </c>
      <c r="I49" s="2380"/>
      <c r="J49" s="2380"/>
      <c r="K49" s="2380"/>
      <c r="L49" s="2380"/>
    </row>
    <row r="50" spans="1:12" x14ac:dyDescent="0.2">
      <c r="A50" s="1197" t="s">
        <v>4779</v>
      </c>
      <c r="G50" s="1480">
        <f>G48-G49</f>
        <v>0</v>
      </c>
      <c r="I50" s="2380"/>
      <c r="J50" s="2380"/>
      <c r="K50" s="2380"/>
      <c r="L50" s="2380"/>
    </row>
    <row r="51" spans="1:12" x14ac:dyDescent="0.2">
      <c r="A51" s="2304" t="s">
        <v>1854</v>
      </c>
      <c r="G51" s="1262">
        <f>G46+G50</f>
        <v>0</v>
      </c>
      <c r="I51" s="2380"/>
      <c r="J51" s="2380"/>
      <c r="K51" s="2380"/>
      <c r="L51" s="2380"/>
    </row>
    <row r="52" spans="1:12" x14ac:dyDescent="0.2">
      <c r="I52" s="2380"/>
      <c r="J52" s="2380"/>
      <c r="K52" s="2380"/>
      <c r="L52" s="2380"/>
    </row>
    <row r="53" spans="1:12" x14ac:dyDescent="0.2">
      <c r="A53" s="1" t="s">
        <v>1855</v>
      </c>
      <c r="I53" s="2380"/>
      <c r="J53" s="2380"/>
      <c r="K53" s="2380"/>
      <c r="L53" s="2380"/>
    </row>
    <row r="54" spans="1:12" x14ac:dyDescent="0.2">
      <c r="A54" s="138" t="s">
        <v>4780</v>
      </c>
      <c r="G54" s="1481">
        <v>0</v>
      </c>
      <c r="I54" s="2380"/>
      <c r="J54" s="2380"/>
      <c r="K54" s="2380"/>
      <c r="L54" s="2380"/>
    </row>
    <row r="55" spans="1:12" x14ac:dyDescent="0.2">
      <c r="A55" s="138" t="s">
        <v>4736</v>
      </c>
      <c r="G55" s="1481">
        <v>0</v>
      </c>
      <c r="I55" s="2380"/>
      <c r="J55" s="2380"/>
      <c r="K55" s="2380"/>
      <c r="L55" s="2380"/>
    </row>
    <row r="56" spans="1:12" x14ac:dyDescent="0.2">
      <c r="A56" s="138" t="s">
        <v>4738</v>
      </c>
      <c r="G56" s="1481">
        <v>0</v>
      </c>
      <c r="I56" s="2380"/>
      <c r="J56" s="2380"/>
      <c r="K56" s="2380"/>
      <c r="L56" s="2380"/>
    </row>
    <row r="57" spans="1:12" x14ac:dyDescent="0.2">
      <c r="A57" s="2339" t="s">
        <v>1856</v>
      </c>
      <c r="G57" s="1262">
        <f>G54+G55+G56</f>
        <v>0</v>
      </c>
      <c r="I57" s="2380"/>
      <c r="J57" s="2380"/>
      <c r="K57" s="2380"/>
      <c r="L57" s="2380"/>
    </row>
    <row r="58" spans="1:12" x14ac:dyDescent="0.2">
      <c r="A58" s="1197" t="s">
        <v>1844</v>
      </c>
      <c r="G58" s="291">
        <f>G51-G57</f>
        <v>0</v>
      </c>
    </row>
    <row r="59" spans="1:12" x14ac:dyDescent="0.2">
      <c r="A59" s="138" t="s">
        <v>4781</v>
      </c>
      <c r="G59" s="1482">
        <v>0</v>
      </c>
    </row>
    <row r="60" spans="1:12" x14ac:dyDescent="0.2">
      <c r="A60" s="138" t="s">
        <v>1760</v>
      </c>
      <c r="G60" s="1481"/>
    </row>
    <row r="61" spans="1:12" ht="13.5" thickBot="1" x14ac:dyDescent="0.25">
      <c r="A61" s="138" t="s">
        <v>4782</v>
      </c>
      <c r="G61" s="1263">
        <f>G58+G59+G60</f>
        <v>0</v>
      </c>
    </row>
    <row r="62" spans="1:12" ht="13.5" thickTop="1" x14ac:dyDescent="0.2"/>
  </sheetData>
  <sheetProtection algorithmName="SHA-512" hashValue="O5Mb+EiB7gyXdDBSaay16EmB5WBXJI9X6NQJwUI2BZvK2cZmDjQ+D4CAQ1kuAwcM7NTlkS4zFgDjudmcNAe5eg==" saltValue="ZABJu/v8F4G3BlaPof1NGA==" spinCount="100000" sheet="1" autoFilter="0"/>
  <customSheetViews>
    <customSheetView guid="{9FCFC836-1CA5-48BF-958D-24D2EA94B219}" showGridLines="0" fitToPage="1">
      <selection sqref="A1:K1"/>
      <pageMargins left="0" right="0" top="0" bottom="0" header="0" footer="0"/>
      <pageSetup scale="86" orientation="portrait" r:id="rId1"/>
      <headerFooter alignWithMargins="0">
        <oddFooter>&amp;R&amp;A</oddFooter>
      </headerFooter>
    </customSheetView>
    <customSheetView guid="{B08879A4-635B-4C39-9937-AC7883D562FC}" showGridLines="0" fitToPage="1">
      <selection sqref="A1:K1"/>
      <pageMargins left="0" right="0" top="0" bottom="0" header="0" footer="0"/>
      <pageSetup scale="86" orientation="portrait" r:id="rId2"/>
      <headerFooter alignWithMargins="0">
        <oddFooter>&amp;R&amp;A</oddFooter>
      </headerFooter>
    </customSheetView>
  </customSheetViews>
  <mergeCells count="8">
    <mergeCell ref="I8:K8"/>
    <mergeCell ref="H6:K6"/>
    <mergeCell ref="C7:E7"/>
    <mergeCell ref="L1:L3"/>
    <mergeCell ref="A2:K2"/>
    <mergeCell ref="A1:K1"/>
    <mergeCell ref="A3:K3"/>
    <mergeCell ref="A4:K4"/>
  </mergeCells>
  <phoneticPr fontId="18" type="noConversion"/>
  <conditionalFormatting sqref="L1:L4">
    <cfRule type="cellIs" dxfId="10" priority="1" stopIfTrue="1" operator="equal">
      <formula>"na"</formula>
    </cfRule>
  </conditionalFormatting>
  <dataValidations count="1">
    <dataValidation type="textLength" operator="equal" allowBlank="1" showInputMessage="1" showErrorMessage="1" errorTitle="Invalid data!" error="GASB number must be 4 digits." sqref="C8" xr:uid="{00000000-0002-0000-5000-000000000000}">
      <formula1>4</formula1>
    </dataValidation>
  </dataValidations>
  <hyperlinks>
    <hyperlink ref="A1:H1" location="Index!A1" display="Index!A1" xr:uid="{00000000-0004-0000-5000-000000000000}"/>
  </hyperlinks>
  <pageMargins left="0.75" right="0.5" top="0.5" bottom="0.5" header="0.5" footer="0.25"/>
  <pageSetup scale="93" orientation="portrait" r:id="rId3"/>
  <headerFooter alignWithMargins="0">
    <oddFooter>&amp;R&amp;A</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B30E6-2238-4CE2-9F49-D184FF599B32}">
  <sheetPr codeName="Sheet102">
    <pageSetUpPr fitToPage="1"/>
  </sheetPr>
  <dimension ref="A1:U90"/>
  <sheetViews>
    <sheetView showGridLines="0" zoomScaleNormal="100" workbookViewId="0">
      <selection activeCell="S6" sqref="S6"/>
    </sheetView>
  </sheetViews>
  <sheetFormatPr defaultRowHeight="12.75" x14ac:dyDescent="0.2"/>
  <cols>
    <col min="2" max="2" width="5.5703125" customWidth="1"/>
    <col min="3" max="3" width="9.140625" bestFit="1" customWidth="1"/>
    <col min="4" max="4" width="3.5703125" customWidth="1"/>
    <col min="5" max="5" width="17.5703125" bestFit="1" customWidth="1"/>
    <col min="6" max="6" width="1.5703125" customWidth="1"/>
    <col min="7" max="7" width="17.5703125" bestFit="1" customWidth="1"/>
    <col min="8" max="8" width="0.5703125" style="341" customWidth="1"/>
    <col min="9" max="9" width="17.5703125" bestFit="1" customWidth="1"/>
    <col min="10" max="10" width="0.5703125" customWidth="1"/>
    <col min="11" max="11" width="18.5703125" bestFit="1" customWidth="1"/>
    <col min="12" max="12" width="4.5703125" customWidth="1"/>
    <col min="14" max="14" width="10.42578125" style="1985" bestFit="1" customWidth="1"/>
    <col min="18" max="18" width="12.85546875" customWidth="1"/>
  </cols>
  <sheetData>
    <row r="1" spans="1:21" ht="15.75" x14ac:dyDescent="0.25">
      <c r="A1" s="2553" t="str">
        <f>+Index!$A$1</f>
        <v xml:space="preserve">                                                               Office of the State Controller                                                                </v>
      </c>
      <c r="B1" s="2553"/>
      <c r="C1" s="2553"/>
      <c r="D1" s="2553"/>
      <c r="E1" s="2553"/>
      <c r="F1" s="2553"/>
      <c r="G1" s="2553"/>
      <c r="H1" s="2553"/>
      <c r="I1" s="2553"/>
      <c r="J1" s="2553"/>
      <c r="K1" s="2553"/>
      <c r="L1" s="2554" t="str">
        <f>IF(Index!$B$109="na","NA","")</f>
        <v/>
      </c>
      <c r="M1" s="2268"/>
      <c r="N1" s="2082"/>
      <c r="O1" s="2268"/>
      <c r="P1" s="2268"/>
      <c r="Q1" s="2268"/>
      <c r="R1" s="1340" t="s">
        <v>2726</v>
      </c>
      <c r="S1" s="1340" t="s">
        <v>1878</v>
      </c>
      <c r="T1" s="1360" t="s">
        <v>2727</v>
      </c>
    </row>
    <row r="2" spans="1:21" ht="16.5" x14ac:dyDescent="0.3">
      <c r="A2" s="2532" t="str">
        <f>+Index!$A$2</f>
        <v>2024 ACFR Worksheets</v>
      </c>
      <c r="B2" s="2532"/>
      <c r="C2" s="2532"/>
      <c r="D2" s="2532"/>
      <c r="E2" s="2532"/>
      <c r="F2" s="2532"/>
      <c r="G2" s="2532"/>
      <c r="H2" s="2532"/>
      <c r="I2" s="2532"/>
      <c r="J2" s="2532"/>
      <c r="K2" s="2532"/>
      <c r="L2" s="2554"/>
      <c r="M2" s="329"/>
      <c r="N2" s="2083"/>
      <c r="O2" s="329"/>
      <c r="P2" s="329"/>
      <c r="Q2" s="329"/>
      <c r="R2" s="1340" t="s">
        <v>2728</v>
      </c>
      <c r="S2" s="1340">
        <v>4600</v>
      </c>
      <c r="T2" s="329"/>
    </row>
    <row r="3" spans="1:21" ht="16.5" x14ac:dyDescent="0.3">
      <c r="A3" s="3105" t="s">
        <v>4783</v>
      </c>
      <c r="B3" s="3105"/>
      <c r="C3" s="3105"/>
      <c r="D3" s="3105"/>
      <c r="E3" s="3105"/>
      <c r="F3" s="3105"/>
      <c r="G3" s="3105"/>
      <c r="H3" s="3105"/>
      <c r="I3" s="3105"/>
      <c r="J3" s="3105"/>
      <c r="K3" s="3105"/>
      <c r="L3" s="2554"/>
      <c r="M3" s="329"/>
      <c r="N3" s="2083"/>
      <c r="O3" s="329"/>
      <c r="P3" s="329"/>
      <c r="Q3" s="329"/>
      <c r="R3" s="329"/>
      <c r="S3" s="329"/>
      <c r="T3" s="329"/>
    </row>
    <row r="4" spans="1:21" ht="16.5" customHeight="1" x14ac:dyDescent="0.3">
      <c r="A4" s="3105" t="s">
        <v>4784</v>
      </c>
      <c r="B4" s="3105"/>
      <c r="C4" s="3105"/>
      <c r="D4" s="3105"/>
      <c r="E4" s="3105"/>
      <c r="F4" s="3105"/>
      <c r="G4" s="3105"/>
      <c r="H4" s="3105"/>
      <c r="I4" s="3105"/>
      <c r="J4" s="3105"/>
      <c r="K4" s="3105"/>
      <c r="L4" s="2269"/>
      <c r="M4" s="329"/>
      <c r="N4" s="2083"/>
      <c r="O4" s="329"/>
      <c r="P4" s="329"/>
      <c r="Q4" s="329"/>
      <c r="R4" s="329"/>
      <c r="S4" s="329"/>
      <c r="T4" s="329"/>
    </row>
    <row r="5" spans="1:21" x14ac:dyDescent="0.2">
      <c r="E5" s="1" t="s">
        <v>4785</v>
      </c>
    </row>
    <row r="7" spans="1:21" s="1894" customFormat="1" ht="15" customHeight="1" x14ac:dyDescent="0.2">
      <c r="A7" s="1894" t="s">
        <v>318</v>
      </c>
      <c r="C7">
        <v>46</v>
      </c>
      <c r="D7" s="1896"/>
      <c r="G7" s="1897" t="s">
        <v>320</v>
      </c>
      <c r="H7" s="3115" t="str">
        <f>+CONCATENATE(Index!$E$12," ",Index!$E$14)</f>
        <v xml:space="preserve"> </v>
      </c>
      <c r="I7" s="3115"/>
      <c r="J7" s="3115"/>
      <c r="K7" s="3115"/>
      <c r="M7" s="1898"/>
      <c r="N7" s="2084"/>
      <c r="U7" s="104"/>
    </row>
    <row r="8" spans="1:21" s="1894" customFormat="1" ht="15" customHeight="1" x14ac:dyDescent="0.2">
      <c r="A8" s="1894" t="s">
        <v>319</v>
      </c>
      <c r="C8" s="3113" t="str">
        <f>+Index!$E$11</f>
        <v>North Carolina General Assembly</v>
      </c>
      <c r="D8" s="3113"/>
      <c r="E8" s="3113"/>
      <c r="M8" s="1899"/>
      <c r="N8" s="2085"/>
      <c r="O8" s="1899"/>
      <c r="P8" s="1899"/>
      <c r="Q8" s="1899"/>
      <c r="R8" s="1899"/>
      <c r="S8" s="1899"/>
      <c r="T8" s="1900"/>
      <c r="U8" s="104"/>
    </row>
    <row r="9" spans="1:21" s="1894" customFormat="1" ht="15" customHeight="1" x14ac:dyDescent="0.2">
      <c r="A9" s="1894" t="s">
        <v>545</v>
      </c>
      <c r="C9" t="s">
        <v>1878</v>
      </c>
      <c r="G9" s="1897" t="s">
        <v>168</v>
      </c>
      <c r="I9" s="3114">
        <f>+Index!$E$13</f>
        <v>0</v>
      </c>
      <c r="J9" s="3114"/>
      <c r="K9" s="3114"/>
      <c r="L9" s="1901"/>
      <c r="N9" s="2084"/>
      <c r="U9" s="104"/>
    </row>
    <row r="10" spans="1:21" s="1895" customFormat="1" ht="6" customHeight="1" thickBot="1" x14ac:dyDescent="0.25">
      <c r="A10" s="1902"/>
      <c r="B10" s="1902"/>
      <c r="C10" s="1902"/>
      <c r="D10" s="1902"/>
      <c r="E10" s="1902"/>
      <c r="F10" s="1902"/>
      <c r="G10" s="1902"/>
      <c r="H10" s="1902"/>
      <c r="I10" s="1902"/>
      <c r="J10" s="1902"/>
      <c r="K10" s="1902"/>
      <c r="N10" s="2086"/>
    </row>
    <row r="11" spans="1:21" ht="6" customHeight="1" x14ac:dyDescent="0.2">
      <c r="H11"/>
    </row>
    <row r="12" spans="1:21" ht="25.5" x14ac:dyDescent="0.2">
      <c r="A12" s="1" t="s">
        <v>4786</v>
      </c>
      <c r="G12" s="334" t="s">
        <v>4764</v>
      </c>
      <c r="N12" s="1985" t="s">
        <v>756</v>
      </c>
    </row>
    <row r="13" spans="1:21" x14ac:dyDescent="0.2">
      <c r="A13" s="1" t="s">
        <v>555</v>
      </c>
      <c r="G13" s="145"/>
      <c r="H13" s="1903"/>
    </row>
    <row r="14" spans="1:21" x14ac:dyDescent="0.2">
      <c r="A14" t="s">
        <v>4765</v>
      </c>
      <c r="G14" s="1904"/>
      <c r="N14" s="1985">
        <v>11112000</v>
      </c>
    </row>
    <row r="15" spans="1:21" x14ac:dyDescent="0.2">
      <c r="A15" t="s">
        <v>1540</v>
      </c>
      <c r="G15" s="1904" t="s">
        <v>50</v>
      </c>
      <c r="N15" s="1985">
        <v>11219000</v>
      </c>
    </row>
    <row r="16" spans="1:21" x14ac:dyDescent="0.2">
      <c r="A16" t="s">
        <v>4787</v>
      </c>
      <c r="G16" s="1905"/>
    </row>
    <row r="17" spans="1:14" x14ac:dyDescent="0.2">
      <c r="A17" t="s">
        <v>4711</v>
      </c>
      <c r="G17" s="1904"/>
      <c r="N17" s="1985">
        <v>11320000</v>
      </c>
    </row>
    <row r="18" spans="1:14" x14ac:dyDescent="0.2">
      <c r="A18" t="s">
        <v>4788</v>
      </c>
      <c r="G18" s="1904"/>
      <c r="N18" s="1985">
        <v>11341000</v>
      </c>
    </row>
    <row r="19" spans="1:14" x14ac:dyDescent="0.2">
      <c r="A19" t="s">
        <v>4712</v>
      </c>
      <c r="G19" s="1904"/>
      <c r="N19" s="1985">
        <v>11351000</v>
      </c>
    </row>
    <row r="20" spans="1:14" x14ac:dyDescent="0.2">
      <c r="A20" t="s">
        <v>4789</v>
      </c>
      <c r="G20" s="1904"/>
      <c r="N20" s="1985">
        <v>11336000</v>
      </c>
    </row>
    <row r="21" spans="1:14" x14ac:dyDescent="0.2">
      <c r="A21" t="s">
        <v>2201</v>
      </c>
      <c r="G21" s="1904"/>
    </row>
    <row r="22" spans="1:14" x14ac:dyDescent="0.2">
      <c r="A22" t="s">
        <v>2750</v>
      </c>
      <c r="G22" s="1904"/>
      <c r="N22" s="1985">
        <v>11680000</v>
      </c>
    </row>
    <row r="23" spans="1:14" x14ac:dyDescent="0.2">
      <c r="A23" t="s">
        <v>4790</v>
      </c>
      <c r="G23" s="1904"/>
      <c r="N23" s="1985">
        <v>11510000</v>
      </c>
    </row>
    <row r="24" spans="1:14" x14ac:dyDescent="0.2">
      <c r="A24" t="s">
        <v>3109</v>
      </c>
      <c r="G24" s="1904"/>
      <c r="N24" s="1985">
        <v>11530000</v>
      </c>
    </row>
    <row r="25" spans="1:14" x14ac:dyDescent="0.2">
      <c r="A25" t="s">
        <v>3151</v>
      </c>
      <c r="G25" s="1904"/>
      <c r="N25" s="1985" t="s">
        <v>2756</v>
      </c>
    </row>
    <row r="26" spans="1:14" x14ac:dyDescent="0.2">
      <c r="A26" t="s">
        <v>4791</v>
      </c>
      <c r="G26" s="1904"/>
      <c r="N26" s="1985">
        <v>11212500</v>
      </c>
    </row>
    <row r="27" spans="1:14" ht="6" customHeight="1" x14ac:dyDescent="0.2">
      <c r="G27" s="1905"/>
    </row>
    <row r="28" spans="1:14" x14ac:dyDescent="0.2">
      <c r="A28" s="1" t="s">
        <v>1769</v>
      </c>
      <c r="G28" s="1907">
        <f>SUM(G14:G26)</f>
        <v>0</v>
      </c>
    </row>
    <row r="29" spans="1:14" x14ac:dyDescent="0.2">
      <c r="A29" s="1"/>
      <c r="G29" s="1910"/>
    </row>
    <row r="30" spans="1:14" x14ac:dyDescent="0.2">
      <c r="A30" s="1" t="s">
        <v>1770</v>
      </c>
      <c r="G30" s="1911"/>
    </row>
    <row r="31" spans="1:14" x14ac:dyDescent="0.2">
      <c r="A31" s="138"/>
      <c r="G31" s="1910"/>
    </row>
    <row r="32" spans="1:14" ht="13.5" thickBot="1" x14ac:dyDescent="0.25">
      <c r="A32" s="1" t="s">
        <v>4792</v>
      </c>
      <c r="G32" s="1914">
        <f>G28+G31</f>
        <v>0</v>
      </c>
    </row>
    <row r="33" spans="1:14" ht="9" customHeight="1" thickTop="1" x14ac:dyDescent="0.2">
      <c r="G33" s="1905"/>
    </row>
    <row r="34" spans="1:14" x14ac:dyDescent="0.2">
      <c r="A34" s="1" t="s">
        <v>1837</v>
      </c>
      <c r="G34" s="1905"/>
    </row>
    <row r="35" spans="1:14" x14ac:dyDescent="0.2">
      <c r="A35" s="138" t="s">
        <v>2797</v>
      </c>
      <c r="G35" s="1905"/>
    </row>
    <row r="36" spans="1:14" x14ac:dyDescent="0.2">
      <c r="A36" t="s">
        <v>4793</v>
      </c>
      <c r="G36" s="1904"/>
      <c r="N36" s="1985">
        <v>21110000</v>
      </c>
    </row>
    <row r="37" spans="1:14" x14ac:dyDescent="0.2">
      <c r="A37" t="s">
        <v>4794</v>
      </c>
      <c r="G37" s="1904"/>
      <c r="N37" s="1985">
        <v>21121000</v>
      </c>
    </row>
    <row r="38" spans="1:14" x14ac:dyDescent="0.2">
      <c r="A38" t="s">
        <v>4795</v>
      </c>
      <c r="G38" s="1904"/>
      <c r="N38" s="1985">
        <v>21131000</v>
      </c>
    </row>
    <row r="39" spans="1:14" x14ac:dyDescent="0.2">
      <c r="A39" s="138" t="s">
        <v>3463</v>
      </c>
      <c r="B39" s="138"/>
      <c r="C39" s="138"/>
      <c r="D39" s="138"/>
      <c r="E39" s="138"/>
      <c r="G39" s="1904"/>
      <c r="N39" s="1985">
        <v>21231000</v>
      </c>
    </row>
    <row r="40" spans="1:14" x14ac:dyDescent="0.2">
      <c r="A40" s="138" t="s">
        <v>2812</v>
      </c>
      <c r="B40" s="138"/>
      <c r="C40" s="138"/>
      <c r="D40" s="138"/>
      <c r="E40" s="138"/>
      <c r="N40" s="1985">
        <v>21811000</v>
      </c>
    </row>
    <row r="41" spans="1:14" x14ac:dyDescent="0.2">
      <c r="A41" s="138" t="s">
        <v>2815</v>
      </c>
      <c r="B41" s="138"/>
      <c r="C41" s="138"/>
      <c r="D41" s="138"/>
      <c r="E41" s="138"/>
      <c r="G41" s="1904"/>
      <c r="N41" s="1985">
        <v>21712000</v>
      </c>
    </row>
    <row r="42" spans="1:14" x14ac:dyDescent="0.2">
      <c r="A42" t="s">
        <v>4775</v>
      </c>
      <c r="G42" s="1906"/>
      <c r="N42" s="1985">
        <v>21719000</v>
      </c>
    </row>
    <row r="43" spans="1:14" ht="4.5" customHeight="1" x14ac:dyDescent="0.2">
      <c r="G43" s="1911"/>
    </row>
    <row r="44" spans="1:14" x14ac:dyDescent="0.2">
      <c r="A44" s="1" t="s">
        <v>1774</v>
      </c>
      <c r="G44" s="2470">
        <f>SUM(G36:G42)</f>
        <v>0</v>
      </c>
    </row>
    <row r="45" spans="1:14" x14ac:dyDescent="0.2">
      <c r="A45" s="1"/>
      <c r="G45" s="1911"/>
    </row>
    <row r="46" spans="1:14" x14ac:dyDescent="0.2">
      <c r="A46" s="1" t="s">
        <v>1775</v>
      </c>
      <c r="G46" s="1911"/>
    </row>
    <row r="47" spans="1:14" x14ac:dyDescent="0.2">
      <c r="A47" s="138" t="s">
        <v>2857</v>
      </c>
      <c r="G47" s="1906"/>
      <c r="N47" s="1985">
        <v>71100012</v>
      </c>
    </row>
    <row r="48" spans="1:14" ht="6.75" customHeight="1" x14ac:dyDescent="0.2"/>
    <row r="49" spans="1:14" x14ac:dyDescent="0.2">
      <c r="A49" s="138" t="s">
        <v>4796</v>
      </c>
      <c r="G49" s="2470">
        <f>SUM(G47:G47)</f>
        <v>0</v>
      </c>
    </row>
    <row r="50" spans="1:14" ht="6.75" customHeight="1" x14ac:dyDescent="0.2">
      <c r="G50" s="1905" t="s">
        <v>50</v>
      </c>
    </row>
    <row r="51" spans="1:14" x14ac:dyDescent="0.2">
      <c r="A51" s="1" t="s">
        <v>4797</v>
      </c>
      <c r="G51" s="1905"/>
    </row>
    <row r="52" spans="1:14" x14ac:dyDescent="0.2">
      <c r="A52" s="138" t="s">
        <v>4798</v>
      </c>
      <c r="B52" s="138"/>
      <c r="G52" s="1904"/>
    </row>
    <row r="53" spans="1:14" x14ac:dyDescent="0.2">
      <c r="A53" s="138" t="s">
        <v>1626</v>
      </c>
      <c r="B53" s="138"/>
      <c r="G53" s="1904"/>
    </row>
    <row r="54" spans="1:14" x14ac:dyDescent="0.2">
      <c r="A54" s="138" t="s">
        <v>1628</v>
      </c>
      <c r="B54" s="138"/>
      <c r="G54" s="1904"/>
    </row>
    <row r="55" spans="1:14" x14ac:dyDescent="0.2">
      <c r="A55" s="138" t="s">
        <v>1630</v>
      </c>
      <c r="B55" s="138"/>
      <c r="G55" s="1904"/>
    </row>
    <row r="56" spans="1:14" x14ac:dyDescent="0.2">
      <c r="A56" t="s">
        <v>1631</v>
      </c>
      <c r="G56" s="1906"/>
    </row>
    <row r="57" spans="1:14" ht="6.75" customHeight="1" x14ac:dyDescent="0.2">
      <c r="A57" s="1908"/>
      <c r="G57" s="1904"/>
      <c r="I57" s="2380"/>
    </row>
    <row r="58" spans="1:14" x14ac:dyDescent="0.2">
      <c r="A58" s="1" t="s">
        <v>4799</v>
      </c>
      <c r="G58" s="1913">
        <f>SUM(G52:G56)</f>
        <v>0</v>
      </c>
      <c r="I58" s="2380"/>
    </row>
    <row r="59" spans="1:14" ht="7.5" customHeight="1" x14ac:dyDescent="0.2">
      <c r="A59" s="1"/>
      <c r="G59" s="1912"/>
      <c r="I59" s="2380"/>
    </row>
    <row r="60" spans="1:14" ht="27" customHeight="1" thickBot="1" x14ac:dyDescent="0.25">
      <c r="A60" s="2601" t="s">
        <v>4800</v>
      </c>
      <c r="B60" s="2601"/>
      <c r="C60" s="2601"/>
      <c r="D60" s="2601"/>
      <c r="E60" s="2601"/>
      <c r="G60" s="1915">
        <f>G44+G49+G58</f>
        <v>0</v>
      </c>
      <c r="I60" s="2380"/>
      <c r="J60" s="2380"/>
      <c r="K60" s="2380"/>
      <c r="L60" s="2380"/>
    </row>
    <row r="61" spans="1:14" ht="13.5" thickTop="1" x14ac:dyDescent="0.2"/>
    <row r="62" spans="1:14" ht="38.25" x14ac:dyDescent="0.2">
      <c r="A62" s="2601" t="s">
        <v>4801</v>
      </c>
      <c r="B62" s="2601"/>
      <c r="C62" s="2601"/>
      <c r="D62" s="2601"/>
      <c r="E62" s="2601"/>
      <c r="G62" s="334" t="s">
        <v>4802</v>
      </c>
    </row>
    <row r="63" spans="1:14" x14ac:dyDescent="0.2">
      <c r="A63" s="1" t="s">
        <v>1782</v>
      </c>
      <c r="G63" s="145"/>
      <c r="H63" s="1903"/>
    </row>
    <row r="64" spans="1:14" x14ac:dyDescent="0.2">
      <c r="A64" t="s">
        <v>4803</v>
      </c>
      <c r="G64" s="1904" t="s">
        <v>50</v>
      </c>
      <c r="N64" s="2244" t="s">
        <v>2877</v>
      </c>
    </row>
    <row r="65" spans="1:14" x14ac:dyDescent="0.2">
      <c r="A65" t="s">
        <v>4804</v>
      </c>
      <c r="G65" s="1904"/>
      <c r="N65" s="2244" t="s">
        <v>4805</v>
      </c>
    </row>
    <row r="66" spans="1:14" x14ac:dyDescent="0.2">
      <c r="A66" t="s">
        <v>4806</v>
      </c>
      <c r="G66" s="1904"/>
      <c r="N66" s="2244">
        <v>55911000</v>
      </c>
    </row>
    <row r="67" spans="1:14" x14ac:dyDescent="0.2">
      <c r="A67" t="s">
        <v>1244</v>
      </c>
      <c r="G67" s="1904"/>
      <c r="N67" s="2244">
        <v>44390000</v>
      </c>
    </row>
    <row r="68" spans="1:14" x14ac:dyDescent="0.2">
      <c r="A68" t="s">
        <v>4807</v>
      </c>
      <c r="G68" s="1904"/>
      <c r="N68" s="2244">
        <v>44410000</v>
      </c>
    </row>
    <row r="69" spans="1:14" x14ac:dyDescent="0.2">
      <c r="A69" t="s">
        <v>4808</v>
      </c>
      <c r="G69" s="1904"/>
      <c r="N69" s="2244">
        <v>45900000</v>
      </c>
    </row>
    <row r="70" spans="1:14" x14ac:dyDescent="0.2">
      <c r="A70" t="s">
        <v>4809</v>
      </c>
      <c r="G70" s="1904"/>
      <c r="N70" s="2244">
        <v>46200000</v>
      </c>
    </row>
    <row r="71" spans="1:14" x14ac:dyDescent="0.2">
      <c r="A71" t="s">
        <v>4810</v>
      </c>
      <c r="G71" s="1904"/>
      <c r="N71" s="2244" t="s">
        <v>2900</v>
      </c>
    </row>
    <row r="72" spans="1:14" x14ac:dyDescent="0.2">
      <c r="A72" t="s">
        <v>2006</v>
      </c>
      <c r="G72" s="1906"/>
      <c r="N72" s="2244">
        <v>47995000</v>
      </c>
    </row>
    <row r="73" spans="1:14" x14ac:dyDescent="0.2">
      <c r="G73" s="1905"/>
      <c r="N73" s="2244"/>
    </row>
    <row r="74" spans="1:14" x14ac:dyDescent="0.2">
      <c r="A74" s="1" t="s">
        <v>4811</v>
      </c>
      <c r="G74" s="1907">
        <f>SUM(G64:G72)</f>
        <v>0</v>
      </c>
      <c r="N74" s="2244"/>
    </row>
    <row r="75" spans="1:14" x14ac:dyDescent="0.2">
      <c r="G75" s="1905"/>
      <c r="N75" s="2244"/>
    </row>
    <row r="76" spans="1:14" x14ac:dyDescent="0.2">
      <c r="A76" s="1" t="s">
        <v>1790</v>
      </c>
      <c r="G76" s="1905"/>
      <c r="N76" s="2244"/>
    </row>
    <row r="77" spans="1:14" x14ac:dyDescent="0.2">
      <c r="A77" t="s">
        <v>4812</v>
      </c>
      <c r="G77" s="1904"/>
      <c r="N77" s="2244"/>
    </row>
    <row r="78" spans="1:14" x14ac:dyDescent="0.2">
      <c r="A78" t="s">
        <v>4813</v>
      </c>
      <c r="G78" s="357"/>
      <c r="N78" s="2244">
        <v>52170000</v>
      </c>
    </row>
    <row r="79" spans="1:14" x14ac:dyDescent="0.2">
      <c r="A79" s="1916" t="s">
        <v>4814</v>
      </c>
      <c r="G79" s="1909">
        <f>SUM(G78:G78)</f>
        <v>0</v>
      </c>
      <c r="N79" s="2244"/>
    </row>
    <row r="80" spans="1:14" x14ac:dyDescent="0.2">
      <c r="A80" s="2434" t="s">
        <v>4815</v>
      </c>
      <c r="G80" s="1262">
        <f>G74-G79</f>
        <v>0</v>
      </c>
      <c r="N80" s="2244"/>
    </row>
    <row r="81" spans="1:14" x14ac:dyDescent="0.2">
      <c r="N81" s="2244"/>
    </row>
    <row r="82" spans="1:14" x14ac:dyDescent="0.2">
      <c r="A82" s="1" t="s">
        <v>4816</v>
      </c>
      <c r="N82" s="2244"/>
    </row>
    <row r="83" spans="1:14" x14ac:dyDescent="0.2">
      <c r="A83" t="s">
        <v>2246</v>
      </c>
      <c r="G83" s="1481"/>
      <c r="N83" s="2244" t="s">
        <v>4817</v>
      </c>
    </row>
    <row r="84" spans="1:14" x14ac:dyDescent="0.2">
      <c r="A84" t="s">
        <v>2247</v>
      </c>
      <c r="G84" s="1482"/>
      <c r="N84" s="2244" t="s">
        <v>4818</v>
      </c>
    </row>
    <row r="85" spans="1:14" x14ac:dyDescent="0.2">
      <c r="A85" s="1" t="s">
        <v>4819</v>
      </c>
      <c r="G85" s="1917">
        <f>SUM(G83:G84)</f>
        <v>0</v>
      </c>
      <c r="N85" s="2244"/>
    </row>
    <row r="86" spans="1:14" x14ac:dyDescent="0.2">
      <c r="A86" s="1916" t="s">
        <v>4820</v>
      </c>
      <c r="G86" s="291">
        <f>G80+G85</f>
        <v>0</v>
      </c>
      <c r="N86" s="2244"/>
    </row>
    <row r="87" spans="1:14" x14ac:dyDescent="0.2">
      <c r="A87" s="1" t="s">
        <v>4821</v>
      </c>
      <c r="G87" s="1482"/>
      <c r="N87" s="2244"/>
    </row>
    <row r="88" spans="1:14" x14ac:dyDescent="0.2">
      <c r="A88" t="s">
        <v>1760</v>
      </c>
      <c r="G88" s="1481"/>
      <c r="N88" s="2244">
        <v>32000100</v>
      </c>
    </row>
    <row r="89" spans="1:14" ht="13.5" thickBot="1" x14ac:dyDescent="0.25">
      <c r="A89" s="1" t="s">
        <v>4822</v>
      </c>
      <c r="G89" s="1263">
        <f>G86+G87+G88</f>
        <v>0</v>
      </c>
    </row>
    <row r="90" spans="1:14" ht="13.5" thickTop="1" x14ac:dyDescent="0.2"/>
  </sheetData>
  <sheetProtection algorithmName="SHA-512" hashValue="pmXN/d8z9DWYQZhhQ9hDJm/kxRj+NEXHmUvUq05QWDoY9KN6k6jWVWdHOF4CXjV7LzvAZJCWzDIVBeIu14PDKQ==" saltValue="AS5qW//a98Yb3h4zXr+hPQ==" spinCount="100000" sheet="1" autoFilter="0"/>
  <mergeCells count="10">
    <mergeCell ref="L1:L3"/>
    <mergeCell ref="A2:K2"/>
    <mergeCell ref="A3:K3"/>
    <mergeCell ref="A4:K4"/>
    <mergeCell ref="H7:K7"/>
    <mergeCell ref="C8:E8"/>
    <mergeCell ref="I9:K9"/>
    <mergeCell ref="A60:E60"/>
    <mergeCell ref="A62:E62"/>
    <mergeCell ref="A1:K1"/>
  </mergeCells>
  <conditionalFormatting sqref="L1:L4">
    <cfRule type="cellIs" dxfId="9" priority="1" stopIfTrue="1" operator="equal">
      <formula>"na"</formula>
    </cfRule>
  </conditionalFormatting>
  <dataValidations count="1">
    <dataValidation type="textLength" operator="equal" allowBlank="1" showInputMessage="1" showErrorMessage="1" errorTitle="Invalid data!" error="GASB number must be 4 digits." sqref="C9" xr:uid="{FCF07CEC-3594-40A6-91E2-9444B923178D}">
      <formula1>6</formula1>
    </dataValidation>
  </dataValidations>
  <hyperlinks>
    <hyperlink ref="A1:H1" location="Index!A1" display="Index!A1" xr:uid="{156ED806-A4F9-426E-B513-B1D668DF7934}"/>
  </hyperlinks>
  <pageMargins left="0.75" right="0.5" top="0.5" bottom="0.5" header="0.5" footer="0.25"/>
  <pageSetup scale="78" orientation="portrait" r:id="rId1"/>
  <headerFooter alignWithMargins="0">
    <oddFooter>&amp;R&amp;A</oddFooter>
  </headerFooter>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75"/>
  <dimension ref="A1:Y265"/>
  <sheetViews>
    <sheetView showGridLines="0" zoomScaleNormal="100" zoomScaleSheetLayoutView="100" workbookViewId="0">
      <selection activeCell="S45" sqref="S45"/>
    </sheetView>
  </sheetViews>
  <sheetFormatPr defaultColWidth="9.42578125" defaultRowHeight="12.75" x14ac:dyDescent="0.2"/>
  <cols>
    <col min="1" max="1" width="4.42578125" bestFit="1" customWidth="1"/>
    <col min="2" max="2" width="15.42578125" customWidth="1"/>
    <col min="3" max="3" width="26.28515625" customWidth="1"/>
    <col min="4" max="4" width="1.5703125" customWidth="1"/>
    <col min="5" max="5" width="2.42578125" customWidth="1"/>
    <col min="6" max="6" width="19.42578125" style="341" customWidth="1"/>
    <col min="7" max="7" width="1.5703125" customWidth="1"/>
    <col min="8" max="8" width="17.85546875" style="341" bestFit="1" customWidth="1"/>
    <col min="9" max="9" width="1.42578125" customWidth="1"/>
    <col min="10" max="10" width="15.5703125" customWidth="1"/>
    <col min="11" max="11" width="1.42578125" customWidth="1"/>
    <col min="12" max="12" width="13.140625" customWidth="1"/>
    <col min="13" max="13" width="1.42578125" customWidth="1"/>
    <col min="14" max="14" width="10.42578125" customWidth="1"/>
  </cols>
  <sheetData>
    <row r="1" spans="1:25" ht="15.75" x14ac:dyDescent="0.25">
      <c r="A1" s="2553" t="str">
        <f>+Index!$A$1</f>
        <v xml:space="preserve">                                                               Office of the State Controller                                                                </v>
      </c>
      <c r="B1" s="2553"/>
      <c r="C1" s="2553"/>
      <c r="D1" s="2553"/>
      <c r="E1" s="2553"/>
      <c r="F1" s="2553"/>
      <c r="G1" s="2553"/>
      <c r="H1" s="2268"/>
      <c r="I1" s="2268"/>
      <c r="J1" s="944"/>
      <c r="K1" s="945" t="s">
        <v>4823</v>
      </c>
      <c r="L1" s="944"/>
      <c r="M1" s="2268"/>
      <c r="N1" s="2554" t="str">
        <f>IF(Index!$B$111="na", "NA", "")</f>
        <v/>
      </c>
      <c r="O1" s="2268"/>
      <c r="Q1" s="2268"/>
      <c r="R1" s="2268"/>
      <c r="S1" s="2268"/>
      <c r="T1" s="2268"/>
      <c r="U1" s="2268"/>
      <c r="V1" s="2268"/>
      <c r="W1" s="2268"/>
      <c r="X1" s="2268"/>
    </row>
    <row r="2" spans="1:25" ht="16.5" x14ac:dyDescent="0.3">
      <c r="A2" s="3122" t="str">
        <f>+Index!$A$2</f>
        <v>2024 ACFR Worksheets</v>
      </c>
      <c r="B2" s="3122"/>
      <c r="C2" s="3122"/>
      <c r="D2" s="3122"/>
      <c r="E2" s="3122"/>
      <c r="F2" s="3122"/>
      <c r="G2" s="3122"/>
      <c r="H2" s="2268"/>
      <c r="I2" s="2251"/>
      <c r="J2" s="946"/>
      <c r="K2" s="943" t="s">
        <v>4824</v>
      </c>
      <c r="L2" s="947">
        <v>0.15</v>
      </c>
      <c r="M2" s="2251"/>
      <c r="N2" s="2554"/>
      <c r="O2" s="2251"/>
      <c r="Q2" s="329"/>
      <c r="R2" s="329"/>
      <c r="S2" s="329"/>
      <c r="T2" s="329"/>
      <c r="U2" s="329"/>
      <c r="V2" s="329"/>
      <c r="W2" s="329"/>
      <c r="X2" s="329"/>
    </row>
    <row r="3" spans="1:25" ht="16.5" customHeight="1" x14ac:dyDescent="0.3">
      <c r="B3" s="3105" t="s">
        <v>4825</v>
      </c>
      <c r="C3" s="3105"/>
      <c r="D3" s="3105"/>
      <c r="E3" s="3105"/>
      <c r="F3" s="3105"/>
      <c r="G3" s="3105"/>
      <c r="H3" s="2436"/>
      <c r="I3" s="2436"/>
      <c r="J3" s="948"/>
      <c r="K3" s="943" t="s">
        <v>4826</v>
      </c>
      <c r="L3" s="949">
        <f>IF(C5="69",15000000,IF(C5="U30",30000000,IF(OR(C5="U20",C5="48",C5="48E",C5="48L",C5="48R",C5="48C",C5="48T",C5="48HP",C5="48CW",C5="48X"),40000000,10000000)))</f>
        <v>10000000</v>
      </c>
      <c r="M3" s="2436"/>
      <c r="N3" s="2554"/>
      <c r="O3" s="2436"/>
      <c r="Q3" s="329"/>
      <c r="R3" s="329"/>
      <c r="S3" s="329"/>
      <c r="T3" s="329"/>
      <c r="U3" s="329"/>
      <c r="V3" s="329"/>
      <c r="W3" s="329"/>
      <c r="X3" s="329"/>
    </row>
    <row r="4" spans="1:25" ht="13.5" x14ac:dyDescent="0.25">
      <c r="A4" s="2607" t="s">
        <v>4827</v>
      </c>
      <c r="B4" s="2607"/>
      <c r="C4" s="2607"/>
      <c r="D4" s="2607"/>
      <c r="E4" s="2607"/>
      <c r="F4" s="2607"/>
      <c r="G4" s="2607"/>
      <c r="H4" s="2287"/>
      <c r="I4" s="2287"/>
      <c r="J4" s="950"/>
      <c r="K4" s="943" t="s">
        <v>4828</v>
      </c>
      <c r="L4" s="951">
        <f>COUNTIF(N6:N261,"=C")</f>
        <v>0</v>
      </c>
      <c r="M4" s="2287"/>
    </row>
    <row r="5" spans="1:25" s="105" customFormat="1" ht="15" customHeight="1" x14ac:dyDescent="0.2">
      <c r="B5" s="105" t="s">
        <v>318</v>
      </c>
      <c r="C5" s="335" t="str">
        <f>+Index!$E$10</f>
        <v>01</v>
      </c>
      <c r="D5" s="332"/>
      <c r="E5" s="332"/>
      <c r="H5" s="431" t="s">
        <v>320</v>
      </c>
      <c r="I5" s="3099" t="str">
        <f>+CONCATENATE(Index!$E$12," ",Index!$E$14)</f>
        <v xml:space="preserve"> </v>
      </c>
      <c r="J5" s="3099"/>
      <c r="K5" s="3099"/>
      <c r="L5" s="3099"/>
      <c r="M5"/>
      <c r="N5"/>
      <c r="O5"/>
      <c r="Q5" s="330"/>
      <c r="Y5" s="104"/>
    </row>
    <row r="6" spans="1:25" s="105" customFormat="1" ht="15" customHeight="1" x14ac:dyDescent="0.2">
      <c r="B6" s="105" t="s">
        <v>319</v>
      </c>
      <c r="C6" s="3117" t="str">
        <f>+Index!$E$11</f>
        <v>North Carolina General Assembly</v>
      </c>
      <c r="D6" s="3117"/>
      <c r="E6" s="3117"/>
      <c r="F6" s="3117"/>
      <c r="H6" s="425" t="s">
        <v>168</v>
      </c>
      <c r="I6" s="361"/>
      <c r="J6" s="3118">
        <f>+Index!$E$13</f>
        <v>0</v>
      </c>
      <c r="K6" s="3118"/>
      <c r="L6" s="3118"/>
      <c r="Q6" s="331"/>
      <c r="R6" s="331"/>
      <c r="S6" s="331"/>
      <c r="T6" s="331"/>
      <c r="U6" s="331"/>
      <c r="V6" s="331"/>
      <c r="W6" s="331"/>
      <c r="X6" s="106"/>
      <c r="Y6" s="104"/>
    </row>
    <row r="7" spans="1:25" s="105" customFormat="1" ht="15" customHeight="1" x14ac:dyDescent="0.2">
      <c r="B7" s="105" t="s">
        <v>545</v>
      </c>
      <c r="C7" s="942" t="e">
        <f>INDEX(NetAssetsData,MATCH('905'!$C$5,NetAssetsDataRow,0),4)</f>
        <v>#N/A</v>
      </c>
      <c r="D7" s="573"/>
      <c r="E7" s="573"/>
      <c r="G7" s="330"/>
      <c r="Y7" s="104"/>
    </row>
    <row r="8" spans="1:25" s="27" customFormat="1" ht="12" customHeight="1" x14ac:dyDescent="0.2">
      <c r="B8" s="803" t="s">
        <v>4829</v>
      </c>
      <c r="C8" s="804"/>
      <c r="D8" s="804"/>
      <c r="E8" s="804"/>
      <c r="F8" s="804"/>
      <c r="G8" s="804"/>
      <c r="H8" s="804"/>
      <c r="I8" s="805"/>
      <c r="J8" s="804"/>
      <c r="K8" s="806"/>
      <c r="L8" s="390"/>
    </row>
    <row r="9" spans="1:25" x14ac:dyDescent="0.2">
      <c r="F9" s="713" t="s">
        <v>4830</v>
      </c>
      <c r="H9" s="713" t="s">
        <v>4831</v>
      </c>
      <c r="N9" s="933" t="s">
        <v>4832</v>
      </c>
    </row>
    <row r="10" spans="1:25" ht="12.75" customHeight="1" x14ac:dyDescent="0.25">
      <c r="B10" s="69"/>
      <c r="C10" s="211"/>
      <c r="D10" s="211"/>
      <c r="E10" s="211"/>
      <c r="F10" s="223" t="str">
        <f>CONCATENATE("FY",YEAR(Data!$A$3),"-",YEAR(Data!$A$2))</f>
        <v>FY2023-2024</v>
      </c>
      <c r="G10" s="224"/>
      <c r="H10" s="223" t="str">
        <f>CONCATENATE("FY",YEAR(Data!$A$3)-1,"-",YEAR(Data!$A$2)-1)</f>
        <v>FY2022-2023</v>
      </c>
      <c r="I10" s="225"/>
      <c r="J10" s="223" t="s">
        <v>2414</v>
      </c>
      <c r="K10" s="226"/>
      <c r="L10" s="227" t="s">
        <v>4833</v>
      </c>
      <c r="M10" s="226"/>
      <c r="N10" s="227" t="s">
        <v>4834</v>
      </c>
    </row>
    <row r="11" spans="1:25" x14ac:dyDescent="0.2">
      <c r="B11" s="2442" t="s">
        <v>4835</v>
      </c>
      <c r="C11" s="432"/>
      <c r="D11" s="432"/>
      <c r="E11" s="432"/>
      <c r="F11" s="432"/>
      <c r="G11" s="432"/>
    </row>
    <row r="12" spans="1:25" x14ac:dyDescent="0.2">
      <c r="B12" s="213" t="s">
        <v>2737</v>
      </c>
      <c r="C12" s="213"/>
      <c r="D12" s="213"/>
      <c r="E12" s="213"/>
    </row>
    <row r="13" spans="1:25" ht="14.25" customHeight="1" x14ac:dyDescent="0.25">
      <c r="A13" s="170">
        <v>1000</v>
      </c>
      <c r="B13" s="2890" t="s">
        <v>1935</v>
      </c>
      <c r="C13" s="2890"/>
      <c r="D13" s="2380"/>
      <c r="E13" s="2380"/>
      <c r="F13" s="342">
        <f>'905'!F13</f>
        <v>0</v>
      </c>
      <c r="H13" s="342" t="e">
        <f>INDEX(PY905Data,MATCH($A13,PY905Row,0),MATCH($C$5,PY905Col,0))</f>
        <v>#N/A</v>
      </c>
      <c r="J13" s="228" t="e">
        <f>F13-H13</f>
        <v>#N/A</v>
      </c>
      <c r="L13" s="229" t="e">
        <f>IF(H13=0,0,J13/H13)</f>
        <v>#N/A</v>
      </c>
      <c r="N13" s="2317" t="str">
        <f>IF($F$88=0," ",IF(AND(ABS(J13)&gt;$L$3,ABS(L13)&gt;$L$2),"C",IF(AND(ABS(F13+H13)&gt;0,H13=0,ABS(J13)&gt;$L$3),"C"," ")))</f>
        <v xml:space="preserve"> </v>
      </c>
    </row>
    <row r="14" spans="1:25" ht="13.5" x14ac:dyDescent="0.25">
      <c r="A14" s="170">
        <v>1010</v>
      </c>
      <c r="B14" s="2890" t="s">
        <v>1539</v>
      </c>
      <c r="C14" s="2890"/>
      <c r="D14" s="2380"/>
      <c r="E14" s="2380"/>
      <c r="F14" s="341">
        <f>'905'!F14</f>
        <v>0</v>
      </c>
      <c r="H14" s="341" t="e">
        <f>INDEX(PY905Data,MATCH($A14,PY905Row,0),MATCH($C$5,PY905Col,0))</f>
        <v>#N/A</v>
      </c>
      <c r="J14" s="228" t="e">
        <f>F14-H14</f>
        <v>#N/A</v>
      </c>
      <c r="L14" s="229" t="e">
        <f>IF(H14=0,0,J14/H14)</f>
        <v>#N/A</v>
      </c>
      <c r="N14" s="2317" t="str">
        <f>IF($F$88=0," ",IF(AND(ABS(J14)&gt;$L$3,ABS(L14)&gt;$L$2),"C",IF(AND(ABS(F14+H14)&gt;0,H14=0,ABS(J14)&gt;$L$3),"C"," ")))</f>
        <v xml:space="preserve"> </v>
      </c>
    </row>
    <row r="15" spans="1:25" ht="13.5" x14ac:dyDescent="0.25">
      <c r="A15" s="170">
        <v>1050</v>
      </c>
      <c r="B15" s="2890" t="s">
        <v>2738</v>
      </c>
      <c r="C15" s="2890"/>
      <c r="D15" s="2380"/>
      <c r="E15" s="2380"/>
      <c r="F15" s="341">
        <f>'905'!F15</f>
        <v>0</v>
      </c>
      <c r="H15" s="341" t="e">
        <f>INDEX(PY905Data,MATCH($A15,PY905Row,0),MATCH($C$5,PY905Col,0))</f>
        <v>#N/A</v>
      </c>
      <c r="J15" s="228" t="e">
        <f>F15-H15</f>
        <v>#N/A</v>
      </c>
      <c r="L15" s="229" t="e">
        <f>IF(H15=0,0,J15/H15)</f>
        <v>#N/A</v>
      </c>
      <c r="N15" s="2317" t="str">
        <f>IF($F$88=0," ",IF(AND(ABS(J15)&gt;$L$3,ABS(L15)&gt;$L$2),"C",IF(AND(ABS(F15+H15)&gt;0,H15=0,ABS(J15)&gt;$L$3),"C"," ")))</f>
        <v xml:space="preserve"> </v>
      </c>
    </row>
    <row r="16" spans="1:25" ht="13.5" x14ac:dyDescent="0.25">
      <c r="A16" s="170">
        <v>1060</v>
      </c>
      <c r="B16" s="2890" t="s">
        <v>2739</v>
      </c>
      <c r="C16" s="2890"/>
      <c r="D16" s="2380"/>
      <c r="E16" s="2380"/>
      <c r="F16" s="341">
        <f>'905'!F16</f>
        <v>0</v>
      </c>
      <c r="H16" s="341" t="e">
        <f>INDEX(PY905Data,MATCH($A16,PY905Row,0),MATCH($C$5,PY905Col,0))</f>
        <v>#N/A</v>
      </c>
      <c r="J16" s="228" t="e">
        <f>F16-H16</f>
        <v>#N/A</v>
      </c>
      <c r="L16" s="229" t="e">
        <f>IF(H16=0,0,J16/H16)</f>
        <v>#N/A</v>
      </c>
      <c r="N16" s="2317" t="str">
        <f>IF($F$88=0," ",IF(AND(ABS(J16)&gt;$L$3,ABS(L16)&gt;$L$2),"C",IF(AND(ABS(F16+H16)&gt;0,H16=0,ABS(J16)&gt;$L$3),"C"," ")))</f>
        <v xml:space="preserve"> </v>
      </c>
    </row>
    <row r="17" spans="1:16" ht="13.5" x14ac:dyDescent="0.25">
      <c r="A17" s="170">
        <v>1090</v>
      </c>
      <c r="B17" s="2890" t="s">
        <v>3040</v>
      </c>
      <c r="C17" s="2890"/>
      <c r="D17" s="2380"/>
      <c r="E17" s="2380"/>
      <c r="F17" s="341">
        <f>'905'!F17</f>
        <v>0</v>
      </c>
      <c r="H17" s="341" t="e">
        <f>INDEX(PY905Data,MATCH($A17,PY905Row,0),MATCH($C$5,PY905Col,0))</f>
        <v>#N/A</v>
      </c>
      <c r="J17" s="228" t="e">
        <f>F17-H17</f>
        <v>#N/A</v>
      </c>
      <c r="L17" s="229" t="e">
        <f>IF(H17=0,0,J17/H17)</f>
        <v>#N/A</v>
      </c>
      <c r="N17" s="2317" t="str">
        <f>IF($F$88=0," ",IF(AND(ABS(J17)&gt;$L$3,ABS(L17)&gt;$L$2),"C",IF(AND(ABS(F17+H17)&gt;0,H17=0,ABS(J17)&gt;$L$3),"C"," ")))</f>
        <v xml:space="preserve"> </v>
      </c>
    </row>
    <row r="18" spans="1:16" ht="13.5" x14ac:dyDescent="0.25">
      <c r="A18" s="170"/>
      <c r="B18" s="170" t="s">
        <v>2741</v>
      </c>
      <c r="C18" s="170"/>
      <c r="D18" s="170"/>
      <c r="E18" s="170"/>
      <c r="J18" s="228"/>
      <c r="L18" s="229"/>
    </row>
    <row r="19" spans="1:16" ht="13.5" x14ac:dyDescent="0.25">
      <c r="A19" s="170">
        <v>1110</v>
      </c>
      <c r="B19" s="3116" t="s">
        <v>2742</v>
      </c>
      <c r="C19" s="3116"/>
      <c r="D19" s="2440"/>
      <c r="E19" s="2440"/>
      <c r="F19" s="341">
        <f>'905'!F19</f>
        <v>0</v>
      </c>
      <c r="H19" s="341" t="e">
        <f t="shared" ref="H19:H37" si="0">INDEX(PY905Data,MATCH($A19,PY905Row,0),MATCH($C$5,PY905Col,0))</f>
        <v>#N/A</v>
      </c>
      <c r="J19" s="228" t="e">
        <f t="shared" ref="J19:J27" si="1">F19-H19</f>
        <v>#N/A</v>
      </c>
      <c r="L19" s="229" t="e">
        <f t="shared" ref="L19:L27" si="2">IF(H19=0,0,J19/H19)</f>
        <v>#N/A</v>
      </c>
      <c r="N19" s="2317" t="str">
        <f t="shared" ref="N19:N37" si="3">IF($F$88=0," ",IF(AND(ABS(J19)&gt;$L$3,ABS(L19)&gt;$L$2),"C",IF(AND(ABS(F19+H19)&gt;0,H19=0,ABS(J19)&gt;$L$3),"C"," ")))</f>
        <v xml:space="preserve"> </v>
      </c>
    </row>
    <row r="20" spans="1:16" ht="13.5" x14ac:dyDescent="0.25">
      <c r="A20" s="170">
        <v>1120</v>
      </c>
      <c r="B20" s="3116" t="s">
        <v>2743</v>
      </c>
      <c r="C20" s="3116"/>
      <c r="D20" s="2440"/>
      <c r="E20" s="2440"/>
      <c r="F20" s="341">
        <f>'905'!F20</f>
        <v>0</v>
      </c>
      <c r="H20" s="341" t="e">
        <f t="shared" si="0"/>
        <v>#N/A</v>
      </c>
      <c r="J20" s="228" t="e">
        <f t="shared" si="1"/>
        <v>#N/A</v>
      </c>
      <c r="L20" s="229" t="e">
        <f t="shared" si="2"/>
        <v>#N/A</v>
      </c>
      <c r="N20" s="2317" t="str">
        <f t="shared" si="3"/>
        <v xml:space="preserve"> </v>
      </c>
    </row>
    <row r="21" spans="1:16" ht="13.5" x14ac:dyDescent="0.25">
      <c r="A21" s="170">
        <v>1130</v>
      </c>
      <c r="B21" s="3116" t="s">
        <v>2744</v>
      </c>
      <c r="C21" s="3116"/>
      <c r="D21" s="2440"/>
      <c r="E21" s="2440"/>
      <c r="F21" s="341">
        <f>'905'!F21</f>
        <v>0</v>
      </c>
      <c r="H21" s="341" t="e">
        <f t="shared" si="0"/>
        <v>#N/A</v>
      </c>
      <c r="J21" s="228" t="e">
        <f t="shared" si="1"/>
        <v>#N/A</v>
      </c>
      <c r="L21" s="229" t="e">
        <f t="shared" si="2"/>
        <v>#N/A</v>
      </c>
      <c r="N21" s="2317" t="str">
        <f t="shared" si="3"/>
        <v xml:space="preserve"> </v>
      </c>
    </row>
    <row r="22" spans="1:16" ht="13.5" x14ac:dyDescent="0.25">
      <c r="A22" s="170">
        <v>1160</v>
      </c>
      <c r="B22" s="3116" t="s">
        <v>2745</v>
      </c>
      <c r="C22" s="3116"/>
      <c r="D22" s="2440"/>
      <c r="E22" s="2440"/>
      <c r="F22" s="341">
        <f>'905'!F22</f>
        <v>0</v>
      </c>
      <c r="H22" s="341" t="e">
        <f t="shared" si="0"/>
        <v>#N/A</v>
      </c>
      <c r="J22" s="228" t="e">
        <f t="shared" si="1"/>
        <v>#N/A</v>
      </c>
      <c r="L22" s="229" t="e">
        <f t="shared" si="2"/>
        <v>#N/A</v>
      </c>
      <c r="N22" s="2317" t="str">
        <f t="shared" si="3"/>
        <v xml:space="preserve"> </v>
      </c>
    </row>
    <row r="23" spans="1:16" ht="13.5" x14ac:dyDescent="0.25">
      <c r="A23" s="170">
        <v>1175</v>
      </c>
      <c r="B23" s="2890" t="s">
        <v>3094</v>
      </c>
      <c r="C23" s="2890"/>
      <c r="D23" s="2440"/>
      <c r="E23" s="2440"/>
      <c r="F23" s="341">
        <f>'905'!F23</f>
        <v>0</v>
      </c>
      <c r="H23" s="341" t="e">
        <f t="shared" si="0"/>
        <v>#N/A</v>
      </c>
      <c r="J23" s="228" t="e">
        <f t="shared" si="1"/>
        <v>#N/A</v>
      </c>
      <c r="L23" s="229" t="e">
        <f t="shared" si="2"/>
        <v>#N/A</v>
      </c>
      <c r="N23" s="2317" t="str">
        <f t="shared" si="3"/>
        <v xml:space="preserve"> </v>
      </c>
    </row>
    <row r="24" spans="1:16" ht="13.5" x14ac:dyDescent="0.25">
      <c r="A24" s="638">
        <v>1190</v>
      </c>
      <c r="B24" s="2890" t="s">
        <v>4836</v>
      </c>
      <c r="C24" s="2890"/>
      <c r="D24" s="2380"/>
      <c r="E24" s="2380"/>
      <c r="F24" s="341">
        <f>'905'!F24</f>
        <v>0</v>
      </c>
      <c r="H24" s="341" t="e">
        <f t="shared" si="0"/>
        <v>#N/A</v>
      </c>
      <c r="J24" s="228" t="e">
        <f t="shared" si="1"/>
        <v>#N/A</v>
      </c>
      <c r="L24" s="229" t="e">
        <f t="shared" si="2"/>
        <v>#N/A</v>
      </c>
      <c r="N24" s="2317" t="str">
        <f t="shared" si="3"/>
        <v xml:space="preserve"> </v>
      </c>
    </row>
    <row r="25" spans="1:16" ht="13.5" x14ac:dyDescent="0.25">
      <c r="A25" s="638">
        <v>1195</v>
      </c>
      <c r="B25" s="2890" t="s">
        <v>3098</v>
      </c>
      <c r="C25" s="2890"/>
      <c r="D25" s="2380"/>
      <c r="E25" s="2380"/>
      <c r="F25" s="341">
        <f>'905'!F25</f>
        <v>0</v>
      </c>
      <c r="H25" s="341" t="e">
        <f t="shared" si="0"/>
        <v>#N/A</v>
      </c>
      <c r="J25" s="228" t="e">
        <f t="shared" si="1"/>
        <v>#N/A</v>
      </c>
      <c r="L25" s="229" t="e">
        <f t="shared" si="2"/>
        <v>#N/A</v>
      </c>
      <c r="N25" s="2317" t="str">
        <f t="shared" si="3"/>
        <v xml:space="preserve"> </v>
      </c>
    </row>
    <row r="26" spans="1:16" ht="13.5" x14ac:dyDescent="0.25">
      <c r="A26" s="638">
        <v>1200</v>
      </c>
      <c r="B26" s="2890" t="s">
        <v>3101</v>
      </c>
      <c r="C26" s="2890"/>
      <c r="D26" s="2380"/>
      <c r="E26" s="2380"/>
      <c r="F26" s="341">
        <f>'905'!F26</f>
        <v>0</v>
      </c>
      <c r="H26" s="341" t="e">
        <f t="shared" si="0"/>
        <v>#N/A</v>
      </c>
      <c r="J26" s="228" t="e">
        <f t="shared" si="1"/>
        <v>#N/A</v>
      </c>
      <c r="L26" s="229" t="e">
        <f t="shared" si="2"/>
        <v>#N/A</v>
      </c>
      <c r="N26" s="2317" t="str">
        <f t="shared" si="3"/>
        <v xml:space="preserve"> </v>
      </c>
    </row>
    <row r="27" spans="1:16" ht="13.5" x14ac:dyDescent="0.25">
      <c r="A27" s="170">
        <v>1220</v>
      </c>
      <c r="B27" s="2890" t="s">
        <v>2750</v>
      </c>
      <c r="C27" s="2890"/>
      <c r="D27" s="2380"/>
      <c r="E27" s="2380"/>
      <c r="F27" s="341">
        <f>'905'!F27</f>
        <v>0</v>
      </c>
      <c r="H27" s="341" t="e">
        <f t="shared" si="0"/>
        <v>#N/A</v>
      </c>
      <c r="J27" s="228" t="e">
        <f t="shared" si="1"/>
        <v>#N/A</v>
      </c>
      <c r="L27" s="229" t="e">
        <f t="shared" si="2"/>
        <v>#N/A</v>
      </c>
      <c r="N27" s="2317" t="str">
        <f t="shared" si="3"/>
        <v xml:space="preserve"> </v>
      </c>
    </row>
    <row r="28" spans="1:16" ht="13.5" x14ac:dyDescent="0.25">
      <c r="A28" s="170">
        <v>1230</v>
      </c>
      <c r="B28" s="2890" t="s">
        <v>2751</v>
      </c>
      <c r="C28" s="2890"/>
      <c r="D28" s="2380"/>
      <c r="E28" s="2380"/>
      <c r="F28" s="341">
        <f>'905'!F28</f>
        <v>0</v>
      </c>
      <c r="H28" s="341" t="e">
        <f t="shared" si="0"/>
        <v>#N/A</v>
      </c>
      <c r="J28" s="228" t="e">
        <f t="shared" ref="J28:J37" si="4">F28-H28</f>
        <v>#N/A</v>
      </c>
      <c r="L28" s="229" t="e">
        <f t="shared" ref="L28:L37" si="5">IF(H28=0,0,J28/H28)</f>
        <v>#N/A</v>
      </c>
      <c r="N28" s="2317" t="str">
        <f t="shared" si="3"/>
        <v xml:space="preserve"> </v>
      </c>
    </row>
    <row r="29" spans="1:16" ht="13.5" x14ac:dyDescent="0.25">
      <c r="A29" s="170">
        <v>1210</v>
      </c>
      <c r="B29" s="2890" t="s">
        <v>2752</v>
      </c>
      <c r="C29" s="2890"/>
      <c r="D29" s="2380"/>
      <c r="E29" s="2380"/>
      <c r="F29" s="341">
        <f>'905'!F29</f>
        <v>0</v>
      </c>
      <c r="H29" s="341" t="e">
        <f t="shared" si="0"/>
        <v>#N/A</v>
      </c>
      <c r="J29" s="228" t="e">
        <f t="shared" si="4"/>
        <v>#N/A</v>
      </c>
      <c r="L29" s="229" t="e">
        <f t="shared" si="5"/>
        <v>#N/A</v>
      </c>
      <c r="N29" s="2317" t="str">
        <f t="shared" si="3"/>
        <v xml:space="preserve"> </v>
      </c>
    </row>
    <row r="30" spans="1:16" ht="13.5" x14ac:dyDescent="0.25">
      <c r="A30" s="170">
        <v>1211</v>
      </c>
      <c r="B30" s="2890" t="s">
        <v>4668</v>
      </c>
      <c r="C30" s="2890"/>
      <c r="D30" s="2380"/>
      <c r="E30" s="2380"/>
      <c r="F30" s="341">
        <f>'905'!F30</f>
        <v>0</v>
      </c>
      <c r="H30" s="341" t="e">
        <f t="shared" si="0"/>
        <v>#N/A</v>
      </c>
      <c r="J30" s="228" t="e">
        <f t="shared" si="4"/>
        <v>#N/A</v>
      </c>
      <c r="L30" s="229" t="e">
        <f t="shared" si="5"/>
        <v>#N/A</v>
      </c>
      <c r="N30" s="2317" t="str">
        <f t="shared" si="3"/>
        <v xml:space="preserve"> </v>
      </c>
    </row>
    <row r="31" spans="1:16" ht="13.5" x14ac:dyDescent="0.25">
      <c r="A31" s="2009">
        <v>1214</v>
      </c>
      <c r="B31" s="3083" t="s">
        <v>4669</v>
      </c>
      <c r="C31" s="3083"/>
      <c r="D31" s="3083"/>
      <c r="E31" s="3083"/>
      <c r="F31" s="341">
        <f>'905'!F31</f>
        <v>0</v>
      </c>
      <c r="H31" s="341" t="e">
        <f>INDEX(PY905Data,MATCH($A31,PY905Row,0),MATCH($C$5,PY905Col,0))</f>
        <v>#N/A</v>
      </c>
      <c r="J31" s="228" t="e">
        <f>F31-H31</f>
        <v>#N/A</v>
      </c>
      <c r="L31" s="229" t="e">
        <f>IF(H31=0,0,J31/H31)</f>
        <v>#N/A</v>
      </c>
      <c r="N31" s="2317" t="str">
        <f t="shared" si="3"/>
        <v xml:space="preserve"> </v>
      </c>
      <c r="O31" s="1814" t="s">
        <v>4837</v>
      </c>
      <c r="P31" s="1113"/>
    </row>
    <row r="32" spans="1:16" ht="13.5" x14ac:dyDescent="0.25">
      <c r="A32" s="170">
        <v>1020</v>
      </c>
      <c r="B32" s="2890" t="s">
        <v>1948</v>
      </c>
      <c r="C32" s="2890"/>
      <c r="D32" s="2380"/>
      <c r="E32" s="2380"/>
      <c r="F32" s="341">
        <f>'905'!F32</f>
        <v>0</v>
      </c>
      <c r="H32" s="341" t="e">
        <f t="shared" si="0"/>
        <v>#N/A</v>
      </c>
      <c r="J32" s="228" t="e">
        <f t="shared" si="4"/>
        <v>#N/A</v>
      </c>
      <c r="L32" s="229" t="e">
        <f t="shared" si="5"/>
        <v>#N/A</v>
      </c>
      <c r="N32" s="2317" t="str">
        <f t="shared" si="3"/>
        <v xml:space="preserve"> </v>
      </c>
    </row>
    <row r="33" spans="1:15" ht="13.5" x14ac:dyDescent="0.25">
      <c r="A33" s="170">
        <v>1030</v>
      </c>
      <c r="B33" s="2890" t="s">
        <v>4838</v>
      </c>
      <c r="C33" s="2890"/>
      <c r="D33" s="2380"/>
      <c r="E33" s="2380"/>
      <c r="F33" s="212">
        <f>'905'!F33</f>
        <v>0</v>
      </c>
      <c r="H33" s="341" t="e">
        <f t="shared" si="0"/>
        <v>#N/A</v>
      </c>
      <c r="J33" s="228" t="e">
        <f>F33-H33</f>
        <v>#N/A</v>
      </c>
      <c r="L33" s="229" t="e">
        <f>IF(H33=0,0,J33/H33)</f>
        <v>#N/A</v>
      </c>
      <c r="N33" s="2317" t="str">
        <f t="shared" si="3"/>
        <v xml:space="preserve"> </v>
      </c>
    </row>
    <row r="34" spans="1:15" ht="13.5" x14ac:dyDescent="0.25">
      <c r="A34" s="170">
        <v>1070</v>
      </c>
      <c r="B34" s="2890" t="s">
        <v>2758</v>
      </c>
      <c r="C34" s="2890"/>
      <c r="D34" s="2380"/>
      <c r="E34" s="2380"/>
      <c r="F34" s="212">
        <f>'905'!F34</f>
        <v>0</v>
      </c>
      <c r="H34" s="341" t="e">
        <f t="shared" si="0"/>
        <v>#N/A</v>
      </c>
      <c r="J34" s="228" t="e">
        <f t="shared" si="4"/>
        <v>#N/A</v>
      </c>
      <c r="L34" s="229" t="e">
        <f t="shared" si="5"/>
        <v>#N/A</v>
      </c>
      <c r="N34" s="2317" t="str">
        <f t="shared" si="3"/>
        <v xml:space="preserve"> </v>
      </c>
    </row>
    <row r="35" spans="1:15" ht="13.5" x14ac:dyDescent="0.25">
      <c r="A35" s="170">
        <v>1232</v>
      </c>
      <c r="B35" s="2890" t="s">
        <v>2759</v>
      </c>
      <c r="C35" s="2890"/>
      <c r="D35" s="2380"/>
      <c r="E35" s="2380"/>
      <c r="F35" s="212">
        <f>'905'!F35</f>
        <v>0</v>
      </c>
      <c r="H35" s="341" t="e">
        <f t="shared" si="0"/>
        <v>#N/A</v>
      </c>
      <c r="J35" s="228" t="e">
        <f>F35-H35</f>
        <v>#N/A</v>
      </c>
      <c r="L35" s="229" t="e">
        <f>IF(H35=0,0,J35/H35)</f>
        <v>#N/A</v>
      </c>
      <c r="N35" s="2317" t="str">
        <f t="shared" si="3"/>
        <v xml:space="preserve"> </v>
      </c>
    </row>
    <row r="36" spans="1:15" ht="13.5" x14ac:dyDescent="0.25">
      <c r="A36" s="170">
        <v>1235</v>
      </c>
      <c r="B36" s="2890" t="s">
        <v>2760</v>
      </c>
      <c r="C36" s="2890"/>
      <c r="D36" s="2380"/>
      <c r="E36" s="2380"/>
      <c r="F36" s="212">
        <f>'905'!F36</f>
        <v>0</v>
      </c>
      <c r="H36" s="341" t="e">
        <f t="shared" si="0"/>
        <v>#N/A</v>
      </c>
      <c r="J36" s="228" t="e">
        <f>F36-H36</f>
        <v>#N/A</v>
      </c>
      <c r="L36" s="229" t="e">
        <f>IF(H36=0,0,J36/H36)</f>
        <v>#N/A</v>
      </c>
      <c r="N36" s="2317" t="str">
        <f t="shared" si="3"/>
        <v xml:space="preserve"> </v>
      </c>
      <c r="O36" s="971"/>
    </row>
    <row r="37" spans="1:15" ht="13.5" x14ac:dyDescent="0.25">
      <c r="A37" s="170">
        <v>1233</v>
      </c>
      <c r="B37" s="2890" t="s">
        <v>2761</v>
      </c>
      <c r="C37" s="2890"/>
      <c r="D37" s="2380"/>
      <c r="E37" s="2380"/>
      <c r="F37" s="212">
        <f>'905'!F37</f>
        <v>0</v>
      </c>
      <c r="H37" s="341" t="e">
        <f t="shared" si="0"/>
        <v>#N/A</v>
      </c>
      <c r="J37" s="228" t="e">
        <f t="shared" si="4"/>
        <v>#N/A</v>
      </c>
      <c r="L37" s="229" t="e">
        <f t="shared" si="5"/>
        <v>#N/A</v>
      </c>
      <c r="N37" s="2317" t="str">
        <f t="shared" si="3"/>
        <v xml:space="preserve"> </v>
      </c>
      <c r="O37" s="971"/>
    </row>
    <row r="38" spans="1:15" ht="13.5" x14ac:dyDescent="0.25">
      <c r="B38" s="2890" t="s">
        <v>3149</v>
      </c>
      <c r="C38" s="2890"/>
      <c r="D38" s="2380"/>
      <c r="E38" s="2380"/>
      <c r="F38" s="350">
        <f>SUM(F13:F37)</f>
        <v>0</v>
      </c>
      <c r="H38" s="350" t="e">
        <f>SUM(H13:H37)</f>
        <v>#N/A</v>
      </c>
      <c r="J38" s="228" t="e">
        <f>F38-H38</f>
        <v>#N/A</v>
      </c>
      <c r="L38" s="229" t="e">
        <f>IF(H38=0,0,J38/H38)</f>
        <v>#N/A</v>
      </c>
    </row>
    <row r="39" spans="1:15" ht="6" customHeight="1" x14ac:dyDescent="0.25">
      <c r="B39" s="2421"/>
      <c r="C39" s="2421"/>
      <c r="D39" s="2421"/>
      <c r="E39" s="2421"/>
      <c r="L39" s="229"/>
    </row>
    <row r="40" spans="1:15" ht="13.5" x14ac:dyDescent="0.25">
      <c r="B40" s="213" t="s">
        <v>2763</v>
      </c>
      <c r="C40" s="213"/>
      <c r="D40" s="213"/>
      <c r="E40" s="213"/>
      <c r="L40" s="229"/>
    </row>
    <row r="41" spans="1:15" ht="13.5" x14ac:dyDescent="0.25">
      <c r="A41" s="170">
        <v>1300</v>
      </c>
      <c r="B41" s="2890" t="s">
        <v>1540</v>
      </c>
      <c r="C41" s="2890"/>
      <c r="D41" s="2380"/>
      <c r="E41" s="2380"/>
      <c r="F41" s="341">
        <f>'905'!F41</f>
        <v>0</v>
      </c>
      <c r="H41" s="341" t="e">
        <f>INDEX(PY905Data,MATCH($A41,PY905Row,0),MATCH($C$5,PY905Col,0))</f>
        <v>#N/A</v>
      </c>
      <c r="J41" s="228" t="e">
        <f>F41-H41</f>
        <v>#N/A</v>
      </c>
      <c r="L41" s="229" t="e">
        <f>IF(H41=0,0,J41/H41)</f>
        <v>#N/A</v>
      </c>
      <c r="N41" s="2317" t="str">
        <f>IF($F$88=0," ",IF(AND(ABS(J41)&gt;$L$3,ABS(L41)&gt;$L$2),"C",IF(AND(ABS(F41+H41)&gt;0,H41=0,ABS(J41)&gt;$L$3),"C"," ")))</f>
        <v xml:space="preserve"> </v>
      </c>
    </row>
    <row r="42" spans="1:15" ht="13.5" x14ac:dyDescent="0.25">
      <c r="A42" s="170">
        <v>1310</v>
      </c>
      <c r="B42" s="2890" t="s">
        <v>2391</v>
      </c>
      <c r="C42" s="2890"/>
      <c r="D42" s="2380"/>
      <c r="E42" s="2380"/>
      <c r="F42" s="341">
        <f>'905'!F42</f>
        <v>0</v>
      </c>
      <c r="H42" s="341" t="e">
        <f>INDEX(PY905Data,MATCH($A42,PY905Row,0),MATCH($C$5,PY905Col,0))</f>
        <v>#N/A</v>
      </c>
      <c r="J42" s="228" t="e">
        <f>F42-H42</f>
        <v>#N/A</v>
      </c>
      <c r="L42" s="229" t="e">
        <f>IF(H42=0,0,J42/H42)</f>
        <v>#N/A</v>
      </c>
      <c r="N42" s="2317" t="str">
        <f>IF($F$88=0," ",IF(AND(ABS(J42)&gt;$L$3,ABS(L42)&gt;$L$2),"C",IF(AND(ABS(F42+H42)&gt;0,H42=0,ABS(J42)&gt;$L$3),"C"," ")))</f>
        <v xml:space="preserve"> </v>
      </c>
    </row>
    <row r="43" spans="1:15" ht="13.5" x14ac:dyDescent="0.25">
      <c r="A43" s="170"/>
      <c r="B43" s="170" t="s">
        <v>2741</v>
      </c>
      <c r="C43" s="170"/>
      <c r="D43" s="170"/>
      <c r="E43" s="170"/>
      <c r="J43" s="228"/>
      <c r="L43" s="229"/>
    </row>
    <row r="44" spans="1:15" ht="13.5" x14ac:dyDescent="0.25">
      <c r="A44" s="170">
        <v>1340</v>
      </c>
      <c r="B44" s="3116" t="s">
        <v>2742</v>
      </c>
      <c r="C44" s="3116"/>
      <c r="D44" s="2440"/>
      <c r="E44" s="2440"/>
      <c r="F44" s="341">
        <f>'905'!F44</f>
        <v>0</v>
      </c>
      <c r="H44" s="341" t="e">
        <f t="shared" ref="H44:H56" si="6">INDEX(PY905Data,MATCH($A44,PY905Row,0),MATCH($C$5,PY905Col,0))</f>
        <v>#N/A</v>
      </c>
      <c r="J44" s="228" t="e">
        <f t="shared" ref="J44:J61" si="7">F44-H44</f>
        <v>#N/A</v>
      </c>
      <c r="L44" s="229" t="e">
        <f t="shared" ref="L44:L61" si="8">IF(H44=0,0,J44/H44)</f>
        <v>#N/A</v>
      </c>
      <c r="N44" s="2317" t="str">
        <f t="shared" ref="N44:N61" si="9">IF($F$88=0," ",IF(AND(ABS(J44)&gt;$L$3,ABS(L44)&gt;$L$2),"C",IF(AND(ABS(F44+H44)&gt;0,H44=0,ABS(J44)&gt;$L$3),"C"," ")))</f>
        <v xml:space="preserve"> </v>
      </c>
    </row>
    <row r="45" spans="1:15" ht="13.5" x14ac:dyDescent="0.25">
      <c r="A45" s="170">
        <v>1345</v>
      </c>
      <c r="B45" s="3116" t="s">
        <v>2743</v>
      </c>
      <c r="C45" s="3116"/>
      <c r="D45" s="2440"/>
      <c r="E45" s="2440"/>
      <c r="F45" s="341">
        <f>'905'!F45</f>
        <v>0</v>
      </c>
      <c r="H45" s="341" t="e">
        <f t="shared" si="6"/>
        <v>#N/A</v>
      </c>
      <c r="J45" s="228" t="e">
        <f t="shared" si="7"/>
        <v>#N/A</v>
      </c>
      <c r="L45" s="229" t="e">
        <f t="shared" si="8"/>
        <v>#N/A</v>
      </c>
      <c r="N45" s="2317" t="str">
        <f t="shared" si="9"/>
        <v xml:space="preserve"> </v>
      </c>
    </row>
    <row r="46" spans="1:15" ht="13.5" x14ac:dyDescent="0.25">
      <c r="A46" s="170">
        <v>1350</v>
      </c>
      <c r="B46" s="3116" t="s">
        <v>2744</v>
      </c>
      <c r="C46" s="3116"/>
      <c r="D46" s="2440"/>
      <c r="E46" s="2440"/>
      <c r="F46" s="341">
        <f>'905'!F46</f>
        <v>0</v>
      </c>
      <c r="H46" s="341" t="e">
        <f t="shared" si="6"/>
        <v>#N/A</v>
      </c>
      <c r="J46" s="228" t="e">
        <f t="shared" si="7"/>
        <v>#N/A</v>
      </c>
      <c r="L46" s="229" t="e">
        <f t="shared" si="8"/>
        <v>#N/A</v>
      </c>
      <c r="N46" s="2317" t="str">
        <f t="shared" si="9"/>
        <v xml:space="preserve"> </v>
      </c>
    </row>
    <row r="47" spans="1:15" ht="13.5" x14ac:dyDescent="0.25">
      <c r="A47" s="170">
        <v>1370</v>
      </c>
      <c r="B47" s="3116" t="s">
        <v>2745</v>
      </c>
      <c r="C47" s="3116"/>
      <c r="D47" s="2440"/>
      <c r="E47" s="2440"/>
      <c r="F47" s="341">
        <f>'905'!F47</f>
        <v>0</v>
      </c>
      <c r="H47" s="341" t="e">
        <f t="shared" si="6"/>
        <v>#N/A</v>
      </c>
      <c r="J47" s="228" t="e">
        <f t="shared" si="7"/>
        <v>#N/A</v>
      </c>
      <c r="L47" s="229" t="e">
        <f t="shared" si="8"/>
        <v>#N/A</v>
      </c>
      <c r="N47" s="2317" t="str">
        <f t="shared" si="9"/>
        <v xml:space="preserve"> </v>
      </c>
    </row>
    <row r="48" spans="1:15" ht="13.5" x14ac:dyDescent="0.25">
      <c r="A48" s="170">
        <v>1400</v>
      </c>
      <c r="B48" s="2890" t="s">
        <v>2752</v>
      </c>
      <c r="C48" s="2890"/>
      <c r="D48" s="2380"/>
      <c r="E48" s="2380"/>
      <c r="F48" s="341">
        <f>'905'!F48</f>
        <v>0</v>
      </c>
      <c r="H48" s="341" t="e">
        <f t="shared" si="6"/>
        <v>#N/A</v>
      </c>
      <c r="J48" s="228" t="e">
        <f t="shared" si="7"/>
        <v>#N/A</v>
      </c>
      <c r="L48" s="229" t="e">
        <f t="shared" si="8"/>
        <v>#N/A</v>
      </c>
      <c r="N48" s="2317" t="str">
        <f t="shared" si="9"/>
        <v xml:space="preserve"> </v>
      </c>
    </row>
    <row r="49" spans="1:16" ht="13.5" x14ac:dyDescent="0.25">
      <c r="A49" s="170">
        <v>1401</v>
      </c>
      <c r="B49" s="2890" t="s">
        <v>4668</v>
      </c>
      <c r="C49" s="2890"/>
      <c r="D49" s="2380"/>
      <c r="E49" s="2380"/>
      <c r="F49" s="341">
        <f>'905'!F49</f>
        <v>0</v>
      </c>
      <c r="H49" s="341" t="e">
        <f t="shared" si="6"/>
        <v>#N/A</v>
      </c>
      <c r="J49" s="228" t="e">
        <f t="shared" si="7"/>
        <v>#N/A</v>
      </c>
      <c r="L49" s="229" t="e">
        <f t="shared" si="8"/>
        <v>#N/A</v>
      </c>
      <c r="N49" s="2317" t="str">
        <f t="shared" si="9"/>
        <v xml:space="preserve"> </v>
      </c>
    </row>
    <row r="50" spans="1:16" ht="13.5" x14ac:dyDescent="0.25">
      <c r="A50" s="2009">
        <v>1404</v>
      </c>
      <c r="B50" s="3083" t="s">
        <v>3199</v>
      </c>
      <c r="C50" s="3083"/>
      <c r="D50" s="3083"/>
      <c r="E50" s="3083"/>
      <c r="F50" s="341">
        <f>'905'!F50</f>
        <v>0</v>
      </c>
      <c r="H50" s="341" t="e">
        <f>INDEX(PY905Data,MATCH($A50,PY905Row,0),MATCH($C$5,PY905Col,0))</f>
        <v>#N/A</v>
      </c>
      <c r="J50" s="228" t="e">
        <f>F50-H50</f>
        <v>#N/A</v>
      </c>
      <c r="L50" s="229" t="e">
        <f>IF(H50=0,0,J50/H50)</f>
        <v>#N/A</v>
      </c>
      <c r="N50" s="2317" t="str">
        <f t="shared" si="9"/>
        <v xml:space="preserve"> </v>
      </c>
      <c r="O50" s="1814" t="s">
        <v>4837</v>
      </c>
      <c r="P50" s="1113"/>
    </row>
    <row r="51" spans="1:16" ht="13.5" x14ac:dyDescent="0.25">
      <c r="A51" s="170">
        <v>1415</v>
      </c>
      <c r="B51" s="2890" t="s">
        <v>2765</v>
      </c>
      <c r="C51" s="2890"/>
      <c r="D51" s="2380"/>
      <c r="E51" s="2380"/>
      <c r="F51" s="341">
        <f>'905'!F51</f>
        <v>0</v>
      </c>
      <c r="H51" s="341" t="e">
        <f t="shared" si="6"/>
        <v>#N/A</v>
      </c>
      <c r="J51" s="228" t="e">
        <f t="shared" si="7"/>
        <v>#N/A</v>
      </c>
      <c r="L51" s="229" t="e">
        <f t="shared" si="8"/>
        <v>#N/A</v>
      </c>
      <c r="N51" s="2317" t="str">
        <f t="shared" si="9"/>
        <v xml:space="preserve"> </v>
      </c>
    </row>
    <row r="52" spans="1:16" ht="13.5" x14ac:dyDescent="0.25">
      <c r="A52" s="170">
        <v>1420</v>
      </c>
      <c r="B52" s="2890" t="s">
        <v>4839</v>
      </c>
      <c r="C52" s="2890"/>
      <c r="D52" s="2380"/>
      <c r="E52" s="2380"/>
      <c r="F52" s="341">
        <f>'905'!F52</f>
        <v>0</v>
      </c>
      <c r="H52" s="341" t="e">
        <f t="shared" si="6"/>
        <v>#N/A</v>
      </c>
      <c r="J52" s="228" t="e">
        <f t="shared" si="7"/>
        <v>#N/A</v>
      </c>
      <c r="L52" s="229" t="e">
        <f t="shared" si="8"/>
        <v>#N/A</v>
      </c>
      <c r="N52" s="2317" t="str">
        <f t="shared" si="9"/>
        <v xml:space="preserve"> </v>
      </c>
    </row>
    <row r="53" spans="1:16" ht="13.5" x14ac:dyDescent="0.25">
      <c r="A53" s="170">
        <v>1270</v>
      </c>
      <c r="B53" s="2890" t="s">
        <v>1948</v>
      </c>
      <c r="C53" s="2890"/>
      <c r="D53" s="2380"/>
      <c r="E53" s="2380"/>
      <c r="F53" s="341">
        <f>'905'!F53</f>
        <v>0</v>
      </c>
      <c r="H53" s="341" t="e">
        <f t="shared" si="6"/>
        <v>#N/A</v>
      </c>
      <c r="J53" s="228" t="e">
        <f t="shared" si="7"/>
        <v>#N/A</v>
      </c>
      <c r="L53" s="229" t="e">
        <f t="shared" si="8"/>
        <v>#N/A</v>
      </c>
      <c r="N53" s="2317" t="str">
        <f t="shared" si="9"/>
        <v xml:space="preserve"> </v>
      </c>
    </row>
    <row r="54" spans="1:16" ht="13.5" x14ac:dyDescent="0.25">
      <c r="A54" s="170">
        <v>1280</v>
      </c>
      <c r="B54" s="2890" t="s">
        <v>1970</v>
      </c>
      <c r="C54" s="2890"/>
      <c r="D54" s="2380"/>
      <c r="E54" s="2380"/>
      <c r="F54" s="341">
        <f>'905'!F54</f>
        <v>0</v>
      </c>
      <c r="H54" s="341" t="e">
        <f t="shared" si="6"/>
        <v>#N/A</v>
      </c>
      <c r="J54" s="228" t="e">
        <f t="shared" si="7"/>
        <v>#N/A</v>
      </c>
      <c r="L54" s="229" t="e">
        <f t="shared" si="8"/>
        <v>#N/A</v>
      </c>
      <c r="N54" s="2317" t="str">
        <f t="shared" si="9"/>
        <v xml:space="preserve"> </v>
      </c>
    </row>
    <row r="55" spans="1:16" ht="13.5" x14ac:dyDescent="0.25">
      <c r="A55" s="170">
        <v>1410</v>
      </c>
      <c r="B55" s="2890" t="s">
        <v>4791</v>
      </c>
      <c r="C55" s="2890"/>
      <c r="D55" s="2380"/>
      <c r="E55" s="2380"/>
      <c r="F55" s="341">
        <f>'905'!F55</f>
        <v>0</v>
      </c>
      <c r="H55" s="341" t="e">
        <f t="shared" si="6"/>
        <v>#N/A</v>
      </c>
      <c r="J55" s="228" t="e">
        <f t="shared" si="7"/>
        <v>#N/A</v>
      </c>
      <c r="L55" s="229" t="e">
        <f t="shared" si="8"/>
        <v>#N/A</v>
      </c>
      <c r="N55" s="2317" t="str">
        <f t="shared" si="9"/>
        <v xml:space="preserve"> </v>
      </c>
    </row>
    <row r="56" spans="1:16" ht="13.5" x14ac:dyDescent="0.25">
      <c r="A56" s="170"/>
      <c r="B56" s="2890" t="s">
        <v>4840</v>
      </c>
      <c r="C56" s="2890"/>
      <c r="D56" s="2380"/>
      <c r="E56" s="2380"/>
      <c r="F56" s="341">
        <f>'905'!F56</f>
        <v>0</v>
      </c>
      <c r="H56" s="341" t="e">
        <f t="shared" si="6"/>
        <v>#N/A</v>
      </c>
      <c r="J56" s="228" t="e">
        <f t="shared" si="7"/>
        <v>#N/A</v>
      </c>
      <c r="L56" s="229" t="e">
        <f t="shared" si="8"/>
        <v>#N/A</v>
      </c>
      <c r="N56" s="2317" t="str">
        <f t="shared" si="9"/>
        <v xml:space="preserve"> </v>
      </c>
    </row>
    <row r="57" spans="1:16" ht="13.5" x14ac:dyDescent="0.25">
      <c r="A57" s="638">
        <v>1395</v>
      </c>
      <c r="B57" s="2890" t="s">
        <v>4841</v>
      </c>
      <c r="C57" s="2890"/>
      <c r="D57" s="2380"/>
      <c r="E57" s="2380"/>
      <c r="F57" s="341">
        <f>'905'!F57</f>
        <v>0</v>
      </c>
      <c r="H57" s="341" t="e">
        <f>INDEX(PY905Data,MATCH($A57,PY905Row,0),MATCH($C$5,PY905Col,0))</f>
        <v>#N/A</v>
      </c>
      <c r="J57" s="228" t="e">
        <f t="shared" si="7"/>
        <v>#N/A</v>
      </c>
      <c r="L57" s="229" t="e">
        <f t="shared" si="8"/>
        <v>#N/A</v>
      </c>
      <c r="N57" s="2317" t="str">
        <f t="shared" si="9"/>
        <v xml:space="preserve"> </v>
      </c>
    </row>
    <row r="58" spans="1:16" ht="13.5" x14ac:dyDescent="0.25">
      <c r="A58" s="638">
        <v>1390</v>
      </c>
      <c r="B58" s="2890" t="s">
        <v>3189</v>
      </c>
      <c r="C58" s="2890"/>
      <c r="D58" s="2380"/>
      <c r="E58" s="2380"/>
      <c r="F58" s="341">
        <f>'905'!F58</f>
        <v>0</v>
      </c>
      <c r="H58" s="341" t="e">
        <f>INDEX(PY905Data,MATCH($A58,PY905Row,0),MATCH($C$5,PY905Col,0))</f>
        <v>#N/A</v>
      </c>
      <c r="J58" s="228" t="e">
        <f t="shared" si="7"/>
        <v>#N/A</v>
      </c>
      <c r="L58" s="229" t="e">
        <f t="shared" si="8"/>
        <v>#N/A</v>
      </c>
      <c r="N58" s="2317" t="str">
        <f t="shared" si="9"/>
        <v xml:space="preserve"> </v>
      </c>
    </row>
    <row r="59" spans="1:16" ht="13.5" x14ac:dyDescent="0.25">
      <c r="A59" s="170">
        <v>1432</v>
      </c>
      <c r="B59" s="2890" t="s">
        <v>2759</v>
      </c>
      <c r="C59" s="2890"/>
      <c r="D59" s="2380"/>
      <c r="E59" s="2380"/>
      <c r="F59" s="341">
        <f>'905'!F59</f>
        <v>0</v>
      </c>
      <c r="H59" s="341" t="e">
        <f>INDEX(PY905Data,MATCH($A59,PY905Row,0),MATCH($C$5,PY905Col,0))</f>
        <v>#N/A</v>
      </c>
      <c r="J59" s="228" t="e">
        <f>F59-H59</f>
        <v>#N/A</v>
      </c>
      <c r="L59" s="229" t="e">
        <f>IF(H59=0,0,J59/H59)</f>
        <v>#N/A</v>
      </c>
      <c r="N59" s="2317" t="str">
        <f t="shared" si="9"/>
        <v xml:space="preserve"> </v>
      </c>
    </row>
    <row r="60" spans="1:16" ht="13.5" x14ac:dyDescent="0.25">
      <c r="A60" s="170">
        <v>1434</v>
      </c>
      <c r="B60" s="2890" t="s">
        <v>2760</v>
      </c>
      <c r="C60" s="2890"/>
      <c r="D60" s="2380"/>
      <c r="E60" s="2380"/>
      <c r="F60" s="341">
        <f>'905'!F60</f>
        <v>0</v>
      </c>
      <c r="H60" s="341" t="e">
        <f>INDEX(PY905Data,MATCH($A60,PY905Row,0),MATCH($C$5,PY905Col,0))</f>
        <v>#N/A</v>
      </c>
      <c r="J60" s="228" t="e">
        <f>F60-H60</f>
        <v>#N/A</v>
      </c>
      <c r="L60" s="229" t="e">
        <f>IF(H60=0,0,J60/H60)</f>
        <v>#N/A</v>
      </c>
      <c r="N60" s="2317" t="str">
        <f t="shared" si="9"/>
        <v xml:space="preserve"> </v>
      </c>
      <c r="O60" s="971"/>
    </row>
    <row r="61" spans="1:16" ht="13.5" x14ac:dyDescent="0.25">
      <c r="A61" s="170">
        <v>1433</v>
      </c>
      <c r="B61" s="2890" t="s">
        <v>2761</v>
      </c>
      <c r="C61" s="2890"/>
      <c r="D61" s="2380"/>
      <c r="E61" s="2380"/>
      <c r="F61" s="341">
        <f>'905'!F61</f>
        <v>0</v>
      </c>
      <c r="H61" s="341" t="e">
        <f>INDEX(PY905Data,MATCH($A61,PY905Row,0),MATCH($C$5,PY905Col,0))</f>
        <v>#N/A</v>
      </c>
      <c r="J61" s="228" t="e">
        <f t="shared" si="7"/>
        <v>#N/A</v>
      </c>
      <c r="L61" s="229" t="e">
        <f t="shared" si="8"/>
        <v>#N/A</v>
      </c>
      <c r="N61" s="2317" t="str">
        <f t="shared" si="9"/>
        <v xml:space="preserve"> </v>
      </c>
      <c r="O61" s="971"/>
    </row>
    <row r="62" spans="1:16" ht="13.5" x14ac:dyDescent="0.25">
      <c r="A62" s="170"/>
      <c r="B62" s="170" t="s">
        <v>4842</v>
      </c>
      <c r="C62" s="170"/>
      <c r="D62" s="170"/>
      <c r="E62" s="170"/>
      <c r="J62" s="228"/>
      <c r="L62" s="229"/>
    </row>
    <row r="63" spans="1:16" ht="13.5" x14ac:dyDescent="0.25">
      <c r="A63" s="638">
        <v>1480</v>
      </c>
      <c r="B63" s="3116" t="s">
        <v>4843</v>
      </c>
      <c r="C63" s="3116"/>
      <c r="D63" s="2440"/>
      <c r="E63" s="2440"/>
      <c r="F63" s="341">
        <f>'905'!F63</f>
        <v>0</v>
      </c>
      <c r="H63" s="341" t="e">
        <f t="shared" ref="H63:H68" si="10">INDEX(PY905Data,MATCH($A63,PY905Row,0),MATCH($C$5,PY905Col,0))</f>
        <v>#N/A</v>
      </c>
      <c r="J63" s="228" t="e">
        <f t="shared" ref="J63:J69" si="11">F63-H63</f>
        <v>#N/A</v>
      </c>
      <c r="L63" s="229" t="e">
        <f t="shared" ref="L63:L69" si="12">IF(H63=0,0,J63/H63)</f>
        <v>#N/A</v>
      </c>
      <c r="N63" s="2317" t="str">
        <f t="shared" ref="N63:N68" si="13">IF($F$88=0," ",IF(AND(ABS(J63)&gt;$L$3,ABS(L63)&gt;$L$2),"C",IF(AND(ABS(F63+H63)&gt;0,H63=0,ABS(J63)&gt;$L$3),"C"," ")))</f>
        <v xml:space="preserve"> </v>
      </c>
    </row>
    <row r="64" spans="1:16" ht="13.5" x14ac:dyDescent="0.25">
      <c r="A64" s="638">
        <v>1490</v>
      </c>
      <c r="B64" s="3116" t="s">
        <v>4844</v>
      </c>
      <c r="C64" s="3116"/>
      <c r="D64" s="2440"/>
      <c r="E64" s="2440"/>
      <c r="F64" s="341">
        <f>'905'!F64</f>
        <v>0</v>
      </c>
      <c r="H64" s="341" t="e">
        <f t="shared" si="10"/>
        <v>#N/A</v>
      </c>
      <c r="J64" s="228" t="e">
        <f t="shared" si="11"/>
        <v>#N/A</v>
      </c>
      <c r="L64" s="229" t="e">
        <f t="shared" si="12"/>
        <v>#N/A</v>
      </c>
      <c r="N64" s="2317" t="str">
        <f t="shared" si="13"/>
        <v xml:space="preserve"> </v>
      </c>
    </row>
    <row r="65" spans="1:16" ht="13.5" x14ac:dyDescent="0.25">
      <c r="A65" s="638">
        <v>1500</v>
      </c>
      <c r="B65" s="3116" t="s">
        <v>4845</v>
      </c>
      <c r="C65" s="3116"/>
      <c r="D65" s="2440"/>
      <c r="E65" s="2440"/>
      <c r="F65" s="341">
        <f>'905'!F65</f>
        <v>0</v>
      </c>
      <c r="H65" s="341" t="e">
        <f t="shared" si="10"/>
        <v>#N/A</v>
      </c>
      <c r="J65" s="228" t="e">
        <f t="shared" si="11"/>
        <v>#N/A</v>
      </c>
      <c r="L65" s="229" t="e">
        <f t="shared" si="12"/>
        <v>#N/A</v>
      </c>
      <c r="N65" s="2317" t="str">
        <f t="shared" si="13"/>
        <v xml:space="preserve"> </v>
      </c>
    </row>
    <row r="66" spans="1:16" ht="13.5" x14ac:dyDescent="0.25">
      <c r="A66" s="638">
        <v>1503</v>
      </c>
      <c r="B66" s="3116" t="s">
        <v>4846</v>
      </c>
      <c r="C66" s="3116"/>
      <c r="D66" s="2440"/>
      <c r="E66" s="2440"/>
      <c r="F66" s="341">
        <f>'905'!F66</f>
        <v>0</v>
      </c>
      <c r="H66" s="341" t="e">
        <f t="shared" si="10"/>
        <v>#N/A</v>
      </c>
      <c r="J66" s="228" t="e">
        <f t="shared" si="11"/>
        <v>#N/A</v>
      </c>
      <c r="L66" s="229" t="e">
        <f t="shared" si="12"/>
        <v>#N/A</v>
      </c>
      <c r="N66" s="2317" t="str">
        <f t="shared" si="13"/>
        <v xml:space="preserve"> </v>
      </c>
    </row>
    <row r="67" spans="1:16" ht="13.5" x14ac:dyDescent="0.25">
      <c r="A67" s="638">
        <v>1505</v>
      </c>
      <c r="B67" s="3116" t="s">
        <v>4847</v>
      </c>
      <c r="C67" s="3116"/>
      <c r="D67" s="2440"/>
      <c r="E67" s="2440"/>
      <c r="F67" s="341">
        <f>'905'!F67</f>
        <v>0</v>
      </c>
      <c r="H67" s="341" t="e">
        <f t="shared" si="10"/>
        <v>#N/A</v>
      </c>
      <c r="J67" s="228" t="e">
        <f t="shared" si="11"/>
        <v>#N/A</v>
      </c>
      <c r="L67" s="229" t="e">
        <f t="shared" si="12"/>
        <v>#N/A</v>
      </c>
      <c r="N67" s="2317" t="str">
        <f t="shared" si="13"/>
        <v xml:space="preserve"> </v>
      </c>
    </row>
    <row r="68" spans="1:16" ht="13.5" x14ac:dyDescent="0.25">
      <c r="A68" s="638">
        <v>1506</v>
      </c>
      <c r="B68" s="3116" t="s">
        <v>4848</v>
      </c>
      <c r="C68" s="3116"/>
      <c r="D68" s="2440"/>
      <c r="E68" s="2440"/>
      <c r="F68" s="343">
        <f>'905'!F68</f>
        <v>0</v>
      </c>
      <c r="H68" s="341" t="e">
        <f t="shared" si="10"/>
        <v>#N/A</v>
      </c>
      <c r="J68" s="228" t="e">
        <f>F68-H68</f>
        <v>#N/A</v>
      </c>
      <c r="L68" s="229" t="e">
        <f>IF(H68=0,0,J68/H68)</f>
        <v>#N/A</v>
      </c>
      <c r="N68" s="2317" t="str">
        <f t="shared" si="13"/>
        <v xml:space="preserve"> </v>
      </c>
    </row>
    <row r="69" spans="1:16" ht="13.5" x14ac:dyDescent="0.25">
      <c r="A69" s="170"/>
      <c r="B69" s="2890" t="s">
        <v>4849</v>
      </c>
      <c r="C69" s="2890"/>
      <c r="D69" s="2380"/>
      <c r="E69" s="2380"/>
      <c r="F69" s="350">
        <f>SUM(F63:F68)</f>
        <v>0</v>
      </c>
      <c r="H69" s="350" t="e">
        <f>SUM(H63:H68)</f>
        <v>#N/A</v>
      </c>
      <c r="J69" s="228" t="e">
        <f t="shared" si="11"/>
        <v>#N/A</v>
      </c>
      <c r="L69" s="229" t="e">
        <f t="shared" si="12"/>
        <v>#N/A</v>
      </c>
    </row>
    <row r="70" spans="1:16" ht="13.5" x14ac:dyDescent="0.25">
      <c r="A70" s="170"/>
      <c r="B70" s="170" t="s">
        <v>4850</v>
      </c>
      <c r="C70" s="170"/>
      <c r="D70" s="170"/>
      <c r="E70" s="170"/>
      <c r="J70" s="228"/>
      <c r="L70" s="229"/>
    </row>
    <row r="71" spans="1:16" ht="13.5" x14ac:dyDescent="0.25">
      <c r="A71" s="638">
        <v>1520</v>
      </c>
      <c r="B71" s="3116" t="s">
        <v>3235</v>
      </c>
      <c r="C71" s="3116"/>
      <c r="D71" s="2440"/>
      <c r="E71" s="2440"/>
      <c r="F71" s="341">
        <f>'905'!F71</f>
        <v>0</v>
      </c>
      <c r="H71" s="341" t="e">
        <f t="shared" ref="H71:H84" si="14">INDEX(PY905Data,MATCH($A71,PY905Row,0),MATCH($C$5,PY905Col,0))</f>
        <v>#N/A</v>
      </c>
      <c r="J71" s="228" t="e">
        <f t="shared" ref="J71:J86" si="15">F71-H71</f>
        <v>#N/A</v>
      </c>
      <c r="L71" s="229" t="e">
        <f t="shared" ref="L71:L86" si="16">IF(H71=0,0,J71/H71)</f>
        <v>#N/A</v>
      </c>
      <c r="N71" s="2317" t="str">
        <f t="shared" ref="N71:N86" si="17">IF($F$88=0," ",IF(AND(ABS(J71)&gt;$L$3,ABS(L71)&gt;$L$2),"C",IF(AND(ABS(F71+H71)&gt;0,H71=0,ABS(J71)&gt;$L$3),"C"," ")))</f>
        <v xml:space="preserve"> </v>
      </c>
    </row>
    <row r="72" spans="1:16" ht="13.5" x14ac:dyDescent="0.25">
      <c r="A72" s="638">
        <v>1530</v>
      </c>
      <c r="B72" s="3116" t="s">
        <v>3239</v>
      </c>
      <c r="C72" s="3116"/>
      <c r="D72" s="2440"/>
      <c r="E72" s="2440"/>
      <c r="F72" s="341">
        <f>'905'!F72</f>
        <v>0</v>
      </c>
      <c r="H72" s="341" t="e">
        <f t="shared" si="14"/>
        <v>#N/A</v>
      </c>
      <c r="J72" s="228" t="e">
        <f t="shared" si="15"/>
        <v>#N/A</v>
      </c>
      <c r="L72" s="229" t="e">
        <f t="shared" si="16"/>
        <v>#N/A</v>
      </c>
      <c r="N72" s="2317" t="str">
        <f t="shared" si="17"/>
        <v xml:space="preserve"> </v>
      </c>
    </row>
    <row r="73" spans="1:16" ht="13.5" x14ac:dyDescent="0.25">
      <c r="A73" s="638">
        <v>1540</v>
      </c>
      <c r="B73" s="3116" t="s">
        <v>4851</v>
      </c>
      <c r="C73" s="3116"/>
      <c r="D73" s="2440"/>
      <c r="E73" s="2440"/>
      <c r="F73" s="341">
        <f>'905'!F73</f>
        <v>0</v>
      </c>
      <c r="H73" s="341" t="e">
        <f t="shared" si="14"/>
        <v>#N/A</v>
      </c>
      <c r="J73" s="228" t="e">
        <f t="shared" si="15"/>
        <v>#N/A</v>
      </c>
      <c r="L73" s="229" t="e">
        <f t="shared" si="16"/>
        <v>#N/A</v>
      </c>
      <c r="N73" s="2317" t="str">
        <f t="shared" si="17"/>
        <v xml:space="preserve"> </v>
      </c>
    </row>
    <row r="74" spans="1:16" ht="13.5" x14ac:dyDescent="0.25">
      <c r="A74" s="638">
        <v>1550</v>
      </c>
      <c r="B74" s="3116" t="s">
        <v>4852</v>
      </c>
      <c r="C74" s="3116"/>
      <c r="D74" s="2440"/>
      <c r="E74" s="2440"/>
      <c r="F74" s="341">
        <f>'905'!F74</f>
        <v>0</v>
      </c>
      <c r="H74" s="341" t="e">
        <f t="shared" si="14"/>
        <v>#N/A</v>
      </c>
      <c r="J74" s="228" t="e">
        <f t="shared" si="15"/>
        <v>#N/A</v>
      </c>
      <c r="L74" s="229" t="e">
        <f t="shared" si="16"/>
        <v>#N/A</v>
      </c>
      <c r="N74" s="2317" t="str">
        <f t="shared" si="17"/>
        <v xml:space="preserve"> </v>
      </c>
    </row>
    <row r="75" spans="1:16" ht="13.5" x14ac:dyDescent="0.25">
      <c r="A75" s="638">
        <v>1481</v>
      </c>
      <c r="B75" s="3116" t="s">
        <v>4853</v>
      </c>
      <c r="C75" s="3116"/>
      <c r="D75" s="2440"/>
      <c r="E75" s="2440"/>
      <c r="F75" s="341">
        <f>'905'!F75</f>
        <v>0</v>
      </c>
      <c r="H75" s="341" t="e">
        <f t="shared" si="14"/>
        <v>#N/A</v>
      </c>
      <c r="J75" s="228" t="e">
        <f t="shared" si="15"/>
        <v>#N/A</v>
      </c>
      <c r="L75" s="229" t="e">
        <f t="shared" si="16"/>
        <v>#N/A</v>
      </c>
      <c r="N75" s="2317" t="str">
        <f t="shared" si="17"/>
        <v xml:space="preserve"> </v>
      </c>
    </row>
    <row r="76" spans="1:16" ht="13.5" x14ac:dyDescent="0.25">
      <c r="A76" s="638">
        <v>1521</v>
      </c>
      <c r="B76" s="3116" t="s">
        <v>4854</v>
      </c>
      <c r="C76" s="3116"/>
      <c r="D76" s="2440"/>
      <c r="E76" s="2440"/>
      <c r="F76" s="341">
        <f>'905'!F76</f>
        <v>0</v>
      </c>
      <c r="H76" s="341" t="e">
        <f t="shared" si="14"/>
        <v>#N/A</v>
      </c>
      <c r="J76" s="228" t="e">
        <f t="shared" si="15"/>
        <v>#N/A</v>
      </c>
      <c r="L76" s="229" t="e">
        <f t="shared" si="16"/>
        <v>#N/A</v>
      </c>
      <c r="N76" s="2317" t="str">
        <f t="shared" si="17"/>
        <v xml:space="preserve"> </v>
      </c>
    </row>
    <row r="77" spans="1:16" ht="13.5" x14ac:dyDescent="0.25">
      <c r="A77" s="638">
        <v>1531</v>
      </c>
      <c r="B77" s="3120" t="s">
        <v>4855</v>
      </c>
      <c r="C77" s="3120"/>
      <c r="D77" s="2440"/>
      <c r="E77" s="2440"/>
      <c r="F77" s="341">
        <f>'905'!F77</f>
        <v>0</v>
      </c>
      <c r="H77" s="341" t="e">
        <f t="shared" si="14"/>
        <v>#N/A</v>
      </c>
      <c r="J77" s="228" t="e">
        <f t="shared" si="15"/>
        <v>#N/A</v>
      </c>
      <c r="L77" s="229" t="e">
        <f t="shared" si="16"/>
        <v>#N/A</v>
      </c>
      <c r="N77" s="2317" t="str">
        <f t="shared" si="17"/>
        <v xml:space="preserve"> </v>
      </c>
    </row>
    <row r="78" spans="1:16" ht="13.5" x14ac:dyDescent="0.25">
      <c r="A78" s="638">
        <v>1551</v>
      </c>
      <c r="B78" s="3116" t="s">
        <v>4856</v>
      </c>
      <c r="C78" s="3116"/>
      <c r="D78" s="2440"/>
      <c r="E78" s="2440"/>
      <c r="F78" s="341">
        <f>'905'!F78</f>
        <v>0</v>
      </c>
      <c r="H78" s="341" t="e">
        <f t="shared" si="14"/>
        <v>#N/A</v>
      </c>
      <c r="J78" s="228" t="e">
        <f t="shared" si="15"/>
        <v>#N/A</v>
      </c>
      <c r="L78" s="229" t="e">
        <f t="shared" si="16"/>
        <v>#N/A</v>
      </c>
      <c r="N78" s="2317" t="str">
        <f t="shared" si="17"/>
        <v xml:space="preserve"> </v>
      </c>
    </row>
    <row r="79" spans="1:16" ht="13.5" x14ac:dyDescent="0.25">
      <c r="A79" s="1867">
        <v>1552</v>
      </c>
      <c r="B79" s="2057" t="s">
        <v>4857</v>
      </c>
      <c r="C79" s="2057"/>
      <c r="D79" s="2440"/>
      <c r="E79" s="2440"/>
      <c r="F79" s="341">
        <f>'905'!F79</f>
        <v>0</v>
      </c>
      <c r="H79" s="341" t="e">
        <f t="shared" si="14"/>
        <v>#N/A</v>
      </c>
      <c r="J79" s="228" t="e">
        <f t="shared" ref="J79" si="18">F79-H79</f>
        <v>#N/A</v>
      </c>
      <c r="L79" s="229" t="e">
        <f t="shared" ref="L79" si="19">IF(H79=0,0,J79/H79)</f>
        <v>#N/A</v>
      </c>
      <c r="N79" s="2317" t="str">
        <f t="shared" si="17"/>
        <v xml:space="preserve"> </v>
      </c>
      <c r="O79" s="1814" t="s">
        <v>4837</v>
      </c>
      <c r="P79" s="1113"/>
    </row>
    <row r="80" spans="1:16" ht="13.5" x14ac:dyDescent="0.25">
      <c r="A80" s="638">
        <v>1553</v>
      </c>
      <c r="B80" s="3116" t="s">
        <v>4858</v>
      </c>
      <c r="C80" s="3116"/>
      <c r="D80" s="2440"/>
      <c r="E80" s="2440"/>
      <c r="F80" s="341">
        <f>'905'!F80</f>
        <v>0</v>
      </c>
      <c r="H80" s="341" t="e">
        <f t="shared" si="14"/>
        <v>#N/A</v>
      </c>
      <c r="J80" s="228" t="e">
        <f t="shared" si="15"/>
        <v>#N/A</v>
      </c>
      <c r="L80" s="229" t="e">
        <f t="shared" si="16"/>
        <v>#N/A</v>
      </c>
      <c r="N80" s="2317" t="str">
        <f t="shared" si="17"/>
        <v xml:space="preserve"> </v>
      </c>
    </row>
    <row r="81" spans="1:15" ht="13.5" x14ac:dyDescent="0.25">
      <c r="A81" s="638">
        <v>1555</v>
      </c>
      <c r="B81" s="3116" t="s">
        <v>3262</v>
      </c>
      <c r="C81" s="3116"/>
      <c r="D81" s="2440"/>
      <c r="E81" s="2440"/>
      <c r="F81" s="341">
        <f>'905'!F81</f>
        <v>0</v>
      </c>
      <c r="H81" s="341" t="e">
        <f t="shared" si="14"/>
        <v>#N/A</v>
      </c>
      <c r="J81" s="228" t="e">
        <f t="shared" si="15"/>
        <v>#N/A</v>
      </c>
      <c r="L81" s="229" t="e">
        <f t="shared" si="16"/>
        <v>#N/A</v>
      </c>
      <c r="N81" s="2317" t="str">
        <f t="shared" si="17"/>
        <v xml:space="preserve"> </v>
      </c>
    </row>
    <row r="82" spans="1:15" ht="13.5" x14ac:dyDescent="0.25">
      <c r="A82" s="638">
        <v>1556</v>
      </c>
      <c r="B82" s="2894" t="s">
        <v>2788</v>
      </c>
      <c r="C82" s="2894"/>
      <c r="D82" s="2894"/>
      <c r="E82" s="2894"/>
      <c r="F82" s="341">
        <f>'905'!F82</f>
        <v>0</v>
      </c>
      <c r="H82" s="341" t="e">
        <f t="shared" si="14"/>
        <v>#N/A</v>
      </c>
      <c r="J82" s="228" t="e">
        <f t="shared" ref="J82" si="20">F82-H82</f>
        <v>#N/A</v>
      </c>
      <c r="L82" s="229" t="e">
        <f t="shared" ref="L82" si="21">IF(H82=0,0,J82/H82)</f>
        <v>#N/A</v>
      </c>
      <c r="N82" s="2317" t="str">
        <f t="shared" si="17"/>
        <v xml:space="preserve"> </v>
      </c>
    </row>
    <row r="83" spans="1:15" ht="13.5" x14ac:dyDescent="0.25">
      <c r="A83" s="638">
        <v>1560</v>
      </c>
      <c r="B83" s="3116" t="s">
        <v>4859</v>
      </c>
      <c r="C83" s="3116"/>
      <c r="D83" s="2440"/>
      <c r="E83" s="2440"/>
      <c r="F83" s="341">
        <f>'905'!F83</f>
        <v>0</v>
      </c>
      <c r="H83" s="341" t="e">
        <f t="shared" si="14"/>
        <v>#N/A</v>
      </c>
      <c r="J83" s="228" t="e">
        <f t="shared" si="15"/>
        <v>#N/A</v>
      </c>
      <c r="L83" s="229" t="e">
        <f t="shared" si="16"/>
        <v>#N/A</v>
      </c>
      <c r="N83" s="2317" t="str">
        <f t="shared" si="17"/>
        <v xml:space="preserve"> </v>
      </c>
    </row>
    <row r="84" spans="1:15" ht="13.5" x14ac:dyDescent="0.25">
      <c r="A84" s="638">
        <v>1570</v>
      </c>
      <c r="B84" s="2890" t="s">
        <v>3280</v>
      </c>
      <c r="C84" s="2890"/>
      <c r="D84" s="2380"/>
      <c r="E84" s="2380"/>
      <c r="F84" s="343">
        <f>'905'!F84</f>
        <v>0</v>
      </c>
      <c r="H84" s="343" t="e">
        <f t="shared" si="14"/>
        <v>#N/A</v>
      </c>
      <c r="J84" s="228" t="e">
        <f t="shared" si="15"/>
        <v>#N/A</v>
      </c>
      <c r="L84" s="229" t="e">
        <f t="shared" si="16"/>
        <v>#N/A</v>
      </c>
      <c r="N84" s="2317" t="str">
        <f t="shared" si="17"/>
        <v xml:space="preserve"> </v>
      </c>
    </row>
    <row r="85" spans="1:15" ht="13.5" x14ac:dyDescent="0.25">
      <c r="A85" s="170"/>
      <c r="B85" s="2890" t="s">
        <v>4860</v>
      </c>
      <c r="C85" s="2890"/>
      <c r="D85" s="2380"/>
      <c r="E85" s="2380"/>
      <c r="F85" s="341">
        <f>SUM(F71:F84)</f>
        <v>0</v>
      </c>
      <c r="H85" s="341" t="e">
        <f>SUM(H71:H84)</f>
        <v>#N/A</v>
      </c>
      <c r="J85" s="228" t="e">
        <f t="shared" si="15"/>
        <v>#N/A</v>
      </c>
      <c r="L85" s="229" t="e">
        <f t="shared" si="16"/>
        <v>#N/A</v>
      </c>
      <c r="N85" s="2317" t="str">
        <f t="shared" si="17"/>
        <v xml:space="preserve"> </v>
      </c>
    </row>
    <row r="86" spans="1:15" ht="13.5" x14ac:dyDescent="0.25">
      <c r="A86" s="357"/>
      <c r="B86" s="2890" t="s">
        <v>4861</v>
      </c>
      <c r="C86" s="2890"/>
      <c r="D86" s="2380"/>
      <c r="E86" s="2380"/>
      <c r="F86" s="351">
        <f>SUM(F41:F85)-F69-F85</f>
        <v>0</v>
      </c>
      <c r="H86" s="351" t="e">
        <f>SUM(H41:H85)-H69-H85</f>
        <v>#N/A</v>
      </c>
      <c r="J86" s="228" t="e">
        <f t="shared" si="15"/>
        <v>#N/A</v>
      </c>
      <c r="L86" s="229" t="e">
        <f t="shared" si="16"/>
        <v>#N/A</v>
      </c>
      <c r="N86" s="2317" t="str">
        <f t="shared" si="17"/>
        <v xml:space="preserve"> </v>
      </c>
    </row>
    <row r="87" spans="1:15" ht="6" customHeight="1" x14ac:dyDescent="0.25">
      <c r="B87" s="2380"/>
      <c r="C87" s="2380"/>
      <c r="D87" s="2380"/>
      <c r="E87" s="2380"/>
      <c r="J87" s="228"/>
      <c r="L87" s="229"/>
    </row>
    <row r="88" spans="1:15" ht="13.5" x14ac:dyDescent="0.25">
      <c r="B88" s="2890" t="s">
        <v>1769</v>
      </c>
      <c r="C88" s="2890"/>
      <c r="D88" s="2380"/>
      <c r="E88" s="2380"/>
      <c r="F88" s="216">
        <f>F38+F86</f>
        <v>0</v>
      </c>
      <c r="H88" s="216" t="e">
        <f>H38+H86</f>
        <v>#N/A</v>
      </c>
      <c r="J88" s="228" t="e">
        <f>F88-H88</f>
        <v>#N/A</v>
      </c>
      <c r="L88" s="229" t="e">
        <f>IF(H88=0,0,J88/H88)</f>
        <v>#N/A</v>
      </c>
      <c r="N88" s="2317" t="str">
        <f>IF($F$88=0," ",IF(AND(ABS(J88)&gt;$L$3,ABS(L88)&gt;$L$2),"C",IF(AND(ABS(F88+H88)&gt;0,H88=0,ABS(J88)&gt;$L$3),"C"," ")))</f>
        <v xml:space="preserve"> </v>
      </c>
    </row>
    <row r="89" spans="1:15" ht="13.5" x14ac:dyDescent="0.25">
      <c r="B89" s="2380"/>
      <c r="C89" s="2380"/>
      <c r="D89" s="2380"/>
      <c r="E89" s="2380"/>
      <c r="F89" s="433"/>
      <c r="H89" s="433"/>
      <c r="J89" s="228"/>
      <c r="L89" s="229"/>
    </row>
    <row r="90" spans="1:15" ht="13.5" x14ac:dyDescent="0.25">
      <c r="B90" s="2442" t="s">
        <v>1976</v>
      </c>
      <c r="F90"/>
      <c r="H90" s="856"/>
      <c r="I90" s="1"/>
      <c r="J90" s="810"/>
      <c r="L90" s="229"/>
    </row>
    <row r="91" spans="1:15" ht="13.5" x14ac:dyDescent="0.25">
      <c r="A91" s="833">
        <v>1234</v>
      </c>
      <c r="B91" s="2890" t="s">
        <v>2794</v>
      </c>
      <c r="C91" s="2890"/>
      <c r="D91" s="2890"/>
      <c r="E91" s="2890"/>
      <c r="F91" s="341">
        <f>'905'!F91</f>
        <v>0</v>
      </c>
      <c r="G91" s="2380"/>
      <c r="H91" s="341" t="e">
        <f t="shared" ref="H91:H97" si="22">INDEX(PY905Data,MATCH($A91,PY905Row,0),MATCH($C$5,PY905Col,0))</f>
        <v>#N/A</v>
      </c>
      <c r="J91" s="228" t="e">
        <f t="shared" ref="J91:J98" si="23">F91-H91</f>
        <v>#N/A</v>
      </c>
      <c r="L91" s="229" t="e">
        <f t="shared" ref="L91:L98" si="24">IF(H91=0,0,J91/H91)</f>
        <v>#N/A</v>
      </c>
      <c r="N91" s="2317" t="str">
        <f t="shared" ref="N91:N97" si="25">IF($F$88=0," ",IF(AND(ABS(J91)&gt;$L$3,ABS(L91)&gt;$L$2),"C",IF(AND(ABS(F91+H91)&gt;0,H91=0,ABS(J91)&gt;$L$3),"C"," ")))</f>
        <v xml:space="preserve"> </v>
      </c>
    </row>
    <row r="92" spans="1:15" ht="13.5" x14ac:dyDescent="0.25">
      <c r="A92" s="833">
        <v>1236</v>
      </c>
      <c r="B92" s="2890" t="s">
        <v>2209</v>
      </c>
      <c r="C92" s="2890"/>
      <c r="D92" s="2890"/>
      <c r="E92" s="2890"/>
      <c r="F92" s="341">
        <f>'905'!F92</f>
        <v>0</v>
      </c>
      <c r="G92" s="2380"/>
      <c r="H92" s="341" t="e">
        <f t="shared" si="22"/>
        <v>#N/A</v>
      </c>
      <c r="J92" s="228" t="e">
        <f t="shared" si="23"/>
        <v>#N/A</v>
      </c>
      <c r="L92" s="229" t="e">
        <f t="shared" si="24"/>
        <v>#N/A</v>
      </c>
      <c r="N92" s="2317" t="str">
        <f t="shared" si="25"/>
        <v xml:space="preserve"> </v>
      </c>
    </row>
    <row r="93" spans="1:15" ht="13.5" x14ac:dyDescent="0.25">
      <c r="A93" s="833">
        <v>1242</v>
      </c>
      <c r="B93" s="2890" t="s">
        <v>2795</v>
      </c>
      <c r="C93" s="2890"/>
      <c r="D93" s="2890"/>
      <c r="E93" s="2890"/>
      <c r="F93" s="341">
        <f>'905'!F93</f>
        <v>0</v>
      </c>
      <c r="G93" s="2380"/>
      <c r="H93" s="341" t="e">
        <f t="shared" si="22"/>
        <v>#N/A</v>
      </c>
      <c r="J93" s="228" t="e">
        <f>F93-H93</f>
        <v>#N/A</v>
      </c>
      <c r="L93" s="229" t="e">
        <f>IF(H93=0,0,J93/H93)</f>
        <v>#N/A</v>
      </c>
      <c r="N93" s="2317" t="str">
        <f t="shared" si="25"/>
        <v xml:space="preserve"> </v>
      </c>
    </row>
    <row r="94" spans="1:15" ht="13.5" x14ac:dyDescent="0.25">
      <c r="A94" s="1110">
        <v>1237</v>
      </c>
      <c r="B94" s="3121" t="s">
        <v>2210</v>
      </c>
      <c r="C94" s="3121"/>
      <c r="D94" s="3121"/>
      <c r="E94" s="3121"/>
      <c r="F94" s="341">
        <f>'905'!F94</f>
        <v>0</v>
      </c>
      <c r="G94" s="2380"/>
      <c r="H94" s="341" t="e">
        <f t="shared" si="22"/>
        <v>#N/A</v>
      </c>
      <c r="J94" s="228" t="e">
        <f>F94-H94</f>
        <v>#N/A</v>
      </c>
      <c r="L94" s="229" t="e">
        <f>IF(H94=0,0,J94/H94)</f>
        <v>#N/A</v>
      </c>
      <c r="N94" s="2317" t="str">
        <f t="shared" si="25"/>
        <v xml:space="preserve"> </v>
      </c>
    </row>
    <row r="95" spans="1:15" ht="13.5" x14ac:dyDescent="0.25">
      <c r="A95" s="833">
        <v>1241</v>
      </c>
      <c r="B95" s="3121" t="s">
        <v>2211</v>
      </c>
      <c r="C95" s="3121"/>
      <c r="D95" s="3121"/>
      <c r="E95" s="3121"/>
      <c r="F95" s="341">
        <f>'905'!F95</f>
        <v>0</v>
      </c>
      <c r="G95" s="2380"/>
      <c r="H95" s="341" t="e">
        <f t="shared" si="22"/>
        <v>#N/A</v>
      </c>
      <c r="J95" s="228" t="e">
        <f t="shared" si="23"/>
        <v>#N/A</v>
      </c>
      <c r="L95" s="229" t="e">
        <f t="shared" si="24"/>
        <v>#N/A</v>
      </c>
      <c r="N95" s="2317" t="str">
        <f t="shared" si="25"/>
        <v xml:space="preserve"> </v>
      </c>
      <c r="O95" s="971"/>
    </row>
    <row r="96" spans="1:15" ht="13.5" x14ac:dyDescent="0.25">
      <c r="A96" s="833">
        <v>1238</v>
      </c>
      <c r="B96" s="2890" t="s">
        <v>2212</v>
      </c>
      <c r="C96" s="2890"/>
      <c r="D96" s="2890"/>
      <c r="E96" s="2890"/>
      <c r="F96" s="341">
        <f>'905'!F96</f>
        <v>0</v>
      </c>
      <c r="G96" s="2380"/>
      <c r="H96" s="341" t="e">
        <f t="shared" si="22"/>
        <v>#N/A</v>
      </c>
      <c r="J96" s="228" t="e">
        <f t="shared" si="23"/>
        <v>#N/A</v>
      </c>
      <c r="L96" s="229" t="e">
        <f t="shared" si="24"/>
        <v>#N/A</v>
      </c>
      <c r="N96" s="2317" t="str">
        <f t="shared" si="25"/>
        <v xml:space="preserve"> </v>
      </c>
    </row>
    <row r="97" spans="1:14" ht="13.5" x14ac:dyDescent="0.25">
      <c r="A97" s="833">
        <v>1239</v>
      </c>
      <c r="B97" s="2890" t="s">
        <v>1979</v>
      </c>
      <c r="C97" s="2890"/>
      <c r="D97" s="2890"/>
      <c r="E97" s="2890"/>
      <c r="F97" s="341">
        <f>'905'!F97</f>
        <v>0</v>
      </c>
      <c r="G97" s="2380"/>
      <c r="H97" s="341" t="e">
        <f t="shared" si="22"/>
        <v>#N/A</v>
      </c>
      <c r="J97" s="228" t="e">
        <f t="shared" si="23"/>
        <v>#N/A</v>
      </c>
      <c r="L97" s="229" t="e">
        <f t="shared" si="24"/>
        <v>#N/A</v>
      </c>
      <c r="N97" s="2317" t="str">
        <f t="shared" si="25"/>
        <v xml:space="preserve"> </v>
      </c>
    </row>
    <row r="98" spans="1:14" ht="13.5" x14ac:dyDescent="0.25">
      <c r="B98" s="2890" t="s">
        <v>4862</v>
      </c>
      <c r="C98" s="2890"/>
      <c r="D98" s="2380"/>
      <c r="E98" s="2380"/>
      <c r="F98" s="216">
        <f>SUM(F91:F97)</f>
        <v>0</v>
      </c>
      <c r="H98" s="216" t="e">
        <f>SUM(H91:H97)</f>
        <v>#N/A</v>
      </c>
      <c r="J98" s="228" t="e">
        <f t="shared" si="23"/>
        <v>#N/A</v>
      </c>
      <c r="L98" s="229" t="e">
        <f t="shared" si="24"/>
        <v>#N/A</v>
      </c>
      <c r="N98" s="2319"/>
    </row>
    <row r="99" spans="1:14" ht="7.5" customHeight="1" x14ac:dyDescent="0.25">
      <c r="B99" s="2380"/>
      <c r="C99" s="2380"/>
      <c r="D99" s="2380"/>
      <c r="E99" s="2380"/>
      <c r="F99" s="433"/>
      <c r="H99" s="433"/>
      <c r="J99" s="228"/>
      <c r="L99" s="229"/>
    </row>
    <row r="100" spans="1:14" x14ac:dyDescent="0.2">
      <c r="B100" s="2442" t="s">
        <v>4863</v>
      </c>
      <c r="C100" s="2442"/>
      <c r="D100" s="2442"/>
      <c r="E100" s="2442"/>
    </row>
    <row r="101" spans="1:14" x14ac:dyDescent="0.2">
      <c r="B101" s="218" t="s">
        <v>1985</v>
      </c>
      <c r="C101" s="218"/>
      <c r="D101" s="218"/>
      <c r="E101" s="218"/>
    </row>
    <row r="102" spans="1:14" x14ac:dyDescent="0.2">
      <c r="A102" s="170"/>
      <c r="B102" s="170" t="s">
        <v>2797</v>
      </c>
      <c r="C102" s="170"/>
      <c r="D102" s="170"/>
      <c r="E102" s="170"/>
    </row>
    <row r="103" spans="1:14" ht="13.5" x14ac:dyDescent="0.25">
      <c r="A103" s="170">
        <v>1640</v>
      </c>
      <c r="B103" s="3116" t="s">
        <v>2835</v>
      </c>
      <c r="C103" s="3116"/>
      <c r="D103" s="2440"/>
      <c r="E103" s="2440"/>
      <c r="F103" s="341">
        <f>'905'!F103</f>
        <v>0</v>
      </c>
      <c r="H103" s="341" t="e">
        <f>INDEX(PY905Data,MATCH($A103,PY905Row,0),MATCH($C$5,PY905Col,0))</f>
        <v>#N/A</v>
      </c>
      <c r="J103" s="228" t="e">
        <f>F103-H103</f>
        <v>#N/A</v>
      </c>
      <c r="L103" s="229" t="e">
        <f>IF(H103=0,0,J103/H103)</f>
        <v>#N/A</v>
      </c>
      <c r="N103" s="2317" t="str">
        <f t="shared" ref="N103:N137" si="26">IF($F$88=0," ",IF(AND(ABS(J103)&gt;$L$3,ABS(L103)&gt;$L$2),"C",IF(AND(ABS(F103+H103)&gt;0,H103=0,ABS(J103)&gt;$L$3),"C"," ")))</f>
        <v xml:space="preserve"> </v>
      </c>
    </row>
    <row r="104" spans="1:14" ht="13.5" x14ac:dyDescent="0.25">
      <c r="A104" s="170">
        <v>1650</v>
      </c>
      <c r="B104" s="3116" t="s">
        <v>2799</v>
      </c>
      <c r="C104" s="3116"/>
      <c r="D104" s="2440"/>
      <c r="E104" s="2440"/>
      <c r="F104" s="341">
        <f>'905'!F104</f>
        <v>0</v>
      </c>
      <c r="H104" s="341" t="e">
        <f>INDEX(PY905Data,MATCH($A104,PY905Row,0),MATCH($C$5,PY905Col,0))</f>
        <v>#N/A</v>
      </c>
      <c r="J104" s="228" t="e">
        <f>F104-H104</f>
        <v>#N/A</v>
      </c>
      <c r="L104" s="229" t="e">
        <f>IF(H104=0,0,J104/H104)</f>
        <v>#N/A</v>
      </c>
      <c r="N104" s="2317" t="str">
        <f t="shared" si="26"/>
        <v xml:space="preserve"> </v>
      </c>
    </row>
    <row r="105" spans="1:14" ht="13.5" x14ac:dyDescent="0.25">
      <c r="A105" s="170">
        <v>1660</v>
      </c>
      <c r="B105" s="3116" t="s">
        <v>2800</v>
      </c>
      <c r="C105" s="3116"/>
      <c r="D105" s="2440"/>
      <c r="E105" s="2440"/>
      <c r="F105" s="341">
        <f>'905'!F105</f>
        <v>0</v>
      </c>
      <c r="H105" s="341" t="e">
        <f>INDEX(PY905Data,MATCH($A105,PY905Row,0),MATCH($C$5,PY905Col,0))</f>
        <v>#N/A</v>
      </c>
      <c r="J105" s="228" t="e">
        <f>F105-H105</f>
        <v>#N/A</v>
      </c>
      <c r="L105" s="229" t="e">
        <f>IF(H105=0,0,J105/H105)</f>
        <v>#N/A</v>
      </c>
      <c r="N105" s="2317" t="str">
        <f t="shared" si="26"/>
        <v xml:space="preserve"> </v>
      </c>
    </row>
    <row r="106" spans="1:14" ht="13.5" x14ac:dyDescent="0.25">
      <c r="A106" s="170">
        <v>1670</v>
      </c>
      <c r="B106" s="3116" t="s">
        <v>2801</v>
      </c>
      <c r="C106" s="3116"/>
      <c r="D106" s="2440"/>
      <c r="E106" s="2440"/>
      <c r="F106" s="341">
        <f>'905'!F106</f>
        <v>0</v>
      </c>
      <c r="H106" s="341" t="e">
        <f>INDEX(PY905Data,MATCH($A106,PY905Row,0),MATCH($C$5,PY905Col,0))</f>
        <v>#N/A</v>
      </c>
      <c r="J106" s="228" t="e">
        <f>F106-H106</f>
        <v>#N/A</v>
      </c>
      <c r="L106" s="229" t="e">
        <f>IF(H106=0,0,J106/H106)</f>
        <v>#N/A</v>
      </c>
      <c r="N106" s="2317" t="str">
        <f t="shared" si="26"/>
        <v xml:space="preserve"> </v>
      </c>
    </row>
    <row r="107" spans="1:14" ht="13.5" x14ac:dyDescent="0.25">
      <c r="A107" s="170">
        <v>1840</v>
      </c>
      <c r="B107" s="2890" t="s">
        <v>2802</v>
      </c>
      <c r="C107" s="2890"/>
      <c r="D107" s="2380"/>
      <c r="E107" s="2380"/>
      <c r="F107" s="341">
        <f>'905'!F107</f>
        <v>0</v>
      </c>
      <c r="H107" s="341" t="e">
        <f>INDEX(PY905Data,MATCH($A107,PY905Row,0),MATCH($C$5,PY905Col,0))</f>
        <v>#N/A</v>
      </c>
      <c r="J107" s="228" t="e">
        <f>F107-H107</f>
        <v>#N/A</v>
      </c>
      <c r="L107" s="229" t="e">
        <f>IF(H107=0,0,J107/H107)</f>
        <v>#N/A</v>
      </c>
      <c r="N107" s="2317" t="str">
        <f t="shared" si="26"/>
        <v xml:space="preserve"> </v>
      </c>
    </row>
    <row r="108" spans="1:14" ht="13.5" x14ac:dyDescent="0.25">
      <c r="A108" s="170"/>
      <c r="B108" s="170" t="s">
        <v>2803</v>
      </c>
      <c r="C108" s="170"/>
      <c r="D108" s="170"/>
      <c r="E108" s="170"/>
      <c r="J108" s="228"/>
      <c r="L108" s="229"/>
      <c r="N108" s="2317" t="str">
        <f t="shared" si="26"/>
        <v xml:space="preserve"> </v>
      </c>
    </row>
    <row r="109" spans="1:14" ht="13.5" x14ac:dyDescent="0.25">
      <c r="A109" s="638">
        <v>1788</v>
      </c>
      <c r="B109" s="3116" t="s">
        <v>4864</v>
      </c>
      <c r="C109" s="3116"/>
      <c r="D109" s="2440"/>
      <c r="E109" s="2440"/>
      <c r="F109" s="341">
        <f>'905'!F109</f>
        <v>0</v>
      </c>
      <c r="H109" s="341" t="e">
        <f t="shared" ref="H109:H137" si="27">INDEX(PY905Data,MATCH($A109,PY905Row,0),MATCH($C$5,PY905Col,0))</f>
        <v>#N/A</v>
      </c>
      <c r="J109" s="228" t="e">
        <f t="shared" ref="J109:J128" si="28">F109-H109</f>
        <v>#N/A</v>
      </c>
      <c r="L109" s="229" t="e">
        <f t="shared" ref="L109:L128" si="29">IF(H109=0,0,J109/H109)</f>
        <v>#N/A</v>
      </c>
      <c r="N109" s="2317" t="str">
        <f t="shared" si="26"/>
        <v xml:space="preserve"> </v>
      </c>
    </row>
    <row r="110" spans="1:14" ht="13.5" x14ac:dyDescent="0.25">
      <c r="A110" s="638">
        <v>1789</v>
      </c>
      <c r="B110" s="3116" t="s">
        <v>3506</v>
      </c>
      <c r="C110" s="3116"/>
      <c r="D110" s="2440"/>
      <c r="E110" s="2440"/>
      <c r="F110" s="341">
        <f>'905'!F110</f>
        <v>0</v>
      </c>
      <c r="H110" s="341" t="e">
        <f t="shared" si="27"/>
        <v>#N/A</v>
      </c>
      <c r="J110" s="228" t="e">
        <f t="shared" si="28"/>
        <v>#N/A</v>
      </c>
      <c r="L110" s="229" t="e">
        <f t="shared" si="29"/>
        <v>#N/A</v>
      </c>
      <c r="N110" s="2317" t="str">
        <f t="shared" si="26"/>
        <v xml:space="preserve"> </v>
      </c>
    </row>
    <row r="111" spans="1:14" ht="13.5" x14ac:dyDescent="0.25">
      <c r="A111" s="638">
        <v>1790</v>
      </c>
      <c r="B111" s="3116" t="s">
        <v>1044</v>
      </c>
      <c r="C111" s="3116"/>
      <c r="D111" s="2440"/>
      <c r="E111" s="2440"/>
      <c r="F111" s="341">
        <f>'905'!F111</f>
        <v>0</v>
      </c>
      <c r="H111" s="341" t="e">
        <f t="shared" si="27"/>
        <v>#N/A</v>
      </c>
      <c r="J111" s="228" t="e">
        <f t="shared" si="28"/>
        <v>#N/A</v>
      </c>
      <c r="L111" s="229" t="e">
        <f t="shared" si="29"/>
        <v>#N/A</v>
      </c>
      <c r="N111" s="2317" t="str">
        <f t="shared" si="26"/>
        <v xml:space="preserve"> </v>
      </c>
    </row>
    <row r="112" spans="1:14" ht="13.5" x14ac:dyDescent="0.25">
      <c r="A112" s="638">
        <v>1791</v>
      </c>
      <c r="B112" s="3116" t="s">
        <v>1036</v>
      </c>
      <c r="C112" s="3116"/>
      <c r="D112" s="2440"/>
      <c r="E112" s="2440"/>
      <c r="F112" s="341">
        <f>'905'!F112</f>
        <v>0</v>
      </c>
      <c r="H112" s="341" t="e">
        <f t="shared" si="27"/>
        <v>#N/A</v>
      </c>
      <c r="J112" s="228" t="e">
        <f t="shared" si="28"/>
        <v>#N/A</v>
      </c>
      <c r="L112" s="229" t="e">
        <f t="shared" si="29"/>
        <v>#N/A</v>
      </c>
      <c r="N112" s="2317" t="str">
        <f t="shared" si="26"/>
        <v xml:space="preserve"> </v>
      </c>
    </row>
    <row r="113" spans="1:16" ht="13.5" x14ac:dyDescent="0.25">
      <c r="A113" s="638">
        <v>1787</v>
      </c>
      <c r="B113" s="3116" t="s">
        <v>3507</v>
      </c>
      <c r="C113" s="3116"/>
      <c r="D113" s="2440"/>
      <c r="E113" s="2440"/>
      <c r="F113" s="341">
        <f>'905'!F113</f>
        <v>0</v>
      </c>
      <c r="H113" s="341" t="e">
        <f t="shared" si="27"/>
        <v>#N/A</v>
      </c>
      <c r="J113" s="228" t="e">
        <f t="shared" si="28"/>
        <v>#N/A</v>
      </c>
      <c r="L113" s="229" t="e">
        <f t="shared" si="29"/>
        <v>#N/A</v>
      </c>
      <c r="N113" s="2317" t="str">
        <f t="shared" si="26"/>
        <v xml:space="preserve"> </v>
      </c>
    </row>
    <row r="114" spans="1:16" ht="13.5" x14ac:dyDescent="0.25">
      <c r="A114" s="638">
        <v>1730</v>
      </c>
      <c r="B114" s="2890" t="s">
        <v>4865</v>
      </c>
      <c r="C114" s="2890"/>
      <c r="D114" s="2380"/>
      <c r="E114" s="2380"/>
      <c r="F114" s="341">
        <f>'905'!F114</f>
        <v>0</v>
      </c>
      <c r="H114" s="341" t="e">
        <f t="shared" si="27"/>
        <v>#N/A</v>
      </c>
      <c r="J114" s="228" t="e">
        <f t="shared" si="28"/>
        <v>#N/A</v>
      </c>
      <c r="L114" s="229" t="e">
        <f t="shared" si="29"/>
        <v>#N/A</v>
      </c>
      <c r="N114" s="2317" t="str">
        <f t="shared" si="26"/>
        <v xml:space="preserve"> </v>
      </c>
    </row>
    <row r="115" spans="1:16" ht="13.5" x14ac:dyDescent="0.25">
      <c r="A115" s="170">
        <v>1735</v>
      </c>
      <c r="B115" s="2890" t="s">
        <v>3479</v>
      </c>
      <c r="C115" s="2890"/>
      <c r="D115" s="2380"/>
      <c r="E115" s="2380"/>
      <c r="F115" s="341">
        <f>'905'!F115</f>
        <v>0</v>
      </c>
      <c r="H115" s="341" t="e">
        <f t="shared" si="27"/>
        <v>#N/A</v>
      </c>
      <c r="J115" s="228" t="e">
        <f t="shared" si="28"/>
        <v>#N/A</v>
      </c>
      <c r="L115" s="229" t="e">
        <f t="shared" si="29"/>
        <v>#N/A</v>
      </c>
      <c r="N115" s="2317" t="str">
        <f t="shared" si="26"/>
        <v xml:space="preserve"> </v>
      </c>
    </row>
    <row r="116" spans="1:16" ht="13.5" x14ac:dyDescent="0.25">
      <c r="A116" s="638">
        <v>1740</v>
      </c>
      <c r="B116" s="2890" t="s">
        <v>3481</v>
      </c>
      <c r="C116" s="2890"/>
      <c r="D116" s="2380"/>
      <c r="E116" s="2380"/>
      <c r="F116" s="341">
        <f>'905'!F116</f>
        <v>0</v>
      </c>
      <c r="H116" s="341" t="e">
        <f t="shared" si="27"/>
        <v>#N/A</v>
      </c>
      <c r="J116" s="228" t="e">
        <f t="shared" si="28"/>
        <v>#N/A</v>
      </c>
      <c r="L116" s="229" t="e">
        <f t="shared" si="29"/>
        <v>#N/A</v>
      </c>
      <c r="N116" s="2317" t="str">
        <f t="shared" si="26"/>
        <v xml:space="preserve"> </v>
      </c>
    </row>
    <row r="117" spans="1:16" ht="13.5" x14ac:dyDescent="0.25">
      <c r="A117" s="170">
        <v>1890</v>
      </c>
      <c r="B117" s="2890" t="s">
        <v>2812</v>
      </c>
      <c r="C117" s="2890"/>
      <c r="D117" s="2380"/>
      <c r="E117" s="2380"/>
      <c r="F117" s="341">
        <f>'905'!F117</f>
        <v>0</v>
      </c>
      <c r="H117" s="341" t="e">
        <f t="shared" si="27"/>
        <v>#N/A</v>
      </c>
      <c r="J117" s="228" t="e">
        <f t="shared" si="28"/>
        <v>#N/A</v>
      </c>
      <c r="L117" s="229" t="e">
        <f t="shared" si="29"/>
        <v>#N/A</v>
      </c>
      <c r="N117" s="2317" t="str">
        <f t="shared" si="26"/>
        <v xml:space="preserve"> </v>
      </c>
    </row>
    <row r="118" spans="1:16" ht="13.5" x14ac:dyDescent="0.25">
      <c r="A118" s="170">
        <v>1750</v>
      </c>
      <c r="B118" s="2890" t="s">
        <v>2813</v>
      </c>
      <c r="C118" s="2890"/>
      <c r="D118" s="2380"/>
      <c r="E118" s="2380"/>
      <c r="F118" s="341">
        <f>'905'!F118</f>
        <v>0</v>
      </c>
      <c r="H118" s="341" t="e">
        <f t="shared" si="27"/>
        <v>#N/A</v>
      </c>
      <c r="J118" s="228" t="e">
        <f t="shared" si="28"/>
        <v>#N/A</v>
      </c>
      <c r="L118" s="229" t="e">
        <f t="shared" si="29"/>
        <v>#N/A</v>
      </c>
      <c r="N118" s="2317" t="str">
        <f t="shared" si="26"/>
        <v xml:space="preserve"> </v>
      </c>
    </row>
    <row r="119" spans="1:16" ht="13.5" x14ac:dyDescent="0.25">
      <c r="A119" s="170">
        <v>1760</v>
      </c>
      <c r="B119" s="2890" t="s">
        <v>2814</v>
      </c>
      <c r="C119" s="2890"/>
      <c r="D119" s="2380"/>
      <c r="E119" s="2380"/>
      <c r="F119" s="341">
        <f>'905'!F119</f>
        <v>0</v>
      </c>
      <c r="H119" s="341" t="e">
        <f t="shared" si="27"/>
        <v>#N/A</v>
      </c>
      <c r="J119" s="228" t="e">
        <f t="shared" si="28"/>
        <v>#N/A</v>
      </c>
      <c r="L119" s="229" t="e">
        <f t="shared" si="29"/>
        <v>#N/A</v>
      </c>
      <c r="N119" s="2317" t="str">
        <f t="shared" si="26"/>
        <v xml:space="preserve"> </v>
      </c>
    </row>
    <row r="120" spans="1:16" ht="13.5" x14ac:dyDescent="0.25">
      <c r="A120" s="170">
        <v>1870</v>
      </c>
      <c r="B120" s="2890" t="s">
        <v>2815</v>
      </c>
      <c r="C120" s="2890"/>
      <c r="D120" s="2380"/>
      <c r="E120" s="2380"/>
      <c r="F120" s="341">
        <f>'905'!F120</f>
        <v>0</v>
      </c>
      <c r="H120" s="341" t="e">
        <f t="shared" si="27"/>
        <v>#N/A</v>
      </c>
      <c r="J120" s="228" t="e">
        <f t="shared" si="28"/>
        <v>#N/A</v>
      </c>
      <c r="L120" s="229" t="e">
        <f t="shared" si="29"/>
        <v>#N/A</v>
      </c>
      <c r="N120" s="2317" t="str">
        <f t="shared" si="26"/>
        <v xml:space="preserve"> </v>
      </c>
    </row>
    <row r="121" spans="1:16" ht="13.5" x14ac:dyDescent="0.25">
      <c r="A121" s="170">
        <v>1880</v>
      </c>
      <c r="B121" s="2890" t="s">
        <v>2816</v>
      </c>
      <c r="C121" s="2890"/>
      <c r="D121" s="2380"/>
      <c r="E121" s="2380"/>
      <c r="F121" s="341">
        <f>'905'!F121</f>
        <v>0</v>
      </c>
      <c r="H121" s="341" t="e">
        <f t="shared" si="27"/>
        <v>#N/A</v>
      </c>
      <c r="J121" s="228" t="e">
        <f t="shared" si="28"/>
        <v>#N/A</v>
      </c>
      <c r="L121" s="229" t="e">
        <f t="shared" si="29"/>
        <v>#N/A</v>
      </c>
      <c r="N121" s="2317" t="str">
        <f t="shared" si="26"/>
        <v xml:space="preserve"> </v>
      </c>
    </row>
    <row r="122" spans="1:16" ht="13.5" x14ac:dyDescent="0.25">
      <c r="A122" s="170">
        <v>1762</v>
      </c>
      <c r="B122" s="2890" t="s">
        <v>2817</v>
      </c>
      <c r="C122" s="2890"/>
      <c r="D122" s="2380"/>
      <c r="E122" s="2380"/>
      <c r="F122" s="341">
        <f>'905'!F122</f>
        <v>0</v>
      </c>
      <c r="H122" s="341" t="e">
        <f t="shared" si="27"/>
        <v>#N/A</v>
      </c>
      <c r="J122" s="228" t="e">
        <f t="shared" si="28"/>
        <v>#N/A</v>
      </c>
      <c r="L122" s="229" t="e">
        <f t="shared" si="29"/>
        <v>#N/A</v>
      </c>
      <c r="N122" s="2317" t="str">
        <f t="shared" si="26"/>
        <v xml:space="preserve"> </v>
      </c>
    </row>
    <row r="123" spans="1:16" ht="13.5" x14ac:dyDescent="0.25">
      <c r="A123" s="638">
        <v>1775</v>
      </c>
      <c r="B123" s="2890" t="s">
        <v>4866</v>
      </c>
      <c r="C123" s="2890"/>
      <c r="D123" s="2380"/>
      <c r="E123" s="2380"/>
      <c r="F123" s="341">
        <f>'905'!F123</f>
        <v>0</v>
      </c>
      <c r="H123" s="341" t="e">
        <f t="shared" si="27"/>
        <v>#N/A</v>
      </c>
      <c r="J123" s="228" t="e">
        <f t="shared" si="28"/>
        <v>#N/A</v>
      </c>
      <c r="L123" s="229" t="e">
        <f t="shared" si="29"/>
        <v>#N/A</v>
      </c>
      <c r="N123" s="2317" t="str">
        <f t="shared" si="26"/>
        <v xml:space="preserve"> </v>
      </c>
    </row>
    <row r="124" spans="1:16" ht="13.5" x14ac:dyDescent="0.25">
      <c r="A124" s="638">
        <v>1780</v>
      </c>
      <c r="B124" s="2890" t="s">
        <v>4867</v>
      </c>
      <c r="C124" s="2890"/>
      <c r="D124" s="2380"/>
      <c r="E124" s="2380"/>
      <c r="F124" s="341">
        <f>'905'!F124</f>
        <v>0</v>
      </c>
      <c r="H124" s="341" t="e">
        <f t="shared" si="27"/>
        <v>#N/A</v>
      </c>
      <c r="J124" s="228" t="e">
        <f t="shared" si="28"/>
        <v>#N/A</v>
      </c>
      <c r="L124" s="229" t="e">
        <f t="shared" si="29"/>
        <v>#N/A</v>
      </c>
      <c r="N124" s="2317" t="str">
        <f t="shared" si="26"/>
        <v xml:space="preserve"> </v>
      </c>
    </row>
    <row r="125" spans="1:16" ht="13.5" x14ac:dyDescent="0.25">
      <c r="A125" s="638">
        <v>1785</v>
      </c>
      <c r="B125" s="3069" t="s">
        <v>4868</v>
      </c>
      <c r="C125" s="3069"/>
      <c r="D125" s="2380"/>
      <c r="E125" s="2380"/>
      <c r="F125" s="341">
        <f>'905'!F125</f>
        <v>0</v>
      </c>
      <c r="H125" s="341" t="e">
        <f t="shared" si="27"/>
        <v>#N/A</v>
      </c>
      <c r="J125" s="228" t="e">
        <f t="shared" ref="J125" si="30">F125-H125</f>
        <v>#N/A</v>
      </c>
      <c r="L125" s="229" t="e">
        <f t="shared" ref="L125" si="31">IF(H125=0,0,J125/H125)</f>
        <v>#N/A</v>
      </c>
      <c r="N125" s="2317" t="str">
        <f t="shared" si="26"/>
        <v xml:space="preserve"> </v>
      </c>
    </row>
    <row r="126" spans="1:16" ht="13.5" x14ac:dyDescent="0.25">
      <c r="A126" s="1867">
        <v>1786</v>
      </c>
      <c r="B126" s="3072" t="s">
        <v>4869</v>
      </c>
      <c r="C126" s="3072"/>
      <c r="D126" s="2432"/>
      <c r="E126" s="2432"/>
      <c r="F126" s="341">
        <f>'905'!F126</f>
        <v>0</v>
      </c>
      <c r="H126" s="341" t="e">
        <f t="shared" si="27"/>
        <v>#N/A</v>
      </c>
      <c r="J126" s="228" t="e">
        <f t="shared" ref="J126" si="32">F126-H126</f>
        <v>#N/A</v>
      </c>
      <c r="L126" s="229" t="e">
        <f t="shared" ref="L126" si="33">IF(H126=0,0,J126/H126)</f>
        <v>#N/A</v>
      </c>
      <c r="N126" s="2317" t="str">
        <f t="shared" si="26"/>
        <v xml:space="preserve"> </v>
      </c>
      <c r="O126" s="1814" t="s">
        <v>4837</v>
      </c>
      <c r="P126" s="1113"/>
    </row>
    <row r="127" spans="1:16" ht="13.5" x14ac:dyDescent="0.25">
      <c r="A127" s="638">
        <v>1800</v>
      </c>
      <c r="B127" s="2890" t="s">
        <v>4870</v>
      </c>
      <c r="C127" s="2890"/>
      <c r="D127" s="2380"/>
      <c r="E127" s="2380"/>
      <c r="F127" s="341">
        <f>'905'!F127</f>
        <v>0</v>
      </c>
      <c r="H127" s="341" t="e">
        <f t="shared" si="27"/>
        <v>#N/A</v>
      </c>
      <c r="J127" s="228" t="e">
        <f t="shared" si="28"/>
        <v>#N/A</v>
      </c>
      <c r="L127" s="229" t="e">
        <f t="shared" si="29"/>
        <v>#N/A</v>
      </c>
      <c r="N127" s="2317" t="str">
        <f t="shared" si="26"/>
        <v xml:space="preserve"> </v>
      </c>
    </row>
    <row r="128" spans="1:16" ht="13.5" x14ac:dyDescent="0.25">
      <c r="A128" s="638">
        <v>1850</v>
      </c>
      <c r="B128" s="2890" t="s">
        <v>4871</v>
      </c>
      <c r="C128" s="2890"/>
      <c r="D128" s="2380"/>
      <c r="E128" s="2380"/>
      <c r="F128" s="341">
        <f>'905'!F128</f>
        <v>0</v>
      </c>
      <c r="H128" s="341" t="e">
        <f t="shared" si="27"/>
        <v>#N/A</v>
      </c>
      <c r="J128" s="228" t="e">
        <f t="shared" si="28"/>
        <v>#N/A</v>
      </c>
      <c r="L128" s="229" t="e">
        <f t="shared" si="29"/>
        <v>#N/A</v>
      </c>
      <c r="N128" s="2317" t="str">
        <f t="shared" si="26"/>
        <v xml:space="preserve"> </v>
      </c>
    </row>
    <row r="129" spans="1:15" ht="13.5" x14ac:dyDescent="0.25">
      <c r="A129" s="638">
        <v>1851</v>
      </c>
      <c r="B129" s="2890" t="s">
        <v>4872</v>
      </c>
      <c r="C129" s="2890"/>
      <c r="D129" s="2380"/>
      <c r="E129" s="2380"/>
      <c r="F129" s="341">
        <f>'905'!F129</f>
        <v>0</v>
      </c>
      <c r="H129" s="341" t="e">
        <f t="shared" si="27"/>
        <v>#N/A</v>
      </c>
      <c r="J129" s="228" t="e">
        <f t="shared" ref="J129:J137" si="34">F129-H129</f>
        <v>#N/A</v>
      </c>
      <c r="L129" s="229" t="e">
        <f t="shared" ref="L129:L137" si="35">IF(H129=0,0,J129/H129)</f>
        <v>#N/A</v>
      </c>
      <c r="N129" s="2317" t="str">
        <f t="shared" si="26"/>
        <v xml:space="preserve"> </v>
      </c>
    </row>
    <row r="130" spans="1:15" ht="13.5" x14ac:dyDescent="0.25">
      <c r="A130" s="638">
        <v>1852</v>
      </c>
      <c r="B130" s="2890" t="s">
        <v>4873</v>
      </c>
      <c r="C130" s="2890"/>
      <c r="D130" s="2380"/>
      <c r="E130" s="2380"/>
      <c r="F130" s="341">
        <f>'905'!F130</f>
        <v>0</v>
      </c>
      <c r="H130" s="341" t="e">
        <f t="shared" si="27"/>
        <v>#N/A</v>
      </c>
      <c r="J130" s="228" t="e">
        <f t="shared" si="34"/>
        <v>#N/A</v>
      </c>
      <c r="L130" s="229" t="e">
        <f t="shared" si="35"/>
        <v>#N/A</v>
      </c>
      <c r="N130" s="2317" t="str">
        <f t="shared" si="26"/>
        <v xml:space="preserve"> </v>
      </c>
    </row>
    <row r="131" spans="1:15" ht="13.5" x14ac:dyDescent="0.25">
      <c r="A131" s="638">
        <v>1855</v>
      </c>
      <c r="B131" s="2890" t="s">
        <v>4874</v>
      </c>
      <c r="C131" s="2890"/>
      <c r="D131" s="2380"/>
      <c r="E131" s="2380"/>
      <c r="F131" s="341">
        <f>'905'!F131</f>
        <v>0</v>
      </c>
      <c r="H131" s="341" t="e">
        <f t="shared" si="27"/>
        <v>#N/A</v>
      </c>
      <c r="J131" s="228" t="e">
        <f t="shared" si="34"/>
        <v>#N/A</v>
      </c>
      <c r="L131" s="229" t="e">
        <f t="shared" si="35"/>
        <v>#N/A</v>
      </c>
      <c r="N131" s="2317" t="str">
        <f t="shared" si="26"/>
        <v xml:space="preserve"> </v>
      </c>
    </row>
    <row r="132" spans="1:15" ht="13.5" x14ac:dyDescent="0.25">
      <c r="A132" s="638">
        <v>1857</v>
      </c>
      <c r="B132" s="2890" t="s">
        <v>4875</v>
      </c>
      <c r="C132" s="2890"/>
      <c r="D132" s="2380"/>
      <c r="E132" s="2380"/>
      <c r="F132" s="341">
        <f>'905'!F132</f>
        <v>0</v>
      </c>
      <c r="H132" s="341" t="e">
        <f t="shared" si="27"/>
        <v>#N/A</v>
      </c>
      <c r="J132" s="228" t="e">
        <f>F132-H132</f>
        <v>#N/A</v>
      </c>
      <c r="L132" s="229" t="e">
        <f>IF(H132=0,0,J132/H132)</f>
        <v>#N/A</v>
      </c>
      <c r="N132" s="2317" t="str">
        <f t="shared" si="26"/>
        <v xml:space="preserve"> </v>
      </c>
    </row>
    <row r="133" spans="1:15" ht="13.5" x14ac:dyDescent="0.25">
      <c r="A133" s="638">
        <v>1860</v>
      </c>
      <c r="B133" s="2890" t="s">
        <v>4876</v>
      </c>
      <c r="C133" s="2890"/>
      <c r="D133" s="2890"/>
      <c r="E133" s="2890"/>
      <c r="F133" s="341">
        <f>'905'!F133</f>
        <v>0</v>
      </c>
      <c r="H133" s="341" t="e">
        <f t="shared" si="27"/>
        <v>#N/A</v>
      </c>
      <c r="J133" s="228" t="e">
        <f t="shared" si="34"/>
        <v>#N/A</v>
      </c>
      <c r="L133" s="229" t="e">
        <f t="shared" si="35"/>
        <v>#N/A</v>
      </c>
      <c r="N133" s="2317" t="str">
        <f t="shared" si="26"/>
        <v xml:space="preserve"> </v>
      </c>
    </row>
    <row r="134" spans="1:15" ht="13.5" x14ac:dyDescent="0.25">
      <c r="A134" s="638">
        <v>1868</v>
      </c>
      <c r="B134" s="2890" t="s">
        <v>4877</v>
      </c>
      <c r="C134" s="2890"/>
      <c r="D134" s="2890"/>
      <c r="E134" s="2890"/>
      <c r="F134" s="341">
        <f>'905'!F134</f>
        <v>0</v>
      </c>
      <c r="H134" s="341" t="e">
        <f t="shared" si="27"/>
        <v>#N/A</v>
      </c>
      <c r="J134" s="228" t="e">
        <f>F134-H134</f>
        <v>#N/A</v>
      </c>
      <c r="L134" s="229" t="e">
        <f>IF(H134=0,0,J134/H134)</f>
        <v>#N/A</v>
      </c>
      <c r="N134" s="2317" t="str">
        <f t="shared" si="26"/>
        <v xml:space="preserve"> </v>
      </c>
    </row>
    <row r="135" spans="1:15" ht="13.5" x14ac:dyDescent="0.25">
      <c r="A135" s="638">
        <v>1869</v>
      </c>
      <c r="B135" s="3121" t="s">
        <v>4878</v>
      </c>
      <c r="C135" s="3121"/>
      <c r="D135" s="3121"/>
      <c r="E135" s="3121"/>
      <c r="F135" s="341">
        <f>'905'!F135</f>
        <v>0</v>
      </c>
      <c r="H135" s="341" t="e">
        <f t="shared" si="27"/>
        <v>#N/A</v>
      </c>
      <c r="J135" s="228" t="e">
        <f>F135-H135</f>
        <v>#N/A</v>
      </c>
      <c r="L135" s="229" t="e">
        <f>IF(H135=0,0,J135/H135)</f>
        <v>#N/A</v>
      </c>
      <c r="N135" s="2317" t="str">
        <f t="shared" si="26"/>
        <v xml:space="preserve"> </v>
      </c>
      <c r="O135" s="971"/>
    </row>
    <row r="136" spans="1:15" ht="13.5" x14ac:dyDescent="0.25">
      <c r="A136" s="638">
        <v>1865</v>
      </c>
      <c r="B136" s="2890" t="s">
        <v>4879</v>
      </c>
      <c r="C136" s="2890"/>
      <c r="D136" s="2380"/>
      <c r="E136" s="2380"/>
      <c r="F136" s="341">
        <f>'905'!F136</f>
        <v>0</v>
      </c>
      <c r="H136" s="341" t="e">
        <f t="shared" si="27"/>
        <v>#N/A</v>
      </c>
      <c r="J136" s="228" t="e">
        <f t="shared" si="34"/>
        <v>#N/A</v>
      </c>
      <c r="L136" s="229" t="e">
        <f t="shared" si="35"/>
        <v>#N/A</v>
      </c>
      <c r="N136" s="2317" t="str">
        <f t="shared" si="26"/>
        <v xml:space="preserve"> </v>
      </c>
    </row>
    <row r="137" spans="1:15" ht="13.5" x14ac:dyDescent="0.25">
      <c r="A137" s="638">
        <v>1866</v>
      </c>
      <c r="B137" s="2890" t="s">
        <v>4880</v>
      </c>
      <c r="C137" s="2890"/>
      <c r="D137" s="2380"/>
      <c r="E137" s="2380"/>
      <c r="F137" s="341">
        <f>'905'!F137</f>
        <v>0</v>
      </c>
      <c r="H137" s="341" t="e">
        <f t="shared" si="27"/>
        <v>#N/A</v>
      </c>
      <c r="J137" s="228" t="e">
        <f t="shared" si="34"/>
        <v>#N/A</v>
      </c>
      <c r="L137" s="229" t="e">
        <f t="shared" si="35"/>
        <v>#N/A</v>
      </c>
      <c r="N137" s="2317" t="str">
        <f t="shared" si="26"/>
        <v xml:space="preserve"> </v>
      </c>
    </row>
    <row r="138" spans="1:15" ht="13.5" x14ac:dyDescent="0.25">
      <c r="B138" s="2890" t="s">
        <v>3555</v>
      </c>
      <c r="C138" s="2890"/>
      <c r="D138" s="2380"/>
      <c r="E138" s="2380"/>
      <c r="F138" s="217">
        <f>SUM(F102:F137)</f>
        <v>0</v>
      </c>
      <c r="H138" s="217" t="e">
        <f>SUM(H102:H137)</f>
        <v>#N/A</v>
      </c>
      <c r="J138" s="228" t="e">
        <f>F138-H138</f>
        <v>#N/A</v>
      </c>
      <c r="L138" s="229" t="e">
        <f>IF(H138=0,0,J138/H138)</f>
        <v>#N/A</v>
      </c>
      <c r="N138" s="2319"/>
    </row>
    <row r="139" spans="1:15" ht="9.75" customHeight="1" x14ac:dyDescent="0.25">
      <c r="B139" s="2380"/>
      <c r="C139" s="2380"/>
      <c r="D139" s="2380"/>
      <c r="E139" s="2380"/>
      <c r="J139" s="228"/>
      <c r="L139" s="229"/>
    </row>
    <row r="140" spans="1:15" ht="13.5" x14ac:dyDescent="0.25">
      <c r="B140" s="218" t="s">
        <v>1991</v>
      </c>
      <c r="C140" s="218"/>
      <c r="D140" s="218"/>
      <c r="E140" s="218"/>
      <c r="J140" s="228"/>
      <c r="L140" s="229"/>
    </row>
    <row r="141" spans="1:15" x14ac:dyDescent="0.2">
      <c r="A141" s="170"/>
      <c r="B141" s="170" t="s">
        <v>2797</v>
      </c>
      <c r="C141" s="170"/>
      <c r="D141" s="170"/>
      <c r="E141" s="170"/>
    </row>
    <row r="142" spans="1:15" ht="13.5" x14ac:dyDescent="0.25">
      <c r="A142" s="170">
        <v>1940</v>
      </c>
      <c r="B142" s="3116" t="s">
        <v>2835</v>
      </c>
      <c r="C142" s="3116"/>
      <c r="D142" s="2440"/>
      <c r="E142" s="2440"/>
      <c r="F142" s="341">
        <f>'905'!F142</f>
        <v>0</v>
      </c>
      <c r="H142" s="341" t="e">
        <f t="shared" ref="H142:H164" si="36">INDEX(PY905Data,MATCH($A142,PY905Row,0),MATCH($C$5,PY905Col,0))</f>
        <v>#N/A</v>
      </c>
      <c r="J142" s="228" t="e">
        <f>F142-H142</f>
        <v>#N/A</v>
      </c>
      <c r="L142" s="229" t="e">
        <f>IF(H142=0,0,J142/H142)</f>
        <v>#N/A</v>
      </c>
      <c r="N142" s="2317" t="str">
        <f t="shared" ref="N142:N164" si="37">IF($F$88=0," ",IF(AND(ABS(J142)&gt;$L$3,ABS(L142)&gt;$L$2),"C",IF(AND(ABS(F142+H142)&gt;0,H142=0,ABS(J142)&gt;$L$3),"C"," ")))</f>
        <v xml:space="preserve"> </v>
      </c>
    </row>
    <row r="143" spans="1:15" ht="13.5" x14ac:dyDescent="0.25">
      <c r="A143" s="170">
        <v>1950</v>
      </c>
      <c r="B143" s="3116" t="s">
        <v>2800</v>
      </c>
      <c r="C143" s="3116"/>
      <c r="D143" s="2440"/>
      <c r="E143" s="2440"/>
      <c r="F143" s="341">
        <f>'905'!F143</f>
        <v>0</v>
      </c>
      <c r="H143" s="341" t="e">
        <f t="shared" si="36"/>
        <v>#N/A</v>
      </c>
      <c r="J143" s="228" t="e">
        <f t="shared" ref="J143:J167" si="38">F143-H143</f>
        <v>#N/A</v>
      </c>
      <c r="L143" s="229" t="e">
        <f t="shared" ref="L143:L167" si="39">IF(H143=0,0,J143/H143)</f>
        <v>#N/A</v>
      </c>
      <c r="N143" s="2317" t="str">
        <f t="shared" si="37"/>
        <v xml:space="preserve"> </v>
      </c>
    </row>
    <row r="144" spans="1:15" ht="13.5" x14ac:dyDescent="0.25">
      <c r="A144" s="170">
        <v>1960</v>
      </c>
      <c r="B144" s="3116" t="s">
        <v>2801</v>
      </c>
      <c r="C144" s="3116"/>
      <c r="D144" s="2440"/>
      <c r="E144" s="2440"/>
      <c r="F144" s="341">
        <f>'905'!F144</f>
        <v>0</v>
      </c>
      <c r="H144" s="341" t="e">
        <f t="shared" si="36"/>
        <v>#N/A</v>
      </c>
      <c r="J144" s="228" t="e">
        <f t="shared" si="38"/>
        <v>#N/A</v>
      </c>
      <c r="L144" s="229" t="e">
        <f t="shared" si="39"/>
        <v>#N/A</v>
      </c>
      <c r="N144" s="2317" t="str">
        <f t="shared" si="37"/>
        <v xml:space="preserve"> </v>
      </c>
    </row>
    <row r="145" spans="1:16" ht="13.5" x14ac:dyDescent="0.25">
      <c r="A145" s="638">
        <v>2020</v>
      </c>
      <c r="B145" s="2890" t="s">
        <v>4881</v>
      </c>
      <c r="C145" s="2890"/>
      <c r="D145" s="2380"/>
      <c r="E145" s="2380"/>
      <c r="F145" s="341">
        <f>'905'!F145</f>
        <v>0</v>
      </c>
      <c r="H145" s="341" t="e">
        <f t="shared" si="36"/>
        <v>#N/A</v>
      </c>
      <c r="J145" s="228" t="e">
        <f t="shared" si="38"/>
        <v>#N/A</v>
      </c>
      <c r="L145" s="229" t="e">
        <f t="shared" si="39"/>
        <v>#N/A</v>
      </c>
      <c r="N145" s="2317" t="str">
        <f t="shared" si="37"/>
        <v xml:space="preserve"> </v>
      </c>
    </row>
    <row r="146" spans="1:16" ht="13.5" x14ac:dyDescent="0.25">
      <c r="A146" s="170">
        <v>2097</v>
      </c>
      <c r="B146" s="2890" t="s">
        <v>2812</v>
      </c>
      <c r="C146" s="2890"/>
      <c r="D146" s="2380"/>
      <c r="E146" s="2380"/>
      <c r="F146" s="341">
        <f>'905'!F146</f>
        <v>0</v>
      </c>
      <c r="H146" s="341" t="e">
        <f t="shared" si="36"/>
        <v>#N/A</v>
      </c>
      <c r="J146" s="228" t="e">
        <f>F146-H146</f>
        <v>#N/A</v>
      </c>
      <c r="L146" s="229" t="e">
        <f>IF(H146=0,0,J146/H146)</f>
        <v>#N/A</v>
      </c>
      <c r="N146" s="2317" t="str">
        <f t="shared" si="37"/>
        <v xml:space="preserve"> </v>
      </c>
    </row>
    <row r="147" spans="1:16" ht="13.5" x14ac:dyDescent="0.25">
      <c r="A147" s="170">
        <v>2070</v>
      </c>
      <c r="B147" s="2890" t="s">
        <v>2815</v>
      </c>
      <c r="C147" s="2890"/>
      <c r="D147" s="2380"/>
      <c r="E147" s="2380"/>
      <c r="F147" s="341">
        <f>'905'!F147</f>
        <v>0</v>
      </c>
      <c r="H147" s="341" t="e">
        <f t="shared" si="36"/>
        <v>#N/A</v>
      </c>
      <c r="J147" s="228" t="e">
        <f t="shared" si="38"/>
        <v>#N/A</v>
      </c>
      <c r="L147" s="229" t="e">
        <f t="shared" si="39"/>
        <v>#N/A</v>
      </c>
      <c r="N147" s="2317" t="str">
        <f t="shared" si="37"/>
        <v xml:space="preserve"> </v>
      </c>
    </row>
    <row r="148" spans="1:16" ht="13.5" x14ac:dyDescent="0.25">
      <c r="A148" s="170">
        <v>2080</v>
      </c>
      <c r="B148" s="2890" t="s">
        <v>2816</v>
      </c>
      <c r="C148" s="2890"/>
      <c r="D148" s="2380"/>
      <c r="E148" s="2380"/>
      <c r="F148" s="341">
        <f>'905'!F148</f>
        <v>0</v>
      </c>
      <c r="H148" s="341" t="e">
        <f t="shared" si="36"/>
        <v>#N/A</v>
      </c>
      <c r="J148" s="228" t="e">
        <f t="shared" si="38"/>
        <v>#N/A</v>
      </c>
      <c r="L148" s="229" t="e">
        <f t="shared" si="39"/>
        <v>#N/A</v>
      </c>
      <c r="N148" s="2317" t="str">
        <f t="shared" si="37"/>
        <v xml:space="preserve"> </v>
      </c>
    </row>
    <row r="149" spans="1:16" ht="13.5" x14ac:dyDescent="0.25">
      <c r="A149" s="170">
        <v>2024</v>
      </c>
      <c r="B149" s="2890" t="s">
        <v>2817</v>
      </c>
      <c r="C149" s="2890"/>
      <c r="D149" s="2380"/>
      <c r="E149" s="2380"/>
      <c r="F149" s="341">
        <f>'905'!F149</f>
        <v>0</v>
      </c>
      <c r="H149" s="341" t="e">
        <f t="shared" si="36"/>
        <v>#N/A</v>
      </c>
      <c r="J149" s="228" t="e">
        <f>F149-H149</f>
        <v>#N/A</v>
      </c>
      <c r="L149" s="229" t="e">
        <f>IF(H149=0,0,J149/H149)</f>
        <v>#N/A</v>
      </c>
      <c r="N149" s="2317" t="str">
        <f t="shared" si="37"/>
        <v xml:space="preserve"> </v>
      </c>
    </row>
    <row r="150" spans="1:16" ht="13.5" x14ac:dyDescent="0.25">
      <c r="A150" s="638">
        <v>2035</v>
      </c>
      <c r="B150" s="2890" t="s">
        <v>1044</v>
      </c>
      <c r="C150" s="2890"/>
      <c r="D150" s="2380"/>
      <c r="E150" s="2380"/>
      <c r="F150" s="341">
        <f>'905'!F150</f>
        <v>0</v>
      </c>
      <c r="H150" s="341" t="e">
        <f t="shared" si="36"/>
        <v>#N/A</v>
      </c>
      <c r="J150" s="228" t="e">
        <f t="shared" si="38"/>
        <v>#N/A</v>
      </c>
      <c r="L150" s="229" t="e">
        <f t="shared" si="39"/>
        <v>#N/A</v>
      </c>
      <c r="N150" s="2317" t="str">
        <f t="shared" si="37"/>
        <v xml:space="preserve"> </v>
      </c>
    </row>
    <row r="151" spans="1:16" ht="13.5" x14ac:dyDescent="0.25">
      <c r="A151" s="638">
        <v>2040</v>
      </c>
      <c r="B151" s="2890" t="s">
        <v>4882</v>
      </c>
      <c r="C151" s="2890"/>
      <c r="D151" s="2380"/>
      <c r="E151" s="2380"/>
      <c r="F151" s="341">
        <f>'905'!F151</f>
        <v>0</v>
      </c>
      <c r="H151" s="341" t="e">
        <f t="shared" si="36"/>
        <v>#N/A</v>
      </c>
      <c r="J151" s="228" t="e">
        <f t="shared" si="38"/>
        <v>#N/A</v>
      </c>
      <c r="L151" s="229" t="e">
        <f t="shared" si="39"/>
        <v>#N/A</v>
      </c>
      <c r="N151" s="2317" t="str">
        <f t="shared" si="37"/>
        <v xml:space="preserve"> </v>
      </c>
    </row>
    <row r="152" spans="1:16" ht="13.5" x14ac:dyDescent="0.25">
      <c r="A152" s="638">
        <v>2046</v>
      </c>
      <c r="B152" s="3110" t="s">
        <v>4883</v>
      </c>
      <c r="C152" s="3110"/>
      <c r="D152" s="170"/>
      <c r="E152" s="170"/>
      <c r="F152" s="341">
        <f>'905'!F152</f>
        <v>0</v>
      </c>
      <c r="H152" s="341" t="e">
        <f>INDEX(PY905Data,MATCH($A152,PY905Row,0),MATCH($C$5,PY905Col,0))</f>
        <v>#N/A</v>
      </c>
      <c r="J152" s="228" t="e">
        <f t="shared" ref="J152" si="40">F152-H152</f>
        <v>#N/A</v>
      </c>
      <c r="L152" s="229" t="e">
        <f t="shared" ref="L152" si="41">IF(H152=0,0,J152/H152)</f>
        <v>#N/A</v>
      </c>
      <c r="N152" s="2317" t="str">
        <f t="shared" si="37"/>
        <v xml:space="preserve"> </v>
      </c>
    </row>
    <row r="153" spans="1:16" ht="13.5" x14ac:dyDescent="0.25">
      <c r="A153" s="1867">
        <v>2047</v>
      </c>
      <c r="B153" s="3072" t="s">
        <v>4884</v>
      </c>
      <c r="C153" s="3072"/>
      <c r="D153" s="2432"/>
      <c r="E153" s="2432"/>
      <c r="F153" s="341">
        <f>'905'!F153</f>
        <v>0</v>
      </c>
      <c r="H153" s="341" t="e">
        <f>INDEX(PY905Data,MATCH($A153,PY905Row,0),MATCH($C$5,PY905Col,0))</f>
        <v>#N/A</v>
      </c>
      <c r="J153" s="228" t="e">
        <f t="shared" ref="J153" si="42">F153-H153</f>
        <v>#N/A</v>
      </c>
      <c r="L153" s="229" t="e">
        <f t="shared" ref="L153" si="43">IF(H153=0,0,J153/H153)</f>
        <v>#N/A</v>
      </c>
      <c r="N153" s="2317" t="str">
        <f t="shared" si="37"/>
        <v xml:space="preserve"> </v>
      </c>
      <c r="O153" s="1814" t="s">
        <v>4837</v>
      </c>
      <c r="P153" s="1113"/>
    </row>
    <row r="154" spans="1:16" ht="13.5" x14ac:dyDescent="0.25">
      <c r="A154" s="638">
        <v>2050</v>
      </c>
      <c r="B154" s="2890" t="s">
        <v>4885</v>
      </c>
      <c r="C154" s="2890"/>
      <c r="D154" s="2380"/>
      <c r="E154" s="2380"/>
      <c r="F154" s="341">
        <f>'905'!F154</f>
        <v>0</v>
      </c>
      <c r="H154" s="341" t="e">
        <f t="shared" si="36"/>
        <v>#N/A</v>
      </c>
      <c r="J154" s="228" t="e">
        <f t="shared" si="38"/>
        <v>#N/A</v>
      </c>
      <c r="L154" s="229" t="e">
        <f t="shared" si="39"/>
        <v>#N/A</v>
      </c>
      <c r="N154" s="2317" t="str">
        <f t="shared" si="37"/>
        <v xml:space="preserve"> </v>
      </c>
    </row>
    <row r="155" spans="1:16" ht="13.5" x14ac:dyDescent="0.25">
      <c r="A155" s="638">
        <v>2060</v>
      </c>
      <c r="B155" s="2890" t="s">
        <v>1041</v>
      </c>
      <c r="C155" s="2890"/>
      <c r="D155" s="2380"/>
      <c r="E155" s="2380"/>
      <c r="F155" s="341">
        <f>'905'!F155</f>
        <v>0</v>
      </c>
      <c r="H155" s="341" t="e">
        <f t="shared" si="36"/>
        <v>#N/A</v>
      </c>
      <c r="J155" s="228" t="e">
        <f t="shared" si="38"/>
        <v>#N/A</v>
      </c>
      <c r="L155" s="229" t="e">
        <f t="shared" si="39"/>
        <v>#N/A</v>
      </c>
      <c r="N155" s="2317" t="str">
        <f t="shared" si="37"/>
        <v xml:space="preserve"> </v>
      </c>
    </row>
    <row r="156" spans="1:16" ht="13.5" x14ac:dyDescent="0.25">
      <c r="A156" s="638">
        <v>2061</v>
      </c>
      <c r="B156" s="2890" t="s">
        <v>1043</v>
      </c>
      <c r="C156" s="2890"/>
      <c r="D156" s="2380"/>
      <c r="E156" s="2380"/>
      <c r="F156" s="341">
        <f>'905'!F156</f>
        <v>0</v>
      </c>
      <c r="H156" s="341" t="e">
        <f t="shared" si="36"/>
        <v>#N/A</v>
      </c>
      <c r="J156" s="228" t="e">
        <f t="shared" ref="J156:J164" si="44">F156-H156</f>
        <v>#N/A</v>
      </c>
      <c r="L156" s="229" t="e">
        <f t="shared" ref="L156:L164" si="45">IF(H156=0,0,J156/H156)</f>
        <v>#N/A</v>
      </c>
      <c r="N156" s="2317" t="str">
        <f t="shared" si="37"/>
        <v xml:space="preserve"> </v>
      </c>
    </row>
    <row r="157" spans="1:16" ht="13.5" x14ac:dyDescent="0.25">
      <c r="A157" s="638">
        <v>2045</v>
      </c>
      <c r="B157" s="2890" t="s">
        <v>1069</v>
      </c>
      <c r="C157" s="2890"/>
      <c r="D157" s="2380"/>
      <c r="E157" s="2380"/>
      <c r="F157" s="341">
        <f>'905'!F157</f>
        <v>0</v>
      </c>
      <c r="H157" s="341" t="e">
        <f t="shared" si="36"/>
        <v>#N/A</v>
      </c>
      <c r="J157" s="228" t="e">
        <f t="shared" si="44"/>
        <v>#N/A</v>
      </c>
      <c r="L157" s="229" t="e">
        <f t="shared" si="45"/>
        <v>#N/A</v>
      </c>
      <c r="N157" s="2317" t="str">
        <f t="shared" si="37"/>
        <v xml:space="preserve"> </v>
      </c>
    </row>
    <row r="158" spans="1:16" ht="13.5" x14ac:dyDescent="0.25">
      <c r="A158" s="638">
        <v>2085</v>
      </c>
      <c r="B158" s="2890" t="s">
        <v>1048</v>
      </c>
      <c r="C158" s="2890"/>
      <c r="D158" s="2380"/>
      <c r="E158" s="2380"/>
      <c r="F158" s="341">
        <f>'905'!F158</f>
        <v>0</v>
      </c>
      <c r="H158" s="341" t="e">
        <f t="shared" si="36"/>
        <v>#N/A</v>
      </c>
      <c r="J158" s="228" t="e">
        <f t="shared" si="44"/>
        <v>#N/A</v>
      </c>
      <c r="L158" s="229" t="e">
        <f t="shared" si="45"/>
        <v>#N/A</v>
      </c>
      <c r="N158" s="2317" t="str">
        <f t="shared" si="37"/>
        <v xml:space="preserve"> </v>
      </c>
    </row>
    <row r="159" spans="1:16" ht="13.5" x14ac:dyDescent="0.25">
      <c r="A159" s="638">
        <v>2087</v>
      </c>
      <c r="B159" s="2890" t="s">
        <v>1049</v>
      </c>
      <c r="C159" s="2890"/>
      <c r="D159" s="2380"/>
      <c r="E159" s="2380"/>
      <c r="F159" s="341">
        <f>'905'!F159</f>
        <v>0</v>
      </c>
      <c r="H159" s="341" t="e">
        <f t="shared" si="36"/>
        <v>#N/A</v>
      </c>
      <c r="J159" s="228" t="e">
        <f>F159-H159</f>
        <v>#N/A</v>
      </c>
      <c r="L159" s="229" t="e">
        <f>IF(H159=0,0,J159/H159)</f>
        <v>#N/A</v>
      </c>
      <c r="N159" s="2317" t="str">
        <f t="shared" si="37"/>
        <v xml:space="preserve"> </v>
      </c>
    </row>
    <row r="160" spans="1:16" ht="13.5" x14ac:dyDescent="0.25">
      <c r="A160" s="638">
        <v>2090</v>
      </c>
      <c r="B160" s="2890" t="s">
        <v>4886</v>
      </c>
      <c r="C160" s="2890"/>
      <c r="D160" s="2890"/>
      <c r="E160" s="2890"/>
      <c r="F160" s="341">
        <f>'905'!F160</f>
        <v>0</v>
      </c>
      <c r="H160" s="341" t="e">
        <f t="shared" si="36"/>
        <v>#N/A</v>
      </c>
      <c r="J160" s="228" t="e">
        <f t="shared" si="44"/>
        <v>#N/A</v>
      </c>
      <c r="L160" s="229" t="e">
        <f t="shared" si="45"/>
        <v>#N/A</v>
      </c>
      <c r="N160" s="2317" t="str">
        <f t="shared" si="37"/>
        <v xml:space="preserve"> </v>
      </c>
    </row>
    <row r="161" spans="1:15" ht="13.5" x14ac:dyDescent="0.25">
      <c r="A161" s="638">
        <v>2098</v>
      </c>
      <c r="B161" s="2890" t="s">
        <v>4887</v>
      </c>
      <c r="C161" s="2890"/>
      <c r="D161" s="2890"/>
      <c r="E161" s="2890"/>
      <c r="F161" s="341">
        <f>'905'!F161</f>
        <v>0</v>
      </c>
      <c r="H161" s="341" t="e">
        <f t="shared" si="36"/>
        <v>#N/A</v>
      </c>
      <c r="J161" s="228" t="e">
        <f>F161-H161</f>
        <v>#N/A</v>
      </c>
      <c r="L161" s="229" t="e">
        <f>IF(H161=0,0,J161/H161)</f>
        <v>#N/A</v>
      </c>
      <c r="N161" s="2317" t="str">
        <f t="shared" si="37"/>
        <v xml:space="preserve"> </v>
      </c>
    </row>
    <row r="162" spans="1:15" ht="13.5" x14ac:dyDescent="0.25">
      <c r="A162" s="638">
        <v>2099</v>
      </c>
      <c r="B162" s="2890" t="s">
        <v>1073</v>
      </c>
      <c r="C162" s="2890"/>
      <c r="D162" s="2380"/>
      <c r="E162" s="2380"/>
      <c r="F162" s="341">
        <f>'905'!F162</f>
        <v>0</v>
      </c>
      <c r="H162" s="341" t="e">
        <f t="shared" si="36"/>
        <v>#N/A</v>
      </c>
      <c r="J162" s="228" t="e">
        <f>F162-H162</f>
        <v>#N/A</v>
      </c>
      <c r="L162" s="229" t="e">
        <f>IF(H162=0,0,J162/H162)</f>
        <v>#N/A</v>
      </c>
      <c r="N162" s="2317" t="str">
        <f t="shared" si="37"/>
        <v xml:space="preserve"> </v>
      </c>
      <c r="O162" s="971"/>
    </row>
    <row r="163" spans="1:15" ht="13.5" x14ac:dyDescent="0.25">
      <c r="A163" s="638">
        <v>2095</v>
      </c>
      <c r="B163" s="2890" t="s">
        <v>1074</v>
      </c>
      <c r="C163" s="2890"/>
      <c r="D163" s="2380"/>
      <c r="E163" s="2380"/>
      <c r="F163" s="341">
        <f>'905'!F163</f>
        <v>0</v>
      </c>
      <c r="H163" s="341" t="e">
        <f t="shared" si="36"/>
        <v>#N/A</v>
      </c>
      <c r="J163" s="228" t="e">
        <f t="shared" si="44"/>
        <v>#N/A</v>
      </c>
      <c r="L163" s="229" t="e">
        <f t="shared" si="45"/>
        <v>#N/A</v>
      </c>
      <c r="N163" s="2317" t="str">
        <f t="shared" si="37"/>
        <v xml:space="preserve"> </v>
      </c>
    </row>
    <row r="164" spans="1:15" ht="13.5" x14ac:dyDescent="0.25">
      <c r="A164" s="638">
        <v>2096</v>
      </c>
      <c r="B164" s="2890" t="s">
        <v>4888</v>
      </c>
      <c r="C164" s="2890"/>
      <c r="D164" s="2380"/>
      <c r="E164" s="2380"/>
      <c r="F164" s="341">
        <f>'905'!F164</f>
        <v>0</v>
      </c>
      <c r="H164" s="341" t="e">
        <f t="shared" si="36"/>
        <v>#N/A</v>
      </c>
      <c r="J164" s="228" t="e">
        <f t="shared" si="44"/>
        <v>#N/A</v>
      </c>
      <c r="L164" s="229" t="e">
        <f t="shared" si="45"/>
        <v>#N/A</v>
      </c>
      <c r="N164" s="2317" t="str">
        <f t="shared" si="37"/>
        <v xml:space="preserve"> </v>
      </c>
    </row>
    <row r="165" spans="1:15" ht="13.5" x14ac:dyDescent="0.25">
      <c r="B165" s="2890" t="s">
        <v>4889</v>
      </c>
      <c r="C165" s="2890"/>
      <c r="D165" s="2380"/>
      <c r="E165" s="2380"/>
      <c r="F165" s="217">
        <f>SUM(F141:F164)</f>
        <v>0</v>
      </c>
      <c r="H165" s="217" t="e">
        <f>SUM(H141:H164)</f>
        <v>#N/A</v>
      </c>
      <c r="J165" s="228" t="e">
        <f t="shared" si="38"/>
        <v>#N/A</v>
      </c>
      <c r="L165" s="229" t="e">
        <f t="shared" si="39"/>
        <v>#N/A</v>
      </c>
      <c r="N165" s="2319"/>
    </row>
    <row r="166" spans="1:15" ht="5.25" customHeight="1" x14ac:dyDescent="0.25">
      <c r="B166" s="2380"/>
      <c r="C166" s="2380"/>
      <c r="D166" s="2380"/>
      <c r="E166" s="2380"/>
      <c r="F166" s="219"/>
      <c r="H166" s="219"/>
      <c r="J166" s="228"/>
      <c r="L166" s="229"/>
    </row>
    <row r="167" spans="1:15" ht="13.5" x14ac:dyDescent="0.25">
      <c r="B167" s="2890" t="s">
        <v>1774</v>
      </c>
      <c r="C167" s="2890"/>
      <c r="D167" s="2380"/>
      <c r="E167" s="2380"/>
      <c r="F167" s="219">
        <f>F138+F165</f>
        <v>0</v>
      </c>
      <c r="H167" s="219" t="e">
        <f>H138+H165</f>
        <v>#N/A</v>
      </c>
      <c r="J167" s="228" t="e">
        <f t="shared" si="38"/>
        <v>#N/A</v>
      </c>
      <c r="L167" s="229" t="e">
        <f t="shared" si="39"/>
        <v>#N/A</v>
      </c>
      <c r="N167" s="2324"/>
    </row>
    <row r="168" spans="1:15" ht="5.25" customHeight="1" x14ac:dyDescent="0.25">
      <c r="B168" s="2380"/>
      <c r="C168" s="2380"/>
      <c r="D168" s="2380"/>
      <c r="E168" s="2380"/>
      <c r="F168" s="346"/>
      <c r="H168" s="346"/>
      <c r="J168" s="228"/>
      <c r="L168" s="229"/>
    </row>
    <row r="169" spans="1:15" ht="12.75" customHeight="1" x14ac:dyDescent="0.25">
      <c r="B169" s="2442" t="s">
        <v>1996</v>
      </c>
      <c r="F169"/>
      <c r="H169" s="346"/>
      <c r="J169" s="228"/>
      <c r="L169" s="229"/>
    </row>
    <row r="170" spans="1:15" ht="13.5" x14ac:dyDescent="0.25">
      <c r="A170" s="170">
        <v>1764</v>
      </c>
      <c r="B170" s="2890" t="s">
        <v>2853</v>
      </c>
      <c r="C170" s="2890"/>
      <c r="D170" s="2890"/>
      <c r="E170" s="2890"/>
      <c r="F170" s="341">
        <f>'905'!F170</f>
        <v>0</v>
      </c>
      <c r="G170" s="2380"/>
      <c r="H170" s="341" t="e">
        <f t="shared" ref="H170:H179" si="46">INDEX(PY905Data,MATCH($A170,PY905Row,0),MATCH($C$5,PY905Col,0))</f>
        <v>#N/A</v>
      </c>
      <c r="J170" s="228" t="e">
        <f t="shared" ref="J170:J180" si="47">F170-H170</f>
        <v>#N/A</v>
      </c>
      <c r="L170" s="229" t="e">
        <f t="shared" ref="L170:L180" si="48">IF(H170=0,0,J170/H170)</f>
        <v>#N/A</v>
      </c>
      <c r="N170" s="2317" t="str">
        <f t="shared" ref="N170:N179" si="49">IF($F$88=0," ",IF(AND(ABS(J170)&gt;$L$3,ABS(L170)&gt;$L$2),"C",IF(AND(ABS(F170+H170)&gt;0,H170=0,ABS(J170)&gt;$L$3),"C"," ")))</f>
        <v xml:space="preserve"> </v>
      </c>
    </row>
    <row r="171" spans="1:15" ht="13.5" x14ac:dyDescent="0.25">
      <c r="A171" s="170">
        <v>2026</v>
      </c>
      <c r="B171" s="2890" t="s">
        <v>4890</v>
      </c>
      <c r="C171" s="2890"/>
      <c r="D171" s="2890"/>
      <c r="E171" s="2890"/>
      <c r="F171" s="341">
        <f>'905'!F171</f>
        <v>0</v>
      </c>
      <c r="G171" s="2380"/>
      <c r="H171" s="341" t="e">
        <f t="shared" si="46"/>
        <v>#N/A</v>
      </c>
      <c r="J171" s="228" t="e">
        <f t="shared" si="47"/>
        <v>#N/A</v>
      </c>
      <c r="L171" s="229" t="e">
        <f t="shared" si="48"/>
        <v>#N/A</v>
      </c>
      <c r="N171" s="2317" t="str">
        <f t="shared" si="49"/>
        <v xml:space="preserve"> </v>
      </c>
    </row>
    <row r="172" spans="1:15" ht="13.5" x14ac:dyDescent="0.25">
      <c r="A172" s="170">
        <v>1766</v>
      </c>
      <c r="B172" s="2890" t="s">
        <v>2855</v>
      </c>
      <c r="C172" s="2890"/>
      <c r="D172" s="2890"/>
      <c r="E172" s="2890"/>
      <c r="F172" s="341">
        <f>'905'!F172</f>
        <v>0</v>
      </c>
      <c r="G172" s="2380"/>
      <c r="H172" s="341" t="e">
        <f t="shared" si="46"/>
        <v>#N/A</v>
      </c>
      <c r="J172" s="228" t="e">
        <f t="shared" si="47"/>
        <v>#N/A</v>
      </c>
      <c r="L172" s="229" t="e">
        <f t="shared" si="48"/>
        <v>#N/A</v>
      </c>
      <c r="N172" s="2317" t="str">
        <f t="shared" si="49"/>
        <v xml:space="preserve"> </v>
      </c>
    </row>
    <row r="173" spans="1:15" ht="13.5" x14ac:dyDescent="0.25">
      <c r="A173" s="170">
        <v>1768</v>
      </c>
      <c r="B173" s="2890" t="s">
        <v>2223</v>
      </c>
      <c r="C173" s="2890"/>
      <c r="D173" s="2890"/>
      <c r="E173" s="2890"/>
      <c r="F173" s="341">
        <f>'905'!F173</f>
        <v>0</v>
      </c>
      <c r="G173" s="2380"/>
      <c r="H173" s="341" t="e">
        <f t="shared" si="46"/>
        <v>#N/A</v>
      </c>
      <c r="J173" s="228" t="e">
        <f>F173-H173</f>
        <v>#N/A</v>
      </c>
      <c r="L173" s="229" t="e">
        <f>IF(H173=0,0,J173/H173)</f>
        <v>#N/A</v>
      </c>
      <c r="N173" s="2317" t="str">
        <f t="shared" si="49"/>
        <v xml:space="preserve"> </v>
      </c>
    </row>
    <row r="174" spans="1:15" ht="13.5" x14ac:dyDescent="0.25">
      <c r="A174" s="170">
        <v>1765</v>
      </c>
      <c r="B174" s="2890" t="s">
        <v>2224</v>
      </c>
      <c r="C174" s="2890"/>
      <c r="D174" s="2890"/>
      <c r="E174" s="2890"/>
      <c r="F174" s="341">
        <f>'905'!F174</f>
        <v>0</v>
      </c>
      <c r="G174" s="2380"/>
      <c r="H174" s="341" t="e">
        <f t="shared" si="46"/>
        <v>#N/A</v>
      </c>
      <c r="J174" s="228" t="e">
        <f>F174-H174</f>
        <v>#N/A</v>
      </c>
      <c r="L174" s="229" t="e">
        <f>IF(H174=0,0,J174/H174)</f>
        <v>#N/A</v>
      </c>
      <c r="N174" s="2317" t="str">
        <f t="shared" si="49"/>
        <v xml:space="preserve"> </v>
      </c>
    </row>
    <row r="175" spans="1:15" ht="13.5" x14ac:dyDescent="0.25">
      <c r="A175" s="170">
        <v>1772</v>
      </c>
      <c r="B175" s="2890" t="s">
        <v>2856</v>
      </c>
      <c r="C175" s="2890"/>
      <c r="D175" s="2890"/>
      <c r="E175" s="2890"/>
      <c r="F175" s="341">
        <f>'905'!F175</f>
        <v>0</v>
      </c>
      <c r="G175" s="2380"/>
      <c r="H175" s="341" t="e">
        <f t="shared" si="46"/>
        <v>#N/A</v>
      </c>
      <c r="J175" s="228" t="e">
        <f>F175-H175</f>
        <v>#N/A</v>
      </c>
      <c r="L175" s="229" t="e">
        <f>IF(H175=0,0,J175/H175)</f>
        <v>#N/A</v>
      </c>
      <c r="N175" s="2317" t="str">
        <f t="shared" si="49"/>
        <v xml:space="preserve"> </v>
      </c>
      <c r="O175" s="971"/>
    </row>
    <row r="176" spans="1:15" ht="13.5" x14ac:dyDescent="0.25">
      <c r="A176" s="170">
        <v>1767</v>
      </c>
      <c r="B176" s="2890" t="s">
        <v>2225</v>
      </c>
      <c r="C176" s="2890"/>
      <c r="D176" s="2890"/>
      <c r="E176" s="2890"/>
      <c r="F176" s="341">
        <f>'905'!F176</f>
        <v>0</v>
      </c>
      <c r="G176" s="2380"/>
      <c r="H176" s="341" t="e">
        <f t="shared" si="46"/>
        <v>#N/A</v>
      </c>
      <c r="J176" s="228" t="e">
        <f>F176-H176</f>
        <v>#N/A</v>
      </c>
      <c r="L176" s="229" t="e">
        <f>IF(H176=0,0,J176/H176)</f>
        <v>#N/A</v>
      </c>
      <c r="N176" s="2317" t="str">
        <f t="shared" si="49"/>
        <v xml:space="preserve"> </v>
      </c>
    </row>
    <row r="177" spans="1:15" ht="13.5" x14ac:dyDescent="0.25">
      <c r="A177" s="170">
        <v>1771</v>
      </c>
      <c r="B177" s="2890" t="s">
        <v>2226</v>
      </c>
      <c r="C177" s="2890"/>
      <c r="D177" s="2890"/>
      <c r="E177" s="2890"/>
      <c r="F177" s="341">
        <f>'905'!F177</f>
        <v>0</v>
      </c>
      <c r="G177" s="2380"/>
      <c r="H177" s="341" t="e">
        <f t="shared" si="46"/>
        <v>#N/A</v>
      </c>
      <c r="J177" s="228" t="e">
        <f t="shared" si="47"/>
        <v>#N/A</v>
      </c>
      <c r="L177" s="229" t="e">
        <f t="shared" si="48"/>
        <v>#N/A</v>
      </c>
      <c r="N177" s="2317" t="str">
        <f t="shared" si="49"/>
        <v xml:space="preserve"> </v>
      </c>
      <c r="O177" s="971"/>
    </row>
    <row r="178" spans="1:15" ht="13.5" x14ac:dyDescent="0.25">
      <c r="A178" s="170">
        <v>1773</v>
      </c>
      <c r="B178" s="2890" t="s">
        <v>2857</v>
      </c>
      <c r="C178" s="2890"/>
      <c r="D178" s="2890"/>
      <c r="E178" s="2890"/>
      <c r="F178" s="341">
        <f>'905'!F178</f>
        <v>0</v>
      </c>
      <c r="G178" s="2380"/>
      <c r="H178" s="341" t="e">
        <f t="shared" si="46"/>
        <v>#N/A</v>
      </c>
      <c r="J178" s="228" t="e">
        <f t="shared" si="47"/>
        <v>#N/A</v>
      </c>
      <c r="L178" s="229" t="e">
        <f t="shared" si="48"/>
        <v>#N/A</v>
      </c>
      <c r="N178" s="2317" t="str">
        <f t="shared" si="49"/>
        <v xml:space="preserve"> </v>
      </c>
      <c r="O178" s="971"/>
    </row>
    <row r="179" spans="1:15" ht="13.5" x14ac:dyDescent="0.25">
      <c r="A179" s="170">
        <v>1769</v>
      </c>
      <c r="B179" s="2890" t="s">
        <v>1998</v>
      </c>
      <c r="C179" s="2890"/>
      <c r="D179" s="2890"/>
      <c r="E179" s="2890"/>
      <c r="F179" s="343">
        <f>'905'!F179</f>
        <v>0</v>
      </c>
      <c r="G179" s="2380"/>
      <c r="H179" s="343" t="e">
        <f t="shared" si="46"/>
        <v>#N/A</v>
      </c>
      <c r="J179" s="228" t="e">
        <f t="shared" si="47"/>
        <v>#N/A</v>
      </c>
      <c r="L179" s="229" t="e">
        <f t="shared" si="48"/>
        <v>#N/A</v>
      </c>
      <c r="N179" s="2317" t="str">
        <f t="shared" si="49"/>
        <v xml:space="preserve"> </v>
      </c>
    </row>
    <row r="180" spans="1:15" ht="13.5" x14ac:dyDescent="0.25">
      <c r="B180" s="2890" t="s">
        <v>2858</v>
      </c>
      <c r="C180" s="2890"/>
      <c r="D180" s="2380"/>
      <c r="E180" s="2380"/>
      <c r="F180" s="219">
        <f>SUM(F170:F179)</f>
        <v>0</v>
      </c>
      <c r="G180" s="2380"/>
      <c r="H180" s="219" t="e">
        <f>SUM(H170:H179)</f>
        <v>#N/A</v>
      </c>
      <c r="J180" s="228" t="e">
        <f t="shared" si="47"/>
        <v>#N/A</v>
      </c>
      <c r="L180" s="229" t="e">
        <f t="shared" si="48"/>
        <v>#N/A</v>
      </c>
    </row>
    <row r="181" spans="1:15" ht="8.25" customHeight="1" thickBot="1" x14ac:dyDescent="0.3">
      <c r="B181" s="2430"/>
      <c r="C181" s="2430"/>
      <c r="D181" s="2430"/>
      <c r="E181" s="2430"/>
      <c r="F181" s="2430"/>
      <c r="G181" s="2430"/>
      <c r="J181" s="228"/>
      <c r="L181" s="229"/>
    </row>
    <row r="182" spans="1:15" ht="13.5" thickBot="1" x14ac:dyDescent="0.25">
      <c r="B182" s="213" t="s">
        <v>1673</v>
      </c>
      <c r="F182" s="934" t="s">
        <v>4891</v>
      </c>
      <c r="G182" s="935"/>
      <c r="H182" s="936"/>
      <c r="I182" s="935"/>
      <c r="J182" s="935"/>
      <c r="K182" s="935"/>
      <c r="L182" s="937"/>
    </row>
    <row r="183" spans="1:15" ht="13.5" x14ac:dyDescent="0.25">
      <c r="A183" s="170">
        <v>2130</v>
      </c>
      <c r="B183" s="2890" t="s">
        <v>4892</v>
      </c>
      <c r="C183" s="2890"/>
      <c r="D183" s="2380"/>
      <c r="E183" s="2380"/>
      <c r="F183" s="341">
        <f>'905'!F183</f>
        <v>0</v>
      </c>
      <c r="H183" s="341" t="e">
        <f>INDEX(PY905Data,MATCH($A183,PY905Row,0),MATCH($C$5,PY905Col,0))</f>
        <v>#N/A</v>
      </c>
      <c r="J183" s="228" t="e">
        <f>F183-H183</f>
        <v>#N/A</v>
      </c>
      <c r="L183" s="229" t="e">
        <f>IF(H183=0,0,J183/H183)</f>
        <v>#N/A</v>
      </c>
    </row>
    <row r="184" spans="1:15" ht="13.5" x14ac:dyDescent="0.25">
      <c r="A184" s="166"/>
      <c r="B184" s="170" t="s">
        <v>4893</v>
      </c>
      <c r="C184" s="170"/>
      <c r="D184" s="170"/>
      <c r="E184" s="170"/>
      <c r="J184" s="228"/>
      <c r="L184" s="229"/>
    </row>
    <row r="185" spans="1:15" ht="13.5" x14ac:dyDescent="0.25">
      <c r="A185" s="170">
        <v>2140</v>
      </c>
      <c r="B185" s="2890" t="s">
        <v>4894</v>
      </c>
      <c r="C185" s="2890"/>
      <c r="D185" s="2380"/>
      <c r="E185" s="2380"/>
      <c r="F185" s="341">
        <f>'905'!F185</f>
        <v>0</v>
      </c>
      <c r="H185" s="341" t="e">
        <f>INDEX(PY905Data,MATCH($A185,PY905Row,0),MATCH($C$5,PY905Col,0))</f>
        <v>#N/A</v>
      </c>
      <c r="J185" s="228" t="e">
        <f>F185-H185</f>
        <v>#N/A</v>
      </c>
      <c r="L185" s="229" t="e">
        <f>IF(H185=0,0,J185/H185)</f>
        <v>#N/A</v>
      </c>
    </row>
    <row r="186" spans="1:15" ht="13.5" x14ac:dyDescent="0.25">
      <c r="A186" s="170">
        <v>2141</v>
      </c>
      <c r="B186" s="2890" t="s">
        <v>4895</v>
      </c>
      <c r="C186" s="2890"/>
      <c r="D186" s="2380"/>
      <c r="E186" s="2380"/>
      <c r="F186" s="341">
        <f>'905'!F186</f>
        <v>0</v>
      </c>
      <c r="H186" s="341" t="e">
        <f>INDEX(PY905Data,MATCH($A186,PY905Row,0),MATCH($C$5,PY905Col,0))</f>
        <v>#N/A</v>
      </c>
      <c r="J186" s="228" t="e">
        <f>F186-H186</f>
        <v>#N/A</v>
      </c>
      <c r="L186" s="229" t="e">
        <f>IF(H186=0,0,J186/H186)</f>
        <v>#N/A</v>
      </c>
    </row>
    <row r="187" spans="1:15" ht="13.5" x14ac:dyDescent="0.25">
      <c r="A187" s="170">
        <v>2142</v>
      </c>
      <c r="B187" s="2890" t="s">
        <v>4896</v>
      </c>
      <c r="C187" s="2890"/>
      <c r="D187" s="2380"/>
      <c r="E187" s="2380"/>
      <c r="F187" s="341">
        <f>'905'!F187</f>
        <v>0</v>
      </c>
      <c r="H187" s="341" t="e">
        <f>INDEX(PY905Data,MATCH($A187,PY905Row,0),MATCH($C$5,PY905Col,0))</f>
        <v>#N/A</v>
      </c>
      <c r="J187" s="228" t="e">
        <f>F187-H187</f>
        <v>#N/A</v>
      </c>
      <c r="L187" s="229" t="e">
        <f>IF(H187=0,0,J187/H187)</f>
        <v>#N/A</v>
      </c>
    </row>
    <row r="188" spans="1:15" ht="13.5" x14ac:dyDescent="0.25">
      <c r="A188" s="166"/>
      <c r="B188" s="170" t="s">
        <v>2865</v>
      </c>
      <c r="C188" s="170"/>
      <c r="D188" s="170"/>
      <c r="E188" s="170"/>
      <c r="J188" s="228"/>
      <c r="L188" s="229"/>
    </row>
    <row r="189" spans="1:15" ht="13.5" x14ac:dyDescent="0.25">
      <c r="A189" s="170">
        <v>2150</v>
      </c>
      <c r="B189" s="2890" t="s">
        <v>4894</v>
      </c>
      <c r="C189" s="2890"/>
      <c r="D189" s="2380"/>
      <c r="E189" s="2380"/>
      <c r="F189" s="341">
        <f>'905'!F189</f>
        <v>0</v>
      </c>
      <c r="H189" s="341" t="e">
        <f>INDEX(PY905Data,MATCH($A189,PY905Row,0),MATCH($C$5,PY905Col,0))</f>
        <v>#N/A</v>
      </c>
      <c r="J189" s="228" t="e">
        <f t="shared" ref="J189:J194" si="50">F189-H189</f>
        <v>#N/A</v>
      </c>
      <c r="L189" s="229" t="e">
        <f t="shared" ref="L189:L194" si="51">IF(H189=0,0,J189/H189)</f>
        <v>#N/A</v>
      </c>
    </row>
    <row r="190" spans="1:15" ht="13.5" x14ac:dyDescent="0.25">
      <c r="A190" s="170">
        <v>2151</v>
      </c>
      <c r="B190" s="2890" t="s">
        <v>4895</v>
      </c>
      <c r="C190" s="2890"/>
      <c r="D190" s="2380"/>
      <c r="E190" s="2380"/>
      <c r="F190" s="341">
        <f>'905'!F190</f>
        <v>0</v>
      </c>
      <c r="H190" s="341" t="e">
        <f>INDEX(PY905Data,MATCH($A190,PY905Row,0),MATCH($C$5,PY905Col,0))</f>
        <v>#N/A</v>
      </c>
      <c r="J190" s="228" t="e">
        <f t="shared" si="50"/>
        <v>#N/A</v>
      </c>
      <c r="L190" s="229" t="e">
        <f t="shared" si="51"/>
        <v>#N/A</v>
      </c>
    </row>
    <row r="191" spans="1:15" ht="13.5" x14ac:dyDescent="0.25">
      <c r="A191" s="170">
        <v>2152</v>
      </c>
      <c r="B191" s="2890" t="s">
        <v>4896</v>
      </c>
      <c r="C191" s="2890"/>
      <c r="D191" s="2380"/>
      <c r="E191" s="2380"/>
      <c r="F191" s="341">
        <f>'905'!F191</f>
        <v>0</v>
      </c>
      <c r="H191" s="341" t="e">
        <f>INDEX(PY905Data,MATCH($A191,PY905Row,0),MATCH($C$5,PY905Col,0))</f>
        <v>#N/A</v>
      </c>
      <c r="J191" s="228" t="e">
        <f t="shared" si="50"/>
        <v>#N/A</v>
      </c>
      <c r="L191" s="229" t="e">
        <f t="shared" si="51"/>
        <v>#N/A</v>
      </c>
    </row>
    <row r="192" spans="1:15" ht="13.5" x14ac:dyDescent="0.25">
      <c r="A192" s="170">
        <v>0</v>
      </c>
      <c r="B192" s="3119" t="s">
        <v>4897</v>
      </c>
      <c r="C192" s="3119"/>
      <c r="D192" s="2380"/>
      <c r="E192" s="2380"/>
      <c r="F192" s="341">
        <f>'905'!F192</f>
        <v>0</v>
      </c>
      <c r="H192" s="341" t="e">
        <f>INDEX(PY905Data,MATCH($A192,PY905Row,0),MATCH($C$5,PY905Col,0))</f>
        <v>#N/A</v>
      </c>
      <c r="J192" s="228" t="e">
        <f t="shared" si="50"/>
        <v>#N/A</v>
      </c>
      <c r="L192" s="229" t="e">
        <f t="shared" si="51"/>
        <v>#N/A</v>
      </c>
    </row>
    <row r="193" spans="1:14" ht="13.5" x14ac:dyDescent="0.25">
      <c r="A193" s="170">
        <v>2180</v>
      </c>
      <c r="B193" s="2890" t="s">
        <v>1640</v>
      </c>
      <c r="C193" s="2890"/>
      <c r="D193" s="2380"/>
      <c r="E193" s="2380"/>
      <c r="F193" s="341">
        <f>'905'!F193</f>
        <v>0</v>
      </c>
      <c r="H193" s="341" t="e">
        <f>INDEX(PY905Data,MATCH($A193,PY905Row,0),MATCH($C$5,PY905Col,0))</f>
        <v>#N/A</v>
      </c>
      <c r="J193" s="228" t="e">
        <f t="shared" si="50"/>
        <v>#N/A</v>
      </c>
      <c r="L193" s="229" t="e">
        <f t="shared" si="51"/>
        <v>#N/A</v>
      </c>
    </row>
    <row r="194" spans="1:14" ht="14.25" thickBot="1" x14ac:dyDescent="0.3">
      <c r="B194" s="2890" t="s">
        <v>1641</v>
      </c>
      <c r="C194" s="2890"/>
      <c r="D194" s="2380"/>
      <c r="E194" s="2380"/>
      <c r="F194" s="220">
        <f>SUM(F183:F193)</f>
        <v>0</v>
      </c>
      <c r="H194" s="220" t="e">
        <f>SUM(H183:H193)</f>
        <v>#N/A</v>
      </c>
      <c r="J194" s="228" t="e">
        <f t="shared" si="50"/>
        <v>#N/A</v>
      </c>
      <c r="L194" s="229" t="e">
        <f t="shared" si="51"/>
        <v>#N/A</v>
      </c>
    </row>
    <row r="195" spans="1:14" ht="12.75" customHeight="1" thickTop="1" x14ac:dyDescent="0.25">
      <c r="B195" s="2380"/>
      <c r="C195" s="2380"/>
      <c r="D195" s="2380"/>
      <c r="E195" s="2380"/>
      <c r="J195" s="228"/>
      <c r="L195" s="229"/>
    </row>
    <row r="196" spans="1:14" x14ac:dyDescent="0.2">
      <c r="B196" s="170" t="s">
        <v>4898</v>
      </c>
      <c r="C196" s="170"/>
      <c r="D196" s="170"/>
      <c r="E196" s="170"/>
      <c r="F196" s="430" t="str">
        <f>IF(ROUND(F88+F98-F167-F180,2)=F194, "In Bal.","Out of Bal.")</f>
        <v>In Bal.</v>
      </c>
      <c r="H196" s="430" t="e">
        <f>IF(ROUND(H88+H98-H167-H180,2)=H194, "In Bal.","Out of Bal.")</f>
        <v>#N/A</v>
      </c>
    </row>
    <row r="197" spans="1:14" x14ac:dyDescent="0.2">
      <c r="B197" s="170" t="s">
        <v>2869</v>
      </c>
      <c r="C197" s="170"/>
      <c r="D197" s="170"/>
      <c r="E197" s="170"/>
    </row>
    <row r="198" spans="1:14" x14ac:dyDescent="0.2">
      <c r="B198" s="735" t="s">
        <v>4899</v>
      </c>
      <c r="C198" s="344"/>
      <c r="D198" s="344"/>
      <c r="E198" s="344"/>
      <c r="F198" s="345"/>
    </row>
    <row r="199" spans="1:14" x14ac:dyDescent="0.2">
      <c r="B199" s="222" t="s">
        <v>4900</v>
      </c>
      <c r="C199" s="222"/>
      <c r="D199" s="222"/>
      <c r="E199" s="222"/>
      <c r="F199" s="734" t="str">
        <f>CONCATENATE("FYE ",+TEXT(Data!$A$2,"mmmm d,yyyy"))</f>
        <v>FYE June 30,2024</v>
      </c>
      <c r="H199" s="734" t="str">
        <f>CONCATENATE("FYE ",+TEXT(Data!$A$4,"mmmm d,yyyy"))</f>
        <v>FYE June 30,2023</v>
      </c>
    </row>
    <row r="200" spans="1:14" ht="13.5" x14ac:dyDescent="0.25">
      <c r="A200" s="170">
        <v>2310</v>
      </c>
      <c r="B200" s="2890" t="s">
        <v>2872</v>
      </c>
      <c r="C200" s="2890"/>
      <c r="D200" s="2380"/>
      <c r="E200" s="2380"/>
      <c r="F200" s="341">
        <f>'905'!F202</f>
        <v>0</v>
      </c>
      <c r="H200" s="341" t="e">
        <f t="shared" ref="H200:H210" si="52">INDEX(PY905Data,MATCH($A200,PY905Row,0),MATCH($C$5,PY905Col,0))</f>
        <v>#N/A</v>
      </c>
      <c r="J200" s="228" t="e">
        <f t="shared" ref="J200:J211" si="53">F200-H200</f>
        <v>#N/A</v>
      </c>
      <c r="L200" s="229" t="e">
        <f t="shared" ref="L200:L211" si="54">IF(H200=0,0,J200/H200)</f>
        <v>#N/A</v>
      </c>
      <c r="N200" s="2317" t="str">
        <f t="shared" ref="N200:N210" si="55">IF($F$88=0," ",IF(AND(ABS(J200)&gt;$L$3,ABS(L200)&gt;$L$2),"C",IF(AND(ABS(F200+H200)&gt;0,H200=0,ABS(J200)&gt;$L$3),"C"," ")))</f>
        <v xml:space="preserve"> </v>
      </c>
    </row>
    <row r="201" spans="1:14" ht="13.5" x14ac:dyDescent="0.25">
      <c r="A201" s="170">
        <v>2320</v>
      </c>
      <c r="B201" s="2890" t="s">
        <v>2873</v>
      </c>
      <c r="C201" s="2890"/>
      <c r="D201" s="2380"/>
      <c r="E201" s="2380"/>
      <c r="F201" s="341">
        <f>'905'!F203</f>
        <v>0</v>
      </c>
      <c r="H201" s="341" t="e">
        <f t="shared" si="52"/>
        <v>#N/A</v>
      </c>
      <c r="J201" s="228" t="e">
        <f t="shared" si="53"/>
        <v>#N/A</v>
      </c>
      <c r="L201" s="229" t="e">
        <f t="shared" si="54"/>
        <v>#N/A</v>
      </c>
      <c r="N201" s="2317" t="str">
        <f t="shared" si="55"/>
        <v xml:space="preserve"> </v>
      </c>
    </row>
    <row r="202" spans="1:14" ht="13.5" x14ac:dyDescent="0.25">
      <c r="A202" s="170">
        <v>2330</v>
      </c>
      <c r="B202" s="2890" t="s">
        <v>2874</v>
      </c>
      <c r="C202" s="2890"/>
      <c r="D202" s="2380"/>
      <c r="E202" s="2380"/>
      <c r="F202" s="341">
        <f>'905'!F204</f>
        <v>0</v>
      </c>
      <c r="H202" s="341" t="e">
        <f t="shared" si="52"/>
        <v>#N/A</v>
      </c>
      <c r="J202" s="228" t="e">
        <f>F202-H202</f>
        <v>#N/A</v>
      </c>
      <c r="L202" s="229" t="e">
        <f>IF(H202=0,0,J202/H202)</f>
        <v>#N/A</v>
      </c>
      <c r="N202" s="2317" t="str">
        <f t="shared" si="55"/>
        <v xml:space="preserve"> </v>
      </c>
    </row>
    <row r="203" spans="1:14" ht="13.5" x14ac:dyDescent="0.25">
      <c r="A203" s="170">
        <v>2350</v>
      </c>
      <c r="B203" s="2890" t="s">
        <v>2875</v>
      </c>
      <c r="C203" s="2890"/>
      <c r="D203" s="2380"/>
      <c r="E203" s="2380"/>
      <c r="F203" s="341">
        <f>'905'!F205</f>
        <v>0</v>
      </c>
      <c r="H203" s="341" t="e">
        <f t="shared" si="52"/>
        <v>#N/A</v>
      </c>
      <c r="J203" s="228" t="e">
        <f>F203-H203</f>
        <v>#N/A</v>
      </c>
      <c r="L203" s="229" t="e">
        <f>IF(H203=0,0,J203/H203)</f>
        <v>#N/A</v>
      </c>
      <c r="N203" s="2317" t="str">
        <f t="shared" si="55"/>
        <v xml:space="preserve"> </v>
      </c>
    </row>
    <row r="204" spans="1:14" ht="13.5" x14ac:dyDescent="0.25">
      <c r="A204" s="170">
        <v>2370</v>
      </c>
      <c r="B204" s="2890" t="s">
        <v>2876</v>
      </c>
      <c r="C204" s="2890"/>
      <c r="D204" s="2380"/>
      <c r="E204" s="2380"/>
      <c r="F204" s="341">
        <f>'905'!F206</f>
        <v>0</v>
      </c>
      <c r="H204" s="341" t="e">
        <f t="shared" si="52"/>
        <v>#N/A</v>
      </c>
      <c r="J204" s="228" t="e">
        <f t="shared" si="53"/>
        <v>#N/A</v>
      </c>
      <c r="L204" s="229" t="e">
        <f t="shared" si="54"/>
        <v>#N/A</v>
      </c>
      <c r="N204" s="2317" t="str">
        <f t="shared" si="55"/>
        <v xml:space="preserve"> </v>
      </c>
    </row>
    <row r="205" spans="1:14" ht="13.5" x14ac:dyDescent="0.25">
      <c r="A205" s="170">
        <v>2390</v>
      </c>
      <c r="B205" s="2890" t="s">
        <v>2002</v>
      </c>
      <c r="C205" s="2890"/>
      <c r="D205" s="2380"/>
      <c r="E205" s="2380"/>
      <c r="F205" s="341">
        <f>'905'!F207</f>
        <v>0</v>
      </c>
      <c r="H205" s="341" t="e">
        <f t="shared" si="52"/>
        <v>#N/A</v>
      </c>
      <c r="J205" s="228" t="e">
        <f t="shared" si="53"/>
        <v>#N/A</v>
      </c>
      <c r="L205" s="229" t="e">
        <f t="shared" si="54"/>
        <v>#N/A</v>
      </c>
      <c r="N205" s="2317" t="str">
        <f t="shared" si="55"/>
        <v xml:space="preserve"> </v>
      </c>
    </row>
    <row r="206" spans="1:14" ht="13.5" x14ac:dyDescent="0.25">
      <c r="A206" s="170">
        <v>2400</v>
      </c>
      <c r="B206" s="2890" t="s">
        <v>2004</v>
      </c>
      <c r="C206" s="2890"/>
      <c r="D206" s="2380"/>
      <c r="E206" s="2380"/>
      <c r="F206" s="341">
        <f>'905'!F208</f>
        <v>0</v>
      </c>
      <c r="H206" s="341" t="e">
        <f t="shared" si="52"/>
        <v>#N/A</v>
      </c>
      <c r="J206" s="228" t="e">
        <f t="shared" si="53"/>
        <v>#N/A</v>
      </c>
      <c r="L206" s="229" t="e">
        <f t="shared" si="54"/>
        <v>#N/A</v>
      </c>
      <c r="N206" s="2317" t="str">
        <f t="shared" si="55"/>
        <v xml:space="preserve"> </v>
      </c>
    </row>
    <row r="207" spans="1:14" ht="13.5" x14ac:dyDescent="0.25">
      <c r="A207" s="170">
        <v>2410</v>
      </c>
      <c r="B207" s="2890" t="s">
        <v>1256</v>
      </c>
      <c r="C207" s="2890"/>
      <c r="D207" s="2380"/>
      <c r="E207" s="2380"/>
      <c r="F207" s="341">
        <f>'905'!F209</f>
        <v>0</v>
      </c>
      <c r="H207" s="341" t="e">
        <f t="shared" si="52"/>
        <v>#N/A</v>
      </c>
      <c r="J207" s="228" t="e">
        <f t="shared" si="53"/>
        <v>#N/A</v>
      </c>
      <c r="L207" s="229" t="e">
        <f t="shared" si="54"/>
        <v>#N/A</v>
      </c>
      <c r="N207" s="2317" t="str">
        <f t="shared" si="55"/>
        <v xml:space="preserve"> </v>
      </c>
    </row>
    <row r="208" spans="1:14" ht="13.5" x14ac:dyDescent="0.25">
      <c r="A208" s="170">
        <v>2420</v>
      </c>
      <c r="B208" s="2890" t="s">
        <v>2880</v>
      </c>
      <c r="C208" s="2890"/>
      <c r="D208" s="2380"/>
      <c r="E208" s="2380"/>
      <c r="F208" s="341">
        <f>'905'!F210</f>
        <v>0</v>
      </c>
      <c r="H208" s="341" t="e">
        <f t="shared" si="52"/>
        <v>#N/A</v>
      </c>
      <c r="J208" s="228" t="e">
        <f t="shared" si="53"/>
        <v>#N/A</v>
      </c>
      <c r="L208" s="229" t="e">
        <f t="shared" si="54"/>
        <v>#N/A</v>
      </c>
      <c r="N208" s="2317" t="str">
        <f t="shared" si="55"/>
        <v xml:space="preserve"> </v>
      </c>
    </row>
    <row r="209" spans="1:14" ht="13.5" x14ac:dyDescent="0.25">
      <c r="A209" s="170">
        <v>2430</v>
      </c>
      <c r="B209" s="2890" t="s">
        <v>1248</v>
      </c>
      <c r="C209" s="2890"/>
      <c r="D209" s="2380"/>
      <c r="E209" s="2380"/>
      <c r="F209" s="341">
        <f>'905'!F211</f>
        <v>0</v>
      </c>
      <c r="H209" s="341" t="e">
        <f t="shared" si="52"/>
        <v>#N/A</v>
      </c>
      <c r="J209" s="228" t="e">
        <f t="shared" si="53"/>
        <v>#N/A</v>
      </c>
      <c r="L209" s="229" t="e">
        <f t="shared" si="54"/>
        <v>#N/A</v>
      </c>
      <c r="N209" s="2317" t="str">
        <f t="shared" si="55"/>
        <v xml:space="preserve"> </v>
      </c>
    </row>
    <row r="210" spans="1:14" ht="13.5" x14ac:dyDescent="0.25">
      <c r="A210" s="170">
        <v>2450</v>
      </c>
      <c r="B210" s="2890" t="s">
        <v>2006</v>
      </c>
      <c r="C210" s="2890"/>
      <c r="D210" s="2380"/>
      <c r="E210" s="2380"/>
      <c r="F210" s="341">
        <f>'905'!F212</f>
        <v>0</v>
      </c>
      <c r="H210" s="341" t="e">
        <f t="shared" si="52"/>
        <v>#N/A</v>
      </c>
      <c r="J210" s="228" t="e">
        <f t="shared" si="53"/>
        <v>#N/A</v>
      </c>
      <c r="L210" s="229" t="e">
        <f t="shared" si="54"/>
        <v>#N/A</v>
      </c>
      <c r="N210" s="2317" t="str">
        <f t="shared" si="55"/>
        <v xml:space="preserve"> </v>
      </c>
    </row>
    <row r="211" spans="1:14" ht="13.5" x14ac:dyDescent="0.25">
      <c r="A211" s="170"/>
      <c r="B211" s="2890" t="s">
        <v>4901</v>
      </c>
      <c r="C211" s="2890"/>
      <c r="D211" s="2380"/>
      <c r="E211" s="2380"/>
      <c r="F211" s="217">
        <f>SUM(F200:F210)</f>
        <v>0</v>
      </c>
      <c r="H211" s="217" t="e">
        <f>SUM(H200:H210)</f>
        <v>#N/A</v>
      </c>
      <c r="J211" s="228" t="e">
        <f t="shared" si="53"/>
        <v>#N/A</v>
      </c>
      <c r="L211" s="229" t="e">
        <f t="shared" si="54"/>
        <v>#N/A</v>
      </c>
    </row>
    <row r="212" spans="1:14" ht="7.5" customHeight="1" x14ac:dyDescent="0.25">
      <c r="B212" s="2380"/>
      <c r="C212" s="2380"/>
      <c r="D212" s="2380"/>
      <c r="E212" s="2380"/>
      <c r="F212" s="346"/>
      <c r="H212" s="346"/>
      <c r="J212" s="228"/>
      <c r="L212" s="229"/>
    </row>
    <row r="213" spans="1:14" ht="13.5" x14ac:dyDescent="0.25">
      <c r="B213" s="222" t="s">
        <v>4902</v>
      </c>
      <c r="C213" s="222"/>
      <c r="D213" s="222"/>
      <c r="E213" s="222"/>
      <c r="J213" s="228"/>
      <c r="L213" s="229"/>
    </row>
    <row r="214" spans="1:14" ht="13.5" x14ac:dyDescent="0.25">
      <c r="A214" s="170">
        <v>2490</v>
      </c>
      <c r="B214" s="3066" t="s">
        <v>2882</v>
      </c>
      <c r="C214" s="3066"/>
      <c r="D214" s="3066"/>
      <c r="E214" s="3066"/>
      <c r="F214" s="341">
        <f>'905'!F216</f>
        <v>0</v>
      </c>
      <c r="H214" s="341" t="e">
        <f t="shared" ref="H214:H221" si="56">INDEX(PY905Data,MATCH($A214,PY905Row,0),MATCH($C$5,PY905Col,0))</f>
        <v>#N/A</v>
      </c>
      <c r="J214" s="228" t="e">
        <f t="shared" ref="J214:J227" si="57">F214-H214</f>
        <v>#N/A</v>
      </c>
      <c r="L214" s="229" t="e">
        <f t="shared" ref="L214:L227" si="58">IF(H214=0,0,J214/H214)</f>
        <v>#N/A</v>
      </c>
      <c r="N214" s="2317" t="str">
        <f t="shared" ref="N214:N221" si="59">IF($F$88=0," ",IF(AND(ABS(J214)&gt;$L$3,ABS(L214)&gt;$L$2),"C",IF(AND(ABS(F214+H214)&gt;0,H214=0,ABS(J214)&gt;$L$3),"C"," ")))</f>
        <v xml:space="preserve"> </v>
      </c>
    </row>
    <row r="215" spans="1:14" ht="13.5" x14ac:dyDescent="0.25">
      <c r="A215" s="170">
        <v>2510</v>
      </c>
      <c r="B215" s="2890" t="s">
        <v>2883</v>
      </c>
      <c r="C215" s="2890"/>
      <c r="D215" s="2380"/>
      <c r="E215" s="2380"/>
      <c r="F215" s="341">
        <f>'905'!F217</f>
        <v>0</v>
      </c>
      <c r="H215" s="341" t="e">
        <f t="shared" si="56"/>
        <v>#N/A</v>
      </c>
      <c r="J215" s="228" t="e">
        <f t="shared" si="57"/>
        <v>#N/A</v>
      </c>
      <c r="L215" s="229" t="e">
        <f t="shared" si="58"/>
        <v>#N/A</v>
      </c>
      <c r="N215" s="2317" t="str">
        <f t="shared" si="59"/>
        <v xml:space="preserve"> </v>
      </c>
    </row>
    <row r="216" spans="1:14" ht="13.5" x14ac:dyDescent="0.25">
      <c r="A216" s="170">
        <v>2520</v>
      </c>
      <c r="B216" s="2890" t="s">
        <v>2010</v>
      </c>
      <c r="C216" s="2890"/>
      <c r="D216" s="2380"/>
      <c r="E216" s="2380"/>
      <c r="F216" s="341">
        <f>'905'!F218</f>
        <v>0</v>
      </c>
      <c r="H216" s="341" t="e">
        <f t="shared" si="56"/>
        <v>#N/A</v>
      </c>
      <c r="J216" s="228" t="e">
        <f t="shared" si="57"/>
        <v>#N/A</v>
      </c>
      <c r="L216" s="229" t="e">
        <f t="shared" si="58"/>
        <v>#N/A</v>
      </c>
      <c r="N216" s="2317" t="str">
        <f t="shared" si="59"/>
        <v xml:space="preserve"> </v>
      </c>
    </row>
    <row r="217" spans="1:14" ht="13.5" x14ac:dyDescent="0.25">
      <c r="A217" s="170">
        <v>2550</v>
      </c>
      <c r="B217" s="2890" t="s">
        <v>2884</v>
      </c>
      <c r="C217" s="2890"/>
      <c r="D217" s="2380"/>
      <c r="E217" s="2380"/>
      <c r="F217" s="341">
        <f>'905'!F219</f>
        <v>0</v>
      </c>
      <c r="H217" s="341" t="e">
        <f t="shared" si="56"/>
        <v>#N/A</v>
      </c>
      <c r="J217" s="228" t="e">
        <f t="shared" si="57"/>
        <v>#N/A</v>
      </c>
      <c r="L217" s="229" t="e">
        <f t="shared" si="58"/>
        <v>#N/A</v>
      </c>
      <c r="N217" s="2317" t="str">
        <f t="shared" si="59"/>
        <v xml:space="preserve"> </v>
      </c>
    </row>
    <row r="218" spans="1:14" ht="13.5" x14ac:dyDescent="0.25">
      <c r="A218" s="170">
        <v>2540</v>
      </c>
      <c r="B218" s="2890" t="s">
        <v>2885</v>
      </c>
      <c r="C218" s="2890"/>
      <c r="D218" s="2380"/>
      <c r="E218" s="2380"/>
      <c r="F218" s="341">
        <f>'905'!F220</f>
        <v>0</v>
      </c>
      <c r="H218" s="341" t="e">
        <f t="shared" si="56"/>
        <v>#N/A</v>
      </c>
      <c r="J218" s="228" t="e">
        <f t="shared" si="57"/>
        <v>#N/A</v>
      </c>
      <c r="L218" s="229" t="e">
        <f t="shared" si="58"/>
        <v>#N/A</v>
      </c>
      <c r="N218" s="2317" t="str">
        <f t="shared" si="59"/>
        <v xml:space="preserve"> </v>
      </c>
    </row>
    <row r="219" spans="1:14" ht="13.5" x14ac:dyDescent="0.25">
      <c r="A219" s="170">
        <v>2560</v>
      </c>
      <c r="B219" s="2890" t="s">
        <v>683</v>
      </c>
      <c r="C219" s="2890"/>
      <c r="D219" s="2380"/>
      <c r="E219" s="2380"/>
      <c r="F219" s="341">
        <f>'905'!F221</f>
        <v>0</v>
      </c>
      <c r="H219" s="341" t="e">
        <f t="shared" si="56"/>
        <v>#N/A</v>
      </c>
      <c r="J219" s="228" t="e">
        <f t="shared" si="57"/>
        <v>#N/A</v>
      </c>
      <c r="L219" s="229" t="e">
        <f t="shared" si="58"/>
        <v>#N/A</v>
      </c>
      <c r="N219" s="2317" t="str">
        <f t="shared" si="59"/>
        <v xml:space="preserve"> </v>
      </c>
    </row>
    <row r="220" spans="1:14" ht="13.5" x14ac:dyDescent="0.25">
      <c r="A220" s="170">
        <v>2570</v>
      </c>
      <c r="B220" s="2890" t="s">
        <v>2886</v>
      </c>
      <c r="C220" s="2890"/>
      <c r="D220" s="2380"/>
      <c r="E220" s="2380"/>
      <c r="F220" s="341">
        <f>'905'!F222</f>
        <v>0</v>
      </c>
      <c r="H220" s="341" t="e">
        <f t="shared" si="56"/>
        <v>#N/A</v>
      </c>
      <c r="J220" s="228" t="e">
        <f t="shared" si="57"/>
        <v>#N/A</v>
      </c>
      <c r="L220" s="229" t="e">
        <f t="shared" si="58"/>
        <v>#N/A</v>
      </c>
      <c r="N220" s="2317" t="str">
        <f t="shared" si="59"/>
        <v xml:space="preserve"> </v>
      </c>
    </row>
    <row r="221" spans="1:14" ht="13.5" x14ac:dyDescent="0.25">
      <c r="A221" s="170">
        <v>2590</v>
      </c>
      <c r="B221" s="2890" t="s">
        <v>2887</v>
      </c>
      <c r="C221" s="2890"/>
      <c r="D221" s="2380"/>
      <c r="E221" s="2380"/>
      <c r="F221" s="341">
        <f>'905'!F223</f>
        <v>0</v>
      </c>
      <c r="H221" s="341" t="e">
        <f t="shared" si="56"/>
        <v>#N/A</v>
      </c>
      <c r="J221" s="228" t="e">
        <f>F221-H221</f>
        <v>#N/A</v>
      </c>
      <c r="L221" s="229" t="e">
        <f>IF(H221=0,0,J221/H221)</f>
        <v>#N/A</v>
      </c>
      <c r="N221" s="2317" t="str">
        <f t="shared" si="59"/>
        <v xml:space="preserve"> </v>
      </c>
    </row>
    <row r="222" spans="1:14" ht="11.25" customHeight="1" x14ac:dyDescent="0.25">
      <c r="A222" s="170"/>
      <c r="B222" s="170" t="s">
        <v>1373</v>
      </c>
      <c r="C222" s="170"/>
      <c r="D222" s="170"/>
      <c r="E222" s="170"/>
      <c r="J222" s="228"/>
      <c r="L222" s="229"/>
    </row>
    <row r="223" spans="1:14" ht="13.5" x14ac:dyDescent="0.25">
      <c r="A223" s="170">
        <v>2610</v>
      </c>
      <c r="B223" s="3116" t="s">
        <v>2888</v>
      </c>
      <c r="C223" s="3116"/>
      <c r="D223" s="2440"/>
      <c r="E223" s="2440"/>
      <c r="F223" s="341">
        <f>'905'!F225</f>
        <v>0</v>
      </c>
      <c r="H223" s="341" t="e">
        <f>INDEX(PY905Data,MATCH($A223,PY905Row,0),MATCH($C$5,PY905Col,0))</f>
        <v>#N/A</v>
      </c>
      <c r="J223" s="228" t="e">
        <f>F223-H223</f>
        <v>#N/A</v>
      </c>
      <c r="L223" s="229" t="e">
        <f>IF(H223=0,0,J223/H223)</f>
        <v>#N/A</v>
      </c>
      <c r="N223" s="2317" t="str">
        <f>IF($F$88=0," ",IF(AND(ABS(J223)&gt;$L$3,ABS(L223)&gt;$L$2),"C",IF(AND(ABS(F223+H223)&gt;0,H223=0,ABS(J223)&gt;$L$3),"C"," ")))</f>
        <v xml:space="preserve"> </v>
      </c>
    </row>
    <row r="224" spans="1:14" ht="13.5" x14ac:dyDescent="0.25">
      <c r="A224" s="170">
        <v>2625</v>
      </c>
      <c r="B224" s="3116" t="s">
        <v>2012</v>
      </c>
      <c r="C224" s="3116"/>
      <c r="D224" s="2440"/>
      <c r="E224" s="2440"/>
      <c r="F224" s="341">
        <f>'905'!F226</f>
        <v>0</v>
      </c>
      <c r="H224" s="341" t="e">
        <f>INDEX(PY905Data,MATCH($A224,PY905Row,0),MATCH($C$5,PY905Col,0))</f>
        <v>#N/A</v>
      </c>
      <c r="J224" s="228" t="e">
        <f>F224-H224</f>
        <v>#N/A</v>
      </c>
      <c r="L224" s="229" t="e">
        <f>IF(H224=0,0,J224/H224)</f>
        <v>#N/A</v>
      </c>
      <c r="N224" s="2317" t="str">
        <f>IF($F$88=0," ",IF(AND(ABS(J224)&gt;$L$3,ABS(L224)&gt;$L$2),"C",IF(AND(ABS(F224+H224)&gt;0,H224=0,ABS(J224)&gt;$L$3),"C"," ")))</f>
        <v xml:space="preserve"> </v>
      </c>
    </row>
    <row r="225" spans="1:21" ht="13.5" x14ac:dyDescent="0.25">
      <c r="A225" s="170">
        <v>2630</v>
      </c>
      <c r="B225" s="3116" t="s">
        <v>2014</v>
      </c>
      <c r="C225" s="3116"/>
      <c r="D225" s="2440"/>
      <c r="E225" s="2440"/>
      <c r="F225" s="343">
        <f>'905'!F227</f>
        <v>0</v>
      </c>
      <c r="H225" s="343" t="e">
        <f>INDEX(PY905Data,MATCH($A225,PY905Row,0),MATCH($C$5,PY905Col,0))</f>
        <v>#N/A</v>
      </c>
      <c r="J225" s="228" t="e">
        <f t="shared" si="57"/>
        <v>#N/A</v>
      </c>
      <c r="L225" s="229" t="e">
        <f t="shared" si="58"/>
        <v>#N/A</v>
      </c>
      <c r="N225" s="2317" t="str">
        <f>IF($F$88=0," ",IF(AND(ABS(J225)&gt;$L$3,ABS(L225)&gt;$L$2),"C",IF(AND(ABS(F225+H225)&gt;0,H225=0,ABS(J225)&gt;$L$3),"C"," ")))</f>
        <v xml:space="preserve"> </v>
      </c>
    </row>
    <row r="226" spans="1:21" ht="13.5" x14ac:dyDescent="0.25">
      <c r="B226" s="2890" t="s">
        <v>4903</v>
      </c>
      <c r="C226" s="2890"/>
      <c r="D226" s="2380"/>
      <c r="E226" s="2380"/>
      <c r="F226" s="219">
        <f>SUM(F214:F225)</f>
        <v>0</v>
      </c>
      <c r="H226" s="219" t="e">
        <f>SUM(H214:H225)</f>
        <v>#N/A</v>
      </c>
      <c r="J226" s="228" t="e">
        <f t="shared" si="57"/>
        <v>#N/A</v>
      </c>
      <c r="L226" s="229" t="e">
        <f t="shared" si="58"/>
        <v>#N/A</v>
      </c>
    </row>
    <row r="227" spans="1:21" ht="13.5" x14ac:dyDescent="0.25">
      <c r="B227" s="2890" t="s">
        <v>4904</v>
      </c>
      <c r="C227" s="2890"/>
      <c r="D227" s="2380"/>
      <c r="E227" s="2380"/>
      <c r="F227" s="217">
        <f>F211-F226</f>
        <v>0</v>
      </c>
      <c r="H227" s="217" t="e">
        <f>H211-H226</f>
        <v>#N/A</v>
      </c>
      <c r="J227" s="228" t="e">
        <f t="shared" si="57"/>
        <v>#N/A</v>
      </c>
      <c r="L227" s="229" t="e">
        <f t="shared" si="58"/>
        <v>#N/A</v>
      </c>
    </row>
    <row r="228" spans="1:21" ht="5.25" customHeight="1" x14ac:dyDescent="0.25">
      <c r="B228" s="2380"/>
      <c r="C228" s="2380"/>
      <c r="D228" s="2380"/>
      <c r="E228" s="2380"/>
      <c r="F228" s="346"/>
      <c r="H228" s="346"/>
      <c r="J228" s="228"/>
      <c r="L228" s="229"/>
    </row>
    <row r="229" spans="1:21" ht="11.25" customHeight="1" x14ac:dyDescent="0.2">
      <c r="B229" s="213" t="s">
        <v>2016</v>
      </c>
    </row>
    <row r="230" spans="1:21" ht="13.5" x14ac:dyDescent="0.25">
      <c r="A230" s="170">
        <v>2690</v>
      </c>
      <c r="B230" s="2890" t="s">
        <v>2891</v>
      </c>
      <c r="C230" s="2890"/>
      <c r="D230" s="2380"/>
      <c r="E230" s="2380"/>
      <c r="F230" s="341">
        <f>'905'!F232</f>
        <v>0</v>
      </c>
      <c r="H230" s="341" t="e">
        <f t="shared" ref="H230:H248" si="60">INDEX(PY905Data,MATCH($A230,PY905Row,0),MATCH($C$5,PY905Col,0))</f>
        <v>#N/A</v>
      </c>
      <c r="J230" s="228" t="e">
        <f>F230-H230</f>
        <v>#N/A</v>
      </c>
      <c r="L230" s="229" t="e">
        <f>IF(H230=0,0,J230/H230)</f>
        <v>#N/A</v>
      </c>
      <c r="N230" s="2317" t="str">
        <f t="shared" ref="N230:N248" si="61">IF($F$88=0," ",IF(AND(ABS(J230)&gt;$L$3,ABS(L230)&gt;$L$2),"C",IF(AND(ABS(F230+H230)&gt;0,H230=0,ABS(J230)&gt;$L$3),"C"," ")))</f>
        <v xml:space="preserve"> </v>
      </c>
    </row>
    <row r="231" spans="1:21" ht="13.5" x14ac:dyDescent="0.25">
      <c r="A231" s="2009">
        <v>2691</v>
      </c>
      <c r="B231" s="3083" t="s">
        <v>4905</v>
      </c>
      <c r="C231" s="3083"/>
      <c r="D231" s="2380"/>
      <c r="E231" s="2380"/>
      <c r="F231" s="341">
        <f>'905'!F233</f>
        <v>0</v>
      </c>
      <c r="H231" s="341" t="e">
        <f t="shared" si="60"/>
        <v>#N/A</v>
      </c>
      <c r="J231" s="228" t="e">
        <f>F231-H231</f>
        <v>#N/A</v>
      </c>
      <c r="L231" s="229" t="e">
        <f>IF(H231=0,0,J231/H231)</f>
        <v>#N/A</v>
      </c>
      <c r="N231" s="2317" t="str">
        <f t="shared" si="61"/>
        <v xml:space="preserve"> </v>
      </c>
      <c r="O231" s="2113" t="s">
        <v>2893</v>
      </c>
      <c r="P231" s="1113"/>
      <c r="Q231" s="1113"/>
      <c r="R231" s="1113"/>
      <c r="S231" s="1113"/>
    </row>
    <row r="232" spans="1:21" ht="13.5" x14ac:dyDescent="0.25">
      <c r="A232" s="170">
        <v>2692</v>
      </c>
      <c r="B232" s="2890" t="s">
        <v>2894</v>
      </c>
      <c r="C232" s="2890"/>
      <c r="D232" s="2380"/>
      <c r="E232" s="2380"/>
      <c r="F232" s="341">
        <f>'905'!F234</f>
        <v>0</v>
      </c>
      <c r="H232" s="341" t="e">
        <f t="shared" si="60"/>
        <v>#N/A</v>
      </c>
      <c r="J232" s="228" t="e">
        <f t="shared" ref="J232:J260" si="62">F232-H232</f>
        <v>#N/A</v>
      </c>
      <c r="L232" s="229" t="e">
        <f t="shared" ref="L232:L260" si="63">IF(H232=0,0,J232/H232)</f>
        <v>#N/A</v>
      </c>
      <c r="N232" s="2317" t="str">
        <f t="shared" si="61"/>
        <v xml:space="preserve"> </v>
      </c>
    </row>
    <row r="233" spans="1:21" ht="13.5" x14ac:dyDescent="0.25">
      <c r="A233" s="2009">
        <v>2693</v>
      </c>
      <c r="B233" s="3083" t="s">
        <v>2895</v>
      </c>
      <c r="C233" s="3083"/>
      <c r="D233" s="2380"/>
      <c r="E233" s="2380"/>
      <c r="F233" s="341">
        <f>'905'!F235</f>
        <v>0</v>
      </c>
      <c r="H233" s="341" t="e">
        <f t="shared" si="60"/>
        <v>#N/A</v>
      </c>
      <c r="J233" s="228" t="e">
        <f t="shared" si="62"/>
        <v>#N/A</v>
      </c>
      <c r="L233" s="229" t="e">
        <f t="shared" si="63"/>
        <v>#N/A</v>
      </c>
      <c r="N233" s="2317" t="str">
        <f t="shared" si="61"/>
        <v xml:space="preserve"> </v>
      </c>
      <c r="O233" s="2113" t="s">
        <v>2896</v>
      </c>
      <c r="P233" s="1113"/>
      <c r="Q233" s="1113"/>
      <c r="R233" s="1113"/>
      <c r="S233" s="1113"/>
      <c r="T233" s="1113"/>
      <c r="U233" s="1113"/>
    </row>
    <row r="234" spans="1:21" ht="13.5" x14ac:dyDescent="0.25">
      <c r="A234" s="170">
        <v>2700</v>
      </c>
      <c r="B234" s="2890" t="s">
        <v>2019</v>
      </c>
      <c r="C234" s="2890"/>
      <c r="D234" s="2380"/>
      <c r="E234" s="2380"/>
      <c r="F234" s="341">
        <f>'905'!F236</f>
        <v>0</v>
      </c>
      <c r="H234" s="341" t="e">
        <f t="shared" si="60"/>
        <v>#N/A</v>
      </c>
      <c r="J234" s="228" t="e">
        <f>F234-H234</f>
        <v>#N/A</v>
      </c>
      <c r="L234" s="229" t="e">
        <f>IF(H234=0,0,J234/H234)</f>
        <v>#N/A</v>
      </c>
      <c r="N234" s="2317" t="str">
        <f t="shared" si="61"/>
        <v xml:space="preserve"> </v>
      </c>
    </row>
    <row r="235" spans="1:21" ht="13.5" x14ac:dyDescent="0.25">
      <c r="A235" s="170">
        <v>2701</v>
      </c>
      <c r="B235" s="2890" t="s">
        <v>2898</v>
      </c>
      <c r="C235" s="2890"/>
      <c r="D235" s="2380"/>
      <c r="E235" s="2380"/>
      <c r="F235" s="341">
        <f>'905'!F237</f>
        <v>0</v>
      </c>
      <c r="H235" s="341" t="e">
        <f t="shared" si="60"/>
        <v>#N/A</v>
      </c>
      <c r="J235" s="228" t="e">
        <f>F235-H235</f>
        <v>#N/A</v>
      </c>
      <c r="L235" s="229" t="e">
        <f>IF(H235=0,0,J235/H235)</f>
        <v>#N/A</v>
      </c>
      <c r="N235" s="2317" t="str">
        <f t="shared" si="61"/>
        <v xml:space="preserve"> </v>
      </c>
    </row>
    <row r="236" spans="1:21" ht="13.5" x14ac:dyDescent="0.25">
      <c r="A236" s="170">
        <v>2710</v>
      </c>
      <c r="B236" s="2890" t="s">
        <v>2901</v>
      </c>
      <c r="C236" s="2890"/>
      <c r="D236" s="2380"/>
      <c r="E236" s="2380"/>
      <c r="F236" s="341">
        <f>'905'!F238</f>
        <v>0</v>
      </c>
      <c r="H236" s="341" t="e">
        <f t="shared" si="60"/>
        <v>#N/A</v>
      </c>
      <c r="J236" s="228" t="e">
        <f>F236-H236</f>
        <v>#N/A</v>
      </c>
      <c r="L236" s="229" t="e">
        <f>IF(H236=0,0,J236/H236)</f>
        <v>#N/A</v>
      </c>
      <c r="N236" s="2317" t="str">
        <f t="shared" si="61"/>
        <v xml:space="preserve"> </v>
      </c>
    </row>
    <row r="237" spans="1:21" ht="13.5" x14ac:dyDescent="0.25">
      <c r="A237" s="170">
        <v>2711</v>
      </c>
      <c r="B237" s="2890" t="s">
        <v>2022</v>
      </c>
      <c r="C237" s="2890"/>
      <c r="D237" s="2380"/>
      <c r="E237" s="2380"/>
      <c r="F237" s="341">
        <f>'905'!F239</f>
        <v>0</v>
      </c>
      <c r="H237" s="341" t="e">
        <f t="shared" si="60"/>
        <v>#N/A</v>
      </c>
      <c r="J237" s="228" t="e">
        <f>F237-H237</f>
        <v>#N/A</v>
      </c>
      <c r="L237" s="229" t="e">
        <f>IF(H237=0,0,J237/H237)</f>
        <v>#N/A</v>
      </c>
      <c r="N237" s="2317" t="str">
        <f t="shared" si="61"/>
        <v xml:space="preserve"> </v>
      </c>
    </row>
    <row r="238" spans="1:21" ht="13.5" x14ac:dyDescent="0.25">
      <c r="A238" s="170">
        <v>2720</v>
      </c>
      <c r="B238" s="2890" t="s">
        <v>2902</v>
      </c>
      <c r="C238" s="2890"/>
      <c r="D238" s="2380"/>
      <c r="E238" s="2380"/>
      <c r="F238" s="341">
        <f>'905'!F240</f>
        <v>0</v>
      </c>
      <c r="H238" s="341" t="e">
        <f t="shared" si="60"/>
        <v>#N/A</v>
      </c>
      <c r="J238" s="228" t="e">
        <f t="shared" si="62"/>
        <v>#N/A</v>
      </c>
      <c r="L238" s="229" t="e">
        <f t="shared" si="63"/>
        <v>#N/A</v>
      </c>
      <c r="N238" s="2317" t="str">
        <f t="shared" si="61"/>
        <v xml:space="preserve"> </v>
      </c>
    </row>
    <row r="239" spans="1:21" ht="13.5" x14ac:dyDescent="0.25">
      <c r="A239" s="170">
        <v>2740</v>
      </c>
      <c r="B239" s="2890" t="s">
        <v>4906</v>
      </c>
      <c r="C239" s="2890"/>
      <c r="D239" s="2380"/>
      <c r="E239" s="2380"/>
      <c r="F239" s="341">
        <f>'905'!F241</f>
        <v>0</v>
      </c>
      <c r="H239" s="341" t="e">
        <f t="shared" si="60"/>
        <v>#N/A</v>
      </c>
      <c r="J239" s="228" t="e">
        <f t="shared" si="62"/>
        <v>#N/A</v>
      </c>
      <c r="L239" s="229" t="e">
        <f t="shared" si="63"/>
        <v>#N/A</v>
      </c>
      <c r="N239" s="2317" t="str">
        <f t="shared" si="61"/>
        <v xml:space="preserve"> </v>
      </c>
    </row>
    <row r="240" spans="1:21" ht="13.5" x14ac:dyDescent="0.25">
      <c r="A240" s="170">
        <v>2750</v>
      </c>
      <c r="B240" s="2890" t="s">
        <v>4907</v>
      </c>
      <c r="C240" s="2890"/>
      <c r="D240" s="2380"/>
      <c r="E240" s="2380"/>
      <c r="F240" s="341">
        <f>'905'!F242</f>
        <v>0</v>
      </c>
      <c r="H240" s="341" t="e">
        <f t="shared" si="60"/>
        <v>#N/A</v>
      </c>
      <c r="J240" s="228" t="e">
        <f t="shared" si="62"/>
        <v>#N/A</v>
      </c>
      <c r="L240" s="229" t="e">
        <f t="shared" si="63"/>
        <v>#N/A</v>
      </c>
      <c r="N240" s="2317" t="str">
        <f t="shared" si="61"/>
        <v xml:space="preserve"> </v>
      </c>
    </row>
    <row r="241" spans="1:15" ht="13.5" x14ac:dyDescent="0.25">
      <c r="A241" s="170">
        <v>2755</v>
      </c>
      <c r="B241" s="2890" t="s">
        <v>2905</v>
      </c>
      <c r="C241" s="2890"/>
      <c r="D241" s="2380"/>
      <c r="E241" s="2380"/>
      <c r="F241" s="341">
        <f>'905'!F243</f>
        <v>0</v>
      </c>
      <c r="H241" s="341" t="e">
        <f t="shared" si="60"/>
        <v>#N/A</v>
      </c>
      <c r="J241" s="228" t="e">
        <f>F241-H241</f>
        <v>#N/A</v>
      </c>
      <c r="L241" s="229" t="e">
        <f>IF(H241=0,0,J241/H241)</f>
        <v>#N/A</v>
      </c>
      <c r="N241" s="2317" t="str">
        <f t="shared" si="61"/>
        <v xml:space="preserve"> </v>
      </c>
      <c r="O241" s="971"/>
    </row>
    <row r="242" spans="1:15" ht="13.5" x14ac:dyDescent="0.25">
      <c r="A242" s="170">
        <v>2760</v>
      </c>
      <c r="B242" s="2890" t="s">
        <v>1250</v>
      </c>
      <c r="C242" s="2890"/>
      <c r="D242" s="2380"/>
      <c r="E242" s="2380"/>
      <c r="F242" s="341">
        <f>'905'!F244</f>
        <v>0</v>
      </c>
      <c r="H242" s="341" t="e">
        <f t="shared" si="60"/>
        <v>#N/A</v>
      </c>
      <c r="J242" s="228" t="e">
        <f t="shared" si="62"/>
        <v>#N/A</v>
      </c>
      <c r="L242" s="229" t="e">
        <f t="shared" si="63"/>
        <v>#N/A</v>
      </c>
      <c r="N242" s="2317" t="str">
        <f t="shared" si="61"/>
        <v xml:space="preserve"> </v>
      </c>
    </row>
    <row r="243" spans="1:15" ht="13.5" x14ac:dyDescent="0.25">
      <c r="A243" s="170">
        <v>2770</v>
      </c>
      <c r="B243" s="2890" t="s">
        <v>2906</v>
      </c>
      <c r="C243" s="2890"/>
      <c r="D243" s="2380"/>
      <c r="E243" s="2380"/>
      <c r="F243" s="341">
        <f>'905'!F245</f>
        <v>0</v>
      </c>
      <c r="H243" s="341" t="e">
        <f t="shared" si="60"/>
        <v>#N/A</v>
      </c>
      <c r="J243" s="228" t="e">
        <f t="shared" si="62"/>
        <v>#N/A</v>
      </c>
      <c r="L243" s="229" t="e">
        <f t="shared" si="63"/>
        <v>#N/A</v>
      </c>
      <c r="N243" s="2317" t="str">
        <f t="shared" si="61"/>
        <v xml:space="preserve"> </v>
      </c>
    </row>
    <row r="244" spans="1:15" ht="13.5" x14ac:dyDescent="0.25">
      <c r="A244" s="170">
        <v>2780</v>
      </c>
      <c r="B244" s="2890" t="s">
        <v>2026</v>
      </c>
      <c r="C244" s="2890"/>
      <c r="D244" s="2380"/>
      <c r="E244" s="2380"/>
      <c r="F244" s="341">
        <f>'905'!F246</f>
        <v>0</v>
      </c>
      <c r="H244" s="341" t="e">
        <f t="shared" si="60"/>
        <v>#N/A</v>
      </c>
      <c r="J244" s="228" t="e">
        <f t="shared" si="62"/>
        <v>#N/A</v>
      </c>
      <c r="L244" s="229" t="e">
        <f t="shared" si="63"/>
        <v>#N/A</v>
      </c>
      <c r="N244" s="2317" t="str">
        <f t="shared" si="61"/>
        <v xml:space="preserve"> </v>
      </c>
    </row>
    <row r="245" spans="1:15" ht="13.5" x14ac:dyDescent="0.25">
      <c r="A245" s="170">
        <v>2785</v>
      </c>
      <c r="B245" s="2890" t="s">
        <v>4908</v>
      </c>
      <c r="C245" s="2890"/>
      <c r="D245" s="2380"/>
      <c r="E245" s="2380"/>
      <c r="F245" s="341">
        <f>'905'!F247</f>
        <v>0</v>
      </c>
      <c r="H245" s="341" t="e">
        <f t="shared" si="60"/>
        <v>#N/A</v>
      </c>
      <c r="J245" s="228" t="e">
        <f>F245-H245</f>
        <v>#N/A</v>
      </c>
      <c r="L245" s="229" t="e">
        <f>IF(H245=0,0,J245/H245)</f>
        <v>#N/A</v>
      </c>
      <c r="N245" s="2317" t="str">
        <f t="shared" si="61"/>
        <v xml:space="preserve"> </v>
      </c>
    </row>
    <row r="246" spans="1:15" ht="13.5" x14ac:dyDescent="0.25">
      <c r="A246" s="170">
        <v>2786</v>
      </c>
      <c r="B246" s="2890" t="s">
        <v>2908</v>
      </c>
      <c r="C246" s="2890"/>
      <c r="D246" s="2380"/>
      <c r="E246" s="2380"/>
      <c r="F246" s="341">
        <f>'905'!F248</f>
        <v>0</v>
      </c>
      <c r="H246" s="341" t="e">
        <f t="shared" si="60"/>
        <v>#N/A</v>
      </c>
      <c r="J246" s="228" t="e">
        <f>F246-H246</f>
        <v>#N/A</v>
      </c>
      <c r="L246" s="229" t="e">
        <f>IF(H246=0,0,J246/H246)</f>
        <v>#N/A</v>
      </c>
      <c r="N246" s="2317" t="str">
        <f t="shared" si="61"/>
        <v xml:space="preserve"> </v>
      </c>
    </row>
    <row r="247" spans="1:15" ht="13.5" x14ac:dyDescent="0.25">
      <c r="A247" s="170">
        <v>2800</v>
      </c>
      <c r="B247" s="2890" t="s">
        <v>2028</v>
      </c>
      <c r="C247" s="2890"/>
      <c r="D247" s="2380"/>
      <c r="E247" s="2380"/>
      <c r="F247" s="341">
        <f>'905'!F249</f>
        <v>0</v>
      </c>
      <c r="H247" s="341" t="e">
        <f t="shared" si="60"/>
        <v>#N/A</v>
      </c>
      <c r="J247" s="228" t="e">
        <f t="shared" si="62"/>
        <v>#N/A</v>
      </c>
      <c r="L247" s="229" t="e">
        <f t="shared" si="63"/>
        <v>#N/A</v>
      </c>
      <c r="N247" s="2317" t="str">
        <f t="shared" si="61"/>
        <v xml:space="preserve"> </v>
      </c>
    </row>
    <row r="248" spans="1:15" ht="13.5" x14ac:dyDescent="0.25">
      <c r="A248" s="170">
        <v>2810</v>
      </c>
      <c r="B248" s="2890" t="s">
        <v>2031</v>
      </c>
      <c r="C248" s="2890"/>
      <c r="D248" s="2380"/>
      <c r="E248" s="2380"/>
      <c r="F248" s="341">
        <f>'905'!F250</f>
        <v>0</v>
      </c>
      <c r="H248" s="341" t="e">
        <f t="shared" si="60"/>
        <v>#N/A</v>
      </c>
      <c r="J248" s="228" t="e">
        <f t="shared" si="62"/>
        <v>#N/A</v>
      </c>
      <c r="L248" s="229" t="e">
        <f t="shared" si="63"/>
        <v>#N/A</v>
      </c>
      <c r="N248" s="2317" t="str">
        <f t="shared" si="61"/>
        <v xml:space="preserve"> </v>
      </c>
    </row>
    <row r="249" spans="1:15" ht="13.5" x14ac:dyDescent="0.25">
      <c r="B249" s="2890" t="s">
        <v>4909</v>
      </c>
      <c r="C249" s="2890"/>
      <c r="D249" s="2380"/>
      <c r="E249" s="2380"/>
      <c r="F249" s="217">
        <f>SUM(F230:F248)</f>
        <v>0</v>
      </c>
      <c r="H249" s="217" t="e">
        <f>SUM(H230:H248)</f>
        <v>#N/A</v>
      </c>
      <c r="J249" s="228" t="e">
        <f t="shared" si="62"/>
        <v>#N/A</v>
      </c>
      <c r="L249" s="229" t="e">
        <f t="shared" si="63"/>
        <v>#N/A</v>
      </c>
    </row>
    <row r="250" spans="1:15" ht="13.5" x14ac:dyDescent="0.25">
      <c r="B250" s="2890" t="s">
        <v>4910</v>
      </c>
      <c r="C250" s="2890"/>
      <c r="D250" s="2380"/>
      <c r="E250" s="2380"/>
      <c r="F250" s="712">
        <f>F227+F249</f>
        <v>0</v>
      </c>
      <c r="H250" s="712" t="e">
        <f>H227+H249</f>
        <v>#N/A</v>
      </c>
      <c r="J250" s="228" t="e">
        <f t="shared" si="62"/>
        <v>#N/A</v>
      </c>
      <c r="L250" s="229" t="e">
        <f t="shared" si="63"/>
        <v>#N/A</v>
      </c>
    </row>
    <row r="251" spans="1:15" ht="13.5" x14ac:dyDescent="0.25">
      <c r="A251" s="502">
        <v>2870</v>
      </c>
      <c r="B251" s="2890" t="s">
        <v>4911</v>
      </c>
      <c r="C251" s="2890"/>
      <c r="D251" s="2380"/>
      <c r="E251" s="2380"/>
      <c r="F251" s="341">
        <f>'905'!F253</f>
        <v>0</v>
      </c>
      <c r="H251" s="341" t="e">
        <f t="shared" ref="H251:H257" si="64">INDEX(PY905Data,MATCH($A251,PY905Row,0),MATCH($C$5,PY905Col,0))</f>
        <v>#N/A</v>
      </c>
      <c r="J251" s="228" t="e">
        <f t="shared" si="62"/>
        <v>#N/A</v>
      </c>
      <c r="L251" s="229" t="e">
        <f t="shared" si="63"/>
        <v>#N/A</v>
      </c>
      <c r="N251" s="2317" t="str">
        <f t="shared" ref="N251:N257" si="65">IF($F$88=0," ",IF(AND(ABS(J251)&gt;$L$3,ABS(L251)&gt;$L$2),"C",IF(AND(ABS(F251+H251)&gt;0,H251=0,ABS(J251)&gt;$L$3),"C"," ")))</f>
        <v xml:space="preserve"> </v>
      </c>
    </row>
    <row r="252" spans="1:15" ht="13.5" x14ac:dyDescent="0.25">
      <c r="A252" s="170">
        <v>2880</v>
      </c>
      <c r="B252" s="2890" t="s">
        <v>2912</v>
      </c>
      <c r="C252" s="2890"/>
      <c r="D252" s="2380"/>
      <c r="E252" s="2380"/>
      <c r="F252" s="341">
        <f>'905'!F254</f>
        <v>0</v>
      </c>
      <c r="H252" s="341" t="e">
        <f t="shared" si="64"/>
        <v>#N/A</v>
      </c>
      <c r="J252" s="228" t="e">
        <f t="shared" si="62"/>
        <v>#N/A</v>
      </c>
      <c r="L252" s="229" t="e">
        <f t="shared" si="63"/>
        <v>#N/A</v>
      </c>
      <c r="N252" s="2317" t="str">
        <f t="shared" si="65"/>
        <v xml:space="preserve"> </v>
      </c>
    </row>
    <row r="253" spans="1:15" ht="13.5" x14ac:dyDescent="0.25">
      <c r="A253" s="170">
        <v>2890</v>
      </c>
      <c r="B253" s="2890" t="s">
        <v>2914</v>
      </c>
      <c r="C253" s="2890"/>
      <c r="D253" s="2380"/>
      <c r="E253" s="2380"/>
      <c r="F253" s="341">
        <f>'905'!F255</f>
        <v>0</v>
      </c>
      <c r="H253" s="341" t="e">
        <f t="shared" si="64"/>
        <v>#N/A</v>
      </c>
      <c r="J253" s="228" t="e">
        <f t="shared" si="62"/>
        <v>#N/A</v>
      </c>
      <c r="L253" s="229" t="e">
        <f t="shared" si="63"/>
        <v>#N/A</v>
      </c>
      <c r="N253" s="2317" t="str">
        <f t="shared" si="65"/>
        <v xml:space="preserve"> </v>
      </c>
    </row>
    <row r="254" spans="1:15" ht="13.5" x14ac:dyDescent="0.25">
      <c r="A254" s="170">
        <v>2900</v>
      </c>
      <c r="B254" s="2890" t="s">
        <v>2915</v>
      </c>
      <c r="C254" s="2890"/>
      <c r="D254" s="2380"/>
      <c r="E254" s="2380"/>
      <c r="F254" s="341">
        <f>'905'!F256</f>
        <v>0</v>
      </c>
      <c r="H254" s="341" t="e">
        <f t="shared" si="64"/>
        <v>#N/A</v>
      </c>
      <c r="J254" s="228" t="e">
        <f>F254-H254</f>
        <v>#N/A</v>
      </c>
      <c r="L254" s="229" t="e">
        <f>IF(H254=0,0,J254/H254)</f>
        <v>#N/A</v>
      </c>
      <c r="N254" s="2317" t="str">
        <f t="shared" si="65"/>
        <v xml:space="preserve"> </v>
      </c>
    </row>
    <row r="255" spans="1:15" ht="13.5" x14ac:dyDescent="0.25">
      <c r="A255" s="638">
        <v>2940</v>
      </c>
      <c r="B255" s="2890" t="s">
        <v>4612</v>
      </c>
      <c r="C255" s="2890"/>
      <c r="D255" s="2380"/>
      <c r="E255" s="2380"/>
      <c r="F255" s="341">
        <f>'905'!F257</f>
        <v>0</v>
      </c>
      <c r="H255" s="341" t="e">
        <f t="shared" si="64"/>
        <v>#N/A</v>
      </c>
      <c r="J255" s="228" t="e">
        <f>F255-H255</f>
        <v>#N/A</v>
      </c>
      <c r="L255" s="229" t="e">
        <f>IF(H255=0,0,J255/H255)</f>
        <v>#N/A</v>
      </c>
      <c r="N255" s="2317" t="str">
        <f t="shared" si="65"/>
        <v xml:space="preserve"> </v>
      </c>
    </row>
    <row r="256" spans="1:15" ht="13.5" x14ac:dyDescent="0.25">
      <c r="A256" s="170">
        <v>2950</v>
      </c>
      <c r="B256" s="2890" t="s">
        <v>2917</v>
      </c>
      <c r="C256" s="2890"/>
      <c r="D256" s="2380"/>
      <c r="E256" s="2380"/>
      <c r="F256" s="341">
        <f>'905'!F258</f>
        <v>0</v>
      </c>
      <c r="H256" s="341" t="e">
        <f t="shared" si="64"/>
        <v>#N/A</v>
      </c>
      <c r="J256" s="228" t="e">
        <f t="shared" si="62"/>
        <v>#N/A</v>
      </c>
      <c r="L256" s="229" t="e">
        <f t="shared" si="63"/>
        <v>#N/A</v>
      </c>
      <c r="N256" s="2317" t="str">
        <f t="shared" si="65"/>
        <v xml:space="preserve"> </v>
      </c>
    </row>
    <row r="257" spans="1:14" ht="13.5" x14ac:dyDescent="0.25">
      <c r="A257" s="170">
        <v>2960</v>
      </c>
      <c r="B257" s="2890" t="s">
        <v>2918</v>
      </c>
      <c r="C257" s="2890"/>
      <c r="D257" s="2380"/>
      <c r="E257" s="2380"/>
      <c r="F257" s="343">
        <f>'905'!F259</f>
        <v>0</v>
      </c>
      <c r="H257" s="341" t="e">
        <f t="shared" si="64"/>
        <v>#N/A</v>
      </c>
      <c r="J257" s="228" t="e">
        <f t="shared" si="62"/>
        <v>#N/A</v>
      </c>
      <c r="L257" s="229" t="e">
        <f t="shared" si="63"/>
        <v>#N/A</v>
      </c>
      <c r="N257" s="2317" t="str">
        <f t="shared" si="65"/>
        <v xml:space="preserve"> </v>
      </c>
    </row>
    <row r="258" spans="1:14" ht="13.5" x14ac:dyDescent="0.25">
      <c r="B258" s="2890" t="s">
        <v>4912</v>
      </c>
      <c r="C258" s="2890"/>
      <c r="D258" s="2380"/>
      <c r="E258" s="2380"/>
      <c r="F258" s="712">
        <f>SUM(F250:F257)</f>
        <v>0</v>
      </c>
      <c r="H258" s="712" t="e">
        <f>SUM(H250:H257)</f>
        <v>#N/A</v>
      </c>
      <c r="J258" s="228" t="e">
        <f t="shared" si="62"/>
        <v>#N/A</v>
      </c>
      <c r="L258" s="229" t="e">
        <f t="shared" si="63"/>
        <v>#N/A</v>
      </c>
      <c r="N258" s="938" t="s">
        <v>4913</v>
      </c>
    </row>
    <row r="259" spans="1:14" ht="13.5" x14ac:dyDescent="0.25">
      <c r="A259" s="170">
        <v>2980</v>
      </c>
      <c r="B259" s="2890" t="s">
        <v>4914</v>
      </c>
      <c r="C259" s="2890"/>
      <c r="D259" s="2380"/>
      <c r="E259" s="2380"/>
      <c r="F259" s="341" t="e">
        <f>'905'!F261</f>
        <v>#N/A</v>
      </c>
      <c r="H259" s="341" t="e">
        <f>INDEX(PY905Data,MATCH($A259,PY905Row,0),MATCH($C$5,PY905Col,0))</f>
        <v>#N/A</v>
      </c>
      <c r="J259" s="228" t="e">
        <f t="shared" si="62"/>
        <v>#N/A</v>
      </c>
      <c r="L259" s="229" t="e">
        <f t="shared" si="63"/>
        <v>#N/A</v>
      </c>
      <c r="N259" s="939" t="s">
        <v>4915</v>
      </c>
    </row>
    <row r="260" spans="1:14" ht="13.5" x14ac:dyDescent="0.25">
      <c r="A260" s="170">
        <v>2990</v>
      </c>
      <c r="B260" s="2890" t="s">
        <v>1760</v>
      </c>
      <c r="C260" s="2890"/>
      <c r="D260" s="2380"/>
      <c r="E260" s="2380"/>
      <c r="F260" s="341">
        <f>'905'!F262</f>
        <v>0</v>
      </c>
      <c r="H260" s="341" t="e">
        <f>INDEX(PY905Data,MATCH($A260,PY905Row,0),MATCH($C$5,PY905Col,0))</f>
        <v>#N/A</v>
      </c>
      <c r="J260" s="228" t="e">
        <f t="shared" si="62"/>
        <v>#N/A</v>
      </c>
      <c r="L260" s="229" t="e">
        <f t="shared" si="63"/>
        <v>#N/A</v>
      </c>
      <c r="N260" s="940" t="s">
        <v>4916</v>
      </c>
    </row>
    <row r="261" spans="1:14" ht="13.5" thickBot="1" x14ac:dyDescent="0.25">
      <c r="B261" s="2890" t="s">
        <v>4917</v>
      </c>
      <c r="C261" s="2890"/>
      <c r="D261" s="2380"/>
      <c r="E261" s="2380"/>
      <c r="F261" s="220" t="e">
        <f>SUM(F258:F260)</f>
        <v>#N/A</v>
      </c>
      <c r="H261" s="220" t="e">
        <f>SUM(H258:H260)</f>
        <v>#N/A</v>
      </c>
    </row>
    <row r="262" spans="1:14" ht="4.5" customHeight="1" thickTop="1" x14ac:dyDescent="0.2"/>
    <row r="263" spans="1:14" x14ac:dyDescent="0.2">
      <c r="B263" s="182" t="s">
        <v>4918</v>
      </c>
      <c r="C263" s="182"/>
      <c r="D263" s="182"/>
      <c r="E263" s="182"/>
      <c r="F263" s="221" t="e">
        <f>IF(ROUND(F194-F261,2)=0,"In Bal.","Error")</f>
        <v>#N/A</v>
      </c>
      <c r="H263" s="221" t="e">
        <f>IF(ROUND(H194-H261,2)=0,"In Bal.","Error")</f>
        <v>#N/A</v>
      </c>
    </row>
    <row r="264" spans="1:14" x14ac:dyDescent="0.2">
      <c r="B264" s="2380"/>
      <c r="C264" s="2380"/>
      <c r="D264" s="2380"/>
      <c r="E264" s="2380"/>
    </row>
    <row r="265" spans="1:14" x14ac:dyDescent="0.2">
      <c r="B265" s="2380"/>
      <c r="C265" s="2380"/>
      <c r="D265" s="2380"/>
      <c r="E265" s="2380"/>
    </row>
  </sheetData>
  <sheetProtection algorithmName="SHA-512" hashValue="XIeQDdVG8pL3c2R47ckTUmL9XK8yHhdkRruaSlsuc0/cOy6YPh/ciI5yPIyBJHz09o+zROFjxV5V3vzGWUGJhA==" saltValue="Ivoz31JF/kJPA5dsIAnIyA==" spinCount="100000" sheet="1" autoFilter="0"/>
  <customSheetViews>
    <customSheetView guid="{9FCFC836-1CA5-48BF-958D-24D2EA94B219}" showGridLines="0" fitToPage="1">
      <selection activeCell="E9" sqref="E9"/>
      <pageMargins left="0" right="0" top="0" bottom="0" header="0" footer="0"/>
      <pageSetup scale="66" fitToHeight="3" orientation="portrait" r:id="rId1"/>
      <headerFooter alignWithMargins="0">
        <oddFooter>&amp;R&amp;A (&amp;P of &amp;N)</oddFooter>
      </headerFooter>
    </customSheetView>
    <customSheetView guid="{B08879A4-635B-4C39-9937-AC7883D562FC}" showGridLines="0" fitToPage="1">
      <selection activeCell="E9" sqref="E9"/>
      <pageMargins left="0" right="0" top="0" bottom="0" header="0" footer="0"/>
      <pageSetup scale="66" fitToHeight="3" orientation="portrait" r:id="rId2"/>
      <headerFooter alignWithMargins="0">
        <oddFooter>&amp;R&amp;A (&amp;P of &amp;N)</oddFooter>
      </headerFooter>
    </customSheetView>
  </customSheetViews>
  <mergeCells count="222">
    <mergeCell ref="B191:C191"/>
    <mergeCell ref="B185:C185"/>
    <mergeCell ref="B112:C112"/>
    <mergeCell ref="B116:C116"/>
    <mergeCell ref="B118:C118"/>
    <mergeCell ref="B145:C145"/>
    <mergeCell ref="B136:C136"/>
    <mergeCell ref="B138:C138"/>
    <mergeCell ref="B131:C131"/>
    <mergeCell ref="B142:C142"/>
    <mergeCell ref="B132:C132"/>
    <mergeCell ref="B134:E134"/>
    <mergeCell ref="B135:E135"/>
    <mergeCell ref="B130:C130"/>
    <mergeCell ref="B124:C124"/>
    <mergeCell ref="B125:C125"/>
    <mergeCell ref="B121:C121"/>
    <mergeCell ref="B126:C126"/>
    <mergeCell ref="B127:C127"/>
    <mergeCell ref="B120:C120"/>
    <mergeCell ref="B155:C155"/>
    <mergeCell ref="B157:C157"/>
    <mergeCell ref="B161:E161"/>
    <mergeCell ref="B186:C186"/>
    <mergeCell ref="B42:C42"/>
    <mergeCell ref="B35:C35"/>
    <mergeCell ref="B36:C36"/>
    <mergeCell ref="B14:C14"/>
    <mergeCell ref="B16:C16"/>
    <mergeCell ref="B24:C24"/>
    <mergeCell ref="B19:C19"/>
    <mergeCell ref="B20:C20"/>
    <mergeCell ref="B17:C17"/>
    <mergeCell ref="B31:E31"/>
    <mergeCell ref="A1:G1"/>
    <mergeCell ref="A2:G2"/>
    <mergeCell ref="B3:G3"/>
    <mergeCell ref="A4:G4"/>
    <mergeCell ref="B33:C33"/>
    <mergeCell ref="B34:C34"/>
    <mergeCell ref="B21:C21"/>
    <mergeCell ref="B37:C37"/>
    <mergeCell ref="B38:C38"/>
    <mergeCell ref="B28:C28"/>
    <mergeCell ref="B25:C25"/>
    <mergeCell ref="B26:C26"/>
    <mergeCell ref="B23:C23"/>
    <mergeCell ref="B30:C30"/>
    <mergeCell ref="B22:C22"/>
    <mergeCell ref="B32:C32"/>
    <mergeCell ref="B44:C44"/>
    <mergeCell ref="B47:C47"/>
    <mergeCell ref="B85:C85"/>
    <mergeCell ref="B59:C59"/>
    <mergeCell ref="B60:C60"/>
    <mergeCell ref="B54:C54"/>
    <mergeCell ref="B46:C46"/>
    <mergeCell ref="B45:C45"/>
    <mergeCell ref="B52:C52"/>
    <mergeCell ref="B53:C53"/>
    <mergeCell ref="B56:C56"/>
    <mergeCell ref="B82:E82"/>
    <mergeCell ref="B49:C49"/>
    <mergeCell ref="B50:E50"/>
    <mergeCell ref="B55:C55"/>
    <mergeCell ref="B57:C57"/>
    <mergeCell ref="B83:C83"/>
    <mergeCell ref="B68:C68"/>
    <mergeCell ref="B72:C72"/>
    <mergeCell ref="B73:C73"/>
    <mergeCell ref="B74:C74"/>
    <mergeCell ref="B67:C67"/>
    <mergeCell ref="B64:C64"/>
    <mergeCell ref="B65:C65"/>
    <mergeCell ref="B66:C66"/>
    <mergeCell ref="B69:C69"/>
    <mergeCell ref="B80:C80"/>
    <mergeCell ref="B123:C123"/>
    <mergeCell ref="B93:E93"/>
    <mergeCell ref="B129:C129"/>
    <mergeCell ref="B48:C48"/>
    <mergeCell ref="B75:C75"/>
    <mergeCell ref="B76:C76"/>
    <mergeCell ref="B77:C77"/>
    <mergeCell ref="B78:C78"/>
    <mergeCell ref="B95:E95"/>
    <mergeCell ref="B91:E91"/>
    <mergeCell ref="B94:E94"/>
    <mergeCell ref="B117:C117"/>
    <mergeCell ref="B114:C114"/>
    <mergeCell ref="B104:C104"/>
    <mergeCell ref="B88:C88"/>
    <mergeCell ref="B105:C105"/>
    <mergeCell ref="B115:C115"/>
    <mergeCell ref="B128:C128"/>
    <mergeCell ref="B98:C98"/>
    <mergeCell ref="B84:C84"/>
    <mergeCell ref="B86:C86"/>
    <mergeCell ref="B71:C71"/>
    <mergeCell ref="B209:C209"/>
    <mergeCell ref="B109:C109"/>
    <mergeCell ref="B110:C110"/>
    <mergeCell ref="B111:C111"/>
    <mergeCell ref="B193:C193"/>
    <mergeCell ref="B163:C163"/>
    <mergeCell ref="B158:C158"/>
    <mergeCell ref="B146:C146"/>
    <mergeCell ref="B180:C180"/>
    <mergeCell ref="B183:C183"/>
    <mergeCell ref="B156:C156"/>
    <mergeCell ref="B189:C189"/>
    <mergeCell ref="B152:C152"/>
    <mergeCell ref="B192:C192"/>
    <mergeCell ref="B178:E178"/>
    <mergeCell ref="B162:C162"/>
    <mergeCell ref="B175:E175"/>
    <mergeCell ref="B176:E176"/>
    <mergeCell ref="B144:C144"/>
    <mergeCell ref="B122:C122"/>
    <mergeCell ref="B119:C119"/>
    <mergeCell ref="B143:C143"/>
    <mergeCell ref="B179:E179"/>
    <mergeCell ref="B249:C249"/>
    <mergeCell ref="B251:C251"/>
    <mergeCell ref="B250:C250"/>
    <mergeCell ref="N1:N3"/>
    <mergeCell ref="B13:C13"/>
    <mergeCell ref="C6:F6"/>
    <mergeCell ref="I5:L5"/>
    <mergeCell ref="B29:C29"/>
    <mergeCell ref="B113:C113"/>
    <mergeCell ref="B58:C58"/>
    <mergeCell ref="B92:E92"/>
    <mergeCell ref="B51:C51"/>
    <mergeCell ref="B81:C81"/>
    <mergeCell ref="B107:C107"/>
    <mergeCell ref="B63:C63"/>
    <mergeCell ref="B61:C61"/>
    <mergeCell ref="B97:E97"/>
    <mergeCell ref="B96:E96"/>
    <mergeCell ref="J6:L6"/>
    <mergeCell ref="B15:C15"/>
    <mergeCell ref="B106:C106"/>
    <mergeCell ref="B41:C41"/>
    <mergeCell ref="B27:C27"/>
    <mergeCell ref="B103:C103"/>
    <mergeCell ref="B261:C261"/>
    <mergeCell ref="B258:C258"/>
    <mergeCell ref="B259:C259"/>
    <mergeCell ref="B252:C252"/>
    <mergeCell ref="B253:C253"/>
    <mergeCell ref="B256:C256"/>
    <mergeCell ref="B257:C257"/>
    <mergeCell ref="B260:C260"/>
    <mergeCell ref="B254:C254"/>
    <mergeCell ref="B255:C255"/>
    <mergeCell ref="B194:C194"/>
    <mergeCell ref="B242:C242"/>
    <mergeCell ref="B243:C243"/>
    <mergeCell ref="B245:C245"/>
    <mergeCell ref="B177:E177"/>
    <mergeCell ref="B240:C240"/>
    <mergeCell ref="B205:C205"/>
    <mergeCell ref="B220:C220"/>
    <mergeCell ref="B216:C216"/>
    <mergeCell ref="B236:C236"/>
    <mergeCell ref="B211:C211"/>
    <mergeCell ref="B226:C226"/>
    <mergeCell ref="B223:C223"/>
    <mergeCell ref="B215:C215"/>
    <mergeCell ref="B219:C219"/>
    <mergeCell ref="B225:C225"/>
    <mergeCell ref="B221:C221"/>
    <mergeCell ref="B214:E214"/>
    <mergeCell ref="B208:C208"/>
    <mergeCell ref="B200:C200"/>
    <mergeCell ref="B241:C241"/>
    <mergeCell ref="B224:C224"/>
    <mergeCell ref="B203:C203"/>
    <mergeCell ref="B218:C218"/>
    <mergeCell ref="B248:C248"/>
    <mergeCell ref="B207:C207"/>
    <mergeCell ref="B210:C210"/>
    <mergeCell ref="B201:C201"/>
    <mergeCell ref="B237:C237"/>
    <mergeCell ref="B235:C235"/>
    <mergeCell ref="B227:C227"/>
    <mergeCell ref="B232:C232"/>
    <mergeCell ref="B246:C246"/>
    <mergeCell ref="B244:C244"/>
    <mergeCell ref="B206:C206"/>
    <mergeCell ref="B239:C239"/>
    <mergeCell ref="B231:C231"/>
    <mergeCell ref="B234:C234"/>
    <mergeCell ref="B238:C238"/>
    <mergeCell ref="B233:C233"/>
    <mergeCell ref="B204:C204"/>
    <mergeCell ref="B230:C230"/>
    <mergeCell ref="B202:C202"/>
    <mergeCell ref="B217:C217"/>
    <mergeCell ref="B247:C247"/>
    <mergeCell ref="B164:C164"/>
    <mergeCell ref="B190:C190"/>
    <mergeCell ref="B172:E172"/>
    <mergeCell ref="B133:E133"/>
    <mergeCell ref="B137:C137"/>
    <mergeCell ref="B174:E174"/>
    <mergeCell ref="B148:C148"/>
    <mergeCell ref="B154:C154"/>
    <mergeCell ref="B147:C147"/>
    <mergeCell ref="B173:E173"/>
    <mergeCell ref="B153:C153"/>
    <mergeCell ref="B151:C151"/>
    <mergeCell ref="B150:C150"/>
    <mergeCell ref="B149:C149"/>
    <mergeCell ref="B160:E160"/>
    <mergeCell ref="B171:E171"/>
    <mergeCell ref="B165:C165"/>
    <mergeCell ref="B159:C159"/>
    <mergeCell ref="B167:C167"/>
    <mergeCell ref="B170:E170"/>
    <mergeCell ref="B187:C187"/>
  </mergeCells>
  <phoneticPr fontId="18" type="noConversion"/>
  <conditionalFormatting sqref="N1:N3">
    <cfRule type="cellIs" dxfId="8" priority="2" stopIfTrue="1" operator="equal">
      <formula>"na"</formula>
    </cfRule>
  </conditionalFormatting>
  <conditionalFormatting sqref="N1:N1048576">
    <cfRule type="containsText" dxfId="7" priority="1" operator="containsText" text="C">
      <formula>NOT(ISERROR(SEARCH("C",N1)))</formula>
    </cfRule>
  </conditionalFormatting>
  <dataValidations disablePrompts="1" count="1">
    <dataValidation type="textLength" operator="equal" allowBlank="1" showInputMessage="1" showErrorMessage="1" errorTitle="Invalid data!" error="GASB number must be 4 digits." sqref="G7" xr:uid="{00000000-0002-0000-5100-000000000000}">
      <formula1>4</formula1>
    </dataValidation>
  </dataValidations>
  <hyperlinks>
    <hyperlink ref="B1:L1" location="Index!A1" display="Index!A1" xr:uid="{00000000-0004-0000-5100-000000000000}"/>
  </hyperlinks>
  <printOptions headings="1"/>
  <pageMargins left="0.75" right="0.5" top="0.5" bottom="0.5" header="0.5" footer="0.25"/>
  <pageSetup scale="72" fitToHeight="5" orientation="portrait" r:id="rId3"/>
  <headerFooter alignWithMargins="0">
    <oddFooter>&amp;L&amp;D &amp;T&amp;R&amp;A (&amp;P of &amp;N)</oddFooter>
  </headerFooter>
  <rowBreaks count="3" manualBreakCount="3">
    <brk id="69" max="13" man="1"/>
    <brk id="139" max="13" man="1"/>
    <brk id="212" max="13" man="1"/>
  </rowBreaks>
  <legacyDrawing r:id="rId4"/>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60">
    <pageSetUpPr fitToPage="1"/>
  </sheetPr>
  <dimension ref="A1:Y263"/>
  <sheetViews>
    <sheetView showGridLines="0" zoomScaleNormal="100" zoomScaleSheetLayoutView="100" workbookViewId="0">
      <selection activeCell="O225" sqref="O225"/>
    </sheetView>
  </sheetViews>
  <sheetFormatPr defaultColWidth="9.42578125" defaultRowHeight="12.75" x14ac:dyDescent="0.2"/>
  <cols>
    <col min="1" max="1" width="4.42578125" bestFit="1" customWidth="1"/>
    <col min="2" max="2" width="15.42578125" customWidth="1"/>
    <col min="3" max="3" width="23.5703125" customWidth="1"/>
    <col min="4" max="4" width="2.42578125" customWidth="1"/>
    <col min="5" max="5" width="1.5703125" customWidth="1"/>
    <col min="6" max="6" width="18.5703125" style="341" customWidth="1"/>
    <col min="7" max="7" width="1.5703125" customWidth="1"/>
    <col min="8" max="8" width="18.5703125" style="341" customWidth="1"/>
    <col min="9" max="9" width="1.42578125" customWidth="1"/>
    <col min="10" max="10" width="14" customWidth="1"/>
    <col min="11" max="11" width="1.42578125" customWidth="1"/>
    <col min="12" max="12" width="12" customWidth="1"/>
    <col min="13" max="13" width="1.42578125" customWidth="1"/>
    <col min="14" max="14" width="10.42578125" customWidth="1"/>
    <col min="15" max="15" width="16.5703125" customWidth="1"/>
  </cols>
  <sheetData>
    <row r="1" spans="1:25" ht="15.75" x14ac:dyDescent="0.25">
      <c r="A1" s="2553" t="str">
        <f>+Index!$A$1</f>
        <v xml:space="preserve">                                                               Office of the State Controller                                                                </v>
      </c>
      <c r="B1" s="2553"/>
      <c r="C1" s="2553"/>
      <c r="D1" s="2553"/>
      <c r="E1" s="2553"/>
      <c r="F1" s="2553"/>
      <c r="G1" s="2553"/>
      <c r="H1" s="2268"/>
      <c r="I1" s="2268"/>
      <c r="J1" s="944"/>
      <c r="K1" s="945" t="s">
        <v>4823</v>
      </c>
      <c r="L1" s="944"/>
      <c r="M1" s="2268"/>
      <c r="N1" s="2554" t="str">
        <f>IF(Index!$B$112="na", "NA", "")</f>
        <v/>
      </c>
      <c r="O1" s="2268"/>
      <c r="Q1" s="2268"/>
      <c r="R1" s="2268"/>
      <c r="S1" s="2268"/>
      <c r="T1" s="2268"/>
      <c r="U1" s="2268"/>
      <c r="V1" s="2268"/>
      <c r="W1" s="2268"/>
      <c r="X1" s="2268"/>
    </row>
    <row r="2" spans="1:25" ht="16.5" x14ac:dyDescent="0.3">
      <c r="A2" s="3122" t="str">
        <f>+Index!$A$2</f>
        <v>2024 ACFR Worksheets</v>
      </c>
      <c r="B2" s="3122"/>
      <c r="C2" s="3122"/>
      <c r="D2" s="3122"/>
      <c r="E2" s="3122"/>
      <c r="F2" s="3122"/>
      <c r="G2" s="3122"/>
      <c r="H2" s="2268"/>
      <c r="I2" s="2251"/>
      <c r="J2" s="946"/>
      <c r="K2" s="943" t="s">
        <v>4824</v>
      </c>
      <c r="L2" s="947">
        <v>0.15</v>
      </c>
      <c r="M2" s="2251"/>
      <c r="N2" s="2554"/>
      <c r="O2" s="2251"/>
      <c r="Q2" s="329"/>
      <c r="R2" s="329"/>
      <c r="S2" s="329"/>
      <c r="T2" s="329"/>
      <c r="U2" s="329"/>
      <c r="V2" s="329"/>
      <c r="W2" s="329"/>
      <c r="X2" s="329"/>
    </row>
    <row r="3" spans="1:25" ht="27.75" customHeight="1" x14ac:dyDescent="0.3">
      <c r="B3" s="3123" t="s">
        <v>4919</v>
      </c>
      <c r="C3" s="3123"/>
      <c r="D3" s="3123"/>
      <c r="E3" s="3123"/>
      <c r="F3" s="3123"/>
      <c r="G3" s="3123"/>
      <c r="H3" s="2436"/>
      <c r="I3" s="2436"/>
      <c r="J3" s="948"/>
      <c r="K3" s="943" t="s">
        <v>4826</v>
      </c>
      <c r="L3" s="949">
        <v>40000000</v>
      </c>
      <c r="M3" s="2436"/>
      <c r="N3" s="2554"/>
      <c r="O3" s="2436"/>
      <c r="Q3" s="329"/>
      <c r="R3" s="329"/>
      <c r="S3" s="329"/>
      <c r="T3" s="329"/>
      <c r="U3" s="329"/>
      <c r="V3" s="329"/>
      <c r="W3" s="329"/>
      <c r="X3" s="329"/>
    </row>
    <row r="4" spans="1:25" ht="12.75" customHeight="1" x14ac:dyDescent="0.25">
      <c r="A4" s="2607"/>
      <c r="B4" s="2607"/>
      <c r="C4" s="2607"/>
      <c r="D4" s="2607"/>
      <c r="E4" s="2607"/>
      <c r="F4" s="2607"/>
      <c r="G4" s="2607"/>
      <c r="H4" s="2287"/>
      <c r="I4" s="2287"/>
      <c r="J4" s="950"/>
      <c r="K4" s="943" t="s">
        <v>4828</v>
      </c>
      <c r="L4" s="951">
        <f>COUNTIF(N6:N260,"=C")</f>
        <v>0</v>
      </c>
      <c r="M4" s="27"/>
    </row>
    <row r="5" spans="1:25" s="105" customFormat="1" ht="13.5" customHeight="1" x14ac:dyDescent="0.2">
      <c r="B5" s="105" t="s">
        <v>318</v>
      </c>
      <c r="C5" s="335" t="str">
        <f>+Index!$E$10</f>
        <v>01</v>
      </c>
      <c r="D5" s="332"/>
      <c r="E5" s="332"/>
      <c r="H5" s="431" t="s">
        <v>320</v>
      </c>
      <c r="I5" s="3099" t="str">
        <f>+CONCATENATE(Index!$E$12," ",Index!$E$14)</f>
        <v xml:space="preserve"> </v>
      </c>
      <c r="J5" s="3099"/>
      <c r="K5" s="3099"/>
      <c r="L5" s="3099"/>
      <c r="M5"/>
      <c r="N5"/>
      <c r="O5"/>
      <c r="Q5" s="330"/>
      <c r="Y5" s="104"/>
    </row>
    <row r="6" spans="1:25" s="105" customFormat="1" ht="15" customHeight="1" x14ac:dyDescent="0.2">
      <c r="B6" s="105" t="s">
        <v>319</v>
      </c>
      <c r="C6" s="3117" t="str">
        <f>+Index!$E$11</f>
        <v>North Carolina General Assembly</v>
      </c>
      <c r="D6" s="3117"/>
      <c r="E6" s="3117"/>
      <c r="F6" s="3117"/>
      <c r="H6" s="425" t="s">
        <v>168</v>
      </c>
      <c r="I6" s="361"/>
      <c r="J6" s="3118">
        <f>+Index!$E$13</f>
        <v>0</v>
      </c>
      <c r="K6" s="3118"/>
      <c r="L6" s="3118"/>
      <c r="Q6" s="331"/>
      <c r="R6" s="331"/>
      <c r="S6" s="331"/>
      <c r="T6" s="331"/>
      <c r="U6" s="331"/>
      <c r="V6" s="331"/>
      <c r="W6" s="331"/>
      <c r="X6" s="106"/>
      <c r="Y6" s="104"/>
    </row>
    <row r="7" spans="1:25" s="105" customFormat="1" ht="15" customHeight="1" x14ac:dyDescent="0.2">
      <c r="B7" s="105" t="s">
        <v>545</v>
      </c>
      <c r="C7" s="595" t="e">
        <f>INDEX(NetAssetsData,MATCH('905'!$C$5,NetAssetsDataRow,0),4)</f>
        <v>#N/A</v>
      </c>
      <c r="D7" s="573"/>
      <c r="E7" s="573"/>
      <c r="G7" s="330"/>
      <c r="Y7" s="104"/>
    </row>
    <row r="8" spans="1:25" s="27" customFormat="1" ht="11.25" customHeight="1" x14ac:dyDescent="0.2">
      <c r="B8" s="803" t="s">
        <v>4920</v>
      </c>
      <c r="C8" s="804"/>
      <c r="D8" s="804"/>
      <c r="E8" s="804"/>
      <c r="F8" s="804"/>
      <c r="G8" s="804"/>
      <c r="H8" s="804"/>
      <c r="I8" s="805"/>
      <c r="J8" s="804"/>
      <c r="K8" s="941"/>
      <c r="L8" s="806"/>
    </row>
    <row r="9" spans="1:25" x14ac:dyDescent="0.2">
      <c r="F9" s="713" t="s">
        <v>4921</v>
      </c>
      <c r="H9" s="713" t="s">
        <v>4831</v>
      </c>
      <c r="N9" s="933" t="s">
        <v>4832</v>
      </c>
    </row>
    <row r="10" spans="1:25" ht="12.75" customHeight="1" x14ac:dyDescent="0.25">
      <c r="B10" s="69"/>
      <c r="C10" s="211"/>
      <c r="D10" s="211"/>
      <c r="E10" s="211"/>
      <c r="F10" s="223" t="str">
        <f>CONCATENATE("FY",YEAR(Data!$A$3),"-",YEAR(Data!$A$2))</f>
        <v>FY2023-2024</v>
      </c>
      <c r="G10" s="224"/>
      <c r="H10" s="223" t="str">
        <f>CONCATENATE("FY",YEAR(Data!$A$3)-1,"-",YEAR(Data!$A$2)-1)</f>
        <v>FY2022-2023</v>
      </c>
      <c r="I10" s="225"/>
      <c r="J10" s="223" t="s">
        <v>2414</v>
      </c>
      <c r="K10" s="226"/>
      <c r="L10" s="227" t="s">
        <v>4833</v>
      </c>
      <c r="M10" s="226"/>
      <c r="N10" s="227" t="s">
        <v>4834</v>
      </c>
    </row>
    <row r="11" spans="1:25" ht="10.5" customHeight="1" x14ac:dyDescent="0.2">
      <c r="B11" s="2442" t="s">
        <v>4835</v>
      </c>
      <c r="C11" s="432"/>
      <c r="D11" s="432"/>
      <c r="E11" s="432"/>
      <c r="F11" s="432"/>
      <c r="G11" s="432"/>
    </row>
    <row r="12" spans="1:25" ht="12" customHeight="1" x14ac:dyDescent="0.2">
      <c r="B12" s="213" t="s">
        <v>2737</v>
      </c>
      <c r="C12" s="213"/>
      <c r="D12" s="213"/>
      <c r="E12" s="213"/>
    </row>
    <row r="13" spans="1:25" ht="14.25" customHeight="1" x14ac:dyDescent="0.25">
      <c r="A13" s="170">
        <v>1000</v>
      </c>
      <c r="B13" s="2890" t="s">
        <v>1935</v>
      </c>
      <c r="C13" s="2890"/>
      <c r="D13" s="2380"/>
      <c r="E13" s="2380"/>
      <c r="F13" s="342">
        <f>'905Hosp'!F14</f>
        <v>0</v>
      </c>
      <c r="H13" s="342" t="e">
        <f>INDEX(PY905Data,MATCH($A13,PY905Row,0),MATCH($C$5,PY905Col,0))</f>
        <v>#N/A</v>
      </c>
      <c r="J13" s="228" t="e">
        <f t="shared" ref="J13:J38" si="0">F13-H13</f>
        <v>#N/A</v>
      </c>
      <c r="L13" s="229" t="e">
        <f t="shared" ref="L13:L38" si="1">IF(H13=0,0,J13/H13)</f>
        <v>#N/A</v>
      </c>
      <c r="N13" s="2317" t="str">
        <f>IF($F$88=0," ",IF(AND(ABS(J13)&gt;$L$3,ABS(L13)&gt;$L$2),"C",IF(AND(ABS(F13+H13)&gt;0,H13=0,ABS(J13)&gt;$L$3),"C"," ")))</f>
        <v xml:space="preserve"> </v>
      </c>
    </row>
    <row r="14" spans="1:25" ht="13.5" x14ac:dyDescent="0.25">
      <c r="A14" s="170">
        <v>1010</v>
      </c>
      <c r="B14" s="2890" t="s">
        <v>1539</v>
      </c>
      <c r="C14" s="2890"/>
      <c r="D14" s="2380"/>
      <c r="E14" s="2380"/>
      <c r="F14" s="341">
        <f>'905Hosp'!F15</f>
        <v>0</v>
      </c>
      <c r="H14" s="341" t="e">
        <f>INDEX(PY905Data,MATCH($A14,PY905Row,0),MATCH($C$5,PY905Col,0))</f>
        <v>#N/A</v>
      </c>
      <c r="J14" s="228" t="e">
        <f>F14-H14</f>
        <v>#N/A</v>
      </c>
      <c r="L14" s="229" t="e">
        <f>IF(H14=0,0,J14/H14)</f>
        <v>#N/A</v>
      </c>
      <c r="N14" s="2317" t="str">
        <f>IF($F$88=0," ",IF(AND(ABS(J14)&gt;$L$3,ABS(L14)&gt;$L$2),"C",IF(AND(ABS(F14+H14)&gt;0,H14=0,ABS(J14)&gt;$L$3),"C"," ")))</f>
        <v xml:space="preserve"> </v>
      </c>
    </row>
    <row r="15" spans="1:25" ht="13.5" x14ac:dyDescent="0.25">
      <c r="A15" s="170">
        <v>1050</v>
      </c>
      <c r="B15" s="2890" t="s">
        <v>2738</v>
      </c>
      <c r="C15" s="2890"/>
      <c r="D15" s="2380"/>
      <c r="E15" s="2380"/>
      <c r="F15" s="341">
        <f>'905Hosp'!F16</f>
        <v>0</v>
      </c>
      <c r="H15" s="341" t="e">
        <f>INDEX(PY905Data,MATCH($A15,PY905Row,0),MATCH($C$5,PY905Col,0))</f>
        <v>#N/A</v>
      </c>
      <c r="J15" s="228" t="e">
        <f t="shared" si="0"/>
        <v>#N/A</v>
      </c>
      <c r="L15" s="229" t="e">
        <f t="shared" si="1"/>
        <v>#N/A</v>
      </c>
      <c r="N15" s="2317" t="str">
        <f>IF($F$88=0," ",IF(AND(ABS(J15)&gt;$L$3,ABS(L15)&gt;$L$2),"C",IF(AND(ABS(F15+H15)&gt;0,H15=0,ABS(J15)&gt;$L$3),"C"," ")))</f>
        <v xml:space="preserve"> </v>
      </c>
    </row>
    <row r="16" spans="1:25" ht="12.75" customHeight="1" x14ac:dyDescent="0.25">
      <c r="A16" s="170">
        <v>1060</v>
      </c>
      <c r="B16" s="2890" t="s">
        <v>2739</v>
      </c>
      <c r="C16" s="2890"/>
      <c r="D16" s="2380"/>
      <c r="E16" s="2380"/>
      <c r="F16" s="341">
        <f>'905Hosp'!F17</f>
        <v>0</v>
      </c>
      <c r="H16" s="341" t="e">
        <f>INDEX(PY905Data,MATCH($A16,PY905Row,0),MATCH($C$5,PY905Col,0))</f>
        <v>#N/A</v>
      </c>
      <c r="J16" s="228" t="e">
        <f>F16-H16</f>
        <v>#N/A</v>
      </c>
      <c r="L16" s="229" t="e">
        <f>IF(H16=0,0,J16/H16)</f>
        <v>#N/A</v>
      </c>
      <c r="N16" s="2317" t="str">
        <f>IF($F$88=0," ",IF(AND(ABS(J16)&gt;$L$3,ABS(L16)&gt;$L$2),"C",IF(AND(ABS(F16+H16)&gt;0,H16=0,ABS(J16)&gt;$L$3),"C"," ")))</f>
        <v xml:space="preserve"> </v>
      </c>
    </row>
    <row r="17" spans="1:15" ht="13.5" x14ac:dyDescent="0.25">
      <c r="A17" s="170">
        <v>1090</v>
      </c>
      <c r="B17" s="2890" t="s">
        <v>3040</v>
      </c>
      <c r="C17" s="2890"/>
      <c r="D17" s="2380"/>
      <c r="E17" s="2380"/>
      <c r="F17" s="341">
        <f>'905Hosp'!F18</f>
        <v>0</v>
      </c>
      <c r="H17" s="341" t="e">
        <f>INDEX(PY905Data,MATCH($A17,PY905Row,0),MATCH($C$5,PY905Col,0))</f>
        <v>#N/A</v>
      </c>
      <c r="J17" s="228" t="e">
        <f>F17-H17</f>
        <v>#N/A</v>
      </c>
      <c r="L17" s="229" t="e">
        <f>IF(H17=0,0,J17/H17)</f>
        <v>#N/A</v>
      </c>
      <c r="N17" s="2317" t="str">
        <f>IF($F$88=0," ",IF(AND(ABS(J17)&gt;$L$3,ABS(L17)&gt;$L$2),"C",IF(AND(ABS(F17+H17)&gt;0,H17=0,ABS(J17)&gt;$L$3),"C"," ")))</f>
        <v xml:space="preserve"> </v>
      </c>
    </row>
    <row r="18" spans="1:15" ht="12.75" customHeight="1" x14ac:dyDescent="0.25">
      <c r="A18" s="170"/>
      <c r="B18" s="170" t="s">
        <v>2741</v>
      </c>
      <c r="C18" s="170"/>
      <c r="D18" s="170"/>
      <c r="E18" s="170"/>
      <c r="J18" s="228"/>
      <c r="L18" s="229"/>
    </row>
    <row r="19" spans="1:15" ht="12.75" customHeight="1" x14ac:dyDescent="0.25">
      <c r="A19" s="170">
        <v>1110</v>
      </c>
      <c r="B19" s="3116" t="s">
        <v>2742</v>
      </c>
      <c r="C19" s="3116"/>
      <c r="D19" s="2440"/>
      <c r="E19" s="2440"/>
      <c r="F19" s="341">
        <f>'905Hosp'!F20</f>
        <v>0</v>
      </c>
      <c r="H19" s="341" t="e">
        <f t="shared" ref="H19:H37" si="2">INDEX(PY905Data,MATCH($A19,PY905Row,0),MATCH($C$5,PY905Col,0))</f>
        <v>#N/A</v>
      </c>
      <c r="J19" s="228" t="e">
        <f t="shared" si="0"/>
        <v>#N/A</v>
      </c>
      <c r="L19" s="229" t="e">
        <f t="shared" si="1"/>
        <v>#N/A</v>
      </c>
      <c r="N19" s="2317" t="str">
        <f t="shared" ref="N19:N37" si="3">IF($F$88=0," ",IF(AND(ABS(J19)&gt;$L$3,ABS(L19)&gt;$L$2),"C",IF(AND(ABS(F19+H19)&gt;0,H19=0,ABS(J19)&gt;$L$3),"C"," ")))</f>
        <v xml:space="preserve"> </v>
      </c>
    </row>
    <row r="20" spans="1:15" ht="13.5" x14ac:dyDescent="0.25">
      <c r="A20" s="170">
        <v>1120</v>
      </c>
      <c r="B20" s="3116" t="s">
        <v>2743</v>
      </c>
      <c r="C20" s="3116"/>
      <c r="D20" s="2440"/>
      <c r="E20" s="2440"/>
      <c r="F20" s="341">
        <f>'905Hosp'!F21</f>
        <v>0</v>
      </c>
      <c r="H20" s="341" t="e">
        <f t="shared" si="2"/>
        <v>#N/A</v>
      </c>
      <c r="J20" s="228" t="e">
        <f t="shared" si="0"/>
        <v>#N/A</v>
      </c>
      <c r="L20" s="229" t="e">
        <f t="shared" si="1"/>
        <v>#N/A</v>
      </c>
      <c r="N20" s="2317" t="str">
        <f t="shared" si="3"/>
        <v xml:space="preserve"> </v>
      </c>
    </row>
    <row r="21" spans="1:15" ht="13.5" x14ac:dyDescent="0.25">
      <c r="A21" s="170">
        <v>1130</v>
      </c>
      <c r="B21" s="3116" t="s">
        <v>2744</v>
      </c>
      <c r="C21" s="3116"/>
      <c r="D21" s="2440"/>
      <c r="E21" s="2440"/>
      <c r="F21" s="341">
        <f>'905Hosp'!F22</f>
        <v>0</v>
      </c>
      <c r="H21" s="341" t="e">
        <f t="shared" si="2"/>
        <v>#N/A</v>
      </c>
      <c r="J21" s="228" t="e">
        <f t="shared" si="0"/>
        <v>#N/A</v>
      </c>
      <c r="L21" s="229" t="e">
        <f t="shared" si="1"/>
        <v>#N/A</v>
      </c>
      <c r="N21" s="2317" t="str">
        <f t="shared" si="3"/>
        <v xml:space="preserve"> </v>
      </c>
    </row>
    <row r="22" spans="1:15" ht="13.5" x14ac:dyDescent="0.25">
      <c r="A22" s="170">
        <v>1160</v>
      </c>
      <c r="B22" s="3116" t="s">
        <v>2745</v>
      </c>
      <c r="C22" s="3116"/>
      <c r="D22" s="2440"/>
      <c r="E22" s="2440"/>
      <c r="F22" s="341">
        <f>'905Hosp'!F23</f>
        <v>0</v>
      </c>
      <c r="H22" s="341" t="e">
        <f t="shared" si="2"/>
        <v>#N/A</v>
      </c>
      <c r="J22" s="228" t="e">
        <f t="shared" si="0"/>
        <v>#N/A</v>
      </c>
      <c r="L22" s="229" t="e">
        <f t="shared" si="1"/>
        <v>#N/A</v>
      </c>
      <c r="N22" s="2317" t="str">
        <f t="shared" si="3"/>
        <v xml:space="preserve"> </v>
      </c>
    </row>
    <row r="23" spans="1:15" ht="13.5" x14ac:dyDescent="0.25">
      <c r="A23" s="170">
        <v>1175</v>
      </c>
      <c r="B23" s="2890" t="s">
        <v>3094</v>
      </c>
      <c r="C23" s="2890"/>
      <c r="D23" s="2440"/>
      <c r="E23" s="2440"/>
      <c r="F23" s="341">
        <f>'905Hosp'!F24</f>
        <v>0</v>
      </c>
      <c r="H23" s="341" t="e">
        <f t="shared" si="2"/>
        <v>#N/A</v>
      </c>
      <c r="J23" s="228" t="e">
        <f t="shared" si="0"/>
        <v>#N/A</v>
      </c>
      <c r="L23" s="229" t="e">
        <f t="shared" si="1"/>
        <v>#N/A</v>
      </c>
      <c r="N23" s="2317" t="str">
        <f t="shared" si="3"/>
        <v xml:space="preserve"> </v>
      </c>
    </row>
    <row r="24" spans="1:15" ht="13.5" x14ac:dyDescent="0.25">
      <c r="A24" s="638">
        <v>1190</v>
      </c>
      <c r="B24" s="2890" t="s">
        <v>4836</v>
      </c>
      <c r="C24" s="2890"/>
      <c r="D24" s="2380"/>
      <c r="E24" s="2380"/>
      <c r="F24" s="341">
        <f>'905Hosp'!F25</f>
        <v>0</v>
      </c>
      <c r="H24" s="341" t="e">
        <f t="shared" si="2"/>
        <v>#N/A</v>
      </c>
      <c r="J24" s="228" t="e">
        <f t="shared" si="0"/>
        <v>#N/A</v>
      </c>
      <c r="L24" s="229" t="e">
        <f t="shared" si="1"/>
        <v>#N/A</v>
      </c>
      <c r="N24" s="2317" t="str">
        <f t="shared" si="3"/>
        <v xml:space="preserve"> </v>
      </c>
    </row>
    <row r="25" spans="1:15" ht="13.5" x14ac:dyDescent="0.25">
      <c r="A25" s="638">
        <v>1195</v>
      </c>
      <c r="B25" s="2890" t="s">
        <v>3098</v>
      </c>
      <c r="C25" s="2890"/>
      <c r="D25" s="2380"/>
      <c r="E25" s="2380"/>
      <c r="F25" s="341">
        <f>'905Hosp'!F26</f>
        <v>0</v>
      </c>
      <c r="H25" s="341" t="e">
        <f t="shared" si="2"/>
        <v>#N/A</v>
      </c>
      <c r="J25" s="228" t="e">
        <f>F25-H25</f>
        <v>#N/A</v>
      </c>
      <c r="L25" s="229" t="e">
        <f>IF(H25=0,0,J25/H25)</f>
        <v>#N/A</v>
      </c>
      <c r="N25" s="2317" t="str">
        <f t="shared" si="3"/>
        <v xml:space="preserve"> </v>
      </c>
    </row>
    <row r="26" spans="1:15" ht="13.5" x14ac:dyDescent="0.25">
      <c r="A26" s="638">
        <v>1200</v>
      </c>
      <c r="B26" s="2890" t="s">
        <v>3101</v>
      </c>
      <c r="C26" s="2890"/>
      <c r="D26" s="2380"/>
      <c r="E26" s="2380"/>
      <c r="F26" s="341">
        <f>'905Hosp'!F27</f>
        <v>0</v>
      </c>
      <c r="H26" s="341" t="e">
        <f t="shared" si="2"/>
        <v>#N/A</v>
      </c>
      <c r="J26" s="228" t="e">
        <f t="shared" si="0"/>
        <v>#N/A</v>
      </c>
      <c r="L26" s="229" t="e">
        <f t="shared" si="1"/>
        <v>#N/A</v>
      </c>
      <c r="N26" s="2317" t="str">
        <f t="shared" si="3"/>
        <v xml:space="preserve"> </v>
      </c>
    </row>
    <row r="27" spans="1:15" ht="13.5" x14ac:dyDescent="0.25">
      <c r="A27" s="170">
        <v>1220</v>
      </c>
      <c r="B27" s="2890" t="s">
        <v>2750</v>
      </c>
      <c r="C27" s="2890"/>
      <c r="D27" s="2380"/>
      <c r="E27" s="2380"/>
      <c r="F27" s="341">
        <f>'905Hosp'!F28</f>
        <v>0</v>
      </c>
      <c r="H27" s="341" t="e">
        <f t="shared" si="2"/>
        <v>#N/A</v>
      </c>
      <c r="J27" s="228" t="e">
        <f t="shared" si="0"/>
        <v>#N/A</v>
      </c>
      <c r="L27" s="229" t="e">
        <f t="shared" si="1"/>
        <v>#N/A</v>
      </c>
      <c r="N27" s="2317" t="str">
        <f t="shared" si="3"/>
        <v xml:space="preserve"> </v>
      </c>
    </row>
    <row r="28" spans="1:15" ht="13.5" x14ac:dyDescent="0.25">
      <c r="A28" s="170">
        <v>1230</v>
      </c>
      <c r="B28" s="2890" t="s">
        <v>2751</v>
      </c>
      <c r="C28" s="2890"/>
      <c r="D28" s="2380"/>
      <c r="E28" s="2380"/>
      <c r="F28" s="341">
        <f>'905Hosp'!F29</f>
        <v>0</v>
      </c>
      <c r="H28" s="341" t="e">
        <f t="shared" si="2"/>
        <v>#N/A</v>
      </c>
      <c r="J28" s="228" t="e">
        <f t="shared" si="0"/>
        <v>#N/A</v>
      </c>
      <c r="L28" s="229" t="e">
        <f t="shared" si="1"/>
        <v>#N/A</v>
      </c>
      <c r="N28" s="2317" t="str">
        <f t="shared" si="3"/>
        <v xml:space="preserve"> </v>
      </c>
    </row>
    <row r="29" spans="1:15" ht="12.75" customHeight="1" x14ac:dyDescent="0.25">
      <c r="A29" s="170">
        <v>1210</v>
      </c>
      <c r="B29" s="2890" t="s">
        <v>2752</v>
      </c>
      <c r="C29" s="2890"/>
      <c r="D29" s="2380"/>
      <c r="E29" s="2380"/>
      <c r="F29" s="341">
        <f>'905Hosp'!F30</f>
        <v>0</v>
      </c>
      <c r="H29" s="341" t="e">
        <f t="shared" si="2"/>
        <v>#N/A</v>
      </c>
      <c r="J29" s="228" t="e">
        <f t="shared" si="0"/>
        <v>#N/A</v>
      </c>
      <c r="L29" s="229" t="e">
        <f t="shared" si="1"/>
        <v>#N/A</v>
      </c>
      <c r="N29" s="2317" t="str">
        <f t="shared" si="3"/>
        <v xml:space="preserve"> </v>
      </c>
    </row>
    <row r="30" spans="1:15" ht="12.75" customHeight="1" x14ac:dyDescent="0.25">
      <c r="A30" s="170">
        <v>1211</v>
      </c>
      <c r="B30" s="2890" t="s">
        <v>4668</v>
      </c>
      <c r="C30" s="2890"/>
      <c r="D30" s="2380"/>
      <c r="E30" s="2380"/>
      <c r="F30" s="341">
        <f>'905Hosp'!F31</f>
        <v>0</v>
      </c>
      <c r="H30" s="341" t="e">
        <f t="shared" si="2"/>
        <v>#N/A</v>
      </c>
      <c r="J30" s="228" t="e">
        <f t="shared" si="0"/>
        <v>#N/A</v>
      </c>
      <c r="L30" s="229" t="e">
        <f t="shared" si="1"/>
        <v>#N/A</v>
      </c>
      <c r="N30" s="2317" t="str">
        <f t="shared" si="3"/>
        <v xml:space="preserve"> </v>
      </c>
    </row>
    <row r="31" spans="1:15" ht="12.75" customHeight="1" x14ac:dyDescent="0.25">
      <c r="A31" s="2009">
        <v>1214</v>
      </c>
      <c r="B31" s="3083" t="s">
        <v>4669</v>
      </c>
      <c r="C31" s="3083"/>
      <c r="D31" s="3083"/>
      <c r="E31" s="3083"/>
      <c r="F31" s="341">
        <f>'905Hosp'!F32</f>
        <v>0</v>
      </c>
      <c r="H31" s="341" t="e">
        <f>INDEX(PY905Data,MATCH($A31,PY905Row,0),MATCH($C$5,PY905Col,0))</f>
        <v>#N/A</v>
      </c>
      <c r="J31" s="228" t="e">
        <f>F31-H31</f>
        <v>#N/A</v>
      </c>
      <c r="L31" s="229" t="e">
        <f>IF(H31=0,0,J31/H31)</f>
        <v>#N/A</v>
      </c>
      <c r="N31" s="2317" t="str">
        <f t="shared" si="3"/>
        <v xml:space="preserve"> </v>
      </c>
      <c r="O31" s="1814" t="s">
        <v>4837</v>
      </c>
    </row>
    <row r="32" spans="1:15" ht="13.5" x14ac:dyDescent="0.25">
      <c r="A32" s="170">
        <v>1020</v>
      </c>
      <c r="B32" s="2890" t="s">
        <v>1948</v>
      </c>
      <c r="C32" s="2890"/>
      <c r="D32" s="2380"/>
      <c r="E32" s="2380"/>
      <c r="F32" s="341">
        <f>'905Hosp'!F33</f>
        <v>0</v>
      </c>
      <c r="H32" s="341" t="e">
        <f t="shared" si="2"/>
        <v>#N/A</v>
      </c>
      <c r="J32" s="228" t="e">
        <f t="shared" si="0"/>
        <v>#N/A</v>
      </c>
      <c r="L32" s="229" t="e">
        <f t="shared" si="1"/>
        <v>#N/A</v>
      </c>
      <c r="N32" s="2317" t="str">
        <f t="shared" si="3"/>
        <v xml:space="preserve"> </v>
      </c>
    </row>
    <row r="33" spans="1:15" ht="13.5" x14ac:dyDescent="0.25">
      <c r="A33" s="170">
        <v>1030</v>
      </c>
      <c r="B33" s="2890" t="s">
        <v>4838</v>
      </c>
      <c r="C33" s="2890"/>
      <c r="D33" s="2380"/>
      <c r="E33" s="2380"/>
      <c r="F33" s="341">
        <f>'905Hosp'!F34</f>
        <v>0</v>
      </c>
      <c r="H33" s="341" t="e">
        <f t="shared" si="2"/>
        <v>#N/A</v>
      </c>
      <c r="J33" s="228" t="e">
        <f>F33-H33</f>
        <v>#N/A</v>
      </c>
      <c r="L33" s="229" t="e">
        <f>IF(H33=0,0,J33/H33)</f>
        <v>#N/A</v>
      </c>
      <c r="N33" s="2317" t="str">
        <f t="shared" si="3"/>
        <v xml:space="preserve"> </v>
      </c>
    </row>
    <row r="34" spans="1:15" ht="13.5" x14ac:dyDescent="0.25">
      <c r="A34" s="170">
        <v>1070</v>
      </c>
      <c r="B34" s="2890" t="s">
        <v>2758</v>
      </c>
      <c r="C34" s="2890"/>
      <c r="D34" s="2380"/>
      <c r="E34" s="2380"/>
      <c r="F34" s="341">
        <f>'905Hosp'!F35</f>
        <v>0</v>
      </c>
      <c r="H34" s="341" t="e">
        <f t="shared" si="2"/>
        <v>#N/A</v>
      </c>
      <c r="J34" s="228" t="e">
        <f t="shared" si="0"/>
        <v>#N/A</v>
      </c>
      <c r="L34" s="229" t="e">
        <f t="shared" si="1"/>
        <v>#N/A</v>
      </c>
      <c r="N34" s="2317" t="str">
        <f t="shared" si="3"/>
        <v xml:space="preserve"> </v>
      </c>
    </row>
    <row r="35" spans="1:15" ht="13.5" x14ac:dyDescent="0.25">
      <c r="A35" s="170">
        <v>1232</v>
      </c>
      <c r="B35" s="2890" t="s">
        <v>2759</v>
      </c>
      <c r="C35" s="2890"/>
      <c r="D35" s="2380"/>
      <c r="E35" s="2380"/>
      <c r="F35" s="212">
        <f>'905Hosp'!F36</f>
        <v>0</v>
      </c>
      <c r="H35" s="341" t="e">
        <f t="shared" si="2"/>
        <v>#N/A</v>
      </c>
      <c r="J35" s="228" t="e">
        <f t="shared" si="0"/>
        <v>#N/A</v>
      </c>
      <c r="L35" s="229" t="e">
        <f t="shared" si="1"/>
        <v>#N/A</v>
      </c>
      <c r="N35" s="2317" t="str">
        <f t="shared" si="3"/>
        <v xml:space="preserve"> </v>
      </c>
    </row>
    <row r="36" spans="1:15" ht="13.5" x14ac:dyDescent="0.25">
      <c r="A36" s="170">
        <v>1235</v>
      </c>
      <c r="B36" s="2890" t="s">
        <v>2760</v>
      </c>
      <c r="C36" s="2890"/>
      <c r="D36" s="2380"/>
      <c r="E36" s="2380"/>
      <c r="F36" s="212">
        <f>'905Hosp'!F37</f>
        <v>0</v>
      </c>
      <c r="H36" s="341" t="e">
        <f t="shared" si="2"/>
        <v>#N/A</v>
      </c>
      <c r="J36" s="228" t="e">
        <f>F36-H36</f>
        <v>#N/A</v>
      </c>
      <c r="L36" s="229" t="e">
        <f>IF(H36=0,0,J36/H36)</f>
        <v>#N/A</v>
      </c>
      <c r="N36" s="2317" t="str">
        <f t="shared" si="3"/>
        <v xml:space="preserve"> </v>
      </c>
      <c r="O36" s="971"/>
    </row>
    <row r="37" spans="1:15" ht="13.5" x14ac:dyDescent="0.25">
      <c r="A37" s="170">
        <v>1233</v>
      </c>
      <c r="B37" s="2890" t="s">
        <v>2761</v>
      </c>
      <c r="C37" s="2890"/>
      <c r="D37" s="2380"/>
      <c r="E37" s="2380"/>
      <c r="F37" s="212">
        <f>'905Hosp'!F38</f>
        <v>0</v>
      </c>
      <c r="H37" s="341" t="e">
        <f t="shared" si="2"/>
        <v>#N/A</v>
      </c>
      <c r="J37" s="228" t="e">
        <f t="shared" si="0"/>
        <v>#N/A</v>
      </c>
      <c r="L37" s="229" t="e">
        <f t="shared" si="1"/>
        <v>#N/A</v>
      </c>
      <c r="N37" s="2317" t="str">
        <f t="shared" si="3"/>
        <v xml:space="preserve"> </v>
      </c>
      <c r="O37" s="971"/>
    </row>
    <row r="38" spans="1:15" ht="13.5" x14ac:dyDescent="0.25">
      <c r="B38" s="2890" t="s">
        <v>3149</v>
      </c>
      <c r="C38" s="2890"/>
      <c r="D38" s="2380"/>
      <c r="E38" s="2380"/>
      <c r="F38" s="350">
        <f>SUM(F13:F37)</f>
        <v>0</v>
      </c>
      <c r="H38" s="350" t="e">
        <f>SUM(H13:H37)</f>
        <v>#N/A</v>
      </c>
      <c r="J38" s="228" t="e">
        <f t="shared" si="0"/>
        <v>#N/A</v>
      </c>
      <c r="L38" s="229" t="e">
        <f t="shared" si="1"/>
        <v>#N/A</v>
      </c>
    </row>
    <row r="39" spans="1:15" ht="6" customHeight="1" x14ac:dyDescent="0.25">
      <c r="B39" s="2421"/>
      <c r="C39" s="2421"/>
      <c r="D39" s="2421"/>
      <c r="E39" s="2421"/>
      <c r="L39" s="229"/>
    </row>
    <row r="40" spans="1:15" ht="10.5" customHeight="1" x14ac:dyDescent="0.25">
      <c r="B40" s="213" t="s">
        <v>2763</v>
      </c>
      <c r="C40" s="213"/>
      <c r="D40" s="213"/>
      <c r="E40" s="213"/>
      <c r="L40" s="229"/>
    </row>
    <row r="41" spans="1:15" ht="12" customHeight="1" x14ac:dyDescent="0.25">
      <c r="A41" s="170">
        <v>1300</v>
      </c>
      <c r="B41" s="2890" t="s">
        <v>1540</v>
      </c>
      <c r="C41" s="2890"/>
      <c r="D41" s="2380"/>
      <c r="E41" s="2380"/>
      <c r="F41" s="341">
        <f>'905Hosp'!F42</f>
        <v>0</v>
      </c>
      <c r="H41" s="341" t="e">
        <f>INDEX(PY905Data,MATCH($A41,PY905Row,0),MATCH($C$5,PY905Col,0))</f>
        <v>#N/A</v>
      </c>
      <c r="J41" s="228" t="e">
        <f>F41-H41</f>
        <v>#N/A</v>
      </c>
      <c r="L41" s="229" t="e">
        <f>IF(H41=0,0,J41/H41)</f>
        <v>#N/A</v>
      </c>
      <c r="N41" s="2317" t="str">
        <f>IF($F$88=0," ",IF(AND(ABS(J41)&gt;$L$3,ABS(L41)&gt;$L$2),"C",IF(AND(ABS(F41+H41)&gt;0,H41=0,ABS(J41)&gt;$L$3),"C"," ")))</f>
        <v xml:space="preserve"> </v>
      </c>
    </row>
    <row r="42" spans="1:15" ht="13.5" x14ac:dyDescent="0.25">
      <c r="A42" s="170">
        <v>1310</v>
      </c>
      <c r="B42" s="2890" t="s">
        <v>2391</v>
      </c>
      <c r="C42" s="2890"/>
      <c r="D42" s="2380"/>
      <c r="E42" s="2380"/>
      <c r="F42" s="341">
        <f>'905Hosp'!F43</f>
        <v>0</v>
      </c>
      <c r="H42" s="341" t="e">
        <f>INDEX(PY905Data,MATCH($A42,PY905Row,0),MATCH($C$5,PY905Col,0))</f>
        <v>#N/A</v>
      </c>
      <c r="J42" s="228" t="e">
        <f>F42-H42</f>
        <v>#N/A</v>
      </c>
      <c r="L42" s="229" t="e">
        <f>IF(H42=0,0,J42/H42)</f>
        <v>#N/A</v>
      </c>
      <c r="N42" s="2317" t="str">
        <f>IF($F$88=0," ",IF(AND(ABS(J42)&gt;$L$3,ABS(L42)&gt;$L$2),"C",IF(AND(ABS(F42+H42)&gt;0,H42=0,ABS(J42)&gt;$L$3),"C"," ")))</f>
        <v xml:space="preserve"> </v>
      </c>
    </row>
    <row r="43" spans="1:15" ht="11.25" customHeight="1" x14ac:dyDescent="0.25">
      <c r="A43" s="170"/>
      <c r="B43" s="170" t="s">
        <v>2741</v>
      </c>
      <c r="C43" s="170"/>
      <c r="D43" s="170"/>
      <c r="E43" s="170"/>
      <c r="J43" s="228"/>
      <c r="L43" s="229"/>
    </row>
    <row r="44" spans="1:15" ht="13.5" x14ac:dyDescent="0.25">
      <c r="A44" s="170">
        <v>1340</v>
      </c>
      <c r="B44" s="3116" t="s">
        <v>2742</v>
      </c>
      <c r="C44" s="3116"/>
      <c r="D44" s="2440"/>
      <c r="E44" s="2440"/>
      <c r="F44" s="341">
        <f>'905Hosp'!F45</f>
        <v>0</v>
      </c>
      <c r="H44" s="341" t="e">
        <f t="shared" ref="H44:H56" si="4">INDEX(PY905Data,MATCH($A44,PY905Row,0),MATCH($C$5,PY905Col,0))</f>
        <v>#N/A</v>
      </c>
      <c r="J44" s="228" t="e">
        <f t="shared" ref="J44:J61" si="5">F44-H44</f>
        <v>#N/A</v>
      </c>
      <c r="L44" s="229" t="e">
        <f t="shared" ref="L44:L61" si="6">IF(H44=0,0,J44/H44)</f>
        <v>#N/A</v>
      </c>
      <c r="N44" s="2317" t="str">
        <f t="shared" ref="N44:N61" si="7">IF($F$88=0," ",IF(AND(ABS(J44)&gt;$L$3,ABS(L44)&gt;$L$2),"C",IF(AND(ABS(F44+H44)&gt;0,H44=0,ABS(J44)&gt;$L$3),"C"," ")))</f>
        <v xml:space="preserve"> </v>
      </c>
    </row>
    <row r="45" spans="1:15" ht="13.5" x14ac:dyDescent="0.25">
      <c r="A45" s="170">
        <v>1345</v>
      </c>
      <c r="B45" s="3116" t="s">
        <v>2743</v>
      </c>
      <c r="C45" s="3116"/>
      <c r="D45" s="2440"/>
      <c r="E45" s="2440"/>
      <c r="F45" s="341">
        <f>'905Hosp'!F46</f>
        <v>0</v>
      </c>
      <c r="H45" s="341" t="e">
        <f t="shared" si="4"/>
        <v>#N/A</v>
      </c>
      <c r="J45" s="228" t="e">
        <f t="shared" si="5"/>
        <v>#N/A</v>
      </c>
      <c r="L45" s="229" t="e">
        <f t="shared" si="6"/>
        <v>#N/A</v>
      </c>
      <c r="N45" s="2317" t="str">
        <f t="shared" si="7"/>
        <v xml:space="preserve"> </v>
      </c>
    </row>
    <row r="46" spans="1:15" ht="13.5" x14ac:dyDescent="0.25">
      <c r="A46" s="170">
        <v>1350</v>
      </c>
      <c r="B46" s="3116" t="s">
        <v>2744</v>
      </c>
      <c r="C46" s="3116"/>
      <c r="D46" s="2440"/>
      <c r="E46" s="2440"/>
      <c r="F46" s="341">
        <f>'905Hosp'!F47</f>
        <v>0</v>
      </c>
      <c r="H46" s="341" t="e">
        <f t="shared" si="4"/>
        <v>#N/A</v>
      </c>
      <c r="J46" s="228" t="e">
        <f t="shared" si="5"/>
        <v>#N/A</v>
      </c>
      <c r="L46" s="229" t="e">
        <f t="shared" si="6"/>
        <v>#N/A</v>
      </c>
      <c r="N46" s="2317" t="str">
        <f t="shared" si="7"/>
        <v xml:space="preserve"> </v>
      </c>
    </row>
    <row r="47" spans="1:15" ht="13.5" x14ac:dyDescent="0.25">
      <c r="A47" s="170">
        <v>1370</v>
      </c>
      <c r="B47" s="3116" t="s">
        <v>2745</v>
      </c>
      <c r="C47" s="3116"/>
      <c r="D47" s="2440"/>
      <c r="E47" s="2440"/>
      <c r="F47" s="341">
        <f>'905Hosp'!F48</f>
        <v>0</v>
      </c>
      <c r="H47" s="341" t="e">
        <f t="shared" si="4"/>
        <v>#N/A</v>
      </c>
      <c r="J47" s="228" t="e">
        <f t="shared" si="5"/>
        <v>#N/A</v>
      </c>
      <c r="L47" s="229" t="e">
        <f t="shared" si="6"/>
        <v>#N/A</v>
      </c>
      <c r="N47" s="2317" t="str">
        <f t="shared" si="7"/>
        <v xml:space="preserve"> </v>
      </c>
    </row>
    <row r="48" spans="1:15" ht="13.5" x14ac:dyDescent="0.25">
      <c r="A48" s="170">
        <v>1400</v>
      </c>
      <c r="B48" s="2890" t="s">
        <v>2752</v>
      </c>
      <c r="C48" s="2890"/>
      <c r="D48" s="2380"/>
      <c r="E48" s="2380"/>
      <c r="F48" s="341">
        <f>'905Hosp'!F49</f>
        <v>0</v>
      </c>
      <c r="H48" s="341" t="e">
        <f t="shared" si="4"/>
        <v>#N/A</v>
      </c>
      <c r="J48" s="228" t="e">
        <f t="shared" si="5"/>
        <v>#N/A</v>
      </c>
      <c r="L48" s="229" t="e">
        <f>IF(H48=0,0,J48/H48)</f>
        <v>#N/A</v>
      </c>
      <c r="N48" s="2317" t="str">
        <f t="shared" si="7"/>
        <v xml:space="preserve"> </v>
      </c>
    </row>
    <row r="49" spans="1:15" ht="13.5" x14ac:dyDescent="0.25">
      <c r="A49" s="170">
        <v>1401</v>
      </c>
      <c r="B49" s="2890" t="s">
        <v>4668</v>
      </c>
      <c r="C49" s="2890"/>
      <c r="D49" s="2380"/>
      <c r="E49" s="2380"/>
      <c r="F49" s="341">
        <f>'905Hosp'!F50</f>
        <v>0</v>
      </c>
      <c r="H49" s="341" t="e">
        <f t="shared" si="4"/>
        <v>#N/A</v>
      </c>
      <c r="J49" s="228" t="e">
        <f t="shared" si="5"/>
        <v>#N/A</v>
      </c>
      <c r="L49" s="229" t="e">
        <f>IF(H49=0,0,J49/H49)</f>
        <v>#N/A</v>
      </c>
      <c r="N49" s="2317" t="str">
        <f t="shared" si="7"/>
        <v xml:space="preserve"> </v>
      </c>
    </row>
    <row r="50" spans="1:15" ht="13.5" x14ac:dyDescent="0.25">
      <c r="A50" s="2009">
        <v>1404</v>
      </c>
      <c r="B50" s="3083" t="s">
        <v>3199</v>
      </c>
      <c r="C50" s="3083"/>
      <c r="D50" s="3083"/>
      <c r="E50" s="3083"/>
      <c r="F50" s="341">
        <f>'905Hosp'!F51</f>
        <v>0</v>
      </c>
      <c r="H50" s="341" t="e">
        <f>INDEX(PY905Data,MATCH($A50,PY905Row,0),MATCH($C$5,PY905Col,0))</f>
        <v>#N/A</v>
      </c>
      <c r="J50" s="228" t="e">
        <f>F50-H50</f>
        <v>#N/A</v>
      </c>
      <c r="L50" s="229" t="e">
        <f>IF(H50=0,0,J50/H50)</f>
        <v>#N/A</v>
      </c>
      <c r="N50" s="2317" t="str">
        <f t="shared" si="7"/>
        <v xml:space="preserve"> </v>
      </c>
      <c r="O50" s="1814" t="s">
        <v>4837</v>
      </c>
    </row>
    <row r="51" spans="1:15" ht="13.5" x14ac:dyDescent="0.25">
      <c r="A51" s="170">
        <v>1415</v>
      </c>
      <c r="B51" s="2890" t="s">
        <v>2765</v>
      </c>
      <c r="C51" s="2890"/>
      <c r="D51" s="2380"/>
      <c r="E51" s="2380"/>
      <c r="F51" s="341">
        <f>'905Hosp'!F52</f>
        <v>0</v>
      </c>
      <c r="H51" s="341" t="e">
        <f t="shared" si="4"/>
        <v>#N/A</v>
      </c>
      <c r="J51" s="228" t="e">
        <f t="shared" si="5"/>
        <v>#N/A</v>
      </c>
      <c r="L51" s="229" t="e">
        <f t="shared" si="6"/>
        <v>#N/A</v>
      </c>
      <c r="N51" s="2317" t="str">
        <f t="shared" si="7"/>
        <v xml:space="preserve"> </v>
      </c>
    </row>
    <row r="52" spans="1:15" ht="13.5" x14ac:dyDescent="0.25">
      <c r="A52" s="170">
        <v>1420</v>
      </c>
      <c r="B52" s="2890" t="s">
        <v>4839</v>
      </c>
      <c r="C52" s="2890"/>
      <c r="D52" s="2380"/>
      <c r="E52" s="2380"/>
      <c r="F52" s="341">
        <f>'905Hosp'!F53</f>
        <v>0</v>
      </c>
      <c r="H52" s="341" t="e">
        <f t="shared" si="4"/>
        <v>#N/A</v>
      </c>
      <c r="J52" s="228" t="e">
        <f t="shared" si="5"/>
        <v>#N/A</v>
      </c>
      <c r="L52" s="229" t="e">
        <f t="shared" si="6"/>
        <v>#N/A</v>
      </c>
      <c r="N52" s="2317" t="str">
        <f t="shared" si="7"/>
        <v xml:space="preserve"> </v>
      </c>
    </row>
    <row r="53" spans="1:15" ht="13.5" x14ac:dyDescent="0.25">
      <c r="A53" s="170">
        <v>1270</v>
      </c>
      <c r="B53" s="2890" t="s">
        <v>1948</v>
      </c>
      <c r="C53" s="2890"/>
      <c r="D53" s="2380"/>
      <c r="E53" s="2380"/>
      <c r="F53" s="341">
        <f>'905Hosp'!F54</f>
        <v>0</v>
      </c>
      <c r="H53" s="341" t="e">
        <f t="shared" si="4"/>
        <v>#N/A</v>
      </c>
      <c r="J53" s="228" t="e">
        <f t="shared" si="5"/>
        <v>#N/A</v>
      </c>
      <c r="L53" s="229" t="e">
        <f t="shared" si="6"/>
        <v>#N/A</v>
      </c>
      <c r="N53" s="2317" t="str">
        <f t="shared" si="7"/>
        <v xml:space="preserve"> </v>
      </c>
    </row>
    <row r="54" spans="1:15" ht="13.5" x14ac:dyDescent="0.25">
      <c r="A54" s="170">
        <v>1280</v>
      </c>
      <c r="B54" s="2890" t="s">
        <v>1970</v>
      </c>
      <c r="C54" s="2890"/>
      <c r="D54" s="2380"/>
      <c r="E54" s="2380"/>
      <c r="F54" s="341">
        <f>'905Hosp'!F55</f>
        <v>0</v>
      </c>
      <c r="H54" s="341" t="e">
        <f t="shared" si="4"/>
        <v>#N/A</v>
      </c>
      <c r="J54" s="228" t="e">
        <f t="shared" si="5"/>
        <v>#N/A</v>
      </c>
      <c r="L54" s="229" t="e">
        <f t="shared" si="6"/>
        <v>#N/A</v>
      </c>
      <c r="N54" s="2317" t="str">
        <f t="shared" si="7"/>
        <v xml:space="preserve"> </v>
      </c>
    </row>
    <row r="55" spans="1:15" ht="13.5" x14ac:dyDescent="0.25">
      <c r="A55" s="170">
        <v>1410</v>
      </c>
      <c r="B55" s="2890" t="s">
        <v>4791</v>
      </c>
      <c r="C55" s="2890"/>
      <c r="D55" s="2380"/>
      <c r="E55" s="2380"/>
      <c r="F55" s="341">
        <f>'905Hosp'!F56</f>
        <v>0</v>
      </c>
      <c r="H55" s="341" t="e">
        <f t="shared" si="4"/>
        <v>#N/A</v>
      </c>
      <c r="J55" s="228" t="e">
        <f t="shared" si="5"/>
        <v>#N/A</v>
      </c>
      <c r="L55" s="229" t="e">
        <f t="shared" si="6"/>
        <v>#N/A</v>
      </c>
      <c r="N55" s="2317" t="str">
        <f t="shared" si="7"/>
        <v xml:space="preserve"> </v>
      </c>
    </row>
    <row r="56" spans="1:15" ht="12" customHeight="1" x14ac:dyDescent="0.25">
      <c r="A56" s="170"/>
      <c r="B56" s="2890" t="s">
        <v>4840</v>
      </c>
      <c r="C56" s="2890"/>
      <c r="D56" s="2380"/>
      <c r="E56" s="2380"/>
      <c r="F56" s="341">
        <f>'905Hosp'!F57</f>
        <v>0</v>
      </c>
      <c r="H56" s="341" t="e">
        <f t="shared" si="4"/>
        <v>#N/A</v>
      </c>
      <c r="J56" s="228" t="e">
        <f t="shared" si="5"/>
        <v>#N/A</v>
      </c>
      <c r="L56" s="229" t="e">
        <f t="shared" si="6"/>
        <v>#N/A</v>
      </c>
      <c r="N56" s="2317" t="str">
        <f t="shared" si="7"/>
        <v xml:space="preserve"> </v>
      </c>
    </row>
    <row r="57" spans="1:15" ht="13.5" x14ac:dyDescent="0.25">
      <c r="A57" s="638">
        <v>1395</v>
      </c>
      <c r="B57" s="2890" t="s">
        <v>4841</v>
      </c>
      <c r="C57" s="2890"/>
      <c r="D57" s="2380"/>
      <c r="E57" s="2380"/>
      <c r="F57" s="341">
        <f>'905Hosp'!F58</f>
        <v>0</v>
      </c>
      <c r="H57" s="341" t="e">
        <f>INDEX(PY905Data,MATCH($A57,PY905Row,0),MATCH($C$5,PY905Col,0))</f>
        <v>#N/A</v>
      </c>
      <c r="J57" s="228" t="e">
        <f t="shared" si="5"/>
        <v>#N/A</v>
      </c>
      <c r="L57" s="229" t="e">
        <f t="shared" si="6"/>
        <v>#N/A</v>
      </c>
      <c r="N57" s="2317" t="str">
        <f t="shared" si="7"/>
        <v xml:space="preserve"> </v>
      </c>
    </row>
    <row r="58" spans="1:15" ht="13.5" x14ac:dyDescent="0.25">
      <c r="A58" s="638">
        <v>1390</v>
      </c>
      <c r="B58" s="2890" t="s">
        <v>3189</v>
      </c>
      <c r="C58" s="2890"/>
      <c r="D58" s="2380"/>
      <c r="E58" s="2380"/>
      <c r="F58" s="341">
        <f>'905Hosp'!F59</f>
        <v>0</v>
      </c>
      <c r="H58" s="341" t="e">
        <f>INDEX(PY905Data,MATCH($A58,PY905Row,0),MATCH($C$5,PY905Col,0))</f>
        <v>#N/A</v>
      </c>
      <c r="J58" s="228" t="e">
        <f t="shared" si="5"/>
        <v>#N/A</v>
      </c>
      <c r="L58" s="229" t="e">
        <f t="shared" si="6"/>
        <v>#N/A</v>
      </c>
      <c r="N58" s="2317" t="str">
        <f t="shared" si="7"/>
        <v xml:space="preserve"> </v>
      </c>
    </row>
    <row r="59" spans="1:15" ht="13.5" x14ac:dyDescent="0.25">
      <c r="A59" s="170">
        <v>1432</v>
      </c>
      <c r="B59" s="2890" t="s">
        <v>2759</v>
      </c>
      <c r="C59" s="2890"/>
      <c r="D59" s="2380"/>
      <c r="E59" s="2380"/>
      <c r="F59" s="341">
        <f>'905Hosp'!F60</f>
        <v>0</v>
      </c>
      <c r="H59" s="341" t="e">
        <f>INDEX(PY905Data,MATCH($A59,PY905Row,0),MATCH($C$5,PY905Col,0))</f>
        <v>#N/A</v>
      </c>
      <c r="J59" s="228" t="e">
        <f>F59-H59</f>
        <v>#N/A</v>
      </c>
      <c r="L59" s="229" t="e">
        <f>IF(H59=0,0,J59/H59)</f>
        <v>#N/A</v>
      </c>
      <c r="N59" s="2317" t="str">
        <f t="shared" si="7"/>
        <v xml:space="preserve"> </v>
      </c>
    </row>
    <row r="60" spans="1:15" ht="13.5" x14ac:dyDescent="0.25">
      <c r="A60" s="170">
        <v>1434</v>
      </c>
      <c r="B60" s="2890" t="s">
        <v>2760</v>
      </c>
      <c r="C60" s="2890"/>
      <c r="D60" s="2380"/>
      <c r="E60" s="2380"/>
      <c r="F60" s="341">
        <f>'905Hosp'!F61</f>
        <v>0</v>
      </c>
      <c r="H60" s="341" t="e">
        <f>INDEX(PY905Data,MATCH($A60,PY905Row,0),MATCH($C$5,PY905Col,0))</f>
        <v>#N/A</v>
      </c>
      <c r="J60" s="228" t="e">
        <f>F60-H60</f>
        <v>#N/A</v>
      </c>
      <c r="L60" s="229" t="e">
        <f>IF(H60=0,0,J60/H60)</f>
        <v>#N/A</v>
      </c>
      <c r="N60" s="2317" t="str">
        <f t="shared" si="7"/>
        <v xml:space="preserve"> </v>
      </c>
      <c r="O60" s="971"/>
    </row>
    <row r="61" spans="1:15" ht="13.5" x14ac:dyDescent="0.25">
      <c r="A61" s="170">
        <v>1433</v>
      </c>
      <c r="B61" s="2890" t="s">
        <v>2761</v>
      </c>
      <c r="C61" s="2890"/>
      <c r="D61" s="2380"/>
      <c r="E61" s="2380"/>
      <c r="F61" s="341">
        <f>'905Hosp'!F62</f>
        <v>0</v>
      </c>
      <c r="H61" s="341" t="e">
        <f>INDEX(PY905Data,MATCH($A61,PY905Row,0),MATCH($C$5,PY905Col,0))</f>
        <v>#N/A</v>
      </c>
      <c r="J61" s="228" t="e">
        <f t="shared" si="5"/>
        <v>#N/A</v>
      </c>
      <c r="L61" s="229" t="e">
        <f t="shared" si="6"/>
        <v>#N/A</v>
      </c>
      <c r="N61" s="2317" t="str">
        <f t="shared" si="7"/>
        <v xml:space="preserve"> </v>
      </c>
      <c r="O61" s="971"/>
    </row>
    <row r="62" spans="1:15" ht="12.75" customHeight="1" x14ac:dyDescent="0.25">
      <c r="A62" s="170"/>
      <c r="B62" s="170" t="s">
        <v>4842</v>
      </c>
      <c r="C62" s="170"/>
      <c r="D62" s="170"/>
      <c r="E62" s="170"/>
      <c r="J62" s="228"/>
      <c r="L62" s="229"/>
    </row>
    <row r="63" spans="1:15" ht="13.5" x14ac:dyDescent="0.25">
      <c r="A63" s="638">
        <v>1480</v>
      </c>
      <c r="B63" s="3116" t="s">
        <v>4843</v>
      </c>
      <c r="C63" s="3116"/>
      <c r="D63" s="2440"/>
      <c r="E63" s="2440"/>
      <c r="F63" s="341">
        <f>'905Hosp'!F64</f>
        <v>0</v>
      </c>
      <c r="H63" s="341" t="e">
        <f t="shared" ref="H63:H68" si="8">INDEX(PY905Data,MATCH($A63,PY905Row,0),MATCH($C$5,PY905Col,0))</f>
        <v>#N/A</v>
      </c>
      <c r="J63" s="228" t="e">
        <f t="shared" ref="J63:J69" si="9">F63-H63</f>
        <v>#N/A</v>
      </c>
      <c r="L63" s="229" t="e">
        <f t="shared" ref="L63:L69" si="10">IF(H63=0,0,J63/H63)</f>
        <v>#N/A</v>
      </c>
      <c r="N63" s="2317" t="str">
        <f t="shared" ref="N63:N68" si="11">IF($F$88=0," ",IF(AND(ABS(J63)&gt;$L$3,ABS(L63)&gt;$L$2),"C",IF(AND(ABS(F63+H63)&gt;0,H63=0,ABS(J63)&gt;$L$3),"C"," ")))</f>
        <v xml:space="preserve"> </v>
      </c>
    </row>
    <row r="64" spans="1:15" ht="13.5" x14ac:dyDescent="0.25">
      <c r="A64" s="638">
        <v>1490</v>
      </c>
      <c r="B64" s="3116" t="s">
        <v>4844</v>
      </c>
      <c r="C64" s="3116"/>
      <c r="D64" s="2440"/>
      <c r="E64" s="2440"/>
      <c r="F64" s="341">
        <f>'905Hosp'!F65</f>
        <v>0</v>
      </c>
      <c r="H64" s="341" t="e">
        <f t="shared" si="8"/>
        <v>#N/A</v>
      </c>
      <c r="J64" s="228" t="e">
        <f t="shared" si="9"/>
        <v>#N/A</v>
      </c>
      <c r="L64" s="229" t="e">
        <f t="shared" si="10"/>
        <v>#N/A</v>
      </c>
      <c r="N64" s="2317" t="str">
        <f t="shared" si="11"/>
        <v xml:space="preserve"> </v>
      </c>
    </row>
    <row r="65" spans="1:16" ht="13.5" x14ac:dyDescent="0.25">
      <c r="A65" s="638">
        <v>1500</v>
      </c>
      <c r="B65" s="3116" t="s">
        <v>4845</v>
      </c>
      <c r="C65" s="3116"/>
      <c r="D65" s="2440"/>
      <c r="E65" s="2440"/>
      <c r="F65" s="341">
        <f>'905Hosp'!F66</f>
        <v>0</v>
      </c>
      <c r="H65" s="341" t="e">
        <f t="shared" si="8"/>
        <v>#N/A</v>
      </c>
      <c r="J65" s="228" t="e">
        <f t="shared" si="9"/>
        <v>#N/A</v>
      </c>
      <c r="L65" s="229" t="e">
        <f t="shared" si="10"/>
        <v>#N/A</v>
      </c>
      <c r="N65" s="2317" t="str">
        <f t="shared" si="11"/>
        <v xml:space="preserve"> </v>
      </c>
    </row>
    <row r="66" spans="1:16" ht="13.5" x14ac:dyDescent="0.25">
      <c r="A66" s="638">
        <v>1503</v>
      </c>
      <c r="B66" s="3116" t="s">
        <v>4846</v>
      </c>
      <c r="C66" s="3116"/>
      <c r="D66" s="2440"/>
      <c r="E66" s="2440"/>
      <c r="F66" s="341">
        <f>'905Hosp'!F67</f>
        <v>0</v>
      </c>
      <c r="H66" s="341" t="e">
        <f t="shared" si="8"/>
        <v>#N/A</v>
      </c>
      <c r="J66" s="228" t="e">
        <f t="shared" si="9"/>
        <v>#N/A</v>
      </c>
      <c r="L66" s="229" t="e">
        <f t="shared" si="10"/>
        <v>#N/A</v>
      </c>
      <c r="N66" s="2317" t="str">
        <f t="shared" si="11"/>
        <v xml:space="preserve"> </v>
      </c>
    </row>
    <row r="67" spans="1:16" ht="12.75" customHeight="1" x14ac:dyDescent="0.25">
      <c r="A67" s="638">
        <v>1505</v>
      </c>
      <c r="B67" s="3116" t="s">
        <v>4847</v>
      </c>
      <c r="C67" s="3116"/>
      <c r="D67" s="2440"/>
      <c r="E67" s="2440"/>
      <c r="F67" s="341">
        <f>'905Hosp'!F68</f>
        <v>0</v>
      </c>
      <c r="H67" s="341" t="e">
        <f t="shared" si="8"/>
        <v>#N/A</v>
      </c>
      <c r="J67" s="228" t="e">
        <f t="shared" si="9"/>
        <v>#N/A</v>
      </c>
      <c r="L67" s="229" t="e">
        <f t="shared" si="10"/>
        <v>#N/A</v>
      </c>
      <c r="N67" s="2317" t="str">
        <f t="shared" si="11"/>
        <v xml:space="preserve"> </v>
      </c>
    </row>
    <row r="68" spans="1:16" ht="12.75" customHeight="1" x14ac:dyDescent="0.25">
      <c r="A68" s="638">
        <v>1506</v>
      </c>
      <c r="B68" s="3116" t="s">
        <v>4848</v>
      </c>
      <c r="C68" s="3116"/>
      <c r="D68" s="2440"/>
      <c r="E68" s="2440"/>
      <c r="F68" s="343">
        <f>'905Hosp'!F69</f>
        <v>0</v>
      </c>
      <c r="H68" s="341" t="e">
        <f t="shared" si="8"/>
        <v>#N/A</v>
      </c>
      <c r="J68" s="228" t="e">
        <f>F68-H68</f>
        <v>#N/A</v>
      </c>
      <c r="L68" s="229" t="e">
        <f>IF(H68=0,0,J68/H68)</f>
        <v>#N/A</v>
      </c>
      <c r="N68" s="2317" t="str">
        <f t="shared" si="11"/>
        <v xml:space="preserve"> </v>
      </c>
    </row>
    <row r="69" spans="1:16" ht="13.5" x14ac:dyDescent="0.25">
      <c r="A69" s="170"/>
      <c r="B69" s="2890" t="s">
        <v>4849</v>
      </c>
      <c r="C69" s="2890"/>
      <c r="D69" s="2380"/>
      <c r="E69" s="2380"/>
      <c r="F69" s="350">
        <f>SUM(F63:F68)</f>
        <v>0</v>
      </c>
      <c r="H69" s="350" t="e">
        <f>SUM(H63:H68)</f>
        <v>#N/A</v>
      </c>
      <c r="J69" s="228" t="e">
        <f t="shared" si="9"/>
        <v>#N/A</v>
      </c>
      <c r="L69" s="229" t="e">
        <f t="shared" si="10"/>
        <v>#N/A</v>
      </c>
    </row>
    <row r="70" spans="1:16" ht="11.25" customHeight="1" x14ac:dyDescent="0.25">
      <c r="A70" s="170"/>
      <c r="B70" s="170" t="s">
        <v>4850</v>
      </c>
      <c r="C70" s="170"/>
      <c r="D70" s="170"/>
      <c r="E70" s="170"/>
      <c r="J70" s="228"/>
      <c r="L70" s="229"/>
    </row>
    <row r="71" spans="1:16" ht="13.5" x14ac:dyDescent="0.25">
      <c r="A71" s="638">
        <v>1520</v>
      </c>
      <c r="B71" s="3116" t="s">
        <v>3235</v>
      </c>
      <c r="C71" s="3116"/>
      <c r="D71" s="2440"/>
      <c r="E71" s="2440"/>
      <c r="F71" s="341">
        <f>'905Hosp'!F72</f>
        <v>0</v>
      </c>
      <c r="H71" s="341" t="e">
        <f t="shared" ref="H71:H84" si="12">INDEX(PY905Data,MATCH($A71,PY905Row,0),MATCH($C$5,PY905Col,0))</f>
        <v>#N/A</v>
      </c>
      <c r="J71" s="228" t="e">
        <f t="shared" ref="J71:J86" si="13">F71-H71</f>
        <v>#N/A</v>
      </c>
      <c r="L71" s="229" t="e">
        <f t="shared" ref="L71:L86" si="14">IF(H71=0,0,J71/H71)</f>
        <v>#N/A</v>
      </c>
      <c r="N71" s="2317" t="str">
        <f t="shared" ref="N71:N84" si="15">IF($F$88=0," ",IF(AND(ABS(J71)&gt;$L$3,ABS(L71)&gt;$L$2),"C",IF(AND(ABS(F71+H71)&gt;0,H71=0,ABS(J71)&gt;$L$3),"C"," ")))</f>
        <v xml:space="preserve"> </v>
      </c>
    </row>
    <row r="72" spans="1:16" ht="13.5" x14ac:dyDescent="0.25">
      <c r="A72" s="638">
        <v>1530</v>
      </c>
      <c r="B72" s="3116" t="s">
        <v>3239</v>
      </c>
      <c r="C72" s="3116"/>
      <c r="D72" s="2440"/>
      <c r="E72" s="2440"/>
      <c r="F72" s="341">
        <f>'905Hosp'!F73</f>
        <v>0</v>
      </c>
      <c r="H72" s="341" t="e">
        <f t="shared" si="12"/>
        <v>#N/A</v>
      </c>
      <c r="J72" s="228" t="e">
        <f t="shared" si="13"/>
        <v>#N/A</v>
      </c>
      <c r="L72" s="229" t="e">
        <f t="shared" si="14"/>
        <v>#N/A</v>
      </c>
      <c r="N72" s="2317" t="str">
        <f t="shared" si="15"/>
        <v xml:space="preserve"> </v>
      </c>
    </row>
    <row r="73" spans="1:16" ht="13.5" x14ac:dyDescent="0.25">
      <c r="A73" s="638">
        <v>1540</v>
      </c>
      <c r="B73" s="3116" t="s">
        <v>4851</v>
      </c>
      <c r="C73" s="3116"/>
      <c r="D73" s="2440"/>
      <c r="E73" s="2440"/>
      <c r="F73" s="341">
        <f>'905Hosp'!F74</f>
        <v>0</v>
      </c>
      <c r="H73" s="341" t="e">
        <f t="shared" si="12"/>
        <v>#N/A</v>
      </c>
      <c r="J73" s="228" t="e">
        <f t="shared" si="13"/>
        <v>#N/A</v>
      </c>
      <c r="L73" s="229" t="e">
        <f t="shared" si="14"/>
        <v>#N/A</v>
      </c>
      <c r="N73" s="2317" t="str">
        <f t="shared" si="15"/>
        <v xml:space="preserve"> </v>
      </c>
    </row>
    <row r="74" spans="1:16" ht="13.5" x14ac:dyDescent="0.25">
      <c r="A74" s="638">
        <v>1550</v>
      </c>
      <c r="B74" s="3116" t="s">
        <v>4852</v>
      </c>
      <c r="C74" s="3116"/>
      <c r="D74" s="2440"/>
      <c r="E74" s="2440"/>
      <c r="F74" s="341">
        <f>'905Hosp'!F75</f>
        <v>0</v>
      </c>
      <c r="H74" s="341" t="e">
        <f t="shared" si="12"/>
        <v>#N/A</v>
      </c>
      <c r="J74" s="228" t="e">
        <f t="shared" si="13"/>
        <v>#N/A</v>
      </c>
      <c r="L74" s="229" t="e">
        <f t="shared" si="14"/>
        <v>#N/A</v>
      </c>
      <c r="N74" s="2317" t="str">
        <f t="shared" si="15"/>
        <v xml:space="preserve"> </v>
      </c>
    </row>
    <row r="75" spans="1:16" ht="13.5" x14ac:dyDescent="0.25">
      <c r="A75" s="638">
        <v>1481</v>
      </c>
      <c r="B75" s="3116" t="s">
        <v>4853</v>
      </c>
      <c r="C75" s="3116"/>
      <c r="D75" s="2440"/>
      <c r="E75" s="2440"/>
      <c r="F75" s="341">
        <f>'905Hosp'!F76</f>
        <v>0</v>
      </c>
      <c r="H75" s="341" t="e">
        <f t="shared" si="12"/>
        <v>#N/A</v>
      </c>
      <c r="J75" s="228" t="e">
        <f t="shared" si="13"/>
        <v>#N/A</v>
      </c>
      <c r="L75" s="229" t="e">
        <f t="shared" si="14"/>
        <v>#N/A</v>
      </c>
      <c r="N75" s="2317" t="str">
        <f t="shared" si="15"/>
        <v xml:space="preserve"> </v>
      </c>
    </row>
    <row r="76" spans="1:16" ht="13.5" x14ac:dyDescent="0.25">
      <c r="A76" s="638">
        <v>1521</v>
      </c>
      <c r="B76" s="3116" t="s">
        <v>4854</v>
      </c>
      <c r="C76" s="3116"/>
      <c r="D76" s="2440"/>
      <c r="E76" s="2440"/>
      <c r="F76" s="341">
        <f>'905Hosp'!F77</f>
        <v>0</v>
      </c>
      <c r="H76" s="341" t="e">
        <f t="shared" si="12"/>
        <v>#N/A</v>
      </c>
      <c r="J76" s="228" t="e">
        <f t="shared" si="13"/>
        <v>#N/A</v>
      </c>
      <c r="L76" s="229" t="e">
        <f t="shared" si="14"/>
        <v>#N/A</v>
      </c>
      <c r="N76" s="2317" t="str">
        <f t="shared" si="15"/>
        <v xml:space="preserve"> </v>
      </c>
    </row>
    <row r="77" spans="1:16" ht="13.5" x14ac:dyDescent="0.25">
      <c r="A77" s="638">
        <v>1531</v>
      </c>
      <c r="B77" s="3116" t="s">
        <v>4855</v>
      </c>
      <c r="C77" s="3116"/>
      <c r="D77" s="2440"/>
      <c r="E77" s="2440"/>
      <c r="F77" s="341">
        <f>'905Hosp'!F78</f>
        <v>0</v>
      </c>
      <c r="H77" s="341" t="e">
        <f t="shared" si="12"/>
        <v>#N/A</v>
      </c>
      <c r="J77" s="228" t="e">
        <f t="shared" si="13"/>
        <v>#N/A</v>
      </c>
      <c r="L77" s="229" t="e">
        <f t="shared" si="14"/>
        <v>#N/A</v>
      </c>
      <c r="N77" s="2317" t="str">
        <f t="shared" si="15"/>
        <v xml:space="preserve"> </v>
      </c>
    </row>
    <row r="78" spans="1:16" ht="13.5" x14ac:dyDescent="0.25">
      <c r="A78" s="638">
        <v>1551</v>
      </c>
      <c r="B78" s="3116" t="s">
        <v>4856</v>
      </c>
      <c r="C78" s="3116"/>
      <c r="D78" s="2440"/>
      <c r="E78" s="2440"/>
      <c r="F78" s="341">
        <f>'905Hosp'!F79</f>
        <v>0</v>
      </c>
      <c r="H78" s="341" t="e">
        <f t="shared" si="12"/>
        <v>#N/A</v>
      </c>
      <c r="J78" s="228" t="e">
        <f t="shared" si="13"/>
        <v>#N/A</v>
      </c>
      <c r="L78" s="229" t="e">
        <f t="shared" si="14"/>
        <v>#N/A</v>
      </c>
      <c r="N78" s="2317" t="str">
        <f t="shared" si="15"/>
        <v xml:space="preserve"> </v>
      </c>
    </row>
    <row r="79" spans="1:16" ht="13.5" x14ac:dyDescent="0.25">
      <c r="A79" s="1867">
        <v>1552</v>
      </c>
      <c r="B79" s="2057" t="s">
        <v>4922</v>
      </c>
      <c r="C79" s="2057"/>
      <c r="D79" s="2440"/>
      <c r="E79" s="2440"/>
      <c r="F79" s="341">
        <f>'905Hosp'!F80</f>
        <v>0</v>
      </c>
      <c r="H79" s="341" t="e">
        <f t="shared" si="12"/>
        <v>#N/A</v>
      </c>
      <c r="J79" s="228" t="e">
        <f t="shared" ref="J79" si="16">F79-H79</f>
        <v>#N/A</v>
      </c>
      <c r="L79" s="229" t="e">
        <f t="shared" ref="L79" si="17">IF(H79=0,0,J79/H79)</f>
        <v>#N/A</v>
      </c>
      <c r="N79" s="2317" t="str">
        <f t="shared" si="15"/>
        <v xml:space="preserve"> </v>
      </c>
      <c r="O79" s="1814" t="s">
        <v>4923</v>
      </c>
      <c r="P79" s="1113"/>
    </row>
    <row r="80" spans="1:16" ht="13.5" x14ac:dyDescent="0.25">
      <c r="A80" s="638">
        <v>1553</v>
      </c>
      <c r="B80" s="3116" t="s">
        <v>4858</v>
      </c>
      <c r="C80" s="3116"/>
      <c r="D80" s="2440"/>
      <c r="E80" s="2440"/>
      <c r="F80" s="341">
        <f>'905Hosp'!F81</f>
        <v>0</v>
      </c>
      <c r="H80" s="341" t="e">
        <f t="shared" si="12"/>
        <v>#N/A</v>
      </c>
      <c r="J80" s="228" t="e">
        <f t="shared" si="13"/>
        <v>#N/A</v>
      </c>
      <c r="L80" s="229" t="e">
        <f t="shared" si="14"/>
        <v>#N/A</v>
      </c>
      <c r="N80" s="2317" t="str">
        <f t="shared" si="15"/>
        <v xml:space="preserve"> </v>
      </c>
    </row>
    <row r="81" spans="1:19" ht="13.5" x14ac:dyDescent="0.25">
      <c r="A81" s="638">
        <v>1555</v>
      </c>
      <c r="B81" s="3116" t="s">
        <v>3262</v>
      </c>
      <c r="C81" s="3116"/>
      <c r="D81" s="2440"/>
      <c r="E81" s="2440"/>
      <c r="F81" s="341">
        <f>'905Hosp'!F82</f>
        <v>0</v>
      </c>
      <c r="H81" s="341" t="e">
        <f t="shared" si="12"/>
        <v>#N/A</v>
      </c>
      <c r="J81" s="228" t="e">
        <f t="shared" si="13"/>
        <v>#N/A</v>
      </c>
      <c r="L81" s="229" t="e">
        <f t="shared" si="14"/>
        <v>#N/A</v>
      </c>
      <c r="N81" s="2317" t="str">
        <f t="shared" si="15"/>
        <v xml:space="preserve"> </v>
      </c>
    </row>
    <row r="82" spans="1:19" ht="13.5" x14ac:dyDescent="0.25">
      <c r="A82" s="638">
        <v>1556</v>
      </c>
      <c r="B82" s="3069" t="s">
        <v>4924</v>
      </c>
      <c r="C82" s="3069"/>
      <c r="D82" s="2380"/>
      <c r="E82" s="2380"/>
      <c r="F82" s="341">
        <f>'905Hosp'!F83</f>
        <v>0</v>
      </c>
      <c r="H82" s="341" t="e">
        <f t="shared" si="12"/>
        <v>#N/A</v>
      </c>
      <c r="J82" s="228" t="e">
        <f t="shared" ref="J82" si="18">F82-H82</f>
        <v>#N/A</v>
      </c>
      <c r="L82" s="229" t="e">
        <f t="shared" ref="L82" si="19">IF(H82=0,0,J82/H82)</f>
        <v>#N/A</v>
      </c>
      <c r="N82" s="2317" t="str">
        <f t="shared" si="15"/>
        <v xml:space="preserve"> </v>
      </c>
    </row>
    <row r="83" spans="1:19" ht="13.5" x14ac:dyDescent="0.25">
      <c r="A83" s="638">
        <v>1560</v>
      </c>
      <c r="B83" s="3116" t="s">
        <v>4859</v>
      </c>
      <c r="C83" s="3116"/>
      <c r="D83" s="2440"/>
      <c r="E83" s="2440"/>
      <c r="F83" s="341">
        <f>'905Hosp'!F84</f>
        <v>0</v>
      </c>
      <c r="H83" s="341" t="e">
        <f t="shared" si="12"/>
        <v>#N/A</v>
      </c>
      <c r="J83" s="228" t="e">
        <f t="shared" si="13"/>
        <v>#N/A</v>
      </c>
      <c r="L83" s="229" t="e">
        <f t="shared" si="14"/>
        <v>#N/A</v>
      </c>
      <c r="N83" s="2317" t="str">
        <f t="shared" si="15"/>
        <v xml:space="preserve"> </v>
      </c>
    </row>
    <row r="84" spans="1:19" ht="13.5" x14ac:dyDescent="0.25">
      <c r="A84" s="638">
        <v>1570</v>
      </c>
      <c r="B84" s="2890" t="s">
        <v>3280</v>
      </c>
      <c r="C84" s="2890"/>
      <c r="D84" s="2380"/>
      <c r="E84" s="2380"/>
      <c r="F84" s="343">
        <f>'905Hosp'!F85</f>
        <v>0</v>
      </c>
      <c r="H84" s="343" t="e">
        <f t="shared" si="12"/>
        <v>#N/A</v>
      </c>
      <c r="J84" s="228" t="e">
        <f t="shared" si="13"/>
        <v>#N/A</v>
      </c>
      <c r="L84" s="229" t="e">
        <f t="shared" si="14"/>
        <v>#N/A</v>
      </c>
      <c r="N84" s="2317" t="str">
        <f t="shared" si="15"/>
        <v xml:space="preserve"> </v>
      </c>
    </row>
    <row r="85" spans="1:19" ht="13.5" x14ac:dyDescent="0.25">
      <c r="A85" s="170"/>
      <c r="B85" s="2890" t="s">
        <v>4860</v>
      </c>
      <c r="C85" s="2890"/>
      <c r="D85" s="2380"/>
      <c r="E85" s="2380"/>
      <c r="F85" s="341">
        <f>SUM(F71:F84)</f>
        <v>0</v>
      </c>
      <c r="H85" s="341" t="e">
        <f>SUM(H71:H84)</f>
        <v>#N/A</v>
      </c>
      <c r="J85" s="228" t="e">
        <f t="shared" si="13"/>
        <v>#N/A</v>
      </c>
      <c r="L85" s="229" t="e">
        <f t="shared" si="14"/>
        <v>#N/A</v>
      </c>
    </row>
    <row r="86" spans="1:19" ht="13.5" x14ac:dyDescent="0.25">
      <c r="A86" s="357"/>
      <c r="B86" s="2890" t="s">
        <v>4861</v>
      </c>
      <c r="C86" s="2890"/>
      <c r="D86" s="2380"/>
      <c r="E86" s="2380"/>
      <c r="F86" s="351">
        <f>SUM(F41:F85)-F69-F85</f>
        <v>0</v>
      </c>
      <c r="H86" s="351" t="e">
        <f>SUM(H41:H85)-H69-H85</f>
        <v>#N/A</v>
      </c>
      <c r="J86" s="228" t="e">
        <f t="shared" si="13"/>
        <v>#N/A</v>
      </c>
      <c r="L86" s="229" t="e">
        <f t="shared" si="14"/>
        <v>#N/A</v>
      </c>
    </row>
    <row r="87" spans="1:19" ht="6" customHeight="1" x14ac:dyDescent="0.25">
      <c r="B87" s="2380"/>
      <c r="C87" s="2380"/>
      <c r="D87" s="2380"/>
      <c r="E87" s="2380"/>
      <c r="J87" s="228"/>
      <c r="L87" s="229"/>
    </row>
    <row r="88" spans="1:19" ht="13.5" x14ac:dyDescent="0.25">
      <c r="B88" s="2890" t="s">
        <v>1769</v>
      </c>
      <c r="C88" s="2890"/>
      <c r="D88" s="2380"/>
      <c r="E88" s="2380"/>
      <c r="F88" s="216">
        <f>F38+F86</f>
        <v>0</v>
      </c>
      <c r="H88" s="216" t="e">
        <f>H38+H86</f>
        <v>#N/A</v>
      </c>
      <c r="J88" s="228" t="e">
        <f>F88-H88</f>
        <v>#N/A</v>
      </c>
      <c r="L88" s="229" t="e">
        <f>IF(H88=0,0,J88/H88)</f>
        <v>#N/A</v>
      </c>
    </row>
    <row r="89" spans="1:19" ht="13.5" x14ac:dyDescent="0.25">
      <c r="B89" s="2380"/>
      <c r="C89" s="2380"/>
      <c r="D89" s="2380"/>
      <c r="E89" s="2380"/>
      <c r="F89" s="433"/>
      <c r="H89" s="433"/>
      <c r="J89" s="228"/>
      <c r="L89" s="229"/>
    </row>
    <row r="90" spans="1:19" ht="13.5" x14ac:dyDescent="0.25">
      <c r="B90" s="2442" t="s">
        <v>1976</v>
      </c>
      <c r="F90"/>
      <c r="H90" s="856"/>
      <c r="I90" s="1"/>
      <c r="J90" s="810"/>
      <c r="L90" s="229"/>
    </row>
    <row r="91" spans="1:19" ht="13.5" x14ac:dyDescent="0.25">
      <c r="A91" s="833">
        <v>1234</v>
      </c>
      <c r="B91" s="2890" t="s">
        <v>4925</v>
      </c>
      <c r="C91" s="2890"/>
      <c r="D91" s="2890"/>
      <c r="E91" s="2890"/>
      <c r="F91" s="341">
        <f>'905Hosp'!F92</f>
        <v>0</v>
      </c>
      <c r="G91" s="2380"/>
      <c r="H91" s="341" t="e">
        <f t="shared" ref="H91:H97" si="20">INDEX(PY905Data,MATCH($A91,PY905Row,0),MATCH($C$5,PY905Col,0))</f>
        <v>#N/A</v>
      </c>
      <c r="J91" s="228" t="e">
        <f t="shared" ref="J91:J98" si="21">F91-H91</f>
        <v>#N/A</v>
      </c>
      <c r="L91" s="229" t="e">
        <f t="shared" ref="L91:L98" si="22">IF(H91=0,0,J91/H91)</f>
        <v>#N/A</v>
      </c>
      <c r="N91" s="2317" t="str">
        <f t="shared" ref="N91:N97" si="23">IF($F$88=0," ",IF(AND(ABS(J91)&gt;$L$3,ABS(L91)&gt;$L$2),"C",IF(AND(ABS(F91+H91)&gt;0,H91=0,ABS(J91)&gt;$L$3),"C"," ")))</f>
        <v xml:space="preserve"> </v>
      </c>
    </row>
    <row r="92" spans="1:19" ht="13.5" x14ac:dyDescent="0.25">
      <c r="A92" s="833">
        <v>1236</v>
      </c>
      <c r="B92" s="2890" t="s">
        <v>2209</v>
      </c>
      <c r="C92" s="2890"/>
      <c r="D92" s="2890"/>
      <c r="E92" s="2890"/>
      <c r="F92" s="341">
        <f>'905Hosp'!F93</f>
        <v>0</v>
      </c>
      <c r="G92" s="2380"/>
      <c r="H92" s="341" t="e">
        <f t="shared" si="20"/>
        <v>#N/A</v>
      </c>
      <c r="J92" s="228" t="e">
        <f t="shared" si="21"/>
        <v>#N/A</v>
      </c>
      <c r="L92" s="229" t="e">
        <f t="shared" si="22"/>
        <v>#N/A</v>
      </c>
      <c r="N92" s="2317" t="str">
        <f t="shared" si="23"/>
        <v xml:space="preserve"> </v>
      </c>
      <c r="P92" s="3069"/>
      <c r="Q92" s="3069"/>
      <c r="R92" s="2380"/>
      <c r="S92" s="2380"/>
    </row>
    <row r="93" spans="1:19" ht="13.5" x14ac:dyDescent="0.25">
      <c r="A93" s="833">
        <v>1242</v>
      </c>
      <c r="B93" s="2890" t="s">
        <v>2795</v>
      </c>
      <c r="C93" s="2890"/>
      <c r="D93" s="2890"/>
      <c r="E93" s="2890"/>
      <c r="F93" s="341">
        <f>'905Hosp'!F94</f>
        <v>0</v>
      </c>
      <c r="G93" s="2380"/>
      <c r="H93" s="341" t="e">
        <f t="shared" si="20"/>
        <v>#N/A</v>
      </c>
      <c r="J93" s="228" t="e">
        <f>F93-H93</f>
        <v>#N/A</v>
      </c>
      <c r="L93" s="229" t="e">
        <f>IF(H93=0,0,J93/H93)</f>
        <v>#N/A</v>
      </c>
      <c r="N93" s="2317" t="str">
        <f t="shared" si="23"/>
        <v xml:space="preserve"> </v>
      </c>
      <c r="P93" s="3069"/>
      <c r="Q93" s="3069"/>
      <c r="R93" s="2380"/>
      <c r="S93" s="2380"/>
    </row>
    <row r="94" spans="1:19" ht="13.5" x14ac:dyDescent="0.25">
      <c r="A94" s="833">
        <v>1237</v>
      </c>
      <c r="B94" s="2890" t="s">
        <v>2210</v>
      </c>
      <c r="C94" s="2890"/>
      <c r="D94" s="2890"/>
      <c r="E94" s="2890"/>
      <c r="F94" s="341">
        <f>'905Hosp'!F95</f>
        <v>0</v>
      </c>
      <c r="G94" s="2380"/>
      <c r="H94" s="341" t="e">
        <f t="shared" si="20"/>
        <v>#N/A</v>
      </c>
      <c r="J94" s="228" t="e">
        <f>F94-H94</f>
        <v>#N/A</v>
      </c>
      <c r="L94" s="229" t="e">
        <f>IF(H94=0,0,J94/H94)</f>
        <v>#N/A</v>
      </c>
      <c r="N94" s="2317" t="str">
        <f t="shared" si="23"/>
        <v xml:space="preserve"> </v>
      </c>
      <c r="P94" s="3069"/>
      <c r="Q94" s="3069"/>
      <c r="R94" s="2380"/>
      <c r="S94" s="2380"/>
    </row>
    <row r="95" spans="1:19" ht="13.5" x14ac:dyDescent="0.25">
      <c r="A95" s="833">
        <v>1241</v>
      </c>
      <c r="B95" s="3121" t="s">
        <v>2211</v>
      </c>
      <c r="C95" s="3121"/>
      <c r="D95" s="3121"/>
      <c r="E95" s="3121"/>
      <c r="F95" s="341">
        <f>'905Hosp'!F96</f>
        <v>0</v>
      </c>
      <c r="G95" s="2380"/>
      <c r="H95" s="341" t="e">
        <f t="shared" si="20"/>
        <v>#N/A</v>
      </c>
      <c r="J95" s="228" t="e">
        <f t="shared" si="21"/>
        <v>#N/A</v>
      </c>
      <c r="L95" s="229" t="e">
        <f t="shared" si="22"/>
        <v>#N/A</v>
      </c>
      <c r="N95" s="2317" t="str">
        <f t="shared" si="23"/>
        <v xml:space="preserve"> </v>
      </c>
      <c r="O95" s="971"/>
      <c r="P95" s="3069"/>
      <c r="Q95" s="3069"/>
      <c r="R95" s="2380"/>
      <c r="S95" s="2380"/>
    </row>
    <row r="96" spans="1:19" ht="13.5" x14ac:dyDescent="0.25">
      <c r="A96" s="833">
        <v>1238</v>
      </c>
      <c r="B96" s="2890" t="s">
        <v>2212</v>
      </c>
      <c r="C96" s="2890"/>
      <c r="D96" s="2890"/>
      <c r="E96" s="2890"/>
      <c r="F96" s="341">
        <f>'905Hosp'!F97</f>
        <v>0</v>
      </c>
      <c r="G96" s="2380"/>
      <c r="H96" s="341" t="e">
        <f t="shared" si="20"/>
        <v>#N/A</v>
      </c>
      <c r="J96" s="228" t="e">
        <f t="shared" si="21"/>
        <v>#N/A</v>
      </c>
      <c r="L96" s="229" t="e">
        <f t="shared" si="22"/>
        <v>#N/A</v>
      </c>
      <c r="N96" s="2317" t="str">
        <f t="shared" si="23"/>
        <v xml:space="preserve"> </v>
      </c>
      <c r="P96" s="3069"/>
      <c r="Q96" s="3069"/>
      <c r="R96" s="2380"/>
      <c r="S96" s="2380"/>
    </row>
    <row r="97" spans="1:19" ht="13.5" x14ac:dyDescent="0.25">
      <c r="A97" s="833">
        <v>1239</v>
      </c>
      <c r="B97" s="2890" t="s">
        <v>1979</v>
      </c>
      <c r="C97" s="2890"/>
      <c r="D97" s="2890"/>
      <c r="E97" s="2890"/>
      <c r="F97" s="341">
        <f>'905Hosp'!F98</f>
        <v>0</v>
      </c>
      <c r="G97" s="2380"/>
      <c r="H97" s="341" t="e">
        <f t="shared" si="20"/>
        <v>#N/A</v>
      </c>
      <c r="J97" s="228" t="e">
        <f t="shared" si="21"/>
        <v>#N/A</v>
      </c>
      <c r="L97" s="229" t="e">
        <f t="shared" si="22"/>
        <v>#N/A</v>
      </c>
      <c r="N97" s="2317" t="str">
        <f t="shared" si="23"/>
        <v xml:space="preserve"> </v>
      </c>
      <c r="P97" s="3069"/>
      <c r="Q97" s="3069"/>
      <c r="R97" s="2380"/>
      <c r="S97" s="2380"/>
    </row>
    <row r="98" spans="1:19" ht="13.5" x14ac:dyDescent="0.25">
      <c r="A98" s="833"/>
      <c r="B98" s="2890" t="s">
        <v>4862</v>
      </c>
      <c r="C98" s="2890"/>
      <c r="D98" s="2380"/>
      <c r="E98" s="2380"/>
      <c r="F98" s="216">
        <f>SUM(F91:F97)</f>
        <v>0</v>
      </c>
      <c r="H98" s="216" t="e">
        <f>SUM(H91:H97)</f>
        <v>#N/A</v>
      </c>
      <c r="J98" s="228" t="e">
        <f t="shared" si="21"/>
        <v>#N/A</v>
      </c>
      <c r="L98" s="229" t="e">
        <f t="shared" si="22"/>
        <v>#N/A</v>
      </c>
    </row>
    <row r="99" spans="1:19" ht="13.5" x14ac:dyDescent="0.25">
      <c r="A99" s="833"/>
      <c r="B99" s="2380"/>
      <c r="C99" s="2380"/>
      <c r="D99" s="2380"/>
      <c r="E99" s="2380"/>
      <c r="F99" s="433"/>
      <c r="H99" s="433"/>
      <c r="J99" s="228"/>
      <c r="L99" s="433"/>
    </row>
    <row r="100" spans="1:19" x14ac:dyDescent="0.2">
      <c r="B100" s="2442" t="s">
        <v>4863</v>
      </c>
      <c r="C100" s="2442"/>
      <c r="D100" s="2442"/>
      <c r="E100" s="2442"/>
    </row>
    <row r="101" spans="1:19" x14ac:dyDescent="0.2">
      <c r="B101" s="218" t="s">
        <v>1985</v>
      </c>
      <c r="C101" s="218"/>
      <c r="D101" s="218"/>
      <c r="E101" s="218"/>
    </row>
    <row r="102" spans="1:19" x14ac:dyDescent="0.2">
      <c r="B102" s="170" t="s">
        <v>2797</v>
      </c>
      <c r="C102" s="170"/>
      <c r="D102" s="170"/>
      <c r="E102" s="170"/>
    </row>
    <row r="103" spans="1:19" ht="13.5" x14ac:dyDescent="0.25">
      <c r="A103" s="170">
        <v>1640</v>
      </c>
      <c r="B103" s="3116" t="s">
        <v>2835</v>
      </c>
      <c r="C103" s="3116"/>
      <c r="D103" s="2440"/>
      <c r="E103" s="2440"/>
      <c r="F103" s="341">
        <f>'905Hosp'!F104</f>
        <v>0</v>
      </c>
      <c r="H103" s="341" t="e">
        <f>INDEX(PY905Data,MATCH($A103,PY905Row,0),MATCH($C$5,PY905Col,0))</f>
        <v>#N/A</v>
      </c>
      <c r="J103" s="228" t="e">
        <f>F103-H103</f>
        <v>#N/A</v>
      </c>
      <c r="L103" s="229" t="e">
        <f>IF(H103=0,0,J103/H103)</f>
        <v>#N/A</v>
      </c>
      <c r="N103" s="2317" t="str">
        <f t="shared" ref="N103:N137" si="24">IF($F$88=0," ",IF(AND(ABS(J103)&gt;$L$3,ABS(L103)&gt;$L$2),"C",IF(AND(ABS(F103+H103)&gt;0,H103=0,ABS(J103)&gt;$L$3),"C"," ")))</f>
        <v xml:space="preserve"> </v>
      </c>
    </row>
    <row r="104" spans="1:19" ht="13.5" x14ac:dyDescent="0.25">
      <c r="A104" s="170">
        <v>1650</v>
      </c>
      <c r="B104" s="3116" t="s">
        <v>2799</v>
      </c>
      <c r="C104" s="3116"/>
      <c r="D104" s="2440"/>
      <c r="E104" s="2440"/>
      <c r="F104" s="341">
        <f>'905Hosp'!F105</f>
        <v>0</v>
      </c>
      <c r="H104" s="341" t="e">
        <f>INDEX(PY905Data,MATCH($A104,PY905Row,0),MATCH($C$5,PY905Col,0))</f>
        <v>#N/A</v>
      </c>
      <c r="J104" s="228" t="e">
        <f>F104-H104</f>
        <v>#N/A</v>
      </c>
      <c r="L104" s="229" t="e">
        <f>IF(H104=0,0,J104/H104)</f>
        <v>#N/A</v>
      </c>
      <c r="N104" s="2317" t="str">
        <f t="shared" si="24"/>
        <v xml:space="preserve"> </v>
      </c>
    </row>
    <row r="105" spans="1:19" ht="13.5" x14ac:dyDescent="0.25">
      <c r="A105" s="170">
        <v>1660</v>
      </c>
      <c r="B105" s="3116" t="s">
        <v>2800</v>
      </c>
      <c r="C105" s="3116"/>
      <c r="D105" s="2440"/>
      <c r="E105" s="2440"/>
      <c r="F105" s="341">
        <f>'905Hosp'!F106</f>
        <v>0</v>
      </c>
      <c r="H105" s="341" t="e">
        <f>INDEX(PY905Data,MATCH($A105,PY905Row,0),MATCH($C$5,PY905Col,0))</f>
        <v>#N/A</v>
      </c>
      <c r="J105" s="228" t="e">
        <f>F105-H105</f>
        <v>#N/A</v>
      </c>
      <c r="L105" s="229" t="e">
        <f>IF(H105=0,0,J105/H105)</f>
        <v>#N/A</v>
      </c>
      <c r="N105" s="2317" t="str">
        <f t="shared" si="24"/>
        <v xml:space="preserve"> </v>
      </c>
    </row>
    <row r="106" spans="1:19" ht="13.5" x14ac:dyDescent="0.25">
      <c r="A106" s="170">
        <v>1670</v>
      </c>
      <c r="B106" s="3116" t="s">
        <v>2801</v>
      </c>
      <c r="C106" s="3116"/>
      <c r="D106" s="2440"/>
      <c r="E106" s="2440"/>
      <c r="F106" s="341">
        <f>'905Hosp'!F107</f>
        <v>0</v>
      </c>
      <c r="H106" s="341" t="e">
        <f>INDEX(PY905Data,MATCH($A106,PY905Row,0),MATCH($C$5,PY905Col,0))</f>
        <v>#N/A</v>
      </c>
      <c r="J106" s="228" t="e">
        <f>F106-H106</f>
        <v>#N/A</v>
      </c>
      <c r="L106" s="229" t="e">
        <f>IF(H106=0,0,J106/H106)</f>
        <v>#N/A</v>
      </c>
      <c r="N106" s="2317" t="str">
        <f t="shared" si="24"/>
        <v xml:space="preserve"> </v>
      </c>
    </row>
    <row r="107" spans="1:19" ht="13.5" x14ac:dyDescent="0.25">
      <c r="A107" s="170">
        <v>1840</v>
      </c>
      <c r="B107" s="2890" t="s">
        <v>2802</v>
      </c>
      <c r="C107" s="2890"/>
      <c r="D107" s="2380"/>
      <c r="E107" s="2380"/>
      <c r="F107" s="341">
        <f>'905Hosp'!F108</f>
        <v>0</v>
      </c>
      <c r="H107" s="341" t="e">
        <f>INDEX(PY905Data,MATCH($A107,PY905Row,0),MATCH($C$5,PY905Col,0))</f>
        <v>#N/A</v>
      </c>
      <c r="J107" s="228" t="e">
        <f>F107-H107</f>
        <v>#N/A</v>
      </c>
      <c r="L107" s="229" t="e">
        <f>IF(H107=0,0,J107/H107)</f>
        <v>#N/A</v>
      </c>
      <c r="N107" s="2317" t="str">
        <f t="shared" si="24"/>
        <v xml:space="preserve"> </v>
      </c>
    </row>
    <row r="108" spans="1:19" ht="13.5" x14ac:dyDescent="0.25">
      <c r="A108" s="170"/>
      <c r="B108" s="170" t="s">
        <v>2803</v>
      </c>
      <c r="C108" s="170"/>
      <c r="D108" s="170"/>
      <c r="E108" s="170"/>
      <c r="J108" s="228"/>
      <c r="L108" s="229"/>
      <c r="N108" s="2317" t="str">
        <f t="shared" si="24"/>
        <v xml:space="preserve"> </v>
      </c>
    </row>
    <row r="109" spans="1:19" ht="13.5" x14ac:dyDescent="0.25">
      <c r="A109" s="638">
        <v>1788</v>
      </c>
      <c r="B109" s="3116" t="s">
        <v>4864</v>
      </c>
      <c r="C109" s="3116"/>
      <c r="D109" s="2440"/>
      <c r="E109" s="2440"/>
      <c r="F109" s="341">
        <f>'905Hosp'!F110</f>
        <v>0</v>
      </c>
      <c r="H109" s="341" t="e">
        <f t="shared" ref="H109:H137" si="25">INDEX(PY905Data,MATCH($A109,PY905Row,0),MATCH($C$5,PY905Col,0))</f>
        <v>#N/A</v>
      </c>
      <c r="J109" s="228" t="e">
        <f t="shared" ref="J109:J128" si="26">F109-H109</f>
        <v>#N/A</v>
      </c>
      <c r="L109" s="229" t="e">
        <f t="shared" ref="L109:L128" si="27">IF(H109=0,0,J109/H109)</f>
        <v>#N/A</v>
      </c>
      <c r="N109" s="2317" t="str">
        <f t="shared" si="24"/>
        <v xml:space="preserve"> </v>
      </c>
    </row>
    <row r="110" spans="1:19" ht="13.5" x14ac:dyDescent="0.25">
      <c r="A110" s="638">
        <v>1789</v>
      </c>
      <c r="B110" s="3116" t="s">
        <v>3506</v>
      </c>
      <c r="C110" s="3116"/>
      <c r="D110" s="2440"/>
      <c r="E110" s="2440"/>
      <c r="F110" s="341">
        <f>'905Hosp'!F111</f>
        <v>0</v>
      </c>
      <c r="H110" s="341" t="e">
        <f t="shared" si="25"/>
        <v>#N/A</v>
      </c>
      <c r="J110" s="228" t="e">
        <f t="shared" si="26"/>
        <v>#N/A</v>
      </c>
      <c r="L110" s="229" t="e">
        <f t="shared" si="27"/>
        <v>#N/A</v>
      </c>
      <c r="N110" s="2317" t="str">
        <f t="shared" si="24"/>
        <v xml:space="preserve"> </v>
      </c>
    </row>
    <row r="111" spans="1:19" ht="13.5" x14ac:dyDescent="0.25">
      <c r="A111" s="638">
        <v>1790</v>
      </c>
      <c r="B111" s="3116" t="s">
        <v>1044</v>
      </c>
      <c r="C111" s="3116"/>
      <c r="D111" s="2440"/>
      <c r="E111" s="2440"/>
      <c r="F111" s="341">
        <f>'905Hosp'!F112</f>
        <v>0</v>
      </c>
      <c r="H111" s="341" t="e">
        <f t="shared" si="25"/>
        <v>#N/A</v>
      </c>
      <c r="J111" s="228" t="e">
        <f t="shared" si="26"/>
        <v>#N/A</v>
      </c>
      <c r="L111" s="229" t="e">
        <f t="shared" si="27"/>
        <v>#N/A</v>
      </c>
      <c r="N111" s="2317" t="str">
        <f t="shared" si="24"/>
        <v xml:space="preserve"> </v>
      </c>
    </row>
    <row r="112" spans="1:19" ht="13.5" x14ac:dyDescent="0.25">
      <c r="A112" s="638">
        <v>1791</v>
      </c>
      <c r="B112" s="3116" t="s">
        <v>1036</v>
      </c>
      <c r="C112" s="3116"/>
      <c r="D112" s="2440"/>
      <c r="E112" s="2440"/>
      <c r="F112" s="341">
        <f>'905Hosp'!F113</f>
        <v>0</v>
      </c>
      <c r="H112" s="341" t="e">
        <f t="shared" si="25"/>
        <v>#N/A</v>
      </c>
      <c r="J112" s="228" t="e">
        <f t="shared" si="26"/>
        <v>#N/A</v>
      </c>
      <c r="L112" s="229" t="e">
        <f t="shared" si="27"/>
        <v>#N/A</v>
      </c>
      <c r="N112" s="2317" t="str">
        <f t="shared" si="24"/>
        <v xml:space="preserve"> </v>
      </c>
    </row>
    <row r="113" spans="1:16" ht="13.5" x14ac:dyDescent="0.25">
      <c r="A113" s="638">
        <v>1787</v>
      </c>
      <c r="B113" s="3116" t="s">
        <v>3507</v>
      </c>
      <c r="C113" s="3116"/>
      <c r="D113" s="2440"/>
      <c r="E113" s="2440"/>
      <c r="F113" s="341">
        <f>'905Hosp'!F114</f>
        <v>0</v>
      </c>
      <c r="H113" s="341" t="e">
        <f t="shared" si="25"/>
        <v>#N/A</v>
      </c>
      <c r="J113" s="228" t="e">
        <f t="shared" si="26"/>
        <v>#N/A</v>
      </c>
      <c r="L113" s="229" t="e">
        <f t="shared" si="27"/>
        <v>#N/A</v>
      </c>
      <c r="N113" s="2317" t="str">
        <f t="shared" si="24"/>
        <v xml:space="preserve"> </v>
      </c>
    </row>
    <row r="114" spans="1:16" ht="13.5" x14ac:dyDescent="0.25">
      <c r="A114" s="638">
        <v>1730</v>
      </c>
      <c r="B114" s="2890" t="s">
        <v>4865</v>
      </c>
      <c r="C114" s="2890"/>
      <c r="D114" s="2380"/>
      <c r="E114" s="2380"/>
      <c r="F114" s="341">
        <f>'905Hosp'!F115</f>
        <v>0</v>
      </c>
      <c r="H114" s="341" t="e">
        <f t="shared" si="25"/>
        <v>#N/A</v>
      </c>
      <c r="J114" s="228" t="e">
        <f t="shared" si="26"/>
        <v>#N/A</v>
      </c>
      <c r="L114" s="229" t="e">
        <f t="shared" si="27"/>
        <v>#N/A</v>
      </c>
      <c r="N114" s="2317" t="str">
        <f t="shared" si="24"/>
        <v xml:space="preserve"> </v>
      </c>
    </row>
    <row r="115" spans="1:16" ht="13.5" x14ac:dyDescent="0.25">
      <c r="A115" s="170">
        <v>1735</v>
      </c>
      <c r="B115" s="2890" t="s">
        <v>3479</v>
      </c>
      <c r="C115" s="2890"/>
      <c r="D115" s="2380"/>
      <c r="E115" s="2380"/>
      <c r="F115" s="341">
        <f>'905Hosp'!F116</f>
        <v>0</v>
      </c>
      <c r="H115" s="341" t="e">
        <f t="shared" si="25"/>
        <v>#N/A</v>
      </c>
      <c r="J115" s="228" t="e">
        <f t="shared" si="26"/>
        <v>#N/A</v>
      </c>
      <c r="L115" s="229" t="e">
        <f t="shared" si="27"/>
        <v>#N/A</v>
      </c>
      <c r="N115" s="2317" t="str">
        <f t="shared" si="24"/>
        <v xml:space="preserve"> </v>
      </c>
    </row>
    <row r="116" spans="1:16" ht="13.5" x14ac:dyDescent="0.25">
      <c r="A116" s="638">
        <v>1740</v>
      </c>
      <c r="B116" s="2890" t="s">
        <v>3481</v>
      </c>
      <c r="C116" s="2890"/>
      <c r="D116" s="2380"/>
      <c r="E116" s="2380"/>
      <c r="F116" s="341">
        <f>'905Hosp'!F117</f>
        <v>0</v>
      </c>
      <c r="H116" s="341" t="e">
        <f t="shared" si="25"/>
        <v>#N/A</v>
      </c>
      <c r="J116" s="228" t="e">
        <f t="shared" si="26"/>
        <v>#N/A</v>
      </c>
      <c r="L116" s="229" t="e">
        <f t="shared" si="27"/>
        <v>#N/A</v>
      </c>
      <c r="N116" s="2317" t="str">
        <f t="shared" si="24"/>
        <v xml:space="preserve"> </v>
      </c>
    </row>
    <row r="117" spans="1:16" ht="13.5" x14ac:dyDescent="0.25">
      <c r="A117" s="170">
        <v>1890</v>
      </c>
      <c r="B117" s="2890" t="s">
        <v>2812</v>
      </c>
      <c r="C117" s="2890"/>
      <c r="D117" s="2380"/>
      <c r="E117" s="2380"/>
      <c r="F117" s="341">
        <f>'905Hosp'!F118</f>
        <v>0</v>
      </c>
      <c r="H117" s="341" t="e">
        <f t="shared" si="25"/>
        <v>#N/A</v>
      </c>
      <c r="J117" s="228" t="e">
        <f t="shared" si="26"/>
        <v>#N/A</v>
      </c>
      <c r="L117" s="229" t="e">
        <f t="shared" si="27"/>
        <v>#N/A</v>
      </c>
      <c r="N117" s="2317" t="str">
        <f t="shared" si="24"/>
        <v xml:space="preserve"> </v>
      </c>
    </row>
    <row r="118" spans="1:16" ht="13.5" x14ac:dyDescent="0.25">
      <c r="A118" s="170">
        <v>1750</v>
      </c>
      <c r="B118" s="2890" t="s">
        <v>2813</v>
      </c>
      <c r="C118" s="2890"/>
      <c r="D118" s="2380"/>
      <c r="E118" s="2380"/>
      <c r="F118" s="341">
        <f>'905Hosp'!F119</f>
        <v>0</v>
      </c>
      <c r="H118" s="341" t="e">
        <f t="shared" si="25"/>
        <v>#N/A</v>
      </c>
      <c r="J118" s="228" t="e">
        <f t="shared" si="26"/>
        <v>#N/A</v>
      </c>
      <c r="L118" s="229" t="e">
        <f t="shared" si="27"/>
        <v>#N/A</v>
      </c>
      <c r="N118" s="2317" t="str">
        <f t="shared" si="24"/>
        <v xml:space="preserve"> </v>
      </c>
    </row>
    <row r="119" spans="1:16" ht="13.5" x14ac:dyDescent="0.25">
      <c r="A119" s="170">
        <v>1760</v>
      </c>
      <c r="B119" s="2890" t="s">
        <v>2814</v>
      </c>
      <c r="C119" s="2890"/>
      <c r="D119" s="2380"/>
      <c r="E119" s="2380"/>
      <c r="F119" s="341">
        <f>'905Hosp'!F120</f>
        <v>0</v>
      </c>
      <c r="H119" s="341" t="e">
        <f t="shared" si="25"/>
        <v>#N/A</v>
      </c>
      <c r="J119" s="228" t="e">
        <f t="shared" si="26"/>
        <v>#N/A</v>
      </c>
      <c r="L119" s="229" t="e">
        <f t="shared" si="27"/>
        <v>#N/A</v>
      </c>
      <c r="N119" s="2317" t="str">
        <f t="shared" si="24"/>
        <v xml:space="preserve"> </v>
      </c>
    </row>
    <row r="120" spans="1:16" ht="13.5" x14ac:dyDescent="0.25">
      <c r="A120" s="170">
        <v>1870</v>
      </c>
      <c r="B120" s="2890" t="s">
        <v>2815</v>
      </c>
      <c r="C120" s="2890"/>
      <c r="D120" s="2380"/>
      <c r="E120" s="2380"/>
      <c r="F120" s="341">
        <f>'905Hosp'!F121</f>
        <v>0</v>
      </c>
      <c r="H120" s="341" t="e">
        <f t="shared" si="25"/>
        <v>#N/A</v>
      </c>
      <c r="J120" s="228" t="e">
        <f t="shared" si="26"/>
        <v>#N/A</v>
      </c>
      <c r="L120" s="229" t="e">
        <f t="shared" si="27"/>
        <v>#N/A</v>
      </c>
      <c r="N120" s="2317" t="str">
        <f t="shared" si="24"/>
        <v xml:space="preserve"> </v>
      </c>
    </row>
    <row r="121" spans="1:16" ht="13.5" x14ac:dyDescent="0.25">
      <c r="A121" s="170">
        <v>1880</v>
      </c>
      <c r="B121" s="2890" t="s">
        <v>2816</v>
      </c>
      <c r="C121" s="2890"/>
      <c r="D121" s="2380"/>
      <c r="E121" s="2380"/>
      <c r="F121" s="341">
        <f>'905Hosp'!F122</f>
        <v>0</v>
      </c>
      <c r="H121" s="341" t="e">
        <f t="shared" si="25"/>
        <v>#N/A</v>
      </c>
      <c r="J121" s="228" t="e">
        <f t="shared" si="26"/>
        <v>#N/A</v>
      </c>
      <c r="L121" s="229" t="e">
        <f t="shared" si="27"/>
        <v>#N/A</v>
      </c>
      <c r="N121" s="2317" t="str">
        <f t="shared" si="24"/>
        <v xml:space="preserve"> </v>
      </c>
    </row>
    <row r="122" spans="1:16" ht="13.5" x14ac:dyDescent="0.25">
      <c r="A122" s="170">
        <v>1762</v>
      </c>
      <c r="B122" s="2890" t="s">
        <v>2817</v>
      </c>
      <c r="C122" s="2890"/>
      <c r="D122" s="2380"/>
      <c r="E122" s="2380"/>
      <c r="F122" s="341">
        <f>'905Hosp'!F123</f>
        <v>0</v>
      </c>
      <c r="H122" s="341" t="e">
        <f t="shared" si="25"/>
        <v>#N/A</v>
      </c>
      <c r="J122" s="228" t="e">
        <f t="shared" si="26"/>
        <v>#N/A</v>
      </c>
      <c r="L122" s="229" t="e">
        <f t="shared" si="27"/>
        <v>#N/A</v>
      </c>
      <c r="N122" s="2317" t="str">
        <f t="shared" si="24"/>
        <v xml:space="preserve"> </v>
      </c>
    </row>
    <row r="123" spans="1:16" ht="13.5" x14ac:dyDescent="0.25">
      <c r="A123" s="638">
        <v>1775</v>
      </c>
      <c r="B123" s="2890" t="s">
        <v>4866</v>
      </c>
      <c r="C123" s="2890"/>
      <c r="D123" s="2380"/>
      <c r="E123" s="2380"/>
      <c r="F123" s="341">
        <f>'905Hosp'!F124</f>
        <v>0</v>
      </c>
      <c r="H123" s="341" t="e">
        <f t="shared" si="25"/>
        <v>#N/A</v>
      </c>
      <c r="J123" s="228" t="e">
        <f t="shared" si="26"/>
        <v>#N/A</v>
      </c>
      <c r="L123" s="229" t="e">
        <f t="shared" si="27"/>
        <v>#N/A</v>
      </c>
      <c r="N123" s="2317" t="str">
        <f t="shared" si="24"/>
        <v xml:space="preserve"> </v>
      </c>
    </row>
    <row r="124" spans="1:16" ht="13.5" x14ac:dyDescent="0.25">
      <c r="A124" s="638">
        <v>1780</v>
      </c>
      <c r="B124" s="2890" t="s">
        <v>4867</v>
      </c>
      <c r="C124" s="2890"/>
      <c r="D124" s="2380"/>
      <c r="E124" s="2380"/>
      <c r="F124" s="341">
        <f>'905Hosp'!F125</f>
        <v>0</v>
      </c>
      <c r="H124" s="341" t="e">
        <f t="shared" si="25"/>
        <v>#N/A</v>
      </c>
      <c r="J124" s="228" t="e">
        <f t="shared" si="26"/>
        <v>#N/A</v>
      </c>
      <c r="L124" s="229" t="e">
        <f t="shared" si="27"/>
        <v>#N/A</v>
      </c>
      <c r="N124" s="2317" t="str">
        <f t="shared" si="24"/>
        <v xml:space="preserve"> </v>
      </c>
    </row>
    <row r="125" spans="1:16" ht="13.5" x14ac:dyDescent="0.25">
      <c r="A125" s="638">
        <v>1785</v>
      </c>
      <c r="B125" s="3069" t="s">
        <v>4926</v>
      </c>
      <c r="C125" s="3069"/>
      <c r="D125" s="2380"/>
      <c r="E125" s="2380"/>
      <c r="F125" s="341">
        <f>'905Hosp'!F126</f>
        <v>0</v>
      </c>
      <c r="H125" s="341" t="e">
        <f t="shared" si="25"/>
        <v>#N/A</v>
      </c>
      <c r="J125" s="228" t="e">
        <f t="shared" ref="J125" si="28">F125-H125</f>
        <v>#N/A</v>
      </c>
      <c r="L125" s="229" t="e">
        <f t="shared" ref="L125" si="29">IF(H125=0,0,J125/H125)</f>
        <v>#N/A</v>
      </c>
      <c r="N125" s="2317" t="str">
        <f t="shared" si="24"/>
        <v xml:space="preserve"> </v>
      </c>
    </row>
    <row r="126" spans="1:16" ht="13.5" x14ac:dyDescent="0.25">
      <c r="A126" s="1867">
        <v>1786</v>
      </c>
      <c r="B126" s="3072" t="s">
        <v>4927</v>
      </c>
      <c r="C126" s="3072"/>
      <c r="D126" s="2380"/>
      <c r="E126" s="2380"/>
      <c r="F126" s="341">
        <f>'905Hosp'!F127</f>
        <v>0</v>
      </c>
      <c r="H126" s="341" t="e">
        <f t="shared" si="25"/>
        <v>#N/A</v>
      </c>
      <c r="J126" s="228" t="e">
        <f t="shared" ref="J126" si="30">F126-H126</f>
        <v>#N/A</v>
      </c>
      <c r="L126" s="229" t="e">
        <f t="shared" ref="L126" si="31">IF(H126=0,0,J126/H126)</f>
        <v>#N/A</v>
      </c>
      <c r="N126" s="2317" t="str">
        <f t="shared" si="24"/>
        <v xml:space="preserve"> </v>
      </c>
      <c r="O126" s="1814" t="s">
        <v>4837</v>
      </c>
      <c r="P126" s="1113"/>
    </row>
    <row r="127" spans="1:16" ht="13.5" x14ac:dyDescent="0.25">
      <c r="A127" s="638">
        <v>1800</v>
      </c>
      <c r="B127" s="2890" t="s">
        <v>4870</v>
      </c>
      <c r="C127" s="2890"/>
      <c r="D127" s="2380"/>
      <c r="E127" s="2380"/>
      <c r="F127" s="341">
        <f>'905Hosp'!F128</f>
        <v>0</v>
      </c>
      <c r="H127" s="341" t="e">
        <f t="shared" si="25"/>
        <v>#N/A</v>
      </c>
      <c r="J127" s="228" t="e">
        <f t="shared" si="26"/>
        <v>#N/A</v>
      </c>
      <c r="L127" s="229" t="e">
        <f t="shared" si="27"/>
        <v>#N/A</v>
      </c>
      <c r="N127" s="2317" t="str">
        <f t="shared" si="24"/>
        <v xml:space="preserve"> </v>
      </c>
    </row>
    <row r="128" spans="1:16" ht="13.5" x14ac:dyDescent="0.25">
      <c r="A128" s="638">
        <v>1850</v>
      </c>
      <c r="B128" s="2890" t="s">
        <v>4871</v>
      </c>
      <c r="C128" s="2890"/>
      <c r="D128" s="2380"/>
      <c r="E128" s="2380"/>
      <c r="F128" s="341">
        <f>'905Hosp'!F129</f>
        <v>0</v>
      </c>
      <c r="H128" s="341" t="e">
        <f t="shared" si="25"/>
        <v>#N/A</v>
      </c>
      <c r="J128" s="228" t="e">
        <f t="shared" si="26"/>
        <v>#N/A</v>
      </c>
      <c r="L128" s="229" t="e">
        <f t="shared" si="27"/>
        <v>#N/A</v>
      </c>
      <c r="N128" s="2317" t="str">
        <f t="shared" si="24"/>
        <v xml:space="preserve"> </v>
      </c>
    </row>
    <row r="129" spans="1:15" ht="13.5" x14ac:dyDescent="0.25">
      <c r="A129" s="638">
        <v>1851</v>
      </c>
      <c r="B129" s="2890" t="s">
        <v>4872</v>
      </c>
      <c r="C129" s="2890"/>
      <c r="D129" s="2380"/>
      <c r="E129" s="2380"/>
      <c r="F129" s="341">
        <f>'905Hosp'!F130</f>
        <v>0</v>
      </c>
      <c r="H129" s="341" t="e">
        <f t="shared" si="25"/>
        <v>#N/A</v>
      </c>
      <c r="J129" s="228" t="e">
        <f t="shared" ref="J129:J137" si="32">F129-H129</f>
        <v>#N/A</v>
      </c>
      <c r="L129" s="229" t="e">
        <f t="shared" ref="L129:L137" si="33">IF(H129=0,0,J129/H129)</f>
        <v>#N/A</v>
      </c>
      <c r="N129" s="2317" t="str">
        <f t="shared" si="24"/>
        <v xml:space="preserve"> </v>
      </c>
    </row>
    <row r="130" spans="1:15" ht="13.5" x14ac:dyDescent="0.25">
      <c r="A130" s="638">
        <v>1852</v>
      </c>
      <c r="B130" s="2890" t="s">
        <v>4873</v>
      </c>
      <c r="C130" s="2890"/>
      <c r="D130" s="2380"/>
      <c r="E130" s="2380"/>
      <c r="F130" s="341">
        <f>'905Hosp'!F131</f>
        <v>0</v>
      </c>
      <c r="H130" s="341" t="e">
        <f t="shared" si="25"/>
        <v>#N/A</v>
      </c>
      <c r="J130" s="228" t="e">
        <f t="shared" si="32"/>
        <v>#N/A</v>
      </c>
      <c r="L130" s="229" t="e">
        <f t="shared" si="33"/>
        <v>#N/A</v>
      </c>
      <c r="N130" s="2317" t="str">
        <f t="shared" si="24"/>
        <v xml:space="preserve"> </v>
      </c>
    </row>
    <row r="131" spans="1:15" ht="13.5" x14ac:dyDescent="0.25">
      <c r="A131" s="638">
        <v>1855</v>
      </c>
      <c r="B131" s="2890" t="s">
        <v>4874</v>
      </c>
      <c r="C131" s="2890"/>
      <c r="D131" s="2380"/>
      <c r="E131" s="2380"/>
      <c r="F131" s="341">
        <f>'905Hosp'!F132</f>
        <v>0</v>
      </c>
      <c r="H131" s="341" t="e">
        <f t="shared" si="25"/>
        <v>#N/A</v>
      </c>
      <c r="J131" s="228" t="e">
        <f t="shared" si="32"/>
        <v>#N/A</v>
      </c>
      <c r="L131" s="229" t="e">
        <f t="shared" si="33"/>
        <v>#N/A</v>
      </c>
      <c r="N131" s="2317" t="str">
        <f t="shared" si="24"/>
        <v xml:space="preserve"> </v>
      </c>
    </row>
    <row r="132" spans="1:15" ht="13.5" x14ac:dyDescent="0.25">
      <c r="A132" s="638">
        <v>1857</v>
      </c>
      <c r="B132" s="2890" t="s">
        <v>4875</v>
      </c>
      <c r="C132" s="2890"/>
      <c r="D132" s="2380"/>
      <c r="E132" s="2380"/>
      <c r="F132" s="341">
        <f>'905Hosp'!F133</f>
        <v>0</v>
      </c>
      <c r="H132" s="341" t="e">
        <f t="shared" si="25"/>
        <v>#N/A</v>
      </c>
      <c r="J132" s="228" t="e">
        <f>F132-H132</f>
        <v>#N/A</v>
      </c>
      <c r="L132" s="229" t="e">
        <f>IF(H132=0,0,J132/H132)</f>
        <v>#N/A</v>
      </c>
      <c r="N132" s="2317" t="str">
        <f t="shared" si="24"/>
        <v xml:space="preserve"> </v>
      </c>
    </row>
    <row r="133" spans="1:15" ht="13.5" x14ac:dyDescent="0.25">
      <c r="A133" s="638">
        <v>1860</v>
      </c>
      <c r="B133" s="2890" t="s">
        <v>4876</v>
      </c>
      <c r="C133" s="2890"/>
      <c r="D133" s="2890"/>
      <c r="E133" s="2890"/>
      <c r="F133" s="341">
        <f>'905Hosp'!F134</f>
        <v>0</v>
      </c>
      <c r="H133" s="341" t="e">
        <f t="shared" si="25"/>
        <v>#N/A</v>
      </c>
      <c r="J133" s="228" t="e">
        <f t="shared" si="32"/>
        <v>#N/A</v>
      </c>
      <c r="L133" s="229" t="e">
        <f t="shared" si="33"/>
        <v>#N/A</v>
      </c>
      <c r="N133" s="2317" t="str">
        <f t="shared" si="24"/>
        <v xml:space="preserve"> </v>
      </c>
    </row>
    <row r="134" spans="1:15" ht="13.5" x14ac:dyDescent="0.25">
      <c r="A134" s="638">
        <v>1868</v>
      </c>
      <c r="B134" s="2890" t="s">
        <v>2830</v>
      </c>
      <c r="C134" s="2890"/>
      <c r="D134" s="2890"/>
      <c r="E134" s="2890"/>
      <c r="F134" s="341">
        <f>'905Hosp'!F135</f>
        <v>0</v>
      </c>
      <c r="H134" s="341" t="e">
        <f t="shared" si="25"/>
        <v>#N/A</v>
      </c>
      <c r="J134" s="228" t="e">
        <f>F134-H134</f>
        <v>#N/A</v>
      </c>
      <c r="L134" s="229" t="e">
        <f>IF(H134=0,0,J134/H134)</f>
        <v>#N/A</v>
      </c>
      <c r="N134" s="2317" t="str">
        <f t="shared" si="24"/>
        <v xml:space="preserve"> </v>
      </c>
    </row>
    <row r="135" spans="1:15" ht="13.5" x14ac:dyDescent="0.25">
      <c r="A135" s="638">
        <v>1869</v>
      </c>
      <c r="B135" s="2890" t="s">
        <v>2831</v>
      </c>
      <c r="C135" s="2890"/>
      <c r="D135" s="2380"/>
      <c r="E135" s="2380"/>
      <c r="F135" s="341">
        <f>'905Hosp'!F136</f>
        <v>0</v>
      </c>
      <c r="H135" s="341" t="e">
        <f t="shared" si="25"/>
        <v>#N/A</v>
      </c>
      <c r="J135" s="228" t="e">
        <f>F135-H135</f>
        <v>#N/A</v>
      </c>
      <c r="L135" s="229" t="e">
        <f>IF(H135=0,0,J135/H135)</f>
        <v>#N/A</v>
      </c>
      <c r="N135" s="2317" t="str">
        <f t="shared" si="24"/>
        <v xml:space="preserve"> </v>
      </c>
      <c r="O135" s="971"/>
    </row>
    <row r="136" spans="1:15" ht="13.5" x14ac:dyDescent="0.25">
      <c r="A136" s="638">
        <v>1865</v>
      </c>
      <c r="B136" s="2890" t="s">
        <v>4879</v>
      </c>
      <c r="C136" s="2890"/>
      <c r="D136" s="2380"/>
      <c r="E136" s="2380"/>
      <c r="F136" s="341">
        <f>'905Hosp'!F137</f>
        <v>0</v>
      </c>
      <c r="H136" s="341" t="e">
        <f t="shared" si="25"/>
        <v>#N/A</v>
      </c>
      <c r="J136" s="228" t="e">
        <f t="shared" si="32"/>
        <v>#N/A</v>
      </c>
      <c r="L136" s="229" t="e">
        <f t="shared" si="33"/>
        <v>#N/A</v>
      </c>
      <c r="N136" s="2317" t="str">
        <f t="shared" si="24"/>
        <v xml:space="preserve"> </v>
      </c>
    </row>
    <row r="137" spans="1:15" ht="13.5" x14ac:dyDescent="0.25">
      <c r="A137" s="638">
        <v>1866</v>
      </c>
      <c r="B137" s="2890" t="s">
        <v>4880</v>
      </c>
      <c r="C137" s="2890"/>
      <c r="D137" s="2380"/>
      <c r="E137" s="2380"/>
      <c r="F137" s="341">
        <f>'905Hosp'!F138</f>
        <v>0</v>
      </c>
      <c r="H137" s="341" t="e">
        <f t="shared" si="25"/>
        <v>#N/A</v>
      </c>
      <c r="J137" s="228" t="e">
        <f t="shared" si="32"/>
        <v>#N/A</v>
      </c>
      <c r="L137" s="229" t="e">
        <f t="shared" si="33"/>
        <v>#N/A</v>
      </c>
      <c r="N137" s="2317" t="str">
        <f t="shared" si="24"/>
        <v xml:space="preserve"> </v>
      </c>
    </row>
    <row r="138" spans="1:15" ht="13.5" x14ac:dyDescent="0.25">
      <c r="B138" s="2890" t="s">
        <v>3555</v>
      </c>
      <c r="C138" s="2890"/>
      <c r="D138" s="2380"/>
      <c r="E138" s="2380"/>
      <c r="F138" s="217">
        <f>SUM(F102:F137)</f>
        <v>0</v>
      </c>
      <c r="H138" s="217" t="e">
        <f>SUM(H102:H137)</f>
        <v>#N/A</v>
      </c>
      <c r="J138" s="228" t="e">
        <f>F138-H138</f>
        <v>#N/A</v>
      </c>
      <c r="L138" s="229" t="e">
        <f>IF(H138=0,0,J138/H138)</f>
        <v>#N/A</v>
      </c>
    </row>
    <row r="139" spans="1:15" ht="13.5" x14ac:dyDescent="0.25">
      <c r="B139" s="2380"/>
      <c r="C139" s="2380"/>
      <c r="D139" s="2380"/>
      <c r="E139" s="2380"/>
      <c r="J139" s="228"/>
      <c r="L139" s="229"/>
    </row>
    <row r="140" spans="1:15" ht="13.5" x14ac:dyDescent="0.25">
      <c r="B140" s="218" t="s">
        <v>1991</v>
      </c>
      <c r="C140" s="218"/>
      <c r="D140" s="218"/>
      <c r="E140" s="218"/>
      <c r="J140" s="228"/>
      <c r="L140" s="229"/>
    </row>
    <row r="141" spans="1:15" x14ac:dyDescent="0.2">
      <c r="A141" s="170"/>
      <c r="B141" s="170" t="s">
        <v>2797</v>
      </c>
      <c r="C141" s="170"/>
      <c r="D141" s="170"/>
      <c r="E141" s="170"/>
    </row>
    <row r="142" spans="1:15" ht="13.5" x14ac:dyDescent="0.25">
      <c r="A142" s="170">
        <v>1940</v>
      </c>
      <c r="B142" s="3116" t="s">
        <v>2835</v>
      </c>
      <c r="C142" s="3116"/>
      <c r="D142" s="2440"/>
      <c r="E142" s="2440"/>
      <c r="F142" s="341">
        <f>'905Hosp'!F143</f>
        <v>0</v>
      </c>
      <c r="H142" s="341" t="e">
        <f t="shared" ref="H142:H164" si="34">INDEX(PY905Data,MATCH($A142,PY905Row,0),MATCH($C$5,PY905Col,0))</f>
        <v>#N/A</v>
      </c>
      <c r="J142" s="228" t="e">
        <f>F142-H142</f>
        <v>#N/A</v>
      </c>
      <c r="L142" s="229" t="e">
        <f>IF(H142=0,0,J142/H142)</f>
        <v>#N/A</v>
      </c>
      <c r="N142" s="2317" t="str">
        <f t="shared" ref="N142:N164" si="35">IF($F$88=0," ",IF(AND(ABS(J142)&gt;$L$3,ABS(L142)&gt;$L$2),"C",IF(AND(ABS(F142+H142)&gt;0,H142=0,ABS(J142)&gt;$L$3),"C"," ")))</f>
        <v xml:space="preserve"> </v>
      </c>
    </row>
    <row r="143" spans="1:15" ht="13.5" x14ac:dyDescent="0.25">
      <c r="A143" s="170">
        <v>1950</v>
      </c>
      <c r="B143" s="3116" t="s">
        <v>2800</v>
      </c>
      <c r="C143" s="3116"/>
      <c r="D143" s="2440"/>
      <c r="E143" s="2440"/>
      <c r="F143" s="341">
        <f>'905Hosp'!F144</f>
        <v>0</v>
      </c>
      <c r="H143" s="341" t="e">
        <f t="shared" si="34"/>
        <v>#N/A</v>
      </c>
      <c r="J143" s="228" t="e">
        <f t="shared" ref="J143:J167" si="36">F143-H143</f>
        <v>#N/A</v>
      </c>
      <c r="L143" s="229" t="e">
        <f t="shared" ref="L143:L167" si="37">IF(H143=0,0,J143/H143)</f>
        <v>#N/A</v>
      </c>
      <c r="N143" s="2317" t="str">
        <f t="shared" si="35"/>
        <v xml:space="preserve"> </v>
      </c>
    </row>
    <row r="144" spans="1:15" ht="13.5" x14ac:dyDescent="0.25">
      <c r="A144" s="170">
        <v>1960</v>
      </c>
      <c r="B144" s="3116" t="s">
        <v>2801</v>
      </c>
      <c r="C144" s="3116"/>
      <c r="D144" s="2440"/>
      <c r="E144" s="2440"/>
      <c r="F144" s="341">
        <f>'905Hosp'!F145</f>
        <v>0</v>
      </c>
      <c r="H144" s="341" t="e">
        <f t="shared" si="34"/>
        <v>#N/A</v>
      </c>
      <c r="J144" s="228" t="e">
        <f t="shared" si="36"/>
        <v>#N/A</v>
      </c>
      <c r="L144" s="229" t="e">
        <f t="shared" si="37"/>
        <v>#N/A</v>
      </c>
      <c r="N144" s="2317" t="str">
        <f t="shared" si="35"/>
        <v xml:space="preserve"> </v>
      </c>
    </row>
    <row r="145" spans="1:15" ht="13.5" x14ac:dyDescent="0.25">
      <c r="A145" s="638">
        <v>2020</v>
      </c>
      <c r="B145" s="2890" t="s">
        <v>4881</v>
      </c>
      <c r="C145" s="2890"/>
      <c r="D145" s="2380"/>
      <c r="E145" s="2380"/>
      <c r="F145" s="341">
        <f>'905Hosp'!F146</f>
        <v>0</v>
      </c>
      <c r="H145" s="341" t="e">
        <f t="shared" si="34"/>
        <v>#N/A</v>
      </c>
      <c r="J145" s="228" t="e">
        <f t="shared" si="36"/>
        <v>#N/A</v>
      </c>
      <c r="L145" s="229" t="e">
        <f t="shared" si="37"/>
        <v>#N/A</v>
      </c>
      <c r="N145" s="2317" t="str">
        <f t="shared" si="35"/>
        <v xml:space="preserve"> </v>
      </c>
    </row>
    <row r="146" spans="1:15" ht="13.5" x14ac:dyDescent="0.25">
      <c r="A146" s="170">
        <v>2097</v>
      </c>
      <c r="B146" s="2890" t="s">
        <v>2812</v>
      </c>
      <c r="C146" s="2890"/>
      <c r="D146" s="2380"/>
      <c r="E146" s="2380"/>
      <c r="F146" s="341">
        <f>'905Hosp'!F147</f>
        <v>0</v>
      </c>
      <c r="H146" s="341" t="e">
        <f t="shared" si="34"/>
        <v>#N/A</v>
      </c>
      <c r="J146" s="228" t="e">
        <f>F146-H146</f>
        <v>#N/A</v>
      </c>
      <c r="L146" s="229" t="e">
        <f>IF(H146=0,0,J146/H146)</f>
        <v>#N/A</v>
      </c>
      <c r="N146" s="2317" t="str">
        <f t="shared" si="35"/>
        <v xml:space="preserve"> </v>
      </c>
    </row>
    <row r="147" spans="1:15" ht="13.5" x14ac:dyDescent="0.25">
      <c r="A147" s="170">
        <v>2070</v>
      </c>
      <c r="B147" s="2890" t="s">
        <v>2815</v>
      </c>
      <c r="C147" s="2890"/>
      <c r="D147" s="2380"/>
      <c r="E147" s="2380"/>
      <c r="F147" s="341">
        <f>'905Hosp'!F148</f>
        <v>0</v>
      </c>
      <c r="H147" s="341" t="e">
        <f t="shared" si="34"/>
        <v>#N/A</v>
      </c>
      <c r="J147" s="228" t="e">
        <f t="shared" si="36"/>
        <v>#N/A</v>
      </c>
      <c r="L147" s="229" t="e">
        <f t="shared" si="37"/>
        <v>#N/A</v>
      </c>
      <c r="N147" s="2317" t="str">
        <f t="shared" si="35"/>
        <v xml:space="preserve"> </v>
      </c>
    </row>
    <row r="148" spans="1:15" ht="13.5" x14ac:dyDescent="0.25">
      <c r="A148" s="170">
        <v>2080</v>
      </c>
      <c r="B148" s="2890" t="s">
        <v>2816</v>
      </c>
      <c r="C148" s="2890"/>
      <c r="D148" s="2380"/>
      <c r="E148" s="2380"/>
      <c r="F148" s="341">
        <f>'905Hosp'!F149</f>
        <v>0</v>
      </c>
      <c r="H148" s="341" t="e">
        <f t="shared" si="34"/>
        <v>#N/A</v>
      </c>
      <c r="J148" s="228" t="e">
        <f t="shared" si="36"/>
        <v>#N/A</v>
      </c>
      <c r="L148" s="229" t="e">
        <f t="shared" si="37"/>
        <v>#N/A</v>
      </c>
      <c r="N148" s="2317" t="str">
        <f t="shared" si="35"/>
        <v xml:space="preserve"> </v>
      </c>
    </row>
    <row r="149" spans="1:15" ht="13.5" x14ac:dyDescent="0.25">
      <c r="A149" s="170">
        <v>2024</v>
      </c>
      <c r="B149" s="2890" t="s">
        <v>2817</v>
      </c>
      <c r="C149" s="2890"/>
      <c r="D149" s="2380"/>
      <c r="E149" s="2380"/>
      <c r="F149" s="341">
        <f>'905Hosp'!F150</f>
        <v>0</v>
      </c>
      <c r="H149" s="341" t="e">
        <f t="shared" si="34"/>
        <v>#N/A</v>
      </c>
      <c r="J149" s="228" t="e">
        <f>F149-H149</f>
        <v>#N/A</v>
      </c>
      <c r="L149" s="229" t="e">
        <f>IF(H149=0,0,J149/H149)</f>
        <v>#N/A</v>
      </c>
      <c r="N149" s="2317" t="str">
        <f t="shared" si="35"/>
        <v xml:space="preserve"> </v>
      </c>
    </row>
    <row r="150" spans="1:15" ht="13.5" x14ac:dyDescent="0.25">
      <c r="A150" s="638">
        <v>2035</v>
      </c>
      <c r="B150" s="2890" t="s">
        <v>1044</v>
      </c>
      <c r="C150" s="2890"/>
      <c r="D150" s="2380"/>
      <c r="E150" s="2380"/>
      <c r="F150" s="341">
        <f>'905Hosp'!F151</f>
        <v>0</v>
      </c>
      <c r="H150" s="341" t="e">
        <f t="shared" si="34"/>
        <v>#N/A</v>
      </c>
      <c r="J150" s="228" t="e">
        <f t="shared" si="36"/>
        <v>#N/A</v>
      </c>
      <c r="L150" s="229" t="e">
        <f t="shared" si="37"/>
        <v>#N/A</v>
      </c>
      <c r="N150" s="2317" t="str">
        <f t="shared" si="35"/>
        <v xml:space="preserve"> </v>
      </c>
    </row>
    <row r="151" spans="1:15" ht="13.5" x14ac:dyDescent="0.25">
      <c r="A151" s="638">
        <v>2040</v>
      </c>
      <c r="B151" s="2890" t="s">
        <v>4928</v>
      </c>
      <c r="C151" s="2890"/>
      <c r="D151" s="2380"/>
      <c r="E151" s="2380"/>
      <c r="F151" s="341">
        <f>'905Hosp'!F152</f>
        <v>0</v>
      </c>
      <c r="H151" s="341" t="e">
        <f t="shared" si="34"/>
        <v>#N/A</v>
      </c>
      <c r="J151" s="228" t="e">
        <f t="shared" si="36"/>
        <v>#N/A</v>
      </c>
      <c r="L151" s="229" t="e">
        <f t="shared" si="37"/>
        <v>#N/A</v>
      </c>
      <c r="N151" s="2317" t="str">
        <f t="shared" si="35"/>
        <v xml:space="preserve"> </v>
      </c>
    </row>
    <row r="152" spans="1:15" ht="13.5" x14ac:dyDescent="0.25">
      <c r="A152" s="638">
        <v>2046</v>
      </c>
      <c r="B152" s="3110" t="s">
        <v>4883</v>
      </c>
      <c r="C152" s="3110"/>
      <c r="D152" s="170"/>
      <c r="E152" s="170"/>
      <c r="F152" s="341">
        <f>'905Hosp'!F153</f>
        <v>0</v>
      </c>
      <c r="H152" s="341" t="e">
        <f t="shared" si="34"/>
        <v>#N/A</v>
      </c>
      <c r="J152" s="228" t="e">
        <f t="shared" ref="J152" si="38">F152-H152</f>
        <v>#N/A</v>
      </c>
      <c r="L152" s="229" t="e">
        <f t="shared" ref="L152" si="39">IF(H152=0,0,J152/H152)</f>
        <v>#N/A</v>
      </c>
      <c r="N152" s="2317" t="str">
        <f t="shared" si="35"/>
        <v xml:space="preserve"> </v>
      </c>
    </row>
    <row r="153" spans="1:15" ht="13.5" x14ac:dyDescent="0.25">
      <c r="A153" s="1867">
        <v>2047</v>
      </c>
      <c r="B153" s="3072" t="s">
        <v>4929</v>
      </c>
      <c r="C153" s="3072"/>
      <c r="D153" s="170"/>
      <c r="E153" s="170"/>
      <c r="F153" s="341">
        <f>'905Hosp'!F154</f>
        <v>0</v>
      </c>
      <c r="H153" s="341" t="e">
        <f t="shared" si="34"/>
        <v>#N/A</v>
      </c>
      <c r="J153" s="228" t="e">
        <f t="shared" ref="J153" si="40">F153-H153</f>
        <v>#N/A</v>
      </c>
      <c r="L153" s="229" t="e">
        <f t="shared" ref="L153" si="41">IF(H153=0,0,J153/H153)</f>
        <v>#N/A</v>
      </c>
      <c r="N153" s="2317" t="str">
        <f t="shared" si="35"/>
        <v xml:space="preserve"> </v>
      </c>
      <c r="O153" s="1814" t="s">
        <v>4837</v>
      </c>
    </row>
    <row r="154" spans="1:15" ht="13.5" x14ac:dyDescent="0.25">
      <c r="A154" s="638">
        <v>2050</v>
      </c>
      <c r="B154" s="2890" t="s">
        <v>4885</v>
      </c>
      <c r="C154" s="2890"/>
      <c r="D154" s="2380"/>
      <c r="E154" s="2380"/>
      <c r="F154" s="341">
        <f>'905Hosp'!F155</f>
        <v>0</v>
      </c>
      <c r="H154" s="341" t="e">
        <f t="shared" si="34"/>
        <v>#N/A</v>
      </c>
      <c r="J154" s="228" t="e">
        <f t="shared" si="36"/>
        <v>#N/A</v>
      </c>
      <c r="L154" s="229" t="e">
        <f t="shared" si="37"/>
        <v>#N/A</v>
      </c>
      <c r="N154" s="2317" t="str">
        <f t="shared" si="35"/>
        <v xml:space="preserve"> </v>
      </c>
    </row>
    <row r="155" spans="1:15" ht="13.5" x14ac:dyDescent="0.25">
      <c r="A155" s="638">
        <v>2060</v>
      </c>
      <c r="B155" s="2890" t="s">
        <v>1041</v>
      </c>
      <c r="C155" s="2890"/>
      <c r="D155" s="2380"/>
      <c r="E155" s="2380"/>
      <c r="F155" s="341">
        <f>'905Hosp'!F156</f>
        <v>0</v>
      </c>
      <c r="H155" s="341" t="e">
        <f t="shared" si="34"/>
        <v>#N/A</v>
      </c>
      <c r="J155" s="228" t="e">
        <f t="shared" si="36"/>
        <v>#N/A</v>
      </c>
      <c r="L155" s="229" t="e">
        <f t="shared" si="37"/>
        <v>#N/A</v>
      </c>
      <c r="N155" s="2317" t="str">
        <f t="shared" si="35"/>
        <v xml:space="preserve"> </v>
      </c>
    </row>
    <row r="156" spans="1:15" ht="13.5" x14ac:dyDescent="0.25">
      <c r="A156" s="638">
        <v>2061</v>
      </c>
      <c r="B156" s="2890" t="s">
        <v>1043</v>
      </c>
      <c r="C156" s="2890"/>
      <c r="D156" s="2380"/>
      <c r="E156" s="2380"/>
      <c r="F156" s="341">
        <f>'905Hosp'!F157</f>
        <v>0</v>
      </c>
      <c r="H156" s="341" t="e">
        <f t="shared" si="34"/>
        <v>#N/A</v>
      </c>
      <c r="J156" s="228" t="e">
        <f t="shared" ref="J156:J164" si="42">F156-H156</f>
        <v>#N/A</v>
      </c>
      <c r="L156" s="229" t="e">
        <f t="shared" ref="L156:L164" si="43">IF(H156=0,0,J156/H156)</f>
        <v>#N/A</v>
      </c>
      <c r="N156" s="2317" t="str">
        <f t="shared" si="35"/>
        <v xml:space="preserve"> </v>
      </c>
    </row>
    <row r="157" spans="1:15" ht="13.5" x14ac:dyDescent="0.25">
      <c r="A157" s="638">
        <v>2045</v>
      </c>
      <c r="B157" s="2890" t="s">
        <v>1069</v>
      </c>
      <c r="C157" s="2890"/>
      <c r="D157" s="2380"/>
      <c r="E157" s="2380"/>
      <c r="F157" s="341">
        <f>'905Hosp'!F158</f>
        <v>0</v>
      </c>
      <c r="H157" s="341" t="e">
        <f t="shared" si="34"/>
        <v>#N/A</v>
      </c>
      <c r="J157" s="228" t="e">
        <f t="shared" si="42"/>
        <v>#N/A</v>
      </c>
      <c r="L157" s="229" t="e">
        <f t="shared" si="43"/>
        <v>#N/A</v>
      </c>
      <c r="N157" s="2317" t="str">
        <f t="shared" si="35"/>
        <v xml:space="preserve"> </v>
      </c>
    </row>
    <row r="158" spans="1:15" ht="13.5" x14ac:dyDescent="0.25">
      <c r="A158" s="638">
        <v>2085</v>
      </c>
      <c r="B158" s="2890" t="s">
        <v>1048</v>
      </c>
      <c r="C158" s="2890"/>
      <c r="D158" s="2380"/>
      <c r="E158" s="2380"/>
      <c r="F158" s="341">
        <f>'905Hosp'!F159</f>
        <v>0</v>
      </c>
      <c r="H158" s="341" t="e">
        <f t="shared" si="34"/>
        <v>#N/A</v>
      </c>
      <c r="J158" s="228" t="e">
        <f t="shared" si="42"/>
        <v>#N/A</v>
      </c>
      <c r="L158" s="229" t="e">
        <f t="shared" si="43"/>
        <v>#N/A</v>
      </c>
      <c r="N158" s="2317" t="str">
        <f t="shared" si="35"/>
        <v xml:space="preserve"> </v>
      </c>
    </row>
    <row r="159" spans="1:15" ht="13.5" x14ac:dyDescent="0.25">
      <c r="A159" s="638">
        <v>2087</v>
      </c>
      <c r="B159" s="2890" t="s">
        <v>1049</v>
      </c>
      <c r="C159" s="2890"/>
      <c r="D159" s="2380"/>
      <c r="E159" s="2380"/>
      <c r="F159" s="341">
        <f>'905Hosp'!F160</f>
        <v>0</v>
      </c>
      <c r="H159" s="341" t="e">
        <f t="shared" si="34"/>
        <v>#N/A</v>
      </c>
      <c r="J159" s="228" t="e">
        <f>F159-H159</f>
        <v>#N/A</v>
      </c>
      <c r="L159" s="229" t="e">
        <f>IF(H159=0,0,J159/H159)</f>
        <v>#N/A</v>
      </c>
      <c r="N159" s="2317" t="str">
        <f t="shared" si="35"/>
        <v xml:space="preserve"> </v>
      </c>
    </row>
    <row r="160" spans="1:15" ht="13.5" x14ac:dyDescent="0.25">
      <c r="A160" s="638">
        <v>2090</v>
      </c>
      <c r="B160" s="2890" t="s">
        <v>4886</v>
      </c>
      <c r="C160" s="2890"/>
      <c r="D160" s="2890"/>
      <c r="E160" s="2890"/>
      <c r="F160" s="341">
        <f>'905Hosp'!F161</f>
        <v>0</v>
      </c>
      <c r="H160" s="341" t="e">
        <f t="shared" si="34"/>
        <v>#N/A</v>
      </c>
      <c r="J160" s="228" t="e">
        <f t="shared" si="42"/>
        <v>#N/A</v>
      </c>
      <c r="L160" s="229" t="e">
        <f t="shared" si="43"/>
        <v>#N/A</v>
      </c>
      <c r="N160" s="2317" t="str">
        <f t="shared" si="35"/>
        <v xml:space="preserve"> </v>
      </c>
    </row>
    <row r="161" spans="1:19" ht="13.5" x14ac:dyDescent="0.25">
      <c r="A161" s="638">
        <v>2098</v>
      </c>
      <c r="B161" s="2890" t="s">
        <v>4887</v>
      </c>
      <c r="C161" s="2890"/>
      <c r="D161" s="2890"/>
      <c r="E161" s="2890"/>
      <c r="F161" s="341">
        <f>'905Hosp'!F162</f>
        <v>0</v>
      </c>
      <c r="H161" s="341" t="e">
        <f t="shared" si="34"/>
        <v>#N/A</v>
      </c>
      <c r="J161" s="228" t="e">
        <f>F161-H161</f>
        <v>#N/A</v>
      </c>
      <c r="L161" s="229" t="e">
        <f>IF(H161=0,0,J161/H161)</f>
        <v>#N/A</v>
      </c>
      <c r="N161" s="2317" t="str">
        <f t="shared" si="35"/>
        <v xml:space="preserve"> </v>
      </c>
    </row>
    <row r="162" spans="1:19" ht="13.5" x14ac:dyDescent="0.25">
      <c r="A162" s="638">
        <v>2099</v>
      </c>
      <c r="B162" s="2890" t="s">
        <v>2848</v>
      </c>
      <c r="C162" s="2890"/>
      <c r="D162" s="2380"/>
      <c r="E162" s="2380"/>
      <c r="F162" s="341">
        <f>'905Hosp'!F163</f>
        <v>0</v>
      </c>
      <c r="H162" s="341" t="e">
        <f t="shared" si="34"/>
        <v>#N/A</v>
      </c>
      <c r="J162" s="228" t="e">
        <f>F162-H162</f>
        <v>#N/A</v>
      </c>
      <c r="L162" s="229" t="e">
        <f>IF(H162=0,0,J162/H162)</f>
        <v>#N/A</v>
      </c>
      <c r="N162" s="2317" t="str">
        <f t="shared" si="35"/>
        <v xml:space="preserve"> </v>
      </c>
      <c r="O162" s="971"/>
    </row>
    <row r="163" spans="1:19" ht="13.5" x14ac:dyDescent="0.25">
      <c r="A163" s="638">
        <v>2095</v>
      </c>
      <c r="B163" s="2890" t="s">
        <v>1074</v>
      </c>
      <c r="C163" s="2890"/>
      <c r="D163" s="2380"/>
      <c r="E163" s="2380"/>
      <c r="F163" s="341">
        <f>'905Hosp'!F164</f>
        <v>0</v>
      </c>
      <c r="H163" s="341" t="e">
        <f t="shared" si="34"/>
        <v>#N/A</v>
      </c>
      <c r="J163" s="228" t="e">
        <f t="shared" si="42"/>
        <v>#N/A</v>
      </c>
      <c r="L163" s="229" t="e">
        <f t="shared" si="43"/>
        <v>#N/A</v>
      </c>
      <c r="N163" s="2317" t="str">
        <f t="shared" si="35"/>
        <v xml:space="preserve"> </v>
      </c>
    </row>
    <row r="164" spans="1:19" ht="13.5" x14ac:dyDescent="0.25">
      <c r="A164" s="638">
        <v>2096</v>
      </c>
      <c r="B164" s="2890" t="s">
        <v>4888</v>
      </c>
      <c r="C164" s="2890"/>
      <c r="D164" s="2380"/>
      <c r="E164" s="2380"/>
      <c r="F164" s="341">
        <f>'905Hosp'!F165</f>
        <v>0</v>
      </c>
      <c r="H164" s="341" t="e">
        <f t="shared" si="34"/>
        <v>#N/A</v>
      </c>
      <c r="J164" s="228" t="e">
        <f t="shared" si="42"/>
        <v>#N/A</v>
      </c>
      <c r="L164" s="229" t="e">
        <f t="shared" si="43"/>
        <v>#N/A</v>
      </c>
      <c r="N164" s="2317" t="str">
        <f t="shared" si="35"/>
        <v xml:space="preserve"> </v>
      </c>
    </row>
    <row r="165" spans="1:19" ht="13.5" x14ac:dyDescent="0.25">
      <c r="B165" s="2890" t="s">
        <v>4889</v>
      </c>
      <c r="C165" s="2890"/>
      <c r="D165" s="2380"/>
      <c r="E165" s="2380"/>
      <c r="F165" s="217">
        <f>SUM(F141:F164)</f>
        <v>0</v>
      </c>
      <c r="H165" s="217" t="e">
        <f>SUM(H141:H164)</f>
        <v>#N/A</v>
      </c>
      <c r="J165" s="228" t="e">
        <f t="shared" si="36"/>
        <v>#N/A</v>
      </c>
      <c r="L165" s="229" t="e">
        <f t="shared" si="37"/>
        <v>#N/A</v>
      </c>
    </row>
    <row r="166" spans="1:19" ht="13.5" x14ac:dyDescent="0.25">
      <c r="B166" s="2380"/>
      <c r="C166" s="2380"/>
      <c r="D166" s="2380"/>
      <c r="E166" s="2380"/>
      <c r="F166" s="219"/>
      <c r="H166" s="219"/>
      <c r="J166" s="228"/>
      <c r="L166" s="229"/>
    </row>
    <row r="167" spans="1:19" ht="13.5" x14ac:dyDescent="0.25">
      <c r="B167" s="2890" t="s">
        <v>1774</v>
      </c>
      <c r="C167" s="2890"/>
      <c r="D167" s="2380"/>
      <c r="E167" s="2380"/>
      <c r="F167" s="219">
        <f>F138+F165</f>
        <v>0</v>
      </c>
      <c r="H167" s="219" t="e">
        <f>H138+H165</f>
        <v>#N/A</v>
      </c>
      <c r="J167" s="228" t="e">
        <f t="shared" si="36"/>
        <v>#N/A</v>
      </c>
      <c r="L167" s="229" t="e">
        <f t="shared" si="37"/>
        <v>#N/A</v>
      </c>
    </row>
    <row r="168" spans="1:19" ht="7.5" customHeight="1" x14ac:dyDescent="0.25">
      <c r="B168" s="2380"/>
      <c r="C168" s="2380"/>
      <c r="D168" s="2380"/>
      <c r="E168" s="2380"/>
      <c r="F168" s="346"/>
      <c r="H168" s="346"/>
      <c r="J168" s="228"/>
      <c r="L168" s="229"/>
    </row>
    <row r="169" spans="1:19" ht="13.5" x14ac:dyDescent="0.25">
      <c r="B169" s="2442" t="s">
        <v>1996</v>
      </c>
      <c r="F169"/>
      <c r="H169" s="346"/>
      <c r="J169" s="228"/>
      <c r="L169" s="229"/>
    </row>
    <row r="170" spans="1:19" ht="13.5" x14ac:dyDescent="0.25">
      <c r="A170" s="170">
        <v>1764</v>
      </c>
      <c r="B170" s="2890" t="s">
        <v>4930</v>
      </c>
      <c r="C170" s="2890"/>
      <c r="D170" s="2890"/>
      <c r="E170" s="2890"/>
      <c r="F170" s="341">
        <f>'905Hosp'!F171</f>
        <v>0</v>
      </c>
      <c r="G170" s="2380"/>
      <c r="H170" s="341" t="e">
        <f t="shared" ref="H170:H179" si="44">INDEX(PY905Data,MATCH($A170,PY905Row,0),MATCH($C$5,PY905Col,0))</f>
        <v>#N/A</v>
      </c>
      <c r="J170" s="228" t="e">
        <f t="shared" ref="J170:J180" si="45">F170-H170</f>
        <v>#N/A</v>
      </c>
      <c r="L170" s="229" t="e">
        <f t="shared" ref="L170:L180" si="46">IF(H170=0,0,J170/H170)</f>
        <v>#N/A</v>
      </c>
      <c r="N170" s="2317" t="str">
        <f t="shared" ref="N170:N179" si="47">IF($F$88=0," ",IF(AND(ABS(J170)&gt;$L$3,ABS(L170)&gt;$L$2),"C",IF(AND(ABS(F170+H170)&gt;0,H170=0,ABS(J170)&gt;$L$3),"C"," ")))</f>
        <v xml:space="preserve"> </v>
      </c>
    </row>
    <row r="171" spans="1:19" ht="13.5" x14ac:dyDescent="0.25">
      <c r="A171" s="170">
        <v>2026</v>
      </c>
      <c r="B171" s="2890" t="s">
        <v>4890</v>
      </c>
      <c r="C171" s="2890"/>
      <c r="D171" s="2890"/>
      <c r="E171" s="2890"/>
      <c r="F171" s="341">
        <f>'905Hosp'!F172</f>
        <v>0</v>
      </c>
      <c r="G171" s="2380"/>
      <c r="H171" s="341" t="e">
        <f t="shared" si="44"/>
        <v>#N/A</v>
      </c>
      <c r="J171" s="228" t="e">
        <f t="shared" si="45"/>
        <v>#N/A</v>
      </c>
      <c r="L171" s="229" t="e">
        <f t="shared" si="46"/>
        <v>#N/A</v>
      </c>
      <c r="N171" s="2317" t="str">
        <f t="shared" si="47"/>
        <v xml:space="preserve"> </v>
      </c>
    </row>
    <row r="172" spans="1:19" ht="13.5" x14ac:dyDescent="0.25">
      <c r="A172" s="170">
        <v>1766</v>
      </c>
      <c r="B172" s="2890" t="s">
        <v>2855</v>
      </c>
      <c r="C172" s="2890"/>
      <c r="D172" s="2890"/>
      <c r="E172" s="2890"/>
      <c r="F172" s="341">
        <f>'905Hosp'!F173</f>
        <v>0</v>
      </c>
      <c r="G172" s="2380"/>
      <c r="H172" s="341" t="e">
        <f t="shared" si="44"/>
        <v>#N/A</v>
      </c>
      <c r="J172" s="228" t="e">
        <f t="shared" si="45"/>
        <v>#N/A</v>
      </c>
      <c r="L172" s="229" t="e">
        <f t="shared" si="46"/>
        <v>#N/A</v>
      </c>
      <c r="N172" s="2317" t="str">
        <f t="shared" si="47"/>
        <v xml:space="preserve"> </v>
      </c>
      <c r="P172" s="3069"/>
      <c r="Q172" s="3069"/>
      <c r="R172" s="2380"/>
      <c r="S172" s="2380"/>
    </row>
    <row r="173" spans="1:19" ht="13.5" x14ac:dyDescent="0.25">
      <c r="A173" s="170">
        <v>1768</v>
      </c>
      <c r="B173" s="2890" t="s">
        <v>2223</v>
      </c>
      <c r="C173" s="2890"/>
      <c r="D173" s="2890"/>
      <c r="E173" s="2890"/>
      <c r="F173" s="341">
        <f>'905Hosp'!F174</f>
        <v>0</v>
      </c>
      <c r="G173" s="2380"/>
      <c r="H173" s="341" t="e">
        <f t="shared" si="44"/>
        <v>#N/A</v>
      </c>
      <c r="J173" s="228" t="e">
        <f t="shared" si="45"/>
        <v>#N/A</v>
      </c>
      <c r="L173" s="229" t="e">
        <f t="shared" si="46"/>
        <v>#N/A</v>
      </c>
      <c r="N173" s="2317" t="str">
        <f t="shared" si="47"/>
        <v xml:space="preserve"> </v>
      </c>
      <c r="P173" s="3069"/>
      <c r="Q173" s="3069"/>
      <c r="R173" s="2380"/>
      <c r="S173" s="2380"/>
    </row>
    <row r="174" spans="1:19" ht="13.5" x14ac:dyDescent="0.25">
      <c r="A174" s="170">
        <v>1765</v>
      </c>
      <c r="B174" s="2890" t="s">
        <v>2224</v>
      </c>
      <c r="C174" s="2890"/>
      <c r="D174" s="2890"/>
      <c r="E174" s="2890"/>
      <c r="F174" s="341">
        <f>'905Hosp'!F175</f>
        <v>0</v>
      </c>
      <c r="G174" s="2380"/>
      <c r="H174" s="341" t="e">
        <f t="shared" si="44"/>
        <v>#N/A</v>
      </c>
      <c r="J174" s="228" t="e">
        <f>F174-H174</f>
        <v>#N/A</v>
      </c>
      <c r="L174" s="229" t="e">
        <f>IF(H174=0,0,J174/H174)</f>
        <v>#N/A</v>
      </c>
      <c r="N174" s="2317" t="str">
        <f t="shared" si="47"/>
        <v xml:space="preserve"> </v>
      </c>
      <c r="P174" s="3069"/>
      <c r="Q174" s="3069"/>
      <c r="R174" s="2380"/>
      <c r="S174" s="2380"/>
    </row>
    <row r="175" spans="1:19" ht="13.5" x14ac:dyDescent="0.25">
      <c r="A175" s="170">
        <v>1772</v>
      </c>
      <c r="B175" s="2890" t="s">
        <v>2856</v>
      </c>
      <c r="C175" s="2890"/>
      <c r="D175" s="2890"/>
      <c r="E175" s="2890"/>
      <c r="F175" s="341">
        <f>'905Hosp'!F176</f>
        <v>0</v>
      </c>
      <c r="G175" s="2380"/>
      <c r="H175" s="341" t="e">
        <f t="shared" si="44"/>
        <v>#N/A</v>
      </c>
      <c r="J175" s="228" t="e">
        <f>F175-H175</f>
        <v>#N/A</v>
      </c>
      <c r="L175" s="229" t="e">
        <f>IF(H175=0,0,J175/H175)</f>
        <v>#N/A</v>
      </c>
      <c r="N175" s="2317" t="str">
        <f t="shared" si="47"/>
        <v xml:space="preserve"> </v>
      </c>
      <c r="O175" s="971"/>
      <c r="P175" s="3069"/>
      <c r="Q175" s="3069"/>
      <c r="R175" s="2380"/>
      <c r="S175" s="2380"/>
    </row>
    <row r="176" spans="1:19" ht="13.5" x14ac:dyDescent="0.25">
      <c r="A176" s="170">
        <v>1767</v>
      </c>
      <c r="B176" s="2890" t="s">
        <v>2225</v>
      </c>
      <c r="C176" s="2890"/>
      <c r="D176" s="2890"/>
      <c r="E176" s="2890"/>
      <c r="F176" s="341">
        <f>'905Hosp'!F177</f>
        <v>0</v>
      </c>
      <c r="G176" s="2380"/>
      <c r="H176" s="341" t="e">
        <f t="shared" si="44"/>
        <v>#N/A</v>
      </c>
      <c r="J176" s="228" t="e">
        <f>F176-H176</f>
        <v>#N/A</v>
      </c>
      <c r="L176" s="229" t="e">
        <f>IF(H176=0,0,J176/H176)</f>
        <v>#N/A</v>
      </c>
      <c r="N176" s="2317" t="str">
        <f t="shared" si="47"/>
        <v xml:space="preserve"> </v>
      </c>
      <c r="P176" s="3069"/>
      <c r="Q176" s="3069"/>
      <c r="R176" s="2380"/>
      <c r="S176" s="2380"/>
    </row>
    <row r="177" spans="1:19" ht="13.5" x14ac:dyDescent="0.25">
      <c r="A177" s="170">
        <v>1771</v>
      </c>
      <c r="B177" s="2890" t="s">
        <v>2226</v>
      </c>
      <c r="C177" s="2890"/>
      <c r="D177" s="2890"/>
      <c r="E177" s="2890"/>
      <c r="F177" s="341">
        <f>'905Hosp'!F178</f>
        <v>0</v>
      </c>
      <c r="G177" s="2380"/>
      <c r="H177" s="341" t="e">
        <f t="shared" si="44"/>
        <v>#N/A</v>
      </c>
      <c r="J177" s="228" t="e">
        <f>F177-H177</f>
        <v>#N/A</v>
      </c>
      <c r="L177" s="229" t="e">
        <f>IF(H177=0,0,J177/H177)</f>
        <v>#N/A</v>
      </c>
      <c r="N177" s="2317" t="str">
        <f t="shared" si="47"/>
        <v xml:space="preserve"> </v>
      </c>
      <c r="O177" s="971"/>
      <c r="P177" s="3069"/>
      <c r="Q177" s="3069"/>
      <c r="R177" s="2380"/>
      <c r="S177" s="2380"/>
    </row>
    <row r="178" spans="1:19" ht="13.5" x14ac:dyDescent="0.25">
      <c r="A178" s="170">
        <v>1773</v>
      </c>
      <c r="B178" s="2890" t="s">
        <v>2857</v>
      </c>
      <c r="C178" s="2890"/>
      <c r="D178" s="2890"/>
      <c r="E178" s="2890"/>
      <c r="F178" s="341">
        <f>'905Hosp'!F179</f>
        <v>0</v>
      </c>
      <c r="G178" s="2380"/>
      <c r="H178" s="341" t="e">
        <f t="shared" si="44"/>
        <v>#N/A</v>
      </c>
      <c r="J178" s="228" t="e">
        <f>F178-H178</f>
        <v>#N/A</v>
      </c>
      <c r="L178" s="229" t="e">
        <f>IF(H178=0,0,J178/H178)</f>
        <v>#N/A</v>
      </c>
      <c r="N178" s="2317" t="str">
        <f t="shared" si="47"/>
        <v xml:space="preserve"> </v>
      </c>
      <c r="O178" s="971"/>
      <c r="P178" s="2431"/>
      <c r="Q178" s="2431"/>
      <c r="R178" s="2380"/>
      <c r="S178" s="2380"/>
    </row>
    <row r="179" spans="1:19" ht="13.5" x14ac:dyDescent="0.25">
      <c r="A179" s="170">
        <v>1769</v>
      </c>
      <c r="B179" s="2890" t="s">
        <v>1998</v>
      </c>
      <c r="C179" s="2890"/>
      <c r="D179" s="2890"/>
      <c r="E179" s="2890"/>
      <c r="F179" s="343">
        <f>'905Hosp'!F180</f>
        <v>0</v>
      </c>
      <c r="G179" s="2380"/>
      <c r="H179" s="343" t="e">
        <f t="shared" si="44"/>
        <v>#N/A</v>
      </c>
      <c r="J179" s="228" t="e">
        <f t="shared" si="45"/>
        <v>#N/A</v>
      </c>
      <c r="L179" s="229" t="e">
        <f t="shared" si="46"/>
        <v>#N/A</v>
      </c>
      <c r="N179" s="2317" t="str">
        <f t="shared" si="47"/>
        <v xml:space="preserve"> </v>
      </c>
      <c r="P179" s="3069"/>
      <c r="Q179" s="3069"/>
      <c r="R179" s="2380"/>
      <c r="S179" s="2380"/>
    </row>
    <row r="180" spans="1:19" ht="13.5" x14ac:dyDescent="0.25">
      <c r="B180" s="2890" t="s">
        <v>2858</v>
      </c>
      <c r="C180" s="2890"/>
      <c r="D180" s="2380"/>
      <c r="E180" s="2380"/>
      <c r="F180" s="219">
        <f>SUM(F170:F179)</f>
        <v>0</v>
      </c>
      <c r="G180" s="2380"/>
      <c r="H180" s="219" t="e">
        <f>SUM(H170:H179)</f>
        <v>#N/A</v>
      </c>
      <c r="J180" s="228" t="e">
        <f t="shared" si="45"/>
        <v>#N/A</v>
      </c>
      <c r="L180" s="229" t="e">
        <f t="shared" si="46"/>
        <v>#N/A</v>
      </c>
    </row>
    <row r="181" spans="1:19" ht="14.25" thickBot="1" x14ac:dyDescent="0.3">
      <c r="B181" s="2430"/>
      <c r="C181" s="2430"/>
      <c r="D181" s="2430"/>
      <c r="E181" s="2430"/>
      <c r="F181" s="2430"/>
      <c r="G181" s="2430"/>
      <c r="J181" s="228"/>
      <c r="L181" s="229"/>
    </row>
    <row r="182" spans="1:19" ht="13.5" thickBot="1" x14ac:dyDescent="0.25">
      <c r="B182" s="213" t="s">
        <v>1673</v>
      </c>
      <c r="F182" s="934" t="s">
        <v>4891</v>
      </c>
      <c r="G182" s="935"/>
      <c r="H182" s="936"/>
      <c r="I182" s="935"/>
      <c r="J182" s="935"/>
      <c r="K182" s="935"/>
      <c r="L182" s="937"/>
    </row>
    <row r="183" spans="1:19" ht="13.5" x14ac:dyDescent="0.25">
      <c r="A183" s="170">
        <v>2130</v>
      </c>
      <c r="B183" s="2890" t="s">
        <v>4892</v>
      </c>
      <c r="C183" s="2890"/>
      <c r="D183" s="2380"/>
      <c r="E183" s="2380"/>
      <c r="F183" s="341">
        <f>'905Hosp'!F184</f>
        <v>0</v>
      </c>
      <c r="H183" s="341" t="e">
        <f>INDEX(PY905Data,MATCH($A183,PY905Row,0),MATCH($C$5,PY905Col,0))</f>
        <v>#N/A</v>
      </c>
      <c r="J183" s="228" t="e">
        <f>F183-H183</f>
        <v>#N/A</v>
      </c>
      <c r="L183" s="229" t="e">
        <f>IF(H183=0,0,J183/H183)</f>
        <v>#N/A</v>
      </c>
    </row>
    <row r="184" spans="1:19" ht="13.5" x14ac:dyDescent="0.25">
      <c r="A184" s="166"/>
      <c r="B184" s="170" t="s">
        <v>4893</v>
      </c>
      <c r="C184" s="170"/>
      <c r="D184" s="170"/>
      <c r="E184" s="170"/>
      <c r="J184" s="228"/>
      <c r="L184" s="229"/>
    </row>
    <row r="185" spans="1:19" ht="13.5" x14ac:dyDescent="0.25">
      <c r="A185" s="170">
        <v>2140</v>
      </c>
      <c r="B185" s="2890" t="s">
        <v>4894</v>
      </c>
      <c r="C185" s="2890"/>
      <c r="D185" s="2380"/>
      <c r="E185" s="2380"/>
      <c r="F185" s="341">
        <f>'905Hosp'!F186</f>
        <v>0</v>
      </c>
      <c r="H185" s="341" t="e">
        <f>INDEX(PY905Data,MATCH($A185,PY905Row,0),MATCH($C$5,PY905Col,0))</f>
        <v>#N/A</v>
      </c>
      <c r="J185" s="228" t="e">
        <f>F185-H185</f>
        <v>#N/A</v>
      </c>
      <c r="L185" s="229" t="e">
        <f>IF(H185=0,0,J185/H185)</f>
        <v>#N/A</v>
      </c>
    </row>
    <row r="186" spans="1:19" ht="13.5" x14ac:dyDescent="0.25">
      <c r="A186" s="170">
        <v>2141</v>
      </c>
      <c r="B186" s="2890" t="s">
        <v>4895</v>
      </c>
      <c r="C186" s="2890"/>
      <c r="D186" s="2380"/>
      <c r="E186" s="2380"/>
      <c r="F186" s="341">
        <f>'905Hosp'!F187</f>
        <v>0</v>
      </c>
      <c r="H186" s="341" t="e">
        <f>INDEX(PY905Data,MATCH($A186,PY905Row,0),MATCH($C$5,PY905Col,0))</f>
        <v>#N/A</v>
      </c>
      <c r="J186" s="228" t="e">
        <f>F186-H186</f>
        <v>#N/A</v>
      </c>
      <c r="L186" s="229" t="e">
        <f>IF(H186=0,0,J186/H186)</f>
        <v>#N/A</v>
      </c>
    </row>
    <row r="187" spans="1:19" ht="13.5" x14ac:dyDescent="0.25">
      <c r="A187" s="170">
        <v>2142</v>
      </c>
      <c r="B187" s="2890" t="s">
        <v>4896</v>
      </c>
      <c r="C187" s="2890"/>
      <c r="D187" s="2380"/>
      <c r="E187" s="2380"/>
      <c r="F187" s="341">
        <f>'905Hosp'!F188</f>
        <v>0</v>
      </c>
      <c r="H187" s="341" t="e">
        <f>INDEX(PY905Data,MATCH($A187,PY905Row,0),MATCH($C$5,PY905Col,0))</f>
        <v>#N/A</v>
      </c>
      <c r="J187" s="228" t="e">
        <f>F187-H187</f>
        <v>#N/A</v>
      </c>
      <c r="L187" s="229" t="e">
        <f>IF(H187=0,0,J187/H187)</f>
        <v>#N/A</v>
      </c>
    </row>
    <row r="188" spans="1:19" ht="13.5" x14ac:dyDescent="0.25">
      <c r="A188" s="166"/>
      <c r="B188" s="170" t="s">
        <v>2865</v>
      </c>
      <c r="C188" s="170"/>
      <c r="D188" s="170"/>
      <c r="E188" s="170"/>
      <c r="J188" s="228"/>
      <c r="L188" s="229"/>
    </row>
    <row r="189" spans="1:19" ht="13.5" x14ac:dyDescent="0.25">
      <c r="A189" s="170">
        <v>2150</v>
      </c>
      <c r="B189" s="2890" t="s">
        <v>4894</v>
      </c>
      <c r="C189" s="2890"/>
      <c r="D189" s="2380"/>
      <c r="E189" s="2380"/>
      <c r="F189" s="341">
        <f>'905Hosp'!F190</f>
        <v>0</v>
      </c>
      <c r="H189" s="341" t="e">
        <f>INDEX(PY905Data,MATCH($A189,PY905Row,0),MATCH($C$5,PY905Col,0))</f>
        <v>#N/A</v>
      </c>
      <c r="J189" s="228" t="e">
        <f>F189-H189</f>
        <v>#N/A</v>
      </c>
      <c r="L189" s="229" t="e">
        <f>IF(H189=0,0,J189/H189)</f>
        <v>#N/A</v>
      </c>
    </row>
    <row r="190" spans="1:19" ht="13.5" x14ac:dyDescent="0.25">
      <c r="A190" s="170">
        <v>2151</v>
      </c>
      <c r="B190" s="2890" t="s">
        <v>4895</v>
      </c>
      <c r="C190" s="2890"/>
      <c r="D190" s="2380"/>
      <c r="E190" s="2380"/>
      <c r="F190" s="341">
        <f>'905Hosp'!F191</f>
        <v>0</v>
      </c>
      <c r="H190" s="341" t="e">
        <f>INDEX(PY905Data,MATCH($A190,PY905Row,0),MATCH($C$5,PY905Col,0))</f>
        <v>#N/A</v>
      </c>
      <c r="J190" s="228" t="e">
        <f>F190-H190</f>
        <v>#N/A</v>
      </c>
      <c r="L190" s="229" t="e">
        <f>IF(H190=0,0,J190/H190)</f>
        <v>#N/A</v>
      </c>
    </row>
    <row r="191" spans="1:19" ht="13.5" x14ac:dyDescent="0.25">
      <c r="A191" s="170">
        <v>2152</v>
      </c>
      <c r="B191" s="2890" t="s">
        <v>4896</v>
      </c>
      <c r="C191" s="2890"/>
      <c r="D191" s="2380"/>
      <c r="E191" s="2380"/>
      <c r="F191" s="341">
        <f>'905Hosp'!F192</f>
        <v>0</v>
      </c>
      <c r="H191" s="341" t="e">
        <f>INDEX(PY905Data,MATCH($A191,PY905Row,0),MATCH($C$5,PY905Col,0))</f>
        <v>#N/A</v>
      </c>
      <c r="J191" s="228" t="e">
        <f>F191-H191</f>
        <v>#N/A</v>
      </c>
      <c r="L191" s="229" t="e">
        <f>IF(H191=0,0,J191/H191)</f>
        <v>#N/A</v>
      </c>
    </row>
    <row r="192" spans="1:19" ht="13.5" x14ac:dyDescent="0.25">
      <c r="A192" s="170">
        <v>2180</v>
      </c>
      <c r="B192" s="2890" t="s">
        <v>1640</v>
      </c>
      <c r="C192" s="2890"/>
      <c r="D192" s="2380"/>
      <c r="E192" s="2380"/>
      <c r="F192" s="341">
        <f>'905Hosp'!F193</f>
        <v>0</v>
      </c>
      <c r="H192" s="341" t="e">
        <f>INDEX(PY905Data,MATCH($A192,PY905Row,0),MATCH($C$5,PY905Col,0))</f>
        <v>#N/A</v>
      </c>
      <c r="J192" s="228" t="e">
        <f>F192-H192</f>
        <v>#N/A</v>
      </c>
      <c r="L192" s="229" t="e">
        <f>IF(H192=0,0,J192/H192)</f>
        <v>#N/A</v>
      </c>
    </row>
    <row r="193" spans="1:14" ht="14.25" thickBot="1" x14ac:dyDescent="0.3">
      <c r="B193" s="2890" t="s">
        <v>1641</v>
      </c>
      <c r="C193" s="2890"/>
      <c r="D193" s="2380"/>
      <c r="E193" s="2380"/>
      <c r="F193" s="220">
        <f>SUM(F183:F192)</f>
        <v>0</v>
      </c>
      <c r="H193" s="220" t="e">
        <f>SUM(H183:H192)</f>
        <v>#N/A</v>
      </c>
      <c r="J193" s="228" t="e">
        <f>F193-H193</f>
        <v>#N/A</v>
      </c>
      <c r="L193" s="229" t="e">
        <f>IF(H193=0,0,J193/H193)</f>
        <v>#N/A</v>
      </c>
    </row>
    <row r="194" spans="1:14" ht="6" customHeight="1" thickTop="1" x14ac:dyDescent="0.25">
      <c r="B194" s="2380"/>
      <c r="C194" s="2380"/>
      <c r="D194" s="2380"/>
      <c r="E194" s="2380"/>
      <c r="J194" s="228"/>
      <c r="L194" s="229"/>
    </row>
    <row r="195" spans="1:14" x14ac:dyDescent="0.2">
      <c r="B195" s="170" t="s">
        <v>4898</v>
      </c>
      <c r="C195" s="170"/>
      <c r="D195" s="170"/>
      <c r="E195" s="170"/>
      <c r="F195" s="430" t="str">
        <f>IF(ROUND(F88+F98-F167-F180,2)=F193, "In Bal.","Out of Bal.")</f>
        <v>In Bal.</v>
      </c>
      <c r="H195" s="430" t="e">
        <f>IF(ROUND(H88+H98-H167-H180,2)=H193, "In Bal.","Out of Bal.")</f>
        <v>#N/A</v>
      </c>
    </row>
    <row r="196" spans="1:14" x14ac:dyDescent="0.2">
      <c r="B196" s="170" t="s">
        <v>2869</v>
      </c>
      <c r="C196" s="170"/>
      <c r="D196" s="170"/>
      <c r="E196" s="170"/>
    </row>
    <row r="197" spans="1:14" x14ac:dyDescent="0.2">
      <c r="B197" s="735" t="s">
        <v>4899</v>
      </c>
      <c r="C197" s="344"/>
      <c r="D197" s="344"/>
      <c r="E197" s="344"/>
      <c r="F197" s="345"/>
    </row>
    <row r="198" spans="1:14" x14ac:dyDescent="0.2">
      <c r="B198" s="222" t="s">
        <v>4900</v>
      </c>
      <c r="C198" s="222"/>
      <c r="D198" s="222"/>
      <c r="E198" s="222"/>
      <c r="F198" s="734" t="str">
        <f>CONCATENATE("FYE ",+TEXT(Data!$A$2,"mmmm d,yyyy"))</f>
        <v>FYE June 30,2024</v>
      </c>
      <c r="H198" s="734" t="str">
        <f>CONCATENATE("FYE ",+TEXT(Data!$A$4,"mmmm d,yyyy"))</f>
        <v>FYE June 30,2023</v>
      </c>
    </row>
    <row r="199" spans="1:14" ht="13.5" x14ac:dyDescent="0.25">
      <c r="A199" s="170">
        <v>2310</v>
      </c>
      <c r="B199" s="2890" t="s">
        <v>2872</v>
      </c>
      <c r="C199" s="2890"/>
      <c r="D199" s="2380"/>
      <c r="E199" s="2380"/>
      <c r="F199" s="341">
        <f>'905Hosp'!F200</f>
        <v>0</v>
      </c>
      <c r="H199" s="341" t="e">
        <f t="shared" ref="H199:H209" si="48">INDEX(PY905Data,MATCH($A199,PY905Row,0),MATCH($C$5,PY905Col,0))</f>
        <v>#N/A</v>
      </c>
      <c r="J199" s="228" t="e">
        <f t="shared" ref="J199:J210" si="49">F199-H199</f>
        <v>#N/A</v>
      </c>
      <c r="L199" s="229" t="e">
        <f t="shared" ref="L199:L210" si="50">IF(H199=0,0,J199/H199)</f>
        <v>#N/A</v>
      </c>
      <c r="N199" s="2317" t="str">
        <f t="shared" ref="N199:N209" si="51">IF($F$88=0," ",IF(AND(ABS(J199)&gt;$L$3,ABS(L199)&gt;$L$2),"C",IF(AND(ABS(F199+H199)&gt;0,H199=0,ABS(J199)&gt;$L$3),"C"," ")))</f>
        <v xml:space="preserve"> </v>
      </c>
    </row>
    <row r="200" spans="1:14" ht="13.5" x14ac:dyDescent="0.25">
      <c r="A200" s="170">
        <v>2320</v>
      </c>
      <c r="B200" s="2890" t="s">
        <v>2873</v>
      </c>
      <c r="C200" s="2890"/>
      <c r="D200" s="2380"/>
      <c r="E200" s="2380"/>
      <c r="F200" s="341">
        <f>'905Hosp'!F201</f>
        <v>0</v>
      </c>
      <c r="H200" s="341" t="e">
        <f t="shared" si="48"/>
        <v>#N/A</v>
      </c>
      <c r="J200" s="228" t="e">
        <f t="shared" si="49"/>
        <v>#N/A</v>
      </c>
      <c r="L200" s="229" t="e">
        <f t="shared" si="50"/>
        <v>#N/A</v>
      </c>
      <c r="N200" s="2317" t="str">
        <f t="shared" si="51"/>
        <v xml:space="preserve"> </v>
      </c>
    </row>
    <row r="201" spans="1:14" ht="13.5" x14ac:dyDescent="0.25">
      <c r="A201" s="170">
        <v>2330</v>
      </c>
      <c r="B201" s="2890" t="s">
        <v>2874</v>
      </c>
      <c r="C201" s="2890"/>
      <c r="D201" s="2380"/>
      <c r="E201" s="2380"/>
      <c r="F201" s="341">
        <f>'905Hosp'!F202</f>
        <v>0</v>
      </c>
      <c r="H201" s="341" t="e">
        <f t="shared" si="48"/>
        <v>#N/A</v>
      </c>
      <c r="J201" s="228" t="e">
        <f>F201-H201</f>
        <v>#N/A</v>
      </c>
      <c r="L201" s="229" t="e">
        <f>IF(H201=0,0,J201/H201)</f>
        <v>#N/A</v>
      </c>
      <c r="N201" s="2317" t="str">
        <f t="shared" si="51"/>
        <v xml:space="preserve"> </v>
      </c>
    </row>
    <row r="202" spans="1:14" ht="13.5" x14ac:dyDescent="0.25">
      <c r="A202" s="170">
        <v>2350</v>
      </c>
      <c r="B202" s="2890" t="s">
        <v>2875</v>
      </c>
      <c r="C202" s="2890"/>
      <c r="D202" s="2380"/>
      <c r="E202" s="2380"/>
      <c r="F202" s="341">
        <f>'905Hosp'!F203</f>
        <v>0</v>
      </c>
      <c r="H202" s="341" t="e">
        <f t="shared" si="48"/>
        <v>#N/A</v>
      </c>
      <c r="J202" s="228" t="e">
        <f>F202-H202</f>
        <v>#N/A</v>
      </c>
      <c r="L202" s="229" t="e">
        <f>IF(H202=0,0,J202/H202)</f>
        <v>#N/A</v>
      </c>
      <c r="N202" s="2317" t="str">
        <f t="shared" si="51"/>
        <v xml:space="preserve"> </v>
      </c>
    </row>
    <row r="203" spans="1:14" ht="13.5" x14ac:dyDescent="0.25">
      <c r="A203" s="170">
        <v>2370</v>
      </c>
      <c r="B203" s="2890" t="s">
        <v>2876</v>
      </c>
      <c r="C203" s="2890"/>
      <c r="D203" s="2380"/>
      <c r="E203" s="2380"/>
      <c r="F203" s="341">
        <f>'905Hosp'!F204</f>
        <v>0</v>
      </c>
      <c r="H203" s="341" t="e">
        <f t="shared" si="48"/>
        <v>#N/A</v>
      </c>
      <c r="J203" s="228" t="e">
        <f t="shared" si="49"/>
        <v>#N/A</v>
      </c>
      <c r="L203" s="229" t="e">
        <f t="shared" si="50"/>
        <v>#N/A</v>
      </c>
      <c r="N203" s="2317" t="str">
        <f t="shared" si="51"/>
        <v xml:space="preserve"> </v>
      </c>
    </row>
    <row r="204" spans="1:14" ht="13.5" x14ac:dyDescent="0.25">
      <c r="A204" s="170">
        <v>2390</v>
      </c>
      <c r="B204" s="2890" t="s">
        <v>2002</v>
      </c>
      <c r="C204" s="2890"/>
      <c r="D204" s="2380"/>
      <c r="E204" s="2380"/>
      <c r="F204" s="341">
        <f>'905Hosp'!F205</f>
        <v>0</v>
      </c>
      <c r="H204" s="341" t="e">
        <f t="shared" si="48"/>
        <v>#N/A</v>
      </c>
      <c r="J204" s="228" t="e">
        <f t="shared" si="49"/>
        <v>#N/A</v>
      </c>
      <c r="L204" s="229" t="e">
        <f t="shared" si="50"/>
        <v>#N/A</v>
      </c>
      <c r="N204" s="2317" t="str">
        <f t="shared" si="51"/>
        <v xml:space="preserve"> </v>
      </c>
    </row>
    <row r="205" spans="1:14" ht="13.5" x14ac:dyDescent="0.25">
      <c r="A205" s="170">
        <v>2400</v>
      </c>
      <c r="B205" s="2890" t="s">
        <v>2004</v>
      </c>
      <c r="C205" s="2890"/>
      <c r="D205" s="2380"/>
      <c r="E205" s="2380"/>
      <c r="F205" s="341">
        <f>'905Hosp'!F206</f>
        <v>0</v>
      </c>
      <c r="H205" s="341" t="e">
        <f t="shared" si="48"/>
        <v>#N/A</v>
      </c>
      <c r="J205" s="228" t="e">
        <f t="shared" si="49"/>
        <v>#N/A</v>
      </c>
      <c r="L205" s="229" t="e">
        <f t="shared" si="50"/>
        <v>#N/A</v>
      </c>
      <c r="N205" s="2317" t="str">
        <f t="shared" si="51"/>
        <v xml:space="preserve"> </v>
      </c>
    </row>
    <row r="206" spans="1:14" ht="13.5" x14ac:dyDescent="0.25">
      <c r="A206" s="170">
        <v>2410</v>
      </c>
      <c r="B206" s="2890" t="s">
        <v>1256</v>
      </c>
      <c r="C206" s="2890"/>
      <c r="D206" s="2380"/>
      <c r="E206" s="2380"/>
      <c r="F206" s="341">
        <f>'905Hosp'!F207</f>
        <v>0</v>
      </c>
      <c r="H206" s="341" t="e">
        <f t="shared" si="48"/>
        <v>#N/A</v>
      </c>
      <c r="J206" s="228" t="e">
        <f t="shared" si="49"/>
        <v>#N/A</v>
      </c>
      <c r="L206" s="229" t="e">
        <f t="shared" si="50"/>
        <v>#N/A</v>
      </c>
      <c r="N206" s="2317" t="str">
        <f t="shared" si="51"/>
        <v xml:space="preserve"> </v>
      </c>
    </row>
    <row r="207" spans="1:14" ht="13.5" x14ac:dyDescent="0.25">
      <c r="A207" s="170">
        <v>2420</v>
      </c>
      <c r="B207" s="2890" t="s">
        <v>2880</v>
      </c>
      <c r="C207" s="2890"/>
      <c r="D207" s="2380"/>
      <c r="E207" s="2380"/>
      <c r="F207" s="341">
        <f>'905Hosp'!F208</f>
        <v>0</v>
      </c>
      <c r="H207" s="341" t="e">
        <f t="shared" si="48"/>
        <v>#N/A</v>
      </c>
      <c r="J207" s="228" t="e">
        <f t="shared" si="49"/>
        <v>#N/A</v>
      </c>
      <c r="L207" s="229" t="e">
        <f t="shared" si="50"/>
        <v>#N/A</v>
      </c>
      <c r="N207" s="2317" t="str">
        <f t="shared" si="51"/>
        <v xml:space="preserve"> </v>
      </c>
    </row>
    <row r="208" spans="1:14" ht="13.5" x14ac:dyDescent="0.25">
      <c r="A208" s="170">
        <v>2430</v>
      </c>
      <c r="B208" s="2890" t="s">
        <v>1248</v>
      </c>
      <c r="C208" s="2890"/>
      <c r="D208" s="2380"/>
      <c r="E208" s="2380"/>
      <c r="F208" s="341">
        <f>'905Hosp'!F209</f>
        <v>0</v>
      </c>
      <c r="H208" s="341" t="e">
        <f t="shared" si="48"/>
        <v>#N/A</v>
      </c>
      <c r="J208" s="228" t="e">
        <f t="shared" si="49"/>
        <v>#N/A</v>
      </c>
      <c r="L208" s="229" t="e">
        <f t="shared" si="50"/>
        <v>#N/A</v>
      </c>
      <c r="N208" s="2317" t="str">
        <f t="shared" si="51"/>
        <v xml:space="preserve"> </v>
      </c>
    </row>
    <row r="209" spans="1:14" ht="13.5" x14ac:dyDescent="0.25">
      <c r="A209" s="170">
        <v>2450</v>
      </c>
      <c r="B209" s="2890" t="s">
        <v>2006</v>
      </c>
      <c r="C209" s="2890"/>
      <c r="D209" s="2380"/>
      <c r="E209" s="2380"/>
      <c r="F209" s="341">
        <f>'905Hosp'!F210</f>
        <v>0</v>
      </c>
      <c r="H209" s="341" t="e">
        <f t="shared" si="48"/>
        <v>#N/A</v>
      </c>
      <c r="J209" s="228" t="e">
        <f t="shared" si="49"/>
        <v>#N/A</v>
      </c>
      <c r="L209" s="229" t="e">
        <f t="shared" si="50"/>
        <v>#N/A</v>
      </c>
      <c r="N209" s="2317" t="str">
        <f t="shared" si="51"/>
        <v xml:space="preserve"> </v>
      </c>
    </row>
    <row r="210" spans="1:14" ht="13.5" x14ac:dyDescent="0.25">
      <c r="A210" s="170"/>
      <c r="B210" s="2890" t="s">
        <v>4901</v>
      </c>
      <c r="C210" s="2890"/>
      <c r="D210" s="2380"/>
      <c r="E210" s="2380"/>
      <c r="F210" s="217">
        <f>SUM(F199:F209)</f>
        <v>0</v>
      </c>
      <c r="H210" s="217" t="e">
        <f>SUM(H199:H209)</f>
        <v>#N/A</v>
      </c>
      <c r="J210" s="228" t="e">
        <f t="shared" si="49"/>
        <v>#N/A</v>
      </c>
      <c r="L210" s="229" t="e">
        <f t="shared" si="50"/>
        <v>#N/A</v>
      </c>
    </row>
    <row r="211" spans="1:14" ht="3" customHeight="1" x14ac:dyDescent="0.25">
      <c r="B211" s="2380"/>
      <c r="C211" s="2380"/>
      <c r="D211" s="2380"/>
      <c r="E211" s="2380"/>
      <c r="F211" s="346"/>
      <c r="H211" s="346"/>
      <c r="J211" s="228"/>
      <c r="L211" s="229"/>
    </row>
    <row r="212" spans="1:14" ht="13.5" x14ac:dyDescent="0.25">
      <c r="B212" s="222" t="s">
        <v>4902</v>
      </c>
      <c r="C212" s="222"/>
      <c r="D212" s="222"/>
      <c r="E212" s="222"/>
      <c r="J212" s="228"/>
      <c r="L212" s="229"/>
    </row>
    <row r="213" spans="1:14" ht="13.5" x14ac:dyDescent="0.25">
      <c r="A213" s="170">
        <v>2490</v>
      </c>
      <c r="B213" s="3066" t="s">
        <v>2882</v>
      </c>
      <c r="C213" s="3066"/>
      <c r="D213" s="3066"/>
      <c r="E213" s="3066"/>
      <c r="F213" s="341">
        <f>'905Hosp'!F214</f>
        <v>0</v>
      </c>
      <c r="H213" s="341" t="e">
        <f t="shared" ref="H213:H220" si="52">INDEX(PY905Data,MATCH($A213,PY905Row,0),MATCH($C$5,PY905Col,0))</f>
        <v>#N/A</v>
      </c>
      <c r="J213" s="228" t="e">
        <f t="shared" ref="J213:J226" si="53">F213-H213</f>
        <v>#N/A</v>
      </c>
      <c r="L213" s="229" t="e">
        <f t="shared" ref="L213:L226" si="54">IF(H213=0,0,J213/H213)</f>
        <v>#N/A</v>
      </c>
      <c r="N213" s="2317" t="str">
        <f t="shared" ref="N213:N220" si="55">IF($F$88=0," ",IF(AND(ABS(J213)&gt;$L$3,ABS(L213)&gt;$L$2),"C",IF(AND(ABS(F213+H213)&gt;0,H213=0,ABS(J213)&gt;$L$3),"C"," ")))</f>
        <v xml:space="preserve"> </v>
      </c>
    </row>
    <row r="214" spans="1:14" ht="13.5" x14ac:dyDescent="0.25">
      <c r="A214" s="170">
        <v>2510</v>
      </c>
      <c r="B214" s="2890" t="s">
        <v>2883</v>
      </c>
      <c r="C214" s="2890"/>
      <c r="D214" s="2380"/>
      <c r="E214" s="2380"/>
      <c r="F214" s="341">
        <f>'905Hosp'!F215</f>
        <v>0</v>
      </c>
      <c r="H214" s="341" t="e">
        <f t="shared" si="52"/>
        <v>#N/A</v>
      </c>
      <c r="J214" s="228" t="e">
        <f t="shared" si="53"/>
        <v>#N/A</v>
      </c>
      <c r="L214" s="229" t="e">
        <f t="shared" si="54"/>
        <v>#N/A</v>
      </c>
      <c r="N214" s="2317" t="str">
        <f t="shared" si="55"/>
        <v xml:space="preserve"> </v>
      </c>
    </row>
    <row r="215" spans="1:14" ht="13.5" x14ac:dyDescent="0.25">
      <c r="A215" s="170">
        <v>2520</v>
      </c>
      <c r="B215" s="2890" t="s">
        <v>2010</v>
      </c>
      <c r="C215" s="2890"/>
      <c r="D215" s="2380"/>
      <c r="E215" s="2380"/>
      <c r="F215" s="341">
        <f>'905Hosp'!F216</f>
        <v>0</v>
      </c>
      <c r="H215" s="341" t="e">
        <f t="shared" si="52"/>
        <v>#N/A</v>
      </c>
      <c r="J215" s="228" t="e">
        <f t="shared" si="53"/>
        <v>#N/A</v>
      </c>
      <c r="L215" s="229" t="e">
        <f t="shared" si="54"/>
        <v>#N/A</v>
      </c>
      <c r="N215" s="2317" t="str">
        <f t="shared" si="55"/>
        <v xml:space="preserve"> </v>
      </c>
    </row>
    <row r="216" spans="1:14" ht="13.5" x14ac:dyDescent="0.25">
      <c r="A216" s="170">
        <v>2550</v>
      </c>
      <c r="B216" s="2890" t="s">
        <v>2884</v>
      </c>
      <c r="C216" s="2890"/>
      <c r="D216" s="2380"/>
      <c r="E216" s="2380"/>
      <c r="F216" s="341">
        <f>'905Hosp'!F217</f>
        <v>0</v>
      </c>
      <c r="H216" s="341" t="e">
        <f t="shared" si="52"/>
        <v>#N/A</v>
      </c>
      <c r="J216" s="228" t="e">
        <f t="shared" si="53"/>
        <v>#N/A</v>
      </c>
      <c r="L216" s="229" t="e">
        <f t="shared" si="54"/>
        <v>#N/A</v>
      </c>
      <c r="N216" s="2317" t="str">
        <f t="shared" si="55"/>
        <v xml:space="preserve"> </v>
      </c>
    </row>
    <row r="217" spans="1:14" ht="13.5" x14ac:dyDescent="0.25">
      <c r="A217" s="170">
        <v>2540</v>
      </c>
      <c r="B217" s="2890" t="s">
        <v>2885</v>
      </c>
      <c r="C217" s="2890"/>
      <c r="D217" s="2380"/>
      <c r="E217" s="2380"/>
      <c r="F217" s="341">
        <f>'905Hosp'!F218</f>
        <v>0</v>
      </c>
      <c r="H217" s="341" t="e">
        <f t="shared" si="52"/>
        <v>#N/A</v>
      </c>
      <c r="J217" s="228" t="e">
        <f t="shared" si="53"/>
        <v>#N/A</v>
      </c>
      <c r="L217" s="229" t="e">
        <f t="shared" si="54"/>
        <v>#N/A</v>
      </c>
      <c r="N217" s="2317" t="str">
        <f t="shared" si="55"/>
        <v xml:space="preserve"> </v>
      </c>
    </row>
    <row r="218" spans="1:14" ht="13.5" x14ac:dyDescent="0.25">
      <c r="A218" s="170">
        <v>2560</v>
      </c>
      <c r="B218" s="2890" t="s">
        <v>683</v>
      </c>
      <c r="C218" s="2890"/>
      <c r="D218" s="2380"/>
      <c r="E218" s="2380"/>
      <c r="F218" s="341">
        <f>'905Hosp'!F219</f>
        <v>0</v>
      </c>
      <c r="H218" s="341" t="e">
        <f t="shared" si="52"/>
        <v>#N/A</v>
      </c>
      <c r="J218" s="228" t="e">
        <f t="shared" si="53"/>
        <v>#N/A</v>
      </c>
      <c r="L218" s="229" t="e">
        <f t="shared" si="54"/>
        <v>#N/A</v>
      </c>
      <c r="N218" s="2317" t="str">
        <f t="shared" si="55"/>
        <v xml:space="preserve"> </v>
      </c>
    </row>
    <row r="219" spans="1:14" ht="13.5" x14ac:dyDescent="0.25">
      <c r="A219" s="170">
        <v>2570</v>
      </c>
      <c r="B219" s="2890" t="s">
        <v>2886</v>
      </c>
      <c r="C219" s="2890"/>
      <c r="D219" s="2380"/>
      <c r="E219" s="2380"/>
      <c r="F219" s="341">
        <f>'905Hosp'!F220</f>
        <v>0</v>
      </c>
      <c r="H219" s="341" t="e">
        <f t="shared" si="52"/>
        <v>#N/A</v>
      </c>
      <c r="J219" s="228" t="e">
        <f t="shared" si="53"/>
        <v>#N/A</v>
      </c>
      <c r="L219" s="229" t="e">
        <f t="shared" si="54"/>
        <v>#N/A</v>
      </c>
      <c r="N219" s="2317" t="str">
        <f t="shared" si="55"/>
        <v xml:space="preserve"> </v>
      </c>
    </row>
    <row r="220" spans="1:14" ht="13.5" x14ac:dyDescent="0.25">
      <c r="A220" s="170">
        <v>2590</v>
      </c>
      <c r="B220" s="2890" t="s">
        <v>2887</v>
      </c>
      <c r="C220" s="2890"/>
      <c r="D220" s="2380"/>
      <c r="E220" s="2380"/>
      <c r="F220" s="341">
        <f>'905Hosp'!F221</f>
        <v>0</v>
      </c>
      <c r="H220" s="341" t="e">
        <f t="shared" si="52"/>
        <v>#N/A</v>
      </c>
      <c r="J220" s="228" t="e">
        <f>F220-H220</f>
        <v>#N/A</v>
      </c>
      <c r="L220" s="229" t="e">
        <f>IF(H220=0,0,J220/H220)</f>
        <v>#N/A</v>
      </c>
      <c r="N220" s="2317" t="str">
        <f t="shared" si="55"/>
        <v xml:space="preserve"> </v>
      </c>
    </row>
    <row r="221" spans="1:14" ht="13.5" x14ac:dyDescent="0.25">
      <c r="A221" s="170"/>
      <c r="B221" s="170" t="s">
        <v>1373</v>
      </c>
      <c r="C221" s="170"/>
      <c r="D221" s="170"/>
      <c r="E221" s="170"/>
      <c r="J221" s="228"/>
      <c r="L221" s="229"/>
    </row>
    <row r="222" spans="1:14" ht="13.5" x14ac:dyDescent="0.25">
      <c r="A222" s="170">
        <v>2610</v>
      </c>
      <c r="B222" s="3116" t="s">
        <v>2888</v>
      </c>
      <c r="C222" s="3116"/>
      <c r="D222" s="2440"/>
      <c r="E222" s="2440"/>
      <c r="F222" s="341">
        <f>'905Hosp'!F223</f>
        <v>0</v>
      </c>
      <c r="H222" s="341" t="e">
        <f>INDEX(PY905Data,MATCH($A222,PY905Row,0),MATCH($C$5,PY905Col,0))</f>
        <v>#N/A</v>
      </c>
      <c r="J222" s="228" t="e">
        <f>F222-H222</f>
        <v>#N/A</v>
      </c>
      <c r="L222" s="229" t="e">
        <f>IF(H222=0,0,J222/H222)</f>
        <v>#N/A</v>
      </c>
      <c r="N222" s="2317" t="str">
        <f>IF($F$88=0," ",IF(AND(ABS(J222)&gt;$L$3,ABS(L222)&gt;$L$2),"C",IF(AND(ABS(F222+H222)&gt;0,H222=0,ABS(J222)&gt;$L$3),"C"," ")))</f>
        <v xml:space="preserve"> </v>
      </c>
    </row>
    <row r="223" spans="1:14" ht="13.5" x14ac:dyDescent="0.25">
      <c r="A223" s="170">
        <v>2625</v>
      </c>
      <c r="B223" s="3116" t="s">
        <v>2012</v>
      </c>
      <c r="C223" s="3116"/>
      <c r="D223" s="2440"/>
      <c r="E223" s="2440"/>
      <c r="F223" s="341">
        <f>'905Hosp'!F224</f>
        <v>0</v>
      </c>
      <c r="H223" s="341" t="e">
        <f>INDEX(PY905Data,MATCH($A223,PY905Row,0),MATCH($C$5,PY905Col,0))</f>
        <v>#N/A</v>
      </c>
      <c r="J223" s="228" t="e">
        <f>F223-H223</f>
        <v>#N/A</v>
      </c>
      <c r="L223" s="229" t="e">
        <f>IF(H223=0,0,J223/H223)</f>
        <v>#N/A</v>
      </c>
      <c r="N223" s="2317" t="str">
        <f>IF($F$88=0," ",IF(AND(ABS(J223)&gt;$L$3,ABS(L223)&gt;$L$2),"C",IF(AND(ABS(F223+H223)&gt;0,H223=0,ABS(J223)&gt;$L$3),"C"," ")))</f>
        <v xml:space="preserve"> </v>
      </c>
    </row>
    <row r="224" spans="1:14" ht="13.5" x14ac:dyDescent="0.25">
      <c r="A224" s="170">
        <v>2630</v>
      </c>
      <c r="B224" s="3116" t="s">
        <v>2014</v>
      </c>
      <c r="C224" s="3116"/>
      <c r="D224" s="2440"/>
      <c r="E224" s="2440"/>
      <c r="F224" s="343">
        <f>'905Hosp'!F225</f>
        <v>0</v>
      </c>
      <c r="H224" s="343" t="e">
        <f>INDEX(PY905Data,MATCH($A224,PY905Row,0),MATCH($C$5,PY905Col,0))</f>
        <v>#N/A</v>
      </c>
      <c r="J224" s="228" t="e">
        <f t="shared" si="53"/>
        <v>#N/A</v>
      </c>
      <c r="L224" s="229" t="e">
        <f t="shared" si="54"/>
        <v>#N/A</v>
      </c>
      <c r="N224" s="2317" t="str">
        <f>IF($F$88=0," ",IF(AND(ABS(J224)&gt;$L$3,ABS(L224)&gt;$L$2),"C",IF(AND(ABS(F224+H224)&gt;0,H224=0,ABS(J224)&gt;$L$3),"C"," ")))</f>
        <v xml:space="preserve"> </v>
      </c>
    </row>
    <row r="225" spans="1:20" ht="13.5" x14ac:dyDescent="0.25">
      <c r="B225" s="2890" t="s">
        <v>4903</v>
      </c>
      <c r="C225" s="2890"/>
      <c r="D225" s="2380"/>
      <c r="E225" s="2380"/>
      <c r="F225" s="219">
        <f>SUM(F213:F224)</f>
        <v>0</v>
      </c>
      <c r="H225" s="219" t="e">
        <f>SUM(H213:H224)</f>
        <v>#N/A</v>
      </c>
      <c r="J225" s="228" t="e">
        <f t="shared" si="53"/>
        <v>#N/A</v>
      </c>
      <c r="L225" s="229" t="e">
        <f t="shared" si="54"/>
        <v>#N/A</v>
      </c>
    </row>
    <row r="226" spans="1:20" ht="13.5" x14ac:dyDescent="0.25">
      <c r="B226" s="2890" t="s">
        <v>4904</v>
      </c>
      <c r="C226" s="2890"/>
      <c r="D226" s="2380"/>
      <c r="E226" s="2380"/>
      <c r="F226" s="217">
        <f>F210-F225</f>
        <v>0</v>
      </c>
      <c r="H226" s="217" t="e">
        <f>H210-H225</f>
        <v>#N/A</v>
      </c>
      <c r="J226" s="228" t="e">
        <f t="shared" si="53"/>
        <v>#N/A</v>
      </c>
      <c r="L226" s="229" t="e">
        <f t="shared" si="54"/>
        <v>#N/A</v>
      </c>
    </row>
    <row r="227" spans="1:20" ht="3.75" customHeight="1" x14ac:dyDescent="0.25">
      <c r="B227" s="2380"/>
      <c r="C227" s="2380"/>
      <c r="D227" s="2380"/>
      <c r="E227" s="2380"/>
      <c r="F227" s="346"/>
      <c r="H227" s="346"/>
      <c r="J227" s="228"/>
      <c r="L227" s="229"/>
    </row>
    <row r="228" spans="1:20" x14ac:dyDescent="0.2">
      <c r="B228" s="213" t="s">
        <v>2016</v>
      </c>
    </row>
    <row r="229" spans="1:20" ht="13.5" x14ac:dyDescent="0.25">
      <c r="A229" s="170">
        <v>2690</v>
      </c>
      <c r="B229" s="2890" t="s">
        <v>2891</v>
      </c>
      <c r="C229" s="2890"/>
      <c r="D229" s="2380"/>
      <c r="E229" s="2380"/>
      <c r="F229" s="341">
        <f>'905Hosp'!F230</f>
        <v>0</v>
      </c>
      <c r="H229" s="341" t="e">
        <f t="shared" ref="H229:H247" si="56">INDEX(PY905Data,MATCH($A229,PY905Row,0),MATCH($C$5,PY905Col,0))</f>
        <v>#N/A</v>
      </c>
      <c r="J229" s="228" t="e">
        <f>F229-H229</f>
        <v>#N/A</v>
      </c>
      <c r="L229" s="229" t="e">
        <f>IF(H229=0,0,J229/H229)</f>
        <v>#N/A</v>
      </c>
      <c r="N229" s="2317" t="str">
        <f t="shared" ref="N229:N247" si="57">IF($F$88=0," ",IF(AND(ABS(J229)&gt;$L$3,ABS(L229)&gt;$L$2),"C",IF(AND(ABS(F229+H229)&gt;0,H229=0,ABS(J229)&gt;$L$3),"C"," ")))</f>
        <v xml:space="preserve"> </v>
      </c>
    </row>
    <row r="230" spans="1:20" ht="13.5" x14ac:dyDescent="0.25">
      <c r="A230" s="2009">
        <v>2691</v>
      </c>
      <c r="B230" s="3083" t="s">
        <v>4905</v>
      </c>
      <c r="C230" s="3083"/>
      <c r="D230" s="2380"/>
      <c r="E230" s="2380"/>
      <c r="F230" s="341">
        <f>'905Hosp'!F231</f>
        <v>0</v>
      </c>
      <c r="H230" s="341" t="e">
        <f t="shared" si="56"/>
        <v>#N/A</v>
      </c>
      <c r="J230" s="228" t="e">
        <f>F230-H230</f>
        <v>#N/A</v>
      </c>
      <c r="L230" s="229" t="e">
        <f>IF(H230=0,0,J230/H230)</f>
        <v>#N/A</v>
      </c>
      <c r="N230" s="2317" t="str">
        <f t="shared" si="57"/>
        <v xml:space="preserve"> </v>
      </c>
      <c r="O230" s="2113" t="s">
        <v>2893</v>
      </c>
      <c r="P230" s="1113"/>
      <c r="Q230" s="1113"/>
      <c r="R230" s="1113"/>
    </row>
    <row r="231" spans="1:20" ht="13.5" x14ac:dyDescent="0.25">
      <c r="A231" s="170">
        <v>2692</v>
      </c>
      <c r="B231" s="2890" t="s">
        <v>2894</v>
      </c>
      <c r="C231" s="2890"/>
      <c r="D231" s="2380"/>
      <c r="E231" s="2380"/>
      <c r="F231" s="341">
        <f>'905Hosp'!F232</f>
        <v>0</v>
      </c>
      <c r="H231" s="341" t="e">
        <f t="shared" si="56"/>
        <v>#N/A</v>
      </c>
      <c r="J231" s="228" t="e">
        <f t="shared" ref="J231:J259" si="58">F231-H231</f>
        <v>#N/A</v>
      </c>
      <c r="L231" s="229" t="e">
        <f t="shared" ref="L231:L259" si="59">IF(H231=0,0,J231/H231)</f>
        <v>#N/A</v>
      </c>
      <c r="N231" s="2317" t="str">
        <f t="shared" si="57"/>
        <v xml:space="preserve"> </v>
      </c>
    </row>
    <row r="232" spans="1:20" ht="13.5" x14ac:dyDescent="0.25">
      <c r="A232" s="2009">
        <v>2693</v>
      </c>
      <c r="B232" s="3083" t="s">
        <v>2895</v>
      </c>
      <c r="C232" s="3083"/>
      <c r="D232" s="2380"/>
      <c r="E232" s="2380"/>
      <c r="F232" s="341">
        <f>'905Hosp'!F233</f>
        <v>0</v>
      </c>
      <c r="H232" s="341" t="e">
        <f t="shared" si="56"/>
        <v>#N/A</v>
      </c>
      <c r="J232" s="228" t="e">
        <f t="shared" si="58"/>
        <v>#N/A</v>
      </c>
      <c r="L232" s="229" t="e">
        <f t="shared" si="59"/>
        <v>#N/A</v>
      </c>
      <c r="N232" s="2317" t="str">
        <f t="shared" si="57"/>
        <v xml:space="preserve"> </v>
      </c>
      <c r="O232" s="2113" t="s">
        <v>2896</v>
      </c>
      <c r="P232" s="1113"/>
      <c r="Q232" s="1113"/>
      <c r="R232" s="1113"/>
      <c r="S232" s="1113"/>
      <c r="T232" s="1113"/>
    </row>
    <row r="233" spans="1:20" ht="13.5" x14ac:dyDescent="0.25">
      <c r="A233" s="170">
        <v>2700</v>
      </c>
      <c r="B233" s="2890" t="s">
        <v>2019</v>
      </c>
      <c r="C233" s="2890"/>
      <c r="D233" s="2380"/>
      <c r="E233" s="2380"/>
      <c r="F233" s="341">
        <f>'905Hosp'!F234</f>
        <v>0</v>
      </c>
      <c r="H233" s="341" t="e">
        <f t="shared" si="56"/>
        <v>#N/A</v>
      </c>
      <c r="J233" s="228" t="e">
        <f>F233-H233</f>
        <v>#N/A</v>
      </c>
      <c r="L233" s="229" t="e">
        <f>IF(H233=0,0,J233/H233)</f>
        <v>#N/A</v>
      </c>
      <c r="N233" s="2317" t="str">
        <f t="shared" si="57"/>
        <v xml:space="preserve"> </v>
      </c>
    </row>
    <row r="234" spans="1:20" ht="13.5" x14ac:dyDescent="0.25">
      <c r="A234" s="170">
        <v>2701</v>
      </c>
      <c r="B234" s="2890" t="s">
        <v>2898</v>
      </c>
      <c r="C234" s="2890"/>
      <c r="D234" s="2380"/>
      <c r="E234" s="2380"/>
      <c r="F234" s="341">
        <f>'905Hosp'!F235</f>
        <v>0</v>
      </c>
      <c r="H234" s="341" t="e">
        <f t="shared" si="56"/>
        <v>#N/A</v>
      </c>
      <c r="J234" s="228" t="e">
        <f>F234-H234</f>
        <v>#N/A</v>
      </c>
      <c r="L234" s="229" t="e">
        <f>IF(H234=0,0,J234/H234)</f>
        <v>#N/A</v>
      </c>
      <c r="N234" s="2317" t="str">
        <f t="shared" si="57"/>
        <v xml:space="preserve"> </v>
      </c>
    </row>
    <row r="235" spans="1:20" ht="13.5" x14ac:dyDescent="0.25">
      <c r="A235" s="170">
        <v>2710</v>
      </c>
      <c r="B235" s="2890" t="s">
        <v>2901</v>
      </c>
      <c r="C235" s="2890"/>
      <c r="D235" s="2380"/>
      <c r="E235" s="2380"/>
      <c r="F235" s="341">
        <f>'905Hosp'!F236</f>
        <v>0</v>
      </c>
      <c r="H235" s="341" t="e">
        <f t="shared" si="56"/>
        <v>#N/A</v>
      </c>
      <c r="J235" s="228" t="e">
        <f>F235-H235</f>
        <v>#N/A</v>
      </c>
      <c r="L235" s="229" t="e">
        <f>IF(H235=0,0,J235/H235)</f>
        <v>#N/A</v>
      </c>
      <c r="N235" s="2317" t="str">
        <f t="shared" si="57"/>
        <v xml:space="preserve"> </v>
      </c>
    </row>
    <row r="236" spans="1:20" ht="13.5" x14ac:dyDescent="0.25">
      <c r="A236" s="170">
        <v>2711</v>
      </c>
      <c r="B236" s="2890" t="s">
        <v>2022</v>
      </c>
      <c r="C236" s="2890"/>
      <c r="D236" s="2380"/>
      <c r="E236" s="2380"/>
      <c r="F236" s="341">
        <f>'905Hosp'!F237</f>
        <v>0</v>
      </c>
      <c r="H236" s="341" t="e">
        <f t="shared" si="56"/>
        <v>#N/A</v>
      </c>
      <c r="J236" s="228" t="e">
        <f>F236-H236</f>
        <v>#N/A</v>
      </c>
      <c r="L236" s="229" t="e">
        <f>IF(H236=0,0,J236/H236)</f>
        <v>#N/A</v>
      </c>
      <c r="N236" s="2317" t="str">
        <f t="shared" si="57"/>
        <v xml:space="preserve"> </v>
      </c>
    </row>
    <row r="237" spans="1:20" ht="13.5" x14ac:dyDescent="0.25">
      <c r="A237" s="170">
        <v>2720</v>
      </c>
      <c r="B237" s="2890" t="s">
        <v>2902</v>
      </c>
      <c r="C237" s="2890"/>
      <c r="D237" s="2380"/>
      <c r="E237" s="2380"/>
      <c r="F237" s="341">
        <f>'905Hosp'!F238</f>
        <v>0</v>
      </c>
      <c r="H237" s="341" t="e">
        <f t="shared" si="56"/>
        <v>#N/A</v>
      </c>
      <c r="J237" s="228" t="e">
        <f t="shared" si="58"/>
        <v>#N/A</v>
      </c>
      <c r="L237" s="229" t="e">
        <f t="shared" si="59"/>
        <v>#N/A</v>
      </c>
      <c r="N237" s="2317" t="str">
        <f t="shared" si="57"/>
        <v xml:space="preserve"> </v>
      </c>
    </row>
    <row r="238" spans="1:20" ht="13.5" x14ac:dyDescent="0.25">
      <c r="A238" s="170">
        <v>2740</v>
      </c>
      <c r="B238" s="2890" t="s">
        <v>4906</v>
      </c>
      <c r="C238" s="2890"/>
      <c r="D238" s="2380"/>
      <c r="E238" s="2380"/>
      <c r="F238" s="341">
        <f>'905Hosp'!F239</f>
        <v>0</v>
      </c>
      <c r="H238" s="341" t="e">
        <f t="shared" si="56"/>
        <v>#N/A</v>
      </c>
      <c r="J238" s="228" t="e">
        <f t="shared" si="58"/>
        <v>#N/A</v>
      </c>
      <c r="L238" s="229" t="e">
        <f t="shared" si="59"/>
        <v>#N/A</v>
      </c>
      <c r="N238" s="2317" t="str">
        <f t="shared" si="57"/>
        <v xml:space="preserve"> </v>
      </c>
    </row>
    <row r="239" spans="1:20" ht="13.5" x14ac:dyDescent="0.25">
      <c r="A239" s="170">
        <v>2750</v>
      </c>
      <c r="B239" s="2890" t="s">
        <v>4907</v>
      </c>
      <c r="C239" s="2890"/>
      <c r="D239" s="2380"/>
      <c r="E239" s="2380"/>
      <c r="F239" s="341">
        <f>'905Hosp'!F240</f>
        <v>0</v>
      </c>
      <c r="H239" s="341" t="e">
        <f t="shared" si="56"/>
        <v>#N/A</v>
      </c>
      <c r="J239" s="228" t="e">
        <f t="shared" si="58"/>
        <v>#N/A</v>
      </c>
      <c r="L239" s="229" t="e">
        <f t="shared" si="59"/>
        <v>#N/A</v>
      </c>
      <c r="N239" s="2317" t="str">
        <f t="shared" si="57"/>
        <v xml:space="preserve"> </v>
      </c>
    </row>
    <row r="240" spans="1:20" ht="13.5" x14ac:dyDescent="0.25">
      <c r="A240" s="170">
        <v>2755</v>
      </c>
      <c r="B240" s="2890" t="s">
        <v>2905</v>
      </c>
      <c r="C240" s="2890"/>
      <c r="D240" s="2380"/>
      <c r="E240" s="2380"/>
      <c r="F240" s="341">
        <f>'905Hosp'!F241</f>
        <v>0</v>
      </c>
      <c r="H240" s="341" t="e">
        <f t="shared" si="56"/>
        <v>#N/A</v>
      </c>
      <c r="J240" s="228" t="e">
        <f>F240-H240</f>
        <v>#N/A</v>
      </c>
      <c r="L240" s="229" t="e">
        <f>IF(H240=0,0,J240/H240)</f>
        <v>#N/A</v>
      </c>
      <c r="N240" s="2317" t="str">
        <f t="shared" si="57"/>
        <v xml:space="preserve"> </v>
      </c>
      <c r="O240" s="971"/>
    </row>
    <row r="241" spans="1:14" ht="13.5" x14ac:dyDescent="0.25">
      <c r="A241" s="170">
        <v>2760</v>
      </c>
      <c r="B241" s="2890" t="s">
        <v>1250</v>
      </c>
      <c r="C241" s="2890"/>
      <c r="D241" s="2380"/>
      <c r="E241" s="2380"/>
      <c r="F241" s="341">
        <f>'905Hosp'!F242</f>
        <v>0</v>
      </c>
      <c r="H241" s="341" t="e">
        <f t="shared" si="56"/>
        <v>#N/A</v>
      </c>
      <c r="J241" s="228" t="e">
        <f t="shared" si="58"/>
        <v>#N/A</v>
      </c>
      <c r="L241" s="229" t="e">
        <f t="shared" si="59"/>
        <v>#N/A</v>
      </c>
      <c r="N241" s="2317" t="str">
        <f t="shared" si="57"/>
        <v xml:space="preserve"> </v>
      </c>
    </row>
    <row r="242" spans="1:14" ht="13.5" x14ac:dyDescent="0.25">
      <c r="A242" s="170">
        <v>2770</v>
      </c>
      <c r="B242" s="2890" t="s">
        <v>2906</v>
      </c>
      <c r="C242" s="2890"/>
      <c r="D242" s="2380"/>
      <c r="E242" s="2380"/>
      <c r="F242" s="341">
        <f>'905Hosp'!F243</f>
        <v>0</v>
      </c>
      <c r="H242" s="341" t="e">
        <f t="shared" si="56"/>
        <v>#N/A</v>
      </c>
      <c r="J242" s="228" t="e">
        <f t="shared" si="58"/>
        <v>#N/A</v>
      </c>
      <c r="L242" s="229" t="e">
        <f t="shared" si="59"/>
        <v>#N/A</v>
      </c>
      <c r="N242" s="2317" t="str">
        <f t="shared" si="57"/>
        <v xml:space="preserve"> </v>
      </c>
    </row>
    <row r="243" spans="1:14" ht="13.5" x14ac:dyDescent="0.25">
      <c r="A243" s="170">
        <v>2780</v>
      </c>
      <c r="B243" s="2890" t="s">
        <v>2026</v>
      </c>
      <c r="C243" s="2890"/>
      <c r="D243" s="2380"/>
      <c r="E243" s="2380"/>
      <c r="F243" s="341">
        <f>'905Hosp'!F244</f>
        <v>0</v>
      </c>
      <c r="H243" s="341" t="e">
        <f t="shared" si="56"/>
        <v>#N/A</v>
      </c>
      <c r="J243" s="228" t="e">
        <f t="shared" si="58"/>
        <v>#N/A</v>
      </c>
      <c r="L243" s="229" t="e">
        <f t="shared" si="59"/>
        <v>#N/A</v>
      </c>
      <c r="N243" s="2317" t="str">
        <f t="shared" si="57"/>
        <v xml:space="preserve"> </v>
      </c>
    </row>
    <row r="244" spans="1:14" ht="13.5" x14ac:dyDescent="0.25">
      <c r="A244" s="170">
        <v>2785</v>
      </c>
      <c r="B244" s="2890" t="s">
        <v>4908</v>
      </c>
      <c r="C244" s="2890"/>
      <c r="D244" s="2380"/>
      <c r="E244" s="2380"/>
      <c r="F244" s="341">
        <f>'905Hosp'!F245</f>
        <v>0</v>
      </c>
      <c r="H244" s="341" t="e">
        <f t="shared" si="56"/>
        <v>#N/A</v>
      </c>
      <c r="J244" s="228" t="e">
        <f>F244-H244</f>
        <v>#N/A</v>
      </c>
      <c r="L244" s="229" t="e">
        <f>IF(H244=0,0,J244/H244)</f>
        <v>#N/A</v>
      </c>
      <c r="N244" s="2317" t="str">
        <f t="shared" si="57"/>
        <v xml:space="preserve"> </v>
      </c>
    </row>
    <row r="245" spans="1:14" ht="13.5" x14ac:dyDescent="0.25">
      <c r="A245" s="170">
        <v>2786</v>
      </c>
      <c r="B245" s="2890" t="s">
        <v>2908</v>
      </c>
      <c r="C245" s="2890"/>
      <c r="D245" s="2380"/>
      <c r="E245" s="2380"/>
      <c r="F245" s="341">
        <f>'905Hosp'!F246</f>
        <v>0</v>
      </c>
      <c r="H245" s="341" t="e">
        <f t="shared" si="56"/>
        <v>#N/A</v>
      </c>
      <c r="J245" s="228" t="e">
        <f>F245-H245</f>
        <v>#N/A</v>
      </c>
      <c r="L245" s="229" t="e">
        <f>IF(H245=0,0,J245/H245)</f>
        <v>#N/A</v>
      </c>
      <c r="N245" s="2317" t="str">
        <f t="shared" si="57"/>
        <v xml:space="preserve"> </v>
      </c>
    </row>
    <row r="246" spans="1:14" ht="13.5" x14ac:dyDescent="0.25">
      <c r="A246" s="170">
        <v>2800</v>
      </c>
      <c r="B246" s="2890" t="s">
        <v>2028</v>
      </c>
      <c r="C246" s="2890"/>
      <c r="D246" s="2380"/>
      <c r="E246" s="2380"/>
      <c r="F246" s="341">
        <f>'905Hosp'!F247</f>
        <v>0</v>
      </c>
      <c r="H246" s="341" t="e">
        <f t="shared" si="56"/>
        <v>#N/A</v>
      </c>
      <c r="J246" s="228" t="e">
        <f t="shared" si="58"/>
        <v>#N/A</v>
      </c>
      <c r="L246" s="229" t="e">
        <f t="shared" si="59"/>
        <v>#N/A</v>
      </c>
      <c r="N246" s="2317" t="str">
        <f t="shared" si="57"/>
        <v xml:space="preserve"> </v>
      </c>
    </row>
    <row r="247" spans="1:14" ht="13.5" x14ac:dyDescent="0.25">
      <c r="A247" s="170">
        <v>2810</v>
      </c>
      <c r="B247" s="2890" t="s">
        <v>2031</v>
      </c>
      <c r="C247" s="2890"/>
      <c r="D247" s="2380"/>
      <c r="E247" s="2380"/>
      <c r="F247" s="341">
        <f>'905Hosp'!F248</f>
        <v>0</v>
      </c>
      <c r="H247" s="341" t="e">
        <f t="shared" si="56"/>
        <v>#N/A</v>
      </c>
      <c r="J247" s="228" t="e">
        <f t="shared" si="58"/>
        <v>#N/A</v>
      </c>
      <c r="L247" s="229" t="e">
        <f t="shared" si="59"/>
        <v>#N/A</v>
      </c>
      <c r="N247" s="2317" t="str">
        <f t="shared" si="57"/>
        <v xml:space="preserve"> </v>
      </c>
    </row>
    <row r="248" spans="1:14" ht="13.5" x14ac:dyDescent="0.25">
      <c r="B248" s="2890" t="s">
        <v>4909</v>
      </c>
      <c r="C248" s="2890"/>
      <c r="D248" s="2380"/>
      <c r="E248" s="2380"/>
      <c r="F248" s="217">
        <f>SUM(F229:F247)</f>
        <v>0</v>
      </c>
      <c r="H248" s="217" t="e">
        <f>SUM(H229:H247)</f>
        <v>#N/A</v>
      </c>
      <c r="J248" s="228" t="e">
        <f t="shared" si="58"/>
        <v>#N/A</v>
      </c>
      <c r="L248" s="229" t="e">
        <f t="shared" si="59"/>
        <v>#N/A</v>
      </c>
    </row>
    <row r="249" spans="1:14" ht="13.5" x14ac:dyDescent="0.25">
      <c r="B249" s="2890" t="s">
        <v>4910</v>
      </c>
      <c r="C249" s="2890"/>
      <c r="D249" s="2380"/>
      <c r="E249" s="2380"/>
      <c r="F249" s="712">
        <f>F226+F248</f>
        <v>0</v>
      </c>
      <c r="H249" s="712" t="e">
        <f>H226+H248</f>
        <v>#N/A</v>
      </c>
      <c r="J249" s="228" t="e">
        <f t="shared" si="58"/>
        <v>#N/A</v>
      </c>
      <c r="L249" s="229" t="e">
        <f t="shared" si="59"/>
        <v>#N/A</v>
      </c>
    </row>
    <row r="250" spans="1:14" ht="13.5" x14ac:dyDescent="0.25">
      <c r="A250" s="502">
        <v>2870</v>
      </c>
      <c r="B250" s="2890" t="s">
        <v>4911</v>
      </c>
      <c r="C250" s="2890"/>
      <c r="D250" s="2380"/>
      <c r="E250" s="2380"/>
      <c r="F250" s="341">
        <f>'905Hosp'!F251</f>
        <v>0</v>
      </c>
      <c r="H250" s="341" t="e">
        <f t="shared" ref="H250:H256" si="60">INDEX(PY905Data,MATCH($A250,PY905Row,0),MATCH($C$5,PY905Col,0))</f>
        <v>#N/A</v>
      </c>
      <c r="J250" s="228" t="e">
        <f t="shared" si="58"/>
        <v>#N/A</v>
      </c>
      <c r="L250" s="229" t="e">
        <f t="shared" si="59"/>
        <v>#N/A</v>
      </c>
      <c r="N250" s="2317" t="str">
        <f t="shared" ref="N250:N256" si="61">IF($F$88=0," ",IF(AND(ABS(J250)&gt;$L$3,ABS(L250)&gt;$L$2),"C",IF(AND(ABS(F250+H250)&gt;0,H250=0,ABS(J250)&gt;$L$3),"C"," ")))</f>
        <v xml:space="preserve"> </v>
      </c>
    </row>
    <row r="251" spans="1:14" ht="13.5" x14ac:dyDescent="0.25">
      <c r="A251" s="170">
        <v>2880</v>
      </c>
      <c r="B251" s="2890" t="s">
        <v>2912</v>
      </c>
      <c r="C251" s="2890"/>
      <c r="D251" s="2380"/>
      <c r="E251" s="2380"/>
      <c r="F251" s="341">
        <f>'905Hosp'!F252</f>
        <v>0</v>
      </c>
      <c r="H251" s="341" t="e">
        <f t="shared" si="60"/>
        <v>#N/A</v>
      </c>
      <c r="J251" s="228" t="e">
        <f t="shared" si="58"/>
        <v>#N/A</v>
      </c>
      <c r="L251" s="229" t="e">
        <f t="shared" si="59"/>
        <v>#N/A</v>
      </c>
      <c r="N251" s="2317" t="str">
        <f t="shared" si="61"/>
        <v xml:space="preserve"> </v>
      </c>
    </row>
    <row r="252" spans="1:14" ht="13.5" x14ac:dyDescent="0.25">
      <c r="A252" s="170">
        <v>2890</v>
      </c>
      <c r="B252" s="2890" t="s">
        <v>2914</v>
      </c>
      <c r="C252" s="2890"/>
      <c r="D252" s="2380"/>
      <c r="E252" s="2380"/>
      <c r="F252" s="341">
        <f>'905Hosp'!F253</f>
        <v>0</v>
      </c>
      <c r="H252" s="341" t="e">
        <f t="shared" si="60"/>
        <v>#N/A</v>
      </c>
      <c r="J252" s="228" t="e">
        <f t="shared" si="58"/>
        <v>#N/A</v>
      </c>
      <c r="L252" s="229" t="e">
        <f t="shared" si="59"/>
        <v>#N/A</v>
      </c>
      <c r="N252" s="2317" t="str">
        <f t="shared" si="61"/>
        <v xml:space="preserve"> </v>
      </c>
    </row>
    <row r="253" spans="1:14" ht="13.5" x14ac:dyDescent="0.25">
      <c r="A253" s="170">
        <v>2900</v>
      </c>
      <c r="B253" s="2890" t="s">
        <v>2915</v>
      </c>
      <c r="C253" s="2890"/>
      <c r="D253" s="2380"/>
      <c r="E253" s="2380"/>
      <c r="F253" s="341">
        <f>'905Hosp'!F254</f>
        <v>0</v>
      </c>
      <c r="H253" s="341" t="e">
        <f t="shared" si="60"/>
        <v>#N/A</v>
      </c>
      <c r="J253" s="228" t="e">
        <f>F253-H253</f>
        <v>#N/A</v>
      </c>
      <c r="L253" s="229" t="e">
        <f>IF(H253=0,0,J253/H253)</f>
        <v>#N/A</v>
      </c>
      <c r="N253" s="2317" t="str">
        <f t="shared" si="61"/>
        <v xml:space="preserve"> </v>
      </c>
    </row>
    <row r="254" spans="1:14" ht="13.5" x14ac:dyDescent="0.25">
      <c r="A254" s="638">
        <v>2940</v>
      </c>
      <c r="B254" s="2890" t="s">
        <v>4612</v>
      </c>
      <c r="C254" s="2890"/>
      <c r="D254" s="2380"/>
      <c r="E254" s="2380"/>
      <c r="F254" s="341">
        <f>'905Hosp'!F255</f>
        <v>0</v>
      </c>
      <c r="H254" s="341" t="e">
        <f t="shared" si="60"/>
        <v>#N/A</v>
      </c>
      <c r="J254" s="228" t="e">
        <f>F254-H254</f>
        <v>#N/A</v>
      </c>
      <c r="L254" s="229" t="e">
        <f>IF(H254=0,0,J254/H254)</f>
        <v>#N/A</v>
      </c>
      <c r="N254" s="2317" t="str">
        <f t="shared" si="61"/>
        <v xml:space="preserve"> </v>
      </c>
    </row>
    <row r="255" spans="1:14" ht="13.5" x14ac:dyDescent="0.25">
      <c r="A255" s="170">
        <v>2950</v>
      </c>
      <c r="B255" s="2890" t="s">
        <v>2917</v>
      </c>
      <c r="C255" s="2890"/>
      <c r="D255" s="2380"/>
      <c r="E255" s="2380"/>
      <c r="F255" s="341">
        <f>'905Hosp'!F256</f>
        <v>0</v>
      </c>
      <c r="H255" s="341" t="e">
        <f t="shared" si="60"/>
        <v>#N/A</v>
      </c>
      <c r="J255" s="228" t="e">
        <f t="shared" si="58"/>
        <v>#N/A</v>
      </c>
      <c r="L255" s="229" t="e">
        <f t="shared" si="59"/>
        <v>#N/A</v>
      </c>
      <c r="N255" s="2317" t="str">
        <f t="shared" si="61"/>
        <v xml:space="preserve"> </v>
      </c>
    </row>
    <row r="256" spans="1:14" ht="13.5" x14ac:dyDescent="0.25">
      <c r="A256" s="170">
        <v>2960</v>
      </c>
      <c r="B256" s="2890" t="s">
        <v>2918</v>
      </c>
      <c r="C256" s="2890"/>
      <c r="D256" s="2380"/>
      <c r="E256" s="2380"/>
      <c r="F256" s="343">
        <f>'905Hosp'!F257</f>
        <v>0</v>
      </c>
      <c r="H256" s="343" t="e">
        <f t="shared" si="60"/>
        <v>#N/A</v>
      </c>
      <c r="J256" s="228" t="e">
        <f t="shared" si="58"/>
        <v>#N/A</v>
      </c>
      <c r="L256" s="229" t="e">
        <f t="shared" si="59"/>
        <v>#N/A</v>
      </c>
      <c r="N256" s="2317" t="str">
        <f t="shared" si="61"/>
        <v xml:space="preserve"> </v>
      </c>
    </row>
    <row r="257" spans="1:14" ht="13.5" x14ac:dyDescent="0.25">
      <c r="B257" s="2890" t="s">
        <v>4912</v>
      </c>
      <c r="C257" s="2890"/>
      <c r="D257" s="2380"/>
      <c r="E257" s="2380"/>
      <c r="F257" s="712">
        <f>SUM(F249:F256)</f>
        <v>0</v>
      </c>
      <c r="H257" s="712" t="e">
        <f>SUM(H249:H256)</f>
        <v>#N/A</v>
      </c>
      <c r="J257" s="228" t="e">
        <f t="shared" si="58"/>
        <v>#N/A</v>
      </c>
      <c r="L257" s="229" t="e">
        <f t="shared" si="59"/>
        <v>#N/A</v>
      </c>
      <c r="N257" s="938" t="s">
        <v>4913</v>
      </c>
    </row>
    <row r="258" spans="1:14" ht="13.5" x14ac:dyDescent="0.25">
      <c r="A258" s="170">
        <v>2980</v>
      </c>
      <c r="B258" s="2890" t="s">
        <v>4914</v>
      </c>
      <c r="C258" s="2890"/>
      <c r="D258" s="2380"/>
      <c r="E258" s="2380"/>
      <c r="F258" s="341">
        <f>'905Hosp'!F259</f>
        <v>2892342045.4299998</v>
      </c>
      <c r="H258" s="341" t="e">
        <f>INDEX(PY905Data,MATCH($A258,PY905Row,0),MATCH($C$5,PY905Col,0))</f>
        <v>#N/A</v>
      </c>
      <c r="J258" s="228" t="e">
        <f t="shared" si="58"/>
        <v>#N/A</v>
      </c>
      <c r="L258" s="229" t="e">
        <f t="shared" si="59"/>
        <v>#N/A</v>
      </c>
      <c r="N258" s="939" t="s">
        <v>4915</v>
      </c>
    </row>
    <row r="259" spans="1:14" ht="13.5" x14ac:dyDescent="0.25">
      <c r="A259" s="170">
        <v>2990</v>
      </c>
      <c r="B259" s="2890" t="s">
        <v>1760</v>
      </c>
      <c r="C259" s="2890"/>
      <c r="D259" s="2380"/>
      <c r="E259" s="2380"/>
      <c r="F259" s="341">
        <f>'905Hosp'!F260</f>
        <v>0</v>
      </c>
      <c r="H259" s="341" t="e">
        <f>INDEX(PY905Data,MATCH($A259,PY905Row,0),MATCH($C$5,PY905Col,0))</f>
        <v>#N/A</v>
      </c>
      <c r="J259" s="228" t="e">
        <f t="shared" si="58"/>
        <v>#N/A</v>
      </c>
      <c r="L259" s="229" t="e">
        <f t="shared" si="59"/>
        <v>#N/A</v>
      </c>
      <c r="N259" s="940" t="s">
        <v>4916</v>
      </c>
    </row>
    <row r="260" spans="1:14" ht="13.5" thickBot="1" x14ac:dyDescent="0.25">
      <c r="B260" s="2890" t="s">
        <v>4917</v>
      </c>
      <c r="C260" s="2890"/>
      <c r="D260" s="2380"/>
      <c r="E260" s="2380"/>
      <c r="F260" s="220">
        <f>SUM(F257:F259)</f>
        <v>2892342045.4299998</v>
      </c>
      <c r="H260" s="220" t="e">
        <f>SUM(H257:H259)</f>
        <v>#N/A</v>
      </c>
    </row>
    <row r="261" spans="1:14" ht="6" customHeight="1" thickTop="1" x14ac:dyDescent="0.2"/>
    <row r="262" spans="1:14" x14ac:dyDescent="0.2">
      <c r="B262" s="182" t="s">
        <v>4918</v>
      </c>
      <c r="C262" s="182"/>
      <c r="D262" s="182"/>
      <c r="E262" s="182"/>
      <c r="F262" s="221" t="str">
        <f>IF(ROUND(F193-F260,2)=0,"In Bal.","Error")</f>
        <v>Error</v>
      </c>
      <c r="H262" s="221" t="e">
        <f>IF(ROUND(H193-H260,2)=0,"In Bal.","Error")</f>
        <v>#N/A</v>
      </c>
    </row>
    <row r="263" spans="1:14" x14ac:dyDescent="0.2">
      <c r="B263" s="2380"/>
      <c r="C263" s="2380"/>
      <c r="D263" s="2380"/>
      <c r="E263" s="2380"/>
    </row>
  </sheetData>
  <sheetProtection algorithmName="SHA-512" hashValue="Hv61duPpMGJs3Iy8FJBae8AwrgY1543T1utr/YJXdLjUFJudRnXMLyPHwttR3gHVTv5onR+fAHVBiYy+OCbtrw==" saltValue="p9agvhPGmHnMDhzI6PIQmA==" spinCount="100000" sheet="1" autoFilter="0"/>
  <mergeCells count="234">
    <mergeCell ref="B150:C150"/>
    <mergeCell ref="B145:C145"/>
    <mergeCell ref="B146:C146"/>
    <mergeCell ref="B147:C147"/>
    <mergeCell ref="B222:C222"/>
    <mergeCell ref="B223:C223"/>
    <mergeCell ref="B224:C224"/>
    <mergeCell ref="B216:C216"/>
    <mergeCell ref="B217:C217"/>
    <mergeCell ref="B204:C204"/>
    <mergeCell ref="B205:C205"/>
    <mergeCell ref="B206:C206"/>
    <mergeCell ref="B207:C207"/>
    <mergeCell ref="B208:C208"/>
    <mergeCell ref="B209:C209"/>
    <mergeCell ref="B210:C210"/>
    <mergeCell ref="B213:E213"/>
    <mergeCell ref="B214:C214"/>
    <mergeCell ref="B215:C215"/>
    <mergeCell ref="B193:C193"/>
    <mergeCell ref="B199:C199"/>
    <mergeCell ref="B200:C200"/>
    <mergeCell ref="B152:C152"/>
    <mergeCell ref="B153:C153"/>
    <mergeCell ref="B247:C247"/>
    <mergeCell ref="B248:C248"/>
    <mergeCell ref="B249:C249"/>
    <mergeCell ref="P93:Q93"/>
    <mergeCell ref="B132:C132"/>
    <mergeCell ref="B159:C159"/>
    <mergeCell ref="P94:Q94"/>
    <mergeCell ref="B135:C135"/>
    <mergeCell ref="B162:C162"/>
    <mergeCell ref="B175:E175"/>
    <mergeCell ref="P175:Q175"/>
    <mergeCell ref="B176:E176"/>
    <mergeCell ref="P176:Q176"/>
    <mergeCell ref="B165:C165"/>
    <mergeCell ref="B167:C167"/>
    <mergeCell ref="B148:C148"/>
    <mergeCell ref="B149:C149"/>
    <mergeCell ref="B151:C151"/>
    <mergeCell ref="B154:C154"/>
    <mergeCell ref="B155:C155"/>
    <mergeCell ref="B142:C142"/>
    <mergeCell ref="B143:C143"/>
    <mergeCell ref="B234:C234"/>
    <mergeCell ref="B236:C236"/>
    <mergeCell ref="B144:C144"/>
    <mergeCell ref="B233:C233"/>
    <mergeCell ref="B218:C218"/>
    <mergeCell ref="B219:C219"/>
    <mergeCell ref="B220:C220"/>
    <mergeCell ref="B260:C260"/>
    <mergeCell ref="B252:C252"/>
    <mergeCell ref="B253:C253"/>
    <mergeCell ref="B254:C254"/>
    <mergeCell ref="B255:C255"/>
    <mergeCell ref="B256:C256"/>
    <mergeCell ref="B257:C257"/>
    <mergeCell ref="B235:C235"/>
    <mergeCell ref="B237:C237"/>
    <mergeCell ref="B238:C238"/>
    <mergeCell ref="B239:C239"/>
    <mergeCell ref="B241:C241"/>
    <mergeCell ref="B242:C242"/>
    <mergeCell ref="B250:C250"/>
    <mergeCell ref="B251:C251"/>
    <mergeCell ref="B258:C258"/>
    <mergeCell ref="B259:C259"/>
    <mergeCell ref="B243:C243"/>
    <mergeCell ref="B244:C244"/>
    <mergeCell ref="B246:C246"/>
    <mergeCell ref="B157:C157"/>
    <mergeCell ref="B158:C158"/>
    <mergeCell ref="B163:C163"/>
    <mergeCell ref="B164:C164"/>
    <mergeCell ref="B156:C156"/>
    <mergeCell ref="B160:E160"/>
    <mergeCell ref="B161:E161"/>
    <mergeCell ref="B202:C202"/>
    <mergeCell ref="B203:C203"/>
    <mergeCell ref="B186:C186"/>
    <mergeCell ref="B187:C187"/>
    <mergeCell ref="B189:C189"/>
    <mergeCell ref="B190:C190"/>
    <mergeCell ref="B191:C191"/>
    <mergeCell ref="B192:C192"/>
    <mergeCell ref="B180:C180"/>
    <mergeCell ref="B183:C183"/>
    <mergeCell ref="B232:C232"/>
    <mergeCell ref="B179:E179"/>
    <mergeCell ref="B185:C185"/>
    <mergeCell ref="B225:C225"/>
    <mergeCell ref="B226:C226"/>
    <mergeCell ref="B201:C201"/>
    <mergeCell ref="B134:E134"/>
    <mergeCell ref="B138:C138"/>
    <mergeCell ref="B122:C122"/>
    <mergeCell ref="B124:C124"/>
    <mergeCell ref="B127:C127"/>
    <mergeCell ref="B128:C128"/>
    <mergeCell ref="B130:C130"/>
    <mergeCell ref="B123:C123"/>
    <mergeCell ref="B131:C131"/>
    <mergeCell ref="B136:C136"/>
    <mergeCell ref="B137:C137"/>
    <mergeCell ref="B129:C129"/>
    <mergeCell ref="B125:C125"/>
    <mergeCell ref="B126:C126"/>
    <mergeCell ref="B116:C116"/>
    <mergeCell ref="B117:C117"/>
    <mergeCell ref="B118:C118"/>
    <mergeCell ref="B119:C119"/>
    <mergeCell ref="B120:C120"/>
    <mergeCell ref="B121:C121"/>
    <mergeCell ref="B106:C106"/>
    <mergeCell ref="B107:C107"/>
    <mergeCell ref="B98:C98"/>
    <mergeCell ref="B111:C111"/>
    <mergeCell ref="B112:C112"/>
    <mergeCell ref="B97:E97"/>
    <mergeCell ref="B114:C114"/>
    <mergeCell ref="B115:C115"/>
    <mergeCell ref="B81:C81"/>
    <mergeCell ref="B83:C83"/>
    <mergeCell ref="B84:C84"/>
    <mergeCell ref="B85:C85"/>
    <mergeCell ref="B86:C86"/>
    <mergeCell ref="B88:C88"/>
    <mergeCell ref="B94:E94"/>
    <mergeCell ref="B93:E93"/>
    <mergeCell ref="B82:C82"/>
    <mergeCell ref="B69:C69"/>
    <mergeCell ref="B71:C71"/>
    <mergeCell ref="B72:C72"/>
    <mergeCell ref="B73:C73"/>
    <mergeCell ref="B74:C74"/>
    <mergeCell ref="B80:C80"/>
    <mergeCell ref="B63:C63"/>
    <mergeCell ref="B64:C64"/>
    <mergeCell ref="B65:C65"/>
    <mergeCell ref="B66:C66"/>
    <mergeCell ref="B67:C67"/>
    <mergeCell ref="B68:C68"/>
    <mergeCell ref="B75:C75"/>
    <mergeCell ref="B76:C76"/>
    <mergeCell ref="B77:C77"/>
    <mergeCell ref="B78:C78"/>
    <mergeCell ref="B54:C54"/>
    <mergeCell ref="B55:C55"/>
    <mergeCell ref="B56:C56"/>
    <mergeCell ref="B57:C57"/>
    <mergeCell ref="B58:C58"/>
    <mergeCell ref="B61:C61"/>
    <mergeCell ref="B46:C46"/>
    <mergeCell ref="B47:C47"/>
    <mergeCell ref="B48:C48"/>
    <mergeCell ref="B51:C51"/>
    <mergeCell ref="B52:C52"/>
    <mergeCell ref="B53:C53"/>
    <mergeCell ref="B59:C59"/>
    <mergeCell ref="B60:C60"/>
    <mergeCell ref="B49:C49"/>
    <mergeCell ref="B50:E50"/>
    <mergeCell ref="B37:C37"/>
    <mergeCell ref="B38:C38"/>
    <mergeCell ref="B41:C41"/>
    <mergeCell ref="B42:C42"/>
    <mergeCell ref="B44:C44"/>
    <mergeCell ref="B45:C45"/>
    <mergeCell ref="B27:C27"/>
    <mergeCell ref="B28:C28"/>
    <mergeCell ref="B29:C29"/>
    <mergeCell ref="B32:C32"/>
    <mergeCell ref="B33:C33"/>
    <mergeCell ref="B34:C34"/>
    <mergeCell ref="B36:C36"/>
    <mergeCell ref="B35:C35"/>
    <mergeCell ref="B30:C30"/>
    <mergeCell ref="B31:E31"/>
    <mergeCell ref="B20:C20"/>
    <mergeCell ref="B21:C21"/>
    <mergeCell ref="B22:C22"/>
    <mergeCell ref="B24:C24"/>
    <mergeCell ref="B25:C25"/>
    <mergeCell ref="B26:C26"/>
    <mergeCell ref="B13:C13"/>
    <mergeCell ref="B14:C14"/>
    <mergeCell ref="B15:C15"/>
    <mergeCell ref="B16:C16"/>
    <mergeCell ref="B17:C17"/>
    <mergeCell ref="B19:C19"/>
    <mergeCell ref="B23:C23"/>
    <mergeCell ref="N1:N3"/>
    <mergeCell ref="I5:L5"/>
    <mergeCell ref="C6:F6"/>
    <mergeCell ref="J6:L6"/>
    <mergeCell ref="A1:G1"/>
    <mergeCell ref="A2:G2"/>
    <mergeCell ref="B3:G3"/>
    <mergeCell ref="A4:G4"/>
    <mergeCell ref="P179:Q179"/>
    <mergeCell ref="P92:Q92"/>
    <mergeCell ref="P97:Q97"/>
    <mergeCell ref="B109:C109"/>
    <mergeCell ref="B110:C110"/>
    <mergeCell ref="B113:C113"/>
    <mergeCell ref="B133:E133"/>
    <mergeCell ref="B103:C103"/>
    <mergeCell ref="B104:C104"/>
    <mergeCell ref="B105:C105"/>
    <mergeCell ref="P95:Q95"/>
    <mergeCell ref="P96:Q96"/>
    <mergeCell ref="B91:E91"/>
    <mergeCell ref="B92:E92"/>
    <mergeCell ref="B95:E95"/>
    <mergeCell ref="B96:E96"/>
    <mergeCell ref="B245:C245"/>
    <mergeCell ref="B230:C230"/>
    <mergeCell ref="B231:C231"/>
    <mergeCell ref="P174:Q174"/>
    <mergeCell ref="P177:Q177"/>
    <mergeCell ref="B170:E170"/>
    <mergeCell ref="B171:E171"/>
    <mergeCell ref="B172:E172"/>
    <mergeCell ref="B173:E173"/>
    <mergeCell ref="B174:E174"/>
    <mergeCell ref="B177:E177"/>
    <mergeCell ref="P172:Q172"/>
    <mergeCell ref="P173:Q173"/>
    <mergeCell ref="B178:E178"/>
    <mergeCell ref="B240:C240"/>
    <mergeCell ref="B229:C229"/>
  </mergeCells>
  <conditionalFormatting sqref="N1:N3">
    <cfRule type="cellIs" dxfId="6" priority="2" stopIfTrue="1" operator="equal">
      <formula>"na"</formula>
    </cfRule>
  </conditionalFormatting>
  <conditionalFormatting sqref="N1:N1048576">
    <cfRule type="containsText" dxfId="5" priority="1" operator="containsText" text="C">
      <formula>NOT(ISERROR(SEARCH("C",N1)))</formula>
    </cfRule>
  </conditionalFormatting>
  <dataValidations disablePrompts="1" count="1">
    <dataValidation type="textLength" operator="equal" allowBlank="1" showInputMessage="1" showErrorMessage="1" errorTitle="Invalid data!" error="GASB number must be 4 digits." sqref="G7" xr:uid="{00000000-0002-0000-5200-000000000000}">
      <formula1>4</formula1>
    </dataValidation>
  </dataValidations>
  <hyperlinks>
    <hyperlink ref="B1:L1" location="Index!A1" display="Index!A1" xr:uid="{00000000-0004-0000-5200-000000000000}"/>
  </hyperlinks>
  <printOptions headings="1"/>
  <pageMargins left="0.75" right="0.5" top="0.5" bottom="0.5" header="0.5" footer="0.25"/>
  <pageSetup scale="72" fitToHeight="0" orientation="portrait" r:id="rId1"/>
  <headerFooter alignWithMargins="0">
    <oddFooter>&amp;L&amp;D &amp;T&amp;R&amp;A (&amp;P of &amp;N)</oddFooter>
  </headerFooter>
  <rowBreaks count="3" manualBreakCount="3">
    <brk id="69" max="13" man="1"/>
    <brk id="135" max="13" man="1"/>
    <brk id="196" max="13" man="1"/>
  </rowBreaks>
  <legacy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80"/>
  <dimension ref="A1:G10"/>
  <sheetViews>
    <sheetView workbookViewId="0">
      <selection activeCell="V33" sqref="V33"/>
    </sheetView>
  </sheetViews>
  <sheetFormatPr defaultColWidth="9.42578125" defaultRowHeight="15.75" x14ac:dyDescent="0.25"/>
  <cols>
    <col min="1" max="1" width="10.42578125" style="210" bestFit="1" customWidth="1"/>
    <col min="2" max="16384" width="9.42578125" style="210"/>
  </cols>
  <sheetData>
    <row r="1" spans="1:7" x14ac:dyDescent="0.25">
      <c r="A1" s="585" t="s">
        <v>5951</v>
      </c>
      <c r="B1" s="450"/>
      <c r="C1" s="450"/>
      <c r="D1" s="450"/>
      <c r="E1" s="450"/>
      <c r="F1" s="450"/>
      <c r="G1" s="450"/>
    </row>
    <row r="2" spans="1:7" x14ac:dyDescent="0.25">
      <c r="A2" s="1792">
        <v>45473</v>
      </c>
      <c r="B2" s="450" t="s">
        <v>5952</v>
      </c>
      <c r="C2" s="450"/>
      <c r="D2" s="450"/>
      <c r="E2" s="450"/>
      <c r="F2" s="450"/>
      <c r="G2" s="450"/>
    </row>
    <row r="3" spans="1:7" x14ac:dyDescent="0.25">
      <c r="A3" s="1792">
        <v>45108</v>
      </c>
      <c r="B3" s="450" t="s">
        <v>5953</v>
      </c>
      <c r="C3" s="450"/>
      <c r="D3" s="450"/>
      <c r="E3" s="450"/>
      <c r="F3" s="450"/>
      <c r="G3" s="450"/>
    </row>
    <row r="4" spans="1:7" x14ac:dyDescent="0.25">
      <c r="A4" s="1792">
        <v>45107</v>
      </c>
      <c r="B4" s="450" t="s">
        <v>5954</v>
      </c>
      <c r="C4" s="450"/>
      <c r="D4" s="450"/>
      <c r="E4" s="450"/>
      <c r="F4" s="450"/>
      <c r="G4" s="450"/>
    </row>
    <row r="5" spans="1:7" x14ac:dyDescent="0.25">
      <c r="A5" s="1792">
        <v>45474</v>
      </c>
      <c r="B5" s="450" t="s">
        <v>5955</v>
      </c>
      <c r="C5" s="450"/>
      <c r="D5" s="450"/>
      <c r="E5" s="450"/>
      <c r="F5" s="450"/>
      <c r="G5" s="450"/>
    </row>
    <row r="6" spans="1:7" x14ac:dyDescent="0.25">
      <c r="A6" s="1792">
        <v>45838</v>
      </c>
      <c r="B6" s="450" t="s">
        <v>5956</v>
      </c>
      <c r="C6" s="450"/>
      <c r="D6" s="450"/>
      <c r="E6" s="450"/>
      <c r="F6" s="450"/>
      <c r="G6" s="450"/>
    </row>
    <row r="8" spans="1:7" x14ac:dyDescent="0.25">
      <c r="A8" s="700" t="s">
        <v>5957</v>
      </c>
      <c r="B8" s="701"/>
      <c r="C8" s="701"/>
      <c r="D8" s="701"/>
      <c r="E8" s="701"/>
      <c r="F8" s="701"/>
      <c r="G8" s="701"/>
    </row>
    <row r="9" spans="1:7" x14ac:dyDescent="0.25">
      <c r="A9" s="701" t="s">
        <v>5958</v>
      </c>
      <c r="B9" s="701"/>
      <c r="C9" s="701"/>
      <c r="D9" s="701"/>
      <c r="E9" s="701"/>
      <c r="F9" s="701"/>
      <c r="G9" s="701"/>
    </row>
    <row r="10" spans="1:7" x14ac:dyDescent="0.25">
      <c r="A10" s="701" t="s">
        <v>5959</v>
      </c>
      <c r="B10" s="701"/>
      <c r="C10" s="701"/>
      <c r="D10" s="701"/>
      <c r="E10" s="701"/>
      <c r="F10" s="701"/>
      <c r="G10" s="701"/>
    </row>
  </sheetData>
  <sheetProtection algorithmName="SHA-512" hashValue="GbolM4kA9OcsyiTfT2iBT6XE7wbwL6JCHgU/fyOITXLzzn4NZ/AUtr603uAC4Ili3cmj8Ez8rdVFTw5rN4DY6w==" saltValue="TCjooX0WtjxCaSDLrokaxA==" spinCount="100000" sheet="1" autoFilter="0"/>
  <customSheetViews>
    <customSheetView guid="{9FCFC836-1CA5-48BF-958D-24D2EA94B219}">
      <selection activeCell="A6" sqref="A6"/>
      <pageMargins left="0" right="0" top="0" bottom="0" header="0" footer="0"/>
      <headerFooter alignWithMargins="0"/>
    </customSheetView>
    <customSheetView guid="{B08879A4-635B-4C39-9937-AC7883D562FC}">
      <selection activeCell="A6" sqref="A6"/>
      <pageMargins left="0" right="0" top="0" bottom="0" header="0" footer="0"/>
      <headerFooter alignWithMargins="0"/>
    </customSheetView>
  </customSheetViews>
  <phoneticPr fontId="18" type="noConversion"/>
  <pageMargins left="0.75" right="0.75" top="1" bottom="1" header="0.5" footer="0.5"/>
  <pageSetup orientation="portrait"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76"/>
  <dimension ref="A1:W94"/>
  <sheetViews>
    <sheetView showGridLines="0" zoomScaleNormal="100" workbookViewId="0">
      <selection activeCell="A2" sqref="A2"/>
    </sheetView>
  </sheetViews>
  <sheetFormatPr defaultColWidth="9.42578125" defaultRowHeight="12.75" x14ac:dyDescent="0.2"/>
  <cols>
    <col min="1" max="1" width="4.42578125" customWidth="1"/>
    <col min="2" max="2" width="15.42578125" customWidth="1"/>
    <col min="3" max="3" width="21.42578125" customWidth="1"/>
    <col min="4" max="4" width="19.42578125" style="341" customWidth="1"/>
    <col min="5" max="5" width="1.5703125" customWidth="1"/>
    <col min="6" max="6" width="17.5703125" style="341" customWidth="1"/>
    <col min="7" max="7" width="1.42578125" customWidth="1"/>
    <col min="8" max="8" width="15.5703125" customWidth="1"/>
    <col min="9" max="9" width="1.42578125" customWidth="1"/>
    <col min="10" max="10" width="7.5703125" customWidth="1"/>
    <col min="11" max="11" width="1.42578125" customWidth="1"/>
    <col min="12" max="12" width="4.5703125" customWidth="1"/>
  </cols>
  <sheetData>
    <row r="1" spans="1:23" ht="15.75" x14ac:dyDescent="0.25">
      <c r="B1" s="2553" t="str">
        <f>+Index!$A$1</f>
        <v xml:space="preserve">                                                               Office of the State Controller                                                                </v>
      </c>
      <c r="C1" s="2553"/>
      <c r="D1" s="2553"/>
      <c r="E1" s="2553"/>
      <c r="F1" s="2553"/>
      <c r="G1" s="2553"/>
      <c r="H1" s="2553"/>
      <c r="I1" s="2553"/>
      <c r="J1" s="2553"/>
      <c r="K1" s="2553"/>
      <c r="L1" s="2554" t="str">
        <f>IF(Index!$B$113="na","NA","")</f>
        <v/>
      </c>
      <c r="M1" s="2268"/>
      <c r="O1" s="2268"/>
      <c r="P1" s="2268"/>
      <c r="Q1" s="2268"/>
      <c r="R1" s="2268"/>
      <c r="S1" s="2268"/>
      <c r="T1" s="2268"/>
      <c r="U1" s="2268"/>
      <c r="V1" s="2268"/>
    </row>
    <row r="2" spans="1:23" ht="16.5" x14ac:dyDescent="0.3">
      <c r="B2" s="2532" t="str">
        <f>+Index!$A$2</f>
        <v>2024 ACFR Worksheets</v>
      </c>
      <c r="C2" s="2532"/>
      <c r="D2" s="2532"/>
      <c r="E2" s="2532"/>
      <c r="F2" s="2532"/>
      <c r="G2" s="2532"/>
      <c r="H2" s="2532"/>
      <c r="I2" s="2532"/>
      <c r="J2" s="2532"/>
      <c r="K2" s="2532"/>
      <c r="L2" s="2554"/>
      <c r="M2" s="2251"/>
      <c r="O2" s="329"/>
      <c r="P2" s="329"/>
      <c r="Q2" s="329"/>
      <c r="R2" s="329"/>
      <c r="S2" s="329"/>
      <c r="T2" s="329"/>
      <c r="U2" s="329"/>
      <c r="V2" s="329"/>
    </row>
    <row r="3" spans="1:23" ht="16.5" customHeight="1" x14ac:dyDescent="0.3">
      <c r="B3" s="3105" t="s">
        <v>4931</v>
      </c>
      <c r="C3" s="3105"/>
      <c r="D3" s="3105"/>
      <c r="E3" s="3105"/>
      <c r="F3" s="3105"/>
      <c r="G3" s="3105"/>
      <c r="H3" s="3105"/>
      <c r="I3" s="3105"/>
      <c r="J3" s="3105"/>
      <c r="K3" s="3105"/>
      <c r="L3" s="2554"/>
      <c r="M3" s="2436"/>
      <c r="O3" s="329"/>
      <c r="P3" s="329"/>
      <c r="Q3" s="329"/>
      <c r="R3" s="329"/>
      <c r="S3" s="329"/>
      <c r="T3" s="329"/>
      <c r="U3" s="329"/>
      <c r="V3" s="329"/>
    </row>
    <row r="4" spans="1:23" x14ac:dyDescent="0.2">
      <c r="A4" s="811" t="s">
        <v>4932</v>
      </c>
      <c r="B4" s="775"/>
      <c r="C4" s="775"/>
      <c r="D4" s="775"/>
      <c r="F4"/>
      <c r="J4" s="212"/>
    </row>
    <row r="5" spans="1:23" s="105" customFormat="1" ht="15" customHeight="1" x14ac:dyDescent="0.2">
      <c r="B5" s="105" t="s">
        <v>318</v>
      </c>
      <c r="C5" s="335" t="s">
        <v>4686</v>
      </c>
      <c r="F5" s="431" t="s">
        <v>320</v>
      </c>
      <c r="G5" s="3099" t="str">
        <f>+CONCATENATE(Index!$E$12," ",Index!$E$14)</f>
        <v xml:space="preserve"> </v>
      </c>
      <c r="H5" s="3099"/>
      <c r="I5" s="3099"/>
      <c r="J5" s="3099"/>
      <c r="K5"/>
      <c r="L5"/>
      <c r="M5"/>
      <c r="O5" s="330"/>
      <c r="W5" s="104"/>
    </row>
    <row r="6" spans="1:23" s="105" customFormat="1" ht="15" customHeight="1" x14ac:dyDescent="0.2">
      <c r="B6" s="105" t="s">
        <v>319</v>
      </c>
      <c r="C6" s="3117" t="s">
        <v>4687</v>
      </c>
      <c r="D6" s="3117"/>
      <c r="F6" s="330"/>
      <c r="G6" s="330"/>
      <c r="O6" s="331"/>
      <c r="P6" s="331"/>
      <c r="Q6" s="331"/>
      <c r="R6" s="331"/>
      <c r="S6" s="331"/>
      <c r="T6" s="331"/>
      <c r="U6" s="331"/>
      <c r="V6" s="106"/>
      <c r="W6" s="104"/>
    </row>
    <row r="7" spans="1:23" s="105" customFormat="1" ht="15" customHeight="1" x14ac:dyDescent="0.2">
      <c r="B7" s="105" t="s">
        <v>545</v>
      </c>
      <c r="C7" s="592" t="s">
        <v>4933</v>
      </c>
      <c r="E7" s="330"/>
      <c r="F7" s="431" t="s">
        <v>168</v>
      </c>
      <c r="H7" s="3099">
        <f>+Index!$E$13</f>
        <v>0</v>
      </c>
      <c r="I7" s="3099"/>
      <c r="J7" s="3099"/>
      <c r="W7" s="104"/>
    </row>
    <row r="8" spans="1:23" s="27" customFormat="1" ht="12" customHeight="1" thickBot="1" x14ac:dyDescent="0.25">
      <c r="B8" s="1523"/>
      <c r="C8" s="1523"/>
      <c r="D8" s="1523"/>
      <c r="E8" s="1523"/>
      <c r="F8" s="1523"/>
      <c r="G8" s="1523"/>
      <c r="H8" s="1523"/>
      <c r="I8" s="1523"/>
      <c r="J8" s="1523"/>
      <c r="K8" s="1523"/>
    </row>
    <row r="9" spans="1:23" x14ac:dyDescent="0.2">
      <c r="D9" s="713" t="s">
        <v>4934</v>
      </c>
      <c r="F9" s="713" t="s">
        <v>4935</v>
      </c>
    </row>
    <row r="10" spans="1:23" ht="12.75" customHeight="1" x14ac:dyDescent="0.25">
      <c r="B10" s="211"/>
      <c r="C10" s="211"/>
      <c r="D10" s="223" t="str">
        <f>CONCATENATE("FY",YEAR(Data!$A$3),"-",YEAR(Data!$A$2))</f>
        <v>FY2023-2024</v>
      </c>
      <c r="E10" s="224"/>
      <c r="F10" s="223" t="str">
        <f>CONCATENATE("FY",YEAR(Data!$A$3)-1,"-",YEAR(Data!$A$2)-1)</f>
        <v>FY2022-2023</v>
      </c>
      <c r="G10" s="225"/>
      <c r="H10" s="223" t="s">
        <v>2414</v>
      </c>
      <c r="I10" s="226"/>
      <c r="J10" s="227" t="s">
        <v>4833</v>
      </c>
      <c r="K10" s="226"/>
    </row>
    <row r="12" spans="1:23" x14ac:dyDescent="0.2">
      <c r="B12" s="2438" t="s">
        <v>555</v>
      </c>
      <c r="C12" s="2442"/>
    </row>
    <row r="13" spans="1:23" ht="13.5" x14ac:dyDescent="0.25">
      <c r="B13" s="2890" t="s">
        <v>1935</v>
      </c>
      <c r="C13" s="2890"/>
      <c r="D13" s="342">
        <f>'906-6B'!J11</f>
        <v>0</v>
      </c>
      <c r="F13" s="451">
        <f>HLOOKUP($C$5,PriorYr906!$J$9:$K$87,3,FALSE)</f>
        <v>0</v>
      </c>
      <c r="H13" s="228">
        <f>D13-F13</f>
        <v>0</v>
      </c>
      <c r="J13" s="229">
        <f>IF(F13=0,0,H13/F13)</f>
        <v>0</v>
      </c>
    </row>
    <row r="14" spans="1:23" ht="13.5" x14ac:dyDescent="0.25">
      <c r="B14" s="1782" t="s">
        <v>4690</v>
      </c>
      <c r="C14" s="2380"/>
      <c r="D14" s="342"/>
      <c r="F14" s="2430"/>
      <c r="H14" s="228"/>
      <c r="J14" s="229"/>
    </row>
    <row r="15" spans="1:23" ht="13.5" x14ac:dyDescent="0.25">
      <c r="B15" s="2890" t="s">
        <v>4691</v>
      </c>
      <c r="C15" s="2890"/>
      <c r="D15" s="341">
        <f>'906-6B'!J13</f>
        <v>0</v>
      </c>
      <c r="F15" s="212">
        <f>HLOOKUP($C$5,PriorYr906!$J$9:$K$87,5,FALSE)</f>
        <v>0</v>
      </c>
      <c r="H15" s="228">
        <f>D15-F15</f>
        <v>0</v>
      </c>
      <c r="J15" s="229">
        <f>IF(F15=0,0,H15/F15)</f>
        <v>0</v>
      </c>
    </row>
    <row r="16" spans="1:23" ht="13.5" x14ac:dyDescent="0.25">
      <c r="B16" s="2890" t="s">
        <v>4936</v>
      </c>
      <c r="C16" s="2890"/>
      <c r="D16" s="341">
        <f>'906-6B'!J14</f>
        <v>0</v>
      </c>
      <c r="F16" s="212">
        <f>HLOOKUP($C$5,PriorYr906!$J$9:$K$87,6,FALSE)</f>
        <v>0</v>
      </c>
      <c r="H16" s="228">
        <f t="shared" ref="H16:H40" si="0">D16-F16</f>
        <v>0</v>
      </c>
      <c r="J16" s="229">
        <f t="shared" ref="J16:J40" si="1">IF(F16=0,0,H16/F16)</f>
        <v>0</v>
      </c>
    </row>
    <row r="17" spans="2:10" ht="13.5" x14ac:dyDescent="0.25">
      <c r="B17" s="2890" t="s">
        <v>4937</v>
      </c>
      <c r="C17" s="2890"/>
      <c r="D17" s="341">
        <f>'906-6B'!J15</f>
        <v>0</v>
      </c>
      <c r="F17" s="212">
        <f>HLOOKUP($C$5,PriorYr906!$J$9:$K$87,7,FALSE)</f>
        <v>0</v>
      </c>
      <c r="H17" s="228">
        <f t="shared" si="0"/>
        <v>0</v>
      </c>
      <c r="J17" s="229">
        <f t="shared" si="1"/>
        <v>0</v>
      </c>
    </row>
    <row r="18" spans="2:10" ht="13.5" x14ac:dyDescent="0.25">
      <c r="B18" s="2890" t="s">
        <v>4695</v>
      </c>
      <c r="C18" s="2890"/>
      <c r="D18" s="341">
        <f>'906-6B'!J16</f>
        <v>0</v>
      </c>
      <c r="F18" s="212">
        <f>HLOOKUP($C$5,PriorYr906!$J$9:$K$87,8,FALSE)</f>
        <v>0</v>
      </c>
      <c r="H18" s="228">
        <f t="shared" si="0"/>
        <v>0</v>
      </c>
      <c r="J18" s="229">
        <f t="shared" si="1"/>
        <v>0</v>
      </c>
    </row>
    <row r="19" spans="2:10" ht="13.5" x14ac:dyDescent="0.25">
      <c r="B19" s="2890" t="s">
        <v>4696</v>
      </c>
      <c r="C19" s="2890"/>
      <c r="D19" s="341">
        <f>'906-6B'!J17</f>
        <v>0</v>
      </c>
      <c r="F19" s="212">
        <f>HLOOKUP($C$5,PriorYr906!$J$9:$K$87,9,FALSE)</f>
        <v>0</v>
      </c>
      <c r="H19" s="228">
        <f t="shared" si="0"/>
        <v>0</v>
      </c>
      <c r="J19" s="229">
        <f t="shared" si="1"/>
        <v>0</v>
      </c>
    </row>
    <row r="20" spans="2:10" ht="13.5" x14ac:dyDescent="0.25">
      <c r="B20" s="2890" t="s">
        <v>4697</v>
      </c>
      <c r="C20" s="2890"/>
      <c r="D20" s="341">
        <f>'906-6B'!J18</f>
        <v>0</v>
      </c>
      <c r="F20" s="212">
        <f>HLOOKUP($C$5,PriorYr906!$J$9:$K$87,10,FALSE)</f>
        <v>0</v>
      </c>
      <c r="H20" s="228">
        <f>D20-F20</f>
        <v>0</v>
      </c>
      <c r="J20" s="229">
        <f>IF(F20=0,0,H20/F20)</f>
        <v>0</v>
      </c>
    </row>
    <row r="21" spans="2:10" ht="13.5" x14ac:dyDescent="0.25">
      <c r="B21" s="2890" t="s">
        <v>4698</v>
      </c>
      <c r="C21" s="2890"/>
      <c r="D21" s="341">
        <f>'906-6B'!J19</f>
        <v>0</v>
      </c>
      <c r="F21" s="212">
        <f>HLOOKUP($C$5,PriorYr906!$J$9:$K$87,11,FALSE)</f>
        <v>0</v>
      </c>
      <c r="H21" s="228">
        <f t="shared" si="0"/>
        <v>0</v>
      </c>
      <c r="J21" s="229">
        <f t="shared" si="1"/>
        <v>0</v>
      </c>
    </row>
    <row r="22" spans="2:10" ht="13.5" x14ac:dyDescent="0.25">
      <c r="B22" s="2890" t="s">
        <v>4699</v>
      </c>
      <c r="C22" s="2890"/>
      <c r="D22" s="341">
        <f>'906-6B'!J20</f>
        <v>0</v>
      </c>
      <c r="F22" s="212">
        <f>HLOOKUP($C$5,PriorYr906!$J$9:$K$87,12,FALSE)</f>
        <v>0</v>
      </c>
      <c r="H22" s="228">
        <f t="shared" si="0"/>
        <v>0</v>
      </c>
      <c r="J22" s="229">
        <f t="shared" si="1"/>
        <v>0</v>
      </c>
    </row>
    <row r="23" spans="2:10" ht="13.5" x14ac:dyDescent="0.25">
      <c r="B23" s="2890" t="s">
        <v>4700</v>
      </c>
      <c r="C23" s="2890"/>
      <c r="D23" s="341">
        <f>'906-6B'!J21</f>
        <v>0</v>
      </c>
      <c r="F23" s="212">
        <f>HLOOKUP($C$5,PriorYr906!$J$9:$K$87,13,FALSE)</f>
        <v>0</v>
      </c>
      <c r="H23" s="228">
        <f t="shared" si="0"/>
        <v>0</v>
      </c>
      <c r="J23" s="229">
        <f t="shared" si="1"/>
        <v>0</v>
      </c>
    </row>
    <row r="24" spans="2:10" ht="13.5" x14ac:dyDescent="0.25">
      <c r="B24" s="2890" t="s">
        <v>4701</v>
      </c>
      <c r="C24" s="2890"/>
      <c r="D24" s="341">
        <f>'906-6B'!J22</f>
        <v>0</v>
      </c>
      <c r="F24" s="212">
        <f>HLOOKUP($C$5,PriorYr906!$J$9:$K$87,14,FALSE)</f>
        <v>0</v>
      </c>
      <c r="H24" s="228">
        <f t="shared" si="0"/>
        <v>0</v>
      </c>
      <c r="J24" s="229">
        <f t="shared" si="1"/>
        <v>0</v>
      </c>
    </row>
    <row r="25" spans="2:10" ht="13.5" x14ac:dyDescent="0.25">
      <c r="B25" s="2890" t="s">
        <v>4702</v>
      </c>
      <c r="C25" s="2890"/>
      <c r="D25" s="341">
        <f>'906-6B'!J23</f>
        <v>0</v>
      </c>
      <c r="F25" s="212">
        <f>HLOOKUP($C$5,PriorYr906!$J$9:$K$87,15,FALSE)</f>
        <v>0</v>
      </c>
      <c r="H25" s="228">
        <f t="shared" si="0"/>
        <v>0</v>
      </c>
      <c r="J25" s="229">
        <f t="shared" si="1"/>
        <v>0</v>
      </c>
    </row>
    <row r="26" spans="2:10" ht="13.5" x14ac:dyDescent="0.25">
      <c r="B26" s="2890" t="s">
        <v>4938</v>
      </c>
      <c r="C26" s="2890"/>
      <c r="D26" s="341">
        <f>'906-6B'!J24</f>
        <v>0</v>
      </c>
      <c r="F26" s="212">
        <f>HLOOKUP($C$5,PriorYr906!$J$9:$K$87,16,FALSE)</f>
        <v>8634762.5299999993</v>
      </c>
      <c r="H26" s="228">
        <f t="shared" si="0"/>
        <v>-8634762.5299999993</v>
      </c>
      <c r="J26" s="229">
        <f t="shared" si="1"/>
        <v>-1</v>
      </c>
    </row>
    <row r="27" spans="2:10" ht="13.5" x14ac:dyDescent="0.25">
      <c r="B27" s="2890" t="s">
        <v>4705</v>
      </c>
      <c r="C27" s="2890"/>
      <c r="D27" s="341">
        <f>'906-6B'!J25</f>
        <v>0</v>
      </c>
      <c r="F27" s="212">
        <f>HLOOKUP($C$5,PriorYr906!$J$9:$K$87,17,FALSE)</f>
        <v>0</v>
      </c>
      <c r="H27" s="228">
        <f>D27-F27</f>
        <v>0</v>
      </c>
      <c r="J27" s="229">
        <f>IF(F27=0,0,H27/F27)</f>
        <v>0</v>
      </c>
    </row>
    <row r="28" spans="2:10" ht="13.5" x14ac:dyDescent="0.25">
      <c r="B28" s="2890" t="s">
        <v>4706</v>
      </c>
      <c r="C28" s="2890"/>
      <c r="D28" s="341">
        <f>'906-6B'!J26</f>
        <v>0</v>
      </c>
      <c r="F28" s="212">
        <f>HLOOKUP($C$5,PriorYr906!$J$9:$K$87,18,FALSE)</f>
        <v>40759547.810000002</v>
      </c>
      <c r="H28" s="228">
        <f>D28-F28</f>
        <v>-40759547.810000002</v>
      </c>
      <c r="J28" s="229">
        <f>IF(F28=0,0,H28/F28)</f>
        <v>-1</v>
      </c>
    </row>
    <row r="29" spans="2:10" ht="13.5" x14ac:dyDescent="0.25">
      <c r="B29" s="2890" t="s">
        <v>4708</v>
      </c>
      <c r="C29" s="2890"/>
      <c r="D29" s="341">
        <f>'906-6B'!J27</f>
        <v>0</v>
      </c>
      <c r="F29" s="212">
        <f>HLOOKUP($C$5,PriorYr906!$J$9:$K$87,19,FALSE)</f>
        <v>344500379.39999998</v>
      </c>
      <c r="H29" s="228">
        <f>D29-F29</f>
        <v>-344500379.39999998</v>
      </c>
      <c r="J29" s="229">
        <f>IF(F29=0,0,H29/F29)</f>
        <v>-1</v>
      </c>
    </row>
    <row r="30" spans="2:10" ht="13.5" x14ac:dyDescent="0.25">
      <c r="B30" s="2890" t="s">
        <v>4939</v>
      </c>
      <c r="C30" s="2890"/>
      <c r="D30" s="341">
        <f>'906-6B'!J28</f>
        <v>0</v>
      </c>
      <c r="F30" s="212">
        <f>HLOOKUP($C$5,PriorYr906!$J$9:$K$87,20,FALSE)</f>
        <v>1276643484.96</v>
      </c>
      <c r="H30" s="228">
        <f>D30-F30</f>
        <v>-1276643484.96</v>
      </c>
      <c r="J30" s="229">
        <f>IF(F30=0,0,H30/F30)</f>
        <v>-1</v>
      </c>
    </row>
    <row r="31" spans="2:10" ht="13.5" x14ac:dyDescent="0.25">
      <c r="B31" s="2890" t="s">
        <v>3040</v>
      </c>
      <c r="C31" s="2890"/>
      <c r="D31" s="341">
        <f>'906-6B'!J29</f>
        <v>0</v>
      </c>
      <c r="F31" s="212">
        <f>HLOOKUP($C$5,PriorYr906!$J$9:$K$87,21,FALSE)</f>
        <v>0</v>
      </c>
      <c r="H31" s="228">
        <f>D31-F31</f>
        <v>0</v>
      </c>
      <c r="J31" s="229">
        <f>IF(F31=0,0,H31/F31)</f>
        <v>0</v>
      </c>
    </row>
    <row r="32" spans="2:10" ht="13.5" x14ac:dyDescent="0.25">
      <c r="B32" s="1782" t="s">
        <v>2741</v>
      </c>
      <c r="C32" s="2380"/>
      <c r="F32" s="212">
        <f>HLOOKUP($C$5,PriorYr906!$J$9:$K$87,22,FALSE)</f>
        <v>0</v>
      </c>
      <c r="H32" s="228"/>
      <c r="J32" s="229"/>
    </row>
    <row r="33" spans="2:10" ht="13.5" x14ac:dyDescent="0.25">
      <c r="B33" s="3106" t="s">
        <v>3175</v>
      </c>
      <c r="C33" s="3106"/>
      <c r="D33" s="341">
        <f>'906-6B'!J31</f>
        <v>0</v>
      </c>
      <c r="F33" s="212">
        <f>HLOOKUP($C$5,PriorYr906!$J$9:$K$87,23,FALSE)</f>
        <v>201.55</v>
      </c>
      <c r="H33" s="228">
        <f t="shared" si="0"/>
        <v>-201.55</v>
      </c>
      <c r="J33" s="229">
        <f t="shared" si="1"/>
        <v>-1</v>
      </c>
    </row>
    <row r="34" spans="2:10" ht="13.5" x14ac:dyDescent="0.25">
      <c r="B34" s="3116" t="s">
        <v>2744</v>
      </c>
      <c r="C34" s="3116"/>
      <c r="D34" s="341">
        <f>'906-6B'!J32</f>
        <v>0</v>
      </c>
      <c r="F34" s="212">
        <f>HLOOKUP($C$5,PriorYr906!$J$9:$K$87,24,FALSE)</f>
        <v>0</v>
      </c>
      <c r="H34" s="228">
        <f t="shared" si="0"/>
        <v>0</v>
      </c>
      <c r="J34" s="229">
        <f t="shared" si="1"/>
        <v>0</v>
      </c>
    </row>
    <row r="35" spans="2:10" ht="13.5" x14ac:dyDescent="0.25">
      <c r="B35" s="3116" t="s">
        <v>3183</v>
      </c>
      <c r="C35" s="3116"/>
      <c r="D35" s="341">
        <f>'906-6B'!J33</f>
        <v>0</v>
      </c>
      <c r="F35" s="212">
        <f>HLOOKUP($C$5,PriorYr906!$J$9:$K$87,25,FALSE)</f>
        <v>812681.25</v>
      </c>
      <c r="H35" s="228">
        <f t="shared" si="0"/>
        <v>-812681.25</v>
      </c>
      <c r="J35" s="229">
        <f t="shared" si="1"/>
        <v>-1</v>
      </c>
    </row>
    <row r="36" spans="2:10" ht="13.5" x14ac:dyDescent="0.25">
      <c r="B36" s="2890" t="s">
        <v>2752</v>
      </c>
      <c r="C36" s="2890"/>
      <c r="D36" s="341">
        <f>'906-6B'!J34</f>
        <v>0</v>
      </c>
      <c r="F36" s="212">
        <f>HLOOKUP($C$5,PriorYr906!$J$9:$K$87,26,FALSE)</f>
        <v>19818405.73</v>
      </c>
      <c r="H36" s="228">
        <f t="shared" si="0"/>
        <v>-19818405.73</v>
      </c>
      <c r="J36" s="229">
        <f t="shared" si="1"/>
        <v>-1</v>
      </c>
    </row>
    <row r="37" spans="2:10" ht="13.5" x14ac:dyDescent="0.25">
      <c r="B37" s="2890" t="s">
        <v>2750</v>
      </c>
      <c r="C37" s="2890"/>
      <c r="D37" s="341">
        <f>'906-6B'!J35</f>
        <v>0</v>
      </c>
      <c r="F37" s="212">
        <f>HLOOKUP($C$5,PriorYr906!$J$9:$K$87,27,FALSE)</f>
        <v>0</v>
      </c>
      <c r="H37" s="228">
        <f t="shared" si="0"/>
        <v>0</v>
      </c>
      <c r="J37" s="229">
        <f t="shared" si="1"/>
        <v>0</v>
      </c>
    </row>
    <row r="38" spans="2:10" ht="13.5" x14ac:dyDescent="0.25">
      <c r="B38" s="2890" t="s">
        <v>4714</v>
      </c>
      <c r="C38" s="2890"/>
      <c r="D38" s="341">
        <f>'906-6B'!J36</f>
        <v>0</v>
      </c>
      <c r="F38" s="212">
        <f>HLOOKUP($C$5,PriorYr906!$J$9:$K$87,28,FALSE)</f>
        <v>0</v>
      </c>
      <c r="H38" s="228">
        <f t="shared" si="0"/>
        <v>0</v>
      </c>
      <c r="J38" s="229">
        <f t="shared" si="1"/>
        <v>0</v>
      </c>
    </row>
    <row r="39" spans="2:10" ht="13.5" x14ac:dyDescent="0.25">
      <c r="B39" s="2890" t="s">
        <v>4773</v>
      </c>
      <c r="C39" s="2890"/>
      <c r="D39" s="341">
        <f>'906-6B'!J37</f>
        <v>0</v>
      </c>
      <c r="F39" s="212">
        <f>HLOOKUP($C$5,PriorYr906!$J$9:$K$87,29,FALSE)</f>
        <v>0</v>
      </c>
      <c r="H39" s="228">
        <f t="shared" si="0"/>
        <v>0</v>
      </c>
      <c r="J39" s="229">
        <f t="shared" si="1"/>
        <v>0</v>
      </c>
    </row>
    <row r="40" spans="2:10" ht="13.5" x14ac:dyDescent="0.25">
      <c r="B40" s="2890" t="s">
        <v>4940</v>
      </c>
      <c r="C40" s="2890"/>
      <c r="D40" s="341">
        <f>'906-6B'!J38</f>
        <v>0</v>
      </c>
      <c r="F40" s="212">
        <f>HLOOKUP($C$5,PriorYr906!$J$9:$K$87,30,FALSE)</f>
        <v>0</v>
      </c>
      <c r="H40" s="228">
        <f t="shared" si="0"/>
        <v>0</v>
      </c>
      <c r="J40" s="229">
        <f t="shared" si="1"/>
        <v>0</v>
      </c>
    </row>
    <row r="41" spans="2:10" ht="13.5" x14ac:dyDescent="0.25">
      <c r="B41" s="2890" t="s">
        <v>1769</v>
      </c>
      <c r="C41" s="2890"/>
      <c r="D41" s="217">
        <f>SUM(D13:D40)</f>
        <v>0</v>
      </c>
      <c r="F41" s="379">
        <f>SUM(F12:F40)</f>
        <v>1691169463.23</v>
      </c>
      <c r="H41" s="228"/>
      <c r="J41" s="229"/>
    </row>
    <row r="42" spans="2:10" x14ac:dyDescent="0.2">
      <c r="B42" s="2442"/>
      <c r="C42" s="2442"/>
      <c r="F42" s="2380"/>
    </row>
    <row r="43" spans="2:10" x14ac:dyDescent="0.2">
      <c r="B43" s="2442" t="s">
        <v>4863</v>
      </c>
      <c r="C43" s="2442"/>
      <c r="F43" s="2380"/>
    </row>
    <row r="44" spans="2:10" x14ac:dyDescent="0.2">
      <c r="B44" s="170" t="s">
        <v>2797</v>
      </c>
      <c r="C44" s="170"/>
      <c r="F44" s="2380"/>
    </row>
    <row r="45" spans="2:10" ht="13.5" x14ac:dyDescent="0.25">
      <c r="B45" s="3116" t="s">
        <v>2835</v>
      </c>
      <c r="C45" s="3116"/>
      <c r="D45" s="341">
        <f>'906-6B'!J43</f>
        <v>0</v>
      </c>
      <c r="F45" s="212">
        <f>HLOOKUP($C$5,PriorYr906!$J$9:$K$87,35,FALSE)</f>
        <v>169903.81</v>
      </c>
      <c r="H45" s="228">
        <f t="shared" ref="H45:H53" si="2">D45-F45</f>
        <v>-169903.81</v>
      </c>
      <c r="J45" s="229">
        <f t="shared" ref="J45:J53" si="3">IF(F45=0,0,H45/F45)</f>
        <v>-1</v>
      </c>
    </row>
    <row r="46" spans="2:10" ht="13.5" x14ac:dyDescent="0.25">
      <c r="B46" s="3116" t="s">
        <v>2800</v>
      </c>
      <c r="C46" s="3116"/>
      <c r="D46" s="341">
        <f>'906-6B'!J44</f>
        <v>0</v>
      </c>
      <c r="F46" s="212">
        <f>HLOOKUP($C$5,PriorYr906!$J$9:$K$87,36,FALSE)</f>
        <v>0</v>
      </c>
      <c r="H46" s="228">
        <f t="shared" si="2"/>
        <v>0</v>
      </c>
      <c r="J46" s="229">
        <f t="shared" si="3"/>
        <v>0</v>
      </c>
    </row>
    <row r="47" spans="2:10" ht="13.5" x14ac:dyDescent="0.25">
      <c r="B47" s="3116" t="s">
        <v>4717</v>
      </c>
      <c r="C47" s="3116"/>
      <c r="D47" s="341">
        <f>'906-6B'!J45</f>
        <v>0</v>
      </c>
      <c r="F47" s="212">
        <f>HLOOKUP($C$5,PriorYr906!$J$9:$K$87,37,FALSE)</f>
        <v>0</v>
      </c>
      <c r="H47" s="228">
        <f t="shared" si="2"/>
        <v>0</v>
      </c>
      <c r="J47" s="229">
        <f t="shared" si="3"/>
        <v>0</v>
      </c>
    </row>
    <row r="48" spans="2:10" ht="13.5" x14ac:dyDescent="0.25">
      <c r="B48" s="2890" t="s">
        <v>2814</v>
      </c>
      <c r="C48" s="2890"/>
      <c r="D48" s="341">
        <f>'906-6B'!J46</f>
        <v>0</v>
      </c>
      <c r="F48" s="212">
        <f>HLOOKUP($C$5,PriorYr906!$J$9:$K$87,38,FALSE)</f>
        <v>0</v>
      </c>
      <c r="H48" s="228">
        <f>D48-F48</f>
        <v>0</v>
      </c>
      <c r="J48" s="229">
        <f>IF(F48=0,0,H48/F48)</f>
        <v>0</v>
      </c>
    </row>
    <row r="49" spans="2:10" ht="13.5" x14ac:dyDescent="0.25">
      <c r="B49" s="2890" t="s">
        <v>2812</v>
      </c>
      <c r="C49" s="2890"/>
      <c r="D49" s="341">
        <f>'906-6B'!J47</f>
        <v>0</v>
      </c>
      <c r="F49" s="212">
        <f>HLOOKUP($C$5,PriorYr906!$J$9:$K$87,39,FALSE)</f>
        <v>0</v>
      </c>
      <c r="H49" s="228">
        <f t="shared" si="2"/>
        <v>0</v>
      </c>
      <c r="J49" s="229">
        <f t="shared" si="3"/>
        <v>0</v>
      </c>
    </row>
    <row r="50" spans="2:10" ht="13.5" x14ac:dyDescent="0.25">
      <c r="B50" s="2890" t="s">
        <v>2815</v>
      </c>
      <c r="C50" s="2890"/>
      <c r="D50" s="341">
        <f>'906-6B'!J48</f>
        <v>0</v>
      </c>
      <c r="F50" s="212">
        <f>HLOOKUP($C$5,PriorYr906!$J$9:$K$87,40,FALSE)</f>
        <v>0</v>
      </c>
      <c r="H50" s="228">
        <f t="shared" si="2"/>
        <v>0</v>
      </c>
      <c r="J50" s="229">
        <f t="shared" si="3"/>
        <v>0</v>
      </c>
    </row>
    <row r="51" spans="2:10" ht="13.5" x14ac:dyDescent="0.25">
      <c r="B51" s="2890" t="s">
        <v>2816</v>
      </c>
      <c r="C51" s="2890"/>
      <c r="D51" s="341">
        <f>'906-6B'!J49</f>
        <v>0</v>
      </c>
      <c r="F51" s="212">
        <f>HLOOKUP($C$5,PriorYr906!$J$9:$K$87,41,FALSE)</f>
        <v>0</v>
      </c>
      <c r="H51" s="228">
        <f t="shared" si="2"/>
        <v>0</v>
      </c>
      <c r="J51" s="229">
        <f t="shared" si="3"/>
        <v>0</v>
      </c>
    </row>
    <row r="52" spans="2:10" ht="13.5" x14ac:dyDescent="0.25">
      <c r="B52" s="2890" t="s">
        <v>1071</v>
      </c>
      <c r="C52" s="2890"/>
      <c r="D52" s="341">
        <f>'906-6B'!J50</f>
        <v>0</v>
      </c>
      <c r="F52" s="212">
        <f>HLOOKUP($C$5,PriorYr906!$J$9:$K$87,42,FALSE)</f>
        <v>0</v>
      </c>
      <c r="H52" s="228">
        <f t="shared" si="2"/>
        <v>0</v>
      </c>
      <c r="J52" s="229">
        <f t="shared" si="3"/>
        <v>0</v>
      </c>
    </row>
    <row r="53" spans="2:10" ht="13.5" x14ac:dyDescent="0.25">
      <c r="B53" s="2890" t="s">
        <v>1774</v>
      </c>
      <c r="C53" s="2890"/>
      <c r="D53" s="217">
        <f>SUM(D45:D52)</f>
        <v>0</v>
      </c>
      <c r="F53" s="379">
        <f>SUM(F44:F52)</f>
        <v>169903.81</v>
      </c>
      <c r="H53" s="228">
        <f t="shared" si="2"/>
        <v>-169903.81</v>
      </c>
      <c r="J53" s="229">
        <f t="shared" si="3"/>
        <v>-1</v>
      </c>
    </row>
    <row r="54" spans="2:10" ht="13.5" x14ac:dyDescent="0.25">
      <c r="B54" s="2380"/>
      <c r="C54" s="2380"/>
      <c r="F54" s="2440"/>
      <c r="H54" s="228"/>
      <c r="J54" s="229"/>
    </row>
    <row r="55" spans="2:10" ht="13.5" x14ac:dyDescent="0.25">
      <c r="B55" s="213" t="s">
        <v>1673</v>
      </c>
      <c r="C55" s="213"/>
      <c r="D55" s="339"/>
      <c r="E55" s="224"/>
      <c r="F55" s="2440"/>
      <c r="G55" s="225"/>
      <c r="H55" s="339"/>
      <c r="I55" s="226"/>
      <c r="J55" s="340"/>
    </row>
    <row r="56" spans="2:10" ht="13.5" x14ac:dyDescent="0.25">
      <c r="B56" s="170" t="s">
        <v>4941</v>
      </c>
      <c r="C56" s="170"/>
      <c r="H56" s="228"/>
      <c r="J56" s="229"/>
    </row>
    <row r="57" spans="2:10" ht="13.5" x14ac:dyDescent="0.25">
      <c r="B57" s="3116" t="s">
        <v>4942</v>
      </c>
      <c r="C57" s="3116"/>
      <c r="D57" s="341">
        <f>'906-6B'!J55</f>
        <v>0</v>
      </c>
      <c r="F57" s="212">
        <f>HLOOKUP($C$5,PriorYr906!$J$9:$K$87,47,FALSE)</f>
        <v>1690999559.4200001</v>
      </c>
      <c r="H57" s="228">
        <f>D57-F57</f>
        <v>-1690999559.4200001</v>
      </c>
      <c r="J57" s="229">
        <f>IF(F57=0,0,H57/F57)</f>
        <v>-1</v>
      </c>
    </row>
    <row r="58" spans="2:10" ht="14.25" thickBot="1" x14ac:dyDescent="0.3">
      <c r="B58" s="2890" t="s">
        <v>1641</v>
      </c>
      <c r="C58" s="2890"/>
      <c r="D58" s="220">
        <f>SUM(D56:D57)</f>
        <v>0</v>
      </c>
      <c r="F58" s="380">
        <f>SUM(F55:F57)</f>
        <v>1690999559.4200001</v>
      </c>
      <c r="H58" s="228"/>
      <c r="J58" s="229"/>
    </row>
    <row r="59" spans="2:10" ht="14.25" thickTop="1" x14ac:dyDescent="0.25">
      <c r="B59" s="2380"/>
      <c r="C59" s="2380"/>
      <c r="F59" s="2380"/>
      <c r="H59" s="228"/>
      <c r="J59" s="229"/>
    </row>
    <row r="60" spans="2:10" x14ac:dyDescent="0.2">
      <c r="B60" s="170" t="s">
        <v>4898</v>
      </c>
      <c r="C60" s="170"/>
      <c r="D60" s="221" t="str">
        <f>IF(D41-D53=D58,"In Bal.","NOT BALANCED")</f>
        <v>In Bal.</v>
      </c>
      <c r="F60" s="221" t="str">
        <f>IF(F41-F53=F58,"In Bal.","NOT BALANCED")</f>
        <v>In Bal.</v>
      </c>
    </row>
    <row r="61" spans="2:10" x14ac:dyDescent="0.2">
      <c r="B61" s="344"/>
      <c r="C61" s="344"/>
      <c r="D61" s="345"/>
    </row>
    <row r="62" spans="2:10" x14ac:dyDescent="0.2">
      <c r="B62" s="222" t="s">
        <v>4721</v>
      </c>
      <c r="C62" s="222"/>
      <c r="D62" s="2409" t="str">
        <f>CONCATENATE("FYE ",+TEXT(Data!$A$2,"mmmm d,yyyy"))</f>
        <v>FYE June 30,2024</v>
      </c>
      <c r="F62" s="2419" t="str">
        <f>CONCATENATE("FYE ",+TEXT(Data!$A$4,"mmmm d,yyyy"))</f>
        <v>FYE June 30,2023</v>
      </c>
    </row>
    <row r="63" spans="2:10" x14ac:dyDescent="0.2">
      <c r="B63" s="1785" t="s">
        <v>1850</v>
      </c>
      <c r="C63" s="222"/>
      <c r="F63" s="2380"/>
    </row>
    <row r="64" spans="2:10" ht="13.5" x14ac:dyDescent="0.25">
      <c r="B64" s="2890" t="s">
        <v>4943</v>
      </c>
      <c r="C64" s="2890"/>
      <c r="D64" s="342">
        <f>'906-6B'!J62</f>
        <v>0</v>
      </c>
      <c r="F64" s="451">
        <f>HLOOKUP($C$5,PriorYr906!$J$9:$K$87,54,FALSE)</f>
        <v>5177192.26</v>
      </c>
      <c r="H64" s="228">
        <f>D64-F64</f>
        <v>-5177192.26</v>
      </c>
      <c r="J64" s="229">
        <f>IF(F64=0,0,H64/F64)</f>
        <v>-1</v>
      </c>
    </row>
    <row r="65" spans="2:10" ht="13.5" x14ac:dyDescent="0.25">
      <c r="B65" s="2890" t="s">
        <v>4944</v>
      </c>
      <c r="C65" s="2890"/>
      <c r="D65" s="341">
        <f>'906-6B'!J63</f>
        <v>0</v>
      </c>
      <c r="F65" s="212">
        <f>HLOOKUP($C$5,PriorYr906!$J$9:$K$87,55,FALSE)</f>
        <v>91859222.760000005</v>
      </c>
      <c r="H65" s="228">
        <f>D65-F65</f>
        <v>-91859222.760000005</v>
      </c>
      <c r="J65" s="229">
        <f>IF(F65=0,0,H65/F65)</f>
        <v>-1</v>
      </c>
    </row>
    <row r="66" spans="2:10" ht="13.5" x14ac:dyDescent="0.25">
      <c r="B66" s="2890" t="s">
        <v>4945</v>
      </c>
      <c r="C66" s="2890"/>
      <c r="D66" s="341">
        <f>'906-6B'!J64</f>
        <v>0</v>
      </c>
      <c r="F66" s="212">
        <f>HLOOKUP($C$5,PriorYr906!$J$9:$K$87,56,FALSE)</f>
        <v>0</v>
      </c>
      <c r="H66" s="228">
        <f>D66-F66</f>
        <v>0</v>
      </c>
      <c r="J66" s="229">
        <f>IF(F66=0,0,H66/F66)</f>
        <v>0</v>
      </c>
    </row>
    <row r="67" spans="2:10" ht="13.5" x14ac:dyDescent="0.25">
      <c r="B67" s="2890" t="s">
        <v>4946</v>
      </c>
      <c r="C67" s="2890"/>
      <c r="D67" s="343">
        <f>'906-6B'!J65</f>
        <v>0</v>
      </c>
      <c r="F67" s="212">
        <f>HLOOKUP($C$5,PriorYr906!$J$9:$K$87,57,FALSE)</f>
        <v>0</v>
      </c>
      <c r="H67" s="228">
        <f>D67-F67</f>
        <v>0</v>
      </c>
      <c r="J67" s="229">
        <f>IF(F67=0,0,H67/F67)</f>
        <v>0</v>
      </c>
    </row>
    <row r="68" spans="2:10" ht="13.5" x14ac:dyDescent="0.25">
      <c r="B68" s="2890" t="s">
        <v>4947</v>
      </c>
      <c r="C68" s="2890"/>
      <c r="D68" s="217">
        <f>SUM(D64:D67)</f>
        <v>0</v>
      </c>
      <c r="F68" s="379">
        <f>SUM(F64:F67)</f>
        <v>97036415.019999996</v>
      </c>
      <c r="H68" s="228">
        <f>D68-F68</f>
        <v>-97036415.019999996</v>
      </c>
      <c r="J68" s="229">
        <f>IF(F68=0,0,H68/F68)</f>
        <v>-1</v>
      </c>
    </row>
    <row r="69" spans="2:10" ht="13.5" x14ac:dyDescent="0.25">
      <c r="B69" s="1785" t="s">
        <v>4727</v>
      </c>
      <c r="C69" s="2380"/>
      <c r="F69" s="2380"/>
      <c r="H69" s="228"/>
      <c r="J69" s="229"/>
    </row>
    <row r="70" spans="2:10" ht="13.5" x14ac:dyDescent="0.25">
      <c r="B70" s="2890" t="s">
        <v>4948</v>
      </c>
      <c r="C70" s="2890"/>
      <c r="D70" s="341">
        <f>'906-6B'!J68</f>
        <v>0</v>
      </c>
      <c r="F70" s="212">
        <f>HLOOKUP($C$5,PriorYr906!$J$9:$K$87,60,FALSE)</f>
        <v>-272780843.26999998</v>
      </c>
      <c r="H70" s="228">
        <f>D70-F70</f>
        <v>272780843.26999998</v>
      </c>
      <c r="J70" s="229">
        <f>IF(F70=0,0,H70/F70)</f>
        <v>-1</v>
      </c>
    </row>
    <row r="71" spans="2:10" ht="13.5" x14ac:dyDescent="0.25">
      <c r="B71" s="2890" t="s">
        <v>4949</v>
      </c>
      <c r="C71" s="2890"/>
      <c r="D71" s="343">
        <f>'906-6B'!J69</f>
        <v>0</v>
      </c>
      <c r="F71" s="212">
        <f>HLOOKUP($C$5,PriorYr906!$J$9:$K$87,61,FALSE)</f>
        <v>-2434737.38</v>
      </c>
      <c r="H71" s="228">
        <f>D71-F71</f>
        <v>2434737.38</v>
      </c>
      <c r="J71" s="229">
        <f>IF(F71=0,0,H71/F71)</f>
        <v>-1</v>
      </c>
    </row>
    <row r="72" spans="2:10" ht="13.5" x14ac:dyDescent="0.25">
      <c r="B72" s="2890" t="s">
        <v>4950</v>
      </c>
      <c r="C72" s="2890"/>
      <c r="D72" s="217">
        <f>SUM(D70:D71)</f>
        <v>0</v>
      </c>
      <c r="F72" s="379">
        <f>SUM(F70:F71)</f>
        <v>-275215580.64999998</v>
      </c>
      <c r="H72" s="228">
        <f>D72-F72</f>
        <v>275215580.64999998</v>
      </c>
      <c r="J72" s="229">
        <f>IF(F72=0,0,H72/F72)</f>
        <v>-1</v>
      </c>
    </row>
    <row r="73" spans="2:10" ht="13.5" x14ac:dyDescent="0.25">
      <c r="B73" s="1785" t="s">
        <v>1853</v>
      </c>
      <c r="C73" s="2380"/>
      <c r="F73" s="2440"/>
      <c r="H73" s="228"/>
      <c r="J73" s="229"/>
    </row>
    <row r="74" spans="2:10" ht="13.5" x14ac:dyDescent="0.25">
      <c r="B74" s="2890" t="s">
        <v>4951</v>
      </c>
      <c r="C74" s="2890"/>
      <c r="D74" s="341">
        <f>'906-6B'!J72</f>
        <v>0</v>
      </c>
      <c r="F74" s="212">
        <f>HLOOKUP($C$5,PriorYr906!$J$9:$K$87,64,FALSE)</f>
        <v>0</v>
      </c>
      <c r="H74" s="228">
        <f>D74-F74</f>
        <v>0</v>
      </c>
      <c r="J74" s="229">
        <f>IF(F74=0,0,H74/F74)</f>
        <v>0</v>
      </c>
    </row>
    <row r="75" spans="2:10" ht="13.5" x14ac:dyDescent="0.25">
      <c r="B75" s="2890" t="s">
        <v>4952</v>
      </c>
      <c r="C75" s="2890"/>
      <c r="D75" s="341">
        <f>'906-6B'!J73</f>
        <v>0</v>
      </c>
      <c r="F75" s="212">
        <f>HLOOKUP($C$5,PriorYr906!$J$9:$K$87,65,FALSE)</f>
        <v>964685.91</v>
      </c>
      <c r="H75" s="228">
        <f>D75-F75</f>
        <v>-964685.91</v>
      </c>
      <c r="J75" s="229">
        <f>IF(F75=0,0,H75/F75)</f>
        <v>-1</v>
      </c>
    </row>
    <row r="76" spans="2:10" ht="13.5" x14ac:dyDescent="0.25">
      <c r="B76" s="2890" t="s">
        <v>4953</v>
      </c>
      <c r="C76" s="2890"/>
      <c r="D76" s="343">
        <f>'906-6B'!J74</f>
        <v>0</v>
      </c>
      <c r="F76" s="212">
        <f>HLOOKUP($C$5,PriorYr906!$J$9:$K$87,66,FALSE)</f>
        <v>320115.25</v>
      </c>
      <c r="H76" s="228">
        <f>D76-F76</f>
        <v>-320115.25</v>
      </c>
      <c r="J76" s="229">
        <f>IF(F76=0,0,H76/F76)</f>
        <v>-1</v>
      </c>
    </row>
    <row r="77" spans="2:10" ht="13.5" x14ac:dyDescent="0.25">
      <c r="B77" s="2890" t="s">
        <v>4954</v>
      </c>
      <c r="C77" s="2890"/>
      <c r="D77" s="346">
        <f>SUM(D74:D76)</f>
        <v>0</v>
      </c>
      <c r="F77" s="379">
        <f>SUM(F74:F76)</f>
        <v>1284801.1599999999</v>
      </c>
      <c r="H77" s="228"/>
      <c r="J77" s="229"/>
    </row>
    <row r="78" spans="2:10" ht="13.5" x14ac:dyDescent="0.25">
      <c r="B78" s="2890" t="s">
        <v>1854</v>
      </c>
      <c r="C78" s="2890"/>
      <c r="D78" s="217">
        <f>D68+D72+D77</f>
        <v>0</v>
      </c>
      <c r="F78" s="379">
        <f>F68+F72+F77</f>
        <v>-176894364.47</v>
      </c>
      <c r="H78" s="228">
        <f>D78-F78</f>
        <v>176894364.47</v>
      </c>
      <c r="J78" s="229">
        <f>IF(F78=0,0,H78/F78)</f>
        <v>-1</v>
      </c>
    </row>
    <row r="79" spans="2:10" ht="13.5" x14ac:dyDescent="0.25">
      <c r="B79" s="2380"/>
      <c r="C79" s="2380"/>
      <c r="D79" s="346"/>
      <c r="F79" s="2380"/>
      <c r="H79" s="228"/>
      <c r="J79" s="229"/>
    </row>
    <row r="80" spans="2:10" ht="13.5" x14ac:dyDescent="0.25">
      <c r="B80" s="222" t="s">
        <v>4735</v>
      </c>
      <c r="C80" s="222"/>
      <c r="F80" s="2380"/>
      <c r="H80" s="228"/>
      <c r="J80" s="229"/>
    </row>
    <row r="81" spans="2:10" ht="13.5" x14ac:dyDescent="0.25">
      <c r="B81" s="2890" t="s">
        <v>2885</v>
      </c>
      <c r="C81" s="2890"/>
      <c r="D81" s="341">
        <f>'906-6B'!J79</f>
        <v>0</v>
      </c>
      <c r="F81" s="212">
        <f>HLOOKUP($C$5,PriorYr906!$J$9:$K$87,71,FALSE)</f>
        <v>118308110.52</v>
      </c>
      <c r="H81" s="228">
        <f t="shared" ref="H81:H88" si="4">D81-F81</f>
        <v>-118308110.52</v>
      </c>
      <c r="J81" s="229">
        <f>IF(F81=0,0,H81/F81)</f>
        <v>-1</v>
      </c>
    </row>
    <row r="82" spans="2:10" ht="13.5" x14ac:dyDescent="0.25">
      <c r="B82" s="2890" t="s">
        <v>4328</v>
      </c>
      <c r="C82" s="2890"/>
      <c r="D82" s="341">
        <f>'906-6B'!J80</f>
        <v>0</v>
      </c>
      <c r="F82" s="212">
        <f>HLOOKUP($C$5,PriorYr906!$J$9:$K$87,72,FALSE)</f>
        <v>0</v>
      </c>
      <c r="H82" s="228">
        <f t="shared" si="4"/>
        <v>0</v>
      </c>
      <c r="J82" s="229">
        <f t="shared" ref="J82:J88" si="5">IF(F82=0,0,H82/F82)</f>
        <v>0</v>
      </c>
    </row>
    <row r="83" spans="2:10" ht="13.5" x14ac:dyDescent="0.25">
      <c r="B83" s="2890" t="s">
        <v>4736</v>
      </c>
      <c r="C83" s="2890"/>
      <c r="D83" s="341">
        <f>'906-6B'!J81</f>
        <v>0</v>
      </c>
      <c r="F83" s="212">
        <f>HLOOKUP($C$5,PriorYr906!$J$9:$K$87,73,FALSE)</f>
        <v>1753292.78</v>
      </c>
      <c r="H83" s="228">
        <f t="shared" si="4"/>
        <v>-1753292.78</v>
      </c>
      <c r="J83" s="229">
        <f t="shared" si="5"/>
        <v>-1</v>
      </c>
    </row>
    <row r="84" spans="2:10" ht="13.5" x14ac:dyDescent="0.25">
      <c r="B84" s="2890" t="s">
        <v>4738</v>
      </c>
      <c r="C84" s="2890"/>
      <c r="D84" s="343">
        <f>'906-6B'!J82</f>
        <v>0</v>
      </c>
      <c r="F84" s="212">
        <f>HLOOKUP($C$5,PriorYr906!$J$9:$K$87,74,FALSE)</f>
        <v>0</v>
      </c>
      <c r="H84" s="228">
        <f t="shared" si="4"/>
        <v>0</v>
      </c>
      <c r="J84" s="229">
        <f t="shared" si="5"/>
        <v>0</v>
      </c>
    </row>
    <row r="85" spans="2:10" ht="13.5" x14ac:dyDescent="0.25">
      <c r="B85" s="2890" t="s">
        <v>4739</v>
      </c>
      <c r="C85" s="2890"/>
      <c r="D85" s="219">
        <f>SUM(D81:D84)</f>
        <v>0</v>
      </c>
      <c r="F85" s="379">
        <f>SUM(F81:F84)</f>
        <v>120061403.3</v>
      </c>
      <c r="H85" s="228">
        <f t="shared" si="4"/>
        <v>-120061403.3</v>
      </c>
      <c r="J85" s="229">
        <f t="shared" si="5"/>
        <v>-1</v>
      </c>
    </row>
    <row r="86" spans="2:10" ht="13.5" x14ac:dyDescent="0.25">
      <c r="B86" s="2890" t="s">
        <v>4955</v>
      </c>
      <c r="C86" s="2890"/>
      <c r="D86" s="731">
        <f>D78-D85</f>
        <v>0</v>
      </c>
      <c r="F86" s="731">
        <f>F78-F85</f>
        <v>-296955767.76999998</v>
      </c>
      <c r="H86" s="228">
        <f t="shared" si="4"/>
        <v>296955767.76999998</v>
      </c>
      <c r="J86" s="229">
        <f t="shared" si="5"/>
        <v>-1</v>
      </c>
    </row>
    <row r="87" spans="2:10" ht="13.5" x14ac:dyDescent="0.25">
      <c r="B87" s="2890" t="s">
        <v>4956</v>
      </c>
      <c r="C87" s="2890"/>
      <c r="D87" s="591">
        <f>'906-6B'!J85</f>
        <v>1690999559.4200001</v>
      </c>
      <c r="F87" s="591">
        <f>HLOOKUP($C$5,PriorYr906!$J$9:$K$87,77,FALSE)</f>
        <v>1987955327.1900001</v>
      </c>
      <c r="H87" s="228">
        <f t="shared" si="4"/>
        <v>-296955767.76999998</v>
      </c>
      <c r="J87" s="229">
        <f t="shared" si="5"/>
        <v>-0.14940000000000001</v>
      </c>
    </row>
    <row r="88" spans="2:10" ht="13.5" x14ac:dyDescent="0.25">
      <c r="B88" s="2890" t="s">
        <v>1760</v>
      </c>
      <c r="C88" s="2890"/>
      <c r="D88" s="341">
        <f>'906-6B'!J86</f>
        <v>0</v>
      </c>
      <c r="F88" s="212">
        <f>HLOOKUP($C$5,PriorYr906!$J$9:$K$87,78,FALSE)</f>
        <v>0</v>
      </c>
      <c r="H88" s="228">
        <f t="shared" si="4"/>
        <v>0</v>
      </c>
      <c r="J88" s="229">
        <f t="shared" si="5"/>
        <v>0</v>
      </c>
    </row>
    <row r="89" spans="2:10" ht="13.5" thickBot="1" x14ac:dyDescent="0.25">
      <c r="B89" s="2890" t="s">
        <v>4957</v>
      </c>
      <c r="C89" s="2890"/>
      <c r="D89" s="220">
        <f>SUM(D86:D88)</f>
        <v>1690999559.4200001</v>
      </c>
      <c r="F89" s="381">
        <f>SUM(F86:F88)</f>
        <v>1690999559.4200001</v>
      </c>
    </row>
    <row r="90" spans="2:10" ht="13.5" thickTop="1" x14ac:dyDescent="0.2">
      <c r="F90" s="218"/>
    </row>
    <row r="91" spans="2:10" x14ac:dyDescent="0.2">
      <c r="B91" s="182" t="s">
        <v>4958</v>
      </c>
      <c r="C91" s="182"/>
      <c r="D91" s="221" t="str">
        <f>IF(D58=D89,"In Bal.","NOT")</f>
        <v>NOT</v>
      </c>
      <c r="F91" s="221" t="str">
        <f>IF(F58=F89,"In Bal.","NOT")</f>
        <v>In Bal.</v>
      </c>
    </row>
    <row r="92" spans="2:10" x14ac:dyDescent="0.2">
      <c r="B92" s="2380"/>
      <c r="C92" s="2380"/>
    </row>
    <row r="93" spans="2:10" x14ac:dyDescent="0.2">
      <c r="B93" s="170" t="s">
        <v>4959</v>
      </c>
      <c r="C93" s="138"/>
      <c r="D93" s="138"/>
      <c r="E93" s="138"/>
      <c r="F93" s="138"/>
      <c r="G93" s="138"/>
      <c r="H93" s="138"/>
      <c r="I93" s="138"/>
      <c r="J93" s="138"/>
    </row>
    <row r="94" spans="2:10" x14ac:dyDescent="0.2">
      <c r="B94" s="172" t="s">
        <v>4960</v>
      </c>
    </row>
  </sheetData>
  <sheetProtection algorithmName="SHA-512" hashValue="Ru4/8xOgl1N7lRVlTfF75To6E59hb31hwzi/OGhCw/CtAk9dXgvTa7MBBBW1ilRn7Uq5o7yBifrezw1IIOnjfQ==" saltValue="7OOvIIism5MhJGMgpgq8tg==" spinCount="100000" sheet="1" autoFilter="0"/>
  <customSheetViews>
    <customSheetView guid="{9FCFC836-1CA5-48BF-958D-24D2EA94B219}" showGridLines="0" fitToPage="1">
      <selection activeCell="F9" sqref="F9"/>
      <pageMargins left="0" right="0" top="0" bottom="0" header="0" footer="0"/>
      <pageSetup scale="86" fitToHeight="2" orientation="portrait" r:id="rId1"/>
      <headerFooter alignWithMargins="0">
        <oddFooter>&amp;R&amp;A (&amp;P of &amp;N)</oddFooter>
      </headerFooter>
    </customSheetView>
    <customSheetView guid="{B08879A4-635B-4C39-9937-AC7883D562FC}" showGridLines="0" fitToPage="1">
      <selection activeCell="F9" sqref="F9"/>
      <pageMargins left="0" right="0" top="0" bottom="0" header="0" footer="0"/>
      <pageSetup scale="86" fitToHeight="2" orientation="portrait" r:id="rId2"/>
      <headerFooter alignWithMargins="0">
        <oddFooter>&amp;R&amp;A (&amp;P of &amp;N)</oddFooter>
      </headerFooter>
    </customSheetView>
  </customSheetViews>
  <mergeCells count="67">
    <mergeCell ref="B89:C89"/>
    <mergeCell ref="B65:C65"/>
    <mergeCell ref="B77:C77"/>
    <mergeCell ref="B74:C74"/>
    <mergeCell ref="B72:C72"/>
    <mergeCell ref="B75:C75"/>
    <mergeCell ref="B76:C76"/>
    <mergeCell ref="B67:C67"/>
    <mergeCell ref="B68:C68"/>
    <mergeCell ref="B70:C70"/>
    <mergeCell ref="B71:C71"/>
    <mergeCell ref="B88:C88"/>
    <mergeCell ref="B34:C34"/>
    <mergeCell ref="B31:C31"/>
    <mergeCell ref="B41:C41"/>
    <mergeCell ref="B45:C45"/>
    <mergeCell ref="B87:C87"/>
    <mergeCell ref="B78:C78"/>
    <mergeCell ref="B81:C81"/>
    <mergeCell ref="B82:C82"/>
    <mergeCell ref="B35:C35"/>
    <mergeCell ref="B86:C86"/>
    <mergeCell ref="B84:C84"/>
    <mergeCell ref="B85:C85"/>
    <mergeCell ref="B83:C83"/>
    <mergeCell ref="B40:C40"/>
    <mergeCell ref="B46:C46"/>
    <mergeCell ref="B66:C66"/>
    <mergeCell ref="B38:C38"/>
    <mergeCell ref="B36:C36"/>
    <mergeCell ref="B39:C39"/>
    <mergeCell ref="B37:C37"/>
    <mergeCell ref="B48:C48"/>
    <mergeCell ref="B47:C47"/>
    <mergeCell ref="B53:C53"/>
    <mergeCell ref="B57:C57"/>
    <mergeCell ref="B64:C64"/>
    <mergeCell ref="B49:C49"/>
    <mergeCell ref="B50:C50"/>
    <mergeCell ref="B51:C51"/>
    <mergeCell ref="B52:C52"/>
    <mergeCell ref="B58:C58"/>
    <mergeCell ref="B16:C16"/>
    <mergeCell ref="B17:C17"/>
    <mergeCell ref="B18:C18"/>
    <mergeCell ref="B33:C33"/>
    <mergeCell ref="B23:C23"/>
    <mergeCell ref="B24:C24"/>
    <mergeCell ref="B20:C20"/>
    <mergeCell ref="B27:C27"/>
    <mergeCell ref="B22:C22"/>
    <mergeCell ref="B28:C28"/>
    <mergeCell ref="B25:C25"/>
    <mergeCell ref="B19:C19"/>
    <mergeCell ref="B21:C21"/>
    <mergeCell ref="B30:C30"/>
    <mergeCell ref="B26:C26"/>
    <mergeCell ref="B29:C29"/>
    <mergeCell ref="B15:C15"/>
    <mergeCell ref="L1:L3"/>
    <mergeCell ref="B13:C13"/>
    <mergeCell ref="C6:D6"/>
    <mergeCell ref="G5:J5"/>
    <mergeCell ref="B1:K1"/>
    <mergeCell ref="B2:K2"/>
    <mergeCell ref="B3:K3"/>
    <mergeCell ref="H7:J7"/>
  </mergeCells>
  <phoneticPr fontId="18" type="noConversion"/>
  <conditionalFormatting sqref="L1:L3">
    <cfRule type="cellIs" dxfId="4" priority="1" stopIfTrue="1" operator="equal">
      <formula>"na"</formula>
    </cfRule>
  </conditionalFormatting>
  <dataValidations disablePrompts="1" count="1">
    <dataValidation type="textLength" operator="equal" allowBlank="1" showInputMessage="1" showErrorMessage="1" errorTitle="Invalid data!" error="GASB number must be 4 digits." sqref="E7" xr:uid="{00000000-0002-0000-5300-000000000000}">
      <formula1>4</formula1>
    </dataValidation>
  </dataValidations>
  <hyperlinks>
    <hyperlink ref="B1:J1" location="Index!A1" display="Index!A1" xr:uid="{00000000-0004-0000-5300-000000000000}"/>
  </hyperlinks>
  <pageMargins left="0.75" right="0.5" top="0.5" bottom="0.5" header="0.5" footer="0.25"/>
  <pageSetup scale="84" fitToHeight="2" orientation="portrait" r:id="rId3"/>
  <headerFooter alignWithMargins="0">
    <oddFooter>&amp;R&amp;A (&amp;P of &amp;N)</oddFooter>
  </headerFooter>
  <rowBreaks count="1" manualBreakCount="1">
    <brk id="61" max="10"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71"/>
  <dimension ref="A1:W94"/>
  <sheetViews>
    <sheetView showGridLines="0" zoomScaleNormal="100" workbookViewId="0">
      <selection activeCell="B2" sqref="B2:K2"/>
    </sheetView>
  </sheetViews>
  <sheetFormatPr defaultColWidth="9.42578125" defaultRowHeight="12.75" x14ac:dyDescent="0.2"/>
  <cols>
    <col min="1" max="1" width="4.42578125" customWidth="1"/>
    <col min="2" max="2" width="15.42578125" customWidth="1"/>
    <col min="3" max="3" width="21.42578125" customWidth="1"/>
    <col min="4" max="4" width="19.42578125" style="341" customWidth="1"/>
    <col min="5" max="5" width="1.5703125" customWidth="1"/>
    <col min="6" max="6" width="17.5703125" style="341" customWidth="1"/>
    <col min="7" max="7" width="1.42578125" customWidth="1"/>
    <col min="8" max="8" width="15.5703125" customWidth="1"/>
    <col min="9" max="9" width="1.42578125" customWidth="1"/>
    <col min="10" max="10" width="7.5703125" customWidth="1"/>
    <col min="11" max="11" width="1.42578125" customWidth="1"/>
    <col min="12" max="12" width="4.5703125" customWidth="1"/>
  </cols>
  <sheetData>
    <row r="1" spans="1:23" ht="15.75" x14ac:dyDescent="0.25">
      <c r="B1" s="2553" t="str">
        <f>+Index!$A$1</f>
        <v xml:space="preserve">                                                               Office of the State Controller                                                                </v>
      </c>
      <c r="C1" s="2553"/>
      <c r="D1" s="2553"/>
      <c r="E1" s="2553"/>
      <c r="F1" s="2553"/>
      <c r="G1" s="2553"/>
      <c r="H1" s="2553"/>
      <c r="I1" s="2553"/>
      <c r="J1" s="2553"/>
      <c r="K1" s="2553"/>
      <c r="L1" s="2554" t="str">
        <f>IF(Index!$B$114="na","NA","")</f>
        <v/>
      </c>
      <c r="M1" s="2268"/>
      <c r="O1" s="2268"/>
      <c r="P1" s="2268"/>
      <c r="Q1" s="2268"/>
      <c r="R1" s="2268"/>
      <c r="S1" s="2268"/>
      <c r="T1" s="2268"/>
      <c r="U1" s="2268"/>
      <c r="V1" s="2268"/>
    </row>
    <row r="2" spans="1:23" ht="16.5" x14ac:dyDescent="0.3">
      <c r="B2" s="2532" t="str">
        <f>+Index!$A$2</f>
        <v>2024 ACFR Worksheets</v>
      </c>
      <c r="C2" s="2532"/>
      <c r="D2" s="2532"/>
      <c r="E2" s="2532"/>
      <c r="F2" s="2532"/>
      <c r="G2" s="2532"/>
      <c r="H2" s="2532"/>
      <c r="I2" s="2532"/>
      <c r="J2" s="2532"/>
      <c r="K2" s="2532"/>
      <c r="L2" s="2554"/>
      <c r="M2" s="2251"/>
      <c r="O2" s="329"/>
      <c r="P2" s="329"/>
      <c r="Q2" s="329"/>
      <c r="R2" s="329"/>
      <c r="S2" s="329"/>
      <c r="T2" s="329"/>
      <c r="U2" s="329"/>
      <c r="V2" s="329"/>
    </row>
    <row r="3" spans="1:23" ht="16.5" x14ac:dyDescent="0.3">
      <c r="B3" s="3105" t="s">
        <v>4961</v>
      </c>
      <c r="C3" s="3105"/>
      <c r="D3" s="3105"/>
      <c r="E3" s="3105"/>
      <c r="F3" s="3105"/>
      <c r="G3" s="3105"/>
      <c r="H3" s="3105"/>
      <c r="I3" s="3105"/>
      <c r="J3" s="3105"/>
      <c r="K3" s="3105"/>
      <c r="L3" s="2554"/>
      <c r="M3" s="2436"/>
      <c r="O3" s="329"/>
      <c r="P3" s="329"/>
      <c r="Q3" s="329"/>
      <c r="R3" s="329"/>
      <c r="S3" s="329"/>
      <c r="T3" s="329"/>
      <c r="U3" s="329"/>
      <c r="V3" s="329"/>
    </row>
    <row r="4" spans="1:23" x14ac:dyDescent="0.2">
      <c r="A4" s="811" t="s">
        <v>4962</v>
      </c>
      <c r="B4" s="775"/>
      <c r="C4" s="775"/>
      <c r="D4" s="775"/>
      <c r="F4"/>
      <c r="J4" s="212"/>
    </row>
    <row r="5" spans="1:23" s="105" customFormat="1" ht="15" customHeight="1" x14ac:dyDescent="0.2">
      <c r="B5" s="105" t="s">
        <v>318</v>
      </c>
      <c r="C5" s="335" t="s">
        <v>4748</v>
      </c>
      <c r="F5" s="431" t="s">
        <v>320</v>
      </c>
      <c r="G5" s="3099" t="str">
        <f>+CONCATENATE(Index!$E$12," ",Index!$E$14)</f>
        <v xml:space="preserve"> </v>
      </c>
      <c r="H5" s="3099"/>
      <c r="I5" s="3099"/>
      <c r="J5" s="3099"/>
      <c r="K5"/>
      <c r="L5"/>
      <c r="M5"/>
      <c r="O5" s="330"/>
      <c r="W5" s="104"/>
    </row>
    <row r="6" spans="1:23" s="105" customFormat="1" ht="15" customHeight="1" x14ac:dyDescent="0.2">
      <c r="B6" s="105" t="s">
        <v>319</v>
      </c>
      <c r="C6" s="3117" t="s">
        <v>4749</v>
      </c>
      <c r="D6" s="3117"/>
      <c r="F6" s="330"/>
      <c r="G6" s="330"/>
      <c r="O6" s="331"/>
      <c r="P6" s="331"/>
      <c r="Q6" s="331"/>
      <c r="R6" s="331"/>
      <c r="S6" s="331"/>
      <c r="T6" s="331"/>
      <c r="U6" s="331"/>
      <c r="V6" s="106"/>
      <c r="W6" s="104"/>
    </row>
    <row r="7" spans="1:23" s="105" customFormat="1" ht="15" customHeight="1" x14ac:dyDescent="0.2">
      <c r="B7" s="105" t="s">
        <v>545</v>
      </c>
      <c r="C7" s="592" t="s">
        <v>4963</v>
      </c>
      <c r="E7" s="330"/>
      <c r="F7" s="431" t="s">
        <v>168</v>
      </c>
      <c r="H7" s="3099">
        <f>+Index!$E$13</f>
        <v>0</v>
      </c>
      <c r="I7" s="3099"/>
      <c r="J7" s="3099"/>
      <c r="W7" s="104"/>
    </row>
    <row r="8" spans="1:23" s="27" customFormat="1" ht="12" customHeight="1" thickBot="1" x14ac:dyDescent="0.25">
      <c r="B8" s="1523"/>
      <c r="C8" s="1523"/>
      <c r="D8" s="1523"/>
      <c r="E8" s="1523"/>
      <c r="F8" s="1523"/>
      <c r="G8" s="1523"/>
      <c r="H8" s="1523"/>
      <c r="I8" s="1523"/>
      <c r="J8" s="1523"/>
      <c r="K8" s="1523"/>
    </row>
    <row r="9" spans="1:23" x14ac:dyDescent="0.2">
      <c r="D9" s="713" t="s">
        <v>4964</v>
      </c>
      <c r="F9" s="713" t="s">
        <v>4935</v>
      </c>
    </row>
    <row r="10" spans="1:23" ht="12.75" customHeight="1" x14ac:dyDescent="0.25">
      <c r="B10" s="211"/>
      <c r="C10" s="211"/>
      <c r="D10" s="223" t="str">
        <f>CONCATENATE("FY",YEAR(Data!$A$3),"-",YEAR(Data!$A$2))</f>
        <v>FY2023-2024</v>
      </c>
      <c r="E10" s="224"/>
      <c r="F10" s="223" t="str">
        <f>CONCATENATE("FY",YEAR(Data!$A$3)-1,"-",YEAR(Data!$A$2)-1)</f>
        <v>FY2022-2023</v>
      </c>
      <c r="G10" s="225"/>
      <c r="H10" s="223" t="s">
        <v>2414</v>
      </c>
      <c r="I10" s="226"/>
      <c r="J10" s="227" t="s">
        <v>4833</v>
      </c>
      <c r="K10" s="226"/>
    </row>
    <row r="12" spans="1:23" x14ac:dyDescent="0.2">
      <c r="B12" s="2438" t="s">
        <v>555</v>
      </c>
      <c r="C12" s="2442"/>
    </row>
    <row r="13" spans="1:23" ht="13.5" x14ac:dyDescent="0.25">
      <c r="B13" s="2890" t="s">
        <v>1935</v>
      </c>
      <c r="C13" s="2890"/>
      <c r="D13" s="342">
        <f>'906-6C'!J11</f>
        <v>0</v>
      </c>
      <c r="F13" s="451">
        <f>HLOOKUP($C$5,PriorYr906!$J$9:$K$87,3,FALSE)</f>
        <v>0</v>
      </c>
      <c r="H13" s="228">
        <f>D13-F13</f>
        <v>0</v>
      </c>
      <c r="J13" s="229">
        <f>IF(F13=0,0,H13/F13)</f>
        <v>0</v>
      </c>
    </row>
    <row r="14" spans="1:23" ht="13.5" x14ac:dyDescent="0.25">
      <c r="B14" s="1782" t="s">
        <v>4690</v>
      </c>
      <c r="C14" s="2380"/>
      <c r="D14" s="342"/>
      <c r="F14" s="2430"/>
      <c r="H14" s="228"/>
      <c r="J14" s="229"/>
    </row>
    <row r="15" spans="1:23" ht="13.5" x14ac:dyDescent="0.25">
      <c r="B15" s="2890" t="s">
        <v>4691</v>
      </c>
      <c r="C15" s="2890"/>
      <c r="D15" s="341">
        <f>'906-6C'!J13</f>
        <v>0</v>
      </c>
      <c r="F15" s="212">
        <f>HLOOKUP($C$5,PriorYr906!$J$9:$K$87,5,FALSE)</f>
        <v>0</v>
      </c>
      <c r="H15" s="228">
        <f>D15-F15</f>
        <v>0</v>
      </c>
      <c r="J15" s="229">
        <f>IF(F15=0,0,H15/F15)</f>
        <v>0</v>
      </c>
    </row>
    <row r="16" spans="1:23" ht="13.5" x14ac:dyDescent="0.25">
      <c r="B16" s="2890" t="s">
        <v>4936</v>
      </c>
      <c r="C16" s="2890"/>
      <c r="D16" s="341">
        <f>'906-6C'!J14</f>
        <v>0</v>
      </c>
      <c r="F16" s="212">
        <f>HLOOKUP($C$5,PriorYr906!$J$9:$K$87,6,FALSE)</f>
        <v>0</v>
      </c>
      <c r="H16" s="228">
        <f t="shared" ref="H16:H40" si="0">D16-F16</f>
        <v>0</v>
      </c>
      <c r="J16" s="229">
        <f t="shared" ref="J16:J40" si="1">IF(F16=0,0,H16/F16)</f>
        <v>0</v>
      </c>
    </row>
    <row r="17" spans="2:10" ht="13.5" x14ac:dyDescent="0.25">
      <c r="B17" s="2890" t="s">
        <v>4937</v>
      </c>
      <c r="C17" s="2890"/>
      <c r="D17" s="341">
        <f>'906-6C'!J15</f>
        <v>0</v>
      </c>
      <c r="F17" s="212">
        <f>HLOOKUP($C$5,PriorYr906!$J$9:$K$87,7,FALSE)</f>
        <v>0</v>
      </c>
      <c r="H17" s="228">
        <f t="shared" si="0"/>
        <v>0</v>
      </c>
      <c r="J17" s="229">
        <f t="shared" si="1"/>
        <v>0</v>
      </c>
    </row>
    <row r="18" spans="2:10" ht="13.5" x14ac:dyDescent="0.25">
      <c r="B18" s="2890" t="s">
        <v>4695</v>
      </c>
      <c r="C18" s="2890"/>
      <c r="D18" s="341">
        <f>'906-6C'!J16</f>
        <v>0</v>
      </c>
      <c r="F18" s="212">
        <f>HLOOKUP($C$5,PriorYr906!$J$9:$K$87,8,FALSE)</f>
        <v>0</v>
      </c>
      <c r="H18" s="228">
        <f t="shared" si="0"/>
        <v>0</v>
      </c>
      <c r="J18" s="229">
        <f t="shared" si="1"/>
        <v>0</v>
      </c>
    </row>
    <row r="19" spans="2:10" ht="13.5" x14ac:dyDescent="0.25">
      <c r="B19" s="2890" t="s">
        <v>4696</v>
      </c>
      <c r="C19" s="2890"/>
      <c r="D19" s="341">
        <f>'906-6C'!J17</f>
        <v>0</v>
      </c>
      <c r="F19" s="212">
        <f>HLOOKUP($C$5,PriorYr906!$J$9:$K$87,9,FALSE)</f>
        <v>0</v>
      </c>
      <c r="H19" s="228">
        <f t="shared" si="0"/>
        <v>0</v>
      </c>
      <c r="J19" s="229">
        <f t="shared" si="1"/>
        <v>0</v>
      </c>
    </row>
    <row r="20" spans="2:10" ht="13.5" x14ac:dyDescent="0.25">
      <c r="B20" s="2890" t="s">
        <v>4697</v>
      </c>
      <c r="C20" s="2890"/>
      <c r="D20" s="341">
        <f>'906-6C'!J18</f>
        <v>0</v>
      </c>
      <c r="F20" s="212">
        <f>HLOOKUP($C$5,PriorYr906!$J$9:$K$87,10,FALSE)</f>
        <v>0</v>
      </c>
      <c r="H20" s="228">
        <f>D20-F20</f>
        <v>0</v>
      </c>
      <c r="J20" s="229">
        <f>IF(F20=0,0,H20/F20)</f>
        <v>0</v>
      </c>
    </row>
    <row r="21" spans="2:10" ht="13.5" x14ac:dyDescent="0.25">
      <c r="B21" s="2890" t="s">
        <v>4698</v>
      </c>
      <c r="C21" s="2890"/>
      <c r="D21" s="341">
        <f>'906-6C'!J19</f>
        <v>0</v>
      </c>
      <c r="F21" s="212">
        <f>HLOOKUP($C$5,PriorYr906!$J$9:$K$87,11,FALSE)</f>
        <v>0</v>
      </c>
      <c r="H21" s="228">
        <f t="shared" si="0"/>
        <v>0</v>
      </c>
      <c r="J21" s="229">
        <f t="shared" si="1"/>
        <v>0</v>
      </c>
    </row>
    <row r="22" spans="2:10" ht="13.5" x14ac:dyDescent="0.25">
      <c r="B22" s="2890" t="s">
        <v>4699</v>
      </c>
      <c r="C22" s="2890"/>
      <c r="D22" s="341">
        <f>'906-6C'!J20</f>
        <v>0</v>
      </c>
      <c r="F22" s="212">
        <f>HLOOKUP($C$5,PriorYr906!$J$9:$K$87,12,FALSE)</f>
        <v>0</v>
      </c>
      <c r="H22" s="228">
        <f t="shared" si="0"/>
        <v>0</v>
      </c>
      <c r="J22" s="229">
        <f t="shared" si="1"/>
        <v>0</v>
      </c>
    </row>
    <row r="23" spans="2:10" ht="13.5" x14ac:dyDescent="0.25">
      <c r="B23" s="2890" t="s">
        <v>4700</v>
      </c>
      <c r="C23" s="2890"/>
      <c r="D23" s="341">
        <f>'906-6C'!J21</f>
        <v>0</v>
      </c>
      <c r="F23" s="212">
        <f>HLOOKUP($C$5,PriorYr906!$J$9:$K$87,13,FALSE)</f>
        <v>0</v>
      </c>
      <c r="H23" s="228">
        <f t="shared" si="0"/>
        <v>0</v>
      </c>
      <c r="J23" s="229">
        <f t="shared" si="1"/>
        <v>0</v>
      </c>
    </row>
    <row r="24" spans="2:10" ht="13.5" x14ac:dyDescent="0.25">
      <c r="B24" s="2890" t="s">
        <v>4701</v>
      </c>
      <c r="C24" s="2890"/>
      <c r="D24" s="341">
        <f>'906-6C'!J22</f>
        <v>0</v>
      </c>
      <c r="F24" s="212">
        <f>HLOOKUP($C$5,PriorYr906!$J$9:$K$87,14,FALSE)</f>
        <v>0</v>
      </c>
      <c r="H24" s="228">
        <f t="shared" si="0"/>
        <v>0</v>
      </c>
      <c r="J24" s="229">
        <f t="shared" si="1"/>
        <v>0</v>
      </c>
    </row>
    <row r="25" spans="2:10" ht="13.5" x14ac:dyDescent="0.25">
      <c r="B25" s="2890" t="s">
        <v>4702</v>
      </c>
      <c r="C25" s="2890"/>
      <c r="D25" s="341">
        <f>'906-6C'!J23</f>
        <v>0</v>
      </c>
      <c r="F25" s="212">
        <f>HLOOKUP($C$5,PriorYr906!$J$9:$K$87,15,FALSE)</f>
        <v>0</v>
      </c>
      <c r="H25" s="228">
        <f t="shared" si="0"/>
        <v>0</v>
      </c>
      <c r="J25" s="229">
        <f t="shared" si="1"/>
        <v>0</v>
      </c>
    </row>
    <row r="26" spans="2:10" ht="13.5" x14ac:dyDescent="0.25">
      <c r="B26" s="2890" t="s">
        <v>4938</v>
      </c>
      <c r="C26" s="2890"/>
      <c r="D26" s="341">
        <f>'906-6C'!J24</f>
        <v>0</v>
      </c>
      <c r="F26" s="212">
        <f>HLOOKUP($C$5,PriorYr906!$J$9:$K$87,16,FALSE)</f>
        <v>45671920.060000002</v>
      </c>
      <c r="H26" s="228">
        <f t="shared" si="0"/>
        <v>-45671920.060000002</v>
      </c>
      <c r="J26" s="229">
        <f t="shared" si="1"/>
        <v>-1</v>
      </c>
    </row>
    <row r="27" spans="2:10" ht="13.5" x14ac:dyDescent="0.25">
      <c r="B27" s="2890" t="s">
        <v>4705</v>
      </c>
      <c r="C27" s="2890"/>
      <c r="D27" s="341">
        <f>'906-6C'!J25</f>
        <v>0</v>
      </c>
      <c r="F27" s="212">
        <f>HLOOKUP($C$5,PriorYr906!$J$9:$K$87,17,FALSE)</f>
        <v>0</v>
      </c>
      <c r="H27" s="228">
        <f>D27-F27</f>
        <v>0</v>
      </c>
      <c r="J27" s="229">
        <f>IF(F27=0,0,H27/F27)</f>
        <v>0</v>
      </c>
    </row>
    <row r="28" spans="2:10" ht="13.5" x14ac:dyDescent="0.25">
      <c r="B28" s="2890" t="s">
        <v>4706</v>
      </c>
      <c r="C28" s="2890"/>
      <c r="D28" s="341">
        <f>'906-6C'!J26</f>
        <v>0</v>
      </c>
      <c r="F28" s="212">
        <f>HLOOKUP($C$5,PriorYr906!$J$9:$K$87,18,FALSE)</f>
        <v>215589809.46000001</v>
      </c>
      <c r="H28" s="228">
        <f>D28-F28</f>
        <v>-215589809.46000001</v>
      </c>
      <c r="J28" s="229">
        <f>IF(F28=0,0,H28/F28)</f>
        <v>-1</v>
      </c>
    </row>
    <row r="29" spans="2:10" ht="13.5" x14ac:dyDescent="0.25">
      <c r="B29" s="2890" t="s">
        <v>4708</v>
      </c>
      <c r="C29" s="2890"/>
      <c r="D29" s="341">
        <f>'906-6C'!J27</f>
        <v>0</v>
      </c>
      <c r="F29" s="212">
        <f>HLOOKUP($C$5,PriorYr906!$J$9:$K$87,19,FALSE)</f>
        <v>1822168204.24</v>
      </c>
      <c r="H29" s="228">
        <f>D29-F29</f>
        <v>-1822168204.24</v>
      </c>
      <c r="J29" s="229">
        <f>IF(F29=0,0,H29/F29)</f>
        <v>-1</v>
      </c>
    </row>
    <row r="30" spans="2:10" ht="13.5" x14ac:dyDescent="0.25">
      <c r="B30" s="2890" t="s">
        <v>4939</v>
      </c>
      <c r="C30" s="2890"/>
      <c r="D30" s="341">
        <f>'906-6C'!J28</f>
        <v>0</v>
      </c>
      <c r="F30" s="212">
        <f>HLOOKUP($C$5,PriorYr906!$J$9:$K$87,20,FALSE)</f>
        <v>10115062576.940001</v>
      </c>
      <c r="H30" s="228">
        <f>D30-F30</f>
        <v>-10115062576.940001</v>
      </c>
      <c r="J30" s="229">
        <f>IF(F30=0,0,H30/F30)</f>
        <v>-1</v>
      </c>
    </row>
    <row r="31" spans="2:10" ht="13.5" x14ac:dyDescent="0.25">
      <c r="B31" s="2890" t="s">
        <v>3040</v>
      </c>
      <c r="C31" s="2890"/>
      <c r="D31" s="341">
        <f>'906-6C'!J29</f>
        <v>0</v>
      </c>
      <c r="F31" s="212">
        <f>HLOOKUP($C$5,PriorYr906!$J$9:$K$87,21,FALSE)</f>
        <v>0</v>
      </c>
      <c r="H31" s="228">
        <f>D31-F31</f>
        <v>0</v>
      </c>
      <c r="J31" s="229">
        <f>IF(F31=0,0,H31/F31)</f>
        <v>0</v>
      </c>
    </row>
    <row r="32" spans="2:10" ht="13.5" x14ac:dyDescent="0.25">
      <c r="B32" s="1782" t="s">
        <v>2741</v>
      </c>
      <c r="C32" s="2380"/>
      <c r="F32" s="212">
        <f>HLOOKUP($C$5,PriorYr906!$J$9:$K$87,22,FALSE)</f>
        <v>0</v>
      </c>
      <c r="H32" s="228"/>
      <c r="J32" s="229"/>
    </row>
    <row r="33" spans="2:10" ht="13.5" x14ac:dyDescent="0.25">
      <c r="B33" s="3106" t="s">
        <v>3175</v>
      </c>
      <c r="C33" s="3106"/>
      <c r="D33" s="341">
        <f>'906-6C'!J31</f>
        <v>0</v>
      </c>
      <c r="F33" s="212">
        <f>HLOOKUP($C$5,PriorYr906!$J$9:$K$87,23,FALSE)</f>
        <v>1186.8900000000001</v>
      </c>
      <c r="H33" s="228">
        <f t="shared" si="0"/>
        <v>-1186.8900000000001</v>
      </c>
      <c r="J33" s="229">
        <f t="shared" si="1"/>
        <v>-1</v>
      </c>
    </row>
    <row r="34" spans="2:10" ht="13.5" x14ac:dyDescent="0.25">
      <c r="B34" s="3116" t="s">
        <v>2744</v>
      </c>
      <c r="C34" s="3116"/>
      <c r="D34" s="341">
        <f>'906-6C'!J32</f>
        <v>0</v>
      </c>
      <c r="F34" s="212">
        <f>HLOOKUP($C$5,PriorYr906!$J$9:$K$87,24,FALSE)</f>
        <v>0</v>
      </c>
      <c r="H34" s="228">
        <f t="shared" si="0"/>
        <v>0</v>
      </c>
      <c r="J34" s="229">
        <f t="shared" si="1"/>
        <v>0</v>
      </c>
    </row>
    <row r="35" spans="2:10" ht="13.5" x14ac:dyDescent="0.25">
      <c r="B35" s="3116" t="s">
        <v>3183</v>
      </c>
      <c r="C35" s="3116"/>
      <c r="D35" s="341">
        <f>'906-6C'!J33</f>
        <v>0</v>
      </c>
      <c r="F35" s="212">
        <f>HLOOKUP($C$5,PriorYr906!$J$9:$K$87,25,FALSE)</f>
        <v>9477585.5500000007</v>
      </c>
      <c r="H35" s="228">
        <f t="shared" si="0"/>
        <v>-9477585.5500000007</v>
      </c>
      <c r="J35" s="229">
        <f t="shared" si="1"/>
        <v>-1</v>
      </c>
    </row>
    <row r="36" spans="2:10" ht="13.5" x14ac:dyDescent="0.25">
      <c r="B36" s="2890" t="s">
        <v>2752</v>
      </c>
      <c r="C36" s="2890"/>
      <c r="D36" s="341">
        <f>'906-6C'!J34</f>
        <v>0</v>
      </c>
      <c r="F36" s="212">
        <f>HLOOKUP($C$5,PriorYr906!$J$9:$K$87,26,FALSE)</f>
        <v>248839531.59</v>
      </c>
      <c r="H36" s="228">
        <f t="shared" si="0"/>
        <v>-248839531.59</v>
      </c>
      <c r="J36" s="229">
        <f t="shared" si="1"/>
        <v>-1</v>
      </c>
    </row>
    <row r="37" spans="2:10" ht="13.5" x14ac:dyDescent="0.25">
      <c r="B37" s="2890" t="s">
        <v>2750</v>
      </c>
      <c r="C37" s="2890"/>
      <c r="D37" s="341">
        <f>'906-6C'!J35</f>
        <v>0</v>
      </c>
      <c r="F37" s="212">
        <f>HLOOKUP($C$5,PriorYr906!$J$9:$K$87,27,FALSE)</f>
        <v>0</v>
      </c>
      <c r="H37" s="228">
        <f t="shared" si="0"/>
        <v>0</v>
      </c>
      <c r="J37" s="229">
        <f t="shared" si="1"/>
        <v>0</v>
      </c>
    </row>
    <row r="38" spans="2:10" ht="13.5" x14ac:dyDescent="0.25">
      <c r="B38" s="2890" t="s">
        <v>4714</v>
      </c>
      <c r="C38" s="2890"/>
      <c r="D38" s="341">
        <f>'906-6C'!J36</f>
        <v>0</v>
      </c>
      <c r="F38" s="212">
        <f>HLOOKUP($C$5,PriorYr906!$J$9:$K$87,28,FALSE)</f>
        <v>0</v>
      </c>
      <c r="H38" s="228">
        <f t="shared" si="0"/>
        <v>0</v>
      </c>
      <c r="J38" s="229">
        <f t="shared" si="1"/>
        <v>0</v>
      </c>
    </row>
    <row r="39" spans="2:10" ht="13.5" x14ac:dyDescent="0.25">
      <c r="B39" s="2890" t="s">
        <v>4773</v>
      </c>
      <c r="C39" s="2890"/>
      <c r="D39" s="341">
        <f>'906-6C'!J37</f>
        <v>0</v>
      </c>
      <c r="F39" s="212">
        <f>HLOOKUP($C$5,PriorYr906!$J$9:$K$87,29,FALSE)</f>
        <v>0</v>
      </c>
      <c r="H39" s="228">
        <f t="shared" si="0"/>
        <v>0</v>
      </c>
      <c r="J39" s="229">
        <f t="shared" si="1"/>
        <v>0</v>
      </c>
    </row>
    <row r="40" spans="2:10" ht="13.5" x14ac:dyDescent="0.25">
      <c r="B40" s="2890" t="s">
        <v>4940</v>
      </c>
      <c r="C40" s="2890"/>
      <c r="D40" s="341">
        <f>'906-6C'!J38</f>
        <v>0</v>
      </c>
      <c r="F40" s="212">
        <f>HLOOKUP($C$5,PriorYr906!$J$9:$K$87,30,FALSE)</f>
        <v>0</v>
      </c>
      <c r="H40" s="228">
        <f t="shared" si="0"/>
        <v>0</v>
      </c>
      <c r="J40" s="229">
        <f t="shared" si="1"/>
        <v>0</v>
      </c>
    </row>
    <row r="41" spans="2:10" ht="13.5" x14ac:dyDescent="0.25">
      <c r="B41" s="2890" t="s">
        <v>1769</v>
      </c>
      <c r="C41" s="2890"/>
      <c r="D41" s="217">
        <f>SUM(D13:D40)</f>
        <v>0</v>
      </c>
      <c r="F41" s="379">
        <f>SUM(F12:F40)</f>
        <v>12456810814.73</v>
      </c>
      <c r="H41" s="228"/>
      <c r="J41" s="229"/>
    </row>
    <row r="42" spans="2:10" x14ac:dyDescent="0.2">
      <c r="B42" s="2442"/>
      <c r="C42" s="2442"/>
      <c r="F42" s="2380"/>
    </row>
    <row r="43" spans="2:10" x14ac:dyDescent="0.2">
      <c r="B43" s="2442" t="s">
        <v>4863</v>
      </c>
      <c r="C43" s="2442"/>
      <c r="F43" s="2380"/>
    </row>
    <row r="44" spans="2:10" x14ac:dyDescent="0.2">
      <c r="B44" s="170" t="s">
        <v>2797</v>
      </c>
      <c r="C44" s="170"/>
      <c r="F44" s="2380"/>
    </row>
    <row r="45" spans="2:10" ht="13.5" x14ac:dyDescent="0.25">
      <c r="B45" s="3116" t="s">
        <v>2835</v>
      </c>
      <c r="C45" s="3116"/>
      <c r="D45" s="341">
        <f>'906-6C'!J43</f>
        <v>0</v>
      </c>
      <c r="F45" s="212">
        <f>HLOOKUP($C$5,PriorYr906!$J$9:$K$87,35,FALSE)</f>
        <v>898673.59</v>
      </c>
      <c r="H45" s="228">
        <f t="shared" ref="H45:H53" si="2">D45-F45</f>
        <v>-898673.59</v>
      </c>
      <c r="J45" s="229">
        <f t="shared" ref="J45:J53" si="3">IF(F45=0,0,H45/F45)</f>
        <v>-1</v>
      </c>
    </row>
    <row r="46" spans="2:10" ht="13.5" x14ac:dyDescent="0.25">
      <c r="B46" s="3116" t="s">
        <v>2800</v>
      </c>
      <c r="C46" s="3116"/>
      <c r="D46" s="341">
        <f>'906-6C'!J44</f>
        <v>0</v>
      </c>
      <c r="F46" s="212">
        <f>HLOOKUP($C$5,PriorYr906!$J$9:$K$87,36,FALSE)</f>
        <v>0</v>
      </c>
      <c r="H46" s="228">
        <f t="shared" si="2"/>
        <v>0</v>
      </c>
      <c r="J46" s="229">
        <f t="shared" si="3"/>
        <v>0</v>
      </c>
    </row>
    <row r="47" spans="2:10" ht="13.5" x14ac:dyDescent="0.25">
      <c r="B47" s="3116" t="s">
        <v>4717</v>
      </c>
      <c r="C47" s="3116"/>
      <c r="D47" s="341">
        <f>'906-6C'!J45</f>
        <v>0</v>
      </c>
      <c r="F47" s="212">
        <f>HLOOKUP($C$5,PriorYr906!$J$9:$K$87,37,FALSE)</f>
        <v>0</v>
      </c>
      <c r="H47" s="228">
        <f t="shared" si="2"/>
        <v>0</v>
      </c>
      <c r="J47" s="229">
        <f t="shared" si="3"/>
        <v>0</v>
      </c>
    </row>
    <row r="48" spans="2:10" ht="13.5" x14ac:dyDescent="0.25">
      <c r="B48" s="2890" t="s">
        <v>2814</v>
      </c>
      <c r="C48" s="2890"/>
      <c r="D48" s="341">
        <f>'906-6C'!J46</f>
        <v>0</v>
      </c>
      <c r="F48" s="212">
        <f>HLOOKUP($C$5,PriorYr906!$J$9:$K$87,38,FALSE)</f>
        <v>0</v>
      </c>
      <c r="H48" s="228">
        <f>D48-F48</f>
        <v>0</v>
      </c>
      <c r="J48" s="229">
        <f>IF(F48=0,0,H48/F48)</f>
        <v>0</v>
      </c>
    </row>
    <row r="49" spans="2:10" ht="13.5" x14ac:dyDescent="0.25">
      <c r="B49" s="2890" t="s">
        <v>2812</v>
      </c>
      <c r="C49" s="2890"/>
      <c r="D49" s="341">
        <f>'906-6C'!J47</f>
        <v>0</v>
      </c>
      <c r="F49" s="212">
        <f>HLOOKUP($C$5,PriorYr906!$J$9:$K$87,39,FALSE)</f>
        <v>0</v>
      </c>
      <c r="H49" s="228">
        <f t="shared" si="2"/>
        <v>0</v>
      </c>
      <c r="J49" s="229">
        <f t="shared" si="3"/>
        <v>0</v>
      </c>
    </row>
    <row r="50" spans="2:10" ht="13.5" x14ac:dyDescent="0.25">
      <c r="B50" s="2890" t="s">
        <v>2815</v>
      </c>
      <c r="C50" s="2890"/>
      <c r="D50" s="341">
        <f>'906-6C'!J48</f>
        <v>0</v>
      </c>
      <c r="F50" s="212">
        <f>HLOOKUP($C$5,PriorYr906!$J$9:$K$87,40,FALSE)</f>
        <v>0</v>
      </c>
      <c r="H50" s="228">
        <f t="shared" si="2"/>
        <v>0</v>
      </c>
      <c r="J50" s="229">
        <f t="shared" si="3"/>
        <v>0</v>
      </c>
    </row>
    <row r="51" spans="2:10" ht="13.5" x14ac:dyDescent="0.25">
      <c r="B51" s="2890" t="s">
        <v>2816</v>
      </c>
      <c r="C51" s="2890"/>
      <c r="D51" s="341">
        <f>'906-6C'!J49</f>
        <v>0</v>
      </c>
      <c r="F51" s="212">
        <f>HLOOKUP($C$5,PriorYr906!$J$9:$K$87,41,FALSE)</f>
        <v>0</v>
      </c>
      <c r="H51" s="228">
        <f t="shared" si="2"/>
        <v>0</v>
      </c>
      <c r="J51" s="229">
        <f t="shared" si="3"/>
        <v>0</v>
      </c>
    </row>
    <row r="52" spans="2:10" ht="13.5" x14ac:dyDescent="0.25">
      <c r="B52" s="2890" t="s">
        <v>1071</v>
      </c>
      <c r="C52" s="2890"/>
      <c r="D52" s="341">
        <f>'906-6C'!J50</f>
        <v>0</v>
      </c>
      <c r="F52" s="212">
        <f>HLOOKUP($C$5,PriorYr906!$J$9:$K$87,42,FALSE)</f>
        <v>0</v>
      </c>
      <c r="H52" s="228">
        <f t="shared" si="2"/>
        <v>0</v>
      </c>
      <c r="J52" s="229">
        <f t="shared" si="3"/>
        <v>0</v>
      </c>
    </row>
    <row r="53" spans="2:10" ht="13.5" x14ac:dyDescent="0.25">
      <c r="B53" s="2890" t="s">
        <v>1774</v>
      </c>
      <c r="C53" s="2890"/>
      <c r="D53" s="217">
        <f>SUM(D45:D52)</f>
        <v>0</v>
      </c>
      <c r="F53" s="379">
        <f>SUM(F44:F52)</f>
        <v>898673.59</v>
      </c>
      <c r="H53" s="228">
        <f t="shared" si="2"/>
        <v>-898673.59</v>
      </c>
      <c r="J53" s="229">
        <f t="shared" si="3"/>
        <v>-1</v>
      </c>
    </row>
    <row r="54" spans="2:10" ht="13.5" x14ac:dyDescent="0.25">
      <c r="B54" s="2380"/>
      <c r="C54" s="2380"/>
      <c r="F54" s="2440"/>
      <c r="H54" s="228"/>
      <c r="J54" s="229"/>
    </row>
    <row r="55" spans="2:10" ht="13.5" x14ac:dyDescent="0.25">
      <c r="B55" s="213" t="s">
        <v>1673</v>
      </c>
      <c r="C55" s="213"/>
      <c r="D55" s="339"/>
      <c r="E55" s="224"/>
      <c r="F55" s="2440"/>
      <c r="G55" s="225"/>
      <c r="H55" s="339"/>
      <c r="I55" s="226"/>
      <c r="J55" s="340"/>
    </row>
    <row r="56" spans="2:10" ht="13.5" x14ac:dyDescent="0.25">
      <c r="B56" s="170" t="s">
        <v>4941</v>
      </c>
      <c r="C56" s="170"/>
      <c r="H56" s="228"/>
      <c r="J56" s="229"/>
    </row>
    <row r="57" spans="2:10" ht="13.5" x14ac:dyDescent="0.25">
      <c r="B57" s="3116" t="s">
        <v>4942</v>
      </c>
      <c r="C57" s="3116"/>
      <c r="D57" s="341">
        <f>'906-6C'!J55</f>
        <v>0</v>
      </c>
      <c r="F57" s="212">
        <f>HLOOKUP($C$5,PriorYr906!$J$9:$K$87,47,FALSE)</f>
        <v>12455912141.139999</v>
      </c>
      <c r="H57" s="228">
        <f>D57-F57</f>
        <v>-12455912141.139999</v>
      </c>
      <c r="J57" s="229">
        <f>IF(F57=0,0,H57/F57)</f>
        <v>-1</v>
      </c>
    </row>
    <row r="58" spans="2:10" ht="14.25" thickBot="1" x14ac:dyDescent="0.3">
      <c r="B58" s="2890" t="s">
        <v>1641</v>
      </c>
      <c r="C58" s="2890"/>
      <c r="D58" s="220">
        <f>SUM(D56:D57)</f>
        <v>0</v>
      </c>
      <c r="F58" s="380">
        <f>SUM(F55:F57)</f>
        <v>12455912141.139999</v>
      </c>
      <c r="H58" s="228"/>
      <c r="J58" s="229"/>
    </row>
    <row r="59" spans="2:10" ht="14.25" thickTop="1" x14ac:dyDescent="0.25">
      <c r="B59" s="2380"/>
      <c r="C59" s="2380"/>
      <c r="F59" s="2380"/>
      <c r="H59" s="228"/>
      <c r="J59" s="229"/>
    </row>
    <row r="60" spans="2:10" x14ac:dyDescent="0.2">
      <c r="B60" s="170" t="s">
        <v>4898</v>
      </c>
      <c r="C60" s="170"/>
      <c r="D60" s="221" t="str">
        <f>IF(D41-D53=D58,"In Bal.","NOT BALANCED")</f>
        <v>In Bal.</v>
      </c>
      <c r="F60" s="221" t="str">
        <f>IF(F41-F53=F58,"In Bal.","NOT BALANCED")</f>
        <v>In Bal.</v>
      </c>
    </row>
    <row r="61" spans="2:10" x14ac:dyDescent="0.2">
      <c r="B61" s="344"/>
      <c r="C61" s="344"/>
      <c r="D61" s="345"/>
    </row>
    <row r="62" spans="2:10" x14ac:dyDescent="0.2">
      <c r="B62" s="222" t="s">
        <v>4721</v>
      </c>
      <c r="C62" s="222"/>
      <c r="D62" s="2409" t="str">
        <f>CONCATENATE("FYE ",+TEXT(Data!$A$2,"mmmm d,yyyy"))</f>
        <v>FYE June 30,2024</v>
      </c>
      <c r="F62" s="2419" t="str">
        <f>CONCATENATE("FYE ",+TEXT(Data!$A$4,"mmmm d,yyyy"))</f>
        <v>FYE June 30,2023</v>
      </c>
    </row>
    <row r="63" spans="2:10" x14ac:dyDescent="0.2">
      <c r="B63" s="1785" t="s">
        <v>1850</v>
      </c>
      <c r="C63" s="222"/>
      <c r="F63" s="2380"/>
    </row>
    <row r="64" spans="2:10" ht="13.5" x14ac:dyDescent="0.25">
      <c r="B64" s="2890" t="s">
        <v>4943</v>
      </c>
      <c r="C64" s="2890"/>
      <c r="D64" s="342">
        <f>'906-6C'!J62</f>
        <v>0</v>
      </c>
      <c r="F64" s="451">
        <f>HLOOKUP($C$5,PriorYr906!$J$9:$K$87,54,FALSE)</f>
        <v>272983082.57999998</v>
      </c>
      <c r="H64" s="228">
        <f>D64-F64</f>
        <v>-272983082.57999998</v>
      </c>
      <c r="J64" s="229">
        <f>IF(F64=0,0,H64/F64)</f>
        <v>-1</v>
      </c>
    </row>
    <row r="65" spans="2:10" ht="13.5" x14ac:dyDescent="0.25">
      <c r="B65" s="2890" t="s">
        <v>4944</v>
      </c>
      <c r="C65" s="2890"/>
      <c r="D65" s="341">
        <f>'906-6C'!J63</f>
        <v>0</v>
      </c>
      <c r="F65" s="212">
        <f>HLOOKUP($C$5,PriorYr906!$J$9:$K$87,55,FALSE)</f>
        <v>467360428.25999999</v>
      </c>
      <c r="H65" s="228">
        <f>D65-F65</f>
        <v>-467360428.25999999</v>
      </c>
      <c r="J65" s="229">
        <f>IF(F65=0,0,H65/F65)</f>
        <v>-1</v>
      </c>
    </row>
    <row r="66" spans="2:10" ht="13.5" x14ac:dyDescent="0.25">
      <c r="B66" s="2890" t="s">
        <v>4945</v>
      </c>
      <c r="C66" s="2890"/>
      <c r="D66" s="341">
        <f>'906-6C'!J64</f>
        <v>0</v>
      </c>
      <c r="F66" s="212">
        <f>HLOOKUP($C$5,PriorYr906!$J$9:$K$87,56,FALSE)</f>
        <v>0</v>
      </c>
      <c r="H66" s="228">
        <f>D66-F66</f>
        <v>0</v>
      </c>
      <c r="J66" s="229">
        <f>IF(F66=0,0,H66/F66)</f>
        <v>0</v>
      </c>
    </row>
    <row r="67" spans="2:10" ht="13.5" x14ac:dyDescent="0.25">
      <c r="B67" s="2890" t="s">
        <v>4946</v>
      </c>
      <c r="C67" s="2890"/>
      <c r="D67" s="343">
        <f>'906-6C'!J65</f>
        <v>0</v>
      </c>
      <c r="F67" s="212">
        <f>HLOOKUP($C$5,PriorYr906!$J$9:$K$87,57,FALSE)</f>
        <v>0</v>
      </c>
      <c r="H67" s="228">
        <f>D67-F67</f>
        <v>0</v>
      </c>
      <c r="J67" s="229">
        <f>IF(F67=0,0,H67/F67)</f>
        <v>0</v>
      </c>
    </row>
    <row r="68" spans="2:10" ht="13.5" x14ac:dyDescent="0.25">
      <c r="B68" s="2890" t="s">
        <v>4947</v>
      </c>
      <c r="C68" s="2890"/>
      <c r="D68" s="217">
        <f>SUM(D64:D67)</f>
        <v>0</v>
      </c>
      <c r="F68" s="379">
        <f>SUM(F64:F67)</f>
        <v>740343510.84000003</v>
      </c>
      <c r="H68" s="228">
        <f>D68-F68</f>
        <v>-740343510.84000003</v>
      </c>
      <c r="J68" s="229">
        <f>IF(F68=0,0,H68/F68)</f>
        <v>-1</v>
      </c>
    </row>
    <row r="69" spans="2:10" ht="13.5" x14ac:dyDescent="0.25">
      <c r="B69" s="1785" t="s">
        <v>4727</v>
      </c>
      <c r="C69" s="2380"/>
      <c r="F69" s="2380"/>
      <c r="H69" s="228"/>
      <c r="J69" s="229"/>
    </row>
    <row r="70" spans="2:10" ht="13.5" x14ac:dyDescent="0.25">
      <c r="B70" s="2890" t="s">
        <v>4948</v>
      </c>
      <c r="C70" s="2890"/>
      <c r="D70" s="341">
        <f>'906-6C'!J68</f>
        <v>0</v>
      </c>
      <c r="F70" s="212">
        <f>HLOOKUP($C$5,PriorYr906!$J$9:$K$87,60,FALSE)</f>
        <v>-2142423593.6700001</v>
      </c>
      <c r="H70" s="228">
        <f>D70-F70</f>
        <v>2142423593.6700001</v>
      </c>
      <c r="J70" s="229">
        <f>IF(F70=0,0,H70/F70)</f>
        <v>-1</v>
      </c>
    </row>
    <row r="71" spans="2:10" ht="13.5" x14ac:dyDescent="0.25">
      <c r="B71" s="2890" t="s">
        <v>4949</v>
      </c>
      <c r="C71" s="2890"/>
      <c r="D71" s="343">
        <f>'906-6C'!J69</f>
        <v>0</v>
      </c>
      <c r="F71" s="212">
        <f>HLOOKUP($C$5,PriorYr906!$J$9:$K$87,61,FALSE)</f>
        <v>-18039119.550000001</v>
      </c>
      <c r="H71" s="228">
        <f>D71-F71</f>
        <v>18039119.550000001</v>
      </c>
      <c r="J71" s="229">
        <f>IF(F71=0,0,H71/F71)</f>
        <v>-1</v>
      </c>
    </row>
    <row r="72" spans="2:10" ht="13.5" x14ac:dyDescent="0.25">
      <c r="B72" s="2890" t="s">
        <v>4950</v>
      </c>
      <c r="C72" s="2890"/>
      <c r="D72" s="217">
        <f>SUM(D70:D71)</f>
        <v>0</v>
      </c>
      <c r="F72" s="379">
        <f>SUM(F70:F71)</f>
        <v>-2160462713.2199998</v>
      </c>
      <c r="H72" s="228">
        <f>D72-F72</f>
        <v>2160462713.2199998</v>
      </c>
      <c r="J72" s="229">
        <f>IF(F72=0,0,H72/F72)</f>
        <v>-1</v>
      </c>
    </row>
    <row r="73" spans="2:10" ht="13.5" x14ac:dyDescent="0.25">
      <c r="B73" s="1785" t="s">
        <v>1853</v>
      </c>
      <c r="C73" s="2380"/>
      <c r="F73" s="2440"/>
      <c r="H73" s="228"/>
      <c r="J73" s="229"/>
    </row>
    <row r="74" spans="2:10" ht="13.5" x14ac:dyDescent="0.25">
      <c r="B74" s="2890" t="s">
        <v>4951</v>
      </c>
      <c r="C74" s="2890"/>
      <c r="D74" s="341">
        <f>'906-6C'!J72</f>
        <v>0</v>
      </c>
      <c r="F74" s="212">
        <f>HLOOKUP($C$5,PriorYr906!$J$9:$K$87,64,FALSE)</f>
        <v>0</v>
      </c>
      <c r="H74" s="228">
        <f>D74-F74</f>
        <v>0</v>
      </c>
      <c r="J74" s="229">
        <f>IF(F74=0,0,H74/F74)</f>
        <v>0</v>
      </c>
    </row>
    <row r="75" spans="2:10" ht="13.5" x14ac:dyDescent="0.25">
      <c r="B75" s="2890" t="s">
        <v>4952</v>
      </c>
      <c r="C75" s="2890"/>
      <c r="D75" s="341">
        <f>'906-6C'!J73</f>
        <v>0</v>
      </c>
      <c r="F75" s="212">
        <f>HLOOKUP($C$5,PriorYr906!$J$9:$K$87,65,FALSE)</f>
        <v>12172512.24</v>
      </c>
      <c r="H75" s="228">
        <f>D75-F75</f>
        <v>-12172512.24</v>
      </c>
      <c r="J75" s="229">
        <f>IF(F75=0,0,H75/F75)</f>
        <v>-1</v>
      </c>
    </row>
    <row r="76" spans="2:10" ht="13.5" x14ac:dyDescent="0.25">
      <c r="B76" s="2890" t="s">
        <v>4953</v>
      </c>
      <c r="C76" s="2890"/>
      <c r="D76" s="343">
        <f>'906-6C'!J74</f>
        <v>0</v>
      </c>
      <c r="F76" s="212">
        <f>HLOOKUP($C$5,PriorYr906!$J$9:$K$87,66,FALSE)</f>
        <v>2357541.35</v>
      </c>
      <c r="H76" s="228">
        <f>D76-F76</f>
        <v>-2357541.35</v>
      </c>
      <c r="J76" s="229">
        <f>IF(F76=0,0,H76/F76)</f>
        <v>-1</v>
      </c>
    </row>
    <row r="77" spans="2:10" ht="13.5" x14ac:dyDescent="0.25">
      <c r="B77" s="2890" t="s">
        <v>4954</v>
      </c>
      <c r="C77" s="2890"/>
      <c r="D77" s="346">
        <f>SUM(D74:D76)</f>
        <v>0</v>
      </c>
      <c r="F77" s="379">
        <f>SUM(F74:F76)</f>
        <v>14530053.59</v>
      </c>
      <c r="H77" s="228"/>
      <c r="J77" s="229"/>
    </row>
    <row r="78" spans="2:10" ht="13.5" x14ac:dyDescent="0.25">
      <c r="B78" s="2890" t="s">
        <v>1854</v>
      </c>
      <c r="C78" s="2890"/>
      <c r="D78" s="217">
        <f>D68+D72+D77</f>
        <v>0</v>
      </c>
      <c r="F78" s="379">
        <f>F68+F72+F77</f>
        <v>-1405589148.79</v>
      </c>
      <c r="H78" s="228">
        <f>D78-F78</f>
        <v>1405589148.79</v>
      </c>
      <c r="J78" s="229">
        <f>IF(F78=0,0,H78/F78)</f>
        <v>-1</v>
      </c>
    </row>
    <row r="79" spans="2:10" ht="13.5" x14ac:dyDescent="0.25">
      <c r="B79" s="2380"/>
      <c r="C79" s="2380"/>
      <c r="D79" s="346"/>
      <c r="F79" s="2380"/>
      <c r="H79" s="228"/>
      <c r="J79" s="229"/>
    </row>
    <row r="80" spans="2:10" ht="13.5" x14ac:dyDescent="0.25">
      <c r="B80" s="222" t="s">
        <v>4735</v>
      </c>
      <c r="C80" s="222"/>
      <c r="F80" s="2380"/>
      <c r="H80" s="228"/>
      <c r="J80" s="229"/>
    </row>
    <row r="81" spans="2:10" ht="13.5" x14ac:dyDescent="0.25">
      <c r="B81" s="2890" t="s">
        <v>2885</v>
      </c>
      <c r="C81" s="2890"/>
      <c r="D81" s="341">
        <f>'906-6C'!J79</f>
        <v>0</v>
      </c>
      <c r="F81" s="212">
        <f>HLOOKUP($C$5,PriorYr906!$J$9:$K$87,71,FALSE)</f>
        <v>793315810.44000006</v>
      </c>
      <c r="H81" s="228">
        <f t="shared" ref="H81:H88" si="4">D81-F81</f>
        <v>-793315810.44000006</v>
      </c>
      <c r="J81" s="229">
        <f>IF(F81=0,0,H81/F81)</f>
        <v>-1</v>
      </c>
    </row>
    <row r="82" spans="2:10" ht="13.5" x14ac:dyDescent="0.25">
      <c r="B82" s="2890" t="s">
        <v>4328</v>
      </c>
      <c r="C82" s="2890"/>
      <c r="D82" s="341">
        <f>'906-6C'!J80</f>
        <v>0</v>
      </c>
      <c r="F82" s="212">
        <f>HLOOKUP($C$5,PriorYr906!$J$9:$K$87,72,FALSE)</f>
        <v>0</v>
      </c>
      <c r="H82" s="228">
        <f t="shared" si="4"/>
        <v>0</v>
      </c>
      <c r="J82" s="229">
        <f t="shared" ref="J82:J88" si="5">IF(F82=0,0,H82/F82)</f>
        <v>0</v>
      </c>
    </row>
    <row r="83" spans="2:10" ht="13.5" x14ac:dyDescent="0.25">
      <c r="B83" s="2890" t="s">
        <v>4736</v>
      </c>
      <c r="C83" s="2890"/>
      <c r="D83" s="341">
        <f>'906-6C'!J81</f>
        <v>0</v>
      </c>
      <c r="F83" s="212">
        <f>HLOOKUP($C$5,PriorYr906!$J$9:$K$87,73,FALSE)</f>
        <v>9196169.4399999995</v>
      </c>
      <c r="H83" s="228">
        <f t="shared" si="4"/>
        <v>-9196169.4399999995</v>
      </c>
      <c r="J83" s="229">
        <f t="shared" si="5"/>
        <v>-1</v>
      </c>
    </row>
    <row r="84" spans="2:10" ht="13.5" x14ac:dyDescent="0.25">
      <c r="B84" s="2890" t="s">
        <v>4738</v>
      </c>
      <c r="C84" s="2890"/>
      <c r="D84" s="343">
        <f>'906-6C'!J82</f>
        <v>0</v>
      </c>
      <c r="F84" s="212">
        <f>HLOOKUP($C$5,PriorYr906!$J$9:$K$87,74,FALSE)</f>
        <v>0</v>
      </c>
      <c r="H84" s="228">
        <f t="shared" si="4"/>
        <v>0</v>
      </c>
      <c r="J84" s="229">
        <f t="shared" si="5"/>
        <v>0</v>
      </c>
    </row>
    <row r="85" spans="2:10" ht="13.5" x14ac:dyDescent="0.25">
      <c r="B85" s="2890" t="s">
        <v>4739</v>
      </c>
      <c r="C85" s="2890"/>
      <c r="D85" s="219">
        <f>SUM(D81:D84)</f>
        <v>0</v>
      </c>
      <c r="F85" s="379">
        <f>SUM(F81:F84)</f>
        <v>802511979.88</v>
      </c>
      <c r="H85" s="228">
        <f t="shared" si="4"/>
        <v>-802511979.88</v>
      </c>
      <c r="J85" s="229">
        <f t="shared" si="5"/>
        <v>-1</v>
      </c>
    </row>
    <row r="86" spans="2:10" ht="13.5" x14ac:dyDescent="0.25">
      <c r="B86" s="2890" t="s">
        <v>4965</v>
      </c>
      <c r="C86" s="2890"/>
      <c r="D86" s="731">
        <f>D78-D85</f>
        <v>0</v>
      </c>
      <c r="F86" s="731">
        <f>F78-F85</f>
        <v>-2208101128.6700001</v>
      </c>
      <c r="H86" s="228">
        <f t="shared" si="4"/>
        <v>2208101128.6700001</v>
      </c>
      <c r="J86" s="229">
        <f t="shared" si="5"/>
        <v>-1</v>
      </c>
    </row>
    <row r="87" spans="2:10" ht="13.5" x14ac:dyDescent="0.25">
      <c r="B87" s="2890" t="s">
        <v>4956</v>
      </c>
      <c r="C87" s="2890"/>
      <c r="D87" s="591">
        <f>'906-6C'!J85</f>
        <v>12455912141.139999</v>
      </c>
      <c r="F87" s="591">
        <f>HLOOKUP($C$5,PriorYr906!$J$9:$K$87,77,FALSE)</f>
        <v>14664013269.809999</v>
      </c>
      <c r="H87" s="228">
        <f t="shared" si="4"/>
        <v>-2208101128.6700001</v>
      </c>
      <c r="J87" s="229">
        <f t="shared" si="5"/>
        <v>-0.15060000000000001</v>
      </c>
    </row>
    <row r="88" spans="2:10" ht="13.5" x14ac:dyDescent="0.25">
      <c r="B88" s="2890" t="s">
        <v>1760</v>
      </c>
      <c r="C88" s="2890"/>
      <c r="D88" s="341">
        <f>'906-6C'!J86</f>
        <v>0</v>
      </c>
      <c r="F88" s="212">
        <f>HLOOKUP($C$5,PriorYr906!$J$9:$K$87,78,FALSE)</f>
        <v>0</v>
      </c>
      <c r="H88" s="228">
        <f t="shared" si="4"/>
        <v>0</v>
      </c>
      <c r="J88" s="229">
        <f t="shared" si="5"/>
        <v>0</v>
      </c>
    </row>
    <row r="89" spans="2:10" ht="13.5" thickBot="1" x14ac:dyDescent="0.25">
      <c r="B89" s="2890" t="s">
        <v>4957</v>
      </c>
      <c r="C89" s="2890"/>
      <c r="D89" s="220">
        <f>SUM(D86:D88)</f>
        <v>12455912141.139999</v>
      </c>
      <c r="F89" s="381">
        <f>SUM(F86:F88)</f>
        <v>12455912141.139999</v>
      </c>
    </row>
    <row r="90" spans="2:10" ht="13.5" thickTop="1" x14ac:dyDescent="0.2">
      <c r="F90" s="218"/>
    </row>
    <row r="91" spans="2:10" x14ac:dyDescent="0.2">
      <c r="B91" s="182" t="s">
        <v>4958</v>
      </c>
      <c r="C91" s="182"/>
      <c r="D91" s="221" t="str">
        <f>IF(D58=D89,"In Bal.","NOT")</f>
        <v>NOT</v>
      </c>
      <c r="F91" s="221" t="str">
        <f>IF(F58=F89,"In Bal.","NOT")</f>
        <v>In Bal.</v>
      </c>
    </row>
    <row r="92" spans="2:10" x14ac:dyDescent="0.2">
      <c r="B92" s="2380"/>
      <c r="C92" s="2380"/>
    </row>
    <row r="93" spans="2:10" x14ac:dyDescent="0.2">
      <c r="B93" s="170" t="s">
        <v>4959</v>
      </c>
      <c r="C93" s="170"/>
      <c r="D93" s="170"/>
      <c r="E93" s="170"/>
      <c r="F93" s="170"/>
      <c r="G93" s="170"/>
      <c r="H93" s="170"/>
      <c r="I93" s="170"/>
      <c r="J93" s="170"/>
    </row>
    <row r="94" spans="2:10" x14ac:dyDescent="0.2">
      <c r="B94" s="172" t="s">
        <v>4960</v>
      </c>
      <c r="C94" s="172"/>
      <c r="D94" s="172"/>
      <c r="E94" s="172"/>
      <c r="F94" s="172"/>
      <c r="G94" s="172"/>
      <c r="H94" s="172"/>
      <c r="I94" s="172"/>
      <c r="J94" s="172"/>
    </row>
  </sheetData>
  <sheetProtection algorithmName="SHA-512" hashValue="tolium5tVR9+LOCqwy52B06UW+AfHqKyXiPdupcrIibWIGfsFEwgygRKu56x0GAcdQaLBQTVjFIfc8OyscgFmA==" saltValue="2/qY8dB/6wZzYfeBpdjEig==" spinCount="100000" sheet="1" autoFilter="0"/>
  <mergeCells count="67">
    <mergeCell ref="B1:K1"/>
    <mergeCell ref="L1:L3"/>
    <mergeCell ref="B2:K2"/>
    <mergeCell ref="B3:K3"/>
    <mergeCell ref="G5:J5"/>
    <mergeCell ref="C6:D6"/>
    <mergeCell ref="H7:J7"/>
    <mergeCell ref="B13:C13"/>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3:C33"/>
    <mergeCell ref="B34:C34"/>
    <mergeCell ref="B35:C35"/>
    <mergeCell ref="B36:C36"/>
    <mergeCell ref="B37:C37"/>
    <mergeCell ref="B38:C38"/>
    <mergeCell ref="B39:C39"/>
    <mergeCell ref="B40:C40"/>
    <mergeCell ref="B41:C41"/>
    <mergeCell ref="B45:C45"/>
    <mergeCell ref="B46:C46"/>
    <mergeCell ref="B47:C47"/>
    <mergeCell ref="B48:C48"/>
    <mergeCell ref="B49:C49"/>
    <mergeCell ref="B50:C50"/>
    <mergeCell ref="B51:C51"/>
    <mergeCell ref="B52:C52"/>
    <mergeCell ref="B53:C53"/>
    <mergeCell ref="B57:C57"/>
    <mergeCell ref="B58:C58"/>
    <mergeCell ref="B64:C64"/>
    <mergeCell ref="B65:C65"/>
    <mergeCell ref="B66:C66"/>
    <mergeCell ref="B67:C67"/>
    <mergeCell ref="B68:C68"/>
    <mergeCell ref="B70:C70"/>
    <mergeCell ref="B71:C71"/>
    <mergeCell ref="B72:C72"/>
    <mergeCell ref="B74:C74"/>
    <mergeCell ref="B75:C75"/>
    <mergeCell ref="B76:C76"/>
    <mergeCell ref="B77:C77"/>
    <mergeCell ref="B78:C78"/>
    <mergeCell ref="B81:C81"/>
    <mergeCell ref="B82:C82"/>
    <mergeCell ref="B89:C89"/>
    <mergeCell ref="B83:C83"/>
    <mergeCell ref="B84:C84"/>
    <mergeCell ref="B85:C85"/>
    <mergeCell ref="B86:C86"/>
    <mergeCell ref="B87:C87"/>
    <mergeCell ref="B88:C88"/>
  </mergeCells>
  <conditionalFormatting sqref="L1:L3">
    <cfRule type="cellIs" dxfId="3" priority="1" stopIfTrue="1" operator="equal">
      <formula>"na"</formula>
    </cfRule>
  </conditionalFormatting>
  <dataValidations disablePrompts="1" count="1">
    <dataValidation type="textLength" operator="equal" allowBlank="1" showInputMessage="1" showErrorMessage="1" errorTitle="Invalid data!" error="GASB number must be 4 digits." sqref="E7" xr:uid="{00000000-0002-0000-5400-000000000000}">
      <formula1>4</formula1>
    </dataValidation>
  </dataValidations>
  <hyperlinks>
    <hyperlink ref="B1:J1" location="Index!A1" display="Index!A1" xr:uid="{00000000-0004-0000-5400-000000000000}"/>
  </hyperlinks>
  <pageMargins left="0.75" right="0.5" top="0.5" bottom="0.5" header="0.5" footer="0.25"/>
  <pageSetup scale="83" fitToHeight="2" orientation="portrait" r:id="rId1"/>
  <headerFooter alignWithMargins="0">
    <oddFooter>&amp;R&amp;A (&amp;P of &amp;N)</oddFooter>
  </headerFooter>
  <rowBreaks count="1" manualBreakCount="1">
    <brk id="61" max="11"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67"/>
  <dimension ref="A1:AA166"/>
  <sheetViews>
    <sheetView showGridLines="0" zoomScaleNormal="100" workbookViewId="0">
      <selection activeCell="N13" sqref="N13"/>
    </sheetView>
  </sheetViews>
  <sheetFormatPr defaultColWidth="9.42578125" defaultRowHeight="11.25" x14ac:dyDescent="0.2"/>
  <cols>
    <col min="1" max="1" width="8" style="28" customWidth="1"/>
    <col min="2" max="2" width="0.5703125" style="28" customWidth="1"/>
    <col min="3" max="3" width="2.5703125" style="28" customWidth="1"/>
    <col min="4" max="4" width="10.5703125" style="28" customWidth="1"/>
    <col min="5" max="5" width="2.5703125" style="28" customWidth="1"/>
    <col min="6" max="6" width="4.5703125" style="28" customWidth="1"/>
    <col min="7" max="7" width="2.5703125" style="28" customWidth="1"/>
    <col min="8" max="8" width="4.42578125" style="28" customWidth="1"/>
    <col min="9" max="9" width="14.5703125" style="28" customWidth="1"/>
    <col min="10" max="10" width="1.42578125" style="28" customWidth="1"/>
    <col min="11" max="11" width="13.42578125" style="28" customWidth="1"/>
    <col min="12" max="12" width="2.42578125" style="28" customWidth="1"/>
    <col min="13" max="13" width="14.5703125" style="28" customWidth="1"/>
    <col min="14" max="14" width="4.5703125" style="28" customWidth="1"/>
    <col min="15" max="16384" width="9.42578125" style="28"/>
  </cols>
  <sheetData>
    <row r="1" spans="1:27" s="29" customFormat="1" ht="15" customHeight="1" x14ac:dyDescent="0.25">
      <c r="A1" s="2553" t="str">
        <f>+Index!$A$1</f>
        <v xml:space="preserve">                                                               Office of the State Controller                                                                </v>
      </c>
      <c r="B1" s="2553"/>
      <c r="C1" s="2553"/>
      <c r="D1" s="2553"/>
      <c r="E1" s="2553"/>
      <c r="F1" s="2553"/>
      <c r="G1" s="2553"/>
      <c r="H1" s="2553"/>
      <c r="I1" s="2553"/>
      <c r="J1" s="2553"/>
      <c r="K1" s="2553"/>
      <c r="L1" s="2553"/>
      <c r="M1" s="2553"/>
      <c r="N1" s="2554" t="str">
        <f>IF(Index!$B$115="na","NA","")</f>
        <v/>
      </c>
      <c r="AA1" s="30"/>
    </row>
    <row r="2" spans="1:27" s="29" customFormat="1" ht="15" customHeight="1" x14ac:dyDescent="0.25">
      <c r="A2" s="2597" t="str">
        <f>Index!A2</f>
        <v>2024 ACFR Worksheets</v>
      </c>
      <c r="B2" s="2597"/>
      <c r="C2" s="2597"/>
      <c r="D2" s="2597"/>
      <c r="E2" s="2597"/>
      <c r="F2" s="2597"/>
      <c r="G2" s="2597"/>
      <c r="H2" s="2597"/>
      <c r="I2" s="2597"/>
      <c r="J2" s="2597"/>
      <c r="K2" s="2597"/>
      <c r="L2" s="2597"/>
      <c r="M2" s="2597"/>
      <c r="N2" s="2554"/>
    </row>
    <row r="3" spans="1:27" s="29" customFormat="1" ht="15" customHeight="1" x14ac:dyDescent="0.25">
      <c r="A3" s="2597" t="s">
        <v>4966</v>
      </c>
      <c r="B3" s="2597"/>
      <c r="C3" s="2597"/>
      <c r="D3" s="2597"/>
      <c r="E3" s="2597"/>
      <c r="F3" s="2597"/>
      <c r="G3" s="2597"/>
      <c r="H3" s="2597"/>
      <c r="I3" s="2597"/>
      <c r="J3" s="2597"/>
      <c r="K3" s="2597"/>
      <c r="L3" s="2597"/>
      <c r="M3" s="2597"/>
      <c r="N3" s="2554"/>
    </row>
    <row r="4" spans="1:27" s="81" customFormat="1" ht="15" customHeight="1" x14ac:dyDescent="0.2">
      <c r="A4" s="139"/>
      <c r="B4" s="139"/>
      <c r="C4" s="139"/>
      <c r="D4" s="139"/>
      <c r="E4" s="139"/>
      <c r="F4" s="139"/>
      <c r="G4" s="139"/>
      <c r="H4" s="2321"/>
      <c r="I4" s="139"/>
      <c r="J4" s="139"/>
      <c r="K4" s="139"/>
      <c r="L4" s="139"/>
      <c r="M4" s="139"/>
      <c r="N4" s="139"/>
      <c r="O4" s="139"/>
      <c r="P4" s="139"/>
      <c r="Q4" s="139"/>
      <c r="R4" s="139"/>
      <c r="S4" s="139"/>
      <c r="T4" s="139"/>
      <c r="U4" s="139"/>
      <c r="V4" s="139"/>
      <c r="W4" s="139"/>
      <c r="X4" s="139"/>
      <c r="Y4" s="139"/>
      <c r="Z4" s="139"/>
      <c r="AA4" s="139"/>
    </row>
    <row r="5" spans="1:27" s="81" customFormat="1" ht="15" customHeight="1" x14ac:dyDescent="0.2">
      <c r="A5" s="139"/>
      <c r="B5" s="139"/>
      <c r="C5" s="139"/>
      <c r="D5" s="2321"/>
      <c r="E5" s="139"/>
      <c r="F5" s="139"/>
      <c r="G5" s="139"/>
      <c r="H5" s="139"/>
      <c r="I5" s="1554" t="s">
        <v>318</v>
      </c>
      <c r="J5" s="3125" t="str">
        <f>+Index!$E$10</f>
        <v>01</v>
      </c>
      <c r="K5" s="3125"/>
      <c r="L5" s="3125"/>
      <c r="M5" s="3125"/>
      <c r="N5" s="139"/>
      <c r="O5" s="139"/>
      <c r="P5" s="139"/>
      <c r="Q5" s="139"/>
      <c r="R5" s="139"/>
      <c r="S5" s="139"/>
      <c r="T5" s="139"/>
      <c r="U5" s="139"/>
      <c r="V5" s="139"/>
      <c r="W5" s="139"/>
      <c r="X5" s="139"/>
      <c r="Y5" s="139"/>
      <c r="Z5" s="139"/>
      <c r="AA5" s="139"/>
    </row>
    <row r="6" spans="1:27" s="81" customFormat="1" ht="15" customHeight="1" x14ac:dyDescent="0.2">
      <c r="A6" s="139"/>
      <c r="B6" s="139"/>
      <c r="C6" s="139"/>
      <c r="D6" s="139"/>
      <c r="E6" s="139"/>
      <c r="F6" s="139"/>
      <c r="G6" s="139"/>
      <c r="H6" s="139"/>
      <c r="I6" s="1554" t="s">
        <v>319</v>
      </c>
      <c r="J6" s="3126" t="str">
        <f>+Index!$E$11</f>
        <v>North Carolina General Assembly</v>
      </c>
      <c r="K6" s="3126"/>
      <c r="L6" s="3126"/>
      <c r="M6" s="3126"/>
      <c r="N6" s="139"/>
      <c r="O6" s="139"/>
      <c r="P6" s="139"/>
      <c r="Q6" s="139"/>
      <c r="R6" s="139"/>
      <c r="S6" s="139"/>
      <c r="T6" s="139"/>
      <c r="U6" s="139"/>
      <c r="V6" s="139"/>
      <c r="W6" s="139"/>
      <c r="X6" s="139"/>
      <c r="Y6" s="139"/>
      <c r="Z6" s="139"/>
      <c r="AA6" s="139"/>
    </row>
    <row r="7" spans="1:27" s="81" customFormat="1" ht="15" customHeight="1" x14ac:dyDescent="0.2">
      <c r="A7" s="1786" t="s">
        <v>4967</v>
      </c>
      <c r="B7" s="139"/>
      <c r="C7" s="139"/>
      <c r="D7" s="139"/>
      <c r="E7" s="2321"/>
      <c r="F7" s="139"/>
      <c r="G7" s="139"/>
      <c r="H7" s="139"/>
      <c r="I7" s="1554" t="s">
        <v>320</v>
      </c>
      <c r="J7" s="3127" t="str">
        <f>CONCATENATE(Index!$E$12," ",Index!$E$14)</f>
        <v xml:space="preserve"> </v>
      </c>
      <c r="K7" s="3127"/>
      <c r="L7" s="3127"/>
      <c r="M7" s="3127"/>
      <c r="N7" s="139"/>
      <c r="O7" s="139"/>
      <c r="P7" s="139"/>
      <c r="Q7" s="139"/>
      <c r="R7" s="139"/>
      <c r="S7" s="139"/>
      <c r="T7" s="139"/>
      <c r="U7" s="139"/>
      <c r="V7" s="139"/>
      <c r="W7" s="139"/>
      <c r="X7" s="139"/>
      <c r="Y7" s="139"/>
      <c r="Z7" s="139"/>
      <c r="AA7" s="139"/>
    </row>
    <row r="8" spans="1:27" s="81" customFormat="1" ht="15" customHeight="1" thickBot="1" x14ac:dyDescent="0.25">
      <c r="A8" s="1556"/>
      <c r="B8" s="1556"/>
      <c r="C8" s="1556"/>
      <c r="D8" s="1556"/>
      <c r="E8" s="1556"/>
      <c r="F8" s="1556"/>
      <c r="G8" s="1556"/>
      <c r="H8" s="1556"/>
      <c r="I8" s="1556"/>
      <c r="J8" s="1556"/>
      <c r="K8" s="1556"/>
      <c r="L8" s="1556"/>
      <c r="M8" s="1556"/>
      <c r="N8" s="139"/>
      <c r="O8" s="139"/>
      <c r="P8" s="139"/>
      <c r="Q8" s="139"/>
      <c r="R8" s="139"/>
      <c r="S8" s="139"/>
      <c r="T8" s="139"/>
      <c r="U8" s="139"/>
      <c r="V8" s="139"/>
      <c r="W8" s="139"/>
      <c r="X8" s="139"/>
      <c r="Y8" s="139"/>
      <c r="Z8" s="139"/>
      <c r="AA8" s="139"/>
    </row>
    <row r="9" spans="1:27" s="81" customFormat="1" ht="12.75" customHeight="1" x14ac:dyDescent="0.2">
      <c r="A9" s="394"/>
      <c r="B9" s="394"/>
      <c r="C9" s="394"/>
      <c r="D9" s="394"/>
      <c r="E9" s="394"/>
      <c r="F9" s="394"/>
      <c r="G9" s="394"/>
      <c r="H9" s="394"/>
      <c r="I9" s="394"/>
      <c r="J9" s="394"/>
      <c r="K9" s="394"/>
      <c r="L9" s="394"/>
      <c r="M9" s="394"/>
      <c r="N9" s="139"/>
      <c r="O9" s="139"/>
      <c r="P9" s="139"/>
      <c r="Q9" s="139"/>
      <c r="R9" s="139"/>
      <c r="S9" s="139"/>
      <c r="T9" s="139"/>
      <c r="U9" s="139"/>
      <c r="V9" s="139"/>
      <c r="W9" s="139"/>
      <c r="X9" s="139"/>
      <c r="Y9" s="139"/>
      <c r="Z9" s="139"/>
      <c r="AA9" s="139"/>
    </row>
    <row r="10" spans="1:27" ht="15" customHeight="1" x14ac:dyDescent="0.25">
      <c r="A10" s="395" t="s">
        <v>4968</v>
      </c>
      <c r="B10" s="394"/>
      <c r="C10" s="3128" t="s">
        <v>1712</v>
      </c>
      <c r="D10" s="3128"/>
      <c r="E10" s="3128"/>
      <c r="F10" s="3128"/>
      <c r="G10" s="3128"/>
      <c r="H10" s="3128"/>
      <c r="I10" s="3128"/>
      <c r="J10" s="3128"/>
      <c r="K10" s="3128"/>
      <c r="L10" s="3128"/>
      <c r="M10" s="3128"/>
    </row>
    <row r="11" spans="1:27" ht="15" customHeight="1" x14ac:dyDescent="0.2">
      <c r="A11" s="392"/>
      <c r="B11" s="394"/>
      <c r="C11" s="3124"/>
      <c r="D11" s="3124"/>
      <c r="E11" s="3124"/>
      <c r="F11" s="3124"/>
      <c r="G11" s="3124"/>
      <c r="H11" s="3124"/>
      <c r="I11" s="3124"/>
      <c r="J11" s="3124"/>
      <c r="K11" s="3124"/>
      <c r="L11" s="3124"/>
      <c r="M11" s="3124"/>
    </row>
    <row r="12" spans="1:27" ht="15" customHeight="1" x14ac:dyDescent="0.2">
      <c r="A12" s="392"/>
      <c r="B12" s="394"/>
      <c r="C12" s="3124"/>
      <c r="D12" s="3124"/>
      <c r="E12" s="3124"/>
      <c r="F12" s="3124"/>
      <c r="G12" s="3124"/>
      <c r="H12" s="3124"/>
      <c r="I12" s="3124"/>
      <c r="J12" s="3124"/>
      <c r="K12" s="3124"/>
      <c r="L12" s="3124"/>
      <c r="M12" s="3124"/>
    </row>
    <row r="13" spans="1:27" ht="15" customHeight="1" x14ac:dyDescent="0.2">
      <c r="A13" s="392"/>
      <c r="B13" s="394"/>
      <c r="C13" s="3124"/>
      <c r="D13" s="3124"/>
      <c r="E13" s="3124"/>
      <c r="F13" s="3124"/>
      <c r="G13" s="3124"/>
      <c r="H13" s="3124"/>
      <c r="I13" s="3124"/>
      <c r="J13" s="3124"/>
      <c r="K13" s="3124"/>
      <c r="L13" s="3124"/>
      <c r="M13" s="3124"/>
    </row>
    <row r="14" spans="1:27" ht="15" customHeight="1" x14ac:dyDescent="0.2">
      <c r="A14" s="392"/>
      <c r="B14" s="394"/>
      <c r="C14" s="3124"/>
      <c r="D14" s="3124"/>
      <c r="E14" s="3124"/>
      <c r="F14" s="3124"/>
      <c r="G14" s="3124"/>
      <c r="H14" s="3124"/>
      <c r="I14" s="3124"/>
      <c r="J14" s="3124"/>
      <c r="K14" s="3124"/>
      <c r="L14" s="3124"/>
      <c r="M14" s="3124"/>
    </row>
    <row r="15" spans="1:27" ht="15" customHeight="1" x14ac:dyDescent="0.2">
      <c r="A15" s="392"/>
      <c r="B15" s="394"/>
      <c r="C15" s="3124"/>
      <c r="D15" s="3124"/>
      <c r="E15" s="3124"/>
      <c r="F15" s="3124"/>
      <c r="G15" s="3124"/>
      <c r="H15" s="3124"/>
      <c r="I15" s="3124"/>
      <c r="J15" s="3124"/>
      <c r="K15" s="3124"/>
      <c r="L15" s="3124"/>
      <c r="M15" s="3124"/>
    </row>
    <row r="16" spans="1:27" ht="15" customHeight="1" x14ac:dyDescent="0.2">
      <c r="A16" s="392"/>
      <c r="B16" s="394"/>
      <c r="C16" s="3124"/>
      <c r="D16" s="3124"/>
      <c r="E16" s="3124"/>
      <c r="F16" s="3124"/>
      <c r="G16" s="3124"/>
      <c r="H16" s="3124"/>
      <c r="I16" s="3124"/>
      <c r="J16" s="3124"/>
      <c r="K16" s="3124"/>
      <c r="L16" s="3124"/>
      <c r="M16" s="3124"/>
    </row>
    <row r="17" spans="1:13" ht="15" customHeight="1" x14ac:dyDescent="0.2">
      <c r="A17" s="392"/>
      <c r="B17" s="394"/>
      <c r="C17" s="3124"/>
      <c r="D17" s="3124"/>
      <c r="E17" s="3124"/>
      <c r="F17" s="3124"/>
      <c r="G17" s="3124"/>
      <c r="H17" s="3124"/>
      <c r="I17" s="3124"/>
      <c r="J17" s="3124"/>
      <c r="K17" s="3124"/>
      <c r="L17" s="3124"/>
      <c r="M17" s="3124"/>
    </row>
    <row r="18" spans="1:13" ht="15" customHeight="1" x14ac:dyDescent="0.2">
      <c r="A18" s="392"/>
      <c r="B18" s="394"/>
      <c r="C18" s="3124"/>
      <c r="D18" s="3124"/>
      <c r="E18" s="3124"/>
      <c r="F18" s="3124"/>
      <c r="G18" s="3124"/>
      <c r="H18" s="3124"/>
      <c r="I18" s="3124"/>
      <c r="J18" s="3124"/>
      <c r="K18" s="3124"/>
      <c r="L18" s="3124"/>
      <c r="M18" s="3124"/>
    </row>
    <row r="19" spans="1:13" ht="15" customHeight="1" x14ac:dyDescent="0.2">
      <c r="A19" s="392"/>
      <c r="B19" s="394"/>
      <c r="C19" s="3124"/>
      <c r="D19" s="3124"/>
      <c r="E19" s="3124"/>
      <c r="F19" s="3124"/>
      <c r="G19" s="3124"/>
      <c r="H19" s="3124"/>
      <c r="I19" s="3124"/>
      <c r="J19" s="3124"/>
      <c r="K19" s="3124"/>
      <c r="L19" s="3124"/>
      <c r="M19" s="3124"/>
    </row>
    <row r="20" spans="1:13" ht="15" customHeight="1" x14ac:dyDescent="0.2">
      <c r="A20" s="392"/>
      <c r="B20" s="394"/>
      <c r="C20" s="3124"/>
      <c r="D20" s="3124"/>
      <c r="E20" s="3124"/>
      <c r="F20" s="3124"/>
      <c r="G20" s="3124"/>
      <c r="H20" s="3124"/>
      <c r="I20" s="3124"/>
      <c r="J20" s="3124"/>
      <c r="K20" s="3124"/>
      <c r="L20" s="3124"/>
      <c r="M20" s="3124"/>
    </row>
    <row r="21" spans="1:13" ht="15" customHeight="1" x14ac:dyDescent="0.2">
      <c r="A21" s="392"/>
      <c r="B21" s="394"/>
      <c r="C21" s="3124"/>
      <c r="D21" s="3124"/>
      <c r="E21" s="3124"/>
      <c r="F21" s="3124"/>
      <c r="G21" s="3124"/>
      <c r="H21" s="3124"/>
      <c r="I21" s="3124"/>
      <c r="J21" s="3124"/>
      <c r="K21" s="3124"/>
      <c r="L21" s="3124"/>
      <c r="M21" s="3124"/>
    </row>
    <row r="22" spans="1:13" ht="15" customHeight="1" x14ac:dyDescent="0.2">
      <c r="A22" s="392"/>
      <c r="B22" s="394"/>
      <c r="C22" s="3124"/>
      <c r="D22" s="3124"/>
      <c r="E22" s="3124"/>
      <c r="F22" s="3124"/>
      <c r="G22" s="3124"/>
      <c r="H22" s="3124"/>
      <c r="I22" s="3124"/>
      <c r="J22" s="3124"/>
      <c r="K22" s="3124"/>
      <c r="L22" s="3124"/>
      <c r="M22" s="3124"/>
    </row>
    <row r="23" spans="1:13" ht="15" customHeight="1" x14ac:dyDescent="0.2">
      <c r="A23" s="392"/>
      <c r="B23" s="394"/>
      <c r="C23" s="3124"/>
      <c r="D23" s="3124"/>
      <c r="E23" s="3124"/>
      <c r="F23" s="3124"/>
      <c r="G23" s="3124"/>
      <c r="H23" s="3124"/>
      <c r="I23" s="3124"/>
      <c r="J23" s="3124"/>
      <c r="K23" s="3124"/>
      <c r="L23" s="3124"/>
      <c r="M23" s="3124"/>
    </row>
    <row r="24" spans="1:13" ht="15" customHeight="1" x14ac:dyDescent="0.2">
      <c r="A24" s="392"/>
      <c r="B24" s="394"/>
      <c r="C24" s="3124"/>
      <c r="D24" s="3124"/>
      <c r="E24" s="3124"/>
      <c r="F24" s="3124"/>
      <c r="G24" s="3124"/>
      <c r="H24" s="3124"/>
      <c r="I24" s="3124"/>
      <c r="J24" s="3124"/>
      <c r="K24" s="3124"/>
      <c r="L24" s="3124"/>
      <c r="M24" s="3124"/>
    </row>
    <row r="25" spans="1:13" ht="15" customHeight="1" x14ac:dyDescent="0.2">
      <c r="A25" s="392"/>
      <c r="B25" s="394"/>
      <c r="C25" s="3124"/>
      <c r="D25" s="3124"/>
      <c r="E25" s="3124"/>
      <c r="F25" s="3124"/>
      <c r="G25" s="3124"/>
      <c r="H25" s="3124"/>
      <c r="I25" s="3124"/>
      <c r="J25" s="3124"/>
      <c r="K25" s="3124"/>
      <c r="L25" s="3124"/>
      <c r="M25" s="3124"/>
    </row>
    <row r="26" spans="1:13" ht="15" customHeight="1" x14ac:dyDescent="0.2">
      <c r="A26" s="392"/>
      <c r="B26" s="394"/>
      <c r="C26" s="3124"/>
      <c r="D26" s="3124"/>
      <c r="E26" s="3124"/>
      <c r="F26" s="3124"/>
      <c r="G26" s="3124"/>
      <c r="H26" s="3124"/>
      <c r="I26" s="3124"/>
      <c r="J26" s="3124"/>
      <c r="K26" s="3124"/>
      <c r="L26" s="3124"/>
      <c r="M26" s="3124"/>
    </row>
    <row r="27" spans="1:13" ht="15" customHeight="1" x14ac:dyDescent="0.2">
      <c r="A27" s="392"/>
      <c r="B27" s="394"/>
      <c r="C27" s="3124"/>
      <c r="D27" s="3124"/>
      <c r="E27" s="3124"/>
      <c r="F27" s="3124"/>
      <c r="G27" s="3124"/>
      <c r="H27" s="3124"/>
      <c r="I27" s="3124"/>
      <c r="J27" s="3124"/>
      <c r="K27" s="3124"/>
      <c r="L27" s="3124"/>
      <c r="M27" s="3124"/>
    </row>
    <row r="28" spans="1:13" ht="15" customHeight="1" x14ac:dyDescent="0.2">
      <c r="A28" s="392"/>
      <c r="B28" s="394"/>
      <c r="C28" s="3124"/>
      <c r="D28" s="3124"/>
      <c r="E28" s="3124"/>
      <c r="F28" s="3124"/>
      <c r="G28" s="3124"/>
      <c r="H28" s="3124"/>
      <c r="I28" s="3124"/>
      <c r="J28" s="3124"/>
      <c r="K28" s="3124"/>
      <c r="L28" s="3124"/>
      <c r="M28" s="3124"/>
    </row>
    <row r="29" spans="1:13" ht="15" customHeight="1" x14ac:dyDescent="0.2">
      <c r="A29" s="392"/>
      <c r="B29" s="394"/>
      <c r="C29" s="3124"/>
      <c r="D29" s="3124"/>
      <c r="E29" s="3124"/>
      <c r="F29" s="3124"/>
      <c r="G29" s="3124"/>
      <c r="H29" s="3124"/>
      <c r="I29" s="3124"/>
      <c r="J29" s="3124"/>
      <c r="K29" s="3124"/>
      <c r="L29" s="3124"/>
      <c r="M29" s="3124"/>
    </row>
    <row r="30" spans="1:13" ht="15" customHeight="1" x14ac:dyDescent="0.2">
      <c r="A30" s="392"/>
      <c r="B30" s="394"/>
      <c r="C30" s="3124"/>
      <c r="D30" s="3124"/>
      <c r="E30" s="3124"/>
      <c r="F30" s="3124"/>
      <c r="G30" s="3124"/>
      <c r="H30" s="3124"/>
      <c r="I30" s="3124"/>
      <c r="J30" s="3124"/>
      <c r="K30" s="3124"/>
      <c r="L30" s="3124"/>
      <c r="M30" s="3124"/>
    </row>
    <row r="31" spans="1:13" ht="15" customHeight="1" x14ac:dyDescent="0.2">
      <c r="A31" s="392"/>
      <c r="B31" s="394"/>
      <c r="C31" s="3124"/>
      <c r="D31" s="3124"/>
      <c r="E31" s="3124"/>
      <c r="F31" s="3124"/>
      <c r="G31" s="3124"/>
      <c r="H31" s="3124"/>
      <c r="I31" s="3124"/>
      <c r="J31" s="3124"/>
      <c r="K31" s="3124"/>
      <c r="L31" s="3124"/>
      <c r="M31" s="3124"/>
    </row>
    <row r="32" spans="1:13" ht="15" customHeight="1" x14ac:dyDescent="0.2">
      <c r="A32" s="392"/>
      <c r="B32" s="394"/>
      <c r="C32" s="3124"/>
      <c r="D32" s="3124"/>
      <c r="E32" s="3124"/>
      <c r="F32" s="3124"/>
      <c r="G32" s="3124"/>
      <c r="H32" s="3124"/>
      <c r="I32" s="3124"/>
      <c r="J32" s="3124"/>
      <c r="K32" s="3124"/>
      <c r="L32" s="3124"/>
      <c r="M32" s="3124"/>
    </row>
    <row r="33" spans="1:13" ht="15" customHeight="1" x14ac:dyDescent="0.2">
      <c r="A33" s="392"/>
      <c r="B33" s="394"/>
      <c r="C33" s="3124"/>
      <c r="D33" s="3124"/>
      <c r="E33" s="3124"/>
      <c r="F33" s="3124"/>
      <c r="G33" s="3124"/>
      <c r="H33" s="3124"/>
      <c r="I33" s="3124"/>
      <c r="J33" s="3124"/>
      <c r="K33" s="3124"/>
      <c r="L33" s="3124"/>
      <c r="M33" s="3124"/>
    </row>
    <row r="34" spans="1:13" ht="15" customHeight="1" x14ac:dyDescent="0.2">
      <c r="A34" s="392"/>
      <c r="B34" s="394"/>
      <c r="C34" s="3124"/>
      <c r="D34" s="3124"/>
      <c r="E34" s="3124"/>
      <c r="F34" s="3124"/>
      <c r="G34" s="3124"/>
      <c r="H34" s="3124"/>
      <c r="I34" s="3124"/>
      <c r="J34" s="3124"/>
      <c r="K34" s="3124"/>
      <c r="L34" s="3124"/>
      <c r="M34" s="3124"/>
    </row>
    <row r="35" spans="1:13" ht="15" customHeight="1" x14ac:dyDescent="0.2">
      <c r="A35" s="392"/>
      <c r="B35" s="394"/>
      <c r="C35" s="3124"/>
      <c r="D35" s="3124"/>
      <c r="E35" s="3124"/>
      <c r="F35" s="3124"/>
      <c r="G35" s="3124"/>
      <c r="H35" s="3124"/>
      <c r="I35" s="3124"/>
      <c r="J35" s="3124"/>
      <c r="K35" s="3124"/>
      <c r="L35" s="3124"/>
      <c r="M35" s="3124"/>
    </row>
    <row r="36" spans="1:13" ht="15" customHeight="1" x14ac:dyDescent="0.2">
      <c r="A36" s="392"/>
      <c r="B36" s="394"/>
      <c r="C36" s="3124"/>
      <c r="D36" s="3124"/>
      <c r="E36" s="3124"/>
      <c r="F36" s="3124"/>
      <c r="G36" s="3124"/>
      <c r="H36" s="3124"/>
      <c r="I36" s="3124"/>
      <c r="J36" s="3124"/>
      <c r="K36" s="3124"/>
      <c r="L36" s="3124"/>
      <c r="M36" s="3124"/>
    </row>
    <row r="37" spans="1:13" ht="15" customHeight="1" x14ac:dyDescent="0.2">
      <c r="A37" s="392"/>
      <c r="B37" s="394"/>
      <c r="C37" s="3124"/>
      <c r="D37" s="3124"/>
      <c r="E37" s="3124"/>
      <c r="F37" s="3124"/>
      <c r="G37" s="3124"/>
      <c r="H37" s="3124"/>
      <c r="I37" s="3124"/>
      <c r="J37" s="3124"/>
      <c r="K37" s="3124"/>
      <c r="L37" s="3124"/>
      <c r="M37" s="3124"/>
    </row>
    <row r="38" spans="1:13" ht="15" customHeight="1" x14ac:dyDescent="0.2">
      <c r="A38" s="392"/>
      <c r="B38" s="394"/>
      <c r="C38" s="3124"/>
      <c r="D38" s="3124"/>
      <c r="E38" s="3124"/>
      <c r="F38" s="3124"/>
      <c r="G38" s="3124"/>
      <c r="H38" s="3124"/>
      <c r="I38" s="3124"/>
      <c r="J38" s="3124"/>
      <c r="K38" s="3124"/>
      <c r="L38" s="3124"/>
      <c r="M38" s="3124"/>
    </row>
    <row r="39" spans="1:13" ht="15" customHeight="1" x14ac:dyDescent="0.2">
      <c r="A39" s="392"/>
      <c r="B39" s="394"/>
      <c r="C39" s="3124"/>
      <c r="D39" s="3124"/>
      <c r="E39" s="3124"/>
      <c r="F39" s="3124"/>
      <c r="G39" s="3124"/>
      <c r="H39" s="3124"/>
      <c r="I39" s="3124"/>
      <c r="J39" s="3124"/>
      <c r="K39" s="3124"/>
      <c r="L39" s="3124"/>
      <c r="M39" s="3124"/>
    </row>
    <row r="40" spans="1:13" ht="15" customHeight="1" x14ac:dyDescent="0.2">
      <c r="A40" s="392"/>
      <c r="B40" s="394"/>
      <c r="C40" s="3124"/>
      <c r="D40" s="3124"/>
      <c r="E40" s="3124"/>
      <c r="F40" s="3124"/>
      <c r="G40" s="3124"/>
      <c r="H40" s="3124"/>
      <c r="I40" s="3124"/>
      <c r="J40" s="3124"/>
      <c r="K40" s="3124"/>
      <c r="L40" s="3124"/>
      <c r="M40" s="3124"/>
    </row>
    <row r="41" spans="1:13" ht="15" customHeight="1" x14ac:dyDescent="0.2">
      <c r="A41" s="392"/>
      <c r="B41" s="394"/>
      <c r="C41" s="3124"/>
      <c r="D41" s="3124"/>
      <c r="E41" s="3124"/>
      <c r="F41" s="3124"/>
      <c r="G41" s="3124"/>
      <c r="H41" s="3124"/>
      <c r="I41" s="3124"/>
      <c r="J41" s="3124"/>
      <c r="K41" s="3124"/>
      <c r="L41" s="3124"/>
      <c r="M41" s="3124"/>
    </row>
    <row r="42" spans="1:13" ht="15" customHeight="1" x14ac:dyDescent="0.2">
      <c r="A42" s="392"/>
      <c r="B42" s="394"/>
      <c r="C42" s="3124"/>
      <c r="D42" s="3124"/>
      <c r="E42" s="3124"/>
      <c r="F42" s="3124"/>
      <c r="G42" s="3124"/>
      <c r="H42" s="3124"/>
      <c r="I42" s="3124"/>
      <c r="J42" s="3124"/>
      <c r="K42" s="3124"/>
      <c r="L42" s="3124"/>
      <c r="M42" s="3124"/>
    </row>
    <row r="43" spans="1:13" ht="15" customHeight="1" x14ac:dyDescent="0.2">
      <c r="A43" s="392"/>
      <c r="B43" s="394"/>
      <c r="C43" s="3124"/>
      <c r="D43" s="3124"/>
      <c r="E43" s="3124"/>
      <c r="F43" s="3124"/>
      <c r="G43" s="3124"/>
      <c r="H43" s="3124"/>
      <c r="I43" s="3124"/>
      <c r="J43" s="3124"/>
      <c r="K43" s="3124"/>
      <c r="L43" s="3124"/>
      <c r="M43" s="3124"/>
    </row>
    <row r="44" spans="1:13" ht="15" customHeight="1" x14ac:dyDescent="0.2">
      <c r="A44" s="392"/>
      <c r="B44" s="394"/>
      <c r="C44" s="3124"/>
      <c r="D44" s="3124"/>
      <c r="E44" s="3124"/>
      <c r="F44" s="3124"/>
      <c r="G44" s="3124"/>
      <c r="H44" s="3124"/>
      <c r="I44" s="3124"/>
      <c r="J44" s="3124"/>
      <c r="K44" s="3124"/>
      <c r="L44" s="3124"/>
      <c r="M44" s="3124"/>
    </row>
    <row r="45" spans="1:13" ht="15" customHeight="1" x14ac:dyDescent="0.2">
      <c r="A45" s="392"/>
      <c r="B45" s="394"/>
      <c r="C45" s="3124"/>
      <c r="D45" s="3124"/>
      <c r="E45" s="3124"/>
      <c r="F45" s="3124"/>
      <c r="G45" s="3124"/>
      <c r="H45" s="3124"/>
      <c r="I45" s="3124"/>
      <c r="J45" s="3124"/>
      <c r="K45" s="3124"/>
      <c r="L45" s="3124"/>
      <c r="M45" s="3124"/>
    </row>
    <row r="46" spans="1:13" ht="15" customHeight="1" x14ac:dyDescent="0.2">
      <c r="A46" s="392"/>
      <c r="B46" s="394"/>
      <c r="C46" s="3124"/>
      <c r="D46" s="3124"/>
      <c r="E46" s="3124"/>
      <c r="F46" s="3124"/>
      <c r="G46" s="3124"/>
      <c r="H46" s="3124"/>
      <c r="I46" s="3124"/>
      <c r="J46" s="3124"/>
      <c r="K46" s="3124"/>
      <c r="L46" s="3124"/>
      <c r="M46" s="3124"/>
    </row>
    <row r="47" spans="1:13" ht="15" customHeight="1" x14ac:dyDescent="0.2">
      <c r="A47" s="392"/>
      <c r="B47" s="394"/>
      <c r="C47" s="3124"/>
      <c r="D47" s="3124"/>
      <c r="E47" s="3124"/>
      <c r="F47" s="3124"/>
      <c r="G47" s="3124"/>
      <c r="H47" s="3124"/>
      <c r="I47" s="3124"/>
      <c r="J47" s="3124"/>
      <c r="K47" s="3124"/>
      <c r="L47" s="3124"/>
      <c r="M47" s="3124"/>
    </row>
    <row r="48" spans="1:13" ht="15" customHeight="1" x14ac:dyDescent="0.2">
      <c r="A48" s="392"/>
      <c r="B48" s="394"/>
      <c r="C48" s="3124"/>
      <c r="D48" s="3124"/>
      <c r="E48" s="3124"/>
      <c r="F48" s="3124"/>
      <c r="G48" s="3124"/>
      <c r="H48" s="3124"/>
      <c r="I48" s="3124"/>
      <c r="J48" s="3124"/>
      <c r="K48" s="3124"/>
      <c r="L48" s="3124"/>
      <c r="M48" s="3124"/>
    </row>
    <row r="49" spans="1:13" ht="15" customHeight="1" x14ac:dyDescent="0.2">
      <c r="A49" s="392"/>
      <c r="B49" s="394"/>
      <c r="C49" s="3124"/>
      <c r="D49" s="3124"/>
      <c r="E49" s="3124"/>
      <c r="F49" s="3124"/>
      <c r="G49" s="3124"/>
      <c r="H49" s="3124"/>
      <c r="I49" s="3124"/>
      <c r="J49" s="3124"/>
      <c r="K49" s="3124"/>
      <c r="L49" s="3124"/>
      <c r="M49" s="3124"/>
    </row>
    <row r="50" spans="1:13" ht="15" customHeight="1" x14ac:dyDescent="0.2">
      <c r="A50" s="394"/>
      <c r="B50" s="394"/>
      <c r="C50" s="394"/>
      <c r="D50" s="394"/>
      <c r="E50" s="394"/>
      <c r="F50" s="394"/>
      <c r="G50" s="394"/>
      <c r="H50" s="394"/>
      <c r="I50" s="394"/>
      <c r="J50" s="394"/>
      <c r="K50" s="394"/>
      <c r="L50" s="394"/>
      <c r="M50" s="394"/>
    </row>
    <row r="51" spans="1:13" ht="15" customHeight="1" x14ac:dyDescent="0.2">
      <c r="A51" s="394"/>
      <c r="B51" s="394"/>
      <c r="C51" s="394"/>
      <c r="D51" s="394"/>
      <c r="E51" s="394"/>
      <c r="F51" s="394"/>
      <c r="G51" s="394"/>
      <c r="H51" s="394"/>
      <c r="I51" s="394"/>
      <c r="J51" s="394"/>
      <c r="K51" s="394"/>
      <c r="L51" s="394"/>
      <c r="M51" s="394"/>
    </row>
    <row r="52" spans="1:13" ht="15" customHeight="1" x14ac:dyDescent="0.2">
      <c r="A52" s="394"/>
      <c r="B52" s="394"/>
      <c r="C52" s="394"/>
      <c r="D52" s="394"/>
      <c r="E52" s="394"/>
      <c r="F52" s="394"/>
      <c r="G52" s="394"/>
      <c r="H52" s="394"/>
      <c r="I52" s="394"/>
      <c r="J52" s="394"/>
      <c r="K52" s="394"/>
      <c r="L52" s="394"/>
      <c r="M52" s="394"/>
    </row>
    <row r="53" spans="1:13" ht="15" customHeight="1" x14ac:dyDescent="0.2">
      <c r="A53" s="394"/>
      <c r="B53" s="394"/>
      <c r="C53" s="394"/>
      <c r="D53" s="394"/>
      <c r="E53" s="394"/>
      <c r="F53" s="394"/>
      <c r="G53" s="394"/>
      <c r="H53" s="394"/>
      <c r="I53" s="394"/>
      <c r="J53" s="394"/>
      <c r="K53" s="394"/>
      <c r="L53" s="394"/>
      <c r="M53" s="394"/>
    </row>
    <row r="54" spans="1:13" ht="15" customHeight="1" x14ac:dyDescent="0.2">
      <c r="A54" s="394"/>
      <c r="B54" s="394"/>
      <c r="C54" s="394"/>
      <c r="D54" s="394"/>
      <c r="E54" s="394"/>
      <c r="F54" s="394"/>
      <c r="G54" s="394"/>
      <c r="H54" s="394"/>
      <c r="I54" s="394"/>
      <c r="J54" s="394"/>
      <c r="K54" s="394"/>
      <c r="L54" s="394"/>
      <c r="M54" s="394"/>
    </row>
    <row r="55" spans="1:13" ht="15" customHeight="1" x14ac:dyDescent="0.2">
      <c r="A55" s="394"/>
      <c r="B55" s="394"/>
      <c r="C55" s="394"/>
      <c r="D55" s="394"/>
      <c r="E55" s="394"/>
      <c r="F55" s="394"/>
      <c r="G55" s="394"/>
      <c r="H55" s="394"/>
      <c r="I55" s="394"/>
      <c r="J55" s="394"/>
      <c r="K55" s="394"/>
      <c r="L55" s="394"/>
      <c r="M55" s="394"/>
    </row>
    <row r="56" spans="1:13" ht="15" customHeight="1" x14ac:dyDescent="0.2">
      <c r="A56" s="394"/>
      <c r="B56" s="394"/>
      <c r="C56" s="394"/>
      <c r="D56" s="394"/>
      <c r="E56" s="394"/>
      <c r="F56" s="394"/>
      <c r="G56" s="394"/>
      <c r="H56" s="394"/>
      <c r="I56" s="394"/>
      <c r="J56" s="394"/>
      <c r="K56" s="394"/>
      <c r="L56" s="394"/>
      <c r="M56" s="394"/>
    </row>
    <row r="57" spans="1:13" ht="15" customHeight="1" x14ac:dyDescent="0.2">
      <c r="A57" s="394"/>
      <c r="B57" s="394"/>
      <c r="C57" s="394"/>
      <c r="D57" s="394"/>
      <c r="E57" s="394"/>
      <c r="F57" s="394"/>
      <c r="G57" s="394"/>
      <c r="H57" s="394"/>
      <c r="I57" s="394"/>
      <c r="J57" s="394"/>
      <c r="K57" s="394"/>
      <c r="L57" s="394"/>
      <c r="M57" s="394"/>
    </row>
    <row r="58" spans="1:13" ht="15" customHeight="1" x14ac:dyDescent="0.2">
      <c r="A58" s="394"/>
      <c r="B58" s="394"/>
      <c r="C58" s="394"/>
      <c r="D58" s="394"/>
      <c r="E58" s="394"/>
      <c r="F58" s="394"/>
      <c r="G58" s="394"/>
      <c r="H58" s="394"/>
      <c r="I58" s="394"/>
      <c r="J58" s="394"/>
      <c r="K58" s="394"/>
      <c r="L58" s="394"/>
      <c r="M58" s="394"/>
    </row>
    <row r="59" spans="1:13" ht="15" customHeight="1" x14ac:dyDescent="0.2">
      <c r="A59" s="394"/>
      <c r="B59" s="394"/>
      <c r="C59" s="394"/>
      <c r="D59" s="394"/>
      <c r="E59" s="394"/>
      <c r="F59" s="394"/>
      <c r="G59" s="394"/>
      <c r="H59" s="394"/>
      <c r="I59" s="394"/>
      <c r="J59" s="394"/>
      <c r="K59" s="394"/>
      <c r="L59" s="394"/>
      <c r="M59" s="394"/>
    </row>
    <row r="60" spans="1:13" ht="15" customHeight="1" x14ac:dyDescent="0.2">
      <c r="A60" s="394"/>
      <c r="B60" s="394"/>
      <c r="C60" s="394"/>
      <c r="D60" s="394"/>
      <c r="E60" s="394"/>
      <c r="F60" s="394"/>
      <c r="G60" s="394"/>
      <c r="H60" s="394"/>
      <c r="I60" s="394"/>
      <c r="J60" s="394"/>
      <c r="K60" s="394"/>
      <c r="L60" s="394"/>
      <c r="M60" s="394"/>
    </row>
    <row r="61" spans="1:13" ht="15" customHeight="1" x14ac:dyDescent="0.2">
      <c r="A61" s="394"/>
      <c r="B61" s="394"/>
      <c r="C61" s="394"/>
      <c r="D61" s="394"/>
      <c r="E61" s="394"/>
      <c r="F61" s="394"/>
      <c r="G61" s="394"/>
      <c r="H61" s="394"/>
      <c r="I61" s="394"/>
      <c r="J61" s="394"/>
      <c r="K61" s="394"/>
      <c r="L61" s="394"/>
      <c r="M61" s="394"/>
    </row>
    <row r="62" spans="1:13" ht="15" customHeight="1" x14ac:dyDescent="0.2">
      <c r="A62" s="394"/>
      <c r="B62" s="394"/>
      <c r="C62" s="394"/>
      <c r="D62" s="394"/>
      <c r="E62" s="394"/>
      <c r="F62" s="394"/>
      <c r="G62" s="394"/>
      <c r="H62" s="394"/>
      <c r="I62" s="394"/>
      <c r="J62" s="394"/>
      <c r="K62" s="394"/>
      <c r="L62" s="394"/>
      <c r="M62" s="394"/>
    </row>
    <row r="63" spans="1:13" ht="15" customHeight="1" x14ac:dyDescent="0.2">
      <c r="A63" s="394"/>
      <c r="B63" s="394"/>
      <c r="C63" s="394"/>
      <c r="D63" s="394"/>
      <c r="E63" s="394"/>
      <c r="F63" s="394"/>
      <c r="G63" s="394"/>
      <c r="H63" s="394"/>
      <c r="I63" s="394"/>
      <c r="J63" s="394"/>
      <c r="K63" s="394"/>
      <c r="L63" s="394"/>
      <c r="M63" s="394"/>
    </row>
    <row r="64" spans="1:13" ht="15" customHeight="1" x14ac:dyDescent="0.2">
      <c r="A64" s="394"/>
      <c r="B64" s="394"/>
      <c r="C64" s="394"/>
      <c r="D64" s="394"/>
      <c r="E64" s="394"/>
      <c r="F64" s="394"/>
      <c r="G64" s="394"/>
      <c r="H64" s="394"/>
      <c r="I64" s="394"/>
      <c r="J64" s="394"/>
      <c r="K64" s="394"/>
      <c r="L64" s="394"/>
      <c r="M64" s="394"/>
    </row>
    <row r="65" spans="1:13" ht="15" customHeight="1" x14ac:dyDescent="0.2">
      <c r="A65" s="394"/>
      <c r="B65" s="394"/>
      <c r="C65" s="394"/>
      <c r="D65" s="394"/>
      <c r="E65" s="394"/>
      <c r="F65" s="394"/>
      <c r="G65" s="394"/>
      <c r="H65" s="394"/>
      <c r="I65" s="394"/>
      <c r="J65" s="394"/>
      <c r="K65" s="394"/>
      <c r="L65" s="394"/>
      <c r="M65" s="394"/>
    </row>
    <row r="66" spans="1:13" ht="15" customHeight="1" x14ac:dyDescent="0.2">
      <c r="A66" s="394"/>
      <c r="B66" s="394"/>
      <c r="C66" s="394"/>
      <c r="D66" s="394"/>
      <c r="E66" s="394"/>
      <c r="F66" s="394"/>
      <c r="G66" s="394"/>
      <c r="H66" s="394"/>
      <c r="I66" s="394"/>
      <c r="J66" s="394"/>
      <c r="K66" s="394"/>
      <c r="L66" s="394"/>
      <c r="M66" s="394"/>
    </row>
    <row r="67" spans="1:13" ht="15" customHeight="1" x14ac:dyDescent="0.2">
      <c r="A67" s="394"/>
      <c r="B67" s="394"/>
      <c r="C67" s="394"/>
      <c r="D67" s="394"/>
      <c r="E67" s="394"/>
      <c r="F67" s="394"/>
      <c r="G67" s="394"/>
      <c r="H67" s="394"/>
      <c r="I67" s="394"/>
      <c r="J67" s="394"/>
      <c r="K67" s="394"/>
      <c r="L67" s="394"/>
      <c r="M67" s="394"/>
    </row>
    <row r="68" spans="1:13" ht="15" customHeight="1" x14ac:dyDescent="0.2">
      <c r="A68" s="394"/>
      <c r="B68" s="394"/>
      <c r="C68" s="394"/>
      <c r="D68" s="394"/>
      <c r="E68" s="394"/>
      <c r="F68" s="394"/>
      <c r="G68" s="394"/>
      <c r="H68" s="394"/>
      <c r="I68" s="394"/>
      <c r="J68" s="394"/>
      <c r="K68" s="394"/>
      <c r="L68" s="394"/>
      <c r="M68" s="394"/>
    </row>
    <row r="69" spans="1:13" ht="15" customHeight="1" x14ac:dyDescent="0.2">
      <c r="A69" s="394"/>
      <c r="B69" s="394"/>
      <c r="C69" s="394"/>
      <c r="D69" s="394"/>
      <c r="E69" s="394"/>
      <c r="F69" s="394"/>
      <c r="G69" s="394"/>
      <c r="H69" s="394"/>
      <c r="I69" s="394"/>
      <c r="J69" s="394"/>
      <c r="K69" s="394"/>
      <c r="L69" s="394"/>
      <c r="M69" s="394"/>
    </row>
    <row r="70" spans="1:13" ht="15" customHeight="1" x14ac:dyDescent="0.2">
      <c r="A70" s="394"/>
      <c r="B70" s="394"/>
      <c r="C70" s="394"/>
      <c r="D70" s="394"/>
      <c r="E70" s="394"/>
      <c r="F70" s="394"/>
      <c r="G70" s="394"/>
      <c r="H70" s="394"/>
      <c r="I70" s="394"/>
      <c r="J70" s="394"/>
      <c r="K70" s="394"/>
      <c r="L70" s="394"/>
      <c r="M70" s="394"/>
    </row>
    <row r="71" spans="1:13" ht="15" customHeight="1" x14ac:dyDescent="0.2">
      <c r="A71" s="394"/>
      <c r="B71" s="394"/>
      <c r="C71" s="394"/>
      <c r="D71" s="394"/>
      <c r="E71" s="394"/>
      <c r="F71" s="394"/>
      <c r="G71" s="394"/>
      <c r="H71" s="394"/>
      <c r="I71" s="394"/>
      <c r="J71" s="394"/>
      <c r="K71" s="394"/>
      <c r="L71" s="394"/>
      <c r="M71" s="394"/>
    </row>
    <row r="72" spans="1:13" ht="15" customHeight="1" x14ac:dyDescent="0.2">
      <c r="A72" s="394"/>
      <c r="B72" s="394"/>
      <c r="C72" s="394"/>
      <c r="D72" s="394"/>
      <c r="E72" s="394"/>
      <c r="F72" s="394"/>
      <c r="G72" s="394"/>
      <c r="H72" s="394"/>
      <c r="I72" s="394"/>
      <c r="J72" s="394"/>
      <c r="K72" s="394"/>
      <c r="L72" s="394"/>
      <c r="M72" s="394"/>
    </row>
    <row r="73" spans="1:13" ht="15" customHeight="1" x14ac:dyDescent="0.2">
      <c r="A73" s="394"/>
      <c r="B73" s="394"/>
      <c r="C73" s="394"/>
      <c r="D73" s="394"/>
      <c r="E73" s="394"/>
      <c r="F73" s="394"/>
      <c r="G73" s="394"/>
      <c r="H73" s="394"/>
      <c r="I73" s="394"/>
      <c r="J73" s="394"/>
      <c r="K73" s="394"/>
      <c r="L73" s="394"/>
      <c r="M73" s="394"/>
    </row>
    <row r="74" spans="1:13" ht="15" customHeight="1" x14ac:dyDescent="0.2">
      <c r="A74" s="394"/>
      <c r="B74" s="394"/>
      <c r="C74" s="394"/>
      <c r="D74" s="394"/>
      <c r="E74" s="394"/>
      <c r="F74" s="394"/>
      <c r="G74" s="394"/>
      <c r="H74" s="394"/>
      <c r="I74" s="394"/>
      <c r="J74" s="394"/>
      <c r="K74" s="394"/>
      <c r="L74" s="394"/>
      <c r="M74" s="394"/>
    </row>
    <row r="75" spans="1:13" ht="15" customHeight="1" x14ac:dyDescent="0.2">
      <c r="A75" s="394"/>
      <c r="B75" s="394"/>
      <c r="C75" s="394"/>
      <c r="D75" s="394"/>
      <c r="E75" s="394"/>
      <c r="F75" s="394"/>
      <c r="G75" s="394"/>
      <c r="H75" s="394"/>
      <c r="I75" s="394"/>
      <c r="J75" s="394"/>
      <c r="K75" s="394"/>
      <c r="L75" s="394"/>
      <c r="M75" s="394"/>
    </row>
    <row r="76" spans="1:13" ht="15" customHeight="1" x14ac:dyDescent="0.2">
      <c r="A76" s="394"/>
      <c r="B76" s="394"/>
      <c r="C76" s="394"/>
      <c r="D76" s="394"/>
      <c r="E76" s="394"/>
      <c r="F76" s="394"/>
      <c r="G76" s="394"/>
      <c r="H76" s="394"/>
      <c r="I76" s="394"/>
      <c r="J76" s="394"/>
      <c r="K76" s="394"/>
      <c r="L76" s="394"/>
      <c r="M76" s="394"/>
    </row>
    <row r="77" spans="1:13" ht="15" customHeight="1" x14ac:dyDescent="0.2">
      <c r="A77" s="394"/>
      <c r="B77" s="394"/>
      <c r="C77" s="394"/>
      <c r="D77" s="394"/>
      <c r="E77" s="394"/>
      <c r="F77" s="394"/>
      <c r="G77" s="394"/>
      <c r="H77" s="394"/>
      <c r="I77" s="394"/>
      <c r="J77" s="394"/>
      <c r="K77" s="394"/>
      <c r="L77" s="394"/>
      <c r="M77" s="394"/>
    </row>
    <row r="78" spans="1:13" ht="15" customHeight="1" x14ac:dyDescent="0.2">
      <c r="A78" s="394"/>
      <c r="B78" s="394"/>
      <c r="C78" s="394"/>
      <c r="D78" s="394"/>
      <c r="E78" s="394"/>
      <c r="F78" s="394"/>
      <c r="G78" s="394"/>
      <c r="H78" s="394"/>
      <c r="I78" s="394"/>
      <c r="J78" s="394"/>
      <c r="K78" s="394"/>
      <c r="L78" s="394"/>
      <c r="M78" s="394"/>
    </row>
    <row r="79" spans="1:13" ht="15" customHeight="1" x14ac:dyDescent="0.2">
      <c r="A79" s="394"/>
      <c r="B79" s="394"/>
      <c r="C79" s="394"/>
      <c r="D79" s="394"/>
      <c r="E79" s="394"/>
      <c r="F79" s="394"/>
      <c r="G79" s="394"/>
      <c r="H79" s="394"/>
      <c r="I79" s="394"/>
      <c r="J79" s="394"/>
      <c r="K79" s="394"/>
      <c r="L79" s="394"/>
      <c r="M79" s="394"/>
    </row>
    <row r="80" spans="1:13" ht="15" customHeight="1" x14ac:dyDescent="0.2">
      <c r="A80" s="394"/>
      <c r="B80" s="394"/>
      <c r="C80" s="394"/>
      <c r="D80" s="394"/>
      <c r="E80" s="394"/>
      <c r="F80" s="394"/>
      <c r="G80" s="394"/>
      <c r="H80" s="394"/>
      <c r="I80" s="394"/>
      <c r="J80" s="394"/>
      <c r="K80" s="394"/>
      <c r="L80" s="394"/>
      <c r="M80" s="394"/>
    </row>
    <row r="81" spans="1:13" ht="15" customHeight="1" x14ac:dyDescent="0.2">
      <c r="A81" s="394"/>
      <c r="B81" s="394"/>
      <c r="C81" s="394"/>
      <c r="D81" s="394"/>
      <c r="E81" s="394"/>
      <c r="F81" s="394"/>
      <c r="G81" s="394"/>
      <c r="H81" s="394"/>
      <c r="I81" s="394"/>
      <c r="J81" s="394"/>
      <c r="K81" s="394"/>
      <c r="L81" s="394"/>
      <c r="M81" s="394"/>
    </row>
    <row r="82" spans="1:13" ht="15" customHeight="1" x14ac:dyDescent="0.2">
      <c r="A82" s="394"/>
      <c r="B82" s="394"/>
      <c r="C82" s="394"/>
      <c r="D82" s="394"/>
      <c r="E82" s="394"/>
      <c r="F82" s="394"/>
      <c r="G82" s="394"/>
      <c r="H82" s="394"/>
      <c r="I82" s="394"/>
      <c r="J82" s="394"/>
      <c r="K82" s="394"/>
      <c r="L82" s="394"/>
      <c r="M82" s="394"/>
    </row>
    <row r="83" spans="1:13" ht="15" customHeight="1" x14ac:dyDescent="0.2">
      <c r="A83" s="394"/>
      <c r="B83" s="394"/>
      <c r="C83" s="394"/>
      <c r="D83" s="394"/>
      <c r="E83" s="394"/>
      <c r="F83" s="394"/>
      <c r="G83" s="394"/>
      <c r="H83" s="394"/>
      <c r="I83" s="394"/>
      <c r="J83" s="394"/>
      <c r="K83" s="394"/>
      <c r="L83" s="394"/>
      <c r="M83" s="394"/>
    </row>
    <row r="84" spans="1:13" ht="15" customHeight="1" x14ac:dyDescent="0.2">
      <c r="A84" s="394"/>
      <c r="B84" s="394"/>
      <c r="C84" s="394"/>
      <c r="D84" s="394"/>
      <c r="E84" s="394"/>
      <c r="F84" s="394"/>
      <c r="G84" s="394"/>
      <c r="H84" s="394"/>
      <c r="I84" s="394"/>
      <c r="J84" s="394"/>
      <c r="K84" s="394"/>
      <c r="L84" s="394"/>
      <c r="M84" s="394"/>
    </row>
    <row r="85" spans="1:13" ht="15" customHeight="1" x14ac:dyDescent="0.2">
      <c r="A85" s="394"/>
      <c r="B85" s="394"/>
      <c r="C85" s="394"/>
      <c r="D85" s="394"/>
      <c r="E85" s="394"/>
      <c r="F85" s="394"/>
      <c r="G85" s="394"/>
      <c r="H85" s="394"/>
      <c r="I85" s="394"/>
      <c r="J85" s="394"/>
      <c r="K85" s="394"/>
      <c r="L85" s="394"/>
      <c r="M85" s="394"/>
    </row>
    <row r="86" spans="1:13" ht="15" customHeight="1" x14ac:dyDescent="0.2">
      <c r="A86" s="394"/>
      <c r="B86" s="394"/>
      <c r="C86" s="394"/>
      <c r="D86" s="394"/>
      <c r="E86" s="394"/>
      <c r="F86" s="394"/>
      <c r="G86" s="394"/>
      <c r="H86" s="394"/>
      <c r="I86" s="394"/>
      <c r="J86" s="394"/>
      <c r="K86" s="394"/>
      <c r="L86" s="394"/>
      <c r="M86" s="394"/>
    </row>
    <row r="87" spans="1:13" ht="15" customHeight="1" x14ac:dyDescent="0.2">
      <c r="A87" s="394"/>
      <c r="B87" s="394"/>
      <c r="C87" s="394"/>
      <c r="D87" s="394"/>
      <c r="E87" s="394"/>
      <c r="F87" s="394"/>
      <c r="G87" s="394"/>
      <c r="H87" s="394"/>
      <c r="I87" s="394"/>
      <c r="J87" s="394"/>
      <c r="K87" s="394"/>
      <c r="L87" s="394"/>
      <c r="M87" s="394"/>
    </row>
    <row r="88" spans="1:13" ht="15" customHeight="1" x14ac:dyDescent="0.2">
      <c r="A88" s="394"/>
      <c r="B88" s="394"/>
      <c r="C88" s="394"/>
      <c r="D88" s="394"/>
      <c r="E88" s="394"/>
      <c r="F88" s="394"/>
      <c r="G88" s="394"/>
      <c r="H88" s="394"/>
      <c r="I88" s="394"/>
      <c r="J88" s="394"/>
      <c r="K88" s="394"/>
      <c r="L88" s="394"/>
      <c r="M88" s="394"/>
    </row>
    <row r="89" spans="1:13" ht="15" customHeight="1" x14ac:dyDescent="0.2">
      <c r="A89" s="394"/>
      <c r="B89" s="394"/>
      <c r="C89" s="394"/>
      <c r="D89" s="394"/>
      <c r="E89" s="394"/>
      <c r="F89" s="394"/>
      <c r="G89" s="394"/>
      <c r="H89" s="394"/>
      <c r="I89" s="394"/>
      <c r="J89" s="394"/>
      <c r="K89" s="394"/>
      <c r="L89" s="394"/>
      <c r="M89" s="394"/>
    </row>
    <row r="90" spans="1:13" ht="15" customHeight="1" x14ac:dyDescent="0.2">
      <c r="A90" s="394"/>
      <c r="B90" s="394"/>
      <c r="C90" s="394"/>
      <c r="D90" s="394"/>
      <c r="E90" s="394"/>
      <c r="F90" s="394"/>
      <c r="G90" s="394"/>
      <c r="H90" s="394"/>
      <c r="I90" s="394"/>
      <c r="J90" s="394"/>
      <c r="K90" s="394"/>
      <c r="L90" s="394"/>
      <c r="M90" s="394"/>
    </row>
    <row r="91" spans="1:13" ht="15" customHeight="1" x14ac:dyDescent="0.2">
      <c r="A91" s="394"/>
      <c r="B91" s="394"/>
      <c r="C91" s="394"/>
      <c r="D91" s="394"/>
      <c r="E91" s="394"/>
      <c r="F91" s="394"/>
      <c r="G91" s="394"/>
      <c r="H91" s="394"/>
      <c r="I91" s="394"/>
      <c r="J91" s="394"/>
      <c r="K91" s="394"/>
      <c r="L91" s="394"/>
      <c r="M91" s="394"/>
    </row>
    <row r="92" spans="1:13" ht="15" customHeight="1" x14ac:dyDescent="0.2">
      <c r="A92" s="394"/>
      <c r="B92" s="394"/>
      <c r="C92" s="394"/>
      <c r="D92" s="394"/>
      <c r="E92" s="394"/>
      <c r="F92" s="394"/>
      <c r="G92" s="394"/>
      <c r="H92" s="394"/>
      <c r="I92" s="394"/>
      <c r="J92" s="394"/>
      <c r="K92" s="394"/>
      <c r="L92" s="394"/>
      <c r="M92" s="394"/>
    </row>
    <row r="93" spans="1:13" ht="15" customHeight="1" x14ac:dyDescent="0.2">
      <c r="A93" s="394"/>
      <c r="B93" s="394"/>
      <c r="C93" s="394"/>
      <c r="D93" s="394"/>
      <c r="E93" s="394"/>
      <c r="F93" s="394"/>
      <c r="G93" s="394"/>
      <c r="H93" s="394"/>
      <c r="I93" s="394"/>
      <c r="J93" s="394"/>
      <c r="K93" s="394"/>
      <c r="L93" s="394"/>
      <c r="M93" s="394"/>
    </row>
    <row r="94" spans="1:13" ht="15" customHeight="1" x14ac:dyDescent="0.2">
      <c r="A94" s="394"/>
      <c r="B94" s="394"/>
      <c r="C94" s="394"/>
      <c r="D94" s="394"/>
      <c r="E94" s="394"/>
      <c r="F94" s="394"/>
      <c r="G94" s="394"/>
      <c r="H94" s="394"/>
      <c r="I94" s="394"/>
      <c r="J94" s="394"/>
      <c r="K94" s="394"/>
      <c r="L94" s="394"/>
      <c r="M94" s="394"/>
    </row>
    <row r="95" spans="1:13" ht="15" customHeight="1" x14ac:dyDescent="0.2">
      <c r="A95" s="394"/>
      <c r="B95" s="394"/>
      <c r="C95" s="394"/>
      <c r="D95" s="394"/>
      <c r="E95" s="394"/>
      <c r="F95" s="394"/>
      <c r="G95" s="394"/>
      <c r="H95" s="394"/>
      <c r="I95" s="394"/>
      <c r="J95" s="394"/>
      <c r="K95" s="394"/>
      <c r="L95" s="394"/>
      <c r="M95" s="394"/>
    </row>
    <row r="96" spans="1:13" ht="15" customHeight="1" x14ac:dyDescent="0.2">
      <c r="A96" s="394"/>
      <c r="B96" s="394"/>
      <c r="C96" s="394"/>
      <c r="D96" s="394"/>
      <c r="E96" s="394"/>
      <c r="F96" s="394"/>
      <c r="G96" s="394"/>
      <c r="H96" s="394"/>
      <c r="I96" s="394"/>
      <c r="J96" s="394"/>
      <c r="K96" s="394"/>
      <c r="L96" s="394"/>
      <c r="M96" s="394"/>
    </row>
    <row r="97" spans="1:13" ht="15" customHeight="1" x14ac:dyDescent="0.2">
      <c r="A97" s="394"/>
      <c r="B97" s="394"/>
      <c r="C97" s="394"/>
      <c r="D97" s="394"/>
      <c r="E97" s="394"/>
      <c r="F97" s="394"/>
      <c r="G97" s="394"/>
      <c r="H97" s="394"/>
      <c r="I97" s="394"/>
      <c r="J97" s="394"/>
      <c r="K97" s="394"/>
      <c r="L97" s="394"/>
      <c r="M97" s="394"/>
    </row>
    <row r="98" spans="1:13" ht="15" customHeight="1" x14ac:dyDescent="0.2">
      <c r="A98" s="394"/>
      <c r="B98" s="394"/>
      <c r="C98" s="394"/>
      <c r="D98" s="394"/>
      <c r="E98" s="394"/>
      <c r="F98" s="394"/>
      <c r="G98" s="394"/>
      <c r="H98" s="394"/>
      <c r="I98" s="394"/>
      <c r="J98" s="394"/>
      <c r="K98" s="394"/>
      <c r="L98" s="394"/>
      <c r="M98" s="394"/>
    </row>
    <row r="99" spans="1:13" ht="15" customHeight="1" x14ac:dyDescent="0.2">
      <c r="A99" s="394"/>
      <c r="B99" s="394"/>
      <c r="C99" s="394"/>
      <c r="D99" s="394"/>
      <c r="E99" s="394"/>
      <c r="F99" s="394"/>
      <c r="G99" s="394"/>
      <c r="H99" s="394"/>
      <c r="I99" s="394"/>
      <c r="J99" s="394"/>
      <c r="K99" s="394"/>
      <c r="L99" s="394"/>
      <c r="M99" s="394"/>
    </row>
    <row r="100" spans="1:13" ht="15" customHeight="1" x14ac:dyDescent="0.2">
      <c r="A100" s="394"/>
      <c r="B100" s="394"/>
      <c r="C100" s="394"/>
      <c r="D100" s="394"/>
      <c r="E100" s="394"/>
      <c r="F100" s="394"/>
      <c r="G100" s="394"/>
      <c r="H100" s="394"/>
      <c r="I100" s="394"/>
      <c r="J100" s="394"/>
      <c r="K100" s="394"/>
      <c r="L100" s="394"/>
      <c r="M100" s="394"/>
    </row>
    <row r="101" spans="1:13" ht="15" customHeight="1" x14ac:dyDescent="0.2">
      <c r="A101" s="394"/>
      <c r="B101" s="394"/>
      <c r="C101" s="394"/>
      <c r="D101" s="394"/>
      <c r="E101" s="394"/>
      <c r="F101" s="394"/>
      <c r="G101" s="394"/>
      <c r="H101" s="394"/>
      <c r="I101" s="394"/>
      <c r="J101" s="394"/>
      <c r="K101" s="394"/>
      <c r="L101" s="394"/>
      <c r="M101" s="394"/>
    </row>
    <row r="102" spans="1:13" ht="15" customHeight="1" x14ac:dyDescent="0.2">
      <c r="A102" s="394"/>
      <c r="B102" s="394"/>
      <c r="C102" s="394"/>
      <c r="D102" s="394"/>
      <c r="E102" s="394"/>
      <c r="F102" s="394"/>
      <c r="G102" s="394"/>
      <c r="H102" s="394"/>
      <c r="I102" s="394"/>
      <c r="J102" s="394"/>
      <c r="K102" s="394"/>
      <c r="L102" s="394"/>
      <c r="M102" s="394"/>
    </row>
    <row r="103" spans="1:13" ht="15" customHeight="1" x14ac:dyDescent="0.2">
      <c r="A103" s="394"/>
      <c r="B103" s="394"/>
      <c r="C103" s="394"/>
      <c r="D103" s="394"/>
      <c r="E103" s="394"/>
      <c r="F103" s="394"/>
      <c r="G103" s="394"/>
      <c r="H103" s="394"/>
      <c r="I103" s="394"/>
      <c r="J103" s="394"/>
      <c r="K103" s="394"/>
      <c r="L103" s="394"/>
      <c r="M103" s="394"/>
    </row>
    <row r="104" spans="1:13" ht="15" customHeight="1" x14ac:dyDescent="0.2">
      <c r="A104" s="394"/>
      <c r="B104" s="394"/>
      <c r="C104" s="394"/>
      <c r="D104" s="394"/>
      <c r="E104" s="394"/>
      <c r="F104" s="394"/>
      <c r="G104" s="394"/>
      <c r="H104" s="394"/>
      <c r="I104" s="394"/>
      <c r="J104" s="394"/>
      <c r="K104" s="394"/>
      <c r="L104" s="394"/>
      <c r="M104" s="394"/>
    </row>
    <row r="105" spans="1:13" ht="15" customHeight="1" x14ac:dyDescent="0.2">
      <c r="A105" s="394"/>
      <c r="B105" s="394"/>
      <c r="C105" s="394"/>
      <c r="D105" s="394"/>
      <c r="E105" s="394"/>
      <c r="F105" s="394"/>
      <c r="G105" s="394"/>
      <c r="H105" s="394"/>
      <c r="I105" s="394"/>
      <c r="J105" s="394"/>
      <c r="K105" s="394"/>
      <c r="L105" s="394"/>
      <c r="M105" s="394"/>
    </row>
    <row r="106" spans="1:13" ht="15" customHeight="1" x14ac:dyDescent="0.2">
      <c r="A106" s="394"/>
      <c r="B106" s="394"/>
      <c r="C106" s="394"/>
      <c r="D106" s="394"/>
      <c r="E106" s="394"/>
      <c r="F106" s="394"/>
      <c r="G106" s="394"/>
      <c r="H106" s="394"/>
      <c r="I106" s="394"/>
      <c r="J106" s="394"/>
      <c r="K106" s="394"/>
      <c r="L106" s="394"/>
      <c r="M106" s="394"/>
    </row>
    <row r="107" spans="1:13" ht="15" customHeight="1" x14ac:dyDescent="0.2">
      <c r="A107" s="394"/>
      <c r="B107" s="394"/>
      <c r="C107" s="394"/>
      <c r="D107" s="394"/>
      <c r="E107" s="394"/>
      <c r="F107" s="394"/>
      <c r="G107" s="394"/>
      <c r="H107" s="394"/>
      <c r="I107" s="394"/>
      <c r="J107" s="394"/>
      <c r="K107" s="394"/>
      <c r="L107" s="394"/>
      <c r="M107" s="394"/>
    </row>
    <row r="108" spans="1:13" ht="15" customHeight="1" x14ac:dyDescent="0.2">
      <c r="A108" s="394"/>
      <c r="B108" s="394"/>
      <c r="C108" s="394"/>
      <c r="D108" s="394"/>
      <c r="E108" s="394"/>
      <c r="F108" s="394"/>
      <c r="G108" s="394"/>
      <c r="H108" s="394"/>
      <c r="I108" s="394"/>
      <c r="J108" s="394"/>
      <c r="K108" s="394"/>
      <c r="L108" s="394"/>
      <c r="M108" s="394"/>
    </row>
    <row r="109" spans="1:13" ht="15" customHeight="1" x14ac:dyDescent="0.2">
      <c r="A109" s="394"/>
      <c r="B109" s="394"/>
      <c r="C109" s="394"/>
      <c r="D109" s="394"/>
      <c r="E109" s="394"/>
      <c r="F109" s="394"/>
      <c r="G109" s="394"/>
      <c r="H109" s="394"/>
      <c r="I109" s="394"/>
      <c r="J109" s="394"/>
      <c r="K109" s="394"/>
      <c r="L109" s="394"/>
      <c r="M109" s="394"/>
    </row>
    <row r="110" spans="1:13" ht="15" customHeight="1" x14ac:dyDescent="0.2">
      <c r="A110" s="394"/>
      <c r="B110" s="394"/>
      <c r="C110" s="394"/>
      <c r="D110" s="394"/>
      <c r="E110" s="394"/>
      <c r="F110" s="394"/>
      <c r="G110" s="394"/>
      <c r="H110" s="394"/>
      <c r="I110" s="394"/>
      <c r="J110" s="394"/>
      <c r="K110" s="394"/>
      <c r="L110" s="394"/>
      <c r="M110" s="394"/>
    </row>
    <row r="111" spans="1:13" ht="15" customHeight="1" x14ac:dyDescent="0.2">
      <c r="A111" s="394"/>
      <c r="B111" s="394"/>
      <c r="C111" s="394"/>
      <c r="D111" s="394"/>
      <c r="E111" s="394"/>
      <c r="F111" s="394"/>
      <c r="G111" s="394"/>
      <c r="H111" s="394"/>
      <c r="I111" s="394"/>
      <c r="J111" s="394"/>
      <c r="K111" s="394"/>
      <c r="L111" s="394"/>
      <c r="M111" s="394"/>
    </row>
    <row r="112" spans="1:13" ht="15" customHeight="1" x14ac:dyDescent="0.2">
      <c r="A112" s="394"/>
      <c r="B112" s="394"/>
      <c r="C112" s="394"/>
      <c r="D112" s="394"/>
      <c r="E112" s="394"/>
      <c r="F112" s="394"/>
      <c r="G112" s="394"/>
      <c r="H112" s="394"/>
      <c r="I112" s="394"/>
      <c r="J112" s="394"/>
      <c r="K112" s="394"/>
      <c r="L112" s="394"/>
      <c r="M112" s="394"/>
    </row>
    <row r="113" spans="1:13" ht="15" customHeight="1" x14ac:dyDescent="0.2">
      <c r="A113" s="394"/>
      <c r="B113" s="394"/>
      <c r="C113" s="394"/>
      <c r="D113" s="394"/>
      <c r="E113" s="394"/>
      <c r="F113" s="394"/>
      <c r="G113" s="394"/>
      <c r="H113" s="394"/>
      <c r="I113" s="394"/>
      <c r="J113" s="394"/>
      <c r="K113" s="394"/>
      <c r="L113" s="394"/>
      <c r="M113" s="394"/>
    </row>
    <row r="114" spans="1:13" ht="15" customHeight="1" x14ac:dyDescent="0.2">
      <c r="A114" s="394"/>
      <c r="B114" s="394"/>
      <c r="C114" s="394"/>
      <c r="D114" s="394"/>
      <c r="E114" s="394"/>
      <c r="F114" s="394"/>
      <c r="G114" s="394"/>
      <c r="H114" s="394"/>
      <c r="I114" s="394"/>
      <c r="J114" s="394"/>
      <c r="K114" s="394"/>
      <c r="L114" s="394"/>
      <c r="M114" s="394"/>
    </row>
    <row r="115" spans="1:13" ht="15" customHeight="1" x14ac:dyDescent="0.2">
      <c r="A115" s="394"/>
      <c r="B115" s="394"/>
      <c r="C115" s="394"/>
      <c r="D115" s="394"/>
      <c r="E115" s="394"/>
      <c r="F115" s="394"/>
      <c r="G115" s="394"/>
      <c r="H115" s="394"/>
      <c r="I115" s="394"/>
      <c r="J115" s="394"/>
      <c r="K115" s="394"/>
      <c r="L115" s="394"/>
      <c r="M115" s="394"/>
    </row>
    <row r="116" spans="1:13" ht="15" customHeight="1" x14ac:dyDescent="0.2">
      <c r="A116" s="394"/>
      <c r="B116" s="394"/>
      <c r="C116" s="394"/>
      <c r="D116" s="394"/>
      <c r="E116" s="394"/>
      <c r="F116" s="394"/>
      <c r="G116" s="394"/>
      <c r="H116" s="394"/>
      <c r="I116" s="394"/>
      <c r="J116" s="394"/>
      <c r="K116" s="394"/>
      <c r="L116" s="394"/>
      <c r="M116" s="394"/>
    </row>
    <row r="117" spans="1:13" ht="15" customHeight="1" x14ac:dyDescent="0.2">
      <c r="A117" s="394"/>
      <c r="B117" s="394"/>
      <c r="C117" s="394"/>
      <c r="D117" s="394"/>
      <c r="E117" s="394"/>
      <c r="F117" s="394"/>
      <c r="G117" s="394"/>
      <c r="H117" s="394"/>
      <c r="I117" s="394"/>
      <c r="J117" s="394"/>
      <c r="K117" s="394"/>
      <c r="L117" s="394"/>
      <c r="M117" s="394"/>
    </row>
    <row r="118" spans="1:13" ht="15" customHeight="1" x14ac:dyDescent="0.2">
      <c r="A118" s="394"/>
      <c r="B118" s="394"/>
      <c r="C118" s="394"/>
      <c r="D118" s="394"/>
      <c r="E118" s="394"/>
      <c r="F118" s="394"/>
      <c r="G118" s="394"/>
      <c r="H118" s="394"/>
      <c r="I118" s="394"/>
      <c r="J118" s="394"/>
      <c r="K118" s="394"/>
      <c r="L118" s="394"/>
      <c r="M118" s="394"/>
    </row>
    <row r="119" spans="1:13" ht="15" customHeight="1" x14ac:dyDescent="0.2">
      <c r="A119" s="394"/>
      <c r="B119" s="394"/>
      <c r="C119" s="394"/>
      <c r="D119" s="394"/>
      <c r="E119" s="394"/>
      <c r="F119" s="394"/>
      <c r="G119" s="394"/>
      <c r="H119" s="394"/>
      <c r="I119" s="394"/>
      <c r="J119" s="394"/>
      <c r="K119" s="394"/>
      <c r="L119" s="394"/>
      <c r="M119" s="394"/>
    </row>
    <row r="120" spans="1:13" ht="15" customHeight="1" x14ac:dyDescent="0.2">
      <c r="A120" s="394"/>
      <c r="B120" s="394"/>
      <c r="C120" s="394"/>
      <c r="D120" s="394"/>
      <c r="E120" s="394"/>
      <c r="F120" s="394"/>
      <c r="G120" s="394"/>
      <c r="H120" s="394"/>
      <c r="I120" s="394"/>
      <c r="J120" s="394"/>
      <c r="K120" s="394"/>
      <c r="L120" s="394"/>
      <c r="M120" s="394"/>
    </row>
    <row r="121" spans="1:13" ht="15" customHeight="1" x14ac:dyDescent="0.2">
      <c r="A121" s="394"/>
      <c r="B121" s="394"/>
      <c r="C121" s="394"/>
      <c r="D121" s="394"/>
      <c r="E121" s="394"/>
      <c r="F121" s="394"/>
      <c r="G121" s="394"/>
      <c r="H121" s="394"/>
      <c r="I121" s="394"/>
      <c r="J121" s="394"/>
      <c r="K121" s="394"/>
      <c r="L121" s="394"/>
      <c r="M121" s="394"/>
    </row>
    <row r="122" spans="1:13" ht="15" customHeight="1" x14ac:dyDescent="0.2">
      <c r="A122" s="394"/>
      <c r="B122" s="394"/>
      <c r="C122" s="394"/>
      <c r="D122" s="394"/>
      <c r="E122" s="394"/>
      <c r="F122" s="394"/>
      <c r="G122" s="394"/>
      <c r="H122" s="394"/>
      <c r="I122" s="394"/>
      <c r="J122" s="394"/>
      <c r="K122" s="394"/>
      <c r="L122" s="394"/>
      <c r="M122" s="394"/>
    </row>
    <row r="123" spans="1:13" ht="15" customHeight="1" x14ac:dyDescent="0.2">
      <c r="A123" s="394"/>
      <c r="B123" s="394"/>
      <c r="C123" s="394"/>
      <c r="D123" s="394"/>
      <c r="E123" s="394"/>
      <c r="F123" s="394"/>
      <c r="G123" s="394"/>
      <c r="H123" s="394"/>
      <c r="I123" s="394"/>
      <c r="J123" s="394"/>
      <c r="K123" s="394"/>
      <c r="L123" s="394"/>
      <c r="M123" s="394"/>
    </row>
    <row r="124" spans="1:13" ht="15" customHeight="1" x14ac:dyDescent="0.2">
      <c r="A124" s="394"/>
      <c r="B124" s="394"/>
      <c r="C124" s="394"/>
      <c r="D124" s="394"/>
      <c r="E124" s="394"/>
      <c r="F124" s="394"/>
      <c r="G124" s="394"/>
      <c r="H124" s="394"/>
      <c r="I124" s="394"/>
      <c r="J124" s="394"/>
      <c r="K124" s="394"/>
      <c r="L124" s="394"/>
      <c r="M124" s="394"/>
    </row>
    <row r="125" spans="1:13" ht="15" customHeight="1" x14ac:dyDescent="0.2">
      <c r="A125" s="394"/>
      <c r="B125" s="394"/>
      <c r="C125" s="394"/>
      <c r="D125" s="394"/>
      <c r="E125" s="394"/>
      <c r="F125" s="394"/>
      <c r="G125" s="394"/>
      <c r="H125" s="394"/>
      <c r="I125" s="394"/>
      <c r="J125" s="394"/>
      <c r="K125" s="394"/>
      <c r="L125" s="394"/>
      <c r="M125" s="394"/>
    </row>
    <row r="126" spans="1:13" ht="15" customHeight="1" x14ac:dyDescent="0.2">
      <c r="A126" s="394"/>
      <c r="B126" s="394"/>
      <c r="C126" s="394"/>
      <c r="D126" s="394"/>
      <c r="E126" s="394"/>
      <c r="F126" s="394"/>
      <c r="G126" s="394"/>
      <c r="H126" s="394"/>
      <c r="I126" s="394"/>
      <c r="J126" s="394"/>
      <c r="K126" s="394"/>
      <c r="L126" s="394"/>
      <c r="M126" s="394"/>
    </row>
    <row r="127" spans="1:13" ht="15" customHeight="1" x14ac:dyDescent="0.2">
      <c r="A127" s="394"/>
      <c r="B127" s="394"/>
      <c r="C127" s="394"/>
      <c r="D127" s="394"/>
      <c r="E127" s="394"/>
      <c r="F127" s="394"/>
      <c r="G127" s="394"/>
      <c r="H127" s="394"/>
      <c r="I127" s="394"/>
      <c r="J127" s="394"/>
      <c r="K127" s="394"/>
      <c r="L127" s="394"/>
      <c r="M127" s="394"/>
    </row>
    <row r="128" spans="1:13" ht="15" customHeight="1" x14ac:dyDescent="0.2">
      <c r="A128" s="394"/>
      <c r="B128" s="394"/>
      <c r="C128" s="394"/>
      <c r="D128" s="394"/>
      <c r="E128" s="394"/>
      <c r="F128" s="394"/>
      <c r="G128" s="394"/>
      <c r="H128" s="394"/>
      <c r="I128" s="394"/>
      <c r="J128" s="394"/>
      <c r="K128" s="394"/>
      <c r="L128" s="394"/>
      <c r="M128" s="394"/>
    </row>
    <row r="129" spans="1:13" ht="15" customHeight="1" x14ac:dyDescent="0.2">
      <c r="A129" s="394"/>
      <c r="B129" s="394"/>
      <c r="C129" s="394"/>
      <c r="D129" s="394"/>
      <c r="E129" s="394"/>
      <c r="F129" s="394"/>
      <c r="G129" s="394"/>
      <c r="H129" s="394"/>
      <c r="I129" s="394"/>
      <c r="J129" s="394"/>
      <c r="K129" s="394"/>
      <c r="L129" s="394"/>
      <c r="M129" s="394"/>
    </row>
    <row r="130" spans="1:13" ht="15" customHeight="1" x14ac:dyDescent="0.2">
      <c r="A130" s="394"/>
      <c r="B130" s="394"/>
      <c r="C130" s="394"/>
      <c r="D130" s="394"/>
      <c r="E130" s="394"/>
      <c r="F130" s="394"/>
      <c r="G130" s="394"/>
      <c r="H130" s="394"/>
      <c r="I130" s="394"/>
      <c r="J130" s="394"/>
      <c r="K130" s="394"/>
      <c r="L130" s="394"/>
      <c r="M130" s="394"/>
    </row>
    <row r="131" spans="1:13" ht="15" customHeight="1" x14ac:dyDescent="0.2">
      <c r="A131" s="394"/>
      <c r="B131" s="394"/>
      <c r="C131" s="394"/>
      <c r="D131" s="394"/>
      <c r="E131" s="394"/>
      <c r="F131" s="394"/>
      <c r="G131" s="394"/>
      <c r="H131" s="394"/>
      <c r="I131" s="394"/>
      <c r="J131" s="394"/>
      <c r="K131" s="394"/>
      <c r="L131" s="394"/>
      <c r="M131" s="394"/>
    </row>
    <row r="132" spans="1:13" ht="15" customHeight="1" x14ac:dyDescent="0.2">
      <c r="A132" s="394"/>
      <c r="B132" s="394"/>
      <c r="C132" s="394"/>
      <c r="D132" s="394"/>
      <c r="E132" s="394"/>
      <c r="F132" s="394"/>
      <c r="G132" s="394"/>
      <c r="H132" s="394"/>
      <c r="I132" s="394"/>
      <c r="J132" s="394"/>
      <c r="K132" s="394"/>
      <c r="L132" s="394"/>
      <c r="M132" s="394"/>
    </row>
    <row r="133" spans="1:13" ht="15" customHeight="1" x14ac:dyDescent="0.2">
      <c r="A133" s="394"/>
      <c r="B133" s="394"/>
      <c r="C133" s="394"/>
      <c r="D133" s="394"/>
      <c r="E133" s="394"/>
      <c r="F133" s="394"/>
      <c r="G133" s="394"/>
      <c r="H133" s="394"/>
      <c r="I133" s="394"/>
      <c r="J133" s="394"/>
      <c r="K133" s="394"/>
      <c r="L133" s="394"/>
      <c r="M133" s="394"/>
    </row>
    <row r="134" spans="1:13" ht="15" customHeight="1" x14ac:dyDescent="0.2">
      <c r="A134" s="394"/>
      <c r="B134" s="394"/>
      <c r="C134" s="394"/>
      <c r="D134" s="394"/>
      <c r="E134" s="394"/>
      <c r="F134" s="394"/>
      <c r="G134" s="394"/>
      <c r="H134" s="394"/>
      <c r="I134" s="394"/>
      <c r="J134" s="394"/>
      <c r="K134" s="394"/>
      <c r="L134" s="394"/>
      <c r="M134" s="394"/>
    </row>
    <row r="135" spans="1:13" ht="15" customHeight="1" x14ac:dyDescent="0.2">
      <c r="A135" s="394"/>
      <c r="B135" s="394"/>
      <c r="C135" s="394"/>
      <c r="D135" s="394"/>
      <c r="E135" s="394"/>
      <c r="F135" s="394"/>
      <c r="G135" s="394"/>
      <c r="H135" s="394"/>
      <c r="I135" s="394"/>
      <c r="J135" s="394"/>
      <c r="K135" s="394"/>
      <c r="L135" s="394"/>
      <c r="M135" s="394"/>
    </row>
    <row r="136" spans="1:13" ht="15" customHeight="1" x14ac:dyDescent="0.2">
      <c r="A136" s="394"/>
      <c r="B136" s="394"/>
      <c r="C136" s="394"/>
      <c r="D136" s="394"/>
      <c r="E136" s="394"/>
      <c r="F136" s="394"/>
      <c r="G136" s="394"/>
      <c r="H136" s="394"/>
      <c r="I136" s="394"/>
      <c r="J136" s="394"/>
      <c r="K136" s="394"/>
      <c r="L136" s="394"/>
      <c r="M136" s="394"/>
    </row>
    <row r="137" spans="1:13" ht="15" customHeight="1" x14ac:dyDescent="0.2">
      <c r="A137" s="394"/>
      <c r="B137" s="394"/>
      <c r="C137" s="394"/>
      <c r="D137" s="394"/>
      <c r="E137" s="394"/>
      <c r="F137" s="394"/>
      <c r="G137" s="394"/>
      <c r="H137" s="394"/>
      <c r="I137" s="394"/>
      <c r="J137" s="394"/>
      <c r="K137" s="394"/>
      <c r="L137" s="394"/>
      <c r="M137" s="394"/>
    </row>
    <row r="138" spans="1:13" ht="15" customHeight="1" x14ac:dyDescent="0.2">
      <c r="A138" s="394"/>
      <c r="B138" s="394"/>
      <c r="C138" s="394"/>
      <c r="D138" s="394"/>
      <c r="E138" s="394"/>
      <c r="F138" s="394"/>
      <c r="G138" s="394"/>
      <c r="H138" s="394"/>
      <c r="I138" s="394"/>
      <c r="J138" s="394"/>
      <c r="K138" s="394"/>
      <c r="L138" s="394"/>
      <c r="M138" s="394"/>
    </row>
    <row r="139" spans="1:13" ht="15" customHeight="1" x14ac:dyDescent="0.2">
      <c r="A139" s="394"/>
      <c r="B139" s="394"/>
      <c r="C139" s="394"/>
      <c r="D139" s="394"/>
      <c r="E139" s="394"/>
      <c r="F139" s="394"/>
      <c r="G139" s="394"/>
      <c r="H139" s="394"/>
      <c r="I139" s="394"/>
      <c r="J139" s="394"/>
      <c r="K139" s="394"/>
      <c r="L139" s="394"/>
      <c r="M139" s="394"/>
    </row>
    <row r="140" spans="1:13" ht="15" customHeight="1" x14ac:dyDescent="0.2">
      <c r="A140" s="394"/>
      <c r="B140" s="394"/>
      <c r="C140" s="394"/>
      <c r="D140" s="394"/>
      <c r="E140" s="394"/>
      <c r="F140" s="394"/>
      <c r="G140" s="394"/>
      <c r="H140" s="394"/>
      <c r="I140" s="394"/>
      <c r="J140" s="394"/>
      <c r="K140" s="394"/>
      <c r="L140" s="394"/>
      <c r="M140" s="394"/>
    </row>
    <row r="141" spans="1:13" ht="15" customHeight="1" x14ac:dyDescent="0.2">
      <c r="A141" s="394"/>
      <c r="B141" s="394"/>
      <c r="C141" s="394"/>
      <c r="D141" s="394"/>
      <c r="E141" s="394"/>
      <c r="F141" s="394"/>
      <c r="G141" s="394"/>
      <c r="H141" s="394"/>
      <c r="I141" s="394"/>
      <c r="J141" s="394"/>
      <c r="K141" s="394"/>
      <c r="L141" s="394"/>
      <c r="M141" s="394"/>
    </row>
    <row r="142" spans="1:13" ht="15" customHeight="1" x14ac:dyDescent="0.2">
      <c r="A142" s="394"/>
      <c r="B142" s="394"/>
      <c r="C142" s="394"/>
      <c r="D142" s="394"/>
      <c r="E142" s="394"/>
      <c r="F142" s="394"/>
      <c r="G142" s="394"/>
      <c r="H142" s="394"/>
      <c r="I142" s="394"/>
      <c r="J142" s="394"/>
      <c r="K142" s="394"/>
      <c r="L142" s="394"/>
      <c r="M142" s="394"/>
    </row>
    <row r="143" spans="1:13" ht="15" customHeight="1" x14ac:dyDescent="0.2">
      <c r="A143" s="394"/>
      <c r="B143" s="394"/>
      <c r="C143" s="394"/>
      <c r="D143" s="394"/>
      <c r="E143" s="394"/>
      <c r="F143" s="394"/>
      <c r="G143" s="394"/>
      <c r="H143" s="394"/>
      <c r="I143" s="394"/>
      <c r="J143" s="394"/>
      <c r="K143" s="394"/>
      <c r="L143" s="394"/>
      <c r="M143" s="394"/>
    </row>
    <row r="144" spans="1:13" ht="15" customHeight="1" x14ac:dyDescent="0.2">
      <c r="A144" s="394"/>
      <c r="B144" s="394"/>
      <c r="C144" s="394"/>
      <c r="D144" s="394"/>
      <c r="E144" s="394"/>
      <c r="F144" s="394"/>
      <c r="G144" s="394"/>
      <c r="H144" s="394"/>
      <c r="I144" s="394"/>
      <c r="J144" s="394"/>
      <c r="K144" s="394"/>
      <c r="L144" s="394"/>
      <c r="M144" s="394"/>
    </row>
    <row r="145" spans="1:13" ht="15" customHeight="1" x14ac:dyDescent="0.2">
      <c r="A145" s="394"/>
      <c r="B145" s="394"/>
      <c r="C145" s="394"/>
      <c r="D145" s="394"/>
      <c r="E145" s="394"/>
      <c r="F145" s="394"/>
      <c r="G145" s="394"/>
      <c r="H145" s="394"/>
      <c r="I145" s="394"/>
      <c r="J145" s="394"/>
      <c r="K145" s="394"/>
      <c r="L145" s="394"/>
      <c r="M145" s="394"/>
    </row>
    <row r="146" spans="1:13" ht="15" x14ac:dyDescent="0.2">
      <c r="A146" s="394"/>
      <c r="B146" s="394"/>
      <c r="C146" s="394"/>
      <c r="D146" s="394"/>
      <c r="E146" s="394"/>
      <c r="F146" s="394"/>
      <c r="G146" s="394"/>
      <c r="H146" s="394"/>
      <c r="I146" s="394"/>
      <c r="J146" s="394"/>
      <c r="K146" s="394"/>
      <c r="L146" s="394"/>
      <c r="M146" s="394"/>
    </row>
    <row r="147" spans="1:13" ht="15" x14ac:dyDescent="0.2">
      <c r="A147" s="394"/>
      <c r="B147" s="394"/>
      <c r="C147" s="394"/>
      <c r="D147" s="394"/>
      <c r="E147" s="394"/>
      <c r="F147" s="394"/>
      <c r="G147" s="394"/>
      <c r="H147" s="394"/>
      <c r="I147" s="394"/>
      <c r="J147" s="394"/>
      <c r="K147" s="394"/>
      <c r="L147" s="394"/>
      <c r="M147" s="394"/>
    </row>
    <row r="148" spans="1:13" ht="15" x14ac:dyDescent="0.2">
      <c r="A148" s="394"/>
      <c r="B148" s="394"/>
      <c r="C148" s="394"/>
      <c r="D148" s="394"/>
      <c r="E148" s="394"/>
      <c r="F148" s="394"/>
      <c r="G148" s="394"/>
      <c r="H148" s="394"/>
      <c r="I148" s="394"/>
      <c r="J148" s="394"/>
      <c r="K148" s="394"/>
      <c r="L148" s="394"/>
      <c r="M148" s="394"/>
    </row>
    <row r="149" spans="1:13" ht="15" x14ac:dyDescent="0.2">
      <c r="A149" s="394"/>
      <c r="B149" s="394"/>
      <c r="C149" s="394"/>
      <c r="D149" s="394"/>
      <c r="E149" s="394"/>
      <c r="F149" s="394"/>
      <c r="G149" s="394"/>
      <c r="H149" s="394"/>
      <c r="I149" s="394"/>
      <c r="J149" s="394"/>
      <c r="K149" s="394"/>
      <c r="L149" s="394"/>
      <c r="M149" s="394"/>
    </row>
    <row r="150" spans="1:13" ht="15" x14ac:dyDescent="0.2">
      <c r="A150" s="394"/>
      <c r="B150" s="394"/>
      <c r="C150" s="394"/>
      <c r="D150" s="394"/>
      <c r="E150" s="394"/>
      <c r="F150" s="394"/>
      <c r="G150" s="394"/>
      <c r="H150" s="394"/>
      <c r="I150" s="394"/>
      <c r="J150" s="394"/>
      <c r="K150" s="394"/>
      <c r="L150" s="394"/>
      <c r="M150" s="394"/>
    </row>
    <row r="151" spans="1:13" ht="15" x14ac:dyDescent="0.2">
      <c r="A151" s="394"/>
      <c r="B151" s="394"/>
      <c r="C151" s="394"/>
      <c r="D151" s="394"/>
      <c r="E151" s="394"/>
      <c r="F151" s="394"/>
      <c r="G151" s="394"/>
      <c r="H151" s="394"/>
      <c r="I151" s="394"/>
      <c r="J151" s="394"/>
      <c r="K151" s="394"/>
      <c r="L151" s="394"/>
      <c r="M151" s="394"/>
    </row>
    <row r="152" spans="1:13" ht="15" x14ac:dyDescent="0.2">
      <c r="A152" s="394"/>
      <c r="B152" s="394"/>
      <c r="C152" s="394"/>
      <c r="D152" s="394"/>
      <c r="E152" s="394"/>
      <c r="F152" s="394"/>
      <c r="G152" s="394"/>
      <c r="H152" s="394"/>
      <c r="I152" s="394"/>
      <c r="J152" s="394"/>
      <c r="K152" s="394"/>
      <c r="L152" s="394"/>
      <c r="M152" s="394"/>
    </row>
    <row r="153" spans="1:13" ht="15" x14ac:dyDescent="0.2">
      <c r="A153" s="394"/>
      <c r="B153" s="394"/>
      <c r="C153" s="394"/>
      <c r="D153" s="394"/>
      <c r="E153" s="394"/>
      <c r="F153" s="394"/>
      <c r="G153" s="394"/>
      <c r="H153" s="394"/>
      <c r="I153" s="394"/>
      <c r="J153" s="394"/>
      <c r="K153" s="394"/>
      <c r="L153" s="394"/>
      <c r="M153" s="394"/>
    </row>
    <row r="154" spans="1:13" ht="15" x14ac:dyDescent="0.2">
      <c r="A154" s="394"/>
      <c r="B154" s="394"/>
      <c r="C154" s="394"/>
      <c r="D154" s="394"/>
      <c r="E154" s="394"/>
      <c r="F154" s="394"/>
      <c r="G154" s="394"/>
      <c r="H154" s="394"/>
      <c r="I154" s="394"/>
      <c r="J154" s="394"/>
      <c r="K154" s="394"/>
      <c r="L154" s="394"/>
      <c r="M154" s="394"/>
    </row>
    <row r="155" spans="1:13" ht="15" x14ac:dyDescent="0.2">
      <c r="A155" s="394"/>
      <c r="B155" s="394"/>
      <c r="C155" s="394"/>
      <c r="D155" s="394"/>
      <c r="E155" s="394"/>
      <c r="F155" s="394"/>
      <c r="G155" s="394"/>
      <c r="H155" s="394"/>
      <c r="I155" s="394"/>
      <c r="J155" s="394"/>
      <c r="K155" s="394"/>
      <c r="L155" s="394"/>
      <c r="M155" s="394"/>
    </row>
    <row r="156" spans="1:13" ht="15" x14ac:dyDescent="0.2">
      <c r="A156" s="394"/>
      <c r="B156" s="394"/>
      <c r="C156" s="394"/>
      <c r="D156" s="394"/>
      <c r="E156" s="394"/>
      <c r="F156" s="394"/>
      <c r="G156" s="394"/>
      <c r="H156" s="394"/>
      <c r="I156" s="394"/>
      <c r="J156" s="394"/>
      <c r="K156" s="394"/>
      <c r="L156" s="394"/>
      <c r="M156" s="394"/>
    </row>
    <row r="157" spans="1:13" ht="15" x14ac:dyDescent="0.2">
      <c r="A157" s="394"/>
      <c r="B157" s="394"/>
      <c r="C157" s="394"/>
      <c r="D157" s="394"/>
      <c r="E157" s="394"/>
      <c r="F157" s="394"/>
      <c r="G157" s="394"/>
      <c r="H157" s="394"/>
      <c r="I157" s="394"/>
      <c r="J157" s="394"/>
      <c r="K157" s="394"/>
      <c r="L157" s="394"/>
      <c r="M157" s="394"/>
    </row>
    <row r="158" spans="1:13" ht="15" x14ac:dyDescent="0.2">
      <c r="A158" s="394"/>
      <c r="B158" s="394"/>
      <c r="C158" s="394"/>
      <c r="D158" s="394"/>
      <c r="E158" s="394"/>
      <c r="F158" s="394"/>
      <c r="G158" s="394"/>
      <c r="H158" s="394"/>
      <c r="I158" s="394"/>
      <c r="J158" s="394"/>
      <c r="K158" s="394"/>
      <c r="L158" s="394"/>
      <c r="M158" s="394"/>
    </row>
    <row r="159" spans="1:13" ht="15" x14ac:dyDescent="0.2">
      <c r="A159" s="394"/>
      <c r="B159" s="394"/>
      <c r="C159" s="394"/>
      <c r="D159" s="394"/>
      <c r="E159" s="394"/>
      <c r="F159" s="394"/>
      <c r="G159" s="394"/>
      <c r="H159" s="394"/>
      <c r="I159" s="394"/>
      <c r="J159" s="394"/>
      <c r="K159" s="394"/>
      <c r="L159" s="394"/>
      <c r="M159" s="394"/>
    </row>
    <row r="160" spans="1:13" ht="15" x14ac:dyDescent="0.2">
      <c r="A160" s="394"/>
      <c r="B160" s="394"/>
      <c r="C160" s="394"/>
      <c r="D160" s="394"/>
      <c r="E160" s="394"/>
      <c r="F160" s="394"/>
      <c r="G160" s="394"/>
      <c r="H160" s="394"/>
      <c r="I160" s="394"/>
      <c r="J160" s="394"/>
      <c r="K160" s="394"/>
      <c r="L160" s="394"/>
      <c r="M160" s="394"/>
    </row>
    <row r="161" spans="1:13" ht="15" x14ac:dyDescent="0.2">
      <c r="A161" s="394"/>
      <c r="B161" s="394"/>
      <c r="C161" s="394"/>
      <c r="D161" s="394"/>
      <c r="E161" s="394"/>
      <c r="F161" s="394"/>
      <c r="G161" s="394"/>
      <c r="H161" s="394"/>
      <c r="I161" s="394"/>
      <c r="J161" s="394"/>
      <c r="K161" s="394"/>
      <c r="L161" s="394"/>
      <c r="M161" s="394"/>
    </row>
    <row r="162" spans="1:13" ht="15" x14ac:dyDescent="0.2">
      <c r="A162" s="394"/>
      <c r="B162" s="394"/>
      <c r="C162" s="394"/>
      <c r="D162" s="394"/>
      <c r="E162" s="394"/>
      <c r="F162" s="394"/>
      <c r="G162" s="394"/>
      <c r="H162" s="394"/>
      <c r="I162" s="394"/>
      <c r="J162" s="394"/>
      <c r="K162" s="394"/>
      <c r="L162" s="394"/>
      <c r="M162" s="394"/>
    </row>
    <row r="163" spans="1:13" ht="15" x14ac:dyDescent="0.2">
      <c r="A163" s="394"/>
      <c r="B163" s="394"/>
      <c r="C163" s="394"/>
      <c r="D163" s="394"/>
      <c r="E163" s="394"/>
      <c r="F163" s="394"/>
      <c r="G163" s="394"/>
      <c r="H163" s="394"/>
      <c r="I163" s="394"/>
      <c r="J163" s="394"/>
      <c r="K163" s="394"/>
      <c r="L163" s="394"/>
      <c r="M163" s="394"/>
    </row>
    <row r="164" spans="1:13" ht="15" x14ac:dyDescent="0.2">
      <c r="A164" s="394"/>
      <c r="B164" s="394"/>
      <c r="C164" s="394"/>
      <c r="D164" s="394"/>
      <c r="E164" s="394"/>
      <c r="F164" s="394"/>
      <c r="G164" s="394"/>
      <c r="H164" s="394"/>
      <c r="I164" s="394"/>
      <c r="J164" s="394"/>
      <c r="K164" s="394"/>
      <c r="L164" s="394"/>
      <c r="M164" s="394"/>
    </row>
    <row r="165" spans="1:13" ht="15" x14ac:dyDescent="0.2">
      <c r="A165" s="394"/>
      <c r="B165" s="394"/>
      <c r="C165" s="394"/>
      <c r="D165" s="394"/>
      <c r="E165" s="394"/>
      <c r="F165" s="394"/>
      <c r="G165" s="394"/>
      <c r="H165" s="394"/>
      <c r="I165" s="394"/>
      <c r="J165" s="394"/>
      <c r="K165" s="394"/>
      <c r="L165" s="394"/>
      <c r="M165" s="394"/>
    </row>
    <row r="166" spans="1:13" ht="15" x14ac:dyDescent="0.2">
      <c r="A166" s="394"/>
      <c r="B166" s="394"/>
      <c r="C166" s="394"/>
      <c r="D166" s="394"/>
      <c r="E166" s="394"/>
      <c r="F166" s="394"/>
      <c r="G166" s="394"/>
      <c r="H166" s="394"/>
      <c r="I166" s="394"/>
      <c r="J166" s="394"/>
      <c r="K166" s="394"/>
      <c r="L166" s="394"/>
      <c r="M166" s="394"/>
    </row>
  </sheetData>
  <sheetProtection algorithmName="SHA-512" hashValue="FRvbBxkj4l9rs3oNbMzgrSosnUfTcpBNSuqU2O85/V5Fi0tbLL8aJrRxD1q2ofDnkCfQOgq6AGef8uTH6TFmFQ==" saltValue="DYoN3RY5oE3Bh3blJiRqsQ==" spinCount="100000" sheet="1" autoFilter="0"/>
  <customSheetViews>
    <customSheetView guid="{9FCFC836-1CA5-48BF-958D-24D2EA94B219}" showGridLines="0">
      <selection activeCell="B12" sqref="B12"/>
      <pageMargins left="0" right="0" top="0" bottom="0" header="0" footer="0"/>
      <pageSetup orientation="portrait" r:id="rId1"/>
      <headerFooter alignWithMargins="0">
        <oddFooter>&amp;R&amp;A</oddFooter>
      </headerFooter>
    </customSheetView>
    <customSheetView guid="{B08879A4-635B-4C39-9937-AC7883D562FC}" showGridLines="0">
      <selection activeCell="B12" sqref="B12"/>
      <pageMargins left="0" right="0" top="0" bottom="0" header="0" footer="0"/>
      <pageSetup orientation="portrait" r:id="rId2"/>
      <headerFooter alignWithMargins="0">
        <oddFooter>&amp;R&amp;A</oddFooter>
      </headerFooter>
    </customSheetView>
  </customSheetViews>
  <mergeCells count="47">
    <mergeCell ref="C21:M21"/>
    <mergeCell ref="J7:M7"/>
    <mergeCell ref="C13:M13"/>
    <mergeCell ref="C17:M17"/>
    <mergeCell ref="C20:M20"/>
    <mergeCell ref="C10:M10"/>
    <mergeCell ref="C16:M16"/>
    <mergeCell ref="C18:M18"/>
    <mergeCell ref="C19:M19"/>
    <mergeCell ref="C11:M11"/>
    <mergeCell ref="C12:M12"/>
    <mergeCell ref="C14:M14"/>
    <mergeCell ref="C15:M15"/>
    <mergeCell ref="N1:N3"/>
    <mergeCell ref="J5:M5"/>
    <mergeCell ref="J6:M6"/>
    <mergeCell ref="A1:M1"/>
    <mergeCell ref="A2:M2"/>
    <mergeCell ref="A3:M3"/>
    <mergeCell ref="C30:M30"/>
    <mergeCell ref="C31:M31"/>
    <mergeCell ref="C34:M34"/>
    <mergeCell ref="C26:M26"/>
    <mergeCell ref="C27:M27"/>
    <mergeCell ref="C24:M24"/>
    <mergeCell ref="C22:M22"/>
    <mergeCell ref="C23:M23"/>
    <mergeCell ref="C28:M28"/>
    <mergeCell ref="C29:M29"/>
    <mergeCell ref="C25:M25"/>
    <mergeCell ref="C41:M41"/>
    <mergeCell ref="C42:M42"/>
    <mergeCell ref="C43:M43"/>
    <mergeCell ref="C32:M32"/>
    <mergeCell ref="C37:M37"/>
    <mergeCell ref="C38:M38"/>
    <mergeCell ref="C39:M39"/>
    <mergeCell ref="C36:M36"/>
    <mergeCell ref="C33:M33"/>
    <mergeCell ref="C35:M35"/>
    <mergeCell ref="C40:M40"/>
    <mergeCell ref="C48:M48"/>
    <mergeCell ref="C49:M49"/>
    <mergeCell ref="C44:M44"/>
    <mergeCell ref="C45:M45"/>
    <mergeCell ref="C46:M46"/>
    <mergeCell ref="C47:M47"/>
  </mergeCells>
  <phoneticPr fontId="18" type="noConversion"/>
  <conditionalFormatting sqref="N1:N3">
    <cfRule type="cellIs" dxfId="2" priority="1" stopIfTrue="1" operator="equal">
      <formula>"na"</formula>
    </cfRule>
  </conditionalFormatting>
  <hyperlinks>
    <hyperlink ref="A1:M1" location="Index!A1" display="Index!A1" xr:uid="{00000000-0004-0000-5500-000000000000}"/>
  </hyperlinks>
  <pageMargins left="0.75" right="0.5" top="0.5" bottom="0.5" header="0.5" footer="0.25"/>
  <pageSetup orientation="portrait" r:id="rId3"/>
  <headerFooter alignWithMargins="0">
    <oddFooter>&amp;R&amp;A</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61">
    <pageSetUpPr fitToPage="1"/>
  </sheetPr>
  <dimension ref="A1:AA39"/>
  <sheetViews>
    <sheetView showGridLines="0" zoomScaleNormal="100" workbookViewId="0">
      <selection activeCell="A2" sqref="A2:M2"/>
    </sheetView>
  </sheetViews>
  <sheetFormatPr defaultColWidth="9.42578125" defaultRowHeight="11.25" x14ac:dyDescent="0.2"/>
  <cols>
    <col min="1" max="1" width="3" style="28" customWidth="1"/>
    <col min="2" max="2" width="11.5703125" style="28" customWidth="1"/>
    <col min="3" max="3" width="2.5703125" style="28" customWidth="1"/>
    <col min="4" max="4" width="10.5703125" style="28" customWidth="1"/>
    <col min="5" max="5" width="2.5703125" style="28" customWidth="1"/>
    <col min="6" max="6" width="4.5703125" style="28" customWidth="1"/>
    <col min="7" max="7" width="2.5703125" style="28" customWidth="1"/>
    <col min="8" max="8" width="4.42578125" style="28" customWidth="1"/>
    <col min="9" max="9" width="14.5703125" style="28" customWidth="1"/>
    <col min="10" max="10" width="1.42578125" style="28" customWidth="1"/>
    <col min="11" max="11" width="13.42578125" style="28" customWidth="1"/>
    <col min="12" max="12" width="2.42578125" style="28" customWidth="1"/>
    <col min="13" max="13" width="14.5703125" style="28" customWidth="1"/>
    <col min="14" max="14" width="4.5703125" style="28" customWidth="1"/>
    <col min="15" max="16384" width="9.42578125" style="28"/>
  </cols>
  <sheetData>
    <row r="1" spans="1:27" s="29" customFormat="1" ht="15" customHeight="1" x14ac:dyDescent="0.25">
      <c r="A1" s="2553" t="str">
        <f>+Index!$A$1</f>
        <v xml:space="preserve">                                                               Office of the State Controller                                                                </v>
      </c>
      <c r="B1" s="2553"/>
      <c r="C1" s="2553"/>
      <c r="D1" s="2553"/>
      <c r="E1" s="2553"/>
      <c r="F1" s="2553"/>
      <c r="G1" s="2553"/>
      <c r="H1" s="2553"/>
      <c r="I1" s="2553"/>
      <c r="J1" s="2553"/>
      <c r="K1" s="2553"/>
      <c r="L1" s="2553"/>
      <c r="M1" s="2553"/>
      <c r="N1" s="2554" t="str">
        <f>IF(Index!$B$116="na","NA","")</f>
        <v/>
      </c>
      <c r="AA1" s="30"/>
    </row>
    <row r="2" spans="1:27" s="29" customFormat="1" ht="15" customHeight="1" x14ac:dyDescent="0.25">
      <c r="A2" s="2597" t="str">
        <f>Index!A2</f>
        <v>2024 ACFR Worksheets</v>
      </c>
      <c r="B2" s="2597"/>
      <c r="C2" s="2597"/>
      <c r="D2" s="2597"/>
      <c r="E2" s="2597"/>
      <c r="F2" s="2597"/>
      <c r="G2" s="2597"/>
      <c r="H2" s="2597"/>
      <c r="I2" s="2597"/>
      <c r="J2" s="2597"/>
      <c r="K2" s="2597"/>
      <c r="L2" s="2597"/>
      <c r="M2" s="2597"/>
      <c r="N2" s="2554"/>
    </row>
    <row r="3" spans="1:27" s="29" customFormat="1" ht="15" customHeight="1" x14ac:dyDescent="0.25">
      <c r="A3" s="2597" t="s">
        <v>300</v>
      </c>
      <c r="B3" s="2597"/>
      <c r="C3" s="2597"/>
      <c r="D3" s="2597"/>
      <c r="E3" s="2597"/>
      <c r="F3" s="2597"/>
      <c r="G3" s="2597"/>
      <c r="H3" s="2597"/>
      <c r="I3" s="2597"/>
      <c r="J3" s="2597"/>
      <c r="K3" s="2597"/>
      <c r="L3" s="2597"/>
      <c r="M3" s="2597"/>
      <c r="N3" s="2554"/>
    </row>
    <row r="4" spans="1:27" s="81" customFormat="1" ht="15" customHeight="1" x14ac:dyDescent="0.2">
      <c r="A4" s="139"/>
      <c r="B4" s="139"/>
      <c r="C4" s="139"/>
      <c r="D4" s="139"/>
      <c r="E4" s="139"/>
      <c r="F4" s="139"/>
      <c r="G4" s="139"/>
      <c r="H4" s="2321"/>
      <c r="I4" s="139"/>
      <c r="J4" s="139"/>
      <c r="K4" s="139"/>
      <c r="L4" s="139"/>
      <c r="M4" s="139"/>
      <c r="N4" s="139"/>
      <c r="O4" s="139"/>
      <c r="P4" s="139"/>
      <c r="Q4" s="139"/>
      <c r="R4" s="139"/>
      <c r="S4" s="139"/>
      <c r="T4" s="139"/>
      <c r="U4" s="139"/>
      <c r="V4" s="139"/>
      <c r="W4" s="139"/>
      <c r="X4" s="139"/>
      <c r="Y4" s="139"/>
      <c r="Z4" s="139"/>
      <c r="AA4" s="139"/>
    </row>
    <row r="5" spans="1:27" s="81" customFormat="1" ht="15" customHeight="1" x14ac:dyDescent="0.2">
      <c r="A5" s="139"/>
      <c r="B5" s="139"/>
      <c r="C5" s="139"/>
      <c r="D5" s="2321"/>
      <c r="E5" s="139"/>
      <c r="F5" s="139"/>
      <c r="G5" s="139"/>
      <c r="H5" s="139"/>
      <c r="I5" s="1554" t="s">
        <v>318</v>
      </c>
      <c r="J5" s="3125" t="str">
        <f>+Index!$E$10</f>
        <v>01</v>
      </c>
      <c r="K5" s="3125"/>
      <c r="L5" s="3125"/>
      <c r="M5" s="3125"/>
      <c r="N5" s="139"/>
      <c r="O5" s="139"/>
      <c r="P5" s="139"/>
      <c r="Q5" s="139"/>
      <c r="R5" s="139"/>
      <c r="S5" s="139"/>
      <c r="T5" s="139"/>
      <c r="U5" s="139"/>
      <c r="V5" s="139"/>
      <c r="W5" s="139"/>
      <c r="X5" s="139"/>
      <c r="Y5" s="139"/>
      <c r="Z5" s="139"/>
      <c r="AA5" s="139"/>
    </row>
    <row r="6" spans="1:27" s="81" customFormat="1" ht="15" customHeight="1" x14ac:dyDescent="0.2">
      <c r="A6" s="139"/>
      <c r="B6" s="139"/>
      <c r="C6" s="139"/>
      <c r="D6" s="139"/>
      <c r="E6" s="139"/>
      <c r="F6" s="139"/>
      <c r="G6" s="139"/>
      <c r="H6" s="139"/>
      <c r="I6" s="1554" t="s">
        <v>319</v>
      </c>
      <c r="J6" s="3126" t="str">
        <f>+Index!$E$11</f>
        <v>North Carolina General Assembly</v>
      </c>
      <c r="K6" s="3126"/>
      <c r="L6" s="3126"/>
      <c r="M6" s="3126"/>
      <c r="N6" s="139"/>
      <c r="O6" s="139"/>
      <c r="P6" s="139"/>
      <c r="Q6" s="139"/>
      <c r="R6" s="139"/>
      <c r="S6" s="139"/>
      <c r="T6" s="139"/>
      <c r="U6" s="139"/>
      <c r="V6" s="139"/>
      <c r="W6" s="139"/>
      <c r="X6" s="139"/>
      <c r="Y6" s="139"/>
      <c r="Z6" s="139"/>
      <c r="AA6" s="139"/>
    </row>
    <row r="7" spans="1:27" s="81" customFormat="1" ht="15" customHeight="1" x14ac:dyDescent="0.2">
      <c r="A7" s="139" t="s">
        <v>545</v>
      </c>
      <c r="B7" s="139"/>
      <c r="C7" s="139"/>
      <c r="D7" s="2311" t="s">
        <v>4969</v>
      </c>
      <c r="E7" s="139"/>
      <c r="F7" s="139"/>
      <c r="G7" s="139"/>
      <c r="H7" s="139"/>
      <c r="I7" s="1554" t="s">
        <v>320</v>
      </c>
      <c r="J7" s="3127" t="str">
        <f>CONCATENATE(Index!$E$12," ",Index!$E$14)</f>
        <v xml:space="preserve"> </v>
      </c>
      <c r="K7" s="3127"/>
      <c r="L7" s="3127"/>
      <c r="M7" s="3127"/>
      <c r="N7" s="139"/>
      <c r="O7" s="139"/>
      <c r="P7" s="139"/>
      <c r="Q7" s="139"/>
      <c r="R7" s="139"/>
      <c r="S7" s="139"/>
      <c r="T7" s="139"/>
      <c r="U7" s="139"/>
      <c r="V7" s="139"/>
      <c r="W7" s="139"/>
      <c r="X7" s="139"/>
      <c r="Y7" s="139"/>
      <c r="Z7" s="139"/>
      <c r="AA7" s="139"/>
    </row>
    <row r="8" spans="1:27" s="81" customFormat="1" ht="15" customHeight="1" thickBot="1" x14ac:dyDescent="0.25">
      <c r="A8" s="1556"/>
      <c r="B8" s="1556"/>
      <c r="C8" s="1556"/>
      <c r="D8" s="1556"/>
      <c r="E8" s="1556"/>
      <c r="F8" s="1556"/>
      <c r="G8" s="1556"/>
      <c r="H8" s="1556"/>
      <c r="I8" s="1556"/>
      <c r="J8" s="1556"/>
      <c r="K8" s="1556"/>
      <c r="L8" s="1556"/>
      <c r="M8" s="1556"/>
      <c r="N8" s="139"/>
      <c r="O8" s="139"/>
      <c r="P8" s="139"/>
      <c r="Q8" s="139"/>
      <c r="R8" s="139"/>
      <c r="S8" s="139"/>
      <c r="T8" s="139"/>
      <c r="U8" s="139"/>
      <c r="V8" s="139"/>
      <c r="W8" s="139"/>
      <c r="X8" s="139"/>
      <c r="Y8" s="139"/>
      <c r="Z8" s="139"/>
      <c r="AA8" s="139"/>
    </row>
    <row r="9" spans="1:27" s="81" customFormat="1" ht="12.75" customHeight="1" x14ac:dyDescent="0.2">
      <c r="A9" s="139"/>
      <c r="B9" s="139"/>
      <c r="C9" s="139"/>
      <c r="D9" s="139"/>
      <c r="E9" s="139"/>
      <c r="F9" s="139"/>
      <c r="G9" s="139"/>
      <c r="H9" s="139"/>
      <c r="I9" s="139"/>
      <c r="J9" s="139"/>
      <c r="K9" s="139"/>
      <c r="L9" s="139"/>
      <c r="M9" s="139"/>
      <c r="N9" s="139"/>
      <c r="O9" s="139"/>
      <c r="P9" s="139"/>
      <c r="Q9" s="139"/>
      <c r="R9" s="139"/>
      <c r="S9" s="139"/>
      <c r="T9" s="139"/>
      <c r="U9" s="139"/>
      <c r="V9" s="139"/>
      <c r="W9" s="139"/>
      <c r="X9" s="139"/>
      <c r="Y9" s="139"/>
      <c r="Z9" s="139"/>
      <c r="AA9" s="139"/>
    </row>
    <row r="10" spans="1:27" s="81" customFormat="1" ht="12.75" customHeight="1" x14ac:dyDescent="0.2">
      <c r="A10" s="139"/>
      <c r="B10" s="139"/>
      <c r="C10" s="139"/>
      <c r="D10" s="139"/>
      <c r="E10" s="139"/>
      <c r="F10" s="139"/>
      <c r="G10" s="139"/>
      <c r="H10" s="139"/>
      <c r="I10" s="139"/>
      <c r="J10" s="139"/>
      <c r="K10" s="139"/>
      <c r="L10" s="139"/>
      <c r="M10" s="139"/>
      <c r="N10" s="139"/>
      <c r="O10" s="139"/>
      <c r="P10" s="139"/>
      <c r="Q10" s="139"/>
      <c r="R10" s="139"/>
      <c r="S10" s="139"/>
      <c r="T10" s="139"/>
      <c r="U10" s="139"/>
      <c r="V10" s="139"/>
      <c r="W10" s="139"/>
      <c r="X10" s="139"/>
      <c r="Y10" s="139"/>
      <c r="Z10" s="139"/>
      <c r="AA10" s="139"/>
    </row>
    <row r="11" spans="1:27" s="81" customFormat="1" ht="12.75" customHeight="1" x14ac:dyDescent="0.2">
      <c r="A11" s="3129" t="s">
        <v>4970</v>
      </c>
      <c r="B11" s="3130"/>
      <c r="C11" s="3130"/>
      <c r="D11" s="3130"/>
      <c r="E11" s="3130"/>
      <c r="F11" s="3130"/>
      <c r="G11" s="3130"/>
      <c r="H11" s="3130"/>
      <c r="I11" s="3130"/>
      <c r="J11" s="3130"/>
      <c r="K11" s="3130"/>
      <c r="L11" s="3130"/>
      <c r="M11" s="3130"/>
      <c r="N11" s="3130"/>
      <c r="O11" s="139"/>
      <c r="P11" s="139"/>
      <c r="Q11" s="139"/>
      <c r="R11" s="139"/>
      <c r="S11" s="139"/>
      <c r="T11" s="139"/>
      <c r="U11" s="139"/>
      <c r="V11" s="139"/>
      <c r="W11" s="139"/>
      <c r="X11" s="139"/>
      <c r="Y11" s="139"/>
      <c r="Z11" s="139"/>
      <c r="AA11" s="139"/>
    </row>
    <row r="12" spans="1:27" s="81" customFormat="1" ht="12.75" customHeight="1" x14ac:dyDescent="0.2">
      <c r="A12" s="3133" t="s">
        <v>4971</v>
      </c>
      <c r="B12" s="3133"/>
      <c r="C12" s="3133"/>
      <c r="D12" s="3133"/>
      <c r="E12" s="3133"/>
      <c r="F12" s="3133"/>
      <c r="G12" s="3133"/>
      <c r="H12" s="3133"/>
      <c r="I12" s="3133"/>
      <c r="J12" s="3133"/>
      <c r="K12" s="3133"/>
      <c r="L12" s="3133"/>
      <c r="M12" s="3133"/>
      <c r="N12" s="1557"/>
      <c r="O12" s="139"/>
      <c r="P12" s="139"/>
      <c r="Q12" s="139"/>
      <c r="R12" s="139"/>
      <c r="S12" s="139"/>
      <c r="T12" s="139"/>
      <c r="U12" s="139"/>
      <c r="V12" s="139"/>
      <c r="W12" s="139"/>
      <c r="X12" s="139"/>
      <c r="Y12" s="139"/>
      <c r="Z12" s="139"/>
      <c r="AA12" s="139"/>
    </row>
    <row r="13" spans="1:27" s="81" customFormat="1" ht="12.75" customHeight="1" x14ac:dyDescent="0.2">
      <c r="A13" s="3133" t="s">
        <v>4972</v>
      </c>
      <c r="B13" s="3133"/>
      <c r="C13" s="3133"/>
      <c r="D13" s="3133"/>
      <c r="E13" s="3133"/>
      <c r="F13" s="3133"/>
      <c r="G13" s="3133"/>
      <c r="H13" s="3133"/>
      <c r="I13" s="3133"/>
      <c r="J13" s="3133"/>
      <c r="K13" s="3133"/>
      <c r="L13" s="3133"/>
      <c r="M13" s="3133"/>
      <c r="N13" s="1557"/>
      <c r="O13" s="139"/>
      <c r="P13" s="139"/>
      <c r="Q13" s="139"/>
      <c r="R13" s="139"/>
      <c r="S13" s="139"/>
      <c r="T13" s="139"/>
      <c r="U13" s="139"/>
      <c r="V13" s="139"/>
      <c r="W13" s="139"/>
      <c r="X13" s="139"/>
      <c r="Y13" s="139"/>
      <c r="Z13" s="139"/>
      <c r="AA13" s="139"/>
    </row>
    <row r="14" spans="1:27" s="81" customFormat="1" ht="12.75" customHeight="1" x14ac:dyDescent="0.2">
      <c r="A14" s="3133" t="s">
        <v>4973</v>
      </c>
      <c r="B14" s="3133"/>
      <c r="C14" s="3133"/>
      <c r="D14" s="3133"/>
      <c r="E14" s="3133"/>
      <c r="F14" s="3133"/>
      <c r="G14" s="3133"/>
      <c r="H14" s="3133"/>
      <c r="I14" s="3133"/>
      <c r="J14" s="3133"/>
      <c r="K14" s="3133"/>
      <c r="L14" s="3133"/>
      <c r="M14" s="3133"/>
      <c r="N14" s="1557"/>
      <c r="O14" s="139"/>
      <c r="P14" s="139"/>
      <c r="Q14" s="139"/>
      <c r="R14" s="139"/>
      <c r="S14" s="139"/>
      <c r="T14" s="139"/>
      <c r="U14" s="139"/>
      <c r="V14" s="139"/>
      <c r="W14" s="139"/>
      <c r="X14" s="139"/>
      <c r="Y14" s="139"/>
      <c r="Z14" s="139"/>
      <c r="AA14" s="139"/>
    </row>
    <row r="15" spans="1:27" s="81" customFormat="1" ht="12.75" customHeight="1" x14ac:dyDescent="0.2">
      <c r="A15" s="3133"/>
      <c r="B15" s="3133"/>
      <c r="C15" s="3133"/>
      <c r="D15" s="3133"/>
      <c r="E15" s="3133"/>
      <c r="F15" s="3133"/>
      <c r="G15" s="3133"/>
      <c r="H15" s="3133"/>
      <c r="I15" s="3133"/>
      <c r="J15" s="3133"/>
      <c r="K15" s="3133"/>
      <c r="L15" s="3133"/>
      <c r="M15" s="3133"/>
      <c r="N15" s="1557"/>
      <c r="O15" s="139"/>
      <c r="P15" s="139"/>
      <c r="Q15" s="139"/>
      <c r="R15" s="139"/>
      <c r="S15" s="139"/>
      <c r="T15" s="139"/>
      <c r="U15" s="139"/>
      <c r="V15" s="139"/>
      <c r="W15" s="139"/>
      <c r="X15" s="139"/>
      <c r="Y15" s="139"/>
      <c r="Z15" s="139"/>
      <c r="AA15" s="139"/>
    </row>
    <row r="16" spans="1:27" ht="15.75" customHeight="1" x14ac:dyDescent="0.2">
      <c r="B16" s="3132"/>
      <c r="C16" s="3132"/>
      <c r="D16" s="3132"/>
      <c r="E16" s="3132"/>
      <c r="F16" s="3132"/>
      <c r="G16" s="3132"/>
      <c r="H16" s="3132"/>
      <c r="I16" s="3132"/>
      <c r="J16" s="3132"/>
      <c r="K16" s="3132"/>
      <c r="L16" s="3132"/>
      <c r="M16" s="3132"/>
    </row>
    <row r="17" spans="2:13" ht="15.75" customHeight="1" x14ac:dyDescent="0.2">
      <c r="B17" s="3131"/>
      <c r="C17" s="3131"/>
      <c r="D17" s="3131"/>
      <c r="E17" s="3131"/>
      <c r="F17" s="3131"/>
      <c r="G17" s="3131"/>
      <c r="H17" s="3131"/>
      <c r="I17" s="3131"/>
      <c r="J17" s="3131"/>
      <c r="K17" s="3131"/>
      <c r="L17" s="3131"/>
      <c r="M17" s="3131"/>
    </row>
    <row r="18" spans="2:13" ht="15.75" customHeight="1" x14ac:dyDescent="0.2">
      <c r="B18" s="3131"/>
      <c r="C18" s="3131"/>
      <c r="D18" s="3131"/>
      <c r="E18" s="3131"/>
      <c r="F18" s="3131"/>
      <c r="G18" s="3131"/>
      <c r="H18" s="3131"/>
      <c r="I18" s="3131"/>
      <c r="J18" s="3131"/>
      <c r="K18" s="3131"/>
      <c r="L18" s="3131"/>
      <c r="M18" s="3131"/>
    </row>
    <row r="19" spans="2:13" ht="15.75" customHeight="1" x14ac:dyDescent="0.2">
      <c r="B19" s="3132"/>
      <c r="C19" s="3132"/>
      <c r="D19" s="3132"/>
      <c r="E19" s="3132"/>
      <c r="F19" s="3132"/>
      <c r="G19" s="3132"/>
      <c r="H19" s="3132"/>
      <c r="I19" s="3132"/>
      <c r="J19" s="3132"/>
      <c r="K19" s="3132"/>
      <c r="L19" s="3132"/>
      <c r="M19" s="3132"/>
    </row>
    <row r="20" spans="2:13" ht="15.75" customHeight="1" x14ac:dyDescent="0.2">
      <c r="B20" s="3131"/>
      <c r="C20" s="3131"/>
      <c r="D20" s="3131"/>
      <c r="E20" s="3131"/>
      <c r="F20" s="3131"/>
      <c r="G20" s="3131"/>
      <c r="H20" s="3131"/>
      <c r="I20" s="3131"/>
      <c r="J20" s="3131"/>
      <c r="K20" s="3131"/>
      <c r="L20" s="3131"/>
      <c r="M20" s="3131"/>
    </row>
    <row r="21" spans="2:13" ht="15.75" customHeight="1" x14ac:dyDescent="0.2">
      <c r="B21" s="3131"/>
      <c r="C21" s="3131"/>
      <c r="D21" s="3131"/>
      <c r="E21" s="3131"/>
      <c r="F21" s="3131"/>
      <c r="G21" s="3131"/>
      <c r="H21" s="3131"/>
      <c r="I21" s="3131"/>
      <c r="J21" s="3131"/>
      <c r="K21" s="3131"/>
      <c r="L21" s="3131"/>
      <c r="M21" s="3131"/>
    </row>
    <row r="22" spans="2:13" ht="15.75" customHeight="1" x14ac:dyDescent="0.2">
      <c r="B22" s="3132"/>
      <c r="C22" s="3132"/>
      <c r="D22" s="3132"/>
      <c r="E22" s="3132"/>
      <c r="F22" s="3132"/>
      <c r="G22" s="3132"/>
      <c r="H22" s="3132"/>
      <c r="I22" s="3132"/>
      <c r="J22" s="3132"/>
      <c r="K22" s="3132"/>
      <c r="L22" s="3132"/>
      <c r="M22" s="3132"/>
    </row>
    <row r="23" spans="2:13" ht="15.75" customHeight="1" x14ac:dyDescent="0.2">
      <c r="B23" s="3131"/>
      <c r="C23" s="3131"/>
      <c r="D23" s="3131"/>
      <c r="E23" s="3131"/>
      <c r="F23" s="3131"/>
      <c r="G23" s="3131"/>
      <c r="H23" s="3131"/>
      <c r="I23" s="3131"/>
      <c r="J23" s="3131"/>
      <c r="K23" s="3131"/>
      <c r="L23" s="3131"/>
      <c r="M23" s="3131"/>
    </row>
    <row r="24" spans="2:13" ht="15.75" customHeight="1" x14ac:dyDescent="0.2">
      <c r="B24" s="3131"/>
      <c r="C24" s="3131"/>
      <c r="D24" s="3131"/>
      <c r="E24" s="3131"/>
      <c r="F24" s="3131"/>
      <c r="G24" s="3131"/>
      <c r="H24" s="3131"/>
      <c r="I24" s="3131"/>
      <c r="J24" s="3131"/>
      <c r="K24" s="3131"/>
      <c r="L24" s="3131"/>
      <c r="M24" s="3131"/>
    </row>
    <row r="25" spans="2:13" ht="15.75" customHeight="1" x14ac:dyDescent="0.2">
      <c r="B25" s="3131"/>
      <c r="C25" s="3131"/>
      <c r="D25" s="3131"/>
      <c r="E25" s="3131"/>
      <c r="F25" s="3131"/>
      <c r="G25" s="3131"/>
      <c r="H25" s="3131"/>
      <c r="I25" s="3131"/>
      <c r="J25" s="3131"/>
      <c r="K25" s="3131"/>
      <c r="L25" s="3131"/>
      <c r="M25" s="3131"/>
    </row>
    <row r="26" spans="2:13" ht="15.75" customHeight="1" x14ac:dyDescent="0.2">
      <c r="B26" s="3131"/>
      <c r="C26" s="3131"/>
      <c r="D26" s="3131"/>
      <c r="E26" s="3131"/>
      <c r="F26" s="3131"/>
      <c r="G26" s="3131"/>
      <c r="H26" s="3131"/>
      <c r="I26" s="3131"/>
      <c r="J26" s="3131"/>
      <c r="K26" s="3131"/>
      <c r="L26" s="3131"/>
      <c r="M26" s="3131"/>
    </row>
    <row r="27" spans="2:13" ht="15.75" customHeight="1" x14ac:dyDescent="0.2">
      <c r="B27" s="3131"/>
      <c r="C27" s="3131"/>
      <c r="D27" s="3131"/>
      <c r="E27" s="3131"/>
      <c r="F27" s="3131"/>
      <c r="G27" s="3131"/>
      <c r="H27" s="3131"/>
      <c r="I27" s="3131"/>
      <c r="J27" s="3131"/>
      <c r="K27" s="3131"/>
      <c r="L27" s="3131"/>
      <c r="M27" s="3131"/>
    </row>
    <row r="28" spans="2:13" ht="15.75" customHeight="1" x14ac:dyDescent="0.2">
      <c r="B28" s="3131"/>
      <c r="C28" s="3131"/>
      <c r="D28" s="3131"/>
      <c r="E28" s="3131"/>
      <c r="F28" s="3131"/>
      <c r="G28" s="3131"/>
      <c r="H28" s="3131"/>
      <c r="I28" s="3131"/>
      <c r="J28" s="3131"/>
      <c r="K28" s="3131"/>
      <c r="L28" s="3131"/>
      <c r="M28" s="3131"/>
    </row>
    <row r="29" spans="2:13" ht="15.75" customHeight="1" x14ac:dyDescent="0.2">
      <c r="B29" s="3131"/>
      <c r="C29" s="3131"/>
      <c r="D29" s="3131"/>
      <c r="E29" s="3131"/>
      <c r="F29" s="3131"/>
      <c r="G29" s="3131"/>
      <c r="H29" s="3131"/>
      <c r="I29" s="3131"/>
      <c r="J29" s="3131"/>
      <c r="K29" s="3131"/>
      <c r="L29" s="3131"/>
      <c r="M29" s="3131"/>
    </row>
    <row r="30" spans="2:13" ht="15.75" customHeight="1" x14ac:dyDescent="0.2">
      <c r="B30" s="3131"/>
      <c r="C30" s="3131"/>
      <c r="D30" s="3131"/>
      <c r="E30" s="3131"/>
      <c r="F30" s="3131"/>
      <c r="G30" s="3131"/>
      <c r="H30" s="3131"/>
      <c r="I30" s="3131"/>
      <c r="J30" s="3131"/>
      <c r="K30" s="3131"/>
      <c r="L30" s="3131"/>
      <c r="M30" s="3131"/>
    </row>
    <row r="31" spans="2:13" ht="15.75" customHeight="1" x14ac:dyDescent="0.2">
      <c r="B31" s="3131"/>
      <c r="C31" s="3131"/>
      <c r="D31" s="3131"/>
      <c r="E31" s="3131"/>
      <c r="F31" s="3131"/>
      <c r="G31" s="3131"/>
      <c r="H31" s="3131"/>
      <c r="I31" s="3131"/>
      <c r="J31" s="3131"/>
      <c r="K31" s="3131"/>
      <c r="L31" s="3131"/>
      <c r="M31" s="3131"/>
    </row>
    <row r="32" spans="2:13" ht="15.75" customHeight="1" x14ac:dyDescent="0.2">
      <c r="B32" s="3131"/>
      <c r="C32" s="3131"/>
      <c r="D32" s="3131"/>
      <c r="E32" s="3131"/>
      <c r="F32" s="3131"/>
      <c r="G32" s="3131"/>
      <c r="H32" s="3131"/>
      <c r="I32" s="3131"/>
      <c r="J32" s="3131"/>
      <c r="K32" s="3131"/>
      <c r="L32" s="3131"/>
      <c r="M32" s="3131"/>
    </row>
    <row r="33" spans="2:13" ht="15.75" customHeight="1" x14ac:dyDescent="0.2">
      <c r="B33" s="3131"/>
      <c r="C33" s="3131"/>
      <c r="D33" s="3131"/>
      <c r="E33" s="3131"/>
      <c r="F33" s="3131"/>
      <c r="G33" s="3131"/>
      <c r="H33" s="3131"/>
      <c r="I33" s="3131"/>
      <c r="J33" s="3131"/>
      <c r="K33" s="3131"/>
      <c r="L33" s="3131"/>
      <c r="M33" s="3131"/>
    </row>
    <row r="34" spans="2:13" ht="15.75" customHeight="1" x14ac:dyDescent="0.2">
      <c r="B34" s="3131"/>
      <c r="C34" s="3131"/>
      <c r="D34" s="3131"/>
      <c r="E34" s="3131"/>
      <c r="F34" s="3131"/>
      <c r="G34" s="3131"/>
      <c r="H34" s="3131"/>
      <c r="I34" s="3131"/>
      <c r="J34" s="3131"/>
      <c r="K34" s="3131"/>
      <c r="L34" s="3131"/>
      <c r="M34" s="3131"/>
    </row>
    <row r="35" spans="2:13" ht="15.75" customHeight="1" x14ac:dyDescent="0.2">
      <c r="B35" s="3131"/>
      <c r="C35" s="3131"/>
      <c r="D35" s="3131"/>
      <c r="E35" s="3131"/>
      <c r="F35" s="3131"/>
      <c r="G35" s="3131"/>
      <c r="H35" s="3131"/>
      <c r="I35" s="3131"/>
      <c r="J35" s="3131"/>
      <c r="K35" s="3131"/>
      <c r="L35" s="3131"/>
      <c r="M35" s="3131"/>
    </row>
    <row r="36" spans="2:13" ht="15.75" customHeight="1" x14ac:dyDescent="0.2">
      <c r="B36" s="3131"/>
      <c r="C36" s="3131"/>
      <c r="D36" s="3131"/>
      <c r="E36" s="3131"/>
      <c r="F36" s="3131"/>
      <c r="G36" s="3131"/>
      <c r="H36" s="3131"/>
      <c r="I36" s="3131"/>
      <c r="J36" s="3131"/>
      <c r="K36" s="3131"/>
      <c r="L36" s="3131"/>
      <c r="M36" s="3131"/>
    </row>
    <row r="37" spans="2:13" ht="15.75" customHeight="1" x14ac:dyDescent="0.2">
      <c r="B37" s="3131"/>
      <c r="C37" s="3131"/>
      <c r="D37" s="3131"/>
      <c r="E37" s="3131"/>
      <c r="F37" s="3131"/>
      <c r="G37" s="3131"/>
      <c r="H37" s="3131"/>
      <c r="I37" s="3131"/>
      <c r="J37" s="3131"/>
      <c r="K37" s="3131"/>
      <c r="L37" s="3131"/>
      <c r="M37" s="3131"/>
    </row>
    <row r="38" spans="2:13" ht="15.75" customHeight="1" x14ac:dyDescent="0.2">
      <c r="B38" s="3131"/>
      <c r="C38" s="3131"/>
      <c r="D38" s="3131"/>
      <c r="E38" s="3131"/>
      <c r="F38" s="3131"/>
      <c r="G38" s="3131"/>
      <c r="H38" s="3131"/>
      <c r="I38" s="3131"/>
      <c r="J38" s="3131"/>
      <c r="K38" s="3131"/>
      <c r="L38" s="3131"/>
      <c r="M38" s="3131"/>
    </row>
    <row r="39" spans="2:13" ht="15.75" customHeight="1" x14ac:dyDescent="0.2">
      <c r="B39" s="3131"/>
      <c r="C39" s="3131"/>
      <c r="D39" s="3131"/>
      <c r="E39" s="3131"/>
      <c r="F39" s="3131"/>
      <c r="G39" s="3131"/>
      <c r="H39" s="3131"/>
      <c r="I39" s="3131"/>
      <c r="J39" s="3131"/>
      <c r="K39" s="3131"/>
      <c r="L39" s="3131"/>
      <c r="M39" s="3131"/>
    </row>
  </sheetData>
  <sheetProtection algorithmName="SHA-512" hashValue="Uce4LMuq3Ffhh4pVW++M6bFFjke4/f2gX4M5Pr30CUHev3WNO09LJ93x0nyTmP+tJLPCKaVgmtrUlzS4kOB7jA==" saltValue="b38ycH00tCTHOys3BrTsgw==" spinCount="100000" sheet="1" autoFilter="0"/>
  <customSheetViews>
    <customSheetView guid="{9FCFC836-1CA5-48BF-958D-24D2EA94B219}" showGridLines="0" fitToPage="1">
      <selection activeCell="A12" sqref="A12:M12"/>
      <pageMargins left="0" right="0" top="0" bottom="0" header="0" footer="0"/>
      <pageSetup orientation="portrait" r:id="rId1"/>
      <headerFooter alignWithMargins="0">
        <oddFooter>&amp;R&amp;A</oddFooter>
      </headerFooter>
    </customSheetView>
    <customSheetView guid="{BEA4BE86-04D1-4C96-9358-7A260B9D2B2D}" showGridLines="0" fitToPage="1" showRuler="0">
      <selection sqref="A1:M1"/>
      <pageMargins left="0" right="0" top="0" bottom="0" header="0" footer="0"/>
      <pageSetup orientation="portrait" r:id="rId2"/>
      <headerFooter alignWithMargins="0">
        <oddFooter>&amp;R&amp;A</oddFooter>
      </headerFooter>
    </customSheetView>
    <customSheetView guid="{1250FD07-FF56-4A9D-AF9E-C27124A7EBE9}" showGridLines="0" fitToPage="1" showRuler="0">
      <selection sqref="A1:M1"/>
      <pageMargins left="0" right="0" top="0" bottom="0" header="0" footer="0"/>
      <pageSetup orientation="portrait" r:id="rId3"/>
      <headerFooter alignWithMargins="0">
        <oddFooter>&amp;R&amp;A</oddFooter>
      </headerFooter>
    </customSheetView>
    <customSheetView guid="{B08879A4-635B-4C39-9937-AC7883D562FC}" showGridLines="0" fitToPage="1">
      <selection activeCell="A12" sqref="A12:M12"/>
      <pageMargins left="0" right="0" top="0" bottom="0" header="0" footer="0"/>
      <pageSetup orientation="portrait" r:id="rId4"/>
      <headerFooter alignWithMargins="0">
        <oddFooter>&amp;R&amp;A</oddFooter>
      </headerFooter>
    </customSheetView>
  </customSheetViews>
  <mergeCells count="36">
    <mergeCell ref="B38:M38"/>
    <mergeCell ref="B39:M39"/>
    <mergeCell ref="B33:M33"/>
    <mergeCell ref="B34:M34"/>
    <mergeCell ref="B35:M35"/>
    <mergeCell ref="B36:M36"/>
    <mergeCell ref="B37:M37"/>
    <mergeCell ref="B32:M32"/>
    <mergeCell ref="B28:M28"/>
    <mergeCell ref="B29:M29"/>
    <mergeCell ref="B30:M30"/>
    <mergeCell ref="B31:M31"/>
    <mergeCell ref="B27:M27"/>
    <mergeCell ref="B22:M22"/>
    <mergeCell ref="B23:M23"/>
    <mergeCell ref="A12:M12"/>
    <mergeCell ref="A13:M13"/>
    <mergeCell ref="A14:M14"/>
    <mergeCell ref="A15:M15"/>
    <mergeCell ref="B16:M16"/>
    <mergeCell ref="B17:M17"/>
    <mergeCell ref="B18:M18"/>
    <mergeCell ref="B19:M19"/>
    <mergeCell ref="B20:M20"/>
    <mergeCell ref="B21:M21"/>
    <mergeCell ref="B24:M24"/>
    <mergeCell ref="B25:M25"/>
    <mergeCell ref="B26:M26"/>
    <mergeCell ref="N1:N3"/>
    <mergeCell ref="J5:M5"/>
    <mergeCell ref="J6:M6"/>
    <mergeCell ref="A11:N11"/>
    <mergeCell ref="A1:M1"/>
    <mergeCell ref="A2:M2"/>
    <mergeCell ref="A3:M3"/>
    <mergeCell ref="J7:M7"/>
  </mergeCells>
  <phoneticPr fontId="18" type="noConversion"/>
  <conditionalFormatting sqref="N1:N3">
    <cfRule type="cellIs" dxfId="1" priority="1" stopIfTrue="1" operator="equal">
      <formula>"na"</formula>
    </cfRule>
  </conditionalFormatting>
  <hyperlinks>
    <hyperlink ref="A1:M1" location="Index!A1" display="Index!A1" xr:uid="{00000000-0004-0000-5600-000000000000}"/>
  </hyperlinks>
  <pageMargins left="0.5" right="0.5" top="0.75" bottom="0.5" header="0.5" footer="0.25"/>
  <pageSetup orientation="portrait" r:id="rId5"/>
  <headerFooter alignWithMargins="0">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72EDC20EC70D245A87A952C8DFB4018" ma:contentTypeVersion="10" ma:contentTypeDescription="Create a new document." ma:contentTypeScope="" ma:versionID="f54d6716b40f2fd4b87c407801679108">
  <xsd:schema xmlns:xsd="http://www.w3.org/2001/XMLSchema" xmlns:xs="http://www.w3.org/2001/XMLSchema" xmlns:p="http://schemas.microsoft.com/office/2006/metadata/properties" xmlns:ns2="68085a6d-e278-4216-b84f-15e1ffeaa6bf" targetNamespace="http://schemas.microsoft.com/office/2006/metadata/properties" ma:root="true" ma:fieldsID="ce6c9979ad3581c287745963c41cabd1" ns2:_="">
    <xsd:import namespace="68085a6d-e278-4216-b84f-15e1ffeaa6b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085a6d-e278-4216-b84f-15e1ffeaa6b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639D0F1-C138-4856-A0CE-35C5D3BA6B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8085a6d-e278-4216-b84f-15e1ffeaa6b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F019597-C2B2-4618-A284-6DEBD220668E}">
  <ds:schemaRefs>
    <ds:schemaRef ds:uri="http://schemas.microsoft.com/sharepoint/v3/contenttype/forms"/>
  </ds:schemaRefs>
</ds:datastoreItem>
</file>

<file path=customXml/itemProps3.xml><?xml version="1.0" encoding="utf-8"?>
<ds:datastoreItem xmlns:ds="http://schemas.openxmlformats.org/officeDocument/2006/customXml" ds:itemID="{21079852-69A9-4D76-9AAB-648CFE51942D}">
  <ds:schemaRefs>
    <ds:schemaRef ds:uri="http://schemas.openxmlformats.org/package/2006/metadata/core-properties"/>
    <ds:schemaRef ds:uri="http://schemas.microsoft.com/office/infopath/2007/PartnerControls"/>
    <ds:schemaRef ds:uri="http://schemas.microsoft.com/office/2006/documentManagement/types"/>
    <ds:schemaRef ds:uri="http://schemas.microsoft.com/office/2006/metadata/properties"/>
    <ds:schemaRef ds:uri="http://purl.org/dc/elements/1.1/"/>
    <ds:schemaRef ds:uri="http://purl.org/dc/terms/"/>
    <ds:schemaRef ds:uri="68085a6d-e278-4216-b84f-15e1ffeaa6bf"/>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109</vt:i4>
      </vt:variant>
      <vt:variant>
        <vt:lpstr>Named Ranges</vt:lpstr>
      </vt:variant>
      <vt:variant>
        <vt:i4>272</vt:i4>
      </vt:variant>
    </vt:vector>
  </HeadingPairs>
  <TitlesOfParts>
    <vt:vector size="381" baseType="lpstr">
      <vt:lpstr>Instruct</vt:lpstr>
      <vt:lpstr>Pkg Updates</vt:lpstr>
      <vt:lpstr>Index</vt:lpstr>
      <vt:lpstr>Dashboard</vt:lpstr>
      <vt:lpstr>101</vt:lpstr>
      <vt:lpstr>105</vt:lpstr>
      <vt:lpstr>110</vt:lpstr>
      <vt:lpstr>120</vt:lpstr>
      <vt:lpstr>201</vt:lpstr>
      <vt:lpstr>202</vt:lpstr>
      <vt:lpstr>203</vt:lpstr>
      <vt:lpstr>210</vt:lpstr>
      <vt:lpstr>215</vt:lpstr>
      <vt:lpstr>220</vt:lpstr>
      <vt:lpstr>301</vt:lpstr>
      <vt:lpstr>302</vt:lpstr>
      <vt:lpstr>303</vt:lpstr>
      <vt:lpstr>304</vt:lpstr>
      <vt:lpstr>305</vt:lpstr>
      <vt:lpstr>310</vt:lpstr>
      <vt:lpstr>315</vt:lpstr>
      <vt:lpstr>320</vt:lpstr>
      <vt:lpstr>322</vt:lpstr>
      <vt:lpstr>323</vt:lpstr>
      <vt:lpstr>325</vt:lpstr>
      <vt:lpstr>330</vt:lpstr>
      <vt:lpstr>338</vt:lpstr>
      <vt:lpstr>340</vt:lpstr>
      <vt:lpstr>341</vt:lpstr>
      <vt:lpstr>342</vt:lpstr>
      <vt:lpstr>345</vt:lpstr>
      <vt:lpstr>350</vt:lpstr>
      <vt:lpstr>355</vt:lpstr>
      <vt:lpstr>365</vt:lpstr>
      <vt:lpstr>370</vt:lpstr>
      <vt:lpstr>375-A</vt:lpstr>
      <vt:lpstr>375-B</vt:lpstr>
      <vt:lpstr>401</vt:lpstr>
      <vt:lpstr>405</vt:lpstr>
      <vt:lpstr>410</vt:lpstr>
      <vt:lpstr>415</vt:lpstr>
      <vt:lpstr>420</vt:lpstr>
      <vt:lpstr>425</vt:lpstr>
      <vt:lpstr>430G</vt:lpstr>
      <vt:lpstr>430BTA</vt:lpstr>
      <vt:lpstr>430F</vt:lpstr>
      <vt:lpstr>431G</vt:lpstr>
      <vt:lpstr>431BTA</vt:lpstr>
      <vt:lpstr>431BTA-CU</vt:lpstr>
      <vt:lpstr>431F</vt:lpstr>
      <vt:lpstr>502</vt:lpstr>
      <vt:lpstr>505</vt:lpstr>
      <vt:lpstr>510</vt:lpstr>
      <vt:lpstr>515</vt:lpstr>
      <vt:lpstr>520</vt:lpstr>
      <vt:lpstr>525</vt:lpstr>
      <vt:lpstr>530</vt:lpstr>
      <vt:lpstr>535</vt:lpstr>
      <vt:lpstr>536</vt:lpstr>
      <vt:lpstr>542</vt:lpstr>
      <vt:lpstr>565</vt:lpstr>
      <vt:lpstr>570</vt:lpstr>
      <vt:lpstr>602</vt:lpstr>
      <vt:lpstr>605</vt:lpstr>
      <vt:lpstr>610</vt:lpstr>
      <vt:lpstr>615</vt:lpstr>
      <vt:lpstr>616</vt:lpstr>
      <vt:lpstr>620</vt:lpstr>
      <vt:lpstr>625</vt:lpstr>
      <vt:lpstr>635</vt:lpstr>
      <vt:lpstr>640</vt:lpstr>
      <vt:lpstr>705</vt:lpstr>
      <vt:lpstr>710</vt:lpstr>
      <vt:lpstr>715</vt:lpstr>
      <vt:lpstr>720</vt:lpstr>
      <vt:lpstr>725</vt:lpstr>
      <vt:lpstr>730</vt:lpstr>
      <vt:lpstr>735</vt:lpstr>
      <vt:lpstr>740</vt:lpstr>
      <vt:lpstr>745</vt:lpstr>
      <vt:lpstr>755</vt:lpstr>
      <vt:lpstr>756</vt:lpstr>
      <vt:lpstr>760</vt:lpstr>
      <vt:lpstr>765</vt:lpstr>
      <vt:lpstr>905</vt:lpstr>
      <vt:lpstr>For 905-NCFS Acct Roll-up</vt:lpstr>
      <vt:lpstr>905Hosp</vt:lpstr>
      <vt:lpstr>906-6B</vt:lpstr>
      <vt:lpstr>906-6C</vt:lpstr>
      <vt:lpstr>906-6BC</vt:lpstr>
      <vt:lpstr>907</vt:lpstr>
      <vt:lpstr>908</vt:lpstr>
      <vt:lpstr>910</vt:lpstr>
      <vt:lpstr>910Hosp</vt:lpstr>
      <vt:lpstr>Data</vt:lpstr>
      <vt:lpstr>911-6B</vt:lpstr>
      <vt:lpstr>911-6C</vt:lpstr>
      <vt:lpstr>Explanations</vt:lpstr>
      <vt:lpstr>Comments</vt:lpstr>
      <vt:lpstr>Agencies</vt:lpstr>
      <vt:lpstr>Functional</vt:lpstr>
      <vt:lpstr>NetPosition</vt:lpstr>
      <vt:lpstr>PriorYr905</vt:lpstr>
      <vt:lpstr>PriorYr906</vt:lpstr>
      <vt:lpstr>All Agencies</vt:lpstr>
      <vt:lpstr>OSC Analysts</vt:lpstr>
      <vt:lpstr>Errors</vt:lpstr>
      <vt:lpstr>Notes</vt:lpstr>
      <vt:lpstr>AgencyGASBRepository</vt:lpstr>
      <vt:lpstr>'303'!__Agy301</vt:lpstr>
      <vt:lpstr>__Agy301</vt:lpstr>
      <vt:lpstr>__AGY305</vt:lpstr>
      <vt:lpstr>__AGY310</vt:lpstr>
      <vt:lpstr>__Agy510</vt:lpstr>
      <vt:lpstr>__Agy515</vt:lpstr>
      <vt:lpstr>__Agy520</vt:lpstr>
      <vt:lpstr>__Agy525</vt:lpstr>
      <vt:lpstr>__Agy530</vt:lpstr>
      <vt:lpstr>'303'!__FMD320</vt:lpstr>
      <vt:lpstr>__FMD320</vt:lpstr>
      <vt:lpstr>'303'!__OID320</vt:lpstr>
      <vt:lpstr>__OID320</vt:lpstr>
      <vt:lpstr>'303'!__TO320</vt:lpstr>
      <vt:lpstr>__TO320</vt:lpstr>
      <vt:lpstr>_AGY201</vt:lpstr>
      <vt:lpstr>_AGY210</vt:lpstr>
      <vt:lpstr>'303'!_Agy301</vt:lpstr>
      <vt:lpstr>_Agy301</vt:lpstr>
      <vt:lpstr>'303'!_Agy302</vt:lpstr>
      <vt:lpstr>_Agy302</vt:lpstr>
      <vt:lpstr>_AGY305</vt:lpstr>
      <vt:lpstr>_AGY310</vt:lpstr>
      <vt:lpstr>'315'!_AGY315</vt:lpstr>
      <vt:lpstr>_AGY320</vt:lpstr>
      <vt:lpstr>'303'!_AGY325</vt:lpstr>
      <vt:lpstr>_AGY325</vt:lpstr>
      <vt:lpstr>_Agy510</vt:lpstr>
      <vt:lpstr>_Agy515</vt:lpstr>
      <vt:lpstr>_Agy520</vt:lpstr>
      <vt:lpstr>_Agy525</vt:lpstr>
      <vt:lpstr>_Agy530</vt:lpstr>
      <vt:lpstr>'536'!_Agy535</vt:lpstr>
      <vt:lpstr>_Agy535</vt:lpstr>
      <vt:lpstr>_Agy710</vt:lpstr>
      <vt:lpstr>_Agy720</vt:lpstr>
      <vt:lpstr>_COL201</vt:lpstr>
      <vt:lpstr>_COL210</vt:lpstr>
      <vt:lpstr>_COL305</vt:lpstr>
      <vt:lpstr>_COL310</vt:lpstr>
      <vt:lpstr>'315'!_COL315</vt:lpstr>
      <vt:lpstr>_COL320</vt:lpstr>
      <vt:lpstr>_COL325</vt:lpstr>
      <vt:lpstr>_Col705</vt:lpstr>
      <vt:lpstr>_Col710</vt:lpstr>
      <vt:lpstr>_Col715</vt:lpstr>
      <vt:lpstr>_Col720</vt:lpstr>
      <vt:lpstr>_Col725</vt:lpstr>
      <vt:lpstr>_Col735</vt:lpstr>
      <vt:lpstr>_Col740</vt:lpstr>
      <vt:lpstr>_Col745</vt:lpstr>
      <vt:lpstr>_Col755</vt:lpstr>
      <vt:lpstr>_Data725</vt:lpstr>
      <vt:lpstr>'315'!_FMD315</vt:lpstr>
      <vt:lpstr>_FMD320</vt:lpstr>
      <vt:lpstr>'315'!_OID315</vt:lpstr>
      <vt:lpstr>_OID320</vt:lpstr>
      <vt:lpstr>_ROW201</vt:lpstr>
      <vt:lpstr>_ROW210</vt:lpstr>
      <vt:lpstr>_ROW305</vt:lpstr>
      <vt:lpstr>_ROW310</vt:lpstr>
      <vt:lpstr>'315'!_ROW315</vt:lpstr>
      <vt:lpstr>_ROW320</vt:lpstr>
      <vt:lpstr>_ROW325</vt:lpstr>
      <vt:lpstr>_Row705</vt:lpstr>
      <vt:lpstr>_Row710</vt:lpstr>
      <vt:lpstr>_Row715</vt:lpstr>
      <vt:lpstr>_Row720</vt:lpstr>
      <vt:lpstr>_Row725</vt:lpstr>
      <vt:lpstr>_Row735</vt:lpstr>
      <vt:lpstr>_Row740</vt:lpstr>
      <vt:lpstr>_Row745</vt:lpstr>
      <vt:lpstr>_Row755</vt:lpstr>
      <vt:lpstr>'315'!_TO315</vt:lpstr>
      <vt:lpstr>_TO320</vt:lpstr>
      <vt:lpstr>a905a</vt:lpstr>
      <vt:lpstr>a905b</vt:lpstr>
      <vt:lpstr>a905c</vt:lpstr>
      <vt:lpstr>a905Data</vt:lpstr>
      <vt:lpstr>'905Hosp'!a905Ha</vt:lpstr>
      <vt:lpstr>'905Hosp'!a905Hb</vt:lpstr>
      <vt:lpstr>'905Hosp'!a905Hc</vt:lpstr>
      <vt:lpstr>a905HData</vt:lpstr>
      <vt:lpstr>AgyIdx</vt:lpstr>
      <vt:lpstr>'303'!AgyName</vt:lpstr>
      <vt:lpstr>AgyName</vt:lpstr>
      <vt:lpstr>AgyNum</vt:lpstr>
      <vt:lpstr>NetPosition!BeginningNetAssets</vt:lpstr>
      <vt:lpstr>compgasb</vt:lpstr>
      <vt:lpstr>compname</vt:lpstr>
      <vt:lpstr>compnum</vt:lpstr>
      <vt:lpstr>'303'!compnumtxt</vt:lpstr>
      <vt:lpstr>compnumtxt</vt:lpstr>
      <vt:lpstr>'303'!comptable</vt:lpstr>
      <vt:lpstr>comptable</vt:lpstr>
      <vt:lpstr>'303'!ConcNum</vt:lpstr>
      <vt:lpstr>ConcNum</vt:lpstr>
      <vt:lpstr>CurrentAssets</vt:lpstr>
      <vt:lpstr>'303'!CurrentLiabilities</vt:lpstr>
      <vt:lpstr>CurrentLiabilities</vt:lpstr>
      <vt:lpstr>'201'!DATA201</vt:lpstr>
      <vt:lpstr>'210'!DATA210</vt:lpstr>
      <vt:lpstr>DATA305</vt:lpstr>
      <vt:lpstr>DATA310</vt:lpstr>
      <vt:lpstr>'315'!DATA315</vt:lpstr>
      <vt:lpstr>DATA320</vt:lpstr>
      <vt:lpstr>DATA325</vt:lpstr>
      <vt:lpstr>Data705</vt:lpstr>
      <vt:lpstr>Data710</vt:lpstr>
      <vt:lpstr>Data715</vt:lpstr>
      <vt:lpstr>Data720</vt:lpstr>
      <vt:lpstr>Data735</vt:lpstr>
      <vt:lpstr>Data740</vt:lpstr>
      <vt:lpstr>Data745</vt:lpstr>
      <vt:lpstr>Data755</vt:lpstr>
      <vt:lpstr>Deferredinflows</vt:lpstr>
      <vt:lpstr>'303'!DeferredOutflows</vt:lpstr>
      <vt:lpstr>DeferredOutflows</vt:lpstr>
      <vt:lpstr>'303'!Derivative</vt:lpstr>
      <vt:lpstr>Derivative</vt:lpstr>
      <vt:lpstr>ErrorCode</vt:lpstr>
      <vt:lpstr>'303'!ErrorKey</vt:lpstr>
      <vt:lpstr>ErrorKey</vt:lpstr>
      <vt:lpstr>'303'!ErrorTable</vt:lpstr>
      <vt:lpstr>ErrorTable</vt:lpstr>
      <vt:lpstr>FCCSent</vt:lpstr>
      <vt:lpstr>FCCSnum</vt:lpstr>
      <vt:lpstr>'315'!FROM315</vt:lpstr>
      <vt:lpstr>FROM320</vt:lpstr>
      <vt:lpstr>function</vt:lpstr>
      <vt:lpstr>functionA</vt:lpstr>
      <vt:lpstr>functionC</vt:lpstr>
      <vt:lpstr>Gasb510</vt:lpstr>
      <vt:lpstr>Gasb515</vt:lpstr>
      <vt:lpstr>Gasb520</vt:lpstr>
      <vt:lpstr>Gasb525</vt:lpstr>
      <vt:lpstr>Gasb530</vt:lpstr>
      <vt:lpstr>'536'!Gasb535</vt:lpstr>
      <vt:lpstr>Gasb535</vt:lpstr>
      <vt:lpstr>hk</vt:lpstr>
      <vt:lpstr>IdxNa</vt:lpstr>
      <vt:lpstr>IdxSheetNum</vt:lpstr>
      <vt:lpstr>IdxTable</vt:lpstr>
      <vt:lpstr>'303'!LeaseCol301</vt:lpstr>
      <vt:lpstr>LeaseCol301</vt:lpstr>
      <vt:lpstr>'303'!LeaseDat301</vt:lpstr>
      <vt:lpstr>LeaseDat301</vt:lpstr>
      <vt:lpstr>'303'!LeaseRow301</vt:lpstr>
      <vt:lpstr>LeaseRow301</vt:lpstr>
      <vt:lpstr>List505thru520</vt:lpstr>
      <vt:lpstr>Listfor525and530</vt:lpstr>
      <vt:lpstr>Listfor535</vt:lpstr>
      <vt:lpstr>NetAssetsData</vt:lpstr>
      <vt:lpstr>NetAssetsDataRow</vt:lpstr>
      <vt:lpstr>NoncurrentAssets</vt:lpstr>
      <vt:lpstr>NoncurrentLiabilities</vt:lpstr>
      <vt:lpstr>NetPosition!OfflineNetAssetsRow</vt:lpstr>
      <vt:lpstr>Pledged_Revenue</vt:lpstr>
      <vt:lpstr>'105'!Print_Area</vt:lpstr>
      <vt:lpstr>'110'!Print_Area</vt:lpstr>
      <vt:lpstr>'120'!Print_Area</vt:lpstr>
      <vt:lpstr>'201'!Print_Area</vt:lpstr>
      <vt:lpstr>'202'!Print_Area</vt:lpstr>
      <vt:lpstr>'203'!Print_Area</vt:lpstr>
      <vt:lpstr>'210'!Print_Area</vt:lpstr>
      <vt:lpstr>'215'!Print_Area</vt:lpstr>
      <vt:lpstr>'220'!Print_Area</vt:lpstr>
      <vt:lpstr>'301'!Print_Area</vt:lpstr>
      <vt:lpstr>'302'!Print_Area</vt:lpstr>
      <vt:lpstr>'303'!Print_Area</vt:lpstr>
      <vt:lpstr>'304'!Print_Area</vt:lpstr>
      <vt:lpstr>'305'!Print_Area</vt:lpstr>
      <vt:lpstr>'310'!Print_Area</vt:lpstr>
      <vt:lpstr>'315'!Print_Area</vt:lpstr>
      <vt:lpstr>'320'!Print_Area</vt:lpstr>
      <vt:lpstr>'322'!Print_Area</vt:lpstr>
      <vt:lpstr>'323'!Print_Area</vt:lpstr>
      <vt:lpstr>'325'!Print_Area</vt:lpstr>
      <vt:lpstr>'330'!Print_Area</vt:lpstr>
      <vt:lpstr>'340'!Print_Area</vt:lpstr>
      <vt:lpstr>'341'!Print_Area</vt:lpstr>
      <vt:lpstr>'342'!Print_Area</vt:lpstr>
      <vt:lpstr>'345'!Print_Area</vt:lpstr>
      <vt:lpstr>'350'!Print_Area</vt:lpstr>
      <vt:lpstr>'355'!Print_Area</vt:lpstr>
      <vt:lpstr>'365'!Print_Area</vt:lpstr>
      <vt:lpstr>'375-A'!Print_Area</vt:lpstr>
      <vt:lpstr>'375-B'!Print_Area</vt:lpstr>
      <vt:lpstr>'401'!Print_Area</vt:lpstr>
      <vt:lpstr>'405'!Print_Area</vt:lpstr>
      <vt:lpstr>'410'!Print_Area</vt:lpstr>
      <vt:lpstr>'415'!Print_Area</vt:lpstr>
      <vt:lpstr>'420'!Print_Area</vt:lpstr>
      <vt:lpstr>'425'!Print_Area</vt:lpstr>
      <vt:lpstr>'430BTA'!Print_Area</vt:lpstr>
      <vt:lpstr>'430F'!Print_Area</vt:lpstr>
      <vt:lpstr>'430G'!Print_Area</vt:lpstr>
      <vt:lpstr>'431BTA'!Print_Area</vt:lpstr>
      <vt:lpstr>'431BTA-CU'!Print_Area</vt:lpstr>
      <vt:lpstr>'431F'!Print_Area</vt:lpstr>
      <vt:lpstr>'431G'!Print_Area</vt:lpstr>
      <vt:lpstr>'505'!Print_Area</vt:lpstr>
      <vt:lpstr>'510'!Print_Area</vt:lpstr>
      <vt:lpstr>'515'!Print_Area</vt:lpstr>
      <vt:lpstr>'520'!Print_Area</vt:lpstr>
      <vt:lpstr>'525'!Print_Area</vt:lpstr>
      <vt:lpstr>'530'!Print_Area</vt:lpstr>
      <vt:lpstr>'535'!Print_Area</vt:lpstr>
      <vt:lpstr>'536'!Print_Area</vt:lpstr>
      <vt:lpstr>'542'!Print_Area</vt:lpstr>
      <vt:lpstr>'565'!Print_Area</vt:lpstr>
      <vt:lpstr>'570'!Print_Area</vt:lpstr>
      <vt:lpstr>'602'!Print_Area</vt:lpstr>
      <vt:lpstr>'605'!Print_Area</vt:lpstr>
      <vt:lpstr>'610'!Print_Area</vt:lpstr>
      <vt:lpstr>'615'!Print_Area</vt:lpstr>
      <vt:lpstr>'616'!Print_Area</vt:lpstr>
      <vt:lpstr>'625'!Print_Area</vt:lpstr>
      <vt:lpstr>'635'!Print_Area</vt:lpstr>
      <vt:lpstr>'640'!Print_Area</vt:lpstr>
      <vt:lpstr>'705'!Print_Area</vt:lpstr>
      <vt:lpstr>'710'!Print_Area</vt:lpstr>
      <vt:lpstr>'715'!Print_Area</vt:lpstr>
      <vt:lpstr>'720'!Print_Area</vt:lpstr>
      <vt:lpstr>'725'!Print_Area</vt:lpstr>
      <vt:lpstr>'735'!Print_Area</vt:lpstr>
      <vt:lpstr>'740'!Print_Area</vt:lpstr>
      <vt:lpstr>'755'!Print_Area</vt:lpstr>
      <vt:lpstr>'756'!Print_Area</vt:lpstr>
      <vt:lpstr>'760'!Print_Area</vt:lpstr>
      <vt:lpstr>'765'!Print_Area</vt:lpstr>
      <vt:lpstr>'905'!Print_Area</vt:lpstr>
      <vt:lpstr>'905Hosp'!Print_Area</vt:lpstr>
      <vt:lpstr>'906-6B'!Print_Area</vt:lpstr>
      <vt:lpstr>'906-6BC'!Print_Area</vt:lpstr>
      <vt:lpstr>'906-6C'!Print_Area</vt:lpstr>
      <vt:lpstr>'907'!Print_Area</vt:lpstr>
      <vt:lpstr>'908'!Print_Area</vt:lpstr>
      <vt:lpstr>'910'!Print_Area</vt:lpstr>
      <vt:lpstr>'910Hosp'!Print_Area</vt:lpstr>
      <vt:lpstr>'911-6B'!Print_Area</vt:lpstr>
      <vt:lpstr>'911-6C'!Print_Area</vt:lpstr>
      <vt:lpstr>Dashboard!Print_Area</vt:lpstr>
      <vt:lpstr>'For 905-NCFS Acct Roll-up'!Print_Area</vt:lpstr>
      <vt:lpstr>Index!Print_Area</vt:lpstr>
      <vt:lpstr>Instruct!Print_Area</vt:lpstr>
      <vt:lpstr>NetPosition!Print_Area</vt:lpstr>
      <vt:lpstr>PriorYr905!Print_Area</vt:lpstr>
      <vt:lpstr>'755'!Print_Titles</vt:lpstr>
      <vt:lpstr>'905'!Print_Titles</vt:lpstr>
      <vt:lpstr>'905Hosp'!Print_Titles</vt:lpstr>
      <vt:lpstr>'910'!Print_Titles</vt:lpstr>
      <vt:lpstr>'910Hosp'!Print_Titles</vt:lpstr>
      <vt:lpstr>'All Agencies'!Print_Titles</vt:lpstr>
      <vt:lpstr>'For 905-NCFS Acct Roll-up'!Print_Titles</vt:lpstr>
      <vt:lpstr>'Pkg Updates'!Print_Titles</vt:lpstr>
      <vt:lpstr>PriorYr905!Print_Titles</vt:lpstr>
      <vt:lpstr>PY905Col</vt:lpstr>
      <vt:lpstr>PY905Data</vt:lpstr>
      <vt:lpstr>PY905Row</vt:lpstr>
      <vt:lpstr>'315'!TYPE315</vt:lpstr>
      <vt:lpstr>TYPE320</vt:lpstr>
      <vt:lpstr>ValuationTech</vt:lpstr>
      <vt:lpstr>w220Data</vt:lpstr>
      <vt:lpstr>'303'!w301DataA</vt:lpstr>
      <vt:lpstr>w301DataA</vt:lpstr>
      <vt:lpstr>w305Data</vt:lpstr>
      <vt:lpstr>w310Data</vt:lpstr>
      <vt:lpstr>w325col</vt:lpstr>
      <vt:lpstr>w325Data</vt:lpstr>
      <vt:lpstr>w325Row</vt:lpstr>
      <vt:lpstr>w325Type</vt:lpstr>
    </vt:vector>
  </TitlesOfParts>
  <Manager/>
  <Company>North Carolina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Office of State Controller</dc:creator>
  <cp:keywords/>
  <dc:description/>
  <cp:lastModifiedBy>Joan Saucier</cp:lastModifiedBy>
  <cp:revision/>
  <cp:lastPrinted>2024-06-18T04:16:26Z</cp:lastPrinted>
  <dcterms:created xsi:type="dcterms:W3CDTF">2000-03-13T18:28:09Z</dcterms:created>
  <dcterms:modified xsi:type="dcterms:W3CDTF">2024-08-09T19:03:50Z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0x010100072EDC20EC70D245A87A952C8DFB4018</vt:lpwstr>
  </property>
  <property fmtid="{D5CDD505-2E9C-101B-9397-08002B2CF9AE}" pid="5" name="_ExtendedDescription">
    <vt:lpwstr/>
  </property>
  <property fmtid="{D5CDD505-2E9C-101B-9397-08002B2CF9AE}" pid="6" name="MSIP_Label_defa4170-0d19-0005-0004-bc88714345d2_Enabled">
    <vt:lpwstr>true</vt:lpwstr>
  </property>
  <property fmtid="{D5CDD505-2E9C-101B-9397-08002B2CF9AE}" pid="7" name="MSIP_Label_defa4170-0d19-0005-0004-bc88714345d2_SetDate">
    <vt:lpwstr>2024-04-15T19:26:30Z</vt:lpwstr>
  </property>
  <property fmtid="{D5CDD505-2E9C-101B-9397-08002B2CF9AE}" pid="8" name="MSIP_Label_defa4170-0d19-0005-0004-bc88714345d2_Method">
    <vt:lpwstr>Standard</vt:lpwstr>
  </property>
  <property fmtid="{D5CDD505-2E9C-101B-9397-08002B2CF9AE}" pid="9" name="MSIP_Label_defa4170-0d19-0005-0004-bc88714345d2_Name">
    <vt:lpwstr>defa4170-0d19-0005-0004-bc88714345d2</vt:lpwstr>
  </property>
  <property fmtid="{D5CDD505-2E9C-101B-9397-08002B2CF9AE}" pid="10" name="MSIP_Label_defa4170-0d19-0005-0004-bc88714345d2_SiteId">
    <vt:lpwstr>a1f43f48-54fe-433f-9378-968b45bc6665</vt:lpwstr>
  </property>
  <property fmtid="{D5CDD505-2E9C-101B-9397-08002B2CF9AE}" pid="11" name="MSIP_Label_defa4170-0d19-0005-0004-bc88714345d2_ActionId">
    <vt:lpwstr>641fb0bf-7a3d-44c7-9547-a9970e17b370</vt:lpwstr>
  </property>
  <property fmtid="{D5CDD505-2E9C-101B-9397-08002B2CF9AE}" pid="12" name="MSIP_Label_defa4170-0d19-0005-0004-bc88714345d2_ContentBits">
    <vt:lpwstr>0</vt:lpwstr>
  </property>
</Properties>
</file>